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omments1.xml" ContentType="application/vnd.openxmlformats-officedocument.spreadsheetml.comments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omments2.xml" ContentType="application/vnd.openxmlformats-officedocument.spreadsheetml.comments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K\Documents\GitHub\sak-erp\"/>
    </mc:Choice>
  </mc:AlternateContent>
  <xr:revisionPtr revIDLastSave="0" documentId="13_ncr:1_{8D945DCB-14F3-4648-A028-369FB1018F43}" xr6:coauthVersionLast="47" xr6:coauthVersionMax="47" xr10:uidLastSave="{00000000-0000-0000-0000-000000000000}"/>
  <bookViews>
    <workbookView xWindow="-110" yWindow="-110" windowWidth="19420" windowHeight="11500" tabRatio="884" firstSheet="46" activeTab="49" xr2:uid="{00000000-000D-0000-FFFF-FFFF00000000}"/>
  </bookViews>
  <sheets>
    <sheet name="RM" sheetId="2" r:id="rId1"/>
    <sheet name="37-Self Rightening Assy" sheetId="67" r:id="rId2"/>
    <sheet name="36-ESC Assy" sheetId="66" r:id="rId3"/>
    <sheet name="35-Charger Panel Assy" sheetId="65" r:id="rId4"/>
    <sheet name="34-Charger power module Assy" sheetId="64" r:id="rId5"/>
    <sheet name="33-Charger PM Assy" sheetId="63" r:id="rId6"/>
    <sheet name="32-IP Remote Charging Cable Ass" sheetId="62" r:id="rId7"/>
    <sheet name="31-IP Remote Charging PM" sheetId="61" r:id="rId8"/>
    <sheet name="30-Charging Cable Assy" sheetId="60" r:id="rId9"/>
    <sheet name="28-Jet body Assy STBD" sheetId="59" r:id="rId10"/>
    <sheet name="27-Jet body Assy" sheetId="58" r:id="rId11"/>
    <sheet name="26-Motor Mount Assy (V1.1 &amp; 569" sheetId="57" r:id="rId12"/>
    <sheet name="25-Kangaroo box STBD Assy" sheetId="56" r:id="rId13"/>
    <sheet name="24-Kangaroo box PORT Assy" sheetId="55" r:id="rId14"/>
    <sheet name="23-Kangaroo Box Preprocessing A" sheetId="54" r:id="rId15"/>
    <sheet name="22-Kangaroo Power Wire STBD Ass" sheetId="53" r:id="rId16"/>
    <sheet name="21-Kangaroo Power Wire PORT Ass" sheetId="52" r:id="rId17"/>
    <sheet name="20-Flashing Light Assy STBD" sheetId="51" r:id="rId18"/>
    <sheet name="19-Flashing Light Assy PORT" sheetId="50" r:id="rId19"/>
    <sheet name="18-Bottom block Assy" sheetId="49" r:id="rId20"/>
    <sheet name="17-Charging PM Assy" sheetId="48" r:id="rId21"/>
    <sheet name="16-Signal PM Assy" sheetId="47" r:id="rId22"/>
    <sheet name="15-Current Sensor Assy" sheetId="46" r:id="rId23"/>
    <sheet name="14-100v Buck PCB Assy" sheetId="45" r:id="rId24"/>
    <sheet name="13-Motherboard Assy" sheetId="44" r:id="rId25"/>
    <sheet name="12-ElecBox Assy" sheetId="43" r:id="rId26"/>
    <sheet name="11-IP Remote Assy" sheetId="42" r:id="rId27"/>
    <sheet name="10-Battery Wiring PORT Assy " sheetId="41" r:id="rId28"/>
    <sheet name="9-Battery wiring STBD Assy" sheetId="40" r:id="rId29"/>
    <sheet name="8-Battery Block Formation Assy" sheetId="39" r:id="rId30"/>
    <sheet name="7-Copper Tab Tinning Assy" sheetId="38" r:id="rId31"/>
    <sheet name="6-Signal Cable Assy " sheetId="37" r:id="rId32"/>
    <sheet name="5-Jet unit Signal Cable Orig. A" sheetId="36" r:id="rId33"/>
    <sheet name="4-Jet unit Signl Cbl Dest. Assy" sheetId="35" r:id="rId34"/>
    <sheet name="Purchase Order List" sheetId="3" state="hidden" r:id="rId35"/>
    <sheet name="S-BOM" sheetId="4" state="hidden" r:id="rId36"/>
    <sheet name="MRP" sheetId="5" state="hidden" r:id="rId37"/>
    <sheet name="Supplier MRP" sheetId="6" state="hidden" r:id="rId38"/>
    <sheet name="Supplier Items" sheetId="7" state="hidden" r:id="rId39"/>
    <sheet name="CombineSFG" sheetId="8" state="hidden" r:id="rId40"/>
    <sheet name="CombineFG" sheetId="9" state="hidden" r:id="rId41"/>
    <sheet name="Help" sheetId="10" state="hidden" r:id="rId42"/>
    <sheet name="Parts List" sheetId="11" state="hidden" r:id="rId43"/>
    <sheet name="S-Parts List" sheetId="12" state="hidden" r:id="rId44"/>
    <sheet name="PO" sheetId="13" state="hidden" r:id="rId45"/>
    <sheet name="A-BOM" sheetId="14" state="hidden" r:id="rId46"/>
    <sheet name="3-Jet unit Assy PORT" sheetId="34" r:id="rId47"/>
    <sheet name="2-Jet unit Assy STBD" sheetId="33" r:id="rId48"/>
    <sheet name="1-Hull Preprocess Assy" sheetId="30" r:id="rId49"/>
    <sheet name="0-SAIFSEAS LIFE Final Assy (FG)" sheetId="29" r:id="rId50"/>
    <sheet name="FG" sheetId="15" r:id="rId51"/>
    <sheet name="Inv" sheetId="16" state="hidden" r:id="rId52"/>
    <sheet name="GRN-IMP" sheetId="17" state="hidden" r:id="rId53"/>
    <sheet name="Where Used" sheetId="18" state="hidden" r:id="rId54"/>
    <sheet name="GRN" sheetId="19" state="hidden" r:id="rId55"/>
    <sheet name="S-FG" sheetId="20" state="hidden" r:id="rId56"/>
    <sheet name="Issue" sheetId="21" state="hidden" r:id="rId57"/>
    <sheet name="Projects" sheetId="22" state="hidden" r:id="rId58"/>
    <sheet name="Project Parts" sheetId="23" state="hidden" r:id="rId59"/>
    <sheet name="PR-BOM" sheetId="24" state="hidden" r:id="rId60"/>
    <sheet name="IssueBOM" sheetId="25" state="hidden" r:id="rId61"/>
    <sheet name="MRPback" sheetId="26" state="hidden" r:id="rId62"/>
    <sheet name="IRegback" sheetId="27" state="hidden" r:id="rId63"/>
  </sheets>
  <definedNames>
    <definedName name="_xlnm._FilterDatabase" localSheetId="36" hidden="1">MRP!$A$2:$O$238</definedName>
    <definedName name="_xlnm._FilterDatabase" localSheetId="0" hidden="1">RM!$A$2:$H$726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001" i="27" l="1"/>
  <c r="AK1001" i="27"/>
  <c r="AE1001" i="27"/>
  <c r="AD1001" i="27"/>
  <c r="AC1001" i="27"/>
  <c r="AA1001" i="27"/>
  <c r="Z1001" i="27"/>
  <c r="Y1001" i="27"/>
  <c r="AB1001" i="27" s="1"/>
  <c r="Q1001" i="27"/>
  <c r="L1001" i="27"/>
  <c r="F1001" i="27"/>
  <c r="E1001" i="27"/>
  <c r="AL1000" i="27"/>
  <c r="AK1000" i="27"/>
  <c r="AE1000" i="27"/>
  <c r="AD1000" i="27"/>
  <c r="AC1000" i="27"/>
  <c r="AA1000" i="27"/>
  <c r="Z1000" i="27"/>
  <c r="Y1000" i="27"/>
  <c r="AB1000" i="27" s="1"/>
  <c r="Q1000" i="27"/>
  <c r="L1000" i="27"/>
  <c r="F1000" i="27"/>
  <c r="E1000" i="27"/>
  <c r="AL999" i="27"/>
  <c r="AK999" i="27"/>
  <c r="AE999" i="27"/>
  <c r="AD999" i="27"/>
  <c r="AC999" i="27"/>
  <c r="AA999" i="27"/>
  <c r="Z999" i="27"/>
  <c r="Y999" i="27"/>
  <c r="Q999" i="27"/>
  <c r="L999" i="27"/>
  <c r="F999" i="27"/>
  <c r="E999" i="27"/>
  <c r="AL998" i="27"/>
  <c r="AK998" i="27"/>
  <c r="AE998" i="27"/>
  <c r="AD998" i="27"/>
  <c r="AC998" i="27"/>
  <c r="AA998" i="27"/>
  <c r="Z998" i="27"/>
  <c r="Y998" i="27"/>
  <c r="Q998" i="27"/>
  <c r="L998" i="27"/>
  <c r="F998" i="27"/>
  <c r="E998" i="27"/>
  <c r="AL997" i="27"/>
  <c r="AK997" i="27"/>
  <c r="AE997" i="27"/>
  <c r="AD997" i="27"/>
  <c r="AC997" i="27"/>
  <c r="AA997" i="27"/>
  <c r="Z997" i="27"/>
  <c r="Y997" i="27"/>
  <c r="AB997" i="27" s="1"/>
  <c r="Q997" i="27"/>
  <c r="L997" i="27"/>
  <c r="F997" i="27"/>
  <c r="E997" i="27"/>
  <c r="AL996" i="27"/>
  <c r="AK996" i="27"/>
  <c r="AE996" i="27"/>
  <c r="AD996" i="27"/>
  <c r="AC996" i="27"/>
  <c r="AA996" i="27"/>
  <c r="Z996" i="27"/>
  <c r="Y996" i="27"/>
  <c r="AB996" i="27" s="1"/>
  <c r="Q996" i="27"/>
  <c r="L996" i="27"/>
  <c r="F996" i="27"/>
  <c r="E996" i="27"/>
  <c r="AL995" i="27"/>
  <c r="AK995" i="27"/>
  <c r="AE995" i="27"/>
  <c r="AD995" i="27"/>
  <c r="AC995" i="27"/>
  <c r="AA995" i="27"/>
  <c r="Z995" i="27"/>
  <c r="Y995" i="27"/>
  <c r="Q995" i="27"/>
  <c r="L995" i="27"/>
  <c r="F995" i="27"/>
  <c r="E995" i="27"/>
  <c r="AL994" i="27"/>
  <c r="AK994" i="27"/>
  <c r="AE994" i="27"/>
  <c r="AD994" i="27"/>
  <c r="AC994" i="27"/>
  <c r="AA994" i="27"/>
  <c r="Z994" i="27"/>
  <c r="Y994" i="27"/>
  <c r="Q994" i="27"/>
  <c r="L994" i="27"/>
  <c r="F994" i="27"/>
  <c r="E994" i="27"/>
  <c r="AL993" i="27"/>
  <c r="AK993" i="27"/>
  <c r="AE993" i="27"/>
  <c r="AD993" i="27"/>
  <c r="AC993" i="27"/>
  <c r="AA993" i="27"/>
  <c r="Z993" i="27"/>
  <c r="Y993" i="27"/>
  <c r="AB993" i="27" s="1"/>
  <c r="Q993" i="27"/>
  <c r="L993" i="27"/>
  <c r="F993" i="27"/>
  <c r="E993" i="27"/>
  <c r="AL992" i="27"/>
  <c r="AK992" i="27"/>
  <c r="AE992" i="27"/>
  <c r="AD992" i="27"/>
  <c r="AC992" i="27"/>
  <c r="AA992" i="27"/>
  <c r="Z992" i="27"/>
  <c r="Y992" i="27"/>
  <c r="AB992" i="27" s="1"/>
  <c r="Q992" i="27"/>
  <c r="L992" i="27"/>
  <c r="F992" i="27"/>
  <c r="E992" i="27"/>
  <c r="AL991" i="27"/>
  <c r="AK991" i="27"/>
  <c r="AE991" i="27"/>
  <c r="AD991" i="27"/>
  <c r="AC991" i="27"/>
  <c r="AA991" i="27"/>
  <c r="Z991" i="27"/>
  <c r="Y991" i="27"/>
  <c r="Q991" i="27"/>
  <c r="L991" i="27"/>
  <c r="F991" i="27"/>
  <c r="E991" i="27"/>
  <c r="AL990" i="27"/>
  <c r="AK990" i="27"/>
  <c r="AE990" i="27"/>
  <c r="AD990" i="27"/>
  <c r="AC990" i="27"/>
  <c r="AA990" i="27"/>
  <c r="Z990" i="27"/>
  <c r="Y990" i="27"/>
  <c r="Q990" i="27"/>
  <c r="L990" i="27"/>
  <c r="F990" i="27"/>
  <c r="E990" i="27"/>
  <c r="AL989" i="27"/>
  <c r="AK989" i="27"/>
  <c r="AE989" i="27"/>
  <c r="AD989" i="27"/>
  <c r="AC989" i="27"/>
  <c r="AA989" i="27"/>
  <c r="Z989" i="27"/>
  <c r="Y989" i="27"/>
  <c r="AB989" i="27" s="1"/>
  <c r="Q989" i="27"/>
  <c r="L989" i="27"/>
  <c r="F989" i="27"/>
  <c r="E989" i="27"/>
  <c r="AL988" i="27"/>
  <c r="AK988" i="27"/>
  <c r="AE988" i="27"/>
  <c r="AD988" i="27"/>
  <c r="AC988" i="27"/>
  <c r="AA988" i="27"/>
  <c r="Z988" i="27"/>
  <c r="Y988" i="27"/>
  <c r="Q988" i="27"/>
  <c r="L988" i="27"/>
  <c r="F988" i="27"/>
  <c r="E988" i="27"/>
  <c r="AL987" i="27"/>
  <c r="AK987" i="27"/>
  <c r="AE987" i="27"/>
  <c r="AD987" i="27"/>
  <c r="AC987" i="27"/>
  <c r="AA987" i="27"/>
  <c r="Z987" i="27"/>
  <c r="Y987" i="27"/>
  <c r="Q987" i="27"/>
  <c r="L987" i="27"/>
  <c r="F987" i="27"/>
  <c r="E987" i="27"/>
  <c r="AL986" i="27"/>
  <c r="AK986" i="27"/>
  <c r="AE986" i="27"/>
  <c r="AD986" i="27"/>
  <c r="AC986" i="27"/>
  <c r="AA986" i="27"/>
  <c r="Z986" i="27"/>
  <c r="Y986" i="27"/>
  <c r="Q986" i="27"/>
  <c r="L986" i="27"/>
  <c r="F986" i="27"/>
  <c r="E986" i="27"/>
  <c r="AL985" i="27"/>
  <c r="AK985" i="27"/>
  <c r="AE985" i="27"/>
  <c r="AD985" i="27"/>
  <c r="AC985" i="27"/>
  <c r="AA985" i="27"/>
  <c r="Z985" i="27"/>
  <c r="Y985" i="27"/>
  <c r="AB985" i="27" s="1"/>
  <c r="Q985" i="27"/>
  <c r="L985" i="27"/>
  <c r="F985" i="27"/>
  <c r="E985" i="27"/>
  <c r="AL984" i="27"/>
  <c r="AK984" i="27"/>
  <c r="AE984" i="27"/>
  <c r="AD984" i="27"/>
  <c r="AC984" i="27"/>
  <c r="AA984" i="27"/>
  <c r="Z984" i="27"/>
  <c r="Y984" i="27"/>
  <c r="Q984" i="27"/>
  <c r="L984" i="27"/>
  <c r="F984" i="27"/>
  <c r="E984" i="27"/>
  <c r="AL983" i="27"/>
  <c r="AK983" i="27"/>
  <c r="AE983" i="27"/>
  <c r="AD983" i="27"/>
  <c r="AC983" i="27"/>
  <c r="AA983" i="27"/>
  <c r="Z983" i="27"/>
  <c r="Y983" i="27"/>
  <c r="Q983" i="27"/>
  <c r="L983" i="27"/>
  <c r="F983" i="27"/>
  <c r="E983" i="27"/>
  <c r="AL982" i="27"/>
  <c r="AK982" i="27"/>
  <c r="AE982" i="27"/>
  <c r="AD982" i="27"/>
  <c r="AC982" i="27"/>
  <c r="AA982" i="27"/>
  <c r="Z982" i="27"/>
  <c r="Y982" i="27"/>
  <c r="Q982" i="27"/>
  <c r="L982" i="27"/>
  <c r="F982" i="27"/>
  <c r="E982" i="27"/>
  <c r="AL981" i="27"/>
  <c r="AK981" i="27"/>
  <c r="AE981" i="27"/>
  <c r="AD981" i="27"/>
  <c r="AC981" i="27"/>
  <c r="AA981" i="27"/>
  <c r="Z981" i="27"/>
  <c r="Y981" i="27"/>
  <c r="AB981" i="27" s="1"/>
  <c r="Q981" i="27"/>
  <c r="L981" i="27"/>
  <c r="F981" i="27"/>
  <c r="E981" i="27"/>
  <c r="AL980" i="27"/>
  <c r="AK980" i="27"/>
  <c r="AE980" i="27"/>
  <c r="AD980" i="27"/>
  <c r="AC980" i="27"/>
  <c r="AA980" i="27"/>
  <c r="Z980" i="27"/>
  <c r="Y980" i="27"/>
  <c r="Q980" i="27"/>
  <c r="L980" i="27"/>
  <c r="F980" i="27"/>
  <c r="E980" i="27"/>
  <c r="AL979" i="27"/>
  <c r="AK979" i="27"/>
  <c r="AE979" i="27"/>
  <c r="AD979" i="27"/>
  <c r="AC979" i="27"/>
  <c r="AA979" i="27"/>
  <c r="Z979" i="27"/>
  <c r="Y979" i="27"/>
  <c r="Q979" i="27"/>
  <c r="L979" i="27"/>
  <c r="F979" i="27"/>
  <c r="E979" i="27"/>
  <c r="AL978" i="27"/>
  <c r="AK978" i="27"/>
  <c r="AE978" i="27"/>
  <c r="AD978" i="27"/>
  <c r="AC978" i="27"/>
  <c r="AA978" i="27"/>
  <c r="Z978" i="27"/>
  <c r="Y978" i="27"/>
  <c r="Q978" i="27"/>
  <c r="L978" i="27"/>
  <c r="F978" i="27"/>
  <c r="E978" i="27"/>
  <c r="AL977" i="27"/>
  <c r="AK977" i="27"/>
  <c r="AE977" i="27"/>
  <c r="AD977" i="27"/>
  <c r="AC977" i="27"/>
  <c r="AA977" i="27"/>
  <c r="Z977" i="27"/>
  <c r="Y977" i="27"/>
  <c r="AB977" i="27" s="1"/>
  <c r="Q977" i="27"/>
  <c r="L977" i="27"/>
  <c r="F977" i="27"/>
  <c r="E977" i="27"/>
  <c r="AL976" i="27"/>
  <c r="AK976" i="27"/>
  <c r="AE976" i="27"/>
  <c r="AD976" i="27"/>
  <c r="AC976" i="27"/>
  <c r="AA976" i="27"/>
  <c r="Z976" i="27"/>
  <c r="Y976" i="27"/>
  <c r="Q976" i="27"/>
  <c r="L976" i="27"/>
  <c r="F976" i="27"/>
  <c r="E976" i="27"/>
  <c r="AL975" i="27"/>
  <c r="AK975" i="27"/>
  <c r="AE975" i="27"/>
  <c r="AD975" i="27"/>
  <c r="AC975" i="27"/>
  <c r="AA975" i="27"/>
  <c r="Z975" i="27"/>
  <c r="Y975" i="27"/>
  <c r="Q975" i="27"/>
  <c r="L975" i="27"/>
  <c r="F975" i="27"/>
  <c r="E975" i="27"/>
  <c r="AL974" i="27"/>
  <c r="AK974" i="27"/>
  <c r="AE974" i="27"/>
  <c r="AD974" i="27"/>
  <c r="AC974" i="27"/>
  <c r="AA974" i="27"/>
  <c r="Z974" i="27"/>
  <c r="Y974" i="27"/>
  <c r="Q974" i="27"/>
  <c r="L974" i="27"/>
  <c r="F974" i="27"/>
  <c r="E974" i="27"/>
  <c r="AL973" i="27"/>
  <c r="AK973" i="27"/>
  <c r="AE973" i="27"/>
  <c r="AD973" i="27"/>
  <c r="AC973" i="27"/>
  <c r="AA973" i="27"/>
  <c r="Z973" i="27"/>
  <c r="Y973" i="27"/>
  <c r="AB973" i="27" s="1"/>
  <c r="Q973" i="27"/>
  <c r="L973" i="27"/>
  <c r="F973" i="27"/>
  <c r="E973" i="27"/>
  <c r="AL972" i="27"/>
  <c r="AK972" i="27"/>
  <c r="AE972" i="27"/>
  <c r="AD972" i="27"/>
  <c r="AC972" i="27"/>
  <c r="AA972" i="27"/>
  <c r="Z972" i="27"/>
  <c r="Y972" i="27"/>
  <c r="Q972" i="27"/>
  <c r="L972" i="27"/>
  <c r="F972" i="27"/>
  <c r="E972" i="27"/>
  <c r="AL971" i="27"/>
  <c r="AK971" i="27"/>
  <c r="AE971" i="27"/>
  <c r="AD971" i="27"/>
  <c r="AC971" i="27"/>
  <c r="AA971" i="27"/>
  <c r="Z971" i="27"/>
  <c r="Y971" i="27"/>
  <c r="Q971" i="27"/>
  <c r="L971" i="27"/>
  <c r="F971" i="27"/>
  <c r="E971" i="27"/>
  <c r="AL970" i="27"/>
  <c r="AK970" i="27"/>
  <c r="AE970" i="27"/>
  <c r="AD970" i="27"/>
  <c r="AC970" i="27"/>
  <c r="AA970" i="27"/>
  <c r="Z970" i="27"/>
  <c r="Y970" i="27"/>
  <c r="Q970" i="27"/>
  <c r="L970" i="27"/>
  <c r="F970" i="27"/>
  <c r="E970" i="27"/>
  <c r="AL969" i="27"/>
  <c r="AK969" i="27"/>
  <c r="AE969" i="27"/>
  <c r="AD969" i="27"/>
  <c r="AC969" i="27"/>
  <c r="AA969" i="27"/>
  <c r="Z969" i="27"/>
  <c r="Y969" i="27"/>
  <c r="AB969" i="27" s="1"/>
  <c r="Q969" i="27"/>
  <c r="L969" i="27"/>
  <c r="F969" i="27"/>
  <c r="E969" i="27"/>
  <c r="AL968" i="27"/>
  <c r="AK968" i="27"/>
  <c r="AE968" i="27"/>
  <c r="AD968" i="27"/>
  <c r="AC968" i="27"/>
  <c r="AA968" i="27"/>
  <c r="Z968" i="27"/>
  <c r="Y968" i="27"/>
  <c r="Q968" i="27"/>
  <c r="L968" i="27"/>
  <c r="F968" i="27"/>
  <c r="E968" i="27"/>
  <c r="AL967" i="27"/>
  <c r="AK967" i="27"/>
  <c r="AE967" i="27"/>
  <c r="AD967" i="27"/>
  <c r="AC967" i="27"/>
  <c r="AA967" i="27"/>
  <c r="Z967" i="27"/>
  <c r="Y967" i="27"/>
  <c r="Q967" i="27"/>
  <c r="L967" i="27"/>
  <c r="F967" i="27"/>
  <c r="E967" i="27"/>
  <c r="AL966" i="27"/>
  <c r="AK966" i="27"/>
  <c r="AE966" i="27"/>
  <c r="AD966" i="27"/>
  <c r="AC966" i="27"/>
  <c r="AA966" i="27"/>
  <c r="Z966" i="27"/>
  <c r="Y966" i="27"/>
  <c r="Q966" i="27"/>
  <c r="L966" i="27"/>
  <c r="F966" i="27"/>
  <c r="E966" i="27"/>
  <c r="AL965" i="27"/>
  <c r="AK965" i="27"/>
  <c r="AE965" i="27"/>
  <c r="AD965" i="27"/>
  <c r="AC965" i="27"/>
  <c r="AA965" i="27"/>
  <c r="Z965" i="27"/>
  <c r="Y965" i="27"/>
  <c r="AB965" i="27" s="1"/>
  <c r="Q965" i="27"/>
  <c r="L965" i="27"/>
  <c r="F965" i="27"/>
  <c r="E965" i="27"/>
  <c r="AL964" i="27"/>
  <c r="AK964" i="27"/>
  <c r="AE964" i="27"/>
  <c r="AD964" i="27"/>
  <c r="AC964" i="27"/>
  <c r="AA964" i="27"/>
  <c r="Z964" i="27"/>
  <c r="Y964" i="27"/>
  <c r="Q964" i="27"/>
  <c r="L964" i="27"/>
  <c r="F964" i="27"/>
  <c r="E964" i="27"/>
  <c r="AL963" i="27"/>
  <c r="AK963" i="27"/>
  <c r="AE963" i="27"/>
  <c r="AD963" i="27"/>
  <c r="AC963" i="27"/>
  <c r="AA963" i="27"/>
  <c r="Z963" i="27"/>
  <c r="Y963" i="27"/>
  <c r="Q963" i="27"/>
  <c r="L963" i="27"/>
  <c r="F963" i="27"/>
  <c r="E963" i="27"/>
  <c r="AL962" i="27"/>
  <c r="AK962" i="27"/>
  <c r="AE962" i="27"/>
  <c r="AD962" i="27"/>
  <c r="AC962" i="27"/>
  <c r="AA962" i="27"/>
  <c r="Z962" i="27"/>
  <c r="Y962" i="27"/>
  <c r="Q962" i="27"/>
  <c r="L962" i="27"/>
  <c r="F962" i="27"/>
  <c r="E962" i="27"/>
  <c r="AL961" i="27"/>
  <c r="AK961" i="27"/>
  <c r="AE961" i="27"/>
  <c r="AD961" i="27"/>
  <c r="AC961" i="27"/>
  <c r="AA961" i="27"/>
  <c r="Z961" i="27"/>
  <c r="Y961" i="27"/>
  <c r="AB961" i="27" s="1"/>
  <c r="Q961" i="27"/>
  <c r="L961" i="27"/>
  <c r="F961" i="27"/>
  <c r="E961" i="27"/>
  <c r="AL960" i="27"/>
  <c r="AK960" i="27"/>
  <c r="AE960" i="27"/>
  <c r="AD960" i="27"/>
  <c r="AC960" i="27"/>
  <c r="AA960" i="27"/>
  <c r="Z960" i="27"/>
  <c r="Y960" i="27"/>
  <c r="Q960" i="27"/>
  <c r="L960" i="27"/>
  <c r="F960" i="27"/>
  <c r="E960" i="27"/>
  <c r="AL959" i="27"/>
  <c r="AK959" i="27"/>
  <c r="AE959" i="27"/>
  <c r="AD959" i="27"/>
  <c r="AC959" i="27"/>
  <c r="AA959" i="27"/>
  <c r="Z959" i="27"/>
  <c r="Y959" i="27"/>
  <c r="Q959" i="27"/>
  <c r="L959" i="27"/>
  <c r="F959" i="27"/>
  <c r="E959" i="27"/>
  <c r="AL958" i="27"/>
  <c r="AK958" i="27"/>
  <c r="AE958" i="27"/>
  <c r="AD958" i="27"/>
  <c r="AC958" i="27"/>
  <c r="AA958" i="27"/>
  <c r="Z958" i="27"/>
  <c r="Y958" i="27"/>
  <c r="Q958" i="27"/>
  <c r="L958" i="27"/>
  <c r="F958" i="27"/>
  <c r="E958" i="27"/>
  <c r="AL957" i="27"/>
  <c r="AK957" i="27"/>
  <c r="AE957" i="27"/>
  <c r="AD957" i="27"/>
  <c r="AC957" i="27"/>
  <c r="AA957" i="27"/>
  <c r="Z957" i="27"/>
  <c r="Y957" i="27"/>
  <c r="AB957" i="27" s="1"/>
  <c r="Q957" i="27"/>
  <c r="L957" i="27"/>
  <c r="F957" i="27"/>
  <c r="E957" i="27"/>
  <c r="AL956" i="27"/>
  <c r="AK956" i="27"/>
  <c r="AE956" i="27"/>
  <c r="AD956" i="27"/>
  <c r="AC956" i="27"/>
  <c r="AA956" i="27"/>
  <c r="Z956" i="27"/>
  <c r="Y956" i="27"/>
  <c r="Q956" i="27"/>
  <c r="L956" i="27"/>
  <c r="F956" i="27"/>
  <c r="E956" i="27"/>
  <c r="AL955" i="27"/>
  <c r="AK955" i="27"/>
  <c r="AE955" i="27"/>
  <c r="AD955" i="27"/>
  <c r="AC955" i="27"/>
  <c r="AA955" i="27"/>
  <c r="Z955" i="27"/>
  <c r="Y955" i="27"/>
  <c r="Q955" i="27"/>
  <c r="L955" i="27"/>
  <c r="F955" i="27"/>
  <c r="E955" i="27"/>
  <c r="AL954" i="27"/>
  <c r="AK954" i="27"/>
  <c r="AE954" i="27"/>
  <c r="AD954" i="27"/>
  <c r="AC954" i="27"/>
  <c r="AA954" i="27"/>
  <c r="Z954" i="27"/>
  <c r="Y954" i="27"/>
  <c r="Q954" i="27"/>
  <c r="L954" i="27"/>
  <c r="F954" i="27"/>
  <c r="E954" i="27"/>
  <c r="AL953" i="27"/>
  <c r="AK953" i="27"/>
  <c r="AE953" i="27"/>
  <c r="AD953" i="27"/>
  <c r="AC953" i="27"/>
  <c r="AA953" i="27"/>
  <c r="Z953" i="27"/>
  <c r="Y953" i="27"/>
  <c r="AB953" i="27" s="1"/>
  <c r="Q953" i="27"/>
  <c r="L953" i="27"/>
  <c r="F953" i="27"/>
  <c r="E953" i="27"/>
  <c r="AL952" i="27"/>
  <c r="AK952" i="27"/>
  <c r="AE952" i="27"/>
  <c r="AD952" i="27"/>
  <c r="AC952" i="27"/>
  <c r="AA952" i="27"/>
  <c r="Z952" i="27"/>
  <c r="Y952" i="27"/>
  <c r="Q952" i="27"/>
  <c r="L952" i="27"/>
  <c r="F952" i="27"/>
  <c r="E952" i="27"/>
  <c r="AL951" i="27"/>
  <c r="AK951" i="27"/>
  <c r="AE951" i="27"/>
  <c r="AD951" i="27"/>
  <c r="AC951" i="27"/>
  <c r="AA951" i="27"/>
  <c r="Z951" i="27"/>
  <c r="Y951" i="27"/>
  <c r="Q951" i="27"/>
  <c r="L951" i="27"/>
  <c r="F951" i="27"/>
  <c r="E951" i="27"/>
  <c r="AL950" i="27"/>
  <c r="AK950" i="27"/>
  <c r="AE950" i="27"/>
  <c r="AD950" i="27"/>
  <c r="AC950" i="27"/>
  <c r="AA950" i="27"/>
  <c r="Z950" i="27"/>
  <c r="Y950" i="27"/>
  <c r="Q950" i="27"/>
  <c r="L950" i="27"/>
  <c r="F950" i="27"/>
  <c r="E950" i="27"/>
  <c r="AL949" i="27"/>
  <c r="AK949" i="27"/>
  <c r="AE949" i="27"/>
  <c r="AD949" i="27"/>
  <c r="AC949" i="27"/>
  <c r="AA949" i="27"/>
  <c r="Z949" i="27"/>
  <c r="Y949" i="27"/>
  <c r="AB949" i="27" s="1"/>
  <c r="Q949" i="27"/>
  <c r="L949" i="27"/>
  <c r="F949" i="27"/>
  <c r="E949" i="27"/>
  <c r="AL948" i="27"/>
  <c r="AK948" i="27"/>
  <c r="AE948" i="27"/>
  <c r="AD948" i="27"/>
  <c r="AC948" i="27"/>
  <c r="AA948" i="27"/>
  <c r="Z948" i="27"/>
  <c r="Y948" i="27"/>
  <c r="Q948" i="27"/>
  <c r="L948" i="27"/>
  <c r="F948" i="27"/>
  <c r="E948" i="27"/>
  <c r="AL947" i="27"/>
  <c r="AK947" i="27"/>
  <c r="AE947" i="27"/>
  <c r="AD947" i="27"/>
  <c r="AC947" i="27"/>
  <c r="AA947" i="27"/>
  <c r="Z947" i="27"/>
  <c r="Y947" i="27"/>
  <c r="Q947" i="27"/>
  <c r="L947" i="27"/>
  <c r="F947" i="27"/>
  <c r="E947" i="27"/>
  <c r="AL946" i="27"/>
  <c r="AK946" i="27"/>
  <c r="AE946" i="27"/>
  <c r="AD946" i="27"/>
  <c r="AC946" i="27"/>
  <c r="AA946" i="27"/>
  <c r="Z946" i="27"/>
  <c r="Y946" i="27"/>
  <c r="Q946" i="27"/>
  <c r="L946" i="27"/>
  <c r="F946" i="27"/>
  <c r="E946" i="27"/>
  <c r="AL945" i="27"/>
  <c r="AK945" i="27"/>
  <c r="AE945" i="27"/>
  <c r="AD945" i="27"/>
  <c r="AC945" i="27"/>
  <c r="AA945" i="27"/>
  <c r="Z945" i="27"/>
  <c r="Y945" i="27"/>
  <c r="AB945" i="27" s="1"/>
  <c r="Q945" i="27"/>
  <c r="L945" i="27"/>
  <c r="F945" i="27"/>
  <c r="E945" i="27"/>
  <c r="AL944" i="27"/>
  <c r="AK944" i="27"/>
  <c r="AE944" i="27"/>
  <c r="AD944" i="27"/>
  <c r="AC944" i="27"/>
  <c r="AA944" i="27"/>
  <c r="Z944" i="27"/>
  <c r="Y944" i="27"/>
  <c r="Q944" i="27"/>
  <c r="L944" i="27"/>
  <c r="F944" i="27"/>
  <c r="E944" i="27"/>
  <c r="AL943" i="27"/>
  <c r="AK943" i="27"/>
  <c r="AE943" i="27"/>
  <c r="AD943" i="27"/>
  <c r="AC943" i="27"/>
  <c r="AA943" i="27"/>
  <c r="Z943" i="27"/>
  <c r="Y943" i="27"/>
  <c r="Q943" i="27"/>
  <c r="L943" i="27"/>
  <c r="F943" i="27"/>
  <c r="E943" i="27"/>
  <c r="AL942" i="27"/>
  <c r="AK942" i="27"/>
  <c r="AE942" i="27"/>
  <c r="AD942" i="27"/>
  <c r="AC942" i="27"/>
  <c r="AA942" i="27"/>
  <c r="Z942" i="27"/>
  <c r="Y942" i="27"/>
  <c r="Q942" i="27"/>
  <c r="L942" i="27"/>
  <c r="F942" i="27"/>
  <c r="E942" i="27"/>
  <c r="AL941" i="27"/>
  <c r="AK941" i="27"/>
  <c r="AE941" i="27"/>
  <c r="AD941" i="27"/>
  <c r="AC941" i="27"/>
  <c r="AA941" i="27"/>
  <c r="Z941" i="27"/>
  <c r="Y941" i="27"/>
  <c r="AB941" i="27" s="1"/>
  <c r="Q941" i="27"/>
  <c r="L941" i="27"/>
  <c r="F941" i="27"/>
  <c r="E941" i="27"/>
  <c r="AL940" i="27"/>
  <c r="AK940" i="27"/>
  <c r="AE940" i="27"/>
  <c r="AD940" i="27"/>
  <c r="AC940" i="27"/>
  <c r="AA940" i="27"/>
  <c r="Z940" i="27"/>
  <c r="Y940" i="27"/>
  <c r="Q940" i="27"/>
  <c r="L940" i="27"/>
  <c r="F940" i="27"/>
  <c r="E940" i="27"/>
  <c r="AL939" i="27"/>
  <c r="AK939" i="27"/>
  <c r="AE939" i="27"/>
  <c r="AD939" i="27"/>
  <c r="AC939" i="27"/>
  <c r="AA939" i="27"/>
  <c r="Z939" i="27"/>
  <c r="Y939" i="27"/>
  <c r="Q939" i="27"/>
  <c r="L939" i="27"/>
  <c r="F939" i="27"/>
  <c r="E939" i="27"/>
  <c r="AL938" i="27"/>
  <c r="AK938" i="27"/>
  <c r="AE938" i="27"/>
  <c r="AD938" i="27"/>
  <c r="AC938" i="27"/>
  <c r="AA938" i="27"/>
  <c r="Z938" i="27"/>
  <c r="Y938" i="27"/>
  <c r="Q938" i="27"/>
  <c r="L938" i="27"/>
  <c r="F938" i="27"/>
  <c r="E938" i="27"/>
  <c r="AL937" i="27"/>
  <c r="AK937" i="27"/>
  <c r="AE937" i="27"/>
  <c r="AD937" i="27"/>
  <c r="AC937" i="27"/>
  <c r="AA937" i="27"/>
  <c r="Z937" i="27"/>
  <c r="Y937" i="27"/>
  <c r="AB937" i="27" s="1"/>
  <c r="Q937" i="27"/>
  <c r="L937" i="27"/>
  <c r="F937" i="27"/>
  <c r="E937" i="27"/>
  <c r="AL936" i="27"/>
  <c r="AK936" i="27"/>
  <c r="AE936" i="27"/>
  <c r="AD936" i="27"/>
  <c r="AC936" i="27"/>
  <c r="AA936" i="27"/>
  <c r="Z936" i="27"/>
  <c r="Y936" i="27"/>
  <c r="Q936" i="27"/>
  <c r="L936" i="27"/>
  <c r="F936" i="27"/>
  <c r="E936" i="27"/>
  <c r="AL935" i="27"/>
  <c r="AK935" i="27"/>
  <c r="AE935" i="27"/>
  <c r="AD935" i="27"/>
  <c r="AC935" i="27"/>
  <c r="AA935" i="27"/>
  <c r="Z935" i="27"/>
  <c r="Y935" i="27"/>
  <c r="Q935" i="27"/>
  <c r="L935" i="27"/>
  <c r="F935" i="27"/>
  <c r="E935" i="27"/>
  <c r="AL934" i="27"/>
  <c r="AK934" i="27"/>
  <c r="AE934" i="27"/>
  <c r="AD934" i="27"/>
  <c r="AC934" i="27"/>
  <c r="AA934" i="27"/>
  <c r="Z934" i="27"/>
  <c r="Y934" i="27"/>
  <c r="Q934" i="27"/>
  <c r="L934" i="27"/>
  <c r="F934" i="27"/>
  <c r="E934" i="27"/>
  <c r="AL933" i="27"/>
  <c r="AK933" i="27"/>
  <c r="AE933" i="27"/>
  <c r="AD933" i="27"/>
  <c r="AC933" i="27"/>
  <c r="AA933" i="27"/>
  <c r="Z933" i="27"/>
  <c r="Y933" i="27"/>
  <c r="AB933" i="27" s="1"/>
  <c r="Q933" i="27"/>
  <c r="L933" i="27"/>
  <c r="F933" i="27"/>
  <c r="E933" i="27"/>
  <c r="AL932" i="27"/>
  <c r="AK932" i="27"/>
  <c r="AE932" i="27"/>
  <c r="AD932" i="27"/>
  <c r="AC932" i="27"/>
  <c r="AA932" i="27"/>
  <c r="Z932" i="27"/>
  <c r="Y932" i="27"/>
  <c r="Q932" i="27"/>
  <c r="L932" i="27"/>
  <c r="F932" i="27"/>
  <c r="E932" i="27"/>
  <c r="AL931" i="27"/>
  <c r="AK931" i="27"/>
  <c r="AE931" i="27"/>
  <c r="AD931" i="27"/>
  <c r="AC931" i="27"/>
  <c r="AA931" i="27"/>
  <c r="Z931" i="27"/>
  <c r="Y931" i="27"/>
  <c r="Q931" i="27"/>
  <c r="L931" i="27"/>
  <c r="F931" i="27"/>
  <c r="E931" i="27"/>
  <c r="AL930" i="27"/>
  <c r="AK930" i="27"/>
  <c r="AE930" i="27"/>
  <c r="AD930" i="27"/>
  <c r="AC930" i="27"/>
  <c r="AA930" i="27"/>
  <c r="Z930" i="27"/>
  <c r="Y930" i="27"/>
  <c r="Q930" i="27"/>
  <c r="L930" i="27"/>
  <c r="F930" i="27"/>
  <c r="E930" i="27"/>
  <c r="AL929" i="27"/>
  <c r="AK929" i="27"/>
  <c r="AE929" i="27"/>
  <c r="AD929" i="27"/>
  <c r="AC929" i="27"/>
  <c r="AA929" i="27"/>
  <c r="Z929" i="27"/>
  <c r="Y929" i="27"/>
  <c r="AB929" i="27" s="1"/>
  <c r="Q929" i="27"/>
  <c r="L929" i="27"/>
  <c r="F929" i="27"/>
  <c r="E929" i="27"/>
  <c r="AL928" i="27"/>
  <c r="AK928" i="27"/>
  <c r="AE928" i="27"/>
  <c r="AD928" i="27"/>
  <c r="AC928" i="27"/>
  <c r="AA928" i="27"/>
  <c r="Z928" i="27"/>
  <c r="Y928" i="27"/>
  <c r="Q928" i="27"/>
  <c r="L928" i="27"/>
  <c r="F928" i="27"/>
  <c r="E928" i="27"/>
  <c r="AL927" i="27"/>
  <c r="AK927" i="27"/>
  <c r="AE927" i="27"/>
  <c r="AD927" i="27"/>
  <c r="AC927" i="27"/>
  <c r="AA927" i="27"/>
  <c r="Z927" i="27"/>
  <c r="Y927" i="27"/>
  <c r="Q927" i="27"/>
  <c r="L927" i="27"/>
  <c r="F927" i="27"/>
  <c r="E927" i="27"/>
  <c r="AL926" i="27"/>
  <c r="AK926" i="27"/>
  <c r="AE926" i="27"/>
  <c r="AD926" i="27"/>
  <c r="AC926" i="27"/>
  <c r="AA926" i="27"/>
  <c r="Z926" i="27"/>
  <c r="Y926" i="27"/>
  <c r="Q926" i="27"/>
  <c r="L926" i="27"/>
  <c r="F926" i="27"/>
  <c r="E926" i="27"/>
  <c r="AL925" i="27"/>
  <c r="AK925" i="27"/>
  <c r="AE925" i="27"/>
  <c r="AD925" i="27"/>
  <c r="AC925" i="27"/>
  <c r="AA925" i="27"/>
  <c r="Z925" i="27"/>
  <c r="Y925" i="27"/>
  <c r="AB925" i="27" s="1"/>
  <c r="Q925" i="27"/>
  <c r="L925" i="27"/>
  <c r="F925" i="27"/>
  <c r="E925" i="27"/>
  <c r="AL924" i="27"/>
  <c r="AK924" i="27"/>
  <c r="AE924" i="27"/>
  <c r="AD924" i="27"/>
  <c r="AC924" i="27"/>
  <c r="AA924" i="27"/>
  <c r="Z924" i="27"/>
  <c r="Y924" i="27"/>
  <c r="Q924" i="27"/>
  <c r="L924" i="27"/>
  <c r="F924" i="27"/>
  <c r="E924" i="27"/>
  <c r="AL923" i="27"/>
  <c r="AK923" i="27"/>
  <c r="AE923" i="27"/>
  <c r="AD923" i="27"/>
  <c r="AC923" i="27"/>
  <c r="AA923" i="27"/>
  <c r="Z923" i="27"/>
  <c r="Y923" i="27"/>
  <c r="Q923" i="27"/>
  <c r="L923" i="27"/>
  <c r="F923" i="27"/>
  <c r="E923" i="27"/>
  <c r="AL922" i="27"/>
  <c r="AK922" i="27"/>
  <c r="AE922" i="27"/>
  <c r="AD922" i="27"/>
  <c r="AC922" i="27"/>
  <c r="AA922" i="27"/>
  <c r="Z922" i="27"/>
  <c r="Y922" i="27"/>
  <c r="Q922" i="27"/>
  <c r="L922" i="27"/>
  <c r="F922" i="27"/>
  <c r="E922" i="27"/>
  <c r="AL921" i="27"/>
  <c r="AK921" i="27"/>
  <c r="AE921" i="27"/>
  <c r="AD921" i="27"/>
  <c r="AC921" i="27"/>
  <c r="AA921" i="27"/>
  <c r="Z921" i="27"/>
  <c r="Y921" i="27"/>
  <c r="AB921" i="27" s="1"/>
  <c r="Q921" i="27"/>
  <c r="L921" i="27"/>
  <c r="F921" i="27"/>
  <c r="E921" i="27"/>
  <c r="AL920" i="27"/>
  <c r="AK920" i="27"/>
  <c r="AE920" i="27"/>
  <c r="AD920" i="27"/>
  <c r="AC920" i="27"/>
  <c r="AA920" i="27"/>
  <c r="Z920" i="27"/>
  <c r="Y920" i="27"/>
  <c r="Q920" i="27"/>
  <c r="L920" i="27"/>
  <c r="F920" i="27"/>
  <c r="E920" i="27"/>
  <c r="AL919" i="27"/>
  <c r="AK919" i="27"/>
  <c r="AE919" i="27"/>
  <c r="AD919" i="27"/>
  <c r="AC919" i="27"/>
  <c r="AA919" i="27"/>
  <c r="Z919" i="27"/>
  <c r="Y919" i="27"/>
  <c r="Q919" i="27"/>
  <c r="L919" i="27"/>
  <c r="F919" i="27"/>
  <c r="E919" i="27"/>
  <c r="AL918" i="27"/>
  <c r="AK918" i="27"/>
  <c r="AE918" i="27"/>
  <c r="AD918" i="27"/>
  <c r="AC918" i="27"/>
  <c r="AA918" i="27"/>
  <c r="Z918" i="27"/>
  <c r="Y918" i="27"/>
  <c r="Q918" i="27"/>
  <c r="L918" i="27"/>
  <c r="F918" i="27"/>
  <c r="E918" i="27"/>
  <c r="AL917" i="27"/>
  <c r="AK917" i="27"/>
  <c r="AE917" i="27"/>
  <c r="AD917" i="27"/>
  <c r="AC917" i="27"/>
  <c r="AA917" i="27"/>
  <c r="Z917" i="27"/>
  <c r="Y917" i="27"/>
  <c r="AB917" i="27" s="1"/>
  <c r="Q917" i="27"/>
  <c r="L917" i="27"/>
  <c r="F917" i="27"/>
  <c r="E917" i="27"/>
  <c r="AL916" i="27"/>
  <c r="AK916" i="27"/>
  <c r="AE916" i="27"/>
  <c r="AD916" i="27"/>
  <c r="AC916" i="27"/>
  <c r="AA916" i="27"/>
  <c r="Z916" i="27"/>
  <c r="Y916" i="27"/>
  <c r="Q916" i="27"/>
  <c r="L916" i="27"/>
  <c r="F916" i="27"/>
  <c r="E916" i="27"/>
  <c r="AL915" i="27"/>
  <c r="AK915" i="27"/>
  <c r="AE915" i="27"/>
  <c r="AD915" i="27"/>
  <c r="AC915" i="27"/>
  <c r="AA915" i="27"/>
  <c r="Z915" i="27"/>
  <c r="Y915" i="27"/>
  <c r="Q915" i="27"/>
  <c r="L915" i="27"/>
  <c r="F915" i="27"/>
  <c r="E915" i="27"/>
  <c r="AL914" i="27"/>
  <c r="AK914" i="27"/>
  <c r="AE914" i="27"/>
  <c r="AD914" i="27"/>
  <c r="AC914" i="27"/>
  <c r="AA914" i="27"/>
  <c r="Z914" i="27"/>
  <c r="Y914" i="27"/>
  <c r="Q914" i="27"/>
  <c r="L914" i="27"/>
  <c r="F914" i="27"/>
  <c r="E914" i="27"/>
  <c r="AL913" i="27"/>
  <c r="AK913" i="27"/>
  <c r="AE913" i="27"/>
  <c r="AD913" i="27"/>
  <c r="AC913" i="27"/>
  <c r="AA913" i="27"/>
  <c r="Z913" i="27"/>
  <c r="Y913" i="27"/>
  <c r="AB913" i="27" s="1"/>
  <c r="Q913" i="27"/>
  <c r="L913" i="27"/>
  <c r="F913" i="27"/>
  <c r="E913" i="27"/>
  <c r="AL912" i="27"/>
  <c r="AK912" i="27"/>
  <c r="AE912" i="27"/>
  <c r="AD912" i="27"/>
  <c r="AC912" i="27"/>
  <c r="AA912" i="27"/>
  <c r="Z912" i="27"/>
  <c r="Y912" i="27"/>
  <c r="Q912" i="27"/>
  <c r="L912" i="27"/>
  <c r="F912" i="27"/>
  <c r="E912" i="27"/>
  <c r="AL911" i="27"/>
  <c r="AK911" i="27"/>
  <c r="AE911" i="27"/>
  <c r="AD911" i="27"/>
  <c r="AC911" i="27"/>
  <c r="AA911" i="27"/>
  <c r="Z911" i="27"/>
  <c r="Y911" i="27"/>
  <c r="Q911" i="27"/>
  <c r="L911" i="27"/>
  <c r="F911" i="27"/>
  <c r="E911" i="27"/>
  <c r="AL910" i="27"/>
  <c r="AK910" i="27"/>
  <c r="AE910" i="27"/>
  <c r="AD910" i="27"/>
  <c r="AC910" i="27"/>
  <c r="AA910" i="27"/>
  <c r="Z910" i="27"/>
  <c r="Y910" i="27"/>
  <c r="Q910" i="27"/>
  <c r="L910" i="27"/>
  <c r="F910" i="27"/>
  <c r="E910" i="27"/>
  <c r="AL909" i="27"/>
  <c r="AK909" i="27"/>
  <c r="AE909" i="27"/>
  <c r="AD909" i="27"/>
  <c r="AC909" i="27"/>
  <c r="AA909" i="27"/>
  <c r="Z909" i="27"/>
  <c r="Y909" i="27"/>
  <c r="AB909" i="27" s="1"/>
  <c r="Q909" i="27"/>
  <c r="L909" i="27"/>
  <c r="F909" i="27"/>
  <c r="E909" i="27"/>
  <c r="AL908" i="27"/>
  <c r="AK908" i="27"/>
  <c r="AE908" i="27"/>
  <c r="AD908" i="27"/>
  <c r="AC908" i="27"/>
  <c r="AA908" i="27"/>
  <c r="Z908" i="27"/>
  <c r="Y908" i="27"/>
  <c r="Q908" i="27"/>
  <c r="L908" i="27"/>
  <c r="F908" i="27"/>
  <c r="E908" i="27"/>
  <c r="AL907" i="27"/>
  <c r="AK907" i="27"/>
  <c r="AE907" i="27"/>
  <c r="AD907" i="27"/>
  <c r="AC907" i="27"/>
  <c r="AA907" i="27"/>
  <c r="Z907" i="27"/>
  <c r="Y907" i="27"/>
  <c r="Q907" i="27"/>
  <c r="L907" i="27"/>
  <c r="F907" i="27"/>
  <c r="E907" i="27"/>
  <c r="AL906" i="27"/>
  <c r="AK906" i="27"/>
  <c r="AE906" i="27"/>
  <c r="AD906" i="27"/>
  <c r="AC906" i="27"/>
  <c r="AA906" i="27"/>
  <c r="Z906" i="27"/>
  <c r="Y906" i="27"/>
  <c r="Q906" i="27"/>
  <c r="L906" i="27"/>
  <c r="F906" i="27"/>
  <c r="E906" i="27"/>
  <c r="AL905" i="27"/>
  <c r="AK905" i="27"/>
  <c r="AE905" i="27"/>
  <c r="AD905" i="27"/>
  <c r="AC905" i="27"/>
  <c r="AA905" i="27"/>
  <c r="Z905" i="27"/>
  <c r="Y905" i="27"/>
  <c r="AB905" i="27" s="1"/>
  <c r="Q905" i="27"/>
  <c r="L905" i="27"/>
  <c r="F905" i="27"/>
  <c r="E905" i="27"/>
  <c r="AL904" i="27"/>
  <c r="AK904" i="27"/>
  <c r="AE904" i="27"/>
  <c r="AD904" i="27"/>
  <c r="AC904" i="27"/>
  <c r="AA904" i="27"/>
  <c r="Z904" i="27"/>
  <c r="Y904" i="27"/>
  <c r="Q904" i="27"/>
  <c r="L904" i="27"/>
  <c r="F904" i="27"/>
  <c r="E904" i="27"/>
  <c r="AL903" i="27"/>
  <c r="AK903" i="27"/>
  <c r="AE903" i="27"/>
  <c r="AD903" i="27"/>
  <c r="AC903" i="27"/>
  <c r="AA903" i="27"/>
  <c r="Z903" i="27"/>
  <c r="Y903" i="27"/>
  <c r="Q903" i="27"/>
  <c r="L903" i="27"/>
  <c r="F903" i="27"/>
  <c r="E903" i="27"/>
  <c r="AL902" i="27"/>
  <c r="AK902" i="27"/>
  <c r="AE902" i="27"/>
  <c r="AD902" i="27"/>
  <c r="AC902" i="27"/>
  <c r="AA902" i="27"/>
  <c r="Z902" i="27"/>
  <c r="Y902" i="27"/>
  <c r="Q902" i="27"/>
  <c r="L902" i="27"/>
  <c r="F902" i="27"/>
  <c r="E902" i="27"/>
  <c r="AL901" i="27"/>
  <c r="AK901" i="27"/>
  <c r="AE901" i="27"/>
  <c r="AD901" i="27"/>
  <c r="AC901" i="27"/>
  <c r="AA901" i="27"/>
  <c r="Z901" i="27"/>
  <c r="Y901" i="27"/>
  <c r="AB901" i="27" s="1"/>
  <c r="Q901" i="27"/>
  <c r="L901" i="27"/>
  <c r="F901" i="27"/>
  <c r="E901" i="27"/>
  <c r="AL900" i="27"/>
  <c r="AK900" i="27"/>
  <c r="AE900" i="27"/>
  <c r="AD900" i="27"/>
  <c r="AC900" i="27"/>
  <c r="AA900" i="27"/>
  <c r="Z900" i="27"/>
  <c r="Y900" i="27"/>
  <c r="Q900" i="27"/>
  <c r="L900" i="27"/>
  <c r="F900" i="27"/>
  <c r="E900" i="27"/>
  <c r="AL899" i="27"/>
  <c r="AK899" i="27"/>
  <c r="AE899" i="27"/>
  <c r="AD899" i="27"/>
  <c r="AC899" i="27"/>
  <c r="AA899" i="27"/>
  <c r="Z899" i="27"/>
  <c r="Y899" i="27"/>
  <c r="Q899" i="27"/>
  <c r="L899" i="27"/>
  <c r="F899" i="27"/>
  <c r="E899" i="27"/>
  <c r="AL898" i="27"/>
  <c r="AK898" i="27"/>
  <c r="AE898" i="27"/>
  <c r="AD898" i="27"/>
  <c r="AC898" i="27"/>
  <c r="AA898" i="27"/>
  <c r="Z898" i="27"/>
  <c r="Y898" i="27"/>
  <c r="Q898" i="27"/>
  <c r="L898" i="27"/>
  <c r="F898" i="27"/>
  <c r="E898" i="27"/>
  <c r="AL897" i="27"/>
  <c r="AK897" i="27"/>
  <c r="AE897" i="27"/>
  <c r="AD897" i="27"/>
  <c r="AC897" i="27"/>
  <c r="AA897" i="27"/>
  <c r="Z897" i="27"/>
  <c r="Y897" i="27"/>
  <c r="AB897" i="27" s="1"/>
  <c r="Q897" i="27"/>
  <c r="L897" i="27"/>
  <c r="F897" i="27"/>
  <c r="E897" i="27"/>
  <c r="AL896" i="27"/>
  <c r="AK896" i="27"/>
  <c r="AE896" i="27"/>
  <c r="AD896" i="27"/>
  <c r="AC896" i="27"/>
  <c r="AA896" i="27"/>
  <c r="Z896" i="27"/>
  <c r="Y896" i="27"/>
  <c r="Q896" i="27"/>
  <c r="L896" i="27"/>
  <c r="F896" i="27"/>
  <c r="E896" i="27"/>
  <c r="AL895" i="27"/>
  <c r="AK895" i="27"/>
  <c r="AE895" i="27"/>
  <c r="AD895" i="27"/>
  <c r="AC895" i="27"/>
  <c r="AA895" i="27"/>
  <c r="Z895" i="27"/>
  <c r="Y895" i="27"/>
  <c r="Q895" i="27"/>
  <c r="L895" i="27"/>
  <c r="F895" i="27"/>
  <c r="E895" i="27"/>
  <c r="AL894" i="27"/>
  <c r="AK894" i="27"/>
  <c r="AE894" i="27"/>
  <c r="AD894" i="27"/>
  <c r="AC894" i="27"/>
  <c r="AA894" i="27"/>
  <c r="Z894" i="27"/>
  <c r="Y894" i="27"/>
  <c r="Q894" i="27"/>
  <c r="L894" i="27"/>
  <c r="F894" i="27"/>
  <c r="E894" i="27"/>
  <c r="AL893" i="27"/>
  <c r="AK893" i="27"/>
  <c r="AE893" i="27"/>
  <c r="AD893" i="27"/>
  <c r="AC893" i="27"/>
  <c r="AA893" i="27"/>
  <c r="Z893" i="27"/>
  <c r="Y893" i="27"/>
  <c r="AB893" i="27" s="1"/>
  <c r="Q893" i="27"/>
  <c r="L893" i="27"/>
  <c r="F893" i="27"/>
  <c r="E893" i="27"/>
  <c r="AL892" i="27"/>
  <c r="AK892" i="27"/>
  <c r="AE892" i="27"/>
  <c r="AD892" i="27"/>
  <c r="AC892" i="27"/>
  <c r="AA892" i="27"/>
  <c r="Z892" i="27"/>
  <c r="Y892" i="27"/>
  <c r="Q892" i="27"/>
  <c r="L892" i="27"/>
  <c r="F892" i="27"/>
  <c r="E892" i="27"/>
  <c r="AL891" i="27"/>
  <c r="AK891" i="27"/>
  <c r="AE891" i="27"/>
  <c r="AD891" i="27"/>
  <c r="AC891" i="27"/>
  <c r="AA891" i="27"/>
  <c r="Z891" i="27"/>
  <c r="Y891" i="27"/>
  <c r="Q891" i="27"/>
  <c r="L891" i="27"/>
  <c r="F891" i="27"/>
  <c r="E891" i="27"/>
  <c r="AL890" i="27"/>
  <c r="AK890" i="27"/>
  <c r="AE890" i="27"/>
  <c r="AD890" i="27"/>
  <c r="AC890" i="27"/>
  <c r="AA890" i="27"/>
  <c r="Z890" i="27"/>
  <c r="Y890" i="27"/>
  <c r="Q890" i="27"/>
  <c r="L890" i="27"/>
  <c r="F890" i="27"/>
  <c r="E890" i="27"/>
  <c r="AL889" i="27"/>
  <c r="AK889" i="27"/>
  <c r="AE889" i="27"/>
  <c r="AD889" i="27"/>
  <c r="AC889" i="27"/>
  <c r="AA889" i="27"/>
  <c r="Z889" i="27"/>
  <c r="Y889" i="27"/>
  <c r="AB889" i="27" s="1"/>
  <c r="Q889" i="27"/>
  <c r="L889" i="27"/>
  <c r="F889" i="27"/>
  <c r="E889" i="27"/>
  <c r="AL888" i="27"/>
  <c r="AK888" i="27"/>
  <c r="AE888" i="27"/>
  <c r="AD888" i="27"/>
  <c r="AC888" i="27"/>
  <c r="AA888" i="27"/>
  <c r="Z888" i="27"/>
  <c r="Y888" i="27"/>
  <c r="Q888" i="27"/>
  <c r="L888" i="27"/>
  <c r="F888" i="27"/>
  <c r="E888" i="27"/>
  <c r="AL887" i="27"/>
  <c r="AK887" i="27"/>
  <c r="AE887" i="27"/>
  <c r="AD887" i="27"/>
  <c r="AC887" i="27"/>
  <c r="AA887" i="27"/>
  <c r="Z887" i="27"/>
  <c r="Y887" i="27"/>
  <c r="Q887" i="27"/>
  <c r="L887" i="27"/>
  <c r="F887" i="27"/>
  <c r="E887" i="27"/>
  <c r="AL886" i="27"/>
  <c r="AK886" i="27"/>
  <c r="AE886" i="27"/>
  <c r="AD886" i="27"/>
  <c r="AC886" i="27"/>
  <c r="AA886" i="27"/>
  <c r="Z886" i="27"/>
  <c r="Y886" i="27"/>
  <c r="Q886" i="27"/>
  <c r="L886" i="27"/>
  <c r="F886" i="27"/>
  <c r="E886" i="27"/>
  <c r="AL885" i="27"/>
  <c r="AK885" i="27"/>
  <c r="AE885" i="27"/>
  <c r="AD885" i="27"/>
  <c r="AC885" i="27"/>
  <c r="AA885" i="27"/>
  <c r="Z885" i="27"/>
  <c r="Y885" i="27"/>
  <c r="AB885" i="27" s="1"/>
  <c r="Q885" i="27"/>
  <c r="L885" i="27"/>
  <c r="F885" i="27"/>
  <c r="E885" i="27"/>
  <c r="AL884" i="27"/>
  <c r="AK884" i="27"/>
  <c r="AE884" i="27"/>
  <c r="AD884" i="27"/>
  <c r="AC884" i="27"/>
  <c r="AA884" i="27"/>
  <c r="Z884" i="27"/>
  <c r="Y884" i="27"/>
  <c r="Q884" i="27"/>
  <c r="L884" i="27"/>
  <c r="F884" i="27"/>
  <c r="E884" i="27"/>
  <c r="AL883" i="27"/>
  <c r="AK883" i="27"/>
  <c r="AE883" i="27"/>
  <c r="AD883" i="27"/>
  <c r="AC883" i="27"/>
  <c r="AA883" i="27"/>
  <c r="Z883" i="27"/>
  <c r="Y883" i="27"/>
  <c r="Q883" i="27"/>
  <c r="L883" i="27"/>
  <c r="F883" i="27"/>
  <c r="E883" i="27"/>
  <c r="AL882" i="27"/>
  <c r="AK882" i="27"/>
  <c r="AE882" i="27"/>
  <c r="AD882" i="27"/>
  <c r="AC882" i="27"/>
  <c r="AA882" i="27"/>
  <c r="Z882" i="27"/>
  <c r="Y882" i="27"/>
  <c r="Q882" i="27"/>
  <c r="L882" i="27"/>
  <c r="F882" i="27"/>
  <c r="E882" i="27"/>
  <c r="AL881" i="27"/>
  <c r="AK881" i="27"/>
  <c r="AE881" i="27"/>
  <c r="AD881" i="27"/>
  <c r="AC881" i="27"/>
  <c r="AA881" i="27"/>
  <c r="Z881" i="27"/>
  <c r="Y881" i="27"/>
  <c r="AB881" i="27" s="1"/>
  <c r="Q881" i="27"/>
  <c r="L881" i="27"/>
  <c r="F881" i="27"/>
  <c r="E881" i="27"/>
  <c r="AL880" i="27"/>
  <c r="AK880" i="27"/>
  <c r="AE880" i="27"/>
  <c r="AD880" i="27"/>
  <c r="AC880" i="27"/>
  <c r="AA880" i="27"/>
  <c r="Z880" i="27"/>
  <c r="Y880" i="27"/>
  <c r="Q880" i="27"/>
  <c r="L880" i="27"/>
  <c r="F880" i="27"/>
  <c r="E880" i="27"/>
  <c r="AL879" i="27"/>
  <c r="AK879" i="27"/>
  <c r="AE879" i="27"/>
  <c r="AD879" i="27"/>
  <c r="AC879" i="27"/>
  <c r="AA879" i="27"/>
  <c r="Z879" i="27"/>
  <c r="Y879" i="27"/>
  <c r="Q879" i="27"/>
  <c r="L879" i="27"/>
  <c r="F879" i="27"/>
  <c r="E879" i="27"/>
  <c r="AL878" i="27"/>
  <c r="AK878" i="27"/>
  <c r="AE878" i="27"/>
  <c r="AD878" i="27"/>
  <c r="AC878" i="27"/>
  <c r="AA878" i="27"/>
  <c r="Z878" i="27"/>
  <c r="Y878" i="27"/>
  <c r="Q878" i="27"/>
  <c r="L878" i="27"/>
  <c r="F878" i="27"/>
  <c r="E878" i="27"/>
  <c r="AL877" i="27"/>
  <c r="AK877" i="27"/>
  <c r="AE877" i="27"/>
  <c r="AD877" i="27"/>
  <c r="AC877" i="27"/>
  <c r="AA877" i="27"/>
  <c r="Z877" i="27"/>
  <c r="Y877" i="27"/>
  <c r="AB877" i="27" s="1"/>
  <c r="Q877" i="27"/>
  <c r="L877" i="27"/>
  <c r="F877" i="27"/>
  <c r="E877" i="27"/>
  <c r="AL876" i="27"/>
  <c r="AK876" i="27"/>
  <c r="AE876" i="27"/>
  <c r="AD876" i="27"/>
  <c r="AC876" i="27"/>
  <c r="AA876" i="27"/>
  <c r="Z876" i="27"/>
  <c r="Y876" i="27"/>
  <c r="Q876" i="27"/>
  <c r="L876" i="27"/>
  <c r="F876" i="27"/>
  <c r="E876" i="27"/>
  <c r="AL875" i="27"/>
  <c r="AK875" i="27"/>
  <c r="AE875" i="27"/>
  <c r="AD875" i="27"/>
  <c r="AC875" i="27"/>
  <c r="AA875" i="27"/>
  <c r="Z875" i="27"/>
  <c r="Y875" i="27"/>
  <c r="Q875" i="27"/>
  <c r="L875" i="27"/>
  <c r="F875" i="27"/>
  <c r="E875" i="27"/>
  <c r="AL874" i="27"/>
  <c r="AK874" i="27"/>
  <c r="AE874" i="27"/>
  <c r="AD874" i="27"/>
  <c r="AC874" i="27"/>
  <c r="AA874" i="27"/>
  <c r="Z874" i="27"/>
  <c r="Y874" i="27"/>
  <c r="Q874" i="27"/>
  <c r="L874" i="27"/>
  <c r="F874" i="27"/>
  <c r="E874" i="27"/>
  <c r="AL873" i="27"/>
  <c r="AK873" i="27"/>
  <c r="AE873" i="27"/>
  <c r="AD873" i="27"/>
  <c r="AC873" i="27"/>
  <c r="AA873" i="27"/>
  <c r="Z873" i="27"/>
  <c r="Y873" i="27"/>
  <c r="AB873" i="27" s="1"/>
  <c r="Q873" i="27"/>
  <c r="L873" i="27"/>
  <c r="F873" i="27"/>
  <c r="E873" i="27"/>
  <c r="AL872" i="27"/>
  <c r="AK872" i="27"/>
  <c r="AE872" i="27"/>
  <c r="AD872" i="27"/>
  <c r="AC872" i="27"/>
  <c r="AA872" i="27"/>
  <c r="Z872" i="27"/>
  <c r="Y872" i="27"/>
  <c r="Q872" i="27"/>
  <c r="L872" i="27"/>
  <c r="F872" i="27"/>
  <c r="E872" i="27"/>
  <c r="AL871" i="27"/>
  <c r="AK871" i="27"/>
  <c r="AE871" i="27"/>
  <c r="AD871" i="27"/>
  <c r="AC871" i="27"/>
  <c r="AA871" i="27"/>
  <c r="Z871" i="27"/>
  <c r="Y871" i="27"/>
  <c r="Q871" i="27"/>
  <c r="L871" i="27"/>
  <c r="F871" i="27"/>
  <c r="E871" i="27"/>
  <c r="AL870" i="27"/>
  <c r="AK870" i="27"/>
  <c r="AE870" i="27"/>
  <c r="AD870" i="27"/>
  <c r="AC870" i="27"/>
  <c r="AA870" i="27"/>
  <c r="Z870" i="27"/>
  <c r="Y870" i="27"/>
  <c r="Q870" i="27"/>
  <c r="L870" i="27"/>
  <c r="F870" i="27"/>
  <c r="E870" i="27"/>
  <c r="AL869" i="27"/>
  <c r="AK869" i="27"/>
  <c r="AE869" i="27"/>
  <c r="AD869" i="27"/>
  <c r="AC869" i="27"/>
  <c r="AA869" i="27"/>
  <c r="Z869" i="27"/>
  <c r="Y869" i="27"/>
  <c r="AB869" i="27" s="1"/>
  <c r="Q869" i="27"/>
  <c r="L869" i="27"/>
  <c r="F869" i="27"/>
  <c r="E869" i="27"/>
  <c r="AL868" i="27"/>
  <c r="AK868" i="27"/>
  <c r="AE868" i="27"/>
  <c r="AD868" i="27"/>
  <c r="AC868" i="27"/>
  <c r="AA868" i="27"/>
  <c r="Z868" i="27"/>
  <c r="Y868" i="27"/>
  <c r="Q868" i="27"/>
  <c r="L868" i="27"/>
  <c r="F868" i="27"/>
  <c r="E868" i="27"/>
  <c r="AL867" i="27"/>
  <c r="AK867" i="27"/>
  <c r="AE867" i="27"/>
  <c r="AD867" i="27"/>
  <c r="AC867" i="27"/>
  <c r="AA867" i="27"/>
  <c r="Z867" i="27"/>
  <c r="Y867" i="27"/>
  <c r="Q867" i="27"/>
  <c r="L867" i="27"/>
  <c r="F867" i="27"/>
  <c r="E867" i="27"/>
  <c r="AL866" i="27"/>
  <c r="AK866" i="27"/>
  <c r="AE866" i="27"/>
  <c r="AD866" i="27"/>
  <c r="AC866" i="27"/>
  <c r="AA866" i="27"/>
  <c r="Z866" i="27"/>
  <c r="Y866" i="27"/>
  <c r="Q866" i="27"/>
  <c r="L866" i="27"/>
  <c r="F866" i="27"/>
  <c r="E866" i="27"/>
  <c r="AL865" i="27"/>
  <c r="AK865" i="27"/>
  <c r="AE865" i="27"/>
  <c r="AD865" i="27"/>
  <c r="AC865" i="27"/>
  <c r="AA865" i="27"/>
  <c r="Z865" i="27"/>
  <c r="Y865" i="27"/>
  <c r="AB865" i="27" s="1"/>
  <c r="Q865" i="27"/>
  <c r="L865" i="27"/>
  <c r="F865" i="27"/>
  <c r="E865" i="27"/>
  <c r="AL864" i="27"/>
  <c r="AK864" i="27"/>
  <c r="AE864" i="27"/>
  <c r="AD864" i="27"/>
  <c r="AC864" i="27"/>
  <c r="AA864" i="27"/>
  <c r="Z864" i="27"/>
  <c r="Y864" i="27"/>
  <c r="Q864" i="27"/>
  <c r="L864" i="27"/>
  <c r="F864" i="27"/>
  <c r="E864" i="27"/>
  <c r="AL863" i="27"/>
  <c r="AK863" i="27"/>
  <c r="AE863" i="27"/>
  <c r="AD863" i="27"/>
  <c r="AC863" i="27"/>
  <c r="AA863" i="27"/>
  <c r="Z863" i="27"/>
  <c r="Y863" i="27"/>
  <c r="Q863" i="27"/>
  <c r="L863" i="27"/>
  <c r="F863" i="27"/>
  <c r="E863" i="27"/>
  <c r="AL862" i="27"/>
  <c r="AK862" i="27"/>
  <c r="AE862" i="27"/>
  <c r="AD862" i="27"/>
  <c r="AC862" i="27"/>
  <c r="AA862" i="27"/>
  <c r="Z862" i="27"/>
  <c r="Y862" i="27"/>
  <c r="Q862" i="27"/>
  <c r="L862" i="27"/>
  <c r="F862" i="27"/>
  <c r="E862" i="27"/>
  <c r="AL861" i="27"/>
  <c r="AK861" i="27"/>
  <c r="AE861" i="27"/>
  <c r="AD861" i="27"/>
  <c r="AC861" i="27"/>
  <c r="AA861" i="27"/>
  <c r="Z861" i="27"/>
  <c r="Y861" i="27"/>
  <c r="AB861" i="27" s="1"/>
  <c r="Q861" i="27"/>
  <c r="L861" i="27"/>
  <c r="F861" i="27"/>
  <c r="E861" i="27"/>
  <c r="AL860" i="27"/>
  <c r="AK860" i="27"/>
  <c r="AE860" i="27"/>
  <c r="AD860" i="27"/>
  <c r="AC860" i="27"/>
  <c r="AA860" i="27"/>
  <c r="Z860" i="27"/>
  <c r="Y860" i="27"/>
  <c r="Q860" i="27"/>
  <c r="L860" i="27"/>
  <c r="F860" i="27"/>
  <c r="E860" i="27"/>
  <c r="AL859" i="27"/>
  <c r="AK859" i="27"/>
  <c r="AE859" i="27"/>
  <c r="AD859" i="27"/>
  <c r="AC859" i="27"/>
  <c r="AA859" i="27"/>
  <c r="Z859" i="27"/>
  <c r="Y859" i="27"/>
  <c r="Q859" i="27"/>
  <c r="L859" i="27"/>
  <c r="F859" i="27"/>
  <c r="E859" i="27"/>
  <c r="AL858" i="27"/>
  <c r="AK858" i="27"/>
  <c r="AE858" i="27"/>
  <c r="AD858" i="27"/>
  <c r="AC858" i="27"/>
  <c r="AA858" i="27"/>
  <c r="Z858" i="27"/>
  <c r="Y858" i="27"/>
  <c r="Q858" i="27"/>
  <c r="L858" i="27"/>
  <c r="F858" i="27"/>
  <c r="E858" i="27"/>
  <c r="AL857" i="27"/>
  <c r="AK857" i="27"/>
  <c r="AE857" i="27"/>
  <c r="AD857" i="27"/>
  <c r="AC857" i="27"/>
  <c r="AA857" i="27"/>
  <c r="Z857" i="27"/>
  <c r="Y857" i="27"/>
  <c r="AB857" i="27" s="1"/>
  <c r="Q857" i="27"/>
  <c r="L857" i="27"/>
  <c r="F857" i="27"/>
  <c r="E857" i="27"/>
  <c r="AL856" i="27"/>
  <c r="AK856" i="27"/>
  <c r="AE856" i="27"/>
  <c r="AD856" i="27"/>
  <c r="AC856" i="27"/>
  <c r="AA856" i="27"/>
  <c r="Z856" i="27"/>
  <c r="Y856" i="27"/>
  <c r="Q856" i="27"/>
  <c r="L856" i="27"/>
  <c r="F856" i="27"/>
  <c r="E856" i="27"/>
  <c r="AL855" i="27"/>
  <c r="AK855" i="27"/>
  <c r="AE855" i="27"/>
  <c r="AD855" i="27"/>
  <c r="AC855" i="27"/>
  <c r="AA855" i="27"/>
  <c r="Z855" i="27"/>
  <c r="Y855" i="27"/>
  <c r="Q855" i="27"/>
  <c r="L855" i="27"/>
  <c r="F855" i="27"/>
  <c r="E855" i="27"/>
  <c r="AL854" i="27"/>
  <c r="AK854" i="27"/>
  <c r="AE854" i="27"/>
  <c r="AD854" i="27"/>
  <c r="AC854" i="27"/>
  <c r="AA854" i="27"/>
  <c r="Z854" i="27"/>
  <c r="Y854" i="27"/>
  <c r="Q854" i="27"/>
  <c r="L854" i="27"/>
  <c r="F854" i="27"/>
  <c r="E854" i="27"/>
  <c r="AL853" i="27"/>
  <c r="AK853" i="27"/>
  <c r="AE853" i="27"/>
  <c r="AD853" i="27"/>
  <c r="AC853" i="27"/>
  <c r="AA853" i="27"/>
  <c r="Z853" i="27"/>
  <c r="Y853" i="27"/>
  <c r="AB853" i="27" s="1"/>
  <c r="Q853" i="27"/>
  <c r="L853" i="27"/>
  <c r="F853" i="27"/>
  <c r="E853" i="27"/>
  <c r="AL852" i="27"/>
  <c r="AK852" i="27"/>
  <c r="AE852" i="27"/>
  <c r="AD852" i="27"/>
  <c r="AC852" i="27"/>
  <c r="AA852" i="27"/>
  <c r="Z852" i="27"/>
  <c r="Y852" i="27"/>
  <c r="Q852" i="27"/>
  <c r="L852" i="27"/>
  <c r="F852" i="27"/>
  <c r="E852" i="27"/>
  <c r="AL851" i="27"/>
  <c r="AK851" i="27"/>
  <c r="AE851" i="27"/>
  <c r="AD851" i="27"/>
  <c r="AC851" i="27"/>
  <c r="AA851" i="27"/>
  <c r="Z851" i="27"/>
  <c r="Y851" i="27"/>
  <c r="Q851" i="27"/>
  <c r="L851" i="27"/>
  <c r="F851" i="27"/>
  <c r="E851" i="27"/>
  <c r="AL850" i="27"/>
  <c r="AK850" i="27"/>
  <c r="AE850" i="27"/>
  <c r="AD850" i="27"/>
  <c r="AC850" i="27"/>
  <c r="AA850" i="27"/>
  <c r="Z850" i="27"/>
  <c r="Y850" i="27"/>
  <c r="Q850" i="27"/>
  <c r="L850" i="27"/>
  <c r="F850" i="27"/>
  <c r="E850" i="27"/>
  <c r="AL849" i="27"/>
  <c r="AK849" i="27"/>
  <c r="AE849" i="27"/>
  <c r="AD849" i="27"/>
  <c r="AC849" i="27"/>
  <c r="AA849" i="27"/>
  <c r="Z849" i="27"/>
  <c r="Y849" i="27"/>
  <c r="AB849" i="27" s="1"/>
  <c r="Q849" i="27"/>
  <c r="L849" i="27"/>
  <c r="F849" i="27"/>
  <c r="E849" i="27"/>
  <c r="AL848" i="27"/>
  <c r="AK848" i="27"/>
  <c r="AE848" i="27"/>
  <c r="AD848" i="27"/>
  <c r="AC848" i="27"/>
  <c r="AA848" i="27"/>
  <c r="Z848" i="27"/>
  <c r="Y848" i="27"/>
  <c r="Q848" i="27"/>
  <c r="L848" i="27"/>
  <c r="F848" i="27"/>
  <c r="E848" i="27"/>
  <c r="AL847" i="27"/>
  <c r="AK847" i="27"/>
  <c r="AE847" i="27"/>
  <c r="AD847" i="27"/>
  <c r="AC847" i="27"/>
  <c r="AA847" i="27"/>
  <c r="Z847" i="27"/>
  <c r="Y847" i="27"/>
  <c r="Q847" i="27"/>
  <c r="L847" i="27"/>
  <c r="F847" i="27"/>
  <c r="E847" i="27"/>
  <c r="AL846" i="27"/>
  <c r="AK846" i="27"/>
  <c r="AE846" i="27"/>
  <c r="AD846" i="27"/>
  <c r="AC846" i="27"/>
  <c r="AA846" i="27"/>
  <c r="Z846" i="27"/>
  <c r="Y846" i="27"/>
  <c r="Q846" i="27"/>
  <c r="L846" i="27"/>
  <c r="F846" i="27"/>
  <c r="E846" i="27"/>
  <c r="AL845" i="27"/>
  <c r="AK845" i="27"/>
  <c r="AE845" i="27"/>
  <c r="AD845" i="27"/>
  <c r="AC845" i="27"/>
  <c r="AA845" i="27"/>
  <c r="Z845" i="27"/>
  <c r="Y845" i="27"/>
  <c r="AB845" i="27" s="1"/>
  <c r="Q845" i="27"/>
  <c r="L845" i="27"/>
  <c r="F845" i="27"/>
  <c r="E845" i="27"/>
  <c r="AL844" i="27"/>
  <c r="AK844" i="27"/>
  <c r="AE844" i="27"/>
  <c r="AD844" i="27"/>
  <c r="AC844" i="27"/>
  <c r="AA844" i="27"/>
  <c r="Z844" i="27"/>
  <c r="Y844" i="27"/>
  <c r="Q844" i="27"/>
  <c r="L844" i="27"/>
  <c r="F844" i="27"/>
  <c r="E844" i="27"/>
  <c r="AL843" i="27"/>
  <c r="AK843" i="27"/>
  <c r="AE843" i="27"/>
  <c r="AD843" i="27"/>
  <c r="AC843" i="27"/>
  <c r="AA843" i="27"/>
  <c r="Z843" i="27"/>
  <c r="Y843" i="27"/>
  <c r="Q843" i="27"/>
  <c r="L843" i="27"/>
  <c r="F843" i="27"/>
  <c r="E843" i="27"/>
  <c r="AL842" i="27"/>
  <c r="AK842" i="27"/>
  <c r="AE842" i="27"/>
  <c r="AD842" i="27"/>
  <c r="AC842" i="27"/>
  <c r="AA842" i="27"/>
  <c r="Z842" i="27"/>
  <c r="Y842" i="27"/>
  <c r="Q842" i="27"/>
  <c r="L842" i="27"/>
  <c r="F842" i="27"/>
  <c r="E842" i="27"/>
  <c r="AL841" i="27"/>
  <c r="AK841" i="27"/>
  <c r="AE841" i="27"/>
  <c r="AD841" i="27"/>
  <c r="AC841" i="27"/>
  <c r="AA841" i="27"/>
  <c r="Z841" i="27"/>
  <c r="Y841" i="27"/>
  <c r="AB841" i="27" s="1"/>
  <c r="Q841" i="27"/>
  <c r="L841" i="27"/>
  <c r="F841" i="27"/>
  <c r="E841" i="27"/>
  <c r="AL840" i="27"/>
  <c r="AK840" i="27"/>
  <c r="AE840" i="27"/>
  <c r="AD840" i="27"/>
  <c r="AC840" i="27"/>
  <c r="AA840" i="27"/>
  <c r="Z840" i="27"/>
  <c r="Y840" i="27"/>
  <c r="Q840" i="27"/>
  <c r="L840" i="27"/>
  <c r="F840" i="27"/>
  <c r="E840" i="27"/>
  <c r="AL839" i="27"/>
  <c r="AK839" i="27"/>
  <c r="AE839" i="27"/>
  <c r="AD839" i="27"/>
  <c r="AC839" i="27"/>
  <c r="AA839" i="27"/>
  <c r="Z839" i="27"/>
  <c r="Y839" i="27"/>
  <c r="Q839" i="27"/>
  <c r="L839" i="27"/>
  <c r="F839" i="27"/>
  <c r="E839" i="27"/>
  <c r="AL838" i="27"/>
  <c r="AK838" i="27"/>
  <c r="AE838" i="27"/>
  <c r="AD838" i="27"/>
  <c r="AC838" i="27"/>
  <c r="AA838" i="27"/>
  <c r="Z838" i="27"/>
  <c r="Y838" i="27"/>
  <c r="Q838" i="27"/>
  <c r="L838" i="27"/>
  <c r="F838" i="27"/>
  <c r="E838" i="27"/>
  <c r="AL837" i="27"/>
  <c r="AK837" i="27"/>
  <c r="AE837" i="27"/>
  <c r="AD837" i="27"/>
  <c r="AC837" i="27"/>
  <c r="AA837" i="27"/>
  <c r="Z837" i="27"/>
  <c r="Y837" i="27"/>
  <c r="AB837" i="27" s="1"/>
  <c r="Q837" i="27"/>
  <c r="L837" i="27"/>
  <c r="F837" i="27"/>
  <c r="E837" i="27"/>
  <c r="AL836" i="27"/>
  <c r="AK836" i="27"/>
  <c r="AE836" i="27"/>
  <c r="AD836" i="27"/>
  <c r="AC836" i="27"/>
  <c r="AA836" i="27"/>
  <c r="Z836" i="27"/>
  <c r="Y836" i="27"/>
  <c r="Q836" i="27"/>
  <c r="L836" i="27"/>
  <c r="F836" i="27"/>
  <c r="E836" i="27"/>
  <c r="AL835" i="27"/>
  <c r="AK835" i="27"/>
  <c r="AE835" i="27"/>
  <c r="AD835" i="27"/>
  <c r="AC835" i="27"/>
  <c r="AA835" i="27"/>
  <c r="Z835" i="27"/>
  <c r="Y835" i="27"/>
  <c r="Q835" i="27"/>
  <c r="L835" i="27"/>
  <c r="F835" i="27"/>
  <c r="E835" i="27"/>
  <c r="AL834" i="27"/>
  <c r="AK834" i="27"/>
  <c r="AE834" i="27"/>
  <c r="AD834" i="27"/>
  <c r="AC834" i="27"/>
  <c r="AA834" i="27"/>
  <c r="Z834" i="27"/>
  <c r="Y834" i="27"/>
  <c r="Q834" i="27"/>
  <c r="L834" i="27"/>
  <c r="F834" i="27"/>
  <c r="E834" i="27"/>
  <c r="AL833" i="27"/>
  <c r="AK833" i="27"/>
  <c r="AE833" i="27"/>
  <c r="AD833" i="27"/>
  <c r="AC833" i="27"/>
  <c r="AA833" i="27"/>
  <c r="Z833" i="27"/>
  <c r="Y833" i="27"/>
  <c r="AB833" i="27" s="1"/>
  <c r="Q833" i="27"/>
  <c r="L833" i="27"/>
  <c r="F833" i="27"/>
  <c r="E833" i="27"/>
  <c r="AL832" i="27"/>
  <c r="AK832" i="27"/>
  <c r="AE832" i="27"/>
  <c r="AD832" i="27"/>
  <c r="AC832" i="27"/>
  <c r="AA832" i="27"/>
  <c r="Z832" i="27"/>
  <c r="Y832" i="27"/>
  <c r="Q832" i="27"/>
  <c r="L832" i="27"/>
  <c r="F832" i="27"/>
  <c r="E832" i="27"/>
  <c r="AL831" i="27"/>
  <c r="AK831" i="27"/>
  <c r="AE831" i="27"/>
  <c r="AD831" i="27"/>
  <c r="AC831" i="27"/>
  <c r="AA831" i="27"/>
  <c r="Z831" i="27"/>
  <c r="Y831" i="27"/>
  <c r="Q831" i="27"/>
  <c r="L831" i="27"/>
  <c r="F831" i="27"/>
  <c r="E831" i="27"/>
  <c r="AL830" i="27"/>
  <c r="AK830" i="27"/>
  <c r="AE830" i="27"/>
  <c r="AD830" i="27"/>
  <c r="AC830" i="27"/>
  <c r="AA830" i="27"/>
  <c r="Z830" i="27"/>
  <c r="Y830" i="27"/>
  <c r="Q830" i="27"/>
  <c r="L830" i="27"/>
  <c r="F830" i="27"/>
  <c r="E830" i="27"/>
  <c r="AL829" i="27"/>
  <c r="AK829" i="27"/>
  <c r="AE829" i="27"/>
  <c r="AD829" i="27"/>
  <c r="AC829" i="27"/>
  <c r="AA829" i="27"/>
  <c r="Z829" i="27"/>
  <c r="Y829" i="27"/>
  <c r="AB829" i="27" s="1"/>
  <c r="Q829" i="27"/>
  <c r="L829" i="27"/>
  <c r="F829" i="27"/>
  <c r="E829" i="27"/>
  <c r="AL828" i="27"/>
  <c r="AK828" i="27"/>
  <c r="AE828" i="27"/>
  <c r="AD828" i="27"/>
  <c r="AC828" i="27"/>
  <c r="AA828" i="27"/>
  <c r="Z828" i="27"/>
  <c r="Y828" i="27"/>
  <c r="Q828" i="27"/>
  <c r="L828" i="27"/>
  <c r="F828" i="27"/>
  <c r="E828" i="27"/>
  <c r="AL827" i="27"/>
  <c r="AK827" i="27"/>
  <c r="AE827" i="27"/>
  <c r="AD827" i="27"/>
  <c r="AC827" i="27"/>
  <c r="AA827" i="27"/>
  <c r="Z827" i="27"/>
  <c r="Y827" i="27"/>
  <c r="Q827" i="27"/>
  <c r="L827" i="27"/>
  <c r="F827" i="27"/>
  <c r="E827" i="27"/>
  <c r="AL826" i="27"/>
  <c r="AK826" i="27"/>
  <c r="AE826" i="27"/>
  <c r="AD826" i="27"/>
  <c r="AC826" i="27"/>
  <c r="AA826" i="27"/>
  <c r="Z826" i="27"/>
  <c r="Y826" i="27"/>
  <c r="Q826" i="27"/>
  <c r="L826" i="27"/>
  <c r="F826" i="27"/>
  <c r="E826" i="27"/>
  <c r="AL825" i="27"/>
  <c r="AK825" i="27"/>
  <c r="AE825" i="27"/>
  <c r="AD825" i="27"/>
  <c r="AC825" i="27"/>
  <c r="AA825" i="27"/>
  <c r="Z825" i="27"/>
  <c r="Y825" i="27"/>
  <c r="AB825" i="27" s="1"/>
  <c r="Q825" i="27"/>
  <c r="L825" i="27"/>
  <c r="F825" i="27"/>
  <c r="E825" i="27"/>
  <c r="AL824" i="27"/>
  <c r="AK824" i="27"/>
  <c r="AE824" i="27"/>
  <c r="AD824" i="27"/>
  <c r="AC824" i="27"/>
  <c r="AA824" i="27"/>
  <c r="Z824" i="27"/>
  <c r="Y824" i="27"/>
  <c r="Q824" i="27"/>
  <c r="L824" i="27"/>
  <c r="F824" i="27"/>
  <c r="E824" i="27"/>
  <c r="AL823" i="27"/>
  <c r="AK823" i="27"/>
  <c r="AE823" i="27"/>
  <c r="AD823" i="27"/>
  <c r="AC823" i="27"/>
  <c r="AA823" i="27"/>
  <c r="Z823" i="27"/>
  <c r="Y823" i="27"/>
  <c r="Q823" i="27"/>
  <c r="L823" i="27"/>
  <c r="F823" i="27"/>
  <c r="E823" i="27"/>
  <c r="AL822" i="27"/>
  <c r="AK822" i="27"/>
  <c r="AE822" i="27"/>
  <c r="AD822" i="27"/>
  <c r="AC822" i="27"/>
  <c r="AA822" i="27"/>
  <c r="Z822" i="27"/>
  <c r="Y822" i="27"/>
  <c r="Q822" i="27"/>
  <c r="L822" i="27"/>
  <c r="F822" i="27"/>
  <c r="E822" i="27"/>
  <c r="AL821" i="27"/>
  <c r="AK821" i="27"/>
  <c r="AE821" i="27"/>
  <c r="AD821" i="27"/>
  <c r="AC821" i="27"/>
  <c r="AA821" i="27"/>
  <c r="Z821" i="27"/>
  <c r="Y821" i="27"/>
  <c r="AB821" i="27" s="1"/>
  <c r="Q821" i="27"/>
  <c r="L821" i="27"/>
  <c r="F821" i="27"/>
  <c r="E821" i="27"/>
  <c r="AL820" i="27"/>
  <c r="AK820" i="27"/>
  <c r="AE820" i="27"/>
  <c r="AD820" i="27"/>
  <c r="AC820" i="27"/>
  <c r="AA820" i="27"/>
  <c r="Z820" i="27"/>
  <c r="Y820" i="27"/>
  <c r="Q820" i="27"/>
  <c r="L820" i="27"/>
  <c r="F820" i="27"/>
  <c r="E820" i="27"/>
  <c r="AL819" i="27"/>
  <c r="AK819" i="27"/>
  <c r="AE819" i="27"/>
  <c r="AD819" i="27"/>
  <c r="AC819" i="27"/>
  <c r="AA819" i="27"/>
  <c r="Z819" i="27"/>
  <c r="Y819" i="27"/>
  <c r="Q819" i="27"/>
  <c r="L819" i="27"/>
  <c r="F819" i="27"/>
  <c r="E819" i="27"/>
  <c r="AL818" i="27"/>
  <c r="AK818" i="27"/>
  <c r="AE818" i="27"/>
  <c r="AD818" i="27"/>
  <c r="AC818" i="27"/>
  <c r="AA818" i="27"/>
  <c r="Z818" i="27"/>
  <c r="Y818" i="27"/>
  <c r="Q818" i="27"/>
  <c r="L818" i="27"/>
  <c r="F818" i="27"/>
  <c r="E818" i="27"/>
  <c r="AL817" i="27"/>
  <c r="AK817" i="27"/>
  <c r="AE817" i="27"/>
  <c r="AD817" i="27"/>
  <c r="AC817" i="27"/>
  <c r="AA817" i="27"/>
  <c r="Z817" i="27"/>
  <c r="Y817" i="27"/>
  <c r="AB817" i="27" s="1"/>
  <c r="Q817" i="27"/>
  <c r="L817" i="27"/>
  <c r="F817" i="27"/>
  <c r="E817" i="27"/>
  <c r="AL816" i="27"/>
  <c r="AK816" i="27"/>
  <c r="AE816" i="27"/>
  <c r="AD816" i="27"/>
  <c r="AC816" i="27"/>
  <c r="AA816" i="27"/>
  <c r="Z816" i="27"/>
  <c r="Y816" i="27"/>
  <c r="Q816" i="27"/>
  <c r="L816" i="27"/>
  <c r="F816" i="27"/>
  <c r="E816" i="27"/>
  <c r="AL815" i="27"/>
  <c r="AK815" i="27"/>
  <c r="AE815" i="27"/>
  <c r="AD815" i="27"/>
  <c r="AC815" i="27"/>
  <c r="AA815" i="27"/>
  <c r="Z815" i="27"/>
  <c r="Y815" i="27"/>
  <c r="Q815" i="27"/>
  <c r="L815" i="27"/>
  <c r="F815" i="27"/>
  <c r="E815" i="27"/>
  <c r="AL814" i="27"/>
  <c r="AK814" i="27"/>
  <c r="AE814" i="27"/>
  <c r="AD814" i="27"/>
  <c r="AC814" i="27"/>
  <c r="AA814" i="27"/>
  <c r="Z814" i="27"/>
  <c r="Y814" i="27"/>
  <c r="Q814" i="27"/>
  <c r="L814" i="27"/>
  <c r="F814" i="27"/>
  <c r="E814" i="27"/>
  <c r="AL813" i="27"/>
  <c r="AK813" i="27"/>
  <c r="AE813" i="27"/>
  <c r="AD813" i="27"/>
  <c r="AC813" i="27"/>
  <c r="AA813" i="27"/>
  <c r="Z813" i="27"/>
  <c r="Y813" i="27"/>
  <c r="AB813" i="27" s="1"/>
  <c r="Q813" i="27"/>
  <c r="L813" i="27"/>
  <c r="F813" i="27"/>
  <c r="E813" i="27"/>
  <c r="AL812" i="27"/>
  <c r="AK812" i="27"/>
  <c r="AE812" i="27"/>
  <c r="AD812" i="27"/>
  <c r="AC812" i="27"/>
  <c r="AA812" i="27"/>
  <c r="Z812" i="27"/>
  <c r="Y812" i="27"/>
  <c r="Q812" i="27"/>
  <c r="L812" i="27"/>
  <c r="F812" i="27"/>
  <c r="E812" i="27"/>
  <c r="AL811" i="27"/>
  <c r="AK811" i="27"/>
  <c r="AE811" i="27"/>
  <c r="AD811" i="27"/>
  <c r="AC811" i="27"/>
  <c r="AA811" i="27"/>
  <c r="Z811" i="27"/>
  <c r="Y811" i="27"/>
  <c r="Q811" i="27"/>
  <c r="L811" i="27"/>
  <c r="F811" i="27"/>
  <c r="E811" i="27"/>
  <c r="AL810" i="27"/>
  <c r="AK810" i="27"/>
  <c r="AE810" i="27"/>
  <c r="AD810" i="27"/>
  <c r="AC810" i="27"/>
  <c r="AA810" i="27"/>
  <c r="Z810" i="27"/>
  <c r="Y810" i="27"/>
  <c r="Q810" i="27"/>
  <c r="L810" i="27"/>
  <c r="F810" i="27"/>
  <c r="E810" i="27"/>
  <c r="AL809" i="27"/>
  <c r="AK809" i="27"/>
  <c r="AE809" i="27"/>
  <c r="AD809" i="27"/>
  <c r="AC809" i="27"/>
  <c r="AA809" i="27"/>
  <c r="Z809" i="27"/>
  <c r="Y809" i="27"/>
  <c r="AB809" i="27" s="1"/>
  <c r="Q809" i="27"/>
  <c r="L809" i="27"/>
  <c r="F809" i="27"/>
  <c r="E809" i="27"/>
  <c r="AL808" i="27"/>
  <c r="AK808" i="27"/>
  <c r="AE808" i="27"/>
  <c r="AD808" i="27"/>
  <c r="AC808" i="27"/>
  <c r="AA808" i="27"/>
  <c r="Z808" i="27"/>
  <c r="Y808" i="27"/>
  <c r="Q808" i="27"/>
  <c r="L808" i="27"/>
  <c r="F808" i="27"/>
  <c r="E808" i="27"/>
  <c r="AL807" i="27"/>
  <c r="AK807" i="27"/>
  <c r="AE807" i="27"/>
  <c r="AD807" i="27"/>
  <c r="AC807" i="27"/>
  <c r="AA807" i="27"/>
  <c r="Z807" i="27"/>
  <c r="Y807" i="27"/>
  <c r="Q807" i="27"/>
  <c r="L807" i="27"/>
  <c r="F807" i="27"/>
  <c r="E807" i="27"/>
  <c r="AL806" i="27"/>
  <c r="AK806" i="27"/>
  <c r="AE806" i="27"/>
  <c r="AD806" i="27"/>
  <c r="AC806" i="27"/>
  <c r="AA806" i="27"/>
  <c r="Z806" i="27"/>
  <c r="Y806" i="27"/>
  <c r="Q806" i="27"/>
  <c r="L806" i="27"/>
  <c r="F806" i="27"/>
  <c r="E806" i="27"/>
  <c r="AL805" i="27"/>
  <c r="AK805" i="27"/>
  <c r="AE805" i="27"/>
  <c r="AD805" i="27"/>
  <c r="AC805" i="27"/>
  <c r="AA805" i="27"/>
  <c r="Z805" i="27"/>
  <c r="Y805" i="27"/>
  <c r="AB805" i="27" s="1"/>
  <c r="Q805" i="27"/>
  <c r="L805" i="27"/>
  <c r="F805" i="27"/>
  <c r="E805" i="27"/>
  <c r="AL804" i="27"/>
  <c r="AK804" i="27"/>
  <c r="AE804" i="27"/>
  <c r="AD804" i="27"/>
  <c r="AC804" i="27"/>
  <c r="AA804" i="27"/>
  <c r="Z804" i="27"/>
  <c r="Y804" i="27"/>
  <c r="Q804" i="27"/>
  <c r="L804" i="27"/>
  <c r="F804" i="27"/>
  <c r="E804" i="27"/>
  <c r="AL803" i="27"/>
  <c r="AK803" i="27"/>
  <c r="AE803" i="27"/>
  <c r="AD803" i="27"/>
  <c r="AC803" i="27"/>
  <c r="AA803" i="27"/>
  <c r="Z803" i="27"/>
  <c r="Y803" i="27"/>
  <c r="Q803" i="27"/>
  <c r="L803" i="27"/>
  <c r="F803" i="27"/>
  <c r="E803" i="27"/>
  <c r="AL802" i="27"/>
  <c r="AK802" i="27"/>
  <c r="AE802" i="27"/>
  <c r="AD802" i="27"/>
  <c r="AC802" i="27"/>
  <c r="AA802" i="27"/>
  <c r="Z802" i="27"/>
  <c r="Y802" i="27"/>
  <c r="Q802" i="27"/>
  <c r="L802" i="27"/>
  <c r="F802" i="27"/>
  <c r="E802" i="27"/>
  <c r="AL801" i="27"/>
  <c r="AK801" i="27"/>
  <c r="AE801" i="27"/>
  <c r="AD801" i="27"/>
  <c r="AC801" i="27"/>
  <c r="AA801" i="27"/>
  <c r="Z801" i="27"/>
  <c r="Y801" i="27"/>
  <c r="AB801" i="27" s="1"/>
  <c r="Q801" i="27"/>
  <c r="L801" i="27"/>
  <c r="F801" i="27"/>
  <c r="E801" i="27"/>
  <c r="AL800" i="27"/>
  <c r="AK800" i="27"/>
  <c r="AE800" i="27"/>
  <c r="AD800" i="27"/>
  <c r="AC800" i="27"/>
  <c r="AA800" i="27"/>
  <c r="Z800" i="27"/>
  <c r="Y800" i="27"/>
  <c r="Q800" i="27"/>
  <c r="L800" i="27"/>
  <c r="F800" i="27"/>
  <c r="E800" i="27"/>
  <c r="AL799" i="27"/>
  <c r="AK799" i="27"/>
  <c r="AE799" i="27"/>
  <c r="AD799" i="27"/>
  <c r="AC799" i="27"/>
  <c r="AA799" i="27"/>
  <c r="Z799" i="27"/>
  <c r="Y799" i="27"/>
  <c r="Q799" i="27"/>
  <c r="L799" i="27"/>
  <c r="F799" i="27"/>
  <c r="E799" i="27"/>
  <c r="AL798" i="27"/>
  <c r="AK798" i="27"/>
  <c r="AE798" i="27"/>
  <c r="AD798" i="27"/>
  <c r="AC798" i="27"/>
  <c r="AA798" i="27"/>
  <c r="Z798" i="27"/>
  <c r="Y798" i="27"/>
  <c r="Q798" i="27"/>
  <c r="L798" i="27"/>
  <c r="F798" i="27"/>
  <c r="E798" i="27"/>
  <c r="AL797" i="27"/>
  <c r="AK797" i="27"/>
  <c r="AE797" i="27"/>
  <c r="AD797" i="27"/>
  <c r="AC797" i="27"/>
  <c r="AA797" i="27"/>
  <c r="Z797" i="27"/>
  <c r="Y797" i="27"/>
  <c r="AB797" i="27" s="1"/>
  <c r="Q797" i="27"/>
  <c r="L797" i="27"/>
  <c r="F797" i="27"/>
  <c r="E797" i="27"/>
  <c r="AL796" i="27"/>
  <c r="AK796" i="27"/>
  <c r="AE796" i="27"/>
  <c r="AD796" i="27"/>
  <c r="AC796" i="27"/>
  <c r="AA796" i="27"/>
  <c r="Z796" i="27"/>
  <c r="Y796" i="27"/>
  <c r="Q796" i="27"/>
  <c r="L796" i="27"/>
  <c r="F796" i="27"/>
  <c r="E796" i="27"/>
  <c r="AL795" i="27"/>
  <c r="AK795" i="27"/>
  <c r="AE795" i="27"/>
  <c r="AD795" i="27"/>
  <c r="AC795" i="27"/>
  <c r="AA795" i="27"/>
  <c r="Z795" i="27"/>
  <c r="Y795" i="27"/>
  <c r="Q795" i="27"/>
  <c r="L795" i="27"/>
  <c r="F795" i="27"/>
  <c r="E795" i="27"/>
  <c r="AL794" i="27"/>
  <c r="AK794" i="27"/>
  <c r="AE794" i="27"/>
  <c r="AD794" i="27"/>
  <c r="AC794" i="27"/>
  <c r="AA794" i="27"/>
  <c r="Z794" i="27"/>
  <c r="Y794" i="27"/>
  <c r="Q794" i="27"/>
  <c r="L794" i="27"/>
  <c r="F794" i="27"/>
  <c r="E794" i="27"/>
  <c r="AL793" i="27"/>
  <c r="AK793" i="27"/>
  <c r="AE793" i="27"/>
  <c r="AD793" i="27"/>
  <c r="AC793" i="27"/>
  <c r="AA793" i="27"/>
  <c r="Z793" i="27"/>
  <c r="Y793" i="27"/>
  <c r="AB793" i="27" s="1"/>
  <c r="Q793" i="27"/>
  <c r="L793" i="27"/>
  <c r="F793" i="27"/>
  <c r="E793" i="27"/>
  <c r="AL792" i="27"/>
  <c r="AK792" i="27"/>
  <c r="AE792" i="27"/>
  <c r="AD792" i="27"/>
  <c r="AC792" i="27"/>
  <c r="AA792" i="27"/>
  <c r="Z792" i="27"/>
  <c r="Y792" i="27"/>
  <c r="Q792" i="27"/>
  <c r="L792" i="27"/>
  <c r="F792" i="27"/>
  <c r="E792" i="27"/>
  <c r="AL791" i="27"/>
  <c r="AK791" i="27"/>
  <c r="AE791" i="27"/>
  <c r="AD791" i="27"/>
  <c r="AC791" i="27"/>
  <c r="AA791" i="27"/>
  <c r="Z791" i="27"/>
  <c r="Y791" i="27"/>
  <c r="Q791" i="27"/>
  <c r="L791" i="27"/>
  <c r="F791" i="27"/>
  <c r="E791" i="27"/>
  <c r="AL790" i="27"/>
  <c r="AK790" i="27"/>
  <c r="AE790" i="27"/>
  <c r="AD790" i="27"/>
  <c r="AC790" i="27"/>
  <c r="AA790" i="27"/>
  <c r="Z790" i="27"/>
  <c r="Y790" i="27"/>
  <c r="Q790" i="27"/>
  <c r="L790" i="27"/>
  <c r="F790" i="27"/>
  <c r="E790" i="27"/>
  <c r="AL789" i="27"/>
  <c r="AK789" i="27"/>
  <c r="AE789" i="27"/>
  <c r="AD789" i="27"/>
  <c r="AC789" i="27"/>
  <c r="AA789" i="27"/>
  <c r="Z789" i="27"/>
  <c r="Y789" i="27"/>
  <c r="AB789" i="27" s="1"/>
  <c r="Q789" i="27"/>
  <c r="L789" i="27"/>
  <c r="F789" i="27"/>
  <c r="E789" i="27"/>
  <c r="AL788" i="27"/>
  <c r="AK788" i="27"/>
  <c r="AE788" i="27"/>
  <c r="AD788" i="27"/>
  <c r="AC788" i="27"/>
  <c r="AA788" i="27"/>
  <c r="Z788" i="27"/>
  <c r="Y788" i="27"/>
  <c r="Q788" i="27"/>
  <c r="L788" i="27"/>
  <c r="F788" i="27"/>
  <c r="E788" i="27"/>
  <c r="AL787" i="27"/>
  <c r="AK787" i="27"/>
  <c r="AE787" i="27"/>
  <c r="AD787" i="27"/>
  <c r="AC787" i="27"/>
  <c r="AA787" i="27"/>
  <c r="Z787" i="27"/>
  <c r="Y787" i="27"/>
  <c r="Q787" i="27"/>
  <c r="L787" i="27"/>
  <c r="F787" i="27"/>
  <c r="E787" i="27"/>
  <c r="AL786" i="27"/>
  <c r="AK786" i="27"/>
  <c r="AE786" i="27"/>
  <c r="AD786" i="27"/>
  <c r="AC786" i="27"/>
  <c r="AA786" i="27"/>
  <c r="Z786" i="27"/>
  <c r="Y786" i="27"/>
  <c r="Q786" i="27"/>
  <c r="L786" i="27"/>
  <c r="F786" i="27"/>
  <c r="E786" i="27"/>
  <c r="AL785" i="27"/>
  <c r="AK785" i="27"/>
  <c r="AE785" i="27"/>
  <c r="AD785" i="27"/>
  <c r="AC785" i="27"/>
  <c r="AA785" i="27"/>
  <c r="Z785" i="27"/>
  <c r="Y785" i="27"/>
  <c r="AB785" i="27" s="1"/>
  <c r="Q785" i="27"/>
  <c r="L785" i="27"/>
  <c r="F785" i="27"/>
  <c r="E785" i="27"/>
  <c r="AL784" i="27"/>
  <c r="AK784" i="27"/>
  <c r="AE784" i="27"/>
  <c r="AD784" i="27"/>
  <c r="AC784" i="27"/>
  <c r="AA784" i="27"/>
  <c r="Z784" i="27"/>
  <c r="Y784" i="27"/>
  <c r="Q784" i="27"/>
  <c r="L784" i="27"/>
  <c r="F784" i="27"/>
  <c r="E784" i="27"/>
  <c r="AL783" i="27"/>
  <c r="AK783" i="27"/>
  <c r="AE783" i="27"/>
  <c r="AD783" i="27"/>
  <c r="AC783" i="27"/>
  <c r="AA783" i="27"/>
  <c r="Z783" i="27"/>
  <c r="Y783" i="27"/>
  <c r="Q783" i="27"/>
  <c r="L783" i="27"/>
  <c r="F783" i="27"/>
  <c r="E783" i="27"/>
  <c r="AL782" i="27"/>
  <c r="AK782" i="27"/>
  <c r="AE782" i="27"/>
  <c r="AD782" i="27"/>
  <c r="AC782" i="27"/>
  <c r="AA782" i="27"/>
  <c r="Z782" i="27"/>
  <c r="Y782" i="27"/>
  <c r="Q782" i="27"/>
  <c r="L782" i="27"/>
  <c r="F782" i="27"/>
  <c r="E782" i="27"/>
  <c r="AL781" i="27"/>
  <c r="AK781" i="27"/>
  <c r="AE781" i="27"/>
  <c r="AD781" i="27"/>
  <c r="AC781" i="27"/>
  <c r="AA781" i="27"/>
  <c r="Z781" i="27"/>
  <c r="Y781" i="27"/>
  <c r="AB781" i="27" s="1"/>
  <c r="Q781" i="27"/>
  <c r="L781" i="27"/>
  <c r="F781" i="27"/>
  <c r="E781" i="27"/>
  <c r="AL780" i="27"/>
  <c r="AK780" i="27"/>
  <c r="AE780" i="27"/>
  <c r="AD780" i="27"/>
  <c r="AC780" i="27"/>
  <c r="AA780" i="27"/>
  <c r="Z780" i="27"/>
  <c r="Y780" i="27"/>
  <c r="Q780" i="27"/>
  <c r="L780" i="27"/>
  <c r="F780" i="27"/>
  <c r="E780" i="27"/>
  <c r="AL779" i="27"/>
  <c r="AK779" i="27"/>
  <c r="AE779" i="27"/>
  <c r="AD779" i="27"/>
  <c r="AC779" i="27"/>
  <c r="AA779" i="27"/>
  <c r="Z779" i="27"/>
  <c r="Y779" i="27"/>
  <c r="Q779" i="27"/>
  <c r="L779" i="27"/>
  <c r="F779" i="27"/>
  <c r="E779" i="27"/>
  <c r="AL778" i="27"/>
  <c r="AK778" i="27"/>
  <c r="AE778" i="27"/>
  <c r="AD778" i="27"/>
  <c r="AC778" i="27"/>
  <c r="AA778" i="27"/>
  <c r="Z778" i="27"/>
  <c r="Y778" i="27"/>
  <c r="Q778" i="27"/>
  <c r="L778" i="27"/>
  <c r="F778" i="27"/>
  <c r="E778" i="27"/>
  <c r="AL777" i="27"/>
  <c r="AK777" i="27"/>
  <c r="AE777" i="27"/>
  <c r="AD777" i="27"/>
  <c r="AC777" i="27"/>
  <c r="AA777" i="27"/>
  <c r="Z777" i="27"/>
  <c r="Y777" i="27"/>
  <c r="AB777" i="27" s="1"/>
  <c r="Q777" i="27"/>
  <c r="L777" i="27"/>
  <c r="F777" i="27"/>
  <c r="E777" i="27"/>
  <c r="AL776" i="27"/>
  <c r="AK776" i="27"/>
  <c r="AE776" i="27"/>
  <c r="AD776" i="27"/>
  <c r="AC776" i="27"/>
  <c r="AA776" i="27"/>
  <c r="Z776" i="27"/>
  <c r="Y776" i="27"/>
  <c r="Q776" i="27"/>
  <c r="L776" i="27"/>
  <c r="F776" i="27"/>
  <c r="E776" i="27"/>
  <c r="AL775" i="27"/>
  <c r="AK775" i="27"/>
  <c r="AE775" i="27"/>
  <c r="AD775" i="27"/>
  <c r="AC775" i="27"/>
  <c r="AA775" i="27"/>
  <c r="Z775" i="27"/>
  <c r="Y775" i="27"/>
  <c r="Q775" i="27"/>
  <c r="L775" i="27"/>
  <c r="F775" i="27"/>
  <c r="E775" i="27"/>
  <c r="AL774" i="27"/>
  <c r="AK774" i="27"/>
  <c r="AE774" i="27"/>
  <c r="AD774" i="27"/>
  <c r="AC774" i="27"/>
  <c r="AA774" i="27"/>
  <c r="Z774" i="27"/>
  <c r="Y774" i="27"/>
  <c r="Q774" i="27"/>
  <c r="L774" i="27"/>
  <c r="F774" i="27"/>
  <c r="E774" i="27"/>
  <c r="AL773" i="27"/>
  <c r="AK773" i="27"/>
  <c r="AE773" i="27"/>
  <c r="AD773" i="27"/>
  <c r="AC773" i="27"/>
  <c r="AA773" i="27"/>
  <c r="Z773" i="27"/>
  <c r="Y773" i="27"/>
  <c r="AB773" i="27" s="1"/>
  <c r="Q773" i="27"/>
  <c r="L773" i="27"/>
  <c r="F773" i="27"/>
  <c r="E773" i="27"/>
  <c r="AL772" i="27"/>
  <c r="AK772" i="27"/>
  <c r="AE772" i="27"/>
  <c r="AD772" i="27"/>
  <c r="AC772" i="27"/>
  <c r="AA772" i="27"/>
  <c r="Z772" i="27"/>
  <c r="Y772" i="27"/>
  <c r="Q772" i="27"/>
  <c r="L772" i="27"/>
  <c r="F772" i="27"/>
  <c r="E772" i="27"/>
  <c r="AL771" i="27"/>
  <c r="AK771" i="27"/>
  <c r="AE771" i="27"/>
  <c r="AD771" i="27"/>
  <c r="AC771" i="27"/>
  <c r="AA771" i="27"/>
  <c r="Z771" i="27"/>
  <c r="Y771" i="27"/>
  <c r="Q771" i="27"/>
  <c r="L771" i="27"/>
  <c r="F771" i="27"/>
  <c r="E771" i="27"/>
  <c r="AL770" i="27"/>
  <c r="AK770" i="27"/>
  <c r="AE770" i="27"/>
  <c r="AD770" i="27"/>
  <c r="AC770" i="27"/>
  <c r="AA770" i="27"/>
  <c r="Z770" i="27"/>
  <c r="Y770" i="27"/>
  <c r="Q770" i="27"/>
  <c r="L770" i="27"/>
  <c r="F770" i="27"/>
  <c r="E770" i="27"/>
  <c r="AL769" i="27"/>
  <c r="AK769" i="27"/>
  <c r="AE769" i="27"/>
  <c r="AD769" i="27"/>
  <c r="AC769" i="27"/>
  <c r="AA769" i="27"/>
  <c r="Z769" i="27"/>
  <c r="Y769" i="27"/>
  <c r="AB769" i="27" s="1"/>
  <c r="Q769" i="27"/>
  <c r="L769" i="27"/>
  <c r="F769" i="27"/>
  <c r="E769" i="27"/>
  <c r="AL768" i="27"/>
  <c r="AK768" i="27"/>
  <c r="AE768" i="27"/>
  <c r="AD768" i="27"/>
  <c r="AC768" i="27"/>
  <c r="AA768" i="27"/>
  <c r="Z768" i="27"/>
  <c r="Y768" i="27"/>
  <c r="Q768" i="27"/>
  <c r="L768" i="27"/>
  <c r="F768" i="27"/>
  <c r="E768" i="27"/>
  <c r="AL767" i="27"/>
  <c r="AK767" i="27"/>
  <c r="AE767" i="27"/>
  <c r="AD767" i="27"/>
  <c r="AC767" i="27"/>
  <c r="AA767" i="27"/>
  <c r="Z767" i="27"/>
  <c r="Y767" i="27"/>
  <c r="Q767" i="27"/>
  <c r="L767" i="27"/>
  <c r="F767" i="27"/>
  <c r="E767" i="27"/>
  <c r="AL766" i="27"/>
  <c r="AK766" i="27"/>
  <c r="AE766" i="27"/>
  <c r="AD766" i="27"/>
  <c r="AC766" i="27"/>
  <c r="AA766" i="27"/>
  <c r="Z766" i="27"/>
  <c r="Y766" i="27"/>
  <c r="Q766" i="27"/>
  <c r="L766" i="27"/>
  <c r="F766" i="27"/>
  <c r="E766" i="27"/>
  <c r="AL765" i="27"/>
  <c r="AK765" i="27"/>
  <c r="AE765" i="27"/>
  <c r="AD765" i="27"/>
  <c r="AC765" i="27"/>
  <c r="AA765" i="27"/>
  <c r="Z765" i="27"/>
  <c r="Y765" i="27"/>
  <c r="AB765" i="27" s="1"/>
  <c r="Q765" i="27"/>
  <c r="L765" i="27"/>
  <c r="F765" i="27"/>
  <c r="E765" i="27"/>
  <c r="AL764" i="27"/>
  <c r="AK764" i="27"/>
  <c r="AE764" i="27"/>
  <c r="AD764" i="27"/>
  <c r="AC764" i="27"/>
  <c r="AA764" i="27"/>
  <c r="Z764" i="27"/>
  <c r="Y764" i="27"/>
  <c r="Q764" i="27"/>
  <c r="L764" i="27"/>
  <c r="F764" i="27"/>
  <c r="E764" i="27"/>
  <c r="AL763" i="27"/>
  <c r="AK763" i="27"/>
  <c r="AE763" i="27"/>
  <c r="AD763" i="27"/>
  <c r="AC763" i="27"/>
  <c r="AA763" i="27"/>
  <c r="Z763" i="27"/>
  <c r="Y763" i="27"/>
  <c r="Q763" i="27"/>
  <c r="L763" i="27"/>
  <c r="F763" i="27"/>
  <c r="E763" i="27"/>
  <c r="AL762" i="27"/>
  <c r="AK762" i="27"/>
  <c r="AE762" i="27"/>
  <c r="AD762" i="27"/>
  <c r="AC762" i="27"/>
  <c r="AA762" i="27"/>
  <c r="Z762" i="27"/>
  <c r="Y762" i="27"/>
  <c r="Q762" i="27"/>
  <c r="L762" i="27"/>
  <c r="F762" i="27"/>
  <c r="E762" i="27"/>
  <c r="AL761" i="27"/>
  <c r="AK761" i="27"/>
  <c r="AE761" i="27"/>
  <c r="AD761" i="27"/>
  <c r="AC761" i="27"/>
  <c r="AA761" i="27"/>
  <c r="Z761" i="27"/>
  <c r="Y761" i="27"/>
  <c r="AB761" i="27" s="1"/>
  <c r="Q761" i="27"/>
  <c r="L761" i="27"/>
  <c r="F761" i="27"/>
  <c r="E761" i="27"/>
  <c r="AL760" i="27"/>
  <c r="AK760" i="27"/>
  <c r="AE760" i="27"/>
  <c r="AD760" i="27"/>
  <c r="AC760" i="27"/>
  <c r="AA760" i="27"/>
  <c r="Z760" i="27"/>
  <c r="Y760" i="27"/>
  <c r="Q760" i="27"/>
  <c r="L760" i="27"/>
  <c r="F760" i="27"/>
  <c r="E760" i="27"/>
  <c r="AL759" i="27"/>
  <c r="AK759" i="27"/>
  <c r="AE759" i="27"/>
  <c r="AD759" i="27"/>
  <c r="AC759" i="27"/>
  <c r="AA759" i="27"/>
  <c r="Z759" i="27"/>
  <c r="Y759" i="27"/>
  <c r="Q759" i="27"/>
  <c r="L759" i="27"/>
  <c r="F759" i="27"/>
  <c r="E759" i="27"/>
  <c r="AL758" i="27"/>
  <c r="AK758" i="27"/>
  <c r="AE758" i="27"/>
  <c r="AD758" i="27"/>
  <c r="AC758" i="27"/>
  <c r="AA758" i="27"/>
  <c r="Z758" i="27"/>
  <c r="Y758" i="27"/>
  <c r="Q758" i="27"/>
  <c r="L758" i="27"/>
  <c r="F758" i="27"/>
  <c r="E758" i="27"/>
  <c r="AL757" i="27"/>
  <c r="AK757" i="27"/>
  <c r="AE757" i="27"/>
  <c r="AD757" i="27"/>
  <c r="AC757" i="27"/>
  <c r="AA757" i="27"/>
  <c r="Z757" i="27"/>
  <c r="Y757" i="27"/>
  <c r="AB757" i="27" s="1"/>
  <c r="Q757" i="27"/>
  <c r="L757" i="27"/>
  <c r="F757" i="27"/>
  <c r="E757" i="27"/>
  <c r="AL756" i="27"/>
  <c r="AK756" i="27"/>
  <c r="AE756" i="27"/>
  <c r="AD756" i="27"/>
  <c r="AC756" i="27"/>
  <c r="AA756" i="27"/>
  <c r="Z756" i="27"/>
  <c r="Y756" i="27"/>
  <c r="Q756" i="27"/>
  <c r="L756" i="27"/>
  <c r="F756" i="27"/>
  <c r="E756" i="27"/>
  <c r="AL755" i="27"/>
  <c r="AK755" i="27"/>
  <c r="AE755" i="27"/>
  <c r="AD755" i="27"/>
  <c r="AC755" i="27"/>
  <c r="AA755" i="27"/>
  <c r="Z755" i="27"/>
  <c r="Y755" i="27"/>
  <c r="Q755" i="27"/>
  <c r="L755" i="27"/>
  <c r="F755" i="27"/>
  <c r="E755" i="27"/>
  <c r="AL754" i="27"/>
  <c r="AK754" i="27"/>
  <c r="AE754" i="27"/>
  <c r="AD754" i="27"/>
  <c r="AC754" i="27"/>
  <c r="AA754" i="27"/>
  <c r="Z754" i="27"/>
  <c r="Y754" i="27"/>
  <c r="Q754" i="27"/>
  <c r="L754" i="27"/>
  <c r="F754" i="27"/>
  <c r="E754" i="27"/>
  <c r="AL753" i="27"/>
  <c r="AK753" i="27"/>
  <c r="AE753" i="27"/>
  <c r="AD753" i="27"/>
  <c r="AC753" i="27"/>
  <c r="AA753" i="27"/>
  <c r="Z753" i="27"/>
  <c r="Y753" i="27"/>
  <c r="AB753" i="27" s="1"/>
  <c r="Q753" i="27"/>
  <c r="L753" i="27"/>
  <c r="F753" i="27"/>
  <c r="E753" i="27"/>
  <c r="AL752" i="27"/>
  <c r="AK752" i="27"/>
  <c r="AE752" i="27"/>
  <c r="AD752" i="27"/>
  <c r="AC752" i="27"/>
  <c r="AA752" i="27"/>
  <c r="Z752" i="27"/>
  <c r="Y752" i="27"/>
  <c r="Q752" i="27"/>
  <c r="L752" i="27"/>
  <c r="F752" i="27"/>
  <c r="E752" i="27"/>
  <c r="AL751" i="27"/>
  <c r="AK751" i="27"/>
  <c r="AE751" i="27"/>
  <c r="AD751" i="27"/>
  <c r="AC751" i="27"/>
  <c r="AA751" i="27"/>
  <c r="Z751" i="27"/>
  <c r="Y751" i="27"/>
  <c r="Q751" i="27"/>
  <c r="L751" i="27"/>
  <c r="F751" i="27"/>
  <c r="E751" i="27"/>
  <c r="AL750" i="27"/>
  <c r="AK750" i="27"/>
  <c r="AE750" i="27"/>
  <c r="AD750" i="27"/>
  <c r="AC750" i="27"/>
  <c r="AA750" i="27"/>
  <c r="Z750" i="27"/>
  <c r="Y750" i="27"/>
  <c r="Q750" i="27"/>
  <c r="L750" i="27"/>
  <c r="F750" i="27"/>
  <c r="E750" i="27"/>
  <c r="AL749" i="27"/>
  <c r="AK749" i="27"/>
  <c r="AE749" i="27"/>
  <c r="AD749" i="27"/>
  <c r="AC749" i="27"/>
  <c r="AA749" i="27"/>
  <c r="Z749" i="27"/>
  <c r="Y749" i="27"/>
  <c r="AB749" i="27" s="1"/>
  <c r="Q749" i="27"/>
  <c r="L749" i="27"/>
  <c r="F749" i="27"/>
  <c r="E749" i="27"/>
  <c r="AL748" i="27"/>
  <c r="AK748" i="27"/>
  <c r="AE748" i="27"/>
  <c r="AD748" i="27"/>
  <c r="AC748" i="27"/>
  <c r="AA748" i="27"/>
  <c r="Z748" i="27"/>
  <c r="Y748" i="27"/>
  <c r="Q748" i="27"/>
  <c r="L748" i="27"/>
  <c r="F748" i="27"/>
  <c r="E748" i="27"/>
  <c r="AL747" i="27"/>
  <c r="AK747" i="27"/>
  <c r="AE747" i="27"/>
  <c r="AD747" i="27"/>
  <c r="AC747" i="27"/>
  <c r="AA747" i="27"/>
  <c r="Z747" i="27"/>
  <c r="Y747" i="27"/>
  <c r="Q747" i="27"/>
  <c r="L747" i="27"/>
  <c r="F747" i="27"/>
  <c r="E747" i="27"/>
  <c r="AL746" i="27"/>
  <c r="AK746" i="27"/>
  <c r="AE746" i="27"/>
  <c r="AD746" i="27"/>
  <c r="AC746" i="27"/>
  <c r="AA746" i="27"/>
  <c r="Z746" i="27"/>
  <c r="Y746" i="27"/>
  <c r="Q746" i="27"/>
  <c r="L746" i="27"/>
  <c r="F746" i="27"/>
  <c r="E746" i="27"/>
  <c r="AL745" i="27"/>
  <c r="AK745" i="27"/>
  <c r="AE745" i="27"/>
  <c r="AD745" i="27"/>
  <c r="AC745" i="27"/>
  <c r="AA745" i="27"/>
  <c r="Z745" i="27"/>
  <c r="Y745" i="27"/>
  <c r="AB745" i="27" s="1"/>
  <c r="Q745" i="27"/>
  <c r="L745" i="27"/>
  <c r="F745" i="27"/>
  <c r="E745" i="27"/>
  <c r="AL744" i="27"/>
  <c r="AK744" i="27"/>
  <c r="AE744" i="27"/>
  <c r="AD744" i="27"/>
  <c r="AC744" i="27"/>
  <c r="AA744" i="27"/>
  <c r="Z744" i="27"/>
  <c r="Y744" i="27"/>
  <c r="Q744" i="27"/>
  <c r="L744" i="27"/>
  <c r="F744" i="27"/>
  <c r="E744" i="27"/>
  <c r="AL743" i="27"/>
  <c r="AK743" i="27"/>
  <c r="AE743" i="27"/>
  <c r="AD743" i="27"/>
  <c r="AC743" i="27"/>
  <c r="AA743" i="27"/>
  <c r="Z743" i="27"/>
  <c r="Y743" i="27"/>
  <c r="Q743" i="27"/>
  <c r="L743" i="27"/>
  <c r="F743" i="27"/>
  <c r="E743" i="27"/>
  <c r="AL742" i="27"/>
  <c r="AK742" i="27"/>
  <c r="AE742" i="27"/>
  <c r="AD742" i="27"/>
  <c r="AC742" i="27"/>
  <c r="AA742" i="27"/>
  <c r="Z742" i="27"/>
  <c r="Y742" i="27"/>
  <c r="Q742" i="27"/>
  <c r="L742" i="27"/>
  <c r="F742" i="27"/>
  <c r="E742" i="27"/>
  <c r="AL741" i="27"/>
  <c r="AK741" i="27"/>
  <c r="AE741" i="27"/>
  <c r="AD741" i="27"/>
  <c r="AC741" i="27"/>
  <c r="AA741" i="27"/>
  <c r="Z741" i="27"/>
  <c r="Y741" i="27"/>
  <c r="AB741" i="27" s="1"/>
  <c r="Q741" i="27"/>
  <c r="L741" i="27"/>
  <c r="F741" i="27"/>
  <c r="E741" i="27"/>
  <c r="AL740" i="27"/>
  <c r="AK740" i="27"/>
  <c r="AE740" i="27"/>
  <c r="AD740" i="27"/>
  <c r="AC740" i="27"/>
  <c r="AA740" i="27"/>
  <c r="Z740" i="27"/>
  <c r="Y740" i="27"/>
  <c r="Q740" i="27"/>
  <c r="L740" i="27"/>
  <c r="F740" i="27"/>
  <c r="E740" i="27"/>
  <c r="AL739" i="27"/>
  <c r="AK739" i="27"/>
  <c r="AE739" i="27"/>
  <c r="AD739" i="27"/>
  <c r="AC739" i="27"/>
  <c r="AA739" i="27"/>
  <c r="Z739" i="27"/>
  <c r="Y739" i="27"/>
  <c r="Q739" i="27"/>
  <c r="L739" i="27"/>
  <c r="F739" i="27"/>
  <c r="E739" i="27"/>
  <c r="AL738" i="27"/>
  <c r="AK738" i="27"/>
  <c r="AE738" i="27"/>
  <c r="AD738" i="27"/>
  <c r="AC738" i="27"/>
  <c r="AA738" i="27"/>
  <c r="Z738" i="27"/>
  <c r="Y738" i="27"/>
  <c r="Q738" i="27"/>
  <c r="L738" i="27"/>
  <c r="F738" i="27"/>
  <c r="E738" i="27"/>
  <c r="AL737" i="27"/>
  <c r="AK737" i="27"/>
  <c r="AE737" i="27"/>
  <c r="AD737" i="27"/>
  <c r="AC737" i="27"/>
  <c r="AA737" i="27"/>
  <c r="Z737" i="27"/>
  <c r="Y737" i="27"/>
  <c r="AB737" i="27" s="1"/>
  <c r="Q737" i="27"/>
  <c r="L737" i="27"/>
  <c r="F737" i="27"/>
  <c r="E737" i="27"/>
  <c r="AL736" i="27"/>
  <c r="AK736" i="27"/>
  <c r="AE736" i="27"/>
  <c r="AD736" i="27"/>
  <c r="AC736" i="27"/>
  <c r="AA736" i="27"/>
  <c r="Z736" i="27"/>
  <c r="Y736" i="27"/>
  <c r="Q736" i="27"/>
  <c r="L736" i="27"/>
  <c r="F736" i="27"/>
  <c r="E736" i="27"/>
  <c r="AL735" i="27"/>
  <c r="AK735" i="27"/>
  <c r="AE735" i="27"/>
  <c r="AD735" i="27"/>
  <c r="AC735" i="27"/>
  <c r="AA735" i="27"/>
  <c r="Z735" i="27"/>
  <c r="Y735" i="27"/>
  <c r="Q735" i="27"/>
  <c r="L735" i="27"/>
  <c r="F735" i="27"/>
  <c r="E735" i="27"/>
  <c r="AL734" i="27"/>
  <c r="AK734" i="27"/>
  <c r="AE734" i="27"/>
  <c r="AD734" i="27"/>
  <c r="AC734" i="27"/>
  <c r="AA734" i="27"/>
  <c r="Z734" i="27"/>
  <c r="Y734" i="27"/>
  <c r="Q734" i="27"/>
  <c r="L734" i="27"/>
  <c r="F734" i="27"/>
  <c r="E734" i="27"/>
  <c r="AL733" i="27"/>
  <c r="AK733" i="27"/>
  <c r="AE733" i="27"/>
  <c r="AD733" i="27"/>
  <c r="AC733" i="27"/>
  <c r="AA733" i="27"/>
  <c r="Z733" i="27"/>
  <c r="Y733" i="27"/>
  <c r="AB733" i="27" s="1"/>
  <c r="Q733" i="27"/>
  <c r="L733" i="27"/>
  <c r="F733" i="27"/>
  <c r="E733" i="27"/>
  <c r="AL732" i="27"/>
  <c r="AK732" i="27"/>
  <c r="AE732" i="27"/>
  <c r="AD732" i="27"/>
  <c r="AC732" i="27"/>
  <c r="AA732" i="27"/>
  <c r="Z732" i="27"/>
  <c r="Y732" i="27"/>
  <c r="Q732" i="27"/>
  <c r="L732" i="27"/>
  <c r="F732" i="27"/>
  <c r="E732" i="27"/>
  <c r="AL731" i="27"/>
  <c r="AK731" i="27"/>
  <c r="AE731" i="27"/>
  <c r="AD731" i="27"/>
  <c r="AC731" i="27"/>
  <c r="AA731" i="27"/>
  <c r="Z731" i="27"/>
  <c r="Y731" i="27"/>
  <c r="Q731" i="27"/>
  <c r="L731" i="27"/>
  <c r="F731" i="27"/>
  <c r="E731" i="27"/>
  <c r="AL730" i="27"/>
  <c r="AK730" i="27"/>
  <c r="AE730" i="27"/>
  <c r="AD730" i="27"/>
  <c r="AC730" i="27"/>
  <c r="AA730" i="27"/>
  <c r="Z730" i="27"/>
  <c r="Y730" i="27"/>
  <c r="Q730" i="27"/>
  <c r="L730" i="27"/>
  <c r="F730" i="27"/>
  <c r="E730" i="27"/>
  <c r="AL729" i="27"/>
  <c r="AK729" i="27"/>
  <c r="AE729" i="27"/>
  <c r="AD729" i="27"/>
  <c r="AC729" i="27"/>
  <c r="AA729" i="27"/>
  <c r="Z729" i="27"/>
  <c r="Y729" i="27"/>
  <c r="AB729" i="27" s="1"/>
  <c r="Q729" i="27"/>
  <c r="L729" i="27"/>
  <c r="F729" i="27"/>
  <c r="E729" i="27"/>
  <c r="AL728" i="27"/>
  <c r="AK728" i="27"/>
  <c r="AE728" i="27"/>
  <c r="AD728" i="27"/>
  <c r="AC728" i="27"/>
  <c r="AA728" i="27"/>
  <c r="Z728" i="27"/>
  <c r="Y728" i="27"/>
  <c r="Q728" i="27"/>
  <c r="L728" i="27"/>
  <c r="F728" i="27"/>
  <c r="E728" i="27"/>
  <c r="AL727" i="27"/>
  <c r="AK727" i="27"/>
  <c r="AE727" i="27"/>
  <c r="AD727" i="27"/>
  <c r="AC727" i="27"/>
  <c r="AA727" i="27"/>
  <c r="Z727" i="27"/>
  <c r="Y727" i="27"/>
  <c r="Q727" i="27"/>
  <c r="L727" i="27"/>
  <c r="F727" i="27"/>
  <c r="E727" i="27"/>
  <c r="AL726" i="27"/>
  <c r="AK726" i="27"/>
  <c r="AE726" i="27"/>
  <c r="AD726" i="27"/>
  <c r="AC726" i="27"/>
  <c r="AA726" i="27"/>
  <c r="Z726" i="27"/>
  <c r="Y726" i="27"/>
  <c r="Q726" i="27"/>
  <c r="L726" i="27"/>
  <c r="F726" i="27"/>
  <c r="E726" i="27"/>
  <c r="AL725" i="27"/>
  <c r="AK725" i="27"/>
  <c r="AE725" i="27"/>
  <c r="AD725" i="27"/>
  <c r="AC725" i="27"/>
  <c r="AA725" i="27"/>
  <c r="Z725" i="27"/>
  <c r="Y725" i="27"/>
  <c r="AB725" i="27" s="1"/>
  <c r="Q725" i="27"/>
  <c r="L725" i="27"/>
  <c r="F725" i="27"/>
  <c r="E725" i="27"/>
  <c r="AL724" i="27"/>
  <c r="AK724" i="27"/>
  <c r="AE724" i="27"/>
  <c r="AD724" i="27"/>
  <c r="AC724" i="27"/>
  <c r="AA724" i="27"/>
  <c r="Z724" i="27"/>
  <c r="Y724" i="27"/>
  <c r="Q724" i="27"/>
  <c r="L724" i="27"/>
  <c r="F724" i="27"/>
  <c r="E724" i="27"/>
  <c r="AL723" i="27"/>
  <c r="AK723" i="27"/>
  <c r="AE723" i="27"/>
  <c r="AD723" i="27"/>
  <c r="AC723" i="27"/>
  <c r="AA723" i="27"/>
  <c r="Z723" i="27"/>
  <c r="Y723" i="27"/>
  <c r="Q723" i="27"/>
  <c r="L723" i="27"/>
  <c r="F723" i="27"/>
  <c r="E723" i="27"/>
  <c r="AL722" i="27"/>
  <c r="AK722" i="27"/>
  <c r="AE722" i="27"/>
  <c r="AD722" i="27"/>
  <c r="AC722" i="27"/>
  <c r="AA722" i="27"/>
  <c r="Z722" i="27"/>
  <c r="Y722" i="27"/>
  <c r="Q722" i="27"/>
  <c r="L722" i="27"/>
  <c r="F722" i="27"/>
  <c r="E722" i="27"/>
  <c r="AL721" i="27"/>
  <c r="AK721" i="27"/>
  <c r="AE721" i="27"/>
  <c r="AD721" i="27"/>
  <c r="AC721" i="27"/>
  <c r="AA721" i="27"/>
  <c r="Z721" i="27"/>
  <c r="Y721" i="27"/>
  <c r="AB721" i="27" s="1"/>
  <c r="Q721" i="27"/>
  <c r="L721" i="27"/>
  <c r="F721" i="27"/>
  <c r="E721" i="27"/>
  <c r="AL720" i="27"/>
  <c r="AK720" i="27"/>
  <c r="AE720" i="27"/>
  <c r="AD720" i="27"/>
  <c r="AC720" i="27"/>
  <c r="AA720" i="27"/>
  <c r="Z720" i="27"/>
  <c r="Y720" i="27"/>
  <c r="Q720" i="27"/>
  <c r="L720" i="27"/>
  <c r="F720" i="27"/>
  <c r="E720" i="27"/>
  <c r="AL719" i="27"/>
  <c r="AK719" i="27"/>
  <c r="AE719" i="27"/>
  <c r="AD719" i="27"/>
  <c r="AC719" i="27"/>
  <c r="AA719" i="27"/>
  <c r="Z719" i="27"/>
  <c r="Y719" i="27"/>
  <c r="Q719" i="27"/>
  <c r="L719" i="27"/>
  <c r="F719" i="27"/>
  <c r="E719" i="27"/>
  <c r="AL718" i="27"/>
  <c r="AK718" i="27"/>
  <c r="AE718" i="27"/>
  <c r="AD718" i="27"/>
  <c r="AC718" i="27"/>
  <c r="AA718" i="27"/>
  <c r="Z718" i="27"/>
  <c r="Y718" i="27"/>
  <c r="Q718" i="27"/>
  <c r="L718" i="27"/>
  <c r="F718" i="27"/>
  <c r="E718" i="27"/>
  <c r="AL717" i="27"/>
  <c r="AK717" i="27"/>
  <c r="AE717" i="27"/>
  <c r="AD717" i="27"/>
  <c r="AC717" i="27"/>
  <c r="AA717" i="27"/>
  <c r="Z717" i="27"/>
  <c r="Y717" i="27"/>
  <c r="AB717" i="27" s="1"/>
  <c r="Q717" i="27"/>
  <c r="L717" i="27"/>
  <c r="F717" i="27"/>
  <c r="E717" i="27"/>
  <c r="AL716" i="27"/>
  <c r="AK716" i="27"/>
  <c r="AE716" i="27"/>
  <c r="AD716" i="27"/>
  <c r="AC716" i="27"/>
  <c r="AA716" i="27"/>
  <c r="Z716" i="27"/>
  <c r="Y716" i="27"/>
  <c r="Q716" i="27"/>
  <c r="L716" i="27"/>
  <c r="F716" i="27"/>
  <c r="E716" i="27"/>
  <c r="AL715" i="27"/>
  <c r="AK715" i="27"/>
  <c r="AE715" i="27"/>
  <c r="AD715" i="27"/>
  <c r="AC715" i="27"/>
  <c r="AA715" i="27"/>
  <c r="Z715" i="27"/>
  <c r="Y715" i="27"/>
  <c r="Q715" i="27"/>
  <c r="L715" i="27"/>
  <c r="F715" i="27"/>
  <c r="E715" i="27"/>
  <c r="AL714" i="27"/>
  <c r="AK714" i="27"/>
  <c r="AE714" i="27"/>
  <c r="AD714" i="27"/>
  <c r="AC714" i="27"/>
  <c r="AA714" i="27"/>
  <c r="Z714" i="27"/>
  <c r="Y714" i="27"/>
  <c r="Q714" i="27"/>
  <c r="L714" i="27"/>
  <c r="F714" i="27"/>
  <c r="E714" i="27"/>
  <c r="AL713" i="27"/>
  <c r="AK713" i="27"/>
  <c r="AE713" i="27"/>
  <c r="AD713" i="27"/>
  <c r="AC713" i="27"/>
  <c r="AA713" i="27"/>
  <c r="Z713" i="27"/>
  <c r="Y713" i="27"/>
  <c r="AB713" i="27" s="1"/>
  <c r="Q713" i="27"/>
  <c r="L713" i="27"/>
  <c r="F713" i="27"/>
  <c r="E713" i="27"/>
  <c r="AL712" i="27"/>
  <c r="AK712" i="27"/>
  <c r="AE712" i="27"/>
  <c r="AD712" i="27"/>
  <c r="AC712" i="27"/>
  <c r="AA712" i="27"/>
  <c r="Z712" i="27"/>
  <c r="Y712" i="27"/>
  <c r="Q712" i="27"/>
  <c r="L712" i="27"/>
  <c r="F712" i="27"/>
  <c r="E712" i="27"/>
  <c r="AL711" i="27"/>
  <c r="AK711" i="27"/>
  <c r="AE711" i="27"/>
  <c r="AD711" i="27"/>
  <c r="AC711" i="27"/>
  <c r="AA711" i="27"/>
  <c r="Z711" i="27"/>
  <c r="Y711" i="27"/>
  <c r="Q711" i="27"/>
  <c r="L711" i="27"/>
  <c r="F711" i="27"/>
  <c r="E711" i="27"/>
  <c r="AL710" i="27"/>
  <c r="AK710" i="27"/>
  <c r="AE710" i="27"/>
  <c r="AD710" i="27"/>
  <c r="AC710" i="27"/>
  <c r="AA710" i="27"/>
  <c r="Z710" i="27"/>
  <c r="Y710" i="27"/>
  <c r="Q710" i="27"/>
  <c r="L710" i="27"/>
  <c r="F710" i="27"/>
  <c r="E710" i="27"/>
  <c r="AL709" i="27"/>
  <c r="AK709" i="27"/>
  <c r="AE709" i="27"/>
  <c r="AD709" i="27"/>
  <c r="AC709" i="27"/>
  <c r="AA709" i="27"/>
  <c r="Z709" i="27"/>
  <c r="Y709" i="27"/>
  <c r="AB709" i="27" s="1"/>
  <c r="Q709" i="27"/>
  <c r="L709" i="27"/>
  <c r="F709" i="27"/>
  <c r="E709" i="27"/>
  <c r="AL708" i="27"/>
  <c r="AK708" i="27"/>
  <c r="AE708" i="27"/>
  <c r="AD708" i="27"/>
  <c r="AC708" i="27"/>
  <c r="AA708" i="27"/>
  <c r="Z708" i="27"/>
  <c r="Y708" i="27"/>
  <c r="Q708" i="27"/>
  <c r="L708" i="27"/>
  <c r="F708" i="27"/>
  <c r="E708" i="27"/>
  <c r="AL707" i="27"/>
  <c r="AK707" i="27"/>
  <c r="AE707" i="27"/>
  <c r="AD707" i="27"/>
  <c r="AC707" i="27"/>
  <c r="AA707" i="27"/>
  <c r="Z707" i="27"/>
  <c r="Y707" i="27"/>
  <c r="Q707" i="27"/>
  <c r="L707" i="27"/>
  <c r="F707" i="27"/>
  <c r="E707" i="27"/>
  <c r="AL706" i="27"/>
  <c r="AK706" i="27"/>
  <c r="AE706" i="27"/>
  <c r="AD706" i="27"/>
  <c r="AC706" i="27"/>
  <c r="AA706" i="27"/>
  <c r="Z706" i="27"/>
  <c r="Y706" i="27"/>
  <c r="Q706" i="27"/>
  <c r="L706" i="27"/>
  <c r="F706" i="27"/>
  <c r="E706" i="27"/>
  <c r="AL705" i="27"/>
  <c r="AK705" i="27"/>
  <c r="AE705" i="27"/>
  <c r="AD705" i="27"/>
  <c r="AC705" i="27"/>
  <c r="AA705" i="27"/>
  <c r="Z705" i="27"/>
  <c r="Y705" i="27"/>
  <c r="AB705" i="27" s="1"/>
  <c r="Q705" i="27"/>
  <c r="L705" i="27"/>
  <c r="F705" i="27"/>
  <c r="E705" i="27"/>
  <c r="AL704" i="27"/>
  <c r="AK704" i="27"/>
  <c r="AE704" i="27"/>
  <c r="AD704" i="27"/>
  <c r="AC704" i="27"/>
  <c r="AA704" i="27"/>
  <c r="Z704" i="27"/>
  <c r="Y704" i="27"/>
  <c r="Q704" i="27"/>
  <c r="L704" i="27"/>
  <c r="F704" i="27"/>
  <c r="E704" i="27"/>
  <c r="AL703" i="27"/>
  <c r="AK703" i="27"/>
  <c r="AE703" i="27"/>
  <c r="AD703" i="27"/>
  <c r="AC703" i="27"/>
  <c r="AA703" i="27"/>
  <c r="Z703" i="27"/>
  <c r="Y703" i="27"/>
  <c r="Q703" i="27"/>
  <c r="L703" i="27"/>
  <c r="F703" i="27"/>
  <c r="E703" i="27"/>
  <c r="AL702" i="27"/>
  <c r="AK702" i="27"/>
  <c r="AE702" i="27"/>
  <c r="AD702" i="27"/>
  <c r="AC702" i="27"/>
  <c r="AA702" i="27"/>
  <c r="Z702" i="27"/>
  <c r="Y702" i="27"/>
  <c r="Q702" i="27"/>
  <c r="L702" i="27"/>
  <c r="F702" i="27"/>
  <c r="E702" i="27"/>
  <c r="AL701" i="27"/>
  <c r="AK701" i="27"/>
  <c r="AE701" i="27"/>
  <c r="AD701" i="27"/>
  <c r="AC701" i="27"/>
  <c r="AA701" i="27"/>
  <c r="Z701" i="27"/>
  <c r="Y701" i="27"/>
  <c r="AB701" i="27" s="1"/>
  <c r="Q701" i="27"/>
  <c r="L701" i="27"/>
  <c r="F701" i="27"/>
  <c r="E701" i="27"/>
  <c r="AL700" i="27"/>
  <c r="AK700" i="27"/>
  <c r="AE700" i="27"/>
  <c r="AD700" i="27"/>
  <c r="AC700" i="27"/>
  <c r="AA700" i="27"/>
  <c r="Z700" i="27"/>
  <c r="Y700" i="27"/>
  <c r="Q700" i="27"/>
  <c r="L700" i="27"/>
  <c r="F700" i="27"/>
  <c r="E700" i="27"/>
  <c r="AL699" i="27"/>
  <c r="AK699" i="27"/>
  <c r="AE699" i="27"/>
  <c r="AD699" i="27"/>
  <c r="AC699" i="27"/>
  <c r="AA699" i="27"/>
  <c r="Z699" i="27"/>
  <c r="Y699" i="27"/>
  <c r="Q699" i="27"/>
  <c r="L699" i="27"/>
  <c r="F699" i="27"/>
  <c r="E699" i="27"/>
  <c r="AL698" i="27"/>
  <c r="AK698" i="27"/>
  <c r="AE698" i="27"/>
  <c r="AD698" i="27"/>
  <c r="AC698" i="27"/>
  <c r="AA698" i="27"/>
  <c r="Z698" i="27"/>
  <c r="Y698" i="27"/>
  <c r="Q698" i="27"/>
  <c r="L698" i="27"/>
  <c r="F698" i="27"/>
  <c r="E698" i="27"/>
  <c r="AL697" i="27"/>
  <c r="AK697" i="27"/>
  <c r="AE697" i="27"/>
  <c r="AD697" i="27"/>
  <c r="AC697" i="27"/>
  <c r="AA697" i="27"/>
  <c r="Z697" i="27"/>
  <c r="Y697" i="27"/>
  <c r="AB697" i="27" s="1"/>
  <c r="Q697" i="27"/>
  <c r="L697" i="27"/>
  <c r="F697" i="27"/>
  <c r="E697" i="27"/>
  <c r="AL696" i="27"/>
  <c r="AK696" i="27"/>
  <c r="AE696" i="27"/>
  <c r="AD696" i="27"/>
  <c r="AC696" i="27"/>
  <c r="AA696" i="27"/>
  <c r="Z696" i="27"/>
  <c r="Y696" i="27"/>
  <c r="Q696" i="27"/>
  <c r="L696" i="27"/>
  <c r="F696" i="27"/>
  <c r="E696" i="27"/>
  <c r="AL695" i="27"/>
  <c r="AK695" i="27"/>
  <c r="AE695" i="27"/>
  <c r="AD695" i="27"/>
  <c r="AC695" i="27"/>
  <c r="AA695" i="27"/>
  <c r="Z695" i="27"/>
  <c r="Y695" i="27"/>
  <c r="Q695" i="27"/>
  <c r="L695" i="27"/>
  <c r="F695" i="27"/>
  <c r="E695" i="27"/>
  <c r="AL694" i="27"/>
  <c r="AK694" i="27"/>
  <c r="AE694" i="27"/>
  <c r="AD694" i="27"/>
  <c r="AC694" i="27"/>
  <c r="AA694" i="27"/>
  <c r="Z694" i="27"/>
  <c r="Y694" i="27"/>
  <c r="Q694" i="27"/>
  <c r="L694" i="27"/>
  <c r="F694" i="27"/>
  <c r="E694" i="27"/>
  <c r="AL693" i="27"/>
  <c r="AK693" i="27"/>
  <c r="AE693" i="27"/>
  <c r="AD693" i="27"/>
  <c r="AC693" i="27"/>
  <c r="AA693" i="27"/>
  <c r="Z693" i="27"/>
  <c r="Y693" i="27"/>
  <c r="AB693" i="27" s="1"/>
  <c r="Q693" i="27"/>
  <c r="L693" i="27"/>
  <c r="F693" i="27"/>
  <c r="E693" i="27"/>
  <c r="AL692" i="27"/>
  <c r="AK692" i="27"/>
  <c r="AE692" i="27"/>
  <c r="AD692" i="27"/>
  <c r="AC692" i="27"/>
  <c r="AA692" i="27"/>
  <c r="Z692" i="27"/>
  <c r="Y692" i="27"/>
  <c r="Q692" i="27"/>
  <c r="L692" i="27"/>
  <c r="F692" i="27"/>
  <c r="E692" i="27"/>
  <c r="AL691" i="27"/>
  <c r="AK691" i="27"/>
  <c r="AE691" i="27"/>
  <c r="AD691" i="27"/>
  <c r="AC691" i="27"/>
  <c r="AA691" i="27"/>
  <c r="Z691" i="27"/>
  <c r="Y691" i="27"/>
  <c r="Q691" i="27"/>
  <c r="L691" i="27"/>
  <c r="F691" i="27"/>
  <c r="E691" i="27"/>
  <c r="AL690" i="27"/>
  <c r="AK690" i="27"/>
  <c r="AE690" i="27"/>
  <c r="AD690" i="27"/>
  <c r="AC690" i="27"/>
  <c r="AA690" i="27"/>
  <c r="Z690" i="27"/>
  <c r="Y690" i="27"/>
  <c r="Q690" i="27"/>
  <c r="L690" i="27"/>
  <c r="F690" i="27"/>
  <c r="E690" i="27"/>
  <c r="AL689" i="27"/>
  <c r="AK689" i="27"/>
  <c r="AE689" i="27"/>
  <c r="AD689" i="27"/>
  <c r="AC689" i="27"/>
  <c r="AA689" i="27"/>
  <c r="Z689" i="27"/>
  <c r="Y689" i="27"/>
  <c r="AB689" i="27" s="1"/>
  <c r="Q689" i="27"/>
  <c r="L689" i="27"/>
  <c r="F689" i="27"/>
  <c r="E689" i="27"/>
  <c r="AL688" i="27"/>
  <c r="AK688" i="27"/>
  <c r="AE688" i="27"/>
  <c r="AD688" i="27"/>
  <c r="AC688" i="27"/>
  <c r="AA688" i="27"/>
  <c r="Z688" i="27"/>
  <c r="Y688" i="27"/>
  <c r="Q688" i="27"/>
  <c r="L688" i="27"/>
  <c r="F688" i="27"/>
  <c r="E688" i="27"/>
  <c r="AL687" i="27"/>
  <c r="AK687" i="27"/>
  <c r="AE687" i="27"/>
  <c r="AD687" i="27"/>
  <c r="AC687" i="27"/>
  <c r="AA687" i="27"/>
  <c r="Z687" i="27"/>
  <c r="Y687" i="27"/>
  <c r="Q687" i="27"/>
  <c r="L687" i="27"/>
  <c r="F687" i="27"/>
  <c r="E687" i="27"/>
  <c r="AL686" i="27"/>
  <c r="AK686" i="27"/>
  <c r="AE686" i="27"/>
  <c r="AD686" i="27"/>
  <c r="AC686" i="27"/>
  <c r="AA686" i="27"/>
  <c r="Z686" i="27"/>
  <c r="Y686" i="27"/>
  <c r="Q686" i="27"/>
  <c r="L686" i="27"/>
  <c r="F686" i="27"/>
  <c r="E686" i="27"/>
  <c r="AL685" i="27"/>
  <c r="AK685" i="27"/>
  <c r="AE685" i="27"/>
  <c r="AD685" i="27"/>
  <c r="AC685" i="27"/>
  <c r="AA685" i="27"/>
  <c r="Z685" i="27"/>
  <c r="Y685" i="27"/>
  <c r="AB685" i="27" s="1"/>
  <c r="Q685" i="27"/>
  <c r="L685" i="27"/>
  <c r="F685" i="27"/>
  <c r="E685" i="27"/>
  <c r="AL684" i="27"/>
  <c r="AK684" i="27"/>
  <c r="AE684" i="27"/>
  <c r="AD684" i="27"/>
  <c r="AC684" i="27"/>
  <c r="AA684" i="27"/>
  <c r="Z684" i="27"/>
  <c r="Y684" i="27"/>
  <c r="Q684" i="27"/>
  <c r="L684" i="27"/>
  <c r="F684" i="27"/>
  <c r="E684" i="27"/>
  <c r="AL683" i="27"/>
  <c r="AK683" i="27"/>
  <c r="AE683" i="27"/>
  <c r="AD683" i="27"/>
  <c r="AC683" i="27"/>
  <c r="AA683" i="27"/>
  <c r="Z683" i="27"/>
  <c r="Y683" i="27"/>
  <c r="Q683" i="27"/>
  <c r="L683" i="27"/>
  <c r="F683" i="27"/>
  <c r="E683" i="27"/>
  <c r="AL682" i="27"/>
  <c r="AK682" i="27"/>
  <c r="AE682" i="27"/>
  <c r="AD682" i="27"/>
  <c r="AC682" i="27"/>
  <c r="AA682" i="27"/>
  <c r="Z682" i="27"/>
  <c r="Y682" i="27"/>
  <c r="Q682" i="27"/>
  <c r="L682" i="27"/>
  <c r="F682" i="27"/>
  <c r="E682" i="27"/>
  <c r="AL681" i="27"/>
  <c r="AK681" i="27"/>
  <c r="AE681" i="27"/>
  <c r="AD681" i="27"/>
  <c r="AC681" i="27"/>
  <c r="AA681" i="27"/>
  <c r="Z681" i="27"/>
  <c r="Y681" i="27"/>
  <c r="AB681" i="27" s="1"/>
  <c r="Q681" i="27"/>
  <c r="L681" i="27"/>
  <c r="F681" i="27"/>
  <c r="E681" i="27"/>
  <c r="AL680" i="27"/>
  <c r="AK680" i="27"/>
  <c r="AE680" i="27"/>
  <c r="AD680" i="27"/>
  <c r="AC680" i="27"/>
  <c r="AA680" i="27"/>
  <c r="Z680" i="27"/>
  <c r="Y680" i="27"/>
  <c r="Q680" i="27"/>
  <c r="L680" i="27"/>
  <c r="F680" i="27"/>
  <c r="E680" i="27"/>
  <c r="AL679" i="27"/>
  <c r="AK679" i="27"/>
  <c r="AE679" i="27"/>
  <c r="AD679" i="27"/>
  <c r="AC679" i="27"/>
  <c r="AA679" i="27"/>
  <c r="Z679" i="27"/>
  <c r="Y679" i="27"/>
  <c r="Q679" i="27"/>
  <c r="L679" i="27"/>
  <c r="F679" i="27"/>
  <c r="E679" i="27"/>
  <c r="AL678" i="27"/>
  <c r="AK678" i="27"/>
  <c r="AE678" i="27"/>
  <c r="AD678" i="27"/>
  <c r="AC678" i="27"/>
  <c r="AA678" i="27"/>
  <c r="Z678" i="27"/>
  <c r="Y678" i="27"/>
  <c r="Q678" i="27"/>
  <c r="L678" i="27"/>
  <c r="F678" i="27"/>
  <c r="E678" i="27"/>
  <c r="AL677" i="27"/>
  <c r="AK677" i="27"/>
  <c r="AE677" i="27"/>
  <c r="AD677" i="27"/>
  <c r="AC677" i="27"/>
  <c r="AA677" i="27"/>
  <c r="Z677" i="27"/>
  <c r="Y677" i="27"/>
  <c r="AB677" i="27" s="1"/>
  <c r="Q677" i="27"/>
  <c r="L677" i="27"/>
  <c r="F677" i="27"/>
  <c r="E677" i="27"/>
  <c r="AL676" i="27"/>
  <c r="AK676" i="27"/>
  <c r="AE676" i="27"/>
  <c r="AD676" i="27"/>
  <c r="AC676" i="27"/>
  <c r="AA676" i="27"/>
  <c r="Z676" i="27"/>
  <c r="Y676" i="27"/>
  <c r="Q676" i="27"/>
  <c r="L676" i="27"/>
  <c r="F676" i="27"/>
  <c r="E676" i="27"/>
  <c r="AL675" i="27"/>
  <c r="AK675" i="27"/>
  <c r="AE675" i="27"/>
  <c r="AD675" i="27"/>
  <c r="AC675" i="27"/>
  <c r="AA675" i="27"/>
  <c r="Z675" i="27"/>
  <c r="Y675" i="27"/>
  <c r="Q675" i="27"/>
  <c r="L675" i="27"/>
  <c r="F675" i="27"/>
  <c r="E675" i="27"/>
  <c r="AL674" i="27"/>
  <c r="AK674" i="27"/>
  <c r="AE674" i="27"/>
  <c r="AD674" i="27"/>
  <c r="AC674" i="27"/>
  <c r="AA674" i="27"/>
  <c r="Z674" i="27"/>
  <c r="Y674" i="27"/>
  <c r="Q674" i="27"/>
  <c r="L674" i="27"/>
  <c r="F674" i="27"/>
  <c r="E674" i="27"/>
  <c r="AL673" i="27"/>
  <c r="AK673" i="27"/>
  <c r="AE673" i="27"/>
  <c r="AD673" i="27"/>
  <c r="AC673" i="27"/>
  <c r="AA673" i="27"/>
  <c r="Z673" i="27"/>
  <c r="Y673" i="27"/>
  <c r="AB673" i="27" s="1"/>
  <c r="Q673" i="27"/>
  <c r="L673" i="27"/>
  <c r="F673" i="27"/>
  <c r="E673" i="27"/>
  <c r="AL672" i="27"/>
  <c r="AK672" i="27"/>
  <c r="AE672" i="27"/>
  <c r="AD672" i="27"/>
  <c r="AC672" i="27"/>
  <c r="AA672" i="27"/>
  <c r="Z672" i="27"/>
  <c r="Y672" i="27"/>
  <c r="Q672" i="27"/>
  <c r="L672" i="27"/>
  <c r="F672" i="27"/>
  <c r="E672" i="27"/>
  <c r="AL671" i="27"/>
  <c r="AK671" i="27"/>
  <c r="AE671" i="27"/>
  <c r="AD671" i="27"/>
  <c r="AC671" i="27"/>
  <c r="AA671" i="27"/>
  <c r="Z671" i="27"/>
  <c r="Y671" i="27"/>
  <c r="Q671" i="27"/>
  <c r="L671" i="27"/>
  <c r="F671" i="27"/>
  <c r="E671" i="27"/>
  <c r="AL670" i="27"/>
  <c r="AK670" i="27"/>
  <c r="AE670" i="27"/>
  <c r="AD670" i="27"/>
  <c r="AC670" i="27"/>
  <c r="AA670" i="27"/>
  <c r="Z670" i="27"/>
  <c r="Y670" i="27"/>
  <c r="Q670" i="27"/>
  <c r="L670" i="27"/>
  <c r="F670" i="27"/>
  <c r="E670" i="27"/>
  <c r="AL669" i="27"/>
  <c r="AK669" i="27"/>
  <c r="AE669" i="27"/>
  <c r="AD669" i="27"/>
  <c r="AC669" i="27"/>
  <c r="AA669" i="27"/>
  <c r="Z669" i="27"/>
  <c r="Y669" i="27"/>
  <c r="AB669" i="27" s="1"/>
  <c r="Q669" i="27"/>
  <c r="L669" i="27"/>
  <c r="F669" i="27"/>
  <c r="E669" i="27"/>
  <c r="AL668" i="27"/>
  <c r="AK668" i="27"/>
  <c r="AE668" i="27"/>
  <c r="AD668" i="27"/>
  <c r="AC668" i="27"/>
  <c r="AA668" i="27"/>
  <c r="Z668" i="27"/>
  <c r="Y668" i="27"/>
  <c r="Q668" i="27"/>
  <c r="L668" i="27"/>
  <c r="F668" i="27"/>
  <c r="E668" i="27"/>
  <c r="AL667" i="27"/>
  <c r="AK667" i="27"/>
  <c r="AE667" i="27"/>
  <c r="AD667" i="27"/>
  <c r="AC667" i="27"/>
  <c r="AA667" i="27"/>
  <c r="Z667" i="27"/>
  <c r="Y667" i="27"/>
  <c r="Q667" i="27"/>
  <c r="L667" i="27"/>
  <c r="F667" i="27"/>
  <c r="E667" i="27"/>
  <c r="AL666" i="27"/>
  <c r="AK666" i="27"/>
  <c r="AE666" i="27"/>
  <c r="AD666" i="27"/>
  <c r="AC666" i="27"/>
  <c r="AA666" i="27"/>
  <c r="Z666" i="27"/>
  <c r="Y666" i="27"/>
  <c r="Q666" i="27"/>
  <c r="L666" i="27"/>
  <c r="F666" i="27"/>
  <c r="E666" i="27"/>
  <c r="AL665" i="27"/>
  <c r="AK665" i="27"/>
  <c r="AE665" i="27"/>
  <c r="AD665" i="27"/>
  <c r="AC665" i="27"/>
  <c r="AA665" i="27"/>
  <c r="Z665" i="27"/>
  <c r="Y665" i="27"/>
  <c r="AB665" i="27" s="1"/>
  <c r="Q665" i="27"/>
  <c r="L665" i="27"/>
  <c r="F665" i="27"/>
  <c r="E665" i="27"/>
  <c r="AL664" i="27"/>
  <c r="AK664" i="27"/>
  <c r="AE664" i="27"/>
  <c r="AD664" i="27"/>
  <c r="AC664" i="27"/>
  <c r="AA664" i="27"/>
  <c r="Z664" i="27"/>
  <c r="Y664" i="27"/>
  <c r="Q664" i="27"/>
  <c r="L664" i="27"/>
  <c r="F664" i="27"/>
  <c r="E664" i="27"/>
  <c r="AL663" i="27"/>
  <c r="AK663" i="27"/>
  <c r="AE663" i="27"/>
  <c r="AD663" i="27"/>
  <c r="AC663" i="27"/>
  <c r="AA663" i="27"/>
  <c r="Z663" i="27"/>
  <c r="Y663" i="27"/>
  <c r="Q663" i="27"/>
  <c r="L663" i="27"/>
  <c r="F663" i="27"/>
  <c r="E663" i="27"/>
  <c r="AL662" i="27"/>
  <c r="AK662" i="27"/>
  <c r="AE662" i="27"/>
  <c r="AD662" i="27"/>
  <c r="AC662" i="27"/>
  <c r="AA662" i="27"/>
  <c r="Z662" i="27"/>
  <c r="Y662" i="27"/>
  <c r="Q662" i="27"/>
  <c r="L662" i="27"/>
  <c r="F662" i="27"/>
  <c r="E662" i="27"/>
  <c r="AL661" i="27"/>
  <c r="AK661" i="27"/>
  <c r="AE661" i="27"/>
  <c r="AD661" i="27"/>
  <c r="AC661" i="27"/>
  <c r="AA661" i="27"/>
  <c r="Z661" i="27"/>
  <c r="Y661" i="27"/>
  <c r="AB661" i="27" s="1"/>
  <c r="Q661" i="27"/>
  <c r="L661" i="27"/>
  <c r="F661" i="27"/>
  <c r="E661" i="27"/>
  <c r="AL660" i="27"/>
  <c r="AK660" i="27"/>
  <c r="AE660" i="27"/>
  <c r="AD660" i="27"/>
  <c r="AC660" i="27"/>
  <c r="AA660" i="27"/>
  <c r="Z660" i="27"/>
  <c r="Y660" i="27"/>
  <c r="Q660" i="27"/>
  <c r="L660" i="27"/>
  <c r="F660" i="27"/>
  <c r="E660" i="27"/>
  <c r="AL659" i="27"/>
  <c r="AK659" i="27"/>
  <c r="AE659" i="27"/>
  <c r="AD659" i="27"/>
  <c r="AC659" i="27"/>
  <c r="AA659" i="27"/>
  <c r="Z659" i="27"/>
  <c r="Y659" i="27"/>
  <c r="Q659" i="27"/>
  <c r="L659" i="27"/>
  <c r="F659" i="27"/>
  <c r="E659" i="27"/>
  <c r="AL658" i="27"/>
  <c r="AK658" i="27"/>
  <c r="AE658" i="27"/>
  <c r="AD658" i="27"/>
  <c r="AC658" i="27"/>
  <c r="AA658" i="27"/>
  <c r="Z658" i="27"/>
  <c r="Y658" i="27"/>
  <c r="Q658" i="27"/>
  <c r="L658" i="27"/>
  <c r="F658" i="27"/>
  <c r="E658" i="27"/>
  <c r="AL657" i="27"/>
  <c r="AK657" i="27"/>
  <c r="AE657" i="27"/>
  <c r="AD657" i="27"/>
  <c r="AC657" i="27"/>
  <c r="AA657" i="27"/>
  <c r="Z657" i="27"/>
  <c r="Y657" i="27"/>
  <c r="AB657" i="27" s="1"/>
  <c r="Q657" i="27"/>
  <c r="L657" i="27"/>
  <c r="F657" i="27"/>
  <c r="E657" i="27"/>
  <c r="AL656" i="27"/>
  <c r="AK656" i="27"/>
  <c r="AE656" i="27"/>
  <c r="AD656" i="27"/>
  <c r="AC656" i="27"/>
  <c r="AA656" i="27"/>
  <c r="Z656" i="27"/>
  <c r="Y656" i="27"/>
  <c r="Q656" i="27"/>
  <c r="L656" i="27"/>
  <c r="F656" i="27"/>
  <c r="E656" i="27"/>
  <c r="AL655" i="27"/>
  <c r="AK655" i="27"/>
  <c r="AE655" i="27"/>
  <c r="AD655" i="27"/>
  <c r="AC655" i="27"/>
  <c r="AA655" i="27"/>
  <c r="Z655" i="27"/>
  <c r="Y655" i="27"/>
  <c r="Q655" i="27"/>
  <c r="L655" i="27"/>
  <c r="F655" i="27"/>
  <c r="E655" i="27"/>
  <c r="AL654" i="27"/>
  <c r="AK654" i="27"/>
  <c r="AE654" i="27"/>
  <c r="AD654" i="27"/>
  <c r="AC654" i="27"/>
  <c r="AA654" i="27"/>
  <c r="Z654" i="27"/>
  <c r="Y654" i="27"/>
  <c r="Q654" i="27"/>
  <c r="L654" i="27"/>
  <c r="F654" i="27"/>
  <c r="E654" i="27"/>
  <c r="AL653" i="27"/>
  <c r="AK653" i="27"/>
  <c r="AE653" i="27"/>
  <c r="AD653" i="27"/>
  <c r="AC653" i="27"/>
  <c r="AA653" i="27"/>
  <c r="Z653" i="27"/>
  <c r="Y653" i="27"/>
  <c r="AB653" i="27" s="1"/>
  <c r="Q653" i="27"/>
  <c r="L653" i="27"/>
  <c r="F653" i="27"/>
  <c r="E653" i="27"/>
  <c r="AL652" i="27"/>
  <c r="AK652" i="27"/>
  <c r="AE652" i="27"/>
  <c r="AD652" i="27"/>
  <c r="AC652" i="27"/>
  <c r="AA652" i="27"/>
  <c r="Z652" i="27"/>
  <c r="Y652" i="27"/>
  <c r="Q652" i="27"/>
  <c r="L652" i="27"/>
  <c r="F652" i="27"/>
  <c r="E652" i="27"/>
  <c r="AL651" i="27"/>
  <c r="AK651" i="27"/>
  <c r="AE651" i="27"/>
  <c r="AD651" i="27"/>
  <c r="AC651" i="27"/>
  <c r="AA651" i="27"/>
  <c r="Z651" i="27"/>
  <c r="Y651" i="27"/>
  <c r="Q651" i="27"/>
  <c r="L651" i="27"/>
  <c r="F651" i="27"/>
  <c r="E651" i="27"/>
  <c r="AL650" i="27"/>
  <c r="AK650" i="27"/>
  <c r="AE650" i="27"/>
  <c r="AD650" i="27"/>
  <c r="AC650" i="27"/>
  <c r="AA650" i="27"/>
  <c r="Z650" i="27"/>
  <c r="Y650" i="27"/>
  <c r="Q650" i="27"/>
  <c r="L650" i="27"/>
  <c r="F650" i="27"/>
  <c r="E650" i="27"/>
  <c r="AL649" i="27"/>
  <c r="AK649" i="27"/>
  <c r="AE649" i="27"/>
  <c r="AD649" i="27"/>
  <c r="AC649" i="27"/>
  <c r="AA649" i="27"/>
  <c r="Z649" i="27"/>
  <c r="Y649" i="27"/>
  <c r="AB649" i="27" s="1"/>
  <c r="Q649" i="27"/>
  <c r="L649" i="27"/>
  <c r="F649" i="27"/>
  <c r="E649" i="27"/>
  <c r="AL648" i="27"/>
  <c r="AK648" i="27"/>
  <c r="AE648" i="27"/>
  <c r="AD648" i="27"/>
  <c r="AC648" i="27"/>
  <c r="AA648" i="27"/>
  <c r="Z648" i="27"/>
  <c r="Y648" i="27"/>
  <c r="Q648" i="27"/>
  <c r="L648" i="27"/>
  <c r="F648" i="27"/>
  <c r="E648" i="27"/>
  <c r="AL647" i="27"/>
  <c r="AK647" i="27"/>
  <c r="AE647" i="27"/>
  <c r="AD647" i="27"/>
  <c r="AC647" i="27"/>
  <c r="AA647" i="27"/>
  <c r="Z647" i="27"/>
  <c r="Y647" i="27"/>
  <c r="Q647" i="27"/>
  <c r="L647" i="27"/>
  <c r="F647" i="27"/>
  <c r="E647" i="27"/>
  <c r="AL646" i="27"/>
  <c r="AK646" i="27"/>
  <c r="AE646" i="27"/>
  <c r="AD646" i="27"/>
  <c r="AC646" i="27"/>
  <c r="AA646" i="27"/>
  <c r="Z646" i="27"/>
  <c r="Y646" i="27"/>
  <c r="Q646" i="27"/>
  <c r="L646" i="27"/>
  <c r="F646" i="27"/>
  <c r="E646" i="27"/>
  <c r="AL645" i="27"/>
  <c r="AK645" i="27"/>
  <c r="AE645" i="27"/>
  <c r="AD645" i="27"/>
  <c r="AC645" i="27"/>
  <c r="AA645" i="27"/>
  <c r="Z645" i="27"/>
  <c r="Y645" i="27"/>
  <c r="AB645" i="27" s="1"/>
  <c r="Q645" i="27"/>
  <c r="L645" i="27"/>
  <c r="F645" i="27"/>
  <c r="E645" i="27"/>
  <c r="AL644" i="27"/>
  <c r="AK644" i="27"/>
  <c r="AE644" i="27"/>
  <c r="AD644" i="27"/>
  <c r="AC644" i="27"/>
  <c r="AA644" i="27"/>
  <c r="Z644" i="27"/>
  <c r="Y644" i="27"/>
  <c r="Q644" i="27"/>
  <c r="L644" i="27"/>
  <c r="F644" i="27"/>
  <c r="E644" i="27"/>
  <c r="AL643" i="27"/>
  <c r="AK643" i="27"/>
  <c r="AE643" i="27"/>
  <c r="AD643" i="27"/>
  <c r="AC643" i="27"/>
  <c r="AA643" i="27"/>
  <c r="Z643" i="27"/>
  <c r="Y643" i="27"/>
  <c r="Q643" i="27"/>
  <c r="L643" i="27"/>
  <c r="F643" i="27"/>
  <c r="E643" i="27"/>
  <c r="AL642" i="27"/>
  <c r="AK642" i="27"/>
  <c r="AE642" i="27"/>
  <c r="AD642" i="27"/>
  <c r="AC642" i="27"/>
  <c r="AA642" i="27"/>
  <c r="Z642" i="27"/>
  <c r="Y642" i="27"/>
  <c r="Q642" i="27"/>
  <c r="L642" i="27"/>
  <c r="F642" i="27"/>
  <c r="E642" i="27"/>
  <c r="AL641" i="27"/>
  <c r="AK641" i="27"/>
  <c r="AE641" i="27"/>
  <c r="AD641" i="27"/>
  <c r="AC641" i="27"/>
  <c r="AA641" i="27"/>
  <c r="Z641" i="27"/>
  <c r="Y641" i="27"/>
  <c r="AB641" i="27" s="1"/>
  <c r="Q641" i="27"/>
  <c r="L641" i="27"/>
  <c r="F641" i="27"/>
  <c r="E641" i="27"/>
  <c r="AL640" i="27"/>
  <c r="AK640" i="27"/>
  <c r="AE640" i="27"/>
  <c r="AD640" i="27"/>
  <c r="AC640" i="27"/>
  <c r="AA640" i="27"/>
  <c r="Z640" i="27"/>
  <c r="Y640" i="27"/>
  <c r="Q640" i="27"/>
  <c r="L640" i="27"/>
  <c r="F640" i="27"/>
  <c r="E640" i="27"/>
  <c r="AL639" i="27"/>
  <c r="AK639" i="27"/>
  <c r="AE639" i="27"/>
  <c r="AD639" i="27"/>
  <c r="AC639" i="27"/>
  <c r="AA639" i="27"/>
  <c r="Z639" i="27"/>
  <c r="Y639" i="27"/>
  <c r="Q639" i="27"/>
  <c r="L639" i="27"/>
  <c r="F639" i="27"/>
  <c r="E639" i="27"/>
  <c r="AL638" i="27"/>
  <c r="AK638" i="27"/>
  <c r="AE638" i="27"/>
  <c r="AD638" i="27"/>
  <c r="AC638" i="27"/>
  <c r="AA638" i="27"/>
  <c r="Z638" i="27"/>
  <c r="Y638" i="27"/>
  <c r="Q638" i="27"/>
  <c r="L638" i="27"/>
  <c r="F638" i="27"/>
  <c r="E638" i="27"/>
  <c r="AL637" i="27"/>
  <c r="AK637" i="27"/>
  <c r="AE637" i="27"/>
  <c r="AD637" i="27"/>
  <c r="AC637" i="27"/>
  <c r="AA637" i="27"/>
  <c r="Z637" i="27"/>
  <c r="Y637" i="27"/>
  <c r="AB637" i="27" s="1"/>
  <c r="Q637" i="27"/>
  <c r="L637" i="27"/>
  <c r="F637" i="27"/>
  <c r="E637" i="27"/>
  <c r="AL636" i="27"/>
  <c r="AK636" i="27"/>
  <c r="AE636" i="27"/>
  <c r="AD636" i="27"/>
  <c r="AC636" i="27"/>
  <c r="AA636" i="27"/>
  <c r="Z636" i="27"/>
  <c r="Y636" i="27"/>
  <c r="Q636" i="27"/>
  <c r="L636" i="27"/>
  <c r="F636" i="27"/>
  <c r="E636" i="27"/>
  <c r="AL635" i="27"/>
  <c r="AK635" i="27"/>
  <c r="AE635" i="27"/>
  <c r="AD635" i="27"/>
  <c r="AC635" i="27"/>
  <c r="AA635" i="27"/>
  <c r="Z635" i="27"/>
  <c r="Y635" i="27"/>
  <c r="Q635" i="27"/>
  <c r="L635" i="27"/>
  <c r="F635" i="27"/>
  <c r="E635" i="27"/>
  <c r="AL634" i="27"/>
  <c r="AK634" i="27"/>
  <c r="AE634" i="27"/>
  <c r="AD634" i="27"/>
  <c r="AC634" i="27"/>
  <c r="AA634" i="27"/>
  <c r="Z634" i="27"/>
  <c r="Y634" i="27"/>
  <c r="Q634" i="27"/>
  <c r="L634" i="27"/>
  <c r="F634" i="27"/>
  <c r="E634" i="27"/>
  <c r="AL633" i="27"/>
  <c r="AK633" i="27"/>
  <c r="AE633" i="27"/>
  <c r="AD633" i="27"/>
  <c r="AC633" i="27"/>
  <c r="AA633" i="27"/>
  <c r="Z633" i="27"/>
  <c r="Y633" i="27"/>
  <c r="AB633" i="27" s="1"/>
  <c r="Q633" i="27"/>
  <c r="L633" i="27"/>
  <c r="F633" i="27"/>
  <c r="E633" i="27"/>
  <c r="AL632" i="27"/>
  <c r="AK632" i="27"/>
  <c r="AE632" i="27"/>
  <c r="AD632" i="27"/>
  <c r="AC632" i="27"/>
  <c r="AA632" i="27"/>
  <c r="Z632" i="27"/>
  <c r="Y632" i="27"/>
  <c r="Q632" i="27"/>
  <c r="L632" i="27"/>
  <c r="F632" i="27"/>
  <c r="E632" i="27"/>
  <c r="AL631" i="27"/>
  <c r="AK631" i="27"/>
  <c r="AE631" i="27"/>
  <c r="AD631" i="27"/>
  <c r="AC631" i="27"/>
  <c r="AA631" i="27"/>
  <c r="Z631" i="27"/>
  <c r="Y631" i="27"/>
  <c r="Q631" i="27"/>
  <c r="L631" i="27"/>
  <c r="F631" i="27"/>
  <c r="E631" i="27"/>
  <c r="AL630" i="27"/>
  <c r="AK630" i="27"/>
  <c r="AE630" i="27"/>
  <c r="AD630" i="27"/>
  <c r="AC630" i="27"/>
  <c r="AA630" i="27"/>
  <c r="Z630" i="27"/>
  <c r="Y630" i="27"/>
  <c r="Q630" i="27"/>
  <c r="L630" i="27"/>
  <c r="F630" i="27"/>
  <c r="E630" i="27"/>
  <c r="AL629" i="27"/>
  <c r="AK629" i="27"/>
  <c r="AE629" i="27"/>
  <c r="AD629" i="27"/>
  <c r="AC629" i="27"/>
  <c r="AA629" i="27"/>
  <c r="Z629" i="27"/>
  <c r="Y629" i="27"/>
  <c r="AB629" i="27" s="1"/>
  <c r="Q629" i="27"/>
  <c r="L629" i="27"/>
  <c r="F629" i="27"/>
  <c r="E629" i="27"/>
  <c r="AL628" i="27"/>
  <c r="AK628" i="27"/>
  <c r="AE628" i="27"/>
  <c r="AD628" i="27"/>
  <c r="AC628" i="27"/>
  <c r="AA628" i="27"/>
  <c r="Z628" i="27"/>
  <c r="Y628" i="27"/>
  <c r="Q628" i="27"/>
  <c r="L628" i="27"/>
  <c r="F628" i="27"/>
  <c r="E628" i="27"/>
  <c r="AL627" i="27"/>
  <c r="AK627" i="27"/>
  <c r="AE627" i="27"/>
  <c r="AD627" i="27"/>
  <c r="AC627" i="27"/>
  <c r="AA627" i="27"/>
  <c r="Z627" i="27"/>
  <c r="Y627" i="27"/>
  <c r="Q627" i="27"/>
  <c r="L627" i="27"/>
  <c r="F627" i="27"/>
  <c r="E627" i="27"/>
  <c r="AL626" i="27"/>
  <c r="AK626" i="27"/>
  <c r="AE626" i="27"/>
  <c r="AD626" i="27"/>
  <c r="AC626" i="27"/>
  <c r="AA626" i="27"/>
  <c r="Z626" i="27"/>
  <c r="Y626" i="27"/>
  <c r="Q626" i="27"/>
  <c r="L626" i="27"/>
  <c r="F626" i="27"/>
  <c r="E626" i="27"/>
  <c r="AL625" i="27"/>
  <c r="AK625" i="27"/>
  <c r="AE625" i="27"/>
  <c r="AD625" i="27"/>
  <c r="AC625" i="27"/>
  <c r="AA625" i="27"/>
  <c r="Z625" i="27"/>
  <c r="Y625" i="27"/>
  <c r="AB625" i="27" s="1"/>
  <c r="Q625" i="27"/>
  <c r="L625" i="27"/>
  <c r="F625" i="27"/>
  <c r="E625" i="27"/>
  <c r="AL624" i="27"/>
  <c r="AK624" i="27"/>
  <c r="AE624" i="27"/>
  <c r="AD624" i="27"/>
  <c r="AC624" i="27"/>
  <c r="AA624" i="27"/>
  <c r="Z624" i="27"/>
  <c r="Y624" i="27"/>
  <c r="Q624" i="27"/>
  <c r="L624" i="27"/>
  <c r="F624" i="27"/>
  <c r="E624" i="27"/>
  <c r="AL623" i="27"/>
  <c r="AK623" i="27"/>
  <c r="AE623" i="27"/>
  <c r="AD623" i="27"/>
  <c r="AC623" i="27"/>
  <c r="AA623" i="27"/>
  <c r="Z623" i="27"/>
  <c r="Y623" i="27"/>
  <c r="Q623" i="27"/>
  <c r="L623" i="27"/>
  <c r="F623" i="27"/>
  <c r="E623" i="27"/>
  <c r="AL622" i="27"/>
  <c r="AK622" i="27"/>
  <c r="AE622" i="27"/>
  <c r="AD622" i="27"/>
  <c r="AC622" i="27"/>
  <c r="AA622" i="27"/>
  <c r="Z622" i="27"/>
  <c r="Y622" i="27"/>
  <c r="Q622" i="27"/>
  <c r="L622" i="27"/>
  <c r="F622" i="27"/>
  <c r="E622" i="27"/>
  <c r="AL621" i="27"/>
  <c r="AK621" i="27"/>
  <c r="AE621" i="27"/>
  <c r="AD621" i="27"/>
  <c r="AC621" i="27"/>
  <c r="AA621" i="27"/>
  <c r="Z621" i="27"/>
  <c r="Y621" i="27"/>
  <c r="AB621" i="27" s="1"/>
  <c r="Q621" i="27"/>
  <c r="L621" i="27"/>
  <c r="F621" i="27"/>
  <c r="E621" i="27"/>
  <c r="AL620" i="27"/>
  <c r="AK620" i="27"/>
  <c r="AE620" i="27"/>
  <c r="AD620" i="27"/>
  <c r="AC620" i="27"/>
  <c r="AA620" i="27"/>
  <c r="Z620" i="27"/>
  <c r="Y620" i="27"/>
  <c r="Q620" i="27"/>
  <c r="L620" i="27"/>
  <c r="F620" i="27"/>
  <c r="E620" i="27"/>
  <c r="AL619" i="27"/>
  <c r="AK619" i="27"/>
  <c r="AE619" i="27"/>
  <c r="AD619" i="27"/>
  <c r="AC619" i="27"/>
  <c r="AA619" i="27"/>
  <c r="Z619" i="27"/>
  <c r="Y619" i="27"/>
  <c r="Q619" i="27"/>
  <c r="L619" i="27"/>
  <c r="F619" i="27"/>
  <c r="E619" i="27"/>
  <c r="AL618" i="27"/>
  <c r="AK618" i="27"/>
  <c r="AE618" i="27"/>
  <c r="AD618" i="27"/>
  <c r="AC618" i="27"/>
  <c r="AA618" i="27"/>
  <c r="Z618" i="27"/>
  <c r="Y618" i="27"/>
  <c r="Q618" i="27"/>
  <c r="L618" i="27"/>
  <c r="F618" i="27"/>
  <c r="E618" i="27"/>
  <c r="AL617" i="27"/>
  <c r="AK617" i="27"/>
  <c r="AE617" i="27"/>
  <c r="AD617" i="27"/>
  <c r="AC617" i="27"/>
  <c r="AA617" i="27"/>
  <c r="Z617" i="27"/>
  <c r="Y617" i="27"/>
  <c r="AB617" i="27" s="1"/>
  <c r="Q617" i="27"/>
  <c r="L617" i="27"/>
  <c r="F617" i="27"/>
  <c r="E617" i="27"/>
  <c r="AL616" i="27"/>
  <c r="AK616" i="27"/>
  <c r="AE616" i="27"/>
  <c r="AD616" i="27"/>
  <c r="AC616" i="27"/>
  <c r="AA616" i="27"/>
  <c r="Z616" i="27"/>
  <c r="Y616" i="27"/>
  <c r="Q616" i="27"/>
  <c r="L616" i="27"/>
  <c r="F616" i="27"/>
  <c r="E616" i="27"/>
  <c r="AL615" i="27"/>
  <c r="AK615" i="27"/>
  <c r="AE615" i="27"/>
  <c r="AD615" i="27"/>
  <c r="AC615" i="27"/>
  <c r="AA615" i="27"/>
  <c r="Z615" i="27"/>
  <c r="Y615" i="27"/>
  <c r="Q615" i="27"/>
  <c r="L615" i="27"/>
  <c r="F615" i="27"/>
  <c r="E615" i="27"/>
  <c r="AL614" i="27"/>
  <c r="AK614" i="27"/>
  <c r="AE614" i="27"/>
  <c r="AD614" i="27"/>
  <c r="AC614" i="27"/>
  <c r="AA614" i="27"/>
  <c r="Z614" i="27"/>
  <c r="Y614" i="27"/>
  <c r="Q614" i="27"/>
  <c r="L614" i="27"/>
  <c r="F614" i="27"/>
  <c r="E614" i="27"/>
  <c r="AL613" i="27"/>
  <c r="AK613" i="27"/>
  <c r="AE613" i="27"/>
  <c r="AD613" i="27"/>
  <c r="AC613" i="27"/>
  <c r="AA613" i="27"/>
  <c r="Z613" i="27"/>
  <c r="Y613" i="27"/>
  <c r="AB613" i="27" s="1"/>
  <c r="Q613" i="27"/>
  <c r="L613" i="27"/>
  <c r="F613" i="27"/>
  <c r="E613" i="27"/>
  <c r="AL612" i="27"/>
  <c r="AK612" i="27"/>
  <c r="AE612" i="27"/>
  <c r="AD612" i="27"/>
  <c r="AC612" i="27"/>
  <c r="AA612" i="27"/>
  <c r="Z612" i="27"/>
  <c r="Y612" i="27"/>
  <c r="Q612" i="27"/>
  <c r="L612" i="27"/>
  <c r="F612" i="27"/>
  <c r="E612" i="27"/>
  <c r="AL611" i="27"/>
  <c r="AK611" i="27"/>
  <c r="AE611" i="27"/>
  <c r="AD611" i="27"/>
  <c r="AC611" i="27"/>
  <c r="AA611" i="27"/>
  <c r="Z611" i="27"/>
  <c r="Y611" i="27"/>
  <c r="Q611" i="27"/>
  <c r="L611" i="27"/>
  <c r="F611" i="27"/>
  <c r="E611" i="27"/>
  <c r="AL610" i="27"/>
  <c r="AK610" i="27"/>
  <c r="AE610" i="27"/>
  <c r="AD610" i="27"/>
  <c r="AC610" i="27"/>
  <c r="AA610" i="27"/>
  <c r="Z610" i="27"/>
  <c r="Y610" i="27"/>
  <c r="Q610" i="27"/>
  <c r="L610" i="27"/>
  <c r="F610" i="27"/>
  <c r="E610" i="27"/>
  <c r="AL609" i="27"/>
  <c r="AK609" i="27"/>
  <c r="AE609" i="27"/>
  <c r="AD609" i="27"/>
  <c r="AC609" i="27"/>
  <c r="AA609" i="27"/>
  <c r="Z609" i="27"/>
  <c r="Y609" i="27"/>
  <c r="AB609" i="27" s="1"/>
  <c r="Q609" i="27"/>
  <c r="L609" i="27"/>
  <c r="F609" i="27"/>
  <c r="E609" i="27"/>
  <c r="AL608" i="27"/>
  <c r="AK608" i="27"/>
  <c r="AE608" i="27"/>
  <c r="AD608" i="27"/>
  <c r="AC608" i="27"/>
  <c r="AA608" i="27"/>
  <c r="Z608" i="27"/>
  <c r="Y608" i="27"/>
  <c r="Q608" i="27"/>
  <c r="L608" i="27"/>
  <c r="F608" i="27"/>
  <c r="E608" i="27"/>
  <c r="AL607" i="27"/>
  <c r="AK607" i="27"/>
  <c r="AE607" i="27"/>
  <c r="AD607" i="27"/>
  <c r="AC607" i="27"/>
  <c r="AA607" i="27"/>
  <c r="Z607" i="27"/>
  <c r="Y607" i="27"/>
  <c r="Q607" i="27"/>
  <c r="L607" i="27"/>
  <c r="F607" i="27"/>
  <c r="E607" i="27"/>
  <c r="AL606" i="27"/>
  <c r="AK606" i="27"/>
  <c r="AE606" i="27"/>
  <c r="AD606" i="27"/>
  <c r="AC606" i="27"/>
  <c r="AA606" i="27"/>
  <c r="Z606" i="27"/>
  <c r="Y606" i="27"/>
  <c r="Q606" i="27"/>
  <c r="L606" i="27"/>
  <c r="F606" i="27"/>
  <c r="E606" i="27"/>
  <c r="AL605" i="27"/>
  <c r="AK605" i="27"/>
  <c r="AE605" i="27"/>
  <c r="AD605" i="27"/>
  <c r="AC605" i="27"/>
  <c r="AA605" i="27"/>
  <c r="Z605" i="27"/>
  <c r="Y605" i="27"/>
  <c r="AB605" i="27" s="1"/>
  <c r="Q605" i="27"/>
  <c r="L605" i="27"/>
  <c r="F605" i="27"/>
  <c r="E605" i="27"/>
  <c r="AL604" i="27"/>
  <c r="AK604" i="27"/>
  <c r="AE604" i="27"/>
  <c r="AD604" i="27"/>
  <c r="AC604" i="27"/>
  <c r="AA604" i="27"/>
  <c r="Z604" i="27"/>
  <c r="Y604" i="27"/>
  <c r="Q604" i="27"/>
  <c r="L604" i="27"/>
  <c r="F604" i="27"/>
  <c r="E604" i="27"/>
  <c r="AL603" i="27"/>
  <c r="AK603" i="27"/>
  <c r="AE603" i="27"/>
  <c r="AD603" i="27"/>
  <c r="AC603" i="27"/>
  <c r="AA603" i="27"/>
  <c r="Z603" i="27"/>
  <c r="Y603" i="27"/>
  <c r="Q603" i="27"/>
  <c r="L603" i="27"/>
  <c r="F603" i="27"/>
  <c r="E603" i="27"/>
  <c r="AL602" i="27"/>
  <c r="AK602" i="27"/>
  <c r="AE602" i="27"/>
  <c r="AD602" i="27"/>
  <c r="AC602" i="27"/>
  <c r="AA602" i="27"/>
  <c r="Z602" i="27"/>
  <c r="Y602" i="27"/>
  <c r="Q602" i="27"/>
  <c r="L602" i="27"/>
  <c r="F602" i="27"/>
  <c r="E602" i="27"/>
  <c r="AL601" i="27"/>
  <c r="AK601" i="27"/>
  <c r="AE601" i="27"/>
  <c r="AD601" i="27"/>
  <c r="AC601" i="27"/>
  <c r="AA601" i="27"/>
  <c r="Z601" i="27"/>
  <c r="Y601" i="27"/>
  <c r="AB601" i="27" s="1"/>
  <c r="Q601" i="27"/>
  <c r="L601" i="27"/>
  <c r="F601" i="27"/>
  <c r="E601" i="27"/>
  <c r="AL600" i="27"/>
  <c r="AK600" i="27"/>
  <c r="AE600" i="27"/>
  <c r="AD600" i="27"/>
  <c r="AC600" i="27"/>
  <c r="AA600" i="27"/>
  <c r="Z600" i="27"/>
  <c r="Y600" i="27"/>
  <c r="Q600" i="27"/>
  <c r="L600" i="27"/>
  <c r="F600" i="27"/>
  <c r="E600" i="27"/>
  <c r="AL599" i="27"/>
  <c r="AK599" i="27"/>
  <c r="AE599" i="27"/>
  <c r="AD599" i="27"/>
  <c r="AC599" i="27"/>
  <c r="AA599" i="27"/>
  <c r="Z599" i="27"/>
  <c r="Y599" i="27"/>
  <c r="Q599" i="27"/>
  <c r="L599" i="27"/>
  <c r="F599" i="27"/>
  <c r="E599" i="27"/>
  <c r="AL598" i="27"/>
  <c r="AK598" i="27"/>
  <c r="AE598" i="27"/>
  <c r="AD598" i="27"/>
  <c r="AC598" i="27"/>
  <c r="AA598" i="27"/>
  <c r="Z598" i="27"/>
  <c r="Y598" i="27"/>
  <c r="Q598" i="27"/>
  <c r="L598" i="27"/>
  <c r="F598" i="27"/>
  <c r="E598" i="27"/>
  <c r="AL597" i="27"/>
  <c r="AK597" i="27"/>
  <c r="AE597" i="27"/>
  <c r="AD597" i="27"/>
  <c r="AC597" i="27"/>
  <c r="AA597" i="27"/>
  <c r="Z597" i="27"/>
  <c r="Y597" i="27"/>
  <c r="AB597" i="27" s="1"/>
  <c r="Q597" i="27"/>
  <c r="L597" i="27"/>
  <c r="F597" i="27"/>
  <c r="E597" i="27"/>
  <c r="AL596" i="27"/>
  <c r="AK596" i="27"/>
  <c r="AE596" i="27"/>
  <c r="AD596" i="27"/>
  <c r="AC596" i="27"/>
  <c r="AA596" i="27"/>
  <c r="Z596" i="27"/>
  <c r="Y596" i="27"/>
  <c r="Q596" i="27"/>
  <c r="L596" i="27"/>
  <c r="F596" i="27"/>
  <c r="E596" i="27"/>
  <c r="AL595" i="27"/>
  <c r="AK595" i="27"/>
  <c r="AE595" i="27"/>
  <c r="AD595" i="27"/>
  <c r="AC595" i="27"/>
  <c r="AA595" i="27"/>
  <c r="Z595" i="27"/>
  <c r="Y595" i="27"/>
  <c r="Q595" i="27"/>
  <c r="L595" i="27"/>
  <c r="F595" i="27"/>
  <c r="E595" i="27"/>
  <c r="AL594" i="27"/>
  <c r="AK594" i="27"/>
  <c r="AE594" i="27"/>
  <c r="AD594" i="27"/>
  <c r="AC594" i="27"/>
  <c r="AA594" i="27"/>
  <c r="Z594" i="27"/>
  <c r="Y594" i="27"/>
  <c r="Q594" i="27"/>
  <c r="L594" i="27"/>
  <c r="F594" i="27"/>
  <c r="E594" i="27"/>
  <c r="AL593" i="27"/>
  <c r="AK593" i="27"/>
  <c r="AE593" i="27"/>
  <c r="AD593" i="27"/>
  <c r="AC593" i="27"/>
  <c r="AA593" i="27"/>
  <c r="Z593" i="27"/>
  <c r="Y593" i="27"/>
  <c r="AB593" i="27" s="1"/>
  <c r="Q593" i="27"/>
  <c r="L593" i="27"/>
  <c r="F593" i="27"/>
  <c r="E593" i="27"/>
  <c r="AL592" i="27"/>
  <c r="AK592" i="27"/>
  <c r="AE592" i="27"/>
  <c r="AD592" i="27"/>
  <c r="AC592" i="27"/>
  <c r="AA592" i="27"/>
  <c r="Z592" i="27"/>
  <c r="Y592" i="27"/>
  <c r="Q592" i="27"/>
  <c r="L592" i="27"/>
  <c r="F592" i="27"/>
  <c r="E592" i="27"/>
  <c r="AL591" i="27"/>
  <c r="AK591" i="27"/>
  <c r="AE591" i="27"/>
  <c r="AD591" i="27"/>
  <c r="AC591" i="27"/>
  <c r="AA591" i="27"/>
  <c r="Z591" i="27"/>
  <c r="Y591" i="27"/>
  <c r="Q591" i="27"/>
  <c r="L591" i="27"/>
  <c r="F591" i="27"/>
  <c r="E591" i="27"/>
  <c r="AL590" i="27"/>
  <c r="AK590" i="27"/>
  <c r="AE590" i="27"/>
  <c r="AD590" i="27"/>
  <c r="AC590" i="27"/>
  <c r="AA590" i="27"/>
  <c r="Z590" i="27"/>
  <c r="Y590" i="27"/>
  <c r="Q590" i="27"/>
  <c r="L590" i="27"/>
  <c r="F590" i="27"/>
  <c r="E590" i="27"/>
  <c r="AL589" i="27"/>
  <c r="AK589" i="27"/>
  <c r="AE589" i="27"/>
  <c r="AD589" i="27"/>
  <c r="AC589" i="27"/>
  <c r="AA589" i="27"/>
  <c r="Z589" i="27"/>
  <c r="Y589" i="27"/>
  <c r="AB589" i="27" s="1"/>
  <c r="Q589" i="27"/>
  <c r="L589" i="27"/>
  <c r="F589" i="27"/>
  <c r="E589" i="27"/>
  <c r="AL588" i="27"/>
  <c r="AK588" i="27"/>
  <c r="AE588" i="27"/>
  <c r="AD588" i="27"/>
  <c r="AC588" i="27"/>
  <c r="AA588" i="27"/>
  <c r="Z588" i="27"/>
  <c r="Y588" i="27"/>
  <c r="Q588" i="27"/>
  <c r="L588" i="27"/>
  <c r="F588" i="27"/>
  <c r="E588" i="27"/>
  <c r="AL587" i="27"/>
  <c r="AK587" i="27"/>
  <c r="AE587" i="27"/>
  <c r="AD587" i="27"/>
  <c r="AC587" i="27"/>
  <c r="AA587" i="27"/>
  <c r="Z587" i="27"/>
  <c r="Y587" i="27"/>
  <c r="Q587" i="27"/>
  <c r="L587" i="27"/>
  <c r="F587" i="27"/>
  <c r="E587" i="27"/>
  <c r="AL586" i="27"/>
  <c r="AK586" i="27"/>
  <c r="AE586" i="27"/>
  <c r="AD586" i="27"/>
  <c r="AC586" i="27"/>
  <c r="AA586" i="27"/>
  <c r="Z586" i="27"/>
  <c r="Y586" i="27"/>
  <c r="Q586" i="27"/>
  <c r="L586" i="27"/>
  <c r="F586" i="27"/>
  <c r="E586" i="27"/>
  <c r="AL585" i="27"/>
  <c r="AK585" i="27"/>
  <c r="AE585" i="27"/>
  <c r="AD585" i="27"/>
  <c r="AC585" i="27"/>
  <c r="AA585" i="27"/>
  <c r="Z585" i="27"/>
  <c r="Y585" i="27"/>
  <c r="AB585" i="27" s="1"/>
  <c r="Q585" i="27"/>
  <c r="L585" i="27"/>
  <c r="F585" i="27"/>
  <c r="E585" i="27"/>
  <c r="AL584" i="27"/>
  <c r="AK584" i="27"/>
  <c r="AE584" i="27"/>
  <c r="AD584" i="27"/>
  <c r="AC584" i="27"/>
  <c r="AA584" i="27"/>
  <c r="Z584" i="27"/>
  <c r="Y584" i="27"/>
  <c r="Q584" i="27"/>
  <c r="L584" i="27"/>
  <c r="F584" i="27"/>
  <c r="E584" i="27"/>
  <c r="AL583" i="27"/>
  <c r="AK583" i="27"/>
  <c r="AE583" i="27"/>
  <c r="AD583" i="27"/>
  <c r="AC583" i="27"/>
  <c r="AA583" i="27"/>
  <c r="Z583" i="27"/>
  <c r="Y583" i="27"/>
  <c r="Q583" i="27"/>
  <c r="L583" i="27"/>
  <c r="F583" i="27"/>
  <c r="E583" i="27"/>
  <c r="AL582" i="27"/>
  <c r="AK582" i="27"/>
  <c r="AE582" i="27"/>
  <c r="AD582" i="27"/>
  <c r="AC582" i="27"/>
  <c r="AA582" i="27"/>
  <c r="Z582" i="27"/>
  <c r="Y582" i="27"/>
  <c r="Q582" i="27"/>
  <c r="L582" i="27"/>
  <c r="F582" i="27"/>
  <c r="E582" i="27"/>
  <c r="AL581" i="27"/>
  <c r="AK581" i="27"/>
  <c r="AE581" i="27"/>
  <c r="AD581" i="27"/>
  <c r="AC581" i="27"/>
  <c r="AA581" i="27"/>
  <c r="Z581" i="27"/>
  <c r="Y581" i="27"/>
  <c r="AB581" i="27" s="1"/>
  <c r="Q581" i="27"/>
  <c r="L581" i="27"/>
  <c r="F581" i="27"/>
  <c r="E581" i="27"/>
  <c r="AL580" i="27"/>
  <c r="AK580" i="27"/>
  <c r="AE580" i="27"/>
  <c r="AD580" i="27"/>
  <c r="AC580" i="27"/>
  <c r="AA580" i="27"/>
  <c r="Z580" i="27"/>
  <c r="Y580" i="27"/>
  <c r="Q580" i="27"/>
  <c r="L580" i="27"/>
  <c r="F580" i="27"/>
  <c r="E580" i="27"/>
  <c r="AL579" i="27"/>
  <c r="AK579" i="27"/>
  <c r="AE579" i="27"/>
  <c r="AD579" i="27"/>
  <c r="AC579" i="27"/>
  <c r="AA579" i="27"/>
  <c r="Z579" i="27"/>
  <c r="Y579" i="27"/>
  <c r="Q579" i="27"/>
  <c r="L579" i="27"/>
  <c r="F579" i="27"/>
  <c r="E579" i="27"/>
  <c r="AL578" i="27"/>
  <c r="AK578" i="27"/>
  <c r="AE578" i="27"/>
  <c r="AD578" i="27"/>
  <c r="AC578" i="27"/>
  <c r="AA578" i="27"/>
  <c r="Z578" i="27"/>
  <c r="Y578" i="27"/>
  <c r="Q578" i="27"/>
  <c r="L578" i="27"/>
  <c r="F578" i="27"/>
  <c r="E578" i="27"/>
  <c r="AL577" i="27"/>
  <c r="AK577" i="27"/>
  <c r="AE577" i="27"/>
  <c r="AD577" i="27"/>
  <c r="AC577" i="27"/>
  <c r="AA577" i="27"/>
  <c r="Z577" i="27"/>
  <c r="Y577" i="27"/>
  <c r="AB577" i="27" s="1"/>
  <c r="Q577" i="27"/>
  <c r="L577" i="27"/>
  <c r="F577" i="27"/>
  <c r="E577" i="27"/>
  <c r="AL576" i="27"/>
  <c r="AK576" i="27"/>
  <c r="AE576" i="27"/>
  <c r="AD576" i="27"/>
  <c r="AC576" i="27"/>
  <c r="AA576" i="27"/>
  <c r="Z576" i="27"/>
  <c r="Y576" i="27"/>
  <c r="Q576" i="27"/>
  <c r="L576" i="27"/>
  <c r="F576" i="27"/>
  <c r="E576" i="27"/>
  <c r="AL575" i="27"/>
  <c r="AK575" i="27"/>
  <c r="AE575" i="27"/>
  <c r="AD575" i="27"/>
  <c r="AC575" i="27"/>
  <c r="AA575" i="27"/>
  <c r="Z575" i="27"/>
  <c r="Y575" i="27"/>
  <c r="Q575" i="27"/>
  <c r="L575" i="27"/>
  <c r="F575" i="27"/>
  <c r="E575" i="27"/>
  <c r="AL574" i="27"/>
  <c r="AK574" i="27"/>
  <c r="AE574" i="27"/>
  <c r="AD574" i="27"/>
  <c r="AC574" i="27"/>
  <c r="AA574" i="27"/>
  <c r="Z574" i="27"/>
  <c r="Y574" i="27"/>
  <c r="Q574" i="27"/>
  <c r="L574" i="27"/>
  <c r="F574" i="27"/>
  <c r="E574" i="27"/>
  <c r="AL573" i="27"/>
  <c r="AK573" i="27"/>
  <c r="AE573" i="27"/>
  <c r="AD573" i="27"/>
  <c r="AC573" i="27"/>
  <c r="AA573" i="27"/>
  <c r="Z573" i="27"/>
  <c r="Y573" i="27"/>
  <c r="AB573" i="27" s="1"/>
  <c r="Q573" i="27"/>
  <c r="L573" i="27"/>
  <c r="F573" i="27"/>
  <c r="E573" i="27"/>
  <c r="AL572" i="27"/>
  <c r="AK572" i="27"/>
  <c r="AE572" i="27"/>
  <c r="AD572" i="27"/>
  <c r="AC572" i="27"/>
  <c r="AA572" i="27"/>
  <c r="Z572" i="27"/>
  <c r="Y572" i="27"/>
  <c r="Q572" i="27"/>
  <c r="L572" i="27"/>
  <c r="F572" i="27"/>
  <c r="E572" i="27"/>
  <c r="AL571" i="27"/>
  <c r="AK571" i="27"/>
  <c r="AE571" i="27"/>
  <c r="AD571" i="27"/>
  <c r="AC571" i="27"/>
  <c r="AA571" i="27"/>
  <c r="Z571" i="27"/>
  <c r="Y571" i="27"/>
  <c r="Q571" i="27"/>
  <c r="L571" i="27"/>
  <c r="F571" i="27"/>
  <c r="E571" i="27"/>
  <c r="AL570" i="27"/>
  <c r="AK570" i="27"/>
  <c r="AE570" i="27"/>
  <c r="AD570" i="27"/>
  <c r="AC570" i="27"/>
  <c r="AA570" i="27"/>
  <c r="Z570" i="27"/>
  <c r="Y570" i="27"/>
  <c r="Q570" i="27"/>
  <c r="L570" i="27"/>
  <c r="F570" i="27"/>
  <c r="E570" i="27"/>
  <c r="AL569" i="27"/>
  <c r="AK569" i="27"/>
  <c r="AE569" i="27"/>
  <c r="AD569" i="27"/>
  <c r="AC569" i="27"/>
  <c r="AA569" i="27"/>
  <c r="Z569" i="27"/>
  <c r="Y569" i="27"/>
  <c r="AB569" i="27" s="1"/>
  <c r="Q569" i="27"/>
  <c r="L569" i="27"/>
  <c r="F569" i="27"/>
  <c r="E569" i="27"/>
  <c r="AL568" i="27"/>
  <c r="AK568" i="27"/>
  <c r="AE568" i="27"/>
  <c r="AD568" i="27"/>
  <c r="AC568" i="27"/>
  <c r="AA568" i="27"/>
  <c r="Z568" i="27"/>
  <c r="Y568" i="27"/>
  <c r="Q568" i="27"/>
  <c r="L568" i="27"/>
  <c r="F568" i="27"/>
  <c r="E568" i="27"/>
  <c r="AL567" i="27"/>
  <c r="AK567" i="27"/>
  <c r="AE567" i="27"/>
  <c r="AD567" i="27"/>
  <c r="AC567" i="27"/>
  <c r="AA567" i="27"/>
  <c r="Z567" i="27"/>
  <c r="Y567" i="27"/>
  <c r="Q567" i="27"/>
  <c r="L567" i="27"/>
  <c r="F567" i="27"/>
  <c r="E567" i="27"/>
  <c r="AL566" i="27"/>
  <c r="AK566" i="27"/>
  <c r="AE566" i="27"/>
  <c r="AD566" i="27"/>
  <c r="AC566" i="27"/>
  <c r="AA566" i="27"/>
  <c r="Z566" i="27"/>
  <c r="Y566" i="27"/>
  <c r="Q566" i="27"/>
  <c r="L566" i="27"/>
  <c r="F566" i="27"/>
  <c r="E566" i="27"/>
  <c r="AL565" i="27"/>
  <c r="AK565" i="27"/>
  <c r="AE565" i="27"/>
  <c r="AD565" i="27"/>
  <c r="AC565" i="27"/>
  <c r="AA565" i="27"/>
  <c r="Z565" i="27"/>
  <c r="Y565" i="27"/>
  <c r="AB565" i="27" s="1"/>
  <c r="Q565" i="27"/>
  <c r="L565" i="27"/>
  <c r="F565" i="27"/>
  <c r="E565" i="27"/>
  <c r="AL564" i="27"/>
  <c r="AK564" i="27"/>
  <c r="AE564" i="27"/>
  <c r="AD564" i="27"/>
  <c r="AC564" i="27"/>
  <c r="AA564" i="27"/>
  <c r="Z564" i="27"/>
  <c r="Y564" i="27"/>
  <c r="Q564" i="27"/>
  <c r="L564" i="27"/>
  <c r="F564" i="27"/>
  <c r="E564" i="27"/>
  <c r="AL563" i="27"/>
  <c r="AK563" i="27"/>
  <c r="AE563" i="27"/>
  <c r="AD563" i="27"/>
  <c r="AC563" i="27"/>
  <c r="AA563" i="27"/>
  <c r="Z563" i="27"/>
  <c r="Y563" i="27"/>
  <c r="Q563" i="27"/>
  <c r="L563" i="27"/>
  <c r="F563" i="27"/>
  <c r="E563" i="27"/>
  <c r="AL562" i="27"/>
  <c r="AK562" i="27"/>
  <c r="AE562" i="27"/>
  <c r="AD562" i="27"/>
  <c r="AC562" i="27"/>
  <c r="AA562" i="27"/>
  <c r="Z562" i="27"/>
  <c r="Y562" i="27"/>
  <c r="Q562" i="27"/>
  <c r="L562" i="27"/>
  <c r="F562" i="27"/>
  <c r="E562" i="27"/>
  <c r="AL561" i="27"/>
  <c r="AK561" i="27"/>
  <c r="AE561" i="27"/>
  <c r="AD561" i="27"/>
  <c r="AC561" i="27"/>
  <c r="AA561" i="27"/>
  <c r="Z561" i="27"/>
  <c r="Y561" i="27"/>
  <c r="AB561" i="27" s="1"/>
  <c r="Q561" i="27"/>
  <c r="L561" i="27"/>
  <c r="F561" i="27"/>
  <c r="E561" i="27"/>
  <c r="AL560" i="27"/>
  <c r="AK560" i="27"/>
  <c r="AE560" i="27"/>
  <c r="AD560" i="27"/>
  <c r="AC560" i="27"/>
  <c r="AA560" i="27"/>
  <c r="Z560" i="27"/>
  <c r="Y560" i="27"/>
  <c r="Q560" i="27"/>
  <c r="L560" i="27"/>
  <c r="F560" i="27"/>
  <c r="E560" i="27"/>
  <c r="AL559" i="27"/>
  <c r="AK559" i="27"/>
  <c r="AE559" i="27"/>
  <c r="AD559" i="27"/>
  <c r="AC559" i="27"/>
  <c r="AA559" i="27"/>
  <c r="Z559" i="27"/>
  <c r="Y559" i="27"/>
  <c r="Q559" i="27"/>
  <c r="L559" i="27"/>
  <c r="F559" i="27"/>
  <c r="E559" i="27"/>
  <c r="AL558" i="27"/>
  <c r="AK558" i="27"/>
  <c r="AE558" i="27"/>
  <c r="AD558" i="27"/>
  <c r="AC558" i="27"/>
  <c r="AA558" i="27"/>
  <c r="Z558" i="27"/>
  <c r="Y558" i="27"/>
  <c r="Q558" i="27"/>
  <c r="L558" i="27"/>
  <c r="F558" i="27"/>
  <c r="E558" i="27"/>
  <c r="AL557" i="27"/>
  <c r="AK557" i="27"/>
  <c r="AE557" i="27"/>
  <c r="AD557" i="27"/>
  <c r="AC557" i="27"/>
  <c r="AA557" i="27"/>
  <c r="Z557" i="27"/>
  <c r="Y557" i="27"/>
  <c r="AB557" i="27" s="1"/>
  <c r="Q557" i="27"/>
  <c r="L557" i="27"/>
  <c r="F557" i="27"/>
  <c r="E557" i="27"/>
  <c r="AL556" i="27"/>
  <c r="AK556" i="27"/>
  <c r="AE556" i="27"/>
  <c r="AD556" i="27"/>
  <c r="AC556" i="27"/>
  <c r="AA556" i="27"/>
  <c r="Z556" i="27"/>
  <c r="Y556" i="27"/>
  <c r="Q556" i="27"/>
  <c r="L556" i="27"/>
  <c r="F556" i="27"/>
  <c r="E556" i="27"/>
  <c r="AL555" i="27"/>
  <c r="AK555" i="27"/>
  <c r="AE555" i="27"/>
  <c r="AD555" i="27"/>
  <c r="AC555" i="27"/>
  <c r="AA555" i="27"/>
  <c r="Z555" i="27"/>
  <c r="Y555" i="27"/>
  <c r="Q555" i="27"/>
  <c r="L555" i="27"/>
  <c r="F555" i="27"/>
  <c r="E555" i="27"/>
  <c r="AL554" i="27"/>
  <c r="AK554" i="27"/>
  <c r="AE554" i="27"/>
  <c r="AD554" i="27"/>
  <c r="AC554" i="27"/>
  <c r="AA554" i="27"/>
  <c r="Z554" i="27"/>
  <c r="Y554" i="27"/>
  <c r="Q554" i="27"/>
  <c r="L554" i="27"/>
  <c r="F554" i="27"/>
  <c r="E554" i="27"/>
  <c r="AL553" i="27"/>
  <c r="AK553" i="27"/>
  <c r="AE553" i="27"/>
  <c r="AD553" i="27"/>
  <c r="AC553" i="27"/>
  <c r="AA553" i="27"/>
  <c r="Z553" i="27"/>
  <c r="Y553" i="27"/>
  <c r="AB553" i="27" s="1"/>
  <c r="Q553" i="27"/>
  <c r="L553" i="27"/>
  <c r="F553" i="27"/>
  <c r="E553" i="27"/>
  <c r="AL552" i="27"/>
  <c r="AK552" i="27"/>
  <c r="AE552" i="27"/>
  <c r="AD552" i="27"/>
  <c r="AC552" i="27"/>
  <c r="AA552" i="27"/>
  <c r="Z552" i="27"/>
  <c r="Y552" i="27"/>
  <c r="Q552" i="27"/>
  <c r="L552" i="27"/>
  <c r="F552" i="27"/>
  <c r="E552" i="27"/>
  <c r="AL551" i="27"/>
  <c r="AK551" i="27"/>
  <c r="AE551" i="27"/>
  <c r="AD551" i="27"/>
  <c r="AC551" i="27"/>
  <c r="AA551" i="27"/>
  <c r="Z551" i="27"/>
  <c r="Y551" i="27"/>
  <c r="Q551" i="27"/>
  <c r="L551" i="27"/>
  <c r="F551" i="27"/>
  <c r="E551" i="27"/>
  <c r="AL550" i="27"/>
  <c r="AK550" i="27"/>
  <c r="AE550" i="27"/>
  <c r="AD550" i="27"/>
  <c r="AC550" i="27"/>
  <c r="AA550" i="27"/>
  <c r="Z550" i="27"/>
  <c r="Y550" i="27"/>
  <c r="Q550" i="27"/>
  <c r="L550" i="27"/>
  <c r="F550" i="27"/>
  <c r="E550" i="27"/>
  <c r="AL549" i="27"/>
  <c r="AK549" i="27"/>
  <c r="AE549" i="27"/>
  <c r="AD549" i="27"/>
  <c r="AC549" i="27"/>
  <c r="AA549" i="27"/>
  <c r="Z549" i="27"/>
  <c r="Y549" i="27"/>
  <c r="AB549" i="27" s="1"/>
  <c r="Q549" i="27"/>
  <c r="L549" i="27"/>
  <c r="F549" i="27"/>
  <c r="E549" i="27"/>
  <c r="AL548" i="27"/>
  <c r="AK548" i="27"/>
  <c r="AE548" i="27"/>
  <c r="AD548" i="27"/>
  <c r="AC548" i="27"/>
  <c r="AA548" i="27"/>
  <c r="Z548" i="27"/>
  <c r="Y548" i="27"/>
  <c r="Q548" i="27"/>
  <c r="L548" i="27"/>
  <c r="F548" i="27"/>
  <c r="E548" i="27"/>
  <c r="AL547" i="27"/>
  <c r="AK547" i="27"/>
  <c r="AE547" i="27"/>
  <c r="AD547" i="27"/>
  <c r="AC547" i="27"/>
  <c r="AA547" i="27"/>
  <c r="Z547" i="27"/>
  <c r="Y547" i="27"/>
  <c r="Q547" i="27"/>
  <c r="L547" i="27"/>
  <c r="F547" i="27"/>
  <c r="E547" i="27"/>
  <c r="AL546" i="27"/>
  <c r="AK546" i="27"/>
  <c r="AE546" i="27"/>
  <c r="AD546" i="27"/>
  <c r="AC546" i="27"/>
  <c r="AA546" i="27"/>
  <c r="Z546" i="27"/>
  <c r="Y546" i="27"/>
  <c r="Q546" i="27"/>
  <c r="L546" i="27"/>
  <c r="F546" i="27"/>
  <c r="E546" i="27"/>
  <c r="AL545" i="27"/>
  <c r="AK545" i="27"/>
  <c r="AE545" i="27"/>
  <c r="AD545" i="27"/>
  <c r="AC545" i="27"/>
  <c r="AA545" i="27"/>
  <c r="Z545" i="27"/>
  <c r="Y545" i="27"/>
  <c r="AB545" i="27" s="1"/>
  <c r="Q545" i="27"/>
  <c r="L545" i="27"/>
  <c r="F545" i="27"/>
  <c r="E545" i="27"/>
  <c r="AL544" i="27"/>
  <c r="AK544" i="27"/>
  <c r="AE544" i="27"/>
  <c r="AD544" i="27"/>
  <c r="AC544" i="27"/>
  <c r="AA544" i="27"/>
  <c r="Z544" i="27"/>
  <c r="Y544" i="27"/>
  <c r="Q544" i="27"/>
  <c r="L544" i="27"/>
  <c r="F544" i="27"/>
  <c r="E544" i="27"/>
  <c r="AL543" i="27"/>
  <c r="AK543" i="27"/>
  <c r="AE543" i="27"/>
  <c r="AD543" i="27"/>
  <c r="AC543" i="27"/>
  <c r="AA543" i="27"/>
  <c r="Z543" i="27"/>
  <c r="Y543" i="27"/>
  <c r="Q543" i="27"/>
  <c r="L543" i="27"/>
  <c r="F543" i="27"/>
  <c r="E543" i="27"/>
  <c r="AL542" i="27"/>
  <c r="AK542" i="27"/>
  <c r="AE542" i="27"/>
  <c r="AD542" i="27"/>
  <c r="AC542" i="27"/>
  <c r="AA542" i="27"/>
  <c r="Z542" i="27"/>
  <c r="Y542" i="27"/>
  <c r="Q542" i="27"/>
  <c r="L542" i="27"/>
  <c r="F542" i="27"/>
  <c r="E542" i="27"/>
  <c r="AL541" i="27"/>
  <c r="AK541" i="27"/>
  <c r="AE541" i="27"/>
  <c r="AD541" i="27"/>
  <c r="AC541" i="27"/>
  <c r="AA541" i="27"/>
  <c r="Z541" i="27"/>
  <c r="Y541" i="27"/>
  <c r="AB541" i="27" s="1"/>
  <c r="Q541" i="27"/>
  <c r="L541" i="27"/>
  <c r="F541" i="27"/>
  <c r="E541" i="27"/>
  <c r="AL540" i="27"/>
  <c r="AK540" i="27"/>
  <c r="AE540" i="27"/>
  <c r="AD540" i="27"/>
  <c r="AC540" i="27"/>
  <c r="AA540" i="27"/>
  <c r="Z540" i="27"/>
  <c r="Y540" i="27"/>
  <c r="Q540" i="27"/>
  <c r="L540" i="27"/>
  <c r="F540" i="27"/>
  <c r="E540" i="27"/>
  <c r="AL539" i="27"/>
  <c r="AK539" i="27"/>
  <c r="AE539" i="27"/>
  <c r="AD539" i="27"/>
  <c r="AC539" i="27"/>
  <c r="AA539" i="27"/>
  <c r="Z539" i="27"/>
  <c r="Y539" i="27"/>
  <c r="Q539" i="27"/>
  <c r="L539" i="27"/>
  <c r="F539" i="27"/>
  <c r="E539" i="27"/>
  <c r="AL538" i="27"/>
  <c r="AK538" i="27"/>
  <c r="AE538" i="27"/>
  <c r="AD538" i="27"/>
  <c r="AC538" i="27"/>
  <c r="AA538" i="27"/>
  <c r="Z538" i="27"/>
  <c r="Y538" i="27"/>
  <c r="Q538" i="27"/>
  <c r="L538" i="27"/>
  <c r="F538" i="27"/>
  <c r="E538" i="27"/>
  <c r="AL537" i="27"/>
  <c r="AK537" i="27"/>
  <c r="AE537" i="27"/>
  <c r="AD537" i="27"/>
  <c r="AC537" i="27"/>
  <c r="AA537" i="27"/>
  <c r="Z537" i="27"/>
  <c r="Y537" i="27"/>
  <c r="AB537" i="27" s="1"/>
  <c r="Q537" i="27"/>
  <c r="L537" i="27"/>
  <c r="F537" i="27"/>
  <c r="E537" i="27"/>
  <c r="AL536" i="27"/>
  <c r="AK536" i="27"/>
  <c r="AE536" i="27"/>
  <c r="AD536" i="27"/>
  <c r="AC536" i="27"/>
  <c r="AA536" i="27"/>
  <c r="Z536" i="27"/>
  <c r="Y536" i="27"/>
  <c r="Q536" i="27"/>
  <c r="L536" i="27"/>
  <c r="F536" i="27"/>
  <c r="E536" i="27"/>
  <c r="AL535" i="27"/>
  <c r="AK535" i="27"/>
  <c r="AE535" i="27"/>
  <c r="AD535" i="27"/>
  <c r="AC535" i="27"/>
  <c r="AA535" i="27"/>
  <c r="Z535" i="27"/>
  <c r="Y535" i="27"/>
  <c r="Q535" i="27"/>
  <c r="L535" i="27"/>
  <c r="F535" i="27"/>
  <c r="E535" i="27"/>
  <c r="AL534" i="27"/>
  <c r="AK534" i="27"/>
  <c r="AE534" i="27"/>
  <c r="AD534" i="27"/>
  <c r="AC534" i="27"/>
  <c r="AA534" i="27"/>
  <c r="Z534" i="27"/>
  <c r="Y534" i="27"/>
  <c r="Q534" i="27"/>
  <c r="L534" i="27"/>
  <c r="F534" i="27"/>
  <c r="E534" i="27"/>
  <c r="AL533" i="27"/>
  <c r="AK533" i="27"/>
  <c r="AE533" i="27"/>
  <c r="AD533" i="27"/>
  <c r="AC533" i="27"/>
  <c r="AA533" i="27"/>
  <c r="Z533" i="27"/>
  <c r="Y533" i="27"/>
  <c r="AB533" i="27" s="1"/>
  <c r="Q533" i="27"/>
  <c r="L533" i="27"/>
  <c r="F533" i="27"/>
  <c r="E533" i="27"/>
  <c r="AL532" i="27"/>
  <c r="AK532" i="27"/>
  <c r="AE532" i="27"/>
  <c r="AD532" i="27"/>
  <c r="AC532" i="27"/>
  <c r="AA532" i="27"/>
  <c r="Z532" i="27"/>
  <c r="Y532" i="27"/>
  <c r="Q532" i="27"/>
  <c r="L532" i="27"/>
  <c r="F532" i="27"/>
  <c r="E532" i="27"/>
  <c r="AL531" i="27"/>
  <c r="AK531" i="27"/>
  <c r="AE531" i="27"/>
  <c r="AD531" i="27"/>
  <c r="AC531" i="27"/>
  <c r="AA531" i="27"/>
  <c r="Z531" i="27"/>
  <c r="Y531" i="27"/>
  <c r="Q531" i="27"/>
  <c r="L531" i="27"/>
  <c r="F531" i="27"/>
  <c r="E531" i="27"/>
  <c r="AL530" i="27"/>
  <c r="AK530" i="27"/>
  <c r="AE530" i="27"/>
  <c r="AD530" i="27"/>
  <c r="AC530" i="27"/>
  <c r="AA530" i="27"/>
  <c r="Z530" i="27"/>
  <c r="Y530" i="27"/>
  <c r="Q530" i="27"/>
  <c r="L530" i="27"/>
  <c r="F530" i="27"/>
  <c r="E530" i="27"/>
  <c r="AL529" i="27"/>
  <c r="AK529" i="27"/>
  <c r="AE529" i="27"/>
  <c r="AD529" i="27"/>
  <c r="AC529" i="27"/>
  <c r="AA529" i="27"/>
  <c r="Z529" i="27"/>
  <c r="Y529" i="27"/>
  <c r="AB529" i="27" s="1"/>
  <c r="Q529" i="27"/>
  <c r="L529" i="27"/>
  <c r="F529" i="27"/>
  <c r="E529" i="27"/>
  <c r="AL528" i="27"/>
  <c r="AK528" i="27"/>
  <c r="AE528" i="27"/>
  <c r="AD528" i="27"/>
  <c r="AC528" i="27"/>
  <c r="AA528" i="27"/>
  <c r="Z528" i="27"/>
  <c r="Y528" i="27"/>
  <c r="Q528" i="27"/>
  <c r="L528" i="27"/>
  <c r="F528" i="27"/>
  <c r="E528" i="27"/>
  <c r="AL527" i="27"/>
  <c r="AK527" i="27"/>
  <c r="AE527" i="27"/>
  <c r="AD527" i="27"/>
  <c r="AC527" i="27"/>
  <c r="AA527" i="27"/>
  <c r="Z527" i="27"/>
  <c r="Y527" i="27"/>
  <c r="Q527" i="27"/>
  <c r="L527" i="27"/>
  <c r="F527" i="27"/>
  <c r="E527" i="27"/>
  <c r="AL526" i="27"/>
  <c r="AK526" i="27"/>
  <c r="AE526" i="27"/>
  <c r="AD526" i="27"/>
  <c r="AC526" i="27"/>
  <c r="AA526" i="27"/>
  <c r="Z526" i="27"/>
  <c r="Y526" i="27"/>
  <c r="Q526" i="27"/>
  <c r="L526" i="27"/>
  <c r="F526" i="27"/>
  <c r="E526" i="27"/>
  <c r="AL525" i="27"/>
  <c r="AK525" i="27"/>
  <c r="AE525" i="27"/>
  <c r="AD525" i="27"/>
  <c r="AC525" i="27"/>
  <c r="AA525" i="27"/>
  <c r="Z525" i="27"/>
  <c r="Y525" i="27"/>
  <c r="AB525" i="27" s="1"/>
  <c r="Q525" i="27"/>
  <c r="L525" i="27"/>
  <c r="F525" i="27"/>
  <c r="E525" i="27"/>
  <c r="AL524" i="27"/>
  <c r="AK524" i="27"/>
  <c r="AE524" i="27"/>
  <c r="AD524" i="27"/>
  <c r="AC524" i="27"/>
  <c r="AA524" i="27"/>
  <c r="Z524" i="27"/>
  <c r="Y524" i="27"/>
  <c r="Q524" i="27"/>
  <c r="L524" i="27"/>
  <c r="F524" i="27"/>
  <c r="E524" i="27"/>
  <c r="AL523" i="27"/>
  <c r="AK523" i="27"/>
  <c r="AE523" i="27"/>
  <c r="AD523" i="27"/>
  <c r="AC523" i="27"/>
  <c r="AA523" i="27"/>
  <c r="Z523" i="27"/>
  <c r="Y523" i="27"/>
  <c r="Q523" i="27"/>
  <c r="L523" i="27"/>
  <c r="F523" i="27"/>
  <c r="E523" i="27"/>
  <c r="AL522" i="27"/>
  <c r="AK522" i="27"/>
  <c r="AE522" i="27"/>
  <c r="AD522" i="27"/>
  <c r="AC522" i="27"/>
  <c r="AA522" i="27"/>
  <c r="Z522" i="27"/>
  <c r="Y522" i="27"/>
  <c r="Q522" i="27"/>
  <c r="L522" i="27"/>
  <c r="F522" i="27"/>
  <c r="E522" i="27"/>
  <c r="AL521" i="27"/>
  <c r="AK521" i="27"/>
  <c r="AE521" i="27"/>
  <c r="AD521" i="27"/>
  <c r="AC521" i="27"/>
  <c r="AA521" i="27"/>
  <c r="Z521" i="27"/>
  <c r="Y521" i="27"/>
  <c r="AB521" i="27" s="1"/>
  <c r="Q521" i="27"/>
  <c r="L521" i="27"/>
  <c r="F521" i="27"/>
  <c r="E521" i="27"/>
  <c r="AL520" i="27"/>
  <c r="AK520" i="27"/>
  <c r="AE520" i="27"/>
  <c r="AD520" i="27"/>
  <c r="AC520" i="27"/>
  <c r="AA520" i="27"/>
  <c r="Z520" i="27"/>
  <c r="Y520" i="27"/>
  <c r="Q520" i="27"/>
  <c r="L520" i="27"/>
  <c r="F520" i="27"/>
  <c r="E520" i="27"/>
  <c r="AL519" i="27"/>
  <c r="AK519" i="27"/>
  <c r="AE519" i="27"/>
  <c r="AD519" i="27"/>
  <c r="AC519" i="27"/>
  <c r="AA519" i="27"/>
  <c r="Z519" i="27"/>
  <c r="Y519" i="27"/>
  <c r="Q519" i="27"/>
  <c r="L519" i="27"/>
  <c r="F519" i="27"/>
  <c r="E519" i="27"/>
  <c r="AL518" i="27"/>
  <c r="AK518" i="27"/>
  <c r="AE518" i="27"/>
  <c r="AD518" i="27"/>
  <c r="AC518" i="27"/>
  <c r="AA518" i="27"/>
  <c r="Z518" i="27"/>
  <c r="Y518" i="27"/>
  <c r="Q518" i="27"/>
  <c r="L518" i="27"/>
  <c r="F518" i="27"/>
  <c r="E518" i="27"/>
  <c r="AI517" i="27"/>
  <c r="AH517" i="27"/>
  <c r="AL517" i="27" s="1"/>
  <c r="AG517" i="27"/>
  <c r="AK517" i="27" s="1"/>
  <c r="AE517" i="27"/>
  <c r="AD517" i="27"/>
  <c r="AC517" i="27"/>
  <c r="AA517" i="27"/>
  <c r="Z517" i="27"/>
  <c r="Y517" i="27"/>
  <c r="Q517" i="27"/>
  <c r="L517" i="27"/>
  <c r="F517" i="27"/>
  <c r="E517" i="27"/>
  <c r="AJ516" i="27"/>
  <c r="AI516" i="27"/>
  <c r="AH516" i="27"/>
  <c r="AL516" i="27" s="1"/>
  <c r="AG516" i="27"/>
  <c r="AK516" i="27" s="1"/>
  <c r="AE516" i="27"/>
  <c r="AD516" i="27"/>
  <c r="AC516" i="27"/>
  <c r="AA516" i="27"/>
  <c r="Z516" i="27"/>
  <c r="Y516" i="27"/>
  <c r="AB516" i="27" s="1"/>
  <c r="Q516" i="27"/>
  <c r="L516" i="27"/>
  <c r="F516" i="27"/>
  <c r="E516" i="27"/>
  <c r="AJ515" i="27"/>
  <c r="AI515" i="27"/>
  <c r="AH515" i="27"/>
  <c r="AL515" i="27" s="1"/>
  <c r="AG515" i="27"/>
  <c r="AK515" i="27" s="1"/>
  <c r="AE515" i="27"/>
  <c r="AD515" i="27"/>
  <c r="AC515" i="27"/>
  <c r="AA515" i="27"/>
  <c r="Z515" i="27"/>
  <c r="Y515" i="27"/>
  <c r="AB515" i="27" s="1"/>
  <c r="Q515" i="27"/>
  <c r="L515" i="27"/>
  <c r="F515" i="27"/>
  <c r="E515" i="27"/>
  <c r="AJ514" i="27"/>
  <c r="AI514" i="27"/>
  <c r="AH514" i="27"/>
  <c r="AL514" i="27" s="1"/>
  <c r="AG514" i="27"/>
  <c r="AK514" i="27" s="1"/>
  <c r="AE514" i="27"/>
  <c r="AD514" i="27"/>
  <c r="AC514" i="27"/>
  <c r="AA514" i="27"/>
  <c r="Z514" i="27"/>
  <c r="Y514" i="27"/>
  <c r="Q514" i="27"/>
  <c r="L514" i="27"/>
  <c r="F514" i="27"/>
  <c r="E514" i="27"/>
  <c r="AJ513" i="27"/>
  <c r="AI513" i="27"/>
  <c r="AH513" i="27"/>
  <c r="AL513" i="27" s="1"/>
  <c r="AG513" i="27"/>
  <c r="AK513" i="27" s="1"/>
  <c r="AE513" i="27"/>
  <c r="AD513" i="27"/>
  <c r="AC513" i="27"/>
  <c r="AA513" i="27"/>
  <c r="Z513" i="27"/>
  <c r="Y513" i="27"/>
  <c r="Q513" i="27"/>
  <c r="L513" i="27"/>
  <c r="F513" i="27"/>
  <c r="E513" i="27"/>
  <c r="AI512" i="27"/>
  <c r="AH512" i="27"/>
  <c r="AL512" i="27" s="1"/>
  <c r="AG512" i="27"/>
  <c r="AK512" i="27" s="1"/>
  <c r="AE512" i="27"/>
  <c r="AD512" i="27"/>
  <c r="AC512" i="27"/>
  <c r="AA512" i="27"/>
  <c r="Z512" i="27"/>
  <c r="Y512" i="27"/>
  <c r="AB512" i="27" s="1"/>
  <c r="Q512" i="27"/>
  <c r="L512" i="27"/>
  <c r="F512" i="27"/>
  <c r="E512" i="27"/>
  <c r="AJ511" i="27"/>
  <c r="AI511" i="27"/>
  <c r="AH511" i="27"/>
  <c r="AL511" i="27" s="1"/>
  <c r="AG511" i="27"/>
  <c r="AK511" i="27" s="1"/>
  <c r="AE511" i="27"/>
  <c r="AD511" i="27"/>
  <c r="AC511" i="27"/>
  <c r="AA511" i="27"/>
  <c r="Z511" i="27"/>
  <c r="Y511" i="27"/>
  <c r="Q511" i="27"/>
  <c r="L511" i="27"/>
  <c r="F511" i="27"/>
  <c r="E511" i="27"/>
  <c r="AJ510" i="27"/>
  <c r="AI510" i="27"/>
  <c r="AH510" i="27"/>
  <c r="AL510" i="27" s="1"/>
  <c r="AG510" i="27"/>
  <c r="AK510" i="27" s="1"/>
  <c r="AE510" i="27"/>
  <c r="AD510" i="27"/>
  <c r="AC510" i="27"/>
  <c r="AA510" i="27"/>
  <c r="Z510" i="27"/>
  <c r="Y510" i="27"/>
  <c r="Q510" i="27"/>
  <c r="L510" i="27"/>
  <c r="F510" i="27"/>
  <c r="E510" i="27"/>
  <c r="AI509" i="27"/>
  <c r="AH509" i="27"/>
  <c r="AL509" i="27" s="1"/>
  <c r="AG509" i="27"/>
  <c r="AK509" i="27" s="1"/>
  <c r="AE509" i="27"/>
  <c r="AD509" i="27"/>
  <c r="AC509" i="27"/>
  <c r="AA509" i="27"/>
  <c r="Z509" i="27"/>
  <c r="Y509" i="27"/>
  <c r="AB509" i="27" s="1"/>
  <c r="Q509" i="27"/>
  <c r="L509" i="27"/>
  <c r="F509" i="27"/>
  <c r="E509" i="27"/>
  <c r="AI508" i="27"/>
  <c r="AH508" i="27"/>
  <c r="AL508" i="27" s="1"/>
  <c r="AG508" i="27"/>
  <c r="AK508" i="27" s="1"/>
  <c r="AE508" i="27"/>
  <c r="AD508" i="27"/>
  <c r="AC508" i="27"/>
  <c r="AA508" i="27"/>
  <c r="Z508" i="27"/>
  <c r="Y508" i="27"/>
  <c r="Q508" i="27"/>
  <c r="L508" i="27"/>
  <c r="F508" i="27"/>
  <c r="E508" i="27"/>
  <c r="AI507" i="27"/>
  <c r="AH507" i="27"/>
  <c r="AL507" i="27" s="1"/>
  <c r="AG507" i="27"/>
  <c r="AK507" i="27" s="1"/>
  <c r="AE507" i="27"/>
  <c r="AD507" i="27"/>
  <c r="AC507" i="27"/>
  <c r="AA507" i="27"/>
  <c r="Z507" i="27"/>
  <c r="Y507" i="27"/>
  <c r="Q507" i="27"/>
  <c r="L507" i="27"/>
  <c r="F507" i="27"/>
  <c r="E507" i="27"/>
  <c r="AJ506" i="27"/>
  <c r="AI506" i="27"/>
  <c r="AH506" i="27"/>
  <c r="AL506" i="27" s="1"/>
  <c r="AG506" i="27"/>
  <c r="AK506" i="27" s="1"/>
  <c r="AE506" i="27"/>
  <c r="AD506" i="27"/>
  <c r="AC506" i="27"/>
  <c r="AA506" i="27"/>
  <c r="Z506" i="27"/>
  <c r="Y506" i="27"/>
  <c r="AB506" i="27" s="1"/>
  <c r="Q506" i="27"/>
  <c r="L506" i="27"/>
  <c r="F506" i="27"/>
  <c r="E506" i="27"/>
  <c r="AJ505" i="27"/>
  <c r="AI505" i="27"/>
  <c r="AH505" i="27"/>
  <c r="AL505" i="27" s="1"/>
  <c r="AG505" i="27"/>
  <c r="AK505" i="27" s="1"/>
  <c r="AE505" i="27"/>
  <c r="AD505" i="27"/>
  <c r="AC505" i="27"/>
  <c r="AA505" i="27"/>
  <c r="Z505" i="27"/>
  <c r="Y505" i="27"/>
  <c r="Q505" i="27"/>
  <c r="L505" i="27"/>
  <c r="F505" i="27"/>
  <c r="E505" i="27"/>
  <c r="AJ504" i="27"/>
  <c r="AI504" i="27"/>
  <c r="AH504" i="27"/>
  <c r="AL504" i="27" s="1"/>
  <c r="AG504" i="27"/>
  <c r="AK504" i="27" s="1"/>
  <c r="AE504" i="27"/>
  <c r="AD504" i="27"/>
  <c r="AC504" i="27"/>
  <c r="AA504" i="27"/>
  <c r="Z504" i="27"/>
  <c r="Y504" i="27"/>
  <c r="AB504" i="27" s="1"/>
  <c r="Q504" i="27"/>
  <c r="L504" i="27"/>
  <c r="F504" i="27"/>
  <c r="E504" i="27"/>
  <c r="AJ503" i="27"/>
  <c r="AI503" i="27"/>
  <c r="AH503" i="27"/>
  <c r="AL503" i="27" s="1"/>
  <c r="AG503" i="27"/>
  <c r="AK503" i="27" s="1"/>
  <c r="AE503" i="27"/>
  <c r="AD503" i="27"/>
  <c r="AC503" i="27"/>
  <c r="AA503" i="27"/>
  <c r="Z503" i="27"/>
  <c r="Y503" i="27"/>
  <c r="Q503" i="27"/>
  <c r="L503" i="27"/>
  <c r="F503" i="27"/>
  <c r="E503" i="27"/>
  <c r="AJ502" i="27"/>
  <c r="AI502" i="27"/>
  <c r="AH502" i="27"/>
  <c r="AL502" i="27" s="1"/>
  <c r="AG502" i="27"/>
  <c r="AK502" i="27" s="1"/>
  <c r="AE502" i="27"/>
  <c r="AD502" i="27"/>
  <c r="AC502" i="27"/>
  <c r="AA502" i="27"/>
  <c r="Z502" i="27"/>
  <c r="Y502" i="27"/>
  <c r="AB502" i="27" s="1"/>
  <c r="Q502" i="27"/>
  <c r="L502" i="27"/>
  <c r="F502" i="27"/>
  <c r="E502" i="27"/>
  <c r="AJ501" i="27"/>
  <c r="AI501" i="27"/>
  <c r="AH501" i="27"/>
  <c r="AL501" i="27" s="1"/>
  <c r="AG501" i="27"/>
  <c r="AK501" i="27" s="1"/>
  <c r="AE501" i="27"/>
  <c r="AD501" i="27"/>
  <c r="AC501" i="27"/>
  <c r="AA501" i="27"/>
  <c r="Z501" i="27"/>
  <c r="Y501" i="27"/>
  <c r="AB501" i="27" s="1"/>
  <c r="Q501" i="27"/>
  <c r="L501" i="27"/>
  <c r="F501" i="27"/>
  <c r="E501" i="27"/>
  <c r="AI500" i="27"/>
  <c r="AH500" i="27"/>
  <c r="AL500" i="27" s="1"/>
  <c r="AG500" i="27"/>
  <c r="AK500" i="27" s="1"/>
  <c r="AE500" i="27"/>
  <c r="AD500" i="27"/>
  <c r="AC500" i="27"/>
  <c r="AA500" i="27"/>
  <c r="Z500" i="27"/>
  <c r="Y500" i="27"/>
  <c r="Q500" i="27"/>
  <c r="L500" i="27"/>
  <c r="F500" i="27"/>
  <c r="E500" i="27"/>
  <c r="AI499" i="27"/>
  <c r="AH499" i="27"/>
  <c r="AL499" i="27" s="1"/>
  <c r="AG499" i="27"/>
  <c r="AK499" i="27" s="1"/>
  <c r="AE499" i="27"/>
  <c r="AD499" i="27"/>
  <c r="AC499" i="27"/>
  <c r="AA499" i="27"/>
  <c r="Z499" i="27"/>
  <c r="Y499" i="27"/>
  <c r="AB499" i="27" s="1"/>
  <c r="Q499" i="27"/>
  <c r="L499" i="27"/>
  <c r="F499" i="27"/>
  <c r="E499" i="27"/>
  <c r="AI498" i="27"/>
  <c r="AH498" i="27"/>
  <c r="AL498" i="27" s="1"/>
  <c r="AG498" i="27"/>
  <c r="AK498" i="27" s="1"/>
  <c r="AE498" i="27"/>
  <c r="AD498" i="27"/>
  <c r="AC498" i="27"/>
  <c r="AA498" i="27"/>
  <c r="Z498" i="27"/>
  <c r="Y498" i="27"/>
  <c r="Q498" i="27"/>
  <c r="L498" i="27"/>
  <c r="F498" i="27"/>
  <c r="E498" i="27"/>
  <c r="AJ497" i="27"/>
  <c r="AI497" i="27"/>
  <c r="AH497" i="27"/>
  <c r="AL497" i="27" s="1"/>
  <c r="AG497" i="27"/>
  <c r="AK497" i="27" s="1"/>
  <c r="AE497" i="27"/>
  <c r="AD497" i="27"/>
  <c r="AC497" i="27"/>
  <c r="AA497" i="27"/>
  <c r="Z497" i="27"/>
  <c r="Y497" i="27"/>
  <c r="Q497" i="27"/>
  <c r="L497" i="27"/>
  <c r="F497" i="27"/>
  <c r="E497" i="27"/>
  <c r="AJ496" i="27"/>
  <c r="AI496" i="27"/>
  <c r="AH496" i="27"/>
  <c r="AL496" i="27" s="1"/>
  <c r="AG496" i="27"/>
  <c r="AK496" i="27" s="1"/>
  <c r="AE496" i="27"/>
  <c r="AD496" i="27"/>
  <c r="AC496" i="27"/>
  <c r="AA496" i="27"/>
  <c r="Z496" i="27"/>
  <c r="Y496" i="27"/>
  <c r="AB496" i="27" s="1"/>
  <c r="Q496" i="27"/>
  <c r="L496" i="27"/>
  <c r="F496" i="27"/>
  <c r="E496" i="27"/>
  <c r="AJ495" i="27"/>
  <c r="AI495" i="27"/>
  <c r="AH495" i="27"/>
  <c r="AL495" i="27" s="1"/>
  <c r="AG495" i="27"/>
  <c r="AK495" i="27" s="1"/>
  <c r="AE495" i="27"/>
  <c r="AD495" i="27"/>
  <c r="AC495" i="27"/>
  <c r="AA495" i="27"/>
  <c r="Z495" i="27"/>
  <c r="Y495" i="27"/>
  <c r="AB495" i="27" s="1"/>
  <c r="Q495" i="27"/>
  <c r="L495" i="27"/>
  <c r="F495" i="27"/>
  <c r="E495" i="27"/>
  <c r="AI494" i="27"/>
  <c r="AH494" i="27"/>
  <c r="AL494" i="27" s="1"/>
  <c r="AG494" i="27"/>
  <c r="AK494" i="27" s="1"/>
  <c r="AE494" i="27"/>
  <c r="AD494" i="27"/>
  <c r="AC494" i="27"/>
  <c r="AA494" i="27"/>
  <c r="Z494" i="27"/>
  <c r="Y494" i="27"/>
  <c r="Q494" i="27"/>
  <c r="L494" i="27"/>
  <c r="F494" i="27"/>
  <c r="E494" i="27"/>
  <c r="AI493" i="27"/>
  <c r="AH493" i="27"/>
  <c r="AL493" i="27" s="1"/>
  <c r="AG493" i="27"/>
  <c r="AK493" i="27" s="1"/>
  <c r="AE493" i="27"/>
  <c r="AD493" i="27"/>
  <c r="AC493" i="27"/>
  <c r="AA493" i="27"/>
  <c r="Z493" i="27"/>
  <c r="Y493" i="27"/>
  <c r="Q493" i="27"/>
  <c r="L493" i="27"/>
  <c r="F493" i="27"/>
  <c r="E493" i="27"/>
  <c r="AI492" i="27"/>
  <c r="AH492" i="27"/>
  <c r="AL492" i="27" s="1"/>
  <c r="AG492" i="27"/>
  <c r="AK492" i="27" s="1"/>
  <c r="AE492" i="27"/>
  <c r="AD492" i="27"/>
  <c r="AC492" i="27"/>
  <c r="AA492" i="27"/>
  <c r="Z492" i="27"/>
  <c r="Y492" i="27"/>
  <c r="Q492" i="27"/>
  <c r="L492" i="27"/>
  <c r="F492" i="27"/>
  <c r="E492" i="27"/>
  <c r="AJ491" i="27"/>
  <c r="AI491" i="27"/>
  <c r="AH491" i="27"/>
  <c r="AL491" i="27" s="1"/>
  <c r="AG491" i="27"/>
  <c r="AK491" i="27" s="1"/>
  <c r="AE491" i="27"/>
  <c r="AD491" i="27"/>
  <c r="AC491" i="27"/>
  <c r="AA491" i="27"/>
  <c r="Z491" i="27"/>
  <c r="Y491" i="27"/>
  <c r="AB491" i="27" s="1"/>
  <c r="Q491" i="27"/>
  <c r="L491" i="27"/>
  <c r="F491" i="27"/>
  <c r="E491" i="27"/>
  <c r="AJ490" i="27"/>
  <c r="AI490" i="27"/>
  <c r="AH490" i="27"/>
  <c r="AL490" i="27" s="1"/>
  <c r="AG490" i="27"/>
  <c r="AK490" i="27" s="1"/>
  <c r="AE490" i="27"/>
  <c r="AD490" i="27"/>
  <c r="AC490" i="27"/>
  <c r="AA490" i="27"/>
  <c r="Z490" i="27"/>
  <c r="Y490" i="27"/>
  <c r="Q490" i="27"/>
  <c r="L490" i="27"/>
  <c r="F490" i="27"/>
  <c r="E490" i="27"/>
  <c r="AI489" i="27"/>
  <c r="AH489" i="27"/>
  <c r="AL489" i="27" s="1"/>
  <c r="AG489" i="27"/>
  <c r="AK489" i="27" s="1"/>
  <c r="AE489" i="27"/>
  <c r="AD489" i="27"/>
  <c r="AC489" i="27"/>
  <c r="AA489" i="27"/>
  <c r="Z489" i="27"/>
  <c r="Y489" i="27"/>
  <c r="AB489" i="27" s="1"/>
  <c r="Q489" i="27"/>
  <c r="L489" i="27"/>
  <c r="F489" i="27"/>
  <c r="E489" i="27"/>
  <c r="AI488" i="27"/>
  <c r="AH488" i="27"/>
  <c r="AL488" i="27" s="1"/>
  <c r="AG488" i="27"/>
  <c r="AK488" i="27" s="1"/>
  <c r="AE488" i="27"/>
  <c r="AD488" i="27"/>
  <c r="AC488" i="27"/>
  <c r="AA488" i="27"/>
  <c r="Z488" i="27"/>
  <c r="Y488" i="27"/>
  <c r="Q488" i="27"/>
  <c r="L488" i="27"/>
  <c r="F488" i="27"/>
  <c r="E488" i="27"/>
  <c r="AI487" i="27"/>
  <c r="AH487" i="27"/>
  <c r="AL487" i="27" s="1"/>
  <c r="AG487" i="27"/>
  <c r="AK487" i="27" s="1"/>
  <c r="AE487" i="27"/>
  <c r="AD487" i="27"/>
  <c r="AC487" i="27"/>
  <c r="AA487" i="27"/>
  <c r="Z487" i="27"/>
  <c r="Y487" i="27"/>
  <c r="Q487" i="27"/>
  <c r="L487" i="27"/>
  <c r="F487" i="27"/>
  <c r="E487" i="27"/>
  <c r="AJ486" i="27"/>
  <c r="AI486" i="27"/>
  <c r="AH486" i="27"/>
  <c r="AL486" i="27" s="1"/>
  <c r="AG486" i="27"/>
  <c r="AK486" i="27" s="1"/>
  <c r="AE486" i="27"/>
  <c r="AD486" i="27"/>
  <c r="AC486" i="27"/>
  <c r="AA486" i="27"/>
  <c r="Z486" i="27"/>
  <c r="Y486" i="27"/>
  <c r="AB486" i="27" s="1"/>
  <c r="Q486" i="27"/>
  <c r="L486" i="27"/>
  <c r="F486" i="27"/>
  <c r="E486" i="27"/>
  <c r="AJ485" i="27"/>
  <c r="AI485" i="27"/>
  <c r="AH485" i="27"/>
  <c r="AL485" i="27" s="1"/>
  <c r="AG485" i="27"/>
  <c r="AK485" i="27" s="1"/>
  <c r="AE485" i="27"/>
  <c r="AD485" i="27"/>
  <c r="AC485" i="27"/>
  <c r="AA485" i="27"/>
  <c r="Z485" i="27"/>
  <c r="Y485" i="27"/>
  <c r="S485" i="27"/>
  <c r="Q485" i="27"/>
  <c r="L485" i="27"/>
  <c r="F485" i="27"/>
  <c r="E485" i="27"/>
  <c r="AJ484" i="27"/>
  <c r="AI484" i="27"/>
  <c r="AH484" i="27"/>
  <c r="AL484" i="27" s="1"/>
  <c r="AG484" i="27"/>
  <c r="AK484" i="27" s="1"/>
  <c r="AE484" i="27"/>
  <c r="AD484" i="27"/>
  <c r="AC484" i="27"/>
  <c r="AA484" i="27"/>
  <c r="Z484" i="27"/>
  <c r="Y484" i="27"/>
  <c r="AB484" i="27" s="1"/>
  <c r="S484" i="27"/>
  <c r="Q484" i="27"/>
  <c r="L484" i="27"/>
  <c r="F484" i="27"/>
  <c r="E484" i="27"/>
  <c r="AJ483" i="27"/>
  <c r="AI483" i="27"/>
  <c r="AH483" i="27"/>
  <c r="AL483" i="27" s="1"/>
  <c r="AG483" i="27"/>
  <c r="AK483" i="27" s="1"/>
  <c r="AE483" i="27"/>
  <c r="AD483" i="27"/>
  <c r="AC483" i="27"/>
  <c r="AA483" i="27"/>
  <c r="Z483" i="27"/>
  <c r="Y483" i="27"/>
  <c r="S483" i="27"/>
  <c r="Q483" i="27"/>
  <c r="J483" i="27"/>
  <c r="I483" i="27"/>
  <c r="H483" i="27"/>
  <c r="F483" i="27"/>
  <c r="E483" i="27"/>
  <c r="AJ482" i="27"/>
  <c r="AI482" i="27"/>
  <c r="AH482" i="27"/>
  <c r="AL482" i="27" s="1"/>
  <c r="AG482" i="27"/>
  <c r="AK482" i="27" s="1"/>
  <c r="AE482" i="27"/>
  <c r="AD482" i="27"/>
  <c r="AC482" i="27"/>
  <c r="AA482" i="27"/>
  <c r="Z482" i="27"/>
  <c r="Y482" i="27"/>
  <c r="AB482" i="27" s="1"/>
  <c r="S482" i="27"/>
  <c r="Q482" i="27"/>
  <c r="K482" i="27"/>
  <c r="J482" i="27"/>
  <c r="I482" i="27"/>
  <c r="H482" i="27"/>
  <c r="F482" i="27"/>
  <c r="E482" i="27"/>
  <c r="AJ481" i="27"/>
  <c r="AI481" i="27"/>
  <c r="AH481" i="27"/>
  <c r="AL481" i="27" s="1"/>
  <c r="AG481" i="27"/>
  <c r="AK481" i="27" s="1"/>
  <c r="AE481" i="27"/>
  <c r="AD481" i="27"/>
  <c r="AC481" i="27"/>
  <c r="AA481" i="27"/>
  <c r="Z481" i="27"/>
  <c r="Y481" i="27"/>
  <c r="S481" i="27"/>
  <c r="Q481" i="27"/>
  <c r="K481" i="27"/>
  <c r="J481" i="27"/>
  <c r="I481" i="27"/>
  <c r="H481" i="27"/>
  <c r="F481" i="27"/>
  <c r="E481" i="27"/>
  <c r="AJ480" i="27"/>
  <c r="AI480" i="27"/>
  <c r="AH480" i="27"/>
  <c r="AL480" i="27" s="1"/>
  <c r="AG480" i="27"/>
  <c r="AK480" i="27" s="1"/>
  <c r="AE480" i="27"/>
  <c r="AD480" i="27"/>
  <c r="AC480" i="27"/>
  <c r="AA480" i="27"/>
  <c r="Z480" i="27"/>
  <c r="Y480" i="27"/>
  <c r="AB480" i="27" s="1"/>
  <c r="S480" i="27"/>
  <c r="Q480" i="27"/>
  <c r="K480" i="27"/>
  <c r="J480" i="27"/>
  <c r="I480" i="27"/>
  <c r="H480" i="27"/>
  <c r="F480" i="27"/>
  <c r="E480" i="27"/>
  <c r="AJ479" i="27"/>
  <c r="AI479" i="27"/>
  <c r="AH479" i="27"/>
  <c r="AL479" i="27" s="1"/>
  <c r="AG479" i="27"/>
  <c r="AK479" i="27" s="1"/>
  <c r="AE479" i="27"/>
  <c r="AD479" i="27"/>
  <c r="AC479" i="27"/>
  <c r="AA479" i="27"/>
  <c r="Z479" i="27"/>
  <c r="Y479" i="27"/>
  <c r="S479" i="27"/>
  <c r="Q479" i="27"/>
  <c r="K479" i="27"/>
  <c r="J479" i="27"/>
  <c r="I479" i="27"/>
  <c r="H479" i="27"/>
  <c r="F479" i="27"/>
  <c r="E479" i="27"/>
  <c r="AI478" i="27"/>
  <c r="AH478" i="27"/>
  <c r="AL478" i="27" s="1"/>
  <c r="AG478" i="27"/>
  <c r="AK478" i="27" s="1"/>
  <c r="AE478" i="27"/>
  <c r="AD478" i="27"/>
  <c r="AC478" i="27"/>
  <c r="AA478" i="27"/>
  <c r="Z478" i="27"/>
  <c r="Y478" i="27"/>
  <c r="S478" i="27"/>
  <c r="Q478" i="27"/>
  <c r="J478" i="27"/>
  <c r="I478" i="27"/>
  <c r="H478" i="27"/>
  <c r="F478" i="27"/>
  <c r="E478" i="27"/>
  <c r="AJ477" i="27"/>
  <c r="AI477" i="27"/>
  <c r="AH477" i="27"/>
  <c r="AL477" i="27" s="1"/>
  <c r="AG477" i="27"/>
  <c r="AK477" i="27" s="1"/>
  <c r="AE477" i="27"/>
  <c r="AD477" i="27"/>
  <c r="AC477" i="27"/>
  <c r="AA477" i="27"/>
  <c r="Z477" i="27"/>
  <c r="Y477" i="27"/>
  <c r="S477" i="27"/>
  <c r="Q477" i="27"/>
  <c r="K477" i="27"/>
  <c r="J477" i="27"/>
  <c r="I477" i="27"/>
  <c r="H477" i="27"/>
  <c r="F477" i="27"/>
  <c r="E477" i="27"/>
  <c r="AJ476" i="27"/>
  <c r="AI476" i="27"/>
  <c r="AH476" i="27"/>
  <c r="AL476" i="27" s="1"/>
  <c r="AG476" i="27"/>
  <c r="AK476" i="27" s="1"/>
  <c r="AE476" i="27"/>
  <c r="AD476" i="27"/>
  <c r="AC476" i="27"/>
  <c r="AA476" i="27"/>
  <c r="Z476" i="27"/>
  <c r="Y476" i="27"/>
  <c r="AB476" i="27" s="1"/>
  <c r="S476" i="27"/>
  <c r="Q476" i="27"/>
  <c r="K476" i="27"/>
  <c r="J476" i="27"/>
  <c r="I476" i="27"/>
  <c r="H476" i="27"/>
  <c r="F476" i="27"/>
  <c r="E476" i="27"/>
  <c r="AJ475" i="27"/>
  <c r="AI475" i="27"/>
  <c r="AH475" i="27"/>
  <c r="AL475" i="27" s="1"/>
  <c r="AG475" i="27"/>
  <c r="AK475" i="27" s="1"/>
  <c r="AE475" i="27"/>
  <c r="AD475" i="27"/>
  <c r="AC475" i="27"/>
  <c r="AA475" i="27"/>
  <c r="Z475" i="27"/>
  <c r="Y475" i="27"/>
  <c r="AB475" i="27" s="1"/>
  <c r="S475" i="27"/>
  <c r="Q475" i="27"/>
  <c r="J475" i="27"/>
  <c r="I475" i="27"/>
  <c r="H475" i="27"/>
  <c r="F475" i="27"/>
  <c r="E475" i="27"/>
  <c r="AJ474" i="27"/>
  <c r="AI474" i="27"/>
  <c r="AH474" i="27"/>
  <c r="AL474" i="27" s="1"/>
  <c r="AG474" i="27"/>
  <c r="AK474" i="27" s="1"/>
  <c r="AE474" i="27"/>
  <c r="AD474" i="27"/>
  <c r="AC474" i="27"/>
  <c r="AA474" i="27"/>
  <c r="Z474" i="27"/>
  <c r="Y474" i="27"/>
  <c r="AB474" i="27" s="1"/>
  <c r="S474" i="27"/>
  <c r="Q474" i="27"/>
  <c r="J474" i="27"/>
  <c r="I474" i="27"/>
  <c r="H474" i="27"/>
  <c r="F474" i="27"/>
  <c r="E474" i="27"/>
  <c r="AJ473" i="27"/>
  <c r="AI473" i="27"/>
  <c r="AH473" i="27"/>
  <c r="AL473" i="27" s="1"/>
  <c r="AG473" i="27"/>
  <c r="AK473" i="27" s="1"/>
  <c r="AE473" i="27"/>
  <c r="AD473" i="27"/>
  <c r="AC473" i="27"/>
  <c r="AA473" i="27"/>
  <c r="Z473" i="27"/>
  <c r="Y473" i="27"/>
  <c r="S473" i="27"/>
  <c r="Q473" i="27"/>
  <c r="J473" i="27"/>
  <c r="I473" i="27"/>
  <c r="H473" i="27"/>
  <c r="F473" i="27"/>
  <c r="E473" i="27"/>
  <c r="AJ472" i="27"/>
  <c r="AI472" i="27"/>
  <c r="AH472" i="27"/>
  <c r="AL472" i="27" s="1"/>
  <c r="AG472" i="27"/>
  <c r="AK472" i="27" s="1"/>
  <c r="AE472" i="27"/>
  <c r="AD472" i="27"/>
  <c r="AC472" i="27"/>
  <c r="AA472" i="27"/>
  <c r="Z472" i="27"/>
  <c r="Y472" i="27"/>
  <c r="S472" i="27"/>
  <c r="Q472" i="27"/>
  <c r="K472" i="27"/>
  <c r="J472" i="27"/>
  <c r="I472" i="27"/>
  <c r="H472" i="27"/>
  <c r="F472" i="27"/>
  <c r="E472" i="27"/>
  <c r="AJ471" i="27"/>
  <c r="AI471" i="27"/>
  <c r="AH471" i="27"/>
  <c r="AL471" i="27" s="1"/>
  <c r="AG471" i="27"/>
  <c r="AK471" i="27" s="1"/>
  <c r="AE471" i="27"/>
  <c r="AD471" i="27"/>
  <c r="AC471" i="27"/>
  <c r="AA471" i="27"/>
  <c r="Z471" i="27"/>
  <c r="Y471" i="27"/>
  <c r="S471" i="27"/>
  <c r="Q471" i="27"/>
  <c r="K471" i="27"/>
  <c r="J471" i="27"/>
  <c r="I471" i="27"/>
  <c r="H471" i="27"/>
  <c r="F471" i="27"/>
  <c r="E471" i="27"/>
  <c r="AJ470" i="27"/>
  <c r="AI470" i="27"/>
  <c r="AH470" i="27"/>
  <c r="AL470" i="27" s="1"/>
  <c r="AG470" i="27"/>
  <c r="AK470" i="27" s="1"/>
  <c r="AE470" i="27"/>
  <c r="AD470" i="27"/>
  <c r="AC470" i="27"/>
  <c r="AA470" i="27"/>
  <c r="Z470" i="27"/>
  <c r="Y470" i="27"/>
  <c r="AB470" i="27" s="1"/>
  <c r="S470" i="27"/>
  <c r="Q470" i="27"/>
  <c r="K470" i="27"/>
  <c r="J470" i="27"/>
  <c r="I470" i="27"/>
  <c r="H470" i="27"/>
  <c r="F470" i="27"/>
  <c r="E470" i="27"/>
  <c r="AJ469" i="27"/>
  <c r="AI469" i="27"/>
  <c r="AH469" i="27"/>
  <c r="AL469" i="27" s="1"/>
  <c r="AG469" i="27"/>
  <c r="AK469" i="27" s="1"/>
  <c r="AE469" i="27"/>
  <c r="AD469" i="27"/>
  <c r="AC469" i="27"/>
  <c r="AA469" i="27"/>
  <c r="Z469" i="27"/>
  <c r="Y469" i="27"/>
  <c r="S469" i="27"/>
  <c r="Q469" i="27"/>
  <c r="K469" i="27"/>
  <c r="J469" i="27"/>
  <c r="I469" i="27"/>
  <c r="H469" i="27"/>
  <c r="F469" i="27"/>
  <c r="E469" i="27"/>
  <c r="AJ468" i="27"/>
  <c r="AI468" i="27"/>
  <c r="AH468" i="27"/>
  <c r="AL468" i="27" s="1"/>
  <c r="AG468" i="27"/>
  <c r="AK468" i="27" s="1"/>
  <c r="AE468" i="27"/>
  <c r="AD468" i="27"/>
  <c r="AC468" i="27"/>
  <c r="AA468" i="27"/>
  <c r="Z468" i="27"/>
  <c r="Y468" i="27"/>
  <c r="S468" i="27"/>
  <c r="Q468" i="27"/>
  <c r="K468" i="27"/>
  <c r="J468" i="27"/>
  <c r="I468" i="27"/>
  <c r="H468" i="27"/>
  <c r="F468" i="27"/>
  <c r="E468" i="27"/>
  <c r="AJ467" i="27"/>
  <c r="AI467" i="27"/>
  <c r="AH467" i="27"/>
  <c r="AL467" i="27" s="1"/>
  <c r="AG467" i="27"/>
  <c r="AK467" i="27" s="1"/>
  <c r="AE467" i="27"/>
  <c r="AD467" i="27"/>
  <c r="AC467" i="27"/>
  <c r="AA467" i="27"/>
  <c r="Z467" i="27"/>
  <c r="Y467" i="27"/>
  <c r="S467" i="27"/>
  <c r="Q467" i="27"/>
  <c r="K467" i="27"/>
  <c r="J467" i="27"/>
  <c r="I467" i="27"/>
  <c r="H467" i="27"/>
  <c r="F467" i="27"/>
  <c r="E467" i="27"/>
  <c r="AI466" i="27"/>
  <c r="AH466" i="27"/>
  <c r="AL466" i="27" s="1"/>
  <c r="AG466" i="27"/>
  <c r="AK466" i="27" s="1"/>
  <c r="AE466" i="27"/>
  <c r="AD466" i="27"/>
  <c r="AC466" i="27"/>
  <c r="AA466" i="27"/>
  <c r="Z466" i="27"/>
  <c r="Y466" i="27"/>
  <c r="AB466" i="27" s="1"/>
  <c r="S466" i="27"/>
  <c r="Q466" i="27"/>
  <c r="J466" i="27"/>
  <c r="I466" i="27"/>
  <c r="H466" i="27"/>
  <c r="F466" i="27"/>
  <c r="E466" i="27"/>
  <c r="AI465" i="27"/>
  <c r="AH465" i="27"/>
  <c r="AL465" i="27" s="1"/>
  <c r="AG465" i="27"/>
  <c r="AK465" i="27" s="1"/>
  <c r="AE465" i="27"/>
  <c r="AD465" i="27"/>
  <c r="AC465" i="27"/>
  <c r="AA465" i="27"/>
  <c r="Z465" i="27"/>
  <c r="Y465" i="27"/>
  <c r="AB465" i="27" s="1"/>
  <c r="S465" i="27"/>
  <c r="Q465" i="27"/>
  <c r="J465" i="27"/>
  <c r="I465" i="27"/>
  <c r="H465" i="27"/>
  <c r="F465" i="27"/>
  <c r="E465" i="27"/>
  <c r="AJ464" i="27"/>
  <c r="AI464" i="27"/>
  <c r="AH464" i="27"/>
  <c r="AL464" i="27" s="1"/>
  <c r="AG464" i="27"/>
  <c r="AK464" i="27" s="1"/>
  <c r="AE464" i="27"/>
  <c r="AD464" i="27"/>
  <c r="AC464" i="27"/>
  <c r="AA464" i="27"/>
  <c r="Z464" i="27"/>
  <c r="Y464" i="27"/>
  <c r="AB464" i="27" s="1"/>
  <c r="S464" i="27"/>
  <c r="Q464" i="27"/>
  <c r="J464" i="27"/>
  <c r="I464" i="27"/>
  <c r="H464" i="27"/>
  <c r="F464" i="27"/>
  <c r="E464" i="27"/>
  <c r="AI463" i="27"/>
  <c r="AH463" i="27"/>
  <c r="AL463" i="27" s="1"/>
  <c r="AG463" i="27"/>
  <c r="AK463" i="27" s="1"/>
  <c r="AE463" i="27"/>
  <c r="AD463" i="27"/>
  <c r="AC463" i="27"/>
  <c r="AA463" i="27"/>
  <c r="Z463" i="27"/>
  <c r="Y463" i="27"/>
  <c r="AB463" i="27" s="1"/>
  <c r="S463" i="27"/>
  <c r="Q463" i="27"/>
  <c r="K463" i="27"/>
  <c r="J463" i="27"/>
  <c r="I463" i="27"/>
  <c r="H463" i="27"/>
  <c r="F463" i="27"/>
  <c r="E463" i="27"/>
  <c r="AI462" i="27"/>
  <c r="AH462" i="27"/>
  <c r="AL462" i="27" s="1"/>
  <c r="AG462" i="27"/>
  <c r="AK462" i="27" s="1"/>
  <c r="AE462" i="27"/>
  <c r="AD462" i="27"/>
  <c r="AC462" i="27"/>
  <c r="AA462" i="27"/>
  <c r="Z462" i="27"/>
  <c r="Y462" i="27"/>
  <c r="AB462" i="27" s="1"/>
  <c r="S462" i="27"/>
  <c r="Q462" i="27"/>
  <c r="K462" i="27"/>
  <c r="J462" i="27"/>
  <c r="I462" i="27"/>
  <c r="H462" i="27"/>
  <c r="F462" i="27"/>
  <c r="E462" i="27"/>
  <c r="AJ461" i="27"/>
  <c r="AI461" i="27"/>
  <c r="AH461" i="27"/>
  <c r="AL461" i="27" s="1"/>
  <c r="AG461" i="27"/>
  <c r="AK461" i="27" s="1"/>
  <c r="AE461" i="27"/>
  <c r="AD461" i="27"/>
  <c r="AC461" i="27"/>
  <c r="AA461" i="27"/>
  <c r="Z461" i="27"/>
  <c r="Y461" i="27"/>
  <c r="S461" i="27"/>
  <c r="Q461" i="27"/>
  <c r="K461" i="27"/>
  <c r="J461" i="27"/>
  <c r="I461" i="27"/>
  <c r="H461" i="27"/>
  <c r="F461" i="27"/>
  <c r="E461" i="27"/>
  <c r="AJ460" i="27"/>
  <c r="AI460" i="27"/>
  <c r="AH460" i="27"/>
  <c r="AL460" i="27" s="1"/>
  <c r="AG460" i="27"/>
  <c r="AK460" i="27" s="1"/>
  <c r="AE460" i="27"/>
  <c r="AD460" i="27"/>
  <c r="AC460" i="27"/>
  <c r="AA460" i="27"/>
  <c r="Z460" i="27"/>
  <c r="Y460" i="27"/>
  <c r="AB460" i="27" s="1"/>
  <c r="S460" i="27"/>
  <c r="Q460" i="27"/>
  <c r="J460" i="27"/>
  <c r="I460" i="27"/>
  <c r="H460" i="27"/>
  <c r="F460" i="27"/>
  <c r="E460" i="27"/>
  <c r="AJ459" i="27"/>
  <c r="AI459" i="27"/>
  <c r="AH459" i="27"/>
  <c r="AL459" i="27" s="1"/>
  <c r="AG459" i="27"/>
  <c r="AK459" i="27" s="1"/>
  <c r="AE459" i="27"/>
  <c r="AD459" i="27"/>
  <c r="AC459" i="27"/>
  <c r="AA459" i="27"/>
  <c r="Z459" i="27"/>
  <c r="Y459" i="27"/>
  <c r="S459" i="27"/>
  <c r="Q459" i="27"/>
  <c r="J459" i="27"/>
  <c r="I459" i="27"/>
  <c r="H459" i="27"/>
  <c r="F459" i="27"/>
  <c r="E459" i="27"/>
  <c r="AJ458" i="27"/>
  <c r="AI458" i="27"/>
  <c r="AH458" i="27"/>
  <c r="AL458" i="27" s="1"/>
  <c r="AG458" i="27"/>
  <c r="AK458" i="27" s="1"/>
  <c r="AE458" i="27"/>
  <c r="AD458" i="27"/>
  <c r="AC458" i="27"/>
  <c r="AA458" i="27"/>
  <c r="Z458" i="27"/>
  <c r="Y458" i="27"/>
  <c r="S458" i="27"/>
  <c r="Q458" i="27"/>
  <c r="J458" i="27"/>
  <c r="I458" i="27"/>
  <c r="H458" i="27"/>
  <c r="F458" i="27"/>
  <c r="E458" i="27"/>
  <c r="AJ457" i="27"/>
  <c r="AI457" i="27"/>
  <c r="AH457" i="27"/>
  <c r="AL457" i="27" s="1"/>
  <c r="AG457" i="27"/>
  <c r="AK457" i="27" s="1"/>
  <c r="AE457" i="27"/>
  <c r="AD457" i="27"/>
  <c r="AC457" i="27"/>
  <c r="AA457" i="27"/>
  <c r="Z457" i="27"/>
  <c r="Y457" i="27"/>
  <c r="AB457" i="27" s="1"/>
  <c r="S457" i="27"/>
  <c r="Q457" i="27"/>
  <c r="K457" i="27"/>
  <c r="J457" i="27"/>
  <c r="I457" i="27"/>
  <c r="H457" i="27"/>
  <c r="F457" i="27"/>
  <c r="E457" i="27"/>
  <c r="AJ456" i="27"/>
  <c r="AI456" i="27"/>
  <c r="AH456" i="27"/>
  <c r="AL456" i="27" s="1"/>
  <c r="AG456" i="27"/>
  <c r="AK456" i="27" s="1"/>
  <c r="AE456" i="27"/>
  <c r="AD456" i="27"/>
  <c r="AC456" i="27"/>
  <c r="AA456" i="27"/>
  <c r="Z456" i="27"/>
  <c r="Y456" i="27"/>
  <c r="S456" i="27"/>
  <c r="Q456" i="27"/>
  <c r="K456" i="27"/>
  <c r="J456" i="27"/>
  <c r="I456" i="27"/>
  <c r="H456" i="27"/>
  <c r="F456" i="27"/>
  <c r="E456" i="27"/>
  <c r="AJ455" i="27"/>
  <c r="AI455" i="27"/>
  <c r="AH455" i="27"/>
  <c r="AL455" i="27" s="1"/>
  <c r="AG455" i="27"/>
  <c r="AK455" i="27" s="1"/>
  <c r="AE455" i="27"/>
  <c r="AD455" i="27"/>
  <c r="AC455" i="27"/>
  <c r="AA455" i="27"/>
  <c r="Z455" i="27"/>
  <c r="Y455" i="27"/>
  <c r="S455" i="27"/>
  <c r="Q455" i="27"/>
  <c r="J455" i="27"/>
  <c r="I455" i="27"/>
  <c r="H455" i="27"/>
  <c r="F455" i="27"/>
  <c r="E455" i="27"/>
  <c r="AI454" i="27"/>
  <c r="AH454" i="27"/>
  <c r="AL454" i="27" s="1"/>
  <c r="AG454" i="27"/>
  <c r="AK454" i="27" s="1"/>
  <c r="AE454" i="27"/>
  <c r="AD454" i="27"/>
  <c r="AC454" i="27"/>
  <c r="AA454" i="27"/>
  <c r="Z454" i="27"/>
  <c r="Y454" i="27"/>
  <c r="S454" i="27"/>
  <c r="Q454" i="27"/>
  <c r="J454" i="27"/>
  <c r="I454" i="27"/>
  <c r="H454" i="27"/>
  <c r="F454" i="27"/>
  <c r="E454" i="27"/>
  <c r="AI453" i="27"/>
  <c r="AH453" i="27"/>
  <c r="AL453" i="27" s="1"/>
  <c r="AG453" i="27"/>
  <c r="AK453" i="27" s="1"/>
  <c r="AE453" i="27"/>
  <c r="AD453" i="27"/>
  <c r="AC453" i="27"/>
  <c r="AA453" i="27"/>
  <c r="Z453" i="27"/>
  <c r="Y453" i="27"/>
  <c r="S453" i="27"/>
  <c r="Q453" i="27"/>
  <c r="J453" i="27"/>
  <c r="I453" i="27"/>
  <c r="H453" i="27"/>
  <c r="F453" i="27"/>
  <c r="E453" i="27"/>
  <c r="AJ452" i="27"/>
  <c r="AI452" i="27"/>
  <c r="AH452" i="27"/>
  <c r="AL452" i="27" s="1"/>
  <c r="AG452" i="27"/>
  <c r="AK452" i="27" s="1"/>
  <c r="AE452" i="27"/>
  <c r="AD452" i="27"/>
  <c r="AC452" i="27"/>
  <c r="AA452" i="27"/>
  <c r="Z452" i="27"/>
  <c r="Y452" i="27"/>
  <c r="S452" i="27"/>
  <c r="Q452" i="27"/>
  <c r="K452" i="27"/>
  <c r="J452" i="27"/>
  <c r="I452" i="27"/>
  <c r="H452" i="27"/>
  <c r="F452" i="27"/>
  <c r="E452" i="27"/>
  <c r="AJ451" i="27"/>
  <c r="AI451" i="27"/>
  <c r="AH451" i="27"/>
  <c r="AL451" i="27" s="1"/>
  <c r="AG451" i="27"/>
  <c r="AK451" i="27" s="1"/>
  <c r="AE451" i="27"/>
  <c r="AD451" i="27"/>
  <c r="AC451" i="27"/>
  <c r="AA451" i="27"/>
  <c r="Z451" i="27"/>
  <c r="Y451" i="27"/>
  <c r="AB451" i="27" s="1"/>
  <c r="S451" i="27"/>
  <c r="Q451" i="27"/>
  <c r="K451" i="27"/>
  <c r="J451" i="27"/>
  <c r="I451" i="27"/>
  <c r="H451" i="27"/>
  <c r="F451" i="27"/>
  <c r="E451" i="27"/>
  <c r="AJ450" i="27"/>
  <c r="AI450" i="27"/>
  <c r="AH450" i="27"/>
  <c r="AL450" i="27" s="1"/>
  <c r="AG450" i="27"/>
  <c r="AK450" i="27" s="1"/>
  <c r="AE450" i="27"/>
  <c r="AD450" i="27"/>
  <c r="AC450" i="27"/>
  <c r="AA450" i="27"/>
  <c r="Z450" i="27"/>
  <c r="Y450" i="27"/>
  <c r="AB450" i="27" s="1"/>
  <c r="S450" i="27"/>
  <c r="Q450" i="27"/>
  <c r="K450" i="27"/>
  <c r="J450" i="27"/>
  <c r="I450" i="27"/>
  <c r="H450" i="27"/>
  <c r="F450" i="27"/>
  <c r="E450" i="27"/>
  <c r="AJ449" i="27"/>
  <c r="AI449" i="27"/>
  <c r="AH449" i="27"/>
  <c r="AL449" i="27" s="1"/>
  <c r="AG449" i="27"/>
  <c r="AK449" i="27" s="1"/>
  <c r="AE449" i="27"/>
  <c r="AD449" i="27"/>
  <c r="AC449" i="27"/>
  <c r="AA449" i="27"/>
  <c r="Z449" i="27"/>
  <c r="Y449" i="27"/>
  <c r="S449" i="27"/>
  <c r="Q449" i="27"/>
  <c r="K449" i="27"/>
  <c r="J449" i="27"/>
  <c r="I449" i="27"/>
  <c r="H449" i="27"/>
  <c r="F449" i="27"/>
  <c r="E449" i="27"/>
  <c r="AI448" i="27"/>
  <c r="AH448" i="27"/>
  <c r="AL448" i="27" s="1"/>
  <c r="AG448" i="27"/>
  <c r="AK448" i="27" s="1"/>
  <c r="AE448" i="27"/>
  <c r="AD448" i="27"/>
  <c r="AC448" i="27"/>
  <c r="AA448" i="27"/>
  <c r="Z448" i="27"/>
  <c r="Y448" i="27"/>
  <c r="S448" i="27"/>
  <c r="Q448" i="27"/>
  <c r="K448" i="27"/>
  <c r="J448" i="27"/>
  <c r="I448" i="27"/>
  <c r="H448" i="27"/>
  <c r="F448" i="27"/>
  <c r="E448" i="27"/>
  <c r="AI447" i="27"/>
  <c r="AH447" i="27"/>
  <c r="AL447" i="27" s="1"/>
  <c r="AG447" i="27"/>
  <c r="AK447" i="27" s="1"/>
  <c r="AE447" i="27"/>
  <c r="AD447" i="27"/>
  <c r="AC447" i="27"/>
  <c r="AA447" i="27"/>
  <c r="Z447" i="27"/>
  <c r="Y447" i="27"/>
  <c r="AB447" i="27" s="1"/>
  <c r="S447" i="27"/>
  <c r="Q447" i="27"/>
  <c r="K447" i="27"/>
  <c r="J447" i="27"/>
  <c r="I447" i="27"/>
  <c r="H447" i="27"/>
  <c r="F447" i="27"/>
  <c r="E447" i="27"/>
  <c r="AI446" i="27"/>
  <c r="AH446" i="27"/>
  <c r="AL446" i="27" s="1"/>
  <c r="AG446" i="27"/>
  <c r="AK446" i="27" s="1"/>
  <c r="AE446" i="27"/>
  <c r="AD446" i="27"/>
  <c r="AC446" i="27"/>
  <c r="AA446" i="27"/>
  <c r="Z446" i="27"/>
  <c r="Y446" i="27"/>
  <c r="S446" i="27"/>
  <c r="Q446" i="27"/>
  <c r="K446" i="27"/>
  <c r="J446" i="27"/>
  <c r="I446" i="27"/>
  <c r="H446" i="27"/>
  <c r="F446" i="27"/>
  <c r="E446" i="27"/>
  <c r="AI445" i="27"/>
  <c r="AH445" i="27"/>
  <c r="AL445" i="27" s="1"/>
  <c r="AG445" i="27"/>
  <c r="AK445" i="27" s="1"/>
  <c r="AE445" i="27"/>
  <c r="AD445" i="27"/>
  <c r="AC445" i="27"/>
  <c r="AA445" i="27"/>
  <c r="Z445" i="27"/>
  <c r="Y445" i="27"/>
  <c r="S445" i="27"/>
  <c r="Q445" i="27"/>
  <c r="K445" i="27"/>
  <c r="J445" i="27"/>
  <c r="I445" i="27"/>
  <c r="H445" i="27"/>
  <c r="F445" i="27"/>
  <c r="E445" i="27"/>
  <c r="AI444" i="27"/>
  <c r="AH444" i="27"/>
  <c r="AL444" i="27" s="1"/>
  <c r="AG444" i="27"/>
  <c r="AK444" i="27" s="1"/>
  <c r="AE444" i="27"/>
  <c r="AD444" i="27"/>
  <c r="AC444" i="27"/>
  <c r="AA444" i="27"/>
  <c r="Z444" i="27"/>
  <c r="Y444" i="27"/>
  <c r="AB444" i="27" s="1"/>
  <c r="S444" i="27"/>
  <c r="Q444" i="27"/>
  <c r="J444" i="27"/>
  <c r="I444" i="27"/>
  <c r="H444" i="27"/>
  <c r="F444" i="27"/>
  <c r="E444" i="27"/>
  <c r="AJ443" i="27"/>
  <c r="AI443" i="27"/>
  <c r="AH443" i="27"/>
  <c r="AL443" i="27" s="1"/>
  <c r="AG443" i="27"/>
  <c r="AK443" i="27" s="1"/>
  <c r="AE443" i="27"/>
  <c r="AD443" i="27"/>
  <c r="AC443" i="27"/>
  <c r="AA443" i="27"/>
  <c r="Z443" i="27"/>
  <c r="Y443" i="27"/>
  <c r="AB443" i="27" s="1"/>
  <c r="S443" i="27"/>
  <c r="Q443" i="27"/>
  <c r="K443" i="27"/>
  <c r="J443" i="27"/>
  <c r="I443" i="27"/>
  <c r="H443" i="27"/>
  <c r="F443" i="27"/>
  <c r="E443" i="27"/>
  <c r="AJ442" i="27"/>
  <c r="AI442" i="27"/>
  <c r="AH442" i="27"/>
  <c r="AL442" i="27" s="1"/>
  <c r="AG442" i="27"/>
  <c r="AK442" i="27" s="1"/>
  <c r="AE442" i="27"/>
  <c r="AD442" i="27"/>
  <c r="AC442" i="27"/>
  <c r="AA442" i="27"/>
  <c r="Z442" i="27"/>
  <c r="Y442" i="27"/>
  <c r="S442" i="27"/>
  <c r="Q442" i="27"/>
  <c r="K442" i="27"/>
  <c r="J442" i="27"/>
  <c r="I442" i="27"/>
  <c r="H442" i="27"/>
  <c r="F442" i="27"/>
  <c r="E442" i="27"/>
  <c r="AJ441" i="27"/>
  <c r="AI441" i="27"/>
  <c r="AH441" i="27"/>
  <c r="AL441" i="27" s="1"/>
  <c r="AG441" i="27"/>
  <c r="AK441" i="27" s="1"/>
  <c r="AE441" i="27"/>
  <c r="AD441" i="27"/>
  <c r="AC441" i="27"/>
  <c r="AA441" i="27"/>
  <c r="Z441" i="27"/>
  <c r="Y441" i="27"/>
  <c r="S441" i="27"/>
  <c r="Q441" i="27"/>
  <c r="K441" i="27"/>
  <c r="J441" i="27"/>
  <c r="I441" i="27"/>
  <c r="H441" i="27"/>
  <c r="F441" i="27"/>
  <c r="E441" i="27"/>
  <c r="AI440" i="27"/>
  <c r="AH440" i="27"/>
  <c r="AL440" i="27" s="1"/>
  <c r="AG440" i="27"/>
  <c r="AK440" i="27" s="1"/>
  <c r="AE440" i="27"/>
  <c r="AD440" i="27"/>
  <c r="AC440" i="27"/>
  <c r="AA440" i="27"/>
  <c r="Z440" i="27"/>
  <c r="Y440" i="27"/>
  <c r="S440" i="27"/>
  <c r="Q440" i="27"/>
  <c r="K440" i="27"/>
  <c r="J440" i="27"/>
  <c r="I440" i="27"/>
  <c r="H440" i="27"/>
  <c r="F440" i="27"/>
  <c r="E440" i="27"/>
  <c r="AJ439" i="27"/>
  <c r="AI439" i="27"/>
  <c r="AH439" i="27"/>
  <c r="AL439" i="27" s="1"/>
  <c r="AG439" i="27"/>
  <c r="AK439" i="27" s="1"/>
  <c r="AE439" i="27"/>
  <c r="AD439" i="27"/>
  <c r="AC439" i="27"/>
  <c r="AA439" i="27"/>
  <c r="Z439" i="27"/>
  <c r="Y439" i="27"/>
  <c r="AB439" i="27" s="1"/>
  <c r="S439" i="27"/>
  <c r="Q439" i="27"/>
  <c r="K439" i="27"/>
  <c r="J439" i="27"/>
  <c r="I439" i="27"/>
  <c r="H439" i="27"/>
  <c r="F439" i="27"/>
  <c r="E439" i="27"/>
  <c r="AI438" i="27"/>
  <c r="AH438" i="27"/>
  <c r="AL438" i="27" s="1"/>
  <c r="AG438" i="27"/>
  <c r="AK438" i="27" s="1"/>
  <c r="AE438" i="27"/>
  <c r="AD438" i="27"/>
  <c r="AC438" i="27"/>
  <c r="AA438" i="27"/>
  <c r="Z438" i="27"/>
  <c r="Y438" i="27"/>
  <c r="AB438" i="27" s="1"/>
  <c r="S438" i="27"/>
  <c r="Q438" i="27"/>
  <c r="K438" i="27"/>
  <c r="J438" i="27"/>
  <c r="I438" i="27"/>
  <c r="H438" i="27"/>
  <c r="F438" i="27"/>
  <c r="E438" i="27"/>
  <c r="AI437" i="27"/>
  <c r="AH437" i="27"/>
  <c r="AL437" i="27" s="1"/>
  <c r="AG437" i="27"/>
  <c r="AK437" i="27" s="1"/>
  <c r="AE437" i="27"/>
  <c r="AD437" i="27"/>
  <c r="AC437" i="27"/>
  <c r="AA437" i="27"/>
  <c r="Z437" i="27"/>
  <c r="Y437" i="27"/>
  <c r="AB437" i="27" s="1"/>
  <c r="S437" i="27"/>
  <c r="Q437" i="27"/>
  <c r="K437" i="27"/>
  <c r="J437" i="27"/>
  <c r="I437" i="27"/>
  <c r="H437" i="27"/>
  <c r="F437" i="27"/>
  <c r="E437" i="27"/>
  <c r="AI436" i="27"/>
  <c r="AH436" i="27"/>
  <c r="AL436" i="27" s="1"/>
  <c r="AG436" i="27"/>
  <c r="AK436" i="27" s="1"/>
  <c r="AE436" i="27"/>
  <c r="AD436" i="27"/>
  <c r="AC436" i="27"/>
  <c r="AA436" i="27"/>
  <c r="Z436" i="27"/>
  <c r="Y436" i="27"/>
  <c r="S436" i="27"/>
  <c r="Q436" i="27"/>
  <c r="K436" i="27"/>
  <c r="J436" i="27"/>
  <c r="I436" i="27"/>
  <c r="H436" i="27"/>
  <c r="F436" i="27"/>
  <c r="E436" i="27"/>
  <c r="AI435" i="27"/>
  <c r="AH435" i="27"/>
  <c r="AL435" i="27" s="1"/>
  <c r="AG435" i="27"/>
  <c r="AK435" i="27" s="1"/>
  <c r="AE435" i="27"/>
  <c r="AD435" i="27"/>
  <c r="AC435" i="27"/>
  <c r="AA435" i="27"/>
  <c r="Z435" i="27"/>
  <c r="Y435" i="27"/>
  <c r="S435" i="27"/>
  <c r="Q435" i="27"/>
  <c r="K435" i="27"/>
  <c r="J435" i="27"/>
  <c r="I435" i="27"/>
  <c r="H435" i="27"/>
  <c r="F435" i="27"/>
  <c r="E435" i="27"/>
  <c r="AI434" i="27"/>
  <c r="AH434" i="27"/>
  <c r="AL434" i="27" s="1"/>
  <c r="AG434" i="27"/>
  <c r="AK434" i="27" s="1"/>
  <c r="AE434" i="27"/>
  <c r="AD434" i="27"/>
  <c r="AC434" i="27"/>
  <c r="AA434" i="27"/>
  <c r="Z434" i="27"/>
  <c r="Y434" i="27"/>
  <c r="AB434" i="27" s="1"/>
  <c r="S434" i="27"/>
  <c r="Q434" i="27"/>
  <c r="K434" i="27"/>
  <c r="J434" i="27"/>
  <c r="I434" i="27"/>
  <c r="H434" i="27"/>
  <c r="F434" i="27"/>
  <c r="E434" i="27"/>
  <c r="AI433" i="27"/>
  <c r="AH433" i="27"/>
  <c r="AL433" i="27" s="1"/>
  <c r="AG433" i="27"/>
  <c r="AK433" i="27" s="1"/>
  <c r="AE433" i="27"/>
  <c r="AD433" i="27"/>
  <c r="AC433" i="27"/>
  <c r="AA433" i="27"/>
  <c r="Z433" i="27"/>
  <c r="Y433" i="27"/>
  <c r="S433" i="27"/>
  <c r="Q433" i="27"/>
  <c r="K433" i="27"/>
  <c r="J433" i="27"/>
  <c r="I433" i="27"/>
  <c r="H433" i="27"/>
  <c r="F433" i="27"/>
  <c r="E433" i="27"/>
  <c r="AJ432" i="27"/>
  <c r="AI432" i="27"/>
  <c r="AH432" i="27"/>
  <c r="AL432" i="27" s="1"/>
  <c r="AG432" i="27"/>
  <c r="AK432" i="27" s="1"/>
  <c r="AE432" i="27"/>
  <c r="AD432" i="27"/>
  <c r="AC432" i="27"/>
  <c r="AA432" i="27"/>
  <c r="Z432" i="27"/>
  <c r="Y432" i="27"/>
  <c r="AB432" i="27" s="1"/>
  <c r="S432" i="27"/>
  <c r="Q432" i="27"/>
  <c r="J432" i="27"/>
  <c r="I432" i="27"/>
  <c r="H432" i="27"/>
  <c r="F432" i="27"/>
  <c r="E432" i="27"/>
  <c r="AJ431" i="27"/>
  <c r="AI431" i="27"/>
  <c r="AH431" i="27"/>
  <c r="AL431" i="27" s="1"/>
  <c r="AG431" i="27"/>
  <c r="AK431" i="27" s="1"/>
  <c r="AE431" i="27"/>
  <c r="AD431" i="27"/>
  <c r="AC431" i="27"/>
  <c r="AA431" i="27"/>
  <c r="Z431" i="27"/>
  <c r="Y431" i="27"/>
  <c r="AB431" i="27" s="1"/>
  <c r="S431" i="27"/>
  <c r="Q431" i="27"/>
  <c r="J431" i="27"/>
  <c r="I431" i="27"/>
  <c r="H431" i="27"/>
  <c r="F431" i="27"/>
  <c r="E431" i="27"/>
  <c r="AJ430" i="27"/>
  <c r="AI430" i="27"/>
  <c r="AH430" i="27"/>
  <c r="AL430" i="27" s="1"/>
  <c r="AG430" i="27"/>
  <c r="AK430" i="27" s="1"/>
  <c r="AE430" i="27"/>
  <c r="AD430" i="27"/>
  <c r="AC430" i="27"/>
  <c r="AA430" i="27"/>
  <c r="Z430" i="27"/>
  <c r="Y430" i="27"/>
  <c r="S430" i="27"/>
  <c r="Q430" i="27"/>
  <c r="K430" i="27"/>
  <c r="J430" i="27"/>
  <c r="I430" i="27"/>
  <c r="H430" i="27"/>
  <c r="F430" i="27"/>
  <c r="E430" i="27"/>
  <c r="AI429" i="27"/>
  <c r="AH429" i="27"/>
  <c r="AL429" i="27" s="1"/>
  <c r="AG429" i="27"/>
  <c r="AK429" i="27" s="1"/>
  <c r="AE429" i="27"/>
  <c r="AD429" i="27"/>
  <c r="AC429" i="27"/>
  <c r="AA429" i="27"/>
  <c r="Z429" i="27"/>
  <c r="Y429" i="27"/>
  <c r="S429" i="27"/>
  <c r="Q429" i="27"/>
  <c r="J429" i="27"/>
  <c r="I429" i="27"/>
  <c r="H429" i="27"/>
  <c r="F429" i="27"/>
  <c r="E429" i="27"/>
  <c r="AJ428" i="27"/>
  <c r="AI428" i="27"/>
  <c r="AH428" i="27"/>
  <c r="AL428" i="27" s="1"/>
  <c r="AG428" i="27"/>
  <c r="AK428" i="27" s="1"/>
  <c r="AE428" i="27"/>
  <c r="AD428" i="27"/>
  <c r="AC428" i="27"/>
  <c r="AA428" i="27"/>
  <c r="Z428" i="27"/>
  <c r="Y428" i="27"/>
  <c r="S428" i="27"/>
  <c r="Q428" i="27"/>
  <c r="J428" i="27"/>
  <c r="I428" i="27"/>
  <c r="H428" i="27"/>
  <c r="F428" i="27"/>
  <c r="E428" i="27"/>
  <c r="AI427" i="27"/>
  <c r="AH427" i="27"/>
  <c r="AL427" i="27" s="1"/>
  <c r="AG427" i="27"/>
  <c r="AK427" i="27" s="1"/>
  <c r="AE427" i="27"/>
  <c r="AD427" i="27"/>
  <c r="AC427" i="27"/>
  <c r="AA427" i="27"/>
  <c r="Z427" i="27"/>
  <c r="Y427" i="27"/>
  <c r="S427" i="27"/>
  <c r="Q427" i="27"/>
  <c r="K427" i="27"/>
  <c r="J427" i="27"/>
  <c r="I427" i="27"/>
  <c r="H427" i="27"/>
  <c r="F427" i="27"/>
  <c r="E427" i="27"/>
  <c r="AI426" i="27"/>
  <c r="AH426" i="27"/>
  <c r="AL426" i="27" s="1"/>
  <c r="AG426" i="27"/>
  <c r="AK426" i="27" s="1"/>
  <c r="AE426" i="27"/>
  <c r="AD426" i="27"/>
  <c r="AC426" i="27"/>
  <c r="AA426" i="27"/>
  <c r="Z426" i="27"/>
  <c r="Y426" i="27"/>
  <c r="S426" i="27"/>
  <c r="Q426" i="27"/>
  <c r="K426" i="27"/>
  <c r="J426" i="27"/>
  <c r="I426" i="27"/>
  <c r="H426" i="27"/>
  <c r="F426" i="27"/>
  <c r="E426" i="27"/>
  <c r="AJ425" i="27"/>
  <c r="AI425" i="27"/>
  <c r="AH425" i="27"/>
  <c r="AL425" i="27" s="1"/>
  <c r="AG425" i="27"/>
  <c r="AK425" i="27" s="1"/>
  <c r="AE425" i="27"/>
  <c r="AD425" i="27"/>
  <c r="AC425" i="27"/>
  <c r="AA425" i="27"/>
  <c r="Z425" i="27"/>
  <c r="Y425" i="27"/>
  <c r="AB425" i="27" s="1"/>
  <c r="S425" i="27"/>
  <c r="Q425" i="27"/>
  <c r="K425" i="27"/>
  <c r="J425" i="27"/>
  <c r="I425" i="27"/>
  <c r="H425" i="27"/>
  <c r="F425" i="27"/>
  <c r="E425" i="27"/>
  <c r="AJ424" i="27"/>
  <c r="AI424" i="27"/>
  <c r="AH424" i="27"/>
  <c r="AL424" i="27" s="1"/>
  <c r="AG424" i="27"/>
  <c r="AK424" i="27" s="1"/>
  <c r="AE424" i="27"/>
  <c r="AD424" i="27"/>
  <c r="AC424" i="27"/>
  <c r="AA424" i="27"/>
  <c r="Z424" i="27"/>
  <c r="Y424" i="27"/>
  <c r="AB424" i="27" s="1"/>
  <c r="S424" i="27"/>
  <c r="Q424" i="27"/>
  <c r="K424" i="27"/>
  <c r="J424" i="27"/>
  <c r="I424" i="27"/>
  <c r="H424" i="27"/>
  <c r="F424" i="27"/>
  <c r="E424" i="27"/>
  <c r="AJ423" i="27"/>
  <c r="AI423" i="27"/>
  <c r="AH423" i="27"/>
  <c r="AL423" i="27" s="1"/>
  <c r="AG423" i="27"/>
  <c r="AK423" i="27" s="1"/>
  <c r="AE423" i="27"/>
  <c r="AD423" i="27"/>
  <c r="AC423" i="27"/>
  <c r="AA423" i="27"/>
  <c r="Z423" i="27"/>
  <c r="Y423" i="27"/>
  <c r="S423" i="27"/>
  <c r="Q423" i="27"/>
  <c r="K423" i="27"/>
  <c r="J423" i="27"/>
  <c r="I423" i="27"/>
  <c r="H423" i="27"/>
  <c r="F423" i="27"/>
  <c r="E423" i="27"/>
  <c r="AI422" i="27"/>
  <c r="AH422" i="27"/>
  <c r="AL422" i="27" s="1"/>
  <c r="AG422" i="27"/>
  <c r="AK422" i="27" s="1"/>
  <c r="AE422" i="27"/>
  <c r="AD422" i="27"/>
  <c r="AC422" i="27"/>
  <c r="AA422" i="27"/>
  <c r="Z422" i="27"/>
  <c r="Y422" i="27"/>
  <c r="S422" i="27"/>
  <c r="Q422" i="27"/>
  <c r="K422" i="27"/>
  <c r="J422" i="27"/>
  <c r="I422" i="27"/>
  <c r="H422" i="27"/>
  <c r="F422" i="27"/>
  <c r="E422" i="27"/>
  <c r="AI421" i="27"/>
  <c r="AH421" i="27"/>
  <c r="AL421" i="27" s="1"/>
  <c r="AG421" i="27"/>
  <c r="AK421" i="27" s="1"/>
  <c r="AE421" i="27"/>
  <c r="AD421" i="27"/>
  <c r="AC421" i="27"/>
  <c r="AA421" i="27"/>
  <c r="Z421" i="27"/>
  <c r="Y421" i="27"/>
  <c r="AB421" i="27" s="1"/>
  <c r="S421" i="27"/>
  <c r="Q421" i="27"/>
  <c r="K421" i="27"/>
  <c r="J421" i="27"/>
  <c r="I421" i="27"/>
  <c r="H421" i="27"/>
  <c r="F421" i="27"/>
  <c r="E421" i="27"/>
  <c r="AJ420" i="27"/>
  <c r="AI420" i="27"/>
  <c r="AH420" i="27"/>
  <c r="AL420" i="27" s="1"/>
  <c r="AG420" i="27"/>
  <c r="AK420" i="27" s="1"/>
  <c r="AE420" i="27"/>
  <c r="AD420" i="27"/>
  <c r="AC420" i="27"/>
  <c r="AA420" i="27"/>
  <c r="Z420" i="27"/>
  <c r="Y420" i="27"/>
  <c r="S420" i="27"/>
  <c r="Q420" i="27"/>
  <c r="J420" i="27"/>
  <c r="I420" i="27"/>
  <c r="H420" i="27"/>
  <c r="F420" i="27"/>
  <c r="E420" i="27"/>
  <c r="AI419" i="27"/>
  <c r="AH419" i="27"/>
  <c r="AL419" i="27" s="1"/>
  <c r="AG419" i="27"/>
  <c r="AK419" i="27" s="1"/>
  <c r="AE419" i="27"/>
  <c r="AD419" i="27"/>
  <c r="AC419" i="27"/>
  <c r="AA419" i="27"/>
  <c r="Z419" i="27"/>
  <c r="Y419" i="27"/>
  <c r="S419" i="27"/>
  <c r="Q419" i="27"/>
  <c r="J419" i="27"/>
  <c r="I419" i="27"/>
  <c r="H419" i="27"/>
  <c r="F419" i="27"/>
  <c r="E419" i="27"/>
  <c r="AJ418" i="27"/>
  <c r="AI418" i="27"/>
  <c r="AH418" i="27"/>
  <c r="AL418" i="27" s="1"/>
  <c r="AG418" i="27"/>
  <c r="AK418" i="27" s="1"/>
  <c r="AE418" i="27"/>
  <c r="AD418" i="27"/>
  <c r="AC418" i="27"/>
  <c r="AA418" i="27"/>
  <c r="Z418" i="27"/>
  <c r="Y418" i="27"/>
  <c r="AB418" i="27" s="1"/>
  <c r="S418" i="27"/>
  <c r="Q418" i="27"/>
  <c r="K418" i="27"/>
  <c r="J418" i="27"/>
  <c r="I418" i="27"/>
  <c r="H418" i="27"/>
  <c r="F418" i="27"/>
  <c r="E418" i="27"/>
  <c r="AJ417" i="27"/>
  <c r="AI417" i="27"/>
  <c r="AH417" i="27"/>
  <c r="AL417" i="27" s="1"/>
  <c r="AG417" i="27"/>
  <c r="AK417" i="27" s="1"/>
  <c r="AE417" i="27"/>
  <c r="AD417" i="27"/>
  <c r="AC417" i="27"/>
  <c r="AA417" i="27"/>
  <c r="Z417" i="27"/>
  <c r="Y417" i="27"/>
  <c r="S417" i="27"/>
  <c r="Q417" i="27"/>
  <c r="K417" i="27"/>
  <c r="J417" i="27"/>
  <c r="I417" i="27"/>
  <c r="H417" i="27"/>
  <c r="F417" i="27"/>
  <c r="E417" i="27"/>
  <c r="AJ416" i="27"/>
  <c r="AI416" i="27"/>
  <c r="AH416" i="27"/>
  <c r="AL416" i="27" s="1"/>
  <c r="AG416" i="27"/>
  <c r="AK416" i="27" s="1"/>
  <c r="AE416" i="27"/>
  <c r="AD416" i="27"/>
  <c r="AC416" i="27"/>
  <c r="AA416" i="27"/>
  <c r="Z416" i="27"/>
  <c r="Y416" i="27"/>
  <c r="S416" i="27"/>
  <c r="Q416" i="27"/>
  <c r="K416" i="27"/>
  <c r="J416" i="27"/>
  <c r="I416" i="27"/>
  <c r="H416" i="27"/>
  <c r="F416" i="27"/>
  <c r="E416" i="27"/>
  <c r="AJ415" i="27"/>
  <c r="AI415" i="27"/>
  <c r="AH415" i="27"/>
  <c r="AL415" i="27" s="1"/>
  <c r="AG415" i="27"/>
  <c r="AK415" i="27" s="1"/>
  <c r="AE415" i="27"/>
  <c r="AD415" i="27"/>
  <c r="AC415" i="27"/>
  <c r="AA415" i="27"/>
  <c r="Z415" i="27"/>
  <c r="Y415" i="27"/>
  <c r="S415" i="27"/>
  <c r="Q415" i="27"/>
  <c r="K415" i="27"/>
  <c r="J415" i="27"/>
  <c r="I415" i="27"/>
  <c r="H415" i="27"/>
  <c r="F415" i="27"/>
  <c r="E415" i="27"/>
  <c r="AJ414" i="27"/>
  <c r="AI414" i="27"/>
  <c r="AH414" i="27"/>
  <c r="AL414" i="27" s="1"/>
  <c r="AG414" i="27"/>
  <c r="AK414" i="27" s="1"/>
  <c r="AE414" i="27"/>
  <c r="AD414" i="27"/>
  <c r="AC414" i="27"/>
  <c r="AA414" i="27"/>
  <c r="Z414" i="27"/>
  <c r="Y414" i="27"/>
  <c r="AB414" i="27" s="1"/>
  <c r="S414" i="27"/>
  <c r="Q414" i="27"/>
  <c r="J414" i="27"/>
  <c r="I414" i="27"/>
  <c r="H414" i="27"/>
  <c r="F414" i="27"/>
  <c r="E414" i="27"/>
  <c r="AJ413" i="27"/>
  <c r="AI413" i="27"/>
  <c r="AH413" i="27"/>
  <c r="AL413" i="27" s="1"/>
  <c r="AG413" i="27"/>
  <c r="AK413" i="27" s="1"/>
  <c r="AE413" i="27"/>
  <c r="AD413" i="27"/>
  <c r="AC413" i="27"/>
  <c r="AA413" i="27"/>
  <c r="Z413" i="27"/>
  <c r="Y413" i="27"/>
  <c r="AB413" i="27" s="1"/>
  <c r="S413" i="27"/>
  <c r="Q413" i="27"/>
  <c r="J413" i="27"/>
  <c r="I413" i="27"/>
  <c r="H413" i="27"/>
  <c r="F413" i="27"/>
  <c r="E413" i="27"/>
  <c r="AJ412" i="27"/>
  <c r="AI412" i="27"/>
  <c r="AH412" i="27"/>
  <c r="AL412" i="27" s="1"/>
  <c r="AG412" i="27"/>
  <c r="AK412" i="27" s="1"/>
  <c r="AE412" i="27"/>
  <c r="AD412" i="27"/>
  <c r="AC412" i="27"/>
  <c r="AA412" i="27"/>
  <c r="Z412" i="27"/>
  <c r="Y412" i="27"/>
  <c r="AB412" i="27" s="1"/>
  <c r="S412" i="27"/>
  <c r="Q412" i="27"/>
  <c r="J412" i="27"/>
  <c r="I412" i="27"/>
  <c r="H412" i="27"/>
  <c r="F412" i="27"/>
  <c r="E412" i="27"/>
  <c r="AJ411" i="27"/>
  <c r="AI411" i="27"/>
  <c r="AH411" i="27"/>
  <c r="AL411" i="27" s="1"/>
  <c r="AG411" i="27"/>
  <c r="AK411" i="27" s="1"/>
  <c r="AE411" i="27"/>
  <c r="AD411" i="27"/>
  <c r="AC411" i="27"/>
  <c r="AA411" i="27"/>
  <c r="Z411" i="27"/>
  <c r="Y411" i="27"/>
  <c r="S411" i="27"/>
  <c r="Q411" i="27"/>
  <c r="J411" i="27"/>
  <c r="I411" i="27"/>
  <c r="H411" i="27"/>
  <c r="F411" i="27"/>
  <c r="E411" i="27"/>
  <c r="AJ410" i="27"/>
  <c r="AI410" i="27"/>
  <c r="AH410" i="27"/>
  <c r="AL410" i="27" s="1"/>
  <c r="AG410" i="27"/>
  <c r="AK410" i="27" s="1"/>
  <c r="AE410" i="27"/>
  <c r="AD410" i="27"/>
  <c r="AC410" i="27"/>
  <c r="AA410" i="27"/>
  <c r="Z410" i="27"/>
  <c r="Y410" i="27"/>
  <c r="S410" i="27"/>
  <c r="Q410" i="27"/>
  <c r="J410" i="27"/>
  <c r="I410" i="27"/>
  <c r="H410" i="27"/>
  <c r="F410" i="27"/>
  <c r="E410" i="27"/>
  <c r="AJ409" i="27"/>
  <c r="AI409" i="27"/>
  <c r="AH409" i="27"/>
  <c r="AL409" i="27" s="1"/>
  <c r="AG409" i="27"/>
  <c r="AK409" i="27" s="1"/>
  <c r="AE409" i="27"/>
  <c r="AD409" i="27"/>
  <c r="AC409" i="27"/>
  <c r="AA409" i="27"/>
  <c r="Z409" i="27"/>
  <c r="Y409" i="27"/>
  <c r="AB409" i="27" s="1"/>
  <c r="S409" i="27"/>
  <c r="Q409" i="27"/>
  <c r="K409" i="27"/>
  <c r="J409" i="27"/>
  <c r="I409" i="27"/>
  <c r="H409" i="27"/>
  <c r="F409" i="27"/>
  <c r="E409" i="27"/>
  <c r="AJ408" i="27"/>
  <c r="AI408" i="27"/>
  <c r="AH408" i="27"/>
  <c r="AL408" i="27" s="1"/>
  <c r="AG408" i="27"/>
  <c r="AK408" i="27" s="1"/>
  <c r="AE408" i="27"/>
  <c r="AD408" i="27"/>
  <c r="AC408" i="27"/>
  <c r="AA408" i="27"/>
  <c r="Z408" i="27"/>
  <c r="Y408" i="27"/>
  <c r="S408" i="27"/>
  <c r="Q408" i="27"/>
  <c r="K408" i="27"/>
  <c r="J408" i="27"/>
  <c r="I408" i="27"/>
  <c r="H408" i="27"/>
  <c r="F408" i="27"/>
  <c r="E408" i="27"/>
  <c r="AJ407" i="27"/>
  <c r="AI407" i="27"/>
  <c r="AH407" i="27"/>
  <c r="AL407" i="27" s="1"/>
  <c r="AG407" i="27"/>
  <c r="AK407" i="27" s="1"/>
  <c r="AE407" i="27"/>
  <c r="AD407" i="27"/>
  <c r="AC407" i="27"/>
  <c r="AA407" i="27"/>
  <c r="Z407" i="27"/>
  <c r="Y407" i="27"/>
  <c r="AB407" i="27" s="1"/>
  <c r="S407" i="27"/>
  <c r="Q407" i="27"/>
  <c r="K407" i="27"/>
  <c r="J407" i="27"/>
  <c r="I407" i="27"/>
  <c r="H407" i="27"/>
  <c r="F407" i="27"/>
  <c r="E407" i="27"/>
  <c r="AJ406" i="27"/>
  <c r="AI406" i="27"/>
  <c r="AH406" i="27"/>
  <c r="AL406" i="27" s="1"/>
  <c r="AG406" i="27"/>
  <c r="AK406" i="27" s="1"/>
  <c r="AE406" i="27"/>
  <c r="AD406" i="27"/>
  <c r="AC406" i="27"/>
  <c r="AA406" i="27"/>
  <c r="Z406" i="27"/>
  <c r="Y406" i="27"/>
  <c r="S406" i="27"/>
  <c r="Q406" i="27"/>
  <c r="J406" i="27"/>
  <c r="I406" i="27"/>
  <c r="H406" i="27"/>
  <c r="F406" i="27"/>
  <c r="E406" i="27"/>
  <c r="AJ405" i="27"/>
  <c r="AI405" i="27"/>
  <c r="AH405" i="27"/>
  <c r="AL405" i="27" s="1"/>
  <c r="AG405" i="27"/>
  <c r="AK405" i="27" s="1"/>
  <c r="AE405" i="27"/>
  <c r="AD405" i="27"/>
  <c r="AC405" i="27"/>
  <c r="AA405" i="27"/>
  <c r="Z405" i="27"/>
  <c r="Y405" i="27"/>
  <c r="S405" i="27"/>
  <c r="Q405" i="27"/>
  <c r="K405" i="27"/>
  <c r="J405" i="27"/>
  <c r="I405" i="27"/>
  <c r="H405" i="27"/>
  <c r="F405" i="27"/>
  <c r="E405" i="27"/>
  <c r="AJ404" i="27"/>
  <c r="AI404" i="27"/>
  <c r="AH404" i="27"/>
  <c r="AL404" i="27" s="1"/>
  <c r="AG404" i="27"/>
  <c r="AK404" i="27" s="1"/>
  <c r="AE404" i="27"/>
  <c r="AD404" i="27"/>
  <c r="AC404" i="27"/>
  <c r="AA404" i="27"/>
  <c r="Z404" i="27"/>
  <c r="Y404" i="27"/>
  <c r="S404" i="27"/>
  <c r="Q404" i="27"/>
  <c r="J404" i="27"/>
  <c r="I404" i="27"/>
  <c r="H404" i="27"/>
  <c r="F404" i="27"/>
  <c r="E404" i="27"/>
  <c r="AJ403" i="27"/>
  <c r="AI403" i="27"/>
  <c r="AH403" i="27"/>
  <c r="AL403" i="27" s="1"/>
  <c r="AG403" i="27"/>
  <c r="AK403" i="27" s="1"/>
  <c r="AE403" i="27"/>
  <c r="AD403" i="27"/>
  <c r="AC403" i="27"/>
  <c r="AA403" i="27"/>
  <c r="Z403" i="27"/>
  <c r="Y403" i="27"/>
  <c r="AB403" i="27" s="1"/>
  <c r="S403" i="27"/>
  <c r="Q403" i="27"/>
  <c r="J403" i="27"/>
  <c r="I403" i="27"/>
  <c r="H403" i="27"/>
  <c r="F403" i="27"/>
  <c r="E403" i="27"/>
  <c r="AJ402" i="27"/>
  <c r="AI402" i="27"/>
  <c r="AH402" i="27"/>
  <c r="AL402" i="27" s="1"/>
  <c r="AG402" i="27"/>
  <c r="AK402" i="27" s="1"/>
  <c r="AE402" i="27"/>
  <c r="AD402" i="27"/>
  <c r="AC402" i="27"/>
  <c r="AA402" i="27"/>
  <c r="Z402" i="27"/>
  <c r="Y402" i="27"/>
  <c r="AB402" i="27" s="1"/>
  <c r="S402" i="27"/>
  <c r="Q402" i="27"/>
  <c r="J402" i="27"/>
  <c r="I402" i="27"/>
  <c r="H402" i="27"/>
  <c r="F402" i="27"/>
  <c r="E402" i="27"/>
  <c r="AJ401" i="27"/>
  <c r="AI401" i="27"/>
  <c r="AH401" i="27"/>
  <c r="AL401" i="27" s="1"/>
  <c r="AG401" i="27"/>
  <c r="AK401" i="27" s="1"/>
  <c r="AE401" i="27"/>
  <c r="AD401" i="27"/>
  <c r="AC401" i="27"/>
  <c r="AA401" i="27"/>
  <c r="Z401" i="27"/>
  <c r="Y401" i="27"/>
  <c r="AB401" i="27" s="1"/>
  <c r="S401" i="27"/>
  <c r="Q401" i="27"/>
  <c r="J401" i="27"/>
  <c r="I401" i="27"/>
  <c r="H401" i="27"/>
  <c r="F401" i="27"/>
  <c r="E401" i="27"/>
  <c r="AJ400" i="27"/>
  <c r="AI400" i="27"/>
  <c r="AH400" i="27"/>
  <c r="AL400" i="27" s="1"/>
  <c r="AG400" i="27"/>
  <c r="AK400" i="27" s="1"/>
  <c r="AE400" i="27"/>
  <c r="AD400" i="27"/>
  <c r="AC400" i="27"/>
  <c r="AA400" i="27"/>
  <c r="Z400" i="27"/>
  <c r="Y400" i="27"/>
  <c r="AB400" i="27" s="1"/>
  <c r="S400" i="27"/>
  <c r="Q400" i="27"/>
  <c r="J400" i="27"/>
  <c r="I400" i="27"/>
  <c r="H400" i="27"/>
  <c r="F400" i="27"/>
  <c r="E400" i="27"/>
  <c r="AJ399" i="27"/>
  <c r="AI399" i="27"/>
  <c r="AH399" i="27"/>
  <c r="AL399" i="27" s="1"/>
  <c r="AG399" i="27"/>
  <c r="AK399" i="27" s="1"/>
  <c r="AE399" i="27"/>
  <c r="AD399" i="27"/>
  <c r="AC399" i="27"/>
  <c r="AA399" i="27"/>
  <c r="Z399" i="27"/>
  <c r="Y399" i="27"/>
  <c r="S399" i="27"/>
  <c r="Q399" i="27"/>
  <c r="J399" i="27"/>
  <c r="I399" i="27"/>
  <c r="H399" i="27"/>
  <c r="F399" i="27"/>
  <c r="E399" i="27"/>
  <c r="AJ398" i="27"/>
  <c r="AI398" i="27"/>
  <c r="AH398" i="27"/>
  <c r="AL398" i="27" s="1"/>
  <c r="AG398" i="27"/>
  <c r="AK398" i="27" s="1"/>
  <c r="AE398" i="27"/>
  <c r="AD398" i="27"/>
  <c r="AC398" i="27"/>
  <c r="AA398" i="27"/>
  <c r="Z398" i="27"/>
  <c r="Y398" i="27"/>
  <c r="S398" i="27"/>
  <c r="Q398" i="27"/>
  <c r="K398" i="27"/>
  <c r="J398" i="27"/>
  <c r="I398" i="27"/>
  <c r="H398" i="27"/>
  <c r="F398" i="27"/>
  <c r="E398" i="27"/>
  <c r="AJ397" i="27"/>
  <c r="AI397" i="27"/>
  <c r="AH397" i="27"/>
  <c r="AL397" i="27" s="1"/>
  <c r="AG397" i="27"/>
  <c r="AK397" i="27" s="1"/>
  <c r="AE397" i="27"/>
  <c r="AD397" i="27"/>
  <c r="AC397" i="27"/>
  <c r="AA397" i="27"/>
  <c r="Z397" i="27"/>
  <c r="Y397" i="27"/>
  <c r="S397" i="27"/>
  <c r="Q397" i="27"/>
  <c r="K397" i="27"/>
  <c r="J397" i="27"/>
  <c r="I397" i="27"/>
  <c r="H397" i="27"/>
  <c r="F397" i="27"/>
  <c r="E397" i="27"/>
  <c r="AJ396" i="27"/>
  <c r="AI396" i="27"/>
  <c r="AH396" i="27"/>
  <c r="AL396" i="27" s="1"/>
  <c r="AG396" i="27"/>
  <c r="AK396" i="27" s="1"/>
  <c r="AE396" i="27"/>
  <c r="AD396" i="27"/>
  <c r="AC396" i="27"/>
  <c r="AA396" i="27"/>
  <c r="Z396" i="27"/>
  <c r="Y396" i="27"/>
  <c r="AB396" i="27" s="1"/>
  <c r="S396" i="27"/>
  <c r="Q396" i="27"/>
  <c r="K396" i="27"/>
  <c r="J396" i="27"/>
  <c r="I396" i="27"/>
  <c r="H396" i="27"/>
  <c r="F396" i="27"/>
  <c r="E396" i="27"/>
  <c r="AJ395" i="27"/>
  <c r="AI395" i="27"/>
  <c r="AH395" i="27"/>
  <c r="AL395" i="27" s="1"/>
  <c r="AG395" i="27"/>
  <c r="AK395" i="27" s="1"/>
  <c r="AE395" i="27"/>
  <c r="AD395" i="27"/>
  <c r="AC395" i="27"/>
  <c r="AA395" i="27"/>
  <c r="Z395" i="27"/>
  <c r="Y395" i="27"/>
  <c r="S395" i="27"/>
  <c r="Q395" i="27"/>
  <c r="J395" i="27"/>
  <c r="I395" i="27"/>
  <c r="H395" i="27"/>
  <c r="F395" i="27"/>
  <c r="E395" i="27"/>
  <c r="AJ394" i="27"/>
  <c r="AI394" i="27"/>
  <c r="AH394" i="27"/>
  <c r="AL394" i="27" s="1"/>
  <c r="AG394" i="27"/>
  <c r="AK394" i="27" s="1"/>
  <c r="AE394" i="27"/>
  <c r="AD394" i="27"/>
  <c r="AC394" i="27"/>
  <c r="AA394" i="27"/>
  <c r="Z394" i="27"/>
  <c r="Y394" i="27"/>
  <c r="S394" i="27"/>
  <c r="Q394" i="27"/>
  <c r="K394" i="27"/>
  <c r="J394" i="27"/>
  <c r="I394" i="27"/>
  <c r="H394" i="27"/>
  <c r="F394" i="27"/>
  <c r="E394" i="27"/>
  <c r="AJ393" i="27"/>
  <c r="AI393" i="27"/>
  <c r="AH393" i="27"/>
  <c r="AL393" i="27" s="1"/>
  <c r="AG393" i="27"/>
  <c r="AK393" i="27" s="1"/>
  <c r="AE393" i="27"/>
  <c r="AD393" i="27"/>
  <c r="AC393" i="27"/>
  <c r="AA393" i="27"/>
  <c r="Z393" i="27"/>
  <c r="Y393" i="27"/>
  <c r="S393" i="27"/>
  <c r="Q393" i="27"/>
  <c r="J393" i="27"/>
  <c r="I393" i="27"/>
  <c r="H393" i="27"/>
  <c r="F393" i="27"/>
  <c r="E393" i="27"/>
  <c r="AJ392" i="27"/>
  <c r="AI392" i="27"/>
  <c r="AH392" i="27"/>
  <c r="AL392" i="27" s="1"/>
  <c r="AG392" i="27"/>
  <c r="AK392" i="27" s="1"/>
  <c r="AE392" i="27"/>
  <c r="AD392" i="27"/>
  <c r="AC392" i="27"/>
  <c r="AA392" i="27"/>
  <c r="Z392" i="27"/>
  <c r="Y392" i="27"/>
  <c r="S392" i="27"/>
  <c r="Q392" i="27"/>
  <c r="J392" i="27"/>
  <c r="I392" i="27"/>
  <c r="H392" i="27"/>
  <c r="F392" i="27"/>
  <c r="E392" i="27"/>
  <c r="AJ391" i="27"/>
  <c r="AI391" i="27"/>
  <c r="AH391" i="27"/>
  <c r="AL391" i="27" s="1"/>
  <c r="AG391" i="27"/>
  <c r="AK391" i="27" s="1"/>
  <c r="AE391" i="27"/>
  <c r="AD391" i="27"/>
  <c r="AC391" i="27"/>
  <c r="AA391" i="27"/>
  <c r="Z391" i="27"/>
  <c r="Y391" i="27"/>
  <c r="AB391" i="27" s="1"/>
  <c r="S391" i="27"/>
  <c r="Q391" i="27"/>
  <c r="K391" i="27"/>
  <c r="J391" i="27"/>
  <c r="I391" i="27"/>
  <c r="H391" i="27"/>
  <c r="F391" i="27"/>
  <c r="E391" i="27"/>
  <c r="AJ390" i="27"/>
  <c r="AI390" i="27"/>
  <c r="AH390" i="27"/>
  <c r="AL390" i="27" s="1"/>
  <c r="AG390" i="27"/>
  <c r="AK390" i="27" s="1"/>
  <c r="AE390" i="27"/>
  <c r="AD390" i="27"/>
  <c r="AC390" i="27"/>
  <c r="AA390" i="27"/>
  <c r="Z390" i="27"/>
  <c r="Y390" i="27"/>
  <c r="AB390" i="27" s="1"/>
  <c r="S390" i="27"/>
  <c r="Q390" i="27"/>
  <c r="K390" i="27"/>
  <c r="J390" i="27"/>
  <c r="I390" i="27"/>
  <c r="H390" i="27"/>
  <c r="F390" i="27"/>
  <c r="E390" i="27"/>
  <c r="AI389" i="27"/>
  <c r="AH389" i="27"/>
  <c r="AL389" i="27" s="1"/>
  <c r="AG389" i="27"/>
  <c r="AK389" i="27" s="1"/>
  <c r="AE389" i="27"/>
  <c r="AD389" i="27"/>
  <c r="AC389" i="27"/>
  <c r="AA389" i="27"/>
  <c r="Z389" i="27"/>
  <c r="Y389" i="27"/>
  <c r="AB389" i="27" s="1"/>
  <c r="S389" i="27"/>
  <c r="Q389" i="27"/>
  <c r="K389" i="27"/>
  <c r="J389" i="27"/>
  <c r="I389" i="27"/>
  <c r="H389" i="27"/>
  <c r="F389" i="27"/>
  <c r="E389" i="27"/>
  <c r="AI388" i="27"/>
  <c r="AH388" i="27"/>
  <c r="AL388" i="27" s="1"/>
  <c r="AG388" i="27"/>
  <c r="AK388" i="27" s="1"/>
  <c r="AE388" i="27"/>
  <c r="AD388" i="27"/>
  <c r="AC388" i="27"/>
  <c r="AA388" i="27"/>
  <c r="Z388" i="27"/>
  <c r="Y388" i="27"/>
  <c r="S388" i="27"/>
  <c r="Q388" i="27"/>
  <c r="J388" i="27"/>
  <c r="I388" i="27"/>
  <c r="H388" i="27"/>
  <c r="F388" i="27"/>
  <c r="E388" i="27"/>
  <c r="AI387" i="27"/>
  <c r="AH387" i="27"/>
  <c r="AL387" i="27" s="1"/>
  <c r="AG387" i="27"/>
  <c r="AK387" i="27" s="1"/>
  <c r="AE387" i="27"/>
  <c r="AD387" i="27"/>
  <c r="AC387" i="27"/>
  <c r="AA387" i="27"/>
  <c r="Z387" i="27"/>
  <c r="Y387" i="27"/>
  <c r="S387" i="27"/>
  <c r="Q387" i="27"/>
  <c r="J387" i="27"/>
  <c r="I387" i="27"/>
  <c r="H387" i="27"/>
  <c r="F387" i="27"/>
  <c r="E387" i="27"/>
  <c r="AI386" i="27"/>
  <c r="AH386" i="27"/>
  <c r="AL386" i="27" s="1"/>
  <c r="AG386" i="27"/>
  <c r="AK386" i="27" s="1"/>
  <c r="AE386" i="27"/>
  <c r="AD386" i="27"/>
  <c r="AC386" i="27"/>
  <c r="AA386" i="27"/>
  <c r="Z386" i="27"/>
  <c r="Y386" i="27"/>
  <c r="S386" i="27"/>
  <c r="Q386" i="27"/>
  <c r="K386" i="27"/>
  <c r="J386" i="27"/>
  <c r="I386" i="27"/>
  <c r="H386" i="27"/>
  <c r="F386" i="27"/>
  <c r="E386" i="27"/>
  <c r="AI385" i="27"/>
  <c r="AH385" i="27"/>
  <c r="AL385" i="27" s="1"/>
  <c r="AG385" i="27"/>
  <c r="AK385" i="27" s="1"/>
  <c r="AE385" i="27"/>
  <c r="AD385" i="27"/>
  <c r="AC385" i="27"/>
  <c r="AA385" i="27"/>
  <c r="Z385" i="27"/>
  <c r="Y385" i="27"/>
  <c r="S385" i="27"/>
  <c r="Q385" i="27"/>
  <c r="J385" i="27"/>
  <c r="I385" i="27"/>
  <c r="H385" i="27"/>
  <c r="F385" i="27"/>
  <c r="E385" i="27"/>
  <c r="AI384" i="27"/>
  <c r="AH384" i="27"/>
  <c r="AL384" i="27" s="1"/>
  <c r="AG384" i="27"/>
  <c r="AK384" i="27" s="1"/>
  <c r="AE384" i="27"/>
  <c r="AD384" i="27"/>
  <c r="AC384" i="27"/>
  <c r="AA384" i="27"/>
  <c r="Z384" i="27"/>
  <c r="Y384" i="27"/>
  <c r="S384" i="27"/>
  <c r="Q384" i="27"/>
  <c r="K384" i="27"/>
  <c r="J384" i="27"/>
  <c r="I384" i="27"/>
  <c r="H384" i="27"/>
  <c r="F384" i="27"/>
  <c r="E384" i="27"/>
  <c r="AI383" i="27"/>
  <c r="AH383" i="27"/>
  <c r="AL383" i="27" s="1"/>
  <c r="AG383" i="27"/>
  <c r="AK383" i="27" s="1"/>
  <c r="AE383" i="27"/>
  <c r="AD383" i="27"/>
  <c r="AC383" i="27"/>
  <c r="AA383" i="27"/>
  <c r="Z383" i="27"/>
  <c r="Y383" i="27"/>
  <c r="AB383" i="27" s="1"/>
  <c r="S383" i="27"/>
  <c r="Q383" i="27"/>
  <c r="K383" i="27"/>
  <c r="J383" i="27"/>
  <c r="I383" i="27"/>
  <c r="H383" i="27"/>
  <c r="F383" i="27"/>
  <c r="E383" i="27"/>
  <c r="AI382" i="27"/>
  <c r="AH382" i="27"/>
  <c r="AL382" i="27" s="1"/>
  <c r="AG382" i="27"/>
  <c r="AK382" i="27" s="1"/>
  <c r="AE382" i="27"/>
  <c r="AD382" i="27"/>
  <c r="AC382" i="27"/>
  <c r="AA382" i="27"/>
  <c r="Z382" i="27"/>
  <c r="Y382" i="27"/>
  <c r="S382" i="27"/>
  <c r="Q382" i="27"/>
  <c r="K382" i="27"/>
  <c r="J382" i="27"/>
  <c r="I382" i="27"/>
  <c r="H382" i="27"/>
  <c r="F382" i="27"/>
  <c r="E382" i="27"/>
  <c r="AI381" i="27"/>
  <c r="AH381" i="27"/>
  <c r="AL381" i="27" s="1"/>
  <c r="AG381" i="27"/>
  <c r="AK381" i="27" s="1"/>
  <c r="AE381" i="27"/>
  <c r="AD381" i="27"/>
  <c r="AC381" i="27"/>
  <c r="AA381" i="27"/>
  <c r="Z381" i="27"/>
  <c r="Y381" i="27"/>
  <c r="S381" i="27"/>
  <c r="Q381" i="27"/>
  <c r="K381" i="27"/>
  <c r="J381" i="27"/>
  <c r="I381" i="27"/>
  <c r="H381" i="27"/>
  <c r="F381" i="27"/>
  <c r="E381" i="27"/>
  <c r="AJ380" i="27"/>
  <c r="AI380" i="27"/>
  <c r="AH380" i="27"/>
  <c r="AL380" i="27" s="1"/>
  <c r="AG380" i="27"/>
  <c r="AK380" i="27" s="1"/>
  <c r="AE380" i="27"/>
  <c r="AD380" i="27"/>
  <c r="AC380" i="27"/>
  <c r="AA380" i="27"/>
  <c r="Z380" i="27"/>
  <c r="Y380" i="27"/>
  <c r="AB380" i="27" s="1"/>
  <c r="S380" i="27"/>
  <c r="Q380" i="27"/>
  <c r="K380" i="27"/>
  <c r="J380" i="27"/>
  <c r="I380" i="27"/>
  <c r="H380" i="27"/>
  <c r="F380" i="27"/>
  <c r="E380" i="27"/>
  <c r="AJ379" i="27"/>
  <c r="AI379" i="27"/>
  <c r="AH379" i="27"/>
  <c r="AL379" i="27" s="1"/>
  <c r="AG379" i="27"/>
  <c r="AK379" i="27" s="1"/>
  <c r="AE379" i="27"/>
  <c r="AD379" i="27"/>
  <c r="AC379" i="27"/>
  <c r="AA379" i="27"/>
  <c r="Z379" i="27"/>
  <c r="Y379" i="27"/>
  <c r="S379" i="27"/>
  <c r="Q379" i="27"/>
  <c r="K379" i="27"/>
  <c r="J379" i="27"/>
  <c r="I379" i="27"/>
  <c r="H379" i="27"/>
  <c r="F379" i="27"/>
  <c r="E379" i="27"/>
  <c r="AJ378" i="27"/>
  <c r="AI378" i="27"/>
  <c r="AH378" i="27"/>
  <c r="AL378" i="27" s="1"/>
  <c r="AG378" i="27"/>
  <c r="AK378" i="27" s="1"/>
  <c r="AE378" i="27"/>
  <c r="AD378" i="27"/>
  <c r="AC378" i="27"/>
  <c r="AA378" i="27"/>
  <c r="Z378" i="27"/>
  <c r="Y378" i="27"/>
  <c r="S378" i="27"/>
  <c r="Q378" i="27"/>
  <c r="K378" i="27"/>
  <c r="J378" i="27"/>
  <c r="I378" i="27"/>
  <c r="H378" i="27"/>
  <c r="F378" i="27"/>
  <c r="E378" i="27"/>
  <c r="AJ377" i="27"/>
  <c r="AI377" i="27"/>
  <c r="AH377" i="27"/>
  <c r="AL377" i="27" s="1"/>
  <c r="AG377" i="27"/>
  <c r="AK377" i="27" s="1"/>
  <c r="AE377" i="27"/>
  <c r="AD377" i="27"/>
  <c r="AC377" i="27"/>
  <c r="AA377" i="27"/>
  <c r="Z377" i="27"/>
  <c r="Y377" i="27"/>
  <c r="AB377" i="27" s="1"/>
  <c r="S377" i="27"/>
  <c r="Q377" i="27"/>
  <c r="K377" i="27"/>
  <c r="J377" i="27"/>
  <c r="I377" i="27"/>
  <c r="H377" i="27"/>
  <c r="F377" i="27"/>
  <c r="E377" i="27"/>
  <c r="AJ376" i="27"/>
  <c r="AI376" i="27"/>
  <c r="AH376" i="27"/>
  <c r="AL376" i="27" s="1"/>
  <c r="AG376" i="27"/>
  <c r="AK376" i="27" s="1"/>
  <c r="AE376" i="27"/>
  <c r="AD376" i="27"/>
  <c r="AC376" i="27"/>
  <c r="AA376" i="27"/>
  <c r="Z376" i="27"/>
  <c r="Y376" i="27"/>
  <c r="AB376" i="27" s="1"/>
  <c r="S376" i="27"/>
  <c r="Q376" i="27"/>
  <c r="K376" i="27"/>
  <c r="J376" i="27"/>
  <c r="I376" i="27"/>
  <c r="H376" i="27"/>
  <c r="F376" i="27"/>
  <c r="E376" i="27"/>
  <c r="AI375" i="27"/>
  <c r="AH375" i="27"/>
  <c r="AL375" i="27" s="1"/>
  <c r="AG375" i="27"/>
  <c r="AK375" i="27" s="1"/>
  <c r="AE375" i="27"/>
  <c r="AD375" i="27"/>
  <c r="AC375" i="27"/>
  <c r="AA375" i="27"/>
  <c r="Z375" i="27"/>
  <c r="Y375" i="27"/>
  <c r="AB375" i="27" s="1"/>
  <c r="S375" i="27"/>
  <c r="Q375" i="27"/>
  <c r="K375" i="27"/>
  <c r="J375" i="27"/>
  <c r="I375" i="27"/>
  <c r="H375" i="27"/>
  <c r="F375" i="27"/>
  <c r="E375" i="27"/>
  <c r="AJ374" i="27"/>
  <c r="AI374" i="27"/>
  <c r="AH374" i="27"/>
  <c r="AL374" i="27" s="1"/>
  <c r="AG374" i="27"/>
  <c r="AK374" i="27" s="1"/>
  <c r="AE374" i="27"/>
  <c r="AD374" i="27"/>
  <c r="AC374" i="27"/>
  <c r="AA374" i="27"/>
  <c r="Z374" i="27"/>
  <c r="Y374" i="27"/>
  <c r="S374" i="27"/>
  <c r="Q374" i="27"/>
  <c r="K374" i="27"/>
  <c r="J374" i="27"/>
  <c r="I374" i="27"/>
  <c r="H374" i="27"/>
  <c r="F374" i="27"/>
  <c r="E374" i="27"/>
  <c r="AI373" i="27"/>
  <c r="AH373" i="27"/>
  <c r="AL373" i="27" s="1"/>
  <c r="AG373" i="27"/>
  <c r="AK373" i="27" s="1"/>
  <c r="AE373" i="27"/>
  <c r="AD373" i="27"/>
  <c r="AC373" i="27"/>
  <c r="AA373" i="27"/>
  <c r="Z373" i="27"/>
  <c r="Y373" i="27"/>
  <c r="S373" i="27"/>
  <c r="Q373" i="27"/>
  <c r="K373" i="27"/>
  <c r="J373" i="27"/>
  <c r="I373" i="27"/>
  <c r="H373" i="27"/>
  <c r="F373" i="27"/>
  <c r="E373" i="27"/>
  <c r="AJ372" i="27"/>
  <c r="AI372" i="27"/>
  <c r="AH372" i="27"/>
  <c r="AL372" i="27" s="1"/>
  <c r="AG372" i="27"/>
  <c r="AK372" i="27" s="1"/>
  <c r="AE372" i="27"/>
  <c r="AD372" i="27"/>
  <c r="AC372" i="27"/>
  <c r="AA372" i="27"/>
  <c r="Z372" i="27"/>
  <c r="Y372" i="27"/>
  <c r="S372" i="27"/>
  <c r="Q372" i="27"/>
  <c r="K372" i="27"/>
  <c r="J372" i="27"/>
  <c r="I372" i="27"/>
  <c r="H372" i="27"/>
  <c r="F372" i="27"/>
  <c r="E372" i="27"/>
  <c r="AI371" i="27"/>
  <c r="AH371" i="27"/>
  <c r="AL371" i="27" s="1"/>
  <c r="AG371" i="27"/>
  <c r="AK371" i="27" s="1"/>
  <c r="AE371" i="27"/>
  <c r="AD371" i="27"/>
  <c r="AC371" i="27"/>
  <c r="AA371" i="27"/>
  <c r="Z371" i="27"/>
  <c r="Y371" i="27"/>
  <c r="AB371" i="27" s="1"/>
  <c r="S371" i="27"/>
  <c r="Q371" i="27"/>
  <c r="K371" i="27"/>
  <c r="J371" i="27"/>
  <c r="I371" i="27"/>
  <c r="H371" i="27"/>
  <c r="F371" i="27"/>
  <c r="E371" i="27"/>
  <c r="AJ370" i="27"/>
  <c r="AI370" i="27"/>
  <c r="AH370" i="27"/>
  <c r="AL370" i="27" s="1"/>
  <c r="AG370" i="27"/>
  <c r="AK370" i="27" s="1"/>
  <c r="AE370" i="27"/>
  <c r="AD370" i="27"/>
  <c r="AC370" i="27"/>
  <c r="AA370" i="27"/>
  <c r="Z370" i="27"/>
  <c r="Y370" i="27"/>
  <c r="S370" i="27"/>
  <c r="Q370" i="27"/>
  <c r="K370" i="27"/>
  <c r="J370" i="27"/>
  <c r="I370" i="27"/>
  <c r="H370" i="27"/>
  <c r="F370" i="27"/>
  <c r="E370" i="27"/>
  <c r="AJ369" i="27"/>
  <c r="AI369" i="27"/>
  <c r="AH369" i="27"/>
  <c r="AL369" i="27" s="1"/>
  <c r="AG369" i="27"/>
  <c r="AK369" i="27" s="1"/>
  <c r="AE369" i="27"/>
  <c r="AD369" i="27"/>
  <c r="AC369" i="27"/>
  <c r="AA369" i="27"/>
  <c r="Z369" i="27"/>
  <c r="Y369" i="27"/>
  <c r="S369" i="27"/>
  <c r="Q369" i="27"/>
  <c r="K369" i="27"/>
  <c r="J369" i="27"/>
  <c r="I369" i="27"/>
  <c r="H369" i="27"/>
  <c r="F369" i="27"/>
  <c r="E369" i="27"/>
  <c r="AJ368" i="27"/>
  <c r="AI368" i="27"/>
  <c r="AH368" i="27"/>
  <c r="AL368" i="27" s="1"/>
  <c r="AG368" i="27"/>
  <c r="AK368" i="27" s="1"/>
  <c r="AE368" i="27"/>
  <c r="AD368" i="27"/>
  <c r="AC368" i="27"/>
  <c r="AA368" i="27"/>
  <c r="Z368" i="27"/>
  <c r="Y368" i="27"/>
  <c r="S368" i="27"/>
  <c r="Q368" i="27"/>
  <c r="K368" i="27"/>
  <c r="J368" i="27"/>
  <c r="I368" i="27"/>
  <c r="H368" i="27"/>
  <c r="F368" i="27"/>
  <c r="E368" i="27"/>
  <c r="AJ367" i="27"/>
  <c r="AI367" i="27"/>
  <c r="AH367" i="27"/>
  <c r="AL367" i="27" s="1"/>
  <c r="AG367" i="27"/>
  <c r="AK367" i="27" s="1"/>
  <c r="AE367" i="27"/>
  <c r="AD367" i="27"/>
  <c r="AC367" i="27"/>
  <c r="AA367" i="27"/>
  <c r="Z367" i="27"/>
  <c r="Y367" i="27"/>
  <c r="AB367" i="27" s="1"/>
  <c r="S367" i="27"/>
  <c r="Q367" i="27"/>
  <c r="K367" i="27"/>
  <c r="J367" i="27"/>
  <c r="I367" i="27"/>
  <c r="H367" i="27"/>
  <c r="F367" i="27"/>
  <c r="E367" i="27"/>
  <c r="AJ366" i="27"/>
  <c r="AI366" i="27"/>
  <c r="AH366" i="27"/>
  <c r="AL366" i="27" s="1"/>
  <c r="AG366" i="27"/>
  <c r="AK366" i="27" s="1"/>
  <c r="AE366" i="27"/>
  <c r="AD366" i="27"/>
  <c r="AC366" i="27"/>
  <c r="AA366" i="27"/>
  <c r="Z366" i="27"/>
  <c r="Y366" i="27"/>
  <c r="AB366" i="27" s="1"/>
  <c r="S366" i="27"/>
  <c r="Q366" i="27"/>
  <c r="K366" i="27"/>
  <c r="J366" i="27"/>
  <c r="I366" i="27"/>
  <c r="H366" i="27"/>
  <c r="F366" i="27"/>
  <c r="E366" i="27"/>
  <c r="AJ365" i="27"/>
  <c r="AI365" i="27"/>
  <c r="AH365" i="27"/>
  <c r="AL365" i="27" s="1"/>
  <c r="AG365" i="27"/>
  <c r="AK365" i="27" s="1"/>
  <c r="AE365" i="27"/>
  <c r="AD365" i="27"/>
  <c r="AC365" i="27"/>
  <c r="AA365" i="27"/>
  <c r="Z365" i="27"/>
  <c r="Y365" i="27"/>
  <c r="S365" i="27"/>
  <c r="Q365" i="27"/>
  <c r="K365" i="27"/>
  <c r="J365" i="27"/>
  <c r="I365" i="27"/>
  <c r="H365" i="27"/>
  <c r="F365" i="27"/>
  <c r="E365" i="27"/>
  <c r="AJ364" i="27"/>
  <c r="AI364" i="27"/>
  <c r="AH364" i="27"/>
  <c r="AL364" i="27" s="1"/>
  <c r="AG364" i="27"/>
  <c r="AK364" i="27" s="1"/>
  <c r="AE364" i="27"/>
  <c r="AD364" i="27"/>
  <c r="AC364" i="27"/>
  <c r="AA364" i="27"/>
  <c r="Z364" i="27"/>
  <c r="Y364" i="27"/>
  <c r="S364" i="27"/>
  <c r="Q364" i="27"/>
  <c r="K364" i="27"/>
  <c r="J364" i="27"/>
  <c r="I364" i="27"/>
  <c r="H364" i="27"/>
  <c r="F364" i="27"/>
  <c r="E364" i="27"/>
  <c r="AJ363" i="27"/>
  <c r="AI363" i="27"/>
  <c r="AH363" i="27"/>
  <c r="AL363" i="27" s="1"/>
  <c r="AG363" i="27"/>
  <c r="AK363" i="27" s="1"/>
  <c r="AE363" i="27"/>
  <c r="AD363" i="27"/>
  <c r="AC363" i="27"/>
  <c r="AA363" i="27"/>
  <c r="Z363" i="27"/>
  <c r="Y363" i="27"/>
  <c r="AB363" i="27" s="1"/>
  <c r="S363" i="27"/>
  <c r="Q363" i="27"/>
  <c r="K363" i="27"/>
  <c r="J363" i="27"/>
  <c r="I363" i="27"/>
  <c r="H363" i="27"/>
  <c r="F363" i="27"/>
  <c r="E363" i="27"/>
  <c r="AJ362" i="27"/>
  <c r="AI362" i="27"/>
  <c r="AH362" i="27"/>
  <c r="AL362" i="27" s="1"/>
  <c r="AG362" i="27"/>
  <c r="AK362" i="27" s="1"/>
  <c r="AE362" i="27"/>
  <c r="AD362" i="27"/>
  <c r="AC362" i="27"/>
  <c r="AA362" i="27"/>
  <c r="Z362" i="27"/>
  <c r="Y362" i="27"/>
  <c r="S362" i="27"/>
  <c r="Q362" i="27"/>
  <c r="K362" i="27"/>
  <c r="J362" i="27"/>
  <c r="I362" i="27"/>
  <c r="H362" i="27"/>
  <c r="F362" i="27"/>
  <c r="E362" i="27"/>
  <c r="AJ361" i="27"/>
  <c r="AI361" i="27"/>
  <c r="AH361" i="27"/>
  <c r="AL361" i="27" s="1"/>
  <c r="AG361" i="27"/>
  <c r="AK361" i="27" s="1"/>
  <c r="AE361" i="27"/>
  <c r="AD361" i="27"/>
  <c r="AC361" i="27"/>
  <c r="AA361" i="27"/>
  <c r="Z361" i="27"/>
  <c r="Y361" i="27"/>
  <c r="S361" i="27"/>
  <c r="Q361" i="27"/>
  <c r="K361" i="27"/>
  <c r="J361" i="27"/>
  <c r="I361" i="27"/>
  <c r="H361" i="27"/>
  <c r="F361" i="27"/>
  <c r="E361" i="27"/>
  <c r="AJ360" i="27"/>
  <c r="AI360" i="27"/>
  <c r="AH360" i="27"/>
  <c r="AL360" i="27" s="1"/>
  <c r="AG360" i="27"/>
  <c r="AK360" i="27" s="1"/>
  <c r="AE360" i="27"/>
  <c r="AD360" i="27"/>
  <c r="AC360" i="27"/>
  <c r="AA360" i="27"/>
  <c r="Z360" i="27"/>
  <c r="Y360" i="27"/>
  <c r="S360" i="27"/>
  <c r="Q360" i="27"/>
  <c r="K360" i="27"/>
  <c r="J360" i="27"/>
  <c r="I360" i="27"/>
  <c r="H360" i="27"/>
  <c r="F360" i="27"/>
  <c r="E360" i="27"/>
  <c r="AJ359" i="27"/>
  <c r="AI359" i="27"/>
  <c r="AH359" i="27"/>
  <c r="AL359" i="27" s="1"/>
  <c r="AG359" i="27"/>
  <c r="AK359" i="27" s="1"/>
  <c r="AE359" i="27"/>
  <c r="AD359" i="27"/>
  <c r="AC359" i="27"/>
  <c r="AA359" i="27"/>
  <c r="Z359" i="27"/>
  <c r="Y359" i="27"/>
  <c r="AB359" i="27" s="1"/>
  <c r="S359" i="27"/>
  <c r="Q359" i="27"/>
  <c r="K359" i="27"/>
  <c r="J359" i="27"/>
  <c r="I359" i="27"/>
  <c r="H359" i="27"/>
  <c r="F359" i="27"/>
  <c r="E359" i="27"/>
  <c r="AJ358" i="27"/>
  <c r="AI358" i="27"/>
  <c r="AH358" i="27"/>
  <c r="AL358" i="27" s="1"/>
  <c r="AG358" i="27"/>
  <c r="AK358" i="27" s="1"/>
  <c r="AE358" i="27"/>
  <c r="AD358" i="27"/>
  <c r="AC358" i="27"/>
  <c r="AA358" i="27"/>
  <c r="Z358" i="27"/>
  <c r="Y358" i="27"/>
  <c r="AB358" i="27" s="1"/>
  <c r="S358" i="27"/>
  <c r="Q358" i="27"/>
  <c r="K358" i="27"/>
  <c r="J358" i="27"/>
  <c r="I358" i="27"/>
  <c r="H358" i="27"/>
  <c r="F358" i="27"/>
  <c r="E358" i="27"/>
  <c r="AJ357" i="27"/>
  <c r="AI357" i="27"/>
  <c r="AH357" i="27"/>
  <c r="AL357" i="27" s="1"/>
  <c r="AG357" i="27"/>
  <c r="AK357" i="27" s="1"/>
  <c r="AE357" i="27"/>
  <c r="AD357" i="27"/>
  <c r="AC357" i="27"/>
  <c r="AA357" i="27"/>
  <c r="Z357" i="27"/>
  <c r="Y357" i="27"/>
  <c r="S357" i="27"/>
  <c r="Q357" i="27"/>
  <c r="K357" i="27"/>
  <c r="J357" i="27"/>
  <c r="I357" i="27"/>
  <c r="H357" i="27"/>
  <c r="F357" i="27"/>
  <c r="E357" i="27"/>
  <c r="AJ356" i="27"/>
  <c r="AI356" i="27"/>
  <c r="AH356" i="27"/>
  <c r="AL356" i="27" s="1"/>
  <c r="AG356" i="27"/>
  <c r="AK356" i="27" s="1"/>
  <c r="AE356" i="27"/>
  <c r="AD356" i="27"/>
  <c r="AC356" i="27"/>
  <c r="AA356" i="27"/>
  <c r="Z356" i="27"/>
  <c r="Y356" i="27"/>
  <c r="S356" i="27"/>
  <c r="Q356" i="27"/>
  <c r="K356" i="27"/>
  <c r="J356" i="27"/>
  <c r="I356" i="27"/>
  <c r="H356" i="27"/>
  <c r="F356" i="27"/>
  <c r="E356" i="27"/>
  <c r="AJ355" i="27"/>
  <c r="AI355" i="27"/>
  <c r="AH355" i="27"/>
  <c r="AL355" i="27" s="1"/>
  <c r="AG355" i="27"/>
  <c r="AK355" i="27" s="1"/>
  <c r="AE355" i="27"/>
  <c r="AD355" i="27"/>
  <c r="AC355" i="27"/>
  <c r="AA355" i="27"/>
  <c r="Z355" i="27"/>
  <c r="Y355" i="27"/>
  <c r="AB355" i="27" s="1"/>
  <c r="S355" i="27"/>
  <c r="Q355" i="27"/>
  <c r="J355" i="27"/>
  <c r="I355" i="27"/>
  <c r="H355" i="27"/>
  <c r="F355" i="27"/>
  <c r="E355" i="27"/>
  <c r="AJ354" i="27"/>
  <c r="AI354" i="27"/>
  <c r="AH354" i="27"/>
  <c r="AL354" i="27" s="1"/>
  <c r="AG354" i="27"/>
  <c r="AK354" i="27" s="1"/>
  <c r="AE354" i="27"/>
  <c r="AD354" i="27"/>
  <c r="AC354" i="27"/>
  <c r="AA354" i="27"/>
  <c r="Z354" i="27"/>
  <c r="Y354" i="27"/>
  <c r="AB354" i="27" s="1"/>
  <c r="S354" i="27"/>
  <c r="Q354" i="27"/>
  <c r="J354" i="27"/>
  <c r="I354" i="27"/>
  <c r="H354" i="27"/>
  <c r="F354" i="27"/>
  <c r="E354" i="27"/>
  <c r="AJ353" i="27"/>
  <c r="AI353" i="27"/>
  <c r="AH353" i="27"/>
  <c r="AL353" i="27" s="1"/>
  <c r="AG353" i="27"/>
  <c r="AK353" i="27" s="1"/>
  <c r="AE353" i="27"/>
  <c r="AD353" i="27"/>
  <c r="AC353" i="27"/>
  <c r="AA353" i="27"/>
  <c r="Z353" i="27"/>
  <c r="Y353" i="27"/>
  <c r="S353" i="27"/>
  <c r="Q353" i="27"/>
  <c r="J353" i="27"/>
  <c r="I353" i="27"/>
  <c r="H353" i="27"/>
  <c r="F353" i="27"/>
  <c r="E353" i="27"/>
  <c r="AJ352" i="27"/>
  <c r="AI352" i="27"/>
  <c r="AH352" i="27"/>
  <c r="AL352" i="27" s="1"/>
  <c r="AG352" i="27"/>
  <c r="AK352" i="27" s="1"/>
  <c r="AE352" i="27"/>
  <c r="AD352" i="27"/>
  <c r="AC352" i="27"/>
  <c r="AA352" i="27"/>
  <c r="Z352" i="27"/>
  <c r="Y352" i="27"/>
  <c r="S352" i="27"/>
  <c r="Q352" i="27"/>
  <c r="J352" i="27"/>
  <c r="I352" i="27"/>
  <c r="H352" i="27"/>
  <c r="F352" i="27"/>
  <c r="E352" i="27"/>
  <c r="AJ351" i="27"/>
  <c r="AI351" i="27"/>
  <c r="AH351" i="27"/>
  <c r="AL351" i="27" s="1"/>
  <c r="AG351" i="27"/>
  <c r="AK351" i="27" s="1"/>
  <c r="AE351" i="27"/>
  <c r="AD351" i="27"/>
  <c r="AC351" i="27"/>
  <c r="AA351" i="27"/>
  <c r="Z351" i="27"/>
  <c r="Y351" i="27"/>
  <c r="S351" i="27"/>
  <c r="Q351" i="27"/>
  <c r="J351" i="27"/>
  <c r="I351" i="27"/>
  <c r="H351" i="27"/>
  <c r="F351" i="27"/>
  <c r="E351" i="27"/>
  <c r="AJ350" i="27"/>
  <c r="AI350" i="27"/>
  <c r="AH350" i="27"/>
  <c r="AL350" i="27" s="1"/>
  <c r="AG350" i="27"/>
  <c r="AK350" i="27" s="1"/>
  <c r="AE350" i="27"/>
  <c r="AD350" i="27"/>
  <c r="AC350" i="27"/>
  <c r="AA350" i="27"/>
  <c r="Z350" i="27"/>
  <c r="Y350" i="27"/>
  <c r="S350" i="27"/>
  <c r="Q350" i="27"/>
  <c r="J350" i="27"/>
  <c r="I350" i="27"/>
  <c r="H350" i="27"/>
  <c r="F350" i="27"/>
  <c r="E350" i="27"/>
  <c r="AJ349" i="27"/>
  <c r="AI349" i="27"/>
  <c r="AH349" i="27"/>
  <c r="AL349" i="27" s="1"/>
  <c r="AG349" i="27"/>
  <c r="AK349" i="27" s="1"/>
  <c r="AE349" i="27"/>
  <c r="AD349" i="27"/>
  <c r="AC349" i="27"/>
  <c r="AA349" i="27"/>
  <c r="Z349" i="27"/>
  <c r="Y349" i="27"/>
  <c r="S349" i="27"/>
  <c r="Q349" i="27"/>
  <c r="J349" i="27"/>
  <c r="I349" i="27"/>
  <c r="H349" i="27"/>
  <c r="F349" i="27"/>
  <c r="E349" i="27"/>
  <c r="AJ348" i="27"/>
  <c r="AI348" i="27"/>
  <c r="AH348" i="27"/>
  <c r="AL348" i="27" s="1"/>
  <c r="AG348" i="27"/>
  <c r="AK348" i="27" s="1"/>
  <c r="AE348" i="27"/>
  <c r="AD348" i="27"/>
  <c r="AC348" i="27"/>
  <c r="AA348" i="27"/>
  <c r="Z348" i="27"/>
  <c r="Y348" i="27"/>
  <c r="AB348" i="27" s="1"/>
  <c r="S348" i="27"/>
  <c r="Q348" i="27"/>
  <c r="J348" i="27"/>
  <c r="I348" i="27"/>
  <c r="H348" i="27"/>
  <c r="F348" i="27"/>
  <c r="E348" i="27"/>
  <c r="AJ347" i="27"/>
  <c r="AI347" i="27"/>
  <c r="AH347" i="27"/>
  <c r="AL347" i="27" s="1"/>
  <c r="AG347" i="27"/>
  <c r="AK347" i="27" s="1"/>
  <c r="AE347" i="27"/>
  <c r="AD347" i="27"/>
  <c r="AC347" i="27"/>
  <c r="AA347" i="27"/>
  <c r="Z347" i="27"/>
  <c r="Y347" i="27"/>
  <c r="AB347" i="27" s="1"/>
  <c r="S347" i="27"/>
  <c r="Q347" i="27"/>
  <c r="J347" i="27"/>
  <c r="I347" i="27"/>
  <c r="H347" i="27"/>
  <c r="F347" i="27"/>
  <c r="E347" i="27"/>
  <c r="AJ346" i="27"/>
  <c r="AI346" i="27"/>
  <c r="AH346" i="27"/>
  <c r="AL346" i="27" s="1"/>
  <c r="AG346" i="27"/>
  <c r="AK346" i="27" s="1"/>
  <c r="AE346" i="27"/>
  <c r="AD346" i="27"/>
  <c r="AC346" i="27"/>
  <c r="AA346" i="27"/>
  <c r="Z346" i="27"/>
  <c r="Y346" i="27"/>
  <c r="AB346" i="27" s="1"/>
  <c r="S346" i="27"/>
  <c r="Q346" i="27"/>
  <c r="K346" i="27"/>
  <c r="J346" i="27"/>
  <c r="I346" i="27"/>
  <c r="H346" i="27"/>
  <c r="F346" i="27"/>
  <c r="E346" i="27"/>
  <c r="AJ345" i="27"/>
  <c r="AI345" i="27"/>
  <c r="AH345" i="27"/>
  <c r="AL345" i="27" s="1"/>
  <c r="AG345" i="27"/>
  <c r="AK345" i="27" s="1"/>
  <c r="AE345" i="27"/>
  <c r="AD345" i="27"/>
  <c r="AC345" i="27"/>
  <c r="AA345" i="27"/>
  <c r="Z345" i="27"/>
  <c r="Y345" i="27"/>
  <c r="S345" i="27"/>
  <c r="Q345" i="27"/>
  <c r="K345" i="27"/>
  <c r="J345" i="27"/>
  <c r="I345" i="27"/>
  <c r="H345" i="27"/>
  <c r="F345" i="27"/>
  <c r="E345" i="27"/>
  <c r="AJ344" i="27"/>
  <c r="AI344" i="27"/>
  <c r="AH344" i="27"/>
  <c r="AL344" i="27" s="1"/>
  <c r="AG344" i="27"/>
  <c r="AK344" i="27" s="1"/>
  <c r="AE344" i="27"/>
  <c r="AD344" i="27"/>
  <c r="AC344" i="27"/>
  <c r="AA344" i="27"/>
  <c r="Z344" i="27"/>
  <c r="Y344" i="27"/>
  <c r="AB344" i="27" s="1"/>
  <c r="S344" i="27"/>
  <c r="Q344" i="27"/>
  <c r="K344" i="27"/>
  <c r="J344" i="27"/>
  <c r="I344" i="27"/>
  <c r="H344" i="27"/>
  <c r="F344" i="27"/>
  <c r="E344" i="27"/>
  <c r="AJ343" i="27"/>
  <c r="AI343" i="27"/>
  <c r="AH343" i="27"/>
  <c r="AL343" i="27" s="1"/>
  <c r="AG343" i="27"/>
  <c r="AK343" i="27" s="1"/>
  <c r="AE343" i="27"/>
  <c r="AD343" i="27"/>
  <c r="AC343" i="27"/>
  <c r="AA343" i="27"/>
  <c r="Z343" i="27"/>
  <c r="Y343" i="27"/>
  <c r="S343" i="27"/>
  <c r="Q343" i="27"/>
  <c r="K343" i="27"/>
  <c r="J343" i="27"/>
  <c r="I343" i="27"/>
  <c r="H343" i="27"/>
  <c r="F343" i="27"/>
  <c r="E343" i="27"/>
  <c r="AJ342" i="27"/>
  <c r="AI342" i="27"/>
  <c r="AH342" i="27"/>
  <c r="AL342" i="27" s="1"/>
  <c r="AG342" i="27"/>
  <c r="AK342" i="27" s="1"/>
  <c r="AE342" i="27"/>
  <c r="AD342" i="27"/>
  <c r="AC342" i="27"/>
  <c r="AA342" i="27"/>
  <c r="Z342" i="27"/>
  <c r="Y342" i="27"/>
  <c r="AB342" i="27" s="1"/>
  <c r="S342" i="27"/>
  <c r="Q342" i="27"/>
  <c r="K342" i="27"/>
  <c r="J342" i="27"/>
  <c r="I342" i="27"/>
  <c r="H342" i="27"/>
  <c r="F342" i="27"/>
  <c r="E342" i="27"/>
  <c r="AJ341" i="27"/>
  <c r="AI341" i="27"/>
  <c r="AH341" i="27"/>
  <c r="AL341" i="27" s="1"/>
  <c r="AG341" i="27"/>
  <c r="AK341" i="27" s="1"/>
  <c r="AE341" i="27"/>
  <c r="AD341" i="27"/>
  <c r="AC341" i="27"/>
  <c r="AA341" i="27"/>
  <c r="Z341" i="27"/>
  <c r="Y341" i="27"/>
  <c r="S341" i="27"/>
  <c r="Q341" i="27"/>
  <c r="J341" i="27"/>
  <c r="I341" i="27"/>
  <c r="H341" i="27"/>
  <c r="F341" i="27"/>
  <c r="E341" i="27"/>
  <c r="AJ340" i="27"/>
  <c r="AI340" i="27"/>
  <c r="AH340" i="27"/>
  <c r="AL340" i="27" s="1"/>
  <c r="AG340" i="27"/>
  <c r="AK340" i="27" s="1"/>
  <c r="AE340" i="27"/>
  <c r="AD340" i="27"/>
  <c r="AC340" i="27"/>
  <c r="AA340" i="27"/>
  <c r="Z340" i="27"/>
  <c r="Y340" i="27"/>
  <c r="S340" i="27"/>
  <c r="Q340" i="27"/>
  <c r="K340" i="27"/>
  <c r="J340" i="27"/>
  <c r="I340" i="27"/>
  <c r="H340" i="27"/>
  <c r="F340" i="27"/>
  <c r="E340" i="27"/>
  <c r="AJ339" i="27"/>
  <c r="AI339" i="27"/>
  <c r="AH339" i="27"/>
  <c r="AL339" i="27" s="1"/>
  <c r="AG339" i="27"/>
  <c r="AK339" i="27" s="1"/>
  <c r="AE339" i="27"/>
  <c r="AD339" i="27"/>
  <c r="AC339" i="27"/>
  <c r="AA339" i="27"/>
  <c r="Z339" i="27"/>
  <c r="Y339" i="27"/>
  <c r="S339" i="27"/>
  <c r="Q339" i="27"/>
  <c r="J339" i="27"/>
  <c r="I339" i="27"/>
  <c r="H339" i="27"/>
  <c r="F339" i="27"/>
  <c r="E339" i="27"/>
  <c r="AJ338" i="27"/>
  <c r="AI338" i="27"/>
  <c r="AH338" i="27"/>
  <c r="AL338" i="27" s="1"/>
  <c r="AG338" i="27"/>
  <c r="AK338" i="27" s="1"/>
  <c r="AE338" i="27"/>
  <c r="AD338" i="27"/>
  <c r="AC338" i="27"/>
  <c r="AA338" i="27"/>
  <c r="Z338" i="27"/>
  <c r="Y338" i="27"/>
  <c r="AB338" i="27" s="1"/>
  <c r="S338" i="27"/>
  <c r="Q338" i="27"/>
  <c r="K338" i="27"/>
  <c r="J338" i="27"/>
  <c r="I338" i="27"/>
  <c r="H338" i="27"/>
  <c r="F338" i="27"/>
  <c r="E338" i="27"/>
  <c r="AJ337" i="27"/>
  <c r="AI337" i="27"/>
  <c r="AH337" i="27"/>
  <c r="AL337" i="27" s="1"/>
  <c r="AG337" i="27"/>
  <c r="AK337" i="27" s="1"/>
  <c r="AE337" i="27"/>
  <c r="AD337" i="27"/>
  <c r="AC337" i="27"/>
  <c r="AA337" i="27"/>
  <c r="Z337" i="27"/>
  <c r="Y337" i="27"/>
  <c r="AB337" i="27" s="1"/>
  <c r="S337" i="27"/>
  <c r="Q337" i="27"/>
  <c r="J337" i="27"/>
  <c r="I337" i="27"/>
  <c r="H337" i="27"/>
  <c r="F337" i="27"/>
  <c r="E337" i="27"/>
  <c r="AJ336" i="27"/>
  <c r="AI336" i="27"/>
  <c r="AH336" i="27"/>
  <c r="AL336" i="27" s="1"/>
  <c r="AG336" i="27"/>
  <c r="AK336" i="27" s="1"/>
  <c r="AE336" i="27"/>
  <c r="AD336" i="27"/>
  <c r="AC336" i="27"/>
  <c r="AA336" i="27"/>
  <c r="Z336" i="27"/>
  <c r="Y336" i="27"/>
  <c r="AB336" i="27" s="1"/>
  <c r="S336" i="27"/>
  <c r="Q336" i="27"/>
  <c r="K336" i="27"/>
  <c r="J336" i="27"/>
  <c r="I336" i="27"/>
  <c r="H336" i="27"/>
  <c r="F336" i="27"/>
  <c r="E336" i="27"/>
  <c r="AJ335" i="27"/>
  <c r="AI335" i="27"/>
  <c r="AH335" i="27"/>
  <c r="AL335" i="27" s="1"/>
  <c r="AG335" i="27"/>
  <c r="AK335" i="27" s="1"/>
  <c r="AE335" i="27"/>
  <c r="AD335" i="27"/>
  <c r="AC335" i="27"/>
  <c r="AA335" i="27"/>
  <c r="Z335" i="27"/>
  <c r="Y335" i="27"/>
  <c r="S335" i="27"/>
  <c r="Q335" i="27"/>
  <c r="K335" i="27"/>
  <c r="J335" i="27"/>
  <c r="I335" i="27"/>
  <c r="H335" i="27"/>
  <c r="F335" i="27"/>
  <c r="E335" i="27"/>
  <c r="AJ334" i="27"/>
  <c r="AI334" i="27"/>
  <c r="AH334" i="27"/>
  <c r="AL334" i="27" s="1"/>
  <c r="AG334" i="27"/>
  <c r="AK334" i="27" s="1"/>
  <c r="AE334" i="27"/>
  <c r="AD334" i="27"/>
  <c r="AC334" i="27"/>
  <c r="AA334" i="27"/>
  <c r="Z334" i="27"/>
  <c r="Y334" i="27"/>
  <c r="S334" i="27"/>
  <c r="Q334" i="27"/>
  <c r="K334" i="27"/>
  <c r="J334" i="27"/>
  <c r="I334" i="27"/>
  <c r="H334" i="27"/>
  <c r="F334" i="27"/>
  <c r="E334" i="27"/>
  <c r="AJ333" i="27"/>
  <c r="AI333" i="27"/>
  <c r="AH333" i="27"/>
  <c r="AL333" i="27" s="1"/>
  <c r="AG333" i="27"/>
  <c r="AK333" i="27" s="1"/>
  <c r="AE333" i="27"/>
  <c r="AD333" i="27"/>
  <c r="AC333" i="27"/>
  <c r="AA333" i="27"/>
  <c r="Z333" i="27"/>
  <c r="Y333" i="27"/>
  <c r="AB333" i="27" s="1"/>
  <c r="S333" i="27"/>
  <c r="Q333" i="27"/>
  <c r="K333" i="27"/>
  <c r="J333" i="27"/>
  <c r="I333" i="27"/>
  <c r="H333" i="27"/>
  <c r="F333" i="27"/>
  <c r="E333" i="27"/>
  <c r="AJ332" i="27"/>
  <c r="AI332" i="27"/>
  <c r="AH332" i="27"/>
  <c r="AL332" i="27" s="1"/>
  <c r="AG332" i="27"/>
  <c r="AK332" i="27" s="1"/>
  <c r="AE332" i="27"/>
  <c r="AD332" i="27"/>
  <c r="AC332" i="27"/>
  <c r="AA332" i="27"/>
  <c r="Z332" i="27"/>
  <c r="Y332" i="27"/>
  <c r="S332" i="27"/>
  <c r="Q332" i="27"/>
  <c r="K332" i="27"/>
  <c r="J332" i="27"/>
  <c r="I332" i="27"/>
  <c r="H332" i="27"/>
  <c r="F332" i="27"/>
  <c r="E332" i="27"/>
  <c r="AJ331" i="27"/>
  <c r="AI331" i="27"/>
  <c r="AH331" i="27"/>
  <c r="AL331" i="27" s="1"/>
  <c r="AG331" i="27"/>
  <c r="AK331" i="27" s="1"/>
  <c r="AE331" i="27"/>
  <c r="AD331" i="27"/>
  <c r="AC331" i="27"/>
  <c r="AA331" i="27"/>
  <c r="Z331" i="27"/>
  <c r="Y331" i="27"/>
  <c r="S331" i="27"/>
  <c r="Q331" i="27"/>
  <c r="K331" i="27"/>
  <c r="J331" i="27"/>
  <c r="I331" i="27"/>
  <c r="H331" i="27"/>
  <c r="F331" i="27"/>
  <c r="E331" i="27"/>
  <c r="AJ330" i="27"/>
  <c r="AI330" i="27"/>
  <c r="AH330" i="27"/>
  <c r="AL330" i="27" s="1"/>
  <c r="AG330" i="27"/>
  <c r="AK330" i="27" s="1"/>
  <c r="AE330" i="27"/>
  <c r="AD330" i="27"/>
  <c r="AC330" i="27"/>
  <c r="AA330" i="27"/>
  <c r="Z330" i="27"/>
  <c r="Y330" i="27"/>
  <c r="S330" i="27"/>
  <c r="Q330" i="27"/>
  <c r="K330" i="27"/>
  <c r="J330" i="27"/>
  <c r="I330" i="27"/>
  <c r="H330" i="27"/>
  <c r="F330" i="27"/>
  <c r="E330" i="27"/>
  <c r="AJ329" i="27"/>
  <c r="AI329" i="27"/>
  <c r="AH329" i="27"/>
  <c r="AL329" i="27" s="1"/>
  <c r="AG329" i="27"/>
  <c r="AK329" i="27" s="1"/>
  <c r="AE329" i="27"/>
  <c r="AD329" i="27"/>
  <c r="AC329" i="27"/>
  <c r="AA329" i="27"/>
  <c r="Z329" i="27"/>
  <c r="Y329" i="27"/>
  <c r="AB329" i="27" s="1"/>
  <c r="S329" i="27"/>
  <c r="Q329" i="27"/>
  <c r="K329" i="27"/>
  <c r="J329" i="27"/>
  <c r="I329" i="27"/>
  <c r="H329" i="27"/>
  <c r="F329" i="27"/>
  <c r="E329" i="27"/>
  <c r="AJ328" i="27"/>
  <c r="AI328" i="27"/>
  <c r="AH328" i="27"/>
  <c r="AL328" i="27" s="1"/>
  <c r="AG328" i="27"/>
  <c r="AK328" i="27" s="1"/>
  <c r="AE328" i="27"/>
  <c r="AD328" i="27"/>
  <c r="AC328" i="27"/>
  <c r="AA328" i="27"/>
  <c r="Z328" i="27"/>
  <c r="Y328" i="27"/>
  <c r="AB328" i="27" s="1"/>
  <c r="S328" i="27"/>
  <c r="Q328" i="27"/>
  <c r="K328" i="27"/>
  <c r="J328" i="27"/>
  <c r="I328" i="27"/>
  <c r="H328" i="27"/>
  <c r="F328" i="27"/>
  <c r="E328" i="27"/>
  <c r="AI327" i="27"/>
  <c r="AH327" i="27"/>
  <c r="AL327" i="27" s="1"/>
  <c r="AG327" i="27"/>
  <c r="AK327" i="27" s="1"/>
  <c r="AE327" i="27"/>
  <c r="AD327" i="27"/>
  <c r="AC327" i="27"/>
  <c r="AA327" i="27"/>
  <c r="Z327" i="27"/>
  <c r="Y327" i="27"/>
  <c r="S327" i="27"/>
  <c r="Q327" i="27"/>
  <c r="K327" i="27"/>
  <c r="J327" i="27"/>
  <c r="I327" i="27"/>
  <c r="H327" i="27"/>
  <c r="F327" i="27"/>
  <c r="E327" i="27"/>
  <c r="AJ326" i="27"/>
  <c r="AI326" i="27"/>
  <c r="AH326" i="27"/>
  <c r="AL326" i="27" s="1"/>
  <c r="AG326" i="27"/>
  <c r="AK326" i="27" s="1"/>
  <c r="AE326" i="27"/>
  <c r="AD326" i="27"/>
  <c r="AC326" i="27"/>
  <c r="AA326" i="27"/>
  <c r="Z326" i="27"/>
  <c r="Y326" i="27"/>
  <c r="AB326" i="27" s="1"/>
  <c r="S326" i="27"/>
  <c r="Q326" i="27"/>
  <c r="K326" i="27"/>
  <c r="J326" i="27"/>
  <c r="I326" i="27"/>
  <c r="H326" i="27"/>
  <c r="F326" i="27"/>
  <c r="E326" i="27"/>
  <c r="AI325" i="27"/>
  <c r="AH325" i="27"/>
  <c r="AL325" i="27" s="1"/>
  <c r="AG325" i="27"/>
  <c r="AK325" i="27" s="1"/>
  <c r="AE325" i="27"/>
  <c r="AD325" i="27"/>
  <c r="AC325" i="27"/>
  <c r="AA325" i="27"/>
  <c r="Z325" i="27"/>
  <c r="Y325" i="27"/>
  <c r="S325" i="27"/>
  <c r="Q325" i="27"/>
  <c r="K325" i="27"/>
  <c r="J325" i="27"/>
  <c r="I325" i="27"/>
  <c r="H325" i="27"/>
  <c r="F325" i="27"/>
  <c r="E325" i="27"/>
  <c r="AJ324" i="27"/>
  <c r="AI324" i="27"/>
  <c r="AH324" i="27"/>
  <c r="AL324" i="27" s="1"/>
  <c r="AG324" i="27"/>
  <c r="AK324" i="27" s="1"/>
  <c r="AE324" i="27"/>
  <c r="AD324" i="27"/>
  <c r="AC324" i="27"/>
  <c r="AA324" i="27"/>
  <c r="Z324" i="27"/>
  <c r="Y324" i="27"/>
  <c r="AB324" i="27" s="1"/>
  <c r="S324" i="27"/>
  <c r="Q324" i="27"/>
  <c r="K324" i="27"/>
  <c r="J324" i="27"/>
  <c r="I324" i="27"/>
  <c r="H324" i="27"/>
  <c r="F324" i="27"/>
  <c r="E324" i="27"/>
  <c r="AJ323" i="27"/>
  <c r="AI323" i="27"/>
  <c r="AH323" i="27"/>
  <c r="AL323" i="27" s="1"/>
  <c r="AG323" i="27"/>
  <c r="AK323" i="27" s="1"/>
  <c r="AE323" i="27"/>
  <c r="AD323" i="27"/>
  <c r="AC323" i="27"/>
  <c r="AA323" i="27"/>
  <c r="Z323" i="27"/>
  <c r="Y323" i="27"/>
  <c r="S323" i="27"/>
  <c r="Q323" i="27"/>
  <c r="K323" i="27"/>
  <c r="J323" i="27"/>
  <c r="I323" i="27"/>
  <c r="H323" i="27"/>
  <c r="F323" i="27"/>
  <c r="E323" i="27"/>
  <c r="AJ322" i="27"/>
  <c r="AI322" i="27"/>
  <c r="AH322" i="27"/>
  <c r="AL322" i="27" s="1"/>
  <c r="AG322" i="27"/>
  <c r="AK322" i="27" s="1"/>
  <c r="S322" i="27"/>
  <c r="Q322" i="27"/>
  <c r="K322" i="27"/>
  <c r="J322" i="27"/>
  <c r="I322" i="27"/>
  <c r="H322" i="27"/>
  <c r="F322" i="27"/>
  <c r="E322" i="27"/>
  <c r="AJ321" i="27"/>
  <c r="AI321" i="27"/>
  <c r="AH321" i="27"/>
  <c r="AL321" i="27" s="1"/>
  <c r="AG321" i="27"/>
  <c r="AK321" i="27" s="1"/>
  <c r="S321" i="27"/>
  <c r="Q321" i="27"/>
  <c r="K321" i="27"/>
  <c r="J321" i="27"/>
  <c r="I321" i="27"/>
  <c r="H321" i="27"/>
  <c r="F321" i="27"/>
  <c r="E321" i="27"/>
  <c r="AJ320" i="27"/>
  <c r="AI320" i="27"/>
  <c r="AH320" i="27"/>
  <c r="AL320" i="27" s="1"/>
  <c r="AG320" i="27"/>
  <c r="AK320" i="27" s="1"/>
  <c r="S320" i="27"/>
  <c r="Q320" i="27"/>
  <c r="K320" i="27"/>
  <c r="J320" i="27"/>
  <c r="I320" i="27"/>
  <c r="H320" i="27"/>
  <c r="F320" i="27"/>
  <c r="E320" i="27"/>
  <c r="AJ319" i="27"/>
  <c r="AI319" i="27"/>
  <c r="AH319" i="27"/>
  <c r="AL319" i="27" s="1"/>
  <c r="AG319" i="27"/>
  <c r="AK319" i="27" s="1"/>
  <c r="S319" i="27"/>
  <c r="Q319" i="27"/>
  <c r="K319" i="27"/>
  <c r="J319" i="27"/>
  <c r="I319" i="27"/>
  <c r="H319" i="27"/>
  <c r="F319" i="27"/>
  <c r="E319" i="27"/>
  <c r="AJ318" i="27"/>
  <c r="AI318" i="27"/>
  <c r="AH318" i="27"/>
  <c r="AL318" i="27" s="1"/>
  <c r="AG318" i="27"/>
  <c r="AK318" i="27" s="1"/>
  <c r="S318" i="27"/>
  <c r="Q318" i="27"/>
  <c r="K318" i="27"/>
  <c r="J318" i="27"/>
  <c r="I318" i="27"/>
  <c r="H318" i="27"/>
  <c r="F318" i="27"/>
  <c r="E318" i="27"/>
  <c r="AJ317" i="27"/>
  <c r="AI317" i="27"/>
  <c r="AH317" i="27"/>
  <c r="AL317" i="27" s="1"/>
  <c r="AG317" i="27"/>
  <c r="AK317" i="27" s="1"/>
  <c r="S317" i="27"/>
  <c r="Q317" i="27"/>
  <c r="K317" i="27"/>
  <c r="J317" i="27"/>
  <c r="I317" i="27"/>
  <c r="H317" i="27"/>
  <c r="F317" i="27"/>
  <c r="E317" i="27"/>
  <c r="AJ316" i="27"/>
  <c r="AI316" i="27"/>
  <c r="AH316" i="27"/>
  <c r="AL316" i="27" s="1"/>
  <c r="AG316" i="27"/>
  <c r="AK316" i="27" s="1"/>
  <c r="S316" i="27"/>
  <c r="Q316" i="27"/>
  <c r="K316" i="27"/>
  <c r="J316" i="27"/>
  <c r="I316" i="27"/>
  <c r="H316" i="27"/>
  <c r="F316" i="27"/>
  <c r="E316" i="27"/>
  <c r="AJ315" i="27"/>
  <c r="AI315" i="27"/>
  <c r="AH315" i="27"/>
  <c r="AL315" i="27" s="1"/>
  <c r="AG315" i="27"/>
  <c r="AK315" i="27" s="1"/>
  <c r="S315" i="27"/>
  <c r="Q315" i="27"/>
  <c r="K315" i="27"/>
  <c r="J315" i="27"/>
  <c r="I315" i="27"/>
  <c r="H315" i="27"/>
  <c r="F315" i="27"/>
  <c r="E315" i="27"/>
  <c r="AJ314" i="27"/>
  <c r="AI314" i="27"/>
  <c r="AH314" i="27"/>
  <c r="AL314" i="27" s="1"/>
  <c r="AG314" i="27"/>
  <c r="AK314" i="27" s="1"/>
  <c r="S314" i="27"/>
  <c r="Q314" i="27"/>
  <c r="K314" i="27"/>
  <c r="J314" i="27"/>
  <c r="I314" i="27"/>
  <c r="H314" i="27"/>
  <c r="F314" i="27"/>
  <c r="E314" i="27"/>
  <c r="AJ313" i="27"/>
  <c r="AI313" i="27"/>
  <c r="AH313" i="27"/>
  <c r="AL313" i="27" s="1"/>
  <c r="AG313" i="27"/>
  <c r="AK313" i="27" s="1"/>
  <c r="S313" i="27"/>
  <c r="Q313" i="27"/>
  <c r="K313" i="27"/>
  <c r="J313" i="27"/>
  <c r="I313" i="27"/>
  <c r="H313" i="27"/>
  <c r="F313" i="27"/>
  <c r="E313" i="27"/>
  <c r="AJ312" i="27"/>
  <c r="AI312" i="27"/>
  <c r="AH312" i="27"/>
  <c r="AL312" i="27" s="1"/>
  <c r="AG312" i="27"/>
  <c r="AK312" i="27" s="1"/>
  <c r="S312" i="27"/>
  <c r="Q312" i="27"/>
  <c r="K312" i="27"/>
  <c r="J312" i="27"/>
  <c r="I312" i="27"/>
  <c r="H312" i="27"/>
  <c r="F312" i="27"/>
  <c r="E312" i="27"/>
  <c r="AI311" i="27"/>
  <c r="AH311" i="27"/>
  <c r="AL311" i="27" s="1"/>
  <c r="AG311" i="27"/>
  <c r="AK311" i="27" s="1"/>
  <c r="S311" i="27"/>
  <c r="Q311" i="27"/>
  <c r="K311" i="27"/>
  <c r="J311" i="27"/>
  <c r="I311" i="27"/>
  <c r="H311" i="27"/>
  <c r="F311" i="27"/>
  <c r="E311" i="27"/>
  <c r="AJ310" i="27"/>
  <c r="AI310" i="27"/>
  <c r="AH310" i="27"/>
  <c r="AL310" i="27" s="1"/>
  <c r="AG310" i="27"/>
  <c r="AK310" i="27" s="1"/>
  <c r="S310" i="27"/>
  <c r="Q310" i="27"/>
  <c r="K310" i="27"/>
  <c r="J310" i="27"/>
  <c r="I310" i="27"/>
  <c r="H310" i="27"/>
  <c r="F310" i="27"/>
  <c r="E310" i="27"/>
  <c r="AI309" i="27"/>
  <c r="AH309" i="27"/>
  <c r="AL309" i="27" s="1"/>
  <c r="AG309" i="27"/>
  <c r="AK309" i="27" s="1"/>
  <c r="S309" i="27"/>
  <c r="Q309" i="27"/>
  <c r="K309" i="27"/>
  <c r="J309" i="27"/>
  <c r="I309" i="27"/>
  <c r="H309" i="27"/>
  <c r="F309" i="27"/>
  <c r="E309" i="27"/>
  <c r="AJ308" i="27"/>
  <c r="AI308" i="27"/>
  <c r="AH308" i="27"/>
  <c r="AL308" i="27" s="1"/>
  <c r="AG308" i="27"/>
  <c r="AK308" i="27" s="1"/>
  <c r="S308" i="27"/>
  <c r="Q308" i="27"/>
  <c r="K308" i="27"/>
  <c r="J308" i="27"/>
  <c r="I308" i="27"/>
  <c r="H308" i="27"/>
  <c r="F308" i="27"/>
  <c r="E308" i="27"/>
  <c r="AJ307" i="27"/>
  <c r="AI307" i="27"/>
  <c r="AH307" i="27"/>
  <c r="AL307" i="27" s="1"/>
  <c r="AG307" i="27"/>
  <c r="AK307" i="27" s="1"/>
  <c r="S307" i="27"/>
  <c r="Q307" i="27"/>
  <c r="K307" i="27"/>
  <c r="J307" i="27"/>
  <c r="I307" i="27"/>
  <c r="H307" i="27"/>
  <c r="F307" i="27"/>
  <c r="E307" i="27"/>
  <c r="AJ306" i="27"/>
  <c r="AI306" i="27"/>
  <c r="AH306" i="27"/>
  <c r="AL306" i="27" s="1"/>
  <c r="AG306" i="27"/>
  <c r="AK306" i="27" s="1"/>
  <c r="S306" i="27"/>
  <c r="Q306" i="27"/>
  <c r="K306" i="27"/>
  <c r="J306" i="27"/>
  <c r="I306" i="27"/>
  <c r="H306" i="27"/>
  <c r="F306" i="27"/>
  <c r="E306" i="27"/>
  <c r="AJ305" i="27"/>
  <c r="AI305" i="27"/>
  <c r="AH305" i="27"/>
  <c r="AL305" i="27" s="1"/>
  <c r="AG305" i="27"/>
  <c r="AK305" i="27" s="1"/>
  <c r="S305" i="27"/>
  <c r="Q305" i="27"/>
  <c r="K305" i="27"/>
  <c r="J305" i="27"/>
  <c r="I305" i="27"/>
  <c r="H305" i="27"/>
  <c r="F305" i="27"/>
  <c r="E305" i="27"/>
  <c r="AI304" i="27"/>
  <c r="AH304" i="27"/>
  <c r="AL304" i="27" s="1"/>
  <c r="AG304" i="27"/>
  <c r="AK304" i="27" s="1"/>
  <c r="S304" i="27"/>
  <c r="Q304" i="27"/>
  <c r="K304" i="27"/>
  <c r="J304" i="27"/>
  <c r="I304" i="27"/>
  <c r="H304" i="27"/>
  <c r="F304" i="27"/>
  <c r="E304" i="27"/>
  <c r="AJ303" i="27"/>
  <c r="AI303" i="27"/>
  <c r="AH303" i="27"/>
  <c r="AL303" i="27" s="1"/>
  <c r="AG303" i="27"/>
  <c r="AK303" i="27" s="1"/>
  <c r="S303" i="27"/>
  <c r="Q303" i="27"/>
  <c r="K303" i="27"/>
  <c r="J303" i="27"/>
  <c r="I303" i="27"/>
  <c r="H303" i="27"/>
  <c r="F303" i="27"/>
  <c r="E303" i="27"/>
  <c r="AJ302" i="27"/>
  <c r="AI302" i="27"/>
  <c r="AH302" i="27"/>
  <c r="AL302" i="27" s="1"/>
  <c r="AG302" i="27"/>
  <c r="AK302" i="27" s="1"/>
  <c r="S302" i="27"/>
  <c r="Q302" i="27"/>
  <c r="K302" i="27"/>
  <c r="J302" i="27"/>
  <c r="I302" i="27"/>
  <c r="H302" i="27"/>
  <c r="F302" i="27"/>
  <c r="E302" i="27"/>
  <c r="AI301" i="27"/>
  <c r="AH301" i="27"/>
  <c r="AL301" i="27" s="1"/>
  <c r="AG301" i="27"/>
  <c r="AK301" i="27" s="1"/>
  <c r="S301" i="27"/>
  <c r="Q301" i="27"/>
  <c r="K301" i="27"/>
  <c r="J301" i="27"/>
  <c r="I301" i="27"/>
  <c r="H301" i="27"/>
  <c r="F301" i="27"/>
  <c r="E301" i="27"/>
  <c r="AI300" i="27"/>
  <c r="AH300" i="27"/>
  <c r="AL300" i="27" s="1"/>
  <c r="AG300" i="27"/>
  <c r="AK300" i="27" s="1"/>
  <c r="S300" i="27"/>
  <c r="Q300" i="27"/>
  <c r="K300" i="27"/>
  <c r="J300" i="27"/>
  <c r="I300" i="27"/>
  <c r="H300" i="27"/>
  <c r="F300" i="27"/>
  <c r="E300" i="27"/>
  <c r="AJ299" i="27"/>
  <c r="AI299" i="27"/>
  <c r="AH299" i="27"/>
  <c r="AL299" i="27" s="1"/>
  <c r="AG299" i="27"/>
  <c r="AK299" i="27" s="1"/>
  <c r="S299" i="27"/>
  <c r="Q299" i="27"/>
  <c r="K299" i="27"/>
  <c r="J299" i="27"/>
  <c r="I299" i="27"/>
  <c r="H299" i="27"/>
  <c r="F299" i="27"/>
  <c r="E299" i="27"/>
  <c r="AJ298" i="27"/>
  <c r="AI298" i="27"/>
  <c r="AH298" i="27"/>
  <c r="AL298" i="27" s="1"/>
  <c r="AG298" i="27"/>
  <c r="AK298" i="27" s="1"/>
  <c r="S298" i="27"/>
  <c r="Q298" i="27"/>
  <c r="K298" i="27"/>
  <c r="J298" i="27"/>
  <c r="I298" i="27"/>
  <c r="H298" i="27"/>
  <c r="F298" i="27"/>
  <c r="E298" i="27"/>
  <c r="AJ297" i="27"/>
  <c r="AI297" i="27"/>
  <c r="AH297" i="27"/>
  <c r="AL297" i="27" s="1"/>
  <c r="AG297" i="27"/>
  <c r="AK297" i="27" s="1"/>
  <c r="S297" i="27"/>
  <c r="Q297" i="27"/>
  <c r="K297" i="27"/>
  <c r="J297" i="27"/>
  <c r="I297" i="27"/>
  <c r="H297" i="27"/>
  <c r="F297" i="27"/>
  <c r="E297" i="27"/>
  <c r="AI296" i="27"/>
  <c r="AH296" i="27"/>
  <c r="AL296" i="27" s="1"/>
  <c r="AG296" i="27"/>
  <c r="AK296" i="27" s="1"/>
  <c r="S296" i="27"/>
  <c r="Q296" i="27"/>
  <c r="K296" i="27"/>
  <c r="J296" i="27"/>
  <c r="I296" i="27"/>
  <c r="H296" i="27"/>
  <c r="F296" i="27"/>
  <c r="E296" i="27"/>
  <c r="AJ295" i="27"/>
  <c r="AI295" i="27"/>
  <c r="AH295" i="27"/>
  <c r="AL295" i="27" s="1"/>
  <c r="AG295" i="27"/>
  <c r="AK295" i="27" s="1"/>
  <c r="S295" i="27"/>
  <c r="Q295" i="27"/>
  <c r="K295" i="27"/>
  <c r="J295" i="27"/>
  <c r="I295" i="27"/>
  <c r="H295" i="27"/>
  <c r="F295" i="27"/>
  <c r="E295" i="27"/>
  <c r="AJ294" i="27"/>
  <c r="AI294" i="27"/>
  <c r="AH294" i="27"/>
  <c r="AL294" i="27" s="1"/>
  <c r="AG294" i="27"/>
  <c r="AK294" i="27" s="1"/>
  <c r="S294" i="27"/>
  <c r="Q294" i="27"/>
  <c r="K294" i="27"/>
  <c r="J294" i="27"/>
  <c r="I294" i="27"/>
  <c r="H294" i="27"/>
  <c r="F294" i="27"/>
  <c r="E294" i="27"/>
  <c r="AJ293" i="27"/>
  <c r="AI293" i="27"/>
  <c r="AH293" i="27"/>
  <c r="AL293" i="27" s="1"/>
  <c r="AG293" i="27"/>
  <c r="AK293" i="27" s="1"/>
  <c r="S293" i="27"/>
  <c r="Q293" i="27"/>
  <c r="J293" i="27"/>
  <c r="I293" i="27"/>
  <c r="H293" i="27"/>
  <c r="F293" i="27"/>
  <c r="E293" i="27"/>
  <c r="AJ292" i="27"/>
  <c r="AI292" i="27"/>
  <c r="AH292" i="27"/>
  <c r="AL292" i="27" s="1"/>
  <c r="AG292" i="27"/>
  <c r="AK292" i="27" s="1"/>
  <c r="S292" i="27"/>
  <c r="Q292" i="27"/>
  <c r="K292" i="27"/>
  <c r="J292" i="27"/>
  <c r="I292" i="27"/>
  <c r="H292" i="27"/>
  <c r="F292" i="27"/>
  <c r="E292" i="27"/>
  <c r="AJ291" i="27"/>
  <c r="AI291" i="27"/>
  <c r="AH291" i="27"/>
  <c r="AL291" i="27" s="1"/>
  <c r="AG291" i="27"/>
  <c r="AK291" i="27" s="1"/>
  <c r="S291" i="27"/>
  <c r="Q291" i="27"/>
  <c r="J291" i="27"/>
  <c r="I291" i="27"/>
  <c r="H291" i="27"/>
  <c r="F291" i="27"/>
  <c r="E291" i="27"/>
  <c r="AJ290" i="27"/>
  <c r="AI290" i="27"/>
  <c r="AH290" i="27"/>
  <c r="AL290" i="27" s="1"/>
  <c r="AG290" i="27"/>
  <c r="AK290" i="27" s="1"/>
  <c r="S290" i="27"/>
  <c r="Q290" i="27"/>
  <c r="K290" i="27"/>
  <c r="J290" i="27"/>
  <c r="I290" i="27"/>
  <c r="H290" i="27"/>
  <c r="F290" i="27"/>
  <c r="E290" i="27"/>
  <c r="AI289" i="27"/>
  <c r="AH289" i="27"/>
  <c r="AL289" i="27" s="1"/>
  <c r="AG289" i="27"/>
  <c r="AK289" i="27" s="1"/>
  <c r="S289" i="27"/>
  <c r="Q289" i="27"/>
  <c r="K289" i="27"/>
  <c r="J289" i="27"/>
  <c r="I289" i="27"/>
  <c r="H289" i="27"/>
  <c r="F289" i="27"/>
  <c r="E289" i="27"/>
  <c r="AJ288" i="27"/>
  <c r="AI288" i="27"/>
  <c r="AH288" i="27"/>
  <c r="AL288" i="27" s="1"/>
  <c r="AG288" i="27"/>
  <c r="AK288" i="27" s="1"/>
  <c r="S288" i="27"/>
  <c r="Q288" i="27"/>
  <c r="K288" i="27"/>
  <c r="J288" i="27"/>
  <c r="I288" i="27"/>
  <c r="H288" i="27"/>
  <c r="F288" i="27"/>
  <c r="E288" i="27"/>
  <c r="AJ287" i="27"/>
  <c r="AI287" i="27"/>
  <c r="AH287" i="27"/>
  <c r="AL287" i="27" s="1"/>
  <c r="AG287" i="27"/>
  <c r="AK287" i="27" s="1"/>
  <c r="S287" i="27"/>
  <c r="Q287" i="27"/>
  <c r="K287" i="27"/>
  <c r="J287" i="27"/>
  <c r="I287" i="27"/>
  <c r="H287" i="27"/>
  <c r="F287" i="27"/>
  <c r="E287" i="27"/>
  <c r="AJ286" i="27"/>
  <c r="AI286" i="27"/>
  <c r="AH286" i="27"/>
  <c r="AL286" i="27" s="1"/>
  <c r="AG286" i="27"/>
  <c r="AK286" i="27" s="1"/>
  <c r="S286" i="27"/>
  <c r="Q286" i="27"/>
  <c r="K286" i="27"/>
  <c r="J286" i="27"/>
  <c r="I286" i="27"/>
  <c r="H286" i="27"/>
  <c r="F286" i="27"/>
  <c r="E286" i="27"/>
  <c r="AJ285" i="27"/>
  <c r="AI285" i="27"/>
  <c r="AH285" i="27"/>
  <c r="AL285" i="27" s="1"/>
  <c r="AG285" i="27"/>
  <c r="AK285" i="27" s="1"/>
  <c r="S285" i="27"/>
  <c r="Q285" i="27"/>
  <c r="K285" i="27"/>
  <c r="J285" i="27"/>
  <c r="I285" i="27"/>
  <c r="H285" i="27"/>
  <c r="F285" i="27"/>
  <c r="E285" i="27"/>
  <c r="AJ284" i="27"/>
  <c r="AI284" i="27"/>
  <c r="AH284" i="27"/>
  <c r="AL284" i="27" s="1"/>
  <c r="AG284" i="27"/>
  <c r="AK284" i="27" s="1"/>
  <c r="S284" i="27"/>
  <c r="Q284" i="27"/>
  <c r="K284" i="27"/>
  <c r="J284" i="27"/>
  <c r="I284" i="27"/>
  <c r="H284" i="27"/>
  <c r="F284" i="27"/>
  <c r="E284" i="27"/>
  <c r="AI283" i="27"/>
  <c r="AH283" i="27"/>
  <c r="AL283" i="27" s="1"/>
  <c r="AG283" i="27"/>
  <c r="AK283" i="27" s="1"/>
  <c r="S283" i="27"/>
  <c r="Q283" i="27"/>
  <c r="K283" i="27"/>
  <c r="J283" i="27"/>
  <c r="I283" i="27"/>
  <c r="H283" i="27"/>
  <c r="F283" i="27"/>
  <c r="E283" i="27"/>
  <c r="AI282" i="27"/>
  <c r="AH282" i="27"/>
  <c r="AL282" i="27" s="1"/>
  <c r="AG282" i="27"/>
  <c r="AK282" i="27" s="1"/>
  <c r="S282" i="27"/>
  <c r="Q282" i="27"/>
  <c r="K282" i="27"/>
  <c r="J282" i="27"/>
  <c r="I282" i="27"/>
  <c r="H282" i="27"/>
  <c r="F282" i="27"/>
  <c r="E282" i="27"/>
  <c r="AJ281" i="27"/>
  <c r="AI281" i="27"/>
  <c r="AH281" i="27"/>
  <c r="AL281" i="27" s="1"/>
  <c r="AG281" i="27"/>
  <c r="AK281" i="27" s="1"/>
  <c r="S281" i="27"/>
  <c r="Q281" i="27"/>
  <c r="K281" i="27"/>
  <c r="J281" i="27"/>
  <c r="I281" i="27"/>
  <c r="H281" i="27"/>
  <c r="F281" i="27"/>
  <c r="E281" i="27"/>
  <c r="AJ280" i="27"/>
  <c r="AI280" i="27"/>
  <c r="AH280" i="27"/>
  <c r="AL280" i="27" s="1"/>
  <c r="AG280" i="27"/>
  <c r="AK280" i="27" s="1"/>
  <c r="S280" i="27"/>
  <c r="Q280" i="27"/>
  <c r="K280" i="27"/>
  <c r="J280" i="27"/>
  <c r="I280" i="27"/>
  <c r="H280" i="27"/>
  <c r="F280" i="27"/>
  <c r="E280" i="27"/>
  <c r="AJ279" i="27"/>
  <c r="AI279" i="27"/>
  <c r="AH279" i="27"/>
  <c r="AL279" i="27" s="1"/>
  <c r="AG279" i="27"/>
  <c r="AK279" i="27" s="1"/>
  <c r="S279" i="27"/>
  <c r="Q279" i="27"/>
  <c r="K279" i="27"/>
  <c r="J279" i="27"/>
  <c r="I279" i="27"/>
  <c r="H279" i="27"/>
  <c r="F279" i="27"/>
  <c r="E279" i="27"/>
  <c r="AJ278" i="27"/>
  <c r="AI278" i="27"/>
  <c r="AH278" i="27"/>
  <c r="AL278" i="27" s="1"/>
  <c r="AG278" i="27"/>
  <c r="AK278" i="27" s="1"/>
  <c r="S278" i="27"/>
  <c r="Q278" i="27"/>
  <c r="K278" i="27"/>
  <c r="J278" i="27"/>
  <c r="I278" i="27"/>
  <c r="H278" i="27"/>
  <c r="F278" i="27"/>
  <c r="E278" i="27"/>
  <c r="AI277" i="27"/>
  <c r="AH277" i="27"/>
  <c r="AL277" i="27" s="1"/>
  <c r="AG277" i="27"/>
  <c r="AK277" i="27" s="1"/>
  <c r="S277" i="27"/>
  <c r="Q277" i="27"/>
  <c r="J277" i="27"/>
  <c r="I277" i="27"/>
  <c r="H277" i="27"/>
  <c r="F277" i="27"/>
  <c r="E277" i="27"/>
  <c r="AI276" i="27"/>
  <c r="AH276" i="27"/>
  <c r="AL276" i="27" s="1"/>
  <c r="AG276" i="27"/>
  <c r="AK276" i="27" s="1"/>
  <c r="S276" i="27"/>
  <c r="Q276" i="27"/>
  <c r="K276" i="27"/>
  <c r="J276" i="27"/>
  <c r="I276" i="27"/>
  <c r="H276" i="27"/>
  <c r="F276" i="27"/>
  <c r="E276" i="27"/>
  <c r="AJ275" i="27"/>
  <c r="AI275" i="27"/>
  <c r="AH275" i="27"/>
  <c r="AL275" i="27" s="1"/>
  <c r="AG275" i="27"/>
  <c r="AK275" i="27" s="1"/>
  <c r="S275" i="27"/>
  <c r="Q275" i="27"/>
  <c r="J275" i="27"/>
  <c r="I275" i="27"/>
  <c r="H275" i="27"/>
  <c r="F275" i="27"/>
  <c r="E275" i="27"/>
  <c r="AJ274" i="27"/>
  <c r="AI274" i="27"/>
  <c r="AH274" i="27"/>
  <c r="AL274" i="27" s="1"/>
  <c r="AG274" i="27"/>
  <c r="AK274" i="27" s="1"/>
  <c r="S274" i="27"/>
  <c r="Q274" i="27"/>
  <c r="K274" i="27"/>
  <c r="J274" i="27"/>
  <c r="I274" i="27"/>
  <c r="H274" i="27"/>
  <c r="F274" i="27"/>
  <c r="E274" i="27"/>
  <c r="AJ273" i="27"/>
  <c r="AI273" i="27"/>
  <c r="AH273" i="27"/>
  <c r="AL273" i="27" s="1"/>
  <c r="AG273" i="27"/>
  <c r="AK273" i="27" s="1"/>
  <c r="S273" i="27"/>
  <c r="Q273" i="27"/>
  <c r="K273" i="27"/>
  <c r="J273" i="27"/>
  <c r="I273" i="27"/>
  <c r="H273" i="27"/>
  <c r="F273" i="27"/>
  <c r="E273" i="27"/>
  <c r="AJ272" i="27"/>
  <c r="AI272" i="27"/>
  <c r="AH272" i="27"/>
  <c r="AL272" i="27" s="1"/>
  <c r="AG272" i="27"/>
  <c r="AK272" i="27" s="1"/>
  <c r="S272" i="27"/>
  <c r="Q272" i="27"/>
  <c r="K272" i="27"/>
  <c r="J272" i="27"/>
  <c r="I272" i="27"/>
  <c r="H272" i="27"/>
  <c r="F272" i="27"/>
  <c r="E272" i="27"/>
  <c r="AJ271" i="27"/>
  <c r="AI271" i="27"/>
  <c r="AH271" i="27"/>
  <c r="AL271" i="27" s="1"/>
  <c r="AG271" i="27"/>
  <c r="AK271" i="27" s="1"/>
  <c r="S271" i="27"/>
  <c r="Q271" i="27"/>
  <c r="K271" i="27"/>
  <c r="J271" i="27"/>
  <c r="I271" i="27"/>
  <c r="H271" i="27"/>
  <c r="F271" i="27"/>
  <c r="E271" i="27"/>
  <c r="AJ270" i="27"/>
  <c r="AI270" i="27"/>
  <c r="AH270" i="27"/>
  <c r="AL270" i="27" s="1"/>
  <c r="AG270" i="27"/>
  <c r="AK270" i="27" s="1"/>
  <c r="S270" i="27"/>
  <c r="Q270" i="27"/>
  <c r="J270" i="27"/>
  <c r="I270" i="27"/>
  <c r="H270" i="27"/>
  <c r="F270" i="27"/>
  <c r="E270" i="27"/>
  <c r="AJ269" i="27"/>
  <c r="AI269" i="27"/>
  <c r="AH269" i="27"/>
  <c r="AL269" i="27" s="1"/>
  <c r="AG269" i="27"/>
  <c r="AK269" i="27" s="1"/>
  <c r="S269" i="27"/>
  <c r="Q269" i="27"/>
  <c r="K269" i="27"/>
  <c r="J269" i="27"/>
  <c r="I269" i="27"/>
  <c r="H269" i="27"/>
  <c r="F269" i="27"/>
  <c r="E269" i="27"/>
  <c r="AJ268" i="27"/>
  <c r="AI268" i="27"/>
  <c r="AH268" i="27"/>
  <c r="AL268" i="27" s="1"/>
  <c r="AG268" i="27"/>
  <c r="AK268" i="27" s="1"/>
  <c r="S268" i="27"/>
  <c r="Q268" i="27"/>
  <c r="K268" i="27"/>
  <c r="J268" i="27"/>
  <c r="I268" i="27"/>
  <c r="H268" i="27"/>
  <c r="F268" i="27"/>
  <c r="E268" i="27"/>
  <c r="AJ267" i="27"/>
  <c r="AI267" i="27"/>
  <c r="AH267" i="27"/>
  <c r="AL267" i="27" s="1"/>
  <c r="AG267" i="27"/>
  <c r="AK267" i="27" s="1"/>
  <c r="S267" i="27"/>
  <c r="Q267" i="27"/>
  <c r="J267" i="27"/>
  <c r="I267" i="27"/>
  <c r="H267" i="27"/>
  <c r="F267" i="27"/>
  <c r="E267" i="27"/>
  <c r="AJ266" i="27"/>
  <c r="AI266" i="27"/>
  <c r="AH266" i="27"/>
  <c r="AL266" i="27" s="1"/>
  <c r="AG266" i="27"/>
  <c r="AK266" i="27" s="1"/>
  <c r="S266" i="27"/>
  <c r="Q266" i="27"/>
  <c r="J266" i="27"/>
  <c r="I266" i="27"/>
  <c r="H266" i="27"/>
  <c r="F266" i="27"/>
  <c r="E266" i="27"/>
  <c r="AJ265" i="27"/>
  <c r="AI265" i="27"/>
  <c r="AH265" i="27"/>
  <c r="AL265" i="27" s="1"/>
  <c r="AG265" i="27"/>
  <c r="AK265" i="27" s="1"/>
  <c r="S265" i="27"/>
  <c r="Q265" i="27"/>
  <c r="K265" i="27"/>
  <c r="J265" i="27"/>
  <c r="I265" i="27"/>
  <c r="H265" i="27"/>
  <c r="F265" i="27"/>
  <c r="E265" i="27"/>
  <c r="AJ264" i="27"/>
  <c r="AI264" i="27"/>
  <c r="AH264" i="27"/>
  <c r="AL264" i="27" s="1"/>
  <c r="AG264" i="27"/>
  <c r="AK264" i="27" s="1"/>
  <c r="S264" i="27"/>
  <c r="Q264" i="27"/>
  <c r="K264" i="27"/>
  <c r="J264" i="27"/>
  <c r="I264" i="27"/>
  <c r="H264" i="27"/>
  <c r="F264" i="27"/>
  <c r="E264" i="27"/>
  <c r="AJ263" i="27"/>
  <c r="AI263" i="27"/>
  <c r="AH263" i="27"/>
  <c r="AL263" i="27" s="1"/>
  <c r="AG263" i="27"/>
  <c r="AK263" i="27" s="1"/>
  <c r="S263" i="27"/>
  <c r="Q263" i="27"/>
  <c r="K263" i="27"/>
  <c r="J263" i="27"/>
  <c r="I263" i="27"/>
  <c r="H263" i="27"/>
  <c r="F263" i="27"/>
  <c r="E263" i="27"/>
  <c r="AJ262" i="27"/>
  <c r="AI262" i="27"/>
  <c r="AH262" i="27"/>
  <c r="AL262" i="27" s="1"/>
  <c r="AG262" i="27"/>
  <c r="AK262" i="27" s="1"/>
  <c r="S262" i="27"/>
  <c r="Q262" i="27"/>
  <c r="J262" i="27"/>
  <c r="I262" i="27"/>
  <c r="H262" i="27"/>
  <c r="F262" i="27"/>
  <c r="E262" i="27"/>
  <c r="AJ261" i="27"/>
  <c r="AI261" i="27"/>
  <c r="AH261" i="27"/>
  <c r="AL261" i="27" s="1"/>
  <c r="AG261" i="27"/>
  <c r="AK261" i="27" s="1"/>
  <c r="S261" i="27"/>
  <c r="Q261" i="27"/>
  <c r="K261" i="27"/>
  <c r="J261" i="27"/>
  <c r="I261" i="27"/>
  <c r="H261" i="27"/>
  <c r="F261" i="27"/>
  <c r="E261" i="27"/>
  <c r="AJ260" i="27"/>
  <c r="AI260" i="27"/>
  <c r="AH260" i="27"/>
  <c r="AL260" i="27" s="1"/>
  <c r="AG260" i="27"/>
  <c r="AK260" i="27" s="1"/>
  <c r="S260" i="27"/>
  <c r="Q260" i="27"/>
  <c r="K260" i="27"/>
  <c r="J260" i="27"/>
  <c r="I260" i="27"/>
  <c r="H260" i="27"/>
  <c r="F260" i="27"/>
  <c r="E260" i="27"/>
  <c r="AI259" i="27"/>
  <c r="AH259" i="27"/>
  <c r="AL259" i="27" s="1"/>
  <c r="AG259" i="27"/>
  <c r="AK259" i="27" s="1"/>
  <c r="S259" i="27"/>
  <c r="Q259" i="27"/>
  <c r="K259" i="27"/>
  <c r="J259" i="27"/>
  <c r="I259" i="27"/>
  <c r="H259" i="27"/>
  <c r="F259" i="27"/>
  <c r="E259" i="27"/>
  <c r="AJ258" i="27"/>
  <c r="AI258" i="27"/>
  <c r="AH258" i="27"/>
  <c r="AL258" i="27" s="1"/>
  <c r="AG258" i="27"/>
  <c r="AK258" i="27" s="1"/>
  <c r="S258" i="27"/>
  <c r="Q258" i="27"/>
  <c r="K258" i="27"/>
  <c r="J258" i="27"/>
  <c r="I258" i="27"/>
  <c r="H258" i="27"/>
  <c r="F258" i="27"/>
  <c r="E258" i="27"/>
  <c r="AJ257" i="27"/>
  <c r="AI257" i="27"/>
  <c r="AH257" i="27"/>
  <c r="AL257" i="27" s="1"/>
  <c r="AG257" i="27"/>
  <c r="AK257" i="27" s="1"/>
  <c r="S257" i="27"/>
  <c r="Q257" i="27"/>
  <c r="K257" i="27"/>
  <c r="J257" i="27"/>
  <c r="I257" i="27"/>
  <c r="H257" i="27"/>
  <c r="F257" i="27"/>
  <c r="E257" i="27"/>
  <c r="AJ256" i="27"/>
  <c r="AI256" i="27"/>
  <c r="AH256" i="27"/>
  <c r="AL256" i="27" s="1"/>
  <c r="AG256" i="27"/>
  <c r="AK256" i="27" s="1"/>
  <c r="S256" i="27"/>
  <c r="Q256" i="27"/>
  <c r="K256" i="27"/>
  <c r="J256" i="27"/>
  <c r="I256" i="27"/>
  <c r="H256" i="27"/>
  <c r="F256" i="27"/>
  <c r="E256" i="27"/>
  <c r="AJ255" i="27"/>
  <c r="AI255" i="27"/>
  <c r="AH255" i="27"/>
  <c r="AL255" i="27" s="1"/>
  <c r="AG255" i="27"/>
  <c r="AK255" i="27" s="1"/>
  <c r="S255" i="27"/>
  <c r="Q255" i="27"/>
  <c r="J255" i="27"/>
  <c r="I255" i="27"/>
  <c r="H255" i="27"/>
  <c r="F255" i="27"/>
  <c r="E255" i="27"/>
  <c r="AJ254" i="27"/>
  <c r="AI254" i="27"/>
  <c r="AH254" i="27"/>
  <c r="AL254" i="27" s="1"/>
  <c r="AG254" i="27"/>
  <c r="AK254" i="27" s="1"/>
  <c r="S254" i="27"/>
  <c r="Q254" i="27"/>
  <c r="K254" i="27"/>
  <c r="J254" i="27"/>
  <c r="I254" i="27"/>
  <c r="H254" i="27"/>
  <c r="F254" i="27"/>
  <c r="E254" i="27"/>
  <c r="AJ253" i="27"/>
  <c r="AI253" i="27"/>
  <c r="AH253" i="27"/>
  <c r="AL253" i="27" s="1"/>
  <c r="AG253" i="27"/>
  <c r="AK253" i="27" s="1"/>
  <c r="S253" i="27"/>
  <c r="Q253" i="27"/>
  <c r="K253" i="27"/>
  <c r="J253" i="27"/>
  <c r="I253" i="27"/>
  <c r="H253" i="27"/>
  <c r="F253" i="27"/>
  <c r="E253" i="27"/>
  <c r="AJ252" i="27"/>
  <c r="AI252" i="27"/>
  <c r="AH252" i="27"/>
  <c r="AL252" i="27" s="1"/>
  <c r="AG252" i="27"/>
  <c r="AK252" i="27" s="1"/>
  <c r="S252" i="27"/>
  <c r="Q252" i="27"/>
  <c r="K252" i="27"/>
  <c r="J252" i="27"/>
  <c r="I252" i="27"/>
  <c r="H252" i="27"/>
  <c r="F252" i="27"/>
  <c r="E252" i="27"/>
  <c r="AJ251" i="27"/>
  <c r="AI251" i="27"/>
  <c r="AH251" i="27"/>
  <c r="AL251" i="27" s="1"/>
  <c r="AG251" i="27"/>
  <c r="AK251" i="27" s="1"/>
  <c r="S251" i="27"/>
  <c r="Q251" i="27"/>
  <c r="K251" i="27"/>
  <c r="J251" i="27"/>
  <c r="I251" i="27"/>
  <c r="H251" i="27"/>
  <c r="F251" i="27"/>
  <c r="E251" i="27"/>
  <c r="AJ250" i="27"/>
  <c r="AI250" i="27"/>
  <c r="AH250" i="27"/>
  <c r="AL250" i="27" s="1"/>
  <c r="AG250" i="27"/>
  <c r="AK250" i="27" s="1"/>
  <c r="S250" i="27"/>
  <c r="Q250" i="27"/>
  <c r="K250" i="27"/>
  <c r="J250" i="27"/>
  <c r="I250" i="27"/>
  <c r="H250" i="27"/>
  <c r="F250" i="27"/>
  <c r="E250" i="27"/>
  <c r="AJ249" i="27"/>
  <c r="AI249" i="27"/>
  <c r="AH249" i="27"/>
  <c r="AL249" i="27" s="1"/>
  <c r="AG249" i="27"/>
  <c r="AK249" i="27" s="1"/>
  <c r="S249" i="27"/>
  <c r="Q249" i="27"/>
  <c r="J249" i="27"/>
  <c r="I249" i="27"/>
  <c r="H249" i="27"/>
  <c r="F249" i="27"/>
  <c r="E249" i="27"/>
  <c r="AJ248" i="27"/>
  <c r="AI248" i="27"/>
  <c r="AH248" i="27"/>
  <c r="AL248" i="27" s="1"/>
  <c r="AG248" i="27"/>
  <c r="AK248" i="27" s="1"/>
  <c r="S248" i="27"/>
  <c r="Q248" i="27"/>
  <c r="J248" i="27"/>
  <c r="I248" i="27"/>
  <c r="H248" i="27"/>
  <c r="F248" i="27"/>
  <c r="E248" i="27"/>
  <c r="AJ247" i="27"/>
  <c r="AI247" i="27"/>
  <c r="AH247" i="27"/>
  <c r="AL247" i="27" s="1"/>
  <c r="AG247" i="27"/>
  <c r="AK247" i="27" s="1"/>
  <c r="S247" i="27"/>
  <c r="Q247" i="27"/>
  <c r="K247" i="27"/>
  <c r="J247" i="27"/>
  <c r="I247" i="27"/>
  <c r="H247" i="27"/>
  <c r="F247" i="27"/>
  <c r="E247" i="27"/>
  <c r="AJ246" i="27"/>
  <c r="AI246" i="27"/>
  <c r="AH246" i="27"/>
  <c r="AL246" i="27" s="1"/>
  <c r="AG246" i="27"/>
  <c r="AK246" i="27" s="1"/>
  <c r="S246" i="27"/>
  <c r="Q246" i="27"/>
  <c r="K246" i="27"/>
  <c r="J246" i="27"/>
  <c r="I246" i="27"/>
  <c r="H246" i="27"/>
  <c r="F246" i="27"/>
  <c r="E246" i="27"/>
  <c r="AJ245" i="27"/>
  <c r="AI245" i="27"/>
  <c r="AH245" i="27"/>
  <c r="AL245" i="27" s="1"/>
  <c r="AG245" i="27"/>
  <c r="AK245" i="27" s="1"/>
  <c r="S245" i="27"/>
  <c r="Q245" i="27"/>
  <c r="K245" i="27"/>
  <c r="J245" i="27"/>
  <c r="I245" i="27"/>
  <c r="H245" i="27"/>
  <c r="F245" i="27"/>
  <c r="E245" i="27"/>
  <c r="AJ244" i="27"/>
  <c r="AI244" i="27"/>
  <c r="AH244" i="27"/>
  <c r="AL244" i="27" s="1"/>
  <c r="AG244" i="27"/>
  <c r="AK244" i="27" s="1"/>
  <c r="S244" i="27"/>
  <c r="Q244" i="27"/>
  <c r="K244" i="27"/>
  <c r="J244" i="27"/>
  <c r="I244" i="27"/>
  <c r="H244" i="27"/>
  <c r="F244" i="27"/>
  <c r="E244" i="27"/>
  <c r="AJ243" i="27"/>
  <c r="AI243" i="27"/>
  <c r="AH243" i="27"/>
  <c r="AL243" i="27" s="1"/>
  <c r="AG243" i="27"/>
  <c r="AK243" i="27" s="1"/>
  <c r="S243" i="27"/>
  <c r="Q243" i="27"/>
  <c r="J243" i="27"/>
  <c r="I243" i="27"/>
  <c r="H243" i="27"/>
  <c r="F243" i="27"/>
  <c r="E243" i="27"/>
  <c r="AI242" i="27"/>
  <c r="AH242" i="27"/>
  <c r="AL242" i="27" s="1"/>
  <c r="AG242" i="27"/>
  <c r="AK242" i="27" s="1"/>
  <c r="S242" i="27"/>
  <c r="Q242" i="27"/>
  <c r="J242" i="27"/>
  <c r="I242" i="27"/>
  <c r="H242" i="27"/>
  <c r="F242" i="27"/>
  <c r="E242" i="27"/>
  <c r="AI241" i="27"/>
  <c r="AH241" i="27"/>
  <c r="AL241" i="27" s="1"/>
  <c r="AG241" i="27"/>
  <c r="AK241" i="27" s="1"/>
  <c r="S241" i="27"/>
  <c r="Q241" i="27"/>
  <c r="K241" i="27"/>
  <c r="J241" i="27"/>
  <c r="I241" i="27"/>
  <c r="H241" i="27"/>
  <c r="F241" i="27"/>
  <c r="E241" i="27"/>
  <c r="AJ240" i="27"/>
  <c r="AI240" i="27"/>
  <c r="AH240" i="27"/>
  <c r="AL240" i="27" s="1"/>
  <c r="AG240" i="27"/>
  <c r="AK240" i="27" s="1"/>
  <c r="S240" i="27"/>
  <c r="Q240" i="27"/>
  <c r="K240" i="27"/>
  <c r="J240" i="27"/>
  <c r="I240" i="27"/>
  <c r="H240" i="27"/>
  <c r="F240" i="27"/>
  <c r="E240" i="27"/>
  <c r="AJ239" i="27"/>
  <c r="AI239" i="27"/>
  <c r="AH239" i="27"/>
  <c r="AL239" i="27" s="1"/>
  <c r="AG239" i="27"/>
  <c r="AK239" i="27" s="1"/>
  <c r="S239" i="27"/>
  <c r="Q239" i="27"/>
  <c r="K239" i="27"/>
  <c r="J239" i="27"/>
  <c r="I239" i="27"/>
  <c r="H239" i="27"/>
  <c r="F239" i="27"/>
  <c r="E239" i="27"/>
  <c r="AI238" i="27"/>
  <c r="AH238" i="27"/>
  <c r="AL238" i="27" s="1"/>
  <c r="AG238" i="27"/>
  <c r="AK238" i="27" s="1"/>
  <c r="S238" i="27"/>
  <c r="Q238" i="27"/>
  <c r="K238" i="27"/>
  <c r="J238" i="27"/>
  <c r="I238" i="27"/>
  <c r="H238" i="27"/>
  <c r="F238" i="27"/>
  <c r="E238" i="27"/>
  <c r="AJ237" i="27"/>
  <c r="AI237" i="27"/>
  <c r="AH237" i="27"/>
  <c r="AL237" i="27" s="1"/>
  <c r="AG237" i="27"/>
  <c r="AK237" i="27" s="1"/>
  <c r="S237" i="27"/>
  <c r="Q237" i="27"/>
  <c r="K237" i="27"/>
  <c r="J237" i="27"/>
  <c r="I237" i="27"/>
  <c r="H237" i="27"/>
  <c r="F237" i="27"/>
  <c r="E237" i="27"/>
  <c r="AI236" i="27"/>
  <c r="AH236" i="27"/>
  <c r="AL236" i="27" s="1"/>
  <c r="AG236" i="27"/>
  <c r="AK236" i="27" s="1"/>
  <c r="S236" i="27"/>
  <c r="Q236" i="27"/>
  <c r="K236" i="27"/>
  <c r="J236" i="27"/>
  <c r="I236" i="27"/>
  <c r="H236" i="27"/>
  <c r="F236" i="27"/>
  <c r="E236" i="27"/>
  <c r="AI235" i="27"/>
  <c r="AH235" i="27"/>
  <c r="AL235" i="27" s="1"/>
  <c r="AG235" i="27"/>
  <c r="AK235" i="27" s="1"/>
  <c r="S235" i="27"/>
  <c r="Q235" i="27"/>
  <c r="K235" i="27"/>
  <c r="J235" i="27"/>
  <c r="I235" i="27"/>
  <c r="H235" i="27"/>
  <c r="F235" i="27"/>
  <c r="E235" i="27"/>
  <c r="AI234" i="27"/>
  <c r="AH234" i="27"/>
  <c r="AL234" i="27" s="1"/>
  <c r="AG234" i="27"/>
  <c r="AK234" i="27" s="1"/>
  <c r="S234" i="27"/>
  <c r="Q234" i="27"/>
  <c r="K234" i="27"/>
  <c r="J234" i="27"/>
  <c r="I234" i="27"/>
  <c r="H234" i="27"/>
  <c r="F234" i="27"/>
  <c r="E234" i="27"/>
  <c r="AI233" i="27"/>
  <c r="AH233" i="27"/>
  <c r="AL233" i="27" s="1"/>
  <c r="AG233" i="27"/>
  <c r="AK233" i="27" s="1"/>
  <c r="S233" i="27"/>
  <c r="Q233" i="27"/>
  <c r="K233" i="27"/>
  <c r="J233" i="27"/>
  <c r="I233" i="27"/>
  <c r="H233" i="27"/>
  <c r="F233" i="27"/>
  <c r="E233" i="27"/>
  <c r="AJ232" i="27"/>
  <c r="AI232" i="27"/>
  <c r="AH232" i="27"/>
  <c r="AL232" i="27" s="1"/>
  <c r="AG232" i="27"/>
  <c r="AK232" i="27" s="1"/>
  <c r="S232" i="27"/>
  <c r="Q232" i="27"/>
  <c r="K232" i="27"/>
  <c r="J232" i="27"/>
  <c r="I232" i="27"/>
  <c r="H232" i="27"/>
  <c r="F232" i="27"/>
  <c r="E232" i="27"/>
  <c r="AJ231" i="27"/>
  <c r="AI231" i="27"/>
  <c r="AH231" i="27"/>
  <c r="AL231" i="27" s="1"/>
  <c r="AG231" i="27"/>
  <c r="AK231" i="27" s="1"/>
  <c r="S231" i="27"/>
  <c r="Q231" i="27"/>
  <c r="K231" i="27"/>
  <c r="J231" i="27"/>
  <c r="I231" i="27"/>
  <c r="H231" i="27"/>
  <c r="F231" i="27"/>
  <c r="E231" i="27"/>
  <c r="AJ230" i="27"/>
  <c r="AI230" i="27"/>
  <c r="AH230" i="27"/>
  <c r="AL230" i="27" s="1"/>
  <c r="AG230" i="27"/>
  <c r="AK230" i="27" s="1"/>
  <c r="S230" i="27"/>
  <c r="Q230" i="27"/>
  <c r="K230" i="27"/>
  <c r="J230" i="27"/>
  <c r="I230" i="27"/>
  <c r="H230" i="27"/>
  <c r="F230" i="27"/>
  <c r="E230" i="27"/>
  <c r="AJ229" i="27"/>
  <c r="AI229" i="27"/>
  <c r="AH229" i="27"/>
  <c r="AL229" i="27" s="1"/>
  <c r="AG229" i="27"/>
  <c r="AK229" i="27" s="1"/>
  <c r="S229" i="27"/>
  <c r="Q229" i="27"/>
  <c r="K229" i="27"/>
  <c r="J229" i="27"/>
  <c r="I229" i="27"/>
  <c r="H229" i="27"/>
  <c r="F229" i="27"/>
  <c r="E229" i="27"/>
  <c r="AJ228" i="27"/>
  <c r="AI228" i="27"/>
  <c r="AH228" i="27"/>
  <c r="AL228" i="27" s="1"/>
  <c r="AG228" i="27"/>
  <c r="AK228" i="27" s="1"/>
  <c r="S228" i="27"/>
  <c r="Q228" i="27"/>
  <c r="K228" i="27"/>
  <c r="J228" i="27"/>
  <c r="I228" i="27"/>
  <c r="H228" i="27"/>
  <c r="F228" i="27"/>
  <c r="E228" i="27"/>
  <c r="AJ227" i="27"/>
  <c r="AI227" i="27"/>
  <c r="AH227" i="27"/>
  <c r="AL227" i="27" s="1"/>
  <c r="AG227" i="27"/>
  <c r="AK227" i="27" s="1"/>
  <c r="S227" i="27"/>
  <c r="Q227" i="27"/>
  <c r="K227" i="27"/>
  <c r="J227" i="27"/>
  <c r="I227" i="27"/>
  <c r="H227" i="27"/>
  <c r="F227" i="27"/>
  <c r="E227" i="27"/>
  <c r="AJ226" i="27"/>
  <c r="AI226" i="27"/>
  <c r="AH226" i="27"/>
  <c r="AL226" i="27" s="1"/>
  <c r="AG226" i="27"/>
  <c r="AK226" i="27" s="1"/>
  <c r="S226" i="27"/>
  <c r="Q226" i="27"/>
  <c r="K226" i="27"/>
  <c r="J226" i="27"/>
  <c r="I226" i="27"/>
  <c r="H226" i="27"/>
  <c r="F226" i="27"/>
  <c r="E226" i="27"/>
  <c r="AJ225" i="27"/>
  <c r="AI225" i="27"/>
  <c r="AH225" i="27"/>
  <c r="AL225" i="27" s="1"/>
  <c r="AG225" i="27"/>
  <c r="AK225" i="27" s="1"/>
  <c r="S225" i="27"/>
  <c r="Q225" i="27"/>
  <c r="J225" i="27"/>
  <c r="I225" i="27"/>
  <c r="H225" i="27"/>
  <c r="F225" i="27"/>
  <c r="E225" i="27"/>
  <c r="AJ224" i="27"/>
  <c r="AI224" i="27"/>
  <c r="AH224" i="27"/>
  <c r="AL224" i="27" s="1"/>
  <c r="AG224" i="27"/>
  <c r="AK224" i="27" s="1"/>
  <c r="S224" i="27"/>
  <c r="Q224" i="27"/>
  <c r="K224" i="27"/>
  <c r="J224" i="27"/>
  <c r="I224" i="27"/>
  <c r="H224" i="27"/>
  <c r="F224" i="27"/>
  <c r="E224" i="27"/>
  <c r="AJ223" i="27"/>
  <c r="AI223" i="27"/>
  <c r="AH223" i="27"/>
  <c r="AL223" i="27" s="1"/>
  <c r="AG223" i="27"/>
  <c r="AK223" i="27" s="1"/>
  <c r="S223" i="27"/>
  <c r="Q223" i="27"/>
  <c r="K223" i="27"/>
  <c r="J223" i="27"/>
  <c r="I223" i="27"/>
  <c r="H223" i="27"/>
  <c r="F223" i="27"/>
  <c r="E223" i="27"/>
  <c r="AJ222" i="27"/>
  <c r="AI222" i="27"/>
  <c r="AH222" i="27"/>
  <c r="AL222" i="27" s="1"/>
  <c r="AG222" i="27"/>
  <c r="AK222" i="27" s="1"/>
  <c r="S222" i="27"/>
  <c r="Q222" i="27"/>
  <c r="K222" i="27"/>
  <c r="J222" i="27"/>
  <c r="I222" i="27"/>
  <c r="H222" i="27"/>
  <c r="F222" i="27"/>
  <c r="E222" i="27"/>
  <c r="AJ221" i="27"/>
  <c r="AI221" i="27"/>
  <c r="AH221" i="27"/>
  <c r="AL221" i="27" s="1"/>
  <c r="AG221" i="27"/>
  <c r="AK221" i="27" s="1"/>
  <c r="S221" i="27"/>
  <c r="Q221" i="27"/>
  <c r="K221" i="27"/>
  <c r="J221" i="27"/>
  <c r="I221" i="27"/>
  <c r="H221" i="27"/>
  <c r="F221" i="27"/>
  <c r="E221" i="27"/>
  <c r="AJ220" i="27"/>
  <c r="AI220" i="27"/>
  <c r="AH220" i="27"/>
  <c r="AL220" i="27" s="1"/>
  <c r="AG220" i="27"/>
  <c r="AK220" i="27" s="1"/>
  <c r="S220" i="27"/>
  <c r="Q220" i="27"/>
  <c r="K220" i="27"/>
  <c r="J220" i="27"/>
  <c r="I220" i="27"/>
  <c r="H220" i="27"/>
  <c r="F220" i="27"/>
  <c r="E220" i="27"/>
  <c r="AI219" i="27"/>
  <c r="AH219" i="27"/>
  <c r="AL219" i="27" s="1"/>
  <c r="AG219" i="27"/>
  <c r="AK219" i="27" s="1"/>
  <c r="S219" i="27"/>
  <c r="Q219" i="27"/>
  <c r="K219" i="27"/>
  <c r="J219" i="27"/>
  <c r="I219" i="27"/>
  <c r="H219" i="27"/>
  <c r="F219" i="27"/>
  <c r="E219" i="27"/>
  <c r="AI218" i="27"/>
  <c r="AH218" i="27"/>
  <c r="AL218" i="27" s="1"/>
  <c r="AG218" i="27"/>
  <c r="AK218" i="27" s="1"/>
  <c r="S218" i="27"/>
  <c r="Q218" i="27"/>
  <c r="K218" i="27"/>
  <c r="J218" i="27"/>
  <c r="I218" i="27"/>
  <c r="H218" i="27"/>
  <c r="F218" i="27"/>
  <c r="E218" i="27"/>
  <c r="AJ217" i="27"/>
  <c r="AI217" i="27"/>
  <c r="AH217" i="27"/>
  <c r="AL217" i="27" s="1"/>
  <c r="AG217" i="27"/>
  <c r="AK217" i="27" s="1"/>
  <c r="S217" i="27"/>
  <c r="Q217" i="27"/>
  <c r="K217" i="27"/>
  <c r="J217" i="27"/>
  <c r="I217" i="27"/>
  <c r="H217" i="27"/>
  <c r="F217" i="27"/>
  <c r="E217" i="27"/>
  <c r="AJ216" i="27"/>
  <c r="AI216" i="27"/>
  <c r="AH216" i="27"/>
  <c r="AL216" i="27" s="1"/>
  <c r="AG216" i="27"/>
  <c r="AK216" i="27" s="1"/>
  <c r="S216" i="27"/>
  <c r="Q216" i="27"/>
  <c r="K216" i="27"/>
  <c r="J216" i="27"/>
  <c r="I216" i="27"/>
  <c r="H216" i="27"/>
  <c r="F216" i="27"/>
  <c r="E216" i="27"/>
  <c r="AJ215" i="27"/>
  <c r="AI215" i="27"/>
  <c r="AH215" i="27"/>
  <c r="AL215" i="27" s="1"/>
  <c r="AG215" i="27"/>
  <c r="AK215" i="27" s="1"/>
  <c r="S215" i="27"/>
  <c r="Q215" i="27"/>
  <c r="K215" i="27"/>
  <c r="J215" i="27"/>
  <c r="I215" i="27"/>
  <c r="H215" i="27"/>
  <c r="F215" i="27"/>
  <c r="E215" i="27"/>
  <c r="AJ214" i="27"/>
  <c r="AI214" i="27"/>
  <c r="AH214" i="27"/>
  <c r="AL214" i="27" s="1"/>
  <c r="AG214" i="27"/>
  <c r="AK214" i="27" s="1"/>
  <c r="S214" i="27"/>
  <c r="Q214" i="27"/>
  <c r="K214" i="27"/>
  <c r="J214" i="27"/>
  <c r="I214" i="27"/>
  <c r="H214" i="27"/>
  <c r="F214" i="27"/>
  <c r="E214" i="27"/>
  <c r="AJ213" i="27"/>
  <c r="AI213" i="27"/>
  <c r="AH213" i="27"/>
  <c r="AL213" i="27" s="1"/>
  <c r="AG213" i="27"/>
  <c r="AK213" i="27" s="1"/>
  <c r="S213" i="27"/>
  <c r="Q213" i="27"/>
  <c r="K213" i="27"/>
  <c r="J213" i="27"/>
  <c r="I213" i="27"/>
  <c r="H213" i="27"/>
  <c r="F213" i="27"/>
  <c r="E213" i="27"/>
  <c r="AJ212" i="27"/>
  <c r="AI212" i="27"/>
  <c r="AH212" i="27"/>
  <c r="AL212" i="27" s="1"/>
  <c r="AG212" i="27"/>
  <c r="AK212" i="27" s="1"/>
  <c r="S212" i="27"/>
  <c r="Q212" i="27"/>
  <c r="K212" i="27"/>
  <c r="J212" i="27"/>
  <c r="I212" i="27"/>
  <c r="H212" i="27"/>
  <c r="F212" i="27"/>
  <c r="E212" i="27"/>
  <c r="AJ211" i="27"/>
  <c r="AI211" i="27"/>
  <c r="AH211" i="27"/>
  <c r="AL211" i="27" s="1"/>
  <c r="AG211" i="27"/>
  <c r="AK211" i="27" s="1"/>
  <c r="S211" i="27"/>
  <c r="Q211" i="27"/>
  <c r="K211" i="27"/>
  <c r="J211" i="27"/>
  <c r="I211" i="27"/>
  <c r="H211" i="27"/>
  <c r="F211" i="27"/>
  <c r="E211" i="27"/>
  <c r="AJ210" i="27"/>
  <c r="AI210" i="27"/>
  <c r="AH210" i="27"/>
  <c r="AL210" i="27" s="1"/>
  <c r="AG210" i="27"/>
  <c r="AK210" i="27" s="1"/>
  <c r="S210" i="27"/>
  <c r="Q210" i="27"/>
  <c r="K210" i="27"/>
  <c r="J210" i="27"/>
  <c r="I210" i="27"/>
  <c r="H210" i="27"/>
  <c r="F210" i="27"/>
  <c r="E210" i="27"/>
  <c r="AJ209" i="27"/>
  <c r="AI209" i="27"/>
  <c r="AH209" i="27"/>
  <c r="AL209" i="27" s="1"/>
  <c r="AG209" i="27"/>
  <c r="AK209" i="27" s="1"/>
  <c r="S209" i="27"/>
  <c r="Q209" i="27"/>
  <c r="K209" i="27"/>
  <c r="J209" i="27"/>
  <c r="I209" i="27"/>
  <c r="H209" i="27"/>
  <c r="F209" i="27"/>
  <c r="E209" i="27"/>
  <c r="AJ208" i="27"/>
  <c r="AI208" i="27"/>
  <c r="AH208" i="27"/>
  <c r="AL208" i="27" s="1"/>
  <c r="AG208" i="27"/>
  <c r="AK208" i="27" s="1"/>
  <c r="S208" i="27"/>
  <c r="Q208" i="27"/>
  <c r="J208" i="27"/>
  <c r="I208" i="27"/>
  <c r="H208" i="27"/>
  <c r="F208" i="27"/>
  <c r="E208" i="27"/>
  <c r="AJ207" i="27"/>
  <c r="AI207" i="27"/>
  <c r="AH207" i="27"/>
  <c r="AL207" i="27" s="1"/>
  <c r="AG207" i="27"/>
  <c r="AK207" i="27" s="1"/>
  <c r="S207" i="27"/>
  <c r="Q207" i="27"/>
  <c r="J207" i="27"/>
  <c r="I207" i="27"/>
  <c r="H207" i="27"/>
  <c r="F207" i="27"/>
  <c r="E207" i="27"/>
  <c r="AJ206" i="27"/>
  <c r="AI206" i="27"/>
  <c r="AH206" i="27"/>
  <c r="AL206" i="27" s="1"/>
  <c r="AG206" i="27"/>
  <c r="AK206" i="27" s="1"/>
  <c r="S206" i="27"/>
  <c r="Q206" i="27"/>
  <c r="K206" i="27"/>
  <c r="J206" i="27"/>
  <c r="I206" i="27"/>
  <c r="H206" i="27"/>
  <c r="F206" i="27"/>
  <c r="E206" i="27"/>
  <c r="AJ205" i="27"/>
  <c r="AI205" i="27"/>
  <c r="AH205" i="27"/>
  <c r="AL205" i="27" s="1"/>
  <c r="AG205" i="27"/>
  <c r="AK205" i="27" s="1"/>
  <c r="S205" i="27"/>
  <c r="Q205" i="27"/>
  <c r="K205" i="27"/>
  <c r="J205" i="27"/>
  <c r="I205" i="27"/>
  <c r="H205" i="27"/>
  <c r="F205" i="27"/>
  <c r="E205" i="27"/>
  <c r="AJ204" i="27"/>
  <c r="AI204" i="27"/>
  <c r="AH204" i="27"/>
  <c r="AL204" i="27" s="1"/>
  <c r="AG204" i="27"/>
  <c r="AK204" i="27" s="1"/>
  <c r="S204" i="27"/>
  <c r="Q204" i="27"/>
  <c r="J204" i="27"/>
  <c r="I204" i="27"/>
  <c r="H204" i="27"/>
  <c r="F204" i="27"/>
  <c r="E204" i="27"/>
  <c r="AJ203" i="27"/>
  <c r="AI203" i="27"/>
  <c r="AH203" i="27"/>
  <c r="AL203" i="27" s="1"/>
  <c r="AG203" i="27"/>
  <c r="AK203" i="27" s="1"/>
  <c r="S203" i="27"/>
  <c r="Q203" i="27"/>
  <c r="K203" i="27"/>
  <c r="J203" i="27"/>
  <c r="I203" i="27"/>
  <c r="H203" i="27"/>
  <c r="F203" i="27"/>
  <c r="E203" i="27"/>
  <c r="AJ202" i="27"/>
  <c r="AI202" i="27"/>
  <c r="AH202" i="27"/>
  <c r="AL202" i="27" s="1"/>
  <c r="AG202" i="27"/>
  <c r="AK202" i="27" s="1"/>
  <c r="S202" i="27"/>
  <c r="Q202" i="27"/>
  <c r="J202" i="27"/>
  <c r="I202" i="27"/>
  <c r="H202" i="27"/>
  <c r="F202" i="27"/>
  <c r="E202" i="27"/>
  <c r="AJ201" i="27"/>
  <c r="AI201" i="27"/>
  <c r="AH201" i="27"/>
  <c r="AL201" i="27" s="1"/>
  <c r="AG201" i="27"/>
  <c r="AK201" i="27" s="1"/>
  <c r="S201" i="27"/>
  <c r="Q201" i="27"/>
  <c r="J201" i="27"/>
  <c r="I201" i="27"/>
  <c r="H201" i="27"/>
  <c r="F201" i="27"/>
  <c r="E201" i="27"/>
  <c r="AI200" i="27"/>
  <c r="AH200" i="27"/>
  <c r="AL200" i="27" s="1"/>
  <c r="AG200" i="27"/>
  <c r="AK200" i="27" s="1"/>
  <c r="S200" i="27"/>
  <c r="Q200" i="27"/>
  <c r="J200" i="27"/>
  <c r="I200" i="27"/>
  <c r="H200" i="27"/>
  <c r="F200" i="27"/>
  <c r="E200" i="27"/>
  <c r="AJ199" i="27"/>
  <c r="AI199" i="27"/>
  <c r="AH199" i="27"/>
  <c r="AL199" i="27" s="1"/>
  <c r="AG199" i="27"/>
  <c r="AK199" i="27" s="1"/>
  <c r="S199" i="27"/>
  <c r="Q199" i="27"/>
  <c r="J199" i="27"/>
  <c r="I199" i="27"/>
  <c r="H199" i="27"/>
  <c r="F199" i="27"/>
  <c r="E199" i="27"/>
  <c r="AJ198" i="27"/>
  <c r="AI198" i="27"/>
  <c r="AH198" i="27"/>
  <c r="AL198" i="27" s="1"/>
  <c r="AG198" i="27"/>
  <c r="AK198" i="27" s="1"/>
  <c r="S198" i="27"/>
  <c r="Q198" i="27"/>
  <c r="K198" i="27"/>
  <c r="J198" i="27"/>
  <c r="I198" i="27"/>
  <c r="H198" i="27"/>
  <c r="F198" i="27"/>
  <c r="E198" i="27"/>
  <c r="AJ197" i="27"/>
  <c r="AI197" i="27"/>
  <c r="AH197" i="27"/>
  <c r="AL197" i="27" s="1"/>
  <c r="AG197" i="27"/>
  <c r="AK197" i="27" s="1"/>
  <c r="S197" i="27"/>
  <c r="Q197" i="27"/>
  <c r="K197" i="27"/>
  <c r="J197" i="27"/>
  <c r="I197" i="27"/>
  <c r="H197" i="27"/>
  <c r="F197" i="27"/>
  <c r="E197" i="27"/>
  <c r="AI196" i="27"/>
  <c r="AH196" i="27"/>
  <c r="AL196" i="27" s="1"/>
  <c r="AG196" i="27"/>
  <c r="AK196" i="27" s="1"/>
  <c r="S196" i="27"/>
  <c r="Q196" i="27"/>
  <c r="K196" i="27"/>
  <c r="J196" i="27"/>
  <c r="I196" i="27"/>
  <c r="H196" i="27"/>
  <c r="F196" i="27"/>
  <c r="E196" i="27"/>
  <c r="AJ195" i="27"/>
  <c r="AI195" i="27"/>
  <c r="AH195" i="27"/>
  <c r="AL195" i="27" s="1"/>
  <c r="AG195" i="27"/>
  <c r="AK195" i="27" s="1"/>
  <c r="S195" i="27"/>
  <c r="Q195" i="27"/>
  <c r="K195" i="27"/>
  <c r="J195" i="27"/>
  <c r="I195" i="27"/>
  <c r="H195" i="27"/>
  <c r="F195" i="27"/>
  <c r="E195" i="27"/>
  <c r="AJ194" i="27"/>
  <c r="AI194" i="27"/>
  <c r="AH194" i="27"/>
  <c r="AL194" i="27" s="1"/>
  <c r="AG194" i="27"/>
  <c r="AK194" i="27" s="1"/>
  <c r="S194" i="27"/>
  <c r="Q194" i="27"/>
  <c r="K194" i="27"/>
  <c r="J194" i="27"/>
  <c r="I194" i="27"/>
  <c r="H194" i="27"/>
  <c r="F194" i="27"/>
  <c r="E194" i="27"/>
  <c r="AJ193" i="27"/>
  <c r="AI193" i="27"/>
  <c r="AH193" i="27"/>
  <c r="AL193" i="27" s="1"/>
  <c r="AG193" i="27"/>
  <c r="AK193" i="27" s="1"/>
  <c r="S193" i="27"/>
  <c r="Q193" i="27"/>
  <c r="K193" i="27"/>
  <c r="J193" i="27"/>
  <c r="I193" i="27"/>
  <c r="H193" i="27"/>
  <c r="F193" i="27"/>
  <c r="E193" i="27"/>
  <c r="AJ192" i="27"/>
  <c r="AI192" i="27"/>
  <c r="AH192" i="27"/>
  <c r="AL192" i="27" s="1"/>
  <c r="AG192" i="27"/>
  <c r="AK192" i="27" s="1"/>
  <c r="S192" i="27"/>
  <c r="Q192" i="27"/>
  <c r="K192" i="27"/>
  <c r="J192" i="27"/>
  <c r="I192" i="27"/>
  <c r="H192" i="27"/>
  <c r="F192" i="27"/>
  <c r="E192" i="27"/>
  <c r="AJ191" i="27"/>
  <c r="AI191" i="27"/>
  <c r="AH191" i="27"/>
  <c r="AL191" i="27" s="1"/>
  <c r="AG191" i="27"/>
  <c r="AK191" i="27" s="1"/>
  <c r="S191" i="27"/>
  <c r="Q191" i="27"/>
  <c r="K191" i="27"/>
  <c r="J191" i="27"/>
  <c r="I191" i="27"/>
  <c r="H191" i="27"/>
  <c r="F191" i="27"/>
  <c r="E191" i="27"/>
  <c r="AJ190" i="27"/>
  <c r="AI190" i="27"/>
  <c r="AH190" i="27"/>
  <c r="AL190" i="27" s="1"/>
  <c r="AG190" i="27"/>
  <c r="AK190" i="27" s="1"/>
  <c r="S190" i="27"/>
  <c r="Q190" i="27"/>
  <c r="K190" i="27"/>
  <c r="J190" i="27"/>
  <c r="I190" i="27"/>
  <c r="H190" i="27"/>
  <c r="F190" i="27"/>
  <c r="E190" i="27"/>
  <c r="AJ189" i="27"/>
  <c r="AI189" i="27"/>
  <c r="AH189" i="27"/>
  <c r="AL189" i="27" s="1"/>
  <c r="AG189" i="27"/>
  <c r="AK189" i="27" s="1"/>
  <c r="S189" i="27"/>
  <c r="Q189" i="27"/>
  <c r="K189" i="27"/>
  <c r="J189" i="27"/>
  <c r="I189" i="27"/>
  <c r="H189" i="27"/>
  <c r="F189" i="27"/>
  <c r="E189" i="27"/>
  <c r="AJ188" i="27"/>
  <c r="AI188" i="27"/>
  <c r="AH188" i="27"/>
  <c r="AL188" i="27" s="1"/>
  <c r="AG188" i="27"/>
  <c r="AK188" i="27" s="1"/>
  <c r="S188" i="27"/>
  <c r="Q188" i="27"/>
  <c r="K188" i="27"/>
  <c r="J188" i="27"/>
  <c r="I188" i="27"/>
  <c r="H188" i="27"/>
  <c r="F188" i="27"/>
  <c r="E188" i="27"/>
  <c r="AJ187" i="27"/>
  <c r="AI187" i="27"/>
  <c r="AH187" i="27"/>
  <c r="AL187" i="27" s="1"/>
  <c r="AG187" i="27"/>
  <c r="AK187" i="27" s="1"/>
  <c r="S187" i="27"/>
  <c r="Q187" i="27"/>
  <c r="K187" i="27"/>
  <c r="J187" i="27"/>
  <c r="I187" i="27"/>
  <c r="H187" i="27"/>
  <c r="F187" i="27"/>
  <c r="E187" i="27"/>
  <c r="AJ186" i="27"/>
  <c r="AI186" i="27"/>
  <c r="AH186" i="27"/>
  <c r="AL186" i="27" s="1"/>
  <c r="AG186" i="27"/>
  <c r="AK186" i="27" s="1"/>
  <c r="S186" i="27"/>
  <c r="Q186" i="27"/>
  <c r="K186" i="27"/>
  <c r="J186" i="27"/>
  <c r="I186" i="27"/>
  <c r="H186" i="27"/>
  <c r="F186" i="27"/>
  <c r="E186" i="27"/>
  <c r="AI185" i="27"/>
  <c r="AH185" i="27"/>
  <c r="AL185" i="27" s="1"/>
  <c r="AG185" i="27"/>
  <c r="AK185" i="27" s="1"/>
  <c r="S185" i="27"/>
  <c r="Q185" i="27"/>
  <c r="J185" i="27"/>
  <c r="I185" i="27"/>
  <c r="H185" i="27"/>
  <c r="F185" i="27"/>
  <c r="E185" i="27"/>
  <c r="AI184" i="27"/>
  <c r="AH184" i="27"/>
  <c r="AL184" i="27" s="1"/>
  <c r="AG184" i="27"/>
  <c r="AK184" i="27" s="1"/>
  <c r="S184" i="27"/>
  <c r="Q184" i="27"/>
  <c r="J184" i="27"/>
  <c r="I184" i="27"/>
  <c r="H184" i="27"/>
  <c r="F184" i="27"/>
  <c r="E184" i="27"/>
  <c r="AJ183" i="27"/>
  <c r="AI183" i="27"/>
  <c r="AH183" i="27"/>
  <c r="AL183" i="27" s="1"/>
  <c r="AG183" i="27"/>
  <c r="AK183" i="27" s="1"/>
  <c r="S183" i="27"/>
  <c r="Q183" i="27"/>
  <c r="K183" i="27"/>
  <c r="J183" i="27"/>
  <c r="I183" i="27"/>
  <c r="H183" i="27"/>
  <c r="F183" i="27"/>
  <c r="E183" i="27"/>
  <c r="AJ182" i="27"/>
  <c r="AI182" i="27"/>
  <c r="AH182" i="27"/>
  <c r="AL182" i="27" s="1"/>
  <c r="AG182" i="27"/>
  <c r="AK182" i="27" s="1"/>
  <c r="S182" i="27"/>
  <c r="Q182" i="27"/>
  <c r="K182" i="27"/>
  <c r="J182" i="27"/>
  <c r="I182" i="27"/>
  <c r="H182" i="27"/>
  <c r="F182" i="27"/>
  <c r="E182" i="27"/>
  <c r="AJ181" i="27"/>
  <c r="AI181" i="27"/>
  <c r="AH181" i="27"/>
  <c r="AL181" i="27" s="1"/>
  <c r="AG181" i="27"/>
  <c r="AK181" i="27" s="1"/>
  <c r="S181" i="27"/>
  <c r="Q181" i="27"/>
  <c r="K181" i="27"/>
  <c r="J181" i="27"/>
  <c r="I181" i="27"/>
  <c r="H181" i="27"/>
  <c r="F181" i="27"/>
  <c r="E181" i="27"/>
  <c r="AJ180" i="27"/>
  <c r="AI180" i="27"/>
  <c r="AH180" i="27"/>
  <c r="AL180" i="27" s="1"/>
  <c r="AG180" i="27"/>
  <c r="AK180" i="27" s="1"/>
  <c r="S180" i="27"/>
  <c r="Q180" i="27"/>
  <c r="K180" i="27"/>
  <c r="J180" i="27"/>
  <c r="I180" i="27"/>
  <c r="H180" i="27"/>
  <c r="F180" i="27"/>
  <c r="E180" i="27"/>
  <c r="AJ179" i="27"/>
  <c r="AI179" i="27"/>
  <c r="AH179" i="27"/>
  <c r="AL179" i="27" s="1"/>
  <c r="AG179" i="27"/>
  <c r="AK179" i="27" s="1"/>
  <c r="S179" i="27"/>
  <c r="Q179" i="27"/>
  <c r="K179" i="27"/>
  <c r="J179" i="27"/>
  <c r="I179" i="27"/>
  <c r="H179" i="27"/>
  <c r="F179" i="27"/>
  <c r="E179" i="27"/>
  <c r="AI178" i="27"/>
  <c r="AH178" i="27"/>
  <c r="AL178" i="27" s="1"/>
  <c r="AG178" i="27"/>
  <c r="AK178" i="27" s="1"/>
  <c r="S178" i="27"/>
  <c r="Q178" i="27"/>
  <c r="K178" i="27"/>
  <c r="J178" i="27"/>
  <c r="I178" i="27"/>
  <c r="H178" i="27"/>
  <c r="F178" i="27"/>
  <c r="E178" i="27"/>
  <c r="AJ177" i="27"/>
  <c r="AI177" i="27"/>
  <c r="AH177" i="27"/>
  <c r="AL177" i="27" s="1"/>
  <c r="AG177" i="27"/>
  <c r="AK177" i="27" s="1"/>
  <c r="S177" i="27"/>
  <c r="Q177" i="27"/>
  <c r="K177" i="27"/>
  <c r="J177" i="27"/>
  <c r="I177" i="27"/>
  <c r="H177" i="27"/>
  <c r="F177" i="27"/>
  <c r="E177" i="27"/>
  <c r="AJ176" i="27"/>
  <c r="AI176" i="27"/>
  <c r="AH176" i="27"/>
  <c r="AL176" i="27" s="1"/>
  <c r="AG176" i="27"/>
  <c r="AK176" i="27" s="1"/>
  <c r="S176" i="27"/>
  <c r="Q176" i="27"/>
  <c r="K176" i="27"/>
  <c r="J176" i="27"/>
  <c r="I176" i="27"/>
  <c r="H176" i="27"/>
  <c r="F176" i="27"/>
  <c r="E176" i="27"/>
  <c r="AJ175" i="27"/>
  <c r="AI175" i="27"/>
  <c r="AH175" i="27"/>
  <c r="AL175" i="27" s="1"/>
  <c r="AG175" i="27"/>
  <c r="AK175" i="27" s="1"/>
  <c r="S175" i="27"/>
  <c r="Q175" i="27"/>
  <c r="K175" i="27"/>
  <c r="J175" i="27"/>
  <c r="I175" i="27"/>
  <c r="H175" i="27"/>
  <c r="F175" i="27"/>
  <c r="E175" i="27"/>
  <c r="AJ174" i="27"/>
  <c r="AI174" i="27"/>
  <c r="AH174" i="27"/>
  <c r="AL174" i="27" s="1"/>
  <c r="AG174" i="27"/>
  <c r="AK174" i="27" s="1"/>
  <c r="S174" i="27"/>
  <c r="Q174" i="27"/>
  <c r="K174" i="27"/>
  <c r="J174" i="27"/>
  <c r="I174" i="27"/>
  <c r="H174" i="27"/>
  <c r="F174" i="27"/>
  <c r="E174" i="27"/>
  <c r="AJ173" i="27"/>
  <c r="AI173" i="27"/>
  <c r="AH173" i="27"/>
  <c r="AL173" i="27" s="1"/>
  <c r="AG173" i="27"/>
  <c r="AK173" i="27" s="1"/>
  <c r="S173" i="27"/>
  <c r="Q173" i="27"/>
  <c r="K173" i="27"/>
  <c r="J173" i="27"/>
  <c r="I173" i="27"/>
  <c r="H173" i="27"/>
  <c r="F173" i="27"/>
  <c r="E173" i="27"/>
  <c r="AJ172" i="27"/>
  <c r="AI172" i="27"/>
  <c r="AH172" i="27"/>
  <c r="AL172" i="27" s="1"/>
  <c r="AG172" i="27"/>
  <c r="AK172" i="27" s="1"/>
  <c r="S172" i="27"/>
  <c r="Q172" i="27"/>
  <c r="K172" i="27"/>
  <c r="J172" i="27"/>
  <c r="I172" i="27"/>
  <c r="H172" i="27"/>
  <c r="F172" i="27"/>
  <c r="E172" i="27"/>
  <c r="AJ171" i="27"/>
  <c r="AI171" i="27"/>
  <c r="AH171" i="27"/>
  <c r="AL171" i="27" s="1"/>
  <c r="AG171" i="27"/>
  <c r="AK171" i="27" s="1"/>
  <c r="S171" i="27"/>
  <c r="Q171" i="27"/>
  <c r="K171" i="27"/>
  <c r="J171" i="27"/>
  <c r="I171" i="27"/>
  <c r="H171" i="27"/>
  <c r="F171" i="27"/>
  <c r="E171" i="27"/>
  <c r="AJ170" i="27"/>
  <c r="AI170" i="27"/>
  <c r="AH170" i="27"/>
  <c r="AL170" i="27" s="1"/>
  <c r="AG170" i="27"/>
  <c r="AK170" i="27" s="1"/>
  <c r="S170" i="27"/>
  <c r="Q170" i="27"/>
  <c r="K170" i="27"/>
  <c r="J170" i="27"/>
  <c r="I170" i="27"/>
  <c r="H170" i="27"/>
  <c r="F170" i="27"/>
  <c r="E170" i="27"/>
  <c r="AJ169" i="27"/>
  <c r="AI169" i="27"/>
  <c r="AH169" i="27"/>
  <c r="AL169" i="27" s="1"/>
  <c r="AG169" i="27"/>
  <c r="AK169" i="27" s="1"/>
  <c r="S169" i="27"/>
  <c r="Q169" i="27"/>
  <c r="K169" i="27"/>
  <c r="J169" i="27"/>
  <c r="I169" i="27"/>
  <c r="H169" i="27"/>
  <c r="F169" i="27"/>
  <c r="E169" i="27"/>
  <c r="AJ168" i="27"/>
  <c r="AI168" i="27"/>
  <c r="AH168" i="27"/>
  <c r="AL168" i="27" s="1"/>
  <c r="AG168" i="27"/>
  <c r="AK168" i="27" s="1"/>
  <c r="S168" i="27"/>
  <c r="Q168" i="27"/>
  <c r="K168" i="27"/>
  <c r="J168" i="27"/>
  <c r="I168" i="27"/>
  <c r="H168" i="27"/>
  <c r="F168" i="27"/>
  <c r="E168" i="27"/>
  <c r="AJ167" i="27"/>
  <c r="AI167" i="27"/>
  <c r="AH167" i="27"/>
  <c r="AL167" i="27" s="1"/>
  <c r="AG167" i="27"/>
  <c r="AK167" i="27" s="1"/>
  <c r="S167" i="27"/>
  <c r="Q167" i="27"/>
  <c r="K167" i="27"/>
  <c r="J167" i="27"/>
  <c r="I167" i="27"/>
  <c r="H167" i="27"/>
  <c r="F167" i="27"/>
  <c r="E167" i="27"/>
  <c r="AJ166" i="27"/>
  <c r="AI166" i="27"/>
  <c r="AH166" i="27"/>
  <c r="AL166" i="27" s="1"/>
  <c r="AG166" i="27"/>
  <c r="AK166" i="27" s="1"/>
  <c r="S166" i="27"/>
  <c r="Q166" i="27"/>
  <c r="J166" i="27"/>
  <c r="I166" i="27"/>
  <c r="H166" i="27"/>
  <c r="F166" i="27"/>
  <c r="E166" i="27"/>
  <c r="AJ165" i="27"/>
  <c r="AI165" i="27"/>
  <c r="AH165" i="27"/>
  <c r="AL165" i="27" s="1"/>
  <c r="AG165" i="27"/>
  <c r="AK165" i="27" s="1"/>
  <c r="S165" i="27"/>
  <c r="Q165" i="27"/>
  <c r="K165" i="27"/>
  <c r="J165" i="27"/>
  <c r="I165" i="27"/>
  <c r="H165" i="27"/>
  <c r="F165" i="27"/>
  <c r="E165" i="27"/>
  <c r="AJ164" i="27"/>
  <c r="AI164" i="27"/>
  <c r="AH164" i="27"/>
  <c r="AL164" i="27" s="1"/>
  <c r="AG164" i="27"/>
  <c r="AK164" i="27" s="1"/>
  <c r="S164" i="27"/>
  <c r="Q164" i="27"/>
  <c r="K164" i="27"/>
  <c r="J164" i="27"/>
  <c r="I164" i="27"/>
  <c r="H164" i="27"/>
  <c r="F164" i="27"/>
  <c r="E164" i="27"/>
  <c r="AJ163" i="27"/>
  <c r="AI163" i="27"/>
  <c r="AH163" i="27"/>
  <c r="AL163" i="27" s="1"/>
  <c r="AG163" i="27"/>
  <c r="AK163" i="27" s="1"/>
  <c r="S163" i="27"/>
  <c r="Q163" i="27"/>
  <c r="K163" i="27"/>
  <c r="J163" i="27"/>
  <c r="I163" i="27"/>
  <c r="H163" i="27"/>
  <c r="F163" i="27"/>
  <c r="E163" i="27"/>
  <c r="AI162" i="27"/>
  <c r="AH162" i="27"/>
  <c r="AL162" i="27" s="1"/>
  <c r="AG162" i="27"/>
  <c r="AK162" i="27" s="1"/>
  <c r="S162" i="27"/>
  <c r="Q162" i="27"/>
  <c r="J162" i="27"/>
  <c r="I162" i="27"/>
  <c r="H162" i="27"/>
  <c r="F162" i="27"/>
  <c r="E162" i="27"/>
  <c r="AI161" i="27"/>
  <c r="AH161" i="27"/>
  <c r="AL161" i="27" s="1"/>
  <c r="AG161" i="27"/>
  <c r="AK161" i="27" s="1"/>
  <c r="S161" i="27"/>
  <c r="Q161" i="27"/>
  <c r="K161" i="27"/>
  <c r="J161" i="27"/>
  <c r="I161" i="27"/>
  <c r="H161" i="27"/>
  <c r="F161" i="27"/>
  <c r="E161" i="27"/>
  <c r="AI160" i="27"/>
  <c r="AH160" i="27"/>
  <c r="AL160" i="27" s="1"/>
  <c r="AG160" i="27"/>
  <c r="AK160" i="27" s="1"/>
  <c r="S160" i="27"/>
  <c r="Q160" i="27"/>
  <c r="K160" i="27"/>
  <c r="J160" i="27"/>
  <c r="I160" i="27"/>
  <c r="H160" i="27"/>
  <c r="F160" i="27"/>
  <c r="E160" i="27"/>
  <c r="AJ159" i="27"/>
  <c r="AI159" i="27"/>
  <c r="AH159" i="27"/>
  <c r="AL159" i="27" s="1"/>
  <c r="AG159" i="27"/>
  <c r="AK159" i="27" s="1"/>
  <c r="S159" i="27"/>
  <c r="Q159" i="27"/>
  <c r="K159" i="27"/>
  <c r="J159" i="27"/>
  <c r="I159" i="27"/>
  <c r="H159" i="27"/>
  <c r="F159" i="27"/>
  <c r="E159" i="27"/>
  <c r="AJ158" i="27"/>
  <c r="AI158" i="27"/>
  <c r="AH158" i="27"/>
  <c r="AL158" i="27" s="1"/>
  <c r="AG158" i="27"/>
  <c r="AK158" i="27" s="1"/>
  <c r="S158" i="27"/>
  <c r="Q158" i="27"/>
  <c r="K158" i="27"/>
  <c r="J158" i="27"/>
  <c r="I158" i="27"/>
  <c r="H158" i="27"/>
  <c r="F158" i="27"/>
  <c r="E158" i="27"/>
  <c r="AJ157" i="27"/>
  <c r="AI157" i="27"/>
  <c r="AH157" i="27"/>
  <c r="AL157" i="27" s="1"/>
  <c r="AG157" i="27"/>
  <c r="AK157" i="27" s="1"/>
  <c r="S157" i="27"/>
  <c r="Q157" i="27"/>
  <c r="K157" i="27"/>
  <c r="J157" i="27"/>
  <c r="I157" i="27"/>
  <c r="H157" i="27"/>
  <c r="F157" i="27"/>
  <c r="E157" i="27"/>
  <c r="AI156" i="27"/>
  <c r="AH156" i="27"/>
  <c r="AL156" i="27" s="1"/>
  <c r="AG156" i="27"/>
  <c r="AK156" i="27" s="1"/>
  <c r="S156" i="27"/>
  <c r="Q156" i="27"/>
  <c r="K156" i="27"/>
  <c r="J156" i="27"/>
  <c r="I156" i="27"/>
  <c r="H156" i="27"/>
  <c r="F156" i="27"/>
  <c r="E156" i="27"/>
  <c r="AJ155" i="27"/>
  <c r="AI155" i="27"/>
  <c r="AH155" i="27"/>
  <c r="AL155" i="27" s="1"/>
  <c r="AG155" i="27"/>
  <c r="AK155" i="27" s="1"/>
  <c r="S155" i="27"/>
  <c r="Q155" i="27"/>
  <c r="K155" i="27"/>
  <c r="J155" i="27"/>
  <c r="I155" i="27"/>
  <c r="H155" i="27"/>
  <c r="F155" i="27"/>
  <c r="E155" i="27"/>
  <c r="AJ154" i="27"/>
  <c r="AI154" i="27"/>
  <c r="AH154" i="27"/>
  <c r="AL154" i="27" s="1"/>
  <c r="AG154" i="27"/>
  <c r="AK154" i="27" s="1"/>
  <c r="S154" i="27"/>
  <c r="Q154" i="27"/>
  <c r="K154" i="27"/>
  <c r="J154" i="27"/>
  <c r="I154" i="27"/>
  <c r="H154" i="27"/>
  <c r="F154" i="27"/>
  <c r="E154" i="27"/>
  <c r="AJ153" i="27"/>
  <c r="AI153" i="27"/>
  <c r="AH153" i="27"/>
  <c r="AL153" i="27" s="1"/>
  <c r="AG153" i="27"/>
  <c r="AK153" i="27" s="1"/>
  <c r="S153" i="27"/>
  <c r="Q153" i="27"/>
  <c r="K153" i="27"/>
  <c r="J153" i="27"/>
  <c r="I153" i="27"/>
  <c r="H153" i="27"/>
  <c r="F153" i="27"/>
  <c r="E153" i="27"/>
  <c r="AJ152" i="27"/>
  <c r="AI152" i="27"/>
  <c r="AH152" i="27"/>
  <c r="AL152" i="27" s="1"/>
  <c r="AG152" i="27"/>
  <c r="AK152" i="27" s="1"/>
  <c r="S152" i="27"/>
  <c r="Q152" i="27"/>
  <c r="K152" i="27"/>
  <c r="J152" i="27"/>
  <c r="I152" i="27"/>
  <c r="H152" i="27"/>
  <c r="F152" i="27"/>
  <c r="E152" i="27"/>
  <c r="AJ151" i="27"/>
  <c r="AI151" i="27"/>
  <c r="AH151" i="27"/>
  <c r="AL151" i="27" s="1"/>
  <c r="AG151" i="27"/>
  <c r="AK151" i="27" s="1"/>
  <c r="S151" i="27"/>
  <c r="Q151" i="27"/>
  <c r="J151" i="27"/>
  <c r="I151" i="27"/>
  <c r="H151" i="27"/>
  <c r="F151" i="27"/>
  <c r="E151" i="27"/>
  <c r="AJ150" i="27"/>
  <c r="AI150" i="27"/>
  <c r="AH150" i="27"/>
  <c r="AL150" i="27" s="1"/>
  <c r="AG150" i="27"/>
  <c r="AK150" i="27" s="1"/>
  <c r="S150" i="27"/>
  <c r="Q150" i="27"/>
  <c r="J150" i="27"/>
  <c r="I150" i="27"/>
  <c r="H150" i="27"/>
  <c r="F150" i="27"/>
  <c r="E150" i="27"/>
  <c r="AJ149" i="27"/>
  <c r="AI149" i="27"/>
  <c r="AH149" i="27"/>
  <c r="AL149" i="27" s="1"/>
  <c r="AG149" i="27"/>
  <c r="AK149" i="27" s="1"/>
  <c r="S149" i="27"/>
  <c r="Q149" i="27"/>
  <c r="K149" i="27"/>
  <c r="J149" i="27"/>
  <c r="I149" i="27"/>
  <c r="H149" i="27"/>
  <c r="F149" i="27"/>
  <c r="E149" i="27"/>
  <c r="AJ148" i="27"/>
  <c r="AI148" i="27"/>
  <c r="AH148" i="27"/>
  <c r="AL148" i="27" s="1"/>
  <c r="AG148" i="27"/>
  <c r="AK148" i="27" s="1"/>
  <c r="S148" i="27"/>
  <c r="Q148" i="27"/>
  <c r="K148" i="27"/>
  <c r="J148" i="27"/>
  <c r="I148" i="27"/>
  <c r="H148" i="27"/>
  <c r="F148" i="27"/>
  <c r="E148" i="27"/>
  <c r="AJ147" i="27"/>
  <c r="AI147" i="27"/>
  <c r="AH147" i="27"/>
  <c r="AL147" i="27" s="1"/>
  <c r="AG147" i="27"/>
  <c r="AK147" i="27" s="1"/>
  <c r="S147" i="27"/>
  <c r="Q147" i="27"/>
  <c r="K147" i="27"/>
  <c r="J147" i="27"/>
  <c r="I147" i="27"/>
  <c r="H147" i="27"/>
  <c r="F147" i="27"/>
  <c r="E147" i="27"/>
  <c r="AJ146" i="27"/>
  <c r="AI146" i="27"/>
  <c r="AH146" i="27"/>
  <c r="AL146" i="27" s="1"/>
  <c r="AG146" i="27"/>
  <c r="AK146" i="27" s="1"/>
  <c r="S146" i="27"/>
  <c r="Q146" i="27"/>
  <c r="K146" i="27"/>
  <c r="J146" i="27"/>
  <c r="I146" i="27"/>
  <c r="H146" i="27"/>
  <c r="F146" i="27"/>
  <c r="E146" i="27"/>
  <c r="AJ145" i="27"/>
  <c r="AI145" i="27"/>
  <c r="AH145" i="27"/>
  <c r="AL145" i="27" s="1"/>
  <c r="AG145" i="27"/>
  <c r="AK145" i="27" s="1"/>
  <c r="S145" i="27"/>
  <c r="Q145" i="27"/>
  <c r="K145" i="27"/>
  <c r="J145" i="27"/>
  <c r="I145" i="27"/>
  <c r="H145" i="27"/>
  <c r="F145" i="27"/>
  <c r="E145" i="27"/>
  <c r="AJ144" i="27"/>
  <c r="AI144" i="27"/>
  <c r="AH144" i="27"/>
  <c r="AL144" i="27" s="1"/>
  <c r="AG144" i="27"/>
  <c r="AK144" i="27" s="1"/>
  <c r="S144" i="27"/>
  <c r="Q144" i="27"/>
  <c r="J144" i="27"/>
  <c r="I144" i="27"/>
  <c r="H144" i="27"/>
  <c r="F144" i="27"/>
  <c r="E144" i="27"/>
  <c r="AJ143" i="27"/>
  <c r="AI143" i="27"/>
  <c r="AH143" i="27"/>
  <c r="AL143" i="27" s="1"/>
  <c r="AG143" i="27"/>
  <c r="AK143" i="27" s="1"/>
  <c r="S143" i="27"/>
  <c r="Q143" i="27"/>
  <c r="K143" i="27"/>
  <c r="J143" i="27"/>
  <c r="I143" i="27"/>
  <c r="H143" i="27"/>
  <c r="F143" i="27"/>
  <c r="E143" i="27"/>
  <c r="AJ142" i="27"/>
  <c r="AI142" i="27"/>
  <c r="AH142" i="27"/>
  <c r="AL142" i="27" s="1"/>
  <c r="AG142" i="27"/>
  <c r="AK142" i="27" s="1"/>
  <c r="S142" i="27"/>
  <c r="Q142" i="27"/>
  <c r="K142" i="27"/>
  <c r="J142" i="27"/>
  <c r="I142" i="27"/>
  <c r="H142" i="27"/>
  <c r="F142" i="27"/>
  <c r="E142" i="27"/>
  <c r="AJ141" i="27"/>
  <c r="AI141" i="27"/>
  <c r="AH141" i="27"/>
  <c r="AL141" i="27" s="1"/>
  <c r="AG141" i="27"/>
  <c r="AK141" i="27" s="1"/>
  <c r="S141" i="27"/>
  <c r="Q141" i="27"/>
  <c r="K141" i="27"/>
  <c r="J141" i="27"/>
  <c r="I141" i="27"/>
  <c r="H141" i="27"/>
  <c r="F141" i="27"/>
  <c r="E141" i="27"/>
  <c r="AJ140" i="27"/>
  <c r="AI140" i="27"/>
  <c r="AH140" i="27"/>
  <c r="AL140" i="27" s="1"/>
  <c r="AG140" i="27"/>
  <c r="AK140" i="27" s="1"/>
  <c r="S140" i="27"/>
  <c r="Q140" i="27"/>
  <c r="K140" i="27"/>
  <c r="J140" i="27"/>
  <c r="I140" i="27"/>
  <c r="H140" i="27"/>
  <c r="F140" i="27"/>
  <c r="E140" i="27"/>
  <c r="AJ139" i="27"/>
  <c r="AI139" i="27"/>
  <c r="AH139" i="27"/>
  <c r="AL139" i="27" s="1"/>
  <c r="AG139" i="27"/>
  <c r="AK139" i="27" s="1"/>
  <c r="S139" i="27"/>
  <c r="Q139" i="27"/>
  <c r="K139" i="27"/>
  <c r="J139" i="27"/>
  <c r="I139" i="27"/>
  <c r="H139" i="27"/>
  <c r="F139" i="27"/>
  <c r="E139" i="27"/>
  <c r="AJ138" i="27"/>
  <c r="AI138" i="27"/>
  <c r="AH138" i="27"/>
  <c r="AL138" i="27" s="1"/>
  <c r="AG138" i="27"/>
  <c r="AK138" i="27" s="1"/>
  <c r="S138" i="27"/>
  <c r="Q138" i="27"/>
  <c r="K138" i="27"/>
  <c r="J138" i="27"/>
  <c r="I138" i="27"/>
  <c r="H138" i="27"/>
  <c r="F138" i="27"/>
  <c r="E138" i="27"/>
  <c r="AJ137" i="27"/>
  <c r="AI137" i="27"/>
  <c r="AH137" i="27"/>
  <c r="AL137" i="27" s="1"/>
  <c r="AG137" i="27"/>
  <c r="AK137" i="27" s="1"/>
  <c r="S137" i="27"/>
  <c r="Q137" i="27"/>
  <c r="K137" i="27"/>
  <c r="J137" i="27"/>
  <c r="I137" i="27"/>
  <c r="H137" i="27"/>
  <c r="F137" i="27"/>
  <c r="E137" i="27"/>
  <c r="AJ136" i="27"/>
  <c r="AI136" i="27"/>
  <c r="AH136" i="27"/>
  <c r="AL136" i="27" s="1"/>
  <c r="AG136" i="27"/>
  <c r="AK136" i="27" s="1"/>
  <c r="S136" i="27"/>
  <c r="Q136" i="27"/>
  <c r="K136" i="27"/>
  <c r="J136" i="27"/>
  <c r="I136" i="27"/>
  <c r="H136" i="27"/>
  <c r="F136" i="27"/>
  <c r="E136" i="27"/>
  <c r="AJ135" i="27"/>
  <c r="AI135" i="27"/>
  <c r="AH135" i="27"/>
  <c r="AL135" i="27" s="1"/>
  <c r="AG135" i="27"/>
  <c r="AK135" i="27" s="1"/>
  <c r="S135" i="27"/>
  <c r="Q135" i="27"/>
  <c r="K135" i="27"/>
  <c r="J135" i="27"/>
  <c r="I135" i="27"/>
  <c r="H135" i="27"/>
  <c r="F135" i="27"/>
  <c r="E135" i="27"/>
  <c r="AJ134" i="27"/>
  <c r="AI134" i="27"/>
  <c r="AH134" i="27"/>
  <c r="AL134" i="27" s="1"/>
  <c r="AG134" i="27"/>
  <c r="AK134" i="27" s="1"/>
  <c r="S134" i="27"/>
  <c r="Q134" i="27"/>
  <c r="K134" i="27"/>
  <c r="J134" i="27"/>
  <c r="I134" i="27"/>
  <c r="H134" i="27"/>
  <c r="F134" i="27"/>
  <c r="E134" i="27"/>
  <c r="AJ133" i="27"/>
  <c r="AI133" i="27"/>
  <c r="AH133" i="27"/>
  <c r="AL133" i="27" s="1"/>
  <c r="AG133" i="27"/>
  <c r="AK133" i="27" s="1"/>
  <c r="S133" i="27"/>
  <c r="Q133" i="27"/>
  <c r="K133" i="27"/>
  <c r="J133" i="27"/>
  <c r="I133" i="27"/>
  <c r="H133" i="27"/>
  <c r="F133" i="27"/>
  <c r="E133" i="27"/>
  <c r="AJ132" i="27"/>
  <c r="AI132" i="27"/>
  <c r="AH132" i="27"/>
  <c r="AL132" i="27" s="1"/>
  <c r="AG132" i="27"/>
  <c r="AK132" i="27" s="1"/>
  <c r="S132" i="27"/>
  <c r="Q132" i="27"/>
  <c r="K132" i="27"/>
  <c r="J132" i="27"/>
  <c r="I132" i="27"/>
  <c r="H132" i="27"/>
  <c r="F132" i="27"/>
  <c r="E132" i="27"/>
  <c r="AI131" i="27"/>
  <c r="AH131" i="27"/>
  <c r="AL131" i="27" s="1"/>
  <c r="AG131" i="27"/>
  <c r="AK131" i="27" s="1"/>
  <c r="S131" i="27"/>
  <c r="Q131" i="27"/>
  <c r="K131" i="27"/>
  <c r="J131" i="27"/>
  <c r="I131" i="27"/>
  <c r="H131" i="27"/>
  <c r="F131" i="27"/>
  <c r="E131" i="27"/>
  <c r="AJ130" i="27"/>
  <c r="AI130" i="27"/>
  <c r="AH130" i="27"/>
  <c r="AL130" i="27" s="1"/>
  <c r="AG130" i="27"/>
  <c r="AK130" i="27" s="1"/>
  <c r="S130" i="27"/>
  <c r="Q130" i="27"/>
  <c r="K130" i="27"/>
  <c r="J130" i="27"/>
  <c r="I130" i="27"/>
  <c r="H130" i="27"/>
  <c r="F130" i="27"/>
  <c r="E130" i="27"/>
  <c r="AJ129" i="27"/>
  <c r="AI129" i="27"/>
  <c r="AH129" i="27"/>
  <c r="AL129" i="27" s="1"/>
  <c r="AG129" i="27"/>
  <c r="AK129" i="27" s="1"/>
  <c r="S129" i="27"/>
  <c r="Q129" i="27"/>
  <c r="K129" i="27"/>
  <c r="J129" i="27"/>
  <c r="I129" i="27"/>
  <c r="H129" i="27"/>
  <c r="F129" i="27"/>
  <c r="E129" i="27"/>
  <c r="AJ128" i="27"/>
  <c r="AI128" i="27"/>
  <c r="AH128" i="27"/>
  <c r="AL128" i="27" s="1"/>
  <c r="AG128" i="27"/>
  <c r="AK128" i="27" s="1"/>
  <c r="S128" i="27"/>
  <c r="Q128" i="27"/>
  <c r="J128" i="27"/>
  <c r="I128" i="27"/>
  <c r="H128" i="27"/>
  <c r="F128" i="27"/>
  <c r="E128" i="27"/>
  <c r="AJ127" i="27"/>
  <c r="AI127" i="27"/>
  <c r="AH127" i="27"/>
  <c r="AL127" i="27" s="1"/>
  <c r="AG127" i="27"/>
  <c r="AK127" i="27" s="1"/>
  <c r="S127" i="27"/>
  <c r="Q127" i="27"/>
  <c r="J127" i="27"/>
  <c r="I127" i="27"/>
  <c r="H127" i="27"/>
  <c r="F127" i="27"/>
  <c r="E127" i="27"/>
  <c r="AI126" i="27"/>
  <c r="AH126" i="27"/>
  <c r="AL126" i="27" s="1"/>
  <c r="AG126" i="27"/>
  <c r="AK126" i="27" s="1"/>
  <c r="S126" i="27"/>
  <c r="Q126" i="27"/>
  <c r="J126" i="27"/>
  <c r="I126" i="27"/>
  <c r="H126" i="27"/>
  <c r="F126" i="27"/>
  <c r="E126" i="27"/>
  <c r="AJ125" i="27"/>
  <c r="AI125" i="27"/>
  <c r="AH125" i="27"/>
  <c r="AL125" i="27" s="1"/>
  <c r="AG125" i="27"/>
  <c r="AK125" i="27" s="1"/>
  <c r="S125" i="27"/>
  <c r="Q125" i="27"/>
  <c r="K125" i="27"/>
  <c r="J125" i="27"/>
  <c r="I125" i="27"/>
  <c r="H125" i="27"/>
  <c r="F125" i="27"/>
  <c r="E125" i="27"/>
  <c r="AJ124" i="27"/>
  <c r="AI124" i="27"/>
  <c r="AH124" i="27"/>
  <c r="AL124" i="27" s="1"/>
  <c r="AG124" i="27"/>
  <c r="AK124" i="27" s="1"/>
  <c r="S124" i="27"/>
  <c r="Q124" i="27"/>
  <c r="K124" i="27"/>
  <c r="J124" i="27"/>
  <c r="I124" i="27"/>
  <c r="H124" i="27"/>
  <c r="F124" i="27"/>
  <c r="E124" i="27"/>
  <c r="AI123" i="27"/>
  <c r="AH123" i="27"/>
  <c r="AL123" i="27" s="1"/>
  <c r="AG123" i="27"/>
  <c r="AK123" i="27" s="1"/>
  <c r="S123" i="27"/>
  <c r="Q123" i="27"/>
  <c r="K123" i="27"/>
  <c r="J123" i="27"/>
  <c r="I123" i="27"/>
  <c r="H123" i="27"/>
  <c r="F123" i="27"/>
  <c r="E123" i="27"/>
  <c r="AI122" i="27"/>
  <c r="AH122" i="27"/>
  <c r="AL122" i="27" s="1"/>
  <c r="AG122" i="27"/>
  <c r="AK122" i="27" s="1"/>
  <c r="S122" i="27"/>
  <c r="Q122" i="27"/>
  <c r="J122" i="27"/>
  <c r="I122" i="27"/>
  <c r="H122" i="27"/>
  <c r="F122" i="27"/>
  <c r="E122" i="27"/>
  <c r="AJ121" i="27"/>
  <c r="AI121" i="27"/>
  <c r="AH121" i="27"/>
  <c r="AL121" i="27" s="1"/>
  <c r="AG121" i="27"/>
  <c r="AK121" i="27" s="1"/>
  <c r="S121" i="27"/>
  <c r="Q121" i="27"/>
  <c r="K121" i="27"/>
  <c r="J121" i="27"/>
  <c r="I121" i="27"/>
  <c r="H121" i="27"/>
  <c r="F121" i="27"/>
  <c r="E121" i="27"/>
  <c r="AJ120" i="27"/>
  <c r="AI120" i="27"/>
  <c r="AH120" i="27"/>
  <c r="AL120" i="27" s="1"/>
  <c r="AG120" i="27"/>
  <c r="AK120" i="27" s="1"/>
  <c r="S120" i="27"/>
  <c r="Q120" i="27"/>
  <c r="K120" i="27"/>
  <c r="J120" i="27"/>
  <c r="I120" i="27"/>
  <c r="H120" i="27"/>
  <c r="F120" i="27"/>
  <c r="E120" i="27"/>
  <c r="AI119" i="27"/>
  <c r="AH119" i="27"/>
  <c r="AL119" i="27" s="1"/>
  <c r="AG119" i="27"/>
  <c r="AK119" i="27" s="1"/>
  <c r="S119" i="27"/>
  <c r="Q119" i="27"/>
  <c r="K119" i="27"/>
  <c r="J119" i="27"/>
  <c r="I119" i="27"/>
  <c r="H119" i="27"/>
  <c r="F119" i="27"/>
  <c r="E119" i="27"/>
  <c r="AJ118" i="27"/>
  <c r="AI118" i="27"/>
  <c r="AH118" i="27"/>
  <c r="AL118" i="27" s="1"/>
  <c r="AG118" i="27"/>
  <c r="AK118" i="27" s="1"/>
  <c r="S118" i="27"/>
  <c r="Q118" i="27"/>
  <c r="K118" i="27"/>
  <c r="J118" i="27"/>
  <c r="I118" i="27"/>
  <c r="H118" i="27"/>
  <c r="F118" i="27"/>
  <c r="E118" i="27"/>
  <c r="AJ117" i="27"/>
  <c r="AI117" i="27"/>
  <c r="AH117" i="27"/>
  <c r="AL117" i="27" s="1"/>
  <c r="AG117" i="27"/>
  <c r="AK117" i="27" s="1"/>
  <c r="S117" i="27"/>
  <c r="Q117" i="27"/>
  <c r="K117" i="27"/>
  <c r="J117" i="27"/>
  <c r="I117" i="27"/>
  <c r="H117" i="27"/>
  <c r="F117" i="27"/>
  <c r="E117" i="27"/>
  <c r="AI116" i="27"/>
  <c r="AH116" i="27"/>
  <c r="AL116" i="27" s="1"/>
  <c r="AG116" i="27"/>
  <c r="AK116" i="27" s="1"/>
  <c r="S116" i="27"/>
  <c r="Q116" i="27"/>
  <c r="K116" i="27"/>
  <c r="J116" i="27"/>
  <c r="I116" i="27"/>
  <c r="H116" i="27"/>
  <c r="F116" i="27"/>
  <c r="E116" i="27"/>
  <c r="AJ115" i="27"/>
  <c r="AI115" i="27"/>
  <c r="AH115" i="27"/>
  <c r="AL115" i="27" s="1"/>
  <c r="AG115" i="27"/>
  <c r="AK115" i="27" s="1"/>
  <c r="S115" i="27"/>
  <c r="Q115" i="27"/>
  <c r="K115" i="27"/>
  <c r="J115" i="27"/>
  <c r="I115" i="27"/>
  <c r="H115" i="27"/>
  <c r="F115" i="27"/>
  <c r="E115" i="27"/>
  <c r="AJ114" i="27"/>
  <c r="AI114" i="27"/>
  <c r="AH114" i="27"/>
  <c r="AL114" i="27" s="1"/>
  <c r="AG114" i="27"/>
  <c r="AK114" i="27" s="1"/>
  <c r="S114" i="27"/>
  <c r="Q114" i="27"/>
  <c r="K114" i="27"/>
  <c r="J114" i="27"/>
  <c r="I114" i="27"/>
  <c r="H114" i="27"/>
  <c r="F114" i="27"/>
  <c r="E114" i="27"/>
  <c r="AJ113" i="27"/>
  <c r="AI113" i="27"/>
  <c r="AH113" i="27"/>
  <c r="AL113" i="27" s="1"/>
  <c r="AG113" i="27"/>
  <c r="AK113" i="27" s="1"/>
  <c r="S113" i="27"/>
  <c r="Q113" i="27"/>
  <c r="K113" i="27"/>
  <c r="J113" i="27"/>
  <c r="I113" i="27"/>
  <c r="H113" i="27"/>
  <c r="F113" i="27"/>
  <c r="E113" i="27"/>
  <c r="AJ112" i="27"/>
  <c r="AI112" i="27"/>
  <c r="AH112" i="27"/>
  <c r="AL112" i="27" s="1"/>
  <c r="AG112" i="27"/>
  <c r="AK112" i="27" s="1"/>
  <c r="S112" i="27"/>
  <c r="Q112" i="27"/>
  <c r="K112" i="27"/>
  <c r="J112" i="27"/>
  <c r="I112" i="27"/>
  <c r="H112" i="27"/>
  <c r="F112" i="27"/>
  <c r="E112" i="27"/>
  <c r="AJ111" i="27"/>
  <c r="AI111" i="27"/>
  <c r="AH111" i="27"/>
  <c r="AL111" i="27" s="1"/>
  <c r="AG111" i="27"/>
  <c r="AK111" i="27" s="1"/>
  <c r="S111" i="27"/>
  <c r="Q111" i="27"/>
  <c r="K111" i="27"/>
  <c r="J111" i="27"/>
  <c r="I111" i="27"/>
  <c r="H111" i="27"/>
  <c r="F111" i="27"/>
  <c r="E111" i="27"/>
  <c r="AJ110" i="27"/>
  <c r="AI110" i="27"/>
  <c r="AH110" i="27"/>
  <c r="AL110" i="27" s="1"/>
  <c r="AG110" i="27"/>
  <c r="AK110" i="27" s="1"/>
  <c r="S110" i="27"/>
  <c r="Q110" i="27"/>
  <c r="K110" i="27"/>
  <c r="J110" i="27"/>
  <c r="I110" i="27"/>
  <c r="H110" i="27"/>
  <c r="F110" i="27"/>
  <c r="E110" i="27"/>
  <c r="AJ109" i="27"/>
  <c r="AI109" i="27"/>
  <c r="AH109" i="27"/>
  <c r="AL109" i="27" s="1"/>
  <c r="AG109" i="27"/>
  <c r="AK109" i="27" s="1"/>
  <c r="S109" i="27"/>
  <c r="Q109" i="27"/>
  <c r="K109" i="27"/>
  <c r="J109" i="27"/>
  <c r="I109" i="27"/>
  <c r="H109" i="27"/>
  <c r="F109" i="27"/>
  <c r="E109" i="27"/>
  <c r="AJ108" i="27"/>
  <c r="AI108" i="27"/>
  <c r="AH108" i="27"/>
  <c r="AL108" i="27" s="1"/>
  <c r="AG108" i="27"/>
  <c r="AK108" i="27" s="1"/>
  <c r="S108" i="27"/>
  <c r="Q108" i="27"/>
  <c r="K108" i="27"/>
  <c r="J108" i="27"/>
  <c r="I108" i="27"/>
  <c r="H108" i="27"/>
  <c r="F108" i="27"/>
  <c r="E108" i="27"/>
  <c r="AJ107" i="27"/>
  <c r="AI107" i="27"/>
  <c r="AH107" i="27"/>
  <c r="AL107" i="27" s="1"/>
  <c r="AG107" i="27"/>
  <c r="AK107" i="27" s="1"/>
  <c r="S107" i="27"/>
  <c r="Q107" i="27"/>
  <c r="K107" i="27"/>
  <c r="J107" i="27"/>
  <c r="I107" i="27"/>
  <c r="H107" i="27"/>
  <c r="F107" i="27"/>
  <c r="E107" i="27"/>
  <c r="AJ106" i="27"/>
  <c r="AI106" i="27"/>
  <c r="AH106" i="27"/>
  <c r="AL106" i="27" s="1"/>
  <c r="AG106" i="27"/>
  <c r="AK106" i="27" s="1"/>
  <c r="S106" i="27"/>
  <c r="Q106" i="27"/>
  <c r="K106" i="27"/>
  <c r="J106" i="27"/>
  <c r="I106" i="27"/>
  <c r="H106" i="27"/>
  <c r="F106" i="27"/>
  <c r="E106" i="27"/>
  <c r="AJ105" i="27"/>
  <c r="AI105" i="27"/>
  <c r="AH105" i="27"/>
  <c r="AL105" i="27" s="1"/>
  <c r="AG105" i="27"/>
  <c r="AK105" i="27" s="1"/>
  <c r="S105" i="27"/>
  <c r="Q105" i="27"/>
  <c r="K105" i="27"/>
  <c r="J105" i="27"/>
  <c r="I105" i="27"/>
  <c r="H105" i="27"/>
  <c r="F105" i="27"/>
  <c r="E105" i="27"/>
  <c r="AJ104" i="27"/>
  <c r="AI104" i="27"/>
  <c r="AH104" i="27"/>
  <c r="AL104" i="27" s="1"/>
  <c r="AG104" i="27"/>
  <c r="AK104" i="27" s="1"/>
  <c r="S104" i="27"/>
  <c r="Q104" i="27"/>
  <c r="K104" i="27"/>
  <c r="J104" i="27"/>
  <c r="I104" i="27"/>
  <c r="H104" i="27"/>
  <c r="F104" i="27"/>
  <c r="E104" i="27"/>
  <c r="AJ103" i="27"/>
  <c r="AI103" i="27"/>
  <c r="AH103" i="27"/>
  <c r="AL103" i="27" s="1"/>
  <c r="AG103" i="27"/>
  <c r="AK103" i="27" s="1"/>
  <c r="S103" i="27"/>
  <c r="Q103" i="27"/>
  <c r="K103" i="27"/>
  <c r="J103" i="27"/>
  <c r="I103" i="27"/>
  <c r="H103" i="27"/>
  <c r="F103" i="27"/>
  <c r="E103" i="27"/>
  <c r="AJ102" i="27"/>
  <c r="AI102" i="27"/>
  <c r="AH102" i="27"/>
  <c r="AL102" i="27" s="1"/>
  <c r="AG102" i="27"/>
  <c r="AK102" i="27" s="1"/>
  <c r="S102" i="27"/>
  <c r="Q102" i="27"/>
  <c r="K102" i="27"/>
  <c r="J102" i="27"/>
  <c r="I102" i="27"/>
  <c r="H102" i="27"/>
  <c r="F102" i="27"/>
  <c r="E102" i="27"/>
  <c r="AJ101" i="27"/>
  <c r="AI101" i="27"/>
  <c r="AH101" i="27"/>
  <c r="AL101" i="27" s="1"/>
  <c r="AG101" i="27"/>
  <c r="AK101" i="27" s="1"/>
  <c r="S101" i="27"/>
  <c r="Q101" i="27"/>
  <c r="K101" i="27"/>
  <c r="J101" i="27"/>
  <c r="I101" i="27"/>
  <c r="H101" i="27"/>
  <c r="F101" i="27"/>
  <c r="E101" i="27"/>
  <c r="AJ100" i="27"/>
  <c r="AI100" i="27"/>
  <c r="AH100" i="27"/>
  <c r="AL100" i="27" s="1"/>
  <c r="AG100" i="27"/>
  <c r="AK100" i="27" s="1"/>
  <c r="S100" i="27"/>
  <c r="Q100" i="27"/>
  <c r="K100" i="27"/>
  <c r="J100" i="27"/>
  <c r="I100" i="27"/>
  <c r="H100" i="27"/>
  <c r="F100" i="27"/>
  <c r="E100" i="27"/>
  <c r="AI99" i="27"/>
  <c r="AH99" i="27"/>
  <c r="AL99" i="27" s="1"/>
  <c r="AG99" i="27"/>
  <c r="AK99" i="27" s="1"/>
  <c r="S99" i="27"/>
  <c r="Q99" i="27"/>
  <c r="K99" i="27"/>
  <c r="J99" i="27"/>
  <c r="I99" i="27"/>
  <c r="H99" i="27"/>
  <c r="F99" i="27"/>
  <c r="E99" i="27"/>
  <c r="AJ98" i="27"/>
  <c r="AI98" i="27"/>
  <c r="AH98" i="27"/>
  <c r="AL98" i="27" s="1"/>
  <c r="AG98" i="27"/>
  <c r="AK98" i="27" s="1"/>
  <c r="S98" i="27"/>
  <c r="Q98" i="27"/>
  <c r="K98" i="27"/>
  <c r="J98" i="27"/>
  <c r="I98" i="27"/>
  <c r="H98" i="27"/>
  <c r="F98" i="27"/>
  <c r="E98" i="27"/>
  <c r="AJ97" i="27"/>
  <c r="AI97" i="27"/>
  <c r="AH97" i="27"/>
  <c r="AL97" i="27" s="1"/>
  <c r="AG97" i="27"/>
  <c r="AK97" i="27" s="1"/>
  <c r="S97" i="27"/>
  <c r="Q97" i="27"/>
  <c r="J97" i="27"/>
  <c r="I97" i="27"/>
  <c r="H97" i="27"/>
  <c r="F97" i="27"/>
  <c r="E97" i="27"/>
  <c r="AI96" i="27"/>
  <c r="AH96" i="27"/>
  <c r="AL96" i="27" s="1"/>
  <c r="AG96" i="27"/>
  <c r="AK96" i="27" s="1"/>
  <c r="S96" i="27"/>
  <c r="Q96" i="27"/>
  <c r="K96" i="27"/>
  <c r="J96" i="27"/>
  <c r="I96" i="27"/>
  <c r="H96" i="27"/>
  <c r="F96" i="27"/>
  <c r="E96" i="27"/>
  <c r="AJ95" i="27"/>
  <c r="AI95" i="27"/>
  <c r="AH95" i="27"/>
  <c r="AL95" i="27" s="1"/>
  <c r="AG95" i="27"/>
  <c r="AK95" i="27" s="1"/>
  <c r="S95" i="27"/>
  <c r="Q95" i="27"/>
  <c r="K95" i="27"/>
  <c r="J95" i="27"/>
  <c r="I95" i="27"/>
  <c r="H95" i="27"/>
  <c r="F95" i="27"/>
  <c r="E95" i="27"/>
  <c r="AJ94" i="27"/>
  <c r="AI94" i="27"/>
  <c r="AH94" i="27"/>
  <c r="AL94" i="27" s="1"/>
  <c r="AG94" i="27"/>
  <c r="AK94" i="27" s="1"/>
  <c r="S94" i="27"/>
  <c r="Q94" i="27"/>
  <c r="K94" i="27"/>
  <c r="J94" i="27"/>
  <c r="I94" i="27"/>
  <c r="H94" i="27"/>
  <c r="F94" i="27"/>
  <c r="E94" i="27"/>
  <c r="AJ93" i="27"/>
  <c r="AI93" i="27"/>
  <c r="AH93" i="27"/>
  <c r="AL93" i="27" s="1"/>
  <c r="AG93" i="27"/>
  <c r="AK93" i="27" s="1"/>
  <c r="S93" i="27"/>
  <c r="Q93" i="27"/>
  <c r="K93" i="27"/>
  <c r="J93" i="27"/>
  <c r="I93" i="27"/>
  <c r="H93" i="27"/>
  <c r="F93" i="27"/>
  <c r="E93" i="27"/>
  <c r="AJ92" i="27"/>
  <c r="AI92" i="27"/>
  <c r="AH92" i="27"/>
  <c r="AL92" i="27" s="1"/>
  <c r="AG92" i="27"/>
  <c r="AK92" i="27" s="1"/>
  <c r="S92" i="27"/>
  <c r="Q92" i="27"/>
  <c r="J92" i="27"/>
  <c r="I92" i="27"/>
  <c r="H92" i="27"/>
  <c r="F92" i="27"/>
  <c r="E92" i="27"/>
  <c r="AJ91" i="27"/>
  <c r="AI91" i="27"/>
  <c r="AH91" i="27"/>
  <c r="AL91" i="27" s="1"/>
  <c r="AG91" i="27"/>
  <c r="AK91" i="27" s="1"/>
  <c r="S91" i="27"/>
  <c r="Q91" i="27"/>
  <c r="K91" i="27"/>
  <c r="J91" i="27"/>
  <c r="I91" i="27"/>
  <c r="H91" i="27"/>
  <c r="F91" i="27"/>
  <c r="E91" i="27"/>
  <c r="AJ90" i="27"/>
  <c r="AI90" i="27"/>
  <c r="AH90" i="27"/>
  <c r="AL90" i="27" s="1"/>
  <c r="AG90" i="27"/>
  <c r="AK90" i="27" s="1"/>
  <c r="S90" i="27"/>
  <c r="Q90" i="27"/>
  <c r="K90" i="27"/>
  <c r="J90" i="27"/>
  <c r="I90" i="27"/>
  <c r="H90" i="27"/>
  <c r="F90" i="27"/>
  <c r="E90" i="27"/>
  <c r="AJ89" i="27"/>
  <c r="AI89" i="27"/>
  <c r="AH89" i="27"/>
  <c r="AL89" i="27" s="1"/>
  <c r="AG89" i="27"/>
  <c r="AK89" i="27" s="1"/>
  <c r="S89" i="27"/>
  <c r="Q89" i="27"/>
  <c r="J89" i="27"/>
  <c r="I89" i="27"/>
  <c r="H89" i="27"/>
  <c r="F89" i="27"/>
  <c r="E89" i="27"/>
  <c r="AJ88" i="27"/>
  <c r="AI88" i="27"/>
  <c r="AH88" i="27"/>
  <c r="AL88" i="27" s="1"/>
  <c r="AG88" i="27"/>
  <c r="AK88" i="27" s="1"/>
  <c r="S88" i="27"/>
  <c r="Q88" i="27"/>
  <c r="J88" i="27"/>
  <c r="I88" i="27"/>
  <c r="H88" i="27"/>
  <c r="F88" i="27"/>
  <c r="E88" i="27"/>
  <c r="AJ87" i="27"/>
  <c r="AI87" i="27"/>
  <c r="AH87" i="27"/>
  <c r="AL87" i="27" s="1"/>
  <c r="AG87" i="27"/>
  <c r="AK87" i="27" s="1"/>
  <c r="S87" i="27"/>
  <c r="Q87" i="27"/>
  <c r="K87" i="27"/>
  <c r="J87" i="27"/>
  <c r="I87" i="27"/>
  <c r="H87" i="27"/>
  <c r="F87" i="27"/>
  <c r="E87" i="27"/>
  <c r="AJ86" i="27"/>
  <c r="AI86" i="27"/>
  <c r="AH86" i="27"/>
  <c r="AL86" i="27" s="1"/>
  <c r="AG86" i="27"/>
  <c r="AK86" i="27" s="1"/>
  <c r="S86" i="27"/>
  <c r="Q86" i="27"/>
  <c r="K86" i="27"/>
  <c r="J86" i="27"/>
  <c r="I86" i="27"/>
  <c r="H86" i="27"/>
  <c r="F86" i="27"/>
  <c r="E86" i="27"/>
  <c r="AJ85" i="27"/>
  <c r="AI85" i="27"/>
  <c r="AH85" i="27"/>
  <c r="AL85" i="27" s="1"/>
  <c r="AG85" i="27"/>
  <c r="AK85" i="27" s="1"/>
  <c r="S85" i="27"/>
  <c r="Q85" i="27"/>
  <c r="J85" i="27"/>
  <c r="I85" i="27"/>
  <c r="H85" i="27"/>
  <c r="F85" i="27"/>
  <c r="E85" i="27"/>
  <c r="AJ84" i="27"/>
  <c r="AI84" i="27"/>
  <c r="AH84" i="27"/>
  <c r="AL84" i="27" s="1"/>
  <c r="AG84" i="27"/>
  <c r="AK84" i="27" s="1"/>
  <c r="S84" i="27"/>
  <c r="Q84" i="27"/>
  <c r="K84" i="27"/>
  <c r="J84" i="27"/>
  <c r="I84" i="27"/>
  <c r="H84" i="27"/>
  <c r="F84" i="27"/>
  <c r="E84" i="27"/>
  <c r="AJ83" i="27"/>
  <c r="AI83" i="27"/>
  <c r="AH83" i="27"/>
  <c r="AL83" i="27" s="1"/>
  <c r="AG83" i="27"/>
  <c r="AK83" i="27" s="1"/>
  <c r="S83" i="27"/>
  <c r="Q83" i="27"/>
  <c r="K83" i="27"/>
  <c r="J83" i="27"/>
  <c r="I83" i="27"/>
  <c r="H83" i="27"/>
  <c r="F83" i="27"/>
  <c r="E83" i="27"/>
  <c r="AJ82" i="27"/>
  <c r="AI82" i="27"/>
  <c r="AH82" i="27"/>
  <c r="AL82" i="27" s="1"/>
  <c r="AG82" i="27"/>
  <c r="AK82" i="27" s="1"/>
  <c r="S82" i="27"/>
  <c r="Q82" i="27"/>
  <c r="J82" i="27"/>
  <c r="I82" i="27"/>
  <c r="H82" i="27"/>
  <c r="F82" i="27"/>
  <c r="E82" i="27"/>
  <c r="AJ81" i="27"/>
  <c r="AI81" i="27"/>
  <c r="AH81" i="27"/>
  <c r="AL81" i="27" s="1"/>
  <c r="AG81" i="27"/>
  <c r="AK81" i="27" s="1"/>
  <c r="S81" i="27"/>
  <c r="Q81" i="27"/>
  <c r="K81" i="27"/>
  <c r="J81" i="27"/>
  <c r="I81" i="27"/>
  <c r="H81" i="27"/>
  <c r="F81" i="27"/>
  <c r="E81" i="27"/>
  <c r="AJ80" i="27"/>
  <c r="AI80" i="27"/>
  <c r="AH80" i="27"/>
  <c r="AL80" i="27" s="1"/>
  <c r="AG80" i="27"/>
  <c r="AK80" i="27" s="1"/>
  <c r="S80" i="27"/>
  <c r="Q80" i="27"/>
  <c r="K80" i="27"/>
  <c r="J80" i="27"/>
  <c r="I80" i="27"/>
  <c r="H80" i="27"/>
  <c r="F80" i="27"/>
  <c r="E80" i="27"/>
  <c r="AJ79" i="27"/>
  <c r="AI79" i="27"/>
  <c r="AH79" i="27"/>
  <c r="AL79" i="27" s="1"/>
  <c r="AG79" i="27"/>
  <c r="AK79" i="27" s="1"/>
  <c r="S79" i="27"/>
  <c r="Q79" i="27"/>
  <c r="K79" i="27"/>
  <c r="J79" i="27"/>
  <c r="I79" i="27"/>
  <c r="H79" i="27"/>
  <c r="F79" i="27"/>
  <c r="E79" i="27"/>
  <c r="AJ78" i="27"/>
  <c r="AI78" i="27"/>
  <c r="AH78" i="27"/>
  <c r="AL78" i="27" s="1"/>
  <c r="AG78" i="27"/>
  <c r="AK78" i="27" s="1"/>
  <c r="S78" i="27"/>
  <c r="Q78" i="27"/>
  <c r="K78" i="27"/>
  <c r="J78" i="27"/>
  <c r="I78" i="27"/>
  <c r="H78" i="27"/>
  <c r="F78" i="27"/>
  <c r="E78" i="27"/>
  <c r="AJ77" i="27"/>
  <c r="AI77" i="27"/>
  <c r="AH77" i="27"/>
  <c r="AL77" i="27" s="1"/>
  <c r="AG77" i="27"/>
  <c r="AK77" i="27" s="1"/>
  <c r="S77" i="27"/>
  <c r="Q77" i="27"/>
  <c r="K77" i="27"/>
  <c r="J77" i="27"/>
  <c r="I77" i="27"/>
  <c r="H77" i="27"/>
  <c r="F77" i="27"/>
  <c r="E77" i="27"/>
  <c r="AJ76" i="27"/>
  <c r="AI76" i="27"/>
  <c r="AH76" i="27"/>
  <c r="AL76" i="27" s="1"/>
  <c r="AG76" i="27"/>
  <c r="AK76" i="27" s="1"/>
  <c r="S76" i="27"/>
  <c r="Q76" i="27"/>
  <c r="K76" i="27"/>
  <c r="J76" i="27"/>
  <c r="I76" i="27"/>
  <c r="H76" i="27"/>
  <c r="F76" i="27"/>
  <c r="E76" i="27"/>
  <c r="AJ75" i="27"/>
  <c r="AI75" i="27"/>
  <c r="AH75" i="27"/>
  <c r="AL75" i="27" s="1"/>
  <c r="AG75" i="27"/>
  <c r="AK75" i="27" s="1"/>
  <c r="S75" i="27"/>
  <c r="Q75" i="27"/>
  <c r="K75" i="27"/>
  <c r="J75" i="27"/>
  <c r="I75" i="27"/>
  <c r="H75" i="27"/>
  <c r="F75" i="27"/>
  <c r="E75" i="27"/>
  <c r="AJ74" i="27"/>
  <c r="AI74" i="27"/>
  <c r="AH74" i="27"/>
  <c r="AL74" i="27" s="1"/>
  <c r="AG74" i="27"/>
  <c r="AK74" i="27" s="1"/>
  <c r="S74" i="27"/>
  <c r="Q74" i="27"/>
  <c r="K74" i="27"/>
  <c r="J74" i="27"/>
  <c r="I74" i="27"/>
  <c r="H74" i="27"/>
  <c r="F74" i="27"/>
  <c r="E74" i="27"/>
  <c r="AJ73" i="27"/>
  <c r="AI73" i="27"/>
  <c r="AH73" i="27"/>
  <c r="AL73" i="27" s="1"/>
  <c r="AG73" i="27"/>
  <c r="AK73" i="27" s="1"/>
  <c r="S73" i="27"/>
  <c r="Q73" i="27"/>
  <c r="K73" i="27"/>
  <c r="J73" i="27"/>
  <c r="I73" i="27"/>
  <c r="H73" i="27"/>
  <c r="F73" i="27"/>
  <c r="E73" i="27"/>
  <c r="AJ72" i="27"/>
  <c r="AI72" i="27"/>
  <c r="AH72" i="27"/>
  <c r="AL72" i="27" s="1"/>
  <c r="AG72" i="27"/>
  <c r="AK72" i="27" s="1"/>
  <c r="S72" i="27"/>
  <c r="Q72" i="27"/>
  <c r="K72" i="27"/>
  <c r="J72" i="27"/>
  <c r="I72" i="27"/>
  <c r="H72" i="27"/>
  <c r="F72" i="27"/>
  <c r="E72" i="27"/>
  <c r="AJ71" i="27"/>
  <c r="AI71" i="27"/>
  <c r="AH71" i="27"/>
  <c r="AL71" i="27" s="1"/>
  <c r="AG71" i="27"/>
  <c r="AK71" i="27" s="1"/>
  <c r="S71" i="27"/>
  <c r="Q71" i="27"/>
  <c r="K71" i="27"/>
  <c r="J71" i="27"/>
  <c r="I71" i="27"/>
  <c r="H71" i="27"/>
  <c r="F71" i="27"/>
  <c r="E71" i="27"/>
  <c r="AJ70" i="27"/>
  <c r="AI70" i="27"/>
  <c r="AH70" i="27"/>
  <c r="AL70" i="27" s="1"/>
  <c r="AG70" i="27"/>
  <c r="AK70" i="27" s="1"/>
  <c r="S70" i="27"/>
  <c r="Q70" i="27"/>
  <c r="K70" i="27"/>
  <c r="J70" i="27"/>
  <c r="I70" i="27"/>
  <c r="H70" i="27"/>
  <c r="F70" i="27"/>
  <c r="E70" i="27"/>
  <c r="AJ69" i="27"/>
  <c r="AI69" i="27"/>
  <c r="AH69" i="27"/>
  <c r="AL69" i="27" s="1"/>
  <c r="AG69" i="27"/>
  <c r="AK69" i="27" s="1"/>
  <c r="S69" i="27"/>
  <c r="Q69" i="27"/>
  <c r="K69" i="27"/>
  <c r="J69" i="27"/>
  <c r="I69" i="27"/>
  <c r="H69" i="27"/>
  <c r="F69" i="27"/>
  <c r="E69" i="27"/>
  <c r="AJ68" i="27"/>
  <c r="AI68" i="27"/>
  <c r="AH68" i="27"/>
  <c r="AL68" i="27" s="1"/>
  <c r="AG68" i="27"/>
  <c r="AK68" i="27" s="1"/>
  <c r="S68" i="27"/>
  <c r="Q68" i="27"/>
  <c r="K68" i="27"/>
  <c r="J68" i="27"/>
  <c r="I68" i="27"/>
  <c r="H68" i="27"/>
  <c r="F68" i="27"/>
  <c r="E68" i="27"/>
  <c r="AJ67" i="27"/>
  <c r="AI67" i="27"/>
  <c r="AH67" i="27"/>
  <c r="AL67" i="27" s="1"/>
  <c r="AG67" i="27"/>
  <c r="AK67" i="27" s="1"/>
  <c r="S67" i="27"/>
  <c r="Q67" i="27"/>
  <c r="K67" i="27"/>
  <c r="J67" i="27"/>
  <c r="I67" i="27"/>
  <c r="H67" i="27"/>
  <c r="F67" i="27"/>
  <c r="E67" i="27"/>
  <c r="AJ66" i="27"/>
  <c r="AI66" i="27"/>
  <c r="AH66" i="27"/>
  <c r="AL66" i="27" s="1"/>
  <c r="AG66" i="27"/>
  <c r="AK66" i="27" s="1"/>
  <c r="S66" i="27"/>
  <c r="Q66" i="27"/>
  <c r="K66" i="27"/>
  <c r="J66" i="27"/>
  <c r="I66" i="27"/>
  <c r="H66" i="27"/>
  <c r="F66" i="27"/>
  <c r="E66" i="27"/>
  <c r="AJ65" i="27"/>
  <c r="AI65" i="27"/>
  <c r="AH65" i="27"/>
  <c r="AL65" i="27" s="1"/>
  <c r="AG65" i="27"/>
  <c r="AK65" i="27" s="1"/>
  <c r="S65" i="27"/>
  <c r="Q65" i="27"/>
  <c r="J65" i="27"/>
  <c r="I65" i="27"/>
  <c r="H65" i="27"/>
  <c r="F65" i="27"/>
  <c r="E65" i="27"/>
  <c r="AJ64" i="27"/>
  <c r="AI64" i="27"/>
  <c r="AH64" i="27"/>
  <c r="AL64" i="27" s="1"/>
  <c r="AG64" i="27"/>
  <c r="AK64" i="27" s="1"/>
  <c r="S64" i="27"/>
  <c r="Q64" i="27"/>
  <c r="K64" i="27"/>
  <c r="J64" i="27"/>
  <c r="I64" i="27"/>
  <c r="H64" i="27"/>
  <c r="F64" i="27"/>
  <c r="E64" i="27"/>
  <c r="AJ63" i="27"/>
  <c r="AI63" i="27"/>
  <c r="AH63" i="27"/>
  <c r="AL63" i="27" s="1"/>
  <c r="AG63" i="27"/>
  <c r="AK63" i="27" s="1"/>
  <c r="S63" i="27"/>
  <c r="Q63" i="27"/>
  <c r="K63" i="27"/>
  <c r="J63" i="27"/>
  <c r="I63" i="27"/>
  <c r="H63" i="27"/>
  <c r="F63" i="27"/>
  <c r="E63" i="27"/>
  <c r="AJ62" i="27"/>
  <c r="AI62" i="27"/>
  <c r="AH62" i="27"/>
  <c r="AL62" i="27" s="1"/>
  <c r="AG62" i="27"/>
  <c r="AK62" i="27" s="1"/>
  <c r="S62" i="27"/>
  <c r="Q62" i="27"/>
  <c r="J62" i="27"/>
  <c r="I62" i="27"/>
  <c r="H62" i="27"/>
  <c r="F62" i="27"/>
  <c r="E62" i="27"/>
  <c r="AJ61" i="27"/>
  <c r="AI61" i="27"/>
  <c r="AH61" i="27"/>
  <c r="AL61" i="27" s="1"/>
  <c r="AG61" i="27"/>
  <c r="AK61" i="27" s="1"/>
  <c r="S61" i="27"/>
  <c r="Q61" i="27"/>
  <c r="K61" i="27"/>
  <c r="J61" i="27"/>
  <c r="I61" i="27"/>
  <c r="H61" i="27"/>
  <c r="F61" i="27"/>
  <c r="E61" i="27"/>
  <c r="AJ60" i="27"/>
  <c r="AI60" i="27"/>
  <c r="AH60" i="27"/>
  <c r="AL60" i="27" s="1"/>
  <c r="AG60" i="27"/>
  <c r="AK60" i="27" s="1"/>
  <c r="S60" i="27"/>
  <c r="Q60" i="27"/>
  <c r="K60" i="27"/>
  <c r="J60" i="27"/>
  <c r="I60" i="27"/>
  <c r="H60" i="27"/>
  <c r="F60" i="27"/>
  <c r="E60" i="27"/>
  <c r="AJ59" i="27"/>
  <c r="AI59" i="27"/>
  <c r="AH59" i="27"/>
  <c r="AL59" i="27" s="1"/>
  <c r="AG59" i="27"/>
  <c r="AK59" i="27" s="1"/>
  <c r="S59" i="27"/>
  <c r="Q59" i="27"/>
  <c r="K59" i="27"/>
  <c r="J59" i="27"/>
  <c r="I59" i="27"/>
  <c r="H59" i="27"/>
  <c r="F59" i="27"/>
  <c r="E59" i="27"/>
  <c r="AI58" i="27"/>
  <c r="AH58" i="27"/>
  <c r="AL58" i="27" s="1"/>
  <c r="AG58" i="27"/>
  <c r="AK58" i="27" s="1"/>
  <c r="S58" i="27"/>
  <c r="Q58" i="27"/>
  <c r="K58" i="27"/>
  <c r="J58" i="27"/>
  <c r="I58" i="27"/>
  <c r="H58" i="27"/>
  <c r="F58" i="27"/>
  <c r="E58" i="27"/>
  <c r="AI57" i="27"/>
  <c r="AH57" i="27"/>
  <c r="AL57" i="27" s="1"/>
  <c r="AG57" i="27"/>
  <c r="AK57" i="27" s="1"/>
  <c r="S57" i="27"/>
  <c r="Q57" i="27"/>
  <c r="K57" i="27"/>
  <c r="J57" i="27"/>
  <c r="I57" i="27"/>
  <c r="H57" i="27"/>
  <c r="F57" i="27"/>
  <c r="E57" i="27"/>
  <c r="AJ56" i="27"/>
  <c r="AI56" i="27"/>
  <c r="AH56" i="27"/>
  <c r="AL56" i="27" s="1"/>
  <c r="AG56" i="27"/>
  <c r="AK56" i="27" s="1"/>
  <c r="S56" i="27"/>
  <c r="Q56" i="27"/>
  <c r="K56" i="27"/>
  <c r="J56" i="27"/>
  <c r="I56" i="27"/>
  <c r="H56" i="27"/>
  <c r="F56" i="27"/>
  <c r="E56" i="27"/>
  <c r="AJ55" i="27"/>
  <c r="AI55" i="27"/>
  <c r="AH55" i="27"/>
  <c r="AL55" i="27" s="1"/>
  <c r="AG55" i="27"/>
  <c r="AK55" i="27" s="1"/>
  <c r="S55" i="27"/>
  <c r="Q55" i="27"/>
  <c r="K55" i="27"/>
  <c r="J55" i="27"/>
  <c r="I55" i="27"/>
  <c r="H55" i="27"/>
  <c r="F55" i="27"/>
  <c r="E55" i="27"/>
  <c r="AJ54" i="27"/>
  <c r="AI54" i="27"/>
  <c r="AH54" i="27"/>
  <c r="AL54" i="27" s="1"/>
  <c r="AG54" i="27"/>
  <c r="AK54" i="27" s="1"/>
  <c r="S54" i="27"/>
  <c r="Q54" i="27"/>
  <c r="K54" i="27"/>
  <c r="J54" i="27"/>
  <c r="I54" i="27"/>
  <c r="H54" i="27"/>
  <c r="F54" i="27"/>
  <c r="E54" i="27"/>
  <c r="AJ53" i="27"/>
  <c r="AI53" i="27"/>
  <c r="AH53" i="27"/>
  <c r="AL53" i="27" s="1"/>
  <c r="AG53" i="27"/>
  <c r="AK53" i="27" s="1"/>
  <c r="S53" i="27"/>
  <c r="Q53" i="27"/>
  <c r="K53" i="27"/>
  <c r="J53" i="27"/>
  <c r="I53" i="27"/>
  <c r="H53" i="27"/>
  <c r="F53" i="27"/>
  <c r="E53" i="27"/>
  <c r="AJ52" i="27"/>
  <c r="AI52" i="27"/>
  <c r="AH52" i="27"/>
  <c r="AL52" i="27" s="1"/>
  <c r="AG52" i="27"/>
  <c r="AK52" i="27" s="1"/>
  <c r="S52" i="27"/>
  <c r="Q52" i="27"/>
  <c r="K52" i="27"/>
  <c r="J52" i="27"/>
  <c r="I52" i="27"/>
  <c r="H52" i="27"/>
  <c r="F52" i="27"/>
  <c r="E52" i="27"/>
  <c r="AJ51" i="27"/>
  <c r="AI51" i="27"/>
  <c r="AH51" i="27"/>
  <c r="AL51" i="27" s="1"/>
  <c r="AG51" i="27"/>
  <c r="AK51" i="27" s="1"/>
  <c r="S51" i="27"/>
  <c r="Q51" i="27"/>
  <c r="K51" i="27"/>
  <c r="J51" i="27"/>
  <c r="I51" i="27"/>
  <c r="H51" i="27"/>
  <c r="F51" i="27"/>
  <c r="E51" i="27"/>
  <c r="AJ50" i="27"/>
  <c r="AI50" i="27"/>
  <c r="AH50" i="27"/>
  <c r="AL50" i="27" s="1"/>
  <c r="AG50" i="27"/>
  <c r="AK50" i="27" s="1"/>
  <c r="S50" i="27"/>
  <c r="Q50" i="27"/>
  <c r="K50" i="27"/>
  <c r="J50" i="27"/>
  <c r="I50" i="27"/>
  <c r="H50" i="27"/>
  <c r="F50" i="27"/>
  <c r="E50" i="27"/>
  <c r="AI49" i="27"/>
  <c r="AH49" i="27"/>
  <c r="AL49" i="27" s="1"/>
  <c r="AG49" i="27"/>
  <c r="AK49" i="27" s="1"/>
  <c r="S49" i="27"/>
  <c r="Q49" i="27"/>
  <c r="K49" i="27"/>
  <c r="J49" i="27"/>
  <c r="I49" i="27"/>
  <c r="H49" i="27"/>
  <c r="F49" i="27"/>
  <c r="E49" i="27"/>
  <c r="AJ48" i="27"/>
  <c r="AI48" i="27"/>
  <c r="AH48" i="27"/>
  <c r="AL48" i="27" s="1"/>
  <c r="AG48" i="27"/>
  <c r="AK48" i="27" s="1"/>
  <c r="S48" i="27"/>
  <c r="Q48" i="27"/>
  <c r="K48" i="27"/>
  <c r="J48" i="27"/>
  <c r="I48" i="27"/>
  <c r="H48" i="27"/>
  <c r="F48" i="27"/>
  <c r="E48" i="27"/>
  <c r="AJ47" i="27"/>
  <c r="AI47" i="27"/>
  <c r="AH47" i="27"/>
  <c r="AL47" i="27" s="1"/>
  <c r="AG47" i="27"/>
  <c r="AK47" i="27" s="1"/>
  <c r="S47" i="27"/>
  <c r="Q47" i="27"/>
  <c r="K47" i="27"/>
  <c r="J47" i="27"/>
  <c r="I47" i="27"/>
  <c r="H47" i="27"/>
  <c r="F47" i="27"/>
  <c r="E47" i="27"/>
  <c r="AJ46" i="27"/>
  <c r="AI46" i="27"/>
  <c r="AH46" i="27"/>
  <c r="AL46" i="27" s="1"/>
  <c r="AG46" i="27"/>
  <c r="AK46" i="27" s="1"/>
  <c r="S46" i="27"/>
  <c r="Q46" i="27"/>
  <c r="K46" i="27"/>
  <c r="J46" i="27"/>
  <c r="I46" i="27"/>
  <c r="H46" i="27"/>
  <c r="F46" i="27"/>
  <c r="E46" i="27"/>
  <c r="AJ45" i="27"/>
  <c r="AI45" i="27"/>
  <c r="AH45" i="27"/>
  <c r="AL45" i="27" s="1"/>
  <c r="AG45" i="27"/>
  <c r="AK45" i="27" s="1"/>
  <c r="S45" i="27"/>
  <c r="Q45" i="27"/>
  <c r="K45" i="27"/>
  <c r="J45" i="27"/>
  <c r="I45" i="27"/>
  <c r="H45" i="27"/>
  <c r="F45" i="27"/>
  <c r="E45" i="27"/>
  <c r="AJ44" i="27"/>
  <c r="AI44" i="27"/>
  <c r="AH44" i="27"/>
  <c r="AL44" i="27" s="1"/>
  <c r="AG44" i="27"/>
  <c r="AK44" i="27" s="1"/>
  <c r="S44" i="27"/>
  <c r="Q44" i="27"/>
  <c r="K44" i="27"/>
  <c r="J44" i="27"/>
  <c r="I44" i="27"/>
  <c r="H44" i="27"/>
  <c r="F44" i="27"/>
  <c r="E44" i="27"/>
  <c r="AJ43" i="27"/>
  <c r="AI43" i="27"/>
  <c r="AH43" i="27"/>
  <c r="AL43" i="27" s="1"/>
  <c r="AG43" i="27"/>
  <c r="AK43" i="27" s="1"/>
  <c r="S43" i="27"/>
  <c r="Q43" i="27"/>
  <c r="K43" i="27"/>
  <c r="J43" i="27"/>
  <c r="I43" i="27"/>
  <c r="H43" i="27"/>
  <c r="F43" i="27"/>
  <c r="E43" i="27"/>
  <c r="AJ42" i="27"/>
  <c r="AI42" i="27"/>
  <c r="AH42" i="27"/>
  <c r="AL42" i="27" s="1"/>
  <c r="AG42" i="27"/>
  <c r="AK42" i="27" s="1"/>
  <c r="S42" i="27"/>
  <c r="Q42" i="27"/>
  <c r="K42" i="27"/>
  <c r="J42" i="27"/>
  <c r="I42" i="27"/>
  <c r="H42" i="27"/>
  <c r="F42" i="27"/>
  <c r="E42" i="27"/>
  <c r="AJ41" i="27"/>
  <c r="AI41" i="27"/>
  <c r="AH41" i="27"/>
  <c r="AL41" i="27" s="1"/>
  <c r="AG41" i="27"/>
  <c r="AK41" i="27" s="1"/>
  <c r="S41" i="27"/>
  <c r="Q41" i="27"/>
  <c r="K41" i="27"/>
  <c r="J41" i="27"/>
  <c r="I41" i="27"/>
  <c r="H41" i="27"/>
  <c r="F41" i="27"/>
  <c r="E41" i="27"/>
  <c r="AJ40" i="27"/>
  <c r="AI40" i="27"/>
  <c r="AH40" i="27"/>
  <c r="AL40" i="27" s="1"/>
  <c r="AG40" i="27"/>
  <c r="AK40" i="27" s="1"/>
  <c r="S40" i="27"/>
  <c r="Q40" i="27"/>
  <c r="K40" i="27"/>
  <c r="J40" i="27"/>
  <c r="I40" i="27"/>
  <c r="H40" i="27"/>
  <c r="F40" i="27"/>
  <c r="E40" i="27"/>
  <c r="AJ39" i="27"/>
  <c r="AI39" i="27"/>
  <c r="AH39" i="27"/>
  <c r="AL39" i="27" s="1"/>
  <c r="AG39" i="27"/>
  <c r="AK39" i="27" s="1"/>
  <c r="S39" i="27"/>
  <c r="Q39" i="27"/>
  <c r="K39" i="27"/>
  <c r="J39" i="27"/>
  <c r="I39" i="27"/>
  <c r="H39" i="27"/>
  <c r="F39" i="27"/>
  <c r="E39" i="27"/>
  <c r="AJ38" i="27"/>
  <c r="AI38" i="27"/>
  <c r="AH38" i="27"/>
  <c r="AL38" i="27" s="1"/>
  <c r="AG38" i="27"/>
  <c r="AK38" i="27" s="1"/>
  <c r="S38" i="27"/>
  <c r="Q38" i="27"/>
  <c r="K38" i="27"/>
  <c r="J38" i="27"/>
  <c r="I38" i="27"/>
  <c r="H38" i="27"/>
  <c r="F38" i="27"/>
  <c r="E38" i="27"/>
  <c r="AJ37" i="27"/>
  <c r="AI37" i="27"/>
  <c r="AH37" i="27"/>
  <c r="AL37" i="27" s="1"/>
  <c r="AG37" i="27"/>
  <c r="AK37" i="27" s="1"/>
  <c r="S37" i="27"/>
  <c r="Q37" i="27"/>
  <c r="K37" i="27"/>
  <c r="J37" i="27"/>
  <c r="I37" i="27"/>
  <c r="H37" i="27"/>
  <c r="F37" i="27"/>
  <c r="E37" i="27"/>
  <c r="AI36" i="27"/>
  <c r="AH36" i="27"/>
  <c r="AL36" i="27" s="1"/>
  <c r="AG36" i="27"/>
  <c r="AK36" i="27" s="1"/>
  <c r="S36" i="27"/>
  <c r="Q36" i="27"/>
  <c r="K36" i="27"/>
  <c r="J36" i="27"/>
  <c r="I36" i="27"/>
  <c r="H36" i="27"/>
  <c r="F36" i="27"/>
  <c r="E36" i="27"/>
  <c r="AJ35" i="27"/>
  <c r="AI35" i="27"/>
  <c r="AH35" i="27"/>
  <c r="AL35" i="27" s="1"/>
  <c r="AG35" i="27"/>
  <c r="AK35" i="27" s="1"/>
  <c r="S35" i="27"/>
  <c r="Q35" i="27"/>
  <c r="K35" i="27"/>
  <c r="J35" i="27"/>
  <c r="I35" i="27"/>
  <c r="H35" i="27"/>
  <c r="D35" i="27"/>
  <c r="C35" i="27"/>
  <c r="B35" i="27"/>
  <c r="F35" i="27" s="1"/>
  <c r="A35" i="27"/>
  <c r="AJ34" i="27"/>
  <c r="AI34" i="27"/>
  <c r="AH34" i="27"/>
  <c r="AL34" i="27" s="1"/>
  <c r="AG34" i="27"/>
  <c r="AK34" i="27" s="1"/>
  <c r="S34" i="27"/>
  <c r="Q34" i="27"/>
  <c r="K34" i="27"/>
  <c r="J34" i="27"/>
  <c r="I34" i="27"/>
  <c r="H34" i="27"/>
  <c r="D34" i="27"/>
  <c r="C34" i="27"/>
  <c r="B34" i="27"/>
  <c r="F34" i="27" s="1"/>
  <c r="A34" i="27"/>
  <c r="AJ33" i="27"/>
  <c r="AI33" i="27"/>
  <c r="AH33" i="27"/>
  <c r="AL33" i="27" s="1"/>
  <c r="AG33" i="27"/>
  <c r="AK33" i="27" s="1"/>
  <c r="S33" i="27"/>
  <c r="Q33" i="27"/>
  <c r="K33" i="27"/>
  <c r="J33" i="27"/>
  <c r="I33" i="27"/>
  <c r="H33" i="27"/>
  <c r="D33" i="27"/>
  <c r="C33" i="27"/>
  <c r="B33" i="27"/>
  <c r="F33" i="27" s="1"/>
  <c r="A33" i="27"/>
  <c r="AJ32" i="27"/>
  <c r="AI32" i="27"/>
  <c r="AH32" i="27"/>
  <c r="AL32" i="27" s="1"/>
  <c r="AG32" i="27"/>
  <c r="AK32" i="27" s="1"/>
  <c r="S32" i="27"/>
  <c r="Q32" i="27"/>
  <c r="K32" i="27"/>
  <c r="J32" i="27"/>
  <c r="I32" i="27"/>
  <c r="H32" i="27"/>
  <c r="D32" i="27"/>
  <c r="C32" i="27"/>
  <c r="B32" i="27"/>
  <c r="F32" i="27" s="1"/>
  <c r="A32" i="27"/>
  <c r="AJ31" i="27"/>
  <c r="AI31" i="27"/>
  <c r="AH31" i="27"/>
  <c r="AL31" i="27" s="1"/>
  <c r="AG31" i="27"/>
  <c r="AK31" i="27" s="1"/>
  <c r="S31" i="27"/>
  <c r="Q31" i="27"/>
  <c r="K31" i="27"/>
  <c r="J31" i="27"/>
  <c r="I31" i="27"/>
  <c r="H31" i="27"/>
  <c r="D31" i="27"/>
  <c r="C31" i="27"/>
  <c r="B31" i="27"/>
  <c r="F31" i="27" s="1"/>
  <c r="A31" i="27"/>
  <c r="AJ30" i="27"/>
  <c r="AI30" i="27"/>
  <c r="AH30" i="27"/>
  <c r="AL30" i="27" s="1"/>
  <c r="AG30" i="27"/>
  <c r="AK30" i="27" s="1"/>
  <c r="S30" i="27"/>
  <c r="Q30" i="27"/>
  <c r="K30" i="27"/>
  <c r="J30" i="27"/>
  <c r="I30" i="27"/>
  <c r="H30" i="27"/>
  <c r="D30" i="27"/>
  <c r="C30" i="27"/>
  <c r="B30" i="27"/>
  <c r="F30" i="27" s="1"/>
  <c r="A30" i="27"/>
  <c r="E30" i="27" s="1"/>
  <c r="AJ29" i="27"/>
  <c r="AI29" i="27"/>
  <c r="AH29" i="27"/>
  <c r="AL29" i="27" s="1"/>
  <c r="AG29" i="27"/>
  <c r="AK29" i="27" s="1"/>
  <c r="S29" i="27"/>
  <c r="Q29" i="27"/>
  <c r="K29" i="27"/>
  <c r="J29" i="27"/>
  <c r="I29" i="27"/>
  <c r="H29" i="27"/>
  <c r="D29" i="27"/>
  <c r="C29" i="27"/>
  <c r="B29" i="27"/>
  <c r="F29" i="27" s="1"/>
  <c r="A29" i="27"/>
  <c r="AJ28" i="27"/>
  <c r="AI28" i="27"/>
  <c r="AH28" i="27"/>
  <c r="AL28" i="27" s="1"/>
  <c r="AG28" i="27"/>
  <c r="AK28" i="27" s="1"/>
  <c r="S28" i="27"/>
  <c r="Q28" i="27"/>
  <c r="K28" i="27"/>
  <c r="J28" i="27"/>
  <c r="I28" i="27"/>
  <c r="H28" i="27"/>
  <c r="D28" i="27"/>
  <c r="C28" i="27"/>
  <c r="B28" i="27"/>
  <c r="F28" i="27" s="1"/>
  <c r="A28" i="27"/>
  <c r="AJ27" i="27"/>
  <c r="AI27" i="27"/>
  <c r="AH27" i="27"/>
  <c r="AL27" i="27" s="1"/>
  <c r="AG27" i="27"/>
  <c r="AK27" i="27" s="1"/>
  <c r="S27" i="27"/>
  <c r="Q27" i="27"/>
  <c r="K27" i="27"/>
  <c r="J27" i="27"/>
  <c r="I27" i="27"/>
  <c r="H27" i="27"/>
  <c r="D27" i="27"/>
  <c r="C27" i="27"/>
  <c r="B27" i="27"/>
  <c r="F27" i="27" s="1"/>
  <c r="A27" i="27"/>
  <c r="AJ26" i="27"/>
  <c r="AI26" i="27"/>
  <c r="AH26" i="27"/>
  <c r="AL26" i="27" s="1"/>
  <c r="AG26" i="27"/>
  <c r="AK26" i="27" s="1"/>
  <c r="S26" i="27"/>
  <c r="Q26" i="27"/>
  <c r="K26" i="27"/>
  <c r="J26" i="27"/>
  <c r="I26" i="27"/>
  <c r="H26" i="27"/>
  <c r="D26" i="27"/>
  <c r="C26" i="27"/>
  <c r="B26" i="27"/>
  <c r="F26" i="27" s="1"/>
  <c r="A26" i="27"/>
  <c r="AJ25" i="27"/>
  <c r="AI25" i="27"/>
  <c r="AH25" i="27"/>
  <c r="AL25" i="27" s="1"/>
  <c r="AG25" i="27"/>
  <c r="AK25" i="27" s="1"/>
  <c r="S25" i="27"/>
  <c r="Q25" i="27"/>
  <c r="K25" i="27"/>
  <c r="J25" i="27"/>
  <c r="I25" i="27"/>
  <c r="H25" i="27"/>
  <c r="D25" i="27"/>
  <c r="C25" i="27"/>
  <c r="B25" i="27"/>
  <c r="F25" i="27" s="1"/>
  <c r="A25" i="27"/>
  <c r="AJ24" i="27"/>
  <c r="AI24" i="27"/>
  <c r="AH24" i="27"/>
  <c r="AL24" i="27" s="1"/>
  <c r="AG24" i="27"/>
  <c r="AK24" i="27" s="1"/>
  <c r="S24" i="27"/>
  <c r="Q24" i="27"/>
  <c r="J24" i="27"/>
  <c r="I24" i="27"/>
  <c r="H24" i="27"/>
  <c r="D24" i="27"/>
  <c r="C24" i="27"/>
  <c r="B24" i="27"/>
  <c r="F24" i="27" s="1"/>
  <c r="A24" i="27"/>
  <c r="AJ23" i="27"/>
  <c r="AI23" i="27"/>
  <c r="AH23" i="27"/>
  <c r="AL23" i="27" s="1"/>
  <c r="AG23" i="27"/>
  <c r="AK23" i="27" s="1"/>
  <c r="S23" i="27"/>
  <c r="Q23" i="27"/>
  <c r="J23" i="27"/>
  <c r="I23" i="27"/>
  <c r="H23" i="27"/>
  <c r="D23" i="27"/>
  <c r="C23" i="27"/>
  <c r="B23" i="27"/>
  <c r="F23" i="27" s="1"/>
  <c r="A23" i="27"/>
  <c r="E23" i="27" s="1"/>
  <c r="AJ22" i="27"/>
  <c r="AI22" i="27"/>
  <c r="AH22" i="27"/>
  <c r="AL22" i="27" s="1"/>
  <c r="AG22" i="27"/>
  <c r="AK22" i="27" s="1"/>
  <c r="S22" i="27"/>
  <c r="Q22" i="27"/>
  <c r="K22" i="27"/>
  <c r="J22" i="27"/>
  <c r="I22" i="27"/>
  <c r="H22" i="27"/>
  <c r="D22" i="27"/>
  <c r="C22" i="27"/>
  <c r="B22" i="27"/>
  <c r="F22" i="27" s="1"/>
  <c r="A22" i="27"/>
  <c r="AJ21" i="27"/>
  <c r="AI21" i="27"/>
  <c r="AH21" i="27"/>
  <c r="AL21" i="27" s="1"/>
  <c r="AG21" i="27"/>
  <c r="AK21" i="27" s="1"/>
  <c r="S21" i="27"/>
  <c r="Q21" i="27"/>
  <c r="K21" i="27"/>
  <c r="J21" i="27"/>
  <c r="I21" i="27"/>
  <c r="H21" i="27"/>
  <c r="D21" i="27"/>
  <c r="C21" i="27"/>
  <c r="B21" i="27"/>
  <c r="F21" i="27" s="1"/>
  <c r="A21" i="27"/>
  <c r="AJ20" i="27"/>
  <c r="AI20" i="27"/>
  <c r="AH20" i="27"/>
  <c r="AL20" i="27" s="1"/>
  <c r="AG20" i="27"/>
  <c r="AK20" i="27" s="1"/>
  <c r="S20" i="27"/>
  <c r="Q20" i="27"/>
  <c r="K20" i="27"/>
  <c r="J20" i="27"/>
  <c r="I20" i="27"/>
  <c r="H20" i="27"/>
  <c r="D20" i="27"/>
  <c r="C20" i="27"/>
  <c r="B20" i="27"/>
  <c r="F20" i="27" s="1"/>
  <c r="A20" i="27"/>
  <c r="AJ19" i="27"/>
  <c r="AI19" i="27"/>
  <c r="AH19" i="27"/>
  <c r="AL19" i="27" s="1"/>
  <c r="AG19" i="27"/>
  <c r="AK19" i="27" s="1"/>
  <c r="S19" i="27"/>
  <c r="Q19" i="27"/>
  <c r="K19" i="27"/>
  <c r="J19" i="27"/>
  <c r="I19" i="27"/>
  <c r="H19" i="27"/>
  <c r="D19" i="27"/>
  <c r="C19" i="27"/>
  <c r="B19" i="27"/>
  <c r="F19" i="27" s="1"/>
  <c r="A19" i="27"/>
  <c r="AJ18" i="27"/>
  <c r="AI18" i="27"/>
  <c r="AH18" i="27"/>
  <c r="AL18" i="27" s="1"/>
  <c r="AG18" i="27"/>
  <c r="AK18" i="27" s="1"/>
  <c r="S18" i="27"/>
  <c r="Q18" i="27"/>
  <c r="K18" i="27"/>
  <c r="J18" i="27"/>
  <c r="I18" i="27"/>
  <c r="H18" i="27"/>
  <c r="D18" i="27"/>
  <c r="C18" i="27"/>
  <c r="B18" i="27"/>
  <c r="F18" i="27" s="1"/>
  <c r="A18" i="27"/>
  <c r="AJ17" i="27"/>
  <c r="AI17" i="27"/>
  <c r="AH17" i="27"/>
  <c r="AL17" i="27" s="1"/>
  <c r="AG17" i="27"/>
  <c r="AK17" i="27" s="1"/>
  <c r="S17" i="27"/>
  <c r="Q17" i="27"/>
  <c r="K17" i="27"/>
  <c r="J17" i="27"/>
  <c r="I17" i="27"/>
  <c r="H17" i="27"/>
  <c r="D17" i="27"/>
  <c r="C17" i="27"/>
  <c r="B17" i="27"/>
  <c r="F17" i="27" s="1"/>
  <c r="A17" i="27"/>
  <c r="AJ16" i="27"/>
  <c r="AI16" i="27"/>
  <c r="AH16" i="27"/>
  <c r="AL16" i="27" s="1"/>
  <c r="AG16" i="27"/>
  <c r="AK16" i="27" s="1"/>
  <c r="S16" i="27"/>
  <c r="Q16" i="27"/>
  <c r="K16" i="27"/>
  <c r="J16" i="27"/>
  <c r="I16" i="27"/>
  <c r="H16" i="27"/>
  <c r="D16" i="27"/>
  <c r="C16" i="27"/>
  <c r="B16" i="27"/>
  <c r="F16" i="27" s="1"/>
  <c r="A16" i="27"/>
  <c r="AJ15" i="27"/>
  <c r="AI15" i="27"/>
  <c r="AH15" i="27"/>
  <c r="AL15" i="27" s="1"/>
  <c r="AG15" i="27"/>
  <c r="AK15" i="27" s="1"/>
  <c r="S15" i="27"/>
  <c r="Q15" i="27"/>
  <c r="J15" i="27"/>
  <c r="I15" i="27"/>
  <c r="H15" i="27"/>
  <c r="D15" i="27"/>
  <c r="C15" i="27"/>
  <c r="B15" i="27"/>
  <c r="F15" i="27" s="1"/>
  <c r="A15" i="27"/>
  <c r="AJ14" i="27"/>
  <c r="AI14" i="27"/>
  <c r="AH14" i="27"/>
  <c r="AL14" i="27" s="1"/>
  <c r="AG14" i="27"/>
  <c r="AK14" i="27" s="1"/>
  <c r="S14" i="27"/>
  <c r="Q14" i="27"/>
  <c r="K14" i="27"/>
  <c r="J14" i="27"/>
  <c r="I14" i="27"/>
  <c r="H14" i="27"/>
  <c r="D14" i="27"/>
  <c r="C14" i="27"/>
  <c r="B14" i="27"/>
  <c r="F14" i="27" s="1"/>
  <c r="A14" i="27"/>
  <c r="AJ13" i="27"/>
  <c r="AI13" i="27"/>
  <c r="AH13" i="27"/>
  <c r="AL13" i="27" s="1"/>
  <c r="AG13" i="27"/>
  <c r="AK13" i="27" s="1"/>
  <c r="S13" i="27"/>
  <c r="Q13" i="27"/>
  <c r="K13" i="27"/>
  <c r="J13" i="27"/>
  <c r="I13" i="27"/>
  <c r="H13" i="27"/>
  <c r="D13" i="27"/>
  <c r="C13" i="27"/>
  <c r="B13" i="27"/>
  <c r="F13" i="27" s="1"/>
  <c r="A13" i="27"/>
  <c r="AJ12" i="27"/>
  <c r="AI12" i="27"/>
  <c r="AH12" i="27"/>
  <c r="AL12" i="27" s="1"/>
  <c r="AG12" i="27"/>
  <c r="AK12" i="27" s="1"/>
  <c r="S12" i="27"/>
  <c r="Q12" i="27"/>
  <c r="K12" i="27"/>
  <c r="J12" i="27"/>
  <c r="I12" i="27"/>
  <c r="H12" i="27"/>
  <c r="D12" i="27"/>
  <c r="C12" i="27"/>
  <c r="B12" i="27"/>
  <c r="F12" i="27" s="1"/>
  <c r="A12" i="27"/>
  <c r="E12" i="27" s="1"/>
  <c r="AJ11" i="27"/>
  <c r="AI11" i="27"/>
  <c r="AH11" i="27"/>
  <c r="AL11" i="27" s="1"/>
  <c r="AG11" i="27"/>
  <c r="AK11" i="27" s="1"/>
  <c r="S11" i="27"/>
  <c r="Q11" i="27"/>
  <c r="K11" i="27"/>
  <c r="J11" i="27"/>
  <c r="I11" i="27"/>
  <c r="H11" i="27"/>
  <c r="D11" i="27"/>
  <c r="C11" i="27"/>
  <c r="B11" i="27"/>
  <c r="F11" i="27" s="1"/>
  <c r="A11" i="27"/>
  <c r="AJ10" i="27"/>
  <c r="AI10" i="27"/>
  <c r="AH10" i="27"/>
  <c r="AL10" i="27" s="1"/>
  <c r="AG10" i="27"/>
  <c r="AK10" i="27" s="1"/>
  <c r="S10" i="27"/>
  <c r="Q10" i="27"/>
  <c r="K10" i="27"/>
  <c r="J10" i="27"/>
  <c r="I10" i="27"/>
  <c r="H10" i="27"/>
  <c r="D10" i="27"/>
  <c r="C10" i="27"/>
  <c r="B10" i="27"/>
  <c r="F10" i="27" s="1"/>
  <c r="A10" i="27"/>
  <c r="AJ9" i="27"/>
  <c r="AI9" i="27"/>
  <c r="AH9" i="27"/>
  <c r="AL9" i="27" s="1"/>
  <c r="AG9" i="27"/>
  <c r="AK9" i="27" s="1"/>
  <c r="S9" i="27"/>
  <c r="Q9" i="27"/>
  <c r="K9" i="27"/>
  <c r="J9" i="27"/>
  <c r="I9" i="27"/>
  <c r="H9" i="27"/>
  <c r="D9" i="27"/>
  <c r="C9" i="27"/>
  <c r="B9" i="27"/>
  <c r="F9" i="27" s="1"/>
  <c r="A9" i="27"/>
  <c r="AJ8" i="27"/>
  <c r="AI8" i="27"/>
  <c r="AH8" i="27"/>
  <c r="AL8" i="27" s="1"/>
  <c r="AG8" i="27"/>
  <c r="AK8" i="27" s="1"/>
  <c r="S8" i="27"/>
  <c r="Q8" i="27"/>
  <c r="K8" i="27"/>
  <c r="J8" i="27"/>
  <c r="I8" i="27"/>
  <c r="H8" i="27"/>
  <c r="D8" i="27"/>
  <c r="C8" i="27"/>
  <c r="B8" i="27"/>
  <c r="F8" i="27" s="1"/>
  <c r="A8" i="27"/>
  <c r="AJ7" i="27"/>
  <c r="AI7" i="27"/>
  <c r="AH7" i="27"/>
  <c r="AL7" i="27" s="1"/>
  <c r="AG7" i="27"/>
  <c r="AK7" i="27" s="1"/>
  <c r="S7" i="27"/>
  <c r="Q7" i="27"/>
  <c r="K7" i="27"/>
  <c r="J7" i="27"/>
  <c r="I7" i="27"/>
  <c r="H7" i="27"/>
  <c r="D7" i="27"/>
  <c r="C7" i="27"/>
  <c r="B7" i="27"/>
  <c r="F7" i="27" s="1"/>
  <c r="A7" i="27"/>
  <c r="AJ6" i="27"/>
  <c r="AI6" i="27"/>
  <c r="AH6" i="27"/>
  <c r="AL6" i="27" s="1"/>
  <c r="AG6" i="27"/>
  <c r="AK6" i="27" s="1"/>
  <c r="S6" i="27"/>
  <c r="Q6" i="27"/>
  <c r="K6" i="27"/>
  <c r="J6" i="27"/>
  <c r="I6" i="27"/>
  <c r="H6" i="27"/>
  <c r="D6" i="27"/>
  <c r="C6" i="27"/>
  <c r="B6" i="27"/>
  <c r="F6" i="27" s="1"/>
  <c r="A6" i="27"/>
  <c r="AJ5" i="27"/>
  <c r="AI5" i="27"/>
  <c r="AH5" i="27"/>
  <c r="AL5" i="27" s="1"/>
  <c r="AG5" i="27"/>
  <c r="AK5" i="27" s="1"/>
  <c r="S5" i="27"/>
  <c r="Q5" i="27"/>
  <c r="K5" i="27"/>
  <c r="J5" i="27"/>
  <c r="I5" i="27"/>
  <c r="H5" i="27"/>
  <c r="D5" i="27"/>
  <c r="C5" i="27"/>
  <c r="B5" i="27"/>
  <c r="F5" i="27" s="1"/>
  <c r="A5" i="27"/>
  <c r="AJ4" i="27"/>
  <c r="AI4" i="27"/>
  <c r="AH4" i="27"/>
  <c r="AL4" i="27" s="1"/>
  <c r="AG4" i="27"/>
  <c r="AK4" i="27" s="1"/>
  <c r="S4" i="27"/>
  <c r="Q4" i="27"/>
  <c r="K4" i="27"/>
  <c r="J4" i="27"/>
  <c r="I4" i="27"/>
  <c r="H4" i="27"/>
  <c r="D4" i="27"/>
  <c r="BG3" i="27" s="1"/>
  <c r="C4" i="27"/>
  <c r="B4" i="27"/>
  <c r="F4" i="27" s="1"/>
  <c r="A4" i="27"/>
  <c r="E4" i="27" s="1"/>
  <c r="AJ3" i="27"/>
  <c r="AI3" i="27"/>
  <c r="AH3" i="27"/>
  <c r="AL3" i="27" s="1"/>
  <c r="AG3" i="27"/>
  <c r="AK3" i="27" s="1"/>
  <c r="S3" i="27"/>
  <c r="Q3" i="27"/>
  <c r="K3" i="27"/>
  <c r="J3" i="27"/>
  <c r="I3" i="27"/>
  <c r="H3" i="27"/>
  <c r="D3" i="27"/>
  <c r="C3" i="27"/>
  <c r="B3" i="27"/>
  <c r="F3" i="27" s="1"/>
  <c r="A3" i="27"/>
  <c r="BG2" i="27"/>
  <c r="AQ2" i="27"/>
  <c r="AJ2" i="27"/>
  <c r="AI2" i="27"/>
  <c r="AH2" i="27"/>
  <c r="AL2" i="27" s="1"/>
  <c r="AG2" i="27"/>
  <c r="AK2" i="27" s="1"/>
  <c r="X2" i="27" a="1"/>
  <c r="X2" i="27" s="1"/>
  <c r="S2" i="27"/>
  <c r="N2" i="27"/>
  <c r="J2" i="27"/>
  <c r="I2" i="27"/>
  <c r="H2" i="27"/>
  <c r="D2" i="27"/>
  <c r="C2" i="27"/>
  <c r="B2" i="27"/>
  <c r="F2" i="27" s="1"/>
  <c r="A2" i="27"/>
  <c r="AM1001" i="26"/>
  <c r="AL1001" i="26"/>
  <c r="AF1001" i="26"/>
  <c r="AE1001" i="26"/>
  <c r="AD1001" i="26"/>
  <c r="AB1001" i="26"/>
  <c r="AA1001" i="26"/>
  <c r="Z1001" i="26"/>
  <c r="Y1001" i="26"/>
  <c r="AC1001" i="26" s="1"/>
  <c r="Q1001" i="26"/>
  <c r="L1001" i="26"/>
  <c r="F1001" i="26"/>
  <c r="E1001" i="26"/>
  <c r="AM1000" i="26"/>
  <c r="AL1000" i="26"/>
  <c r="AF1000" i="26"/>
  <c r="AE1000" i="26"/>
  <c r="AD1000" i="26"/>
  <c r="AB1000" i="26"/>
  <c r="AA1000" i="26"/>
  <c r="Z1000" i="26"/>
  <c r="Y1000" i="26"/>
  <c r="Q1000" i="26"/>
  <c r="L1000" i="26"/>
  <c r="F1000" i="26"/>
  <c r="E1000" i="26"/>
  <c r="AM999" i="26"/>
  <c r="AL999" i="26"/>
  <c r="AF999" i="26"/>
  <c r="AE999" i="26"/>
  <c r="AD999" i="26"/>
  <c r="AB999" i="26"/>
  <c r="AA999" i="26"/>
  <c r="Z999" i="26"/>
  <c r="Y999" i="26"/>
  <c r="Q999" i="26"/>
  <c r="L999" i="26"/>
  <c r="F999" i="26"/>
  <c r="E999" i="26"/>
  <c r="AM998" i="26"/>
  <c r="AL998" i="26"/>
  <c r="AF998" i="26"/>
  <c r="AE998" i="26"/>
  <c r="AD998" i="26"/>
  <c r="AB998" i="26"/>
  <c r="AA998" i="26"/>
  <c r="Z998" i="26"/>
  <c r="Y998" i="26"/>
  <c r="Q998" i="26"/>
  <c r="L998" i="26"/>
  <c r="F998" i="26"/>
  <c r="E998" i="26"/>
  <c r="AM997" i="26"/>
  <c r="AL997" i="26"/>
  <c r="AF997" i="26"/>
  <c r="AE997" i="26"/>
  <c r="AD997" i="26"/>
  <c r="AB997" i="26"/>
  <c r="AA997" i="26"/>
  <c r="Z997" i="26"/>
  <c r="Y997" i="26"/>
  <c r="Q997" i="26"/>
  <c r="L997" i="26"/>
  <c r="F997" i="26"/>
  <c r="E997" i="26"/>
  <c r="AM996" i="26"/>
  <c r="AL996" i="26"/>
  <c r="AF996" i="26"/>
  <c r="AE996" i="26"/>
  <c r="AD996" i="26"/>
  <c r="AB996" i="26"/>
  <c r="AA996" i="26"/>
  <c r="Z996" i="26"/>
  <c r="Y996" i="26"/>
  <c r="AC996" i="26" s="1"/>
  <c r="Q996" i="26"/>
  <c r="L996" i="26"/>
  <c r="F996" i="26"/>
  <c r="E996" i="26"/>
  <c r="AM995" i="26"/>
  <c r="AL995" i="26"/>
  <c r="AF995" i="26"/>
  <c r="AE995" i="26"/>
  <c r="AD995" i="26"/>
  <c r="AB995" i="26"/>
  <c r="AA995" i="26"/>
  <c r="Z995" i="26"/>
  <c r="Y995" i="26"/>
  <c r="Q995" i="26"/>
  <c r="L995" i="26"/>
  <c r="F995" i="26"/>
  <c r="E995" i="26"/>
  <c r="AM994" i="26"/>
  <c r="AL994" i="26"/>
  <c r="AF994" i="26"/>
  <c r="AE994" i="26"/>
  <c r="AD994" i="26"/>
  <c r="AB994" i="26"/>
  <c r="AA994" i="26"/>
  <c r="Z994" i="26"/>
  <c r="Y994" i="26"/>
  <c r="Q994" i="26"/>
  <c r="L994" i="26"/>
  <c r="F994" i="26"/>
  <c r="E994" i="26"/>
  <c r="AM993" i="26"/>
  <c r="AL993" i="26"/>
  <c r="AF993" i="26"/>
  <c r="AE993" i="26"/>
  <c r="AD993" i="26"/>
  <c r="AB993" i="26"/>
  <c r="AA993" i="26"/>
  <c r="Z993" i="26"/>
  <c r="Y993" i="26"/>
  <c r="Q993" i="26"/>
  <c r="L993" i="26"/>
  <c r="F993" i="26"/>
  <c r="E993" i="26"/>
  <c r="AM992" i="26"/>
  <c r="AL992" i="26"/>
  <c r="AF992" i="26"/>
  <c r="AE992" i="26"/>
  <c r="AD992" i="26"/>
  <c r="AB992" i="26"/>
  <c r="AA992" i="26"/>
  <c r="Z992" i="26"/>
  <c r="Y992" i="26"/>
  <c r="Q992" i="26"/>
  <c r="L992" i="26"/>
  <c r="F992" i="26"/>
  <c r="E992" i="26"/>
  <c r="AM991" i="26"/>
  <c r="AL991" i="26"/>
  <c r="AF991" i="26"/>
  <c r="AE991" i="26"/>
  <c r="AD991" i="26"/>
  <c r="AB991" i="26"/>
  <c r="AA991" i="26"/>
  <c r="Z991" i="26"/>
  <c r="Y991" i="26"/>
  <c r="Q991" i="26"/>
  <c r="L991" i="26"/>
  <c r="F991" i="26"/>
  <c r="E991" i="26"/>
  <c r="AM990" i="26"/>
  <c r="AL990" i="26"/>
  <c r="AF990" i="26"/>
  <c r="AE990" i="26"/>
  <c r="AD990" i="26"/>
  <c r="AB990" i="26"/>
  <c r="AA990" i="26"/>
  <c r="Z990" i="26"/>
  <c r="Y990" i="26"/>
  <c r="Q990" i="26"/>
  <c r="L990" i="26"/>
  <c r="F990" i="26"/>
  <c r="E990" i="26"/>
  <c r="AM989" i="26"/>
  <c r="AL989" i="26"/>
  <c r="AF989" i="26"/>
  <c r="AE989" i="26"/>
  <c r="AD989" i="26"/>
  <c r="AB989" i="26"/>
  <c r="AA989" i="26"/>
  <c r="Z989" i="26"/>
  <c r="Y989" i="26"/>
  <c r="Q989" i="26"/>
  <c r="L989" i="26"/>
  <c r="F989" i="26"/>
  <c r="E989" i="26"/>
  <c r="AM988" i="26"/>
  <c r="AL988" i="26"/>
  <c r="AF988" i="26"/>
  <c r="AE988" i="26"/>
  <c r="AD988" i="26"/>
  <c r="AB988" i="26"/>
  <c r="AA988" i="26"/>
  <c r="Z988" i="26"/>
  <c r="Y988" i="26"/>
  <c r="Q988" i="26"/>
  <c r="L988" i="26"/>
  <c r="F988" i="26"/>
  <c r="E988" i="26"/>
  <c r="AM987" i="26"/>
  <c r="AL987" i="26"/>
  <c r="AF987" i="26"/>
  <c r="AE987" i="26"/>
  <c r="AD987" i="26"/>
  <c r="AB987" i="26"/>
  <c r="AA987" i="26"/>
  <c r="Z987" i="26"/>
  <c r="Y987" i="26"/>
  <c r="Q987" i="26"/>
  <c r="L987" i="26"/>
  <c r="F987" i="26"/>
  <c r="E987" i="26"/>
  <c r="AM986" i="26"/>
  <c r="AL986" i="26"/>
  <c r="AF986" i="26"/>
  <c r="AE986" i="26"/>
  <c r="AD986" i="26"/>
  <c r="AB986" i="26"/>
  <c r="AA986" i="26"/>
  <c r="Z986" i="26"/>
  <c r="Y986" i="26"/>
  <c r="Q986" i="26"/>
  <c r="L986" i="26"/>
  <c r="F986" i="26"/>
  <c r="E986" i="26"/>
  <c r="AM985" i="26"/>
  <c r="AL985" i="26"/>
  <c r="AF985" i="26"/>
  <c r="AE985" i="26"/>
  <c r="AD985" i="26"/>
  <c r="AB985" i="26"/>
  <c r="AA985" i="26"/>
  <c r="Z985" i="26"/>
  <c r="Y985" i="26"/>
  <c r="Q985" i="26"/>
  <c r="L985" i="26"/>
  <c r="F985" i="26"/>
  <c r="E985" i="26"/>
  <c r="AM984" i="26"/>
  <c r="AL984" i="26"/>
  <c r="AF984" i="26"/>
  <c r="AE984" i="26"/>
  <c r="AD984" i="26"/>
  <c r="AB984" i="26"/>
  <c r="AA984" i="26"/>
  <c r="Z984" i="26"/>
  <c r="Y984" i="26"/>
  <c r="Q984" i="26"/>
  <c r="L984" i="26"/>
  <c r="F984" i="26"/>
  <c r="E984" i="26"/>
  <c r="AM983" i="26"/>
  <c r="AL983" i="26"/>
  <c r="AF983" i="26"/>
  <c r="AE983" i="26"/>
  <c r="AD983" i="26"/>
  <c r="AB983" i="26"/>
  <c r="AA983" i="26"/>
  <c r="Z983" i="26"/>
  <c r="Y983" i="26"/>
  <c r="Q983" i="26"/>
  <c r="L983" i="26"/>
  <c r="F983" i="26"/>
  <c r="E983" i="26"/>
  <c r="AM982" i="26"/>
  <c r="AL982" i="26"/>
  <c r="AF982" i="26"/>
  <c r="AE982" i="26"/>
  <c r="AD982" i="26"/>
  <c r="AB982" i="26"/>
  <c r="AA982" i="26"/>
  <c r="Z982" i="26"/>
  <c r="Y982" i="26"/>
  <c r="Q982" i="26"/>
  <c r="L982" i="26"/>
  <c r="F982" i="26"/>
  <c r="E982" i="26"/>
  <c r="AM981" i="26"/>
  <c r="AL981" i="26"/>
  <c r="AF981" i="26"/>
  <c r="AE981" i="26"/>
  <c r="AD981" i="26"/>
  <c r="AB981" i="26"/>
  <c r="AA981" i="26"/>
  <c r="Z981" i="26"/>
  <c r="Y981" i="26"/>
  <c r="Q981" i="26"/>
  <c r="L981" i="26"/>
  <c r="F981" i="26"/>
  <c r="E981" i="26"/>
  <c r="AM980" i="26"/>
  <c r="AL980" i="26"/>
  <c r="AF980" i="26"/>
  <c r="AE980" i="26"/>
  <c r="AD980" i="26"/>
  <c r="AB980" i="26"/>
  <c r="AA980" i="26"/>
  <c r="Z980" i="26"/>
  <c r="Y980" i="26"/>
  <c r="Q980" i="26"/>
  <c r="L980" i="26"/>
  <c r="F980" i="26"/>
  <c r="E980" i="26"/>
  <c r="AM979" i="26"/>
  <c r="AL979" i="26"/>
  <c r="AF979" i="26"/>
  <c r="AE979" i="26"/>
  <c r="AD979" i="26"/>
  <c r="AB979" i="26"/>
  <c r="AA979" i="26"/>
  <c r="Z979" i="26"/>
  <c r="Y979" i="26"/>
  <c r="Q979" i="26"/>
  <c r="L979" i="26"/>
  <c r="F979" i="26"/>
  <c r="E979" i="26"/>
  <c r="AM978" i="26"/>
  <c r="AL978" i="26"/>
  <c r="AF978" i="26"/>
  <c r="AE978" i="26"/>
  <c r="AD978" i="26"/>
  <c r="AB978" i="26"/>
  <c r="AA978" i="26"/>
  <c r="Z978" i="26"/>
  <c r="Y978" i="26"/>
  <c r="Q978" i="26"/>
  <c r="L978" i="26"/>
  <c r="F978" i="26"/>
  <c r="E978" i="26"/>
  <c r="AM977" i="26"/>
  <c r="AL977" i="26"/>
  <c r="AF977" i="26"/>
  <c r="AE977" i="26"/>
  <c r="AD977" i="26"/>
  <c r="AB977" i="26"/>
  <c r="AA977" i="26"/>
  <c r="Z977" i="26"/>
  <c r="Y977" i="26"/>
  <c r="Q977" i="26"/>
  <c r="L977" i="26"/>
  <c r="F977" i="26"/>
  <c r="E977" i="26"/>
  <c r="AM976" i="26"/>
  <c r="AL976" i="26"/>
  <c r="AF976" i="26"/>
  <c r="AE976" i="26"/>
  <c r="AD976" i="26"/>
  <c r="AB976" i="26"/>
  <c r="AA976" i="26"/>
  <c r="Z976" i="26"/>
  <c r="Y976" i="26"/>
  <c r="Q976" i="26"/>
  <c r="L976" i="26"/>
  <c r="F976" i="26"/>
  <c r="E976" i="26"/>
  <c r="AM975" i="26"/>
  <c r="AL975" i="26"/>
  <c r="AF975" i="26"/>
  <c r="AE975" i="26"/>
  <c r="AD975" i="26"/>
  <c r="AB975" i="26"/>
  <c r="AA975" i="26"/>
  <c r="Z975" i="26"/>
  <c r="Y975" i="26"/>
  <c r="Q975" i="26"/>
  <c r="L975" i="26"/>
  <c r="F975" i="26"/>
  <c r="E975" i="26"/>
  <c r="AM974" i="26"/>
  <c r="AL974" i="26"/>
  <c r="AF974" i="26"/>
  <c r="AE974" i="26"/>
  <c r="AD974" i="26"/>
  <c r="AB974" i="26"/>
  <c r="AA974" i="26"/>
  <c r="Z974" i="26"/>
  <c r="Y974" i="26"/>
  <c r="Q974" i="26"/>
  <c r="L974" i="26"/>
  <c r="F974" i="26"/>
  <c r="E974" i="26"/>
  <c r="AM973" i="26"/>
  <c r="AL973" i="26"/>
  <c r="AF973" i="26"/>
  <c r="AE973" i="26"/>
  <c r="AD973" i="26"/>
  <c r="AB973" i="26"/>
  <c r="AA973" i="26"/>
  <c r="Z973" i="26"/>
  <c r="Y973" i="26"/>
  <c r="Q973" i="26"/>
  <c r="L973" i="26"/>
  <c r="F973" i="26"/>
  <c r="E973" i="26"/>
  <c r="AM972" i="26"/>
  <c r="AL972" i="26"/>
  <c r="AF972" i="26"/>
  <c r="AE972" i="26"/>
  <c r="AD972" i="26"/>
  <c r="AB972" i="26"/>
  <c r="AA972" i="26"/>
  <c r="Z972" i="26"/>
  <c r="Y972" i="26"/>
  <c r="Q972" i="26"/>
  <c r="L972" i="26"/>
  <c r="F972" i="26"/>
  <c r="E972" i="26"/>
  <c r="AM971" i="26"/>
  <c r="AL971" i="26"/>
  <c r="AF971" i="26"/>
  <c r="AE971" i="26"/>
  <c r="AD971" i="26"/>
  <c r="AB971" i="26"/>
  <c r="AA971" i="26"/>
  <c r="Z971" i="26"/>
  <c r="Y971" i="26"/>
  <c r="Q971" i="26"/>
  <c r="L971" i="26"/>
  <c r="F971" i="26"/>
  <c r="E971" i="26"/>
  <c r="AM970" i="26"/>
  <c r="AL970" i="26"/>
  <c r="AF970" i="26"/>
  <c r="AE970" i="26"/>
  <c r="AD970" i="26"/>
  <c r="AB970" i="26"/>
  <c r="AA970" i="26"/>
  <c r="Z970" i="26"/>
  <c r="Y970" i="26"/>
  <c r="Q970" i="26"/>
  <c r="L970" i="26"/>
  <c r="F970" i="26"/>
  <c r="E970" i="26"/>
  <c r="AM969" i="26"/>
  <c r="AL969" i="26"/>
  <c r="AF969" i="26"/>
  <c r="AE969" i="26"/>
  <c r="AD969" i="26"/>
  <c r="AB969" i="26"/>
  <c r="AA969" i="26"/>
  <c r="Z969" i="26"/>
  <c r="Y969" i="26"/>
  <c r="Q969" i="26"/>
  <c r="L969" i="26"/>
  <c r="F969" i="26"/>
  <c r="E969" i="26"/>
  <c r="AM968" i="26"/>
  <c r="AL968" i="26"/>
  <c r="AF968" i="26"/>
  <c r="AE968" i="26"/>
  <c r="AD968" i="26"/>
  <c r="AB968" i="26"/>
  <c r="AA968" i="26"/>
  <c r="Z968" i="26"/>
  <c r="Y968" i="26"/>
  <c r="Q968" i="26"/>
  <c r="L968" i="26"/>
  <c r="F968" i="26"/>
  <c r="E968" i="26"/>
  <c r="AM967" i="26"/>
  <c r="AL967" i="26"/>
  <c r="AF967" i="26"/>
  <c r="AE967" i="26"/>
  <c r="AD967" i="26"/>
  <c r="AB967" i="26"/>
  <c r="AA967" i="26"/>
  <c r="Z967" i="26"/>
  <c r="Y967" i="26"/>
  <c r="Q967" i="26"/>
  <c r="L967" i="26"/>
  <c r="F967" i="26"/>
  <c r="E967" i="26"/>
  <c r="AM966" i="26"/>
  <c r="AL966" i="26"/>
  <c r="AF966" i="26"/>
  <c r="AE966" i="26"/>
  <c r="AD966" i="26"/>
  <c r="AB966" i="26"/>
  <c r="AA966" i="26"/>
  <c r="Z966" i="26"/>
  <c r="Y966" i="26"/>
  <c r="Q966" i="26"/>
  <c r="L966" i="26"/>
  <c r="F966" i="26"/>
  <c r="E966" i="26"/>
  <c r="AM965" i="26"/>
  <c r="AL965" i="26"/>
  <c r="AF965" i="26"/>
  <c r="AE965" i="26"/>
  <c r="AD965" i="26"/>
  <c r="AB965" i="26"/>
  <c r="AA965" i="26"/>
  <c r="Z965" i="26"/>
  <c r="Y965" i="26"/>
  <c r="Q965" i="26"/>
  <c r="L965" i="26"/>
  <c r="F965" i="26"/>
  <c r="E965" i="26"/>
  <c r="AM964" i="26"/>
  <c r="AL964" i="26"/>
  <c r="AF964" i="26"/>
  <c r="AE964" i="26"/>
  <c r="AD964" i="26"/>
  <c r="AB964" i="26"/>
  <c r="AA964" i="26"/>
  <c r="Z964" i="26"/>
  <c r="Y964" i="26"/>
  <c r="Q964" i="26"/>
  <c r="L964" i="26"/>
  <c r="F964" i="26"/>
  <c r="E964" i="26"/>
  <c r="AM963" i="26"/>
  <c r="AL963" i="26"/>
  <c r="AF963" i="26"/>
  <c r="AE963" i="26"/>
  <c r="AD963" i="26"/>
  <c r="AB963" i="26"/>
  <c r="AA963" i="26"/>
  <c r="Z963" i="26"/>
  <c r="Y963" i="26"/>
  <c r="Q963" i="26"/>
  <c r="L963" i="26"/>
  <c r="F963" i="26"/>
  <c r="E963" i="26"/>
  <c r="AM962" i="26"/>
  <c r="AL962" i="26"/>
  <c r="AF962" i="26"/>
  <c r="AE962" i="26"/>
  <c r="AD962" i="26"/>
  <c r="AB962" i="26"/>
  <c r="AA962" i="26"/>
  <c r="Z962" i="26"/>
  <c r="Y962" i="26"/>
  <c r="Q962" i="26"/>
  <c r="L962" i="26"/>
  <c r="F962" i="26"/>
  <c r="E962" i="26"/>
  <c r="AM961" i="26"/>
  <c r="AL961" i="26"/>
  <c r="AF961" i="26"/>
  <c r="AE961" i="26"/>
  <c r="AD961" i="26"/>
  <c r="AB961" i="26"/>
  <c r="AA961" i="26"/>
  <c r="Z961" i="26"/>
  <c r="Y961" i="26"/>
  <c r="Q961" i="26"/>
  <c r="L961" i="26"/>
  <c r="F961" i="26"/>
  <c r="E961" i="26"/>
  <c r="AM960" i="26"/>
  <c r="AL960" i="26"/>
  <c r="AF960" i="26"/>
  <c r="AE960" i="26"/>
  <c r="AD960" i="26"/>
  <c r="AB960" i="26"/>
  <c r="AA960" i="26"/>
  <c r="Z960" i="26"/>
  <c r="Y960" i="26"/>
  <c r="Q960" i="26"/>
  <c r="L960" i="26"/>
  <c r="F960" i="26"/>
  <c r="E960" i="26"/>
  <c r="AM959" i="26"/>
  <c r="AL959" i="26"/>
  <c r="AF959" i="26"/>
  <c r="AE959" i="26"/>
  <c r="AD959" i="26"/>
  <c r="AB959" i="26"/>
  <c r="AA959" i="26"/>
  <c r="Z959" i="26"/>
  <c r="Y959" i="26"/>
  <c r="Q959" i="26"/>
  <c r="L959" i="26"/>
  <c r="F959" i="26"/>
  <c r="E959" i="26"/>
  <c r="AM958" i="26"/>
  <c r="AL958" i="26"/>
  <c r="AF958" i="26"/>
  <c r="AE958" i="26"/>
  <c r="AD958" i="26"/>
  <c r="AB958" i="26"/>
  <c r="AA958" i="26"/>
  <c r="Z958" i="26"/>
  <c r="Y958" i="26"/>
  <c r="Q958" i="26"/>
  <c r="L958" i="26"/>
  <c r="F958" i="26"/>
  <c r="E958" i="26"/>
  <c r="AM957" i="26"/>
  <c r="AL957" i="26"/>
  <c r="AF957" i="26"/>
  <c r="AE957" i="26"/>
  <c r="AD957" i="26"/>
  <c r="AB957" i="26"/>
  <c r="AA957" i="26"/>
  <c r="Z957" i="26"/>
  <c r="Y957" i="26"/>
  <c r="Q957" i="26"/>
  <c r="L957" i="26"/>
  <c r="F957" i="26"/>
  <c r="E957" i="26"/>
  <c r="AM956" i="26"/>
  <c r="AL956" i="26"/>
  <c r="AF956" i="26"/>
  <c r="AE956" i="26"/>
  <c r="AD956" i="26"/>
  <c r="AB956" i="26"/>
  <c r="AA956" i="26"/>
  <c r="Z956" i="26"/>
  <c r="Y956" i="26"/>
  <c r="Q956" i="26"/>
  <c r="L956" i="26"/>
  <c r="F956" i="26"/>
  <c r="E956" i="26"/>
  <c r="AM955" i="26"/>
  <c r="AL955" i="26"/>
  <c r="AF955" i="26"/>
  <c r="AE955" i="26"/>
  <c r="AD955" i="26"/>
  <c r="AB955" i="26"/>
  <c r="AA955" i="26"/>
  <c r="Z955" i="26"/>
  <c r="Y955" i="26"/>
  <c r="Q955" i="26"/>
  <c r="L955" i="26"/>
  <c r="F955" i="26"/>
  <c r="E955" i="26"/>
  <c r="AM954" i="26"/>
  <c r="AL954" i="26"/>
  <c r="AF954" i="26"/>
  <c r="AE954" i="26"/>
  <c r="AD954" i="26"/>
  <c r="AB954" i="26"/>
  <c r="AA954" i="26"/>
  <c r="Z954" i="26"/>
  <c r="Y954" i="26"/>
  <c r="Q954" i="26"/>
  <c r="L954" i="26"/>
  <c r="F954" i="26"/>
  <c r="E954" i="26"/>
  <c r="AM953" i="26"/>
  <c r="AL953" i="26"/>
  <c r="AF953" i="26"/>
  <c r="AE953" i="26"/>
  <c r="AD953" i="26"/>
  <c r="AB953" i="26"/>
  <c r="AA953" i="26"/>
  <c r="Z953" i="26"/>
  <c r="Y953" i="26"/>
  <c r="Q953" i="26"/>
  <c r="L953" i="26"/>
  <c r="F953" i="26"/>
  <c r="E953" i="26"/>
  <c r="AM952" i="26"/>
  <c r="AL952" i="26"/>
  <c r="AF952" i="26"/>
  <c r="AE952" i="26"/>
  <c r="AD952" i="26"/>
  <c r="AB952" i="26"/>
  <c r="AA952" i="26"/>
  <c r="Z952" i="26"/>
  <c r="Y952" i="26"/>
  <c r="Q952" i="26"/>
  <c r="L952" i="26"/>
  <c r="F952" i="26"/>
  <c r="E952" i="26"/>
  <c r="AM951" i="26"/>
  <c r="AL951" i="26"/>
  <c r="AF951" i="26"/>
  <c r="AE951" i="26"/>
  <c r="AD951" i="26"/>
  <c r="AB951" i="26"/>
  <c r="AA951" i="26"/>
  <c r="Z951" i="26"/>
  <c r="Y951" i="26"/>
  <c r="Q951" i="26"/>
  <c r="L951" i="26"/>
  <c r="F951" i="26"/>
  <c r="E951" i="26"/>
  <c r="AM950" i="26"/>
  <c r="AL950" i="26"/>
  <c r="AF950" i="26"/>
  <c r="AE950" i="26"/>
  <c r="AD950" i="26"/>
  <c r="AB950" i="26"/>
  <c r="AA950" i="26"/>
  <c r="Z950" i="26"/>
  <c r="Y950" i="26"/>
  <c r="Q950" i="26"/>
  <c r="L950" i="26"/>
  <c r="F950" i="26"/>
  <c r="E950" i="26"/>
  <c r="AM949" i="26"/>
  <c r="AL949" i="26"/>
  <c r="AF949" i="26"/>
  <c r="AE949" i="26"/>
  <c r="AD949" i="26"/>
  <c r="AB949" i="26"/>
  <c r="AA949" i="26"/>
  <c r="Z949" i="26"/>
  <c r="Y949" i="26"/>
  <c r="Q949" i="26"/>
  <c r="L949" i="26"/>
  <c r="F949" i="26"/>
  <c r="E949" i="26"/>
  <c r="AM948" i="26"/>
  <c r="AL948" i="26"/>
  <c r="AF948" i="26"/>
  <c r="AE948" i="26"/>
  <c r="AD948" i="26"/>
  <c r="AB948" i="26"/>
  <c r="AA948" i="26"/>
  <c r="Z948" i="26"/>
  <c r="Y948" i="26"/>
  <c r="Q948" i="26"/>
  <c r="L948" i="26"/>
  <c r="F948" i="26"/>
  <c r="E948" i="26"/>
  <c r="AM947" i="26"/>
  <c r="AL947" i="26"/>
  <c r="AF947" i="26"/>
  <c r="AE947" i="26"/>
  <c r="AD947" i="26"/>
  <c r="AB947" i="26"/>
  <c r="AA947" i="26"/>
  <c r="Z947" i="26"/>
  <c r="Y947" i="26"/>
  <c r="Q947" i="26"/>
  <c r="L947" i="26"/>
  <c r="F947" i="26"/>
  <c r="E947" i="26"/>
  <c r="AM946" i="26"/>
  <c r="AL946" i="26"/>
  <c r="AF946" i="26"/>
  <c r="AE946" i="26"/>
  <c r="AD946" i="26"/>
  <c r="AB946" i="26"/>
  <c r="AA946" i="26"/>
  <c r="Z946" i="26"/>
  <c r="Y946" i="26"/>
  <c r="Q946" i="26"/>
  <c r="L946" i="26"/>
  <c r="F946" i="26"/>
  <c r="E946" i="26"/>
  <c r="AM945" i="26"/>
  <c r="AL945" i="26"/>
  <c r="AF945" i="26"/>
  <c r="AE945" i="26"/>
  <c r="AD945" i="26"/>
  <c r="AB945" i="26"/>
  <c r="AA945" i="26"/>
  <c r="Z945" i="26"/>
  <c r="Y945" i="26"/>
  <c r="Q945" i="26"/>
  <c r="L945" i="26"/>
  <c r="F945" i="26"/>
  <c r="E945" i="26"/>
  <c r="AM944" i="26"/>
  <c r="AL944" i="26"/>
  <c r="AF944" i="26"/>
  <c r="AE944" i="26"/>
  <c r="AD944" i="26"/>
  <c r="AB944" i="26"/>
  <c r="AA944" i="26"/>
  <c r="Z944" i="26"/>
  <c r="Y944" i="26"/>
  <c r="Q944" i="26"/>
  <c r="L944" i="26"/>
  <c r="F944" i="26"/>
  <c r="E944" i="26"/>
  <c r="AM943" i="26"/>
  <c r="AL943" i="26"/>
  <c r="AF943" i="26"/>
  <c r="AE943" i="26"/>
  <c r="AD943" i="26"/>
  <c r="AB943" i="26"/>
  <c r="AA943" i="26"/>
  <c r="Z943" i="26"/>
  <c r="Y943" i="26"/>
  <c r="Q943" i="26"/>
  <c r="L943" i="26"/>
  <c r="F943" i="26"/>
  <c r="E943" i="26"/>
  <c r="AM942" i="26"/>
  <c r="AL942" i="26"/>
  <c r="AF942" i="26"/>
  <c r="AE942" i="26"/>
  <c r="AD942" i="26"/>
  <c r="AB942" i="26"/>
  <c r="AA942" i="26"/>
  <c r="Z942" i="26"/>
  <c r="Y942" i="26"/>
  <c r="Q942" i="26"/>
  <c r="L942" i="26"/>
  <c r="F942" i="26"/>
  <c r="E942" i="26"/>
  <c r="AM941" i="26"/>
  <c r="AL941" i="26"/>
  <c r="AF941" i="26"/>
  <c r="AE941" i="26"/>
  <c r="AD941" i="26"/>
  <c r="AB941" i="26"/>
  <c r="AA941" i="26"/>
  <c r="Z941" i="26"/>
  <c r="Y941" i="26"/>
  <c r="Q941" i="26"/>
  <c r="L941" i="26"/>
  <c r="F941" i="26"/>
  <c r="E941" i="26"/>
  <c r="AM940" i="26"/>
  <c r="AL940" i="26"/>
  <c r="AF940" i="26"/>
  <c r="AE940" i="26"/>
  <c r="AD940" i="26"/>
  <c r="AB940" i="26"/>
  <c r="AA940" i="26"/>
  <c r="Z940" i="26"/>
  <c r="Y940" i="26"/>
  <c r="Q940" i="26"/>
  <c r="L940" i="26"/>
  <c r="F940" i="26"/>
  <c r="E940" i="26"/>
  <c r="AM939" i="26"/>
  <c r="AL939" i="26"/>
  <c r="AF939" i="26"/>
  <c r="AE939" i="26"/>
  <c r="AD939" i="26"/>
  <c r="AB939" i="26"/>
  <c r="AA939" i="26"/>
  <c r="Z939" i="26"/>
  <c r="Y939" i="26"/>
  <c r="Q939" i="26"/>
  <c r="L939" i="26"/>
  <c r="F939" i="26"/>
  <c r="E939" i="26"/>
  <c r="AM938" i="26"/>
  <c r="AL938" i="26"/>
  <c r="AF938" i="26"/>
  <c r="AE938" i="26"/>
  <c r="AD938" i="26"/>
  <c r="AB938" i="26"/>
  <c r="AA938" i="26"/>
  <c r="Z938" i="26"/>
  <c r="Y938" i="26"/>
  <c r="Q938" i="26"/>
  <c r="L938" i="26"/>
  <c r="F938" i="26"/>
  <c r="E938" i="26"/>
  <c r="AM937" i="26"/>
  <c r="AL937" i="26"/>
  <c r="AF937" i="26"/>
  <c r="AE937" i="26"/>
  <c r="AD937" i="26"/>
  <c r="AB937" i="26"/>
  <c r="AA937" i="26"/>
  <c r="Z937" i="26"/>
  <c r="Y937" i="26"/>
  <c r="Q937" i="26"/>
  <c r="L937" i="26"/>
  <c r="F937" i="26"/>
  <c r="E937" i="26"/>
  <c r="AM936" i="26"/>
  <c r="AL936" i="26"/>
  <c r="AF936" i="26"/>
  <c r="AE936" i="26"/>
  <c r="AD936" i="26"/>
  <c r="AB936" i="26"/>
  <c r="AA936" i="26"/>
  <c r="Z936" i="26"/>
  <c r="Y936" i="26"/>
  <c r="Q936" i="26"/>
  <c r="L936" i="26"/>
  <c r="F936" i="26"/>
  <c r="E936" i="26"/>
  <c r="AM935" i="26"/>
  <c r="AL935" i="26"/>
  <c r="AF935" i="26"/>
  <c r="AE935" i="26"/>
  <c r="AD935" i="26"/>
  <c r="AB935" i="26"/>
  <c r="AA935" i="26"/>
  <c r="Z935" i="26"/>
  <c r="Y935" i="26"/>
  <c r="Q935" i="26"/>
  <c r="L935" i="26"/>
  <c r="F935" i="26"/>
  <c r="E935" i="26"/>
  <c r="AM934" i="26"/>
  <c r="AL934" i="26"/>
  <c r="AF934" i="26"/>
  <c r="AE934" i="26"/>
  <c r="AD934" i="26"/>
  <c r="AB934" i="26"/>
  <c r="AA934" i="26"/>
  <c r="Z934" i="26"/>
  <c r="Y934" i="26"/>
  <c r="Q934" i="26"/>
  <c r="L934" i="26"/>
  <c r="F934" i="26"/>
  <c r="E934" i="26"/>
  <c r="AM933" i="26"/>
  <c r="AL933" i="26"/>
  <c r="AF933" i="26"/>
  <c r="AE933" i="26"/>
  <c r="AD933" i="26"/>
  <c r="AB933" i="26"/>
  <c r="AA933" i="26"/>
  <c r="Z933" i="26"/>
  <c r="Y933" i="26"/>
  <c r="Q933" i="26"/>
  <c r="L933" i="26"/>
  <c r="F933" i="26"/>
  <c r="E933" i="26"/>
  <c r="AM932" i="26"/>
  <c r="AL932" i="26"/>
  <c r="AF932" i="26"/>
  <c r="AE932" i="26"/>
  <c r="AD932" i="26"/>
  <c r="AB932" i="26"/>
  <c r="AA932" i="26"/>
  <c r="Z932" i="26"/>
  <c r="Y932" i="26"/>
  <c r="Q932" i="26"/>
  <c r="L932" i="26"/>
  <c r="F932" i="26"/>
  <c r="E932" i="26"/>
  <c r="AM931" i="26"/>
  <c r="AL931" i="26"/>
  <c r="AF931" i="26"/>
  <c r="AE931" i="26"/>
  <c r="AD931" i="26"/>
  <c r="AB931" i="26"/>
  <c r="AA931" i="26"/>
  <c r="Z931" i="26"/>
  <c r="Y931" i="26"/>
  <c r="Q931" i="26"/>
  <c r="L931" i="26"/>
  <c r="F931" i="26"/>
  <c r="E931" i="26"/>
  <c r="AM930" i="26"/>
  <c r="AL930" i="26"/>
  <c r="AF930" i="26"/>
  <c r="AE930" i="26"/>
  <c r="AD930" i="26"/>
  <c r="AB930" i="26"/>
  <c r="AA930" i="26"/>
  <c r="Z930" i="26"/>
  <c r="Y930" i="26"/>
  <c r="Q930" i="26"/>
  <c r="L930" i="26"/>
  <c r="F930" i="26"/>
  <c r="E930" i="26"/>
  <c r="AM929" i="26"/>
  <c r="AL929" i="26"/>
  <c r="AF929" i="26"/>
  <c r="AE929" i="26"/>
  <c r="AD929" i="26"/>
  <c r="AB929" i="26"/>
  <c r="AA929" i="26"/>
  <c r="Z929" i="26"/>
  <c r="Y929" i="26"/>
  <c r="Q929" i="26"/>
  <c r="L929" i="26"/>
  <c r="F929" i="26"/>
  <c r="E929" i="26"/>
  <c r="AM928" i="26"/>
  <c r="AL928" i="26"/>
  <c r="AF928" i="26"/>
  <c r="AE928" i="26"/>
  <c r="AD928" i="26"/>
  <c r="AB928" i="26"/>
  <c r="AA928" i="26"/>
  <c r="Z928" i="26"/>
  <c r="Y928" i="26"/>
  <c r="Q928" i="26"/>
  <c r="L928" i="26"/>
  <c r="F928" i="26"/>
  <c r="E928" i="26"/>
  <c r="AM927" i="26"/>
  <c r="AL927" i="26"/>
  <c r="AF927" i="26"/>
  <c r="AE927" i="26"/>
  <c r="AD927" i="26"/>
  <c r="AB927" i="26"/>
  <c r="AA927" i="26"/>
  <c r="Z927" i="26"/>
  <c r="Y927" i="26"/>
  <c r="Q927" i="26"/>
  <c r="L927" i="26"/>
  <c r="F927" i="26"/>
  <c r="E927" i="26"/>
  <c r="AM926" i="26"/>
  <c r="AL926" i="26"/>
  <c r="AF926" i="26"/>
  <c r="AE926" i="26"/>
  <c r="AD926" i="26"/>
  <c r="AB926" i="26"/>
  <c r="AA926" i="26"/>
  <c r="Z926" i="26"/>
  <c r="Y926" i="26"/>
  <c r="Q926" i="26"/>
  <c r="L926" i="26"/>
  <c r="F926" i="26"/>
  <c r="E926" i="26"/>
  <c r="AM925" i="26"/>
  <c r="AL925" i="26"/>
  <c r="AF925" i="26"/>
  <c r="AE925" i="26"/>
  <c r="AD925" i="26"/>
  <c r="AB925" i="26"/>
  <c r="AA925" i="26"/>
  <c r="Z925" i="26"/>
  <c r="Y925" i="26"/>
  <c r="Q925" i="26"/>
  <c r="L925" i="26"/>
  <c r="F925" i="26"/>
  <c r="E925" i="26"/>
  <c r="AM924" i="26"/>
  <c r="AL924" i="26"/>
  <c r="AF924" i="26"/>
  <c r="AE924" i="26"/>
  <c r="AD924" i="26"/>
  <c r="AB924" i="26"/>
  <c r="AA924" i="26"/>
  <c r="Z924" i="26"/>
  <c r="Y924" i="26"/>
  <c r="Q924" i="26"/>
  <c r="L924" i="26"/>
  <c r="F924" i="26"/>
  <c r="E924" i="26"/>
  <c r="AM923" i="26"/>
  <c r="AL923" i="26"/>
  <c r="AF923" i="26"/>
  <c r="AE923" i="26"/>
  <c r="AD923" i="26"/>
  <c r="AB923" i="26"/>
  <c r="AA923" i="26"/>
  <c r="Z923" i="26"/>
  <c r="Y923" i="26"/>
  <c r="Q923" i="26"/>
  <c r="L923" i="26"/>
  <c r="F923" i="26"/>
  <c r="E923" i="26"/>
  <c r="AM922" i="26"/>
  <c r="AL922" i="26"/>
  <c r="AF922" i="26"/>
  <c r="AE922" i="26"/>
  <c r="AD922" i="26"/>
  <c r="AB922" i="26"/>
  <c r="AA922" i="26"/>
  <c r="Z922" i="26"/>
  <c r="Y922" i="26"/>
  <c r="Q922" i="26"/>
  <c r="L922" i="26"/>
  <c r="F922" i="26"/>
  <c r="E922" i="26"/>
  <c r="AM921" i="26"/>
  <c r="AL921" i="26"/>
  <c r="AF921" i="26"/>
  <c r="AE921" i="26"/>
  <c r="AD921" i="26"/>
  <c r="AB921" i="26"/>
  <c r="AA921" i="26"/>
  <c r="Z921" i="26"/>
  <c r="Y921" i="26"/>
  <c r="Q921" i="26"/>
  <c r="L921" i="26"/>
  <c r="F921" i="26"/>
  <c r="E921" i="26"/>
  <c r="AM920" i="26"/>
  <c r="AL920" i="26"/>
  <c r="AF920" i="26"/>
  <c r="AE920" i="26"/>
  <c r="AD920" i="26"/>
  <c r="AB920" i="26"/>
  <c r="AA920" i="26"/>
  <c r="Z920" i="26"/>
  <c r="Y920" i="26"/>
  <c r="Q920" i="26"/>
  <c r="L920" i="26"/>
  <c r="F920" i="26"/>
  <c r="E920" i="26"/>
  <c r="AM919" i="26"/>
  <c r="AL919" i="26"/>
  <c r="AF919" i="26"/>
  <c r="AE919" i="26"/>
  <c r="AD919" i="26"/>
  <c r="AB919" i="26"/>
  <c r="AA919" i="26"/>
  <c r="Z919" i="26"/>
  <c r="Y919" i="26"/>
  <c r="Q919" i="26"/>
  <c r="L919" i="26"/>
  <c r="F919" i="26"/>
  <c r="E919" i="26"/>
  <c r="AM918" i="26"/>
  <c r="AL918" i="26"/>
  <c r="AF918" i="26"/>
  <c r="AE918" i="26"/>
  <c r="AD918" i="26"/>
  <c r="AB918" i="26"/>
  <c r="AA918" i="26"/>
  <c r="Z918" i="26"/>
  <c r="Y918" i="26"/>
  <c r="Q918" i="26"/>
  <c r="L918" i="26"/>
  <c r="F918" i="26"/>
  <c r="E918" i="26"/>
  <c r="AM917" i="26"/>
  <c r="AL917" i="26"/>
  <c r="AF917" i="26"/>
  <c r="AE917" i="26"/>
  <c r="AD917" i="26"/>
  <c r="AB917" i="26"/>
  <c r="AA917" i="26"/>
  <c r="Z917" i="26"/>
  <c r="Y917" i="26"/>
  <c r="Q917" i="26"/>
  <c r="L917" i="26"/>
  <c r="F917" i="26"/>
  <c r="E917" i="26"/>
  <c r="AM916" i="26"/>
  <c r="AL916" i="26"/>
  <c r="AF916" i="26"/>
  <c r="AE916" i="26"/>
  <c r="AD916" i="26"/>
  <c r="AB916" i="26"/>
  <c r="AA916" i="26"/>
  <c r="Z916" i="26"/>
  <c r="Y916" i="26"/>
  <c r="Q916" i="26"/>
  <c r="L916" i="26"/>
  <c r="F916" i="26"/>
  <c r="E916" i="26"/>
  <c r="AM915" i="26"/>
  <c r="AL915" i="26"/>
  <c r="AF915" i="26"/>
  <c r="AE915" i="26"/>
  <c r="AD915" i="26"/>
  <c r="AB915" i="26"/>
  <c r="AA915" i="26"/>
  <c r="Z915" i="26"/>
  <c r="Y915" i="26"/>
  <c r="Q915" i="26"/>
  <c r="L915" i="26"/>
  <c r="F915" i="26"/>
  <c r="E915" i="26"/>
  <c r="AM914" i="26"/>
  <c r="AL914" i="26"/>
  <c r="AF914" i="26"/>
  <c r="AE914" i="26"/>
  <c r="AD914" i="26"/>
  <c r="AB914" i="26"/>
  <c r="AA914" i="26"/>
  <c r="Z914" i="26"/>
  <c r="Y914" i="26"/>
  <c r="Q914" i="26"/>
  <c r="L914" i="26"/>
  <c r="F914" i="26"/>
  <c r="E914" i="26"/>
  <c r="AM913" i="26"/>
  <c r="AL913" i="26"/>
  <c r="AF913" i="26"/>
  <c r="AE913" i="26"/>
  <c r="AD913" i="26"/>
  <c r="AB913" i="26"/>
  <c r="AA913" i="26"/>
  <c r="Z913" i="26"/>
  <c r="Y913" i="26"/>
  <c r="Q913" i="26"/>
  <c r="L913" i="26"/>
  <c r="F913" i="26"/>
  <c r="E913" i="26"/>
  <c r="AM912" i="26"/>
  <c r="AL912" i="26"/>
  <c r="AF912" i="26"/>
  <c r="AE912" i="26"/>
  <c r="AD912" i="26"/>
  <c r="AB912" i="26"/>
  <c r="AA912" i="26"/>
  <c r="Z912" i="26"/>
  <c r="Y912" i="26"/>
  <c r="Q912" i="26"/>
  <c r="L912" i="26"/>
  <c r="F912" i="26"/>
  <c r="E912" i="26"/>
  <c r="AM911" i="26"/>
  <c r="AL911" i="26"/>
  <c r="AF911" i="26"/>
  <c r="AE911" i="26"/>
  <c r="AD911" i="26"/>
  <c r="AB911" i="26"/>
  <c r="AA911" i="26"/>
  <c r="Z911" i="26"/>
  <c r="Y911" i="26"/>
  <c r="Q911" i="26"/>
  <c r="L911" i="26"/>
  <c r="F911" i="26"/>
  <c r="E911" i="26"/>
  <c r="AM910" i="26"/>
  <c r="AL910" i="26"/>
  <c r="AF910" i="26"/>
  <c r="AE910" i="26"/>
  <c r="AD910" i="26"/>
  <c r="AB910" i="26"/>
  <c r="AA910" i="26"/>
  <c r="Z910" i="26"/>
  <c r="Y910" i="26"/>
  <c r="Q910" i="26"/>
  <c r="L910" i="26"/>
  <c r="F910" i="26"/>
  <c r="E910" i="26"/>
  <c r="AM909" i="26"/>
  <c r="AL909" i="26"/>
  <c r="AF909" i="26"/>
  <c r="AE909" i="26"/>
  <c r="AD909" i="26"/>
  <c r="AB909" i="26"/>
  <c r="AA909" i="26"/>
  <c r="Z909" i="26"/>
  <c r="Y909" i="26"/>
  <c r="Q909" i="26"/>
  <c r="L909" i="26"/>
  <c r="F909" i="26"/>
  <c r="E909" i="26"/>
  <c r="AM908" i="26"/>
  <c r="AL908" i="26"/>
  <c r="AF908" i="26"/>
  <c r="AE908" i="26"/>
  <c r="AD908" i="26"/>
  <c r="AB908" i="26"/>
  <c r="AA908" i="26"/>
  <c r="Z908" i="26"/>
  <c r="Y908" i="26"/>
  <c r="Q908" i="26"/>
  <c r="L908" i="26"/>
  <c r="F908" i="26"/>
  <c r="E908" i="26"/>
  <c r="AM907" i="26"/>
  <c r="AL907" i="26"/>
  <c r="AF907" i="26"/>
  <c r="AE907" i="26"/>
  <c r="AD907" i="26"/>
  <c r="AB907" i="26"/>
  <c r="AA907" i="26"/>
  <c r="Z907" i="26"/>
  <c r="Y907" i="26"/>
  <c r="Q907" i="26"/>
  <c r="L907" i="26"/>
  <c r="F907" i="26"/>
  <c r="E907" i="26"/>
  <c r="AM906" i="26"/>
  <c r="AL906" i="26"/>
  <c r="AF906" i="26"/>
  <c r="AE906" i="26"/>
  <c r="AD906" i="26"/>
  <c r="AB906" i="26"/>
  <c r="AA906" i="26"/>
  <c r="Z906" i="26"/>
  <c r="Y906" i="26"/>
  <c r="Q906" i="26"/>
  <c r="L906" i="26"/>
  <c r="F906" i="26"/>
  <c r="E906" i="26"/>
  <c r="AM905" i="26"/>
  <c r="AL905" i="26"/>
  <c r="AF905" i="26"/>
  <c r="AE905" i="26"/>
  <c r="AD905" i="26"/>
  <c r="AB905" i="26"/>
  <c r="AA905" i="26"/>
  <c r="Z905" i="26"/>
  <c r="Y905" i="26"/>
  <c r="Q905" i="26"/>
  <c r="L905" i="26"/>
  <c r="F905" i="26"/>
  <c r="E905" i="26"/>
  <c r="AM904" i="26"/>
  <c r="AL904" i="26"/>
  <c r="AF904" i="26"/>
  <c r="AE904" i="26"/>
  <c r="AD904" i="26"/>
  <c r="AB904" i="26"/>
  <c r="AA904" i="26"/>
  <c r="Z904" i="26"/>
  <c r="Y904" i="26"/>
  <c r="Q904" i="26"/>
  <c r="L904" i="26"/>
  <c r="F904" i="26"/>
  <c r="E904" i="26"/>
  <c r="AM903" i="26"/>
  <c r="AL903" i="26"/>
  <c r="AF903" i="26"/>
  <c r="AE903" i="26"/>
  <c r="AD903" i="26"/>
  <c r="AB903" i="26"/>
  <c r="AA903" i="26"/>
  <c r="Z903" i="26"/>
  <c r="Y903" i="26"/>
  <c r="Q903" i="26"/>
  <c r="L903" i="26"/>
  <c r="F903" i="26"/>
  <c r="E903" i="26"/>
  <c r="AM902" i="26"/>
  <c r="AL902" i="26"/>
  <c r="AF902" i="26"/>
  <c r="AE902" i="26"/>
  <c r="AD902" i="26"/>
  <c r="AB902" i="26"/>
  <c r="AA902" i="26"/>
  <c r="Z902" i="26"/>
  <c r="Y902" i="26"/>
  <c r="Q902" i="26"/>
  <c r="L902" i="26"/>
  <c r="F902" i="26"/>
  <c r="E902" i="26"/>
  <c r="AM901" i="26"/>
  <c r="AL901" i="26"/>
  <c r="AF901" i="26"/>
  <c r="AE901" i="26"/>
  <c r="AD901" i="26"/>
  <c r="AB901" i="26"/>
  <c r="AA901" i="26"/>
  <c r="Z901" i="26"/>
  <c r="Y901" i="26"/>
  <c r="Q901" i="26"/>
  <c r="L901" i="26"/>
  <c r="F901" i="26"/>
  <c r="E901" i="26"/>
  <c r="AM900" i="26"/>
  <c r="AL900" i="26"/>
  <c r="AF900" i="26"/>
  <c r="AE900" i="26"/>
  <c r="AD900" i="26"/>
  <c r="AB900" i="26"/>
  <c r="AA900" i="26"/>
  <c r="Z900" i="26"/>
  <c r="Y900" i="26"/>
  <c r="Q900" i="26"/>
  <c r="L900" i="26"/>
  <c r="F900" i="26"/>
  <c r="E900" i="26"/>
  <c r="AM899" i="26"/>
  <c r="AL899" i="26"/>
  <c r="AF899" i="26"/>
  <c r="AE899" i="26"/>
  <c r="AD899" i="26"/>
  <c r="AB899" i="26"/>
  <c r="AA899" i="26"/>
  <c r="Z899" i="26"/>
  <c r="Y899" i="26"/>
  <c r="Q899" i="26"/>
  <c r="L899" i="26"/>
  <c r="F899" i="26"/>
  <c r="E899" i="26"/>
  <c r="AM898" i="26"/>
  <c r="AL898" i="26"/>
  <c r="AF898" i="26"/>
  <c r="AE898" i="26"/>
  <c r="AD898" i="26"/>
  <c r="AB898" i="26"/>
  <c r="AA898" i="26"/>
  <c r="Z898" i="26"/>
  <c r="Y898" i="26"/>
  <c r="Q898" i="26"/>
  <c r="L898" i="26"/>
  <c r="F898" i="26"/>
  <c r="E898" i="26"/>
  <c r="AM897" i="26"/>
  <c r="AL897" i="26"/>
  <c r="AF897" i="26"/>
  <c r="AE897" i="26"/>
  <c r="AD897" i="26"/>
  <c r="AB897" i="26"/>
  <c r="AA897" i="26"/>
  <c r="Z897" i="26"/>
  <c r="Y897" i="26"/>
  <c r="Q897" i="26"/>
  <c r="L897" i="26"/>
  <c r="F897" i="26"/>
  <c r="E897" i="26"/>
  <c r="AM896" i="26"/>
  <c r="AL896" i="26"/>
  <c r="AF896" i="26"/>
  <c r="AE896" i="26"/>
  <c r="AD896" i="26"/>
  <c r="AB896" i="26"/>
  <c r="AA896" i="26"/>
  <c r="Z896" i="26"/>
  <c r="Y896" i="26"/>
  <c r="Q896" i="26"/>
  <c r="L896" i="26"/>
  <c r="F896" i="26"/>
  <c r="E896" i="26"/>
  <c r="AM895" i="26"/>
  <c r="AL895" i="26"/>
  <c r="AF895" i="26"/>
  <c r="AE895" i="26"/>
  <c r="AD895" i="26"/>
  <c r="AB895" i="26"/>
  <c r="AA895" i="26"/>
  <c r="Z895" i="26"/>
  <c r="Y895" i="26"/>
  <c r="Q895" i="26"/>
  <c r="L895" i="26"/>
  <c r="F895" i="26"/>
  <c r="E895" i="26"/>
  <c r="AM894" i="26"/>
  <c r="AL894" i="26"/>
  <c r="AF894" i="26"/>
  <c r="AE894" i="26"/>
  <c r="AD894" i="26"/>
  <c r="AB894" i="26"/>
  <c r="AA894" i="26"/>
  <c r="Z894" i="26"/>
  <c r="Y894" i="26"/>
  <c r="Q894" i="26"/>
  <c r="L894" i="26"/>
  <c r="F894" i="26"/>
  <c r="E894" i="26"/>
  <c r="AM893" i="26"/>
  <c r="AL893" i="26"/>
  <c r="AF893" i="26"/>
  <c r="AE893" i="26"/>
  <c r="AD893" i="26"/>
  <c r="AB893" i="26"/>
  <c r="AA893" i="26"/>
  <c r="Z893" i="26"/>
  <c r="Y893" i="26"/>
  <c r="Q893" i="26"/>
  <c r="L893" i="26"/>
  <c r="F893" i="26"/>
  <c r="E893" i="26"/>
  <c r="AM892" i="26"/>
  <c r="AL892" i="26"/>
  <c r="AF892" i="26"/>
  <c r="AE892" i="26"/>
  <c r="AD892" i="26"/>
  <c r="AB892" i="26"/>
  <c r="AA892" i="26"/>
  <c r="Z892" i="26"/>
  <c r="Y892" i="26"/>
  <c r="Q892" i="26"/>
  <c r="L892" i="26"/>
  <c r="F892" i="26"/>
  <c r="E892" i="26"/>
  <c r="AM891" i="26"/>
  <c r="AL891" i="26"/>
  <c r="AF891" i="26"/>
  <c r="AE891" i="26"/>
  <c r="AD891" i="26"/>
  <c r="AB891" i="26"/>
  <c r="AA891" i="26"/>
  <c r="Z891" i="26"/>
  <c r="Y891" i="26"/>
  <c r="Q891" i="26"/>
  <c r="L891" i="26"/>
  <c r="F891" i="26"/>
  <c r="E891" i="26"/>
  <c r="AM890" i="26"/>
  <c r="AL890" i="26"/>
  <c r="AF890" i="26"/>
  <c r="AE890" i="26"/>
  <c r="AD890" i="26"/>
  <c r="AB890" i="26"/>
  <c r="AA890" i="26"/>
  <c r="Z890" i="26"/>
  <c r="Y890" i="26"/>
  <c r="Q890" i="26"/>
  <c r="L890" i="26"/>
  <c r="F890" i="26"/>
  <c r="E890" i="26"/>
  <c r="AM889" i="26"/>
  <c r="AL889" i="26"/>
  <c r="AF889" i="26"/>
  <c r="AE889" i="26"/>
  <c r="AD889" i="26"/>
  <c r="AB889" i="26"/>
  <c r="AA889" i="26"/>
  <c r="Z889" i="26"/>
  <c r="Y889" i="26"/>
  <c r="Q889" i="26"/>
  <c r="L889" i="26"/>
  <c r="F889" i="26"/>
  <c r="E889" i="26"/>
  <c r="AM888" i="26"/>
  <c r="AL888" i="26"/>
  <c r="AF888" i="26"/>
  <c r="AE888" i="26"/>
  <c r="AD888" i="26"/>
  <c r="AB888" i="26"/>
  <c r="AA888" i="26"/>
  <c r="Z888" i="26"/>
  <c r="Y888" i="26"/>
  <c r="Q888" i="26"/>
  <c r="L888" i="26"/>
  <c r="F888" i="26"/>
  <c r="E888" i="26"/>
  <c r="AM887" i="26"/>
  <c r="AL887" i="26"/>
  <c r="AF887" i="26"/>
  <c r="AE887" i="26"/>
  <c r="AD887" i="26"/>
  <c r="AB887" i="26"/>
  <c r="AA887" i="26"/>
  <c r="Z887" i="26"/>
  <c r="Y887" i="26"/>
  <c r="AC887" i="26" s="1"/>
  <c r="Q887" i="26"/>
  <c r="L887" i="26"/>
  <c r="F887" i="26"/>
  <c r="E887" i="26"/>
  <c r="AM886" i="26"/>
  <c r="AL886" i="26"/>
  <c r="AF886" i="26"/>
  <c r="AE886" i="26"/>
  <c r="AD886" i="26"/>
  <c r="AB886" i="26"/>
  <c r="AA886" i="26"/>
  <c r="Z886" i="26"/>
  <c r="Y886" i="26"/>
  <c r="Q886" i="26"/>
  <c r="L886" i="26"/>
  <c r="F886" i="26"/>
  <c r="E886" i="26"/>
  <c r="AM885" i="26"/>
  <c r="AL885" i="26"/>
  <c r="AF885" i="26"/>
  <c r="AE885" i="26"/>
  <c r="AD885" i="26"/>
  <c r="AB885" i="26"/>
  <c r="AA885" i="26"/>
  <c r="Z885" i="26"/>
  <c r="Y885" i="26"/>
  <c r="Q885" i="26"/>
  <c r="L885" i="26"/>
  <c r="F885" i="26"/>
  <c r="E885" i="26"/>
  <c r="AM884" i="26"/>
  <c r="AL884" i="26"/>
  <c r="AF884" i="26"/>
  <c r="AE884" i="26"/>
  <c r="AD884" i="26"/>
  <c r="AB884" i="26"/>
  <c r="AA884" i="26"/>
  <c r="Z884" i="26"/>
  <c r="Y884" i="26"/>
  <c r="Q884" i="26"/>
  <c r="L884" i="26"/>
  <c r="F884" i="26"/>
  <c r="E884" i="26"/>
  <c r="AM883" i="26"/>
  <c r="AL883" i="26"/>
  <c r="AF883" i="26"/>
  <c r="AE883" i="26"/>
  <c r="AD883" i="26"/>
  <c r="AB883" i="26"/>
  <c r="AA883" i="26"/>
  <c r="Z883" i="26"/>
  <c r="Y883" i="26"/>
  <c r="Q883" i="26"/>
  <c r="L883" i="26"/>
  <c r="F883" i="26"/>
  <c r="E883" i="26"/>
  <c r="AM882" i="26"/>
  <c r="AL882" i="26"/>
  <c r="AF882" i="26"/>
  <c r="AE882" i="26"/>
  <c r="AD882" i="26"/>
  <c r="AB882" i="26"/>
  <c r="AA882" i="26"/>
  <c r="Z882" i="26"/>
  <c r="Y882" i="26"/>
  <c r="Q882" i="26"/>
  <c r="L882" i="26"/>
  <c r="F882" i="26"/>
  <c r="E882" i="26"/>
  <c r="AM881" i="26"/>
  <c r="AL881" i="26"/>
  <c r="AF881" i="26"/>
  <c r="AE881" i="26"/>
  <c r="AD881" i="26"/>
  <c r="AB881" i="26"/>
  <c r="AA881" i="26"/>
  <c r="Z881" i="26"/>
  <c r="Y881" i="26"/>
  <c r="Q881" i="26"/>
  <c r="L881" i="26"/>
  <c r="F881" i="26"/>
  <c r="E881" i="26"/>
  <c r="AM880" i="26"/>
  <c r="AL880" i="26"/>
  <c r="AF880" i="26"/>
  <c r="AE880" i="26"/>
  <c r="AD880" i="26"/>
  <c r="AB880" i="26"/>
  <c r="AA880" i="26"/>
  <c r="Z880" i="26"/>
  <c r="Y880" i="26"/>
  <c r="Q880" i="26"/>
  <c r="L880" i="26"/>
  <c r="F880" i="26"/>
  <c r="E880" i="26"/>
  <c r="AM879" i="26"/>
  <c r="AL879" i="26"/>
  <c r="AF879" i="26"/>
  <c r="AE879" i="26"/>
  <c r="AD879" i="26"/>
  <c r="AB879" i="26"/>
  <c r="AA879" i="26"/>
  <c r="Z879" i="26"/>
  <c r="Y879" i="26"/>
  <c r="Q879" i="26"/>
  <c r="L879" i="26"/>
  <c r="F879" i="26"/>
  <c r="E879" i="26"/>
  <c r="AM878" i="26"/>
  <c r="AL878" i="26"/>
  <c r="AF878" i="26"/>
  <c r="AE878" i="26"/>
  <c r="AD878" i="26"/>
  <c r="AB878" i="26"/>
  <c r="AA878" i="26"/>
  <c r="Z878" i="26"/>
  <c r="Y878" i="26"/>
  <c r="Q878" i="26"/>
  <c r="L878" i="26"/>
  <c r="F878" i="26"/>
  <c r="E878" i="26"/>
  <c r="AM877" i="26"/>
  <c r="AL877" i="26"/>
  <c r="AF877" i="26"/>
  <c r="AE877" i="26"/>
  <c r="AD877" i="26"/>
  <c r="AB877" i="26"/>
  <c r="AA877" i="26"/>
  <c r="Z877" i="26"/>
  <c r="Y877" i="26"/>
  <c r="Q877" i="26"/>
  <c r="L877" i="26"/>
  <c r="F877" i="26"/>
  <c r="E877" i="26"/>
  <c r="AM876" i="26"/>
  <c r="AL876" i="26"/>
  <c r="AF876" i="26"/>
  <c r="AE876" i="26"/>
  <c r="AD876" i="26"/>
  <c r="AB876" i="26"/>
  <c r="AA876" i="26"/>
  <c r="Z876" i="26"/>
  <c r="Y876" i="26"/>
  <c r="Q876" i="26"/>
  <c r="L876" i="26"/>
  <c r="F876" i="26"/>
  <c r="E876" i="26"/>
  <c r="AM875" i="26"/>
  <c r="AL875" i="26"/>
  <c r="AF875" i="26"/>
  <c r="AE875" i="26"/>
  <c r="AD875" i="26"/>
  <c r="AB875" i="26"/>
  <c r="AA875" i="26"/>
  <c r="Z875" i="26"/>
  <c r="Y875" i="26"/>
  <c r="Q875" i="26"/>
  <c r="L875" i="26"/>
  <c r="F875" i="26"/>
  <c r="E875" i="26"/>
  <c r="AM874" i="26"/>
  <c r="AL874" i="26"/>
  <c r="AF874" i="26"/>
  <c r="AE874" i="26"/>
  <c r="AD874" i="26"/>
  <c r="AB874" i="26"/>
  <c r="AA874" i="26"/>
  <c r="Z874" i="26"/>
  <c r="Y874" i="26"/>
  <c r="Q874" i="26"/>
  <c r="L874" i="26"/>
  <c r="F874" i="26"/>
  <c r="E874" i="26"/>
  <c r="AM873" i="26"/>
  <c r="AL873" i="26"/>
  <c r="AF873" i="26"/>
  <c r="AE873" i="26"/>
  <c r="AD873" i="26"/>
  <c r="AB873" i="26"/>
  <c r="AA873" i="26"/>
  <c r="Z873" i="26"/>
  <c r="Y873" i="26"/>
  <c r="Q873" i="26"/>
  <c r="L873" i="26"/>
  <c r="F873" i="26"/>
  <c r="E873" i="26"/>
  <c r="AM872" i="26"/>
  <c r="AL872" i="26"/>
  <c r="AF872" i="26"/>
  <c r="AE872" i="26"/>
  <c r="AD872" i="26"/>
  <c r="AB872" i="26"/>
  <c r="AA872" i="26"/>
  <c r="Z872" i="26"/>
  <c r="Y872" i="26"/>
  <c r="Q872" i="26"/>
  <c r="L872" i="26"/>
  <c r="F872" i="26"/>
  <c r="E872" i="26"/>
  <c r="AM871" i="26"/>
  <c r="AL871" i="26"/>
  <c r="AF871" i="26"/>
  <c r="AE871" i="26"/>
  <c r="AD871" i="26"/>
  <c r="AB871" i="26"/>
  <c r="AA871" i="26"/>
  <c r="Z871" i="26"/>
  <c r="Y871" i="26"/>
  <c r="Q871" i="26"/>
  <c r="L871" i="26"/>
  <c r="F871" i="26"/>
  <c r="E871" i="26"/>
  <c r="AM870" i="26"/>
  <c r="AL870" i="26"/>
  <c r="AF870" i="26"/>
  <c r="AE870" i="26"/>
  <c r="AD870" i="26"/>
  <c r="AB870" i="26"/>
  <c r="AA870" i="26"/>
  <c r="Z870" i="26"/>
  <c r="Y870" i="26"/>
  <c r="Q870" i="26"/>
  <c r="L870" i="26"/>
  <c r="F870" i="26"/>
  <c r="E870" i="26"/>
  <c r="AM869" i="26"/>
  <c r="AL869" i="26"/>
  <c r="AF869" i="26"/>
  <c r="AE869" i="26"/>
  <c r="AD869" i="26"/>
  <c r="AB869" i="26"/>
  <c r="AA869" i="26"/>
  <c r="Z869" i="26"/>
  <c r="Y869" i="26"/>
  <c r="Q869" i="26"/>
  <c r="L869" i="26"/>
  <c r="F869" i="26"/>
  <c r="E869" i="26"/>
  <c r="AM868" i="26"/>
  <c r="AL868" i="26"/>
  <c r="AF868" i="26"/>
  <c r="AE868" i="26"/>
  <c r="AD868" i="26"/>
  <c r="AB868" i="26"/>
  <c r="AA868" i="26"/>
  <c r="Z868" i="26"/>
  <c r="Y868" i="26"/>
  <c r="Q868" i="26"/>
  <c r="L868" i="26"/>
  <c r="F868" i="26"/>
  <c r="E868" i="26"/>
  <c r="AM867" i="26"/>
  <c r="AL867" i="26"/>
  <c r="AF867" i="26"/>
  <c r="AE867" i="26"/>
  <c r="AD867" i="26"/>
  <c r="AB867" i="26"/>
  <c r="AA867" i="26"/>
  <c r="Z867" i="26"/>
  <c r="Y867" i="26"/>
  <c r="Q867" i="26"/>
  <c r="L867" i="26"/>
  <c r="F867" i="26"/>
  <c r="E867" i="26"/>
  <c r="AM866" i="26"/>
  <c r="AL866" i="26"/>
  <c r="AF866" i="26"/>
  <c r="AE866" i="26"/>
  <c r="AD866" i="26"/>
  <c r="AB866" i="26"/>
  <c r="AA866" i="26"/>
  <c r="Z866" i="26"/>
  <c r="Y866" i="26"/>
  <c r="Q866" i="26"/>
  <c r="L866" i="26"/>
  <c r="F866" i="26"/>
  <c r="E866" i="26"/>
  <c r="AM865" i="26"/>
  <c r="AL865" i="26"/>
  <c r="AF865" i="26"/>
  <c r="AE865" i="26"/>
  <c r="AD865" i="26"/>
  <c r="AB865" i="26"/>
  <c r="AA865" i="26"/>
  <c r="Z865" i="26"/>
  <c r="Y865" i="26"/>
  <c r="Q865" i="26"/>
  <c r="L865" i="26"/>
  <c r="F865" i="26"/>
  <c r="E865" i="26"/>
  <c r="AM864" i="26"/>
  <c r="AL864" i="26"/>
  <c r="AF864" i="26"/>
  <c r="AE864" i="26"/>
  <c r="AD864" i="26"/>
  <c r="AB864" i="26"/>
  <c r="AA864" i="26"/>
  <c r="Z864" i="26"/>
  <c r="Y864" i="26"/>
  <c r="Q864" i="26"/>
  <c r="L864" i="26"/>
  <c r="F864" i="26"/>
  <c r="E864" i="26"/>
  <c r="AM863" i="26"/>
  <c r="AL863" i="26"/>
  <c r="AF863" i="26"/>
  <c r="AE863" i="26"/>
  <c r="AD863" i="26"/>
  <c r="AB863" i="26"/>
  <c r="AA863" i="26"/>
  <c r="Z863" i="26"/>
  <c r="Y863" i="26"/>
  <c r="Q863" i="26"/>
  <c r="L863" i="26"/>
  <c r="F863" i="26"/>
  <c r="E863" i="26"/>
  <c r="AM862" i="26"/>
  <c r="AL862" i="26"/>
  <c r="AF862" i="26"/>
  <c r="AE862" i="26"/>
  <c r="AD862" i="26"/>
  <c r="AB862" i="26"/>
  <c r="AA862" i="26"/>
  <c r="Z862" i="26"/>
  <c r="Y862" i="26"/>
  <c r="Q862" i="26"/>
  <c r="L862" i="26"/>
  <c r="F862" i="26"/>
  <c r="E862" i="26"/>
  <c r="AM861" i="26"/>
  <c r="AL861" i="26"/>
  <c r="AF861" i="26"/>
  <c r="AE861" i="26"/>
  <c r="AD861" i="26"/>
  <c r="AB861" i="26"/>
  <c r="AA861" i="26"/>
  <c r="Z861" i="26"/>
  <c r="Y861" i="26"/>
  <c r="Q861" i="26"/>
  <c r="L861" i="26"/>
  <c r="F861" i="26"/>
  <c r="E861" i="26"/>
  <c r="AM860" i="26"/>
  <c r="AL860" i="26"/>
  <c r="AF860" i="26"/>
  <c r="AE860" i="26"/>
  <c r="AD860" i="26"/>
  <c r="AB860" i="26"/>
  <c r="AA860" i="26"/>
  <c r="Z860" i="26"/>
  <c r="Y860" i="26"/>
  <c r="Q860" i="26"/>
  <c r="L860" i="26"/>
  <c r="F860" i="26"/>
  <c r="E860" i="26"/>
  <c r="AM859" i="26"/>
  <c r="AL859" i="26"/>
  <c r="AF859" i="26"/>
  <c r="AE859" i="26"/>
  <c r="AD859" i="26"/>
  <c r="AB859" i="26"/>
  <c r="AA859" i="26"/>
  <c r="Z859" i="26"/>
  <c r="Y859" i="26"/>
  <c r="Q859" i="26"/>
  <c r="L859" i="26"/>
  <c r="F859" i="26"/>
  <c r="E859" i="26"/>
  <c r="AM858" i="26"/>
  <c r="AL858" i="26"/>
  <c r="AF858" i="26"/>
  <c r="AE858" i="26"/>
  <c r="AD858" i="26"/>
  <c r="AB858" i="26"/>
  <c r="AA858" i="26"/>
  <c r="Z858" i="26"/>
  <c r="Y858" i="26"/>
  <c r="Q858" i="26"/>
  <c r="L858" i="26"/>
  <c r="F858" i="26"/>
  <c r="E858" i="26"/>
  <c r="AM857" i="26"/>
  <c r="AL857" i="26"/>
  <c r="AF857" i="26"/>
  <c r="AE857" i="26"/>
  <c r="AD857" i="26"/>
  <c r="AB857" i="26"/>
  <c r="AA857" i="26"/>
  <c r="Z857" i="26"/>
  <c r="Y857" i="26"/>
  <c r="Q857" i="26"/>
  <c r="L857" i="26"/>
  <c r="F857" i="26"/>
  <c r="E857" i="26"/>
  <c r="AM856" i="26"/>
  <c r="AL856" i="26"/>
  <c r="AF856" i="26"/>
  <c r="AE856" i="26"/>
  <c r="AD856" i="26"/>
  <c r="AB856" i="26"/>
  <c r="AA856" i="26"/>
  <c r="Z856" i="26"/>
  <c r="Y856" i="26"/>
  <c r="Q856" i="26"/>
  <c r="L856" i="26"/>
  <c r="F856" i="26"/>
  <c r="E856" i="26"/>
  <c r="AM855" i="26"/>
  <c r="AL855" i="26"/>
  <c r="AF855" i="26"/>
  <c r="AE855" i="26"/>
  <c r="AD855" i="26"/>
  <c r="AB855" i="26"/>
  <c r="AA855" i="26"/>
  <c r="Z855" i="26"/>
  <c r="Y855" i="26"/>
  <c r="Q855" i="26"/>
  <c r="L855" i="26"/>
  <c r="F855" i="26"/>
  <c r="E855" i="26"/>
  <c r="AM854" i="26"/>
  <c r="AL854" i="26"/>
  <c r="AF854" i="26"/>
  <c r="AE854" i="26"/>
  <c r="AD854" i="26"/>
  <c r="AB854" i="26"/>
  <c r="AA854" i="26"/>
  <c r="Z854" i="26"/>
  <c r="Y854" i="26"/>
  <c r="Q854" i="26"/>
  <c r="L854" i="26"/>
  <c r="F854" i="26"/>
  <c r="E854" i="26"/>
  <c r="AM853" i="26"/>
  <c r="AL853" i="26"/>
  <c r="AF853" i="26"/>
  <c r="AE853" i="26"/>
  <c r="AD853" i="26"/>
  <c r="AB853" i="26"/>
  <c r="AA853" i="26"/>
  <c r="Z853" i="26"/>
  <c r="Y853" i="26"/>
  <c r="Q853" i="26"/>
  <c r="L853" i="26"/>
  <c r="F853" i="26"/>
  <c r="E853" i="26"/>
  <c r="AM852" i="26"/>
  <c r="AL852" i="26"/>
  <c r="AF852" i="26"/>
  <c r="AE852" i="26"/>
  <c r="AD852" i="26"/>
  <c r="AB852" i="26"/>
  <c r="AA852" i="26"/>
  <c r="Z852" i="26"/>
  <c r="Y852" i="26"/>
  <c r="Q852" i="26"/>
  <c r="L852" i="26"/>
  <c r="F852" i="26"/>
  <c r="E852" i="26"/>
  <c r="AM851" i="26"/>
  <c r="AL851" i="26"/>
  <c r="AF851" i="26"/>
  <c r="AE851" i="26"/>
  <c r="AD851" i="26"/>
  <c r="AB851" i="26"/>
  <c r="AA851" i="26"/>
  <c r="Z851" i="26"/>
  <c r="Y851" i="26"/>
  <c r="Q851" i="26"/>
  <c r="L851" i="26"/>
  <c r="F851" i="26"/>
  <c r="E851" i="26"/>
  <c r="AM850" i="26"/>
  <c r="AL850" i="26"/>
  <c r="AF850" i="26"/>
  <c r="AE850" i="26"/>
  <c r="AD850" i="26"/>
  <c r="AB850" i="26"/>
  <c r="AA850" i="26"/>
  <c r="Z850" i="26"/>
  <c r="Y850" i="26"/>
  <c r="Q850" i="26"/>
  <c r="L850" i="26"/>
  <c r="F850" i="26"/>
  <c r="E850" i="26"/>
  <c r="AM849" i="26"/>
  <c r="AL849" i="26"/>
  <c r="AF849" i="26"/>
  <c r="AE849" i="26"/>
  <c r="AD849" i="26"/>
  <c r="AB849" i="26"/>
  <c r="AA849" i="26"/>
  <c r="Z849" i="26"/>
  <c r="Y849" i="26"/>
  <c r="Q849" i="26"/>
  <c r="L849" i="26"/>
  <c r="F849" i="26"/>
  <c r="E849" i="26"/>
  <c r="AM848" i="26"/>
  <c r="AL848" i="26"/>
  <c r="AF848" i="26"/>
  <c r="AE848" i="26"/>
  <c r="AD848" i="26"/>
  <c r="AB848" i="26"/>
  <c r="AA848" i="26"/>
  <c r="Z848" i="26"/>
  <c r="Y848" i="26"/>
  <c r="Q848" i="26"/>
  <c r="L848" i="26"/>
  <c r="F848" i="26"/>
  <c r="E848" i="26"/>
  <c r="AM847" i="26"/>
  <c r="AL847" i="26"/>
  <c r="AF847" i="26"/>
  <c r="AE847" i="26"/>
  <c r="AD847" i="26"/>
  <c r="AB847" i="26"/>
  <c r="AA847" i="26"/>
  <c r="Z847" i="26"/>
  <c r="Y847" i="26"/>
  <c r="Q847" i="26"/>
  <c r="L847" i="26"/>
  <c r="F847" i="26"/>
  <c r="E847" i="26"/>
  <c r="AM846" i="26"/>
  <c r="AL846" i="26"/>
  <c r="AF846" i="26"/>
  <c r="AE846" i="26"/>
  <c r="AD846" i="26"/>
  <c r="AB846" i="26"/>
  <c r="AA846" i="26"/>
  <c r="Z846" i="26"/>
  <c r="Y846" i="26"/>
  <c r="Q846" i="26"/>
  <c r="L846" i="26"/>
  <c r="F846" i="26"/>
  <c r="E846" i="26"/>
  <c r="AM845" i="26"/>
  <c r="AL845" i="26"/>
  <c r="AF845" i="26"/>
  <c r="AE845" i="26"/>
  <c r="AD845" i="26"/>
  <c r="AB845" i="26"/>
  <c r="AA845" i="26"/>
  <c r="Z845" i="26"/>
  <c r="Y845" i="26"/>
  <c r="Q845" i="26"/>
  <c r="L845" i="26"/>
  <c r="F845" i="26"/>
  <c r="E845" i="26"/>
  <c r="AM844" i="26"/>
  <c r="AL844" i="26"/>
  <c r="AF844" i="26"/>
  <c r="AE844" i="26"/>
  <c r="AD844" i="26"/>
  <c r="AB844" i="26"/>
  <c r="AA844" i="26"/>
  <c r="Z844" i="26"/>
  <c r="Y844" i="26"/>
  <c r="Q844" i="26"/>
  <c r="L844" i="26"/>
  <c r="F844" i="26"/>
  <c r="E844" i="26"/>
  <c r="AM843" i="26"/>
  <c r="AL843" i="26"/>
  <c r="AF843" i="26"/>
  <c r="AE843" i="26"/>
  <c r="AD843" i="26"/>
  <c r="AB843" i="26"/>
  <c r="AA843" i="26"/>
  <c r="Z843" i="26"/>
  <c r="Y843" i="26"/>
  <c r="Q843" i="26"/>
  <c r="L843" i="26"/>
  <c r="F843" i="26"/>
  <c r="E843" i="26"/>
  <c r="AM842" i="26"/>
  <c r="AL842" i="26"/>
  <c r="AF842" i="26"/>
  <c r="AE842" i="26"/>
  <c r="AD842" i="26"/>
  <c r="AB842" i="26"/>
  <c r="AA842" i="26"/>
  <c r="Z842" i="26"/>
  <c r="Y842" i="26"/>
  <c r="Q842" i="26"/>
  <c r="L842" i="26"/>
  <c r="F842" i="26"/>
  <c r="E842" i="26"/>
  <c r="AM841" i="26"/>
  <c r="AL841" i="26"/>
  <c r="AF841" i="26"/>
  <c r="AE841" i="26"/>
  <c r="AD841" i="26"/>
  <c r="AB841" i="26"/>
  <c r="AA841" i="26"/>
  <c r="Z841" i="26"/>
  <c r="Y841" i="26"/>
  <c r="Q841" i="26"/>
  <c r="L841" i="26"/>
  <c r="F841" i="26"/>
  <c r="E841" i="26"/>
  <c r="AM840" i="26"/>
  <c r="AL840" i="26"/>
  <c r="AF840" i="26"/>
  <c r="AE840" i="26"/>
  <c r="AD840" i="26"/>
  <c r="AB840" i="26"/>
  <c r="AA840" i="26"/>
  <c r="Z840" i="26"/>
  <c r="Y840" i="26"/>
  <c r="Q840" i="26"/>
  <c r="L840" i="26"/>
  <c r="F840" i="26"/>
  <c r="E840" i="26"/>
  <c r="AM839" i="26"/>
  <c r="AL839" i="26"/>
  <c r="AF839" i="26"/>
  <c r="AE839" i="26"/>
  <c r="AD839" i="26"/>
  <c r="AB839" i="26"/>
  <c r="AA839" i="26"/>
  <c r="Z839" i="26"/>
  <c r="Y839" i="26"/>
  <c r="Q839" i="26"/>
  <c r="L839" i="26"/>
  <c r="F839" i="26"/>
  <c r="E839" i="26"/>
  <c r="AM838" i="26"/>
  <c r="AL838" i="26"/>
  <c r="AF838" i="26"/>
  <c r="AE838" i="26"/>
  <c r="AD838" i="26"/>
  <c r="AB838" i="26"/>
  <c r="AA838" i="26"/>
  <c r="Z838" i="26"/>
  <c r="Y838" i="26"/>
  <c r="Q838" i="26"/>
  <c r="L838" i="26"/>
  <c r="F838" i="26"/>
  <c r="E838" i="26"/>
  <c r="AM837" i="26"/>
  <c r="AL837" i="26"/>
  <c r="AF837" i="26"/>
  <c r="AE837" i="26"/>
  <c r="AD837" i="26"/>
  <c r="AB837" i="26"/>
  <c r="AA837" i="26"/>
  <c r="Z837" i="26"/>
  <c r="Y837" i="26"/>
  <c r="Q837" i="26"/>
  <c r="L837" i="26"/>
  <c r="F837" i="26"/>
  <c r="E837" i="26"/>
  <c r="AM836" i="26"/>
  <c r="AL836" i="26"/>
  <c r="AF836" i="26"/>
  <c r="AE836" i="26"/>
  <c r="AD836" i="26"/>
  <c r="AB836" i="26"/>
  <c r="AA836" i="26"/>
  <c r="Z836" i="26"/>
  <c r="Y836" i="26"/>
  <c r="Q836" i="26"/>
  <c r="L836" i="26"/>
  <c r="F836" i="26"/>
  <c r="E836" i="26"/>
  <c r="AM835" i="26"/>
  <c r="AL835" i="26"/>
  <c r="AF835" i="26"/>
  <c r="AE835" i="26"/>
  <c r="AD835" i="26"/>
  <c r="AB835" i="26"/>
  <c r="AA835" i="26"/>
  <c r="Z835" i="26"/>
  <c r="Y835" i="26"/>
  <c r="Q835" i="26"/>
  <c r="L835" i="26"/>
  <c r="F835" i="26"/>
  <c r="E835" i="26"/>
  <c r="AM834" i="26"/>
  <c r="AL834" i="26"/>
  <c r="AF834" i="26"/>
  <c r="AE834" i="26"/>
  <c r="AD834" i="26"/>
  <c r="AB834" i="26"/>
  <c r="AA834" i="26"/>
  <c r="Z834" i="26"/>
  <c r="Y834" i="26"/>
  <c r="Q834" i="26"/>
  <c r="L834" i="26"/>
  <c r="F834" i="26"/>
  <c r="E834" i="26"/>
  <c r="AM833" i="26"/>
  <c r="AL833" i="26"/>
  <c r="AF833" i="26"/>
  <c r="AE833" i="26"/>
  <c r="AD833" i="26"/>
  <c r="AB833" i="26"/>
  <c r="AA833" i="26"/>
  <c r="Z833" i="26"/>
  <c r="Y833" i="26"/>
  <c r="Q833" i="26"/>
  <c r="L833" i="26"/>
  <c r="F833" i="26"/>
  <c r="E833" i="26"/>
  <c r="AM832" i="26"/>
  <c r="AL832" i="26"/>
  <c r="AF832" i="26"/>
  <c r="AE832" i="26"/>
  <c r="AD832" i="26"/>
  <c r="AB832" i="26"/>
  <c r="AA832" i="26"/>
  <c r="Z832" i="26"/>
  <c r="Y832" i="26"/>
  <c r="Q832" i="26"/>
  <c r="L832" i="26"/>
  <c r="F832" i="26"/>
  <c r="E832" i="26"/>
  <c r="AM831" i="26"/>
  <c r="AL831" i="26"/>
  <c r="AF831" i="26"/>
  <c r="AE831" i="26"/>
  <c r="AD831" i="26"/>
  <c r="AB831" i="26"/>
  <c r="AA831" i="26"/>
  <c r="Z831" i="26"/>
  <c r="Y831" i="26"/>
  <c r="Q831" i="26"/>
  <c r="L831" i="26"/>
  <c r="F831" i="26"/>
  <c r="E831" i="26"/>
  <c r="AM830" i="26"/>
  <c r="AL830" i="26"/>
  <c r="AF830" i="26"/>
  <c r="AE830" i="26"/>
  <c r="AD830" i="26"/>
  <c r="AB830" i="26"/>
  <c r="AA830" i="26"/>
  <c r="Z830" i="26"/>
  <c r="Y830" i="26"/>
  <c r="Q830" i="26"/>
  <c r="L830" i="26"/>
  <c r="F830" i="26"/>
  <c r="E830" i="26"/>
  <c r="AM829" i="26"/>
  <c r="AL829" i="26"/>
  <c r="AF829" i="26"/>
  <c r="AE829" i="26"/>
  <c r="AD829" i="26"/>
  <c r="AB829" i="26"/>
  <c r="AA829" i="26"/>
  <c r="Z829" i="26"/>
  <c r="Y829" i="26"/>
  <c r="Q829" i="26"/>
  <c r="L829" i="26"/>
  <c r="F829" i="26"/>
  <c r="E829" i="26"/>
  <c r="AM828" i="26"/>
  <c r="AL828" i="26"/>
  <c r="AF828" i="26"/>
  <c r="AE828" i="26"/>
  <c r="AD828" i="26"/>
  <c r="AB828" i="26"/>
  <c r="AA828" i="26"/>
  <c r="Z828" i="26"/>
  <c r="Y828" i="26"/>
  <c r="Q828" i="26"/>
  <c r="L828" i="26"/>
  <c r="F828" i="26"/>
  <c r="E828" i="26"/>
  <c r="AM827" i="26"/>
  <c r="AL827" i="26"/>
  <c r="AF827" i="26"/>
  <c r="AE827" i="26"/>
  <c r="AD827" i="26"/>
  <c r="AB827" i="26"/>
  <c r="AA827" i="26"/>
  <c r="Z827" i="26"/>
  <c r="Y827" i="26"/>
  <c r="Q827" i="26"/>
  <c r="L827" i="26"/>
  <c r="F827" i="26"/>
  <c r="E827" i="26"/>
  <c r="AM826" i="26"/>
  <c r="AL826" i="26"/>
  <c r="AF826" i="26"/>
  <c r="AE826" i="26"/>
  <c r="AD826" i="26"/>
  <c r="AB826" i="26"/>
  <c r="AA826" i="26"/>
  <c r="Z826" i="26"/>
  <c r="Y826" i="26"/>
  <c r="Q826" i="26"/>
  <c r="L826" i="26"/>
  <c r="F826" i="26"/>
  <c r="E826" i="26"/>
  <c r="AM825" i="26"/>
  <c r="AL825" i="26"/>
  <c r="AF825" i="26"/>
  <c r="AE825" i="26"/>
  <c r="AD825" i="26"/>
  <c r="AB825" i="26"/>
  <c r="AA825" i="26"/>
  <c r="Z825" i="26"/>
  <c r="Y825" i="26"/>
  <c r="Q825" i="26"/>
  <c r="L825" i="26"/>
  <c r="F825" i="26"/>
  <c r="E825" i="26"/>
  <c r="AM824" i="26"/>
  <c r="AL824" i="26"/>
  <c r="AF824" i="26"/>
  <c r="AE824" i="26"/>
  <c r="AD824" i="26"/>
  <c r="AB824" i="26"/>
  <c r="AA824" i="26"/>
  <c r="Z824" i="26"/>
  <c r="Y824" i="26"/>
  <c r="Q824" i="26"/>
  <c r="L824" i="26"/>
  <c r="F824" i="26"/>
  <c r="E824" i="26"/>
  <c r="AM823" i="26"/>
  <c r="AL823" i="26"/>
  <c r="AF823" i="26"/>
  <c r="AE823" i="26"/>
  <c r="AD823" i="26"/>
  <c r="AB823" i="26"/>
  <c r="AA823" i="26"/>
  <c r="Z823" i="26"/>
  <c r="Y823" i="26"/>
  <c r="Q823" i="26"/>
  <c r="L823" i="26"/>
  <c r="F823" i="26"/>
  <c r="E823" i="26"/>
  <c r="AM822" i="26"/>
  <c r="AL822" i="26"/>
  <c r="AF822" i="26"/>
  <c r="AE822" i="26"/>
  <c r="AD822" i="26"/>
  <c r="AB822" i="26"/>
  <c r="AA822" i="26"/>
  <c r="Z822" i="26"/>
  <c r="Y822" i="26"/>
  <c r="Q822" i="26"/>
  <c r="L822" i="26"/>
  <c r="F822" i="26"/>
  <c r="E822" i="26"/>
  <c r="AM821" i="26"/>
  <c r="AL821" i="26"/>
  <c r="AF821" i="26"/>
  <c r="AE821" i="26"/>
  <c r="AD821" i="26"/>
  <c r="AB821" i="26"/>
  <c r="AA821" i="26"/>
  <c r="Z821" i="26"/>
  <c r="Y821" i="26"/>
  <c r="Q821" i="26"/>
  <c r="L821" i="26"/>
  <c r="F821" i="26"/>
  <c r="E821" i="26"/>
  <c r="AM820" i="26"/>
  <c r="AL820" i="26"/>
  <c r="AF820" i="26"/>
  <c r="AE820" i="26"/>
  <c r="AD820" i="26"/>
  <c r="AB820" i="26"/>
  <c r="AA820" i="26"/>
  <c r="Z820" i="26"/>
  <c r="Y820" i="26"/>
  <c r="Q820" i="26"/>
  <c r="L820" i="26"/>
  <c r="F820" i="26"/>
  <c r="E820" i="26"/>
  <c r="AM819" i="26"/>
  <c r="AL819" i="26"/>
  <c r="AF819" i="26"/>
  <c r="AE819" i="26"/>
  <c r="AD819" i="26"/>
  <c r="AB819" i="26"/>
  <c r="AA819" i="26"/>
  <c r="Z819" i="26"/>
  <c r="Y819" i="26"/>
  <c r="Q819" i="26"/>
  <c r="L819" i="26"/>
  <c r="F819" i="26"/>
  <c r="E819" i="26"/>
  <c r="AM818" i="26"/>
  <c r="AL818" i="26"/>
  <c r="AF818" i="26"/>
  <c r="AE818" i="26"/>
  <c r="AD818" i="26"/>
  <c r="AB818" i="26"/>
  <c r="AA818" i="26"/>
  <c r="Z818" i="26"/>
  <c r="Y818" i="26"/>
  <c r="Q818" i="26"/>
  <c r="L818" i="26"/>
  <c r="F818" i="26"/>
  <c r="E818" i="26"/>
  <c r="AM817" i="26"/>
  <c r="AL817" i="26"/>
  <c r="AF817" i="26"/>
  <c r="AE817" i="26"/>
  <c r="AD817" i="26"/>
  <c r="AB817" i="26"/>
  <c r="AA817" i="26"/>
  <c r="Z817" i="26"/>
  <c r="Y817" i="26"/>
  <c r="Q817" i="26"/>
  <c r="L817" i="26"/>
  <c r="F817" i="26"/>
  <c r="E817" i="26"/>
  <c r="AM816" i="26"/>
  <c r="AL816" i="26"/>
  <c r="AF816" i="26"/>
  <c r="AE816" i="26"/>
  <c r="AD816" i="26"/>
  <c r="AB816" i="26"/>
  <c r="AA816" i="26"/>
  <c r="Z816" i="26"/>
  <c r="Y816" i="26"/>
  <c r="Q816" i="26"/>
  <c r="L816" i="26"/>
  <c r="F816" i="26"/>
  <c r="E816" i="26"/>
  <c r="AM815" i="26"/>
  <c r="AL815" i="26"/>
  <c r="AF815" i="26"/>
  <c r="AE815" i="26"/>
  <c r="AD815" i="26"/>
  <c r="AB815" i="26"/>
  <c r="AA815" i="26"/>
  <c r="Z815" i="26"/>
  <c r="Y815" i="26"/>
  <c r="Q815" i="26"/>
  <c r="L815" i="26"/>
  <c r="F815" i="26"/>
  <c r="E815" i="26"/>
  <c r="AM814" i="26"/>
  <c r="AL814" i="26"/>
  <c r="AF814" i="26"/>
  <c r="AE814" i="26"/>
  <c r="AD814" i="26"/>
  <c r="AB814" i="26"/>
  <c r="AA814" i="26"/>
  <c r="Z814" i="26"/>
  <c r="Y814" i="26"/>
  <c r="Q814" i="26"/>
  <c r="L814" i="26"/>
  <c r="F814" i="26"/>
  <c r="E814" i="26"/>
  <c r="AM813" i="26"/>
  <c r="AL813" i="26"/>
  <c r="AF813" i="26"/>
  <c r="AE813" i="26"/>
  <c r="AD813" i="26"/>
  <c r="AB813" i="26"/>
  <c r="AA813" i="26"/>
  <c r="Z813" i="26"/>
  <c r="Y813" i="26"/>
  <c r="Q813" i="26"/>
  <c r="L813" i="26"/>
  <c r="F813" i="26"/>
  <c r="E813" i="26"/>
  <c r="AM812" i="26"/>
  <c r="AL812" i="26"/>
  <c r="AF812" i="26"/>
  <c r="AE812" i="26"/>
  <c r="AD812" i="26"/>
  <c r="AB812" i="26"/>
  <c r="AA812" i="26"/>
  <c r="Z812" i="26"/>
  <c r="Y812" i="26"/>
  <c r="Q812" i="26"/>
  <c r="L812" i="26"/>
  <c r="F812" i="26"/>
  <c r="E812" i="26"/>
  <c r="AM811" i="26"/>
  <c r="AL811" i="26"/>
  <c r="AF811" i="26"/>
  <c r="AE811" i="26"/>
  <c r="AD811" i="26"/>
  <c r="AB811" i="26"/>
  <c r="AA811" i="26"/>
  <c r="Z811" i="26"/>
  <c r="Y811" i="26"/>
  <c r="Q811" i="26"/>
  <c r="L811" i="26"/>
  <c r="F811" i="26"/>
  <c r="E811" i="26"/>
  <c r="AM810" i="26"/>
  <c r="AL810" i="26"/>
  <c r="AF810" i="26"/>
  <c r="AE810" i="26"/>
  <c r="AD810" i="26"/>
  <c r="AB810" i="26"/>
  <c r="AA810" i="26"/>
  <c r="Z810" i="26"/>
  <c r="Y810" i="26"/>
  <c r="Q810" i="26"/>
  <c r="L810" i="26"/>
  <c r="F810" i="26"/>
  <c r="E810" i="26"/>
  <c r="AM809" i="26"/>
  <c r="AL809" i="26"/>
  <c r="AF809" i="26"/>
  <c r="AE809" i="26"/>
  <c r="AD809" i="26"/>
  <c r="AB809" i="26"/>
  <c r="AA809" i="26"/>
  <c r="Z809" i="26"/>
  <c r="Y809" i="26"/>
  <c r="AC809" i="26" s="1"/>
  <c r="Q809" i="26"/>
  <c r="L809" i="26"/>
  <c r="F809" i="26"/>
  <c r="E809" i="26"/>
  <c r="AM808" i="26"/>
  <c r="AL808" i="26"/>
  <c r="AF808" i="26"/>
  <c r="AE808" i="26"/>
  <c r="AD808" i="26"/>
  <c r="AB808" i="26"/>
  <c r="AA808" i="26"/>
  <c r="Z808" i="26"/>
  <c r="Y808" i="26"/>
  <c r="Q808" i="26"/>
  <c r="L808" i="26"/>
  <c r="F808" i="26"/>
  <c r="E808" i="26"/>
  <c r="AM807" i="26"/>
  <c r="AL807" i="26"/>
  <c r="AF807" i="26"/>
  <c r="AE807" i="26"/>
  <c r="AD807" i="26"/>
  <c r="AB807" i="26"/>
  <c r="AA807" i="26"/>
  <c r="Z807" i="26"/>
  <c r="Y807" i="26"/>
  <c r="AC807" i="26" s="1"/>
  <c r="Q807" i="26"/>
  <c r="L807" i="26"/>
  <c r="F807" i="26"/>
  <c r="E807" i="26"/>
  <c r="AM806" i="26"/>
  <c r="AL806" i="26"/>
  <c r="AF806" i="26"/>
  <c r="AE806" i="26"/>
  <c r="AD806" i="26"/>
  <c r="AB806" i="26"/>
  <c r="AA806" i="26"/>
  <c r="Z806" i="26"/>
  <c r="Y806" i="26"/>
  <c r="Q806" i="26"/>
  <c r="L806" i="26"/>
  <c r="F806" i="26"/>
  <c r="E806" i="26"/>
  <c r="AM805" i="26"/>
  <c r="AL805" i="26"/>
  <c r="AF805" i="26"/>
  <c r="AE805" i="26"/>
  <c r="AD805" i="26"/>
  <c r="AB805" i="26"/>
  <c r="AA805" i="26"/>
  <c r="Z805" i="26"/>
  <c r="Y805" i="26"/>
  <c r="Q805" i="26"/>
  <c r="L805" i="26"/>
  <c r="F805" i="26"/>
  <c r="E805" i="26"/>
  <c r="AM804" i="26"/>
  <c r="AL804" i="26"/>
  <c r="AF804" i="26"/>
  <c r="AE804" i="26"/>
  <c r="AD804" i="26"/>
  <c r="AB804" i="26"/>
  <c r="AA804" i="26"/>
  <c r="Z804" i="26"/>
  <c r="Y804" i="26"/>
  <c r="Q804" i="26"/>
  <c r="L804" i="26"/>
  <c r="F804" i="26"/>
  <c r="E804" i="26"/>
  <c r="AM803" i="26"/>
  <c r="AL803" i="26"/>
  <c r="AF803" i="26"/>
  <c r="AE803" i="26"/>
  <c r="AD803" i="26"/>
  <c r="AB803" i="26"/>
  <c r="AA803" i="26"/>
  <c r="Z803" i="26"/>
  <c r="Y803" i="26"/>
  <c r="Q803" i="26"/>
  <c r="L803" i="26"/>
  <c r="F803" i="26"/>
  <c r="E803" i="26"/>
  <c r="AM802" i="26"/>
  <c r="AL802" i="26"/>
  <c r="AF802" i="26"/>
  <c r="AE802" i="26"/>
  <c r="AD802" i="26"/>
  <c r="AB802" i="26"/>
  <c r="AA802" i="26"/>
  <c r="Z802" i="26"/>
  <c r="Y802" i="26"/>
  <c r="Q802" i="26"/>
  <c r="L802" i="26"/>
  <c r="F802" i="26"/>
  <c r="E802" i="26"/>
  <c r="AM801" i="26"/>
  <c r="AL801" i="26"/>
  <c r="AF801" i="26"/>
  <c r="AE801" i="26"/>
  <c r="AD801" i="26"/>
  <c r="AB801" i="26"/>
  <c r="AA801" i="26"/>
  <c r="Z801" i="26"/>
  <c r="Y801" i="26"/>
  <c r="Q801" i="26"/>
  <c r="L801" i="26"/>
  <c r="F801" i="26"/>
  <c r="E801" i="26"/>
  <c r="AM800" i="26"/>
  <c r="AL800" i="26"/>
  <c r="AF800" i="26"/>
  <c r="AE800" i="26"/>
  <c r="AD800" i="26"/>
  <c r="AB800" i="26"/>
  <c r="AA800" i="26"/>
  <c r="Z800" i="26"/>
  <c r="Y800" i="26"/>
  <c r="Q800" i="26"/>
  <c r="L800" i="26"/>
  <c r="F800" i="26"/>
  <c r="E800" i="26"/>
  <c r="AM799" i="26"/>
  <c r="AL799" i="26"/>
  <c r="AF799" i="26"/>
  <c r="AE799" i="26"/>
  <c r="AD799" i="26"/>
  <c r="AB799" i="26"/>
  <c r="AA799" i="26"/>
  <c r="Z799" i="26"/>
  <c r="Y799" i="26"/>
  <c r="Q799" i="26"/>
  <c r="L799" i="26"/>
  <c r="F799" i="26"/>
  <c r="E799" i="26"/>
  <c r="AM798" i="26"/>
  <c r="AL798" i="26"/>
  <c r="AF798" i="26"/>
  <c r="AE798" i="26"/>
  <c r="AD798" i="26"/>
  <c r="AB798" i="26"/>
  <c r="AA798" i="26"/>
  <c r="Z798" i="26"/>
  <c r="Y798" i="26"/>
  <c r="Q798" i="26"/>
  <c r="L798" i="26"/>
  <c r="F798" i="26"/>
  <c r="E798" i="26"/>
  <c r="AM797" i="26"/>
  <c r="AL797" i="26"/>
  <c r="AF797" i="26"/>
  <c r="AE797" i="26"/>
  <c r="AD797" i="26"/>
  <c r="AB797" i="26"/>
  <c r="AA797" i="26"/>
  <c r="Z797" i="26"/>
  <c r="Y797" i="26"/>
  <c r="Q797" i="26"/>
  <c r="L797" i="26"/>
  <c r="F797" i="26"/>
  <c r="E797" i="26"/>
  <c r="AM796" i="26"/>
  <c r="AL796" i="26"/>
  <c r="AF796" i="26"/>
  <c r="AE796" i="26"/>
  <c r="AD796" i="26"/>
  <c r="AB796" i="26"/>
  <c r="AA796" i="26"/>
  <c r="Z796" i="26"/>
  <c r="Y796" i="26"/>
  <c r="AC796" i="26" s="1"/>
  <c r="Q796" i="26"/>
  <c r="L796" i="26"/>
  <c r="F796" i="26"/>
  <c r="E796" i="26"/>
  <c r="AM795" i="26"/>
  <c r="AL795" i="26"/>
  <c r="AF795" i="26"/>
  <c r="AE795" i="26"/>
  <c r="AD795" i="26"/>
  <c r="AB795" i="26"/>
  <c r="AA795" i="26"/>
  <c r="Z795" i="26"/>
  <c r="Y795" i="26"/>
  <c r="Q795" i="26"/>
  <c r="L795" i="26"/>
  <c r="F795" i="26"/>
  <c r="E795" i="26"/>
  <c r="AM794" i="26"/>
  <c r="AL794" i="26"/>
  <c r="AF794" i="26"/>
  <c r="AE794" i="26"/>
  <c r="AD794" i="26"/>
  <c r="AB794" i="26"/>
  <c r="AA794" i="26"/>
  <c r="Z794" i="26"/>
  <c r="Y794" i="26"/>
  <c r="AC794" i="26" s="1"/>
  <c r="Q794" i="26"/>
  <c r="L794" i="26"/>
  <c r="F794" i="26"/>
  <c r="E794" i="26"/>
  <c r="AM793" i="26"/>
  <c r="AL793" i="26"/>
  <c r="AF793" i="26"/>
  <c r="AE793" i="26"/>
  <c r="AD793" i="26"/>
  <c r="AB793" i="26"/>
  <c r="AA793" i="26"/>
  <c r="Z793" i="26"/>
  <c r="Y793" i="26"/>
  <c r="Q793" i="26"/>
  <c r="L793" i="26"/>
  <c r="F793" i="26"/>
  <c r="E793" i="26"/>
  <c r="AM792" i="26"/>
  <c r="AL792" i="26"/>
  <c r="AF792" i="26"/>
  <c r="AE792" i="26"/>
  <c r="AD792" i="26"/>
  <c r="AB792" i="26"/>
  <c r="AA792" i="26"/>
  <c r="Z792" i="26"/>
  <c r="Y792" i="26"/>
  <c r="Q792" i="26"/>
  <c r="L792" i="26"/>
  <c r="F792" i="26"/>
  <c r="E792" i="26"/>
  <c r="AM791" i="26"/>
  <c r="AL791" i="26"/>
  <c r="AF791" i="26"/>
  <c r="AE791" i="26"/>
  <c r="AD791" i="26"/>
  <c r="AB791" i="26"/>
  <c r="AA791" i="26"/>
  <c r="Z791" i="26"/>
  <c r="Y791" i="26"/>
  <c r="AC791" i="26" s="1"/>
  <c r="Q791" i="26"/>
  <c r="L791" i="26"/>
  <c r="F791" i="26"/>
  <c r="E791" i="26"/>
  <c r="AM790" i="26"/>
  <c r="AL790" i="26"/>
  <c r="AF790" i="26"/>
  <c r="AE790" i="26"/>
  <c r="AD790" i="26"/>
  <c r="AB790" i="26"/>
  <c r="AA790" i="26"/>
  <c r="Z790" i="26"/>
  <c r="Y790" i="26"/>
  <c r="AC790" i="26" s="1"/>
  <c r="Q790" i="26"/>
  <c r="L790" i="26"/>
  <c r="F790" i="26"/>
  <c r="E790" i="26"/>
  <c r="AM789" i="26"/>
  <c r="AL789" i="26"/>
  <c r="AF789" i="26"/>
  <c r="AE789" i="26"/>
  <c r="AD789" i="26"/>
  <c r="AB789" i="26"/>
  <c r="AA789" i="26"/>
  <c r="Z789" i="26"/>
  <c r="Y789" i="26"/>
  <c r="Q789" i="26"/>
  <c r="L789" i="26"/>
  <c r="F789" i="26"/>
  <c r="E789" i="26"/>
  <c r="AM788" i="26"/>
  <c r="AL788" i="26"/>
  <c r="AF788" i="26"/>
  <c r="AE788" i="26"/>
  <c r="AD788" i="26"/>
  <c r="AB788" i="26"/>
  <c r="AA788" i="26"/>
  <c r="Z788" i="26"/>
  <c r="Y788" i="26"/>
  <c r="AC788" i="26" s="1"/>
  <c r="Q788" i="26"/>
  <c r="L788" i="26"/>
  <c r="F788" i="26"/>
  <c r="E788" i="26"/>
  <c r="AM787" i="26"/>
  <c r="AL787" i="26"/>
  <c r="AF787" i="26"/>
  <c r="AE787" i="26"/>
  <c r="AD787" i="26"/>
  <c r="AB787" i="26"/>
  <c r="AA787" i="26"/>
  <c r="Z787" i="26"/>
  <c r="Y787" i="26"/>
  <c r="Q787" i="26"/>
  <c r="L787" i="26"/>
  <c r="F787" i="26"/>
  <c r="E787" i="26"/>
  <c r="AM786" i="26"/>
  <c r="AL786" i="26"/>
  <c r="AF786" i="26"/>
  <c r="AE786" i="26"/>
  <c r="AD786" i="26"/>
  <c r="AB786" i="26"/>
  <c r="AA786" i="26"/>
  <c r="Z786" i="26"/>
  <c r="Y786" i="26"/>
  <c r="Q786" i="26"/>
  <c r="L786" i="26"/>
  <c r="F786" i="26"/>
  <c r="E786" i="26"/>
  <c r="AM785" i="26"/>
  <c r="AL785" i="26"/>
  <c r="AF785" i="26"/>
  <c r="AE785" i="26"/>
  <c r="AD785" i="26"/>
  <c r="AB785" i="26"/>
  <c r="AA785" i="26"/>
  <c r="Z785" i="26"/>
  <c r="Y785" i="26"/>
  <c r="AC785" i="26" s="1"/>
  <c r="Q785" i="26"/>
  <c r="L785" i="26"/>
  <c r="F785" i="26"/>
  <c r="E785" i="26"/>
  <c r="AM784" i="26"/>
  <c r="AL784" i="26"/>
  <c r="AF784" i="26"/>
  <c r="AE784" i="26"/>
  <c r="AD784" i="26"/>
  <c r="AB784" i="26"/>
  <c r="AA784" i="26"/>
  <c r="Z784" i="26"/>
  <c r="Y784" i="26"/>
  <c r="Q784" i="26"/>
  <c r="L784" i="26"/>
  <c r="F784" i="26"/>
  <c r="E784" i="26"/>
  <c r="AM783" i="26"/>
  <c r="AL783" i="26"/>
  <c r="AF783" i="26"/>
  <c r="AE783" i="26"/>
  <c r="AD783" i="26"/>
  <c r="AB783" i="26"/>
  <c r="AA783" i="26"/>
  <c r="Z783" i="26"/>
  <c r="Y783" i="26"/>
  <c r="Q783" i="26"/>
  <c r="L783" i="26"/>
  <c r="F783" i="26"/>
  <c r="E783" i="26"/>
  <c r="AM782" i="26"/>
  <c r="AL782" i="26"/>
  <c r="AF782" i="26"/>
  <c r="AE782" i="26"/>
  <c r="AD782" i="26"/>
  <c r="AB782" i="26"/>
  <c r="AA782" i="26"/>
  <c r="Z782" i="26"/>
  <c r="Y782" i="26"/>
  <c r="Q782" i="26"/>
  <c r="L782" i="26"/>
  <c r="F782" i="26"/>
  <c r="E782" i="26"/>
  <c r="AM781" i="26"/>
  <c r="AL781" i="26"/>
  <c r="AF781" i="26"/>
  <c r="AE781" i="26"/>
  <c r="AD781" i="26"/>
  <c r="AB781" i="26"/>
  <c r="AA781" i="26"/>
  <c r="Z781" i="26"/>
  <c r="Y781" i="26"/>
  <c r="Q781" i="26"/>
  <c r="L781" i="26"/>
  <c r="F781" i="26"/>
  <c r="E781" i="26"/>
  <c r="AM780" i="26"/>
  <c r="AL780" i="26"/>
  <c r="AF780" i="26"/>
  <c r="AE780" i="26"/>
  <c r="AD780" i="26"/>
  <c r="AB780" i="26"/>
  <c r="AA780" i="26"/>
  <c r="Z780" i="26"/>
  <c r="Y780" i="26"/>
  <c r="AC780" i="26" s="1"/>
  <c r="Q780" i="26"/>
  <c r="L780" i="26"/>
  <c r="F780" i="26"/>
  <c r="E780" i="26"/>
  <c r="AM779" i="26"/>
  <c r="AL779" i="26"/>
  <c r="AF779" i="26"/>
  <c r="AE779" i="26"/>
  <c r="AD779" i="26"/>
  <c r="AB779" i="26"/>
  <c r="AA779" i="26"/>
  <c r="Z779" i="26"/>
  <c r="Y779" i="26"/>
  <c r="Q779" i="26"/>
  <c r="L779" i="26"/>
  <c r="F779" i="26"/>
  <c r="E779" i="26"/>
  <c r="AM778" i="26"/>
  <c r="AL778" i="26"/>
  <c r="AF778" i="26"/>
  <c r="AE778" i="26"/>
  <c r="AD778" i="26"/>
  <c r="AB778" i="26"/>
  <c r="AA778" i="26"/>
  <c r="Z778" i="26"/>
  <c r="Y778" i="26"/>
  <c r="AC778" i="26" s="1"/>
  <c r="Q778" i="26"/>
  <c r="L778" i="26"/>
  <c r="F778" i="26"/>
  <c r="E778" i="26"/>
  <c r="AM777" i="26"/>
  <c r="AL777" i="26"/>
  <c r="AF777" i="26"/>
  <c r="AE777" i="26"/>
  <c r="AD777" i="26"/>
  <c r="AB777" i="26"/>
  <c r="AA777" i="26"/>
  <c r="Z777" i="26"/>
  <c r="Y777" i="26"/>
  <c r="AC777" i="26" s="1"/>
  <c r="Q777" i="26"/>
  <c r="L777" i="26"/>
  <c r="F777" i="26"/>
  <c r="E777" i="26"/>
  <c r="AM776" i="26"/>
  <c r="AL776" i="26"/>
  <c r="AF776" i="26"/>
  <c r="AE776" i="26"/>
  <c r="AD776" i="26"/>
  <c r="AB776" i="26"/>
  <c r="AA776" i="26"/>
  <c r="Z776" i="26"/>
  <c r="Y776" i="26"/>
  <c r="AC776" i="26" s="1"/>
  <c r="Q776" i="26"/>
  <c r="L776" i="26"/>
  <c r="F776" i="26"/>
  <c r="E776" i="26"/>
  <c r="AM775" i="26"/>
  <c r="AL775" i="26"/>
  <c r="AF775" i="26"/>
  <c r="AE775" i="26"/>
  <c r="AD775" i="26"/>
  <c r="AB775" i="26"/>
  <c r="AA775" i="26"/>
  <c r="Z775" i="26"/>
  <c r="Y775" i="26"/>
  <c r="AC775" i="26" s="1"/>
  <c r="Q775" i="26"/>
  <c r="L775" i="26"/>
  <c r="F775" i="26"/>
  <c r="E775" i="26"/>
  <c r="AM774" i="26"/>
  <c r="AL774" i="26"/>
  <c r="AF774" i="26"/>
  <c r="AE774" i="26"/>
  <c r="AD774" i="26"/>
  <c r="AB774" i="26"/>
  <c r="AA774" i="26"/>
  <c r="Z774" i="26"/>
  <c r="Y774" i="26"/>
  <c r="AC774" i="26" s="1"/>
  <c r="Q774" i="26"/>
  <c r="L774" i="26"/>
  <c r="F774" i="26"/>
  <c r="E774" i="26"/>
  <c r="AM773" i="26"/>
  <c r="AL773" i="26"/>
  <c r="AF773" i="26"/>
  <c r="AE773" i="26"/>
  <c r="AD773" i="26"/>
  <c r="AB773" i="26"/>
  <c r="AA773" i="26"/>
  <c r="Z773" i="26"/>
  <c r="Y773" i="26"/>
  <c r="Q773" i="26"/>
  <c r="L773" i="26"/>
  <c r="F773" i="26"/>
  <c r="E773" i="26"/>
  <c r="AM772" i="26"/>
  <c r="AL772" i="26"/>
  <c r="AF772" i="26"/>
  <c r="AE772" i="26"/>
  <c r="AD772" i="26"/>
  <c r="AB772" i="26"/>
  <c r="AA772" i="26"/>
  <c r="Z772" i="26"/>
  <c r="Y772" i="26"/>
  <c r="AC772" i="26" s="1"/>
  <c r="Q772" i="26"/>
  <c r="L772" i="26"/>
  <c r="F772" i="26"/>
  <c r="E772" i="26"/>
  <c r="AM771" i="26"/>
  <c r="AL771" i="26"/>
  <c r="AF771" i="26"/>
  <c r="AE771" i="26"/>
  <c r="AD771" i="26"/>
  <c r="AB771" i="26"/>
  <c r="AA771" i="26"/>
  <c r="Z771" i="26"/>
  <c r="Y771" i="26"/>
  <c r="Q771" i="26"/>
  <c r="L771" i="26"/>
  <c r="F771" i="26"/>
  <c r="E771" i="26"/>
  <c r="AM770" i="26"/>
  <c r="AL770" i="26"/>
  <c r="AF770" i="26"/>
  <c r="AE770" i="26"/>
  <c r="AD770" i="26"/>
  <c r="AB770" i="26"/>
  <c r="AA770" i="26"/>
  <c r="Z770" i="26"/>
  <c r="Y770" i="26"/>
  <c r="Q770" i="26"/>
  <c r="L770" i="26"/>
  <c r="F770" i="26"/>
  <c r="E770" i="26"/>
  <c r="AM769" i="26"/>
  <c r="AL769" i="26"/>
  <c r="AF769" i="26"/>
  <c r="AE769" i="26"/>
  <c r="AD769" i="26"/>
  <c r="AB769" i="26"/>
  <c r="AA769" i="26"/>
  <c r="Z769" i="26"/>
  <c r="Y769" i="26"/>
  <c r="AC769" i="26" s="1"/>
  <c r="Q769" i="26"/>
  <c r="L769" i="26"/>
  <c r="F769" i="26"/>
  <c r="E769" i="26"/>
  <c r="AM768" i="26"/>
  <c r="AL768" i="26"/>
  <c r="AF768" i="26"/>
  <c r="AE768" i="26"/>
  <c r="AD768" i="26"/>
  <c r="AB768" i="26"/>
  <c r="AA768" i="26"/>
  <c r="Z768" i="26"/>
  <c r="Y768" i="26"/>
  <c r="Q768" i="26"/>
  <c r="L768" i="26"/>
  <c r="F768" i="26"/>
  <c r="E768" i="26"/>
  <c r="AM767" i="26"/>
  <c r="AL767" i="26"/>
  <c r="AF767" i="26"/>
  <c r="AE767" i="26"/>
  <c r="AD767" i="26"/>
  <c r="AB767" i="26"/>
  <c r="AA767" i="26"/>
  <c r="Z767" i="26"/>
  <c r="Y767" i="26"/>
  <c r="Q767" i="26"/>
  <c r="L767" i="26"/>
  <c r="F767" i="26"/>
  <c r="E767" i="26"/>
  <c r="AM766" i="26"/>
  <c r="AL766" i="26"/>
  <c r="AF766" i="26"/>
  <c r="AE766" i="26"/>
  <c r="AD766" i="26"/>
  <c r="AB766" i="26"/>
  <c r="AA766" i="26"/>
  <c r="Z766" i="26"/>
  <c r="Y766" i="26"/>
  <c r="Q766" i="26"/>
  <c r="L766" i="26"/>
  <c r="F766" i="26"/>
  <c r="E766" i="26"/>
  <c r="AM765" i="26"/>
  <c r="AL765" i="26"/>
  <c r="AF765" i="26"/>
  <c r="AE765" i="26"/>
  <c r="AD765" i="26"/>
  <c r="AB765" i="26"/>
  <c r="AA765" i="26"/>
  <c r="Z765" i="26"/>
  <c r="Y765" i="26"/>
  <c r="Q765" i="26"/>
  <c r="L765" i="26"/>
  <c r="F765" i="26"/>
  <c r="E765" i="26"/>
  <c r="AM764" i="26"/>
  <c r="AL764" i="26"/>
  <c r="AF764" i="26"/>
  <c r="AE764" i="26"/>
  <c r="AD764" i="26"/>
  <c r="AB764" i="26"/>
  <c r="AA764" i="26"/>
  <c r="Z764" i="26"/>
  <c r="Y764" i="26"/>
  <c r="AC764" i="26" s="1"/>
  <c r="Q764" i="26"/>
  <c r="L764" i="26"/>
  <c r="F764" i="26"/>
  <c r="E764" i="26"/>
  <c r="AM763" i="26"/>
  <c r="AL763" i="26"/>
  <c r="AF763" i="26"/>
  <c r="AE763" i="26"/>
  <c r="AD763" i="26"/>
  <c r="AB763" i="26"/>
  <c r="AA763" i="26"/>
  <c r="Z763" i="26"/>
  <c r="Y763" i="26"/>
  <c r="Q763" i="26"/>
  <c r="L763" i="26"/>
  <c r="F763" i="26"/>
  <c r="E763" i="26"/>
  <c r="AM762" i="26"/>
  <c r="AL762" i="26"/>
  <c r="AF762" i="26"/>
  <c r="AE762" i="26"/>
  <c r="AD762" i="26"/>
  <c r="AB762" i="26"/>
  <c r="AA762" i="26"/>
  <c r="Z762" i="26"/>
  <c r="Y762" i="26"/>
  <c r="AC762" i="26" s="1"/>
  <c r="Q762" i="26"/>
  <c r="L762" i="26"/>
  <c r="F762" i="26"/>
  <c r="E762" i="26"/>
  <c r="AM761" i="26"/>
  <c r="AL761" i="26"/>
  <c r="AF761" i="26"/>
  <c r="AE761" i="26"/>
  <c r="AD761" i="26"/>
  <c r="AB761" i="26"/>
  <c r="AA761" i="26"/>
  <c r="Z761" i="26"/>
  <c r="Y761" i="26"/>
  <c r="AC761" i="26" s="1"/>
  <c r="Q761" i="26"/>
  <c r="L761" i="26"/>
  <c r="F761" i="26"/>
  <c r="E761" i="26"/>
  <c r="AM760" i="26"/>
  <c r="AL760" i="26"/>
  <c r="AF760" i="26"/>
  <c r="AE760" i="26"/>
  <c r="AD760" i="26"/>
  <c r="AB760" i="26"/>
  <c r="AA760" i="26"/>
  <c r="Z760" i="26"/>
  <c r="Y760" i="26"/>
  <c r="AC760" i="26" s="1"/>
  <c r="Q760" i="26"/>
  <c r="L760" i="26"/>
  <c r="F760" i="26"/>
  <c r="E760" i="26"/>
  <c r="AM759" i="26"/>
  <c r="AL759" i="26"/>
  <c r="AF759" i="26"/>
  <c r="AE759" i="26"/>
  <c r="AD759" i="26"/>
  <c r="AB759" i="26"/>
  <c r="AA759" i="26"/>
  <c r="Z759" i="26"/>
  <c r="Y759" i="26"/>
  <c r="AC759" i="26" s="1"/>
  <c r="Q759" i="26"/>
  <c r="L759" i="26"/>
  <c r="F759" i="26"/>
  <c r="E759" i="26"/>
  <c r="AM758" i="26"/>
  <c r="AL758" i="26"/>
  <c r="AF758" i="26"/>
  <c r="AE758" i="26"/>
  <c r="AD758" i="26"/>
  <c r="AB758" i="26"/>
  <c r="AA758" i="26"/>
  <c r="Z758" i="26"/>
  <c r="Y758" i="26"/>
  <c r="AC758" i="26" s="1"/>
  <c r="Q758" i="26"/>
  <c r="L758" i="26"/>
  <c r="F758" i="26"/>
  <c r="E758" i="26"/>
  <c r="AM757" i="26"/>
  <c r="AL757" i="26"/>
  <c r="AF757" i="26"/>
  <c r="AE757" i="26"/>
  <c r="AD757" i="26"/>
  <c r="AB757" i="26"/>
  <c r="AA757" i="26"/>
  <c r="Z757" i="26"/>
  <c r="Y757" i="26"/>
  <c r="Q757" i="26"/>
  <c r="L757" i="26"/>
  <c r="F757" i="26"/>
  <c r="E757" i="26"/>
  <c r="AM756" i="26"/>
  <c r="AL756" i="26"/>
  <c r="AF756" i="26"/>
  <c r="AE756" i="26"/>
  <c r="AD756" i="26"/>
  <c r="AB756" i="26"/>
  <c r="AA756" i="26"/>
  <c r="Z756" i="26"/>
  <c r="Y756" i="26"/>
  <c r="AC756" i="26" s="1"/>
  <c r="Q756" i="26"/>
  <c r="L756" i="26"/>
  <c r="F756" i="26"/>
  <c r="E756" i="26"/>
  <c r="AM755" i="26"/>
  <c r="AL755" i="26"/>
  <c r="AF755" i="26"/>
  <c r="AE755" i="26"/>
  <c r="AD755" i="26"/>
  <c r="AB755" i="26"/>
  <c r="AA755" i="26"/>
  <c r="Z755" i="26"/>
  <c r="Y755" i="26"/>
  <c r="Q755" i="26"/>
  <c r="L755" i="26"/>
  <c r="F755" i="26"/>
  <c r="E755" i="26"/>
  <c r="AM754" i="26"/>
  <c r="AL754" i="26"/>
  <c r="AF754" i="26"/>
  <c r="AE754" i="26"/>
  <c r="AD754" i="26"/>
  <c r="AB754" i="26"/>
  <c r="AA754" i="26"/>
  <c r="Z754" i="26"/>
  <c r="Y754" i="26"/>
  <c r="Q754" i="26"/>
  <c r="L754" i="26"/>
  <c r="F754" i="26"/>
  <c r="E754" i="26"/>
  <c r="AM753" i="26"/>
  <c r="AL753" i="26"/>
  <c r="AF753" i="26"/>
  <c r="AE753" i="26"/>
  <c r="AD753" i="26"/>
  <c r="AB753" i="26"/>
  <c r="AA753" i="26"/>
  <c r="Z753" i="26"/>
  <c r="Y753" i="26"/>
  <c r="AC753" i="26" s="1"/>
  <c r="Q753" i="26"/>
  <c r="L753" i="26"/>
  <c r="F753" i="26"/>
  <c r="E753" i="26"/>
  <c r="AM752" i="26"/>
  <c r="AL752" i="26"/>
  <c r="AF752" i="26"/>
  <c r="AE752" i="26"/>
  <c r="AD752" i="26"/>
  <c r="AB752" i="26"/>
  <c r="AA752" i="26"/>
  <c r="Z752" i="26"/>
  <c r="Y752" i="26"/>
  <c r="Q752" i="26"/>
  <c r="L752" i="26"/>
  <c r="F752" i="26"/>
  <c r="E752" i="26"/>
  <c r="AM751" i="26"/>
  <c r="AL751" i="26"/>
  <c r="AF751" i="26"/>
  <c r="AE751" i="26"/>
  <c r="AD751" i="26"/>
  <c r="AB751" i="26"/>
  <c r="AA751" i="26"/>
  <c r="Z751" i="26"/>
  <c r="Y751" i="26"/>
  <c r="Q751" i="26"/>
  <c r="L751" i="26"/>
  <c r="F751" i="26"/>
  <c r="E751" i="26"/>
  <c r="AM750" i="26"/>
  <c r="AL750" i="26"/>
  <c r="AF750" i="26"/>
  <c r="AE750" i="26"/>
  <c r="AD750" i="26"/>
  <c r="AB750" i="26"/>
  <c r="AA750" i="26"/>
  <c r="Z750" i="26"/>
  <c r="Y750" i="26"/>
  <c r="Q750" i="26"/>
  <c r="L750" i="26"/>
  <c r="F750" i="26"/>
  <c r="E750" i="26"/>
  <c r="AM749" i="26"/>
  <c r="AL749" i="26"/>
  <c r="AF749" i="26"/>
  <c r="AE749" i="26"/>
  <c r="AD749" i="26"/>
  <c r="AB749" i="26"/>
  <c r="AA749" i="26"/>
  <c r="Z749" i="26"/>
  <c r="Y749" i="26"/>
  <c r="Q749" i="26"/>
  <c r="L749" i="26"/>
  <c r="F749" i="26"/>
  <c r="E749" i="26"/>
  <c r="AM748" i="26"/>
  <c r="AL748" i="26"/>
  <c r="AF748" i="26"/>
  <c r="AE748" i="26"/>
  <c r="AD748" i="26"/>
  <c r="AB748" i="26"/>
  <c r="AA748" i="26"/>
  <c r="Z748" i="26"/>
  <c r="Y748" i="26"/>
  <c r="AC748" i="26" s="1"/>
  <c r="Q748" i="26"/>
  <c r="L748" i="26"/>
  <c r="F748" i="26"/>
  <c r="E748" i="26"/>
  <c r="AM747" i="26"/>
  <c r="AL747" i="26"/>
  <c r="AF747" i="26"/>
  <c r="AE747" i="26"/>
  <c r="AD747" i="26"/>
  <c r="AB747" i="26"/>
  <c r="AA747" i="26"/>
  <c r="Z747" i="26"/>
  <c r="Y747" i="26"/>
  <c r="Q747" i="26"/>
  <c r="L747" i="26"/>
  <c r="F747" i="26"/>
  <c r="E747" i="26"/>
  <c r="AM746" i="26"/>
  <c r="AL746" i="26"/>
  <c r="AF746" i="26"/>
  <c r="AE746" i="26"/>
  <c r="AD746" i="26"/>
  <c r="AB746" i="26"/>
  <c r="AA746" i="26"/>
  <c r="Z746" i="26"/>
  <c r="Y746" i="26"/>
  <c r="AC746" i="26" s="1"/>
  <c r="Q746" i="26"/>
  <c r="L746" i="26"/>
  <c r="F746" i="26"/>
  <c r="E746" i="26"/>
  <c r="AM745" i="26"/>
  <c r="AL745" i="26"/>
  <c r="AF745" i="26"/>
  <c r="AE745" i="26"/>
  <c r="AD745" i="26"/>
  <c r="AB745" i="26"/>
  <c r="AA745" i="26"/>
  <c r="Z745" i="26"/>
  <c r="Y745" i="26"/>
  <c r="AC745" i="26" s="1"/>
  <c r="Q745" i="26"/>
  <c r="L745" i="26"/>
  <c r="F745" i="26"/>
  <c r="E745" i="26"/>
  <c r="AM744" i="26"/>
  <c r="AL744" i="26"/>
  <c r="AF744" i="26"/>
  <c r="AE744" i="26"/>
  <c r="AD744" i="26"/>
  <c r="AB744" i="26"/>
  <c r="AA744" i="26"/>
  <c r="Z744" i="26"/>
  <c r="Y744" i="26"/>
  <c r="AC744" i="26" s="1"/>
  <c r="Q744" i="26"/>
  <c r="L744" i="26"/>
  <c r="F744" i="26"/>
  <c r="E744" i="26"/>
  <c r="AM743" i="26"/>
  <c r="AL743" i="26"/>
  <c r="AF743" i="26"/>
  <c r="AE743" i="26"/>
  <c r="AD743" i="26"/>
  <c r="AB743" i="26"/>
  <c r="AA743" i="26"/>
  <c r="Z743" i="26"/>
  <c r="Y743" i="26"/>
  <c r="AC743" i="26" s="1"/>
  <c r="Q743" i="26"/>
  <c r="L743" i="26"/>
  <c r="F743" i="26"/>
  <c r="E743" i="26"/>
  <c r="AM742" i="26"/>
  <c r="AL742" i="26"/>
  <c r="AF742" i="26"/>
  <c r="AE742" i="26"/>
  <c r="AD742" i="26"/>
  <c r="AB742" i="26"/>
  <c r="AA742" i="26"/>
  <c r="Z742" i="26"/>
  <c r="Y742" i="26"/>
  <c r="AC742" i="26" s="1"/>
  <c r="Q742" i="26"/>
  <c r="L742" i="26"/>
  <c r="F742" i="26"/>
  <c r="E742" i="26"/>
  <c r="AM741" i="26"/>
  <c r="AL741" i="26"/>
  <c r="AF741" i="26"/>
  <c r="AE741" i="26"/>
  <c r="AD741" i="26"/>
  <c r="AB741" i="26"/>
  <c r="AA741" i="26"/>
  <c r="Z741" i="26"/>
  <c r="Y741" i="26"/>
  <c r="Q741" i="26"/>
  <c r="L741" i="26"/>
  <c r="F741" i="26"/>
  <c r="E741" i="26"/>
  <c r="AM740" i="26"/>
  <c r="AL740" i="26"/>
  <c r="AF740" i="26"/>
  <c r="AE740" i="26"/>
  <c r="AD740" i="26"/>
  <c r="AB740" i="26"/>
  <c r="AA740" i="26"/>
  <c r="Z740" i="26"/>
  <c r="Y740" i="26"/>
  <c r="AC740" i="26" s="1"/>
  <c r="Q740" i="26"/>
  <c r="L740" i="26"/>
  <c r="F740" i="26"/>
  <c r="E740" i="26"/>
  <c r="AM739" i="26"/>
  <c r="AL739" i="26"/>
  <c r="AF739" i="26"/>
  <c r="AE739" i="26"/>
  <c r="AD739" i="26"/>
  <c r="AB739" i="26"/>
  <c r="AA739" i="26"/>
  <c r="Z739" i="26"/>
  <c r="Y739" i="26"/>
  <c r="Q739" i="26"/>
  <c r="L739" i="26"/>
  <c r="F739" i="26"/>
  <c r="E739" i="26"/>
  <c r="AM738" i="26"/>
  <c r="AL738" i="26"/>
  <c r="AF738" i="26"/>
  <c r="AE738" i="26"/>
  <c r="AD738" i="26"/>
  <c r="AB738" i="26"/>
  <c r="AA738" i="26"/>
  <c r="Z738" i="26"/>
  <c r="Y738" i="26"/>
  <c r="Q738" i="26"/>
  <c r="L738" i="26"/>
  <c r="F738" i="26"/>
  <c r="E738" i="26"/>
  <c r="AM737" i="26"/>
  <c r="AL737" i="26"/>
  <c r="AF737" i="26"/>
  <c r="AE737" i="26"/>
  <c r="AD737" i="26"/>
  <c r="AB737" i="26"/>
  <c r="AA737" i="26"/>
  <c r="Z737" i="26"/>
  <c r="Y737" i="26"/>
  <c r="AC737" i="26" s="1"/>
  <c r="Q737" i="26"/>
  <c r="L737" i="26"/>
  <c r="F737" i="26"/>
  <c r="E737" i="26"/>
  <c r="AM736" i="26"/>
  <c r="AL736" i="26"/>
  <c r="AF736" i="26"/>
  <c r="AE736" i="26"/>
  <c r="AD736" i="26"/>
  <c r="AB736" i="26"/>
  <c r="AA736" i="26"/>
  <c r="Z736" i="26"/>
  <c r="Y736" i="26"/>
  <c r="Q736" i="26"/>
  <c r="L736" i="26"/>
  <c r="F736" i="26"/>
  <c r="E736" i="26"/>
  <c r="AM735" i="26"/>
  <c r="AL735" i="26"/>
  <c r="AF735" i="26"/>
  <c r="AE735" i="26"/>
  <c r="AD735" i="26"/>
  <c r="AB735" i="26"/>
  <c r="AA735" i="26"/>
  <c r="Z735" i="26"/>
  <c r="Y735" i="26"/>
  <c r="Q735" i="26"/>
  <c r="L735" i="26"/>
  <c r="F735" i="26"/>
  <c r="E735" i="26"/>
  <c r="AM734" i="26"/>
  <c r="AL734" i="26"/>
  <c r="AF734" i="26"/>
  <c r="AE734" i="26"/>
  <c r="AD734" i="26"/>
  <c r="AB734" i="26"/>
  <c r="AA734" i="26"/>
  <c r="Z734" i="26"/>
  <c r="Y734" i="26"/>
  <c r="Q734" i="26"/>
  <c r="L734" i="26"/>
  <c r="F734" i="26"/>
  <c r="E734" i="26"/>
  <c r="AM733" i="26"/>
  <c r="AL733" i="26"/>
  <c r="AF733" i="26"/>
  <c r="AE733" i="26"/>
  <c r="AD733" i="26"/>
  <c r="AB733" i="26"/>
  <c r="AA733" i="26"/>
  <c r="Z733" i="26"/>
  <c r="Y733" i="26"/>
  <c r="Q733" i="26"/>
  <c r="L733" i="26"/>
  <c r="F733" i="26"/>
  <c r="E733" i="26"/>
  <c r="AM732" i="26"/>
  <c r="AL732" i="26"/>
  <c r="AF732" i="26"/>
  <c r="AE732" i="26"/>
  <c r="AD732" i="26"/>
  <c r="AB732" i="26"/>
  <c r="AA732" i="26"/>
  <c r="Z732" i="26"/>
  <c r="Y732" i="26"/>
  <c r="AC732" i="26" s="1"/>
  <c r="Q732" i="26"/>
  <c r="L732" i="26"/>
  <c r="F732" i="26"/>
  <c r="E732" i="26"/>
  <c r="AM731" i="26"/>
  <c r="AL731" i="26"/>
  <c r="AF731" i="26"/>
  <c r="AE731" i="26"/>
  <c r="AD731" i="26"/>
  <c r="AB731" i="26"/>
  <c r="AA731" i="26"/>
  <c r="Z731" i="26"/>
  <c r="Y731" i="26"/>
  <c r="Q731" i="26"/>
  <c r="L731" i="26"/>
  <c r="F731" i="26"/>
  <c r="E731" i="26"/>
  <c r="AM730" i="26"/>
  <c r="AL730" i="26"/>
  <c r="AF730" i="26"/>
  <c r="AE730" i="26"/>
  <c r="AD730" i="26"/>
  <c r="AB730" i="26"/>
  <c r="AA730" i="26"/>
  <c r="Z730" i="26"/>
  <c r="Y730" i="26"/>
  <c r="AC730" i="26" s="1"/>
  <c r="Q730" i="26"/>
  <c r="L730" i="26"/>
  <c r="F730" i="26"/>
  <c r="E730" i="26"/>
  <c r="AM729" i="26"/>
  <c r="AL729" i="26"/>
  <c r="AF729" i="26"/>
  <c r="AE729" i="26"/>
  <c r="AD729" i="26"/>
  <c r="AB729" i="26"/>
  <c r="AA729" i="26"/>
  <c r="Z729" i="26"/>
  <c r="Y729" i="26"/>
  <c r="AC729" i="26" s="1"/>
  <c r="Q729" i="26"/>
  <c r="L729" i="26"/>
  <c r="F729" i="26"/>
  <c r="E729" i="26"/>
  <c r="AM728" i="26"/>
  <c r="AL728" i="26"/>
  <c r="AF728" i="26"/>
  <c r="AE728" i="26"/>
  <c r="AD728" i="26"/>
  <c r="AB728" i="26"/>
  <c r="AA728" i="26"/>
  <c r="Z728" i="26"/>
  <c r="Y728" i="26"/>
  <c r="AC728" i="26" s="1"/>
  <c r="Q728" i="26"/>
  <c r="L728" i="26"/>
  <c r="F728" i="26"/>
  <c r="E728" i="26"/>
  <c r="AM727" i="26"/>
  <c r="AL727" i="26"/>
  <c r="AF727" i="26"/>
  <c r="AE727" i="26"/>
  <c r="AD727" i="26"/>
  <c r="AB727" i="26"/>
  <c r="AA727" i="26"/>
  <c r="Z727" i="26"/>
  <c r="Y727" i="26"/>
  <c r="AC727" i="26" s="1"/>
  <c r="Q727" i="26"/>
  <c r="L727" i="26"/>
  <c r="F727" i="26"/>
  <c r="E727" i="26"/>
  <c r="AM726" i="26"/>
  <c r="AL726" i="26"/>
  <c r="AF726" i="26"/>
  <c r="AE726" i="26"/>
  <c r="AD726" i="26"/>
  <c r="AB726" i="26"/>
  <c r="AA726" i="26"/>
  <c r="Z726" i="26"/>
  <c r="Y726" i="26"/>
  <c r="AC726" i="26" s="1"/>
  <c r="Q726" i="26"/>
  <c r="L726" i="26"/>
  <c r="F726" i="26"/>
  <c r="E726" i="26"/>
  <c r="AM725" i="26"/>
  <c r="AL725" i="26"/>
  <c r="AF725" i="26"/>
  <c r="AE725" i="26"/>
  <c r="AD725" i="26"/>
  <c r="AB725" i="26"/>
  <c r="AA725" i="26"/>
  <c r="Z725" i="26"/>
  <c r="Y725" i="26"/>
  <c r="Q725" i="26"/>
  <c r="L725" i="26"/>
  <c r="F725" i="26"/>
  <c r="E725" i="26"/>
  <c r="AM724" i="26"/>
  <c r="AL724" i="26"/>
  <c r="AF724" i="26"/>
  <c r="AE724" i="26"/>
  <c r="AD724" i="26"/>
  <c r="AB724" i="26"/>
  <c r="AA724" i="26"/>
  <c r="Z724" i="26"/>
  <c r="Y724" i="26"/>
  <c r="AC724" i="26" s="1"/>
  <c r="Q724" i="26"/>
  <c r="L724" i="26"/>
  <c r="F724" i="26"/>
  <c r="E724" i="26"/>
  <c r="AM723" i="26"/>
  <c r="AL723" i="26"/>
  <c r="AF723" i="26"/>
  <c r="AE723" i="26"/>
  <c r="AD723" i="26"/>
  <c r="AB723" i="26"/>
  <c r="AA723" i="26"/>
  <c r="Z723" i="26"/>
  <c r="Y723" i="26"/>
  <c r="Q723" i="26"/>
  <c r="L723" i="26"/>
  <c r="F723" i="26"/>
  <c r="E723" i="26"/>
  <c r="AM722" i="26"/>
  <c r="AL722" i="26"/>
  <c r="AF722" i="26"/>
  <c r="AE722" i="26"/>
  <c r="AD722" i="26"/>
  <c r="AB722" i="26"/>
  <c r="AA722" i="26"/>
  <c r="Z722" i="26"/>
  <c r="Y722" i="26"/>
  <c r="Q722" i="26"/>
  <c r="L722" i="26"/>
  <c r="F722" i="26"/>
  <c r="E722" i="26"/>
  <c r="AM721" i="26"/>
  <c r="AL721" i="26"/>
  <c r="AF721" i="26"/>
  <c r="AE721" i="26"/>
  <c r="AD721" i="26"/>
  <c r="AB721" i="26"/>
  <c r="AA721" i="26"/>
  <c r="Z721" i="26"/>
  <c r="Y721" i="26"/>
  <c r="AC721" i="26" s="1"/>
  <c r="Q721" i="26"/>
  <c r="L721" i="26"/>
  <c r="F721" i="26"/>
  <c r="E721" i="26"/>
  <c r="AM720" i="26"/>
  <c r="AL720" i="26"/>
  <c r="AF720" i="26"/>
  <c r="AE720" i="26"/>
  <c r="AD720" i="26"/>
  <c r="AB720" i="26"/>
  <c r="AA720" i="26"/>
  <c r="Z720" i="26"/>
  <c r="Y720" i="26"/>
  <c r="Q720" i="26"/>
  <c r="L720" i="26"/>
  <c r="F720" i="26"/>
  <c r="E720" i="26"/>
  <c r="AM719" i="26"/>
  <c r="AL719" i="26"/>
  <c r="AF719" i="26"/>
  <c r="AE719" i="26"/>
  <c r="AD719" i="26"/>
  <c r="AB719" i="26"/>
  <c r="AA719" i="26"/>
  <c r="Z719" i="26"/>
  <c r="Y719" i="26"/>
  <c r="Q719" i="26"/>
  <c r="L719" i="26"/>
  <c r="F719" i="26"/>
  <c r="E719" i="26"/>
  <c r="AM718" i="26"/>
  <c r="AL718" i="26"/>
  <c r="AF718" i="26"/>
  <c r="AE718" i="26"/>
  <c r="AD718" i="26"/>
  <c r="AB718" i="26"/>
  <c r="AA718" i="26"/>
  <c r="Z718" i="26"/>
  <c r="Y718" i="26"/>
  <c r="Q718" i="26"/>
  <c r="L718" i="26"/>
  <c r="F718" i="26"/>
  <c r="E718" i="26"/>
  <c r="AM717" i="26"/>
  <c r="AL717" i="26"/>
  <c r="AF717" i="26"/>
  <c r="AE717" i="26"/>
  <c r="AD717" i="26"/>
  <c r="AB717" i="26"/>
  <c r="AA717" i="26"/>
  <c r="Z717" i="26"/>
  <c r="Y717" i="26"/>
  <c r="Q717" i="26"/>
  <c r="L717" i="26"/>
  <c r="F717" i="26"/>
  <c r="E717" i="26"/>
  <c r="AM716" i="26"/>
  <c r="AL716" i="26"/>
  <c r="AF716" i="26"/>
  <c r="AE716" i="26"/>
  <c r="AD716" i="26"/>
  <c r="AB716" i="26"/>
  <c r="AA716" i="26"/>
  <c r="Z716" i="26"/>
  <c r="Y716" i="26"/>
  <c r="AC716" i="26" s="1"/>
  <c r="Q716" i="26"/>
  <c r="L716" i="26"/>
  <c r="F716" i="26"/>
  <c r="E716" i="26"/>
  <c r="AM715" i="26"/>
  <c r="AL715" i="26"/>
  <c r="AF715" i="26"/>
  <c r="AE715" i="26"/>
  <c r="AD715" i="26"/>
  <c r="AB715" i="26"/>
  <c r="AA715" i="26"/>
  <c r="Z715" i="26"/>
  <c r="Y715" i="26"/>
  <c r="Q715" i="26"/>
  <c r="L715" i="26"/>
  <c r="F715" i="26"/>
  <c r="E715" i="26"/>
  <c r="AM714" i="26"/>
  <c r="AL714" i="26"/>
  <c r="AF714" i="26"/>
  <c r="AE714" i="26"/>
  <c r="AD714" i="26"/>
  <c r="AB714" i="26"/>
  <c r="AA714" i="26"/>
  <c r="Z714" i="26"/>
  <c r="Y714" i="26"/>
  <c r="AC714" i="26" s="1"/>
  <c r="Q714" i="26"/>
  <c r="L714" i="26"/>
  <c r="F714" i="26"/>
  <c r="E714" i="26"/>
  <c r="AM713" i="26"/>
  <c r="AL713" i="26"/>
  <c r="AF713" i="26"/>
  <c r="AE713" i="26"/>
  <c r="AD713" i="26"/>
  <c r="AB713" i="26"/>
  <c r="AA713" i="26"/>
  <c r="Z713" i="26"/>
  <c r="Y713" i="26"/>
  <c r="AC713" i="26" s="1"/>
  <c r="Q713" i="26"/>
  <c r="L713" i="26"/>
  <c r="F713" i="26"/>
  <c r="E713" i="26"/>
  <c r="AM712" i="26"/>
  <c r="AL712" i="26"/>
  <c r="AF712" i="26"/>
  <c r="AE712" i="26"/>
  <c r="AD712" i="26"/>
  <c r="AB712" i="26"/>
  <c r="AA712" i="26"/>
  <c r="Z712" i="26"/>
  <c r="Y712" i="26"/>
  <c r="AC712" i="26" s="1"/>
  <c r="Q712" i="26"/>
  <c r="L712" i="26"/>
  <c r="F712" i="26"/>
  <c r="E712" i="26"/>
  <c r="AM711" i="26"/>
  <c r="AL711" i="26"/>
  <c r="AF711" i="26"/>
  <c r="AE711" i="26"/>
  <c r="AD711" i="26"/>
  <c r="AB711" i="26"/>
  <c r="AA711" i="26"/>
  <c r="Z711" i="26"/>
  <c r="Y711" i="26"/>
  <c r="AC711" i="26" s="1"/>
  <c r="Q711" i="26"/>
  <c r="L711" i="26"/>
  <c r="F711" i="26"/>
  <c r="E711" i="26"/>
  <c r="AM710" i="26"/>
  <c r="AL710" i="26"/>
  <c r="AF710" i="26"/>
  <c r="AE710" i="26"/>
  <c r="AD710" i="26"/>
  <c r="AB710" i="26"/>
  <c r="AA710" i="26"/>
  <c r="Z710" i="26"/>
  <c r="Y710" i="26"/>
  <c r="AC710" i="26" s="1"/>
  <c r="Q710" i="26"/>
  <c r="L710" i="26"/>
  <c r="F710" i="26"/>
  <c r="E710" i="26"/>
  <c r="AM709" i="26"/>
  <c r="AL709" i="26"/>
  <c r="AF709" i="26"/>
  <c r="AE709" i="26"/>
  <c r="AD709" i="26"/>
  <c r="AB709" i="26"/>
  <c r="AA709" i="26"/>
  <c r="Z709" i="26"/>
  <c r="Y709" i="26"/>
  <c r="Q709" i="26"/>
  <c r="L709" i="26"/>
  <c r="F709" i="26"/>
  <c r="E709" i="26"/>
  <c r="AM708" i="26"/>
  <c r="AL708" i="26"/>
  <c r="AF708" i="26"/>
  <c r="AE708" i="26"/>
  <c r="AD708" i="26"/>
  <c r="AB708" i="26"/>
  <c r="AA708" i="26"/>
  <c r="Z708" i="26"/>
  <c r="Y708" i="26"/>
  <c r="AC708" i="26" s="1"/>
  <c r="Q708" i="26"/>
  <c r="L708" i="26"/>
  <c r="F708" i="26"/>
  <c r="E708" i="26"/>
  <c r="AM707" i="26"/>
  <c r="AL707" i="26"/>
  <c r="AF707" i="26"/>
  <c r="AE707" i="26"/>
  <c r="AD707" i="26"/>
  <c r="AB707" i="26"/>
  <c r="AA707" i="26"/>
  <c r="Z707" i="26"/>
  <c r="Y707" i="26"/>
  <c r="Q707" i="26"/>
  <c r="L707" i="26"/>
  <c r="F707" i="26"/>
  <c r="E707" i="26"/>
  <c r="AM706" i="26"/>
  <c r="AL706" i="26"/>
  <c r="AF706" i="26"/>
  <c r="AE706" i="26"/>
  <c r="AD706" i="26"/>
  <c r="AB706" i="26"/>
  <c r="AA706" i="26"/>
  <c r="Z706" i="26"/>
  <c r="Y706" i="26"/>
  <c r="Q706" i="26"/>
  <c r="L706" i="26"/>
  <c r="F706" i="26"/>
  <c r="E706" i="26"/>
  <c r="AM705" i="26"/>
  <c r="AL705" i="26"/>
  <c r="AF705" i="26"/>
  <c r="AE705" i="26"/>
  <c r="AD705" i="26"/>
  <c r="AB705" i="26"/>
  <c r="AA705" i="26"/>
  <c r="Z705" i="26"/>
  <c r="Y705" i="26"/>
  <c r="AC705" i="26" s="1"/>
  <c r="Q705" i="26"/>
  <c r="L705" i="26"/>
  <c r="F705" i="26"/>
  <c r="E705" i="26"/>
  <c r="AM704" i="26"/>
  <c r="AL704" i="26"/>
  <c r="AF704" i="26"/>
  <c r="AE704" i="26"/>
  <c r="AD704" i="26"/>
  <c r="AB704" i="26"/>
  <c r="AA704" i="26"/>
  <c r="Z704" i="26"/>
  <c r="Y704" i="26"/>
  <c r="Q704" i="26"/>
  <c r="L704" i="26"/>
  <c r="F704" i="26"/>
  <c r="E704" i="26"/>
  <c r="AM703" i="26"/>
  <c r="AL703" i="26"/>
  <c r="AF703" i="26"/>
  <c r="AE703" i="26"/>
  <c r="AD703" i="26"/>
  <c r="AB703" i="26"/>
  <c r="AA703" i="26"/>
  <c r="Z703" i="26"/>
  <c r="Y703" i="26"/>
  <c r="Q703" i="26"/>
  <c r="L703" i="26"/>
  <c r="F703" i="26"/>
  <c r="E703" i="26"/>
  <c r="AM702" i="26"/>
  <c r="AL702" i="26"/>
  <c r="AF702" i="26"/>
  <c r="AE702" i="26"/>
  <c r="AD702" i="26"/>
  <c r="AB702" i="26"/>
  <c r="AA702" i="26"/>
  <c r="Z702" i="26"/>
  <c r="Y702" i="26"/>
  <c r="Q702" i="26"/>
  <c r="L702" i="26"/>
  <c r="F702" i="26"/>
  <c r="E702" i="26"/>
  <c r="AM701" i="26"/>
  <c r="AL701" i="26"/>
  <c r="AF701" i="26"/>
  <c r="AE701" i="26"/>
  <c r="AD701" i="26"/>
  <c r="AB701" i="26"/>
  <c r="AA701" i="26"/>
  <c r="Z701" i="26"/>
  <c r="Y701" i="26"/>
  <c r="Q701" i="26"/>
  <c r="L701" i="26"/>
  <c r="F701" i="26"/>
  <c r="E701" i="26"/>
  <c r="AM700" i="26"/>
  <c r="AL700" i="26"/>
  <c r="AF700" i="26"/>
  <c r="AE700" i="26"/>
  <c r="AD700" i="26"/>
  <c r="AB700" i="26"/>
  <c r="AA700" i="26"/>
  <c r="Z700" i="26"/>
  <c r="Y700" i="26"/>
  <c r="AC700" i="26" s="1"/>
  <c r="Q700" i="26"/>
  <c r="L700" i="26"/>
  <c r="F700" i="26"/>
  <c r="E700" i="26"/>
  <c r="AM699" i="26"/>
  <c r="AL699" i="26"/>
  <c r="AF699" i="26"/>
  <c r="AE699" i="26"/>
  <c r="AD699" i="26"/>
  <c r="AB699" i="26"/>
  <c r="AA699" i="26"/>
  <c r="Z699" i="26"/>
  <c r="Y699" i="26"/>
  <c r="Q699" i="26"/>
  <c r="L699" i="26"/>
  <c r="F699" i="26"/>
  <c r="E699" i="26"/>
  <c r="AM698" i="26"/>
  <c r="AL698" i="26"/>
  <c r="AF698" i="26"/>
  <c r="AE698" i="26"/>
  <c r="AD698" i="26"/>
  <c r="AB698" i="26"/>
  <c r="AA698" i="26"/>
  <c r="Z698" i="26"/>
  <c r="Y698" i="26"/>
  <c r="AC698" i="26" s="1"/>
  <c r="Q698" i="26"/>
  <c r="L698" i="26"/>
  <c r="F698" i="26"/>
  <c r="E698" i="26"/>
  <c r="AM697" i="26"/>
  <c r="AL697" i="26"/>
  <c r="AF697" i="26"/>
  <c r="AE697" i="26"/>
  <c r="AD697" i="26"/>
  <c r="AB697" i="26"/>
  <c r="AA697" i="26"/>
  <c r="Z697" i="26"/>
  <c r="Y697" i="26"/>
  <c r="AC697" i="26" s="1"/>
  <c r="Q697" i="26"/>
  <c r="L697" i="26"/>
  <c r="F697" i="26"/>
  <c r="E697" i="26"/>
  <c r="AM696" i="26"/>
  <c r="AL696" i="26"/>
  <c r="AF696" i="26"/>
  <c r="AE696" i="26"/>
  <c r="AD696" i="26"/>
  <c r="AB696" i="26"/>
  <c r="AA696" i="26"/>
  <c r="Z696" i="26"/>
  <c r="Y696" i="26"/>
  <c r="AC696" i="26" s="1"/>
  <c r="Q696" i="26"/>
  <c r="L696" i="26"/>
  <c r="F696" i="26"/>
  <c r="E696" i="26"/>
  <c r="AM695" i="26"/>
  <c r="AL695" i="26"/>
  <c r="AF695" i="26"/>
  <c r="AE695" i="26"/>
  <c r="AD695" i="26"/>
  <c r="AB695" i="26"/>
  <c r="AA695" i="26"/>
  <c r="Z695" i="26"/>
  <c r="Y695" i="26"/>
  <c r="AC695" i="26" s="1"/>
  <c r="Q695" i="26"/>
  <c r="L695" i="26"/>
  <c r="F695" i="26"/>
  <c r="E695" i="26"/>
  <c r="AM694" i="26"/>
  <c r="AL694" i="26"/>
  <c r="AF694" i="26"/>
  <c r="AE694" i="26"/>
  <c r="AD694" i="26"/>
  <c r="AB694" i="26"/>
  <c r="AA694" i="26"/>
  <c r="Z694" i="26"/>
  <c r="Y694" i="26"/>
  <c r="AC694" i="26" s="1"/>
  <c r="Q694" i="26"/>
  <c r="L694" i="26"/>
  <c r="F694" i="26"/>
  <c r="E694" i="26"/>
  <c r="AM693" i="26"/>
  <c r="AL693" i="26"/>
  <c r="AF693" i="26"/>
  <c r="AE693" i="26"/>
  <c r="AD693" i="26"/>
  <c r="AB693" i="26"/>
  <c r="AA693" i="26"/>
  <c r="Z693" i="26"/>
  <c r="Y693" i="26"/>
  <c r="Q693" i="26"/>
  <c r="L693" i="26"/>
  <c r="F693" i="26"/>
  <c r="E693" i="26"/>
  <c r="AM692" i="26"/>
  <c r="AL692" i="26"/>
  <c r="AF692" i="26"/>
  <c r="AE692" i="26"/>
  <c r="AD692" i="26"/>
  <c r="AB692" i="26"/>
  <c r="AA692" i="26"/>
  <c r="Z692" i="26"/>
  <c r="Y692" i="26"/>
  <c r="AC692" i="26" s="1"/>
  <c r="Q692" i="26"/>
  <c r="L692" i="26"/>
  <c r="F692" i="26"/>
  <c r="E692" i="26"/>
  <c r="AM691" i="26"/>
  <c r="AL691" i="26"/>
  <c r="AF691" i="26"/>
  <c r="AE691" i="26"/>
  <c r="AD691" i="26"/>
  <c r="AB691" i="26"/>
  <c r="AA691" i="26"/>
  <c r="Z691" i="26"/>
  <c r="Y691" i="26"/>
  <c r="Q691" i="26"/>
  <c r="L691" i="26"/>
  <c r="F691" i="26"/>
  <c r="E691" i="26"/>
  <c r="AM690" i="26"/>
  <c r="AL690" i="26"/>
  <c r="AF690" i="26"/>
  <c r="AE690" i="26"/>
  <c r="AD690" i="26"/>
  <c r="AB690" i="26"/>
  <c r="AA690" i="26"/>
  <c r="Z690" i="26"/>
  <c r="Y690" i="26"/>
  <c r="Q690" i="26"/>
  <c r="L690" i="26"/>
  <c r="F690" i="26"/>
  <c r="E690" i="26"/>
  <c r="AM689" i="26"/>
  <c r="AL689" i="26"/>
  <c r="AF689" i="26"/>
  <c r="AE689" i="26"/>
  <c r="AD689" i="26"/>
  <c r="AB689" i="26"/>
  <c r="AA689" i="26"/>
  <c r="Z689" i="26"/>
  <c r="Y689" i="26"/>
  <c r="AC689" i="26" s="1"/>
  <c r="Q689" i="26"/>
  <c r="L689" i="26"/>
  <c r="F689" i="26"/>
  <c r="E689" i="26"/>
  <c r="AM688" i="26"/>
  <c r="AL688" i="26"/>
  <c r="AF688" i="26"/>
  <c r="AE688" i="26"/>
  <c r="AD688" i="26"/>
  <c r="AB688" i="26"/>
  <c r="AA688" i="26"/>
  <c r="Z688" i="26"/>
  <c r="Y688" i="26"/>
  <c r="Q688" i="26"/>
  <c r="L688" i="26"/>
  <c r="F688" i="26"/>
  <c r="E688" i="26"/>
  <c r="AM687" i="26"/>
  <c r="AL687" i="26"/>
  <c r="AF687" i="26"/>
  <c r="AE687" i="26"/>
  <c r="AD687" i="26"/>
  <c r="AB687" i="26"/>
  <c r="AA687" i="26"/>
  <c r="Z687" i="26"/>
  <c r="Y687" i="26"/>
  <c r="Q687" i="26"/>
  <c r="L687" i="26"/>
  <c r="F687" i="26"/>
  <c r="E687" i="26"/>
  <c r="AM686" i="26"/>
  <c r="AL686" i="26"/>
  <c r="AF686" i="26"/>
  <c r="AE686" i="26"/>
  <c r="AD686" i="26"/>
  <c r="AB686" i="26"/>
  <c r="AA686" i="26"/>
  <c r="Z686" i="26"/>
  <c r="Y686" i="26"/>
  <c r="Q686" i="26"/>
  <c r="L686" i="26"/>
  <c r="F686" i="26"/>
  <c r="E686" i="26"/>
  <c r="AM685" i="26"/>
  <c r="AL685" i="26"/>
  <c r="AF685" i="26"/>
  <c r="AE685" i="26"/>
  <c r="AD685" i="26"/>
  <c r="AB685" i="26"/>
  <c r="AA685" i="26"/>
  <c r="Z685" i="26"/>
  <c r="Y685" i="26"/>
  <c r="Q685" i="26"/>
  <c r="L685" i="26"/>
  <c r="F685" i="26"/>
  <c r="E685" i="26"/>
  <c r="AM684" i="26"/>
  <c r="AL684" i="26"/>
  <c r="AF684" i="26"/>
  <c r="AE684" i="26"/>
  <c r="AD684" i="26"/>
  <c r="AB684" i="26"/>
  <c r="AA684" i="26"/>
  <c r="Z684" i="26"/>
  <c r="Y684" i="26"/>
  <c r="AC684" i="26" s="1"/>
  <c r="Q684" i="26"/>
  <c r="L684" i="26"/>
  <c r="F684" i="26"/>
  <c r="E684" i="26"/>
  <c r="AM683" i="26"/>
  <c r="AL683" i="26"/>
  <c r="AF683" i="26"/>
  <c r="AE683" i="26"/>
  <c r="AD683" i="26"/>
  <c r="AB683" i="26"/>
  <c r="AA683" i="26"/>
  <c r="Z683" i="26"/>
  <c r="Y683" i="26"/>
  <c r="Q683" i="26"/>
  <c r="L683" i="26"/>
  <c r="F683" i="26"/>
  <c r="E683" i="26"/>
  <c r="AM682" i="26"/>
  <c r="AL682" i="26"/>
  <c r="AF682" i="26"/>
  <c r="AE682" i="26"/>
  <c r="AD682" i="26"/>
  <c r="AB682" i="26"/>
  <c r="AA682" i="26"/>
  <c r="Z682" i="26"/>
  <c r="Y682" i="26"/>
  <c r="AC682" i="26" s="1"/>
  <c r="Q682" i="26"/>
  <c r="L682" i="26"/>
  <c r="F682" i="26"/>
  <c r="E682" i="26"/>
  <c r="AM681" i="26"/>
  <c r="AL681" i="26"/>
  <c r="AF681" i="26"/>
  <c r="AE681" i="26"/>
  <c r="AD681" i="26"/>
  <c r="AB681" i="26"/>
  <c r="AA681" i="26"/>
  <c r="Z681" i="26"/>
  <c r="Y681" i="26"/>
  <c r="AC681" i="26" s="1"/>
  <c r="Q681" i="26"/>
  <c r="L681" i="26"/>
  <c r="F681" i="26"/>
  <c r="E681" i="26"/>
  <c r="AM680" i="26"/>
  <c r="AL680" i="26"/>
  <c r="AF680" i="26"/>
  <c r="AE680" i="26"/>
  <c r="AD680" i="26"/>
  <c r="AB680" i="26"/>
  <c r="AA680" i="26"/>
  <c r="Z680" i="26"/>
  <c r="Y680" i="26"/>
  <c r="AC680" i="26" s="1"/>
  <c r="Q680" i="26"/>
  <c r="L680" i="26"/>
  <c r="F680" i="26"/>
  <c r="E680" i="26"/>
  <c r="AM679" i="26"/>
  <c r="AL679" i="26"/>
  <c r="AF679" i="26"/>
  <c r="AE679" i="26"/>
  <c r="AD679" i="26"/>
  <c r="AB679" i="26"/>
  <c r="AA679" i="26"/>
  <c r="Z679" i="26"/>
  <c r="Y679" i="26"/>
  <c r="AC679" i="26" s="1"/>
  <c r="Q679" i="26"/>
  <c r="L679" i="26"/>
  <c r="F679" i="26"/>
  <c r="E679" i="26"/>
  <c r="AM678" i="26"/>
  <c r="AL678" i="26"/>
  <c r="AF678" i="26"/>
  <c r="AE678" i="26"/>
  <c r="AD678" i="26"/>
  <c r="AB678" i="26"/>
  <c r="AA678" i="26"/>
  <c r="Z678" i="26"/>
  <c r="Y678" i="26"/>
  <c r="AC678" i="26" s="1"/>
  <c r="Q678" i="26"/>
  <c r="L678" i="26"/>
  <c r="F678" i="26"/>
  <c r="E678" i="26"/>
  <c r="AM677" i="26"/>
  <c r="AL677" i="26"/>
  <c r="AF677" i="26"/>
  <c r="AE677" i="26"/>
  <c r="AD677" i="26"/>
  <c r="AB677" i="26"/>
  <c r="AA677" i="26"/>
  <c r="Z677" i="26"/>
  <c r="Y677" i="26"/>
  <c r="Q677" i="26"/>
  <c r="L677" i="26"/>
  <c r="F677" i="26"/>
  <c r="E677" i="26"/>
  <c r="AM676" i="26"/>
  <c r="AL676" i="26"/>
  <c r="AF676" i="26"/>
  <c r="AE676" i="26"/>
  <c r="AD676" i="26"/>
  <c r="AB676" i="26"/>
  <c r="AA676" i="26"/>
  <c r="Z676" i="26"/>
  <c r="Y676" i="26"/>
  <c r="AC676" i="26" s="1"/>
  <c r="Q676" i="26"/>
  <c r="L676" i="26"/>
  <c r="F676" i="26"/>
  <c r="E676" i="26"/>
  <c r="AM675" i="26"/>
  <c r="AL675" i="26"/>
  <c r="AF675" i="26"/>
  <c r="AE675" i="26"/>
  <c r="AD675" i="26"/>
  <c r="AB675" i="26"/>
  <c r="AA675" i="26"/>
  <c r="Z675" i="26"/>
  <c r="Y675" i="26"/>
  <c r="Q675" i="26"/>
  <c r="L675" i="26"/>
  <c r="F675" i="26"/>
  <c r="E675" i="26"/>
  <c r="AM674" i="26"/>
  <c r="AL674" i="26"/>
  <c r="AF674" i="26"/>
  <c r="AE674" i="26"/>
  <c r="AD674" i="26"/>
  <c r="AB674" i="26"/>
  <c r="AA674" i="26"/>
  <c r="Z674" i="26"/>
  <c r="Y674" i="26"/>
  <c r="Q674" i="26"/>
  <c r="L674" i="26"/>
  <c r="F674" i="26"/>
  <c r="E674" i="26"/>
  <c r="AM673" i="26"/>
  <c r="AL673" i="26"/>
  <c r="AF673" i="26"/>
  <c r="AE673" i="26"/>
  <c r="AD673" i="26"/>
  <c r="AB673" i="26"/>
  <c r="AA673" i="26"/>
  <c r="Z673" i="26"/>
  <c r="Y673" i="26"/>
  <c r="AC673" i="26" s="1"/>
  <c r="Q673" i="26"/>
  <c r="L673" i="26"/>
  <c r="F673" i="26"/>
  <c r="E673" i="26"/>
  <c r="AM672" i="26"/>
  <c r="AL672" i="26"/>
  <c r="AF672" i="26"/>
  <c r="AE672" i="26"/>
  <c r="AD672" i="26"/>
  <c r="AB672" i="26"/>
  <c r="AA672" i="26"/>
  <c r="Z672" i="26"/>
  <c r="Y672" i="26"/>
  <c r="Q672" i="26"/>
  <c r="L672" i="26"/>
  <c r="F672" i="26"/>
  <c r="E672" i="26"/>
  <c r="AM671" i="26"/>
  <c r="AL671" i="26"/>
  <c r="AF671" i="26"/>
  <c r="AE671" i="26"/>
  <c r="AD671" i="26"/>
  <c r="AB671" i="26"/>
  <c r="AA671" i="26"/>
  <c r="Z671" i="26"/>
  <c r="Y671" i="26"/>
  <c r="Q671" i="26"/>
  <c r="L671" i="26"/>
  <c r="F671" i="26"/>
  <c r="E671" i="26"/>
  <c r="AM670" i="26"/>
  <c r="AL670" i="26"/>
  <c r="AF670" i="26"/>
  <c r="AE670" i="26"/>
  <c r="AD670" i="26"/>
  <c r="AB670" i="26"/>
  <c r="AA670" i="26"/>
  <c r="Z670" i="26"/>
  <c r="Y670" i="26"/>
  <c r="Q670" i="26"/>
  <c r="L670" i="26"/>
  <c r="F670" i="26"/>
  <c r="E670" i="26"/>
  <c r="AM669" i="26"/>
  <c r="AL669" i="26"/>
  <c r="AF669" i="26"/>
  <c r="AE669" i="26"/>
  <c r="AD669" i="26"/>
  <c r="AB669" i="26"/>
  <c r="AA669" i="26"/>
  <c r="Z669" i="26"/>
  <c r="Y669" i="26"/>
  <c r="Q669" i="26"/>
  <c r="L669" i="26"/>
  <c r="F669" i="26"/>
  <c r="E669" i="26"/>
  <c r="AM668" i="26"/>
  <c r="AL668" i="26"/>
  <c r="AF668" i="26"/>
  <c r="AE668" i="26"/>
  <c r="AD668" i="26"/>
  <c r="AB668" i="26"/>
  <c r="AA668" i="26"/>
  <c r="Z668" i="26"/>
  <c r="Y668" i="26"/>
  <c r="AC668" i="26" s="1"/>
  <c r="Q668" i="26"/>
  <c r="L668" i="26"/>
  <c r="F668" i="26"/>
  <c r="E668" i="26"/>
  <c r="AM667" i="26"/>
  <c r="AL667" i="26"/>
  <c r="AF667" i="26"/>
  <c r="AE667" i="26"/>
  <c r="AD667" i="26"/>
  <c r="AB667" i="26"/>
  <c r="AA667" i="26"/>
  <c r="Z667" i="26"/>
  <c r="Y667" i="26"/>
  <c r="Q667" i="26"/>
  <c r="L667" i="26"/>
  <c r="F667" i="26"/>
  <c r="E667" i="26"/>
  <c r="AM666" i="26"/>
  <c r="AL666" i="26"/>
  <c r="AF666" i="26"/>
  <c r="AE666" i="26"/>
  <c r="AD666" i="26"/>
  <c r="AB666" i="26"/>
  <c r="AA666" i="26"/>
  <c r="Z666" i="26"/>
  <c r="Y666" i="26"/>
  <c r="AC666" i="26" s="1"/>
  <c r="Q666" i="26"/>
  <c r="L666" i="26"/>
  <c r="F666" i="26"/>
  <c r="E666" i="26"/>
  <c r="AM665" i="26"/>
  <c r="AL665" i="26"/>
  <c r="AF665" i="26"/>
  <c r="AE665" i="26"/>
  <c r="AD665" i="26"/>
  <c r="AB665" i="26"/>
  <c r="AA665" i="26"/>
  <c r="Z665" i="26"/>
  <c r="Y665" i="26"/>
  <c r="AC665" i="26" s="1"/>
  <c r="Q665" i="26"/>
  <c r="L665" i="26"/>
  <c r="F665" i="26"/>
  <c r="E665" i="26"/>
  <c r="AM664" i="26"/>
  <c r="AL664" i="26"/>
  <c r="AF664" i="26"/>
  <c r="AE664" i="26"/>
  <c r="AD664" i="26"/>
  <c r="AB664" i="26"/>
  <c r="AA664" i="26"/>
  <c r="Z664" i="26"/>
  <c r="Y664" i="26"/>
  <c r="AC664" i="26" s="1"/>
  <c r="Q664" i="26"/>
  <c r="L664" i="26"/>
  <c r="F664" i="26"/>
  <c r="E664" i="26"/>
  <c r="AM663" i="26"/>
  <c r="AL663" i="26"/>
  <c r="AF663" i="26"/>
  <c r="AE663" i="26"/>
  <c r="AD663" i="26"/>
  <c r="AB663" i="26"/>
  <c r="AA663" i="26"/>
  <c r="Z663" i="26"/>
  <c r="Y663" i="26"/>
  <c r="AC663" i="26" s="1"/>
  <c r="Q663" i="26"/>
  <c r="L663" i="26"/>
  <c r="F663" i="26"/>
  <c r="E663" i="26"/>
  <c r="AM662" i="26"/>
  <c r="AL662" i="26"/>
  <c r="AF662" i="26"/>
  <c r="AE662" i="26"/>
  <c r="AD662" i="26"/>
  <c r="AB662" i="26"/>
  <c r="AA662" i="26"/>
  <c r="Z662" i="26"/>
  <c r="Y662" i="26"/>
  <c r="AC662" i="26" s="1"/>
  <c r="Q662" i="26"/>
  <c r="L662" i="26"/>
  <c r="F662" i="26"/>
  <c r="E662" i="26"/>
  <c r="AM661" i="26"/>
  <c r="AL661" i="26"/>
  <c r="AF661" i="26"/>
  <c r="AE661" i="26"/>
  <c r="AD661" i="26"/>
  <c r="AB661" i="26"/>
  <c r="AA661" i="26"/>
  <c r="Z661" i="26"/>
  <c r="Y661" i="26"/>
  <c r="Q661" i="26"/>
  <c r="L661" i="26"/>
  <c r="F661" i="26"/>
  <c r="E661" i="26"/>
  <c r="AM660" i="26"/>
  <c r="AL660" i="26"/>
  <c r="AF660" i="26"/>
  <c r="AE660" i="26"/>
  <c r="AD660" i="26"/>
  <c r="AB660" i="26"/>
  <c r="AA660" i="26"/>
  <c r="Z660" i="26"/>
  <c r="Y660" i="26"/>
  <c r="AC660" i="26" s="1"/>
  <c r="Q660" i="26"/>
  <c r="L660" i="26"/>
  <c r="F660" i="26"/>
  <c r="E660" i="26"/>
  <c r="AM659" i="26"/>
  <c r="AL659" i="26"/>
  <c r="AF659" i="26"/>
  <c r="AE659" i="26"/>
  <c r="AD659" i="26"/>
  <c r="AB659" i="26"/>
  <c r="AA659" i="26"/>
  <c r="Z659" i="26"/>
  <c r="Y659" i="26"/>
  <c r="Q659" i="26"/>
  <c r="L659" i="26"/>
  <c r="F659" i="26"/>
  <c r="E659" i="26"/>
  <c r="AM658" i="26"/>
  <c r="AL658" i="26"/>
  <c r="AF658" i="26"/>
  <c r="AE658" i="26"/>
  <c r="AD658" i="26"/>
  <c r="AB658" i="26"/>
  <c r="AA658" i="26"/>
  <c r="Z658" i="26"/>
  <c r="Y658" i="26"/>
  <c r="Q658" i="26"/>
  <c r="L658" i="26"/>
  <c r="F658" i="26"/>
  <c r="E658" i="26"/>
  <c r="AM657" i="26"/>
  <c r="AL657" i="26"/>
  <c r="AF657" i="26"/>
  <c r="AE657" i="26"/>
  <c r="AD657" i="26"/>
  <c r="AB657" i="26"/>
  <c r="AA657" i="26"/>
  <c r="Z657" i="26"/>
  <c r="Y657" i="26"/>
  <c r="AC657" i="26" s="1"/>
  <c r="Q657" i="26"/>
  <c r="L657" i="26"/>
  <c r="F657" i="26"/>
  <c r="E657" i="26"/>
  <c r="AM656" i="26"/>
  <c r="AL656" i="26"/>
  <c r="AF656" i="26"/>
  <c r="AE656" i="26"/>
  <c r="AD656" i="26"/>
  <c r="AB656" i="26"/>
  <c r="AA656" i="26"/>
  <c r="Z656" i="26"/>
  <c r="Y656" i="26"/>
  <c r="Q656" i="26"/>
  <c r="L656" i="26"/>
  <c r="F656" i="26"/>
  <c r="E656" i="26"/>
  <c r="AM655" i="26"/>
  <c r="AL655" i="26"/>
  <c r="AF655" i="26"/>
  <c r="AE655" i="26"/>
  <c r="AD655" i="26"/>
  <c r="AB655" i="26"/>
  <c r="AA655" i="26"/>
  <c r="Z655" i="26"/>
  <c r="Y655" i="26"/>
  <c r="Q655" i="26"/>
  <c r="L655" i="26"/>
  <c r="F655" i="26"/>
  <c r="E655" i="26"/>
  <c r="AM654" i="26"/>
  <c r="AL654" i="26"/>
  <c r="AF654" i="26"/>
  <c r="AE654" i="26"/>
  <c r="AD654" i="26"/>
  <c r="AB654" i="26"/>
  <c r="AA654" i="26"/>
  <c r="Z654" i="26"/>
  <c r="Y654" i="26"/>
  <c r="Q654" i="26"/>
  <c r="L654" i="26"/>
  <c r="F654" i="26"/>
  <c r="E654" i="26"/>
  <c r="AM653" i="26"/>
  <c r="AL653" i="26"/>
  <c r="AF653" i="26"/>
  <c r="AE653" i="26"/>
  <c r="AD653" i="26"/>
  <c r="AB653" i="26"/>
  <c r="AA653" i="26"/>
  <c r="Z653" i="26"/>
  <c r="Y653" i="26"/>
  <c r="Q653" i="26"/>
  <c r="L653" i="26"/>
  <c r="F653" i="26"/>
  <c r="E653" i="26"/>
  <c r="AM652" i="26"/>
  <c r="AL652" i="26"/>
  <c r="AF652" i="26"/>
  <c r="AE652" i="26"/>
  <c r="AD652" i="26"/>
  <c r="AB652" i="26"/>
  <c r="AA652" i="26"/>
  <c r="Z652" i="26"/>
  <c r="Y652" i="26"/>
  <c r="AC652" i="26" s="1"/>
  <c r="Q652" i="26"/>
  <c r="L652" i="26"/>
  <c r="F652" i="26"/>
  <c r="E652" i="26"/>
  <c r="AM651" i="26"/>
  <c r="AL651" i="26"/>
  <c r="AF651" i="26"/>
  <c r="AE651" i="26"/>
  <c r="AD651" i="26"/>
  <c r="AB651" i="26"/>
  <c r="AA651" i="26"/>
  <c r="Z651" i="26"/>
  <c r="Y651" i="26"/>
  <c r="Q651" i="26"/>
  <c r="L651" i="26"/>
  <c r="F651" i="26"/>
  <c r="E651" i="26"/>
  <c r="AM650" i="26"/>
  <c r="AL650" i="26"/>
  <c r="AF650" i="26"/>
  <c r="AE650" i="26"/>
  <c r="AD650" i="26"/>
  <c r="AB650" i="26"/>
  <c r="AA650" i="26"/>
  <c r="Z650" i="26"/>
  <c r="Y650" i="26"/>
  <c r="AC650" i="26" s="1"/>
  <c r="Q650" i="26"/>
  <c r="L650" i="26"/>
  <c r="F650" i="26"/>
  <c r="E650" i="26"/>
  <c r="AM649" i="26"/>
  <c r="AL649" i="26"/>
  <c r="AF649" i="26"/>
  <c r="AE649" i="26"/>
  <c r="AD649" i="26"/>
  <c r="AB649" i="26"/>
  <c r="AA649" i="26"/>
  <c r="Z649" i="26"/>
  <c r="Y649" i="26"/>
  <c r="AC649" i="26" s="1"/>
  <c r="Q649" i="26"/>
  <c r="L649" i="26"/>
  <c r="F649" i="26"/>
  <c r="E649" i="26"/>
  <c r="AM648" i="26"/>
  <c r="AL648" i="26"/>
  <c r="AF648" i="26"/>
  <c r="AE648" i="26"/>
  <c r="AD648" i="26"/>
  <c r="AB648" i="26"/>
  <c r="AA648" i="26"/>
  <c r="Z648" i="26"/>
  <c r="Y648" i="26"/>
  <c r="AC648" i="26" s="1"/>
  <c r="Q648" i="26"/>
  <c r="L648" i="26"/>
  <c r="F648" i="26"/>
  <c r="E648" i="26"/>
  <c r="AM647" i="26"/>
  <c r="AL647" i="26"/>
  <c r="AF647" i="26"/>
  <c r="AE647" i="26"/>
  <c r="AD647" i="26"/>
  <c r="AB647" i="26"/>
  <c r="AA647" i="26"/>
  <c r="Z647" i="26"/>
  <c r="Y647" i="26"/>
  <c r="AC647" i="26" s="1"/>
  <c r="Q647" i="26"/>
  <c r="L647" i="26"/>
  <c r="F647" i="26"/>
  <c r="E647" i="26"/>
  <c r="AM646" i="26"/>
  <c r="AL646" i="26"/>
  <c r="AF646" i="26"/>
  <c r="AE646" i="26"/>
  <c r="AD646" i="26"/>
  <c r="AB646" i="26"/>
  <c r="AA646" i="26"/>
  <c r="Z646" i="26"/>
  <c r="Y646" i="26"/>
  <c r="AC646" i="26" s="1"/>
  <c r="Q646" i="26"/>
  <c r="L646" i="26"/>
  <c r="F646" i="26"/>
  <c r="E646" i="26"/>
  <c r="AM645" i="26"/>
  <c r="AL645" i="26"/>
  <c r="AF645" i="26"/>
  <c r="AE645" i="26"/>
  <c r="AD645" i="26"/>
  <c r="AB645" i="26"/>
  <c r="AA645" i="26"/>
  <c r="Z645" i="26"/>
  <c r="Y645" i="26"/>
  <c r="Q645" i="26"/>
  <c r="L645" i="26"/>
  <c r="F645" i="26"/>
  <c r="E645" i="26"/>
  <c r="AM644" i="26"/>
  <c r="AL644" i="26"/>
  <c r="AF644" i="26"/>
  <c r="AE644" i="26"/>
  <c r="AD644" i="26"/>
  <c r="AB644" i="26"/>
  <c r="AA644" i="26"/>
  <c r="Z644" i="26"/>
  <c r="Y644" i="26"/>
  <c r="AC644" i="26" s="1"/>
  <c r="Q644" i="26"/>
  <c r="L644" i="26"/>
  <c r="F644" i="26"/>
  <c r="E644" i="26"/>
  <c r="AM643" i="26"/>
  <c r="AL643" i="26"/>
  <c r="AF643" i="26"/>
  <c r="AE643" i="26"/>
  <c r="AD643" i="26"/>
  <c r="AB643" i="26"/>
  <c r="AA643" i="26"/>
  <c r="Z643" i="26"/>
  <c r="Y643" i="26"/>
  <c r="Q643" i="26"/>
  <c r="L643" i="26"/>
  <c r="F643" i="26"/>
  <c r="E643" i="26"/>
  <c r="AM642" i="26"/>
  <c r="AL642" i="26"/>
  <c r="AF642" i="26"/>
  <c r="AE642" i="26"/>
  <c r="AD642" i="26"/>
  <c r="AB642" i="26"/>
  <c r="AA642" i="26"/>
  <c r="Z642" i="26"/>
  <c r="Y642" i="26"/>
  <c r="Q642" i="26"/>
  <c r="L642" i="26"/>
  <c r="F642" i="26"/>
  <c r="E642" i="26"/>
  <c r="AM641" i="26"/>
  <c r="AL641" i="26"/>
  <c r="AF641" i="26"/>
  <c r="AE641" i="26"/>
  <c r="AD641" i="26"/>
  <c r="AB641" i="26"/>
  <c r="AA641" i="26"/>
  <c r="Z641" i="26"/>
  <c r="Y641" i="26"/>
  <c r="AC641" i="26" s="1"/>
  <c r="Q641" i="26"/>
  <c r="L641" i="26"/>
  <c r="F641" i="26"/>
  <c r="E641" i="26"/>
  <c r="AM640" i="26"/>
  <c r="AL640" i="26"/>
  <c r="AF640" i="26"/>
  <c r="AE640" i="26"/>
  <c r="AD640" i="26"/>
  <c r="AB640" i="26"/>
  <c r="AA640" i="26"/>
  <c r="Z640" i="26"/>
  <c r="Y640" i="26"/>
  <c r="Q640" i="26"/>
  <c r="L640" i="26"/>
  <c r="F640" i="26"/>
  <c r="E640" i="26"/>
  <c r="AM639" i="26"/>
  <c r="AL639" i="26"/>
  <c r="AF639" i="26"/>
  <c r="AE639" i="26"/>
  <c r="AD639" i="26"/>
  <c r="AB639" i="26"/>
  <c r="AA639" i="26"/>
  <c r="Z639" i="26"/>
  <c r="Y639" i="26"/>
  <c r="Q639" i="26"/>
  <c r="L639" i="26"/>
  <c r="F639" i="26"/>
  <c r="E639" i="26"/>
  <c r="AM638" i="26"/>
  <c r="AL638" i="26"/>
  <c r="AF638" i="26"/>
  <c r="AE638" i="26"/>
  <c r="AD638" i="26"/>
  <c r="AB638" i="26"/>
  <c r="AA638" i="26"/>
  <c r="Z638" i="26"/>
  <c r="Y638" i="26"/>
  <c r="Q638" i="26"/>
  <c r="L638" i="26"/>
  <c r="F638" i="26"/>
  <c r="E638" i="26"/>
  <c r="AM637" i="26"/>
  <c r="AL637" i="26"/>
  <c r="AF637" i="26"/>
  <c r="AE637" i="26"/>
  <c r="AD637" i="26"/>
  <c r="AB637" i="26"/>
  <c r="AA637" i="26"/>
  <c r="Z637" i="26"/>
  <c r="Y637" i="26"/>
  <c r="Q637" i="26"/>
  <c r="L637" i="26"/>
  <c r="F637" i="26"/>
  <c r="E637" i="26"/>
  <c r="AM636" i="26"/>
  <c r="AL636" i="26"/>
  <c r="AF636" i="26"/>
  <c r="AE636" i="26"/>
  <c r="AD636" i="26"/>
  <c r="AB636" i="26"/>
  <c r="AA636" i="26"/>
  <c r="Z636" i="26"/>
  <c r="Y636" i="26"/>
  <c r="AC636" i="26" s="1"/>
  <c r="Q636" i="26"/>
  <c r="L636" i="26"/>
  <c r="F636" i="26"/>
  <c r="E636" i="26"/>
  <c r="AM635" i="26"/>
  <c r="AL635" i="26"/>
  <c r="AF635" i="26"/>
  <c r="AE635" i="26"/>
  <c r="AD635" i="26"/>
  <c r="AB635" i="26"/>
  <c r="AA635" i="26"/>
  <c r="Z635" i="26"/>
  <c r="Y635" i="26"/>
  <c r="Q635" i="26"/>
  <c r="L635" i="26"/>
  <c r="F635" i="26"/>
  <c r="E635" i="26"/>
  <c r="AM634" i="26"/>
  <c r="AL634" i="26"/>
  <c r="AF634" i="26"/>
  <c r="AE634" i="26"/>
  <c r="AD634" i="26"/>
  <c r="AB634" i="26"/>
  <c r="AA634" i="26"/>
  <c r="Z634" i="26"/>
  <c r="Y634" i="26"/>
  <c r="AC634" i="26" s="1"/>
  <c r="Q634" i="26"/>
  <c r="L634" i="26"/>
  <c r="F634" i="26"/>
  <c r="E634" i="26"/>
  <c r="AM633" i="26"/>
  <c r="AL633" i="26"/>
  <c r="AF633" i="26"/>
  <c r="AE633" i="26"/>
  <c r="AD633" i="26"/>
  <c r="AB633" i="26"/>
  <c r="AA633" i="26"/>
  <c r="Z633" i="26"/>
  <c r="Y633" i="26"/>
  <c r="AC633" i="26" s="1"/>
  <c r="Q633" i="26"/>
  <c r="L633" i="26"/>
  <c r="F633" i="26"/>
  <c r="E633" i="26"/>
  <c r="AM632" i="26"/>
  <c r="AL632" i="26"/>
  <c r="AF632" i="26"/>
  <c r="AE632" i="26"/>
  <c r="AD632" i="26"/>
  <c r="AB632" i="26"/>
  <c r="AA632" i="26"/>
  <c r="Z632" i="26"/>
  <c r="Y632" i="26"/>
  <c r="AC632" i="26" s="1"/>
  <c r="Q632" i="26"/>
  <c r="L632" i="26"/>
  <c r="F632" i="26"/>
  <c r="E632" i="26"/>
  <c r="AM631" i="26"/>
  <c r="AL631" i="26"/>
  <c r="AF631" i="26"/>
  <c r="AE631" i="26"/>
  <c r="AD631" i="26"/>
  <c r="AB631" i="26"/>
  <c r="AA631" i="26"/>
  <c r="Z631" i="26"/>
  <c r="Y631" i="26"/>
  <c r="AC631" i="26" s="1"/>
  <c r="Q631" i="26"/>
  <c r="L631" i="26"/>
  <c r="F631" i="26"/>
  <c r="E631" i="26"/>
  <c r="AM630" i="26"/>
  <c r="AL630" i="26"/>
  <c r="AF630" i="26"/>
  <c r="AE630" i="26"/>
  <c r="AD630" i="26"/>
  <c r="AB630" i="26"/>
  <c r="AA630" i="26"/>
  <c r="Z630" i="26"/>
  <c r="Y630" i="26"/>
  <c r="AC630" i="26" s="1"/>
  <c r="Q630" i="26"/>
  <c r="L630" i="26"/>
  <c r="F630" i="26"/>
  <c r="E630" i="26"/>
  <c r="AM629" i="26"/>
  <c r="AL629" i="26"/>
  <c r="AF629" i="26"/>
  <c r="AE629" i="26"/>
  <c r="AD629" i="26"/>
  <c r="AB629" i="26"/>
  <c r="AA629" i="26"/>
  <c r="Z629" i="26"/>
  <c r="Y629" i="26"/>
  <c r="Q629" i="26"/>
  <c r="L629" i="26"/>
  <c r="F629" i="26"/>
  <c r="E629" i="26"/>
  <c r="AM628" i="26"/>
  <c r="AL628" i="26"/>
  <c r="AF628" i="26"/>
  <c r="AE628" i="26"/>
  <c r="AD628" i="26"/>
  <c r="AB628" i="26"/>
  <c r="AA628" i="26"/>
  <c r="Z628" i="26"/>
  <c r="Y628" i="26"/>
  <c r="AC628" i="26" s="1"/>
  <c r="Q628" i="26"/>
  <c r="L628" i="26"/>
  <c r="F628" i="26"/>
  <c r="E628" i="26"/>
  <c r="AM627" i="26"/>
  <c r="AL627" i="26"/>
  <c r="AF627" i="26"/>
  <c r="AE627" i="26"/>
  <c r="AD627" i="26"/>
  <c r="AB627" i="26"/>
  <c r="AA627" i="26"/>
  <c r="Z627" i="26"/>
  <c r="Y627" i="26"/>
  <c r="Q627" i="26"/>
  <c r="L627" i="26"/>
  <c r="F627" i="26"/>
  <c r="E627" i="26"/>
  <c r="AM626" i="26"/>
  <c r="AL626" i="26"/>
  <c r="AF626" i="26"/>
  <c r="AE626" i="26"/>
  <c r="AD626" i="26"/>
  <c r="AB626" i="26"/>
  <c r="AA626" i="26"/>
  <c r="Z626" i="26"/>
  <c r="Y626" i="26"/>
  <c r="Q626" i="26"/>
  <c r="L626" i="26"/>
  <c r="F626" i="26"/>
  <c r="E626" i="26"/>
  <c r="AM625" i="26"/>
  <c r="AL625" i="26"/>
  <c r="AF625" i="26"/>
  <c r="AE625" i="26"/>
  <c r="AD625" i="26"/>
  <c r="AB625" i="26"/>
  <c r="AA625" i="26"/>
  <c r="Z625" i="26"/>
  <c r="Y625" i="26"/>
  <c r="AC625" i="26" s="1"/>
  <c r="Q625" i="26"/>
  <c r="L625" i="26"/>
  <c r="F625" i="26"/>
  <c r="E625" i="26"/>
  <c r="AM624" i="26"/>
  <c r="AL624" i="26"/>
  <c r="AF624" i="26"/>
  <c r="AE624" i="26"/>
  <c r="AD624" i="26"/>
  <c r="AB624" i="26"/>
  <c r="AA624" i="26"/>
  <c r="Z624" i="26"/>
  <c r="Y624" i="26"/>
  <c r="Q624" i="26"/>
  <c r="L624" i="26"/>
  <c r="F624" i="26"/>
  <c r="E624" i="26"/>
  <c r="AM623" i="26"/>
  <c r="AL623" i="26"/>
  <c r="AF623" i="26"/>
  <c r="AE623" i="26"/>
  <c r="AD623" i="26"/>
  <c r="AB623" i="26"/>
  <c r="AA623" i="26"/>
  <c r="Z623" i="26"/>
  <c r="Y623" i="26"/>
  <c r="Q623" i="26"/>
  <c r="L623" i="26"/>
  <c r="F623" i="26"/>
  <c r="E623" i="26"/>
  <c r="AM622" i="26"/>
  <c r="AL622" i="26"/>
  <c r="AF622" i="26"/>
  <c r="AE622" i="26"/>
  <c r="AD622" i="26"/>
  <c r="AB622" i="26"/>
  <c r="AA622" i="26"/>
  <c r="Z622" i="26"/>
  <c r="Y622" i="26"/>
  <c r="Q622" i="26"/>
  <c r="L622" i="26"/>
  <c r="F622" i="26"/>
  <c r="E622" i="26"/>
  <c r="AM621" i="26"/>
  <c r="AL621" i="26"/>
  <c r="AF621" i="26"/>
  <c r="AE621" i="26"/>
  <c r="AD621" i="26"/>
  <c r="AB621" i="26"/>
  <c r="AA621" i="26"/>
  <c r="Z621" i="26"/>
  <c r="Y621" i="26"/>
  <c r="Q621" i="26"/>
  <c r="L621" i="26"/>
  <c r="F621" i="26"/>
  <c r="E621" i="26"/>
  <c r="AM620" i="26"/>
  <c r="AL620" i="26"/>
  <c r="AF620" i="26"/>
  <c r="AE620" i="26"/>
  <c r="AD620" i="26"/>
  <c r="AB620" i="26"/>
  <c r="AA620" i="26"/>
  <c r="Z620" i="26"/>
  <c r="Y620" i="26"/>
  <c r="AC620" i="26" s="1"/>
  <c r="Q620" i="26"/>
  <c r="L620" i="26"/>
  <c r="F620" i="26"/>
  <c r="E620" i="26"/>
  <c r="AM619" i="26"/>
  <c r="AL619" i="26"/>
  <c r="AF619" i="26"/>
  <c r="AE619" i="26"/>
  <c r="AD619" i="26"/>
  <c r="AB619" i="26"/>
  <c r="AA619" i="26"/>
  <c r="Z619" i="26"/>
  <c r="Y619" i="26"/>
  <c r="Q619" i="26"/>
  <c r="L619" i="26"/>
  <c r="F619" i="26"/>
  <c r="E619" i="26"/>
  <c r="AM618" i="26"/>
  <c r="AL618" i="26"/>
  <c r="AF618" i="26"/>
  <c r="AE618" i="26"/>
  <c r="AD618" i="26"/>
  <c r="AB618" i="26"/>
  <c r="AA618" i="26"/>
  <c r="Z618" i="26"/>
  <c r="Y618" i="26"/>
  <c r="AC618" i="26" s="1"/>
  <c r="Q618" i="26"/>
  <c r="L618" i="26"/>
  <c r="F618" i="26"/>
  <c r="E618" i="26"/>
  <c r="AM617" i="26"/>
  <c r="AL617" i="26"/>
  <c r="AF617" i="26"/>
  <c r="AE617" i="26"/>
  <c r="AD617" i="26"/>
  <c r="AB617" i="26"/>
  <c r="AA617" i="26"/>
  <c r="Z617" i="26"/>
  <c r="Y617" i="26"/>
  <c r="AC617" i="26" s="1"/>
  <c r="Q617" i="26"/>
  <c r="L617" i="26"/>
  <c r="F617" i="26"/>
  <c r="E617" i="26"/>
  <c r="AM616" i="26"/>
  <c r="AL616" i="26"/>
  <c r="AF616" i="26"/>
  <c r="AE616" i="26"/>
  <c r="AD616" i="26"/>
  <c r="AB616" i="26"/>
  <c r="AA616" i="26"/>
  <c r="Z616" i="26"/>
  <c r="Y616" i="26"/>
  <c r="AC616" i="26" s="1"/>
  <c r="Q616" i="26"/>
  <c r="L616" i="26"/>
  <c r="F616" i="26"/>
  <c r="E616" i="26"/>
  <c r="AM615" i="26"/>
  <c r="AL615" i="26"/>
  <c r="AF615" i="26"/>
  <c r="AE615" i="26"/>
  <c r="AD615" i="26"/>
  <c r="AB615" i="26"/>
  <c r="AA615" i="26"/>
  <c r="Z615" i="26"/>
  <c r="Y615" i="26"/>
  <c r="AC615" i="26" s="1"/>
  <c r="Q615" i="26"/>
  <c r="L615" i="26"/>
  <c r="F615" i="26"/>
  <c r="E615" i="26"/>
  <c r="AM614" i="26"/>
  <c r="AL614" i="26"/>
  <c r="AF614" i="26"/>
  <c r="AE614" i="26"/>
  <c r="AD614" i="26"/>
  <c r="AB614" i="26"/>
  <c r="AA614" i="26"/>
  <c r="Z614" i="26"/>
  <c r="Y614" i="26"/>
  <c r="AC614" i="26" s="1"/>
  <c r="Q614" i="26"/>
  <c r="L614" i="26"/>
  <c r="F614" i="26"/>
  <c r="E614" i="26"/>
  <c r="AM613" i="26"/>
  <c r="AL613" i="26"/>
  <c r="AF613" i="26"/>
  <c r="AE613" i="26"/>
  <c r="AD613" i="26"/>
  <c r="AB613" i="26"/>
  <c r="AA613" i="26"/>
  <c r="Z613" i="26"/>
  <c r="Y613" i="26"/>
  <c r="Q613" i="26"/>
  <c r="L613" i="26"/>
  <c r="F613" i="26"/>
  <c r="E613" i="26"/>
  <c r="AM612" i="26"/>
  <c r="AL612" i="26"/>
  <c r="AF612" i="26"/>
  <c r="AE612" i="26"/>
  <c r="AD612" i="26"/>
  <c r="AB612" i="26"/>
  <c r="AA612" i="26"/>
  <c r="Z612" i="26"/>
  <c r="Y612" i="26"/>
  <c r="AC612" i="26" s="1"/>
  <c r="Q612" i="26"/>
  <c r="L612" i="26"/>
  <c r="F612" i="26"/>
  <c r="E612" i="26"/>
  <c r="AM611" i="26"/>
  <c r="AL611" i="26"/>
  <c r="AF611" i="26"/>
  <c r="AE611" i="26"/>
  <c r="AD611" i="26"/>
  <c r="AB611" i="26"/>
  <c r="AA611" i="26"/>
  <c r="Z611" i="26"/>
  <c r="Y611" i="26"/>
  <c r="Q611" i="26"/>
  <c r="L611" i="26"/>
  <c r="F611" i="26"/>
  <c r="E611" i="26"/>
  <c r="AM610" i="26"/>
  <c r="AL610" i="26"/>
  <c r="AF610" i="26"/>
  <c r="AE610" i="26"/>
  <c r="AD610" i="26"/>
  <c r="AB610" i="26"/>
  <c r="AA610" i="26"/>
  <c r="Z610" i="26"/>
  <c r="Y610" i="26"/>
  <c r="Q610" i="26"/>
  <c r="L610" i="26"/>
  <c r="F610" i="26"/>
  <c r="E610" i="26"/>
  <c r="AM609" i="26"/>
  <c r="AL609" i="26"/>
  <c r="AF609" i="26"/>
  <c r="AE609" i="26"/>
  <c r="AD609" i="26"/>
  <c r="AB609" i="26"/>
  <c r="AA609" i="26"/>
  <c r="Z609" i="26"/>
  <c r="Y609" i="26"/>
  <c r="AC609" i="26" s="1"/>
  <c r="Q609" i="26"/>
  <c r="L609" i="26"/>
  <c r="F609" i="26"/>
  <c r="E609" i="26"/>
  <c r="AM608" i="26"/>
  <c r="AL608" i="26"/>
  <c r="AF608" i="26"/>
  <c r="AE608" i="26"/>
  <c r="AD608" i="26"/>
  <c r="AB608" i="26"/>
  <c r="AA608" i="26"/>
  <c r="Z608" i="26"/>
  <c r="Y608" i="26"/>
  <c r="Q608" i="26"/>
  <c r="L608" i="26"/>
  <c r="F608" i="26"/>
  <c r="E608" i="26"/>
  <c r="AM607" i="26"/>
  <c r="AL607" i="26"/>
  <c r="AF607" i="26"/>
  <c r="AE607" i="26"/>
  <c r="AD607" i="26"/>
  <c r="AB607" i="26"/>
  <c r="AA607" i="26"/>
  <c r="Z607" i="26"/>
  <c r="Y607" i="26"/>
  <c r="Q607" i="26"/>
  <c r="L607" i="26"/>
  <c r="F607" i="26"/>
  <c r="E607" i="26"/>
  <c r="AM606" i="26"/>
  <c r="AL606" i="26"/>
  <c r="AF606" i="26"/>
  <c r="AE606" i="26"/>
  <c r="AD606" i="26"/>
  <c r="AB606" i="26"/>
  <c r="AA606" i="26"/>
  <c r="Z606" i="26"/>
  <c r="Y606" i="26"/>
  <c r="Q606" i="26"/>
  <c r="L606" i="26"/>
  <c r="F606" i="26"/>
  <c r="E606" i="26"/>
  <c r="AM605" i="26"/>
  <c r="AL605" i="26"/>
  <c r="AF605" i="26"/>
  <c r="AE605" i="26"/>
  <c r="AD605" i="26"/>
  <c r="AB605" i="26"/>
  <c r="AA605" i="26"/>
  <c r="Z605" i="26"/>
  <c r="Y605" i="26"/>
  <c r="Q605" i="26"/>
  <c r="L605" i="26"/>
  <c r="F605" i="26"/>
  <c r="E605" i="26"/>
  <c r="AM604" i="26"/>
  <c r="AL604" i="26"/>
  <c r="AF604" i="26"/>
  <c r="AE604" i="26"/>
  <c r="AD604" i="26"/>
  <c r="AB604" i="26"/>
  <c r="AA604" i="26"/>
  <c r="Z604" i="26"/>
  <c r="Y604" i="26"/>
  <c r="AC604" i="26" s="1"/>
  <c r="Q604" i="26"/>
  <c r="L604" i="26"/>
  <c r="F604" i="26"/>
  <c r="E604" i="26"/>
  <c r="AM603" i="26"/>
  <c r="AL603" i="26"/>
  <c r="AF603" i="26"/>
  <c r="AE603" i="26"/>
  <c r="AD603" i="26"/>
  <c r="AB603" i="26"/>
  <c r="AA603" i="26"/>
  <c r="Z603" i="26"/>
  <c r="Y603" i="26"/>
  <c r="Q603" i="26"/>
  <c r="L603" i="26"/>
  <c r="F603" i="26"/>
  <c r="E603" i="26"/>
  <c r="AM602" i="26"/>
  <c r="AL602" i="26"/>
  <c r="AF602" i="26"/>
  <c r="AE602" i="26"/>
  <c r="AD602" i="26"/>
  <c r="AB602" i="26"/>
  <c r="AA602" i="26"/>
  <c r="Z602" i="26"/>
  <c r="Y602" i="26"/>
  <c r="AC602" i="26" s="1"/>
  <c r="Q602" i="26"/>
  <c r="L602" i="26"/>
  <c r="F602" i="26"/>
  <c r="E602" i="26"/>
  <c r="AM601" i="26"/>
  <c r="AL601" i="26"/>
  <c r="AF601" i="26"/>
  <c r="AE601" i="26"/>
  <c r="AD601" i="26"/>
  <c r="AB601" i="26"/>
  <c r="AA601" i="26"/>
  <c r="Z601" i="26"/>
  <c r="Y601" i="26"/>
  <c r="AC601" i="26" s="1"/>
  <c r="Q601" i="26"/>
  <c r="L601" i="26"/>
  <c r="F601" i="26"/>
  <c r="E601" i="26"/>
  <c r="AM600" i="26"/>
  <c r="AL600" i="26"/>
  <c r="AF600" i="26"/>
  <c r="AE600" i="26"/>
  <c r="AD600" i="26"/>
  <c r="AB600" i="26"/>
  <c r="AA600" i="26"/>
  <c r="Z600" i="26"/>
  <c r="Y600" i="26"/>
  <c r="AC600" i="26" s="1"/>
  <c r="Q600" i="26"/>
  <c r="L600" i="26"/>
  <c r="F600" i="26"/>
  <c r="E600" i="26"/>
  <c r="AM599" i="26"/>
  <c r="AL599" i="26"/>
  <c r="AF599" i="26"/>
  <c r="AE599" i="26"/>
  <c r="AD599" i="26"/>
  <c r="AB599" i="26"/>
  <c r="AA599" i="26"/>
  <c r="Z599" i="26"/>
  <c r="Y599" i="26"/>
  <c r="AC599" i="26" s="1"/>
  <c r="Q599" i="26"/>
  <c r="L599" i="26"/>
  <c r="F599" i="26"/>
  <c r="E599" i="26"/>
  <c r="AM598" i="26"/>
  <c r="AL598" i="26"/>
  <c r="AF598" i="26"/>
  <c r="AE598" i="26"/>
  <c r="AD598" i="26"/>
  <c r="AB598" i="26"/>
  <c r="AA598" i="26"/>
  <c r="Z598" i="26"/>
  <c r="Y598" i="26"/>
  <c r="AC598" i="26" s="1"/>
  <c r="Q598" i="26"/>
  <c r="L598" i="26"/>
  <c r="F598" i="26"/>
  <c r="E598" i="26"/>
  <c r="AM597" i="26"/>
  <c r="AL597" i="26"/>
  <c r="AF597" i="26"/>
  <c r="AE597" i="26"/>
  <c r="AD597" i="26"/>
  <c r="AB597" i="26"/>
  <c r="AA597" i="26"/>
  <c r="Z597" i="26"/>
  <c r="Y597" i="26"/>
  <c r="Q597" i="26"/>
  <c r="L597" i="26"/>
  <c r="F597" i="26"/>
  <c r="E597" i="26"/>
  <c r="AM596" i="26"/>
  <c r="AL596" i="26"/>
  <c r="AF596" i="26"/>
  <c r="AE596" i="26"/>
  <c r="AD596" i="26"/>
  <c r="AB596" i="26"/>
  <c r="AA596" i="26"/>
  <c r="Z596" i="26"/>
  <c r="Y596" i="26"/>
  <c r="AC596" i="26" s="1"/>
  <c r="Q596" i="26"/>
  <c r="L596" i="26"/>
  <c r="F596" i="26"/>
  <c r="E596" i="26"/>
  <c r="AM595" i="26"/>
  <c r="AL595" i="26"/>
  <c r="AF595" i="26"/>
  <c r="AE595" i="26"/>
  <c r="AD595" i="26"/>
  <c r="AB595" i="26"/>
  <c r="AA595" i="26"/>
  <c r="Z595" i="26"/>
  <c r="Y595" i="26"/>
  <c r="Q595" i="26"/>
  <c r="L595" i="26"/>
  <c r="F595" i="26"/>
  <c r="E595" i="26"/>
  <c r="AM594" i="26"/>
  <c r="AL594" i="26"/>
  <c r="AF594" i="26"/>
  <c r="AE594" i="26"/>
  <c r="AD594" i="26"/>
  <c r="AB594" i="26"/>
  <c r="AA594" i="26"/>
  <c r="Z594" i="26"/>
  <c r="Y594" i="26"/>
  <c r="Q594" i="26"/>
  <c r="L594" i="26"/>
  <c r="F594" i="26"/>
  <c r="E594" i="26"/>
  <c r="AM593" i="26"/>
  <c r="AL593" i="26"/>
  <c r="AF593" i="26"/>
  <c r="AE593" i="26"/>
  <c r="AD593" i="26"/>
  <c r="AB593" i="26"/>
  <c r="AA593" i="26"/>
  <c r="Z593" i="26"/>
  <c r="Y593" i="26"/>
  <c r="Q593" i="26"/>
  <c r="L593" i="26"/>
  <c r="F593" i="26"/>
  <c r="E593" i="26"/>
  <c r="AM592" i="26"/>
  <c r="AL592" i="26"/>
  <c r="AF592" i="26"/>
  <c r="AE592" i="26"/>
  <c r="AD592" i="26"/>
  <c r="AB592" i="26"/>
  <c r="AA592" i="26"/>
  <c r="Z592" i="26"/>
  <c r="Y592" i="26"/>
  <c r="Q592" i="26"/>
  <c r="L592" i="26"/>
  <c r="F592" i="26"/>
  <c r="E592" i="26"/>
  <c r="AM591" i="26"/>
  <c r="AL591" i="26"/>
  <c r="AF591" i="26"/>
  <c r="AE591" i="26"/>
  <c r="AD591" i="26"/>
  <c r="AB591" i="26"/>
  <c r="AA591" i="26"/>
  <c r="Z591" i="26"/>
  <c r="Y591" i="26"/>
  <c r="Q591" i="26"/>
  <c r="L591" i="26"/>
  <c r="F591" i="26"/>
  <c r="E591" i="26"/>
  <c r="AM590" i="26"/>
  <c r="AL590" i="26"/>
  <c r="AF590" i="26"/>
  <c r="AE590" i="26"/>
  <c r="AD590" i="26"/>
  <c r="AB590" i="26"/>
  <c r="AA590" i="26"/>
  <c r="Z590" i="26"/>
  <c r="Y590" i="26"/>
  <c r="Q590" i="26"/>
  <c r="L590" i="26"/>
  <c r="F590" i="26"/>
  <c r="E590" i="26"/>
  <c r="AM589" i="26"/>
  <c r="AL589" i="26"/>
  <c r="AF589" i="26"/>
  <c r="AE589" i="26"/>
  <c r="AD589" i="26"/>
  <c r="AB589" i="26"/>
  <c r="AA589" i="26"/>
  <c r="Z589" i="26"/>
  <c r="Y589" i="26"/>
  <c r="Q589" i="26"/>
  <c r="L589" i="26"/>
  <c r="F589" i="26"/>
  <c r="E589" i="26"/>
  <c r="AM588" i="26"/>
  <c r="AL588" i="26"/>
  <c r="AF588" i="26"/>
  <c r="AE588" i="26"/>
  <c r="AD588" i="26"/>
  <c r="AB588" i="26"/>
  <c r="AA588" i="26"/>
  <c r="Z588" i="26"/>
  <c r="Y588" i="26"/>
  <c r="AC588" i="26" s="1"/>
  <c r="Q588" i="26"/>
  <c r="L588" i="26"/>
  <c r="F588" i="26"/>
  <c r="E588" i="26"/>
  <c r="AM587" i="26"/>
  <c r="AL587" i="26"/>
  <c r="AF587" i="26"/>
  <c r="AE587" i="26"/>
  <c r="AD587" i="26"/>
  <c r="AB587" i="26"/>
  <c r="AA587" i="26"/>
  <c r="Z587" i="26"/>
  <c r="Y587" i="26"/>
  <c r="Q587" i="26"/>
  <c r="L587" i="26"/>
  <c r="F587" i="26"/>
  <c r="E587" i="26"/>
  <c r="AM586" i="26"/>
  <c r="AL586" i="26"/>
  <c r="AF586" i="26"/>
  <c r="AE586" i="26"/>
  <c r="AD586" i="26"/>
  <c r="AB586" i="26"/>
  <c r="AA586" i="26"/>
  <c r="Z586" i="26"/>
  <c r="Y586" i="26"/>
  <c r="Q586" i="26"/>
  <c r="L586" i="26"/>
  <c r="F586" i="26"/>
  <c r="E586" i="26"/>
  <c r="AM585" i="26"/>
  <c r="AL585" i="26"/>
  <c r="AF585" i="26"/>
  <c r="AE585" i="26"/>
  <c r="AD585" i="26"/>
  <c r="AB585" i="26"/>
  <c r="AA585" i="26"/>
  <c r="Z585" i="26"/>
  <c r="Y585" i="26"/>
  <c r="AC585" i="26" s="1"/>
  <c r="Q585" i="26"/>
  <c r="L585" i="26"/>
  <c r="F585" i="26"/>
  <c r="E585" i="26"/>
  <c r="AM584" i="26"/>
  <c r="AL584" i="26"/>
  <c r="AF584" i="26"/>
  <c r="AE584" i="26"/>
  <c r="AD584" i="26"/>
  <c r="AB584" i="26"/>
  <c r="AA584" i="26"/>
  <c r="Z584" i="26"/>
  <c r="Y584" i="26"/>
  <c r="Q584" i="26"/>
  <c r="L584" i="26"/>
  <c r="F584" i="26"/>
  <c r="E584" i="26"/>
  <c r="AM583" i="26"/>
  <c r="AL583" i="26"/>
  <c r="AF583" i="26"/>
  <c r="AE583" i="26"/>
  <c r="AD583" i="26"/>
  <c r="AB583" i="26"/>
  <c r="AA583" i="26"/>
  <c r="Z583" i="26"/>
  <c r="Y583" i="26"/>
  <c r="AC583" i="26" s="1"/>
  <c r="Q583" i="26"/>
  <c r="L583" i="26"/>
  <c r="F583" i="26"/>
  <c r="E583" i="26"/>
  <c r="AM582" i="26"/>
  <c r="AL582" i="26"/>
  <c r="AF582" i="26"/>
  <c r="AE582" i="26"/>
  <c r="AD582" i="26"/>
  <c r="AB582" i="26"/>
  <c r="AA582" i="26"/>
  <c r="Z582" i="26"/>
  <c r="Y582" i="26"/>
  <c r="AC582" i="26" s="1"/>
  <c r="Q582" i="26"/>
  <c r="L582" i="26"/>
  <c r="F582" i="26"/>
  <c r="E582" i="26"/>
  <c r="AM581" i="26"/>
  <c r="AL581" i="26"/>
  <c r="AF581" i="26"/>
  <c r="AE581" i="26"/>
  <c r="AD581" i="26"/>
  <c r="AB581" i="26"/>
  <c r="AA581" i="26"/>
  <c r="Z581" i="26"/>
  <c r="Y581" i="26"/>
  <c r="Q581" i="26"/>
  <c r="L581" i="26"/>
  <c r="F581" i="26"/>
  <c r="E581" i="26"/>
  <c r="AM580" i="26"/>
  <c r="AL580" i="26"/>
  <c r="AF580" i="26"/>
  <c r="AE580" i="26"/>
  <c r="AD580" i="26"/>
  <c r="AB580" i="26"/>
  <c r="AA580" i="26"/>
  <c r="Z580" i="26"/>
  <c r="Y580" i="26"/>
  <c r="AC580" i="26" s="1"/>
  <c r="Q580" i="26"/>
  <c r="L580" i="26"/>
  <c r="F580" i="26"/>
  <c r="E580" i="26"/>
  <c r="AM579" i="26"/>
  <c r="AL579" i="26"/>
  <c r="AF579" i="26"/>
  <c r="AE579" i="26"/>
  <c r="AD579" i="26"/>
  <c r="AB579" i="26"/>
  <c r="AA579" i="26"/>
  <c r="Z579" i="26"/>
  <c r="Y579" i="26"/>
  <c r="Q579" i="26"/>
  <c r="L579" i="26"/>
  <c r="F579" i="26"/>
  <c r="E579" i="26"/>
  <c r="AM578" i="26"/>
  <c r="AL578" i="26"/>
  <c r="AF578" i="26"/>
  <c r="AE578" i="26"/>
  <c r="AD578" i="26"/>
  <c r="AB578" i="26"/>
  <c r="AA578" i="26"/>
  <c r="Z578" i="26"/>
  <c r="Y578" i="26"/>
  <c r="Q578" i="26"/>
  <c r="L578" i="26"/>
  <c r="F578" i="26"/>
  <c r="E578" i="26"/>
  <c r="AM577" i="26"/>
  <c r="AL577" i="26"/>
  <c r="AF577" i="26"/>
  <c r="AE577" i="26"/>
  <c r="AD577" i="26"/>
  <c r="AB577" i="26"/>
  <c r="AA577" i="26"/>
  <c r="Z577" i="26"/>
  <c r="Y577" i="26"/>
  <c r="Q577" i="26"/>
  <c r="L577" i="26"/>
  <c r="F577" i="26"/>
  <c r="E577" i="26"/>
  <c r="AM576" i="26"/>
  <c r="AL576" i="26"/>
  <c r="AF576" i="26"/>
  <c r="AE576" i="26"/>
  <c r="AD576" i="26"/>
  <c r="AB576" i="26"/>
  <c r="AA576" i="26"/>
  <c r="Z576" i="26"/>
  <c r="Y576" i="26"/>
  <c r="Q576" i="26"/>
  <c r="L576" i="26"/>
  <c r="F576" i="26"/>
  <c r="E576" i="26"/>
  <c r="AM575" i="26"/>
  <c r="AL575" i="26"/>
  <c r="AF575" i="26"/>
  <c r="AE575" i="26"/>
  <c r="AD575" i="26"/>
  <c r="AB575" i="26"/>
  <c r="AA575" i="26"/>
  <c r="Z575" i="26"/>
  <c r="Y575" i="26"/>
  <c r="Q575" i="26"/>
  <c r="L575" i="26"/>
  <c r="F575" i="26"/>
  <c r="E575" i="26"/>
  <c r="AM574" i="26"/>
  <c r="AL574" i="26"/>
  <c r="AF574" i="26"/>
  <c r="AE574" i="26"/>
  <c r="AD574" i="26"/>
  <c r="AB574" i="26"/>
  <c r="AA574" i="26"/>
  <c r="Z574" i="26"/>
  <c r="Y574" i="26"/>
  <c r="Q574" i="26"/>
  <c r="L574" i="26"/>
  <c r="F574" i="26"/>
  <c r="E574" i="26"/>
  <c r="AM573" i="26"/>
  <c r="AL573" i="26"/>
  <c r="AF573" i="26"/>
  <c r="AE573" i="26"/>
  <c r="AD573" i="26"/>
  <c r="AB573" i="26"/>
  <c r="AA573" i="26"/>
  <c r="Z573" i="26"/>
  <c r="Y573" i="26"/>
  <c r="Q573" i="26"/>
  <c r="L573" i="26"/>
  <c r="F573" i="26"/>
  <c r="E573" i="26"/>
  <c r="AM572" i="26"/>
  <c r="AL572" i="26"/>
  <c r="AF572" i="26"/>
  <c r="AE572" i="26"/>
  <c r="AD572" i="26"/>
  <c r="AB572" i="26"/>
  <c r="AA572" i="26"/>
  <c r="Z572" i="26"/>
  <c r="Y572" i="26"/>
  <c r="Q572" i="26"/>
  <c r="L572" i="26"/>
  <c r="F572" i="26"/>
  <c r="E572" i="26"/>
  <c r="AM571" i="26"/>
  <c r="AL571" i="26"/>
  <c r="AF571" i="26"/>
  <c r="AE571" i="26"/>
  <c r="AD571" i="26"/>
  <c r="AB571" i="26"/>
  <c r="AA571" i="26"/>
  <c r="Z571" i="26"/>
  <c r="Y571" i="26"/>
  <c r="Q571" i="26"/>
  <c r="L571" i="26"/>
  <c r="F571" i="26"/>
  <c r="E571" i="26"/>
  <c r="AM570" i="26"/>
  <c r="AL570" i="26"/>
  <c r="AF570" i="26"/>
  <c r="AE570" i="26"/>
  <c r="AD570" i="26"/>
  <c r="AB570" i="26"/>
  <c r="AA570" i="26"/>
  <c r="Z570" i="26"/>
  <c r="Y570" i="26"/>
  <c r="Q570" i="26"/>
  <c r="L570" i="26"/>
  <c r="F570" i="26"/>
  <c r="E570" i="26"/>
  <c r="AM569" i="26"/>
  <c r="AL569" i="26"/>
  <c r="AF569" i="26"/>
  <c r="AE569" i="26"/>
  <c r="AD569" i="26"/>
  <c r="AB569" i="26"/>
  <c r="AA569" i="26"/>
  <c r="Z569" i="26"/>
  <c r="Y569" i="26"/>
  <c r="AC569" i="26" s="1"/>
  <c r="Q569" i="26"/>
  <c r="L569" i="26"/>
  <c r="F569" i="26"/>
  <c r="E569" i="26"/>
  <c r="AM568" i="26"/>
  <c r="AL568" i="26"/>
  <c r="AF568" i="26"/>
  <c r="AE568" i="26"/>
  <c r="AD568" i="26"/>
  <c r="AB568" i="26"/>
  <c r="AA568" i="26"/>
  <c r="Z568" i="26"/>
  <c r="Y568" i="26"/>
  <c r="Q568" i="26"/>
  <c r="L568" i="26"/>
  <c r="F568" i="26"/>
  <c r="E568" i="26"/>
  <c r="AM567" i="26"/>
  <c r="AL567" i="26"/>
  <c r="AF567" i="26"/>
  <c r="AE567" i="26"/>
  <c r="AD567" i="26"/>
  <c r="AB567" i="26"/>
  <c r="AA567" i="26"/>
  <c r="Z567" i="26"/>
  <c r="Y567" i="26"/>
  <c r="AC567" i="26" s="1"/>
  <c r="Q567" i="26"/>
  <c r="L567" i="26"/>
  <c r="F567" i="26"/>
  <c r="E567" i="26"/>
  <c r="AM566" i="26"/>
  <c r="AL566" i="26"/>
  <c r="AF566" i="26"/>
  <c r="AE566" i="26"/>
  <c r="AD566" i="26"/>
  <c r="AB566" i="26"/>
  <c r="AA566" i="26"/>
  <c r="Z566" i="26"/>
  <c r="Y566" i="26"/>
  <c r="Q566" i="26"/>
  <c r="L566" i="26"/>
  <c r="F566" i="26"/>
  <c r="E566" i="26"/>
  <c r="AM565" i="26"/>
  <c r="AL565" i="26"/>
  <c r="AF565" i="26"/>
  <c r="AE565" i="26"/>
  <c r="AD565" i="26"/>
  <c r="AB565" i="26"/>
  <c r="AA565" i="26"/>
  <c r="Z565" i="26"/>
  <c r="Y565" i="26"/>
  <c r="Q565" i="26"/>
  <c r="L565" i="26"/>
  <c r="F565" i="26"/>
  <c r="E565" i="26"/>
  <c r="AM564" i="26"/>
  <c r="AL564" i="26"/>
  <c r="AF564" i="26"/>
  <c r="AE564" i="26"/>
  <c r="AD564" i="26"/>
  <c r="AB564" i="26"/>
  <c r="AA564" i="26"/>
  <c r="Z564" i="26"/>
  <c r="Y564" i="26"/>
  <c r="Q564" i="26"/>
  <c r="L564" i="26"/>
  <c r="F564" i="26"/>
  <c r="E564" i="26"/>
  <c r="AM563" i="26"/>
  <c r="AL563" i="26"/>
  <c r="AF563" i="26"/>
  <c r="AE563" i="26"/>
  <c r="AD563" i="26"/>
  <c r="AB563" i="26"/>
  <c r="AA563" i="26"/>
  <c r="Z563" i="26"/>
  <c r="Y563" i="26"/>
  <c r="Q563" i="26"/>
  <c r="L563" i="26"/>
  <c r="F563" i="26"/>
  <c r="E563" i="26"/>
  <c r="AM562" i="26"/>
  <c r="AL562" i="26"/>
  <c r="AF562" i="26"/>
  <c r="AE562" i="26"/>
  <c r="AD562" i="26"/>
  <c r="AB562" i="26"/>
  <c r="AA562" i="26"/>
  <c r="Z562" i="26"/>
  <c r="Y562" i="26"/>
  <c r="Q562" i="26"/>
  <c r="L562" i="26"/>
  <c r="F562" i="26"/>
  <c r="E562" i="26"/>
  <c r="AM561" i="26"/>
  <c r="AL561" i="26"/>
  <c r="AF561" i="26"/>
  <c r="AE561" i="26"/>
  <c r="AD561" i="26"/>
  <c r="AB561" i="26"/>
  <c r="AA561" i="26"/>
  <c r="Z561" i="26"/>
  <c r="Y561" i="26"/>
  <c r="AC561" i="26" s="1"/>
  <c r="Q561" i="26"/>
  <c r="L561" i="26"/>
  <c r="F561" i="26"/>
  <c r="E561" i="26"/>
  <c r="AM560" i="26"/>
  <c r="AL560" i="26"/>
  <c r="AF560" i="26"/>
  <c r="AE560" i="26"/>
  <c r="AD560" i="26"/>
  <c r="AB560" i="26"/>
  <c r="AA560" i="26"/>
  <c r="Z560" i="26"/>
  <c r="Y560" i="26"/>
  <c r="Q560" i="26"/>
  <c r="L560" i="26"/>
  <c r="F560" i="26"/>
  <c r="E560" i="26"/>
  <c r="AM559" i="26"/>
  <c r="AL559" i="26"/>
  <c r="AF559" i="26"/>
  <c r="AE559" i="26"/>
  <c r="AD559" i="26"/>
  <c r="AB559" i="26"/>
  <c r="AA559" i="26"/>
  <c r="Z559" i="26"/>
  <c r="Y559" i="26"/>
  <c r="Q559" i="26"/>
  <c r="L559" i="26"/>
  <c r="F559" i="26"/>
  <c r="E559" i="26"/>
  <c r="AM558" i="26"/>
  <c r="AL558" i="26"/>
  <c r="AF558" i="26"/>
  <c r="AE558" i="26"/>
  <c r="AD558" i="26"/>
  <c r="AB558" i="26"/>
  <c r="AA558" i="26"/>
  <c r="Z558" i="26"/>
  <c r="Y558" i="26"/>
  <c r="Q558" i="26"/>
  <c r="L558" i="26"/>
  <c r="F558" i="26"/>
  <c r="E558" i="26"/>
  <c r="AM557" i="26"/>
  <c r="AL557" i="26"/>
  <c r="AF557" i="26"/>
  <c r="AE557" i="26"/>
  <c r="AD557" i="26"/>
  <c r="AB557" i="26"/>
  <c r="AA557" i="26"/>
  <c r="Z557" i="26"/>
  <c r="Y557" i="26"/>
  <c r="Q557" i="26"/>
  <c r="L557" i="26"/>
  <c r="F557" i="26"/>
  <c r="E557" i="26"/>
  <c r="AM556" i="26"/>
  <c r="AL556" i="26"/>
  <c r="AF556" i="26"/>
  <c r="AE556" i="26"/>
  <c r="AD556" i="26"/>
  <c r="AB556" i="26"/>
  <c r="AA556" i="26"/>
  <c r="Z556" i="26"/>
  <c r="Y556" i="26"/>
  <c r="AC556" i="26" s="1"/>
  <c r="Q556" i="26"/>
  <c r="L556" i="26"/>
  <c r="F556" i="26"/>
  <c r="E556" i="26"/>
  <c r="AM555" i="26"/>
  <c r="AL555" i="26"/>
  <c r="AF555" i="26"/>
  <c r="AE555" i="26"/>
  <c r="AD555" i="26"/>
  <c r="AB555" i="26"/>
  <c r="AA555" i="26"/>
  <c r="Z555" i="26"/>
  <c r="Y555" i="26"/>
  <c r="Q555" i="26"/>
  <c r="L555" i="26"/>
  <c r="F555" i="26"/>
  <c r="E555" i="26"/>
  <c r="AM554" i="26"/>
  <c r="AL554" i="26"/>
  <c r="AF554" i="26"/>
  <c r="AE554" i="26"/>
  <c r="AD554" i="26"/>
  <c r="AB554" i="26"/>
  <c r="AA554" i="26"/>
  <c r="Z554" i="26"/>
  <c r="Y554" i="26"/>
  <c r="Q554" i="26"/>
  <c r="L554" i="26"/>
  <c r="F554" i="26"/>
  <c r="E554" i="26"/>
  <c r="AM553" i="26"/>
  <c r="AL553" i="26"/>
  <c r="AF553" i="26"/>
  <c r="AE553" i="26"/>
  <c r="AD553" i="26"/>
  <c r="AB553" i="26"/>
  <c r="AA553" i="26"/>
  <c r="Z553" i="26"/>
  <c r="Y553" i="26"/>
  <c r="AC553" i="26" s="1"/>
  <c r="Q553" i="26"/>
  <c r="L553" i="26"/>
  <c r="F553" i="26"/>
  <c r="E553" i="26"/>
  <c r="AM552" i="26"/>
  <c r="AL552" i="26"/>
  <c r="AF552" i="26"/>
  <c r="AE552" i="26"/>
  <c r="AD552" i="26"/>
  <c r="AB552" i="26"/>
  <c r="AA552" i="26"/>
  <c r="Z552" i="26"/>
  <c r="Y552" i="26"/>
  <c r="Q552" i="26"/>
  <c r="L552" i="26"/>
  <c r="F552" i="26"/>
  <c r="E552" i="26"/>
  <c r="AM551" i="26"/>
  <c r="AL551" i="26"/>
  <c r="AF551" i="26"/>
  <c r="AE551" i="26"/>
  <c r="AD551" i="26"/>
  <c r="AB551" i="26"/>
  <c r="AA551" i="26"/>
  <c r="Z551" i="26"/>
  <c r="Y551" i="26"/>
  <c r="AC551" i="26" s="1"/>
  <c r="Q551" i="26"/>
  <c r="L551" i="26"/>
  <c r="F551" i="26"/>
  <c r="E551" i="26"/>
  <c r="AM550" i="26"/>
  <c r="AL550" i="26"/>
  <c r="AF550" i="26"/>
  <c r="AE550" i="26"/>
  <c r="AD550" i="26"/>
  <c r="AB550" i="26"/>
  <c r="AA550" i="26"/>
  <c r="Z550" i="26"/>
  <c r="Y550" i="26"/>
  <c r="Q550" i="26"/>
  <c r="L550" i="26"/>
  <c r="F550" i="26"/>
  <c r="E550" i="26"/>
  <c r="AM549" i="26"/>
  <c r="AL549" i="26"/>
  <c r="AF549" i="26"/>
  <c r="AE549" i="26"/>
  <c r="AD549" i="26"/>
  <c r="AB549" i="26"/>
  <c r="AA549" i="26"/>
  <c r="Z549" i="26"/>
  <c r="Y549" i="26"/>
  <c r="Q549" i="26"/>
  <c r="L549" i="26"/>
  <c r="F549" i="26"/>
  <c r="E549" i="26"/>
  <c r="AM548" i="26"/>
  <c r="AL548" i="26"/>
  <c r="AF548" i="26"/>
  <c r="AE548" i="26"/>
  <c r="AD548" i="26"/>
  <c r="AB548" i="26"/>
  <c r="AA548" i="26"/>
  <c r="Z548" i="26"/>
  <c r="Y548" i="26"/>
  <c r="Q548" i="26"/>
  <c r="L548" i="26"/>
  <c r="F548" i="26"/>
  <c r="E548" i="26"/>
  <c r="AM547" i="26"/>
  <c r="AL547" i="26"/>
  <c r="AF547" i="26"/>
  <c r="AE547" i="26"/>
  <c r="AD547" i="26"/>
  <c r="AB547" i="26"/>
  <c r="AA547" i="26"/>
  <c r="Z547" i="26"/>
  <c r="Y547" i="26"/>
  <c r="Q547" i="26"/>
  <c r="L547" i="26"/>
  <c r="F547" i="26"/>
  <c r="E547" i="26"/>
  <c r="AM546" i="26"/>
  <c r="AL546" i="26"/>
  <c r="AF546" i="26"/>
  <c r="AE546" i="26"/>
  <c r="AD546" i="26"/>
  <c r="AB546" i="26"/>
  <c r="AA546" i="26"/>
  <c r="Z546" i="26"/>
  <c r="Y546" i="26"/>
  <c r="Q546" i="26"/>
  <c r="L546" i="26"/>
  <c r="F546" i="26"/>
  <c r="E546" i="26"/>
  <c r="AM545" i="26"/>
  <c r="AL545" i="26"/>
  <c r="AF545" i="26"/>
  <c r="AE545" i="26"/>
  <c r="AD545" i="26"/>
  <c r="AB545" i="26"/>
  <c r="AA545" i="26"/>
  <c r="Z545" i="26"/>
  <c r="Y545" i="26"/>
  <c r="AC545" i="26" s="1"/>
  <c r="Q545" i="26"/>
  <c r="L545" i="26"/>
  <c r="F545" i="26"/>
  <c r="E545" i="26"/>
  <c r="AM544" i="26"/>
  <c r="AL544" i="26"/>
  <c r="AF544" i="26"/>
  <c r="AE544" i="26"/>
  <c r="AD544" i="26"/>
  <c r="AB544" i="26"/>
  <c r="AA544" i="26"/>
  <c r="Z544" i="26"/>
  <c r="Y544" i="26"/>
  <c r="Q544" i="26"/>
  <c r="L544" i="26"/>
  <c r="F544" i="26"/>
  <c r="E544" i="26"/>
  <c r="AM543" i="26"/>
  <c r="AL543" i="26"/>
  <c r="AF543" i="26"/>
  <c r="AE543" i="26"/>
  <c r="AD543" i="26"/>
  <c r="AB543" i="26"/>
  <c r="AA543" i="26"/>
  <c r="Z543" i="26"/>
  <c r="Y543" i="26"/>
  <c r="Q543" i="26"/>
  <c r="L543" i="26"/>
  <c r="F543" i="26"/>
  <c r="E543" i="26"/>
  <c r="AM542" i="26"/>
  <c r="AL542" i="26"/>
  <c r="AF542" i="26"/>
  <c r="AE542" i="26"/>
  <c r="AD542" i="26"/>
  <c r="AB542" i="26"/>
  <c r="AA542" i="26"/>
  <c r="Z542" i="26"/>
  <c r="Y542" i="26"/>
  <c r="Q542" i="26"/>
  <c r="L542" i="26"/>
  <c r="F542" i="26"/>
  <c r="E542" i="26"/>
  <c r="AM541" i="26"/>
  <c r="AL541" i="26"/>
  <c r="AF541" i="26"/>
  <c r="AE541" i="26"/>
  <c r="AD541" i="26"/>
  <c r="AB541" i="26"/>
  <c r="AA541" i="26"/>
  <c r="Z541" i="26"/>
  <c r="Y541" i="26"/>
  <c r="Q541" i="26"/>
  <c r="L541" i="26"/>
  <c r="F541" i="26"/>
  <c r="E541" i="26"/>
  <c r="AM540" i="26"/>
  <c r="AL540" i="26"/>
  <c r="AF540" i="26"/>
  <c r="AE540" i="26"/>
  <c r="AD540" i="26"/>
  <c r="AB540" i="26"/>
  <c r="AA540" i="26"/>
  <c r="Z540" i="26"/>
  <c r="Y540" i="26"/>
  <c r="AC540" i="26" s="1"/>
  <c r="Q540" i="26"/>
  <c r="L540" i="26"/>
  <c r="F540" i="26"/>
  <c r="E540" i="26"/>
  <c r="AM539" i="26"/>
  <c r="AL539" i="26"/>
  <c r="AF539" i="26"/>
  <c r="AE539" i="26"/>
  <c r="AD539" i="26"/>
  <c r="AB539" i="26"/>
  <c r="AA539" i="26"/>
  <c r="Z539" i="26"/>
  <c r="Y539" i="26"/>
  <c r="Q539" i="26"/>
  <c r="L539" i="26"/>
  <c r="F539" i="26"/>
  <c r="E539" i="26"/>
  <c r="AM538" i="26"/>
  <c r="AL538" i="26"/>
  <c r="AF538" i="26"/>
  <c r="AE538" i="26"/>
  <c r="AD538" i="26"/>
  <c r="AB538" i="26"/>
  <c r="AA538" i="26"/>
  <c r="Z538" i="26"/>
  <c r="Y538" i="26"/>
  <c r="AC538" i="26" s="1"/>
  <c r="Q538" i="26"/>
  <c r="L538" i="26"/>
  <c r="F538" i="26"/>
  <c r="E538" i="26"/>
  <c r="AM537" i="26"/>
  <c r="AL537" i="26"/>
  <c r="AF537" i="26"/>
  <c r="AE537" i="26"/>
  <c r="AD537" i="26"/>
  <c r="AB537" i="26"/>
  <c r="AA537" i="26"/>
  <c r="Z537" i="26"/>
  <c r="Y537" i="26"/>
  <c r="Q537" i="26"/>
  <c r="L537" i="26"/>
  <c r="F537" i="26"/>
  <c r="E537" i="26"/>
  <c r="AM536" i="26"/>
  <c r="AL536" i="26"/>
  <c r="AF536" i="26"/>
  <c r="AE536" i="26"/>
  <c r="AD536" i="26"/>
  <c r="AB536" i="26"/>
  <c r="AA536" i="26"/>
  <c r="Z536" i="26"/>
  <c r="Y536" i="26"/>
  <c r="AC536" i="26" s="1"/>
  <c r="Q536" i="26"/>
  <c r="L536" i="26"/>
  <c r="F536" i="26"/>
  <c r="E536" i="26"/>
  <c r="AM535" i="26"/>
  <c r="AL535" i="26"/>
  <c r="AF535" i="26"/>
  <c r="AE535" i="26"/>
  <c r="AD535" i="26"/>
  <c r="AB535" i="26"/>
  <c r="AA535" i="26"/>
  <c r="Z535" i="26"/>
  <c r="Y535" i="26"/>
  <c r="Q535" i="26"/>
  <c r="L535" i="26"/>
  <c r="F535" i="26"/>
  <c r="E535" i="26"/>
  <c r="AM534" i="26"/>
  <c r="AL534" i="26"/>
  <c r="AF534" i="26"/>
  <c r="AE534" i="26"/>
  <c r="AD534" i="26"/>
  <c r="AB534" i="26"/>
  <c r="AA534" i="26"/>
  <c r="Z534" i="26"/>
  <c r="Y534" i="26"/>
  <c r="AC534" i="26" s="1"/>
  <c r="Q534" i="26"/>
  <c r="L534" i="26"/>
  <c r="F534" i="26"/>
  <c r="E534" i="26"/>
  <c r="AM533" i="26"/>
  <c r="AL533" i="26"/>
  <c r="AF533" i="26"/>
  <c r="AE533" i="26"/>
  <c r="AD533" i="26"/>
  <c r="AB533" i="26"/>
  <c r="AA533" i="26"/>
  <c r="Z533" i="26"/>
  <c r="Y533" i="26"/>
  <c r="Q533" i="26"/>
  <c r="L533" i="26"/>
  <c r="F533" i="26"/>
  <c r="E533" i="26"/>
  <c r="AM532" i="26"/>
  <c r="AL532" i="26"/>
  <c r="AF532" i="26"/>
  <c r="AE532" i="26"/>
  <c r="AD532" i="26"/>
  <c r="AB532" i="26"/>
  <c r="AA532" i="26"/>
  <c r="Z532" i="26"/>
  <c r="Y532" i="26"/>
  <c r="AC532" i="26" s="1"/>
  <c r="Q532" i="26"/>
  <c r="L532" i="26"/>
  <c r="F532" i="26"/>
  <c r="E532" i="26"/>
  <c r="AM531" i="26"/>
  <c r="AL531" i="26"/>
  <c r="AF531" i="26"/>
  <c r="AE531" i="26"/>
  <c r="AD531" i="26"/>
  <c r="AB531" i="26"/>
  <c r="AA531" i="26"/>
  <c r="Z531" i="26"/>
  <c r="Y531" i="26"/>
  <c r="Q531" i="26"/>
  <c r="L531" i="26"/>
  <c r="F531" i="26"/>
  <c r="E531" i="26"/>
  <c r="AM530" i="26"/>
  <c r="AL530" i="26"/>
  <c r="AF530" i="26"/>
  <c r="AE530" i="26"/>
  <c r="AD530" i="26"/>
  <c r="AB530" i="26"/>
  <c r="AA530" i="26"/>
  <c r="Z530" i="26"/>
  <c r="Y530" i="26"/>
  <c r="Q530" i="26"/>
  <c r="L530" i="26"/>
  <c r="F530" i="26"/>
  <c r="E530" i="26"/>
  <c r="AM529" i="26"/>
  <c r="AL529" i="26"/>
  <c r="AF529" i="26"/>
  <c r="AE529" i="26"/>
  <c r="AD529" i="26"/>
  <c r="AB529" i="26"/>
  <c r="AA529" i="26"/>
  <c r="Z529" i="26"/>
  <c r="Y529" i="26"/>
  <c r="AC529" i="26" s="1"/>
  <c r="Q529" i="26"/>
  <c r="L529" i="26"/>
  <c r="F529" i="26"/>
  <c r="E529" i="26"/>
  <c r="AM528" i="26"/>
  <c r="AL528" i="26"/>
  <c r="AF528" i="26"/>
  <c r="AE528" i="26"/>
  <c r="AD528" i="26"/>
  <c r="AB528" i="26"/>
  <c r="AA528" i="26"/>
  <c r="Z528" i="26"/>
  <c r="Y528" i="26"/>
  <c r="Q528" i="26"/>
  <c r="L528" i="26"/>
  <c r="F528" i="26"/>
  <c r="E528" i="26"/>
  <c r="AM527" i="26"/>
  <c r="AL527" i="26"/>
  <c r="AF527" i="26"/>
  <c r="AE527" i="26"/>
  <c r="AD527" i="26"/>
  <c r="AB527" i="26"/>
  <c r="AA527" i="26"/>
  <c r="Z527" i="26"/>
  <c r="Y527" i="26"/>
  <c r="Q527" i="26"/>
  <c r="L527" i="26"/>
  <c r="F527" i="26"/>
  <c r="E527" i="26"/>
  <c r="AM526" i="26"/>
  <c r="AL526" i="26"/>
  <c r="AF526" i="26"/>
  <c r="AE526" i="26"/>
  <c r="AD526" i="26"/>
  <c r="AB526" i="26"/>
  <c r="AA526" i="26"/>
  <c r="Z526" i="26"/>
  <c r="Y526" i="26"/>
  <c r="Q526" i="26"/>
  <c r="L526" i="26"/>
  <c r="F526" i="26"/>
  <c r="E526" i="26"/>
  <c r="AM525" i="26"/>
  <c r="AL525" i="26"/>
  <c r="AF525" i="26"/>
  <c r="AE525" i="26"/>
  <c r="AD525" i="26"/>
  <c r="AB525" i="26"/>
  <c r="AA525" i="26"/>
  <c r="Z525" i="26"/>
  <c r="Y525" i="26"/>
  <c r="Q525" i="26"/>
  <c r="L525" i="26"/>
  <c r="F525" i="26"/>
  <c r="E525" i="26"/>
  <c r="AM524" i="26"/>
  <c r="AL524" i="26"/>
  <c r="AF524" i="26"/>
  <c r="AE524" i="26"/>
  <c r="AD524" i="26"/>
  <c r="AB524" i="26"/>
  <c r="AA524" i="26"/>
  <c r="Z524" i="26"/>
  <c r="Y524" i="26"/>
  <c r="AC524" i="26" s="1"/>
  <c r="Q524" i="26"/>
  <c r="L524" i="26"/>
  <c r="F524" i="26"/>
  <c r="E524" i="26"/>
  <c r="AM523" i="26"/>
  <c r="AL523" i="26"/>
  <c r="AF523" i="26"/>
  <c r="AE523" i="26"/>
  <c r="AD523" i="26"/>
  <c r="AB523" i="26"/>
  <c r="AA523" i="26"/>
  <c r="Z523" i="26"/>
  <c r="Y523" i="26"/>
  <c r="Q523" i="26"/>
  <c r="L523" i="26"/>
  <c r="F523" i="26"/>
  <c r="E523" i="26"/>
  <c r="AM522" i="26"/>
  <c r="AL522" i="26"/>
  <c r="AF522" i="26"/>
  <c r="AE522" i="26"/>
  <c r="AD522" i="26"/>
  <c r="AB522" i="26"/>
  <c r="AA522" i="26"/>
  <c r="Z522" i="26"/>
  <c r="Y522" i="26"/>
  <c r="AC522" i="26" s="1"/>
  <c r="Q522" i="26"/>
  <c r="L522" i="26"/>
  <c r="F522" i="26"/>
  <c r="E522" i="26"/>
  <c r="AM521" i="26"/>
  <c r="AL521" i="26"/>
  <c r="AF521" i="26"/>
  <c r="AE521" i="26"/>
  <c r="AD521" i="26"/>
  <c r="AB521" i="26"/>
  <c r="AA521" i="26"/>
  <c r="Z521" i="26"/>
  <c r="Y521" i="26"/>
  <c r="Q521" i="26"/>
  <c r="L521" i="26"/>
  <c r="F521" i="26"/>
  <c r="E521" i="26"/>
  <c r="AM520" i="26"/>
  <c r="AL520" i="26"/>
  <c r="AF520" i="26"/>
  <c r="AE520" i="26"/>
  <c r="AD520" i="26"/>
  <c r="AB520" i="26"/>
  <c r="AA520" i="26"/>
  <c r="Z520" i="26"/>
  <c r="Y520" i="26"/>
  <c r="AC520" i="26" s="1"/>
  <c r="Q520" i="26"/>
  <c r="L520" i="26"/>
  <c r="F520" i="26"/>
  <c r="E520" i="26"/>
  <c r="AM519" i="26"/>
  <c r="AL519" i="26"/>
  <c r="AF519" i="26"/>
  <c r="AE519" i="26"/>
  <c r="AD519" i="26"/>
  <c r="AB519" i="26"/>
  <c r="AA519" i="26"/>
  <c r="Z519" i="26"/>
  <c r="Y519" i="26"/>
  <c r="Q519" i="26"/>
  <c r="L519" i="26"/>
  <c r="F519" i="26"/>
  <c r="E519" i="26"/>
  <c r="AM518" i="26"/>
  <c r="AL518" i="26"/>
  <c r="AF518" i="26"/>
  <c r="AE518" i="26"/>
  <c r="AD518" i="26"/>
  <c r="AB518" i="26"/>
  <c r="AA518" i="26"/>
  <c r="Z518" i="26"/>
  <c r="Y518" i="26"/>
  <c r="AC518" i="26" s="1"/>
  <c r="Q518" i="26"/>
  <c r="L518" i="26"/>
  <c r="F518" i="26"/>
  <c r="E518" i="26"/>
  <c r="AJ517" i="26"/>
  <c r="AI517" i="26"/>
  <c r="AM517" i="26" s="1"/>
  <c r="AH517" i="26"/>
  <c r="AL517" i="26" s="1"/>
  <c r="AF517" i="26"/>
  <c r="AE517" i="26"/>
  <c r="AD517" i="26"/>
  <c r="AB517" i="26"/>
  <c r="AA517" i="26"/>
  <c r="Z517" i="26"/>
  <c r="Y517" i="26"/>
  <c r="Q517" i="26"/>
  <c r="L517" i="26"/>
  <c r="F517" i="26"/>
  <c r="E517" i="26"/>
  <c r="AK516" i="26"/>
  <c r="AJ516" i="26"/>
  <c r="AI516" i="26"/>
  <c r="AM516" i="26" s="1"/>
  <c r="AH516" i="26"/>
  <c r="AL516" i="26" s="1"/>
  <c r="AF516" i="26"/>
  <c r="AE516" i="26"/>
  <c r="AD516" i="26"/>
  <c r="AB516" i="26"/>
  <c r="AA516" i="26"/>
  <c r="Z516" i="26"/>
  <c r="Y516" i="26"/>
  <c r="Q516" i="26"/>
  <c r="L516" i="26"/>
  <c r="F516" i="26"/>
  <c r="E516" i="26"/>
  <c r="AK515" i="26"/>
  <c r="AJ515" i="26"/>
  <c r="AI515" i="26"/>
  <c r="AM515" i="26" s="1"/>
  <c r="AH515" i="26"/>
  <c r="AL515" i="26" s="1"/>
  <c r="AF515" i="26"/>
  <c r="AE515" i="26"/>
  <c r="AD515" i="26"/>
  <c r="AB515" i="26"/>
  <c r="AA515" i="26"/>
  <c r="Z515" i="26"/>
  <c r="Y515" i="26"/>
  <c r="AC515" i="26" s="1"/>
  <c r="Q515" i="26"/>
  <c r="L515" i="26"/>
  <c r="F515" i="26"/>
  <c r="E515" i="26"/>
  <c r="AK514" i="26"/>
  <c r="AJ514" i="26"/>
  <c r="AI514" i="26"/>
  <c r="AM514" i="26" s="1"/>
  <c r="AH514" i="26"/>
  <c r="AL514" i="26" s="1"/>
  <c r="AF514" i="26"/>
  <c r="AE514" i="26"/>
  <c r="AD514" i="26"/>
  <c r="AB514" i="26"/>
  <c r="AA514" i="26"/>
  <c r="Z514" i="26"/>
  <c r="Y514" i="26"/>
  <c r="Q514" i="26"/>
  <c r="L514" i="26"/>
  <c r="F514" i="26"/>
  <c r="E514" i="26"/>
  <c r="AK513" i="26"/>
  <c r="AJ513" i="26"/>
  <c r="AI513" i="26"/>
  <c r="AM513" i="26" s="1"/>
  <c r="AH513" i="26"/>
  <c r="AL513" i="26" s="1"/>
  <c r="AF513" i="26"/>
  <c r="AE513" i="26"/>
  <c r="AD513" i="26"/>
  <c r="AB513" i="26"/>
  <c r="AA513" i="26"/>
  <c r="Z513" i="26"/>
  <c r="Y513" i="26"/>
  <c r="AC513" i="26" s="1"/>
  <c r="Q513" i="26"/>
  <c r="L513" i="26"/>
  <c r="F513" i="26"/>
  <c r="E513" i="26"/>
  <c r="AJ512" i="26"/>
  <c r="AI512" i="26"/>
  <c r="AM512" i="26" s="1"/>
  <c r="AH512" i="26"/>
  <c r="AL512" i="26" s="1"/>
  <c r="AF512" i="26"/>
  <c r="AE512" i="26"/>
  <c r="AD512" i="26"/>
  <c r="AB512" i="26"/>
  <c r="AA512" i="26"/>
  <c r="Z512" i="26"/>
  <c r="Y512" i="26"/>
  <c r="Q512" i="26"/>
  <c r="L512" i="26"/>
  <c r="F512" i="26"/>
  <c r="E512" i="26"/>
  <c r="AK511" i="26"/>
  <c r="AJ511" i="26"/>
  <c r="AI511" i="26"/>
  <c r="AM511" i="26" s="1"/>
  <c r="AH511" i="26"/>
  <c r="AL511" i="26" s="1"/>
  <c r="AF511" i="26"/>
  <c r="AE511" i="26"/>
  <c r="AD511" i="26"/>
  <c r="AB511" i="26"/>
  <c r="AA511" i="26"/>
  <c r="Z511" i="26"/>
  <c r="Y511" i="26"/>
  <c r="Q511" i="26"/>
  <c r="L511" i="26"/>
  <c r="F511" i="26"/>
  <c r="E511" i="26"/>
  <c r="AK510" i="26"/>
  <c r="AJ510" i="26"/>
  <c r="AI510" i="26"/>
  <c r="AM510" i="26" s="1"/>
  <c r="AH510" i="26"/>
  <c r="AL510" i="26" s="1"/>
  <c r="AF510" i="26"/>
  <c r="AE510" i="26"/>
  <c r="AD510" i="26"/>
  <c r="AB510" i="26"/>
  <c r="AA510" i="26"/>
  <c r="Z510" i="26"/>
  <c r="Y510" i="26"/>
  <c r="AC510" i="26" s="1"/>
  <c r="Q510" i="26"/>
  <c r="L510" i="26"/>
  <c r="F510" i="26"/>
  <c r="E510" i="26"/>
  <c r="AJ509" i="26"/>
  <c r="AI509" i="26"/>
  <c r="AM509" i="26" s="1"/>
  <c r="AH509" i="26"/>
  <c r="AL509" i="26" s="1"/>
  <c r="AF509" i="26"/>
  <c r="AE509" i="26"/>
  <c r="AD509" i="26"/>
  <c r="AB509" i="26"/>
  <c r="AA509" i="26"/>
  <c r="Z509" i="26"/>
  <c r="Y509" i="26"/>
  <c r="Q509" i="26"/>
  <c r="L509" i="26"/>
  <c r="F509" i="26"/>
  <c r="E509" i="26"/>
  <c r="AJ508" i="26"/>
  <c r="AI508" i="26"/>
  <c r="AM508" i="26" s="1"/>
  <c r="AH508" i="26"/>
  <c r="AL508" i="26" s="1"/>
  <c r="AF508" i="26"/>
  <c r="AE508" i="26"/>
  <c r="AD508" i="26"/>
  <c r="AB508" i="26"/>
  <c r="AA508" i="26"/>
  <c r="Z508" i="26"/>
  <c r="Y508" i="26"/>
  <c r="AC508" i="26" s="1"/>
  <c r="Q508" i="26"/>
  <c r="L508" i="26"/>
  <c r="F508" i="26"/>
  <c r="E508" i="26"/>
  <c r="AJ507" i="26"/>
  <c r="AI507" i="26"/>
  <c r="AM507" i="26" s="1"/>
  <c r="AH507" i="26"/>
  <c r="AL507" i="26" s="1"/>
  <c r="AF507" i="26"/>
  <c r="AE507" i="26"/>
  <c r="AD507" i="26"/>
  <c r="AB507" i="26"/>
  <c r="AA507" i="26"/>
  <c r="Z507" i="26"/>
  <c r="Y507" i="26"/>
  <c r="AC507" i="26" s="1"/>
  <c r="Q507" i="26"/>
  <c r="L507" i="26"/>
  <c r="F507" i="26"/>
  <c r="E507" i="26"/>
  <c r="AK506" i="26"/>
  <c r="AJ506" i="26"/>
  <c r="AI506" i="26"/>
  <c r="AM506" i="26" s="1"/>
  <c r="AH506" i="26"/>
  <c r="AL506" i="26" s="1"/>
  <c r="AF506" i="26"/>
  <c r="AE506" i="26"/>
  <c r="AD506" i="26"/>
  <c r="AB506" i="26"/>
  <c r="AA506" i="26"/>
  <c r="Z506" i="26"/>
  <c r="Y506" i="26"/>
  <c r="Q506" i="26"/>
  <c r="L506" i="26"/>
  <c r="F506" i="26"/>
  <c r="E506" i="26"/>
  <c r="AK505" i="26"/>
  <c r="AJ505" i="26"/>
  <c r="AI505" i="26"/>
  <c r="AM505" i="26" s="1"/>
  <c r="AH505" i="26"/>
  <c r="AL505" i="26" s="1"/>
  <c r="AF505" i="26"/>
  <c r="AE505" i="26"/>
  <c r="AD505" i="26"/>
  <c r="AB505" i="26"/>
  <c r="AA505" i="26"/>
  <c r="Z505" i="26"/>
  <c r="Y505" i="26"/>
  <c r="Q505" i="26"/>
  <c r="L505" i="26"/>
  <c r="F505" i="26"/>
  <c r="E505" i="26"/>
  <c r="AK504" i="26"/>
  <c r="AJ504" i="26"/>
  <c r="AI504" i="26"/>
  <c r="AM504" i="26" s="1"/>
  <c r="AH504" i="26"/>
  <c r="AL504" i="26" s="1"/>
  <c r="AF504" i="26"/>
  <c r="AE504" i="26"/>
  <c r="AD504" i="26"/>
  <c r="AB504" i="26"/>
  <c r="AA504" i="26"/>
  <c r="Z504" i="26"/>
  <c r="Y504" i="26"/>
  <c r="Q504" i="26"/>
  <c r="L504" i="26"/>
  <c r="F504" i="26"/>
  <c r="E504" i="26"/>
  <c r="AK503" i="26"/>
  <c r="AJ503" i="26"/>
  <c r="AI503" i="26"/>
  <c r="AM503" i="26" s="1"/>
  <c r="AH503" i="26"/>
  <c r="AL503" i="26" s="1"/>
  <c r="AF503" i="26"/>
  <c r="AE503" i="26"/>
  <c r="AD503" i="26"/>
  <c r="AB503" i="26"/>
  <c r="AA503" i="26"/>
  <c r="Z503" i="26"/>
  <c r="Y503" i="26"/>
  <c r="AC503" i="26" s="1"/>
  <c r="Q503" i="26"/>
  <c r="L503" i="26"/>
  <c r="F503" i="26"/>
  <c r="E503" i="26"/>
  <c r="AK502" i="26"/>
  <c r="AJ502" i="26"/>
  <c r="AI502" i="26"/>
  <c r="AM502" i="26" s="1"/>
  <c r="AH502" i="26"/>
  <c r="AL502" i="26" s="1"/>
  <c r="AF502" i="26"/>
  <c r="AE502" i="26"/>
  <c r="AD502" i="26"/>
  <c r="AB502" i="26"/>
  <c r="AA502" i="26"/>
  <c r="Z502" i="26"/>
  <c r="Y502" i="26"/>
  <c r="Q502" i="26"/>
  <c r="L502" i="26"/>
  <c r="F502" i="26"/>
  <c r="E502" i="26"/>
  <c r="AK501" i="26"/>
  <c r="AJ501" i="26"/>
  <c r="AI501" i="26"/>
  <c r="AM501" i="26" s="1"/>
  <c r="AH501" i="26"/>
  <c r="AL501" i="26" s="1"/>
  <c r="AF501" i="26"/>
  <c r="AE501" i="26"/>
  <c r="AD501" i="26"/>
  <c r="AB501" i="26"/>
  <c r="AA501" i="26"/>
  <c r="Z501" i="26"/>
  <c r="Y501" i="26"/>
  <c r="Q501" i="26"/>
  <c r="L501" i="26"/>
  <c r="F501" i="26"/>
  <c r="E501" i="26"/>
  <c r="AJ500" i="26"/>
  <c r="AI500" i="26"/>
  <c r="AM500" i="26" s="1"/>
  <c r="AH500" i="26"/>
  <c r="AL500" i="26" s="1"/>
  <c r="AF500" i="26"/>
  <c r="AE500" i="26"/>
  <c r="AD500" i="26"/>
  <c r="AB500" i="26"/>
  <c r="AA500" i="26"/>
  <c r="Z500" i="26"/>
  <c r="Y500" i="26"/>
  <c r="Q500" i="26"/>
  <c r="L500" i="26"/>
  <c r="F500" i="26"/>
  <c r="E500" i="26"/>
  <c r="AJ499" i="26"/>
  <c r="AI499" i="26"/>
  <c r="AM499" i="26" s="1"/>
  <c r="AH499" i="26"/>
  <c r="AL499" i="26" s="1"/>
  <c r="AF499" i="26"/>
  <c r="AE499" i="26"/>
  <c r="AD499" i="26"/>
  <c r="AB499" i="26"/>
  <c r="AA499" i="26"/>
  <c r="Z499" i="26"/>
  <c r="Y499" i="26"/>
  <c r="Q499" i="26"/>
  <c r="L499" i="26"/>
  <c r="F499" i="26"/>
  <c r="E499" i="26"/>
  <c r="AJ498" i="26"/>
  <c r="AI498" i="26"/>
  <c r="AM498" i="26" s="1"/>
  <c r="AH498" i="26"/>
  <c r="AL498" i="26" s="1"/>
  <c r="AF498" i="26"/>
  <c r="AE498" i="26"/>
  <c r="AD498" i="26"/>
  <c r="AB498" i="26"/>
  <c r="AA498" i="26"/>
  <c r="Z498" i="26"/>
  <c r="Y498" i="26"/>
  <c r="Q498" i="26"/>
  <c r="L498" i="26"/>
  <c r="F498" i="26"/>
  <c r="E498" i="26"/>
  <c r="AK497" i="26"/>
  <c r="AJ497" i="26"/>
  <c r="AI497" i="26"/>
  <c r="AM497" i="26" s="1"/>
  <c r="AH497" i="26"/>
  <c r="AL497" i="26" s="1"/>
  <c r="AF497" i="26"/>
  <c r="AE497" i="26"/>
  <c r="AD497" i="26"/>
  <c r="AB497" i="26"/>
  <c r="AA497" i="26"/>
  <c r="Z497" i="26"/>
  <c r="Y497" i="26"/>
  <c r="AC497" i="26" s="1"/>
  <c r="Q497" i="26"/>
  <c r="L497" i="26"/>
  <c r="F497" i="26"/>
  <c r="E497" i="26"/>
  <c r="AK496" i="26"/>
  <c r="AJ496" i="26"/>
  <c r="AI496" i="26"/>
  <c r="AM496" i="26" s="1"/>
  <c r="AH496" i="26"/>
  <c r="AL496" i="26" s="1"/>
  <c r="AF496" i="26"/>
  <c r="AE496" i="26"/>
  <c r="AD496" i="26"/>
  <c r="AB496" i="26"/>
  <c r="AA496" i="26"/>
  <c r="Z496" i="26"/>
  <c r="Y496" i="26"/>
  <c r="AC496" i="26" s="1"/>
  <c r="Q496" i="26"/>
  <c r="L496" i="26"/>
  <c r="F496" i="26"/>
  <c r="E496" i="26"/>
  <c r="AK495" i="26"/>
  <c r="AJ495" i="26"/>
  <c r="AI495" i="26"/>
  <c r="AM495" i="26" s="1"/>
  <c r="AH495" i="26"/>
  <c r="AL495" i="26" s="1"/>
  <c r="AF495" i="26"/>
  <c r="AE495" i="26"/>
  <c r="AD495" i="26"/>
  <c r="AB495" i="26"/>
  <c r="AA495" i="26"/>
  <c r="Z495" i="26"/>
  <c r="Y495" i="26"/>
  <c r="AC495" i="26" s="1"/>
  <c r="Q495" i="26"/>
  <c r="L495" i="26"/>
  <c r="F495" i="26"/>
  <c r="E495" i="26"/>
  <c r="AJ494" i="26"/>
  <c r="AI494" i="26"/>
  <c r="AM494" i="26" s="1"/>
  <c r="AH494" i="26"/>
  <c r="AL494" i="26" s="1"/>
  <c r="AF494" i="26"/>
  <c r="AE494" i="26"/>
  <c r="AD494" i="26"/>
  <c r="AB494" i="26"/>
  <c r="AA494" i="26"/>
  <c r="Z494" i="26"/>
  <c r="Y494" i="26"/>
  <c r="Q494" i="26"/>
  <c r="L494" i="26"/>
  <c r="F494" i="26"/>
  <c r="E494" i="26"/>
  <c r="AJ493" i="26"/>
  <c r="AI493" i="26"/>
  <c r="AM493" i="26" s="1"/>
  <c r="AH493" i="26"/>
  <c r="AL493" i="26" s="1"/>
  <c r="AF493" i="26"/>
  <c r="AE493" i="26"/>
  <c r="AD493" i="26"/>
  <c r="AB493" i="26"/>
  <c r="AA493" i="26"/>
  <c r="Z493" i="26"/>
  <c r="Y493" i="26"/>
  <c r="Q493" i="26"/>
  <c r="L493" i="26"/>
  <c r="F493" i="26"/>
  <c r="E493" i="26"/>
  <c r="AJ492" i="26"/>
  <c r="AI492" i="26"/>
  <c r="AM492" i="26" s="1"/>
  <c r="AH492" i="26"/>
  <c r="AL492" i="26" s="1"/>
  <c r="AF492" i="26"/>
  <c r="AE492" i="26"/>
  <c r="AD492" i="26"/>
  <c r="AB492" i="26"/>
  <c r="AA492" i="26"/>
  <c r="Z492" i="26"/>
  <c r="Y492" i="26"/>
  <c r="Q492" i="26"/>
  <c r="L492" i="26"/>
  <c r="F492" i="26"/>
  <c r="E492" i="26"/>
  <c r="AK491" i="26"/>
  <c r="AJ491" i="26"/>
  <c r="AI491" i="26"/>
  <c r="AM491" i="26" s="1"/>
  <c r="AH491" i="26"/>
  <c r="AL491" i="26" s="1"/>
  <c r="AF491" i="26"/>
  <c r="AE491" i="26"/>
  <c r="AD491" i="26"/>
  <c r="AB491" i="26"/>
  <c r="AA491" i="26"/>
  <c r="Z491" i="26"/>
  <c r="Y491" i="26"/>
  <c r="Q491" i="26"/>
  <c r="L491" i="26"/>
  <c r="F491" i="26"/>
  <c r="E491" i="26"/>
  <c r="AK490" i="26"/>
  <c r="AJ490" i="26"/>
  <c r="AI490" i="26"/>
  <c r="AM490" i="26" s="1"/>
  <c r="AH490" i="26"/>
  <c r="AL490" i="26" s="1"/>
  <c r="AF490" i="26"/>
  <c r="AE490" i="26"/>
  <c r="AD490" i="26"/>
  <c r="AB490" i="26"/>
  <c r="AA490" i="26"/>
  <c r="Z490" i="26"/>
  <c r="Y490" i="26"/>
  <c r="AC490" i="26" s="1"/>
  <c r="Q490" i="26"/>
  <c r="L490" i="26"/>
  <c r="F490" i="26"/>
  <c r="E490" i="26"/>
  <c r="AJ489" i="26"/>
  <c r="AI489" i="26"/>
  <c r="AM489" i="26" s="1"/>
  <c r="AH489" i="26"/>
  <c r="AL489" i="26" s="1"/>
  <c r="AF489" i="26"/>
  <c r="AE489" i="26"/>
  <c r="AD489" i="26"/>
  <c r="AB489" i="26"/>
  <c r="AA489" i="26"/>
  <c r="Z489" i="26"/>
  <c r="Y489" i="26"/>
  <c r="Q489" i="26"/>
  <c r="L489" i="26"/>
  <c r="F489" i="26"/>
  <c r="E489" i="26"/>
  <c r="AJ488" i="26"/>
  <c r="AI488" i="26"/>
  <c r="AM488" i="26" s="1"/>
  <c r="AH488" i="26"/>
  <c r="AL488" i="26" s="1"/>
  <c r="AF488" i="26"/>
  <c r="AE488" i="26"/>
  <c r="AD488" i="26"/>
  <c r="AB488" i="26"/>
  <c r="AA488" i="26"/>
  <c r="Z488" i="26"/>
  <c r="Y488" i="26"/>
  <c r="Q488" i="26"/>
  <c r="L488" i="26"/>
  <c r="F488" i="26"/>
  <c r="E488" i="26"/>
  <c r="AJ487" i="26"/>
  <c r="AI487" i="26"/>
  <c r="AM487" i="26" s="1"/>
  <c r="AH487" i="26"/>
  <c r="AL487" i="26" s="1"/>
  <c r="AF487" i="26"/>
  <c r="AE487" i="26"/>
  <c r="AD487" i="26"/>
  <c r="AB487" i="26"/>
  <c r="AA487" i="26"/>
  <c r="Z487" i="26"/>
  <c r="Y487" i="26"/>
  <c r="Q487" i="26"/>
  <c r="L487" i="26"/>
  <c r="F487" i="26"/>
  <c r="E487" i="26"/>
  <c r="AK486" i="26"/>
  <c r="AJ486" i="26"/>
  <c r="AI486" i="26"/>
  <c r="AM486" i="26" s="1"/>
  <c r="AH486" i="26"/>
  <c r="AL486" i="26" s="1"/>
  <c r="AF486" i="26"/>
  <c r="AE486" i="26"/>
  <c r="AD486" i="26"/>
  <c r="AB486" i="26"/>
  <c r="AA486" i="26"/>
  <c r="Z486" i="26"/>
  <c r="Y486" i="26"/>
  <c r="AC486" i="26" s="1"/>
  <c r="Q486" i="26"/>
  <c r="L486" i="26"/>
  <c r="F486" i="26"/>
  <c r="E486" i="26"/>
  <c r="AK485" i="26"/>
  <c r="AJ485" i="26"/>
  <c r="AI485" i="26"/>
  <c r="AM485" i="26" s="1"/>
  <c r="AH485" i="26"/>
  <c r="AL485" i="26" s="1"/>
  <c r="AF485" i="26"/>
  <c r="AE485" i="26"/>
  <c r="AD485" i="26"/>
  <c r="AB485" i="26"/>
  <c r="AA485" i="26"/>
  <c r="Z485" i="26"/>
  <c r="Y485" i="26"/>
  <c r="AC485" i="26" s="1"/>
  <c r="S485" i="26"/>
  <c r="Q485" i="26"/>
  <c r="L485" i="26"/>
  <c r="F485" i="26"/>
  <c r="E485" i="26"/>
  <c r="AK484" i="26"/>
  <c r="AJ484" i="26"/>
  <c r="AI484" i="26"/>
  <c r="AM484" i="26" s="1"/>
  <c r="AH484" i="26"/>
  <c r="AL484" i="26" s="1"/>
  <c r="AF484" i="26"/>
  <c r="AE484" i="26"/>
  <c r="AD484" i="26"/>
  <c r="AB484" i="26"/>
  <c r="AA484" i="26"/>
  <c r="Z484" i="26"/>
  <c r="Y484" i="26"/>
  <c r="AC484" i="26" s="1"/>
  <c r="S484" i="26"/>
  <c r="Q484" i="26"/>
  <c r="L484" i="26"/>
  <c r="F484" i="26"/>
  <c r="E484" i="26"/>
  <c r="AK483" i="26"/>
  <c r="AJ483" i="26"/>
  <c r="AI483" i="26"/>
  <c r="AM483" i="26" s="1"/>
  <c r="AH483" i="26"/>
  <c r="AL483" i="26" s="1"/>
  <c r="AF483" i="26"/>
  <c r="AE483" i="26"/>
  <c r="AD483" i="26"/>
  <c r="AB483" i="26"/>
  <c r="AA483" i="26"/>
  <c r="Z483" i="26"/>
  <c r="Y483" i="26"/>
  <c r="AC483" i="26" s="1"/>
  <c r="S483" i="26"/>
  <c r="Q483" i="26"/>
  <c r="J483" i="26"/>
  <c r="I483" i="26"/>
  <c r="H483" i="26"/>
  <c r="F483" i="26"/>
  <c r="E483" i="26"/>
  <c r="AK482" i="26"/>
  <c r="AJ482" i="26"/>
  <c r="AI482" i="26"/>
  <c r="AM482" i="26" s="1"/>
  <c r="AH482" i="26"/>
  <c r="AL482" i="26" s="1"/>
  <c r="AF482" i="26"/>
  <c r="AE482" i="26"/>
  <c r="AD482" i="26"/>
  <c r="AB482" i="26"/>
  <c r="AA482" i="26"/>
  <c r="Z482" i="26"/>
  <c r="Y482" i="26"/>
  <c r="AC482" i="26" s="1"/>
  <c r="S482" i="26"/>
  <c r="Q482" i="26"/>
  <c r="K482" i="26"/>
  <c r="J482" i="26"/>
  <c r="I482" i="26"/>
  <c r="H482" i="26"/>
  <c r="F482" i="26"/>
  <c r="E482" i="26"/>
  <c r="AK481" i="26"/>
  <c r="AJ481" i="26"/>
  <c r="AI481" i="26"/>
  <c r="AM481" i="26" s="1"/>
  <c r="AH481" i="26"/>
  <c r="AL481" i="26" s="1"/>
  <c r="AF481" i="26"/>
  <c r="AE481" i="26"/>
  <c r="AD481" i="26"/>
  <c r="AB481" i="26"/>
  <c r="AA481" i="26"/>
  <c r="Z481" i="26"/>
  <c r="Y481" i="26"/>
  <c r="AC481" i="26" s="1"/>
  <c r="S481" i="26"/>
  <c r="Q481" i="26"/>
  <c r="K481" i="26"/>
  <c r="J481" i="26"/>
  <c r="I481" i="26"/>
  <c r="H481" i="26"/>
  <c r="F481" i="26"/>
  <c r="E481" i="26"/>
  <c r="AK480" i="26"/>
  <c r="AJ480" i="26"/>
  <c r="AI480" i="26"/>
  <c r="AM480" i="26" s="1"/>
  <c r="AH480" i="26"/>
  <c r="AL480" i="26" s="1"/>
  <c r="AF480" i="26"/>
  <c r="AE480" i="26"/>
  <c r="AD480" i="26"/>
  <c r="AB480" i="26"/>
  <c r="AA480" i="26"/>
  <c r="Z480" i="26"/>
  <c r="Y480" i="26"/>
  <c r="AC480" i="26" s="1"/>
  <c r="S480" i="26"/>
  <c r="Q480" i="26"/>
  <c r="K480" i="26"/>
  <c r="J480" i="26"/>
  <c r="I480" i="26"/>
  <c r="H480" i="26"/>
  <c r="F480" i="26"/>
  <c r="E480" i="26"/>
  <c r="AK479" i="26"/>
  <c r="AJ479" i="26"/>
  <c r="AI479" i="26"/>
  <c r="AM479" i="26" s="1"/>
  <c r="AH479" i="26"/>
  <c r="AL479" i="26" s="1"/>
  <c r="AF479" i="26"/>
  <c r="AE479" i="26"/>
  <c r="AD479" i="26"/>
  <c r="AB479" i="26"/>
  <c r="AA479" i="26"/>
  <c r="Z479" i="26"/>
  <c r="Y479" i="26"/>
  <c r="S479" i="26"/>
  <c r="Q479" i="26"/>
  <c r="K479" i="26"/>
  <c r="J479" i="26"/>
  <c r="I479" i="26"/>
  <c r="H479" i="26"/>
  <c r="F479" i="26"/>
  <c r="E479" i="26"/>
  <c r="AJ478" i="26"/>
  <c r="AI478" i="26"/>
  <c r="AM478" i="26" s="1"/>
  <c r="AH478" i="26"/>
  <c r="AL478" i="26" s="1"/>
  <c r="AF478" i="26"/>
  <c r="AE478" i="26"/>
  <c r="AD478" i="26"/>
  <c r="AB478" i="26"/>
  <c r="AA478" i="26"/>
  <c r="Z478" i="26"/>
  <c r="Y478" i="26"/>
  <c r="S478" i="26"/>
  <c r="Q478" i="26"/>
  <c r="J478" i="26"/>
  <c r="I478" i="26"/>
  <c r="H478" i="26"/>
  <c r="F478" i="26"/>
  <c r="E478" i="26"/>
  <c r="AK477" i="26"/>
  <c r="AJ477" i="26"/>
  <c r="AI477" i="26"/>
  <c r="AM477" i="26" s="1"/>
  <c r="AH477" i="26"/>
  <c r="AL477" i="26" s="1"/>
  <c r="AF477" i="26"/>
  <c r="AE477" i="26"/>
  <c r="AD477" i="26"/>
  <c r="AB477" i="26"/>
  <c r="AA477" i="26"/>
  <c r="Z477" i="26"/>
  <c r="Y477" i="26"/>
  <c r="S477" i="26"/>
  <c r="Q477" i="26"/>
  <c r="K477" i="26"/>
  <c r="J477" i="26"/>
  <c r="I477" i="26"/>
  <c r="H477" i="26"/>
  <c r="F477" i="26"/>
  <c r="E477" i="26"/>
  <c r="AK476" i="26"/>
  <c r="AJ476" i="26"/>
  <c r="AI476" i="26"/>
  <c r="AM476" i="26" s="1"/>
  <c r="AH476" i="26"/>
  <c r="AL476" i="26" s="1"/>
  <c r="AF476" i="26"/>
  <c r="AE476" i="26"/>
  <c r="AD476" i="26"/>
  <c r="AB476" i="26"/>
  <c r="AA476" i="26"/>
  <c r="Z476" i="26"/>
  <c r="Y476" i="26"/>
  <c r="S476" i="26"/>
  <c r="Q476" i="26"/>
  <c r="K476" i="26"/>
  <c r="J476" i="26"/>
  <c r="I476" i="26"/>
  <c r="H476" i="26"/>
  <c r="F476" i="26"/>
  <c r="E476" i="26"/>
  <c r="AK475" i="26"/>
  <c r="AJ475" i="26"/>
  <c r="AI475" i="26"/>
  <c r="AM475" i="26" s="1"/>
  <c r="AH475" i="26"/>
  <c r="AL475" i="26" s="1"/>
  <c r="AF475" i="26"/>
  <c r="AE475" i="26"/>
  <c r="AD475" i="26"/>
  <c r="AB475" i="26"/>
  <c r="AA475" i="26"/>
  <c r="Z475" i="26"/>
  <c r="Y475" i="26"/>
  <c r="AC475" i="26" s="1"/>
  <c r="S475" i="26"/>
  <c r="Q475" i="26"/>
  <c r="J475" i="26"/>
  <c r="I475" i="26"/>
  <c r="H475" i="26"/>
  <c r="F475" i="26"/>
  <c r="E475" i="26"/>
  <c r="AK474" i="26"/>
  <c r="AJ474" i="26"/>
  <c r="AI474" i="26"/>
  <c r="AM474" i="26" s="1"/>
  <c r="AH474" i="26"/>
  <c r="AL474" i="26" s="1"/>
  <c r="AF474" i="26"/>
  <c r="AE474" i="26"/>
  <c r="AD474" i="26"/>
  <c r="AB474" i="26"/>
  <c r="AA474" i="26"/>
  <c r="Z474" i="26"/>
  <c r="Y474" i="26"/>
  <c r="S474" i="26"/>
  <c r="Q474" i="26"/>
  <c r="J474" i="26"/>
  <c r="I474" i="26"/>
  <c r="H474" i="26"/>
  <c r="F474" i="26"/>
  <c r="E474" i="26"/>
  <c r="AK473" i="26"/>
  <c r="AJ473" i="26"/>
  <c r="AI473" i="26"/>
  <c r="AM473" i="26" s="1"/>
  <c r="AH473" i="26"/>
  <c r="AL473" i="26" s="1"/>
  <c r="AF473" i="26"/>
  <c r="AE473" i="26"/>
  <c r="AD473" i="26"/>
  <c r="AB473" i="26"/>
  <c r="AA473" i="26"/>
  <c r="Z473" i="26"/>
  <c r="Y473" i="26"/>
  <c r="S473" i="26"/>
  <c r="Q473" i="26"/>
  <c r="J473" i="26"/>
  <c r="I473" i="26"/>
  <c r="H473" i="26"/>
  <c r="F473" i="26"/>
  <c r="E473" i="26"/>
  <c r="AK472" i="26"/>
  <c r="AJ472" i="26"/>
  <c r="AI472" i="26"/>
  <c r="AM472" i="26" s="1"/>
  <c r="AH472" i="26"/>
  <c r="AL472" i="26" s="1"/>
  <c r="AF472" i="26"/>
  <c r="AE472" i="26"/>
  <c r="AD472" i="26"/>
  <c r="AB472" i="26"/>
  <c r="AA472" i="26"/>
  <c r="Z472" i="26"/>
  <c r="Y472" i="26"/>
  <c r="AC472" i="26" s="1"/>
  <c r="S472" i="26"/>
  <c r="Q472" i="26"/>
  <c r="K472" i="26"/>
  <c r="J472" i="26"/>
  <c r="I472" i="26"/>
  <c r="H472" i="26"/>
  <c r="F472" i="26"/>
  <c r="E472" i="26"/>
  <c r="AK471" i="26"/>
  <c r="AJ471" i="26"/>
  <c r="AI471" i="26"/>
  <c r="AM471" i="26" s="1"/>
  <c r="AH471" i="26"/>
  <c r="AL471" i="26" s="1"/>
  <c r="AF471" i="26"/>
  <c r="AE471" i="26"/>
  <c r="AD471" i="26"/>
  <c r="AB471" i="26"/>
  <c r="AA471" i="26"/>
  <c r="Z471" i="26"/>
  <c r="Y471" i="26"/>
  <c r="S471" i="26"/>
  <c r="Q471" i="26"/>
  <c r="K471" i="26"/>
  <c r="J471" i="26"/>
  <c r="I471" i="26"/>
  <c r="H471" i="26"/>
  <c r="F471" i="26"/>
  <c r="E471" i="26"/>
  <c r="AK470" i="26"/>
  <c r="AJ470" i="26"/>
  <c r="AI470" i="26"/>
  <c r="AM470" i="26" s="1"/>
  <c r="AH470" i="26"/>
  <c r="AL470" i="26" s="1"/>
  <c r="AF470" i="26"/>
  <c r="AE470" i="26"/>
  <c r="AD470" i="26"/>
  <c r="AB470" i="26"/>
  <c r="AA470" i="26"/>
  <c r="Z470" i="26"/>
  <c r="Y470" i="26"/>
  <c r="AC470" i="26" s="1"/>
  <c r="S470" i="26"/>
  <c r="Q470" i="26"/>
  <c r="K470" i="26"/>
  <c r="J470" i="26"/>
  <c r="I470" i="26"/>
  <c r="H470" i="26"/>
  <c r="F470" i="26"/>
  <c r="E470" i="26"/>
  <c r="AK469" i="26"/>
  <c r="AJ469" i="26"/>
  <c r="AI469" i="26"/>
  <c r="AM469" i="26" s="1"/>
  <c r="AH469" i="26"/>
  <c r="AL469" i="26" s="1"/>
  <c r="AF469" i="26"/>
  <c r="AE469" i="26"/>
  <c r="AD469" i="26"/>
  <c r="AB469" i="26"/>
  <c r="AA469" i="26"/>
  <c r="Z469" i="26"/>
  <c r="Y469" i="26"/>
  <c r="S469" i="26"/>
  <c r="Q469" i="26"/>
  <c r="K469" i="26"/>
  <c r="J469" i="26"/>
  <c r="I469" i="26"/>
  <c r="H469" i="26"/>
  <c r="F469" i="26"/>
  <c r="E469" i="26"/>
  <c r="AK468" i="26"/>
  <c r="AJ468" i="26"/>
  <c r="AI468" i="26"/>
  <c r="AM468" i="26" s="1"/>
  <c r="AH468" i="26"/>
  <c r="AL468" i="26" s="1"/>
  <c r="AF468" i="26"/>
  <c r="AE468" i="26"/>
  <c r="AD468" i="26"/>
  <c r="AB468" i="26"/>
  <c r="AA468" i="26"/>
  <c r="Z468" i="26"/>
  <c r="Y468" i="26"/>
  <c r="S468" i="26"/>
  <c r="Q468" i="26"/>
  <c r="K468" i="26"/>
  <c r="J468" i="26"/>
  <c r="I468" i="26"/>
  <c r="H468" i="26"/>
  <c r="F468" i="26"/>
  <c r="E468" i="26"/>
  <c r="AK467" i="26"/>
  <c r="AJ467" i="26"/>
  <c r="AI467" i="26"/>
  <c r="AM467" i="26" s="1"/>
  <c r="AH467" i="26"/>
  <c r="AL467" i="26" s="1"/>
  <c r="AF467" i="26"/>
  <c r="AE467" i="26"/>
  <c r="AD467" i="26"/>
  <c r="AB467" i="26"/>
  <c r="AA467" i="26"/>
  <c r="Z467" i="26"/>
  <c r="Y467" i="26"/>
  <c r="S467" i="26"/>
  <c r="Q467" i="26"/>
  <c r="K467" i="26"/>
  <c r="J467" i="26"/>
  <c r="I467" i="26"/>
  <c r="H467" i="26"/>
  <c r="F467" i="26"/>
  <c r="E467" i="26"/>
  <c r="AJ466" i="26"/>
  <c r="AI466" i="26"/>
  <c r="AM466" i="26" s="1"/>
  <c r="AH466" i="26"/>
  <c r="AL466" i="26" s="1"/>
  <c r="AF466" i="26"/>
  <c r="AE466" i="26"/>
  <c r="AD466" i="26"/>
  <c r="AB466" i="26"/>
  <c r="AA466" i="26"/>
  <c r="Z466" i="26"/>
  <c r="Y466" i="26"/>
  <c r="S466" i="26"/>
  <c r="Q466" i="26"/>
  <c r="J466" i="26"/>
  <c r="I466" i="26"/>
  <c r="H466" i="26"/>
  <c r="F466" i="26"/>
  <c r="E466" i="26"/>
  <c r="AJ465" i="26"/>
  <c r="AI465" i="26"/>
  <c r="AM465" i="26" s="1"/>
  <c r="AH465" i="26"/>
  <c r="AL465" i="26" s="1"/>
  <c r="AF465" i="26"/>
  <c r="AE465" i="26"/>
  <c r="AD465" i="26"/>
  <c r="AB465" i="26"/>
  <c r="AA465" i="26"/>
  <c r="Z465" i="26"/>
  <c r="Y465" i="26"/>
  <c r="S465" i="26"/>
  <c r="Q465" i="26"/>
  <c r="J465" i="26"/>
  <c r="I465" i="26"/>
  <c r="H465" i="26"/>
  <c r="F465" i="26"/>
  <c r="E465" i="26"/>
  <c r="AK464" i="26"/>
  <c r="AJ464" i="26"/>
  <c r="AI464" i="26"/>
  <c r="AM464" i="26" s="1"/>
  <c r="AH464" i="26"/>
  <c r="AL464" i="26" s="1"/>
  <c r="AF464" i="26"/>
  <c r="AE464" i="26"/>
  <c r="AD464" i="26"/>
  <c r="AB464" i="26"/>
  <c r="AA464" i="26"/>
  <c r="Z464" i="26"/>
  <c r="Y464" i="26"/>
  <c r="AC464" i="26" s="1"/>
  <c r="S464" i="26"/>
  <c r="Q464" i="26"/>
  <c r="J464" i="26"/>
  <c r="I464" i="26"/>
  <c r="H464" i="26"/>
  <c r="F464" i="26"/>
  <c r="E464" i="26"/>
  <c r="AJ463" i="26"/>
  <c r="AI463" i="26"/>
  <c r="AM463" i="26" s="1"/>
  <c r="AH463" i="26"/>
  <c r="AL463" i="26" s="1"/>
  <c r="AF463" i="26"/>
  <c r="AE463" i="26"/>
  <c r="AD463" i="26"/>
  <c r="AB463" i="26"/>
  <c r="AA463" i="26"/>
  <c r="Z463" i="26"/>
  <c r="Y463" i="26"/>
  <c r="AC463" i="26" s="1"/>
  <c r="S463" i="26"/>
  <c r="Q463" i="26"/>
  <c r="K463" i="26"/>
  <c r="J463" i="26"/>
  <c r="I463" i="26"/>
  <c r="H463" i="26"/>
  <c r="F463" i="26"/>
  <c r="E463" i="26"/>
  <c r="AJ462" i="26"/>
  <c r="AI462" i="26"/>
  <c r="AM462" i="26" s="1"/>
  <c r="AH462" i="26"/>
  <c r="AL462" i="26" s="1"/>
  <c r="AF462" i="26"/>
  <c r="AE462" i="26"/>
  <c r="AD462" i="26"/>
  <c r="AB462" i="26"/>
  <c r="AA462" i="26"/>
  <c r="Z462" i="26"/>
  <c r="Y462" i="26"/>
  <c r="AC462" i="26" s="1"/>
  <c r="S462" i="26"/>
  <c r="Q462" i="26"/>
  <c r="K462" i="26"/>
  <c r="J462" i="26"/>
  <c r="I462" i="26"/>
  <c r="H462" i="26"/>
  <c r="F462" i="26"/>
  <c r="E462" i="26"/>
  <c r="AK461" i="26"/>
  <c r="AJ461" i="26"/>
  <c r="AI461" i="26"/>
  <c r="AM461" i="26" s="1"/>
  <c r="AH461" i="26"/>
  <c r="AL461" i="26" s="1"/>
  <c r="AF461" i="26"/>
  <c r="AE461" i="26"/>
  <c r="AD461" i="26"/>
  <c r="AB461" i="26"/>
  <c r="AA461" i="26"/>
  <c r="Z461" i="26"/>
  <c r="Y461" i="26"/>
  <c r="S461" i="26"/>
  <c r="Q461" i="26"/>
  <c r="K461" i="26"/>
  <c r="J461" i="26"/>
  <c r="I461" i="26"/>
  <c r="H461" i="26"/>
  <c r="F461" i="26"/>
  <c r="E461" i="26"/>
  <c r="AK460" i="26"/>
  <c r="AJ460" i="26"/>
  <c r="AI460" i="26"/>
  <c r="AM460" i="26" s="1"/>
  <c r="AH460" i="26"/>
  <c r="AL460" i="26" s="1"/>
  <c r="AF460" i="26"/>
  <c r="AE460" i="26"/>
  <c r="AD460" i="26"/>
  <c r="AB460" i="26"/>
  <c r="AA460" i="26"/>
  <c r="Z460" i="26"/>
  <c r="Y460" i="26"/>
  <c r="AC460" i="26" s="1"/>
  <c r="S460" i="26"/>
  <c r="Q460" i="26"/>
  <c r="J460" i="26"/>
  <c r="I460" i="26"/>
  <c r="H460" i="26"/>
  <c r="F460" i="26"/>
  <c r="E460" i="26"/>
  <c r="AK459" i="26"/>
  <c r="AJ459" i="26"/>
  <c r="AI459" i="26"/>
  <c r="AM459" i="26" s="1"/>
  <c r="AH459" i="26"/>
  <c r="AL459" i="26" s="1"/>
  <c r="AF459" i="26"/>
  <c r="AE459" i="26"/>
  <c r="AD459" i="26"/>
  <c r="AB459" i="26"/>
  <c r="AA459" i="26"/>
  <c r="Z459" i="26"/>
  <c r="Y459" i="26"/>
  <c r="S459" i="26"/>
  <c r="Q459" i="26"/>
  <c r="J459" i="26"/>
  <c r="I459" i="26"/>
  <c r="H459" i="26"/>
  <c r="F459" i="26"/>
  <c r="E459" i="26"/>
  <c r="AK458" i="26"/>
  <c r="AJ458" i="26"/>
  <c r="AI458" i="26"/>
  <c r="AM458" i="26" s="1"/>
  <c r="AH458" i="26"/>
  <c r="AL458" i="26" s="1"/>
  <c r="AF458" i="26"/>
  <c r="AE458" i="26"/>
  <c r="AD458" i="26"/>
  <c r="AB458" i="26"/>
  <c r="AA458" i="26"/>
  <c r="Z458" i="26"/>
  <c r="Y458" i="26"/>
  <c r="S458" i="26"/>
  <c r="Q458" i="26"/>
  <c r="J458" i="26"/>
  <c r="I458" i="26"/>
  <c r="H458" i="26"/>
  <c r="F458" i="26"/>
  <c r="E458" i="26"/>
  <c r="AK457" i="26"/>
  <c r="AJ457" i="26"/>
  <c r="AI457" i="26"/>
  <c r="AM457" i="26" s="1"/>
  <c r="AH457" i="26"/>
  <c r="AL457" i="26" s="1"/>
  <c r="AF457" i="26"/>
  <c r="AE457" i="26"/>
  <c r="AD457" i="26"/>
  <c r="AB457" i="26"/>
  <c r="AA457" i="26"/>
  <c r="Z457" i="26"/>
  <c r="Y457" i="26"/>
  <c r="S457" i="26"/>
  <c r="Q457" i="26"/>
  <c r="K457" i="26"/>
  <c r="J457" i="26"/>
  <c r="I457" i="26"/>
  <c r="H457" i="26"/>
  <c r="F457" i="26"/>
  <c r="E457" i="26"/>
  <c r="AK456" i="26"/>
  <c r="AJ456" i="26"/>
  <c r="AI456" i="26"/>
  <c r="AM456" i="26" s="1"/>
  <c r="AH456" i="26"/>
  <c r="AL456" i="26" s="1"/>
  <c r="AF456" i="26"/>
  <c r="AE456" i="26"/>
  <c r="AD456" i="26"/>
  <c r="AB456" i="26"/>
  <c r="AA456" i="26"/>
  <c r="Z456" i="26"/>
  <c r="Y456" i="26"/>
  <c r="AC456" i="26" s="1"/>
  <c r="S456" i="26"/>
  <c r="Q456" i="26"/>
  <c r="K456" i="26"/>
  <c r="J456" i="26"/>
  <c r="I456" i="26"/>
  <c r="H456" i="26"/>
  <c r="F456" i="26"/>
  <c r="E456" i="26"/>
  <c r="AK455" i="26"/>
  <c r="AJ455" i="26"/>
  <c r="AI455" i="26"/>
  <c r="AM455" i="26" s="1"/>
  <c r="AH455" i="26"/>
  <c r="AL455" i="26" s="1"/>
  <c r="AF455" i="26"/>
  <c r="AE455" i="26"/>
  <c r="AD455" i="26"/>
  <c r="AB455" i="26"/>
  <c r="AA455" i="26"/>
  <c r="Z455" i="26"/>
  <c r="Y455" i="26"/>
  <c r="S455" i="26"/>
  <c r="Q455" i="26"/>
  <c r="J455" i="26"/>
  <c r="I455" i="26"/>
  <c r="H455" i="26"/>
  <c r="F455" i="26"/>
  <c r="E455" i="26"/>
  <c r="AJ454" i="26"/>
  <c r="AI454" i="26"/>
  <c r="AM454" i="26" s="1"/>
  <c r="AH454" i="26"/>
  <c r="AL454" i="26" s="1"/>
  <c r="AF454" i="26"/>
  <c r="AE454" i="26"/>
  <c r="AD454" i="26"/>
  <c r="AB454" i="26"/>
  <c r="AA454" i="26"/>
  <c r="Z454" i="26"/>
  <c r="Y454" i="26"/>
  <c r="S454" i="26"/>
  <c r="Q454" i="26"/>
  <c r="J454" i="26"/>
  <c r="I454" i="26"/>
  <c r="H454" i="26"/>
  <c r="F454" i="26"/>
  <c r="E454" i="26"/>
  <c r="AJ453" i="26"/>
  <c r="AI453" i="26"/>
  <c r="AM453" i="26" s="1"/>
  <c r="AH453" i="26"/>
  <c r="AL453" i="26" s="1"/>
  <c r="AF453" i="26"/>
  <c r="AE453" i="26"/>
  <c r="AD453" i="26"/>
  <c r="AB453" i="26"/>
  <c r="AA453" i="26"/>
  <c r="Z453" i="26"/>
  <c r="Y453" i="26"/>
  <c r="S453" i="26"/>
  <c r="Q453" i="26"/>
  <c r="J453" i="26"/>
  <c r="I453" i="26"/>
  <c r="H453" i="26"/>
  <c r="F453" i="26"/>
  <c r="E453" i="26"/>
  <c r="AK452" i="26"/>
  <c r="AJ452" i="26"/>
  <c r="AI452" i="26"/>
  <c r="AM452" i="26" s="1"/>
  <c r="AH452" i="26"/>
  <c r="AL452" i="26" s="1"/>
  <c r="AF452" i="26"/>
  <c r="AE452" i="26"/>
  <c r="AD452" i="26"/>
  <c r="AB452" i="26"/>
  <c r="AA452" i="26"/>
  <c r="Z452" i="26"/>
  <c r="Y452" i="26"/>
  <c r="S452" i="26"/>
  <c r="Q452" i="26"/>
  <c r="K452" i="26"/>
  <c r="J452" i="26"/>
  <c r="I452" i="26"/>
  <c r="H452" i="26"/>
  <c r="F452" i="26"/>
  <c r="E452" i="26"/>
  <c r="AK451" i="26"/>
  <c r="AJ451" i="26"/>
  <c r="AI451" i="26"/>
  <c r="AM451" i="26" s="1"/>
  <c r="AH451" i="26"/>
  <c r="AL451" i="26" s="1"/>
  <c r="AF451" i="26"/>
  <c r="AE451" i="26"/>
  <c r="AD451" i="26"/>
  <c r="AB451" i="26"/>
  <c r="AA451" i="26"/>
  <c r="Z451" i="26"/>
  <c r="Y451" i="26"/>
  <c r="AC451" i="26" s="1"/>
  <c r="S451" i="26"/>
  <c r="Q451" i="26"/>
  <c r="K451" i="26"/>
  <c r="J451" i="26"/>
  <c r="I451" i="26"/>
  <c r="H451" i="26"/>
  <c r="F451" i="26"/>
  <c r="E451" i="26"/>
  <c r="AK450" i="26"/>
  <c r="AJ450" i="26"/>
  <c r="AI450" i="26"/>
  <c r="AM450" i="26" s="1"/>
  <c r="AH450" i="26"/>
  <c r="AL450" i="26" s="1"/>
  <c r="AF450" i="26"/>
  <c r="AE450" i="26"/>
  <c r="AD450" i="26"/>
  <c r="AB450" i="26"/>
  <c r="AA450" i="26"/>
  <c r="Z450" i="26"/>
  <c r="Y450" i="26"/>
  <c r="S450" i="26"/>
  <c r="Q450" i="26"/>
  <c r="K450" i="26"/>
  <c r="J450" i="26"/>
  <c r="I450" i="26"/>
  <c r="H450" i="26"/>
  <c r="F450" i="26"/>
  <c r="E450" i="26"/>
  <c r="AK449" i="26"/>
  <c r="AJ449" i="26"/>
  <c r="AI449" i="26"/>
  <c r="AM449" i="26" s="1"/>
  <c r="AH449" i="26"/>
  <c r="AL449" i="26" s="1"/>
  <c r="AF449" i="26"/>
  <c r="AE449" i="26"/>
  <c r="AD449" i="26"/>
  <c r="AB449" i="26"/>
  <c r="AA449" i="26"/>
  <c r="Z449" i="26"/>
  <c r="Y449" i="26"/>
  <c r="S449" i="26"/>
  <c r="Q449" i="26"/>
  <c r="K449" i="26"/>
  <c r="J449" i="26"/>
  <c r="I449" i="26"/>
  <c r="H449" i="26"/>
  <c r="F449" i="26"/>
  <c r="E449" i="26"/>
  <c r="AJ448" i="26"/>
  <c r="AI448" i="26"/>
  <c r="AM448" i="26" s="1"/>
  <c r="AH448" i="26"/>
  <c r="AL448" i="26" s="1"/>
  <c r="AF448" i="26"/>
  <c r="AE448" i="26"/>
  <c r="AD448" i="26"/>
  <c r="AB448" i="26"/>
  <c r="AA448" i="26"/>
  <c r="Z448" i="26"/>
  <c r="Y448" i="26"/>
  <c r="S448" i="26"/>
  <c r="Q448" i="26"/>
  <c r="K448" i="26"/>
  <c r="J448" i="26"/>
  <c r="I448" i="26"/>
  <c r="H448" i="26"/>
  <c r="F448" i="26"/>
  <c r="E448" i="26"/>
  <c r="AJ447" i="26"/>
  <c r="AI447" i="26"/>
  <c r="AM447" i="26" s="1"/>
  <c r="AH447" i="26"/>
  <c r="AL447" i="26" s="1"/>
  <c r="AF447" i="26"/>
  <c r="AE447" i="26"/>
  <c r="AD447" i="26"/>
  <c r="AB447" i="26"/>
  <c r="AA447" i="26"/>
  <c r="Z447" i="26"/>
  <c r="Y447" i="26"/>
  <c r="S447" i="26"/>
  <c r="Q447" i="26"/>
  <c r="K447" i="26"/>
  <c r="J447" i="26"/>
  <c r="I447" i="26"/>
  <c r="H447" i="26"/>
  <c r="F447" i="26"/>
  <c r="E447" i="26"/>
  <c r="AJ446" i="26"/>
  <c r="AI446" i="26"/>
  <c r="AM446" i="26" s="1"/>
  <c r="AH446" i="26"/>
  <c r="AL446" i="26" s="1"/>
  <c r="AF446" i="26"/>
  <c r="AE446" i="26"/>
  <c r="AD446" i="26"/>
  <c r="AB446" i="26"/>
  <c r="AA446" i="26"/>
  <c r="Z446" i="26"/>
  <c r="Y446" i="26"/>
  <c r="S446" i="26"/>
  <c r="Q446" i="26"/>
  <c r="K446" i="26"/>
  <c r="J446" i="26"/>
  <c r="I446" i="26"/>
  <c r="H446" i="26"/>
  <c r="F446" i="26"/>
  <c r="E446" i="26"/>
  <c r="AJ445" i="26"/>
  <c r="AI445" i="26"/>
  <c r="AM445" i="26" s="1"/>
  <c r="AH445" i="26"/>
  <c r="AL445" i="26" s="1"/>
  <c r="AF445" i="26"/>
  <c r="AE445" i="26"/>
  <c r="AD445" i="26"/>
  <c r="AB445" i="26"/>
  <c r="AA445" i="26"/>
  <c r="Z445" i="26"/>
  <c r="Y445" i="26"/>
  <c r="S445" i="26"/>
  <c r="Q445" i="26"/>
  <c r="K445" i="26"/>
  <c r="J445" i="26"/>
  <c r="I445" i="26"/>
  <c r="H445" i="26"/>
  <c r="F445" i="26"/>
  <c r="E445" i="26"/>
  <c r="AJ444" i="26"/>
  <c r="AI444" i="26"/>
  <c r="AM444" i="26" s="1"/>
  <c r="AH444" i="26"/>
  <c r="AL444" i="26" s="1"/>
  <c r="AF444" i="26"/>
  <c r="AE444" i="26"/>
  <c r="AD444" i="26"/>
  <c r="AB444" i="26"/>
  <c r="AA444" i="26"/>
  <c r="Z444" i="26"/>
  <c r="Y444" i="26"/>
  <c r="S444" i="26"/>
  <c r="Q444" i="26"/>
  <c r="J444" i="26"/>
  <c r="I444" i="26"/>
  <c r="H444" i="26"/>
  <c r="F444" i="26"/>
  <c r="E444" i="26"/>
  <c r="AK443" i="26"/>
  <c r="AJ443" i="26"/>
  <c r="AI443" i="26"/>
  <c r="AM443" i="26" s="1"/>
  <c r="AH443" i="26"/>
  <c r="AL443" i="26" s="1"/>
  <c r="AF443" i="26"/>
  <c r="AE443" i="26"/>
  <c r="AD443" i="26"/>
  <c r="AB443" i="26"/>
  <c r="AA443" i="26"/>
  <c r="Z443" i="26"/>
  <c r="Y443" i="26"/>
  <c r="S443" i="26"/>
  <c r="Q443" i="26"/>
  <c r="K443" i="26"/>
  <c r="J443" i="26"/>
  <c r="I443" i="26"/>
  <c r="H443" i="26"/>
  <c r="F443" i="26"/>
  <c r="E443" i="26"/>
  <c r="AK442" i="26"/>
  <c r="AJ442" i="26"/>
  <c r="AI442" i="26"/>
  <c r="AM442" i="26" s="1"/>
  <c r="AH442" i="26"/>
  <c r="AL442" i="26" s="1"/>
  <c r="AF442" i="26"/>
  <c r="AE442" i="26"/>
  <c r="AD442" i="26"/>
  <c r="AB442" i="26"/>
  <c r="AA442" i="26"/>
  <c r="Z442" i="26"/>
  <c r="Y442" i="26"/>
  <c r="S442" i="26"/>
  <c r="Q442" i="26"/>
  <c r="K442" i="26"/>
  <c r="J442" i="26"/>
  <c r="I442" i="26"/>
  <c r="H442" i="26"/>
  <c r="F442" i="26"/>
  <c r="E442" i="26"/>
  <c r="AK441" i="26"/>
  <c r="AJ441" i="26"/>
  <c r="AI441" i="26"/>
  <c r="AM441" i="26" s="1"/>
  <c r="AH441" i="26"/>
  <c r="AL441" i="26" s="1"/>
  <c r="AF441" i="26"/>
  <c r="AE441" i="26"/>
  <c r="AD441" i="26"/>
  <c r="AB441" i="26"/>
  <c r="AA441" i="26"/>
  <c r="Z441" i="26"/>
  <c r="Y441" i="26"/>
  <c r="S441" i="26"/>
  <c r="Q441" i="26"/>
  <c r="K441" i="26"/>
  <c r="J441" i="26"/>
  <c r="I441" i="26"/>
  <c r="H441" i="26"/>
  <c r="F441" i="26"/>
  <c r="E441" i="26"/>
  <c r="AJ440" i="26"/>
  <c r="AI440" i="26"/>
  <c r="AM440" i="26" s="1"/>
  <c r="AH440" i="26"/>
  <c r="AL440" i="26" s="1"/>
  <c r="AF440" i="26"/>
  <c r="AE440" i="26"/>
  <c r="AD440" i="26"/>
  <c r="AB440" i="26"/>
  <c r="AA440" i="26"/>
  <c r="Z440" i="26"/>
  <c r="Y440" i="26"/>
  <c r="S440" i="26"/>
  <c r="Q440" i="26"/>
  <c r="K440" i="26"/>
  <c r="J440" i="26"/>
  <c r="I440" i="26"/>
  <c r="H440" i="26"/>
  <c r="F440" i="26"/>
  <c r="E440" i="26"/>
  <c r="AK439" i="26"/>
  <c r="AJ439" i="26"/>
  <c r="AI439" i="26"/>
  <c r="AM439" i="26" s="1"/>
  <c r="AH439" i="26"/>
  <c r="AL439" i="26" s="1"/>
  <c r="AF439" i="26"/>
  <c r="AE439" i="26"/>
  <c r="AD439" i="26"/>
  <c r="AB439" i="26"/>
  <c r="AA439" i="26"/>
  <c r="Z439" i="26"/>
  <c r="Y439" i="26"/>
  <c r="S439" i="26"/>
  <c r="Q439" i="26"/>
  <c r="K439" i="26"/>
  <c r="J439" i="26"/>
  <c r="I439" i="26"/>
  <c r="H439" i="26"/>
  <c r="F439" i="26"/>
  <c r="E439" i="26"/>
  <c r="AJ438" i="26"/>
  <c r="AI438" i="26"/>
  <c r="AM438" i="26" s="1"/>
  <c r="AH438" i="26"/>
  <c r="AL438" i="26" s="1"/>
  <c r="AF438" i="26"/>
  <c r="AE438" i="26"/>
  <c r="AD438" i="26"/>
  <c r="AB438" i="26"/>
  <c r="AA438" i="26"/>
  <c r="Z438" i="26"/>
  <c r="Y438" i="26"/>
  <c r="S438" i="26"/>
  <c r="Q438" i="26"/>
  <c r="K438" i="26"/>
  <c r="J438" i="26"/>
  <c r="I438" i="26"/>
  <c r="H438" i="26"/>
  <c r="F438" i="26"/>
  <c r="E438" i="26"/>
  <c r="AJ437" i="26"/>
  <c r="AI437" i="26"/>
  <c r="AM437" i="26" s="1"/>
  <c r="AH437" i="26"/>
  <c r="AL437" i="26" s="1"/>
  <c r="AF437" i="26"/>
  <c r="AE437" i="26"/>
  <c r="AD437" i="26"/>
  <c r="AB437" i="26"/>
  <c r="AA437" i="26"/>
  <c r="Z437" i="26"/>
  <c r="Y437" i="26"/>
  <c r="S437" i="26"/>
  <c r="Q437" i="26"/>
  <c r="K437" i="26"/>
  <c r="J437" i="26"/>
  <c r="I437" i="26"/>
  <c r="H437" i="26"/>
  <c r="F437" i="26"/>
  <c r="E437" i="26"/>
  <c r="AJ436" i="26"/>
  <c r="AI436" i="26"/>
  <c r="AM436" i="26" s="1"/>
  <c r="AH436" i="26"/>
  <c r="AL436" i="26" s="1"/>
  <c r="AF436" i="26"/>
  <c r="AE436" i="26"/>
  <c r="AD436" i="26"/>
  <c r="AB436" i="26"/>
  <c r="AA436" i="26"/>
  <c r="Z436" i="26"/>
  <c r="Y436" i="26"/>
  <c r="S436" i="26"/>
  <c r="Q436" i="26"/>
  <c r="K436" i="26"/>
  <c r="J436" i="26"/>
  <c r="I436" i="26"/>
  <c r="H436" i="26"/>
  <c r="F436" i="26"/>
  <c r="E436" i="26"/>
  <c r="AJ435" i="26"/>
  <c r="AI435" i="26"/>
  <c r="AM435" i="26" s="1"/>
  <c r="AH435" i="26"/>
  <c r="AL435" i="26" s="1"/>
  <c r="AF435" i="26"/>
  <c r="AE435" i="26"/>
  <c r="AD435" i="26"/>
  <c r="AB435" i="26"/>
  <c r="AA435" i="26"/>
  <c r="Z435" i="26"/>
  <c r="Y435" i="26"/>
  <c r="S435" i="26"/>
  <c r="Q435" i="26"/>
  <c r="K435" i="26"/>
  <c r="J435" i="26"/>
  <c r="I435" i="26"/>
  <c r="H435" i="26"/>
  <c r="F435" i="26"/>
  <c r="E435" i="26"/>
  <c r="AJ434" i="26"/>
  <c r="AI434" i="26"/>
  <c r="AM434" i="26" s="1"/>
  <c r="AH434" i="26"/>
  <c r="AL434" i="26" s="1"/>
  <c r="AF434" i="26"/>
  <c r="AE434" i="26"/>
  <c r="AD434" i="26"/>
  <c r="AB434" i="26"/>
  <c r="AA434" i="26"/>
  <c r="Z434" i="26"/>
  <c r="Y434" i="26"/>
  <c r="S434" i="26"/>
  <c r="Q434" i="26"/>
  <c r="K434" i="26"/>
  <c r="J434" i="26"/>
  <c r="I434" i="26"/>
  <c r="H434" i="26"/>
  <c r="F434" i="26"/>
  <c r="E434" i="26"/>
  <c r="AJ433" i="26"/>
  <c r="AI433" i="26"/>
  <c r="AM433" i="26" s="1"/>
  <c r="AH433" i="26"/>
  <c r="AL433" i="26" s="1"/>
  <c r="AF433" i="26"/>
  <c r="AE433" i="26"/>
  <c r="AD433" i="26"/>
  <c r="AB433" i="26"/>
  <c r="AA433" i="26"/>
  <c r="Z433" i="26"/>
  <c r="Y433" i="26"/>
  <c r="S433" i="26"/>
  <c r="Q433" i="26"/>
  <c r="K433" i="26"/>
  <c r="J433" i="26"/>
  <c r="I433" i="26"/>
  <c r="H433" i="26"/>
  <c r="F433" i="26"/>
  <c r="E433" i="26"/>
  <c r="AK432" i="26"/>
  <c r="AJ432" i="26"/>
  <c r="AI432" i="26"/>
  <c r="AM432" i="26" s="1"/>
  <c r="AH432" i="26"/>
  <c r="AL432" i="26" s="1"/>
  <c r="AF432" i="26"/>
  <c r="AE432" i="26"/>
  <c r="AD432" i="26"/>
  <c r="AB432" i="26"/>
  <c r="AA432" i="26"/>
  <c r="Z432" i="26"/>
  <c r="Y432" i="26"/>
  <c r="S432" i="26"/>
  <c r="Q432" i="26"/>
  <c r="J432" i="26"/>
  <c r="I432" i="26"/>
  <c r="H432" i="26"/>
  <c r="F432" i="26"/>
  <c r="E432" i="26"/>
  <c r="AK431" i="26"/>
  <c r="AJ431" i="26"/>
  <c r="AI431" i="26"/>
  <c r="AM431" i="26" s="1"/>
  <c r="AH431" i="26"/>
  <c r="AL431" i="26" s="1"/>
  <c r="AF431" i="26"/>
  <c r="AE431" i="26"/>
  <c r="AD431" i="26"/>
  <c r="AB431" i="26"/>
  <c r="AA431" i="26"/>
  <c r="Z431" i="26"/>
  <c r="Y431" i="26"/>
  <c r="S431" i="26"/>
  <c r="Q431" i="26"/>
  <c r="J431" i="26"/>
  <c r="I431" i="26"/>
  <c r="H431" i="26"/>
  <c r="F431" i="26"/>
  <c r="E431" i="26"/>
  <c r="AK430" i="26"/>
  <c r="AJ430" i="26"/>
  <c r="AI430" i="26"/>
  <c r="AM430" i="26" s="1"/>
  <c r="AH430" i="26"/>
  <c r="AL430" i="26" s="1"/>
  <c r="AF430" i="26"/>
  <c r="AE430" i="26"/>
  <c r="AD430" i="26"/>
  <c r="AB430" i="26"/>
  <c r="AA430" i="26"/>
  <c r="Z430" i="26"/>
  <c r="Y430" i="26"/>
  <c r="S430" i="26"/>
  <c r="Q430" i="26"/>
  <c r="K430" i="26"/>
  <c r="J430" i="26"/>
  <c r="I430" i="26"/>
  <c r="H430" i="26"/>
  <c r="F430" i="26"/>
  <c r="E430" i="26"/>
  <c r="AJ429" i="26"/>
  <c r="AI429" i="26"/>
  <c r="AM429" i="26" s="1"/>
  <c r="AH429" i="26"/>
  <c r="AL429" i="26" s="1"/>
  <c r="AF429" i="26"/>
  <c r="AE429" i="26"/>
  <c r="AD429" i="26"/>
  <c r="AB429" i="26"/>
  <c r="AA429" i="26"/>
  <c r="Z429" i="26"/>
  <c r="Y429" i="26"/>
  <c r="S429" i="26"/>
  <c r="Q429" i="26"/>
  <c r="J429" i="26"/>
  <c r="I429" i="26"/>
  <c r="H429" i="26"/>
  <c r="F429" i="26"/>
  <c r="E429" i="26"/>
  <c r="AK428" i="26"/>
  <c r="AJ428" i="26"/>
  <c r="AI428" i="26"/>
  <c r="AM428" i="26" s="1"/>
  <c r="AH428" i="26"/>
  <c r="AL428" i="26" s="1"/>
  <c r="AF428" i="26"/>
  <c r="AE428" i="26"/>
  <c r="AD428" i="26"/>
  <c r="AB428" i="26"/>
  <c r="AA428" i="26"/>
  <c r="Z428" i="26"/>
  <c r="Y428" i="26"/>
  <c r="AC428" i="26" s="1"/>
  <c r="S428" i="26"/>
  <c r="Q428" i="26"/>
  <c r="J428" i="26"/>
  <c r="I428" i="26"/>
  <c r="H428" i="26"/>
  <c r="F428" i="26"/>
  <c r="E428" i="26"/>
  <c r="AJ427" i="26"/>
  <c r="AI427" i="26"/>
  <c r="AM427" i="26" s="1"/>
  <c r="AH427" i="26"/>
  <c r="AL427" i="26" s="1"/>
  <c r="AF427" i="26"/>
  <c r="AE427" i="26"/>
  <c r="AD427" i="26"/>
  <c r="AB427" i="26"/>
  <c r="AA427" i="26"/>
  <c r="Z427" i="26"/>
  <c r="Y427" i="26"/>
  <c r="AC427" i="26" s="1"/>
  <c r="S427" i="26"/>
  <c r="Q427" i="26"/>
  <c r="K427" i="26"/>
  <c r="J427" i="26"/>
  <c r="I427" i="26"/>
  <c r="H427" i="26"/>
  <c r="F427" i="26"/>
  <c r="E427" i="26"/>
  <c r="AJ426" i="26"/>
  <c r="AI426" i="26"/>
  <c r="AM426" i="26" s="1"/>
  <c r="AH426" i="26"/>
  <c r="AL426" i="26" s="1"/>
  <c r="AF426" i="26"/>
  <c r="AE426" i="26"/>
  <c r="AD426" i="26"/>
  <c r="AB426" i="26"/>
  <c r="AA426" i="26"/>
  <c r="Z426" i="26"/>
  <c r="Y426" i="26"/>
  <c r="S426" i="26"/>
  <c r="Q426" i="26"/>
  <c r="K426" i="26"/>
  <c r="J426" i="26"/>
  <c r="I426" i="26"/>
  <c r="H426" i="26"/>
  <c r="F426" i="26"/>
  <c r="E426" i="26"/>
  <c r="AK425" i="26"/>
  <c r="AJ425" i="26"/>
  <c r="AI425" i="26"/>
  <c r="AM425" i="26" s="1"/>
  <c r="AH425" i="26"/>
  <c r="AL425" i="26" s="1"/>
  <c r="AF425" i="26"/>
  <c r="AE425" i="26"/>
  <c r="AD425" i="26"/>
  <c r="AB425" i="26"/>
  <c r="AA425" i="26"/>
  <c r="Z425" i="26"/>
  <c r="Y425" i="26"/>
  <c r="S425" i="26"/>
  <c r="Q425" i="26"/>
  <c r="K425" i="26"/>
  <c r="J425" i="26"/>
  <c r="I425" i="26"/>
  <c r="H425" i="26"/>
  <c r="F425" i="26"/>
  <c r="E425" i="26"/>
  <c r="AK424" i="26"/>
  <c r="AJ424" i="26"/>
  <c r="AI424" i="26"/>
  <c r="AM424" i="26" s="1"/>
  <c r="AH424" i="26"/>
  <c r="AL424" i="26" s="1"/>
  <c r="AF424" i="26"/>
  <c r="AE424" i="26"/>
  <c r="AD424" i="26"/>
  <c r="AB424" i="26"/>
  <c r="AA424" i="26"/>
  <c r="Z424" i="26"/>
  <c r="Y424" i="26"/>
  <c r="S424" i="26"/>
  <c r="Q424" i="26"/>
  <c r="K424" i="26"/>
  <c r="J424" i="26"/>
  <c r="I424" i="26"/>
  <c r="H424" i="26"/>
  <c r="F424" i="26"/>
  <c r="E424" i="26"/>
  <c r="AK423" i="26"/>
  <c r="AJ423" i="26"/>
  <c r="AI423" i="26"/>
  <c r="AM423" i="26" s="1"/>
  <c r="AH423" i="26"/>
  <c r="AL423" i="26" s="1"/>
  <c r="AF423" i="26"/>
  <c r="AE423" i="26"/>
  <c r="AD423" i="26"/>
  <c r="AB423" i="26"/>
  <c r="AA423" i="26"/>
  <c r="Z423" i="26"/>
  <c r="Y423" i="26"/>
  <c r="S423" i="26"/>
  <c r="Q423" i="26"/>
  <c r="K423" i="26"/>
  <c r="J423" i="26"/>
  <c r="I423" i="26"/>
  <c r="H423" i="26"/>
  <c r="F423" i="26"/>
  <c r="E423" i="26"/>
  <c r="AJ422" i="26"/>
  <c r="AI422" i="26"/>
  <c r="AM422" i="26" s="1"/>
  <c r="AH422" i="26"/>
  <c r="AL422" i="26" s="1"/>
  <c r="AF422" i="26"/>
  <c r="AE422" i="26"/>
  <c r="AD422" i="26"/>
  <c r="AB422" i="26"/>
  <c r="AA422" i="26"/>
  <c r="Z422" i="26"/>
  <c r="Y422" i="26"/>
  <c r="S422" i="26"/>
  <c r="Q422" i="26"/>
  <c r="K422" i="26"/>
  <c r="J422" i="26"/>
  <c r="I422" i="26"/>
  <c r="H422" i="26"/>
  <c r="F422" i="26"/>
  <c r="E422" i="26"/>
  <c r="AJ421" i="26"/>
  <c r="AI421" i="26"/>
  <c r="AM421" i="26" s="1"/>
  <c r="AH421" i="26"/>
  <c r="AL421" i="26" s="1"/>
  <c r="AF421" i="26"/>
  <c r="AE421" i="26"/>
  <c r="AD421" i="26"/>
  <c r="AB421" i="26"/>
  <c r="AA421" i="26"/>
  <c r="Z421" i="26"/>
  <c r="Y421" i="26"/>
  <c r="S421" i="26"/>
  <c r="Q421" i="26"/>
  <c r="K421" i="26"/>
  <c r="J421" i="26"/>
  <c r="I421" i="26"/>
  <c r="H421" i="26"/>
  <c r="F421" i="26"/>
  <c r="E421" i="26"/>
  <c r="AK420" i="26"/>
  <c r="AJ420" i="26"/>
  <c r="AI420" i="26"/>
  <c r="AM420" i="26" s="1"/>
  <c r="AH420" i="26"/>
  <c r="AL420" i="26" s="1"/>
  <c r="AF420" i="26"/>
  <c r="AE420" i="26"/>
  <c r="AD420" i="26"/>
  <c r="AB420" i="26"/>
  <c r="AA420" i="26"/>
  <c r="Z420" i="26"/>
  <c r="Y420" i="26"/>
  <c r="S420" i="26"/>
  <c r="Q420" i="26"/>
  <c r="J420" i="26"/>
  <c r="I420" i="26"/>
  <c r="H420" i="26"/>
  <c r="F420" i="26"/>
  <c r="E420" i="26"/>
  <c r="AJ419" i="26"/>
  <c r="AI419" i="26"/>
  <c r="AM419" i="26" s="1"/>
  <c r="AH419" i="26"/>
  <c r="AL419" i="26" s="1"/>
  <c r="AF419" i="26"/>
  <c r="AE419" i="26"/>
  <c r="AD419" i="26"/>
  <c r="AB419" i="26"/>
  <c r="AA419" i="26"/>
  <c r="Z419" i="26"/>
  <c r="Y419" i="26"/>
  <c r="S419" i="26"/>
  <c r="Q419" i="26"/>
  <c r="J419" i="26"/>
  <c r="I419" i="26"/>
  <c r="H419" i="26"/>
  <c r="F419" i="26"/>
  <c r="E419" i="26"/>
  <c r="AK418" i="26"/>
  <c r="AJ418" i="26"/>
  <c r="AI418" i="26"/>
  <c r="AM418" i="26" s="1"/>
  <c r="AH418" i="26"/>
  <c r="AL418" i="26" s="1"/>
  <c r="AF418" i="26"/>
  <c r="AE418" i="26"/>
  <c r="AD418" i="26"/>
  <c r="AB418" i="26"/>
  <c r="AA418" i="26"/>
  <c r="Z418" i="26"/>
  <c r="Y418" i="26"/>
  <c r="AC418" i="26" s="1"/>
  <c r="S418" i="26"/>
  <c r="Q418" i="26"/>
  <c r="K418" i="26"/>
  <c r="J418" i="26"/>
  <c r="I418" i="26"/>
  <c r="H418" i="26"/>
  <c r="F418" i="26"/>
  <c r="E418" i="26"/>
  <c r="AK417" i="26"/>
  <c r="AJ417" i="26"/>
  <c r="AI417" i="26"/>
  <c r="AM417" i="26" s="1"/>
  <c r="AH417" i="26"/>
  <c r="AL417" i="26" s="1"/>
  <c r="AF417" i="26"/>
  <c r="AE417" i="26"/>
  <c r="AD417" i="26"/>
  <c r="AB417" i="26"/>
  <c r="AA417" i="26"/>
  <c r="Z417" i="26"/>
  <c r="Y417" i="26"/>
  <c r="S417" i="26"/>
  <c r="Q417" i="26"/>
  <c r="K417" i="26"/>
  <c r="J417" i="26"/>
  <c r="I417" i="26"/>
  <c r="H417" i="26"/>
  <c r="F417" i="26"/>
  <c r="E417" i="26"/>
  <c r="AK416" i="26"/>
  <c r="AJ416" i="26"/>
  <c r="AI416" i="26"/>
  <c r="AM416" i="26" s="1"/>
  <c r="AH416" i="26"/>
  <c r="AL416" i="26" s="1"/>
  <c r="AF416" i="26"/>
  <c r="AE416" i="26"/>
  <c r="AD416" i="26"/>
  <c r="AB416" i="26"/>
  <c r="AA416" i="26"/>
  <c r="Z416" i="26"/>
  <c r="Y416" i="26"/>
  <c r="S416" i="26"/>
  <c r="Q416" i="26"/>
  <c r="K416" i="26"/>
  <c r="J416" i="26"/>
  <c r="I416" i="26"/>
  <c r="H416" i="26"/>
  <c r="F416" i="26"/>
  <c r="E416" i="26"/>
  <c r="AK415" i="26"/>
  <c r="AJ415" i="26"/>
  <c r="AI415" i="26"/>
  <c r="AM415" i="26" s="1"/>
  <c r="AH415" i="26"/>
  <c r="AL415" i="26" s="1"/>
  <c r="AF415" i="26"/>
  <c r="AE415" i="26"/>
  <c r="AD415" i="26"/>
  <c r="AB415" i="26"/>
  <c r="AA415" i="26"/>
  <c r="Z415" i="26"/>
  <c r="Y415" i="26"/>
  <c r="S415" i="26"/>
  <c r="Q415" i="26"/>
  <c r="K415" i="26"/>
  <c r="J415" i="26"/>
  <c r="I415" i="26"/>
  <c r="H415" i="26"/>
  <c r="F415" i="26"/>
  <c r="E415" i="26"/>
  <c r="AK414" i="26"/>
  <c r="AJ414" i="26"/>
  <c r="AI414" i="26"/>
  <c r="AM414" i="26" s="1"/>
  <c r="AH414" i="26"/>
  <c r="AL414" i="26" s="1"/>
  <c r="AF414" i="26"/>
  <c r="AE414" i="26"/>
  <c r="AD414" i="26"/>
  <c r="AB414" i="26"/>
  <c r="AA414" i="26"/>
  <c r="Z414" i="26"/>
  <c r="Y414" i="26"/>
  <c r="S414" i="26"/>
  <c r="Q414" i="26"/>
  <c r="J414" i="26"/>
  <c r="I414" i="26"/>
  <c r="H414" i="26"/>
  <c r="F414" i="26"/>
  <c r="E414" i="26"/>
  <c r="AK413" i="26"/>
  <c r="AJ413" i="26"/>
  <c r="AI413" i="26"/>
  <c r="AM413" i="26" s="1"/>
  <c r="AH413" i="26"/>
  <c r="AL413" i="26" s="1"/>
  <c r="AF413" i="26"/>
  <c r="AE413" i="26"/>
  <c r="AD413" i="26"/>
  <c r="AB413" i="26"/>
  <c r="AA413" i="26"/>
  <c r="Z413" i="26"/>
  <c r="Y413" i="26"/>
  <c r="S413" i="26"/>
  <c r="Q413" i="26"/>
  <c r="J413" i="26"/>
  <c r="I413" i="26"/>
  <c r="H413" i="26"/>
  <c r="F413" i="26"/>
  <c r="E413" i="26"/>
  <c r="AK412" i="26"/>
  <c r="AJ412" i="26"/>
  <c r="AI412" i="26"/>
  <c r="AM412" i="26" s="1"/>
  <c r="AH412" i="26"/>
  <c r="AL412" i="26" s="1"/>
  <c r="AF412" i="26"/>
  <c r="AE412" i="26"/>
  <c r="AD412" i="26"/>
  <c r="AB412" i="26"/>
  <c r="AA412" i="26"/>
  <c r="Z412" i="26"/>
  <c r="Y412" i="26"/>
  <c r="S412" i="26"/>
  <c r="Q412" i="26"/>
  <c r="J412" i="26"/>
  <c r="I412" i="26"/>
  <c r="H412" i="26"/>
  <c r="F412" i="26"/>
  <c r="E412" i="26"/>
  <c r="AK411" i="26"/>
  <c r="AJ411" i="26"/>
  <c r="AI411" i="26"/>
  <c r="AM411" i="26" s="1"/>
  <c r="AH411" i="26"/>
  <c r="AL411" i="26" s="1"/>
  <c r="AF411" i="26"/>
  <c r="AE411" i="26"/>
  <c r="AD411" i="26"/>
  <c r="AB411" i="26"/>
  <c r="AA411" i="26"/>
  <c r="Z411" i="26"/>
  <c r="Y411" i="26"/>
  <c r="S411" i="26"/>
  <c r="Q411" i="26"/>
  <c r="J411" i="26"/>
  <c r="I411" i="26"/>
  <c r="H411" i="26"/>
  <c r="F411" i="26"/>
  <c r="E411" i="26"/>
  <c r="AK410" i="26"/>
  <c r="AJ410" i="26"/>
  <c r="AI410" i="26"/>
  <c r="AM410" i="26" s="1"/>
  <c r="AH410" i="26"/>
  <c r="AL410" i="26" s="1"/>
  <c r="AF410" i="26"/>
  <c r="AE410" i="26"/>
  <c r="AD410" i="26"/>
  <c r="AB410" i="26"/>
  <c r="AA410" i="26"/>
  <c r="Z410" i="26"/>
  <c r="Y410" i="26"/>
  <c r="S410" i="26"/>
  <c r="Q410" i="26"/>
  <c r="J410" i="26"/>
  <c r="I410" i="26"/>
  <c r="H410" i="26"/>
  <c r="F410" i="26"/>
  <c r="E410" i="26"/>
  <c r="AK409" i="26"/>
  <c r="AJ409" i="26"/>
  <c r="AI409" i="26"/>
  <c r="AM409" i="26" s="1"/>
  <c r="AH409" i="26"/>
  <c r="AL409" i="26" s="1"/>
  <c r="AF409" i="26"/>
  <c r="AE409" i="26"/>
  <c r="AD409" i="26"/>
  <c r="AB409" i="26"/>
  <c r="AA409" i="26"/>
  <c r="Z409" i="26"/>
  <c r="Y409" i="26"/>
  <c r="S409" i="26"/>
  <c r="Q409" i="26"/>
  <c r="K409" i="26"/>
  <c r="J409" i="26"/>
  <c r="I409" i="26"/>
  <c r="H409" i="26"/>
  <c r="F409" i="26"/>
  <c r="E409" i="26"/>
  <c r="AK408" i="26"/>
  <c r="AJ408" i="26"/>
  <c r="AI408" i="26"/>
  <c r="AM408" i="26" s="1"/>
  <c r="AH408" i="26"/>
  <c r="AL408" i="26" s="1"/>
  <c r="AF408" i="26"/>
  <c r="AE408" i="26"/>
  <c r="AD408" i="26"/>
  <c r="AB408" i="26"/>
  <c r="AA408" i="26"/>
  <c r="Z408" i="26"/>
  <c r="Y408" i="26"/>
  <c r="S408" i="26"/>
  <c r="Q408" i="26"/>
  <c r="K408" i="26"/>
  <c r="J408" i="26"/>
  <c r="I408" i="26"/>
  <c r="H408" i="26"/>
  <c r="F408" i="26"/>
  <c r="E408" i="26"/>
  <c r="AK407" i="26"/>
  <c r="AJ407" i="26"/>
  <c r="AI407" i="26"/>
  <c r="AM407" i="26" s="1"/>
  <c r="AH407" i="26"/>
  <c r="AL407" i="26" s="1"/>
  <c r="AF407" i="26"/>
  <c r="AE407" i="26"/>
  <c r="AD407" i="26"/>
  <c r="AB407" i="26"/>
  <c r="AA407" i="26"/>
  <c r="Z407" i="26"/>
  <c r="Y407" i="26"/>
  <c r="AC407" i="26" s="1"/>
  <c r="S407" i="26"/>
  <c r="Q407" i="26"/>
  <c r="K407" i="26"/>
  <c r="J407" i="26"/>
  <c r="I407" i="26"/>
  <c r="H407" i="26"/>
  <c r="F407" i="26"/>
  <c r="E407" i="26"/>
  <c r="AK406" i="26"/>
  <c r="AJ406" i="26"/>
  <c r="AI406" i="26"/>
  <c r="AM406" i="26" s="1"/>
  <c r="AH406" i="26"/>
  <c r="AL406" i="26" s="1"/>
  <c r="AF406" i="26"/>
  <c r="AE406" i="26"/>
  <c r="AD406" i="26"/>
  <c r="AB406" i="26"/>
  <c r="AA406" i="26"/>
  <c r="Z406" i="26"/>
  <c r="Y406" i="26"/>
  <c r="S406" i="26"/>
  <c r="Q406" i="26"/>
  <c r="J406" i="26"/>
  <c r="I406" i="26"/>
  <c r="H406" i="26"/>
  <c r="F406" i="26"/>
  <c r="E406" i="26"/>
  <c r="AK405" i="26"/>
  <c r="AJ405" i="26"/>
  <c r="AI405" i="26"/>
  <c r="AM405" i="26" s="1"/>
  <c r="AH405" i="26"/>
  <c r="AL405" i="26" s="1"/>
  <c r="AF405" i="26"/>
  <c r="AE405" i="26"/>
  <c r="AD405" i="26"/>
  <c r="AB405" i="26"/>
  <c r="AA405" i="26"/>
  <c r="Z405" i="26"/>
  <c r="Y405" i="26"/>
  <c r="S405" i="26"/>
  <c r="Q405" i="26"/>
  <c r="K405" i="26"/>
  <c r="J405" i="26"/>
  <c r="I405" i="26"/>
  <c r="H405" i="26"/>
  <c r="F405" i="26"/>
  <c r="E405" i="26"/>
  <c r="AK404" i="26"/>
  <c r="AJ404" i="26"/>
  <c r="AI404" i="26"/>
  <c r="AM404" i="26" s="1"/>
  <c r="AH404" i="26"/>
  <c r="AL404" i="26" s="1"/>
  <c r="AF404" i="26"/>
  <c r="AE404" i="26"/>
  <c r="AD404" i="26"/>
  <c r="AB404" i="26"/>
  <c r="AA404" i="26"/>
  <c r="Z404" i="26"/>
  <c r="Y404" i="26"/>
  <c r="S404" i="26"/>
  <c r="Q404" i="26"/>
  <c r="J404" i="26"/>
  <c r="I404" i="26"/>
  <c r="H404" i="26"/>
  <c r="F404" i="26"/>
  <c r="E404" i="26"/>
  <c r="AK403" i="26"/>
  <c r="AJ403" i="26"/>
  <c r="AI403" i="26"/>
  <c r="AM403" i="26" s="1"/>
  <c r="AH403" i="26"/>
  <c r="AL403" i="26" s="1"/>
  <c r="AF403" i="26"/>
  <c r="AE403" i="26"/>
  <c r="AD403" i="26"/>
  <c r="AB403" i="26"/>
  <c r="AA403" i="26"/>
  <c r="Z403" i="26"/>
  <c r="Y403" i="26"/>
  <c r="AC403" i="26" s="1"/>
  <c r="S403" i="26"/>
  <c r="Q403" i="26"/>
  <c r="J403" i="26"/>
  <c r="I403" i="26"/>
  <c r="H403" i="26"/>
  <c r="F403" i="26"/>
  <c r="E403" i="26"/>
  <c r="AK402" i="26"/>
  <c r="AJ402" i="26"/>
  <c r="AI402" i="26"/>
  <c r="AM402" i="26" s="1"/>
  <c r="AH402" i="26"/>
  <c r="AL402" i="26" s="1"/>
  <c r="AF402" i="26"/>
  <c r="AE402" i="26"/>
  <c r="AD402" i="26"/>
  <c r="AB402" i="26"/>
  <c r="AA402" i="26"/>
  <c r="Z402" i="26"/>
  <c r="Y402" i="26"/>
  <c r="S402" i="26"/>
  <c r="Q402" i="26"/>
  <c r="J402" i="26"/>
  <c r="I402" i="26"/>
  <c r="H402" i="26"/>
  <c r="F402" i="26"/>
  <c r="E402" i="26"/>
  <c r="AK401" i="26"/>
  <c r="AJ401" i="26"/>
  <c r="AI401" i="26"/>
  <c r="AM401" i="26" s="1"/>
  <c r="AH401" i="26"/>
  <c r="AL401" i="26" s="1"/>
  <c r="AF401" i="26"/>
  <c r="AE401" i="26"/>
  <c r="AD401" i="26"/>
  <c r="AB401" i="26"/>
  <c r="AA401" i="26"/>
  <c r="Z401" i="26"/>
  <c r="Y401" i="26"/>
  <c r="S401" i="26"/>
  <c r="Q401" i="26"/>
  <c r="J401" i="26"/>
  <c r="I401" i="26"/>
  <c r="H401" i="26"/>
  <c r="F401" i="26"/>
  <c r="E401" i="26"/>
  <c r="AK400" i="26"/>
  <c r="AJ400" i="26"/>
  <c r="AI400" i="26"/>
  <c r="AM400" i="26" s="1"/>
  <c r="AH400" i="26"/>
  <c r="AL400" i="26" s="1"/>
  <c r="AF400" i="26"/>
  <c r="AE400" i="26"/>
  <c r="AD400" i="26"/>
  <c r="AB400" i="26"/>
  <c r="AA400" i="26"/>
  <c r="Z400" i="26"/>
  <c r="Y400" i="26"/>
  <c r="S400" i="26"/>
  <c r="Q400" i="26"/>
  <c r="J400" i="26"/>
  <c r="I400" i="26"/>
  <c r="H400" i="26"/>
  <c r="F400" i="26"/>
  <c r="E400" i="26"/>
  <c r="AK399" i="26"/>
  <c r="AJ399" i="26"/>
  <c r="AI399" i="26"/>
  <c r="AM399" i="26" s="1"/>
  <c r="AH399" i="26"/>
  <c r="AL399" i="26" s="1"/>
  <c r="AF399" i="26"/>
  <c r="AE399" i="26"/>
  <c r="AD399" i="26"/>
  <c r="AB399" i="26"/>
  <c r="AA399" i="26"/>
  <c r="Z399" i="26"/>
  <c r="Y399" i="26"/>
  <c r="S399" i="26"/>
  <c r="Q399" i="26"/>
  <c r="J399" i="26"/>
  <c r="I399" i="26"/>
  <c r="H399" i="26"/>
  <c r="F399" i="26"/>
  <c r="E399" i="26"/>
  <c r="AK398" i="26"/>
  <c r="AJ398" i="26"/>
  <c r="AI398" i="26"/>
  <c r="AM398" i="26" s="1"/>
  <c r="AH398" i="26"/>
  <c r="AL398" i="26" s="1"/>
  <c r="AF398" i="26"/>
  <c r="AE398" i="26"/>
  <c r="AD398" i="26"/>
  <c r="AB398" i="26"/>
  <c r="AA398" i="26"/>
  <c r="Z398" i="26"/>
  <c r="Y398" i="26"/>
  <c r="S398" i="26"/>
  <c r="Q398" i="26"/>
  <c r="K398" i="26"/>
  <c r="J398" i="26"/>
  <c r="I398" i="26"/>
  <c r="H398" i="26"/>
  <c r="F398" i="26"/>
  <c r="E398" i="26"/>
  <c r="AK397" i="26"/>
  <c r="AJ397" i="26"/>
  <c r="AI397" i="26"/>
  <c r="AM397" i="26" s="1"/>
  <c r="AH397" i="26"/>
  <c r="AL397" i="26" s="1"/>
  <c r="AF397" i="26"/>
  <c r="AE397" i="26"/>
  <c r="AD397" i="26"/>
  <c r="AB397" i="26"/>
  <c r="AA397" i="26"/>
  <c r="Z397" i="26"/>
  <c r="Y397" i="26"/>
  <c r="S397" i="26"/>
  <c r="Q397" i="26"/>
  <c r="K397" i="26"/>
  <c r="J397" i="26"/>
  <c r="I397" i="26"/>
  <c r="H397" i="26"/>
  <c r="F397" i="26"/>
  <c r="E397" i="26"/>
  <c r="AK396" i="26"/>
  <c r="AJ396" i="26"/>
  <c r="AI396" i="26"/>
  <c r="AM396" i="26" s="1"/>
  <c r="AH396" i="26"/>
  <c r="AL396" i="26" s="1"/>
  <c r="AF396" i="26"/>
  <c r="AE396" i="26"/>
  <c r="AD396" i="26"/>
  <c r="AB396" i="26"/>
  <c r="AA396" i="26"/>
  <c r="Z396" i="26"/>
  <c r="Y396" i="26"/>
  <c r="S396" i="26"/>
  <c r="Q396" i="26"/>
  <c r="K396" i="26"/>
  <c r="J396" i="26"/>
  <c r="I396" i="26"/>
  <c r="H396" i="26"/>
  <c r="F396" i="26"/>
  <c r="E396" i="26"/>
  <c r="AK395" i="26"/>
  <c r="AJ395" i="26"/>
  <c r="AI395" i="26"/>
  <c r="AM395" i="26" s="1"/>
  <c r="AH395" i="26"/>
  <c r="AL395" i="26" s="1"/>
  <c r="AF395" i="26"/>
  <c r="AE395" i="26"/>
  <c r="AD395" i="26"/>
  <c r="AB395" i="26"/>
  <c r="AA395" i="26"/>
  <c r="Z395" i="26"/>
  <c r="Y395" i="26"/>
  <c r="S395" i="26"/>
  <c r="Q395" i="26"/>
  <c r="J395" i="26"/>
  <c r="I395" i="26"/>
  <c r="H395" i="26"/>
  <c r="F395" i="26"/>
  <c r="E395" i="26"/>
  <c r="AK394" i="26"/>
  <c r="AJ394" i="26"/>
  <c r="AI394" i="26"/>
  <c r="AM394" i="26" s="1"/>
  <c r="AH394" i="26"/>
  <c r="AL394" i="26" s="1"/>
  <c r="AF394" i="26"/>
  <c r="AE394" i="26"/>
  <c r="AD394" i="26"/>
  <c r="AB394" i="26"/>
  <c r="AA394" i="26"/>
  <c r="Z394" i="26"/>
  <c r="Y394" i="26"/>
  <c r="S394" i="26"/>
  <c r="Q394" i="26"/>
  <c r="K394" i="26"/>
  <c r="J394" i="26"/>
  <c r="I394" i="26"/>
  <c r="H394" i="26"/>
  <c r="F394" i="26"/>
  <c r="E394" i="26"/>
  <c r="AK393" i="26"/>
  <c r="AJ393" i="26"/>
  <c r="AI393" i="26"/>
  <c r="AM393" i="26" s="1"/>
  <c r="AH393" i="26"/>
  <c r="AL393" i="26" s="1"/>
  <c r="AF393" i="26"/>
  <c r="AE393" i="26"/>
  <c r="AD393" i="26"/>
  <c r="AB393" i="26"/>
  <c r="AA393" i="26"/>
  <c r="Z393" i="26"/>
  <c r="Y393" i="26"/>
  <c r="S393" i="26"/>
  <c r="Q393" i="26"/>
  <c r="J393" i="26"/>
  <c r="I393" i="26"/>
  <c r="H393" i="26"/>
  <c r="F393" i="26"/>
  <c r="E393" i="26"/>
  <c r="AK392" i="26"/>
  <c r="AJ392" i="26"/>
  <c r="AI392" i="26"/>
  <c r="AM392" i="26" s="1"/>
  <c r="AH392" i="26"/>
  <c r="AL392" i="26" s="1"/>
  <c r="AF392" i="26"/>
  <c r="AE392" i="26"/>
  <c r="AD392" i="26"/>
  <c r="AB392" i="26"/>
  <c r="AA392" i="26"/>
  <c r="Z392" i="26"/>
  <c r="Y392" i="26"/>
  <c r="S392" i="26"/>
  <c r="Q392" i="26"/>
  <c r="J392" i="26"/>
  <c r="I392" i="26"/>
  <c r="H392" i="26"/>
  <c r="F392" i="26"/>
  <c r="E392" i="26"/>
  <c r="AK391" i="26"/>
  <c r="AJ391" i="26"/>
  <c r="AI391" i="26"/>
  <c r="AM391" i="26" s="1"/>
  <c r="AH391" i="26"/>
  <c r="AL391" i="26" s="1"/>
  <c r="AF391" i="26"/>
  <c r="AE391" i="26"/>
  <c r="AD391" i="26"/>
  <c r="AB391" i="26"/>
  <c r="AA391" i="26"/>
  <c r="Z391" i="26"/>
  <c r="Y391" i="26"/>
  <c r="S391" i="26"/>
  <c r="Q391" i="26"/>
  <c r="K391" i="26"/>
  <c r="J391" i="26"/>
  <c r="I391" i="26"/>
  <c r="H391" i="26"/>
  <c r="F391" i="26"/>
  <c r="E391" i="26"/>
  <c r="AK390" i="26"/>
  <c r="AJ390" i="26"/>
  <c r="AI390" i="26"/>
  <c r="AM390" i="26" s="1"/>
  <c r="AH390" i="26"/>
  <c r="AL390" i="26" s="1"/>
  <c r="AF390" i="26"/>
  <c r="AE390" i="26"/>
  <c r="AD390" i="26"/>
  <c r="AB390" i="26"/>
  <c r="AA390" i="26"/>
  <c r="Z390" i="26"/>
  <c r="Y390" i="26"/>
  <c r="S390" i="26"/>
  <c r="Q390" i="26"/>
  <c r="K390" i="26"/>
  <c r="J390" i="26"/>
  <c r="I390" i="26"/>
  <c r="H390" i="26"/>
  <c r="F390" i="26"/>
  <c r="E390" i="26"/>
  <c r="AJ389" i="26"/>
  <c r="AI389" i="26"/>
  <c r="AM389" i="26" s="1"/>
  <c r="AH389" i="26"/>
  <c r="AL389" i="26" s="1"/>
  <c r="AF389" i="26"/>
  <c r="AE389" i="26"/>
  <c r="AD389" i="26"/>
  <c r="AB389" i="26"/>
  <c r="AA389" i="26"/>
  <c r="Z389" i="26"/>
  <c r="Y389" i="26"/>
  <c r="S389" i="26"/>
  <c r="Q389" i="26"/>
  <c r="K389" i="26"/>
  <c r="J389" i="26"/>
  <c r="I389" i="26"/>
  <c r="H389" i="26"/>
  <c r="F389" i="26"/>
  <c r="E389" i="26"/>
  <c r="AJ388" i="26"/>
  <c r="AI388" i="26"/>
  <c r="AM388" i="26" s="1"/>
  <c r="AH388" i="26"/>
  <c r="AL388" i="26" s="1"/>
  <c r="AF388" i="26"/>
  <c r="AE388" i="26"/>
  <c r="AD388" i="26"/>
  <c r="AB388" i="26"/>
  <c r="AA388" i="26"/>
  <c r="Z388" i="26"/>
  <c r="Y388" i="26"/>
  <c r="S388" i="26"/>
  <c r="Q388" i="26"/>
  <c r="J388" i="26"/>
  <c r="I388" i="26"/>
  <c r="H388" i="26"/>
  <c r="F388" i="26"/>
  <c r="E388" i="26"/>
  <c r="AJ387" i="26"/>
  <c r="AI387" i="26"/>
  <c r="AM387" i="26" s="1"/>
  <c r="AH387" i="26"/>
  <c r="AL387" i="26" s="1"/>
  <c r="AF387" i="26"/>
  <c r="AE387" i="26"/>
  <c r="AD387" i="26"/>
  <c r="AB387" i="26"/>
  <c r="AA387" i="26"/>
  <c r="Z387" i="26"/>
  <c r="Y387" i="26"/>
  <c r="S387" i="26"/>
  <c r="Q387" i="26"/>
  <c r="J387" i="26"/>
  <c r="I387" i="26"/>
  <c r="H387" i="26"/>
  <c r="F387" i="26"/>
  <c r="E387" i="26"/>
  <c r="AJ386" i="26"/>
  <c r="AI386" i="26"/>
  <c r="AM386" i="26" s="1"/>
  <c r="AH386" i="26"/>
  <c r="AL386" i="26" s="1"/>
  <c r="AF386" i="26"/>
  <c r="AE386" i="26"/>
  <c r="AD386" i="26"/>
  <c r="AB386" i="26"/>
  <c r="AA386" i="26"/>
  <c r="Z386" i="26"/>
  <c r="Y386" i="26"/>
  <c r="S386" i="26"/>
  <c r="Q386" i="26"/>
  <c r="K386" i="26"/>
  <c r="J386" i="26"/>
  <c r="I386" i="26"/>
  <c r="H386" i="26"/>
  <c r="F386" i="26"/>
  <c r="E386" i="26"/>
  <c r="AJ385" i="26"/>
  <c r="AI385" i="26"/>
  <c r="AM385" i="26" s="1"/>
  <c r="AH385" i="26"/>
  <c r="AL385" i="26" s="1"/>
  <c r="AF385" i="26"/>
  <c r="AE385" i="26"/>
  <c r="AD385" i="26"/>
  <c r="AB385" i="26"/>
  <c r="AA385" i="26"/>
  <c r="Z385" i="26"/>
  <c r="Y385" i="26"/>
  <c r="S385" i="26"/>
  <c r="Q385" i="26"/>
  <c r="J385" i="26"/>
  <c r="I385" i="26"/>
  <c r="H385" i="26"/>
  <c r="F385" i="26"/>
  <c r="E385" i="26"/>
  <c r="AJ384" i="26"/>
  <c r="AI384" i="26"/>
  <c r="AM384" i="26" s="1"/>
  <c r="AH384" i="26"/>
  <c r="AL384" i="26" s="1"/>
  <c r="AF384" i="26"/>
  <c r="AE384" i="26"/>
  <c r="AD384" i="26"/>
  <c r="AB384" i="26"/>
  <c r="AA384" i="26"/>
  <c r="Z384" i="26"/>
  <c r="Y384" i="26"/>
  <c r="S384" i="26"/>
  <c r="Q384" i="26"/>
  <c r="K384" i="26"/>
  <c r="J384" i="26"/>
  <c r="I384" i="26"/>
  <c r="H384" i="26"/>
  <c r="F384" i="26"/>
  <c r="E384" i="26"/>
  <c r="AJ383" i="26"/>
  <c r="AI383" i="26"/>
  <c r="AM383" i="26" s="1"/>
  <c r="AH383" i="26"/>
  <c r="AL383" i="26" s="1"/>
  <c r="AF383" i="26"/>
  <c r="AE383" i="26"/>
  <c r="AD383" i="26"/>
  <c r="AB383" i="26"/>
  <c r="AA383" i="26"/>
  <c r="Z383" i="26"/>
  <c r="Y383" i="26"/>
  <c r="S383" i="26"/>
  <c r="Q383" i="26"/>
  <c r="K383" i="26"/>
  <c r="J383" i="26"/>
  <c r="I383" i="26"/>
  <c r="H383" i="26"/>
  <c r="F383" i="26"/>
  <c r="E383" i="26"/>
  <c r="AJ382" i="26"/>
  <c r="AI382" i="26"/>
  <c r="AM382" i="26" s="1"/>
  <c r="AH382" i="26"/>
  <c r="AL382" i="26" s="1"/>
  <c r="AF382" i="26"/>
  <c r="AE382" i="26"/>
  <c r="AD382" i="26"/>
  <c r="AB382" i="26"/>
  <c r="AA382" i="26"/>
  <c r="Z382" i="26"/>
  <c r="Y382" i="26"/>
  <c r="S382" i="26"/>
  <c r="Q382" i="26"/>
  <c r="K382" i="26"/>
  <c r="J382" i="26"/>
  <c r="I382" i="26"/>
  <c r="H382" i="26"/>
  <c r="F382" i="26"/>
  <c r="E382" i="26"/>
  <c r="AJ381" i="26"/>
  <c r="AI381" i="26"/>
  <c r="AM381" i="26" s="1"/>
  <c r="AH381" i="26"/>
  <c r="AL381" i="26" s="1"/>
  <c r="AF381" i="26"/>
  <c r="AE381" i="26"/>
  <c r="AD381" i="26"/>
  <c r="AB381" i="26"/>
  <c r="AA381" i="26"/>
  <c r="Z381" i="26"/>
  <c r="Y381" i="26"/>
  <c r="S381" i="26"/>
  <c r="Q381" i="26"/>
  <c r="K381" i="26"/>
  <c r="J381" i="26"/>
  <c r="I381" i="26"/>
  <c r="H381" i="26"/>
  <c r="F381" i="26"/>
  <c r="E381" i="26"/>
  <c r="AK380" i="26"/>
  <c r="AJ380" i="26"/>
  <c r="AI380" i="26"/>
  <c r="AM380" i="26" s="1"/>
  <c r="AH380" i="26"/>
  <c r="AL380" i="26" s="1"/>
  <c r="AF380" i="26"/>
  <c r="AE380" i="26"/>
  <c r="AD380" i="26"/>
  <c r="AB380" i="26"/>
  <c r="AA380" i="26"/>
  <c r="Z380" i="26"/>
  <c r="Y380" i="26"/>
  <c r="S380" i="26"/>
  <c r="Q380" i="26"/>
  <c r="K380" i="26"/>
  <c r="J380" i="26"/>
  <c r="I380" i="26"/>
  <c r="H380" i="26"/>
  <c r="F380" i="26"/>
  <c r="E380" i="26"/>
  <c r="AK379" i="26"/>
  <c r="AJ379" i="26"/>
  <c r="AI379" i="26"/>
  <c r="AM379" i="26" s="1"/>
  <c r="AH379" i="26"/>
  <c r="AL379" i="26" s="1"/>
  <c r="AF379" i="26"/>
  <c r="AE379" i="26"/>
  <c r="AD379" i="26"/>
  <c r="AB379" i="26"/>
  <c r="AA379" i="26"/>
  <c r="Z379" i="26"/>
  <c r="Y379" i="26"/>
  <c r="S379" i="26"/>
  <c r="Q379" i="26"/>
  <c r="K379" i="26"/>
  <c r="J379" i="26"/>
  <c r="I379" i="26"/>
  <c r="H379" i="26"/>
  <c r="F379" i="26"/>
  <c r="E379" i="26"/>
  <c r="AK378" i="26"/>
  <c r="AJ378" i="26"/>
  <c r="AI378" i="26"/>
  <c r="AM378" i="26" s="1"/>
  <c r="AH378" i="26"/>
  <c r="AL378" i="26" s="1"/>
  <c r="AF378" i="26"/>
  <c r="AE378" i="26"/>
  <c r="AD378" i="26"/>
  <c r="AB378" i="26"/>
  <c r="AA378" i="26"/>
  <c r="Z378" i="26"/>
  <c r="Y378" i="26"/>
  <c r="S378" i="26"/>
  <c r="Q378" i="26"/>
  <c r="K378" i="26"/>
  <c r="J378" i="26"/>
  <c r="I378" i="26"/>
  <c r="H378" i="26"/>
  <c r="F378" i="26"/>
  <c r="E378" i="26"/>
  <c r="AK377" i="26"/>
  <c r="AJ377" i="26"/>
  <c r="AI377" i="26"/>
  <c r="AM377" i="26" s="1"/>
  <c r="AH377" i="26"/>
  <c r="AL377" i="26" s="1"/>
  <c r="AF377" i="26"/>
  <c r="AE377" i="26"/>
  <c r="AD377" i="26"/>
  <c r="AB377" i="26"/>
  <c r="AA377" i="26"/>
  <c r="Z377" i="26"/>
  <c r="Y377" i="26"/>
  <c r="S377" i="26"/>
  <c r="Q377" i="26"/>
  <c r="K377" i="26"/>
  <c r="J377" i="26"/>
  <c r="I377" i="26"/>
  <c r="H377" i="26"/>
  <c r="F377" i="26"/>
  <c r="E377" i="26"/>
  <c r="AK376" i="26"/>
  <c r="AJ376" i="26"/>
  <c r="AI376" i="26"/>
  <c r="AM376" i="26" s="1"/>
  <c r="AH376" i="26"/>
  <c r="AL376" i="26" s="1"/>
  <c r="AF376" i="26"/>
  <c r="AE376" i="26"/>
  <c r="AD376" i="26"/>
  <c r="AB376" i="26"/>
  <c r="AA376" i="26"/>
  <c r="Z376" i="26"/>
  <c r="Y376" i="26"/>
  <c r="S376" i="26"/>
  <c r="Q376" i="26"/>
  <c r="K376" i="26"/>
  <c r="J376" i="26"/>
  <c r="I376" i="26"/>
  <c r="H376" i="26"/>
  <c r="F376" i="26"/>
  <c r="E376" i="26"/>
  <c r="AJ375" i="26"/>
  <c r="AI375" i="26"/>
  <c r="AM375" i="26" s="1"/>
  <c r="AH375" i="26"/>
  <c r="AL375" i="26" s="1"/>
  <c r="AF375" i="26"/>
  <c r="AE375" i="26"/>
  <c r="AD375" i="26"/>
  <c r="AB375" i="26"/>
  <c r="AA375" i="26"/>
  <c r="Z375" i="26"/>
  <c r="Y375" i="26"/>
  <c r="S375" i="26"/>
  <c r="Q375" i="26"/>
  <c r="K375" i="26"/>
  <c r="J375" i="26"/>
  <c r="I375" i="26"/>
  <c r="H375" i="26"/>
  <c r="F375" i="26"/>
  <c r="E375" i="26"/>
  <c r="AK374" i="26"/>
  <c r="AJ374" i="26"/>
  <c r="AI374" i="26"/>
  <c r="AM374" i="26" s="1"/>
  <c r="AH374" i="26"/>
  <c r="AL374" i="26" s="1"/>
  <c r="AF374" i="26"/>
  <c r="AE374" i="26"/>
  <c r="AD374" i="26"/>
  <c r="AB374" i="26"/>
  <c r="AA374" i="26"/>
  <c r="Z374" i="26"/>
  <c r="Y374" i="26"/>
  <c r="S374" i="26"/>
  <c r="Q374" i="26"/>
  <c r="K374" i="26"/>
  <c r="J374" i="26"/>
  <c r="I374" i="26"/>
  <c r="H374" i="26"/>
  <c r="F374" i="26"/>
  <c r="E374" i="26"/>
  <c r="AJ373" i="26"/>
  <c r="AI373" i="26"/>
  <c r="AM373" i="26" s="1"/>
  <c r="AH373" i="26"/>
  <c r="AL373" i="26" s="1"/>
  <c r="AF373" i="26"/>
  <c r="AE373" i="26"/>
  <c r="AD373" i="26"/>
  <c r="AB373" i="26"/>
  <c r="AA373" i="26"/>
  <c r="Z373" i="26"/>
  <c r="Y373" i="26"/>
  <c r="S373" i="26"/>
  <c r="Q373" i="26"/>
  <c r="K373" i="26"/>
  <c r="J373" i="26"/>
  <c r="I373" i="26"/>
  <c r="H373" i="26"/>
  <c r="F373" i="26"/>
  <c r="E373" i="26"/>
  <c r="AK372" i="26"/>
  <c r="AJ372" i="26"/>
  <c r="AI372" i="26"/>
  <c r="AM372" i="26" s="1"/>
  <c r="AH372" i="26"/>
  <c r="AL372" i="26" s="1"/>
  <c r="AF372" i="26"/>
  <c r="AE372" i="26"/>
  <c r="AD372" i="26"/>
  <c r="AB372" i="26"/>
  <c r="AA372" i="26"/>
  <c r="Z372" i="26"/>
  <c r="Y372" i="26"/>
  <c r="S372" i="26"/>
  <c r="Q372" i="26"/>
  <c r="K372" i="26"/>
  <c r="J372" i="26"/>
  <c r="I372" i="26"/>
  <c r="H372" i="26"/>
  <c r="F372" i="26"/>
  <c r="E372" i="26"/>
  <c r="AJ371" i="26"/>
  <c r="AI371" i="26"/>
  <c r="AM371" i="26" s="1"/>
  <c r="AH371" i="26"/>
  <c r="AL371" i="26" s="1"/>
  <c r="AF371" i="26"/>
  <c r="AE371" i="26"/>
  <c r="AD371" i="26"/>
  <c r="AB371" i="26"/>
  <c r="AA371" i="26"/>
  <c r="Z371" i="26"/>
  <c r="Y371" i="26"/>
  <c r="S371" i="26"/>
  <c r="Q371" i="26"/>
  <c r="K371" i="26"/>
  <c r="J371" i="26"/>
  <c r="I371" i="26"/>
  <c r="H371" i="26"/>
  <c r="F371" i="26"/>
  <c r="E371" i="26"/>
  <c r="AK370" i="26"/>
  <c r="AJ370" i="26"/>
  <c r="AI370" i="26"/>
  <c r="AM370" i="26" s="1"/>
  <c r="AH370" i="26"/>
  <c r="AL370" i="26" s="1"/>
  <c r="AF370" i="26"/>
  <c r="AE370" i="26"/>
  <c r="AD370" i="26"/>
  <c r="AB370" i="26"/>
  <c r="AA370" i="26"/>
  <c r="Z370" i="26"/>
  <c r="Y370" i="26"/>
  <c r="S370" i="26"/>
  <c r="Q370" i="26"/>
  <c r="K370" i="26"/>
  <c r="J370" i="26"/>
  <c r="I370" i="26"/>
  <c r="H370" i="26"/>
  <c r="F370" i="26"/>
  <c r="E370" i="26"/>
  <c r="AK369" i="26"/>
  <c r="AJ369" i="26"/>
  <c r="AI369" i="26"/>
  <c r="AM369" i="26" s="1"/>
  <c r="AH369" i="26"/>
  <c r="AL369" i="26" s="1"/>
  <c r="AF369" i="26"/>
  <c r="AE369" i="26"/>
  <c r="AD369" i="26"/>
  <c r="AB369" i="26"/>
  <c r="AA369" i="26"/>
  <c r="Z369" i="26"/>
  <c r="Y369" i="26"/>
  <c r="S369" i="26"/>
  <c r="Q369" i="26"/>
  <c r="K369" i="26"/>
  <c r="J369" i="26"/>
  <c r="I369" i="26"/>
  <c r="H369" i="26"/>
  <c r="F369" i="26"/>
  <c r="E369" i="26"/>
  <c r="AK368" i="26"/>
  <c r="AJ368" i="26"/>
  <c r="AI368" i="26"/>
  <c r="AM368" i="26" s="1"/>
  <c r="AH368" i="26"/>
  <c r="AL368" i="26" s="1"/>
  <c r="AF368" i="26"/>
  <c r="AE368" i="26"/>
  <c r="AD368" i="26"/>
  <c r="AB368" i="26"/>
  <c r="AA368" i="26"/>
  <c r="Z368" i="26"/>
  <c r="Y368" i="26"/>
  <c r="S368" i="26"/>
  <c r="Q368" i="26"/>
  <c r="K368" i="26"/>
  <c r="J368" i="26"/>
  <c r="I368" i="26"/>
  <c r="H368" i="26"/>
  <c r="F368" i="26"/>
  <c r="E368" i="26"/>
  <c r="AK367" i="26"/>
  <c r="AJ367" i="26"/>
  <c r="AI367" i="26"/>
  <c r="AM367" i="26" s="1"/>
  <c r="AH367" i="26"/>
  <c r="AL367" i="26" s="1"/>
  <c r="AF367" i="26"/>
  <c r="AE367" i="26"/>
  <c r="AD367" i="26"/>
  <c r="AB367" i="26"/>
  <c r="AA367" i="26"/>
  <c r="Z367" i="26"/>
  <c r="Y367" i="26"/>
  <c r="S367" i="26"/>
  <c r="Q367" i="26"/>
  <c r="K367" i="26"/>
  <c r="J367" i="26"/>
  <c r="I367" i="26"/>
  <c r="H367" i="26"/>
  <c r="F367" i="26"/>
  <c r="E367" i="26"/>
  <c r="AK366" i="26"/>
  <c r="AJ366" i="26"/>
  <c r="AI366" i="26"/>
  <c r="AM366" i="26" s="1"/>
  <c r="AH366" i="26"/>
  <c r="AL366" i="26" s="1"/>
  <c r="AF366" i="26"/>
  <c r="AE366" i="26"/>
  <c r="AD366" i="26"/>
  <c r="AB366" i="26"/>
  <c r="AA366" i="26"/>
  <c r="Z366" i="26"/>
  <c r="Y366" i="26"/>
  <c r="S366" i="26"/>
  <c r="Q366" i="26"/>
  <c r="K366" i="26"/>
  <c r="J366" i="26"/>
  <c r="I366" i="26"/>
  <c r="H366" i="26"/>
  <c r="F366" i="26"/>
  <c r="E366" i="26"/>
  <c r="AK365" i="26"/>
  <c r="AJ365" i="26"/>
  <c r="AI365" i="26"/>
  <c r="AM365" i="26" s="1"/>
  <c r="AH365" i="26"/>
  <c r="AL365" i="26" s="1"/>
  <c r="AF365" i="26"/>
  <c r="AE365" i="26"/>
  <c r="AD365" i="26"/>
  <c r="AB365" i="26"/>
  <c r="AA365" i="26"/>
  <c r="Z365" i="26"/>
  <c r="Y365" i="26"/>
  <c r="S365" i="26"/>
  <c r="Q365" i="26"/>
  <c r="K365" i="26"/>
  <c r="J365" i="26"/>
  <c r="I365" i="26"/>
  <c r="H365" i="26"/>
  <c r="F365" i="26"/>
  <c r="E365" i="26"/>
  <c r="AK364" i="26"/>
  <c r="AJ364" i="26"/>
  <c r="AI364" i="26"/>
  <c r="AM364" i="26" s="1"/>
  <c r="AH364" i="26"/>
  <c r="AL364" i="26" s="1"/>
  <c r="AF364" i="26"/>
  <c r="AE364" i="26"/>
  <c r="AD364" i="26"/>
  <c r="AB364" i="26"/>
  <c r="AA364" i="26"/>
  <c r="Z364" i="26"/>
  <c r="Y364" i="26"/>
  <c r="AC364" i="26" s="1"/>
  <c r="S364" i="26"/>
  <c r="Q364" i="26"/>
  <c r="K364" i="26"/>
  <c r="J364" i="26"/>
  <c r="I364" i="26"/>
  <c r="H364" i="26"/>
  <c r="F364" i="26"/>
  <c r="E364" i="26"/>
  <c r="AK363" i="26"/>
  <c r="AJ363" i="26"/>
  <c r="AI363" i="26"/>
  <c r="AM363" i="26" s="1"/>
  <c r="AH363" i="26"/>
  <c r="AL363" i="26" s="1"/>
  <c r="AF363" i="26"/>
  <c r="AE363" i="26"/>
  <c r="AD363" i="26"/>
  <c r="AB363" i="26"/>
  <c r="AA363" i="26"/>
  <c r="Z363" i="26"/>
  <c r="Y363" i="26"/>
  <c r="S363" i="26"/>
  <c r="Q363" i="26"/>
  <c r="K363" i="26"/>
  <c r="J363" i="26"/>
  <c r="I363" i="26"/>
  <c r="H363" i="26"/>
  <c r="F363" i="26"/>
  <c r="E363" i="26"/>
  <c r="AK362" i="26"/>
  <c r="AJ362" i="26"/>
  <c r="AI362" i="26"/>
  <c r="AM362" i="26" s="1"/>
  <c r="AH362" i="26"/>
  <c r="AL362" i="26" s="1"/>
  <c r="AF362" i="26"/>
  <c r="AE362" i="26"/>
  <c r="AD362" i="26"/>
  <c r="AB362" i="26"/>
  <c r="AA362" i="26"/>
  <c r="Z362" i="26"/>
  <c r="Y362" i="26"/>
  <c r="S362" i="26"/>
  <c r="Q362" i="26"/>
  <c r="K362" i="26"/>
  <c r="J362" i="26"/>
  <c r="I362" i="26"/>
  <c r="H362" i="26"/>
  <c r="F362" i="26"/>
  <c r="E362" i="26"/>
  <c r="AK361" i="26"/>
  <c r="AJ361" i="26"/>
  <c r="AI361" i="26"/>
  <c r="AM361" i="26" s="1"/>
  <c r="AH361" i="26"/>
  <c r="AL361" i="26" s="1"/>
  <c r="AF361" i="26"/>
  <c r="AE361" i="26"/>
  <c r="AD361" i="26"/>
  <c r="AB361" i="26"/>
  <c r="AA361" i="26"/>
  <c r="Z361" i="26"/>
  <c r="Y361" i="26"/>
  <c r="S361" i="26"/>
  <c r="Q361" i="26"/>
  <c r="K361" i="26"/>
  <c r="J361" i="26"/>
  <c r="I361" i="26"/>
  <c r="H361" i="26"/>
  <c r="F361" i="26"/>
  <c r="E361" i="26"/>
  <c r="AK360" i="26"/>
  <c r="AJ360" i="26"/>
  <c r="AI360" i="26"/>
  <c r="AM360" i="26" s="1"/>
  <c r="AH360" i="26"/>
  <c r="AL360" i="26" s="1"/>
  <c r="AF360" i="26"/>
  <c r="AE360" i="26"/>
  <c r="AD360" i="26"/>
  <c r="AB360" i="26"/>
  <c r="AA360" i="26"/>
  <c r="Z360" i="26"/>
  <c r="Y360" i="26"/>
  <c r="S360" i="26"/>
  <c r="Q360" i="26"/>
  <c r="K360" i="26"/>
  <c r="J360" i="26"/>
  <c r="I360" i="26"/>
  <c r="H360" i="26"/>
  <c r="F360" i="26"/>
  <c r="E360" i="26"/>
  <c r="AK359" i="26"/>
  <c r="AJ359" i="26"/>
  <c r="AI359" i="26"/>
  <c r="AM359" i="26" s="1"/>
  <c r="AH359" i="26"/>
  <c r="AL359" i="26" s="1"/>
  <c r="AF359" i="26"/>
  <c r="AE359" i="26"/>
  <c r="AD359" i="26"/>
  <c r="AB359" i="26"/>
  <c r="AA359" i="26"/>
  <c r="Z359" i="26"/>
  <c r="Y359" i="26"/>
  <c r="S359" i="26"/>
  <c r="Q359" i="26"/>
  <c r="K359" i="26"/>
  <c r="J359" i="26"/>
  <c r="I359" i="26"/>
  <c r="H359" i="26"/>
  <c r="F359" i="26"/>
  <c r="E359" i="26"/>
  <c r="AK358" i="26"/>
  <c r="AJ358" i="26"/>
  <c r="AI358" i="26"/>
  <c r="AM358" i="26" s="1"/>
  <c r="AH358" i="26"/>
  <c r="AL358" i="26" s="1"/>
  <c r="AF358" i="26"/>
  <c r="AE358" i="26"/>
  <c r="AD358" i="26"/>
  <c r="AB358" i="26"/>
  <c r="AA358" i="26"/>
  <c r="Z358" i="26"/>
  <c r="Y358" i="26"/>
  <c r="AC358" i="26" s="1"/>
  <c r="S358" i="26"/>
  <c r="Q358" i="26"/>
  <c r="K358" i="26"/>
  <c r="J358" i="26"/>
  <c r="I358" i="26"/>
  <c r="H358" i="26"/>
  <c r="F358" i="26"/>
  <c r="E358" i="26"/>
  <c r="AK357" i="26"/>
  <c r="AJ357" i="26"/>
  <c r="AI357" i="26"/>
  <c r="AM357" i="26" s="1"/>
  <c r="AH357" i="26"/>
  <c r="AL357" i="26" s="1"/>
  <c r="AF357" i="26"/>
  <c r="AE357" i="26"/>
  <c r="AD357" i="26"/>
  <c r="AB357" i="26"/>
  <c r="AA357" i="26"/>
  <c r="Z357" i="26"/>
  <c r="Y357" i="26"/>
  <c r="S357" i="26"/>
  <c r="Q357" i="26"/>
  <c r="K357" i="26"/>
  <c r="J357" i="26"/>
  <c r="I357" i="26"/>
  <c r="H357" i="26"/>
  <c r="F357" i="26"/>
  <c r="E357" i="26"/>
  <c r="AK356" i="26"/>
  <c r="AJ356" i="26"/>
  <c r="AI356" i="26"/>
  <c r="AM356" i="26" s="1"/>
  <c r="AH356" i="26"/>
  <c r="AL356" i="26" s="1"/>
  <c r="AF356" i="26"/>
  <c r="AE356" i="26"/>
  <c r="AD356" i="26"/>
  <c r="AB356" i="26"/>
  <c r="AA356" i="26"/>
  <c r="Z356" i="26"/>
  <c r="Y356" i="26"/>
  <c r="S356" i="26"/>
  <c r="Q356" i="26"/>
  <c r="K356" i="26"/>
  <c r="J356" i="26"/>
  <c r="I356" i="26"/>
  <c r="H356" i="26"/>
  <c r="F356" i="26"/>
  <c r="E356" i="26"/>
  <c r="AK355" i="26"/>
  <c r="AJ355" i="26"/>
  <c r="AI355" i="26"/>
  <c r="AM355" i="26" s="1"/>
  <c r="AH355" i="26"/>
  <c r="AL355" i="26" s="1"/>
  <c r="AF355" i="26"/>
  <c r="AE355" i="26"/>
  <c r="AD355" i="26"/>
  <c r="AB355" i="26"/>
  <c r="AA355" i="26"/>
  <c r="Z355" i="26"/>
  <c r="Y355" i="26"/>
  <c r="S355" i="26"/>
  <c r="Q355" i="26"/>
  <c r="J355" i="26"/>
  <c r="I355" i="26"/>
  <c r="H355" i="26"/>
  <c r="F355" i="26"/>
  <c r="E355" i="26"/>
  <c r="AK354" i="26"/>
  <c r="AJ354" i="26"/>
  <c r="AI354" i="26"/>
  <c r="AM354" i="26" s="1"/>
  <c r="AH354" i="26"/>
  <c r="AL354" i="26" s="1"/>
  <c r="AF354" i="26"/>
  <c r="AE354" i="26"/>
  <c r="AD354" i="26"/>
  <c r="AB354" i="26"/>
  <c r="AA354" i="26"/>
  <c r="Z354" i="26"/>
  <c r="Y354" i="26"/>
  <c r="S354" i="26"/>
  <c r="Q354" i="26"/>
  <c r="J354" i="26"/>
  <c r="I354" i="26"/>
  <c r="H354" i="26"/>
  <c r="F354" i="26"/>
  <c r="E354" i="26"/>
  <c r="AK353" i="26"/>
  <c r="AJ353" i="26"/>
  <c r="AI353" i="26"/>
  <c r="AM353" i="26" s="1"/>
  <c r="AH353" i="26"/>
  <c r="AL353" i="26" s="1"/>
  <c r="AF353" i="26"/>
  <c r="AE353" i="26"/>
  <c r="AD353" i="26"/>
  <c r="AB353" i="26"/>
  <c r="AA353" i="26"/>
  <c r="Z353" i="26"/>
  <c r="Y353" i="26"/>
  <c r="AC353" i="26" s="1"/>
  <c r="S353" i="26"/>
  <c r="Q353" i="26"/>
  <c r="J353" i="26"/>
  <c r="I353" i="26"/>
  <c r="H353" i="26"/>
  <c r="F353" i="26"/>
  <c r="E353" i="26"/>
  <c r="AK352" i="26"/>
  <c r="AJ352" i="26"/>
  <c r="AI352" i="26"/>
  <c r="AM352" i="26" s="1"/>
  <c r="AH352" i="26"/>
  <c r="AL352" i="26" s="1"/>
  <c r="AF352" i="26"/>
  <c r="AE352" i="26"/>
  <c r="AD352" i="26"/>
  <c r="AB352" i="26"/>
  <c r="AA352" i="26"/>
  <c r="Z352" i="26"/>
  <c r="Y352" i="26"/>
  <c r="S352" i="26"/>
  <c r="Q352" i="26"/>
  <c r="J352" i="26"/>
  <c r="I352" i="26"/>
  <c r="H352" i="26"/>
  <c r="F352" i="26"/>
  <c r="E352" i="26"/>
  <c r="AK351" i="26"/>
  <c r="AJ351" i="26"/>
  <c r="AI351" i="26"/>
  <c r="AM351" i="26" s="1"/>
  <c r="AH351" i="26"/>
  <c r="AL351" i="26" s="1"/>
  <c r="AF351" i="26"/>
  <c r="AE351" i="26"/>
  <c r="AD351" i="26"/>
  <c r="AB351" i="26"/>
  <c r="AA351" i="26"/>
  <c r="Z351" i="26"/>
  <c r="Y351" i="26"/>
  <c r="S351" i="26"/>
  <c r="Q351" i="26"/>
  <c r="J351" i="26"/>
  <c r="I351" i="26"/>
  <c r="H351" i="26"/>
  <c r="F351" i="26"/>
  <c r="E351" i="26"/>
  <c r="AK350" i="26"/>
  <c r="AJ350" i="26"/>
  <c r="AI350" i="26"/>
  <c r="AM350" i="26" s="1"/>
  <c r="AH350" i="26"/>
  <c r="AL350" i="26" s="1"/>
  <c r="AF350" i="26"/>
  <c r="AE350" i="26"/>
  <c r="AD350" i="26"/>
  <c r="AB350" i="26"/>
  <c r="AA350" i="26"/>
  <c r="Z350" i="26"/>
  <c r="Y350" i="26"/>
  <c r="S350" i="26"/>
  <c r="Q350" i="26"/>
  <c r="J350" i="26"/>
  <c r="I350" i="26"/>
  <c r="H350" i="26"/>
  <c r="F350" i="26"/>
  <c r="E350" i="26"/>
  <c r="AK349" i="26"/>
  <c r="AJ349" i="26"/>
  <c r="AI349" i="26"/>
  <c r="AM349" i="26" s="1"/>
  <c r="AH349" i="26"/>
  <c r="AL349" i="26" s="1"/>
  <c r="AF349" i="26"/>
  <c r="AE349" i="26"/>
  <c r="AD349" i="26"/>
  <c r="AB349" i="26"/>
  <c r="AA349" i="26"/>
  <c r="Z349" i="26"/>
  <c r="Y349" i="26"/>
  <c r="S349" i="26"/>
  <c r="Q349" i="26"/>
  <c r="J349" i="26"/>
  <c r="I349" i="26"/>
  <c r="H349" i="26"/>
  <c r="F349" i="26"/>
  <c r="E349" i="26"/>
  <c r="AK348" i="26"/>
  <c r="AJ348" i="26"/>
  <c r="AI348" i="26"/>
  <c r="AM348" i="26" s="1"/>
  <c r="AH348" i="26"/>
  <c r="AL348" i="26" s="1"/>
  <c r="AF348" i="26"/>
  <c r="AE348" i="26"/>
  <c r="AD348" i="26"/>
  <c r="AB348" i="26"/>
  <c r="AA348" i="26"/>
  <c r="Z348" i="26"/>
  <c r="Y348" i="26"/>
  <c r="S348" i="26"/>
  <c r="Q348" i="26"/>
  <c r="J348" i="26"/>
  <c r="I348" i="26"/>
  <c r="H348" i="26"/>
  <c r="F348" i="26"/>
  <c r="E348" i="26"/>
  <c r="AK347" i="26"/>
  <c r="AJ347" i="26"/>
  <c r="AI347" i="26"/>
  <c r="AM347" i="26" s="1"/>
  <c r="AH347" i="26"/>
  <c r="AL347" i="26" s="1"/>
  <c r="AF347" i="26"/>
  <c r="AE347" i="26"/>
  <c r="AD347" i="26"/>
  <c r="AB347" i="26"/>
  <c r="AA347" i="26"/>
  <c r="Z347" i="26"/>
  <c r="Y347" i="26"/>
  <c r="S347" i="26"/>
  <c r="Q347" i="26"/>
  <c r="J347" i="26"/>
  <c r="I347" i="26"/>
  <c r="H347" i="26"/>
  <c r="F347" i="26"/>
  <c r="E347" i="26"/>
  <c r="AK346" i="26"/>
  <c r="AJ346" i="26"/>
  <c r="AI346" i="26"/>
  <c r="AM346" i="26" s="1"/>
  <c r="AH346" i="26"/>
  <c r="AL346" i="26" s="1"/>
  <c r="AF346" i="26"/>
  <c r="AE346" i="26"/>
  <c r="AD346" i="26"/>
  <c r="AB346" i="26"/>
  <c r="AA346" i="26"/>
  <c r="Z346" i="26"/>
  <c r="Y346" i="26"/>
  <c r="S346" i="26"/>
  <c r="Q346" i="26"/>
  <c r="K346" i="26"/>
  <c r="J346" i="26"/>
  <c r="I346" i="26"/>
  <c r="H346" i="26"/>
  <c r="F346" i="26"/>
  <c r="E346" i="26"/>
  <c r="AK345" i="26"/>
  <c r="AJ345" i="26"/>
  <c r="AI345" i="26"/>
  <c r="AM345" i="26" s="1"/>
  <c r="AH345" i="26"/>
  <c r="AL345" i="26" s="1"/>
  <c r="AF345" i="26"/>
  <c r="AE345" i="26"/>
  <c r="AD345" i="26"/>
  <c r="AB345" i="26"/>
  <c r="AA345" i="26"/>
  <c r="Z345" i="26"/>
  <c r="Y345" i="26"/>
  <c r="S345" i="26"/>
  <c r="Q345" i="26"/>
  <c r="K345" i="26"/>
  <c r="J345" i="26"/>
  <c r="I345" i="26"/>
  <c r="H345" i="26"/>
  <c r="F345" i="26"/>
  <c r="E345" i="26"/>
  <c r="AK344" i="26"/>
  <c r="AJ344" i="26"/>
  <c r="AI344" i="26"/>
  <c r="AM344" i="26" s="1"/>
  <c r="AH344" i="26"/>
  <c r="AL344" i="26" s="1"/>
  <c r="AF344" i="26"/>
  <c r="AE344" i="26"/>
  <c r="AD344" i="26"/>
  <c r="AB344" i="26"/>
  <c r="AA344" i="26"/>
  <c r="Z344" i="26"/>
  <c r="Y344" i="26"/>
  <c r="S344" i="26"/>
  <c r="Q344" i="26"/>
  <c r="K344" i="26"/>
  <c r="J344" i="26"/>
  <c r="I344" i="26"/>
  <c r="H344" i="26"/>
  <c r="F344" i="26"/>
  <c r="E344" i="26"/>
  <c r="AK343" i="26"/>
  <c r="AJ343" i="26"/>
  <c r="AI343" i="26"/>
  <c r="AM343" i="26" s="1"/>
  <c r="AH343" i="26"/>
  <c r="AL343" i="26" s="1"/>
  <c r="AF343" i="26"/>
  <c r="AE343" i="26"/>
  <c r="AD343" i="26"/>
  <c r="AB343" i="26"/>
  <c r="AA343" i="26"/>
  <c r="Z343" i="26"/>
  <c r="Y343" i="26"/>
  <c r="S343" i="26"/>
  <c r="Q343" i="26"/>
  <c r="K343" i="26"/>
  <c r="J343" i="26"/>
  <c r="I343" i="26"/>
  <c r="H343" i="26"/>
  <c r="F343" i="26"/>
  <c r="E343" i="26"/>
  <c r="AK342" i="26"/>
  <c r="AJ342" i="26"/>
  <c r="AI342" i="26"/>
  <c r="AM342" i="26" s="1"/>
  <c r="AH342" i="26"/>
  <c r="AL342" i="26" s="1"/>
  <c r="AF342" i="26"/>
  <c r="AE342" i="26"/>
  <c r="AD342" i="26"/>
  <c r="AB342" i="26"/>
  <c r="AA342" i="26"/>
  <c r="Z342" i="26"/>
  <c r="Y342" i="26"/>
  <c r="S342" i="26"/>
  <c r="Q342" i="26"/>
  <c r="K342" i="26"/>
  <c r="J342" i="26"/>
  <c r="I342" i="26"/>
  <c r="H342" i="26"/>
  <c r="F342" i="26"/>
  <c r="E342" i="26"/>
  <c r="AK341" i="26"/>
  <c r="AJ341" i="26"/>
  <c r="AI341" i="26"/>
  <c r="AM341" i="26" s="1"/>
  <c r="AH341" i="26"/>
  <c r="AL341" i="26" s="1"/>
  <c r="AF341" i="26"/>
  <c r="AE341" i="26"/>
  <c r="AD341" i="26"/>
  <c r="AB341" i="26"/>
  <c r="AA341" i="26"/>
  <c r="Z341" i="26"/>
  <c r="Y341" i="26"/>
  <c r="S341" i="26"/>
  <c r="Q341" i="26"/>
  <c r="J341" i="26"/>
  <c r="I341" i="26"/>
  <c r="H341" i="26"/>
  <c r="F341" i="26"/>
  <c r="E341" i="26"/>
  <c r="AK340" i="26"/>
  <c r="AJ340" i="26"/>
  <c r="AI340" i="26"/>
  <c r="AM340" i="26" s="1"/>
  <c r="AH340" i="26"/>
  <c r="AL340" i="26" s="1"/>
  <c r="AF340" i="26"/>
  <c r="AE340" i="26"/>
  <c r="AD340" i="26"/>
  <c r="AB340" i="26"/>
  <c r="AA340" i="26"/>
  <c r="Z340" i="26"/>
  <c r="Y340" i="26"/>
  <c r="S340" i="26"/>
  <c r="Q340" i="26"/>
  <c r="K340" i="26"/>
  <c r="J340" i="26"/>
  <c r="I340" i="26"/>
  <c r="H340" i="26"/>
  <c r="F340" i="26"/>
  <c r="E340" i="26"/>
  <c r="AK339" i="26"/>
  <c r="AJ339" i="26"/>
  <c r="AI339" i="26"/>
  <c r="AM339" i="26" s="1"/>
  <c r="AH339" i="26"/>
  <c r="AL339" i="26" s="1"/>
  <c r="AF339" i="26"/>
  <c r="AE339" i="26"/>
  <c r="AD339" i="26"/>
  <c r="AB339" i="26"/>
  <c r="AA339" i="26"/>
  <c r="Z339" i="26"/>
  <c r="Y339" i="26"/>
  <c r="S339" i="26"/>
  <c r="Q339" i="26"/>
  <c r="J339" i="26"/>
  <c r="I339" i="26"/>
  <c r="H339" i="26"/>
  <c r="F339" i="26"/>
  <c r="E339" i="26"/>
  <c r="AK338" i="26"/>
  <c r="AJ338" i="26"/>
  <c r="AI338" i="26"/>
  <c r="AM338" i="26" s="1"/>
  <c r="AH338" i="26"/>
  <c r="AL338" i="26" s="1"/>
  <c r="AF338" i="26"/>
  <c r="AE338" i="26"/>
  <c r="AD338" i="26"/>
  <c r="AB338" i="26"/>
  <c r="AA338" i="26"/>
  <c r="Z338" i="26"/>
  <c r="Y338" i="26"/>
  <c r="S338" i="26"/>
  <c r="Q338" i="26"/>
  <c r="K338" i="26"/>
  <c r="J338" i="26"/>
  <c r="I338" i="26"/>
  <c r="H338" i="26"/>
  <c r="F338" i="26"/>
  <c r="E338" i="26"/>
  <c r="AK337" i="26"/>
  <c r="AJ337" i="26"/>
  <c r="AI337" i="26"/>
  <c r="AM337" i="26" s="1"/>
  <c r="AH337" i="26"/>
  <c r="AL337" i="26" s="1"/>
  <c r="AF337" i="26"/>
  <c r="AE337" i="26"/>
  <c r="AD337" i="26"/>
  <c r="AB337" i="26"/>
  <c r="AA337" i="26"/>
  <c r="Z337" i="26"/>
  <c r="Y337" i="26"/>
  <c r="S337" i="26"/>
  <c r="Q337" i="26"/>
  <c r="J337" i="26"/>
  <c r="I337" i="26"/>
  <c r="H337" i="26"/>
  <c r="F337" i="26"/>
  <c r="E337" i="26"/>
  <c r="AK336" i="26"/>
  <c r="AJ336" i="26"/>
  <c r="AI336" i="26"/>
  <c r="AM336" i="26" s="1"/>
  <c r="AH336" i="26"/>
  <c r="AL336" i="26" s="1"/>
  <c r="AF336" i="26"/>
  <c r="AE336" i="26"/>
  <c r="AD336" i="26"/>
  <c r="AB336" i="26"/>
  <c r="AA336" i="26"/>
  <c r="Z336" i="26"/>
  <c r="Y336" i="26"/>
  <c r="S336" i="26"/>
  <c r="Q336" i="26"/>
  <c r="K336" i="26"/>
  <c r="J336" i="26"/>
  <c r="I336" i="26"/>
  <c r="H336" i="26"/>
  <c r="F336" i="26"/>
  <c r="E336" i="26"/>
  <c r="AK335" i="26"/>
  <c r="AJ335" i="26"/>
  <c r="AI335" i="26"/>
  <c r="AM335" i="26" s="1"/>
  <c r="AH335" i="26"/>
  <c r="AL335" i="26" s="1"/>
  <c r="AF335" i="26"/>
  <c r="AE335" i="26"/>
  <c r="AD335" i="26"/>
  <c r="AB335" i="26"/>
  <c r="AA335" i="26"/>
  <c r="Z335" i="26"/>
  <c r="Y335" i="26"/>
  <c r="S335" i="26"/>
  <c r="Q335" i="26"/>
  <c r="K335" i="26"/>
  <c r="J335" i="26"/>
  <c r="I335" i="26"/>
  <c r="H335" i="26"/>
  <c r="F335" i="26"/>
  <c r="E335" i="26"/>
  <c r="AK334" i="26"/>
  <c r="AJ334" i="26"/>
  <c r="AI334" i="26"/>
  <c r="AM334" i="26" s="1"/>
  <c r="AH334" i="26"/>
  <c r="AL334" i="26" s="1"/>
  <c r="AF334" i="26"/>
  <c r="AE334" i="26"/>
  <c r="AD334" i="26"/>
  <c r="AB334" i="26"/>
  <c r="AA334" i="26"/>
  <c r="Z334" i="26"/>
  <c r="Y334" i="26"/>
  <c r="S334" i="26"/>
  <c r="Q334" i="26"/>
  <c r="K334" i="26"/>
  <c r="J334" i="26"/>
  <c r="I334" i="26"/>
  <c r="H334" i="26"/>
  <c r="F334" i="26"/>
  <c r="E334" i="26"/>
  <c r="AK333" i="26"/>
  <c r="AJ333" i="26"/>
  <c r="AI333" i="26"/>
  <c r="AM333" i="26" s="1"/>
  <c r="AH333" i="26"/>
  <c r="AL333" i="26" s="1"/>
  <c r="AF333" i="26"/>
  <c r="AE333" i="26"/>
  <c r="AD333" i="26"/>
  <c r="AB333" i="26"/>
  <c r="AA333" i="26"/>
  <c r="Z333" i="26"/>
  <c r="Y333" i="26"/>
  <c r="S333" i="26"/>
  <c r="Q333" i="26"/>
  <c r="K333" i="26"/>
  <c r="J333" i="26"/>
  <c r="I333" i="26"/>
  <c r="H333" i="26"/>
  <c r="F333" i="26"/>
  <c r="E333" i="26"/>
  <c r="AK332" i="26"/>
  <c r="AJ332" i="26"/>
  <c r="AI332" i="26"/>
  <c r="AM332" i="26" s="1"/>
  <c r="AH332" i="26"/>
  <c r="AL332" i="26" s="1"/>
  <c r="AF332" i="26"/>
  <c r="AE332" i="26"/>
  <c r="AD332" i="26"/>
  <c r="AB332" i="26"/>
  <c r="AA332" i="26"/>
  <c r="Z332" i="26"/>
  <c r="Y332" i="26"/>
  <c r="S332" i="26"/>
  <c r="Q332" i="26"/>
  <c r="K332" i="26"/>
  <c r="J332" i="26"/>
  <c r="I332" i="26"/>
  <c r="H332" i="26"/>
  <c r="F332" i="26"/>
  <c r="E332" i="26"/>
  <c r="AK331" i="26"/>
  <c r="AJ331" i="26"/>
  <c r="AI331" i="26"/>
  <c r="AM331" i="26" s="1"/>
  <c r="AH331" i="26"/>
  <c r="AL331" i="26" s="1"/>
  <c r="AF331" i="26"/>
  <c r="AE331" i="26"/>
  <c r="AD331" i="26"/>
  <c r="AB331" i="26"/>
  <c r="AA331" i="26"/>
  <c r="Z331" i="26"/>
  <c r="Y331" i="26"/>
  <c r="S331" i="26"/>
  <c r="Q331" i="26"/>
  <c r="K331" i="26"/>
  <c r="J331" i="26"/>
  <c r="I331" i="26"/>
  <c r="H331" i="26"/>
  <c r="F331" i="26"/>
  <c r="E331" i="26"/>
  <c r="AK330" i="26"/>
  <c r="AJ330" i="26"/>
  <c r="AI330" i="26"/>
  <c r="AM330" i="26" s="1"/>
  <c r="AH330" i="26"/>
  <c r="AL330" i="26" s="1"/>
  <c r="AF330" i="26"/>
  <c r="AE330" i="26"/>
  <c r="AD330" i="26"/>
  <c r="AB330" i="26"/>
  <c r="AA330" i="26"/>
  <c r="Z330" i="26"/>
  <c r="Y330" i="26"/>
  <c r="S330" i="26"/>
  <c r="Q330" i="26"/>
  <c r="K330" i="26"/>
  <c r="J330" i="26"/>
  <c r="I330" i="26"/>
  <c r="H330" i="26"/>
  <c r="F330" i="26"/>
  <c r="E330" i="26"/>
  <c r="AK329" i="26"/>
  <c r="AJ329" i="26"/>
  <c r="AI329" i="26"/>
  <c r="AM329" i="26" s="1"/>
  <c r="AH329" i="26"/>
  <c r="AL329" i="26" s="1"/>
  <c r="AF329" i="26"/>
  <c r="AE329" i="26"/>
  <c r="AD329" i="26"/>
  <c r="AB329" i="26"/>
  <c r="AA329" i="26"/>
  <c r="Z329" i="26"/>
  <c r="Y329" i="26"/>
  <c r="S329" i="26"/>
  <c r="Q329" i="26"/>
  <c r="K329" i="26"/>
  <c r="J329" i="26"/>
  <c r="I329" i="26"/>
  <c r="H329" i="26"/>
  <c r="F329" i="26"/>
  <c r="E329" i="26"/>
  <c r="AK328" i="26"/>
  <c r="AJ328" i="26"/>
  <c r="AI328" i="26"/>
  <c r="AM328" i="26" s="1"/>
  <c r="AH328" i="26"/>
  <c r="AL328" i="26" s="1"/>
  <c r="AF328" i="26"/>
  <c r="AE328" i="26"/>
  <c r="AD328" i="26"/>
  <c r="AB328" i="26"/>
  <c r="AA328" i="26"/>
  <c r="Z328" i="26"/>
  <c r="Y328" i="26"/>
  <c r="S328" i="26"/>
  <c r="Q328" i="26"/>
  <c r="K328" i="26"/>
  <c r="J328" i="26"/>
  <c r="I328" i="26"/>
  <c r="H328" i="26"/>
  <c r="F328" i="26"/>
  <c r="E328" i="26"/>
  <c r="AJ327" i="26"/>
  <c r="AI327" i="26"/>
  <c r="AM327" i="26" s="1"/>
  <c r="AH327" i="26"/>
  <c r="AL327" i="26" s="1"/>
  <c r="AF327" i="26"/>
  <c r="AE327" i="26"/>
  <c r="AD327" i="26"/>
  <c r="AB327" i="26"/>
  <c r="AA327" i="26"/>
  <c r="Z327" i="26"/>
  <c r="Y327" i="26"/>
  <c r="S327" i="26"/>
  <c r="Q327" i="26"/>
  <c r="K327" i="26"/>
  <c r="J327" i="26"/>
  <c r="I327" i="26"/>
  <c r="H327" i="26"/>
  <c r="F327" i="26"/>
  <c r="E327" i="26"/>
  <c r="AK326" i="26"/>
  <c r="AJ326" i="26"/>
  <c r="AI326" i="26"/>
  <c r="AM326" i="26" s="1"/>
  <c r="AH326" i="26"/>
  <c r="AL326" i="26" s="1"/>
  <c r="AF326" i="26"/>
  <c r="AE326" i="26"/>
  <c r="AD326" i="26"/>
  <c r="AB326" i="26"/>
  <c r="AA326" i="26"/>
  <c r="Z326" i="26"/>
  <c r="Y326" i="26"/>
  <c r="S326" i="26"/>
  <c r="Q326" i="26"/>
  <c r="K326" i="26"/>
  <c r="J326" i="26"/>
  <c r="I326" i="26"/>
  <c r="H326" i="26"/>
  <c r="F326" i="26"/>
  <c r="E326" i="26"/>
  <c r="AJ325" i="26"/>
  <c r="AI325" i="26"/>
  <c r="AM325" i="26" s="1"/>
  <c r="AH325" i="26"/>
  <c r="AL325" i="26" s="1"/>
  <c r="AF325" i="26"/>
  <c r="AE325" i="26"/>
  <c r="AD325" i="26"/>
  <c r="AB325" i="26"/>
  <c r="AA325" i="26"/>
  <c r="Z325" i="26"/>
  <c r="Y325" i="26"/>
  <c r="S325" i="26"/>
  <c r="Q325" i="26"/>
  <c r="K325" i="26"/>
  <c r="J325" i="26"/>
  <c r="I325" i="26"/>
  <c r="H325" i="26"/>
  <c r="F325" i="26"/>
  <c r="E325" i="26"/>
  <c r="AK324" i="26"/>
  <c r="AJ324" i="26"/>
  <c r="AI324" i="26"/>
  <c r="AM324" i="26" s="1"/>
  <c r="AH324" i="26"/>
  <c r="AL324" i="26" s="1"/>
  <c r="AF324" i="26"/>
  <c r="AE324" i="26"/>
  <c r="AD324" i="26"/>
  <c r="AB324" i="26"/>
  <c r="AA324" i="26"/>
  <c r="Z324" i="26"/>
  <c r="Y324" i="26"/>
  <c r="S324" i="26"/>
  <c r="Q324" i="26"/>
  <c r="K324" i="26"/>
  <c r="J324" i="26"/>
  <c r="I324" i="26"/>
  <c r="H324" i="26"/>
  <c r="F324" i="26"/>
  <c r="E324" i="26"/>
  <c r="AK323" i="26"/>
  <c r="AJ323" i="26"/>
  <c r="AI323" i="26"/>
  <c r="AM323" i="26" s="1"/>
  <c r="AH323" i="26"/>
  <c r="AL323" i="26" s="1"/>
  <c r="AF323" i="26"/>
  <c r="AE323" i="26"/>
  <c r="AD323" i="26"/>
  <c r="AB323" i="26"/>
  <c r="AA323" i="26"/>
  <c r="Z323" i="26"/>
  <c r="Y323" i="26"/>
  <c r="S323" i="26"/>
  <c r="Q323" i="26"/>
  <c r="K323" i="26"/>
  <c r="J323" i="26"/>
  <c r="I323" i="26"/>
  <c r="H323" i="26"/>
  <c r="F323" i="26"/>
  <c r="E323" i="26"/>
  <c r="AK322" i="26"/>
  <c r="AJ322" i="26"/>
  <c r="AI322" i="26"/>
  <c r="AM322" i="26" s="1"/>
  <c r="AH322" i="26"/>
  <c r="AL322" i="26" s="1"/>
  <c r="S322" i="26"/>
  <c r="Q322" i="26"/>
  <c r="K322" i="26"/>
  <c r="J322" i="26"/>
  <c r="I322" i="26"/>
  <c r="H322" i="26"/>
  <c r="F322" i="26"/>
  <c r="E322" i="26"/>
  <c r="AK321" i="26"/>
  <c r="AJ321" i="26"/>
  <c r="AI321" i="26"/>
  <c r="AM321" i="26" s="1"/>
  <c r="AH321" i="26"/>
  <c r="AL321" i="26" s="1"/>
  <c r="S321" i="26"/>
  <c r="Q321" i="26"/>
  <c r="K321" i="26"/>
  <c r="J321" i="26"/>
  <c r="I321" i="26"/>
  <c r="H321" i="26"/>
  <c r="F321" i="26"/>
  <c r="E321" i="26"/>
  <c r="AK320" i="26"/>
  <c r="AJ320" i="26"/>
  <c r="AI320" i="26"/>
  <c r="AM320" i="26" s="1"/>
  <c r="AH320" i="26"/>
  <c r="AL320" i="26" s="1"/>
  <c r="S320" i="26"/>
  <c r="Q320" i="26"/>
  <c r="K320" i="26"/>
  <c r="J320" i="26"/>
  <c r="I320" i="26"/>
  <c r="H320" i="26"/>
  <c r="F320" i="26"/>
  <c r="E320" i="26"/>
  <c r="AK319" i="26"/>
  <c r="AJ319" i="26"/>
  <c r="AI319" i="26"/>
  <c r="AM319" i="26" s="1"/>
  <c r="AH319" i="26"/>
  <c r="AL319" i="26" s="1"/>
  <c r="S319" i="26"/>
  <c r="Q319" i="26"/>
  <c r="K319" i="26"/>
  <c r="J319" i="26"/>
  <c r="I319" i="26"/>
  <c r="H319" i="26"/>
  <c r="F319" i="26"/>
  <c r="E319" i="26"/>
  <c r="AK318" i="26"/>
  <c r="AJ318" i="26"/>
  <c r="AI318" i="26"/>
  <c r="AM318" i="26" s="1"/>
  <c r="AH318" i="26"/>
  <c r="AL318" i="26" s="1"/>
  <c r="S318" i="26"/>
  <c r="Q318" i="26"/>
  <c r="K318" i="26"/>
  <c r="J318" i="26"/>
  <c r="I318" i="26"/>
  <c r="H318" i="26"/>
  <c r="F318" i="26"/>
  <c r="E318" i="26"/>
  <c r="AK317" i="26"/>
  <c r="AJ317" i="26"/>
  <c r="AI317" i="26"/>
  <c r="AM317" i="26" s="1"/>
  <c r="AH317" i="26"/>
  <c r="AL317" i="26" s="1"/>
  <c r="S317" i="26"/>
  <c r="Q317" i="26"/>
  <c r="K317" i="26"/>
  <c r="J317" i="26"/>
  <c r="I317" i="26"/>
  <c r="H317" i="26"/>
  <c r="F317" i="26"/>
  <c r="E317" i="26"/>
  <c r="AK316" i="26"/>
  <c r="AJ316" i="26"/>
  <c r="AI316" i="26"/>
  <c r="AM316" i="26" s="1"/>
  <c r="AH316" i="26"/>
  <c r="AL316" i="26" s="1"/>
  <c r="S316" i="26"/>
  <c r="Q316" i="26"/>
  <c r="K316" i="26"/>
  <c r="J316" i="26"/>
  <c r="I316" i="26"/>
  <c r="H316" i="26"/>
  <c r="F316" i="26"/>
  <c r="E316" i="26"/>
  <c r="AK315" i="26"/>
  <c r="AJ315" i="26"/>
  <c r="AI315" i="26"/>
  <c r="AM315" i="26" s="1"/>
  <c r="AH315" i="26"/>
  <c r="AL315" i="26" s="1"/>
  <c r="S315" i="26"/>
  <c r="Q315" i="26"/>
  <c r="K315" i="26"/>
  <c r="J315" i="26"/>
  <c r="I315" i="26"/>
  <c r="H315" i="26"/>
  <c r="F315" i="26"/>
  <c r="E315" i="26"/>
  <c r="AK314" i="26"/>
  <c r="AJ314" i="26"/>
  <c r="AI314" i="26"/>
  <c r="AM314" i="26" s="1"/>
  <c r="AH314" i="26"/>
  <c r="AL314" i="26" s="1"/>
  <c r="S314" i="26"/>
  <c r="Q314" i="26"/>
  <c r="K314" i="26"/>
  <c r="J314" i="26"/>
  <c r="I314" i="26"/>
  <c r="H314" i="26"/>
  <c r="F314" i="26"/>
  <c r="E314" i="26"/>
  <c r="AK313" i="26"/>
  <c r="AJ313" i="26"/>
  <c r="AI313" i="26"/>
  <c r="AM313" i="26" s="1"/>
  <c r="AH313" i="26"/>
  <c r="AL313" i="26" s="1"/>
  <c r="S313" i="26"/>
  <c r="Q313" i="26"/>
  <c r="K313" i="26"/>
  <c r="J313" i="26"/>
  <c r="I313" i="26"/>
  <c r="H313" i="26"/>
  <c r="F313" i="26"/>
  <c r="E313" i="26"/>
  <c r="AK312" i="26"/>
  <c r="AJ312" i="26"/>
  <c r="AI312" i="26"/>
  <c r="AM312" i="26" s="1"/>
  <c r="AH312" i="26"/>
  <c r="AL312" i="26" s="1"/>
  <c r="S312" i="26"/>
  <c r="Q312" i="26"/>
  <c r="K312" i="26"/>
  <c r="J312" i="26"/>
  <c r="I312" i="26"/>
  <c r="H312" i="26"/>
  <c r="F312" i="26"/>
  <c r="E312" i="26"/>
  <c r="AJ311" i="26"/>
  <c r="AI311" i="26"/>
  <c r="AM311" i="26" s="1"/>
  <c r="AH311" i="26"/>
  <c r="AL311" i="26" s="1"/>
  <c r="S311" i="26"/>
  <c r="Q311" i="26"/>
  <c r="K311" i="26"/>
  <c r="J311" i="26"/>
  <c r="I311" i="26"/>
  <c r="H311" i="26"/>
  <c r="F311" i="26"/>
  <c r="E311" i="26"/>
  <c r="AK310" i="26"/>
  <c r="AJ310" i="26"/>
  <c r="AI310" i="26"/>
  <c r="AM310" i="26" s="1"/>
  <c r="AH310" i="26"/>
  <c r="AL310" i="26" s="1"/>
  <c r="S310" i="26"/>
  <c r="Q310" i="26"/>
  <c r="K310" i="26"/>
  <c r="J310" i="26"/>
  <c r="I310" i="26"/>
  <c r="H310" i="26"/>
  <c r="F310" i="26"/>
  <c r="E310" i="26"/>
  <c r="AJ309" i="26"/>
  <c r="AI309" i="26"/>
  <c r="AM309" i="26" s="1"/>
  <c r="AH309" i="26"/>
  <c r="AL309" i="26" s="1"/>
  <c r="S309" i="26"/>
  <c r="Q309" i="26"/>
  <c r="K309" i="26"/>
  <c r="J309" i="26"/>
  <c r="I309" i="26"/>
  <c r="H309" i="26"/>
  <c r="F309" i="26"/>
  <c r="E309" i="26"/>
  <c r="AK308" i="26"/>
  <c r="AJ308" i="26"/>
  <c r="AI308" i="26"/>
  <c r="AM308" i="26" s="1"/>
  <c r="AH308" i="26"/>
  <c r="AL308" i="26" s="1"/>
  <c r="S308" i="26"/>
  <c r="Q308" i="26"/>
  <c r="K308" i="26"/>
  <c r="J308" i="26"/>
  <c r="I308" i="26"/>
  <c r="H308" i="26"/>
  <c r="F308" i="26"/>
  <c r="E308" i="26"/>
  <c r="AK307" i="26"/>
  <c r="AJ307" i="26"/>
  <c r="AI307" i="26"/>
  <c r="AM307" i="26" s="1"/>
  <c r="AH307" i="26"/>
  <c r="AL307" i="26" s="1"/>
  <c r="S307" i="26"/>
  <c r="Q307" i="26"/>
  <c r="K307" i="26"/>
  <c r="J307" i="26"/>
  <c r="I307" i="26"/>
  <c r="H307" i="26"/>
  <c r="F307" i="26"/>
  <c r="E307" i="26"/>
  <c r="AK306" i="26"/>
  <c r="AJ306" i="26"/>
  <c r="AI306" i="26"/>
  <c r="AM306" i="26" s="1"/>
  <c r="AH306" i="26"/>
  <c r="AL306" i="26" s="1"/>
  <c r="S306" i="26"/>
  <c r="Q306" i="26"/>
  <c r="K306" i="26"/>
  <c r="J306" i="26"/>
  <c r="I306" i="26"/>
  <c r="H306" i="26"/>
  <c r="F306" i="26"/>
  <c r="E306" i="26"/>
  <c r="AK305" i="26"/>
  <c r="AJ305" i="26"/>
  <c r="AI305" i="26"/>
  <c r="AM305" i="26" s="1"/>
  <c r="AH305" i="26"/>
  <c r="AL305" i="26" s="1"/>
  <c r="S305" i="26"/>
  <c r="Q305" i="26"/>
  <c r="K305" i="26"/>
  <c r="J305" i="26"/>
  <c r="I305" i="26"/>
  <c r="H305" i="26"/>
  <c r="F305" i="26"/>
  <c r="E305" i="26"/>
  <c r="AJ304" i="26"/>
  <c r="AI304" i="26"/>
  <c r="AM304" i="26" s="1"/>
  <c r="AH304" i="26"/>
  <c r="AL304" i="26" s="1"/>
  <c r="S304" i="26"/>
  <c r="Q304" i="26"/>
  <c r="K304" i="26"/>
  <c r="J304" i="26"/>
  <c r="I304" i="26"/>
  <c r="H304" i="26"/>
  <c r="F304" i="26"/>
  <c r="E304" i="26"/>
  <c r="AK303" i="26"/>
  <c r="AJ303" i="26"/>
  <c r="AI303" i="26"/>
  <c r="AM303" i="26" s="1"/>
  <c r="AH303" i="26"/>
  <c r="AL303" i="26" s="1"/>
  <c r="S303" i="26"/>
  <c r="Q303" i="26"/>
  <c r="K303" i="26"/>
  <c r="J303" i="26"/>
  <c r="I303" i="26"/>
  <c r="H303" i="26"/>
  <c r="F303" i="26"/>
  <c r="E303" i="26"/>
  <c r="AK302" i="26"/>
  <c r="AJ302" i="26"/>
  <c r="AI302" i="26"/>
  <c r="AM302" i="26" s="1"/>
  <c r="AH302" i="26"/>
  <c r="AL302" i="26" s="1"/>
  <c r="S302" i="26"/>
  <c r="Q302" i="26"/>
  <c r="K302" i="26"/>
  <c r="J302" i="26"/>
  <c r="I302" i="26"/>
  <c r="H302" i="26"/>
  <c r="F302" i="26"/>
  <c r="E302" i="26"/>
  <c r="AJ301" i="26"/>
  <c r="AI301" i="26"/>
  <c r="AM301" i="26" s="1"/>
  <c r="AH301" i="26"/>
  <c r="AL301" i="26" s="1"/>
  <c r="S301" i="26"/>
  <c r="Q301" i="26"/>
  <c r="K301" i="26"/>
  <c r="J301" i="26"/>
  <c r="I301" i="26"/>
  <c r="H301" i="26"/>
  <c r="F301" i="26"/>
  <c r="E301" i="26"/>
  <c r="AJ300" i="26"/>
  <c r="AI300" i="26"/>
  <c r="AM300" i="26" s="1"/>
  <c r="AH300" i="26"/>
  <c r="AL300" i="26" s="1"/>
  <c r="S300" i="26"/>
  <c r="Q300" i="26"/>
  <c r="K300" i="26"/>
  <c r="J300" i="26"/>
  <c r="I300" i="26"/>
  <c r="H300" i="26"/>
  <c r="F300" i="26"/>
  <c r="E300" i="26"/>
  <c r="AK299" i="26"/>
  <c r="AJ299" i="26"/>
  <c r="AI299" i="26"/>
  <c r="AM299" i="26" s="1"/>
  <c r="AH299" i="26"/>
  <c r="AL299" i="26" s="1"/>
  <c r="S299" i="26"/>
  <c r="Q299" i="26"/>
  <c r="K299" i="26"/>
  <c r="J299" i="26"/>
  <c r="I299" i="26"/>
  <c r="H299" i="26"/>
  <c r="F299" i="26"/>
  <c r="E299" i="26"/>
  <c r="AK298" i="26"/>
  <c r="AJ298" i="26"/>
  <c r="AI298" i="26"/>
  <c r="AM298" i="26" s="1"/>
  <c r="AH298" i="26"/>
  <c r="AL298" i="26" s="1"/>
  <c r="S298" i="26"/>
  <c r="Q298" i="26"/>
  <c r="K298" i="26"/>
  <c r="J298" i="26"/>
  <c r="I298" i="26"/>
  <c r="H298" i="26"/>
  <c r="F298" i="26"/>
  <c r="E298" i="26"/>
  <c r="AK297" i="26"/>
  <c r="AJ297" i="26"/>
  <c r="AI297" i="26"/>
  <c r="AM297" i="26" s="1"/>
  <c r="AH297" i="26"/>
  <c r="AL297" i="26" s="1"/>
  <c r="S297" i="26"/>
  <c r="Q297" i="26"/>
  <c r="K297" i="26"/>
  <c r="J297" i="26"/>
  <c r="I297" i="26"/>
  <c r="H297" i="26"/>
  <c r="F297" i="26"/>
  <c r="E297" i="26"/>
  <c r="AJ296" i="26"/>
  <c r="AI296" i="26"/>
  <c r="AM296" i="26" s="1"/>
  <c r="AH296" i="26"/>
  <c r="AL296" i="26" s="1"/>
  <c r="S296" i="26"/>
  <c r="Q296" i="26"/>
  <c r="K296" i="26"/>
  <c r="J296" i="26"/>
  <c r="I296" i="26"/>
  <c r="H296" i="26"/>
  <c r="F296" i="26"/>
  <c r="E296" i="26"/>
  <c r="AK295" i="26"/>
  <c r="AJ295" i="26"/>
  <c r="AI295" i="26"/>
  <c r="AM295" i="26" s="1"/>
  <c r="AH295" i="26"/>
  <c r="AL295" i="26" s="1"/>
  <c r="S295" i="26"/>
  <c r="Q295" i="26"/>
  <c r="K295" i="26"/>
  <c r="J295" i="26"/>
  <c r="I295" i="26"/>
  <c r="H295" i="26"/>
  <c r="F295" i="26"/>
  <c r="E295" i="26"/>
  <c r="AK294" i="26"/>
  <c r="AJ294" i="26"/>
  <c r="AI294" i="26"/>
  <c r="AM294" i="26" s="1"/>
  <c r="AH294" i="26"/>
  <c r="AL294" i="26" s="1"/>
  <c r="S294" i="26"/>
  <c r="Q294" i="26"/>
  <c r="K294" i="26"/>
  <c r="J294" i="26"/>
  <c r="I294" i="26"/>
  <c r="H294" i="26"/>
  <c r="F294" i="26"/>
  <c r="E294" i="26"/>
  <c r="AK293" i="26"/>
  <c r="AJ293" i="26"/>
  <c r="AI293" i="26"/>
  <c r="AM293" i="26" s="1"/>
  <c r="AH293" i="26"/>
  <c r="AL293" i="26" s="1"/>
  <c r="S293" i="26"/>
  <c r="Q293" i="26"/>
  <c r="J293" i="26"/>
  <c r="I293" i="26"/>
  <c r="H293" i="26"/>
  <c r="F293" i="26"/>
  <c r="E293" i="26"/>
  <c r="AK292" i="26"/>
  <c r="AJ292" i="26"/>
  <c r="AI292" i="26"/>
  <c r="AM292" i="26" s="1"/>
  <c r="AH292" i="26"/>
  <c r="AL292" i="26" s="1"/>
  <c r="S292" i="26"/>
  <c r="Q292" i="26"/>
  <c r="K292" i="26"/>
  <c r="J292" i="26"/>
  <c r="I292" i="26"/>
  <c r="H292" i="26"/>
  <c r="F292" i="26"/>
  <c r="E292" i="26"/>
  <c r="AK291" i="26"/>
  <c r="AJ291" i="26"/>
  <c r="AI291" i="26"/>
  <c r="AM291" i="26" s="1"/>
  <c r="AH291" i="26"/>
  <c r="AL291" i="26" s="1"/>
  <c r="S291" i="26"/>
  <c r="Q291" i="26"/>
  <c r="J291" i="26"/>
  <c r="I291" i="26"/>
  <c r="H291" i="26"/>
  <c r="F291" i="26"/>
  <c r="E291" i="26"/>
  <c r="AK290" i="26"/>
  <c r="AJ290" i="26"/>
  <c r="AI290" i="26"/>
  <c r="AM290" i="26" s="1"/>
  <c r="AH290" i="26"/>
  <c r="AL290" i="26" s="1"/>
  <c r="S290" i="26"/>
  <c r="Q290" i="26"/>
  <c r="K290" i="26"/>
  <c r="J290" i="26"/>
  <c r="I290" i="26"/>
  <c r="H290" i="26"/>
  <c r="F290" i="26"/>
  <c r="E290" i="26"/>
  <c r="AJ289" i="26"/>
  <c r="AI289" i="26"/>
  <c r="AM289" i="26" s="1"/>
  <c r="AH289" i="26"/>
  <c r="AL289" i="26" s="1"/>
  <c r="S289" i="26"/>
  <c r="Q289" i="26"/>
  <c r="K289" i="26"/>
  <c r="J289" i="26"/>
  <c r="I289" i="26"/>
  <c r="H289" i="26"/>
  <c r="F289" i="26"/>
  <c r="E289" i="26"/>
  <c r="AK288" i="26"/>
  <c r="AJ288" i="26"/>
  <c r="AI288" i="26"/>
  <c r="AM288" i="26" s="1"/>
  <c r="AH288" i="26"/>
  <c r="AL288" i="26" s="1"/>
  <c r="S288" i="26"/>
  <c r="Q288" i="26"/>
  <c r="K288" i="26"/>
  <c r="J288" i="26"/>
  <c r="I288" i="26"/>
  <c r="H288" i="26"/>
  <c r="F288" i="26"/>
  <c r="E288" i="26"/>
  <c r="AK287" i="26"/>
  <c r="AJ287" i="26"/>
  <c r="AI287" i="26"/>
  <c r="AM287" i="26" s="1"/>
  <c r="AH287" i="26"/>
  <c r="AL287" i="26" s="1"/>
  <c r="S287" i="26"/>
  <c r="Q287" i="26"/>
  <c r="K287" i="26"/>
  <c r="J287" i="26"/>
  <c r="I287" i="26"/>
  <c r="H287" i="26"/>
  <c r="F287" i="26"/>
  <c r="E287" i="26"/>
  <c r="AK286" i="26"/>
  <c r="AJ286" i="26"/>
  <c r="AI286" i="26"/>
  <c r="AM286" i="26" s="1"/>
  <c r="AH286" i="26"/>
  <c r="AL286" i="26" s="1"/>
  <c r="S286" i="26"/>
  <c r="Q286" i="26"/>
  <c r="K286" i="26"/>
  <c r="J286" i="26"/>
  <c r="I286" i="26"/>
  <c r="H286" i="26"/>
  <c r="F286" i="26"/>
  <c r="E286" i="26"/>
  <c r="AK285" i="26"/>
  <c r="AJ285" i="26"/>
  <c r="AI285" i="26"/>
  <c r="AM285" i="26" s="1"/>
  <c r="AH285" i="26"/>
  <c r="AL285" i="26" s="1"/>
  <c r="S285" i="26"/>
  <c r="Q285" i="26"/>
  <c r="K285" i="26"/>
  <c r="J285" i="26"/>
  <c r="I285" i="26"/>
  <c r="H285" i="26"/>
  <c r="F285" i="26"/>
  <c r="E285" i="26"/>
  <c r="AK284" i="26"/>
  <c r="AJ284" i="26"/>
  <c r="AI284" i="26"/>
  <c r="AM284" i="26" s="1"/>
  <c r="AH284" i="26"/>
  <c r="AL284" i="26" s="1"/>
  <c r="S284" i="26"/>
  <c r="Q284" i="26"/>
  <c r="K284" i="26"/>
  <c r="J284" i="26"/>
  <c r="I284" i="26"/>
  <c r="H284" i="26"/>
  <c r="F284" i="26"/>
  <c r="E284" i="26"/>
  <c r="AJ283" i="26"/>
  <c r="AI283" i="26"/>
  <c r="AM283" i="26" s="1"/>
  <c r="AH283" i="26"/>
  <c r="AL283" i="26" s="1"/>
  <c r="S283" i="26"/>
  <c r="Q283" i="26"/>
  <c r="K283" i="26"/>
  <c r="J283" i="26"/>
  <c r="I283" i="26"/>
  <c r="H283" i="26"/>
  <c r="F283" i="26"/>
  <c r="E283" i="26"/>
  <c r="AJ282" i="26"/>
  <c r="AI282" i="26"/>
  <c r="AM282" i="26" s="1"/>
  <c r="AH282" i="26"/>
  <c r="AL282" i="26" s="1"/>
  <c r="S282" i="26"/>
  <c r="Q282" i="26"/>
  <c r="K282" i="26"/>
  <c r="J282" i="26"/>
  <c r="I282" i="26"/>
  <c r="H282" i="26"/>
  <c r="F282" i="26"/>
  <c r="E282" i="26"/>
  <c r="AK281" i="26"/>
  <c r="AJ281" i="26"/>
  <c r="AI281" i="26"/>
  <c r="AM281" i="26" s="1"/>
  <c r="AH281" i="26"/>
  <c r="AL281" i="26" s="1"/>
  <c r="S281" i="26"/>
  <c r="Q281" i="26"/>
  <c r="K281" i="26"/>
  <c r="J281" i="26"/>
  <c r="I281" i="26"/>
  <c r="H281" i="26"/>
  <c r="F281" i="26"/>
  <c r="E281" i="26"/>
  <c r="AK280" i="26"/>
  <c r="AJ280" i="26"/>
  <c r="AI280" i="26"/>
  <c r="AM280" i="26" s="1"/>
  <c r="AH280" i="26"/>
  <c r="AL280" i="26" s="1"/>
  <c r="S280" i="26"/>
  <c r="Q280" i="26"/>
  <c r="K280" i="26"/>
  <c r="J280" i="26"/>
  <c r="I280" i="26"/>
  <c r="H280" i="26"/>
  <c r="F280" i="26"/>
  <c r="E280" i="26"/>
  <c r="AK279" i="26"/>
  <c r="AJ279" i="26"/>
  <c r="AI279" i="26"/>
  <c r="AM279" i="26" s="1"/>
  <c r="AH279" i="26"/>
  <c r="AL279" i="26" s="1"/>
  <c r="S279" i="26"/>
  <c r="Q279" i="26"/>
  <c r="K279" i="26"/>
  <c r="J279" i="26"/>
  <c r="I279" i="26"/>
  <c r="H279" i="26"/>
  <c r="F279" i="26"/>
  <c r="E279" i="26"/>
  <c r="AK278" i="26"/>
  <c r="AJ278" i="26"/>
  <c r="AI278" i="26"/>
  <c r="AM278" i="26" s="1"/>
  <c r="AH278" i="26"/>
  <c r="AL278" i="26" s="1"/>
  <c r="S278" i="26"/>
  <c r="Q278" i="26"/>
  <c r="K278" i="26"/>
  <c r="J278" i="26"/>
  <c r="I278" i="26"/>
  <c r="H278" i="26"/>
  <c r="F278" i="26"/>
  <c r="E278" i="26"/>
  <c r="AJ277" i="26"/>
  <c r="AI277" i="26"/>
  <c r="AM277" i="26" s="1"/>
  <c r="AH277" i="26"/>
  <c r="AL277" i="26" s="1"/>
  <c r="S277" i="26"/>
  <c r="Q277" i="26"/>
  <c r="J277" i="26"/>
  <c r="I277" i="26"/>
  <c r="H277" i="26"/>
  <c r="F277" i="26"/>
  <c r="E277" i="26"/>
  <c r="AJ276" i="26"/>
  <c r="AI276" i="26"/>
  <c r="AM276" i="26" s="1"/>
  <c r="AH276" i="26"/>
  <c r="AL276" i="26" s="1"/>
  <c r="S276" i="26"/>
  <c r="Q276" i="26"/>
  <c r="K276" i="26"/>
  <c r="J276" i="26"/>
  <c r="I276" i="26"/>
  <c r="H276" i="26"/>
  <c r="F276" i="26"/>
  <c r="E276" i="26"/>
  <c r="AK275" i="26"/>
  <c r="AJ275" i="26"/>
  <c r="AI275" i="26"/>
  <c r="AM275" i="26" s="1"/>
  <c r="AH275" i="26"/>
  <c r="AL275" i="26" s="1"/>
  <c r="S275" i="26"/>
  <c r="Q275" i="26"/>
  <c r="J275" i="26"/>
  <c r="I275" i="26"/>
  <c r="H275" i="26"/>
  <c r="F275" i="26"/>
  <c r="E275" i="26"/>
  <c r="AK274" i="26"/>
  <c r="AJ274" i="26"/>
  <c r="AI274" i="26"/>
  <c r="AM274" i="26" s="1"/>
  <c r="AH274" i="26"/>
  <c r="AL274" i="26" s="1"/>
  <c r="S274" i="26"/>
  <c r="Q274" i="26"/>
  <c r="K274" i="26"/>
  <c r="J274" i="26"/>
  <c r="I274" i="26"/>
  <c r="H274" i="26"/>
  <c r="F274" i="26"/>
  <c r="E274" i="26"/>
  <c r="AK273" i="26"/>
  <c r="AJ273" i="26"/>
  <c r="AI273" i="26"/>
  <c r="AM273" i="26" s="1"/>
  <c r="AH273" i="26"/>
  <c r="AL273" i="26" s="1"/>
  <c r="S273" i="26"/>
  <c r="Q273" i="26"/>
  <c r="K273" i="26"/>
  <c r="J273" i="26"/>
  <c r="I273" i="26"/>
  <c r="H273" i="26"/>
  <c r="F273" i="26"/>
  <c r="E273" i="26"/>
  <c r="AK272" i="26"/>
  <c r="AJ272" i="26"/>
  <c r="AI272" i="26"/>
  <c r="AM272" i="26" s="1"/>
  <c r="AH272" i="26"/>
  <c r="AL272" i="26" s="1"/>
  <c r="S272" i="26"/>
  <c r="Q272" i="26"/>
  <c r="K272" i="26"/>
  <c r="J272" i="26"/>
  <c r="I272" i="26"/>
  <c r="H272" i="26"/>
  <c r="F272" i="26"/>
  <c r="E272" i="26"/>
  <c r="AK271" i="26"/>
  <c r="AJ271" i="26"/>
  <c r="AI271" i="26"/>
  <c r="AM271" i="26" s="1"/>
  <c r="AH271" i="26"/>
  <c r="AL271" i="26" s="1"/>
  <c r="S271" i="26"/>
  <c r="Q271" i="26"/>
  <c r="K271" i="26"/>
  <c r="J271" i="26"/>
  <c r="I271" i="26"/>
  <c r="H271" i="26"/>
  <c r="F271" i="26"/>
  <c r="E271" i="26"/>
  <c r="AK270" i="26"/>
  <c r="AJ270" i="26"/>
  <c r="AI270" i="26"/>
  <c r="AM270" i="26" s="1"/>
  <c r="AH270" i="26"/>
  <c r="AL270" i="26" s="1"/>
  <c r="S270" i="26"/>
  <c r="Q270" i="26"/>
  <c r="J270" i="26"/>
  <c r="I270" i="26"/>
  <c r="H270" i="26"/>
  <c r="F270" i="26"/>
  <c r="E270" i="26"/>
  <c r="AK269" i="26"/>
  <c r="AJ269" i="26"/>
  <c r="AI269" i="26"/>
  <c r="AM269" i="26" s="1"/>
  <c r="AH269" i="26"/>
  <c r="AL269" i="26" s="1"/>
  <c r="S269" i="26"/>
  <c r="Q269" i="26"/>
  <c r="K269" i="26"/>
  <c r="J269" i="26"/>
  <c r="I269" i="26"/>
  <c r="H269" i="26"/>
  <c r="F269" i="26"/>
  <c r="E269" i="26"/>
  <c r="AK268" i="26"/>
  <c r="AJ268" i="26"/>
  <c r="AI268" i="26"/>
  <c r="AM268" i="26" s="1"/>
  <c r="AH268" i="26"/>
  <c r="AL268" i="26" s="1"/>
  <c r="S268" i="26"/>
  <c r="Q268" i="26"/>
  <c r="K268" i="26"/>
  <c r="J268" i="26"/>
  <c r="I268" i="26"/>
  <c r="H268" i="26"/>
  <c r="F268" i="26"/>
  <c r="E268" i="26"/>
  <c r="AK267" i="26"/>
  <c r="AJ267" i="26"/>
  <c r="AI267" i="26"/>
  <c r="AM267" i="26" s="1"/>
  <c r="AH267" i="26"/>
  <c r="AL267" i="26" s="1"/>
  <c r="S267" i="26"/>
  <c r="Q267" i="26"/>
  <c r="J267" i="26"/>
  <c r="I267" i="26"/>
  <c r="H267" i="26"/>
  <c r="F267" i="26"/>
  <c r="E267" i="26"/>
  <c r="AK266" i="26"/>
  <c r="AJ266" i="26"/>
  <c r="AI266" i="26"/>
  <c r="AM266" i="26" s="1"/>
  <c r="AH266" i="26"/>
  <c r="AL266" i="26" s="1"/>
  <c r="S266" i="26"/>
  <c r="Q266" i="26"/>
  <c r="J266" i="26"/>
  <c r="I266" i="26"/>
  <c r="H266" i="26"/>
  <c r="F266" i="26"/>
  <c r="E266" i="26"/>
  <c r="AK265" i="26"/>
  <c r="AJ265" i="26"/>
  <c r="AI265" i="26"/>
  <c r="AM265" i="26" s="1"/>
  <c r="AH265" i="26"/>
  <c r="AL265" i="26" s="1"/>
  <c r="S265" i="26"/>
  <c r="Q265" i="26"/>
  <c r="K265" i="26"/>
  <c r="J265" i="26"/>
  <c r="I265" i="26"/>
  <c r="H265" i="26"/>
  <c r="F265" i="26"/>
  <c r="E265" i="26"/>
  <c r="AK264" i="26"/>
  <c r="AJ264" i="26"/>
  <c r="AI264" i="26"/>
  <c r="AM264" i="26" s="1"/>
  <c r="AH264" i="26"/>
  <c r="AL264" i="26" s="1"/>
  <c r="S264" i="26"/>
  <c r="Q264" i="26"/>
  <c r="K264" i="26"/>
  <c r="J264" i="26"/>
  <c r="I264" i="26"/>
  <c r="H264" i="26"/>
  <c r="F264" i="26"/>
  <c r="E264" i="26"/>
  <c r="AK263" i="26"/>
  <c r="AJ263" i="26"/>
  <c r="AI263" i="26"/>
  <c r="AM263" i="26" s="1"/>
  <c r="AH263" i="26"/>
  <c r="AL263" i="26" s="1"/>
  <c r="S263" i="26"/>
  <c r="Q263" i="26"/>
  <c r="K263" i="26"/>
  <c r="J263" i="26"/>
  <c r="I263" i="26"/>
  <c r="H263" i="26"/>
  <c r="F263" i="26"/>
  <c r="E263" i="26"/>
  <c r="AK262" i="26"/>
  <c r="AJ262" i="26"/>
  <c r="AI262" i="26"/>
  <c r="AM262" i="26" s="1"/>
  <c r="AH262" i="26"/>
  <c r="AL262" i="26" s="1"/>
  <c r="S262" i="26"/>
  <c r="Q262" i="26"/>
  <c r="J262" i="26"/>
  <c r="I262" i="26"/>
  <c r="H262" i="26"/>
  <c r="F262" i="26"/>
  <c r="E262" i="26"/>
  <c r="AK261" i="26"/>
  <c r="AJ261" i="26"/>
  <c r="AI261" i="26"/>
  <c r="AM261" i="26" s="1"/>
  <c r="AH261" i="26"/>
  <c r="AL261" i="26" s="1"/>
  <c r="S261" i="26"/>
  <c r="Q261" i="26"/>
  <c r="K261" i="26"/>
  <c r="J261" i="26"/>
  <c r="I261" i="26"/>
  <c r="H261" i="26"/>
  <c r="F261" i="26"/>
  <c r="E261" i="26"/>
  <c r="AK260" i="26"/>
  <c r="AJ260" i="26"/>
  <c r="AI260" i="26"/>
  <c r="AM260" i="26" s="1"/>
  <c r="AH260" i="26"/>
  <c r="AL260" i="26" s="1"/>
  <c r="S260" i="26"/>
  <c r="Q260" i="26"/>
  <c r="K260" i="26"/>
  <c r="J260" i="26"/>
  <c r="I260" i="26"/>
  <c r="H260" i="26"/>
  <c r="F260" i="26"/>
  <c r="E260" i="26"/>
  <c r="AJ259" i="26"/>
  <c r="AI259" i="26"/>
  <c r="AM259" i="26" s="1"/>
  <c r="AH259" i="26"/>
  <c r="AL259" i="26" s="1"/>
  <c r="S259" i="26"/>
  <c r="Q259" i="26"/>
  <c r="K259" i="26"/>
  <c r="J259" i="26"/>
  <c r="I259" i="26"/>
  <c r="H259" i="26"/>
  <c r="F259" i="26"/>
  <c r="E259" i="26"/>
  <c r="AK258" i="26"/>
  <c r="AJ258" i="26"/>
  <c r="AI258" i="26"/>
  <c r="AM258" i="26" s="1"/>
  <c r="AH258" i="26"/>
  <c r="AL258" i="26" s="1"/>
  <c r="S258" i="26"/>
  <c r="Q258" i="26"/>
  <c r="K258" i="26"/>
  <c r="J258" i="26"/>
  <c r="I258" i="26"/>
  <c r="H258" i="26"/>
  <c r="F258" i="26"/>
  <c r="E258" i="26"/>
  <c r="AK257" i="26"/>
  <c r="AJ257" i="26"/>
  <c r="AI257" i="26"/>
  <c r="AM257" i="26" s="1"/>
  <c r="AH257" i="26"/>
  <c r="AL257" i="26" s="1"/>
  <c r="S257" i="26"/>
  <c r="Q257" i="26"/>
  <c r="K257" i="26"/>
  <c r="J257" i="26"/>
  <c r="I257" i="26"/>
  <c r="H257" i="26"/>
  <c r="F257" i="26"/>
  <c r="E257" i="26"/>
  <c r="AK256" i="26"/>
  <c r="AJ256" i="26"/>
  <c r="AI256" i="26"/>
  <c r="AM256" i="26" s="1"/>
  <c r="AH256" i="26"/>
  <c r="AL256" i="26" s="1"/>
  <c r="S256" i="26"/>
  <c r="Q256" i="26"/>
  <c r="K256" i="26"/>
  <c r="J256" i="26"/>
  <c r="I256" i="26"/>
  <c r="H256" i="26"/>
  <c r="F256" i="26"/>
  <c r="E256" i="26"/>
  <c r="AK255" i="26"/>
  <c r="AJ255" i="26"/>
  <c r="AI255" i="26"/>
  <c r="AM255" i="26" s="1"/>
  <c r="AH255" i="26"/>
  <c r="AL255" i="26" s="1"/>
  <c r="S255" i="26"/>
  <c r="Q255" i="26"/>
  <c r="J255" i="26"/>
  <c r="I255" i="26"/>
  <c r="H255" i="26"/>
  <c r="F255" i="26"/>
  <c r="E255" i="26"/>
  <c r="AK254" i="26"/>
  <c r="AJ254" i="26"/>
  <c r="AI254" i="26"/>
  <c r="AM254" i="26" s="1"/>
  <c r="AH254" i="26"/>
  <c r="AL254" i="26" s="1"/>
  <c r="S254" i="26"/>
  <c r="Q254" i="26"/>
  <c r="K254" i="26"/>
  <c r="J254" i="26"/>
  <c r="I254" i="26"/>
  <c r="H254" i="26"/>
  <c r="F254" i="26"/>
  <c r="E254" i="26"/>
  <c r="AK253" i="26"/>
  <c r="AJ253" i="26"/>
  <c r="AI253" i="26"/>
  <c r="AM253" i="26" s="1"/>
  <c r="AH253" i="26"/>
  <c r="AL253" i="26" s="1"/>
  <c r="S253" i="26"/>
  <c r="Q253" i="26"/>
  <c r="K253" i="26"/>
  <c r="J253" i="26"/>
  <c r="I253" i="26"/>
  <c r="H253" i="26"/>
  <c r="F253" i="26"/>
  <c r="E253" i="26"/>
  <c r="AK252" i="26"/>
  <c r="AJ252" i="26"/>
  <c r="AI252" i="26"/>
  <c r="AM252" i="26" s="1"/>
  <c r="AH252" i="26"/>
  <c r="AL252" i="26" s="1"/>
  <c r="S252" i="26"/>
  <c r="Q252" i="26"/>
  <c r="K252" i="26"/>
  <c r="J252" i="26"/>
  <c r="I252" i="26"/>
  <c r="H252" i="26"/>
  <c r="F252" i="26"/>
  <c r="E252" i="26"/>
  <c r="AK251" i="26"/>
  <c r="AJ251" i="26"/>
  <c r="AI251" i="26"/>
  <c r="AM251" i="26" s="1"/>
  <c r="AH251" i="26"/>
  <c r="AL251" i="26" s="1"/>
  <c r="S251" i="26"/>
  <c r="Q251" i="26"/>
  <c r="K251" i="26"/>
  <c r="J251" i="26"/>
  <c r="I251" i="26"/>
  <c r="H251" i="26"/>
  <c r="F251" i="26"/>
  <c r="E251" i="26"/>
  <c r="AK250" i="26"/>
  <c r="AJ250" i="26"/>
  <c r="AI250" i="26"/>
  <c r="AM250" i="26" s="1"/>
  <c r="AH250" i="26"/>
  <c r="AL250" i="26" s="1"/>
  <c r="S250" i="26"/>
  <c r="Q250" i="26"/>
  <c r="K250" i="26"/>
  <c r="J250" i="26"/>
  <c r="I250" i="26"/>
  <c r="H250" i="26"/>
  <c r="F250" i="26"/>
  <c r="E250" i="26"/>
  <c r="AK249" i="26"/>
  <c r="AJ249" i="26"/>
  <c r="AI249" i="26"/>
  <c r="AM249" i="26" s="1"/>
  <c r="AH249" i="26"/>
  <c r="AL249" i="26" s="1"/>
  <c r="S249" i="26"/>
  <c r="Q249" i="26"/>
  <c r="J249" i="26"/>
  <c r="I249" i="26"/>
  <c r="H249" i="26"/>
  <c r="F249" i="26"/>
  <c r="E249" i="26"/>
  <c r="AK248" i="26"/>
  <c r="AJ248" i="26"/>
  <c r="AI248" i="26"/>
  <c r="AM248" i="26" s="1"/>
  <c r="AH248" i="26"/>
  <c r="AL248" i="26" s="1"/>
  <c r="S248" i="26"/>
  <c r="Q248" i="26"/>
  <c r="J248" i="26"/>
  <c r="I248" i="26"/>
  <c r="H248" i="26"/>
  <c r="F248" i="26"/>
  <c r="E248" i="26"/>
  <c r="AK247" i="26"/>
  <c r="AJ247" i="26"/>
  <c r="AI247" i="26"/>
  <c r="AM247" i="26" s="1"/>
  <c r="AH247" i="26"/>
  <c r="AL247" i="26" s="1"/>
  <c r="S247" i="26"/>
  <c r="Q247" i="26"/>
  <c r="K247" i="26"/>
  <c r="J247" i="26"/>
  <c r="I247" i="26"/>
  <c r="H247" i="26"/>
  <c r="F247" i="26"/>
  <c r="E247" i="26"/>
  <c r="AK246" i="26"/>
  <c r="AJ246" i="26"/>
  <c r="AI246" i="26"/>
  <c r="AM246" i="26" s="1"/>
  <c r="AH246" i="26"/>
  <c r="AL246" i="26" s="1"/>
  <c r="S246" i="26"/>
  <c r="Q246" i="26"/>
  <c r="K246" i="26"/>
  <c r="J246" i="26"/>
  <c r="I246" i="26"/>
  <c r="H246" i="26"/>
  <c r="F246" i="26"/>
  <c r="E246" i="26"/>
  <c r="AK245" i="26"/>
  <c r="AJ245" i="26"/>
  <c r="AI245" i="26"/>
  <c r="AM245" i="26" s="1"/>
  <c r="AH245" i="26"/>
  <c r="AL245" i="26" s="1"/>
  <c r="S245" i="26"/>
  <c r="Q245" i="26"/>
  <c r="K245" i="26"/>
  <c r="J245" i="26"/>
  <c r="I245" i="26"/>
  <c r="H245" i="26"/>
  <c r="F245" i="26"/>
  <c r="E245" i="26"/>
  <c r="AK244" i="26"/>
  <c r="AJ244" i="26"/>
  <c r="AI244" i="26"/>
  <c r="AM244" i="26" s="1"/>
  <c r="AH244" i="26"/>
  <c r="AL244" i="26" s="1"/>
  <c r="S244" i="26"/>
  <c r="Q244" i="26"/>
  <c r="K244" i="26"/>
  <c r="J244" i="26"/>
  <c r="I244" i="26"/>
  <c r="H244" i="26"/>
  <c r="F244" i="26"/>
  <c r="E244" i="26"/>
  <c r="AK243" i="26"/>
  <c r="AJ243" i="26"/>
  <c r="AI243" i="26"/>
  <c r="AM243" i="26" s="1"/>
  <c r="AH243" i="26"/>
  <c r="AL243" i="26" s="1"/>
  <c r="S243" i="26"/>
  <c r="Q243" i="26"/>
  <c r="J243" i="26"/>
  <c r="I243" i="26"/>
  <c r="H243" i="26"/>
  <c r="F243" i="26"/>
  <c r="E243" i="26"/>
  <c r="AJ242" i="26"/>
  <c r="AI242" i="26"/>
  <c r="AM242" i="26" s="1"/>
  <c r="AH242" i="26"/>
  <c r="AL242" i="26" s="1"/>
  <c r="S242" i="26"/>
  <c r="Q242" i="26"/>
  <c r="J242" i="26"/>
  <c r="I242" i="26"/>
  <c r="H242" i="26"/>
  <c r="F242" i="26"/>
  <c r="E242" i="26"/>
  <c r="AJ241" i="26"/>
  <c r="AI241" i="26"/>
  <c r="AM241" i="26" s="1"/>
  <c r="AH241" i="26"/>
  <c r="AL241" i="26" s="1"/>
  <c r="S241" i="26"/>
  <c r="Q241" i="26"/>
  <c r="K241" i="26"/>
  <c r="J241" i="26"/>
  <c r="I241" i="26"/>
  <c r="H241" i="26"/>
  <c r="F241" i="26"/>
  <c r="E241" i="26"/>
  <c r="AK240" i="26"/>
  <c r="AJ240" i="26"/>
  <c r="AI240" i="26"/>
  <c r="AM240" i="26" s="1"/>
  <c r="AH240" i="26"/>
  <c r="AL240" i="26" s="1"/>
  <c r="S240" i="26"/>
  <c r="Q240" i="26"/>
  <c r="K240" i="26"/>
  <c r="J240" i="26"/>
  <c r="I240" i="26"/>
  <c r="H240" i="26"/>
  <c r="F240" i="26"/>
  <c r="E240" i="26"/>
  <c r="AK239" i="26"/>
  <c r="AJ239" i="26"/>
  <c r="AI239" i="26"/>
  <c r="AM239" i="26" s="1"/>
  <c r="AH239" i="26"/>
  <c r="AL239" i="26" s="1"/>
  <c r="S239" i="26"/>
  <c r="Q239" i="26"/>
  <c r="K239" i="26"/>
  <c r="J239" i="26"/>
  <c r="I239" i="26"/>
  <c r="H239" i="26"/>
  <c r="F239" i="26"/>
  <c r="E239" i="26"/>
  <c r="AJ238" i="26"/>
  <c r="AI238" i="26"/>
  <c r="AM238" i="26" s="1"/>
  <c r="AH238" i="26"/>
  <c r="AL238" i="26" s="1"/>
  <c r="S238" i="26"/>
  <c r="Q238" i="26"/>
  <c r="K238" i="26"/>
  <c r="J238" i="26"/>
  <c r="I238" i="26"/>
  <c r="H238" i="26"/>
  <c r="F238" i="26"/>
  <c r="E238" i="26"/>
  <c r="AK237" i="26"/>
  <c r="AJ237" i="26"/>
  <c r="AI237" i="26"/>
  <c r="AM237" i="26" s="1"/>
  <c r="AH237" i="26"/>
  <c r="AL237" i="26" s="1"/>
  <c r="S237" i="26"/>
  <c r="Q237" i="26"/>
  <c r="K237" i="26"/>
  <c r="J237" i="26"/>
  <c r="I237" i="26"/>
  <c r="H237" i="26"/>
  <c r="F237" i="26"/>
  <c r="E237" i="26"/>
  <c r="AJ236" i="26"/>
  <c r="AI236" i="26"/>
  <c r="AM236" i="26" s="1"/>
  <c r="AH236" i="26"/>
  <c r="AL236" i="26" s="1"/>
  <c r="S236" i="26"/>
  <c r="Q236" i="26"/>
  <c r="K236" i="26"/>
  <c r="J236" i="26"/>
  <c r="I236" i="26"/>
  <c r="H236" i="26"/>
  <c r="F236" i="26"/>
  <c r="E236" i="26"/>
  <c r="AJ235" i="26"/>
  <c r="AI235" i="26"/>
  <c r="AM235" i="26" s="1"/>
  <c r="AH235" i="26"/>
  <c r="AL235" i="26" s="1"/>
  <c r="S235" i="26"/>
  <c r="Q235" i="26"/>
  <c r="K235" i="26"/>
  <c r="J235" i="26"/>
  <c r="I235" i="26"/>
  <c r="H235" i="26"/>
  <c r="F235" i="26"/>
  <c r="E235" i="26"/>
  <c r="AJ234" i="26"/>
  <c r="AI234" i="26"/>
  <c r="AM234" i="26" s="1"/>
  <c r="AH234" i="26"/>
  <c r="AL234" i="26" s="1"/>
  <c r="S234" i="26"/>
  <c r="Q234" i="26"/>
  <c r="K234" i="26"/>
  <c r="J234" i="26"/>
  <c r="I234" i="26"/>
  <c r="H234" i="26"/>
  <c r="F234" i="26"/>
  <c r="E234" i="26"/>
  <c r="AJ233" i="26"/>
  <c r="AI233" i="26"/>
  <c r="AM233" i="26" s="1"/>
  <c r="AH233" i="26"/>
  <c r="AL233" i="26" s="1"/>
  <c r="S233" i="26"/>
  <c r="Q233" i="26"/>
  <c r="K233" i="26"/>
  <c r="J233" i="26"/>
  <c r="I233" i="26"/>
  <c r="H233" i="26"/>
  <c r="F233" i="26"/>
  <c r="E233" i="26"/>
  <c r="AK232" i="26"/>
  <c r="AJ232" i="26"/>
  <c r="AI232" i="26"/>
  <c r="AM232" i="26" s="1"/>
  <c r="AH232" i="26"/>
  <c r="AL232" i="26" s="1"/>
  <c r="S232" i="26"/>
  <c r="Q232" i="26"/>
  <c r="K232" i="26"/>
  <c r="J232" i="26"/>
  <c r="I232" i="26"/>
  <c r="H232" i="26"/>
  <c r="F232" i="26"/>
  <c r="E232" i="26"/>
  <c r="AK231" i="26"/>
  <c r="AJ231" i="26"/>
  <c r="AI231" i="26"/>
  <c r="AM231" i="26" s="1"/>
  <c r="AH231" i="26"/>
  <c r="AL231" i="26" s="1"/>
  <c r="S231" i="26"/>
  <c r="Q231" i="26"/>
  <c r="K231" i="26"/>
  <c r="J231" i="26"/>
  <c r="I231" i="26"/>
  <c r="H231" i="26"/>
  <c r="F231" i="26"/>
  <c r="E231" i="26"/>
  <c r="AK230" i="26"/>
  <c r="AJ230" i="26"/>
  <c r="AI230" i="26"/>
  <c r="AM230" i="26" s="1"/>
  <c r="AH230" i="26"/>
  <c r="AL230" i="26" s="1"/>
  <c r="S230" i="26"/>
  <c r="Q230" i="26"/>
  <c r="K230" i="26"/>
  <c r="J230" i="26"/>
  <c r="I230" i="26"/>
  <c r="H230" i="26"/>
  <c r="F230" i="26"/>
  <c r="E230" i="26"/>
  <c r="AK229" i="26"/>
  <c r="AJ229" i="26"/>
  <c r="AI229" i="26"/>
  <c r="AM229" i="26" s="1"/>
  <c r="AH229" i="26"/>
  <c r="AL229" i="26" s="1"/>
  <c r="S229" i="26"/>
  <c r="Q229" i="26"/>
  <c r="K229" i="26"/>
  <c r="J229" i="26"/>
  <c r="I229" i="26"/>
  <c r="H229" i="26"/>
  <c r="F229" i="26"/>
  <c r="E229" i="26"/>
  <c r="AK228" i="26"/>
  <c r="AJ228" i="26"/>
  <c r="AI228" i="26"/>
  <c r="AM228" i="26" s="1"/>
  <c r="AH228" i="26"/>
  <c r="AL228" i="26" s="1"/>
  <c r="S228" i="26"/>
  <c r="Q228" i="26"/>
  <c r="K228" i="26"/>
  <c r="J228" i="26"/>
  <c r="I228" i="26"/>
  <c r="H228" i="26"/>
  <c r="F228" i="26"/>
  <c r="E228" i="26"/>
  <c r="AK227" i="26"/>
  <c r="AJ227" i="26"/>
  <c r="AI227" i="26"/>
  <c r="AM227" i="26" s="1"/>
  <c r="AH227" i="26"/>
  <c r="AL227" i="26" s="1"/>
  <c r="S227" i="26"/>
  <c r="Q227" i="26"/>
  <c r="K227" i="26"/>
  <c r="J227" i="26"/>
  <c r="I227" i="26"/>
  <c r="H227" i="26"/>
  <c r="F227" i="26"/>
  <c r="E227" i="26"/>
  <c r="AK226" i="26"/>
  <c r="AJ226" i="26"/>
  <c r="AI226" i="26"/>
  <c r="AM226" i="26" s="1"/>
  <c r="AH226" i="26"/>
  <c r="AL226" i="26" s="1"/>
  <c r="S226" i="26"/>
  <c r="Q226" i="26"/>
  <c r="K226" i="26"/>
  <c r="J226" i="26"/>
  <c r="I226" i="26"/>
  <c r="H226" i="26"/>
  <c r="F226" i="26"/>
  <c r="E226" i="26"/>
  <c r="AK225" i="26"/>
  <c r="AJ225" i="26"/>
  <c r="AI225" i="26"/>
  <c r="AM225" i="26" s="1"/>
  <c r="AH225" i="26"/>
  <c r="AL225" i="26" s="1"/>
  <c r="S225" i="26"/>
  <c r="Q225" i="26"/>
  <c r="J225" i="26"/>
  <c r="I225" i="26"/>
  <c r="H225" i="26"/>
  <c r="F225" i="26"/>
  <c r="E225" i="26"/>
  <c r="AK224" i="26"/>
  <c r="AJ224" i="26"/>
  <c r="AI224" i="26"/>
  <c r="AM224" i="26" s="1"/>
  <c r="AH224" i="26"/>
  <c r="AL224" i="26" s="1"/>
  <c r="S224" i="26"/>
  <c r="Q224" i="26"/>
  <c r="K224" i="26"/>
  <c r="J224" i="26"/>
  <c r="I224" i="26"/>
  <c r="H224" i="26"/>
  <c r="F224" i="26"/>
  <c r="E224" i="26"/>
  <c r="AK223" i="26"/>
  <c r="AJ223" i="26"/>
  <c r="AI223" i="26"/>
  <c r="AM223" i="26" s="1"/>
  <c r="AH223" i="26"/>
  <c r="AL223" i="26" s="1"/>
  <c r="S223" i="26"/>
  <c r="Q223" i="26"/>
  <c r="K223" i="26"/>
  <c r="J223" i="26"/>
  <c r="I223" i="26"/>
  <c r="H223" i="26"/>
  <c r="F223" i="26"/>
  <c r="E223" i="26"/>
  <c r="AK222" i="26"/>
  <c r="AJ222" i="26"/>
  <c r="AI222" i="26"/>
  <c r="AM222" i="26" s="1"/>
  <c r="AH222" i="26"/>
  <c r="AL222" i="26" s="1"/>
  <c r="S222" i="26"/>
  <c r="Q222" i="26"/>
  <c r="K222" i="26"/>
  <c r="J222" i="26"/>
  <c r="I222" i="26"/>
  <c r="H222" i="26"/>
  <c r="F222" i="26"/>
  <c r="E222" i="26"/>
  <c r="AK221" i="26"/>
  <c r="AJ221" i="26"/>
  <c r="AI221" i="26"/>
  <c r="AM221" i="26" s="1"/>
  <c r="AH221" i="26"/>
  <c r="AL221" i="26" s="1"/>
  <c r="S221" i="26"/>
  <c r="Q221" i="26"/>
  <c r="K221" i="26"/>
  <c r="J221" i="26"/>
  <c r="I221" i="26"/>
  <c r="H221" i="26"/>
  <c r="F221" i="26"/>
  <c r="E221" i="26"/>
  <c r="AK220" i="26"/>
  <c r="AJ220" i="26"/>
  <c r="AI220" i="26"/>
  <c r="AM220" i="26" s="1"/>
  <c r="AH220" i="26"/>
  <c r="AL220" i="26" s="1"/>
  <c r="S220" i="26"/>
  <c r="Q220" i="26"/>
  <c r="K220" i="26"/>
  <c r="J220" i="26"/>
  <c r="I220" i="26"/>
  <c r="H220" i="26"/>
  <c r="F220" i="26"/>
  <c r="E220" i="26"/>
  <c r="AJ219" i="26"/>
  <c r="AI219" i="26"/>
  <c r="AM219" i="26" s="1"/>
  <c r="AH219" i="26"/>
  <c r="AL219" i="26" s="1"/>
  <c r="S219" i="26"/>
  <c r="Q219" i="26"/>
  <c r="K219" i="26"/>
  <c r="J219" i="26"/>
  <c r="I219" i="26"/>
  <c r="H219" i="26"/>
  <c r="F219" i="26"/>
  <c r="E219" i="26"/>
  <c r="AJ218" i="26"/>
  <c r="AI218" i="26"/>
  <c r="AM218" i="26" s="1"/>
  <c r="AH218" i="26"/>
  <c r="AL218" i="26" s="1"/>
  <c r="S218" i="26"/>
  <c r="Q218" i="26"/>
  <c r="K218" i="26"/>
  <c r="J218" i="26"/>
  <c r="I218" i="26"/>
  <c r="H218" i="26"/>
  <c r="F218" i="26"/>
  <c r="E218" i="26"/>
  <c r="AK217" i="26"/>
  <c r="AJ217" i="26"/>
  <c r="AI217" i="26"/>
  <c r="AM217" i="26" s="1"/>
  <c r="AH217" i="26"/>
  <c r="AL217" i="26" s="1"/>
  <c r="S217" i="26"/>
  <c r="Q217" i="26"/>
  <c r="K217" i="26"/>
  <c r="J217" i="26"/>
  <c r="I217" i="26"/>
  <c r="H217" i="26"/>
  <c r="F217" i="26"/>
  <c r="E217" i="26"/>
  <c r="AK216" i="26"/>
  <c r="AJ216" i="26"/>
  <c r="AI216" i="26"/>
  <c r="AM216" i="26" s="1"/>
  <c r="AH216" i="26"/>
  <c r="AL216" i="26" s="1"/>
  <c r="S216" i="26"/>
  <c r="Q216" i="26"/>
  <c r="K216" i="26"/>
  <c r="J216" i="26"/>
  <c r="I216" i="26"/>
  <c r="H216" i="26"/>
  <c r="F216" i="26"/>
  <c r="E216" i="26"/>
  <c r="AK215" i="26"/>
  <c r="AJ215" i="26"/>
  <c r="AI215" i="26"/>
  <c r="AM215" i="26" s="1"/>
  <c r="AH215" i="26"/>
  <c r="AL215" i="26" s="1"/>
  <c r="S215" i="26"/>
  <c r="Q215" i="26"/>
  <c r="K215" i="26"/>
  <c r="J215" i="26"/>
  <c r="I215" i="26"/>
  <c r="H215" i="26"/>
  <c r="F215" i="26"/>
  <c r="E215" i="26"/>
  <c r="AK214" i="26"/>
  <c r="AJ214" i="26"/>
  <c r="AI214" i="26"/>
  <c r="AM214" i="26" s="1"/>
  <c r="AH214" i="26"/>
  <c r="AL214" i="26" s="1"/>
  <c r="S214" i="26"/>
  <c r="Q214" i="26"/>
  <c r="K214" i="26"/>
  <c r="J214" i="26"/>
  <c r="I214" i="26"/>
  <c r="H214" i="26"/>
  <c r="F214" i="26"/>
  <c r="E214" i="26"/>
  <c r="AK213" i="26"/>
  <c r="AJ213" i="26"/>
  <c r="AI213" i="26"/>
  <c r="AM213" i="26" s="1"/>
  <c r="AH213" i="26"/>
  <c r="AL213" i="26" s="1"/>
  <c r="S213" i="26"/>
  <c r="Q213" i="26"/>
  <c r="K213" i="26"/>
  <c r="J213" i="26"/>
  <c r="I213" i="26"/>
  <c r="H213" i="26"/>
  <c r="F213" i="26"/>
  <c r="E213" i="26"/>
  <c r="AK212" i="26"/>
  <c r="AJ212" i="26"/>
  <c r="AI212" i="26"/>
  <c r="AM212" i="26" s="1"/>
  <c r="AH212" i="26"/>
  <c r="AL212" i="26" s="1"/>
  <c r="S212" i="26"/>
  <c r="Q212" i="26"/>
  <c r="K212" i="26"/>
  <c r="J212" i="26"/>
  <c r="I212" i="26"/>
  <c r="H212" i="26"/>
  <c r="F212" i="26"/>
  <c r="E212" i="26"/>
  <c r="AK211" i="26"/>
  <c r="AJ211" i="26"/>
  <c r="AI211" i="26"/>
  <c r="AM211" i="26" s="1"/>
  <c r="AH211" i="26"/>
  <c r="AL211" i="26" s="1"/>
  <c r="S211" i="26"/>
  <c r="Q211" i="26"/>
  <c r="K211" i="26"/>
  <c r="J211" i="26"/>
  <c r="I211" i="26"/>
  <c r="H211" i="26"/>
  <c r="F211" i="26"/>
  <c r="E211" i="26"/>
  <c r="AK210" i="26"/>
  <c r="AJ210" i="26"/>
  <c r="AI210" i="26"/>
  <c r="AM210" i="26" s="1"/>
  <c r="AH210" i="26"/>
  <c r="AL210" i="26" s="1"/>
  <c r="S210" i="26"/>
  <c r="Q210" i="26"/>
  <c r="K210" i="26"/>
  <c r="J210" i="26"/>
  <c r="I210" i="26"/>
  <c r="H210" i="26"/>
  <c r="F210" i="26"/>
  <c r="E210" i="26"/>
  <c r="AK209" i="26"/>
  <c r="AJ209" i="26"/>
  <c r="AI209" i="26"/>
  <c r="AM209" i="26" s="1"/>
  <c r="AH209" i="26"/>
  <c r="AL209" i="26" s="1"/>
  <c r="S209" i="26"/>
  <c r="Q209" i="26"/>
  <c r="K209" i="26"/>
  <c r="J209" i="26"/>
  <c r="I209" i="26"/>
  <c r="H209" i="26"/>
  <c r="F209" i="26"/>
  <c r="E209" i="26"/>
  <c r="AK208" i="26"/>
  <c r="AJ208" i="26"/>
  <c r="AI208" i="26"/>
  <c r="AM208" i="26" s="1"/>
  <c r="AH208" i="26"/>
  <c r="AL208" i="26" s="1"/>
  <c r="S208" i="26"/>
  <c r="Q208" i="26"/>
  <c r="J208" i="26"/>
  <c r="I208" i="26"/>
  <c r="H208" i="26"/>
  <c r="F208" i="26"/>
  <c r="E208" i="26"/>
  <c r="AK207" i="26"/>
  <c r="AJ207" i="26"/>
  <c r="AI207" i="26"/>
  <c r="AM207" i="26" s="1"/>
  <c r="AH207" i="26"/>
  <c r="AL207" i="26" s="1"/>
  <c r="S207" i="26"/>
  <c r="Q207" i="26"/>
  <c r="J207" i="26"/>
  <c r="I207" i="26"/>
  <c r="H207" i="26"/>
  <c r="F207" i="26"/>
  <c r="E207" i="26"/>
  <c r="AK206" i="26"/>
  <c r="AJ206" i="26"/>
  <c r="AI206" i="26"/>
  <c r="AM206" i="26" s="1"/>
  <c r="AH206" i="26"/>
  <c r="AL206" i="26" s="1"/>
  <c r="S206" i="26"/>
  <c r="Q206" i="26"/>
  <c r="K206" i="26"/>
  <c r="J206" i="26"/>
  <c r="I206" i="26"/>
  <c r="H206" i="26"/>
  <c r="F206" i="26"/>
  <c r="E206" i="26"/>
  <c r="AK205" i="26"/>
  <c r="AJ205" i="26"/>
  <c r="AI205" i="26"/>
  <c r="AM205" i="26" s="1"/>
  <c r="AH205" i="26"/>
  <c r="AL205" i="26" s="1"/>
  <c r="S205" i="26"/>
  <c r="Q205" i="26"/>
  <c r="K205" i="26"/>
  <c r="J205" i="26"/>
  <c r="I205" i="26"/>
  <c r="H205" i="26"/>
  <c r="F205" i="26"/>
  <c r="E205" i="26"/>
  <c r="AK204" i="26"/>
  <c r="AJ204" i="26"/>
  <c r="AI204" i="26"/>
  <c r="AM204" i="26" s="1"/>
  <c r="AH204" i="26"/>
  <c r="AL204" i="26" s="1"/>
  <c r="S204" i="26"/>
  <c r="Q204" i="26"/>
  <c r="J204" i="26"/>
  <c r="I204" i="26"/>
  <c r="H204" i="26"/>
  <c r="F204" i="26"/>
  <c r="E204" i="26"/>
  <c r="AK203" i="26"/>
  <c r="AJ203" i="26"/>
  <c r="AI203" i="26"/>
  <c r="AM203" i="26" s="1"/>
  <c r="AH203" i="26"/>
  <c r="AL203" i="26" s="1"/>
  <c r="S203" i="26"/>
  <c r="Q203" i="26"/>
  <c r="K203" i="26"/>
  <c r="J203" i="26"/>
  <c r="I203" i="26"/>
  <c r="H203" i="26"/>
  <c r="F203" i="26"/>
  <c r="E203" i="26"/>
  <c r="AK202" i="26"/>
  <c r="AJ202" i="26"/>
  <c r="AI202" i="26"/>
  <c r="AM202" i="26" s="1"/>
  <c r="AH202" i="26"/>
  <c r="AL202" i="26" s="1"/>
  <c r="S202" i="26"/>
  <c r="Q202" i="26"/>
  <c r="J202" i="26"/>
  <c r="I202" i="26"/>
  <c r="H202" i="26"/>
  <c r="F202" i="26"/>
  <c r="E202" i="26"/>
  <c r="AK201" i="26"/>
  <c r="AJ201" i="26"/>
  <c r="AI201" i="26"/>
  <c r="AM201" i="26" s="1"/>
  <c r="AH201" i="26"/>
  <c r="AL201" i="26" s="1"/>
  <c r="S201" i="26"/>
  <c r="Q201" i="26"/>
  <c r="J201" i="26"/>
  <c r="I201" i="26"/>
  <c r="H201" i="26"/>
  <c r="F201" i="26"/>
  <c r="E201" i="26"/>
  <c r="AJ200" i="26"/>
  <c r="AI200" i="26"/>
  <c r="AM200" i="26" s="1"/>
  <c r="AH200" i="26"/>
  <c r="AL200" i="26" s="1"/>
  <c r="S200" i="26"/>
  <c r="Q200" i="26"/>
  <c r="J200" i="26"/>
  <c r="I200" i="26"/>
  <c r="H200" i="26"/>
  <c r="F200" i="26"/>
  <c r="E200" i="26"/>
  <c r="AK199" i="26"/>
  <c r="AJ199" i="26"/>
  <c r="AI199" i="26"/>
  <c r="AM199" i="26" s="1"/>
  <c r="AH199" i="26"/>
  <c r="AL199" i="26" s="1"/>
  <c r="S199" i="26"/>
  <c r="Q199" i="26"/>
  <c r="J199" i="26"/>
  <c r="I199" i="26"/>
  <c r="H199" i="26"/>
  <c r="F199" i="26"/>
  <c r="E199" i="26"/>
  <c r="AK198" i="26"/>
  <c r="AJ198" i="26"/>
  <c r="AI198" i="26"/>
  <c r="AM198" i="26" s="1"/>
  <c r="AH198" i="26"/>
  <c r="AL198" i="26" s="1"/>
  <c r="S198" i="26"/>
  <c r="Q198" i="26"/>
  <c r="K198" i="26"/>
  <c r="J198" i="26"/>
  <c r="I198" i="26"/>
  <c r="H198" i="26"/>
  <c r="F198" i="26"/>
  <c r="E198" i="26"/>
  <c r="AK197" i="26"/>
  <c r="AJ197" i="26"/>
  <c r="AI197" i="26"/>
  <c r="AM197" i="26" s="1"/>
  <c r="AH197" i="26"/>
  <c r="AL197" i="26" s="1"/>
  <c r="S197" i="26"/>
  <c r="Q197" i="26"/>
  <c r="K197" i="26"/>
  <c r="J197" i="26"/>
  <c r="I197" i="26"/>
  <c r="H197" i="26"/>
  <c r="F197" i="26"/>
  <c r="E197" i="26"/>
  <c r="AJ196" i="26"/>
  <c r="AI196" i="26"/>
  <c r="AM196" i="26" s="1"/>
  <c r="AH196" i="26"/>
  <c r="AL196" i="26" s="1"/>
  <c r="S196" i="26"/>
  <c r="Q196" i="26"/>
  <c r="K196" i="26"/>
  <c r="J196" i="26"/>
  <c r="I196" i="26"/>
  <c r="H196" i="26"/>
  <c r="F196" i="26"/>
  <c r="E196" i="26"/>
  <c r="AK195" i="26"/>
  <c r="AJ195" i="26"/>
  <c r="AI195" i="26"/>
  <c r="AM195" i="26" s="1"/>
  <c r="AH195" i="26"/>
  <c r="AL195" i="26" s="1"/>
  <c r="S195" i="26"/>
  <c r="Q195" i="26"/>
  <c r="K195" i="26"/>
  <c r="J195" i="26"/>
  <c r="I195" i="26"/>
  <c r="H195" i="26"/>
  <c r="F195" i="26"/>
  <c r="E195" i="26"/>
  <c r="AK194" i="26"/>
  <c r="AJ194" i="26"/>
  <c r="AI194" i="26"/>
  <c r="AM194" i="26" s="1"/>
  <c r="AH194" i="26"/>
  <c r="AL194" i="26" s="1"/>
  <c r="S194" i="26"/>
  <c r="Q194" i="26"/>
  <c r="K194" i="26"/>
  <c r="J194" i="26"/>
  <c r="I194" i="26"/>
  <c r="H194" i="26"/>
  <c r="F194" i="26"/>
  <c r="E194" i="26"/>
  <c r="AK193" i="26"/>
  <c r="AJ193" i="26"/>
  <c r="AI193" i="26"/>
  <c r="AM193" i="26" s="1"/>
  <c r="AH193" i="26"/>
  <c r="AL193" i="26" s="1"/>
  <c r="S193" i="26"/>
  <c r="Q193" i="26"/>
  <c r="K193" i="26"/>
  <c r="J193" i="26"/>
  <c r="I193" i="26"/>
  <c r="H193" i="26"/>
  <c r="F193" i="26"/>
  <c r="E193" i="26"/>
  <c r="AK192" i="26"/>
  <c r="AJ192" i="26"/>
  <c r="AI192" i="26"/>
  <c r="AM192" i="26" s="1"/>
  <c r="AH192" i="26"/>
  <c r="AL192" i="26" s="1"/>
  <c r="S192" i="26"/>
  <c r="Q192" i="26"/>
  <c r="K192" i="26"/>
  <c r="J192" i="26"/>
  <c r="I192" i="26"/>
  <c r="H192" i="26"/>
  <c r="F192" i="26"/>
  <c r="E192" i="26"/>
  <c r="AK191" i="26"/>
  <c r="AJ191" i="26"/>
  <c r="AI191" i="26"/>
  <c r="AM191" i="26" s="1"/>
  <c r="AH191" i="26"/>
  <c r="AL191" i="26" s="1"/>
  <c r="S191" i="26"/>
  <c r="Q191" i="26"/>
  <c r="K191" i="26"/>
  <c r="J191" i="26"/>
  <c r="I191" i="26"/>
  <c r="H191" i="26"/>
  <c r="F191" i="26"/>
  <c r="E191" i="26"/>
  <c r="AK190" i="26"/>
  <c r="AJ190" i="26"/>
  <c r="AI190" i="26"/>
  <c r="AM190" i="26" s="1"/>
  <c r="AH190" i="26"/>
  <c r="AL190" i="26" s="1"/>
  <c r="S190" i="26"/>
  <c r="Q190" i="26"/>
  <c r="K190" i="26"/>
  <c r="J190" i="26"/>
  <c r="I190" i="26"/>
  <c r="H190" i="26"/>
  <c r="F190" i="26"/>
  <c r="E190" i="26"/>
  <c r="AK189" i="26"/>
  <c r="AJ189" i="26"/>
  <c r="AI189" i="26"/>
  <c r="AM189" i="26" s="1"/>
  <c r="AH189" i="26"/>
  <c r="AL189" i="26" s="1"/>
  <c r="S189" i="26"/>
  <c r="Q189" i="26"/>
  <c r="K189" i="26"/>
  <c r="J189" i="26"/>
  <c r="I189" i="26"/>
  <c r="H189" i="26"/>
  <c r="F189" i="26"/>
  <c r="E189" i="26"/>
  <c r="AK188" i="26"/>
  <c r="AJ188" i="26"/>
  <c r="AI188" i="26"/>
  <c r="AM188" i="26" s="1"/>
  <c r="AH188" i="26"/>
  <c r="AL188" i="26" s="1"/>
  <c r="S188" i="26"/>
  <c r="Q188" i="26"/>
  <c r="K188" i="26"/>
  <c r="J188" i="26"/>
  <c r="I188" i="26"/>
  <c r="H188" i="26"/>
  <c r="F188" i="26"/>
  <c r="E188" i="26"/>
  <c r="AK187" i="26"/>
  <c r="AJ187" i="26"/>
  <c r="AI187" i="26"/>
  <c r="AM187" i="26" s="1"/>
  <c r="AH187" i="26"/>
  <c r="AL187" i="26" s="1"/>
  <c r="S187" i="26"/>
  <c r="Q187" i="26"/>
  <c r="K187" i="26"/>
  <c r="J187" i="26"/>
  <c r="I187" i="26"/>
  <c r="H187" i="26"/>
  <c r="F187" i="26"/>
  <c r="E187" i="26"/>
  <c r="AK186" i="26"/>
  <c r="AJ186" i="26"/>
  <c r="AI186" i="26"/>
  <c r="AM186" i="26" s="1"/>
  <c r="AH186" i="26"/>
  <c r="AL186" i="26" s="1"/>
  <c r="S186" i="26"/>
  <c r="Q186" i="26"/>
  <c r="K186" i="26"/>
  <c r="J186" i="26"/>
  <c r="I186" i="26"/>
  <c r="H186" i="26"/>
  <c r="F186" i="26"/>
  <c r="E186" i="26"/>
  <c r="AJ185" i="26"/>
  <c r="AI185" i="26"/>
  <c r="AM185" i="26" s="1"/>
  <c r="AH185" i="26"/>
  <c r="AL185" i="26" s="1"/>
  <c r="S185" i="26"/>
  <c r="Q185" i="26"/>
  <c r="J185" i="26"/>
  <c r="I185" i="26"/>
  <c r="H185" i="26"/>
  <c r="F185" i="26"/>
  <c r="E185" i="26"/>
  <c r="AJ184" i="26"/>
  <c r="AI184" i="26"/>
  <c r="AM184" i="26" s="1"/>
  <c r="AH184" i="26"/>
  <c r="AL184" i="26" s="1"/>
  <c r="S184" i="26"/>
  <c r="Q184" i="26"/>
  <c r="J184" i="26"/>
  <c r="I184" i="26"/>
  <c r="H184" i="26"/>
  <c r="F184" i="26"/>
  <c r="E184" i="26"/>
  <c r="AK183" i="26"/>
  <c r="AJ183" i="26"/>
  <c r="AI183" i="26"/>
  <c r="AM183" i="26" s="1"/>
  <c r="AH183" i="26"/>
  <c r="AL183" i="26" s="1"/>
  <c r="S183" i="26"/>
  <c r="Q183" i="26"/>
  <c r="K183" i="26"/>
  <c r="J183" i="26"/>
  <c r="I183" i="26"/>
  <c r="H183" i="26"/>
  <c r="F183" i="26"/>
  <c r="E183" i="26"/>
  <c r="AK182" i="26"/>
  <c r="AJ182" i="26"/>
  <c r="AI182" i="26"/>
  <c r="AM182" i="26" s="1"/>
  <c r="AH182" i="26"/>
  <c r="AL182" i="26" s="1"/>
  <c r="S182" i="26"/>
  <c r="Q182" i="26"/>
  <c r="K182" i="26"/>
  <c r="J182" i="26"/>
  <c r="I182" i="26"/>
  <c r="H182" i="26"/>
  <c r="F182" i="26"/>
  <c r="E182" i="26"/>
  <c r="AK181" i="26"/>
  <c r="AJ181" i="26"/>
  <c r="AI181" i="26"/>
  <c r="AM181" i="26" s="1"/>
  <c r="AH181" i="26"/>
  <c r="AL181" i="26" s="1"/>
  <c r="S181" i="26"/>
  <c r="Q181" i="26"/>
  <c r="K181" i="26"/>
  <c r="J181" i="26"/>
  <c r="I181" i="26"/>
  <c r="H181" i="26"/>
  <c r="F181" i="26"/>
  <c r="E181" i="26"/>
  <c r="AK180" i="26"/>
  <c r="AJ180" i="26"/>
  <c r="AI180" i="26"/>
  <c r="AM180" i="26" s="1"/>
  <c r="AH180" i="26"/>
  <c r="AL180" i="26" s="1"/>
  <c r="S180" i="26"/>
  <c r="Q180" i="26"/>
  <c r="K180" i="26"/>
  <c r="J180" i="26"/>
  <c r="I180" i="26"/>
  <c r="H180" i="26"/>
  <c r="F180" i="26"/>
  <c r="E180" i="26"/>
  <c r="AK179" i="26"/>
  <c r="AJ179" i="26"/>
  <c r="AI179" i="26"/>
  <c r="AM179" i="26" s="1"/>
  <c r="AH179" i="26"/>
  <c r="AL179" i="26" s="1"/>
  <c r="S179" i="26"/>
  <c r="Q179" i="26"/>
  <c r="K179" i="26"/>
  <c r="J179" i="26"/>
  <c r="I179" i="26"/>
  <c r="H179" i="26"/>
  <c r="F179" i="26"/>
  <c r="E179" i="26"/>
  <c r="AJ178" i="26"/>
  <c r="AI178" i="26"/>
  <c r="AM178" i="26" s="1"/>
  <c r="AH178" i="26"/>
  <c r="AL178" i="26" s="1"/>
  <c r="S178" i="26"/>
  <c r="Q178" i="26"/>
  <c r="K178" i="26"/>
  <c r="J178" i="26"/>
  <c r="I178" i="26"/>
  <c r="H178" i="26"/>
  <c r="F178" i="26"/>
  <c r="E178" i="26"/>
  <c r="AK177" i="26"/>
  <c r="AJ177" i="26"/>
  <c r="AI177" i="26"/>
  <c r="AM177" i="26" s="1"/>
  <c r="AH177" i="26"/>
  <c r="AL177" i="26" s="1"/>
  <c r="S177" i="26"/>
  <c r="Q177" i="26"/>
  <c r="K177" i="26"/>
  <c r="J177" i="26"/>
  <c r="I177" i="26"/>
  <c r="H177" i="26"/>
  <c r="F177" i="26"/>
  <c r="E177" i="26"/>
  <c r="AK176" i="26"/>
  <c r="AJ176" i="26"/>
  <c r="AI176" i="26"/>
  <c r="AM176" i="26" s="1"/>
  <c r="AH176" i="26"/>
  <c r="AL176" i="26" s="1"/>
  <c r="S176" i="26"/>
  <c r="Q176" i="26"/>
  <c r="K176" i="26"/>
  <c r="J176" i="26"/>
  <c r="I176" i="26"/>
  <c r="H176" i="26"/>
  <c r="F176" i="26"/>
  <c r="E176" i="26"/>
  <c r="AK175" i="26"/>
  <c r="AJ175" i="26"/>
  <c r="AI175" i="26"/>
  <c r="AM175" i="26" s="1"/>
  <c r="AH175" i="26"/>
  <c r="AL175" i="26" s="1"/>
  <c r="S175" i="26"/>
  <c r="Q175" i="26"/>
  <c r="K175" i="26"/>
  <c r="J175" i="26"/>
  <c r="I175" i="26"/>
  <c r="H175" i="26"/>
  <c r="F175" i="26"/>
  <c r="E175" i="26"/>
  <c r="AK174" i="26"/>
  <c r="AJ174" i="26"/>
  <c r="AI174" i="26"/>
  <c r="AM174" i="26" s="1"/>
  <c r="AH174" i="26"/>
  <c r="AL174" i="26" s="1"/>
  <c r="S174" i="26"/>
  <c r="Q174" i="26"/>
  <c r="K174" i="26"/>
  <c r="J174" i="26"/>
  <c r="I174" i="26"/>
  <c r="H174" i="26"/>
  <c r="F174" i="26"/>
  <c r="E174" i="26"/>
  <c r="AK173" i="26"/>
  <c r="AJ173" i="26"/>
  <c r="AI173" i="26"/>
  <c r="AM173" i="26" s="1"/>
  <c r="AH173" i="26"/>
  <c r="AL173" i="26" s="1"/>
  <c r="S173" i="26"/>
  <c r="Q173" i="26"/>
  <c r="K173" i="26"/>
  <c r="J173" i="26"/>
  <c r="I173" i="26"/>
  <c r="H173" i="26"/>
  <c r="F173" i="26"/>
  <c r="E173" i="26"/>
  <c r="AK172" i="26"/>
  <c r="AJ172" i="26"/>
  <c r="AI172" i="26"/>
  <c r="AM172" i="26" s="1"/>
  <c r="AH172" i="26"/>
  <c r="AL172" i="26" s="1"/>
  <c r="S172" i="26"/>
  <c r="Q172" i="26"/>
  <c r="K172" i="26"/>
  <c r="J172" i="26"/>
  <c r="I172" i="26"/>
  <c r="H172" i="26"/>
  <c r="F172" i="26"/>
  <c r="E172" i="26"/>
  <c r="AK171" i="26"/>
  <c r="AJ171" i="26"/>
  <c r="AI171" i="26"/>
  <c r="AM171" i="26" s="1"/>
  <c r="AH171" i="26"/>
  <c r="AL171" i="26" s="1"/>
  <c r="S171" i="26"/>
  <c r="Q171" i="26"/>
  <c r="K171" i="26"/>
  <c r="J171" i="26"/>
  <c r="I171" i="26"/>
  <c r="H171" i="26"/>
  <c r="F171" i="26"/>
  <c r="E171" i="26"/>
  <c r="AK170" i="26"/>
  <c r="AJ170" i="26"/>
  <c r="AI170" i="26"/>
  <c r="AM170" i="26" s="1"/>
  <c r="AH170" i="26"/>
  <c r="AL170" i="26" s="1"/>
  <c r="S170" i="26"/>
  <c r="Q170" i="26"/>
  <c r="K170" i="26"/>
  <c r="J170" i="26"/>
  <c r="I170" i="26"/>
  <c r="H170" i="26"/>
  <c r="F170" i="26"/>
  <c r="E170" i="26"/>
  <c r="AK169" i="26"/>
  <c r="AJ169" i="26"/>
  <c r="AI169" i="26"/>
  <c r="AM169" i="26" s="1"/>
  <c r="AH169" i="26"/>
  <c r="AL169" i="26" s="1"/>
  <c r="S169" i="26"/>
  <c r="Q169" i="26"/>
  <c r="K169" i="26"/>
  <c r="J169" i="26"/>
  <c r="I169" i="26"/>
  <c r="H169" i="26"/>
  <c r="F169" i="26"/>
  <c r="E169" i="26"/>
  <c r="AK168" i="26"/>
  <c r="AJ168" i="26"/>
  <c r="AI168" i="26"/>
  <c r="AM168" i="26" s="1"/>
  <c r="AH168" i="26"/>
  <c r="AL168" i="26" s="1"/>
  <c r="S168" i="26"/>
  <c r="Q168" i="26"/>
  <c r="K168" i="26"/>
  <c r="J168" i="26"/>
  <c r="I168" i="26"/>
  <c r="H168" i="26"/>
  <c r="F168" i="26"/>
  <c r="E168" i="26"/>
  <c r="AK167" i="26"/>
  <c r="AJ167" i="26"/>
  <c r="AI167" i="26"/>
  <c r="AM167" i="26" s="1"/>
  <c r="AH167" i="26"/>
  <c r="AL167" i="26" s="1"/>
  <c r="S167" i="26"/>
  <c r="Q167" i="26"/>
  <c r="K167" i="26"/>
  <c r="J167" i="26"/>
  <c r="I167" i="26"/>
  <c r="H167" i="26"/>
  <c r="F167" i="26"/>
  <c r="E167" i="26"/>
  <c r="AK166" i="26"/>
  <c r="AJ166" i="26"/>
  <c r="AI166" i="26"/>
  <c r="AM166" i="26" s="1"/>
  <c r="AH166" i="26"/>
  <c r="AL166" i="26" s="1"/>
  <c r="S166" i="26"/>
  <c r="Q166" i="26"/>
  <c r="J166" i="26"/>
  <c r="I166" i="26"/>
  <c r="H166" i="26"/>
  <c r="F166" i="26"/>
  <c r="E166" i="26"/>
  <c r="AK165" i="26"/>
  <c r="AJ165" i="26"/>
  <c r="AI165" i="26"/>
  <c r="AM165" i="26" s="1"/>
  <c r="AH165" i="26"/>
  <c r="AL165" i="26" s="1"/>
  <c r="S165" i="26"/>
  <c r="Q165" i="26"/>
  <c r="K165" i="26"/>
  <c r="J165" i="26"/>
  <c r="I165" i="26"/>
  <c r="H165" i="26"/>
  <c r="F165" i="26"/>
  <c r="E165" i="26"/>
  <c r="AK164" i="26"/>
  <c r="AJ164" i="26"/>
  <c r="AI164" i="26"/>
  <c r="AM164" i="26" s="1"/>
  <c r="AH164" i="26"/>
  <c r="AL164" i="26" s="1"/>
  <c r="S164" i="26"/>
  <c r="Q164" i="26"/>
  <c r="K164" i="26"/>
  <c r="J164" i="26"/>
  <c r="I164" i="26"/>
  <c r="H164" i="26"/>
  <c r="F164" i="26"/>
  <c r="E164" i="26"/>
  <c r="AK163" i="26"/>
  <c r="AJ163" i="26"/>
  <c r="AI163" i="26"/>
  <c r="AM163" i="26" s="1"/>
  <c r="AH163" i="26"/>
  <c r="AL163" i="26" s="1"/>
  <c r="S163" i="26"/>
  <c r="Q163" i="26"/>
  <c r="K163" i="26"/>
  <c r="J163" i="26"/>
  <c r="I163" i="26"/>
  <c r="H163" i="26"/>
  <c r="F163" i="26"/>
  <c r="E163" i="26"/>
  <c r="AJ162" i="26"/>
  <c r="AI162" i="26"/>
  <c r="AM162" i="26" s="1"/>
  <c r="AH162" i="26"/>
  <c r="AL162" i="26" s="1"/>
  <c r="S162" i="26"/>
  <c r="Q162" i="26"/>
  <c r="J162" i="26"/>
  <c r="I162" i="26"/>
  <c r="H162" i="26"/>
  <c r="F162" i="26"/>
  <c r="E162" i="26"/>
  <c r="AJ161" i="26"/>
  <c r="AI161" i="26"/>
  <c r="AM161" i="26" s="1"/>
  <c r="AH161" i="26"/>
  <c r="AL161" i="26" s="1"/>
  <c r="S161" i="26"/>
  <c r="Q161" i="26"/>
  <c r="K161" i="26"/>
  <c r="J161" i="26"/>
  <c r="I161" i="26"/>
  <c r="H161" i="26"/>
  <c r="F161" i="26"/>
  <c r="E161" i="26"/>
  <c r="AJ160" i="26"/>
  <c r="AI160" i="26"/>
  <c r="AM160" i="26" s="1"/>
  <c r="AH160" i="26"/>
  <c r="AL160" i="26" s="1"/>
  <c r="S160" i="26"/>
  <c r="Q160" i="26"/>
  <c r="K160" i="26"/>
  <c r="J160" i="26"/>
  <c r="I160" i="26"/>
  <c r="H160" i="26"/>
  <c r="F160" i="26"/>
  <c r="E160" i="26"/>
  <c r="AK159" i="26"/>
  <c r="AJ159" i="26"/>
  <c r="AI159" i="26"/>
  <c r="AM159" i="26" s="1"/>
  <c r="AH159" i="26"/>
  <c r="AL159" i="26" s="1"/>
  <c r="S159" i="26"/>
  <c r="Q159" i="26"/>
  <c r="K159" i="26"/>
  <c r="J159" i="26"/>
  <c r="I159" i="26"/>
  <c r="H159" i="26"/>
  <c r="F159" i="26"/>
  <c r="E159" i="26"/>
  <c r="AK158" i="26"/>
  <c r="AJ158" i="26"/>
  <c r="AI158" i="26"/>
  <c r="AM158" i="26" s="1"/>
  <c r="AH158" i="26"/>
  <c r="AL158" i="26" s="1"/>
  <c r="S158" i="26"/>
  <c r="Q158" i="26"/>
  <c r="K158" i="26"/>
  <c r="J158" i="26"/>
  <c r="I158" i="26"/>
  <c r="H158" i="26"/>
  <c r="F158" i="26"/>
  <c r="E158" i="26"/>
  <c r="AK157" i="26"/>
  <c r="AJ157" i="26"/>
  <c r="AI157" i="26"/>
  <c r="AM157" i="26" s="1"/>
  <c r="AH157" i="26"/>
  <c r="AL157" i="26" s="1"/>
  <c r="S157" i="26"/>
  <c r="Q157" i="26"/>
  <c r="K157" i="26"/>
  <c r="J157" i="26"/>
  <c r="I157" i="26"/>
  <c r="H157" i="26"/>
  <c r="F157" i="26"/>
  <c r="E157" i="26"/>
  <c r="AJ156" i="26"/>
  <c r="AI156" i="26"/>
  <c r="AM156" i="26" s="1"/>
  <c r="AH156" i="26"/>
  <c r="AL156" i="26" s="1"/>
  <c r="S156" i="26"/>
  <c r="Q156" i="26"/>
  <c r="K156" i="26"/>
  <c r="J156" i="26"/>
  <c r="I156" i="26"/>
  <c r="H156" i="26"/>
  <c r="F156" i="26"/>
  <c r="E156" i="26"/>
  <c r="AK155" i="26"/>
  <c r="AJ155" i="26"/>
  <c r="AI155" i="26"/>
  <c r="AM155" i="26" s="1"/>
  <c r="AH155" i="26"/>
  <c r="AL155" i="26" s="1"/>
  <c r="S155" i="26"/>
  <c r="Q155" i="26"/>
  <c r="K155" i="26"/>
  <c r="J155" i="26"/>
  <c r="I155" i="26"/>
  <c r="H155" i="26"/>
  <c r="F155" i="26"/>
  <c r="E155" i="26"/>
  <c r="AK154" i="26"/>
  <c r="AJ154" i="26"/>
  <c r="AI154" i="26"/>
  <c r="AM154" i="26" s="1"/>
  <c r="AH154" i="26"/>
  <c r="AL154" i="26" s="1"/>
  <c r="S154" i="26"/>
  <c r="Q154" i="26"/>
  <c r="K154" i="26"/>
  <c r="J154" i="26"/>
  <c r="I154" i="26"/>
  <c r="H154" i="26"/>
  <c r="F154" i="26"/>
  <c r="E154" i="26"/>
  <c r="AK153" i="26"/>
  <c r="AJ153" i="26"/>
  <c r="AI153" i="26"/>
  <c r="AM153" i="26" s="1"/>
  <c r="AH153" i="26"/>
  <c r="AL153" i="26" s="1"/>
  <c r="S153" i="26"/>
  <c r="Q153" i="26"/>
  <c r="K153" i="26"/>
  <c r="J153" i="26"/>
  <c r="I153" i="26"/>
  <c r="H153" i="26"/>
  <c r="F153" i="26"/>
  <c r="E153" i="26"/>
  <c r="AK152" i="26"/>
  <c r="AJ152" i="26"/>
  <c r="AI152" i="26"/>
  <c r="AM152" i="26" s="1"/>
  <c r="AH152" i="26"/>
  <c r="AL152" i="26" s="1"/>
  <c r="S152" i="26"/>
  <c r="Q152" i="26"/>
  <c r="K152" i="26"/>
  <c r="J152" i="26"/>
  <c r="I152" i="26"/>
  <c r="H152" i="26"/>
  <c r="F152" i="26"/>
  <c r="E152" i="26"/>
  <c r="AK151" i="26"/>
  <c r="AJ151" i="26"/>
  <c r="AI151" i="26"/>
  <c r="AM151" i="26" s="1"/>
  <c r="AH151" i="26"/>
  <c r="AL151" i="26" s="1"/>
  <c r="S151" i="26"/>
  <c r="Q151" i="26"/>
  <c r="J151" i="26"/>
  <c r="I151" i="26"/>
  <c r="H151" i="26"/>
  <c r="F151" i="26"/>
  <c r="E151" i="26"/>
  <c r="AK150" i="26"/>
  <c r="AJ150" i="26"/>
  <c r="AI150" i="26"/>
  <c r="AM150" i="26" s="1"/>
  <c r="AH150" i="26"/>
  <c r="AL150" i="26" s="1"/>
  <c r="S150" i="26"/>
  <c r="Q150" i="26"/>
  <c r="J150" i="26"/>
  <c r="I150" i="26"/>
  <c r="H150" i="26"/>
  <c r="F150" i="26"/>
  <c r="E150" i="26"/>
  <c r="AK149" i="26"/>
  <c r="AJ149" i="26"/>
  <c r="AI149" i="26"/>
  <c r="AM149" i="26" s="1"/>
  <c r="AH149" i="26"/>
  <c r="AL149" i="26" s="1"/>
  <c r="S149" i="26"/>
  <c r="Q149" i="26"/>
  <c r="K149" i="26"/>
  <c r="J149" i="26"/>
  <c r="I149" i="26"/>
  <c r="H149" i="26"/>
  <c r="F149" i="26"/>
  <c r="E149" i="26"/>
  <c r="AK148" i="26"/>
  <c r="AJ148" i="26"/>
  <c r="AI148" i="26"/>
  <c r="AM148" i="26" s="1"/>
  <c r="AH148" i="26"/>
  <c r="AL148" i="26" s="1"/>
  <c r="S148" i="26"/>
  <c r="Q148" i="26"/>
  <c r="K148" i="26"/>
  <c r="J148" i="26"/>
  <c r="I148" i="26"/>
  <c r="H148" i="26"/>
  <c r="F148" i="26"/>
  <c r="E148" i="26"/>
  <c r="AK147" i="26"/>
  <c r="AJ147" i="26"/>
  <c r="AI147" i="26"/>
  <c r="AM147" i="26" s="1"/>
  <c r="AH147" i="26"/>
  <c r="AL147" i="26" s="1"/>
  <c r="S147" i="26"/>
  <c r="Q147" i="26"/>
  <c r="K147" i="26"/>
  <c r="J147" i="26"/>
  <c r="I147" i="26"/>
  <c r="H147" i="26"/>
  <c r="F147" i="26"/>
  <c r="E147" i="26"/>
  <c r="AK146" i="26"/>
  <c r="AJ146" i="26"/>
  <c r="AI146" i="26"/>
  <c r="AM146" i="26" s="1"/>
  <c r="AH146" i="26"/>
  <c r="AL146" i="26" s="1"/>
  <c r="S146" i="26"/>
  <c r="Q146" i="26"/>
  <c r="K146" i="26"/>
  <c r="J146" i="26"/>
  <c r="I146" i="26"/>
  <c r="H146" i="26"/>
  <c r="F146" i="26"/>
  <c r="E146" i="26"/>
  <c r="AK145" i="26"/>
  <c r="AJ145" i="26"/>
  <c r="AI145" i="26"/>
  <c r="AM145" i="26" s="1"/>
  <c r="AH145" i="26"/>
  <c r="AL145" i="26" s="1"/>
  <c r="S145" i="26"/>
  <c r="Q145" i="26"/>
  <c r="K145" i="26"/>
  <c r="J145" i="26"/>
  <c r="I145" i="26"/>
  <c r="H145" i="26"/>
  <c r="F145" i="26"/>
  <c r="E145" i="26"/>
  <c r="AK144" i="26"/>
  <c r="AJ144" i="26"/>
  <c r="AI144" i="26"/>
  <c r="AM144" i="26" s="1"/>
  <c r="AH144" i="26"/>
  <c r="AL144" i="26" s="1"/>
  <c r="S144" i="26"/>
  <c r="Q144" i="26"/>
  <c r="J144" i="26"/>
  <c r="I144" i="26"/>
  <c r="H144" i="26"/>
  <c r="F144" i="26"/>
  <c r="E144" i="26"/>
  <c r="AK143" i="26"/>
  <c r="AJ143" i="26"/>
  <c r="AI143" i="26"/>
  <c r="AM143" i="26" s="1"/>
  <c r="AH143" i="26"/>
  <c r="AL143" i="26" s="1"/>
  <c r="S143" i="26"/>
  <c r="Q143" i="26"/>
  <c r="K143" i="26"/>
  <c r="J143" i="26"/>
  <c r="I143" i="26"/>
  <c r="H143" i="26"/>
  <c r="F143" i="26"/>
  <c r="E143" i="26"/>
  <c r="AK142" i="26"/>
  <c r="AJ142" i="26"/>
  <c r="AI142" i="26"/>
  <c r="AM142" i="26" s="1"/>
  <c r="AH142" i="26"/>
  <c r="AL142" i="26" s="1"/>
  <c r="S142" i="26"/>
  <c r="Q142" i="26"/>
  <c r="K142" i="26"/>
  <c r="J142" i="26"/>
  <c r="I142" i="26"/>
  <c r="H142" i="26"/>
  <c r="F142" i="26"/>
  <c r="E142" i="26"/>
  <c r="AK141" i="26"/>
  <c r="AJ141" i="26"/>
  <c r="AI141" i="26"/>
  <c r="AM141" i="26" s="1"/>
  <c r="AH141" i="26"/>
  <c r="AL141" i="26" s="1"/>
  <c r="S141" i="26"/>
  <c r="Q141" i="26"/>
  <c r="K141" i="26"/>
  <c r="J141" i="26"/>
  <c r="I141" i="26"/>
  <c r="H141" i="26"/>
  <c r="F141" i="26"/>
  <c r="E141" i="26"/>
  <c r="AK140" i="26"/>
  <c r="AJ140" i="26"/>
  <c r="AI140" i="26"/>
  <c r="AM140" i="26" s="1"/>
  <c r="AH140" i="26"/>
  <c r="AL140" i="26" s="1"/>
  <c r="S140" i="26"/>
  <c r="Q140" i="26"/>
  <c r="K140" i="26"/>
  <c r="J140" i="26"/>
  <c r="I140" i="26"/>
  <c r="H140" i="26"/>
  <c r="F140" i="26"/>
  <c r="E140" i="26"/>
  <c r="AK139" i="26"/>
  <c r="AJ139" i="26"/>
  <c r="AI139" i="26"/>
  <c r="AM139" i="26" s="1"/>
  <c r="AH139" i="26"/>
  <c r="AL139" i="26" s="1"/>
  <c r="S139" i="26"/>
  <c r="Q139" i="26"/>
  <c r="K139" i="26"/>
  <c r="J139" i="26"/>
  <c r="I139" i="26"/>
  <c r="H139" i="26"/>
  <c r="F139" i="26"/>
  <c r="E139" i="26"/>
  <c r="AK138" i="26"/>
  <c r="AJ138" i="26"/>
  <c r="AI138" i="26"/>
  <c r="AM138" i="26" s="1"/>
  <c r="AH138" i="26"/>
  <c r="AL138" i="26" s="1"/>
  <c r="S138" i="26"/>
  <c r="Q138" i="26"/>
  <c r="K138" i="26"/>
  <c r="J138" i="26"/>
  <c r="I138" i="26"/>
  <c r="H138" i="26"/>
  <c r="F138" i="26"/>
  <c r="E138" i="26"/>
  <c r="AK137" i="26"/>
  <c r="AJ137" i="26"/>
  <c r="AI137" i="26"/>
  <c r="AM137" i="26" s="1"/>
  <c r="AH137" i="26"/>
  <c r="AL137" i="26" s="1"/>
  <c r="S137" i="26"/>
  <c r="Q137" i="26"/>
  <c r="K137" i="26"/>
  <c r="J137" i="26"/>
  <c r="I137" i="26"/>
  <c r="H137" i="26"/>
  <c r="F137" i="26"/>
  <c r="E137" i="26"/>
  <c r="AK136" i="26"/>
  <c r="AJ136" i="26"/>
  <c r="AI136" i="26"/>
  <c r="AM136" i="26" s="1"/>
  <c r="AH136" i="26"/>
  <c r="AL136" i="26" s="1"/>
  <c r="S136" i="26"/>
  <c r="Q136" i="26"/>
  <c r="K136" i="26"/>
  <c r="J136" i="26"/>
  <c r="I136" i="26"/>
  <c r="H136" i="26"/>
  <c r="F136" i="26"/>
  <c r="E136" i="26"/>
  <c r="AK135" i="26"/>
  <c r="AJ135" i="26"/>
  <c r="AI135" i="26"/>
  <c r="AM135" i="26" s="1"/>
  <c r="AH135" i="26"/>
  <c r="AL135" i="26" s="1"/>
  <c r="S135" i="26"/>
  <c r="Q135" i="26"/>
  <c r="K135" i="26"/>
  <c r="J135" i="26"/>
  <c r="I135" i="26"/>
  <c r="H135" i="26"/>
  <c r="F135" i="26"/>
  <c r="E135" i="26"/>
  <c r="AK134" i="26"/>
  <c r="AJ134" i="26"/>
  <c r="AI134" i="26"/>
  <c r="AM134" i="26" s="1"/>
  <c r="AH134" i="26"/>
  <c r="AL134" i="26" s="1"/>
  <c r="S134" i="26"/>
  <c r="Q134" i="26"/>
  <c r="K134" i="26"/>
  <c r="J134" i="26"/>
  <c r="I134" i="26"/>
  <c r="H134" i="26"/>
  <c r="F134" i="26"/>
  <c r="E134" i="26"/>
  <c r="AK133" i="26"/>
  <c r="AJ133" i="26"/>
  <c r="AI133" i="26"/>
  <c r="AM133" i="26" s="1"/>
  <c r="AH133" i="26"/>
  <c r="AL133" i="26" s="1"/>
  <c r="S133" i="26"/>
  <c r="Q133" i="26"/>
  <c r="K133" i="26"/>
  <c r="J133" i="26"/>
  <c r="I133" i="26"/>
  <c r="H133" i="26"/>
  <c r="F133" i="26"/>
  <c r="E133" i="26"/>
  <c r="AK132" i="26"/>
  <c r="AJ132" i="26"/>
  <c r="AI132" i="26"/>
  <c r="AM132" i="26" s="1"/>
  <c r="AH132" i="26"/>
  <c r="AL132" i="26" s="1"/>
  <c r="S132" i="26"/>
  <c r="Q132" i="26"/>
  <c r="K132" i="26"/>
  <c r="J132" i="26"/>
  <c r="I132" i="26"/>
  <c r="H132" i="26"/>
  <c r="F132" i="26"/>
  <c r="E132" i="26"/>
  <c r="AJ131" i="26"/>
  <c r="AI131" i="26"/>
  <c r="AM131" i="26" s="1"/>
  <c r="AH131" i="26"/>
  <c r="AL131" i="26" s="1"/>
  <c r="S131" i="26"/>
  <c r="Q131" i="26"/>
  <c r="K131" i="26"/>
  <c r="J131" i="26"/>
  <c r="I131" i="26"/>
  <c r="H131" i="26"/>
  <c r="F131" i="26"/>
  <c r="E131" i="26"/>
  <c r="AK130" i="26"/>
  <c r="AJ130" i="26"/>
  <c r="AI130" i="26"/>
  <c r="AM130" i="26" s="1"/>
  <c r="AH130" i="26"/>
  <c r="AL130" i="26" s="1"/>
  <c r="S130" i="26"/>
  <c r="Q130" i="26"/>
  <c r="K130" i="26"/>
  <c r="J130" i="26"/>
  <c r="I130" i="26"/>
  <c r="H130" i="26"/>
  <c r="F130" i="26"/>
  <c r="E130" i="26"/>
  <c r="AK129" i="26"/>
  <c r="AJ129" i="26"/>
  <c r="AI129" i="26"/>
  <c r="AM129" i="26" s="1"/>
  <c r="AH129" i="26"/>
  <c r="AL129" i="26" s="1"/>
  <c r="S129" i="26"/>
  <c r="Q129" i="26"/>
  <c r="K129" i="26"/>
  <c r="J129" i="26"/>
  <c r="I129" i="26"/>
  <c r="H129" i="26"/>
  <c r="F129" i="26"/>
  <c r="E129" i="26"/>
  <c r="AK128" i="26"/>
  <c r="AJ128" i="26"/>
  <c r="AI128" i="26"/>
  <c r="AM128" i="26" s="1"/>
  <c r="AH128" i="26"/>
  <c r="AL128" i="26" s="1"/>
  <c r="S128" i="26"/>
  <c r="Q128" i="26"/>
  <c r="J128" i="26"/>
  <c r="I128" i="26"/>
  <c r="H128" i="26"/>
  <c r="F128" i="26"/>
  <c r="E128" i="26"/>
  <c r="AK127" i="26"/>
  <c r="AJ127" i="26"/>
  <c r="AI127" i="26"/>
  <c r="AM127" i="26" s="1"/>
  <c r="AH127" i="26"/>
  <c r="AL127" i="26" s="1"/>
  <c r="S127" i="26"/>
  <c r="Q127" i="26"/>
  <c r="J127" i="26"/>
  <c r="I127" i="26"/>
  <c r="H127" i="26"/>
  <c r="F127" i="26"/>
  <c r="E127" i="26"/>
  <c r="AJ126" i="26"/>
  <c r="AI126" i="26"/>
  <c r="AM126" i="26" s="1"/>
  <c r="AH126" i="26"/>
  <c r="AL126" i="26" s="1"/>
  <c r="S126" i="26"/>
  <c r="Q126" i="26"/>
  <c r="J126" i="26"/>
  <c r="I126" i="26"/>
  <c r="H126" i="26"/>
  <c r="F126" i="26"/>
  <c r="E126" i="26"/>
  <c r="AK125" i="26"/>
  <c r="AJ125" i="26"/>
  <c r="AI125" i="26"/>
  <c r="AM125" i="26" s="1"/>
  <c r="AH125" i="26"/>
  <c r="AL125" i="26" s="1"/>
  <c r="S125" i="26"/>
  <c r="Q125" i="26"/>
  <c r="K125" i="26"/>
  <c r="J125" i="26"/>
  <c r="I125" i="26"/>
  <c r="H125" i="26"/>
  <c r="F125" i="26"/>
  <c r="E125" i="26"/>
  <c r="AK124" i="26"/>
  <c r="AJ124" i="26"/>
  <c r="AI124" i="26"/>
  <c r="AM124" i="26" s="1"/>
  <c r="AH124" i="26"/>
  <c r="AL124" i="26" s="1"/>
  <c r="S124" i="26"/>
  <c r="Q124" i="26"/>
  <c r="K124" i="26"/>
  <c r="J124" i="26"/>
  <c r="I124" i="26"/>
  <c r="H124" i="26"/>
  <c r="F124" i="26"/>
  <c r="E124" i="26"/>
  <c r="AJ123" i="26"/>
  <c r="AI123" i="26"/>
  <c r="AM123" i="26" s="1"/>
  <c r="AH123" i="26"/>
  <c r="AL123" i="26" s="1"/>
  <c r="S123" i="26"/>
  <c r="Q123" i="26"/>
  <c r="K123" i="26"/>
  <c r="J123" i="26"/>
  <c r="I123" i="26"/>
  <c r="H123" i="26"/>
  <c r="F123" i="26"/>
  <c r="E123" i="26"/>
  <c r="AJ122" i="26"/>
  <c r="AI122" i="26"/>
  <c r="AM122" i="26" s="1"/>
  <c r="AH122" i="26"/>
  <c r="AL122" i="26" s="1"/>
  <c r="S122" i="26"/>
  <c r="Q122" i="26"/>
  <c r="J122" i="26"/>
  <c r="I122" i="26"/>
  <c r="H122" i="26"/>
  <c r="F122" i="26"/>
  <c r="E122" i="26"/>
  <c r="AK121" i="26"/>
  <c r="AJ121" i="26"/>
  <c r="AI121" i="26"/>
  <c r="AM121" i="26" s="1"/>
  <c r="AH121" i="26"/>
  <c r="AL121" i="26" s="1"/>
  <c r="S121" i="26"/>
  <c r="Q121" i="26"/>
  <c r="K121" i="26"/>
  <c r="J121" i="26"/>
  <c r="I121" i="26"/>
  <c r="H121" i="26"/>
  <c r="F121" i="26"/>
  <c r="E121" i="26"/>
  <c r="AK120" i="26"/>
  <c r="AJ120" i="26"/>
  <c r="AI120" i="26"/>
  <c r="AM120" i="26" s="1"/>
  <c r="AH120" i="26"/>
  <c r="AL120" i="26" s="1"/>
  <c r="S120" i="26"/>
  <c r="Q120" i="26"/>
  <c r="K120" i="26"/>
  <c r="J120" i="26"/>
  <c r="I120" i="26"/>
  <c r="H120" i="26"/>
  <c r="F120" i="26"/>
  <c r="E120" i="26"/>
  <c r="AJ119" i="26"/>
  <c r="AI119" i="26"/>
  <c r="AM119" i="26" s="1"/>
  <c r="AH119" i="26"/>
  <c r="AL119" i="26" s="1"/>
  <c r="S119" i="26"/>
  <c r="Q119" i="26"/>
  <c r="K119" i="26"/>
  <c r="J119" i="26"/>
  <c r="I119" i="26"/>
  <c r="H119" i="26"/>
  <c r="F119" i="26"/>
  <c r="E119" i="26"/>
  <c r="AK118" i="26"/>
  <c r="AJ118" i="26"/>
  <c r="AI118" i="26"/>
  <c r="AM118" i="26" s="1"/>
  <c r="AH118" i="26"/>
  <c r="AL118" i="26" s="1"/>
  <c r="S118" i="26"/>
  <c r="Q118" i="26"/>
  <c r="K118" i="26"/>
  <c r="J118" i="26"/>
  <c r="I118" i="26"/>
  <c r="H118" i="26"/>
  <c r="F118" i="26"/>
  <c r="E118" i="26"/>
  <c r="AK117" i="26"/>
  <c r="AJ117" i="26"/>
  <c r="AI117" i="26"/>
  <c r="AM117" i="26" s="1"/>
  <c r="AH117" i="26"/>
  <c r="AL117" i="26" s="1"/>
  <c r="S117" i="26"/>
  <c r="Q117" i="26"/>
  <c r="K117" i="26"/>
  <c r="J117" i="26"/>
  <c r="I117" i="26"/>
  <c r="H117" i="26"/>
  <c r="F117" i="26"/>
  <c r="E117" i="26"/>
  <c r="AJ116" i="26"/>
  <c r="AI116" i="26"/>
  <c r="AM116" i="26" s="1"/>
  <c r="AH116" i="26"/>
  <c r="AL116" i="26" s="1"/>
  <c r="S116" i="26"/>
  <c r="Q116" i="26"/>
  <c r="K116" i="26"/>
  <c r="J116" i="26"/>
  <c r="I116" i="26"/>
  <c r="H116" i="26"/>
  <c r="F116" i="26"/>
  <c r="E116" i="26"/>
  <c r="AK115" i="26"/>
  <c r="AJ115" i="26"/>
  <c r="AI115" i="26"/>
  <c r="AM115" i="26" s="1"/>
  <c r="AH115" i="26"/>
  <c r="AL115" i="26" s="1"/>
  <c r="S115" i="26"/>
  <c r="Q115" i="26"/>
  <c r="K115" i="26"/>
  <c r="J115" i="26"/>
  <c r="I115" i="26"/>
  <c r="H115" i="26"/>
  <c r="F115" i="26"/>
  <c r="E115" i="26"/>
  <c r="AK114" i="26"/>
  <c r="AJ114" i="26"/>
  <c r="AI114" i="26"/>
  <c r="AM114" i="26" s="1"/>
  <c r="AH114" i="26"/>
  <c r="AL114" i="26" s="1"/>
  <c r="S114" i="26"/>
  <c r="Q114" i="26"/>
  <c r="K114" i="26"/>
  <c r="J114" i="26"/>
  <c r="I114" i="26"/>
  <c r="H114" i="26"/>
  <c r="F114" i="26"/>
  <c r="E114" i="26"/>
  <c r="AK113" i="26"/>
  <c r="AJ113" i="26"/>
  <c r="AI113" i="26"/>
  <c r="AM113" i="26" s="1"/>
  <c r="AH113" i="26"/>
  <c r="AL113" i="26" s="1"/>
  <c r="S113" i="26"/>
  <c r="Q113" i="26"/>
  <c r="K113" i="26"/>
  <c r="J113" i="26"/>
  <c r="I113" i="26"/>
  <c r="H113" i="26"/>
  <c r="F113" i="26"/>
  <c r="E113" i="26"/>
  <c r="AK112" i="26"/>
  <c r="AJ112" i="26"/>
  <c r="AI112" i="26"/>
  <c r="AM112" i="26" s="1"/>
  <c r="AH112" i="26"/>
  <c r="AL112" i="26" s="1"/>
  <c r="S112" i="26"/>
  <c r="Q112" i="26"/>
  <c r="K112" i="26"/>
  <c r="J112" i="26"/>
  <c r="I112" i="26"/>
  <c r="H112" i="26"/>
  <c r="F112" i="26"/>
  <c r="E112" i="26"/>
  <c r="AK111" i="26"/>
  <c r="AJ111" i="26"/>
  <c r="AI111" i="26"/>
  <c r="AM111" i="26" s="1"/>
  <c r="AH111" i="26"/>
  <c r="AL111" i="26" s="1"/>
  <c r="S111" i="26"/>
  <c r="Q111" i="26"/>
  <c r="K111" i="26"/>
  <c r="J111" i="26"/>
  <c r="I111" i="26"/>
  <c r="H111" i="26"/>
  <c r="F111" i="26"/>
  <c r="E111" i="26"/>
  <c r="AK110" i="26"/>
  <c r="AJ110" i="26"/>
  <c r="AI110" i="26"/>
  <c r="AM110" i="26" s="1"/>
  <c r="AH110" i="26"/>
  <c r="AL110" i="26" s="1"/>
  <c r="S110" i="26"/>
  <c r="Q110" i="26"/>
  <c r="K110" i="26"/>
  <c r="J110" i="26"/>
  <c r="I110" i="26"/>
  <c r="H110" i="26"/>
  <c r="F110" i="26"/>
  <c r="E110" i="26"/>
  <c r="AK109" i="26"/>
  <c r="AJ109" i="26"/>
  <c r="AI109" i="26"/>
  <c r="AM109" i="26" s="1"/>
  <c r="AH109" i="26"/>
  <c r="AL109" i="26" s="1"/>
  <c r="S109" i="26"/>
  <c r="Q109" i="26"/>
  <c r="K109" i="26"/>
  <c r="J109" i="26"/>
  <c r="I109" i="26"/>
  <c r="H109" i="26"/>
  <c r="F109" i="26"/>
  <c r="E109" i="26"/>
  <c r="AK108" i="26"/>
  <c r="AJ108" i="26"/>
  <c r="AI108" i="26"/>
  <c r="AM108" i="26" s="1"/>
  <c r="AH108" i="26"/>
  <c r="AL108" i="26" s="1"/>
  <c r="S108" i="26"/>
  <c r="Q108" i="26"/>
  <c r="K108" i="26"/>
  <c r="J108" i="26"/>
  <c r="I108" i="26"/>
  <c r="H108" i="26"/>
  <c r="F108" i="26"/>
  <c r="E108" i="26"/>
  <c r="AK107" i="26"/>
  <c r="AJ107" i="26"/>
  <c r="AI107" i="26"/>
  <c r="AM107" i="26" s="1"/>
  <c r="AH107" i="26"/>
  <c r="AL107" i="26" s="1"/>
  <c r="S107" i="26"/>
  <c r="Q107" i="26"/>
  <c r="K107" i="26"/>
  <c r="J107" i="26"/>
  <c r="I107" i="26"/>
  <c r="H107" i="26"/>
  <c r="F107" i="26"/>
  <c r="E107" i="26"/>
  <c r="AK106" i="26"/>
  <c r="AJ106" i="26"/>
  <c r="AI106" i="26"/>
  <c r="AM106" i="26" s="1"/>
  <c r="AH106" i="26"/>
  <c r="AL106" i="26" s="1"/>
  <c r="S106" i="26"/>
  <c r="Q106" i="26"/>
  <c r="K106" i="26"/>
  <c r="J106" i="26"/>
  <c r="I106" i="26"/>
  <c r="H106" i="26"/>
  <c r="F106" i="26"/>
  <c r="E106" i="26"/>
  <c r="AK105" i="26"/>
  <c r="AJ105" i="26"/>
  <c r="AI105" i="26"/>
  <c r="AM105" i="26" s="1"/>
  <c r="AH105" i="26"/>
  <c r="AL105" i="26" s="1"/>
  <c r="S105" i="26"/>
  <c r="Q105" i="26"/>
  <c r="K105" i="26"/>
  <c r="J105" i="26"/>
  <c r="I105" i="26"/>
  <c r="H105" i="26"/>
  <c r="F105" i="26"/>
  <c r="E105" i="26"/>
  <c r="AK104" i="26"/>
  <c r="AJ104" i="26"/>
  <c r="AI104" i="26"/>
  <c r="AM104" i="26" s="1"/>
  <c r="AH104" i="26"/>
  <c r="AL104" i="26" s="1"/>
  <c r="S104" i="26"/>
  <c r="Q104" i="26"/>
  <c r="K104" i="26"/>
  <c r="J104" i="26"/>
  <c r="I104" i="26"/>
  <c r="H104" i="26"/>
  <c r="F104" i="26"/>
  <c r="E104" i="26"/>
  <c r="AK103" i="26"/>
  <c r="AJ103" i="26"/>
  <c r="AI103" i="26"/>
  <c r="AM103" i="26" s="1"/>
  <c r="AH103" i="26"/>
  <c r="AL103" i="26" s="1"/>
  <c r="S103" i="26"/>
  <c r="Q103" i="26"/>
  <c r="K103" i="26"/>
  <c r="J103" i="26"/>
  <c r="I103" i="26"/>
  <c r="H103" i="26"/>
  <c r="F103" i="26"/>
  <c r="E103" i="26"/>
  <c r="AK102" i="26"/>
  <c r="AJ102" i="26"/>
  <c r="AI102" i="26"/>
  <c r="AM102" i="26" s="1"/>
  <c r="AH102" i="26"/>
  <c r="AL102" i="26" s="1"/>
  <c r="S102" i="26"/>
  <c r="Q102" i="26"/>
  <c r="K102" i="26"/>
  <c r="J102" i="26"/>
  <c r="I102" i="26"/>
  <c r="H102" i="26"/>
  <c r="F102" i="26"/>
  <c r="E102" i="26"/>
  <c r="AK101" i="26"/>
  <c r="AJ101" i="26"/>
  <c r="AI101" i="26"/>
  <c r="AM101" i="26" s="1"/>
  <c r="AH101" i="26"/>
  <c r="AL101" i="26" s="1"/>
  <c r="S101" i="26"/>
  <c r="Q101" i="26"/>
  <c r="K101" i="26"/>
  <c r="J101" i="26"/>
  <c r="I101" i="26"/>
  <c r="H101" i="26"/>
  <c r="F101" i="26"/>
  <c r="E101" i="26"/>
  <c r="AK100" i="26"/>
  <c r="AJ100" i="26"/>
  <c r="AI100" i="26"/>
  <c r="AM100" i="26" s="1"/>
  <c r="AH100" i="26"/>
  <c r="AL100" i="26" s="1"/>
  <c r="S100" i="26"/>
  <c r="Q100" i="26"/>
  <c r="K100" i="26"/>
  <c r="J100" i="26"/>
  <c r="I100" i="26"/>
  <c r="H100" i="26"/>
  <c r="F100" i="26"/>
  <c r="E100" i="26"/>
  <c r="AJ99" i="26"/>
  <c r="AI99" i="26"/>
  <c r="AM99" i="26" s="1"/>
  <c r="AH99" i="26"/>
  <c r="AL99" i="26" s="1"/>
  <c r="S99" i="26"/>
  <c r="Q99" i="26"/>
  <c r="K99" i="26"/>
  <c r="J99" i="26"/>
  <c r="I99" i="26"/>
  <c r="H99" i="26"/>
  <c r="F99" i="26"/>
  <c r="E99" i="26"/>
  <c r="AK98" i="26"/>
  <c r="AJ98" i="26"/>
  <c r="AI98" i="26"/>
  <c r="AM98" i="26" s="1"/>
  <c r="AH98" i="26"/>
  <c r="AL98" i="26" s="1"/>
  <c r="S98" i="26"/>
  <c r="Q98" i="26"/>
  <c r="K98" i="26"/>
  <c r="J98" i="26"/>
  <c r="I98" i="26"/>
  <c r="H98" i="26"/>
  <c r="F98" i="26"/>
  <c r="E98" i="26"/>
  <c r="AK97" i="26"/>
  <c r="AJ97" i="26"/>
  <c r="AI97" i="26"/>
  <c r="AM97" i="26" s="1"/>
  <c r="AH97" i="26"/>
  <c r="AL97" i="26" s="1"/>
  <c r="S97" i="26"/>
  <c r="Q97" i="26"/>
  <c r="J97" i="26"/>
  <c r="I97" i="26"/>
  <c r="H97" i="26"/>
  <c r="F97" i="26"/>
  <c r="E97" i="26"/>
  <c r="AJ96" i="26"/>
  <c r="AI96" i="26"/>
  <c r="AM96" i="26" s="1"/>
  <c r="AH96" i="26"/>
  <c r="AL96" i="26" s="1"/>
  <c r="S96" i="26"/>
  <c r="Q96" i="26"/>
  <c r="K96" i="26"/>
  <c r="J96" i="26"/>
  <c r="I96" i="26"/>
  <c r="H96" i="26"/>
  <c r="F96" i="26"/>
  <c r="E96" i="26"/>
  <c r="AK95" i="26"/>
  <c r="AJ95" i="26"/>
  <c r="AI95" i="26"/>
  <c r="AM95" i="26" s="1"/>
  <c r="AH95" i="26"/>
  <c r="AL95" i="26" s="1"/>
  <c r="S95" i="26"/>
  <c r="Q95" i="26"/>
  <c r="K95" i="26"/>
  <c r="J95" i="26"/>
  <c r="I95" i="26"/>
  <c r="H95" i="26"/>
  <c r="F95" i="26"/>
  <c r="E95" i="26"/>
  <c r="AK94" i="26"/>
  <c r="AJ94" i="26"/>
  <c r="AI94" i="26"/>
  <c r="AM94" i="26" s="1"/>
  <c r="AH94" i="26"/>
  <c r="AL94" i="26" s="1"/>
  <c r="S94" i="26"/>
  <c r="Q94" i="26"/>
  <c r="K94" i="26"/>
  <c r="J94" i="26"/>
  <c r="I94" i="26"/>
  <c r="H94" i="26"/>
  <c r="F94" i="26"/>
  <c r="E94" i="26"/>
  <c r="AK93" i="26"/>
  <c r="AJ93" i="26"/>
  <c r="AI93" i="26"/>
  <c r="AM93" i="26" s="1"/>
  <c r="AH93" i="26"/>
  <c r="AL93" i="26" s="1"/>
  <c r="S93" i="26"/>
  <c r="Q93" i="26"/>
  <c r="K93" i="26"/>
  <c r="J93" i="26"/>
  <c r="I93" i="26"/>
  <c r="H93" i="26"/>
  <c r="F93" i="26"/>
  <c r="E93" i="26"/>
  <c r="AK92" i="26"/>
  <c r="AJ92" i="26"/>
  <c r="AI92" i="26"/>
  <c r="AM92" i="26" s="1"/>
  <c r="AH92" i="26"/>
  <c r="AL92" i="26" s="1"/>
  <c r="S92" i="26"/>
  <c r="Q92" i="26"/>
  <c r="J92" i="26"/>
  <c r="I92" i="26"/>
  <c r="H92" i="26"/>
  <c r="F92" i="26"/>
  <c r="E92" i="26"/>
  <c r="AK91" i="26"/>
  <c r="AJ91" i="26"/>
  <c r="AI91" i="26"/>
  <c r="AM91" i="26" s="1"/>
  <c r="AH91" i="26"/>
  <c r="AL91" i="26" s="1"/>
  <c r="S91" i="26"/>
  <c r="Q91" i="26"/>
  <c r="K91" i="26"/>
  <c r="J91" i="26"/>
  <c r="I91" i="26"/>
  <c r="H91" i="26"/>
  <c r="F91" i="26"/>
  <c r="E91" i="26"/>
  <c r="AK90" i="26"/>
  <c r="AJ90" i="26"/>
  <c r="AI90" i="26"/>
  <c r="AM90" i="26" s="1"/>
  <c r="AH90" i="26"/>
  <c r="AL90" i="26" s="1"/>
  <c r="S90" i="26"/>
  <c r="Q90" i="26"/>
  <c r="K90" i="26"/>
  <c r="J90" i="26"/>
  <c r="I90" i="26"/>
  <c r="H90" i="26"/>
  <c r="F90" i="26"/>
  <c r="E90" i="26"/>
  <c r="AK89" i="26"/>
  <c r="AJ89" i="26"/>
  <c r="AI89" i="26"/>
  <c r="AM89" i="26" s="1"/>
  <c r="AH89" i="26"/>
  <c r="AL89" i="26" s="1"/>
  <c r="S89" i="26"/>
  <c r="Q89" i="26"/>
  <c r="J89" i="26"/>
  <c r="I89" i="26"/>
  <c r="H89" i="26"/>
  <c r="F89" i="26"/>
  <c r="E89" i="26"/>
  <c r="AK88" i="26"/>
  <c r="AJ88" i="26"/>
  <c r="AI88" i="26"/>
  <c r="AM88" i="26" s="1"/>
  <c r="AH88" i="26"/>
  <c r="AL88" i="26" s="1"/>
  <c r="S88" i="26"/>
  <c r="Q88" i="26"/>
  <c r="J88" i="26"/>
  <c r="I88" i="26"/>
  <c r="H88" i="26"/>
  <c r="F88" i="26"/>
  <c r="E88" i="26"/>
  <c r="AK87" i="26"/>
  <c r="AJ87" i="26"/>
  <c r="AI87" i="26"/>
  <c r="AM87" i="26" s="1"/>
  <c r="AH87" i="26"/>
  <c r="AL87" i="26" s="1"/>
  <c r="S87" i="26"/>
  <c r="Q87" i="26"/>
  <c r="K87" i="26"/>
  <c r="J87" i="26"/>
  <c r="I87" i="26"/>
  <c r="H87" i="26"/>
  <c r="F87" i="26"/>
  <c r="E87" i="26"/>
  <c r="AK86" i="26"/>
  <c r="AJ86" i="26"/>
  <c r="AI86" i="26"/>
  <c r="AM86" i="26" s="1"/>
  <c r="AH86" i="26"/>
  <c r="AL86" i="26" s="1"/>
  <c r="S86" i="26"/>
  <c r="Q86" i="26"/>
  <c r="K86" i="26"/>
  <c r="J86" i="26"/>
  <c r="I86" i="26"/>
  <c r="H86" i="26"/>
  <c r="F86" i="26"/>
  <c r="E86" i="26"/>
  <c r="AK85" i="26"/>
  <c r="AJ85" i="26"/>
  <c r="AI85" i="26"/>
  <c r="AM85" i="26" s="1"/>
  <c r="AH85" i="26"/>
  <c r="AL85" i="26" s="1"/>
  <c r="S85" i="26"/>
  <c r="Q85" i="26"/>
  <c r="J85" i="26"/>
  <c r="I85" i="26"/>
  <c r="H85" i="26"/>
  <c r="F85" i="26"/>
  <c r="E85" i="26"/>
  <c r="AK84" i="26"/>
  <c r="AJ84" i="26"/>
  <c r="AI84" i="26"/>
  <c r="AM84" i="26" s="1"/>
  <c r="AH84" i="26"/>
  <c r="AL84" i="26" s="1"/>
  <c r="S84" i="26"/>
  <c r="Q84" i="26"/>
  <c r="K84" i="26"/>
  <c r="J84" i="26"/>
  <c r="I84" i="26"/>
  <c r="H84" i="26"/>
  <c r="F84" i="26"/>
  <c r="E84" i="26"/>
  <c r="AK83" i="26"/>
  <c r="AJ83" i="26"/>
  <c r="AI83" i="26"/>
  <c r="AM83" i="26" s="1"/>
  <c r="AH83" i="26"/>
  <c r="AL83" i="26" s="1"/>
  <c r="S83" i="26"/>
  <c r="Q83" i="26"/>
  <c r="K83" i="26"/>
  <c r="J83" i="26"/>
  <c r="I83" i="26"/>
  <c r="H83" i="26"/>
  <c r="F83" i="26"/>
  <c r="E83" i="26"/>
  <c r="AK82" i="26"/>
  <c r="AJ82" i="26"/>
  <c r="AI82" i="26"/>
  <c r="AM82" i="26" s="1"/>
  <c r="AH82" i="26"/>
  <c r="AL82" i="26" s="1"/>
  <c r="S82" i="26"/>
  <c r="Q82" i="26"/>
  <c r="J82" i="26"/>
  <c r="I82" i="26"/>
  <c r="H82" i="26"/>
  <c r="F82" i="26"/>
  <c r="E82" i="26"/>
  <c r="AK81" i="26"/>
  <c r="AJ81" i="26"/>
  <c r="AI81" i="26"/>
  <c r="AM81" i="26" s="1"/>
  <c r="AH81" i="26"/>
  <c r="AL81" i="26" s="1"/>
  <c r="S81" i="26"/>
  <c r="Q81" i="26"/>
  <c r="K81" i="26"/>
  <c r="J81" i="26"/>
  <c r="I81" i="26"/>
  <c r="H81" i="26"/>
  <c r="F81" i="26"/>
  <c r="E81" i="26"/>
  <c r="AK80" i="26"/>
  <c r="AJ80" i="26"/>
  <c r="AI80" i="26"/>
  <c r="AM80" i="26" s="1"/>
  <c r="AH80" i="26"/>
  <c r="AL80" i="26" s="1"/>
  <c r="S80" i="26"/>
  <c r="Q80" i="26"/>
  <c r="K80" i="26"/>
  <c r="J80" i="26"/>
  <c r="I80" i="26"/>
  <c r="H80" i="26"/>
  <c r="F80" i="26"/>
  <c r="E80" i="26"/>
  <c r="AK79" i="26"/>
  <c r="AJ79" i="26"/>
  <c r="AI79" i="26"/>
  <c r="AM79" i="26" s="1"/>
  <c r="AH79" i="26"/>
  <c r="AL79" i="26" s="1"/>
  <c r="S79" i="26"/>
  <c r="Q79" i="26"/>
  <c r="K79" i="26"/>
  <c r="J79" i="26"/>
  <c r="I79" i="26"/>
  <c r="H79" i="26"/>
  <c r="F79" i="26"/>
  <c r="E79" i="26"/>
  <c r="AK78" i="26"/>
  <c r="AJ78" i="26"/>
  <c r="AI78" i="26"/>
  <c r="AM78" i="26" s="1"/>
  <c r="AH78" i="26"/>
  <c r="AL78" i="26" s="1"/>
  <c r="S78" i="26"/>
  <c r="Q78" i="26"/>
  <c r="K78" i="26"/>
  <c r="J78" i="26"/>
  <c r="I78" i="26"/>
  <c r="H78" i="26"/>
  <c r="F78" i="26"/>
  <c r="E78" i="26"/>
  <c r="AK77" i="26"/>
  <c r="AJ77" i="26"/>
  <c r="AI77" i="26"/>
  <c r="AM77" i="26" s="1"/>
  <c r="AH77" i="26"/>
  <c r="AL77" i="26" s="1"/>
  <c r="S77" i="26"/>
  <c r="Q77" i="26"/>
  <c r="K77" i="26"/>
  <c r="J77" i="26"/>
  <c r="I77" i="26"/>
  <c r="H77" i="26"/>
  <c r="F77" i="26"/>
  <c r="E77" i="26"/>
  <c r="AK76" i="26"/>
  <c r="AJ76" i="26"/>
  <c r="AI76" i="26"/>
  <c r="AM76" i="26" s="1"/>
  <c r="AH76" i="26"/>
  <c r="AL76" i="26" s="1"/>
  <c r="S76" i="26"/>
  <c r="Q76" i="26"/>
  <c r="K76" i="26"/>
  <c r="J76" i="26"/>
  <c r="I76" i="26"/>
  <c r="H76" i="26"/>
  <c r="F76" i="26"/>
  <c r="E76" i="26"/>
  <c r="AK75" i="26"/>
  <c r="AJ75" i="26"/>
  <c r="AI75" i="26"/>
  <c r="AM75" i="26" s="1"/>
  <c r="AH75" i="26"/>
  <c r="AL75" i="26" s="1"/>
  <c r="S75" i="26"/>
  <c r="Q75" i="26"/>
  <c r="K75" i="26"/>
  <c r="J75" i="26"/>
  <c r="I75" i="26"/>
  <c r="H75" i="26"/>
  <c r="F75" i="26"/>
  <c r="E75" i="26"/>
  <c r="AK74" i="26"/>
  <c r="AJ74" i="26"/>
  <c r="AI74" i="26"/>
  <c r="AM74" i="26" s="1"/>
  <c r="AH74" i="26"/>
  <c r="AL74" i="26" s="1"/>
  <c r="S74" i="26"/>
  <c r="Q74" i="26"/>
  <c r="K74" i="26"/>
  <c r="J74" i="26"/>
  <c r="I74" i="26"/>
  <c r="H74" i="26"/>
  <c r="F74" i="26"/>
  <c r="E74" i="26"/>
  <c r="AK73" i="26"/>
  <c r="AJ73" i="26"/>
  <c r="AI73" i="26"/>
  <c r="AM73" i="26" s="1"/>
  <c r="AH73" i="26"/>
  <c r="AL73" i="26" s="1"/>
  <c r="S73" i="26"/>
  <c r="Q73" i="26"/>
  <c r="K73" i="26"/>
  <c r="J73" i="26"/>
  <c r="I73" i="26"/>
  <c r="H73" i="26"/>
  <c r="F73" i="26"/>
  <c r="E73" i="26"/>
  <c r="AK72" i="26"/>
  <c r="AJ72" i="26"/>
  <c r="AI72" i="26"/>
  <c r="AM72" i="26" s="1"/>
  <c r="AH72" i="26"/>
  <c r="AL72" i="26" s="1"/>
  <c r="S72" i="26"/>
  <c r="Q72" i="26"/>
  <c r="K72" i="26"/>
  <c r="J72" i="26"/>
  <c r="I72" i="26"/>
  <c r="H72" i="26"/>
  <c r="F72" i="26"/>
  <c r="E72" i="26"/>
  <c r="AK71" i="26"/>
  <c r="AJ71" i="26"/>
  <c r="AI71" i="26"/>
  <c r="AM71" i="26" s="1"/>
  <c r="AH71" i="26"/>
  <c r="AL71" i="26" s="1"/>
  <c r="S71" i="26"/>
  <c r="Q71" i="26"/>
  <c r="K71" i="26"/>
  <c r="J71" i="26"/>
  <c r="I71" i="26"/>
  <c r="H71" i="26"/>
  <c r="F71" i="26"/>
  <c r="E71" i="26"/>
  <c r="AK70" i="26"/>
  <c r="AJ70" i="26"/>
  <c r="AI70" i="26"/>
  <c r="AM70" i="26" s="1"/>
  <c r="AH70" i="26"/>
  <c r="AL70" i="26" s="1"/>
  <c r="S70" i="26"/>
  <c r="Q70" i="26"/>
  <c r="K70" i="26"/>
  <c r="J70" i="26"/>
  <c r="I70" i="26"/>
  <c r="H70" i="26"/>
  <c r="F70" i="26"/>
  <c r="E70" i="26"/>
  <c r="AK69" i="26"/>
  <c r="AJ69" i="26"/>
  <c r="AI69" i="26"/>
  <c r="AM69" i="26" s="1"/>
  <c r="AH69" i="26"/>
  <c r="AL69" i="26" s="1"/>
  <c r="S69" i="26"/>
  <c r="Q69" i="26"/>
  <c r="K69" i="26"/>
  <c r="J69" i="26"/>
  <c r="I69" i="26"/>
  <c r="H69" i="26"/>
  <c r="F69" i="26"/>
  <c r="E69" i="26"/>
  <c r="AK68" i="26"/>
  <c r="AJ68" i="26"/>
  <c r="AI68" i="26"/>
  <c r="AM68" i="26" s="1"/>
  <c r="AH68" i="26"/>
  <c r="AL68" i="26" s="1"/>
  <c r="S68" i="26"/>
  <c r="Q68" i="26"/>
  <c r="K68" i="26"/>
  <c r="J68" i="26"/>
  <c r="I68" i="26"/>
  <c r="H68" i="26"/>
  <c r="F68" i="26"/>
  <c r="E68" i="26"/>
  <c r="AK67" i="26"/>
  <c r="AJ67" i="26"/>
  <c r="AI67" i="26"/>
  <c r="AM67" i="26" s="1"/>
  <c r="AH67" i="26"/>
  <c r="AL67" i="26" s="1"/>
  <c r="S67" i="26"/>
  <c r="Q67" i="26"/>
  <c r="K67" i="26"/>
  <c r="J67" i="26"/>
  <c r="I67" i="26"/>
  <c r="H67" i="26"/>
  <c r="F67" i="26"/>
  <c r="E67" i="26"/>
  <c r="AK66" i="26"/>
  <c r="AJ66" i="26"/>
  <c r="AI66" i="26"/>
  <c r="AM66" i="26" s="1"/>
  <c r="AH66" i="26"/>
  <c r="AL66" i="26" s="1"/>
  <c r="S66" i="26"/>
  <c r="Q66" i="26"/>
  <c r="K66" i="26"/>
  <c r="J66" i="26"/>
  <c r="I66" i="26"/>
  <c r="H66" i="26"/>
  <c r="F66" i="26"/>
  <c r="E66" i="26"/>
  <c r="AK65" i="26"/>
  <c r="AJ65" i="26"/>
  <c r="AI65" i="26"/>
  <c r="AM65" i="26" s="1"/>
  <c r="AH65" i="26"/>
  <c r="AL65" i="26" s="1"/>
  <c r="S65" i="26"/>
  <c r="Q65" i="26"/>
  <c r="J65" i="26"/>
  <c r="I65" i="26"/>
  <c r="H65" i="26"/>
  <c r="F65" i="26"/>
  <c r="E65" i="26"/>
  <c r="AK64" i="26"/>
  <c r="AJ64" i="26"/>
  <c r="AI64" i="26"/>
  <c r="AM64" i="26" s="1"/>
  <c r="AH64" i="26"/>
  <c r="AL64" i="26" s="1"/>
  <c r="S64" i="26"/>
  <c r="Q64" i="26"/>
  <c r="K64" i="26"/>
  <c r="J64" i="26"/>
  <c r="I64" i="26"/>
  <c r="H64" i="26"/>
  <c r="F64" i="26"/>
  <c r="E64" i="26"/>
  <c r="AK63" i="26"/>
  <c r="AJ63" i="26"/>
  <c r="AI63" i="26"/>
  <c r="AM63" i="26" s="1"/>
  <c r="AH63" i="26"/>
  <c r="AL63" i="26" s="1"/>
  <c r="S63" i="26"/>
  <c r="Q63" i="26"/>
  <c r="K63" i="26"/>
  <c r="J63" i="26"/>
  <c r="I63" i="26"/>
  <c r="H63" i="26"/>
  <c r="F63" i="26"/>
  <c r="E63" i="26"/>
  <c r="AK62" i="26"/>
  <c r="AJ62" i="26"/>
  <c r="AI62" i="26"/>
  <c r="AM62" i="26" s="1"/>
  <c r="AH62" i="26"/>
  <c r="AL62" i="26" s="1"/>
  <c r="S62" i="26"/>
  <c r="Q62" i="26"/>
  <c r="J62" i="26"/>
  <c r="I62" i="26"/>
  <c r="H62" i="26"/>
  <c r="F62" i="26"/>
  <c r="E62" i="26"/>
  <c r="AK61" i="26"/>
  <c r="AJ61" i="26"/>
  <c r="AI61" i="26"/>
  <c r="AM61" i="26" s="1"/>
  <c r="AH61" i="26"/>
  <c r="AL61" i="26" s="1"/>
  <c r="S61" i="26"/>
  <c r="Q61" i="26"/>
  <c r="K61" i="26"/>
  <c r="J61" i="26"/>
  <c r="I61" i="26"/>
  <c r="H61" i="26"/>
  <c r="F61" i="26"/>
  <c r="E61" i="26"/>
  <c r="AK60" i="26"/>
  <c r="AJ60" i="26"/>
  <c r="AI60" i="26"/>
  <c r="AM60" i="26" s="1"/>
  <c r="AH60" i="26"/>
  <c r="AL60" i="26" s="1"/>
  <c r="S60" i="26"/>
  <c r="Q60" i="26"/>
  <c r="K60" i="26"/>
  <c r="J60" i="26"/>
  <c r="I60" i="26"/>
  <c r="H60" i="26"/>
  <c r="F60" i="26"/>
  <c r="E60" i="26"/>
  <c r="AK59" i="26"/>
  <c r="AJ59" i="26"/>
  <c r="AI59" i="26"/>
  <c r="AM59" i="26" s="1"/>
  <c r="AH59" i="26"/>
  <c r="AL59" i="26" s="1"/>
  <c r="S59" i="26"/>
  <c r="Q59" i="26"/>
  <c r="K59" i="26"/>
  <c r="J59" i="26"/>
  <c r="I59" i="26"/>
  <c r="H59" i="26"/>
  <c r="F59" i="26"/>
  <c r="E59" i="26"/>
  <c r="AJ58" i="26"/>
  <c r="AI58" i="26"/>
  <c r="AM58" i="26" s="1"/>
  <c r="AH58" i="26"/>
  <c r="AL58" i="26" s="1"/>
  <c r="S58" i="26"/>
  <c r="Q58" i="26"/>
  <c r="K58" i="26"/>
  <c r="J58" i="26"/>
  <c r="I58" i="26"/>
  <c r="H58" i="26"/>
  <c r="F58" i="26"/>
  <c r="E58" i="26"/>
  <c r="AJ57" i="26"/>
  <c r="AI57" i="26"/>
  <c r="AM57" i="26" s="1"/>
  <c r="AH57" i="26"/>
  <c r="AL57" i="26" s="1"/>
  <c r="S57" i="26"/>
  <c r="Q57" i="26"/>
  <c r="K57" i="26"/>
  <c r="J57" i="26"/>
  <c r="I57" i="26"/>
  <c r="H57" i="26"/>
  <c r="F57" i="26"/>
  <c r="E57" i="26"/>
  <c r="AK56" i="26"/>
  <c r="AJ56" i="26"/>
  <c r="AI56" i="26"/>
  <c r="AM56" i="26" s="1"/>
  <c r="AH56" i="26"/>
  <c r="AL56" i="26" s="1"/>
  <c r="S56" i="26"/>
  <c r="Q56" i="26"/>
  <c r="K56" i="26"/>
  <c r="J56" i="26"/>
  <c r="I56" i="26"/>
  <c r="H56" i="26"/>
  <c r="F56" i="26"/>
  <c r="E56" i="26"/>
  <c r="AK55" i="26"/>
  <c r="AJ55" i="26"/>
  <c r="AI55" i="26"/>
  <c r="AM55" i="26" s="1"/>
  <c r="AH55" i="26"/>
  <c r="AL55" i="26" s="1"/>
  <c r="S55" i="26"/>
  <c r="Q55" i="26"/>
  <c r="K55" i="26"/>
  <c r="J55" i="26"/>
  <c r="I55" i="26"/>
  <c r="H55" i="26"/>
  <c r="F55" i="26"/>
  <c r="E55" i="26"/>
  <c r="AK54" i="26"/>
  <c r="AJ54" i="26"/>
  <c r="AI54" i="26"/>
  <c r="AM54" i="26" s="1"/>
  <c r="AH54" i="26"/>
  <c r="AL54" i="26" s="1"/>
  <c r="S54" i="26"/>
  <c r="Q54" i="26"/>
  <c r="K54" i="26"/>
  <c r="J54" i="26"/>
  <c r="I54" i="26"/>
  <c r="H54" i="26"/>
  <c r="F54" i="26"/>
  <c r="E54" i="26"/>
  <c r="AK53" i="26"/>
  <c r="AJ53" i="26"/>
  <c r="AI53" i="26"/>
  <c r="AM53" i="26" s="1"/>
  <c r="AH53" i="26"/>
  <c r="AL53" i="26" s="1"/>
  <c r="S53" i="26"/>
  <c r="Q53" i="26"/>
  <c r="K53" i="26"/>
  <c r="J53" i="26"/>
  <c r="I53" i="26"/>
  <c r="H53" i="26"/>
  <c r="F53" i="26"/>
  <c r="E53" i="26"/>
  <c r="AK52" i="26"/>
  <c r="AJ52" i="26"/>
  <c r="AI52" i="26"/>
  <c r="AM52" i="26" s="1"/>
  <c r="AH52" i="26"/>
  <c r="AL52" i="26" s="1"/>
  <c r="S52" i="26"/>
  <c r="Q52" i="26"/>
  <c r="K52" i="26"/>
  <c r="J52" i="26"/>
  <c r="I52" i="26"/>
  <c r="H52" i="26"/>
  <c r="F52" i="26"/>
  <c r="E52" i="26"/>
  <c r="AK51" i="26"/>
  <c r="AJ51" i="26"/>
  <c r="AI51" i="26"/>
  <c r="AM51" i="26" s="1"/>
  <c r="AH51" i="26"/>
  <c r="AL51" i="26" s="1"/>
  <c r="S51" i="26"/>
  <c r="Q51" i="26"/>
  <c r="K51" i="26"/>
  <c r="J51" i="26"/>
  <c r="I51" i="26"/>
  <c r="H51" i="26"/>
  <c r="F51" i="26"/>
  <c r="E51" i="26"/>
  <c r="AK50" i="26"/>
  <c r="AJ50" i="26"/>
  <c r="AI50" i="26"/>
  <c r="AM50" i="26" s="1"/>
  <c r="AH50" i="26"/>
  <c r="AL50" i="26" s="1"/>
  <c r="S50" i="26"/>
  <c r="Q50" i="26"/>
  <c r="K50" i="26"/>
  <c r="J50" i="26"/>
  <c r="I50" i="26"/>
  <c r="H50" i="26"/>
  <c r="F50" i="26"/>
  <c r="E50" i="26"/>
  <c r="AJ49" i="26"/>
  <c r="AI49" i="26"/>
  <c r="AM49" i="26" s="1"/>
  <c r="AH49" i="26"/>
  <c r="AL49" i="26" s="1"/>
  <c r="S49" i="26"/>
  <c r="Q49" i="26"/>
  <c r="K49" i="26"/>
  <c r="J49" i="26"/>
  <c r="I49" i="26"/>
  <c r="H49" i="26"/>
  <c r="F49" i="26"/>
  <c r="E49" i="26"/>
  <c r="AK48" i="26"/>
  <c r="AJ48" i="26"/>
  <c r="AI48" i="26"/>
  <c r="AM48" i="26" s="1"/>
  <c r="AH48" i="26"/>
  <c r="AL48" i="26" s="1"/>
  <c r="S48" i="26"/>
  <c r="Q48" i="26"/>
  <c r="K48" i="26"/>
  <c r="J48" i="26"/>
  <c r="I48" i="26"/>
  <c r="H48" i="26"/>
  <c r="F48" i="26"/>
  <c r="E48" i="26"/>
  <c r="AK47" i="26"/>
  <c r="AJ47" i="26"/>
  <c r="AI47" i="26"/>
  <c r="AM47" i="26" s="1"/>
  <c r="AH47" i="26"/>
  <c r="AL47" i="26" s="1"/>
  <c r="S47" i="26"/>
  <c r="Q47" i="26"/>
  <c r="K47" i="26"/>
  <c r="J47" i="26"/>
  <c r="I47" i="26"/>
  <c r="H47" i="26"/>
  <c r="F47" i="26"/>
  <c r="E47" i="26"/>
  <c r="AK46" i="26"/>
  <c r="AJ46" i="26"/>
  <c r="AI46" i="26"/>
  <c r="AM46" i="26" s="1"/>
  <c r="AH46" i="26"/>
  <c r="AL46" i="26" s="1"/>
  <c r="S46" i="26"/>
  <c r="Q46" i="26"/>
  <c r="K46" i="26"/>
  <c r="J46" i="26"/>
  <c r="I46" i="26"/>
  <c r="H46" i="26"/>
  <c r="F46" i="26"/>
  <c r="E46" i="26"/>
  <c r="AK45" i="26"/>
  <c r="AJ45" i="26"/>
  <c r="AI45" i="26"/>
  <c r="AM45" i="26" s="1"/>
  <c r="AH45" i="26"/>
  <c r="AL45" i="26" s="1"/>
  <c r="S45" i="26"/>
  <c r="Q45" i="26"/>
  <c r="K45" i="26"/>
  <c r="J45" i="26"/>
  <c r="I45" i="26"/>
  <c r="H45" i="26"/>
  <c r="F45" i="26"/>
  <c r="E45" i="26"/>
  <c r="AK44" i="26"/>
  <c r="AJ44" i="26"/>
  <c r="AI44" i="26"/>
  <c r="AM44" i="26" s="1"/>
  <c r="AH44" i="26"/>
  <c r="AL44" i="26" s="1"/>
  <c r="S44" i="26"/>
  <c r="Q44" i="26"/>
  <c r="K44" i="26"/>
  <c r="J44" i="26"/>
  <c r="I44" i="26"/>
  <c r="H44" i="26"/>
  <c r="F44" i="26"/>
  <c r="E44" i="26"/>
  <c r="AK43" i="26"/>
  <c r="AJ43" i="26"/>
  <c r="AI43" i="26"/>
  <c r="AM43" i="26" s="1"/>
  <c r="AH43" i="26"/>
  <c r="AL43" i="26" s="1"/>
  <c r="S43" i="26"/>
  <c r="Q43" i="26"/>
  <c r="K43" i="26"/>
  <c r="J43" i="26"/>
  <c r="I43" i="26"/>
  <c r="H43" i="26"/>
  <c r="F43" i="26"/>
  <c r="E43" i="26"/>
  <c r="AK42" i="26"/>
  <c r="AJ42" i="26"/>
  <c r="AI42" i="26"/>
  <c r="AM42" i="26" s="1"/>
  <c r="AH42" i="26"/>
  <c r="AL42" i="26" s="1"/>
  <c r="S42" i="26"/>
  <c r="Q42" i="26"/>
  <c r="K42" i="26"/>
  <c r="J42" i="26"/>
  <c r="I42" i="26"/>
  <c r="H42" i="26"/>
  <c r="F42" i="26"/>
  <c r="E42" i="26"/>
  <c r="AK41" i="26"/>
  <c r="AJ41" i="26"/>
  <c r="AI41" i="26"/>
  <c r="AM41" i="26" s="1"/>
  <c r="AH41" i="26"/>
  <c r="AL41" i="26" s="1"/>
  <c r="S41" i="26"/>
  <c r="Q41" i="26"/>
  <c r="K41" i="26"/>
  <c r="J41" i="26"/>
  <c r="I41" i="26"/>
  <c r="H41" i="26"/>
  <c r="F41" i="26"/>
  <c r="E41" i="26"/>
  <c r="AK40" i="26"/>
  <c r="AJ40" i="26"/>
  <c r="AI40" i="26"/>
  <c r="AM40" i="26" s="1"/>
  <c r="AH40" i="26"/>
  <c r="AL40" i="26" s="1"/>
  <c r="S40" i="26"/>
  <c r="Q40" i="26"/>
  <c r="K40" i="26"/>
  <c r="J40" i="26"/>
  <c r="I40" i="26"/>
  <c r="H40" i="26"/>
  <c r="F40" i="26"/>
  <c r="E40" i="26"/>
  <c r="AK39" i="26"/>
  <c r="AJ39" i="26"/>
  <c r="AI39" i="26"/>
  <c r="AM39" i="26" s="1"/>
  <c r="AH39" i="26"/>
  <c r="AL39" i="26" s="1"/>
  <c r="S39" i="26"/>
  <c r="Q39" i="26"/>
  <c r="K39" i="26"/>
  <c r="J39" i="26"/>
  <c r="I39" i="26"/>
  <c r="H39" i="26"/>
  <c r="F39" i="26"/>
  <c r="E39" i="26"/>
  <c r="AK38" i="26"/>
  <c r="AJ38" i="26"/>
  <c r="AI38" i="26"/>
  <c r="AM38" i="26" s="1"/>
  <c r="AH38" i="26"/>
  <c r="AL38" i="26" s="1"/>
  <c r="S38" i="26"/>
  <c r="Q38" i="26"/>
  <c r="K38" i="26"/>
  <c r="J38" i="26"/>
  <c r="I38" i="26"/>
  <c r="H38" i="26"/>
  <c r="F38" i="26"/>
  <c r="E38" i="26"/>
  <c r="AK37" i="26"/>
  <c r="AJ37" i="26"/>
  <c r="AI37" i="26"/>
  <c r="AM37" i="26" s="1"/>
  <c r="AH37" i="26"/>
  <c r="AL37" i="26" s="1"/>
  <c r="S37" i="26"/>
  <c r="Q37" i="26"/>
  <c r="K37" i="26"/>
  <c r="J37" i="26"/>
  <c r="I37" i="26"/>
  <c r="H37" i="26"/>
  <c r="F37" i="26"/>
  <c r="E37" i="26"/>
  <c r="AJ36" i="26"/>
  <c r="AI36" i="26"/>
  <c r="AM36" i="26" s="1"/>
  <c r="AH36" i="26"/>
  <c r="AL36" i="26" s="1"/>
  <c r="S36" i="26"/>
  <c r="Q36" i="26"/>
  <c r="K36" i="26"/>
  <c r="J36" i="26"/>
  <c r="I36" i="26"/>
  <c r="H36" i="26"/>
  <c r="F36" i="26"/>
  <c r="E36" i="26"/>
  <c r="AK35" i="26"/>
  <c r="AJ35" i="26"/>
  <c r="AI35" i="26"/>
  <c r="AM35" i="26" s="1"/>
  <c r="AH35" i="26"/>
  <c r="AL35" i="26" s="1"/>
  <c r="S35" i="26"/>
  <c r="Q35" i="26"/>
  <c r="K35" i="26"/>
  <c r="J35" i="26"/>
  <c r="I35" i="26"/>
  <c r="H35" i="26"/>
  <c r="D35" i="26"/>
  <c r="C35" i="26"/>
  <c r="B35" i="26"/>
  <c r="F35" i="26" s="1"/>
  <c r="A35" i="26"/>
  <c r="AK34" i="26"/>
  <c r="AJ34" i="26"/>
  <c r="AI34" i="26"/>
  <c r="AM34" i="26" s="1"/>
  <c r="AH34" i="26"/>
  <c r="AL34" i="26" s="1"/>
  <c r="S34" i="26"/>
  <c r="Q34" i="26"/>
  <c r="K34" i="26"/>
  <c r="J34" i="26"/>
  <c r="I34" i="26"/>
  <c r="H34" i="26"/>
  <c r="D34" i="26"/>
  <c r="C34" i="26"/>
  <c r="B34" i="26"/>
  <c r="F34" i="26" s="1"/>
  <c r="A34" i="26"/>
  <c r="AK33" i="26"/>
  <c r="AJ33" i="26"/>
  <c r="AI33" i="26"/>
  <c r="AM33" i="26" s="1"/>
  <c r="AH33" i="26"/>
  <c r="AL33" i="26" s="1"/>
  <c r="S33" i="26"/>
  <c r="Q33" i="26"/>
  <c r="K33" i="26"/>
  <c r="J33" i="26"/>
  <c r="I33" i="26"/>
  <c r="H33" i="26"/>
  <c r="D33" i="26"/>
  <c r="C33" i="26"/>
  <c r="B33" i="26"/>
  <c r="F33" i="26" s="1"/>
  <c r="A33" i="26"/>
  <c r="AK32" i="26"/>
  <c r="AJ32" i="26"/>
  <c r="AI32" i="26"/>
  <c r="AM32" i="26" s="1"/>
  <c r="AH32" i="26"/>
  <c r="AL32" i="26" s="1"/>
  <c r="S32" i="26"/>
  <c r="Q32" i="26"/>
  <c r="K32" i="26"/>
  <c r="J32" i="26"/>
  <c r="I32" i="26"/>
  <c r="H32" i="26"/>
  <c r="D32" i="26"/>
  <c r="C32" i="26"/>
  <c r="B32" i="26"/>
  <c r="F32" i="26" s="1"/>
  <c r="A32" i="26"/>
  <c r="AK31" i="26"/>
  <c r="AJ31" i="26"/>
  <c r="AI31" i="26"/>
  <c r="AM31" i="26" s="1"/>
  <c r="AH31" i="26"/>
  <c r="AL31" i="26" s="1"/>
  <c r="S31" i="26"/>
  <c r="Q31" i="26"/>
  <c r="K31" i="26"/>
  <c r="J31" i="26"/>
  <c r="I31" i="26"/>
  <c r="H31" i="26"/>
  <c r="D31" i="26"/>
  <c r="C31" i="26"/>
  <c r="B31" i="26"/>
  <c r="F31" i="26" s="1"/>
  <c r="A31" i="26"/>
  <c r="AK30" i="26"/>
  <c r="AJ30" i="26"/>
  <c r="AI30" i="26"/>
  <c r="AM30" i="26" s="1"/>
  <c r="AH30" i="26"/>
  <c r="AL30" i="26" s="1"/>
  <c r="S30" i="26"/>
  <c r="Q30" i="26"/>
  <c r="K30" i="26"/>
  <c r="J30" i="26"/>
  <c r="I30" i="26"/>
  <c r="H30" i="26"/>
  <c r="D30" i="26"/>
  <c r="C30" i="26"/>
  <c r="B30" i="26"/>
  <c r="F30" i="26" s="1"/>
  <c r="A30" i="26"/>
  <c r="AK29" i="26"/>
  <c r="AJ29" i="26"/>
  <c r="AI29" i="26"/>
  <c r="AM29" i="26" s="1"/>
  <c r="AH29" i="26"/>
  <c r="AL29" i="26" s="1"/>
  <c r="S29" i="26"/>
  <c r="Q29" i="26"/>
  <c r="K29" i="26"/>
  <c r="J29" i="26"/>
  <c r="I29" i="26"/>
  <c r="H29" i="26"/>
  <c r="D29" i="26"/>
  <c r="C29" i="26"/>
  <c r="B29" i="26"/>
  <c r="F29" i="26" s="1"/>
  <c r="A29" i="26"/>
  <c r="AK28" i="26"/>
  <c r="AJ28" i="26"/>
  <c r="AI28" i="26"/>
  <c r="AM28" i="26" s="1"/>
  <c r="AH28" i="26"/>
  <c r="AL28" i="26" s="1"/>
  <c r="S28" i="26"/>
  <c r="Q28" i="26"/>
  <c r="K28" i="26"/>
  <c r="J28" i="26"/>
  <c r="I28" i="26"/>
  <c r="H28" i="26"/>
  <c r="D28" i="26"/>
  <c r="C28" i="26"/>
  <c r="B28" i="26"/>
  <c r="F28" i="26" s="1"/>
  <c r="A28" i="26"/>
  <c r="AK27" i="26"/>
  <c r="AJ27" i="26"/>
  <c r="AI27" i="26"/>
  <c r="AM27" i="26" s="1"/>
  <c r="AH27" i="26"/>
  <c r="AL27" i="26" s="1"/>
  <c r="S27" i="26"/>
  <c r="Q27" i="26"/>
  <c r="K27" i="26"/>
  <c r="J27" i="26"/>
  <c r="I27" i="26"/>
  <c r="H27" i="26"/>
  <c r="D27" i="26"/>
  <c r="C27" i="26"/>
  <c r="B27" i="26"/>
  <c r="F27" i="26" s="1"/>
  <c r="A27" i="26"/>
  <c r="AK26" i="26"/>
  <c r="AJ26" i="26"/>
  <c r="AI26" i="26"/>
  <c r="AM26" i="26" s="1"/>
  <c r="AH26" i="26"/>
  <c r="AL26" i="26" s="1"/>
  <c r="S26" i="26"/>
  <c r="Q26" i="26"/>
  <c r="K26" i="26"/>
  <c r="J26" i="26"/>
  <c r="I26" i="26"/>
  <c r="H26" i="26"/>
  <c r="D26" i="26"/>
  <c r="C26" i="26"/>
  <c r="B26" i="26"/>
  <c r="F26" i="26" s="1"/>
  <c r="A26" i="26"/>
  <c r="AK25" i="26"/>
  <c r="AJ25" i="26"/>
  <c r="AI25" i="26"/>
  <c r="AM25" i="26" s="1"/>
  <c r="AH25" i="26"/>
  <c r="AL25" i="26" s="1"/>
  <c r="S25" i="26"/>
  <c r="Q25" i="26"/>
  <c r="K25" i="26"/>
  <c r="J25" i="26"/>
  <c r="I25" i="26"/>
  <c r="H25" i="26"/>
  <c r="D25" i="26"/>
  <c r="C25" i="26"/>
  <c r="B25" i="26"/>
  <c r="F25" i="26" s="1"/>
  <c r="A25" i="26"/>
  <c r="AK24" i="26"/>
  <c r="AJ24" i="26"/>
  <c r="AI24" i="26"/>
  <c r="AM24" i="26" s="1"/>
  <c r="AH24" i="26"/>
  <c r="AL24" i="26" s="1"/>
  <c r="S24" i="26"/>
  <c r="Q24" i="26"/>
  <c r="J24" i="26"/>
  <c r="I24" i="26"/>
  <c r="H24" i="26"/>
  <c r="D24" i="26"/>
  <c r="C24" i="26"/>
  <c r="B24" i="26"/>
  <c r="F24" i="26" s="1"/>
  <c r="A24" i="26"/>
  <c r="AK23" i="26"/>
  <c r="AJ23" i="26"/>
  <c r="AI23" i="26"/>
  <c r="AM23" i="26" s="1"/>
  <c r="AH23" i="26"/>
  <c r="AL23" i="26" s="1"/>
  <c r="S23" i="26"/>
  <c r="Q23" i="26"/>
  <c r="J23" i="26"/>
  <c r="I23" i="26"/>
  <c r="H23" i="26"/>
  <c r="D23" i="26"/>
  <c r="C23" i="26"/>
  <c r="B23" i="26"/>
  <c r="F23" i="26" s="1"/>
  <c r="A23" i="26"/>
  <c r="AK22" i="26"/>
  <c r="AJ22" i="26"/>
  <c r="AI22" i="26"/>
  <c r="AM22" i="26" s="1"/>
  <c r="AH22" i="26"/>
  <c r="AL22" i="26" s="1"/>
  <c r="S22" i="26"/>
  <c r="Q22" i="26"/>
  <c r="K22" i="26"/>
  <c r="J22" i="26"/>
  <c r="I22" i="26"/>
  <c r="H22" i="26"/>
  <c r="D22" i="26"/>
  <c r="C22" i="26"/>
  <c r="B22" i="26"/>
  <c r="F22" i="26" s="1"/>
  <c r="A22" i="26"/>
  <c r="AK21" i="26"/>
  <c r="AJ21" i="26"/>
  <c r="AI21" i="26"/>
  <c r="AM21" i="26" s="1"/>
  <c r="AH21" i="26"/>
  <c r="AL21" i="26" s="1"/>
  <c r="S21" i="26"/>
  <c r="Q21" i="26"/>
  <c r="K21" i="26"/>
  <c r="J21" i="26"/>
  <c r="I21" i="26"/>
  <c r="H21" i="26"/>
  <c r="D21" i="26"/>
  <c r="C21" i="26"/>
  <c r="B21" i="26"/>
  <c r="F21" i="26" s="1"/>
  <c r="A21" i="26"/>
  <c r="AK20" i="26"/>
  <c r="AJ20" i="26"/>
  <c r="AI20" i="26"/>
  <c r="AM20" i="26" s="1"/>
  <c r="AH20" i="26"/>
  <c r="AL20" i="26" s="1"/>
  <c r="S20" i="26"/>
  <c r="Q20" i="26"/>
  <c r="K20" i="26"/>
  <c r="J20" i="26"/>
  <c r="I20" i="26"/>
  <c r="H20" i="26"/>
  <c r="D20" i="26"/>
  <c r="C20" i="26"/>
  <c r="B20" i="26"/>
  <c r="F20" i="26" s="1"/>
  <c r="A20" i="26"/>
  <c r="AK19" i="26"/>
  <c r="AJ19" i="26"/>
  <c r="AI19" i="26"/>
  <c r="AM19" i="26" s="1"/>
  <c r="AH19" i="26"/>
  <c r="AL19" i="26" s="1"/>
  <c r="S19" i="26"/>
  <c r="Q19" i="26"/>
  <c r="K19" i="26"/>
  <c r="J19" i="26"/>
  <c r="I19" i="26"/>
  <c r="H19" i="26"/>
  <c r="D19" i="26"/>
  <c r="C19" i="26"/>
  <c r="B19" i="26"/>
  <c r="F19" i="26" s="1"/>
  <c r="A19" i="26"/>
  <c r="AK18" i="26"/>
  <c r="AJ18" i="26"/>
  <c r="AI18" i="26"/>
  <c r="AM18" i="26" s="1"/>
  <c r="AH18" i="26"/>
  <c r="AL18" i="26" s="1"/>
  <c r="S18" i="26"/>
  <c r="Q18" i="26"/>
  <c r="K18" i="26"/>
  <c r="J18" i="26"/>
  <c r="I18" i="26"/>
  <c r="H18" i="26"/>
  <c r="D18" i="26"/>
  <c r="C18" i="26"/>
  <c r="B18" i="26"/>
  <c r="F18" i="26" s="1"/>
  <c r="A18" i="26"/>
  <c r="AK17" i="26"/>
  <c r="AJ17" i="26"/>
  <c r="AI17" i="26"/>
  <c r="AM17" i="26" s="1"/>
  <c r="AH17" i="26"/>
  <c r="AL17" i="26" s="1"/>
  <c r="S17" i="26"/>
  <c r="Q17" i="26"/>
  <c r="K17" i="26"/>
  <c r="J17" i="26"/>
  <c r="I17" i="26"/>
  <c r="H17" i="26"/>
  <c r="D17" i="26"/>
  <c r="C17" i="26"/>
  <c r="B17" i="26"/>
  <c r="F17" i="26" s="1"/>
  <c r="A17" i="26"/>
  <c r="E17" i="26" s="1"/>
  <c r="AK16" i="26"/>
  <c r="AJ16" i="26"/>
  <c r="AI16" i="26"/>
  <c r="AM16" i="26" s="1"/>
  <c r="AH16" i="26"/>
  <c r="AL16" i="26" s="1"/>
  <c r="S16" i="26"/>
  <c r="Q16" i="26"/>
  <c r="K16" i="26"/>
  <c r="J16" i="26"/>
  <c r="I16" i="26"/>
  <c r="H16" i="26"/>
  <c r="D16" i="26"/>
  <c r="C16" i="26"/>
  <c r="B16" i="26"/>
  <c r="F16" i="26" s="1"/>
  <c r="A16" i="26"/>
  <c r="AK15" i="26"/>
  <c r="AJ15" i="26"/>
  <c r="AI15" i="26"/>
  <c r="AM15" i="26" s="1"/>
  <c r="AH15" i="26"/>
  <c r="AL15" i="26" s="1"/>
  <c r="S15" i="26"/>
  <c r="Q15" i="26"/>
  <c r="J15" i="26"/>
  <c r="I15" i="26"/>
  <c r="H15" i="26"/>
  <c r="D15" i="26"/>
  <c r="C15" i="26"/>
  <c r="B15" i="26"/>
  <c r="F15" i="26" s="1"/>
  <c r="A15" i="26"/>
  <c r="AK14" i="26"/>
  <c r="AJ14" i="26"/>
  <c r="AI14" i="26"/>
  <c r="AM14" i="26" s="1"/>
  <c r="AH14" i="26"/>
  <c r="AL14" i="26" s="1"/>
  <c r="S14" i="26"/>
  <c r="Q14" i="26"/>
  <c r="K14" i="26"/>
  <c r="J14" i="26"/>
  <c r="I14" i="26"/>
  <c r="H14" i="26"/>
  <c r="D14" i="26"/>
  <c r="C14" i="26"/>
  <c r="B14" i="26"/>
  <c r="F14" i="26" s="1"/>
  <c r="A14" i="26"/>
  <c r="E14" i="26" s="1"/>
  <c r="AK13" i="26"/>
  <c r="AJ13" i="26"/>
  <c r="AI13" i="26"/>
  <c r="AM13" i="26" s="1"/>
  <c r="AH13" i="26"/>
  <c r="AL13" i="26" s="1"/>
  <c r="S13" i="26"/>
  <c r="Q13" i="26"/>
  <c r="K13" i="26"/>
  <c r="J13" i="26"/>
  <c r="I13" i="26"/>
  <c r="H13" i="26"/>
  <c r="D13" i="26"/>
  <c r="C13" i="26"/>
  <c r="B13" i="26"/>
  <c r="F13" i="26" s="1"/>
  <c r="A13" i="26"/>
  <c r="AK12" i="26"/>
  <c r="AJ12" i="26"/>
  <c r="AI12" i="26"/>
  <c r="AM12" i="26" s="1"/>
  <c r="AH12" i="26"/>
  <c r="AL12" i="26" s="1"/>
  <c r="S12" i="26"/>
  <c r="Q12" i="26"/>
  <c r="K12" i="26"/>
  <c r="J12" i="26"/>
  <c r="I12" i="26"/>
  <c r="H12" i="26"/>
  <c r="D12" i="26"/>
  <c r="C12" i="26"/>
  <c r="B12" i="26"/>
  <c r="F12" i="26" s="1"/>
  <c r="A12" i="26"/>
  <c r="AK11" i="26"/>
  <c r="AJ11" i="26"/>
  <c r="AI11" i="26"/>
  <c r="AM11" i="26" s="1"/>
  <c r="AH11" i="26"/>
  <c r="AL11" i="26" s="1"/>
  <c r="S11" i="26"/>
  <c r="Q11" i="26"/>
  <c r="K11" i="26"/>
  <c r="J11" i="26"/>
  <c r="I11" i="26"/>
  <c r="H11" i="26"/>
  <c r="D11" i="26"/>
  <c r="C11" i="26"/>
  <c r="B11" i="26"/>
  <c r="F11" i="26" s="1"/>
  <c r="A11" i="26"/>
  <c r="AK10" i="26"/>
  <c r="AJ10" i="26"/>
  <c r="AI10" i="26"/>
  <c r="AM10" i="26" s="1"/>
  <c r="AH10" i="26"/>
  <c r="AL10" i="26" s="1"/>
  <c r="S10" i="26"/>
  <c r="Q10" i="26"/>
  <c r="K10" i="26"/>
  <c r="J10" i="26"/>
  <c r="I10" i="26"/>
  <c r="H10" i="26"/>
  <c r="D10" i="26"/>
  <c r="C10" i="26"/>
  <c r="B10" i="26"/>
  <c r="F10" i="26" s="1"/>
  <c r="A10" i="26"/>
  <c r="E10" i="26" s="1"/>
  <c r="AK9" i="26"/>
  <c r="AJ9" i="26"/>
  <c r="AI9" i="26"/>
  <c r="AM9" i="26" s="1"/>
  <c r="AH9" i="26"/>
  <c r="AL9" i="26" s="1"/>
  <c r="S9" i="26"/>
  <c r="Q9" i="26"/>
  <c r="K9" i="26"/>
  <c r="J9" i="26"/>
  <c r="I9" i="26"/>
  <c r="H9" i="26"/>
  <c r="D9" i="26"/>
  <c r="C9" i="26"/>
  <c r="B9" i="26"/>
  <c r="F9" i="26" s="1"/>
  <c r="A9" i="26"/>
  <c r="AK8" i="26"/>
  <c r="AJ8" i="26"/>
  <c r="AI8" i="26"/>
  <c r="AM8" i="26" s="1"/>
  <c r="AH8" i="26"/>
  <c r="AL8" i="26" s="1"/>
  <c r="S8" i="26"/>
  <c r="Q8" i="26"/>
  <c r="K8" i="26"/>
  <c r="J8" i="26"/>
  <c r="I8" i="26"/>
  <c r="H8" i="26"/>
  <c r="D8" i="26"/>
  <c r="C8" i="26"/>
  <c r="B8" i="26"/>
  <c r="F8" i="26" s="1"/>
  <c r="A8" i="26"/>
  <c r="AK7" i="26"/>
  <c r="AJ7" i="26"/>
  <c r="AI7" i="26"/>
  <c r="AM7" i="26" s="1"/>
  <c r="AH7" i="26"/>
  <c r="AL7" i="26" s="1"/>
  <c r="S7" i="26"/>
  <c r="Q7" i="26"/>
  <c r="K7" i="26"/>
  <c r="J7" i="26"/>
  <c r="I7" i="26"/>
  <c r="H7" i="26"/>
  <c r="D7" i="26"/>
  <c r="C7" i="26"/>
  <c r="B7" i="26"/>
  <c r="F7" i="26" s="1"/>
  <c r="A7" i="26"/>
  <c r="AK6" i="26"/>
  <c r="AJ6" i="26"/>
  <c r="AI6" i="26"/>
  <c r="AM6" i="26" s="1"/>
  <c r="AH6" i="26"/>
  <c r="AL6" i="26" s="1"/>
  <c r="S6" i="26"/>
  <c r="Q6" i="26"/>
  <c r="K6" i="26"/>
  <c r="J6" i="26"/>
  <c r="I6" i="26"/>
  <c r="H6" i="26"/>
  <c r="D6" i="26"/>
  <c r="C6" i="26"/>
  <c r="B6" i="26"/>
  <c r="F6" i="26" s="1"/>
  <c r="A6" i="26"/>
  <c r="E6" i="26" s="1"/>
  <c r="AK5" i="26"/>
  <c r="AJ5" i="26"/>
  <c r="AI5" i="26"/>
  <c r="AM5" i="26" s="1"/>
  <c r="AH5" i="26"/>
  <c r="AL5" i="26" s="1"/>
  <c r="S5" i="26"/>
  <c r="Q5" i="26"/>
  <c r="K5" i="26"/>
  <c r="J5" i="26"/>
  <c r="I5" i="26"/>
  <c r="H5" i="26"/>
  <c r="D5" i="26"/>
  <c r="C5" i="26"/>
  <c r="B5" i="26"/>
  <c r="F5" i="26" s="1"/>
  <c r="A5" i="26"/>
  <c r="AK4" i="26"/>
  <c r="AJ4" i="26"/>
  <c r="AI4" i="26"/>
  <c r="AM4" i="26" s="1"/>
  <c r="AH4" i="26"/>
  <c r="AL4" i="26" s="1"/>
  <c r="S4" i="26"/>
  <c r="Q4" i="26"/>
  <c r="K4" i="26"/>
  <c r="J4" i="26"/>
  <c r="I4" i="26"/>
  <c r="H4" i="26"/>
  <c r="D4" i="26"/>
  <c r="BH3" i="26" s="1"/>
  <c r="C4" i="26"/>
  <c r="B4" i="26"/>
  <c r="F4" i="26" s="1"/>
  <c r="A4" i="26"/>
  <c r="AK3" i="26"/>
  <c r="AJ3" i="26"/>
  <c r="AI3" i="26"/>
  <c r="AM3" i="26" s="1"/>
  <c r="AH3" i="26"/>
  <c r="AL3" i="26" s="1"/>
  <c r="S3" i="26"/>
  <c r="Q3" i="26"/>
  <c r="K3" i="26"/>
  <c r="J3" i="26"/>
  <c r="I3" i="26"/>
  <c r="H3" i="26"/>
  <c r="D3" i="26"/>
  <c r="BH2" i="26" s="1"/>
  <c r="C3" i="26"/>
  <c r="B3" i="26"/>
  <c r="F3" i="26" s="1"/>
  <c r="A3" i="26"/>
  <c r="AR2" i="26"/>
  <c r="AK2" i="26"/>
  <c r="AJ2" i="26"/>
  <c r="AI2" i="26"/>
  <c r="AM2" i="26" s="1"/>
  <c r="AH2" i="26"/>
  <c r="AL2" i="26" s="1"/>
  <c r="X2" i="26" a="1"/>
  <c r="S2" i="26"/>
  <c r="N2" i="26"/>
  <c r="J2" i="26"/>
  <c r="I2" i="26"/>
  <c r="H2" i="26"/>
  <c r="D2" i="26"/>
  <c r="C2" i="26"/>
  <c r="B2" i="26"/>
  <c r="F2" i="26" s="1"/>
  <c r="A2" i="26"/>
  <c r="Y1001" i="25"/>
  <c r="Q1001" i="25"/>
  <c r="L1001" i="25"/>
  <c r="F1001" i="25"/>
  <c r="E1001" i="25"/>
  <c r="Y1000" i="25"/>
  <c r="Q1000" i="25"/>
  <c r="L1000" i="25"/>
  <c r="F1000" i="25"/>
  <c r="E1000" i="25"/>
  <c r="Y999" i="25"/>
  <c r="Q999" i="25"/>
  <c r="L999" i="25"/>
  <c r="F999" i="25"/>
  <c r="E999" i="25"/>
  <c r="Y998" i="25"/>
  <c r="Q998" i="25"/>
  <c r="L998" i="25"/>
  <c r="F998" i="25"/>
  <c r="E998" i="25"/>
  <c r="Y997" i="25"/>
  <c r="Q997" i="25"/>
  <c r="L997" i="25"/>
  <c r="F997" i="25"/>
  <c r="E997" i="25"/>
  <c r="Y996" i="25"/>
  <c r="Q996" i="25"/>
  <c r="L996" i="25"/>
  <c r="F996" i="25"/>
  <c r="E996" i="25"/>
  <c r="Y995" i="25"/>
  <c r="Q995" i="25"/>
  <c r="L995" i="25"/>
  <c r="F995" i="25"/>
  <c r="E995" i="25"/>
  <c r="Y994" i="25"/>
  <c r="Q994" i="25"/>
  <c r="L994" i="25"/>
  <c r="F994" i="25"/>
  <c r="E994" i="25"/>
  <c r="Y993" i="25"/>
  <c r="Q993" i="25"/>
  <c r="L993" i="25"/>
  <c r="F993" i="25"/>
  <c r="E993" i="25"/>
  <c r="Y992" i="25"/>
  <c r="Q992" i="25"/>
  <c r="L992" i="25"/>
  <c r="F992" i="25"/>
  <c r="E992" i="25"/>
  <c r="Y991" i="25"/>
  <c r="Q991" i="25"/>
  <c r="L991" i="25"/>
  <c r="F991" i="25"/>
  <c r="E991" i="25"/>
  <c r="Y990" i="25"/>
  <c r="Q990" i="25"/>
  <c r="L990" i="25"/>
  <c r="F990" i="25"/>
  <c r="E990" i="25"/>
  <c r="Y989" i="25"/>
  <c r="Q989" i="25"/>
  <c r="L989" i="25"/>
  <c r="F989" i="25"/>
  <c r="E989" i="25"/>
  <c r="Y988" i="25"/>
  <c r="Q988" i="25"/>
  <c r="L988" i="25"/>
  <c r="F988" i="25"/>
  <c r="E988" i="25"/>
  <c r="Y987" i="25"/>
  <c r="Q987" i="25"/>
  <c r="L987" i="25"/>
  <c r="F987" i="25"/>
  <c r="E987" i="25"/>
  <c r="Y986" i="25"/>
  <c r="Q986" i="25"/>
  <c r="L986" i="25"/>
  <c r="F986" i="25"/>
  <c r="E986" i="25"/>
  <c r="Y985" i="25"/>
  <c r="Q985" i="25"/>
  <c r="L985" i="25"/>
  <c r="F985" i="25"/>
  <c r="E985" i="25"/>
  <c r="Y984" i="25"/>
  <c r="Q984" i="25"/>
  <c r="L984" i="25"/>
  <c r="F984" i="25"/>
  <c r="E984" i="25"/>
  <c r="Y983" i="25"/>
  <c r="Q983" i="25"/>
  <c r="L983" i="25"/>
  <c r="F983" i="25"/>
  <c r="E983" i="25"/>
  <c r="Y982" i="25"/>
  <c r="Q982" i="25"/>
  <c r="L982" i="25"/>
  <c r="F982" i="25"/>
  <c r="E982" i="25"/>
  <c r="Y981" i="25"/>
  <c r="Q981" i="25"/>
  <c r="L981" i="25"/>
  <c r="F981" i="25"/>
  <c r="E981" i="25"/>
  <c r="Y980" i="25"/>
  <c r="Q980" i="25"/>
  <c r="L980" i="25"/>
  <c r="F980" i="25"/>
  <c r="E980" i="25"/>
  <c r="Y979" i="25"/>
  <c r="Q979" i="25"/>
  <c r="L979" i="25"/>
  <c r="F979" i="25"/>
  <c r="E979" i="25"/>
  <c r="Y978" i="25"/>
  <c r="Q978" i="25"/>
  <c r="L978" i="25"/>
  <c r="F978" i="25"/>
  <c r="E978" i="25"/>
  <c r="Y977" i="25"/>
  <c r="Q977" i="25"/>
  <c r="L977" i="25"/>
  <c r="F977" i="25"/>
  <c r="E977" i="25"/>
  <c r="Y976" i="25"/>
  <c r="Q976" i="25"/>
  <c r="L976" i="25"/>
  <c r="F976" i="25"/>
  <c r="E976" i="25"/>
  <c r="Y975" i="25"/>
  <c r="Q975" i="25"/>
  <c r="L975" i="25"/>
  <c r="F975" i="25"/>
  <c r="E975" i="25"/>
  <c r="Y974" i="25"/>
  <c r="Q974" i="25"/>
  <c r="L974" i="25"/>
  <c r="F974" i="25"/>
  <c r="E974" i="25"/>
  <c r="Y973" i="25"/>
  <c r="Q973" i="25"/>
  <c r="L973" i="25"/>
  <c r="F973" i="25"/>
  <c r="E973" i="25"/>
  <c r="Y972" i="25"/>
  <c r="Q972" i="25"/>
  <c r="L972" i="25"/>
  <c r="F972" i="25"/>
  <c r="E972" i="25"/>
  <c r="Y971" i="25"/>
  <c r="Q971" i="25"/>
  <c r="L971" i="25"/>
  <c r="F971" i="25"/>
  <c r="E971" i="25"/>
  <c r="Y970" i="25"/>
  <c r="Q970" i="25"/>
  <c r="L970" i="25"/>
  <c r="F970" i="25"/>
  <c r="E970" i="25"/>
  <c r="Y969" i="25"/>
  <c r="Q969" i="25"/>
  <c r="L969" i="25"/>
  <c r="F969" i="25"/>
  <c r="E969" i="25"/>
  <c r="Y968" i="25"/>
  <c r="Q968" i="25"/>
  <c r="L968" i="25"/>
  <c r="F968" i="25"/>
  <c r="E968" i="25"/>
  <c r="Y967" i="25"/>
  <c r="Q967" i="25"/>
  <c r="L967" i="25"/>
  <c r="F967" i="25"/>
  <c r="E967" i="25"/>
  <c r="Y966" i="25"/>
  <c r="Q966" i="25"/>
  <c r="L966" i="25"/>
  <c r="F966" i="25"/>
  <c r="E966" i="25"/>
  <c r="Y965" i="25"/>
  <c r="Q965" i="25"/>
  <c r="L965" i="25"/>
  <c r="F965" i="25"/>
  <c r="E965" i="25"/>
  <c r="Y964" i="25"/>
  <c r="Q964" i="25"/>
  <c r="L964" i="25"/>
  <c r="F964" i="25"/>
  <c r="E964" i="25"/>
  <c r="Y963" i="25"/>
  <c r="Q963" i="25"/>
  <c r="L963" i="25"/>
  <c r="F963" i="25"/>
  <c r="E963" i="25"/>
  <c r="Y962" i="25"/>
  <c r="Q962" i="25"/>
  <c r="L962" i="25"/>
  <c r="F962" i="25"/>
  <c r="E962" i="25"/>
  <c r="Y961" i="25"/>
  <c r="Q961" i="25"/>
  <c r="L961" i="25"/>
  <c r="F961" i="25"/>
  <c r="E961" i="25"/>
  <c r="Y960" i="25"/>
  <c r="Q960" i="25"/>
  <c r="L960" i="25"/>
  <c r="F960" i="25"/>
  <c r="E960" i="25"/>
  <c r="Y959" i="25"/>
  <c r="Q959" i="25"/>
  <c r="L959" i="25"/>
  <c r="F959" i="25"/>
  <c r="E959" i="25"/>
  <c r="Y958" i="25"/>
  <c r="Q958" i="25"/>
  <c r="L958" i="25"/>
  <c r="F958" i="25"/>
  <c r="E958" i="25"/>
  <c r="Y957" i="25"/>
  <c r="Q957" i="25"/>
  <c r="L957" i="25"/>
  <c r="F957" i="25"/>
  <c r="E957" i="25"/>
  <c r="Y956" i="25"/>
  <c r="Q956" i="25"/>
  <c r="L956" i="25"/>
  <c r="F956" i="25"/>
  <c r="E956" i="25"/>
  <c r="Y955" i="25"/>
  <c r="Q955" i="25"/>
  <c r="L955" i="25"/>
  <c r="F955" i="25"/>
  <c r="E955" i="25"/>
  <c r="Y954" i="25"/>
  <c r="Q954" i="25"/>
  <c r="L954" i="25"/>
  <c r="F954" i="25"/>
  <c r="E954" i="25"/>
  <c r="Y953" i="25"/>
  <c r="Q953" i="25"/>
  <c r="L953" i="25"/>
  <c r="F953" i="25"/>
  <c r="E953" i="25"/>
  <c r="Y952" i="25"/>
  <c r="Q952" i="25"/>
  <c r="L952" i="25"/>
  <c r="F952" i="25"/>
  <c r="E952" i="25"/>
  <c r="Y951" i="25"/>
  <c r="Q951" i="25"/>
  <c r="L951" i="25"/>
  <c r="F951" i="25"/>
  <c r="E951" i="25"/>
  <c r="Y950" i="25"/>
  <c r="Q950" i="25"/>
  <c r="L950" i="25"/>
  <c r="F950" i="25"/>
  <c r="E950" i="25"/>
  <c r="Y949" i="25"/>
  <c r="Q949" i="25"/>
  <c r="L949" i="25"/>
  <c r="F949" i="25"/>
  <c r="E949" i="25"/>
  <c r="Y948" i="25"/>
  <c r="Q948" i="25"/>
  <c r="L948" i="25"/>
  <c r="F948" i="25"/>
  <c r="E948" i="25"/>
  <c r="Y947" i="25"/>
  <c r="Q947" i="25"/>
  <c r="L947" i="25"/>
  <c r="F947" i="25"/>
  <c r="E947" i="25"/>
  <c r="Y946" i="25"/>
  <c r="Q946" i="25"/>
  <c r="L946" i="25"/>
  <c r="F946" i="25"/>
  <c r="E946" i="25"/>
  <c r="Y945" i="25"/>
  <c r="Q945" i="25"/>
  <c r="L945" i="25"/>
  <c r="F945" i="25"/>
  <c r="E945" i="25"/>
  <c r="Y944" i="25"/>
  <c r="Q944" i="25"/>
  <c r="L944" i="25"/>
  <c r="F944" i="25"/>
  <c r="E944" i="25"/>
  <c r="Y943" i="25"/>
  <c r="Q943" i="25"/>
  <c r="L943" i="25"/>
  <c r="F943" i="25"/>
  <c r="E943" i="25"/>
  <c r="Y942" i="25"/>
  <c r="Q942" i="25"/>
  <c r="L942" i="25"/>
  <c r="F942" i="25"/>
  <c r="E942" i="25"/>
  <c r="Y941" i="25"/>
  <c r="Q941" i="25"/>
  <c r="L941" i="25"/>
  <c r="F941" i="25"/>
  <c r="E941" i="25"/>
  <c r="Y940" i="25"/>
  <c r="Q940" i="25"/>
  <c r="L940" i="25"/>
  <c r="F940" i="25"/>
  <c r="E940" i="25"/>
  <c r="Y939" i="25"/>
  <c r="Q939" i="25"/>
  <c r="L939" i="25"/>
  <c r="F939" i="25"/>
  <c r="E939" i="25"/>
  <c r="Y938" i="25"/>
  <c r="Q938" i="25"/>
  <c r="L938" i="25"/>
  <c r="F938" i="25"/>
  <c r="E938" i="25"/>
  <c r="Y937" i="25"/>
  <c r="Q937" i="25"/>
  <c r="L937" i="25"/>
  <c r="F937" i="25"/>
  <c r="E937" i="25"/>
  <c r="Y936" i="25"/>
  <c r="Q936" i="25"/>
  <c r="L936" i="25"/>
  <c r="F936" i="25"/>
  <c r="E936" i="25"/>
  <c r="Y935" i="25"/>
  <c r="Q935" i="25"/>
  <c r="L935" i="25"/>
  <c r="F935" i="25"/>
  <c r="E935" i="25"/>
  <c r="Y934" i="25"/>
  <c r="Q934" i="25"/>
  <c r="L934" i="25"/>
  <c r="F934" i="25"/>
  <c r="E934" i="25"/>
  <c r="Y933" i="25"/>
  <c r="Q933" i="25"/>
  <c r="L933" i="25"/>
  <c r="F933" i="25"/>
  <c r="E933" i="25"/>
  <c r="Y932" i="25"/>
  <c r="Q932" i="25"/>
  <c r="L932" i="25"/>
  <c r="F932" i="25"/>
  <c r="E932" i="25"/>
  <c r="Y931" i="25"/>
  <c r="Q931" i="25"/>
  <c r="L931" i="25"/>
  <c r="F931" i="25"/>
  <c r="E931" i="25"/>
  <c r="Y930" i="25"/>
  <c r="Q930" i="25"/>
  <c r="L930" i="25"/>
  <c r="F930" i="25"/>
  <c r="E930" i="25"/>
  <c r="Y929" i="25"/>
  <c r="Q929" i="25"/>
  <c r="L929" i="25"/>
  <c r="F929" i="25"/>
  <c r="E929" i="25"/>
  <c r="Y928" i="25"/>
  <c r="Q928" i="25"/>
  <c r="L928" i="25"/>
  <c r="F928" i="25"/>
  <c r="E928" i="25"/>
  <c r="Y927" i="25"/>
  <c r="Q927" i="25"/>
  <c r="L927" i="25"/>
  <c r="F927" i="25"/>
  <c r="E927" i="25"/>
  <c r="Y926" i="25"/>
  <c r="Q926" i="25"/>
  <c r="L926" i="25"/>
  <c r="F926" i="25"/>
  <c r="E926" i="25"/>
  <c r="Y925" i="25"/>
  <c r="Q925" i="25"/>
  <c r="L925" i="25"/>
  <c r="F925" i="25"/>
  <c r="E925" i="25"/>
  <c r="Y924" i="25"/>
  <c r="Q924" i="25"/>
  <c r="L924" i="25"/>
  <c r="F924" i="25"/>
  <c r="E924" i="25"/>
  <c r="Y923" i="25"/>
  <c r="Q923" i="25"/>
  <c r="L923" i="25"/>
  <c r="F923" i="25"/>
  <c r="E923" i="25"/>
  <c r="Y922" i="25"/>
  <c r="Q922" i="25"/>
  <c r="L922" i="25"/>
  <c r="F922" i="25"/>
  <c r="E922" i="25"/>
  <c r="Y921" i="25"/>
  <c r="Q921" i="25"/>
  <c r="L921" i="25"/>
  <c r="F921" i="25"/>
  <c r="E921" i="25"/>
  <c r="Y920" i="25"/>
  <c r="Q920" i="25"/>
  <c r="L920" i="25"/>
  <c r="F920" i="25"/>
  <c r="E920" i="25"/>
  <c r="Y919" i="25"/>
  <c r="Q919" i="25"/>
  <c r="L919" i="25"/>
  <c r="F919" i="25"/>
  <c r="E919" i="25"/>
  <c r="Y918" i="25"/>
  <c r="Q918" i="25"/>
  <c r="L918" i="25"/>
  <c r="F918" i="25"/>
  <c r="E918" i="25"/>
  <c r="Y917" i="25"/>
  <c r="Q917" i="25"/>
  <c r="L917" i="25"/>
  <c r="F917" i="25"/>
  <c r="E917" i="25"/>
  <c r="Y916" i="25"/>
  <c r="Q916" i="25"/>
  <c r="L916" i="25"/>
  <c r="F916" i="25"/>
  <c r="E916" i="25"/>
  <c r="Y915" i="25"/>
  <c r="Q915" i="25"/>
  <c r="L915" i="25"/>
  <c r="F915" i="25"/>
  <c r="E915" i="25"/>
  <c r="Y914" i="25"/>
  <c r="Q914" i="25"/>
  <c r="L914" i="25"/>
  <c r="F914" i="25"/>
  <c r="E914" i="25"/>
  <c r="Y913" i="25"/>
  <c r="Q913" i="25"/>
  <c r="L913" i="25"/>
  <c r="F913" i="25"/>
  <c r="E913" i="25"/>
  <c r="Y912" i="25"/>
  <c r="Q912" i="25"/>
  <c r="L912" i="25"/>
  <c r="F912" i="25"/>
  <c r="E912" i="25"/>
  <c r="Y911" i="25"/>
  <c r="Q911" i="25"/>
  <c r="L911" i="25"/>
  <c r="F911" i="25"/>
  <c r="E911" i="25"/>
  <c r="Y910" i="25"/>
  <c r="Q910" i="25"/>
  <c r="L910" i="25"/>
  <c r="F910" i="25"/>
  <c r="E910" i="25"/>
  <c r="Y909" i="25"/>
  <c r="Q909" i="25"/>
  <c r="L909" i="25"/>
  <c r="F909" i="25"/>
  <c r="E909" i="25"/>
  <c r="Y908" i="25"/>
  <c r="Q908" i="25"/>
  <c r="L908" i="25"/>
  <c r="F908" i="25"/>
  <c r="E908" i="25"/>
  <c r="Y907" i="25"/>
  <c r="Q907" i="25"/>
  <c r="L907" i="25"/>
  <c r="F907" i="25"/>
  <c r="E907" i="25"/>
  <c r="Y906" i="25"/>
  <c r="Q906" i="25"/>
  <c r="L906" i="25"/>
  <c r="F906" i="25"/>
  <c r="E906" i="25"/>
  <c r="Y905" i="25"/>
  <c r="Q905" i="25"/>
  <c r="L905" i="25"/>
  <c r="F905" i="25"/>
  <c r="E905" i="25"/>
  <c r="Y904" i="25"/>
  <c r="Q904" i="25"/>
  <c r="L904" i="25"/>
  <c r="F904" i="25"/>
  <c r="E904" i="25"/>
  <c r="Y903" i="25"/>
  <c r="Q903" i="25"/>
  <c r="L903" i="25"/>
  <c r="F903" i="25"/>
  <c r="E903" i="25"/>
  <c r="Y902" i="25"/>
  <c r="Q902" i="25"/>
  <c r="L902" i="25"/>
  <c r="F902" i="25"/>
  <c r="E902" i="25"/>
  <c r="Y901" i="25"/>
  <c r="Q901" i="25"/>
  <c r="L901" i="25"/>
  <c r="F901" i="25"/>
  <c r="E901" i="25"/>
  <c r="Y900" i="25"/>
  <c r="Q900" i="25"/>
  <c r="L900" i="25"/>
  <c r="F900" i="25"/>
  <c r="E900" i="25"/>
  <c r="Y899" i="25"/>
  <c r="Q899" i="25"/>
  <c r="L899" i="25"/>
  <c r="F899" i="25"/>
  <c r="E899" i="25"/>
  <c r="Y898" i="25"/>
  <c r="Q898" i="25"/>
  <c r="L898" i="25"/>
  <c r="F898" i="25"/>
  <c r="E898" i="25"/>
  <c r="Y897" i="25"/>
  <c r="Q897" i="25"/>
  <c r="L897" i="25"/>
  <c r="F897" i="25"/>
  <c r="E897" i="25"/>
  <c r="Y896" i="25"/>
  <c r="Q896" i="25"/>
  <c r="L896" i="25"/>
  <c r="F896" i="25"/>
  <c r="E896" i="25"/>
  <c r="Y895" i="25"/>
  <c r="Q895" i="25"/>
  <c r="L895" i="25"/>
  <c r="F895" i="25"/>
  <c r="E895" i="25"/>
  <c r="Y894" i="25"/>
  <c r="Q894" i="25"/>
  <c r="L894" i="25"/>
  <c r="F894" i="25"/>
  <c r="E894" i="25"/>
  <c r="Y893" i="25"/>
  <c r="Q893" i="25"/>
  <c r="L893" i="25"/>
  <c r="F893" i="25"/>
  <c r="E893" i="25"/>
  <c r="Y892" i="25"/>
  <c r="Q892" i="25"/>
  <c r="L892" i="25"/>
  <c r="F892" i="25"/>
  <c r="E892" i="25"/>
  <c r="Y891" i="25"/>
  <c r="Q891" i="25"/>
  <c r="L891" i="25"/>
  <c r="F891" i="25"/>
  <c r="E891" i="25"/>
  <c r="Y890" i="25"/>
  <c r="Q890" i="25"/>
  <c r="L890" i="25"/>
  <c r="F890" i="25"/>
  <c r="E890" i="25"/>
  <c r="Y889" i="25"/>
  <c r="Q889" i="25"/>
  <c r="L889" i="25"/>
  <c r="F889" i="25"/>
  <c r="E889" i="25"/>
  <c r="Y888" i="25"/>
  <c r="Q888" i="25"/>
  <c r="L888" i="25"/>
  <c r="F888" i="25"/>
  <c r="E888" i="25"/>
  <c r="Y887" i="25"/>
  <c r="Q887" i="25"/>
  <c r="L887" i="25"/>
  <c r="F887" i="25"/>
  <c r="E887" i="25"/>
  <c r="Y886" i="25"/>
  <c r="Q886" i="25"/>
  <c r="L886" i="25"/>
  <c r="F886" i="25"/>
  <c r="E886" i="25"/>
  <c r="Y885" i="25"/>
  <c r="Q885" i="25"/>
  <c r="L885" i="25"/>
  <c r="F885" i="25"/>
  <c r="E885" i="25"/>
  <c r="Y884" i="25"/>
  <c r="Q884" i="25"/>
  <c r="L884" i="25"/>
  <c r="F884" i="25"/>
  <c r="E884" i="25"/>
  <c r="Y883" i="25"/>
  <c r="Q883" i="25"/>
  <c r="L883" i="25"/>
  <c r="F883" i="25"/>
  <c r="E883" i="25"/>
  <c r="Y882" i="25"/>
  <c r="Q882" i="25"/>
  <c r="L882" i="25"/>
  <c r="F882" i="25"/>
  <c r="E882" i="25"/>
  <c r="Y881" i="25"/>
  <c r="Q881" i="25"/>
  <c r="L881" i="25"/>
  <c r="F881" i="25"/>
  <c r="E881" i="25"/>
  <c r="Y880" i="25"/>
  <c r="Q880" i="25"/>
  <c r="L880" i="25"/>
  <c r="F880" i="25"/>
  <c r="E880" i="25"/>
  <c r="Y879" i="25"/>
  <c r="Q879" i="25"/>
  <c r="L879" i="25"/>
  <c r="F879" i="25"/>
  <c r="E879" i="25"/>
  <c r="Y878" i="25"/>
  <c r="Q878" i="25"/>
  <c r="L878" i="25"/>
  <c r="F878" i="25"/>
  <c r="E878" i="25"/>
  <c r="Y877" i="25"/>
  <c r="Q877" i="25"/>
  <c r="L877" i="25"/>
  <c r="F877" i="25"/>
  <c r="E877" i="25"/>
  <c r="Y876" i="25"/>
  <c r="Q876" i="25"/>
  <c r="L876" i="25"/>
  <c r="F876" i="25"/>
  <c r="E876" i="25"/>
  <c r="Y875" i="25"/>
  <c r="Q875" i="25"/>
  <c r="L875" i="25"/>
  <c r="F875" i="25"/>
  <c r="E875" i="25"/>
  <c r="Y874" i="25"/>
  <c r="Q874" i="25"/>
  <c r="L874" i="25"/>
  <c r="F874" i="25"/>
  <c r="E874" i="25"/>
  <c r="Y873" i="25"/>
  <c r="Q873" i="25"/>
  <c r="L873" i="25"/>
  <c r="F873" i="25"/>
  <c r="E873" i="25"/>
  <c r="Y872" i="25"/>
  <c r="Q872" i="25"/>
  <c r="L872" i="25"/>
  <c r="F872" i="25"/>
  <c r="E872" i="25"/>
  <c r="Y871" i="25"/>
  <c r="Q871" i="25"/>
  <c r="L871" i="25"/>
  <c r="F871" i="25"/>
  <c r="E871" i="25"/>
  <c r="Y870" i="25"/>
  <c r="Q870" i="25"/>
  <c r="L870" i="25"/>
  <c r="F870" i="25"/>
  <c r="E870" i="25"/>
  <c r="Y869" i="25"/>
  <c r="Q869" i="25"/>
  <c r="L869" i="25"/>
  <c r="F869" i="25"/>
  <c r="E869" i="25"/>
  <c r="Y868" i="25"/>
  <c r="Q868" i="25"/>
  <c r="L868" i="25"/>
  <c r="F868" i="25"/>
  <c r="E868" i="25"/>
  <c r="Y867" i="25"/>
  <c r="Q867" i="25"/>
  <c r="L867" i="25"/>
  <c r="F867" i="25"/>
  <c r="E867" i="25"/>
  <c r="Y866" i="25"/>
  <c r="Q866" i="25"/>
  <c r="L866" i="25"/>
  <c r="F866" i="25"/>
  <c r="E866" i="25"/>
  <c r="Y865" i="25"/>
  <c r="Q865" i="25"/>
  <c r="L865" i="25"/>
  <c r="F865" i="25"/>
  <c r="E865" i="25"/>
  <c r="Y864" i="25"/>
  <c r="Q864" i="25"/>
  <c r="L864" i="25"/>
  <c r="F864" i="25"/>
  <c r="E864" i="25"/>
  <c r="Y863" i="25"/>
  <c r="Q863" i="25"/>
  <c r="L863" i="25"/>
  <c r="F863" i="25"/>
  <c r="E863" i="25"/>
  <c r="Y862" i="25"/>
  <c r="Q862" i="25"/>
  <c r="L862" i="25"/>
  <c r="F862" i="25"/>
  <c r="E862" i="25"/>
  <c r="Y861" i="25"/>
  <c r="Q861" i="25"/>
  <c r="L861" i="25"/>
  <c r="F861" i="25"/>
  <c r="E861" i="25"/>
  <c r="Y860" i="25"/>
  <c r="Q860" i="25"/>
  <c r="L860" i="25"/>
  <c r="F860" i="25"/>
  <c r="E860" i="25"/>
  <c r="Y859" i="25"/>
  <c r="Q859" i="25"/>
  <c r="L859" i="25"/>
  <c r="F859" i="25"/>
  <c r="E859" i="25"/>
  <c r="Y858" i="25"/>
  <c r="Q858" i="25"/>
  <c r="L858" i="25"/>
  <c r="F858" i="25"/>
  <c r="E858" i="25"/>
  <c r="Y857" i="25"/>
  <c r="Q857" i="25"/>
  <c r="L857" i="25"/>
  <c r="F857" i="25"/>
  <c r="E857" i="25"/>
  <c r="Y856" i="25"/>
  <c r="Q856" i="25"/>
  <c r="L856" i="25"/>
  <c r="F856" i="25"/>
  <c r="E856" i="25"/>
  <c r="Y855" i="25"/>
  <c r="Q855" i="25"/>
  <c r="L855" i="25"/>
  <c r="F855" i="25"/>
  <c r="E855" i="25"/>
  <c r="Y854" i="25"/>
  <c r="Q854" i="25"/>
  <c r="L854" i="25"/>
  <c r="F854" i="25"/>
  <c r="E854" i="25"/>
  <c r="Y853" i="25"/>
  <c r="Q853" i="25"/>
  <c r="L853" i="25"/>
  <c r="F853" i="25"/>
  <c r="E853" i="25"/>
  <c r="Y852" i="25"/>
  <c r="Q852" i="25"/>
  <c r="L852" i="25"/>
  <c r="F852" i="25"/>
  <c r="E852" i="25"/>
  <c r="Y851" i="25"/>
  <c r="Q851" i="25"/>
  <c r="L851" i="25"/>
  <c r="F851" i="25"/>
  <c r="E851" i="25"/>
  <c r="Y850" i="25"/>
  <c r="Q850" i="25"/>
  <c r="L850" i="25"/>
  <c r="F850" i="25"/>
  <c r="E850" i="25"/>
  <c r="Y849" i="25"/>
  <c r="Q849" i="25"/>
  <c r="L849" i="25"/>
  <c r="F849" i="25"/>
  <c r="E849" i="25"/>
  <c r="Y848" i="25"/>
  <c r="Q848" i="25"/>
  <c r="L848" i="25"/>
  <c r="F848" i="25"/>
  <c r="E848" i="25"/>
  <c r="Y847" i="25"/>
  <c r="Q847" i="25"/>
  <c r="L847" i="25"/>
  <c r="F847" i="25"/>
  <c r="E847" i="25"/>
  <c r="Y846" i="25"/>
  <c r="Q846" i="25"/>
  <c r="L846" i="25"/>
  <c r="F846" i="25"/>
  <c r="E846" i="25"/>
  <c r="Y845" i="25"/>
  <c r="Q845" i="25"/>
  <c r="L845" i="25"/>
  <c r="F845" i="25"/>
  <c r="E845" i="25"/>
  <c r="Y844" i="25"/>
  <c r="Q844" i="25"/>
  <c r="L844" i="25"/>
  <c r="F844" i="25"/>
  <c r="E844" i="25"/>
  <c r="Y843" i="25"/>
  <c r="Q843" i="25"/>
  <c r="L843" i="25"/>
  <c r="F843" i="25"/>
  <c r="E843" i="25"/>
  <c r="Y842" i="25"/>
  <c r="Q842" i="25"/>
  <c r="L842" i="25"/>
  <c r="F842" i="25"/>
  <c r="E842" i="25"/>
  <c r="Y841" i="25"/>
  <c r="Q841" i="25"/>
  <c r="L841" i="25"/>
  <c r="F841" i="25"/>
  <c r="E841" i="25"/>
  <c r="Y840" i="25"/>
  <c r="Q840" i="25"/>
  <c r="L840" i="25"/>
  <c r="F840" i="25"/>
  <c r="E840" i="25"/>
  <c r="Y839" i="25"/>
  <c r="Q839" i="25"/>
  <c r="L839" i="25"/>
  <c r="F839" i="25"/>
  <c r="E839" i="25"/>
  <c r="Y838" i="25"/>
  <c r="Q838" i="25"/>
  <c r="L838" i="25"/>
  <c r="F838" i="25"/>
  <c r="E838" i="25"/>
  <c r="Y837" i="25"/>
  <c r="Q837" i="25"/>
  <c r="L837" i="25"/>
  <c r="F837" i="25"/>
  <c r="E837" i="25"/>
  <c r="Y836" i="25"/>
  <c r="Q836" i="25"/>
  <c r="L836" i="25"/>
  <c r="F836" i="25"/>
  <c r="E836" i="25"/>
  <c r="Y835" i="25"/>
  <c r="Q835" i="25"/>
  <c r="L835" i="25"/>
  <c r="F835" i="25"/>
  <c r="E835" i="25"/>
  <c r="Y834" i="25"/>
  <c r="Q834" i="25"/>
  <c r="L834" i="25"/>
  <c r="F834" i="25"/>
  <c r="E834" i="25"/>
  <c r="Y833" i="25"/>
  <c r="Q833" i="25"/>
  <c r="L833" i="25"/>
  <c r="F833" i="25"/>
  <c r="E833" i="25"/>
  <c r="Y832" i="25"/>
  <c r="Q832" i="25"/>
  <c r="L832" i="25"/>
  <c r="F832" i="25"/>
  <c r="E832" i="25"/>
  <c r="Y831" i="25"/>
  <c r="Q831" i="25"/>
  <c r="L831" i="25"/>
  <c r="F831" i="25"/>
  <c r="E831" i="25"/>
  <c r="Y830" i="25"/>
  <c r="Q830" i="25"/>
  <c r="L830" i="25"/>
  <c r="F830" i="25"/>
  <c r="E830" i="25"/>
  <c r="Y829" i="25"/>
  <c r="Q829" i="25"/>
  <c r="L829" i="25"/>
  <c r="F829" i="25"/>
  <c r="E829" i="25"/>
  <c r="Y828" i="25"/>
  <c r="Q828" i="25"/>
  <c r="L828" i="25"/>
  <c r="F828" i="25"/>
  <c r="E828" i="25"/>
  <c r="Y827" i="25"/>
  <c r="Q827" i="25"/>
  <c r="L827" i="25"/>
  <c r="F827" i="25"/>
  <c r="E827" i="25"/>
  <c r="Y826" i="25"/>
  <c r="Q826" i="25"/>
  <c r="L826" i="25"/>
  <c r="F826" i="25"/>
  <c r="E826" i="25"/>
  <c r="Y825" i="25"/>
  <c r="Q825" i="25"/>
  <c r="L825" i="25"/>
  <c r="F825" i="25"/>
  <c r="E825" i="25"/>
  <c r="Y824" i="25"/>
  <c r="Q824" i="25"/>
  <c r="L824" i="25"/>
  <c r="F824" i="25"/>
  <c r="E824" i="25"/>
  <c r="Y823" i="25"/>
  <c r="Q823" i="25"/>
  <c r="L823" i="25"/>
  <c r="F823" i="25"/>
  <c r="E823" i="25"/>
  <c r="Y822" i="25"/>
  <c r="Q822" i="25"/>
  <c r="L822" i="25"/>
  <c r="F822" i="25"/>
  <c r="E822" i="25"/>
  <c r="Y821" i="25"/>
  <c r="Q821" i="25"/>
  <c r="L821" i="25"/>
  <c r="F821" i="25"/>
  <c r="E821" i="25"/>
  <c r="Y820" i="25"/>
  <c r="Q820" i="25"/>
  <c r="L820" i="25"/>
  <c r="F820" i="25"/>
  <c r="E820" i="25"/>
  <c r="Y819" i="25"/>
  <c r="Q819" i="25"/>
  <c r="L819" i="25"/>
  <c r="F819" i="25"/>
  <c r="E819" i="25"/>
  <c r="Y818" i="25"/>
  <c r="Q818" i="25"/>
  <c r="L818" i="25"/>
  <c r="F818" i="25"/>
  <c r="E818" i="25"/>
  <c r="Y817" i="25"/>
  <c r="Q817" i="25"/>
  <c r="L817" i="25"/>
  <c r="F817" i="25"/>
  <c r="E817" i="25"/>
  <c r="Y816" i="25"/>
  <c r="Q816" i="25"/>
  <c r="L816" i="25"/>
  <c r="F816" i="25"/>
  <c r="E816" i="25"/>
  <c r="Y815" i="25"/>
  <c r="Q815" i="25"/>
  <c r="L815" i="25"/>
  <c r="F815" i="25"/>
  <c r="E815" i="25"/>
  <c r="Y814" i="25"/>
  <c r="Q814" i="25"/>
  <c r="L814" i="25"/>
  <c r="F814" i="25"/>
  <c r="E814" i="25"/>
  <c r="Y813" i="25"/>
  <c r="Q813" i="25"/>
  <c r="L813" i="25"/>
  <c r="F813" i="25"/>
  <c r="E813" i="25"/>
  <c r="Y812" i="25"/>
  <c r="Q812" i="25"/>
  <c r="L812" i="25"/>
  <c r="F812" i="25"/>
  <c r="E812" i="25"/>
  <c r="Y811" i="25"/>
  <c r="Q811" i="25"/>
  <c r="L811" i="25"/>
  <c r="F811" i="25"/>
  <c r="E811" i="25"/>
  <c r="Y810" i="25"/>
  <c r="Q810" i="25"/>
  <c r="L810" i="25"/>
  <c r="F810" i="25"/>
  <c r="E810" i="25"/>
  <c r="Y809" i="25"/>
  <c r="Q809" i="25"/>
  <c r="L809" i="25"/>
  <c r="F809" i="25"/>
  <c r="E809" i="25"/>
  <c r="Y808" i="25"/>
  <c r="Q808" i="25"/>
  <c r="L808" i="25"/>
  <c r="F808" i="25"/>
  <c r="E808" i="25"/>
  <c r="Y807" i="25"/>
  <c r="Q807" i="25"/>
  <c r="L807" i="25"/>
  <c r="F807" i="25"/>
  <c r="E807" i="25"/>
  <c r="Y806" i="25"/>
  <c r="Q806" i="25"/>
  <c r="L806" i="25"/>
  <c r="F806" i="25"/>
  <c r="E806" i="25"/>
  <c r="Y805" i="25"/>
  <c r="Q805" i="25"/>
  <c r="L805" i="25"/>
  <c r="F805" i="25"/>
  <c r="E805" i="25"/>
  <c r="Y804" i="25"/>
  <c r="Q804" i="25"/>
  <c r="L804" i="25"/>
  <c r="F804" i="25"/>
  <c r="E804" i="25"/>
  <c r="Y803" i="25"/>
  <c r="Q803" i="25"/>
  <c r="L803" i="25"/>
  <c r="F803" i="25"/>
  <c r="E803" i="25"/>
  <c r="Y802" i="25"/>
  <c r="Q802" i="25"/>
  <c r="L802" i="25"/>
  <c r="F802" i="25"/>
  <c r="E802" i="25"/>
  <c r="Y801" i="25"/>
  <c r="Q801" i="25"/>
  <c r="L801" i="25"/>
  <c r="F801" i="25"/>
  <c r="E801" i="25"/>
  <c r="Y800" i="25"/>
  <c r="Q800" i="25"/>
  <c r="L800" i="25"/>
  <c r="F800" i="25"/>
  <c r="E800" i="25"/>
  <c r="Y799" i="25"/>
  <c r="Q799" i="25"/>
  <c r="L799" i="25"/>
  <c r="F799" i="25"/>
  <c r="E799" i="25"/>
  <c r="Y798" i="25"/>
  <c r="Q798" i="25"/>
  <c r="L798" i="25"/>
  <c r="F798" i="25"/>
  <c r="E798" i="25"/>
  <c r="Y797" i="25"/>
  <c r="Q797" i="25"/>
  <c r="L797" i="25"/>
  <c r="F797" i="25"/>
  <c r="E797" i="25"/>
  <c r="Y796" i="25"/>
  <c r="Q796" i="25"/>
  <c r="L796" i="25"/>
  <c r="F796" i="25"/>
  <c r="E796" i="25"/>
  <c r="Y795" i="25"/>
  <c r="Q795" i="25"/>
  <c r="L795" i="25"/>
  <c r="F795" i="25"/>
  <c r="E795" i="25"/>
  <c r="Y794" i="25"/>
  <c r="Q794" i="25"/>
  <c r="L794" i="25"/>
  <c r="F794" i="25"/>
  <c r="E794" i="25"/>
  <c r="Y793" i="25"/>
  <c r="Q793" i="25"/>
  <c r="L793" i="25"/>
  <c r="F793" i="25"/>
  <c r="E793" i="25"/>
  <c r="Y792" i="25"/>
  <c r="Q792" i="25"/>
  <c r="L792" i="25"/>
  <c r="F792" i="25"/>
  <c r="E792" i="25"/>
  <c r="Y791" i="25"/>
  <c r="Q791" i="25"/>
  <c r="L791" i="25"/>
  <c r="F791" i="25"/>
  <c r="E791" i="25"/>
  <c r="Y790" i="25"/>
  <c r="Q790" i="25"/>
  <c r="L790" i="25"/>
  <c r="F790" i="25"/>
  <c r="E790" i="25"/>
  <c r="Y789" i="25"/>
  <c r="Q789" i="25"/>
  <c r="L789" i="25"/>
  <c r="F789" i="25"/>
  <c r="E789" i="25"/>
  <c r="Y788" i="25"/>
  <c r="Q788" i="25"/>
  <c r="L788" i="25"/>
  <c r="F788" i="25"/>
  <c r="E788" i="25"/>
  <c r="Y787" i="25"/>
  <c r="Q787" i="25"/>
  <c r="L787" i="25"/>
  <c r="F787" i="25"/>
  <c r="E787" i="25"/>
  <c r="Y786" i="25"/>
  <c r="Q786" i="25"/>
  <c r="L786" i="25"/>
  <c r="F786" i="25"/>
  <c r="E786" i="25"/>
  <c r="Y785" i="25"/>
  <c r="Q785" i="25"/>
  <c r="L785" i="25"/>
  <c r="F785" i="25"/>
  <c r="E785" i="25"/>
  <c r="Y784" i="25"/>
  <c r="Q784" i="25"/>
  <c r="L784" i="25"/>
  <c r="F784" i="25"/>
  <c r="E784" i="25"/>
  <c r="Y783" i="25"/>
  <c r="Q783" i="25"/>
  <c r="L783" i="25"/>
  <c r="F783" i="25"/>
  <c r="E783" i="25"/>
  <c r="Y782" i="25"/>
  <c r="Q782" i="25"/>
  <c r="L782" i="25"/>
  <c r="F782" i="25"/>
  <c r="E782" i="25"/>
  <c r="Y781" i="25"/>
  <c r="Q781" i="25"/>
  <c r="L781" i="25"/>
  <c r="F781" i="25"/>
  <c r="E781" i="25"/>
  <c r="Y780" i="25"/>
  <c r="Q780" i="25"/>
  <c r="L780" i="25"/>
  <c r="F780" i="25"/>
  <c r="E780" i="25"/>
  <c r="Y779" i="25"/>
  <c r="Q779" i="25"/>
  <c r="L779" i="25"/>
  <c r="F779" i="25"/>
  <c r="E779" i="25"/>
  <c r="Y778" i="25"/>
  <c r="Q778" i="25"/>
  <c r="L778" i="25"/>
  <c r="F778" i="25"/>
  <c r="E778" i="25"/>
  <c r="Y777" i="25"/>
  <c r="Q777" i="25"/>
  <c r="L777" i="25"/>
  <c r="F777" i="25"/>
  <c r="E777" i="25"/>
  <c r="Y776" i="25"/>
  <c r="Q776" i="25"/>
  <c r="L776" i="25"/>
  <c r="F776" i="25"/>
  <c r="E776" i="25"/>
  <c r="Y775" i="25"/>
  <c r="Q775" i="25"/>
  <c r="L775" i="25"/>
  <c r="F775" i="25"/>
  <c r="E775" i="25"/>
  <c r="Y774" i="25"/>
  <c r="Q774" i="25"/>
  <c r="L774" i="25"/>
  <c r="F774" i="25"/>
  <c r="E774" i="25"/>
  <c r="Y773" i="25"/>
  <c r="Q773" i="25"/>
  <c r="L773" i="25"/>
  <c r="F773" i="25"/>
  <c r="E773" i="25"/>
  <c r="Y772" i="25"/>
  <c r="Q772" i="25"/>
  <c r="L772" i="25"/>
  <c r="F772" i="25"/>
  <c r="E772" i="25"/>
  <c r="Y771" i="25"/>
  <c r="Q771" i="25"/>
  <c r="L771" i="25"/>
  <c r="F771" i="25"/>
  <c r="E771" i="25"/>
  <c r="Y770" i="25"/>
  <c r="Q770" i="25"/>
  <c r="L770" i="25"/>
  <c r="F770" i="25"/>
  <c r="E770" i="25"/>
  <c r="Y769" i="25"/>
  <c r="Q769" i="25"/>
  <c r="L769" i="25"/>
  <c r="F769" i="25"/>
  <c r="E769" i="25"/>
  <c r="Y768" i="25"/>
  <c r="Q768" i="25"/>
  <c r="L768" i="25"/>
  <c r="F768" i="25"/>
  <c r="E768" i="25"/>
  <c r="Y767" i="25"/>
  <c r="Q767" i="25"/>
  <c r="L767" i="25"/>
  <c r="F767" i="25"/>
  <c r="E767" i="25"/>
  <c r="Y766" i="25"/>
  <c r="Q766" i="25"/>
  <c r="L766" i="25"/>
  <c r="F766" i="25"/>
  <c r="E766" i="25"/>
  <c r="Y765" i="25"/>
  <c r="Q765" i="25"/>
  <c r="L765" i="25"/>
  <c r="F765" i="25"/>
  <c r="E765" i="25"/>
  <c r="Y764" i="25"/>
  <c r="Q764" i="25"/>
  <c r="L764" i="25"/>
  <c r="F764" i="25"/>
  <c r="E764" i="25"/>
  <c r="Y763" i="25"/>
  <c r="Q763" i="25"/>
  <c r="L763" i="25"/>
  <c r="F763" i="25"/>
  <c r="E763" i="25"/>
  <c r="Y762" i="25"/>
  <c r="Q762" i="25"/>
  <c r="L762" i="25"/>
  <c r="F762" i="25"/>
  <c r="E762" i="25"/>
  <c r="Y761" i="25"/>
  <c r="Q761" i="25"/>
  <c r="L761" i="25"/>
  <c r="F761" i="25"/>
  <c r="E761" i="25"/>
  <c r="Y760" i="25"/>
  <c r="Q760" i="25"/>
  <c r="L760" i="25"/>
  <c r="F760" i="25"/>
  <c r="E760" i="25"/>
  <c r="Y759" i="25"/>
  <c r="Q759" i="25"/>
  <c r="L759" i="25"/>
  <c r="F759" i="25"/>
  <c r="E759" i="25"/>
  <c r="Y758" i="25"/>
  <c r="Q758" i="25"/>
  <c r="L758" i="25"/>
  <c r="F758" i="25"/>
  <c r="E758" i="25"/>
  <c r="Y757" i="25"/>
  <c r="Q757" i="25"/>
  <c r="L757" i="25"/>
  <c r="F757" i="25"/>
  <c r="E757" i="25"/>
  <c r="Y756" i="25"/>
  <c r="Q756" i="25"/>
  <c r="L756" i="25"/>
  <c r="F756" i="25"/>
  <c r="E756" i="25"/>
  <c r="Y755" i="25"/>
  <c r="Q755" i="25"/>
  <c r="L755" i="25"/>
  <c r="F755" i="25"/>
  <c r="E755" i="25"/>
  <c r="Y754" i="25"/>
  <c r="Q754" i="25"/>
  <c r="L754" i="25"/>
  <c r="F754" i="25"/>
  <c r="E754" i="25"/>
  <c r="Y753" i="25"/>
  <c r="Q753" i="25"/>
  <c r="L753" i="25"/>
  <c r="F753" i="25"/>
  <c r="E753" i="25"/>
  <c r="Y752" i="25"/>
  <c r="Q752" i="25"/>
  <c r="L752" i="25"/>
  <c r="F752" i="25"/>
  <c r="E752" i="25"/>
  <c r="Y751" i="25"/>
  <c r="Q751" i="25"/>
  <c r="L751" i="25"/>
  <c r="F751" i="25"/>
  <c r="E751" i="25"/>
  <c r="Y750" i="25"/>
  <c r="Q750" i="25"/>
  <c r="L750" i="25"/>
  <c r="F750" i="25"/>
  <c r="E750" i="25"/>
  <c r="Y749" i="25"/>
  <c r="Q749" i="25"/>
  <c r="L749" i="25"/>
  <c r="F749" i="25"/>
  <c r="E749" i="25"/>
  <c r="Y748" i="25"/>
  <c r="Q748" i="25"/>
  <c r="L748" i="25"/>
  <c r="F748" i="25"/>
  <c r="E748" i="25"/>
  <c r="Y747" i="25"/>
  <c r="Q747" i="25"/>
  <c r="L747" i="25"/>
  <c r="F747" i="25"/>
  <c r="E747" i="25"/>
  <c r="Y746" i="25"/>
  <c r="Q746" i="25"/>
  <c r="L746" i="25"/>
  <c r="F746" i="25"/>
  <c r="E746" i="25"/>
  <c r="Y745" i="25"/>
  <c r="Q745" i="25"/>
  <c r="L745" i="25"/>
  <c r="F745" i="25"/>
  <c r="E745" i="25"/>
  <c r="Y744" i="25"/>
  <c r="Q744" i="25"/>
  <c r="L744" i="25"/>
  <c r="F744" i="25"/>
  <c r="E744" i="25"/>
  <c r="Y743" i="25"/>
  <c r="Q743" i="25"/>
  <c r="L743" i="25"/>
  <c r="F743" i="25"/>
  <c r="E743" i="25"/>
  <c r="Y742" i="25"/>
  <c r="Q742" i="25"/>
  <c r="L742" i="25"/>
  <c r="F742" i="25"/>
  <c r="E742" i="25"/>
  <c r="Y741" i="25"/>
  <c r="Q741" i="25"/>
  <c r="L741" i="25"/>
  <c r="F741" i="25"/>
  <c r="E741" i="25"/>
  <c r="Y740" i="25"/>
  <c r="Q740" i="25"/>
  <c r="L740" i="25"/>
  <c r="F740" i="25"/>
  <c r="E740" i="25"/>
  <c r="Y739" i="25"/>
  <c r="Q739" i="25"/>
  <c r="L739" i="25"/>
  <c r="F739" i="25"/>
  <c r="E739" i="25"/>
  <c r="Y738" i="25"/>
  <c r="Q738" i="25"/>
  <c r="L738" i="25"/>
  <c r="F738" i="25"/>
  <c r="E738" i="25"/>
  <c r="Y737" i="25"/>
  <c r="Q737" i="25"/>
  <c r="L737" i="25"/>
  <c r="F737" i="25"/>
  <c r="E737" i="25"/>
  <c r="Y736" i="25"/>
  <c r="Q736" i="25"/>
  <c r="L736" i="25"/>
  <c r="F736" i="25"/>
  <c r="E736" i="25"/>
  <c r="Y735" i="25"/>
  <c r="Q735" i="25"/>
  <c r="L735" i="25"/>
  <c r="F735" i="25"/>
  <c r="E735" i="25"/>
  <c r="Y734" i="25"/>
  <c r="Q734" i="25"/>
  <c r="L734" i="25"/>
  <c r="F734" i="25"/>
  <c r="E734" i="25"/>
  <c r="Y733" i="25"/>
  <c r="Q733" i="25"/>
  <c r="L733" i="25"/>
  <c r="F733" i="25"/>
  <c r="E733" i="25"/>
  <c r="Y732" i="25"/>
  <c r="Q732" i="25"/>
  <c r="L732" i="25"/>
  <c r="F732" i="25"/>
  <c r="E732" i="25"/>
  <c r="Y731" i="25"/>
  <c r="Q731" i="25"/>
  <c r="L731" i="25"/>
  <c r="F731" i="25"/>
  <c r="E731" i="25"/>
  <c r="Y730" i="25"/>
  <c r="Q730" i="25"/>
  <c r="L730" i="25"/>
  <c r="F730" i="25"/>
  <c r="E730" i="25"/>
  <c r="Y729" i="25"/>
  <c r="Q729" i="25"/>
  <c r="L729" i="25"/>
  <c r="F729" i="25"/>
  <c r="E729" i="25"/>
  <c r="Y728" i="25"/>
  <c r="Q728" i="25"/>
  <c r="L728" i="25"/>
  <c r="F728" i="25"/>
  <c r="E728" i="25"/>
  <c r="Y727" i="25"/>
  <c r="Q727" i="25"/>
  <c r="L727" i="25"/>
  <c r="F727" i="25"/>
  <c r="E727" i="25"/>
  <c r="Y726" i="25"/>
  <c r="Q726" i="25"/>
  <c r="L726" i="25"/>
  <c r="F726" i="25"/>
  <c r="E726" i="25"/>
  <c r="Y725" i="25"/>
  <c r="Q725" i="25"/>
  <c r="L725" i="25"/>
  <c r="F725" i="25"/>
  <c r="E725" i="25"/>
  <c r="Y724" i="25"/>
  <c r="Q724" i="25"/>
  <c r="L724" i="25"/>
  <c r="F724" i="25"/>
  <c r="E724" i="25"/>
  <c r="Y723" i="25"/>
  <c r="Q723" i="25"/>
  <c r="L723" i="25"/>
  <c r="F723" i="25"/>
  <c r="E723" i="25"/>
  <c r="Y722" i="25"/>
  <c r="Q722" i="25"/>
  <c r="L722" i="25"/>
  <c r="F722" i="25"/>
  <c r="E722" i="25"/>
  <c r="Y721" i="25"/>
  <c r="Q721" i="25"/>
  <c r="L721" i="25"/>
  <c r="F721" i="25"/>
  <c r="E721" i="25"/>
  <c r="Y720" i="25"/>
  <c r="Q720" i="25"/>
  <c r="L720" i="25"/>
  <c r="F720" i="25"/>
  <c r="E720" i="25"/>
  <c r="Y719" i="25"/>
  <c r="Q719" i="25"/>
  <c r="L719" i="25"/>
  <c r="F719" i="25"/>
  <c r="E719" i="25"/>
  <c r="Y718" i="25"/>
  <c r="Q718" i="25"/>
  <c r="L718" i="25"/>
  <c r="F718" i="25"/>
  <c r="E718" i="25"/>
  <c r="Y717" i="25"/>
  <c r="Q717" i="25"/>
  <c r="L717" i="25"/>
  <c r="F717" i="25"/>
  <c r="E717" i="25"/>
  <c r="Y716" i="25"/>
  <c r="Q716" i="25"/>
  <c r="L716" i="25"/>
  <c r="F716" i="25"/>
  <c r="E716" i="25"/>
  <c r="Y715" i="25"/>
  <c r="Q715" i="25"/>
  <c r="L715" i="25"/>
  <c r="F715" i="25"/>
  <c r="E715" i="25"/>
  <c r="Y714" i="25"/>
  <c r="Q714" i="25"/>
  <c r="L714" i="25"/>
  <c r="F714" i="25"/>
  <c r="E714" i="25"/>
  <c r="Y713" i="25"/>
  <c r="Q713" i="25"/>
  <c r="L713" i="25"/>
  <c r="F713" i="25"/>
  <c r="E713" i="25"/>
  <c r="Y712" i="25"/>
  <c r="Q712" i="25"/>
  <c r="L712" i="25"/>
  <c r="F712" i="25"/>
  <c r="E712" i="25"/>
  <c r="Y711" i="25"/>
  <c r="Q711" i="25"/>
  <c r="L711" i="25"/>
  <c r="F711" i="25"/>
  <c r="E711" i="25"/>
  <c r="Y710" i="25"/>
  <c r="Q710" i="25"/>
  <c r="L710" i="25"/>
  <c r="F710" i="25"/>
  <c r="E710" i="25"/>
  <c r="Y709" i="25"/>
  <c r="Q709" i="25"/>
  <c r="L709" i="25"/>
  <c r="F709" i="25"/>
  <c r="E709" i="25"/>
  <c r="Y708" i="25"/>
  <c r="Q708" i="25"/>
  <c r="L708" i="25"/>
  <c r="F708" i="25"/>
  <c r="E708" i="25"/>
  <c r="Y707" i="25"/>
  <c r="Q707" i="25"/>
  <c r="L707" i="25"/>
  <c r="F707" i="25"/>
  <c r="E707" i="25"/>
  <c r="Y706" i="25"/>
  <c r="Q706" i="25"/>
  <c r="L706" i="25"/>
  <c r="F706" i="25"/>
  <c r="E706" i="25"/>
  <c r="Y705" i="25"/>
  <c r="Q705" i="25"/>
  <c r="L705" i="25"/>
  <c r="F705" i="25"/>
  <c r="E705" i="25"/>
  <c r="Y704" i="25"/>
  <c r="Q704" i="25"/>
  <c r="L704" i="25"/>
  <c r="F704" i="25"/>
  <c r="E704" i="25"/>
  <c r="Y703" i="25"/>
  <c r="Q703" i="25"/>
  <c r="L703" i="25"/>
  <c r="F703" i="25"/>
  <c r="E703" i="25"/>
  <c r="Y702" i="25"/>
  <c r="Q702" i="25"/>
  <c r="L702" i="25"/>
  <c r="F702" i="25"/>
  <c r="E702" i="25"/>
  <c r="Y701" i="25"/>
  <c r="Q701" i="25"/>
  <c r="L701" i="25"/>
  <c r="F701" i="25"/>
  <c r="E701" i="25"/>
  <c r="Y700" i="25"/>
  <c r="Q700" i="25"/>
  <c r="L700" i="25"/>
  <c r="F700" i="25"/>
  <c r="E700" i="25"/>
  <c r="Y699" i="25"/>
  <c r="Q699" i="25"/>
  <c r="L699" i="25"/>
  <c r="F699" i="25"/>
  <c r="E699" i="25"/>
  <c r="Y698" i="25"/>
  <c r="Q698" i="25"/>
  <c r="L698" i="25"/>
  <c r="F698" i="25"/>
  <c r="E698" i="25"/>
  <c r="Y697" i="25"/>
  <c r="Q697" i="25"/>
  <c r="L697" i="25"/>
  <c r="F697" i="25"/>
  <c r="E697" i="25"/>
  <c r="Y696" i="25"/>
  <c r="Q696" i="25"/>
  <c r="L696" i="25"/>
  <c r="F696" i="25"/>
  <c r="E696" i="25"/>
  <c r="Y695" i="25"/>
  <c r="Q695" i="25"/>
  <c r="L695" i="25"/>
  <c r="F695" i="25"/>
  <c r="E695" i="25"/>
  <c r="Y694" i="25"/>
  <c r="Q694" i="25"/>
  <c r="L694" i="25"/>
  <c r="F694" i="25"/>
  <c r="E694" i="25"/>
  <c r="Y693" i="25"/>
  <c r="Q693" i="25"/>
  <c r="L693" i="25"/>
  <c r="F693" i="25"/>
  <c r="E693" i="25"/>
  <c r="Y692" i="25"/>
  <c r="Q692" i="25"/>
  <c r="L692" i="25"/>
  <c r="F692" i="25"/>
  <c r="E692" i="25"/>
  <c r="Y691" i="25"/>
  <c r="Q691" i="25"/>
  <c r="L691" i="25"/>
  <c r="F691" i="25"/>
  <c r="E691" i="25"/>
  <c r="Y690" i="25"/>
  <c r="Q690" i="25"/>
  <c r="L690" i="25"/>
  <c r="F690" i="25"/>
  <c r="E690" i="25"/>
  <c r="Y689" i="25"/>
  <c r="Q689" i="25"/>
  <c r="L689" i="25"/>
  <c r="F689" i="25"/>
  <c r="E689" i="25"/>
  <c r="Y688" i="25"/>
  <c r="Q688" i="25"/>
  <c r="L688" i="25"/>
  <c r="F688" i="25"/>
  <c r="E688" i="25"/>
  <c r="Y687" i="25"/>
  <c r="Q687" i="25"/>
  <c r="L687" i="25"/>
  <c r="F687" i="25"/>
  <c r="E687" i="25"/>
  <c r="Y686" i="25"/>
  <c r="Q686" i="25"/>
  <c r="L686" i="25"/>
  <c r="F686" i="25"/>
  <c r="E686" i="25"/>
  <c r="Y685" i="25"/>
  <c r="Q685" i="25"/>
  <c r="L685" i="25"/>
  <c r="F685" i="25"/>
  <c r="E685" i="25"/>
  <c r="Y684" i="25"/>
  <c r="Q684" i="25"/>
  <c r="L684" i="25"/>
  <c r="F684" i="25"/>
  <c r="E684" i="25"/>
  <c r="Y683" i="25"/>
  <c r="Q683" i="25"/>
  <c r="L683" i="25"/>
  <c r="F683" i="25"/>
  <c r="E683" i="25"/>
  <c r="Y682" i="25"/>
  <c r="Q682" i="25"/>
  <c r="L682" i="25"/>
  <c r="F682" i="25"/>
  <c r="E682" i="25"/>
  <c r="Y681" i="25"/>
  <c r="Q681" i="25"/>
  <c r="L681" i="25"/>
  <c r="F681" i="25"/>
  <c r="E681" i="25"/>
  <c r="Y680" i="25"/>
  <c r="Q680" i="25"/>
  <c r="L680" i="25"/>
  <c r="F680" i="25"/>
  <c r="E680" i="25"/>
  <c r="Y679" i="25"/>
  <c r="Q679" i="25"/>
  <c r="L679" i="25"/>
  <c r="F679" i="25"/>
  <c r="E679" i="25"/>
  <c r="Y678" i="25"/>
  <c r="Q678" i="25"/>
  <c r="L678" i="25"/>
  <c r="F678" i="25"/>
  <c r="E678" i="25"/>
  <c r="Y677" i="25"/>
  <c r="Q677" i="25"/>
  <c r="L677" i="25"/>
  <c r="F677" i="25"/>
  <c r="E677" i="25"/>
  <c r="Y676" i="25"/>
  <c r="Q676" i="25"/>
  <c r="L676" i="25"/>
  <c r="F676" i="25"/>
  <c r="E676" i="25"/>
  <c r="Y675" i="25"/>
  <c r="Q675" i="25"/>
  <c r="L675" i="25"/>
  <c r="F675" i="25"/>
  <c r="E675" i="25"/>
  <c r="Y674" i="25"/>
  <c r="Q674" i="25"/>
  <c r="L674" i="25"/>
  <c r="F674" i="25"/>
  <c r="E674" i="25"/>
  <c r="Y673" i="25"/>
  <c r="Q673" i="25"/>
  <c r="L673" i="25"/>
  <c r="F673" i="25"/>
  <c r="E673" i="25"/>
  <c r="Y672" i="25"/>
  <c r="Q672" i="25"/>
  <c r="L672" i="25"/>
  <c r="F672" i="25"/>
  <c r="E672" i="25"/>
  <c r="Y671" i="25"/>
  <c r="Q671" i="25"/>
  <c r="L671" i="25"/>
  <c r="F671" i="25"/>
  <c r="E671" i="25"/>
  <c r="Y670" i="25"/>
  <c r="Q670" i="25"/>
  <c r="L670" i="25"/>
  <c r="F670" i="25"/>
  <c r="E670" i="25"/>
  <c r="Y669" i="25"/>
  <c r="Q669" i="25"/>
  <c r="L669" i="25"/>
  <c r="F669" i="25"/>
  <c r="E669" i="25"/>
  <c r="Y668" i="25"/>
  <c r="Q668" i="25"/>
  <c r="L668" i="25"/>
  <c r="F668" i="25"/>
  <c r="E668" i="25"/>
  <c r="Y667" i="25"/>
  <c r="Q667" i="25"/>
  <c r="L667" i="25"/>
  <c r="F667" i="25"/>
  <c r="E667" i="25"/>
  <c r="Y666" i="25"/>
  <c r="Q666" i="25"/>
  <c r="L666" i="25"/>
  <c r="F666" i="25"/>
  <c r="E666" i="25"/>
  <c r="Y665" i="25"/>
  <c r="Q665" i="25"/>
  <c r="L665" i="25"/>
  <c r="F665" i="25"/>
  <c r="E665" i="25"/>
  <c r="Y664" i="25"/>
  <c r="Q664" i="25"/>
  <c r="L664" i="25"/>
  <c r="F664" i="25"/>
  <c r="E664" i="25"/>
  <c r="Y663" i="25"/>
  <c r="Q663" i="25"/>
  <c r="L663" i="25"/>
  <c r="F663" i="25"/>
  <c r="E663" i="25"/>
  <c r="Y662" i="25"/>
  <c r="Q662" i="25"/>
  <c r="L662" i="25"/>
  <c r="F662" i="25"/>
  <c r="E662" i="25"/>
  <c r="Y661" i="25"/>
  <c r="Q661" i="25"/>
  <c r="L661" i="25"/>
  <c r="F661" i="25"/>
  <c r="E661" i="25"/>
  <c r="Y660" i="25"/>
  <c r="Q660" i="25"/>
  <c r="L660" i="25"/>
  <c r="F660" i="25"/>
  <c r="E660" i="25"/>
  <c r="Y659" i="25"/>
  <c r="Q659" i="25"/>
  <c r="L659" i="25"/>
  <c r="F659" i="25"/>
  <c r="E659" i="25"/>
  <c r="Y658" i="25"/>
  <c r="Q658" i="25"/>
  <c r="L658" i="25"/>
  <c r="F658" i="25"/>
  <c r="E658" i="25"/>
  <c r="Y657" i="25"/>
  <c r="Q657" i="25"/>
  <c r="L657" i="25"/>
  <c r="F657" i="25"/>
  <c r="E657" i="25"/>
  <c r="Y656" i="25"/>
  <c r="Q656" i="25"/>
  <c r="L656" i="25"/>
  <c r="F656" i="25"/>
  <c r="E656" i="25"/>
  <c r="Y655" i="25"/>
  <c r="Q655" i="25"/>
  <c r="L655" i="25"/>
  <c r="F655" i="25"/>
  <c r="E655" i="25"/>
  <c r="Y654" i="25"/>
  <c r="Q654" i="25"/>
  <c r="L654" i="25"/>
  <c r="F654" i="25"/>
  <c r="E654" i="25"/>
  <c r="Y653" i="25"/>
  <c r="Q653" i="25"/>
  <c r="L653" i="25"/>
  <c r="F653" i="25"/>
  <c r="E653" i="25"/>
  <c r="Y652" i="25"/>
  <c r="Q652" i="25"/>
  <c r="L652" i="25"/>
  <c r="F652" i="25"/>
  <c r="E652" i="25"/>
  <c r="Y651" i="25"/>
  <c r="Q651" i="25"/>
  <c r="L651" i="25"/>
  <c r="F651" i="25"/>
  <c r="E651" i="25"/>
  <c r="Y650" i="25"/>
  <c r="Q650" i="25"/>
  <c r="L650" i="25"/>
  <c r="F650" i="25"/>
  <c r="E650" i="25"/>
  <c r="Y649" i="25"/>
  <c r="Q649" i="25"/>
  <c r="L649" i="25"/>
  <c r="F649" i="25"/>
  <c r="E649" i="25"/>
  <c r="Y648" i="25"/>
  <c r="Q648" i="25"/>
  <c r="L648" i="25"/>
  <c r="F648" i="25"/>
  <c r="E648" i="25"/>
  <c r="Y647" i="25"/>
  <c r="Q647" i="25"/>
  <c r="L647" i="25"/>
  <c r="F647" i="25"/>
  <c r="E647" i="25"/>
  <c r="Y646" i="25"/>
  <c r="Q646" i="25"/>
  <c r="L646" i="25"/>
  <c r="F646" i="25"/>
  <c r="E646" i="25"/>
  <c r="Y645" i="25"/>
  <c r="Q645" i="25"/>
  <c r="L645" i="25"/>
  <c r="F645" i="25"/>
  <c r="E645" i="25"/>
  <c r="Y644" i="25"/>
  <c r="Q644" i="25"/>
  <c r="L644" i="25"/>
  <c r="F644" i="25"/>
  <c r="E644" i="25"/>
  <c r="Y643" i="25"/>
  <c r="Q643" i="25"/>
  <c r="L643" i="25"/>
  <c r="F643" i="25"/>
  <c r="E643" i="25"/>
  <c r="Y642" i="25"/>
  <c r="Q642" i="25"/>
  <c r="L642" i="25"/>
  <c r="F642" i="25"/>
  <c r="E642" i="25"/>
  <c r="Y641" i="25"/>
  <c r="Q641" i="25"/>
  <c r="L641" i="25"/>
  <c r="F641" i="25"/>
  <c r="E641" i="25"/>
  <c r="Y640" i="25"/>
  <c r="Q640" i="25"/>
  <c r="L640" i="25"/>
  <c r="F640" i="25"/>
  <c r="E640" i="25"/>
  <c r="Y639" i="25"/>
  <c r="Q639" i="25"/>
  <c r="L639" i="25"/>
  <c r="F639" i="25"/>
  <c r="E639" i="25"/>
  <c r="Y638" i="25"/>
  <c r="Q638" i="25"/>
  <c r="L638" i="25"/>
  <c r="F638" i="25"/>
  <c r="E638" i="25"/>
  <c r="Y637" i="25"/>
  <c r="Q637" i="25"/>
  <c r="L637" i="25"/>
  <c r="F637" i="25"/>
  <c r="E637" i="25"/>
  <c r="Y636" i="25"/>
  <c r="Q636" i="25"/>
  <c r="L636" i="25"/>
  <c r="F636" i="25"/>
  <c r="E636" i="25"/>
  <c r="Y635" i="25"/>
  <c r="Q635" i="25"/>
  <c r="L635" i="25"/>
  <c r="F635" i="25"/>
  <c r="E635" i="25"/>
  <c r="Y634" i="25"/>
  <c r="Q634" i="25"/>
  <c r="L634" i="25"/>
  <c r="F634" i="25"/>
  <c r="E634" i="25"/>
  <c r="Y633" i="25"/>
  <c r="Q633" i="25"/>
  <c r="L633" i="25"/>
  <c r="F633" i="25"/>
  <c r="E633" i="25"/>
  <c r="Y632" i="25"/>
  <c r="Q632" i="25"/>
  <c r="L632" i="25"/>
  <c r="F632" i="25"/>
  <c r="E632" i="25"/>
  <c r="Y631" i="25"/>
  <c r="Q631" i="25"/>
  <c r="L631" i="25"/>
  <c r="F631" i="25"/>
  <c r="E631" i="25"/>
  <c r="Y630" i="25"/>
  <c r="Q630" i="25"/>
  <c r="L630" i="25"/>
  <c r="F630" i="25"/>
  <c r="E630" i="25"/>
  <c r="Y629" i="25"/>
  <c r="Q629" i="25"/>
  <c r="L629" i="25"/>
  <c r="F629" i="25"/>
  <c r="E629" i="25"/>
  <c r="Y628" i="25"/>
  <c r="Q628" i="25"/>
  <c r="L628" i="25"/>
  <c r="F628" i="25"/>
  <c r="E628" i="25"/>
  <c r="Y627" i="25"/>
  <c r="Q627" i="25"/>
  <c r="L627" i="25"/>
  <c r="F627" i="25"/>
  <c r="E627" i="25"/>
  <c r="Y626" i="25"/>
  <c r="Q626" i="25"/>
  <c r="L626" i="25"/>
  <c r="F626" i="25"/>
  <c r="E626" i="25"/>
  <c r="Y625" i="25"/>
  <c r="Q625" i="25"/>
  <c r="L625" i="25"/>
  <c r="F625" i="25"/>
  <c r="E625" i="25"/>
  <c r="Y624" i="25"/>
  <c r="Q624" i="25"/>
  <c r="L624" i="25"/>
  <c r="F624" i="25"/>
  <c r="E624" i="25"/>
  <c r="Y623" i="25"/>
  <c r="Q623" i="25"/>
  <c r="L623" i="25"/>
  <c r="F623" i="25"/>
  <c r="E623" i="25"/>
  <c r="Y622" i="25"/>
  <c r="Q622" i="25"/>
  <c r="L622" i="25"/>
  <c r="F622" i="25"/>
  <c r="E622" i="25"/>
  <c r="Y621" i="25"/>
  <c r="Q621" i="25"/>
  <c r="L621" i="25"/>
  <c r="F621" i="25"/>
  <c r="E621" i="25"/>
  <c r="Y620" i="25"/>
  <c r="Q620" i="25"/>
  <c r="L620" i="25"/>
  <c r="F620" i="25"/>
  <c r="E620" i="25"/>
  <c r="Y619" i="25"/>
  <c r="Q619" i="25"/>
  <c r="L619" i="25"/>
  <c r="F619" i="25"/>
  <c r="E619" i="25"/>
  <c r="Y618" i="25"/>
  <c r="Q618" i="25"/>
  <c r="L618" i="25"/>
  <c r="F618" i="25"/>
  <c r="E618" i="25"/>
  <c r="Y617" i="25"/>
  <c r="Q617" i="25"/>
  <c r="L617" i="25"/>
  <c r="F617" i="25"/>
  <c r="E617" i="25"/>
  <c r="Y616" i="25"/>
  <c r="Q616" i="25"/>
  <c r="L616" i="25"/>
  <c r="F616" i="25"/>
  <c r="E616" i="25"/>
  <c r="Y615" i="25"/>
  <c r="Q615" i="25"/>
  <c r="L615" i="25"/>
  <c r="F615" i="25"/>
  <c r="E615" i="25"/>
  <c r="Y614" i="25"/>
  <c r="Q614" i="25"/>
  <c r="L614" i="25"/>
  <c r="F614" i="25"/>
  <c r="E614" i="25"/>
  <c r="Y613" i="25"/>
  <c r="Q613" i="25"/>
  <c r="L613" i="25"/>
  <c r="F613" i="25"/>
  <c r="E613" i="25"/>
  <c r="Y612" i="25"/>
  <c r="Q612" i="25"/>
  <c r="L612" i="25"/>
  <c r="F612" i="25"/>
  <c r="E612" i="25"/>
  <c r="Y611" i="25"/>
  <c r="Q611" i="25"/>
  <c r="L611" i="25"/>
  <c r="F611" i="25"/>
  <c r="E611" i="25"/>
  <c r="Y610" i="25"/>
  <c r="Q610" i="25"/>
  <c r="L610" i="25"/>
  <c r="F610" i="25"/>
  <c r="E610" i="25"/>
  <c r="Y609" i="25"/>
  <c r="Q609" i="25"/>
  <c r="L609" i="25"/>
  <c r="F609" i="25"/>
  <c r="E609" i="25"/>
  <c r="Y608" i="25"/>
  <c r="Q608" i="25"/>
  <c r="L608" i="25"/>
  <c r="F608" i="25"/>
  <c r="E608" i="25"/>
  <c r="Y607" i="25"/>
  <c r="Q607" i="25"/>
  <c r="L607" i="25"/>
  <c r="F607" i="25"/>
  <c r="E607" i="25"/>
  <c r="Y606" i="25"/>
  <c r="Q606" i="25"/>
  <c r="L606" i="25"/>
  <c r="F606" i="25"/>
  <c r="E606" i="25"/>
  <c r="Y605" i="25"/>
  <c r="Q605" i="25"/>
  <c r="L605" i="25"/>
  <c r="F605" i="25"/>
  <c r="E605" i="25"/>
  <c r="Y604" i="25"/>
  <c r="Q604" i="25"/>
  <c r="L604" i="25"/>
  <c r="F604" i="25"/>
  <c r="E604" i="25"/>
  <c r="Y603" i="25"/>
  <c r="Q603" i="25"/>
  <c r="L603" i="25"/>
  <c r="F603" i="25"/>
  <c r="E603" i="25"/>
  <c r="Y602" i="25"/>
  <c r="Q602" i="25"/>
  <c r="L602" i="25"/>
  <c r="F602" i="25"/>
  <c r="E602" i="25"/>
  <c r="Y601" i="25"/>
  <c r="Q601" i="25"/>
  <c r="L601" i="25"/>
  <c r="F601" i="25"/>
  <c r="E601" i="25"/>
  <c r="Y600" i="25"/>
  <c r="Q600" i="25"/>
  <c r="L600" i="25"/>
  <c r="F600" i="25"/>
  <c r="E600" i="25"/>
  <c r="Y599" i="25"/>
  <c r="Q599" i="25"/>
  <c r="L599" i="25"/>
  <c r="F599" i="25"/>
  <c r="E599" i="25"/>
  <c r="Y598" i="25"/>
  <c r="Q598" i="25"/>
  <c r="L598" i="25"/>
  <c r="F598" i="25"/>
  <c r="E598" i="25"/>
  <c r="Y597" i="25"/>
  <c r="Q597" i="25"/>
  <c r="L597" i="25"/>
  <c r="F597" i="25"/>
  <c r="E597" i="25"/>
  <c r="Y596" i="25"/>
  <c r="Q596" i="25"/>
  <c r="L596" i="25"/>
  <c r="F596" i="25"/>
  <c r="E596" i="25"/>
  <c r="Y595" i="25"/>
  <c r="Q595" i="25"/>
  <c r="L595" i="25"/>
  <c r="F595" i="25"/>
  <c r="E595" i="25"/>
  <c r="Y594" i="25"/>
  <c r="Q594" i="25"/>
  <c r="L594" i="25"/>
  <c r="F594" i="25"/>
  <c r="E594" i="25"/>
  <c r="Y593" i="25"/>
  <c r="Q593" i="25"/>
  <c r="L593" i="25"/>
  <c r="F593" i="25"/>
  <c r="E593" i="25"/>
  <c r="Y592" i="25"/>
  <c r="Q592" i="25"/>
  <c r="L592" i="25"/>
  <c r="F592" i="25"/>
  <c r="E592" i="25"/>
  <c r="Y591" i="25"/>
  <c r="Q591" i="25"/>
  <c r="L591" i="25"/>
  <c r="F591" i="25"/>
  <c r="E591" i="25"/>
  <c r="Y590" i="25"/>
  <c r="Q590" i="25"/>
  <c r="L590" i="25"/>
  <c r="F590" i="25"/>
  <c r="E590" i="25"/>
  <c r="Y589" i="25"/>
  <c r="Q589" i="25"/>
  <c r="L589" i="25"/>
  <c r="F589" i="25"/>
  <c r="E589" i="25"/>
  <c r="Y588" i="25"/>
  <c r="Q588" i="25"/>
  <c r="L588" i="25"/>
  <c r="F588" i="25"/>
  <c r="E588" i="25"/>
  <c r="Y587" i="25"/>
  <c r="Q587" i="25"/>
  <c r="L587" i="25"/>
  <c r="F587" i="25"/>
  <c r="E587" i="25"/>
  <c r="Y586" i="25"/>
  <c r="Q586" i="25"/>
  <c r="L586" i="25"/>
  <c r="F586" i="25"/>
  <c r="E586" i="25"/>
  <c r="Y585" i="25"/>
  <c r="Q585" i="25"/>
  <c r="L585" i="25"/>
  <c r="F585" i="25"/>
  <c r="E585" i="25"/>
  <c r="Y584" i="25"/>
  <c r="Q584" i="25"/>
  <c r="L584" i="25"/>
  <c r="F584" i="25"/>
  <c r="E584" i="25"/>
  <c r="Y583" i="25"/>
  <c r="Q583" i="25"/>
  <c r="L583" i="25"/>
  <c r="F583" i="25"/>
  <c r="E583" i="25"/>
  <c r="Y582" i="25"/>
  <c r="Q582" i="25"/>
  <c r="L582" i="25"/>
  <c r="F582" i="25"/>
  <c r="E582" i="25"/>
  <c r="Y581" i="25"/>
  <c r="Q581" i="25"/>
  <c r="L581" i="25"/>
  <c r="F581" i="25"/>
  <c r="E581" i="25"/>
  <c r="Y580" i="25"/>
  <c r="Q580" i="25"/>
  <c r="L580" i="25"/>
  <c r="F580" i="25"/>
  <c r="E580" i="25"/>
  <c r="Y579" i="25"/>
  <c r="Q579" i="25"/>
  <c r="L579" i="25"/>
  <c r="F579" i="25"/>
  <c r="E579" i="25"/>
  <c r="Y578" i="25"/>
  <c r="Q578" i="25"/>
  <c r="L578" i="25"/>
  <c r="F578" i="25"/>
  <c r="E578" i="25"/>
  <c r="Y577" i="25"/>
  <c r="Q577" i="25"/>
  <c r="L577" i="25"/>
  <c r="F577" i="25"/>
  <c r="E577" i="25"/>
  <c r="Y576" i="25"/>
  <c r="Q576" i="25"/>
  <c r="L576" i="25"/>
  <c r="F576" i="25"/>
  <c r="E576" i="25"/>
  <c r="Y575" i="25"/>
  <c r="Q575" i="25"/>
  <c r="L575" i="25"/>
  <c r="F575" i="25"/>
  <c r="E575" i="25"/>
  <c r="Y574" i="25"/>
  <c r="Q574" i="25"/>
  <c r="L574" i="25"/>
  <c r="F574" i="25"/>
  <c r="E574" i="25"/>
  <c r="Y573" i="25"/>
  <c r="Q573" i="25"/>
  <c r="L573" i="25"/>
  <c r="F573" i="25"/>
  <c r="E573" i="25"/>
  <c r="Y572" i="25"/>
  <c r="Q572" i="25"/>
  <c r="L572" i="25"/>
  <c r="F572" i="25"/>
  <c r="E572" i="25"/>
  <c r="Y571" i="25"/>
  <c r="Q571" i="25"/>
  <c r="L571" i="25"/>
  <c r="F571" i="25"/>
  <c r="E571" i="25"/>
  <c r="Y570" i="25"/>
  <c r="Q570" i="25"/>
  <c r="L570" i="25"/>
  <c r="F570" i="25"/>
  <c r="E570" i="25"/>
  <c r="Y569" i="25"/>
  <c r="Q569" i="25"/>
  <c r="L569" i="25"/>
  <c r="F569" i="25"/>
  <c r="E569" i="25"/>
  <c r="Y568" i="25"/>
  <c r="Q568" i="25"/>
  <c r="L568" i="25"/>
  <c r="F568" i="25"/>
  <c r="E568" i="25"/>
  <c r="Y567" i="25"/>
  <c r="Q567" i="25"/>
  <c r="L567" i="25"/>
  <c r="F567" i="25"/>
  <c r="E567" i="25"/>
  <c r="Y566" i="25"/>
  <c r="Q566" i="25"/>
  <c r="L566" i="25"/>
  <c r="F566" i="25"/>
  <c r="E566" i="25"/>
  <c r="Y565" i="25"/>
  <c r="Q565" i="25"/>
  <c r="L565" i="25"/>
  <c r="F565" i="25"/>
  <c r="E565" i="25"/>
  <c r="Y564" i="25"/>
  <c r="Q564" i="25"/>
  <c r="L564" i="25"/>
  <c r="F564" i="25"/>
  <c r="E564" i="25"/>
  <c r="Y563" i="25"/>
  <c r="Q563" i="25"/>
  <c r="L563" i="25"/>
  <c r="F563" i="25"/>
  <c r="E563" i="25"/>
  <c r="Y562" i="25"/>
  <c r="Q562" i="25"/>
  <c r="L562" i="25"/>
  <c r="F562" i="25"/>
  <c r="E562" i="25"/>
  <c r="Y561" i="25"/>
  <c r="Q561" i="25"/>
  <c r="L561" i="25"/>
  <c r="F561" i="25"/>
  <c r="E561" i="25"/>
  <c r="Y560" i="25"/>
  <c r="Q560" i="25"/>
  <c r="L560" i="25"/>
  <c r="F560" i="25"/>
  <c r="E560" i="25"/>
  <c r="Y559" i="25"/>
  <c r="Q559" i="25"/>
  <c r="L559" i="25"/>
  <c r="F559" i="25"/>
  <c r="E559" i="25"/>
  <c r="Y558" i="25"/>
  <c r="Q558" i="25"/>
  <c r="L558" i="25"/>
  <c r="F558" i="25"/>
  <c r="E558" i="25"/>
  <c r="Y557" i="25"/>
  <c r="Q557" i="25"/>
  <c r="L557" i="25"/>
  <c r="F557" i="25"/>
  <c r="E557" i="25"/>
  <c r="Y556" i="25"/>
  <c r="Q556" i="25"/>
  <c r="L556" i="25"/>
  <c r="F556" i="25"/>
  <c r="E556" i="25"/>
  <c r="Y555" i="25"/>
  <c r="Q555" i="25"/>
  <c r="L555" i="25"/>
  <c r="F555" i="25"/>
  <c r="E555" i="25"/>
  <c r="Y554" i="25"/>
  <c r="Q554" i="25"/>
  <c r="L554" i="25"/>
  <c r="F554" i="25"/>
  <c r="E554" i="25"/>
  <c r="Y553" i="25"/>
  <c r="Q553" i="25"/>
  <c r="L553" i="25"/>
  <c r="F553" i="25"/>
  <c r="E553" i="25"/>
  <c r="Y552" i="25"/>
  <c r="Q552" i="25"/>
  <c r="L552" i="25"/>
  <c r="F552" i="25"/>
  <c r="E552" i="25"/>
  <c r="Y551" i="25"/>
  <c r="Q551" i="25"/>
  <c r="L551" i="25"/>
  <c r="F551" i="25"/>
  <c r="E551" i="25"/>
  <c r="Y550" i="25"/>
  <c r="Q550" i="25"/>
  <c r="L550" i="25"/>
  <c r="F550" i="25"/>
  <c r="E550" i="25"/>
  <c r="Y549" i="25"/>
  <c r="Q549" i="25"/>
  <c r="L549" i="25"/>
  <c r="F549" i="25"/>
  <c r="E549" i="25"/>
  <c r="Y548" i="25"/>
  <c r="Q548" i="25"/>
  <c r="L548" i="25"/>
  <c r="F548" i="25"/>
  <c r="E548" i="25"/>
  <c r="Y547" i="25"/>
  <c r="Q547" i="25"/>
  <c r="L547" i="25"/>
  <c r="F547" i="25"/>
  <c r="E547" i="25"/>
  <c r="Y546" i="25"/>
  <c r="Q546" i="25"/>
  <c r="L546" i="25"/>
  <c r="F546" i="25"/>
  <c r="E546" i="25"/>
  <c r="Y545" i="25"/>
  <c r="Q545" i="25"/>
  <c r="L545" i="25"/>
  <c r="F545" i="25"/>
  <c r="E545" i="25"/>
  <c r="Y544" i="25"/>
  <c r="Q544" i="25"/>
  <c r="L544" i="25"/>
  <c r="F544" i="25"/>
  <c r="E544" i="25"/>
  <c r="Y543" i="25"/>
  <c r="Q543" i="25"/>
  <c r="L543" i="25"/>
  <c r="F543" i="25"/>
  <c r="E543" i="25"/>
  <c r="Y542" i="25"/>
  <c r="Q542" i="25"/>
  <c r="L542" i="25"/>
  <c r="F542" i="25"/>
  <c r="E542" i="25"/>
  <c r="Y541" i="25"/>
  <c r="Q541" i="25"/>
  <c r="L541" i="25"/>
  <c r="F541" i="25"/>
  <c r="E541" i="25"/>
  <c r="Y540" i="25"/>
  <c r="Q540" i="25"/>
  <c r="L540" i="25"/>
  <c r="F540" i="25"/>
  <c r="E540" i="25"/>
  <c r="Y539" i="25"/>
  <c r="Q539" i="25"/>
  <c r="L539" i="25"/>
  <c r="F539" i="25"/>
  <c r="E539" i="25"/>
  <c r="Y538" i="25"/>
  <c r="Q538" i="25"/>
  <c r="L538" i="25"/>
  <c r="F538" i="25"/>
  <c r="E538" i="25"/>
  <c r="Y537" i="25"/>
  <c r="Q537" i="25"/>
  <c r="L537" i="25"/>
  <c r="F537" i="25"/>
  <c r="E537" i="25"/>
  <c r="Y536" i="25"/>
  <c r="Q536" i="25"/>
  <c r="L536" i="25"/>
  <c r="F536" i="25"/>
  <c r="E536" i="25"/>
  <c r="Y535" i="25"/>
  <c r="Q535" i="25"/>
  <c r="L535" i="25"/>
  <c r="F535" i="25"/>
  <c r="E535" i="25"/>
  <c r="Y534" i="25"/>
  <c r="Q534" i="25"/>
  <c r="L534" i="25"/>
  <c r="F534" i="25"/>
  <c r="E534" i="25"/>
  <c r="Y533" i="25"/>
  <c r="Q533" i="25"/>
  <c r="L533" i="25"/>
  <c r="F533" i="25"/>
  <c r="E533" i="25"/>
  <c r="Y532" i="25"/>
  <c r="Q532" i="25"/>
  <c r="L532" i="25"/>
  <c r="F532" i="25"/>
  <c r="E532" i="25"/>
  <c r="Y531" i="25"/>
  <c r="Q531" i="25"/>
  <c r="L531" i="25"/>
  <c r="F531" i="25"/>
  <c r="E531" i="25"/>
  <c r="Y530" i="25"/>
  <c r="Q530" i="25"/>
  <c r="L530" i="25"/>
  <c r="F530" i="25"/>
  <c r="E530" i="25"/>
  <c r="Y529" i="25"/>
  <c r="Q529" i="25"/>
  <c r="L529" i="25"/>
  <c r="F529" i="25"/>
  <c r="E529" i="25"/>
  <c r="Y528" i="25"/>
  <c r="Q528" i="25"/>
  <c r="L528" i="25"/>
  <c r="F528" i="25"/>
  <c r="E528" i="25"/>
  <c r="Y527" i="25"/>
  <c r="Q527" i="25"/>
  <c r="L527" i="25"/>
  <c r="F527" i="25"/>
  <c r="E527" i="25"/>
  <c r="Y526" i="25"/>
  <c r="Q526" i="25"/>
  <c r="L526" i="25"/>
  <c r="F526" i="25"/>
  <c r="E526" i="25"/>
  <c r="Y525" i="25"/>
  <c r="Q525" i="25"/>
  <c r="L525" i="25"/>
  <c r="F525" i="25"/>
  <c r="E525" i="25"/>
  <c r="Y524" i="25"/>
  <c r="Q524" i="25"/>
  <c r="L524" i="25"/>
  <c r="F524" i="25"/>
  <c r="E524" i="25"/>
  <c r="Y523" i="25"/>
  <c r="Q523" i="25"/>
  <c r="L523" i="25"/>
  <c r="F523" i="25"/>
  <c r="E523" i="25"/>
  <c r="Y522" i="25"/>
  <c r="Q522" i="25"/>
  <c r="L522" i="25"/>
  <c r="F522" i="25"/>
  <c r="E522" i="25"/>
  <c r="Y521" i="25"/>
  <c r="Q521" i="25"/>
  <c r="L521" i="25"/>
  <c r="F521" i="25"/>
  <c r="E521" i="25"/>
  <c r="Y520" i="25"/>
  <c r="Q520" i="25"/>
  <c r="L520" i="25"/>
  <c r="F520" i="25"/>
  <c r="E520" i="25"/>
  <c r="Y519" i="25"/>
  <c r="Q519" i="25"/>
  <c r="L519" i="25"/>
  <c r="F519" i="25"/>
  <c r="E519" i="25"/>
  <c r="Y518" i="25"/>
  <c r="Q518" i="25"/>
  <c r="L518" i="25"/>
  <c r="F518" i="25"/>
  <c r="E518" i="25"/>
  <c r="Y517" i="25"/>
  <c r="Q517" i="25"/>
  <c r="L517" i="25"/>
  <c r="F517" i="25"/>
  <c r="E517" i="25"/>
  <c r="Y516" i="25"/>
  <c r="Q516" i="25"/>
  <c r="L516" i="25"/>
  <c r="F516" i="25"/>
  <c r="E516" i="25"/>
  <c r="Y515" i="25"/>
  <c r="Q515" i="25"/>
  <c r="L515" i="25"/>
  <c r="F515" i="25"/>
  <c r="E515" i="25"/>
  <c r="Y514" i="25"/>
  <c r="Q514" i="25"/>
  <c r="L514" i="25"/>
  <c r="F514" i="25"/>
  <c r="E514" i="25"/>
  <c r="Y513" i="25"/>
  <c r="Q513" i="25"/>
  <c r="L513" i="25"/>
  <c r="F513" i="25"/>
  <c r="E513" i="25"/>
  <c r="Y512" i="25"/>
  <c r="Q512" i="25"/>
  <c r="L512" i="25"/>
  <c r="F512" i="25"/>
  <c r="E512" i="25"/>
  <c r="Y511" i="25"/>
  <c r="Q511" i="25"/>
  <c r="L511" i="25"/>
  <c r="F511" i="25"/>
  <c r="E511" i="25"/>
  <c r="Y510" i="25"/>
  <c r="Q510" i="25"/>
  <c r="L510" i="25"/>
  <c r="F510" i="25"/>
  <c r="E510" i="25"/>
  <c r="Y509" i="25"/>
  <c r="Q509" i="25"/>
  <c r="L509" i="25"/>
  <c r="F509" i="25"/>
  <c r="E509" i="25"/>
  <c r="Y508" i="25"/>
  <c r="Q508" i="25"/>
  <c r="L508" i="25"/>
  <c r="F508" i="25"/>
  <c r="E508" i="25"/>
  <c r="Y507" i="25"/>
  <c r="Q507" i="25"/>
  <c r="L507" i="25"/>
  <c r="F507" i="25"/>
  <c r="E507" i="25"/>
  <c r="Y506" i="25"/>
  <c r="Q506" i="25"/>
  <c r="L506" i="25"/>
  <c r="F506" i="25"/>
  <c r="E506" i="25"/>
  <c r="Y505" i="25"/>
  <c r="Q505" i="25"/>
  <c r="L505" i="25"/>
  <c r="F505" i="25"/>
  <c r="E505" i="25"/>
  <c r="Y504" i="25"/>
  <c r="Q504" i="25"/>
  <c r="L504" i="25"/>
  <c r="F504" i="25"/>
  <c r="E504" i="25"/>
  <c r="Y503" i="25"/>
  <c r="Q503" i="25"/>
  <c r="L503" i="25"/>
  <c r="F503" i="25"/>
  <c r="E503" i="25"/>
  <c r="Y502" i="25"/>
  <c r="Q502" i="25"/>
  <c r="L502" i="25"/>
  <c r="F502" i="25"/>
  <c r="E502" i="25"/>
  <c r="Y501" i="25"/>
  <c r="Q501" i="25"/>
  <c r="L501" i="25"/>
  <c r="F501" i="25"/>
  <c r="E501" i="25"/>
  <c r="Y500" i="25"/>
  <c r="Q500" i="25"/>
  <c r="L500" i="25"/>
  <c r="F500" i="25"/>
  <c r="E500" i="25"/>
  <c r="Y499" i="25"/>
  <c r="Q499" i="25"/>
  <c r="L499" i="25"/>
  <c r="F499" i="25"/>
  <c r="E499" i="25"/>
  <c r="Y498" i="25"/>
  <c r="Q498" i="25"/>
  <c r="L498" i="25"/>
  <c r="F498" i="25"/>
  <c r="E498" i="25"/>
  <c r="Y497" i="25"/>
  <c r="Q497" i="25"/>
  <c r="L497" i="25"/>
  <c r="F497" i="25"/>
  <c r="E497" i="25"/>
  <c r="Y496" i="25"/>
  <c r="Q496" i="25"/>
  <c r="L496" i="25"/>
  <c r="F496" i="25"/>
  <c r="E496" i="25"/>
  <c r="Y495" i="25"/>
  <c r="Q495" i="25"/>
  <c r="L495" i="25"/>
  <c r="F495" i="25"/>
  <c r="E495" i="25"/>
  <c r="Y494" i="25"/>
  <c r="Q494" i="25"/>
  <c r="L494" i="25"/>
  <c r="F494" i="25"/>
  <c r="E494" i="25"/>
  <c r="Y493" i="25"/>
  <c r="Q493" i="25"/>
  <c r="L493" i="25"/>
  <c r="F493" i="25"/>
  <c r="E493" i="25"/>
  <c r="Y492" i="25"/>
  <c r="Q492" i="25"/>
  <c r="L492" i="25"/>
  <c r="F492" i="25"/>
  <c r="E492" i="25"/>
  <c r="Y491" i="25"/>
  <c r="Q491" i="25"/>
  <c r="L491" i="25"/>
  <c r="F491" i="25"/>
  <c r="E491" i="25"/>
  <c r="Y490" i="25"/>
  <c r="Q490" i="25"/>
  <c r="L490" i="25"/>
  <c r="F490" i="25"/>
  <c r="E490" i="25"/>
  <c r="Y489" i="25"/>
  <c r="Q489" i="25"/>
  <c r="L489" i="25"/>
  <c r="F489" i="25"/>
  <c r="E489" i="25"/>
  <c r="Y488" i="25"/>
  <c r="Q488" i="25"/>
  <c r="L488" i="25"/>
  <c r="F488" i="25"/>
  <c r="E488" i="25"/>
  <c r="Y487" i="25"/>
  <c r="Q487" i="25"/>
  <c r="L487" i="25"/>
  <c r="F487" i="25"/>
  <c r="E487" i="25"/>
  <c r="Y486" i="25"/>
  <c r="Q486" i="25"/>
  <c r="L486" i="25"/>
  <c r="F486" i="25"/>
  <c r="E486" i="25"/>
  <c r="Y485" i="25"/>
  <c r="Q485" i="25"/>
  <c r="L485" i="25"/>
  <c r="F485" i="25"/>
  <c r="E485" i="25"/>
  <c r="Y484" i="25"/>
  <c r="Q484" i="25"/>
  <c r="L484" i="25"/>
  <c r="F484" i="25"/>
  <c r="E484" i="25"/>
  <c r="Y483" i="25"/>
  <c r="Q483" i="25"/>
  <c r="J483" i="25"/>
  <c r="I483" i="25"/>
  <c r="H483" i="25"/>
  <c r="F483" i="25"/>
  <c r="E483" i="25"/>
  <c r="Y482" i="25"/>
  <c r="Q482" i="25"/>
  <c r="K482" i="25"/>
  <c r="J482" i="25"/>
  <c r="I482" i="25"/>
  <c r="H482" i="25"/>
  <c r="F482" i="25"/>
  <c r="E482" i="25"/>
  <c r="Y481" i="25"/>
  <c r="Q481" i="25"/>
  <c r="K481" i="25"/>
  <c r="J481" i="25"/>
  <c r="I481" i="25"/>
  <c r="H481" i="25"/>
  <c r="F481" i="25"/>
  <c r="E481" i="25"/>
  <c r="Y480" i="25"/>
  <c r="Q480" i="25"/>
  <c r="K480" i="25"/>
  <c r="J480" i="25"/>
  <c r="I480" i="25"/>
  <c r="H480" i="25"/>
  <c r="F480" i="25"/>
  <c r="E480" i="25"/>
  <c r="Y479" i="25"/>
  <c r="Q479" i="25"/>
  <c r="K479" i="25"/>
  <c r="J479" i="25"/>
  <c r="I479" i="25"/>
  <c r="H479" i="25"/>
  <c r="F479" i="25"/>
  <c r="E479" i="25"/>
  <c r="Y478" i="25"/>
  <c r="Q478" i="25"/>
  <c r="J478" i="25"/>
  <c r="I478" i="25"/>
  <c r="H478" i="25"/>
  <c r="F478" i="25"/>
  <c r="E478" i="25"/>
  <c r="Y477" i="25"/>
  <c r="Q477" i="25"/>
  <c r="K477" i="25"/>
  <c r="J477" i="25"/>
  <c r="I477" i="25"/>
  <c r="H477" i="25"/>
  <c r="F477" i="25"/>
  <c r="E477" i="25"/>
  <c r="Y476" i="25"/>
  <c r="Q476" i="25"/>
  <c r="K476" i="25"/>
  <c r="J476" i="25"/>
  <c r="I476" i="25"/>
  <c r="H476" i="25"/>
  <c r="F476" i="25"/>
  <c r="E476" i="25"/>
  <c r="Y475" i="25"/>
  <c r="Q475" i="25"/>
  <c r="J475" i="25"/>
  <c r="I475" i="25"/>
  <c r="H475" i="25"/>
  <c r="F475" i="25"/>
  <c r="E475" i="25"/>
  <c r="Y474" i="25"/>
  <c r="Q474" i="25"/>
  <c r="J474" i="25"/>
  <c r="I474" i="25"/>
  <c r="H474" i="25"/>
  <c r="F474" i="25"/>
  <c r="E474" i="25"/>
  <c r="Y473" i="25"/>
  <c r="Q473" i="25"/>
  <c r="J473" i="25"/>
  <c r="I473" i="25"/>
  <c r="H473" i="25"/>
  <c r="F473" i="25"/>
  <c r="E473" i="25"/>
  <c r="Y472" i="25"/>
  <c r="Q472" i="25"/>
  <c r="K472" i="25"/>
  <c r="J472" i="25"/>
  <c r="I472" i="25"/>
  <c r="H472" i="25"/>
  <c r="F472" i="25"/>
  <c r="E472" i="25"/>
  <c r="Y471" i="25"/>
  <c r="Q471" i="25"/>
  <c r="K471" i="25"/>
  <c r="J471" i="25"/>
  <c r="I471" i="25"/>
  <c r="H471" i="25"/>
  <c r="F471" i="25"/>
  <c r="E471" i="25"/>
  <c r="Y470" i="25"/>
  <c r="Q470" i="25"/>
  <c r="K470" i="25"/>
  <c r="J470" i="25"/>
  <c r="I470" i="25"/>
  <c r="H470" i="25"/>
  <c r="F470" i="25"/>
  <c r="E470" i="25"/>
  <c r="Y469" i="25"/>
  <c r="Q469" i="25"/>
  <c r="K469" i="25"/>
  <c r="J469" i="25"/>
  <c r="I469" i="25"/>
  <c r="H469" i="25"/>
  <c r="F469" i="25"/>
  <c r="E469" i="25"/>
  <c r="Y468" i="25"/>
  <c r="Q468" i="25"/>
  <c r="K468" i="25"/>
  <c r="J468" i="25"/>
  <c r="I468" i="25"/>
  <c r="H468" i="25"/>
  <c r="F468" i="25"/>
  <c r="E468" i="25"/>
  <c r="Y467" i="25"/>
  <c r="Q467" i="25"/>
  <c r="K467" i="25"/>
  <c r="J467" i="25"/>
  <c r="I467" i="25"/>
  <c r="H467" i="25"/>
  <c r="F467" i="25"/>
  <c r="E467" i="25"/>
  <c r="Y466" i="25"/>
  <c r="Q466" i="25"/>
  <c r="J466" i="25"/>
  <c r="I466" i="25"/>
  <c r="H466" i="25"/>
  <c r="F466" i="25"/>
  <c r="E466" i="25"/>
  <c r="Y465" i="25"/>
  <c r="Q465" i="25"/>
  <c r="J465" i="25"/>
  <c r="I465" i="25"/>
  <c r="H465" i="25"/>
  <c r="F465" i="25"/>
  <c r="E465" i="25"/>
  <c r="Y464" i="25"/>
  <c r="Q464" i="25"/>
  <c r="J464" i="25"/>
  <c r="I464" i="25"/>
  <c r="H464" i="25"/>
  <c r="F464" i="25"/>
  <c r="E464" i="25"/>
  <c r="Y463" i="25"/>
  <c r="Q463" i="25"/>
  <c r="K463" i="25"/>
  <c r="J463" i="25"/>
  <c r="I463" i="25"/>
  <c r="H463" i="25"/>
  <c r="F463" i="25"/>
  <c r="E463" i="25"/>
  <c r="Y462" i="25"/>
  <c r="Q462" i="25"/>
  <c r="K462" i="25"/>
  <c r="J462" i="25"/>
  <c r="I462" i="25"/>
  <c r="H462" i="25"/>
  <c r="F462" i="25"/>
  <c r="E462" i="25"/>
  <c r="Y461" i="25"/>
  <c r="Q461" i="25"/>
  <c r="K461" i="25"/>
  <c r="J461" i="25"/>
  <c r="I461" i="25"/>
  <c r="H461" i="25"/>
  <c r="F461" i="25"/>
  <c r="E461" i="25"/>
  <c r="Y460" i="25"/>
  <c r="Q460" i="25"/>
  <c r="J460" i="25"/>
  <c r="I460" i="25"/>
  <c r="H460" i="25"/>
  <c r="F460" i="25"/>
  <c r="E460" i="25"/>
  <c r="Y459" i="25"/>
  <c r="Q459" i="25"/>
  <c r="J459" i="25"/>
  <c r="I459" i="25"/>
  <c r="H459" i="25"/>
  <c r="F459" i="25"/>
  <c r="E459" i="25"/>
  <c r="Y458" i="25"/>
  <c r="Q458" i="25"/>
  <c r="J458" i="25"/>
  <c r="I458" i="25"/>
  <c r="H458" i="25"/>
  <c r="F458" i="25"/>
  <c r="E458" i="25"/>
  <c r="Y457" i="25"/>
  <c r="Q457" i="25"/>
  <c r="K457" i="25"/>
  <c r="J457" i="25"/>
  <c r="I457" i="25"/>
  <c r="H457" i="25"/>
  <c r="F457" i="25"/>
  <c r="E457" i="25"/>
  <c r="Y456" i="25"/>
  <c r="Q456" i="25"/>
  <c r="K456" i="25"/>
  <c r="J456" i="25"/>
  <c r="I456" i="25"/>
  <c r="H456" i="25"/>
  <c r="F456" i="25"/>
  <c r="E456" i="25"/>
  <c r="Y455" i="25"/>
  <c r="Q455" i="25"/>
  <c r="J455" i="25"/>
  <c r="I455" i="25"/>
  <c r="H455" i="25"/>
  <c r="F455" i="25"/>
  <c r="E455" i="25"/>
  <c r="Y454" i="25"/>
  <c r="Q454" i="25"/>
  <c r="J454" i="25"/>
  <c r="I454" i="25"/>
  <c r="H454" i="25"/>
  <c r="F454" i="25"/>
  <c r="E454" i="25"/>
  <c r="Y453" i="25"/>
  <c r="Q453" i="25"/>
  <c r="J453" i="25"/>
  <c r="I453" i="25"/>
  <c r="H453" i="25"/>
  <c r="F453" i="25"/>
  <c r="E453" i="25"/>
  <c r="Y452" i="25"/>
  <c r="Q452" i="25"/>
  <c r="K452" i="25"/>
  <c r="J452" i="25"/>
  <c r="I452" i="25"/>
  <c r="H452" i="25"/>
  <c r="F452" i="25"/>
  <c r="E452" i="25"/>
  <c r="Y451" i="25"/>
  <c r="Q451" i="25"/>
  <c r="K451" i="25"/>
  <c r="J451" i="25"/>
  <c r="I451" i="25"/>
  <c r="H451" i="25"/>
  <c r="F451" i="25"/>
  <c r="E451" i="25"/>
  <c r="Y450" i="25"/>
  <c r="Q450" i="25"/>
  <c r="K450" i="25"/>
  <c r="J450" i="25"/>
  <c r="I450" i="25"/>
  <c r="H450" i="25"/>
  <c r="F450" i="25"/>
  <c r="E450" i="25"/>
  <c r="Y449" i="25"/>
  <c r="Q449" i="25"/>
  <c r="K449" i="25"/>
  <c r="J449" i="25"/>
  <c r="I449" i="25"/>
  <c r="H449" i="25"/>
  <c r="F449" i="25"/>
  <c r="E449" i="25"/>
  <c r="Y448" i="25"/>
  <c r="Q448" i="25"/>
  <c r="K448" i="25"/>
  <c r="J448" i="25"/>
  <c r="I448" i="25"/>
  <c r="H448" i="25"/>
  <c r="F448" i="25"/>
  <c r="E448" i="25"/>
  <c r="Y447" i="25"/>
  <c r="Q447" i="25"/>
  <c r="K447" i="25"/>
  <c r="J447" i="25"/>
  <c r="I447" i="25"/>
  <c r="H447" i="25"/>
  <c r="F447" i="25"/>
  <c r="E447" i="25"/>
  <c r="Y446" i="25"/>
  <c r="Q446" i="25"/>
  <c r="K446" i="25"/>
  <c r="J446" i="25"/>
  <c r="I446" i="25"/>
  <c r="H446" i="25"/>
  <c r="F446" i="25"/>
  <c r="E446" i="25"/>
  <c r="Y445" i="25"/>
  <c r="Q445" i="25"/>
  <c r="K445" i="25"/>
  <c r="J445" i="25"/>
  <c r="I445" i="25"/>
  <c r="H445" i="25"/>
  <c r="F445" i="25"/>
  <c r="E445" i="25"/>
  <c r="Y444" i="25"/>
  <c r="Q444" i="25"/>
  <c r="J444" i="25"/>
  <c r="I444" i="25"/>
  <c r="H444" i="25"/>
  <c r="F444" i="25"/>
  <c r="E444" i="25"/>
  <c r="Y443" i="25"/>
  <c r="Q443" i="25"/>
  <c r="K443" i="25"/>
  <c r="J443" i="25"/>
  <c r="I443" i="25"/>
  <c r="H443" i="25"/>
  <c r="F443" i="25"/>
  <c r="E443" i="25"/>
  <c r="Y442" i="25"/>
  <c r="Q442" i="25"/>
  <c r="K442" i="25"/>
  <c r="J442" i="25"/>
  <c r="I442" i="25"/>
  <c r="H442" i="25"/>
  <c r="F442" i="25"/>
  <c r="E442" i="25"/>
  <c r="Y441" i="25"/>
  <c r="Q441" i="25"/>
  <c r="K441" i="25"/>
  <c r="J441" i="25"/>
  <c r="I441" i="25"/>
  <c r="H441" i="25"/>
  <c r="F441" i="25"/>
  <c r="E441" i="25"/>
  <c r="Y440" i="25"/>
  <c r="Q440" i="25"/>
  <c r="K440" i="25"/>
  <c r="J440" i="25"/>
  <c r="I440" i="25"/>
  <c r="H440" i="25"/>
  <c r="F440" i="25"/>
  <c r="E440" i="25"/>
  <c r="Y439" i="25"/>
  <c r="Q439" i="25"/>
  <c r="K439" i="25"/>
  <c r="J439" i="25"/>
  <c r="I439" i="25"/>
  <c r="H439" i="25"/>
  <c r="F439" i="25"/>
  <c r="E439" i="25"/>
  <c r="Y438" i="25"/>
  <c r="Q438" i="25"/>
  <c r="K438" i="25"/>
  <c r="J438" i="25"/>
  <c r="I438" i="25"/>
  <c r="H438" i="25"/>
  <c r="F438" i="25"/>
  <c r="E438" i="25"/>
  <c r="Y437" i="25"/>
  <c r="Q437" i="25"/>
  <c r="K437" i="25"/>
  <c r="J437" i="25"/>
  <c r="I437" i="25"/>
  <c r="H437" i="25"/>
  <c r="F437" i="25"/>
  <c r="E437" i="25"/>
  <c r="Y436" i="25"/>
  <c r="Q436" i="25"/>
  <c r="K436" i="25"/>
  <c r="J436" i="25"/>
  <c r="I436" i="25"/>
  <c r="H436" i="25"/>
  <c r="F436" i="25"/>
  <c r="E436" i="25"/>
  <c r="Y435" i="25"/>
  <c r="Q435" i="25"/>
  <c r="K435" i="25"/>
  <c r="J435" i="25"/>
  <c r="I435" i="25"/>
  <c r="H435" i="25"/>
  <c r="F435" i="25"/>
  <c r="E435" i="25"/>
  <c r="Y434" i="25"/>
  <c r="Q434" i="25"/>
  <c r="K434" i="25"/>
  <c r="J434" i="25"/>
  <c r="I434" i="25"/>
  <c r="H434" i="25"/>
  <c r="F434" i="25"/>
  <c r="E434" i="25"/>
  <c r="Y433" i="25"/>
  <c r="Q433" i="25"/>
  <c r="K433" i="25"/>
  <c r="J433" i="25"/>
  <c r="I433" i="25"/>
  <c r="H433" i="25"/>
  <c r="F433" i="25"/>
  <c r="E433" i="25"/>
  <c r="Y432" i="25"/>
  <c r="Q432" i="25"/>
  <c r="J432" i="25"/>
  <c r="I432" i="25"/>
  <c r="H432" i="25"/>
  <c r="F432" i="25"/>
  <c r="E432" i="25"/>
  <c r="Y431" i="25"/>
  <c r="Q431" i="25"/>
  <c r="J431" i="25"/>
  <c r="I431" i="25"/>
  <c r="H431" i="25"/>
  <c r="F431" i="25"/>
  <c r="E431" i="25"/>
  <c r="Y430" i="25"/>
  <c r="Q430" i="25"/>
  <c r="K430" i="25"/>
  <c r="J430" i="25"/>
  <c r="I430" i="25"/>
  <c r="H430" i="25"/>
  <c r="F430" i="25"/>
  <c r="E430" i="25"/>
  <c r="Y429" i="25"/>
  <c r="Q429" i="25"/>
  <c r="J429" i="25"/>
  <c r="I429" i="25"/>
  <c r="H429" i="25"/>
  <c r="F429" i="25"/>
  <c r="E429" i="25"/>
  <c r="Y428" i="25"/>
  <c r="Q428" i="25"/>
  <c r="J428" i="25"/>
  <c r="I428" i="25"/>
  <c r="H428" i="25"/>
  <c r="F428" i="25"/>
  <c r="E428" i="25"/>
  <c r="Y427" i="25"/>
  <c r="Q427" i="25"/>
  <c r="K427" i="25"/>
  <c r="J427" i="25"/>
  <c r="I427" i="25"/>
  <c r="H427" i="25"/>
  <c r="F427" i="25"/>
  <c r="E427" i="25"/>
  <c r="Y426" i="25"/>
  <c r="Q426" i="25"/>
  <c r="K426" i="25"/>
  <c r="J426" i="25"/>
  <c r="I426" i="25"/>
  <c r="H426" i="25"/>
  <c r="F426" i="25"/>
  <c r="E426" i="25"/>
  <c r="Y425" i="25"/>
  <c r="Q425" i="25"/>
  <c r="K425" i="25"/>
  <c r="J425" i="25"/>
  <c r="I425" i="25"/>
  <c r="H425" i="25"/>
  <c r="F425" i="25"/>
  <c r="E425" i="25"/>
  <c r="Y424" i="25"/>
  <c r="Q424" i="25"/>
  <c r="K424" i="25"/>
  <c r="J424" i="25"/>
  <c r="I424" i="25"/>
  <c r="H424" i="25"/>
  <c r="F424" i="25"/>
  <c r="E424" i="25"/>
  <c r="Y423" i="25"/>
  <c r="Q423" i="25"/>
  <c r="K423" i="25"/>
  <c r="J423" i="25"/>
  <c r="I423" i="25"/>
  <c r="H423" i="25"/>
  <c r="F423" i="25"/>
  <c r="E423" i="25"/>
  <c r="Y422" i="25"/>
  <c r="Q422" i="25"/>
  <c r="K422" i="25"/>
  <c r="J422" i="25"/>
  <c r="I422" i="25"/>
  <c r="H422" i="25"/>
  <c r="F422" i="25"/>
  <c r="E422" i="25"/>
  <c r="Y421" i="25"/>
  <c r="Q421" i="25"/>
  <c r="K421" i="25"/>
  <c r="J421" i="25"/>
  <c r="I421" i="25"/>
  <c r="H421" i="25"/>
  <c r="F421" i="25"/>
  <c r="E421" i="25"/>
  <c r="Y420" i="25"/>
  <c r="Q420" i="25"/>
  <c r="J420" i="25"/>
  <c r="I420" i="25"/>
  <c r="H420" i="25"/>
  <c r="F420" i="25"/>
  <c r="E420" i="25"/>
  <c r="Y419" i="25"/>
  <c r="Q419" i="25"/>
  <c r="J419" i="25"/>
  <c r="I419" i="25"/>
  <c r="H419" i="25"/>
  <c r="F419" i="25"/>
  <c r="E419" i="25"/>
  <c r="Y418" i="25"/>
  <c r="Q418" i="25"/>
  <c r="K418" i="25"/>
  <c r="J418" i="25"/>
  <c r="I418" i="25"/>
  <c r="H418" i="25"/>
  <c r="F418" i="25"/>
  <c r="E418" i="25"/>
  <c r="Y417" i="25"/>
  <c r="Q417" i="25"/>
  <c r="K417" i="25"/>
  <c r="J417" i="25"/>
  <c r="I417" i="25"/>
  <c r="H417" i="25"/>
  <c r="F417" i="25"/>
  <c r="E417" i="25"/>
  <c r="Y416" i="25"/>
  <c r="Q416" i="25"/>
  <c r="K416" i="25"/>
  <c r="J416" i="25"/>
  <c r="I416" i="25"/>
  <c r="H416" i="25"/>
  <c r="F416" i="25"/>
  <c r="E416" i="25"/>
  <c r="Y415" i="25"/>
  <c r="Q415" i="25"/>
  <c r="K415" i="25"/>
  <c r="J415" i="25"/>
  <c r="I415" i="25"/>
  <c r="H415" i="25"/>
  <c r="F415" i="25"/>
  <c r="E415" i="25"/>
  <c r="Y414" i="25"/>
  <c r="Q414" i="25"/>
  <c r="J414" i="25"/>
  <c r="I414" i="25"/>
  <c r="H414" i="25"/>
  <c r="F414" i="25"/>
  <c r="E414" i="25"/>
  <c r="Y413" i="25"/>
  <c r="Q413" i="25"/>
  <c r="J413" i="25"/>
  <c r="I413" i="25"/>
  <c r="H413" i="25"/>
  <c r="F413" i="25"/>
  <c r="E413" i="25"/>
  <c r="Y412" i="25"/>
  <c r="Q412" i="25"/>
  <c r="J412" i="25"/>
  <c r="I412" i="25"/>
  <c r="H412" i="25"/>
  <c r="F412" i="25"/>
  <c r="E412" i="25"/>
  <c r="Y411" i="25"/>
  <c r="Q411" i="25"/>
  <c r="J411" i="25"/>
  <c r="I411" i="25"/>
  <c r="H411" i="25"/>
  <c r="F411" i="25"/>
  <c r="E411" i="25"/>
  <c r="Y410" i="25"/>
  <c r="Q410" i="25"/>
  <c r="J410" i="25"/>
  <c r="I410" i="25"/>
  <c r="H410" i="25"/>
  <c r="F410" i="25"/>
  <c r="E410" i="25"/>
  <c r="Y409" i="25"/>
  <c r="Q409" i="25"/>
  <c r="K409" i="25"/>
  <c r="J409" i="25"/>
  <c r="I409" i="25"/>
  <c r="H409" i="25"/>
  <c r="F409" i="25"/>
  <c r="E409" i="25"/>
  <c r="Y408" i="25"/>
  <c r="Q408" i="25"/>
  <c r="K408" i="25"/>
  <c r="J408" i="25"/>
  <c r="I408" i="25"/>
  <c r="H408" i="25"/>
  <c r="F408" i="25"/>
  <c r="E408" i="25"/>
  <c r="Y407" i="25"/>
  <c r="Q407" i="25"/>
  <c r="K407" i="25"/>
  <c r="J407" i="25"/>
  <c r="I407" i="25"/>
  <c r="H407" i="25"/>
  <c r="F407" i="25"/>
  <c r="E407" i="25"/>
  <c r="Y406" i="25"/>
  <c r="Q406" i="25"/>
  <c r="J406" i="25"/>
  <c r="I406" i="25"/>
  <c r="H406" i="25"/>
  <c r="F406" i="25"/>
  <c r="E406" i="25"/>
  <c r="Y405" i="25"/>
  <c r="Q405" i="25"/>
  <c r="K405" i="25"/>
  <c r="J405" i="25"/>
  <c r="I405" i="25"/>
  <c r="H405" i="25"/>
  <c r="F405" i="25"/>
  <c r="E405" i="25"/>
  <c r="Y404" i="25"/>
  <c r="Q404" i="25"/>
  <c r="J404" i="25"/>
  <c r="I404" i="25"/>
  <c r="H404" i="25"/>
  <c r="F404" i="25"/>
  <c r="E404" i="25"/>
  <c r="Y403" i="25"/>
  <c r="Q403" i="25"/>
  <c r="J403" i="25"/>
  <c r="I403" i="25"/>
  <c r="H403" i="25"/>
  <c r="F403" i="25"/>
  <c r="E403" i="25"/>
  <c r="Y402" i="25"/>
  <c r="Q402" i="25"/>
  <c r="J402" i="25"/>
  <c r="I402" i="25"/>
  <c r="H402" i="25"/>
  <c r="F402" i="25"/>
  <c r="E402" i="25"/>
  <c r="Y401" i="25"/>
  <c r="Q401" i="25"/>
  <c r="J401" i="25"/>
  <c r="I401" i="25"/>
  <c r="H401" i="25"/>
  <c r="F401" i="25"/>
  <c r="E401" i="25"/>
  <c r="Y400" i="25"/>
  <c r="Q400" i="25"/>
  <c r="J400" i="25"/>
  <c r="I400" i="25"/>
  <c r="H400" i="25"/>
  <c r="F400" i="25"/>
  <c r="E400" i="25"/>
  <c r="Y399" i="25"/>
  <c r="Q399" i="25"/>
  <c r="J399" i="25"/>
  <c r="I399" i="25"/>
  <c r="H399" i="25"/>
  <c r="F399" i="25"/>
  <c r="E399" i="25"/>
  <c r="Y398" i="25"/>
  <c r="Q398" i="25"/>
  <c r="K398" i="25"/>
  <c r="J398" i="25"/>
  <c r="I398" i="25"/>
  <c r="H398" i="25"/>
  <c r="F398" i="25"/>
  <c r="E398" i="25"/>
  <c r="Y397" i="25"/>
  <c r="Q397" i="25"/>
  <c r="K397" i="25"/>
  <c r="J397" i="25"/>
  <c r="I397" i="25"/>
  <c r="H397" i="25"/>
  <c r="F397" i="25"/>
  <c r="E397" i="25"/>
  <c r="Y396" i="25"/>
  <c r="Q396" i="25"/>
  <c r="K396" i="25"/>
  <c r="J396" i="25"/>
  <c r="I396" i="25"/>
  <c r="H396" i="25"/>
  <c r="F396" i="25"/>
  <c r="E396" i="25"/>
  <c r="Y395" i="25"/>
  <c r="Q395" i="25"/>
  <c r="J395" i="25"/>
  <c r="I395" i="25"/>
  <c r="H395" i="25"/>
  <c r="F395" i="25"/>
  <c r="E395" i="25"/>
  <c r="Y394" i="25"/>
  <c r="Q394" i="25"/>
  <c r="K394" i="25"/>
  <c r="J394" i="25"/>
  <c r="I394" i="25"/>
  <c r="H394" i="25"/>
  <c r="F394" i="25"/>
  <c r="E394" i="25"/>
  <c r="Y393" i="25"/>
  <c r="Q393" i="25"/>
  <c r="J393" i="25"/>
  <c r="I393" i="25"/>
  <c r="H393" i="25"/>
  <c r="F393" i="25"/>
  <c r="E393" i="25"/>
  <c r="Y392" i="25"/>
  <c r="Q392" i="25"/>
  <c r="J392" i="25"/>
  <c r="I392" i="25"/>
  <c r="H392" i="25"/>
  <c r="F392" i="25"/>
  <c r="E392" i="25"/>
  <c r="Y391" i="25"/>
  <c r="Q391" i="25"/>
  <c r="K391" i="25"/>
  <c r="J391" i="25"/>
  <c r="I391" i="25"/>
  <c r="H391" i="25"/>
  <c r="F391" i="25"/>
  <c r="E391" i="25"/>
  <c r="Y390" i="25"/>
  <c r="Q390" i="25"/>
  <c r="K390" i="25"/>
  <c r="J390" i="25"/>
  <c r="I390" i="25"/>
  <c r="H390" i="25"/>
  <c r="F390" i="25"/>
  <c r="E390" i="25"/>
  <c r="Y389" i="25"/>
  <c r="Q389" i="25"/>
  <c r="K389" i="25"/>
  <c r="J389" i="25"/>
  <c r="I389" i="25"/>
  <c r="H389" i="25"/>
  <c r="F389" i="25"/>
  <c r="E389" i="25"/>
  <c r="Y388" i="25"/>
  <c r="Q388" i="25"/>
  <c r="J388" i="25"/>
  <c r="I388" i="25"/>
  <c r="H388" i="25"/>
  <c r="F388" i="25"/>
  <c r="E388" i="25"/>
  <c r="Y387" i="25"/>
  <c r="Q387" i="25"/>
  <c r="J387" i="25"/>
  <c r="I387" i="25"/>
  <c r="H387" i="25"/>
  <c r="F387" i="25"/>
  <c r="E387" i="25"/>
  <c r="Y386" i="25"/>
  <c r="Q386" i="25"/>
  <c r="K386" i="25"/>
  <c r="J386" i="25"/>
  <c r="I386" i="25"/>
  <c r="H386" i="25"/>
  <c r="F386" i="25"/>
  <c r="E386" i="25"/>
  <c r="Y385" i="25"/>
  <c r="Q385" i="25"/>
  <c r="J385" i="25"/>
  <c r="I385" i="25"/>
  <c r="H385" i="25"/>
  <c r="F385" i="25"/>
  <c r="E385" i="25"/>
  <c r="Y384" i="25"/>
  <c r="Q384" i="25"/>
  <c r="K384" i="25"/>
  <c r="J384" i="25"/>
  <c r="I384" i="25"/>
  <c r="H384" i="25"/>
  <c r="F384" i="25"/>
  <c r="E384" i="25"/>
  <c r="Y383" i="25"/>
  <c r="Q383" i="25"/>
  <c r="K383" i="25"/>
  <c r="J383" i="25"/>
  <c r="I383" i="25"/>
  <c r="H383" i="25"/>
  <c r="F383" i="25"/>
  <c r="E383" i="25"/>
  <c r="Y382" i="25"/>
  <c r="Q382" i="25"/>
  <c r="K382" i="25"/>
  <c r="J382" i="25"/>
  <c r="I382" i="25"/>
  <c r="H382" i="25"/>
  <c r="F382" i="25"/>
  <c r="E382" i="25"/>
  <c r="Y381" i="25"/>
  <c r="Q381" i="25"/>
  <c r="K381" i="25"/>
  <c r="J381" i="25"/>
  <c r="I381" i="25"/>
  <c r="H381" i="25"/>
  <c r="F381" i="25"/>
  <c r="E381" i="25"/>
  <c r="Y380" i="25"/>
  <c r="Q380" i="25"/>
  <c r="K380" i="25"/>
  <c r="J380" i="25"/>
  <c r="I380" i="25"/>
  <c r="H380" i="25"/>
  <c r="F380" i="25"/>
  <c r="E380" i="25"/>
  <c r="Y379" i="25"/>
  <c r="Q379" i="25"/>
  <c r="K379" i="25"/>
  <c r="J379" i="25"/>
  <c r="I379" i="25"/>
  <c r="H379" i="25"/>
  <c r="F379" i="25"/>
  <c r="E379" i="25"/>
  <c r="Y378" i="25"/>
  <c r="Q378" i="25"/>
  <c r="K378" i="25"/>
  <c r="J378" i="25"/>
  <c r="I378" i="25"/>
  <c r="H378" i="25"/>
  <c r="F378" i="25"/>
  <c r="E378" i="25"/>
  <c r="Y377" i="25"/>
  <c r="Q377" i="25"/>
  <c r="K377" i="25"/>
  <c r="J377" i="25"/>
  <c r="I377" i="25"/>
  <c r="H377" i="25"/>
  <c r="F377" i="25"/>
  <c r="E377" i="25"/>
  <c r="Y376" i="25"/>
  <c r="Q376" i="25"/>
  <c r="K376" i="25"/>
  <c r="J376" i="25"/>
  <c r="I376" i="25"/>
  <c r="H376" i="25"/>
  <c r="F376" i="25"/>
  <c r="E376" i="25"/>
  <c r="Y375" i="25"/>
  <c r="Q375" i="25"/>
  <c r="K375" i="25"/>
  <c r="J375" i="25"/>
  <c r="I375" i="25"/>
  <c r="H375" i="25"/>
  <c r="F375" i="25"/>
  <c r="E375" i="25"/>
  <c r="Y374" i="25"/>
  <c r="Q374" i="25"/>
  <c r="K374" i="25"/>
  <c r="J374" i="25"/>
  <c r="I374" i="25"/>
  <c r="H374" i="25"/>
  <c r="F374" i="25"/>
  <c r="E374" i="25"/>
  <c r="Y373" i="25"/>
  <c r="Q373" i="25"/>
  <c r="K373" i="25"/>
  <c r="J373" i="25"/>
  <c r="I373" i="25"/>
  <c r="H373" i="25"/>
  <c r="F373" i="25"/>
  <c r="E373" i="25"/>
  <c r="Y372" i="25"/>
  <c r="Q372" i="25"/>
  <c r="K372" i="25"/>
  <c r="J372" i="25"/>
  <c r="I372" i="25"/>
  <c r="H372" i="25"/>
  <c r="F372" i="25"/>
  <c r="E372" i="25"/>
  <c r="Y371" i="25"/>
  <c r="Q371" i="25"/>
  <c r="K371" i="25"/>
  <c r="J371" i="25"/>
  <c r="I371" i="25"/>
  <c r="H371" i="25"/>
  <c r="F371" i="25"/>
  <c r="E371" i="25"/>
  <c r="Y370" i="25"/>
  <c r="Q370" i="25"/>
  <c r="K370" i="25"/>
  <c r="J370" i="25"/>
  <c r="I370" i="25"/>
  <c r="H370" i="25"/>
  <c r="F370" i="25"/>
  <c r="E370" i="25"/>
  <c r="Y369" i="25"/>
  <c r="Q369" i="25"/>
  <c r="K369" i="25"/>
  <c r="J369" i="25"/>
  <c r="I369" i="25"/>
  <c r="H369" i="25"/>
  <c r="F369" i="25"/>
  <c r="E369" i="25"/>
  <c r="Y368" i="25"/>
  <c r="Q368" i="25"/>
  <c r="K368" i="25"/>
  <c r="J368" i="25"/>
  <c r="I368" i="25"/>
  <c r="H368" i="25"/>
  <c r="F368" i="25"/>
  <c r="E368" i="25"/>
  <c r="Y367" i="25"/>
  <c r="Q367" i="25"/>
  <c r="K367" i="25"/>
  <c r="J367" i="25"/>
  <c r="I367" i="25"/>
  <c r="H367" i="25"/>
  <c r="F367" i="25"/>
  <c r="E367" i="25"/>
  <c r="Y366" i="25"/>
  <c r="Q366" i="25"/>
  <c r="K366" i="25"/>
  <c r="J366" i="25"/>
  <c r="I366" i="25"/>
  <c r="H366" i="25"/>
  <c r="F366" i="25"/>
  <c r="E366" i="25"/>
  <c r="Y365" i="25"/>
  <c r="Q365" i="25"/>
  <c r="K365" i="25"/>
  <c r="J365" i="25"/>
  <c r="I365" i="25"/>
  <c r="H365" i="25"/>
  <c r="F365" i="25"/>
  <c r="E365" i="25"/>
  <c r="Y364" i="25"/>
  <c r="Q364" i="25"/>
  <c r="K364" i="25"/>
  <c r="J364" i="25"/>
  <c r="I364" i="25"/>
  <c r="H364" i="25"/>
  <c r="F364" i="25"/>
  <c r="E364" i="25"/>
  <c r="Y363" i="25"/>
  <c r="Q363" i="25"/>
  <c r="K363" i="25"/>
  <c r="J363" i="25"/>
  <c r="I363" i="25"/>
  <c r="H363" i="25"/>
  <c r="F363" i="25"/>
  <c r="E363" i="25"/>
  <c r="Y362" i="25"/>
  <c r="Q362" i="25"/>
  <c r="K362" i="25"/>
  <c r="J362" i="25"/>
  <c r="I362" i="25"/>
  <c r="H362" i="25"/>
  <c r="F362" i="25"/>
  <c r="E362" i="25"/>
  <c r="Y361" i="25"/>
  <c r="Q361" i="25"/>
  <c r="K361" i="25"/>
  <c r="J361" i="25"/>
  <c r="I361" i="25"/>
  <c r="H361" i="25"/>
  <c r="F361" i="25"/>
  <c r="E361" i="25"/>
  <c r="Y360" i="25"/>
  <c r="Q360" i="25"/>
  <c r="K360" i="25"/>
  <c r="J360" i="25"/>
  <c r="I360" i="25"/>
  <c r="H360" i="25"/>
  <c r="F360" i="25"/>
  <c r="E360" i="25"/>
  <c r="Y359" i="25"/>
  <c r="Q359" i="25"/>
  <c r="K359" i="25"/>
  <c r="J359" i="25"/>
  <c r="I359" i="25"/>
  <c r="H359" i="25"/>
  <c r="F359" i="25"/>
  <c r="E359" i="25"/>
  <c r="Y358" i="25"/>
  <c r="Q358" i="25"/>
  <c r="K358" i="25"/>
  <c r="J358" i="25"/>
  <c r="I358" i="25"/>
  <c r="H358" i="25"/>
  <c r="F358" i="25"/>
  <c r="E358" i="25"/>
  <c r="Y357" i="25"/>
  <c r="Q357" i="25"/>
  <c r="K357" i="25"/>
  <c r="J357" i="25"/>
  <c r="I357" i="25"/>
  <c r="H357" i="25"/>
  <c r="F357" i="25"/>
  <c r="E357" i="25"/>
  <c r="Y356" i="25"/>
  <c r="Q356" i="25"/>
  <c r="K356" i="25"/>
  <c r="J356" i="25"/>
  <c r="I356" i="25"/>
  <c r="H356" i="25"/>
  <c r="F356" i="25"/>
  <c r="E356" i="25"/>
  <c r="Y355" i="25"/>
  <c r="Q355" i="25"/>
  <c r="J355" i="25"/>
  <c r="I355" i="25"/>
  <c r="H355" i="25"/>
  <c r="F355" i="25"/>
  <c r="E355" i="25"/>
  <c r="Y354" i="25"/>
  <c r="Q354" i="25"/>
  <c r="J354" i="25"/>
  <c r="I354" i="25"/>
  <c r="H354" i="25"/>
  <c r="F354" i="25"/>
  <c r="E354" i="25"/>
  <c r="Y353" i="25"/>
  <c r="Q353" i="25"/>
  <c r="J353" i="25"/>
  <c r="I353" i="25"/>
  <c r="H353" i="25"/>
  <c r="F353" i="25"/>
  <c r="E353" i="25"/>
  <c r="Y352" i="25"/>
  <c r="Q352" i="25"/>
  <c r="J352" i="25"/>
  <c r="I352" i="25"/>
  <c r="H352" i="25"/>
  <c r="F352" i="25"/>
  <c r="E352" i="25"/>
  <c r="Y351" i="25"/>
  <c r="Q351" i="25"/>
  <c r="J351" i="25"/>
  <c r="I351" i="25"/>
  <c r="H351" i="25"/>
  <c r="F351" i="25"/>
  <c r="E351" i="25"/>
  <c r="Y350" i="25"/>
  <c r="Q350" i="25"/>
  <c r="J350" i="25"/>
  <c r="I350" i="25"/>
  <c r="H350" i="25"/>
  <c r="F350" i="25"/>
  <c r="E350" i="25"/>
  <c r="Y349" i="25"/>
  <c r="Q349" i="25"/>
  <c r="J349" i="25"/>
  <c r="I349" i="25"/>
  <c r="H349" i="25"/>
  <c r="F349" i="25"/>
  <c r="E349" i="25"/>
  <c r="Y348" i="25"/>
  <c r="Q348" i="25"/>
  <c r="J348" i="25"/>
  <c r="I348" i="25"/>
  <c r="H348" i="25"/>
  <c r="F348" i="25"/>
  <c r="E348" i="25"/>
  <c r="Y347" i="25"/>
  <c r="Q347" i="25"/>
  <c r="J347" i="25"/>
  <c r="I347" i="25"/>
  <c r="H347" i="25"/>
  <c r="F347" i="25"/>
  <c r="E347" i="25"/>
  <c r="Y346" i="25"/>
  <c r="Q346" i="25"/>
  <c r="K346" i="25"/>
  <c r="J346" i="25"/>
  <c r="I346" i="25"/>
  <c r="H346" i="25"/>
  <c r="F346" i="25"/>
  <c r="E346" i="25"/>
  <c r="Y345" i="25"/>
  <c r="Q345" i="25"/>
  <c r="K345" i="25"/>
  <c r="J345" i="25"/>
  <c r="I345" i="25"/>
  <c r="H345" i="25"/>
  <c r="F345" i="25"/>
  <c r="E345" i="25"/>
  <c r="Y344" i="25"/>
  <c r="Q344" i="25"/>
  <c r="K344" i="25"/>
  <c r="J344" i="25"/>
  <c r="I344" i="25"/>
  <c r="H344" i="25"/>
  <c r="F344" i="25"/>
  <c r="E344" i="25"/>
  <c r="Y343" i="25"/>
  <c r="Q343" i="25"/>
  <c r="K343" i="25"/>
  <c r="J343" i="25"/>
  <c r="I343" i="25"/>
  <c r="H343" i="25"/>
  <c r="F343" i="25"/>
  <c r="E343" i="25"/>
  <c r="Y342" i="25"/>
  <c r="Q342" i="25"/>
  <c r="K342" i="25"/>
  <c r="J342" i="25"/>
  <c r="I342" i="25"/>
  <c r="H342" i="25"/>
  <c r="F342" i="25"/>
  <c r="E342" i="25"/>
  <c r="Y341" i="25"/>
  <c r="Q341" i="25"/>
  <c r="J341" i="25"/>
  <c r="I341" i="25"/>
  <c r="H341" i="25"/>
  <c r="F341" i="25"/>
  <c r="E341" i="25"/>
  <c r="Y340" i="25"/>
  <c r="Q340" i="25"/>
  <c r="K340" i="25"/>
  <c r="J340" i="25"/>
  <c r="I340" i="25"/>
  <c r="H340" i="25"/>
  <c r="F340" i="25"/>
  <c r="E340" i="25"/>
  <c r="Y339" i="25"/>
  <c r="Q339" i="25"/>
  <c r="J339" i="25"/>
  <c r="I339" i="25"/>
  <c r="H339" i="25"/>
  <c r="F339" i="25"/>
  <c r="E339" i="25"/>
  <c r="Y338" i="25"/>
  <c r="Q338" i="25"/>
  <c r="K338" i="25"/>
  <c r="J338" i="25"/>
  <c r="I338" i="25"/>
  <c r="H338" i="25"/>
  <c r="F338" i="25"/>
  <c r="E338" i="25"/>
  <c r="Y337" i="25"/>
  <c r="Q337" i="25"/>
  <c r="J337" i="25"/>
  <c r="I337" i="25"/>
  <c r="H337" i="25"/>
  <c r="F337" i="25"/>
  <c r="E337" i="25"/>
  <c r="Y336" i="25"/>
  <c r="Q336" i="25"/>
  <c r="K336" i="25"/>
  <c r="J336" i="25"/>
  <c r="I336" i="25"/>
  <c r="H336" i="25"/>
  <c r="F336" i="25"/>
  <c r="E336" i="25"/>
  <c r="Y335" i="25"/>
  <c r="Q335" i="25"/>
  <c r="K335" i="25"/>
  <c r="J335" i="25"/>
  <c r="I335" i="25"/>
  <c r="H335" i="25"/>
  <c r="F335" i="25"/>
  <c r="E335" i="25"/>
  <c r="Y334" i="25"/>
  <c r="Q334" i="25"/>
  <c r="K334" i="25"/>
  <c r="J334" i="25"/>
  <c r="I334" i="25"/>
  <c r="H334" i="25"/>
  <c r="F334" i="25"/>
  <c r="E334" i="25"/>
  <c r="Y333" i="25"/>
  <c r="Q333" i="25"/>
  <c r="K333" i="25"/>
  <c r="J333" i="25"/>
  <c r="I333" i="25"/>
  <c r="H333" i="25"/>
  <c r="F333" i="25"/>
  <c r="E333" i="25"/>
  <c r="Y332" i="25"/>
  <c r="Q332" i="25"/>
  <c r="K332" i="25"/>
  <c r="J332" i="25"/>
  <c r="I332" i="25"/>
  <c r="H332" i="25"/>
  <c r="F332" i="25"/>
  <c r="E332" i="25"/>
  <c r="Y331" i="25"/>
  <c r="Q331" i="25"/>
  <c r="K331" i="25"/>
  <c r="J331" i="25"/>
  <c r="I331" i="25"/>
  <c r="H331" i="25"/>
  <c r="F331" i="25"/>
  <c r="E331" i="25"/>
  <c r="Y330" i="25"/>
  <c r="Q330" i="25"/>
  <c r="K330" i="25"/>
  <c r="J330" i="25"/>
  <c r="I330" i="25"/>
  <c r="H330" i="25"/>
  <c r="F330" i="25"/>
  <c r="E330" i="25"/>
  <c r="Y329" i="25"/>
  <c r="Q329" i="25"/>
  <c r="K329" i="25"/>
  <c r="J329" i="25"/>
  <c r="I329" i="25"/>
  <c r="H329" i="25"/>
  <c r="F329" i="25"/>
  <c r="E329" i="25"/>
  <c r="Y328" i="25"/>
  <c r="Q328" i="25"/>
  <c r="K328" i="25"/>
  <c r="J328" i="25"/>
  <c r="I328" i="25"/>
  <c r="H328" i="25"/>
  <c r="F328" i="25"/>
  <c r="E328" i="25"/>
  <c r="Y327" i="25"/>
  <c r="Q327" i="25"/>
  <c r="K327" i="25"/>
  <c r="J327" i="25"/>
  <c r="I327" i="25"/>
  <c r="H327" i="25"/>
  <c r="F327" i="25"/>
  <c r="E327" i="25"/>
  <c r="Y326" i="25"/>
  <c r="Q326" i="25"/>
  <c r="K326" i="25"/>
  <c r="J326" i="25"/>
  <c r="I326" i="25"/>
  <c r="H326" i="25"/>
  <c r="F326" i="25"/>
  <c r="E326" i="25"/>
  <c r="Y325" i="25"/>
  <c r="Q325" i="25"/>
  <c r="K325" i="25"/>
  <c r="J325" i="25"/>
  <c r="I325" i="25"/>
  <c r="H325" i="25"/>
  <c r="F325" i="25"/>
  <c r="E325" i="25"/>
  <c r="Y324" i="25"/>
  <c r="Q324" i="25"/>
  <c r="K324" i="25"/>
  <c r="J324" i="25"/>
  <c r="I324" i="25"/>
  <c r="H324" i="25"/>
  <c r="F324" i="25"/>
  <c r="E324" i="25"/>
  <c r="Y323" i="25"/>
  <c r="Q323" i="25"/>
  <c r="K323" i="25"/>
  <c r="J323" i="25"/>
  <c r="I323" i="25"/>
  <c r="H323" i="25"/>
  <c r="F323" i="25"/>
  <c r="E323" i="25"/>
  <c r="Y322" i="25"/>
  <c r="Q322" i="25"/>
  <c r="K322" i="25"/>
  <c r="J322" i="25"/>
  <c r="I322" i="25"/>
  <c r="H322" i="25"/>
  <c r="F322" i="25"/>
  <c r="E322" i="25"/>
  <c r="Y321" i="25"/>
  <c r="Q321" i="25"/>
  <c r="K321" i="25"/>
  <c r="J321" i="25"/>
  <c r="I321" i="25"/>
  <c r="H321" i="25"/>
  <c r="F321" i="25"/>
  <c r="E321" i="25"/>
  <c r="Y320" i="25"/>
  <c r="Q320" i="25"/>
  <c r="K320" i="25"/>
  <c r="J320" i="25"/>
  <c r="I320" i="25"/>
  <c r="H320" i="25"/>
  <c r="F320" i="25"/>
  <c r="E320" i="25"/>
  <c r="Y319" i="25"/>
  <c r="Q319" i="25"/>
  <c r="K319" i="25"/>
  <c r="J319" i="25"/>
  <c r="I319" i="25"/>
  <c r="H319" i="25"/>
  <c r="F319" i="25"/>
  <c r="E319" i="25"/>
  <c r="Y318" i="25"/>
  <c r="Q318" i="25"/>
  <c r="K318" i="25"/>
  <c r="J318" i="25"/>
  <c r="I318" i="25"/>
  <c r="H318" i="25"/>
  <c r="F318" i="25"/>
  <c r="E318" i="25"/>
  <c r="Y317" i="25"/>
  <c r="Q317" i="25"/>
  <c r="K317" i="25"/>
  <c r="J317" i="25"/>
  <c r="I317" i="25"/>
  <c r="H317" i="25"/>
  <c r="F317" i="25"/>
  <c r="E317" i="25"/>
  <c r="Y316" i="25"/>
  <c r="Q316" i="25"/>
  <c r="K316" i="25"/>
  <c r="J316" i="25"/>
  <c r="I316" i="25"/>
  <c r="H316" i="25"/>
  <c r="F316" i="25"/>
  <c r="E316" i="25"/>
  <c r="Y315" i="25"/>
  <c r="Q315" i="25"/>
  <c r="K315" i="25"/>
  <c r="J315" i="25"/>
  <c r="I315" i="25"/>
  <c r="H315" i="25"/>
  <c r="F315" i="25"/>
  <c r="E315" i="25"/>
  <c r="Y314" i="25"/>
  <c r="Q314" i="25"/>
  <c r="K314" i="25"/>
  <c r="J314" i="25"/>
  <c r="I314" i="25"/>
  <c r="H314" i="25"/>
  <c r="F314" i="25"/>
  <c r="E314" i="25"/>
  <c r="Y313" i="25"/>
  <c r="Q313" i="25"/>
  <c r="K313" i="25"/>
  <c r="J313" i="25"/>
  <c r="I313" i="25"/>
  <c r="H313" i="25"/>
  <c r="F313" i="25"/>
  <c r="E313" i="25"/>
  <c r="Y312" i="25"/>
  <c r="Q312" i="25"/>
  <c r="K312" i="25"/>
  <c r="J312" i="25"/>
  <c r="I312" i="25"/>
  <c r="H312" i="25"/>
  <c r="F312" i="25"/>
  <c r="E312" i="25"/>
  <c r="Y311" i="25"/>
  <c r="Q311" i="25"/>
  <c r="K311" i="25"/>
  <c r="J311" i="25"/>
  <c r="I311" i="25"/>
  <c r="H311" i="25"/>
  <c r="F311" i="25"/>
  <c r="E311" i="25"/>
  <c r="Y310" i="25"/>
  <c r="Q310" i="25"/>
  <c r="K310" i="25"/>
  <c r="J310" i="25"/>
  <c r="I310" i="25"/>
  <c r="H310" i="25"/>
  <c r="F310" i="25"/>
  <c r="E310" i="25"/>
  <c r="Y309" i="25"/>
  <c r="Q309" i="25"/>
  <c r="K309" i="25"/>
  <c r="J309" i="25"/>
  <c r="I309" i="25"/>
  <c r="H309" i="25"/>
  <c r="F309" i="25"/>
  <c r="E309" i="25"/>
  <c r="Y308" i="25"/>
  <c r="Q308" i="25"/>
  <c r="K308" i="25"/>
  <c r="J308" i="25"/>
  <c r="I308" i="25"/>
  <c r="H308" i="25"/>
  <c r="F308" i="25"/>
  <c r="E308" i="25"/>
  <c r="Y307" i="25"/>
  <c r="Q307" i="25"/>
  <c r="K307" i="25"/>
  <c r="J307" i="25"/>
  <c r="I307" i="25"/>
  <c r="H307" i="25"/>
  <c r="F307" i="25"/>
  <c r="E307" i="25"/>
  <c r="Y306" i="25"/>
  <c r="Q306" i="25"/>
  <c r="K306" i="25"/>
  <c r="J306" i="25"/>
  <c r="I306" i="25"/>
  <c r="H306" i="25"/>
  <c r="F306" i="25"/>
  <c r="E306" i="25"/>
  <c r="Y305" i="25"/>
  <c r="Q305" i="25"/>
  <c r="K305" i="25"/>
  <c r="J305" i="25"/>
  <c r="I305" i="25"/>
  <c r="H305" i="25"/>
  <c r="F305" i="25"/>
  <c r="E305" i="25"/>
  <c r="Y304" i="25"/>
  <c r="Q304" i="25"/>
  <c r="K304" i="25"/>
  <c r="J304" i="25"/>
  <c r="I304" i="25"/>
  <c r="H304" i="25"/>
  <c r="F304" i="25"/>
  <c r="E304" i="25"/>
  <c r="Y303" i="25"/>
  <c r="Q303" i="25"/>
  <c r="K303" i="25"/>
  <c r="J303" i="25"/>
  <c r="I303" i="25"/>
  <c r="H303" i="25"/>
  <c r="F303" i="25"/>
  <c r="E303" i="25"/>
  <c r="Y302" i="25"/>
  <c r="Q302" i="25"/>
  <c r="K302" i="25"/>
  <c r="J302" i="25"/>
  <c r="I302" i="25"/>
  <c r="H302" i="25"/>
  <c r="F302" i="25"/>
  <c r="E302" i="25"/>
  <c r="Y301" i="25"/>
  <c r="Q301" i="25"/>
  <c r="K301" i="25"/>
  <c r="J301" i="25"/>
  <c r="I301" i="25"/>
  <c r="H301" i="25"/>
  <c r="F301" i="25"/>
  <c r="E301" i="25"/>
  <c r="Y300" i="25"/>
  <c r="Q300" i="25"/>
  <c r="K300" i="25"/>
  <c r="J300" i="25"/>
  <c r="I300" i="25"/>
  <c r="H300" i="25"/>
  <c r="F300" i="25"/>
  <c r="E300" i="25"/>
  <c r="Y299" i="25"/>
  <c r="Q299" i="25"/>
  <c r="K299" i="25"/>
  <c r="J299" i="25"/>
  <c r="I299" i="25"/>
  <c r="H299" i="25"/>
  <c r="F299" i="25"/>
  <c r="E299" i="25"/>
  <c r="Y298" i="25"/>
  <c r="Q298" i="25"/>
  <c r="K298" i="25"/>
  <c r="J298" i="25"/>
  <c r="I298" i="25"/>
  <c r="H298" i="25"/>
  <c r="F298" i="25"/>
  <c r="E298" i="25"/>
  <c r="Y297" i="25"/>
  <c r="Q297" i="25"/>
  <c r="K297" i="25"/>
  <c r="J297" i="25"/>
  <c r="I297" i="25"/>
  <c r="H297" i="25"/>
  <c r="F297" i="25"/>
  <c r="E297" i="25"/>
  <c r="Y296" i="25"/>
  <c r="Q296" i="25"/>
  <c r="K296" i="25"/>
  <c r="J296" i="25"/>
  <c r="I296" i="25"/>
  <c r="H296" i="25"/>
  <c r="F296" i="25"/>
  <c r="E296" i="25"/>
  <c r="Y295" i="25"/>
  <c r="Q295" i="25"/>
  <c r="K295" i="25"/>
  <c r="J295" i="25"/>
  <c r="I295" i="25"/>
  <c r="H295" i="25"/>
  <c r="F295" i="25"/>
  <c r="E295" i="25"/>
  <c r="Y294" i="25"/>
  <c r="Q294" i="25"/>
  <c r="K294" i="25"/>
  <c r="J294" i="25"/>
  <c r="I294" i="25"/>
  <c r="H294" i="25"/>
  <c r="F294" i="25"/>
  <c r="E294" i="25"/>
  <c r="Y293" i="25"/>
  <c r="Q293" i="25"/>
  <c r="J293" i="25"/>
  <c r="I293" i="25"/>
  <c r="H293" i="25"/>
  <c r="F293" i="25"/>
  <c r="E293" i="25"/>
  <c r="Y292" i="25"/>
  <c r="Q292" i="25"/>
  <c r="K292" i="25"/>
  <c r="J292" i="25"/>
  <c r="I292" i="25"/>
  <c r="H292" i="25"/>
  <c r="F292" i="25"/>
  <c r="E292" i="25"/>
  <c r="Y291" i="25"/>
  <c r="Q291" i="25"/>
  <c r="J291" i="25"/>
  <c r="I291" i="25"/>
  <c r="H291" i="25"/>
  <c r="F291" i="25"/>
  <c r="E291" i="25"/>
  <c r="Y290" i="25"/>
  <c r="Q290" i="25"/>
  <c r="K290" i="25"/>
  <c r="J290" i="25"/>
  <c r="I290" i="25"/>
  <c r="H290" i="25"/>
  <c r="F290" i="25"/>
  <c r="E290" i="25"/>
  <c r="Y289" i="25"/>
  <c r="Q289" i="25"/>
  <c r="K289" i="25"/>
  <c r="J289" i="25"/>
  <c r="I289" i="25"/>
  <c r="H289" i="25"/>
  <c r="F289" i="25"/>
  <c r="E289" i="25"/>
  <c r="Y288" i="25"/>
  <c r="Q288" i="25"/>
  <c r="K288" i="25"/>
  <c r="J288" i="25"/>
  <c r="I288" i="25"/>
  <c r="H288" i="25"/>
  <c r="F288" i="25"/>
  <c r="E288" i="25"/>
  <c r="Y287" i="25"/>
  <c r="Q287" i="25"/>
  <c r="K287" i="25"/>
  <c r="J287" i="25"/>
  <c r="I287" i="25"/>
  <c r="H287" i="25"/>
  <c r="F287" i="25"/>
  <c r="E287" i="25"/>
  <c r="Y286" i="25"/>
  <c r="Q286" i="25"/>
  <c r="K286" i="25"/>
  <c r="J286" i="25"/>
  <c r="I286" i="25"/>
  <c r="H286" i="25"/>
  <c r="F286" i="25"/>
  <c r="E286" i="25"/>
  <c r="Y285" i="25"/>
  <c r="Q285" i="25"/>
  <c r="K285" i="25"/>
  <c r="J285" i="25"/>
  <c r="I285" i="25"/>
  <c r="H285" i="25"/>
  <c r="F285" i="25"/>
  <c r="E285" i="25"/>
  <c r="Y284" i="25"/>
  <c r="Q284" i="25"/>
  <c r="K284" i="25"/>
  <c r="J284" i="25"/>
  <c r="I284" i="25"/>
  <c r="H284" i="25"/>
  <c r="F284" i="25"/>
  <c r="E284" i="25"/>
  <c r="Y283" i="25"/>
  <c r="Q283" i="25"/>
  <c r="K283" i="25"/>
  <c r="J283" i="25"/>
  <c r="I283" i="25"/>
  <c r="H283" i="25"/>
  <c r="F283" i="25"/>
  <c r="E283" i="25"/>
  <c r="Y282" i="25"/>
  <c r="Q282" i="25"/>
  <c r="K282" i="25"/>
  <c r="J282" i="25"/>
  <c r="I282" i="25"/>
  <c r="H282" i="25"/>
  <c r="F282" i="25"/>
  <c r="E282" i="25"/>
  <c r="Y281" i="25"/>
  <c r="Q281" i="25"/>
  <c r="K281" i="25"/>
  <c r="J281" i="25"/>
  <c r="I281" i="25"/>
  <c r="H281" i="25"/>
  <c r="F281" i="25"/>
  <c r="E281" i="25"/>
  <c r="Y280" i="25"/>
  <c r="Q280" i="25"/>
  <c r="K280" i="25"/>
  <c r="J280" i="25"/>
  <c r="I280" i="25"/>
  <c r="H280" i="25"/>
  <c r="F280" i="25"/>
  <c r="E280" i="25"/>
  <c r="Y279" i="25"/>
  <c r="Q279" i="25"/>
  <c r="K279" i="25"/>
  <c r="J279" i="25"/>
  <c r="I279" i="25"/>
  <c r="H279" i="25"/>
  <c r="F279" i="25"/>
  <c r="E279" i="25"/>
  <c r="Y278" i="25"/>
  <c r="Q278" i="25"/>
  <c r="K278" i="25"/>
  <c r="J278" i="25"/>
  <c r="I278" i="25"/>
  <c r="H278" i="25"/>
  <c r="F278" i="25"/>
  <c r="E278" i="25"/>
  <c r="Y277" i="25"/>
  <c r="Q277" i="25"/>
  <c r="J277" i="25"/>
  <c r="I277" i="25"/>
  <c r="H277" i="25"/>
  <c r="F277" i="25"/>
  <c r="E277" i="25"/>
  <c r="Y276" i="25"/>
  <c r="Q276" i="25"/>
  <c r="K276" i="25"/>
  <c r="J276" i="25"/>
  <c r="I276" i="25"/>
  <c r="H276" i="25"/>
  <c r="F276" i="25"/>
  <c r="E276" i="25"/>
  <c r="Y275" i="25"/>
  <c r="Q275" i="25"/>
  <c r="J275" i="25"/>
  <c r="I275" i="25"/>
  <c r="H275" i="25"/>
  <c r="F275" i="25"/>
  <c r="E275" i="25"/>
  <c r="Y274" i="25"/>
  <c r="Q274" i="25"/>
  <c r="K274" i="25"/>
  <c r="J274" i="25"/>
  <c r="I274" i="25"/>
  <c r="H274" i="25"/>
  <c r="F274" i="25"/>
  <c r="E274" i="25"/>
  <c r="Y273" i="25"/>
  <c r="Q273" i="25"/>
  <c r="K273" i="25"/>
  <c r="J273" i="25"/>
  <c r="I273" i="25"/>
  <c r="H273" i="25"/>
  <c r="F273" i="25"/>
  <c r="E273" i="25"/>
  <c r="Y272" i="25"/>
  <c r="Q272" i="25"/>
  <c r="K272" i="25"/>
  <c r="J272" i="25"/>
  <c r="I272" i="25"/>
  <c r="H272" i="25"/>
  <c r="F272" i="25"/>
  <c r="E272" i="25"/>
  <c r="Y271" i="25"/>
  <c r="Q271" i="25"/>
  <c r="K271" i="25"/>
  <c r="J271" i="25"/>
  <c r="I271" i="25"/>
  <c r="H271" i="25"/>
  <c r="F271" i="25"/>
  <c r="E271" i="25"/>
  <c r="Y270" i="25"/>
  <c r="Q270" i="25"/>
  <c r="J270" i="25"/>
  <c r="I270" i="25"/>
  <c r="H270" i="25"/>
  <c r="F270" i="25"/>
  <c r="E270" i="25"/>
  <c r="Y269" i="25"/>
  <c r="Q269" i="25"/>
  <c r="K269" i="25"/>
  <c r="J269" i="25"/>
  <c r="I269" i="25"/>
  <c r="H269" i="25"/>
  <c r="F269" i="25"/>
  <c r="E269" i="25"/>
  <c r="Y268" i="25"/>
  <c r="Q268" i="25"/>
  <c r="K268" i="25"/>
  <c r="J268" i="25"/>
  <c r="I268" i="25"/>
  <c r="H268" i="25"/>
  <c r="F268" i="25"/>
  <c r="E268" i="25"/>
  <c r="Y267" i="25"/>
  <c r="Q267" i="25"/>
  <c r="J267" i="25"/>
  <c r="I267" i="25"/>
  <c r="H267" i="25"/>
  <c r="F267" i="25"/>
  <c r="E267" i="25"/>
  <c r="Y266" i="25"/>
  <c r="Q266" i="25"/>
  <c r="J266" i="25"/>
  <c r="I266" i="25"/>
  <c r="H266" i="25"/>
  <c r="F266" i="25"/>
  <c r="E266" i="25"/>
  <c r="Y265" i="25"/>
  <c r="Q265" i="25"/>
  <c r="K265" i="25"/>
  <c r="J265" i="25"/>
  <c r="I265" i="25"/>
  <c r="H265" i="25"/>
  <c r="F265" i="25"/>
  <c r="E265" i="25"/>
  <c r="Y264" i="25"/>
  <c r="Q264" i="25"/>
  <c r="K264" i="25"/>
  <c r="J264" i="25"/>
  <c r="I264" i="25"/>
  <c r="H264" i="25"/>
  <c r="F264" i="25"/>
  <c r="E264" i="25"/>
  <c r="Y263" i="25"/>
  <c r="Q263" i="25"/>
  <c r="K263" i="25"/>
  <c r="J263" i="25"/>
  <c r="I263" i="25"/>
  <c r="H263" i="25"/>
  <c r="F263" i="25"/>
  <c r="E263" i="25"/>
  <c r="Y262" i="25"/>
  <c r="Q262" i="25"/>
  <c r="J262" i="25"/>
  <c r="I262" i="25"/>
  <c r="H262" i="25"/>
  <c r="F262" i="25"/>
  <c r="E262" i="25"/>
  <c r="Y261" i="25"/>
  <c r="Q261" i="25"/>
  <c r="K261" i="25"/>
  <c r="J261" i="25"/>
  <c r="I261" i="25"/>
  <c r="H261" i="25"/>
  <c r="F261" i="25"/>
  <c r="E261" i="25"/>
  <c r="Y260" i="25"/>
  <c r="Q260" i="25"/>
  <c r="K260" i="25"/>
  <c r="J260" i="25"/>
  <c r="I260" i="25"/>
  <c r="H260" i="25"/>
  <c r="F260" i="25"/>
  <c r="E260" i="25"/>
  <c r="Y259" i="25"/>
  <c r="Q259" i="25"/>
  <c r="K259" i="25"/>
  <c r="J259" i="25"/>
  <c r="I259" i="25"/>
  <c r="H259" i="25"/>
  <c r="F259" i="25"/>
  <c r="E259" i="25"/>
  <c r="Y258" i="25"/>
  <c r="Q258" i="25"/>
  <c r="K258" i="25"/>
  <c r="J258" i="25"/>
  <c r="I258" i="25"/>
  <c r="H258" i="25"/>
  <c r="F258" i="25"/>
  <c r="E258" i="25"/>
  <c r="Y257" i="25"/>
  <c r="Q257" i="25"/>
  <c r="K257" i="25"/>
  <c r="J257" i="25"/>
  <c r="I257" i="25"/>
  <c r="H257" i="25"/>
  <c r="F257" i="25"/>
  <c r="E257" i="25"/>
  <c r="Y256" i="25"/>
  <c r="Q256" i="25"/>
  <c r="K256" i="25"/>
  <c r="J256" i="25"/>
  <c r="I256" i="25"/>
  <c r="H256" i="25"/>
  <c r="F256" i="25"/>
  <c r="E256" i="25"/>
  <c r="Y255" i="25"/>
  <c r="Q255" i="25"/>
  <c r="J255" i="25"/>
  <c r="I255" i="25"/>
  <c r="H255" i="25"/>
  <c r="F255" i="25"/>
  <c r="E255" i="25"/>
  <c r="Y254" i="25"/>
  <c r="Q254" i="25"/>
  <c r="K254" i="25"/>
  <c r="J254" i="25"/>
  <c r="I254" i="25"/>
  <c r="H254" i="25"/>
  <c r="F254" i="25"/>
  <c r="E254" i="25"/>
  <c r="Y253" i="25"/>
  <c r="Q253" i="25"/>
  <c r="K253" i="25"/>
  <c r="J253" i="25"/>
  <c r="I253" i="25"/>
  <c r="H253" i="25"/>
  <c r="F253" i="25"/>
  <c r="E253" i="25"/>
  <c r="Y252" i="25"/>
  <c r="Q252" i="25"/>
  <c r="K252" i="25"/>
  <c r="J252" i="25"/>
  <c r="I252" i="25"/>
  <c r="H252" i="25"/>
  <c r="F252" i="25"/>
  <c r="E252" i="25"/>
  <c r="Y251" i="25"/>
  <c r="Q251" i="25"/>
  <c r="K251" i="25"/>
  <c r="J251" i="25"/>
  <c r="I251" i="25"/>
  <c r="H251" i="25"/>
  <c r="F251" i="25"/>
  <c r="E251" i="25"/>
  <c r="Y250" i="25"/>
  <c r="Q250" i="25"/>
  <c r="K250" i="25"/>
  <c r="J250" i="25"/>
  <c r="I250" i="25"/>
  <c r="H250" i="25"/>
  <c r="F250" i="25"/>
  <c r="E250" i="25"/>
  <c r="Y249" i="25"/>
  <c r="Q249" i="25"/>
  <c r="J249" i="25"/>
  <c r="I249" i="25"/>
  <c r="H249" i="25"/>
  <c r="F249" i="25"/>
  <c r="E249" i="25"/>
  <c r="Y248" i="25"/>
  <c r="Q248" i="25"/>
  <c r="J248" i="25"/>
  <c r="I248" i="25"/>
  <c r="H248" i="25"/>
  <c r="F248" i="25"/>
  <c r="E248" i="25"/>
  <c r="Y247" i="25"/>
  <c r="Q247" i="25"/>
  <c r="K247" i="25"/>
  <c r="J247" i="25"/>
  <c r="I247" i="25"/>
  <c r="H247" i="25"/>
  <c r="F247" i="25"/>
  <c r="E247" i="25"/>
  <c r="Y246" i="25"/>
  <c r="Q246" i="25"/>
  <c r="K246" i="25"/>
  <c r="J246" i="25"/>
  <c r="I246" i="25"/>
  <c r="H246" i="25"/>
  <c r="F246" i="25"/>
  <c r="E246" i="25"/>
  <c r="Y245" i="25"/>
  <c r="Q245" i="25"/>
  <c r="K245" i="25"/>
  <c r="J245" i="25"/>
  <c r="I245" i="25"/>
  <c r="H245" i="25"/>
  <c r="F245" i="25"/>
  <c r="E245" i="25"/>
  <c r="Y244" i="25"/>
  <c r="Q244" i="25"/>
  <c r="K244" i="25"/>
  <c r="J244" i="25"/>
  <c r="I244" i="25"/>
  <c r="H244" i="25"/>
  <c r="F244" i="25"/>
  <c r="E244" i="25"/>
  <c r="Y243" i="25"/>
  <c r="Q243" i="25"/>
  <c r="J243" i="25"/>
  <c r="I243" i="25"/>
  <c r="H243" i="25"/>
  <c r="F243" i="25"/>
  <c r="E243" i="25"/>
  <c r="Y242" i="25"/>
  <c r="Q242" i="25"/>
  <c r="J242" i="25"/>
  <c r="I242" i="25"/>
  <c r="H242" i="25"/>
  <c r="F242" i="25"/>
  <c r="E242" i="25"/>
  <c r="Y241" i="25"/>
  <c r="Q241" i="25"/>
  <c r="K241" i="25"/>
  <c r="J241" i="25"/>
  <c r="I241" i="25"/>
  <c r="H241" i="25"/>
  <c r="F241" i="25"/>
  <c r="E241" i="25"/>
  <c r="Y240" i="25"/>
  <c r="Q240" i="25"/>
  <c r="K240" i="25"/>
  <c r="J240" i="25"/>
  <c r="I240" i="25"/>
  <c r="H240" i="25"/>
  <c r="F240" i="25"/>
  <c r="E240" i="25"/>
  <c r="Y239" i="25"/>
  <c r="Q239" i="25"/>
  <c r="K239" i="25"/>
  <c r="J239" i="25"/>
  <c r="I239" i="25"/>
  <c r="H239" i="25"/>
  <c r="F239" i="25"/>
  <c r="E239" i="25"/>
  <c r="Y238" i="25"/>
  <c r="Q238" i="25"/>
  <c r="K238" i="25"/>
  <c r="J238" i="25"/>
  <c r="I238" i="25"/>
  <c r="H238" i="25"/>
  <c r="F238" i="25"/>
  <c r="E238" i="25"/>
  <c r="Y237" i="25"/>
  <c r="Q237" i="25"/>
  <c r="K237" i="25"/>
  <c r="J237" i="25"/>
  <c r="I237" i="25"/>
  <c r="H237" i="25"/>
  <c r="F237" i="25"/>
  <c r="E237" i="25"/>
  <c r="Y236" i="25"/>
  <c r="Q236" i="25"/>
  <c r="K236" i="25"/>
  <c r="J236" i="25"/>
  <c r="I236" i="25"/>
  <c r="H236" i="25"/>
  <c r="F236" i="25"/>
  <c r="E236" i="25"/>
  <c r="Y235" i="25"/>
  <c r="Q235" i="25"/>
  <c r="K235" i="25"/>
  <c r="J235" i="25"/>
  <c r="I235" i="25"/>
  <c r="H235" i="25"/>
  <c r="F235" i="25"/>
  <c r="E235" i="25"/>
  <c r="Y234" i="25"/>
  <c r="Q234" i="25"/>
  <c r="K234" i="25"/>
  <c r="J234" i="25"/>
  <c r="I234" i="25"/>
  <c r="H234" i="25"/>
  <c r="F234" i="25"/>
  <c r="E234" i="25"/>
  <c r="Y233" i="25"/>
  <c r="Q233" i="25"/>
  <c r="K233" i="25"/>
  <c r="J233" i="25"/>
  <c r="I233" i="25"/>
  <c r="H233" i="25"/>
  <c r="F233" i="25"/>
  <c r="E233" i="25"/>
  <c r="Y232" i="25"/>
  <c r="Q232" i="25"/>
  <c r="K232" i="25"/>
  <c r="J232" i="25"/>
  <c r="I232" i="25"/>
  <c r="H232" i="25"/>
  <c r="F232" i="25"/>
  <c r="E232" i="25"/>
  <c r="Y231" i="25"/>
  <c r="Q231" i="25"/>
  <c r="K231" i="25"/>
  <c r="J231" i="25"/>
  <c r="I231" i="25"/>
  <c r="H231" i="25"/>
  <c r="F231" i="25"/>
  <c r="E231" i="25"/>
  <c r="Y230" i="25"/>
  <c r="Q230" i="25"/>
  <c r="K230" i="25"/>
  <c r="J230" i="25"/>
  <c r="I230" i="25"/>
  <c r="H230" i="25"/>
  <c r="F230" i="25"/>
  <c r="E230" i="25"/>
  <c r="Y229" i="25"/>
  <c r="Q229" i="25"/>
  <c r="K229" i="25"/>
  <c r="J229" i="25"/>
  <c r="I229" i="25"/>
  <c r="H229" i="25"/>
  <c r="F229" i="25"/>
  <c r="E229" i="25"/>
  <c r="Y228" i="25"/>
  <c r="Q228" i="25"/>
  <c r="K228" i="25"/>
  <c r="J228" i="25"/>
  <c r="I228" i="25"/>
  <c r="H228" i="25"/>
  <c r="F228" i="25"/>
  <c r="E228" i="25"/>
  <c r="Y227" i="25"/>
  <c r="Q227" i="25"/>
  <c r="K227" i="25"/>
  <c r="J227" i="25"/>
  <c r="I227" i="25"/>
  <c r="H227" i="25"/>
  <c r="F227" i="25"/>
  <c r="E227" i="25"/>
  <c r="Y226" i="25"/>
  <c r="Q226" i="25"/>
  <c r="K226" i="25"/>
  <c r="J226" i="25"/>
  <c r="I226" i="25"/>
  <c r="H226" i="25"/>
  <c r="F226" i="25"/>
  <c r="E226" i="25"/>
  <c r="Y225" i="25"/>
  <c r="Q225" i="25"/>
  <c r="J225" i="25"/>
  <c r="I225" i="25"/>
  <c r="H225" i="25"/>
  <c r="F225" i="25"/>
  <c r="E225" i="25"/>
  <c r="Y224" i="25"/>
  <c r="Q224" i="25"/>
  <c r="K224" i="25"/>
  <c r="J224" i="25"/>
  <c r="I224" i="25"/>
  <c r="H224" i="25"/>
  <c r="F224" i="25"/>
  <c r="E224" i="25"/>
  <c r="Y223" i="25"/>
  <c r="Q223" i="25"/>
  <c r="K223" i="25"/>
  <c r="J223" i="25"/>
  <c r="I223" i="25"/>
  <c r="H223" i="25"/>
  <c r="F223" i="25"/>
  <c r="E223" i="25"/>
  <c r="Y222" i="25"/>
  <c r="Q222" i="25"/>
  <c r="K222" i="25"/>
  <c r="J222" i="25"/>
  <c r="I222" i="25"/>
  <c r="H222" i="25"/>
  <c r="F222" i="25"/>
  <c r="E222" i="25"/>
  <c r="Y221" i="25"/>
  <c r="Q221" i="25"/>
  <c r="K221" i="25"/>
  <c r="J221" i="25"/>
  <c r="I221" i="25"/>
  <c r="H221" i="25"/>
  <c r="F221" i="25"/>
  <c r="E221" i="25"/>
  <c r="Y220" i="25"/>
  <c r="Q220" i="25"/>
  <c r="K220" i="25"/>
  <c r="J220" i="25"/>
  <c r="I220" i="25"/>
  <c r="H220" i="25"/>
  <c r="F220" i="25"/>
  <c r="E220" i="25"/>
  <c r="Y219" i="25"/>
  <c r="Q219" i="25"/>
  <c r="K219" i="25"/>
  <c r="J219" i="25"/>
  <c r="I219" i="25"/>
  <c r="H219" i="25"/>
  <c r="F219" i="25"/>
  <c r="E219" i="25"/>
  <c r="Y218" i="25"/>
  <c r="Q218" i="25"/>
  <c r="K218" i="25"/>
  <c r="J218" i="25"/>
  <c r="I218" i="25"/>
  <c r="H218" i="25"/>
  <c r="F218" i="25"/>
  <c r="E218" i="25"/>
  <c r="Y217" i="25"/>
  <c r="Q217" i="25"/>
  <c r="K217" i="25"/>
  <c r="J217" i="25"/>
  <c r="I217" i="25"/>
  <c r="H217" i="25"/>
  <c r="F217" i="25"/>
  <c r="E217" i="25"/>
  <c r="Y216" i="25"/>
  <c r="Q216" i="25"/>
  <c r="K216" i="25"/>
  <c r="J216" i="25"/>
  <c r="I216" i="25"/>
  <c r="H216" i="25"/>
  <c r="F216" i="25"/>
  <c r="E216" i="25"/>
  <c r="Y215" i="25"/>
  <c r="Q215" i="25"/>
  <c r="K215" i="25"/>
  <c r="J215" i="25"/>
  <c r="I215" i="25"/>
  <c r="H215" i="25"/>
  <c r="F215" i="25"/>
  <c r="E215" i="25"/>
  <c r="Y214" i="25"/>
  <c r="Q214" i="25"/>
  <c r="K214" i="25"/>
  <c r="J214" i="25"/>
  <c r="I214" i="25"/>
  <c r="H214" i="25"/>
  <c r="F214" i="25"/>
  <c r="E214" i="25"/>
  <c r="Y213" i="25"/>
  <c r="Q213" i="25"/>
  <c r="K213" i="25"/>
  <c r="J213" i="25"/>
  <c r="I213" i="25"/>
  <c r="H213" i="25"/>
  <c r="F213" i="25"/>
  <c r="E213" i="25"/>
  <c r="Y212" i="25"/>
  <c r="Q212" i="25"/>
  <c r="K212" i="25"/>
  <c r="J212" i="25"/>
  <c r="I212" i="25"/>
  <c r="H212" i="25"/>
  <c r="F212" i="25"/>
  <c r="E212" i="25"/>
  <c r="Y211" i="25"/>
  <c r="Q211" i="25"/>
  <c r="K211" i="25"/>
  <c r="J211" i="25"/>
  <c r="I211" i="25"/>
  <c r="H211" i="25"/>
  <c r="F211" i="25"/>
  <c r="E211" i="25"/>
  <c r="Y210" i="25"/>
  <c r="Q210" i="25"/>
  <c r="K210" i="25"/>
  <c r="J210" i="25"/>
  <c r="I210" i="25"/>
  <c r="H210" i="25"/>
  <c r="F210" i="25"/>
  <c r="E210" i="25"/>
  <c r="Y209" i="25"/>
  <c r="Q209" i="25"/>
  <c r="K209" i="25"/>
  <c r="J209" i="25"/>
  <c r="I209" i="25"/>
  <c r="H209" i="25"/>
  <c r="F209" i="25"/>
  <c r="E209" i="25"/>
  <c r="Y208" i="25"/>
  <c r="Q208" i="25"/>
  <c r="J208" i="25"/>
  <c r="I208" i="25"/>
  <c r="H208" i="25"/>
  <c r="F208" i="25"/>
  <c r="E208" i="25"/>
  <c r="Y207" i="25"/>
  <c r="Q207" i="25"/>
  <c r="J207" i="25"/>
  <c r="I207" i="25"/>
  <c r="H207" i="25"/>
  <c r="F207" i="25"/>
  <c r="E207" i="25"/>
  <c r="Y206" i="25"/>
  <c r="Q206" i="25"/>
  <c r="K206" i="25"/>
  <c r="J206" i="25"/>
  <c r="I206" i="25"/>
  <c r="H206" i="25"/>
  <c r="F206" i="25"/>
  <c r="E206" i="25"/>
  <c r="Y205" i="25"/>
  <c r="Q205" i="25"/>
  <c r="K205" i="25"/>
  <c r="J205" i="25"/>
  <c r="I205" i="25"/>
  <c r="H205" i="25"/>
  <c r="F205" i="25"/>
  <c r="E205" i="25"/>
  <c r="Y204" i="25"/>
  <c r="Q204" i="25"/>
  <c r="J204" i="25"/>
  <c r="I204" i="25"/>
  <c r="H204" i="25"/>
  <c r="F204" i="25"/>
  <c r="E204" i="25"/>
  <c r="Y203" i="25"/>
  <c r="Q203" i="25"/>
  <c r="K203" i="25"/>
  <c r="J203" i="25"/>
  <c r="I203" i="25"/>
  <c r="H203" i="25"/>
  <c r="F203" i="25"/>
  <c r="E203" i="25"/>
  <c r="Y202" i="25"/>
  <c r="Q202" i="25"/>
  <c r="J202" i="25"/>
  <c r="I202" i="25"/>
  <c r="H202" i="25"/>
  <c r="F202" i="25"/>
  <c r="E202" i="25"/>
  <c r="Y201" i="25"/>
  <c r="Q201" i="25"/>
  <c r="J201" i="25"/>
  <c r="I201" i="25"/>
  <c r="H201" i="25"/>
  <c r="F201" i="25"/>
  <c r="E201" i="25"/>
  <c r="Y200" i="25"/>
  <c r="Q200" i="25"/>
  <c r="J200" i="25"/>
  <c r="I200" i="25"/>
  <c r="H200" i="25"/>
  <c r="F200" i="25"/>
  <c r="E200" i="25"/>
  <c r="Y199" i="25"/>
  <c r="Q199" i="25"/>
  <c r="J199" i="25"/>
  <c r="I199" i="25"/>
  <c r="H199" i="25"/>
  <c r="F199" i="25"/>
  <c r="E199" i="25"/>
  <c r="Y198" i="25"/>
  <c r="Q198" i="25"/>
  <c r="K198" i="25"/>
  <c r="J198" i="25"/>
  <c r="I198" i="25"/>
  <c r="H198" i="25"/>
  <c r="F198" i="25"/>
  <c r="E198" i="25"/>
  <c r="Y197" i="25"/>
  <c r="Q197" i="25"/>
  <c r="K197" i="25"/>
  <c r="J197" i="25"/>
  <c r="I197" i="25"/>
  <c r="H197" i="25"/>
  <c r="F197" i="25"/>
  <c r="E197" i="25"/>
  <c r="Y196" i="25"/>
  <c r="Q196" i="25"/>
  <c r="K196" i="25"/>
  <c r="J196" i="25"/>
  <c r="I196" i="25"/>
  <c r="H196" i="25"/>
  <c r="F196" i="25"/>
  <c r="E196" i="25"/>
  <c r="Y195" i="25"/>
  <c r="Q195" i="25"/>
  <c r="K195" i="25"/>
  <c r="J195" i="25"/>
  <c r="I195" i="25"/>
  <c r="H195" i="25"/>
  <c r="F195" i="25"/>
  <c r="E195" i="25"/>
  <c r="Y194" i="25"/>
  <c r="Q194" i="25"/>
  <c r="K194" i="25"/>
  <c r="J194" i="25"/>
  <c r="I194" i="25"/>
  <c r="H194" i="25"/>
  <c r="F194" i="25"/>
  <c r="E194" i="25"/>
  <c r="Y193" i="25"/>
  <c r="Q193" i="25"/>
  <c r="K193" i="25"/>
  <c r="J193" i="25"/>
  <c r="I193" i="25"/>
  <c r="H193" i="25"/>
  <c r="F193" i="25"/>
  <c r="E193" i="25"/>
  <c r="Y192" i="25"/>
  <c r="Q192" i="25"/>
  <c r="K192" i="25"/>
  <c r="J192" i="25"/>
  <c r="I192" i="25"/>
  <c r="H192" i="25"/>
  <c r="F192" i="25"/>
  <c r="E192" i="25"/>
  <c r="Y191" i="25"/>
  <c r="Q191" i="25"/>
  <c r="K191" i="25"/>
  <c r="J191" i="25"/>
  <c r="I191" i="25"/>
  <c r="H191" i="25"/>
  <c r="F191" i="25"/>
  <c r="E191" i="25"/>
  <c r="Y190" i="25"/>
  <c r="Q190" i="25"/>
  <c r="K190" i="25"/>
  <c r="J190" i="25"/>
  <c r="I190" i="25"/>
  <c r="H190" i="25"/>
  <c r="F190" i="25"/>
  <c r="E190" i="25"/>
  <c r="Y189" i="25"/>
  <c r="Q189" i="25"/>
  <c r="K189" i="25"/>
  <c r="J189" i="25"/>
  <c r="I189" i="25"/>
  <c r="H189" i="25"/>
  <c r="F189" i="25"/>
  <c r="E189" i="25"/>
  <c r="Y188" i="25"/>
  <c r="Q188" i="25"/>
  <c r="K188" i="25"/>
  <c r="J188" i="25"/>
  <c r="I188" i="25"/>
  <c r="H188" i="25"/>
  <c r="F188" i="25"/>
  <c r="E188" i="25"/>
  <c r="Y187" i="25"/>
  <c r="Q187" i="25"/>
  <c r="K187" i="25"/>
  <c r="J187" i="25"/>
  <c r="I187" i="25"/>
  <c r="H187" i="25"/>
  <c r="F187" i="25"/>
  <c r="E187" i="25"/>
  <c r="Y186" i="25"/>
  <c r="Q186" i="25"/>
  <c r="K186" i="25"/>
  <c r="J186" i="25"/>
  <c r="I186" i="25"/>
  <c r="H186" i="25"/>
  <c r="F186" i="25"/>
  <c r="E186" i="25"/>
  <c r="Y185" i="25"/>
  <c r="Q185" i="25"/>
  <c r="J185" i="25"/>
  <c r="I185" i="25"/>
  <c r="H185" i="25"/>
  <c r="F185" i="25"/>
  <c r="E185" i="25"/>
  <c r="Y184" i="25"/>
  <c r="Q184" i="25"/>
  <c r="J184" i="25"/>
  <c r="I184" i="25"/>
  <c r="H184" i="25"/>
  <c r="F184" i="25"/>
  <c r="E184" i="25"/>
  <c r="Y183" i="25"/>
  <c r="Q183" i="25"/>
  <c r="K183" i="25"/>
  <c r="J183" i="25"/>
  <c r="I183" i="25"/>
  <c r="H183" i="25"/>
  <c r="F183" i="25"/>
  <c r="E183" i="25"/>
  <c r="Y182" i="25"/>
  <c r="Q182" i="25"/>
  <c r="K182" i="25"/>
  <c r="J182" i="25"/>
  <c r="I182" i="25"/>
  <c r="H182" i="25"/>
  <c r="F182" i="25"/>
  <c r="E182" i="25"/>
  <c r="Y181" i="25"/>
  <c r="Q181" i="25"/>
  <c r="K181" i="25"/>
  <c r="J181" i="25"/>
  <c r="I181" i="25"/>
  <c r="H181" i="25"/>
  <c r="F181" i="25"/>
  <c r="E181" i="25"/>
  <c r="Y180" i="25"/>
  <c r="Q180" i="25"/>
  <c r="K180" i="25"/>
  <c r="J180" i="25"/>
  <c r="I180" i="25"/>
  <c r="H180" i="25"/>
  <c r="F180" i="25"/>
  <c r="E180" i="25"/>
  <c r="Y179" i="25"/>
  <c r="Q179" i="25"/>
  <c r="K179" i="25"/>
  <c r="J179" i="25"/>
  <c r="I179" i="25"/>
  <c r="H179" i="25"/>
  <c r="F179" i="25"/>
  <c r="E179" i="25"/>
  <c r="Y178" i="25"/>
  <c r="Q178" i="25"/>
  <c r="K178" i="25"/>
  <c r="J178" i="25"/>
  <c r="I178" i="25"/>
  <c r="H178" i="25"/>
  <c r="F178" i="25"/>
  <c r="E178" i="25"/>
  <c r="Y177" i="25"/>
  <c r="Q177" i="25"/>
  <c r="K177" i="25"/>
  <c r="J177" i="25"/>
  <c r="I177" i="25"/>
  <c r="H177" i="25"/>
  <c r="F177" i="25"/>
  <c r="E177" i="25"/>
  <c r="Y176" i="25"/>
  <c r="Q176" i="25"/>
  <c r="K176" i="25"/>
  <c r="J176" i="25"/>
  <c r="I176" i="25"/>
  <c r="H176" i="25"/>
  <c r="F176" i="25"/>
  <c r="E176" i="25"/>
  <c r="Y175" i="25"/>
  <c r="Q175" i="25"/>
  <c r="K175" i="25"/>
  <c r="J175" i="25"/>
  <c r="I175" i="25"/>
  <c r="H175" i="25"/>
  <c r="F175" i="25"/>
  <c r="E175" i="25"/>
  <c r="Y174" i="25"/>
  <c r="Q174" i="25"/>
  <c r="K174" i="25"/>
  <c r="J174" i="25"/>
  <c r="I174" i="25"/>
  <c r="H174" i="25"/>
  <c r="F174" i="25"/>
  <c r="E174" i="25"/>
  <c r="Y173" i="25"/>
  <c r="Q173" i="25"/>
  <c r="K173" i="25"/>
  <c r="J173" i="25"/>
  <c r="I173" i="25"/>
  <c r="H173" i="25"/>
  <c r="F173" i="25"/>
  <c r="E173" i="25"/>
  <c r="Y172" i="25"/>
  <c r="Q172" i="25"/>
  <c r="K172" i="25"/>
  <c r="J172" i="25"/>
  <c r="I172" i="25"/>
  <c r="H172" i="25"/>
  <c r="F172" i="25"/>
  <c r="E172" i="25"/>
  <c r="Y171" i="25"/>
  <c r="Q171" i="25"/>
  <c r="K171" i="25"/>
  <c r="J171" i="25"/>
  <c r="I171" i="25"/>
  <c r="H171" i="25"/>
  <c r="F171" i="25"/>
  <c r="E171" i="25"/>
  <c r="Y170" i="25"/>
  <c r="Q170" i="25"/>
  <c r="K170" i="25"/>
  <c r="J170" i="25"/>
  <c r="I170" i="25"/>
  <c r="H170" i="25"/>
  <c r="F170" i="25"/>
  <c r="E170" i="25"/>
  <c r="Y169" i="25"/>
  <c r="Q169" i="25"/>
  <c r="K169" i="25"/>
  <c r="J169" i="25"/>
  <c r="I169" i="25"/>
  <c r="H169" i="25"/>
  <c r="F169" i="25"/>
  <c r="E169" i="25"/>
  <c r="Y168" i="25"/>
  <c r="Q168" i="25"/>
  <c r="K168" i="25"/>
  <c r="J168" i="25"/>
  <c r="I168" i="25"/>
  <c r="H168" i="25"/>
  <c r="F168" i="25"/>
  <c r="E168" i="25"/>
  <c r="Y167" i="25"/>
  <c r="Q167" i="25"/>
  <c r="K167" i="25"/>
  <c r="J167" i="25"/>
  <c r="I167" i="25"/>
  <c r="H167" i="25"/>
  <c r="F167" i="25"/>
  <c r="E167" i="25"/>
  <c r="Y166" i="25"/>
  <c r="Q166" i="25"/>
  <c r="J166" i="25"/>
  <c r="I166" i="25"/>
  <c r="H166" i="25"/>
  <c r="F166" i="25"/>
  <c r="E166" i="25"/>
  <c r="Y165" i="25"/>
  <c r="Q165" i="25"/>
  <c r="K165" i="25"/>
  <c r="J165" i="25"/>
  <c r="I165" i="25"/>
  <c r="H165" i="25"/>
  <c r="F165" i="25"/>
  <c r="E165" i="25"/>
  <c r="Y164" i="25"/>
  <c r="Q164" i="25"/>
  <c r="K164" i="25"/>
  <c r="J164" i="25"/>
  <c r="I164" i="25"/>
  <c r="H164" i="25"/>
  <c r="F164" i="25"/>
  <c r="E164" i="25"/>
  <c r="Y163" i="25"/>
  <c r="Q163" i="25"/>
  <c r="K163" i="25"/>
  <c r="J163" i="25"/>
  <c r="I163" i="25"/>
  <c r="H163" i="25"/>
  <c r="F163" i="25"/>
  <c r="E163" i="25"/>
  <c r="Y162" i="25"/>
  <c r="Q162" i="25"/>
  <c r="J162" i="25"/>
  <c r="I162" i="25"/>
  <c r="H162" i="25"/>
  <c r="F162" i="25"/>
  <c r="E162" i="25"/>
  <c r="Y161" i="25"/>
  <c r="Q161" i="25"/>
  <c r="K161" i="25"/>
  <c r="J161" i="25"/>
  <c r="I161" i="25"/>
  <c r="H161" i="25"/>
  <c r="F161" i="25"/>
  <c r="E161" i="25"/>
  <c r="Y160" i="25"/>
  <c r="Q160" i="25"/>
  <c r="K160" i="25"/>
  <c r="J160" i="25"/>
  <c r="I160" i="25"/>
  <c r="H160" i="25"/>
  <c r="F160" i="25"/>
  <c r="E160" i="25"/>
  <c r="Y159" i="25"/>
  <c r="Q159" i="25"/>
  <c r="K159" i="25"/>
  <c r="J159" i="25"/>
  <c r="I159" i="25"/>
  <c r="H159" i="25"/>
  <c r="F159" i="25"/>
  <c r="E159" i="25"/>
  <c r="Y158" i="25"/>
  <c r="Q158" i="25"/>
  <c r="K158" i="25"/>
  <c r="J158" i="25"/>
  <c r="I158" i="25"/>
  <c r="H158" i="25"/>
  <c r="F158" i="25"/>
  <c r="E158" i="25"/>
  <c r="Y157" i="25"/>
  <c r="Q157" i="25"/>
  <c r="K157" i="25"/>
  <c r="J157" i="25"/>
  <c r="I157" i="25"/>
  <c r="H157" i="25"/>
  <c r="F157" i="25"/>
  <c r="E157" i="25"/>
  <c r="Y156" i="25"/>
  <c r="Q156" i="25"/>
  <c r="K156" i="25"/>
  <c r="J156" i="25"/>
  <c r="I156" i="25"/>
  <c r="H156" i="25"/>
  <c r="F156" i="25"/>
  <c r="E156" i="25"/>
  <c r="Y155" i="25"/>
  <c r="Q155" i="25"/>
  <c r="K155" i="25"/>
  <c r="J155" i="25"/>
  <c r="I155" i="25"/>
  <c r="H155" i="25"/>
  <c r="F155" i="25"/>
  <c r="E155" i="25"/>
  <c r="Y154" i="25"/>
  <c r="Q154" i="25"/>
  <c r="K154" i="25"/>
  <c r="J154" i="25"/>
  <c r="I154" i="25"/>
  <c r="H154" i="25"/>
  <c r="F154" i="25"/>
  <c r="E154" i="25"/>
  <c r="Y153" i="25"/>
  <c r="Q153" i="25"/>
  <c r="K153" i="25"/>
  <c r="J153" i="25"/>
  <c r="I153" i="25"/>
  <c r="H153" i="25"/>
  <c r="F153" i="25"/>
  <c r="E153" i="25"/>
  <c r="Y152" i="25"/>
  <c r="Q152" i="25"/>
  <c r="K152" i="25"/>
  <c r="J152" i="25"/>
  <c r="I152" i="25"/>
  <c r="H152" i="25"/>
  <c r="F152" i="25"/>
  <c r="E152" i="25"/>
  <c r="Y151" i="25"/>
  <c r="Q151" i="25"/>
  <c r="J151" i="25"/>
  <c r="I151" i="25"/>
  <c r="H151" i="25"/>
  <c r="F151" i="25"/>
  <c r="E151" i="25"/>
  <c r="Y150" i="25"/>
  <c r="Q150" i="25"/>
  <c r="J150" i="25"/>
  <c r="I150" i="25"/>
  <c r="H150" i="25"/>
  <c r="F150" i="25"/>
  <c r="E150" i="25"/>
  <c r="Y149" i="25"/>
  <c r="Q149" i="25"/>
  <c r="K149" i="25"/>
  <c r="J149" i="25"/>
  <c r="I149" i="25"/>
  <c r="H149" i="25"/>
  <c r="F149" i="25"/>
  <c r="E149" i="25"/>
  <c r="Y148" i="25"/>
  <c r="Q148" i="25"/>
  <c r="K148" i="25"/>
  <c r="J148" i="25"/>
  <c r="I148" i="25"/>
  <c r="H148" i="25"/>
  <c r="F148" i="25"/>
  <c r="E148" i="25"/>
  <c r="Y147" i="25"/>
  <c r="Q147" i="25"/>
  <c r="K147" i="25"/>
  <c r="J147" i="25"/>
  <c r="I147" i="25"/>
  <c r="H147" i="25"/>
  <c r="F147" i="25"/>
  <c r="E147" i="25"/>
  <c r="Y146" i="25"/>
  <c r="Q146" i="25"/>
  <c r="K146" i="25"/>
  <c r="J146" i="25"/>
  <c r="I146" i="25"/>
  <c r="H146" i="25"/>
  <c r="F146" i="25"/>
  <c r="E146" i="25"/>
  <c r="Y145" i="25"/>
  <c r="Q145" i="25"/>
  <c r="K145" i="25"/>
  <c r="J145" i="25"/>
  <c r="I145" i="25"/>
  <c r="H145" i="25"/>
  <c r="F145" i="25"/>
  <c r="E145" i="25"/>
  <c r="Y144" i="25"/>
  <c r="Q144" i="25"/>
  <c r="J144" i="25"/>
  <c r="I144" i="25"/>
  <c r="H144" i="25"/>
  <c r="F144" i="25"/>
  <c r="E144" i="25"/>
  <c r="Y143" i="25"/>
  <c r="Q143" i="25"/>
  <c r="K143" i="25"/>
  <c r="J143" i="25"/>
  <c r="I143" i="25"/>
  <c r="H143" i="25"/>
  <c r="F143" i="25"/>
  <c r="E143" i="25"/>
  <c r="Y142" i="25"/>
  <c r="Q142" i="25"/>
  <c r="K142" i="25"/>
  <c r="J142" i="25"/>
  <c r="I142" i="25"/>
  <c r="H142" i="25"/>
  <c r="F142" i="25"/>
  <c r="E142" i="25"/>
  <c r="Y141" i="25"/>
  <c r="Q141" i="25"/>
  <c r="K141" i="25"/>
  <c r="J141" i="25"/>
  <c r="I141" i="25"/>
  <c r="H141" i="25"/>
  <c r="F141" i="25"/>
  <c r="E141" i="25"/>
  <c r="Y140" i="25"/>
  <c r="Q140" i="25"/>
  <c r="K140" i="25"/>
  <c r="J140" i="25"/>
  <c r="I140" i="25"/>
  <c r="H140" i="25"/>
  <c r="F140" i="25"/>
  <c r="E140" i="25"/>
  <c r="Y139" i="25"/>
  <c r="Q139" i="25"/>
  <c r="K139" i="25"/>
  <c r="J139" i="25"/>
  <c r="I139" i="25"/>
  <c r="H139" i="25"/>
  <c r="F139" i="25"/>
  <c r="E139" i="25"/>
  <c r="Y138" i="25"/>
  <c r="Q138" i="25"/>
  <c r="K138" i="25"/>
  <c r="J138" i="25"/>
  <c r="I138" i="25"/>
  <c r="H138" i="25"/>
  <c r="F138" i="25"/>
  <c r="E138" i="25"/>
  <c r="Y137" i="25"/>
  <c r="Q137" i="25"/>
  <c r="K137" i="25"/>
  <c r="J137" i="25"/>
  <c r="I137" i="25"/>
  <c r="H137" i="25"/>
  <c r="F137" i="25"/>
  <c r="E137" i="25"/>
  <c r="Y136" i="25"/>
  <c r="Q136" i="25"/>
  <c r="K136" i="25"/>
  <c r="J136" i="25"/>
  <c r="I136" i="25"/>
  <c r="H136" i="25"/>
  <c r="F136" i="25"/>
  <c r="E136" i="25"/>
  <c r="Y135" i="25"/>
  <c r="Q135" i="25"/>
  <c r="K135" i="25"/>
  <c r="J135" i="25"/>
  <c r="I135" i="25"/>
  <c r="H135" i="25"/>
  <c r="F135" i="25"/>
  <c r="E135" i="25"/>
  <c r="Y134" i="25"/>
  <c r="Q134" i="25"/>
  <c r="K134" i="25"/>
  <c r="J134" i="25"/>
  <c r="I134" i="25"/>
  <c r="H134" i="25"/>
  <c r="F134" i="25"/>
  <c r="E134" i="25"/>
  <c r="Y133" i="25"/>
  <c r="Q133" i="25"/>
  <c r="K133" i="25"/>
  <c r="J133" i="25"/>
  <c r="I133" i="25"/>
  <c r="H133" i="25"/>
  <c r="F133" i="25"/>
  <c r="E133" i="25"/>
  <c r="Y132" i="25"/>
  <c r="Q132" i="25"/>
  <c r="K132" i="25"/>
  <c r="J132" i="25"/>
  <c r="I132" i="25"/>
  <c r="H132" i="25"/>
  <c r="F132" i="25"/>
  <c r="E132" i="25"/>
  <c r="Y131" i="25"/>
  <c r="Q131" i="25"/>
  <c r="K131" i="25"/>
  <c r="J131" i="25"/>
  <c r="I131" i="25"/>
  <c r="H131" i="25"/>
  <c r="F131" i="25"/>
  <c r="E131" i="25"/>
  <c r="Y130" i="25"/>
  <c r="Q130" i="25"/>
  <c r="K130" i="25"/>
  <c r="J130" i="25"/>
  <c r="I130" i="25"/>
  <c r="H130" i="25"/>
  <c r="F130" i="25"/>
  <c r="E130" i="25"/>
  <c r="Y129" i="25"/>
  <c r="Q129" i="25"/>
  <c r="K129" i="25"/>
  <c r="J129" i="25"/>
  <c r="I129" i="25"/>
  <c r="H129" i="25"/>
  <c r="F129" i="25"/>
  <c r="E129" i="25"/>
  <c r="Y128" i="25"/>
  <c r="Q128" i="25"/>
  <c r="J128" i="25"/>
  <c r="I128" i="25"/>
  <c r="H128" i="25"/>
  <c r="F128" i="25"/>
  <c r="E128" i="25"/>
  <c r="Y127" i="25"/>
  <c r="Q127" i="25"/>
  <c r="J127" i="25"/>
  <c r="I127" i="25"/>
  <c r="H127" i="25"/>
  <c r="F127" i="25"/>
  <c r="E127" i="25"/>
  <c r="Y126" i="25"/>
  <c r="Q126" i="25"/>
  <c r="J126" i="25"/>
  <c r="I126" i="25"/>
  <c r="H126" i="25"/>
  <c r="F126" i="25"/>
  <c r="E126" i="25"/>
  <c r="Y125" i="25"/>
  <c r="Q125" i="25"/>
  <c r="K125" i="25"/>
  <c r="J125" i="25"/>
  <c r="I125" i="25"/>
  <c r="H125" i="25"/>
  <c r="F125" i="25"/>
  <c r="E125" i="25"/>
  <c r="Y124" i="25"/>
  <c r="Q124" i="25"/>
  <c r="K124" i="25"/>
  <c r="J124" i="25"/>
  <c r="I124" i="25"/>
  <c r="H124" i="25"/>
  <c r="F124" i="25"/>
  <c r="E124" i="25"/>
  <c r="Y123" i="25"/>
  <c r="Q123" i="25"/>
  <c r="K123" i="25"/>
  <c r="J123" i="25"/>
  <c r="I123" i="25"/>
  <c r="H123" i="25"/>
  <c r="F123" i="25"/>
  <c r="E123" i="25"/>
  <c r="Y122" i="25"/>
  <c r="Q122" i="25"/>
  <c r="J122" i="25"/>
  <c r="I122" i="25"/>
  <c r="H122" i="25"/>
  <c r="F122" i="25"/>
  <c r="E122" i="25"/>
  <c r="Y121" i="25"/>
  <c r="Q121" i="25"/>
  <c r="K121" i="25"/>
  <c r="J121" i="25"/>
  <c r="I121" i="25"/>
  <c r="H121" i="25"/>
  <c r="F121" i="25"/>
  <c r="E121" i="25"/>
  <c r="Y120" i="25"/>
  <c r="Q120" i="25"/>
  <c r="K120" i="25"/>
  <c r="J120" i="25"/>
  <c r="I120" i="25"/>
  <c r="H120" i="25"/>
  <c r="F120" i="25"/>
  <c r="E120" i="25"/>
  <c r="Y119" i="25"/>
  <c r="Q119" i="25"/>
  <c r="K119" i="25"/>
  <c r="J119" i="25"/>
  <c r="I119" i="25"/>
  <c r="H119" i="25"/>
  <c r="F119" i="25"/>
  <c r="E119" i="25"/>
  <c r="Y118" i="25"/>
  <c r="Q118" i="25"/>
  <c r="K118" i="25"/>
  <c r="J118" i="25"/>
  <c r="I118" i="25"/>
  <c r="H118" i="25"/>
  <c r="F118" i="25"/>
  <c r="E118" i="25"/>
  <c r="Y117" i="25"/>
  <c r="Q117" i="25"/>
  <c r="K117" i="25"/>
  <c r="J117" i="25"/>
  <c r="I117" i="25"/>
  <c r="H117" i="25"/>
  <c r="F117" i="25"/>
  <c r="E117" i="25"/>
  <c r="Y116" i="25"/>
  <c r="Q116" i="25"/>
  <c r="K116" i="25"/>
  <c r="J116" i="25"/>
  <c r="I116" i="25"/>
  <c r="H116" i="25"/>
  <c r="F116" i="25"/>
  <c r="E116" i="25"/>
  <c r="Y115" i="25"/>
  <c r="Q115" i="25"/>
  <c r="K115" i="25"/>
  <c r="J115" i="25"/>
  <c r="I115" i="25"/>
  <c r="H115" i="25"/>
  <c r="F115" i="25"/>
  <c r="E115" i="25"/>
  <c r="Y114" i="25"/>
  <c r="Q114" i="25"/>
  <c r="K114" i="25"/>
  <c r="J114" i="25"/>
  <c r="I114" i="25"/>
  <c r="H114" i="25"/>
  <c r="F114" i="25"/>
  <c r="E114" i="25"/>
  <c r="Y113" i="25"/>
  <c r="Q113" i="25"/>
  <c r="K113" i="25"/>
  <c r="J113" i="25"/>
  <c r="I113" i="25"/>
  <c r="H113" i="25"/>
  <c r="F113" i="25"/>
  <c r="E113" i="25"/>
  <c r="Y112" i="25"/>
  <c r="Q112" i="25"/>
  <c r="K112" i="25"/>
  <c r="J112" i="25"/>
  <c r="I112" i="25"/>
  <c r="H112" i="25"/>
  <c r="F112" i="25"/>
  <c r="E112" i="25"/>
  <c r="Y111" i="25"/>
  <c r="Q111" i="25"/>
  <c r="K111" i="25"/>
  <c r="J111" i="25"/>
  <c r="I111" i="25"/>
  <c r="H111" i="25"/>
  <c r="F111" i="25"/>
  <c r="E111" i="25"/>
  <c r="Y110" i="25"/>
  <c r="Q110" i="25"/>
  <c r="K110" i="25"/>
  <c r="J110" i="25"/>
  <c r="I110" i="25"/>
  <c r="H110" i="25"/>
  <c r="F110" i="25"/>
  <c r="E110" i="25"/>
  <c r="Y109" i="25"/>
  <c r="Q109" i="25"/>
  <c r="K109" i="25"/>
  <c r="J109" i="25"/>
  <c r="I109" i="25"/>
  <c r="H109" i="25"/>
  <c r="F109" i="25"/>
  <c r="E109" i="25"/>
  <c r="Y108" i="25"/>
  <c r="Q108" i="25"/>
  <c r="K108" i="25"/>
  <c r="J108" i="25"/>
  <c r="I108" i="25"/>
  <c r="H108" i="25"/>
  <c r="F108" i="25"/>
  <c r="E108" i="25"/>
  <c r="Y107" i="25"/>
  <c r="Q107" i="25"/>
  <c r="K107" i="25"/>
  <c r="J107" i="25"/>
  <c r="I107" i="25"/>
  <c r="H107" i="25"/>
  <c r="F107" i="25"/>
  <c r="E107" i="25"/>
  <c r="Y106" i="25"/>
  <c r="Q106" i="25"/>
  <c r="K106" i="25"/>
  <c r="J106" i="25"/>
  <c r="I106" i="25"/>
  <c r="H106" i="25"/>
  <c r="F106" i="25"/>
  <c r="E106" i="25"/>
  <c r="Y105" i="25"/>
  <c r="Q105" i="25"/>
  <c r="K105" i="25"/>
  <c r="J105" i="25"/>
  <c r="I105" i="25"/>
  <c r="H105" i="25"/>
  <c r="F105" i="25"/>
  <c r="E105" i="25"/>
  <c r="Y104" i="25"/>
  <c r="Q104" i="25"/>
  <c r="K104" i="25"/>
  <c r="J104" i="25"/>
  <c r="I104" i="25"/>
  <c r="H104" i="25"/>
  <c r="F104" i="25"/>
  <c r="E104" i="25"/>
  <c r="Y103" i="25"/>
  <c r="Q103" i="25"/>
  <c r="K103" i="25"/>
  <c r="J103" i="25"/>
  <c r="I103" i="25"/>
  <c r="H103" i="25"/>
  <c r="F103" i="25"/>
  <c r="E103" i="25"/>
  <c r="Y102" i="25"/>
  <c r="Q102" i="25"/>
  <c r="K102" i="25"/>
  <c r="J102" i="25"/>
  <c r="I102" i="25"/>
  <c r="H102" i="25"/>
  <c r="F102" i="25"/>
  <c r="E102" i="25"/>
  <c r="Y101" i="25"/>
  <c r="Q101" i="25"/>
  <c r="K101" i="25"/>
  <c r="J101" i="25"/>
  <c r="I101" i="25"/>
  <c r="H101" i="25"/>
  <c r="F101" i="25"/>
  <c r="E101" i="25"/>
  <c r="Y100" i="25"/>
  <c r="Q100" i="25"/>
  <c r="K100" i="25"/>
  <c r="J100" i="25"/>
  <c r="I100" i="25"/>
  <c r="H100" i="25"/>
  <c r="F100" i="25"/>
  <c r="E100" i="25"/>
  <c r="Y99" i="25"/>
  <c r="Q99" i="25"/>
  <c r="K99" i="25"/>
  <c r="J99" i="25"/>
  <c r="I99" i="25"/>
  <c r="H99" i="25"/>
  <c r="F99" i="25"/>
  <c r="E99" i="25"/>
  <c r="Y98" i="25"/>
  <c r="Q98" i="25"/>
  <c r="K98" i="25"/>
  <c r="J98" i="25"/>
  <c r="I98" i="25"/>
  <c r="H98" i="25"/>
  <c r="F98" i="25"/>
  <c r="E98" i="25"/>
  <c r="Y97" i="25"/>
  <c r="Q97" i="25"/>
  <c r="J97" i="25"/>
  <c r="I97" i="25"/>
  <c r="H97" i="25"/>
  <c r="F97" i="25"/>
  <c r="E97" i="25"/>
  <c r="Y96" i="25"/>
  <c r="Q96" i="25"/>
  <c r="K96" i="25"/>
  <c r="J96" i="25"/>
  <c r="I96" i="25"/>
  <c r="H96" i="25"/>
  <c r="F96" i="25"/>
  <c r="E96" i="25"/>
  <c r="Y95" i="25"/>
  <c r="Q95" i="25"/>
  <c r="K95" i="25"/>
  <c r="J95" i="25"/>
  <c r="I95" i="25"/>
  <c r="H95" i="25"/>
  <c r="F95" i="25"/>
  <c r="E95" i="25"/>
  <c r="Y94" i="25"/>
  <c r="Q94" i="25"/>
  <c r="K94" i="25"/>
  <c r="J94" i="25"/>
  <c r="I94" i="25"/>
  <c r="H94" i="25"/>
  <c r="F94" i="25"/>
  <c r="E94" i="25"/>
  <c r="Y93" i="25"/>
  <c r="Q93" i="25"/>
  <c r="K93" i="25"/>
  <c r="J93" i="25"/>
  <c r="I93" i="25"/>
  <c r="H93" i="25"/>
  <c r="F93" i="25"/>
  <c r="E93" i="25"/>
  <c r="Y92" i="25"/>
  <c r="Q92" i="25"/>
  <c r="J92" i="25"/>
  <c r="I92" i="25"/>
  <c r="H92" i="25"/>
  <c r="F92" i="25"/>
  <c r="E92" i="25"/>
  <c r="Y91" i="25"/>
  <c r="Q91" i="25"/>
  <c r="K91" i="25"/>
  <c r="J91" i="25"/>
  <c r="I91" i="25"/>
  <c r="H91" i="25"/>
  <c r="F91" i="25"/>
  <c r="E91" i="25"/>
  <c r="Y90" i="25"/>
  <c r="Q90" i="25"/>
  <c r="K90" i="25"/>
  <c r="J90" i="25"/>
  <c r="I90" i="25"/>
  <c r="H90" i="25"/>
  <c r="F90" i="25"/>
  <c r="E90" i="25"/>
  <c r="Y89" i="25"/>
  <c r="Q89" i="25"/>
  <c r="J89" i="25"/>
  <c r="I89" i="25"/>
  <c r="H89" i="25"/>
  <c r="F89" i="25"/>
  <c r="E89" i="25"/>
  <c r="Y88" i="25"/>
  <c r="Q88" i="25"/>
  <c r="J88" i="25"/>
  <c r="I88" i="25"/>
  <c r="H88" i="25"/>
  <c r="F88" i="25"/>
  <c r="E88" i="25"/>
  <c r="Y87" i="25"/>
  <c r="Q87" i="25"/>
  <c r="K87" i="25"/>
  <c r="J87" i="25"/>
  <c r="I87" i="25"/>
  <c r="H87" i="25"/>
  <c r="F87" i="25"/>
  <c r="E87" i="25"/>
  <c r="Y86" i="25"/>
  <c r="Q86" i="25"/>
  <c r="K86" i="25"/>
  <c r="J86" i="25"/>
  <c r="I86" i="25"/>
  <c r="H86" i="25"/>
  <c r="F86" i="25"/>
  <c r="E86" i="25"/>
  <c r="Y85" i="25"/>
  <c r="Q85" i="25"/>
  <c r="J85" i="25"/>
  <c r="I85" i="25"/>
  <c r="H85" i="25"/>
  <c r="F85" i="25"/>
  <c r="E85" i="25"/>
  <c r="Y84" i="25"/>
  <c r="Q84" i="25"/>
  <c r="K84" i="25"/>
  <c r="J84" i="25"/>
  <c r="I84" i="25"/>
  <c r="H84" i="25"/>
  <c r="F84" i="25"/>
  <c r="E84" i="25"/>
  <c r="Y83" i="25"/>
  <c r="Q83" i="25"/>
  <c r="K83" i="25"/>
  <c r="J83" i="25"/>
  <c r="I83" i="25"/>
  <c r="H83" i="25"/>
  <c r="F83" i="25"/>
  <c r="E83" i="25"/>
  <c r="Y82" i="25"/>
  <c r="Q82" i="25"/>
  <c r="J82" i="25"/>
  <c r="I82" i="25"/>
  <c r="H82" i="25"/>
  <c r="F82" i="25"/>
  <c r="E82" i="25"/>
  <c r="Y81" i="25"/>
  <c r="Q81" i="25"/>
  <c r="K81" i="25"/>
  <c r="J81" i="25"/>
  <c r="I81" i="25"/>
  <c r="H81" i="25"/>
  <c r="F81" i="25"/>
  <c r="E81" i="25"/>
  <c r="Y80" i="25"/>
  <c r="Q80" i="25"/>
  <c r="K80" i="25"/>
  <c r="J80" i="25"/>
  <c r="I80" i="25"/>
  <c r="H80" i="25"/>
  <c r="F80" i="25"/>
  <c r="E80" i="25"/>
  <c r="Y79" i="25"/>
  <c r="Q79" i="25"/>
  <c r="K79" i="25"/>
  <c r="J79" i="25"/>
  <c r="I79" i="25"/>
  <c r="H79" i="25"/>
  <c r="F79" i="25"/>
  <c r="E79" i="25"/>
  <c r="Y78" i="25"/>
  <c r="Q78" i="25"/>
  <c r="K78" i="25"/>
  <c r="J78" i="25"/>
  <c r="I78" i="25"/>
  <c r="H78" i="25"/>
  <c r="F78" i="25"/>
  <c r="E78" i="25"/>
  <c r="Y77" i="25"/>
  <c r="Q77" i="25"/>
  <c r="K77" i="25"/>
  <c r="J77" i="25"/>
  <c r="I77" i="25"/>
  <c r="H77" i="25"/>
  <c r="F77" i="25"/>
  <c r="E77" i="25"/>
  <c r="Y76" i="25"/>
  <c r="Q76" i="25"/>
  <c r="K76" i="25"/>
  <c r="J76" i="25"/>
  <c r="I76" i="25"/>
  <c r="H76" i="25"/>
  <c r="F76" i="25"/>
  <c r="E76" i="25"/>
  <c r="Y75" i="25"/>
  <c r="Q75" i="25"/>
  <c r="K75" i="25"/>
  <c r="J75" i="25"/>
  <c r="I75" i="25"/>
  <c r="H75" i="25"/>
  <c r="F75" i="25"/>
  <c r="E75" i="25"/>
  <c r="Y74" i="25"/>
  <c r="Q74" i="25"/>
  <c r="K74" i="25"/>
  <c r="J74" i="25"/>
  <c r="I74" i="25"/>
  <c r="H74" i="25"/>
  <c r="F74" i="25"/>
  <c r="E74" i="25"/>
  <c r="Y73" i="25"/>
  <c r="Q73" i="25"/>
  <c r="K73" i="25"/>
  <c r="J73" i="25"/>
  <c r="I73" i="25"/>
  <c r="H73" i="25"/>
  <c r="F73" i="25"/>
  <c r="E73" i="25"/>
  <c r="Y72" i="25"/>
  <c r="Q72" i="25"/>
  <c r="K72" i="25"/>
  <c r="J72" i="25"/>
  <c r="I72" i="25"/>
  <c r="H72" i="25"/>
  <c r="F72" i="25"/>
  <c r="E72" i="25"/>
  <c r="Y71" i="25"/>
  <c r="Q71" i="25"/>
  <c r="K71" i="25"/>
  <c r="J71" i="25"/>
  <c r="I71" i="25"/>
  <c r="H71" i="25"/>
  <c r="F71" i="25"/>
  <c r="E71" i="25"/>
  <c r="Y70" i="25"/>
  <c r="Q70" i="25"/>
  <c r="K70" i="25"/>
  <c r="J70" i="25"/>
  <c r="I70" i="25"/>
  <c r="H70" i="25"/>
  <c r="F70" i="25"/>
  <c r="E70" i="25"/>
  <c r="Y69" i="25"/>
  <c r="Q69" i="25"/>
  <c r="K69" i="25"/>
  <c r="J69" i="25"/>
  <c r="I69" i="25"/>
  <c r="H69" i="25"/>
  <c r="F69" i="25"/>
  <c r="E69" i="25"/>
  <c r="Y68" i="25"/>
  <c r="Q68" i="25"/>
  <c r="K68" i="25"/>
  <c r="J68" i="25"/>
  <c r="I68" i="25"/>
  <c r="H68" i="25"/>
  <c r="F68" i="25"/>
  <c r="E68" i="25"/>
  <c r="Y67" i="25"/>
  <c r="Q67" i="25"/>
  <c r="K67" i="25"/>
  <c r="J67" i="25"/>
  <c r="I67" i="25"/>
  <c r="H67" i="25"/>
  <c r="F67" i="25"/>
  <c r="E67" i="25"/>
  <c r="Y66" i="25"/>
  <c r="Q66" i="25"/>
  <c r="K66" i="25"/>
  <c r="J66" i="25"/>
  <c r="I66" i="25"/>
  <c r="H66" i="25"/>
  <c r="F66" i="25"/>
  <c r="E66" i="25"/>
  <c r="Y65" i="25"/>
  <c r="Q65" i="25"/>
  <c r="J65" i="25"/>
  <c r="I65" i="25"/>
  <c r="H65" i="25"/>
  <c r="F65" i="25"/>
  <c r="E65" i="25"/>
  <c r="Y64" i="25"/>
  <c r="Q64" i="25"/>
  <c r="K64" i="25"/>
  <c r="J64" i="25"/>
  <c r="I64" i="25"/>
  <c r="H64" i="25"/>
  <c r="F64" i="25"/>
  <c r="E64" i="25"/>
  <c r="Y63" i="25"/>
  <c r="Q63" i="25"/>
  <c r="K63" i="25"/>
  <c r="J63" i="25"/>
  <c r="I63" i="25"/>
  <c r="H63" i="25"/>
  <c r="F63" i="25"/>
  <c r="E63" i="25"/>
  <c r="Y62" i="25"/>
  <c r="Q62" i="25"/>
  <c r="J62" i="25"/>
  <c r="I62" i="25"/>
  <c r="H62" i="25"/>
  <c r="F62" i="25"/>
  <c r="E62" i="25"/>
  <c r="Y61" i="25"/>
  <c r="Q61" i="25"/>
  <c r="K61" i="25"/>
  <c r="J61" i="25"/>
  <c r="I61" i="25"/>
  <c r="H61" i="25"/>
  <c r="F61" i="25"/>
  <c r="E61" i="25"/>
  <c r="Y60" i="25"/>
  <c r="Q60" i="25"/>
  <c r="K60" i="25"/>
  <c r="J60" i="25"/>
  <c r="I60" i="25"/>
  <c r="H60" i="25"/>
  <c r="F60" i="25"/>
  <c r="E60" i="25"/>
  <c r="Y59" i="25"/>
  <c r="Q59" i="25"/>
  <c r="K59" i="25"/>
  <c r="J59" i="25"/>
  <c r="I59" i="25"/>
  <c r="H59" i="25"/>
  <c r="F59" i="25"/>
  <c r="E59" i="25"/>
  <c r="Y58" i="25"/>
  <c r="Q58" i="25"/>
  <c r="K58" i="25"/>
  <c r="J58" i="25"/>
  <c r="I58" i="25"/>
  <c r="H58" i="25"/>
  <c r="F58" i="25"/>
  <c r="E58" i="25"/>
  <c r="Y57" i="25"/>
  <c r="Q57" i="25"/>
  <c r="K57" i="25"/>
  <c r="J57" i="25"/>
  <c r="I57" i="25"/>
  <c r="H57" i="25"/>
  <c r="F57" i="25"/>
  <c r="E57" i="25"/>
  <c r="Y56" i="25"/>
  <c r="Q56" i="25"/>
  <c r="K56" i="25"/>
  <c r="J56" i="25"/>
  <c r="I56" i="25"/>
  <c r="H56" i="25"/>
  <c r="F56" i="25"/>
  <c r="E56" i="25"/>
  <c r="Y55" i="25"/>
  <c r="Q55" i="25"/>
  <c r="K55" i="25"/>
  <c r="J55" i="25"/>
  <c r="I55" i="25"/>
  <c r="H55" i="25"/>
  <c r="F55" i="25"/>
  <c r="E55" i="25"/>
  <c r="Y54" i="25"/>
  <c r="Q54" i="25"/>
  <c r="K54" i="25"/>
  <c r="J54" i="25"/>
  <c r="I54" i="25"/>
  <c r="H54" i="25"/>
  <c r="F54" i="25"/>
  <c r="E54" i="25"/>
  <c r="Y53" i="25"/>
  <c r="Q53" i="25"/>
  <c r="K53" i="25"/>
  <c r="J53" i="25"/>
  <c r="I53" i="25"/>
  <c r="H53" i="25"/>
  <c r="F53" i="25"/>
  <c r="E53" i="25"/>
  <c r="Y52" i="25"/>
  <c r="Q52" i="25"/>
  <c r="K52" i="25"/>
  <c r="J52" i="25"/>
  <c r="I52" i="25"/>
  <c r="H52" i="25"/>
  <c r="F52" i="25"/>
  <c r="E52" i="25"/>
  <c r="Y51" i="25"/>
  <c r="Q51" i="25"/>
  <c r="K51" i="25"/>
  <c r="J51" i="25"/>
  <c r="I51" i="25"/>
  <c r="H51" i="25"/>
  <c r="F51" i="25"/>
  <c r="E51" i="25"/>
  <c r="Y50" i="25"/>
  <c r="Q50" i="25"/>
  <c r="K50" i="25"/>
  <c r="J50" i="25"/>
  <c r="I50" i="25"/>
  <c r="H50" i="25"/>
  <c r="F50" i="25"/>
  <c r="E50" i="25"/>
  <c r="Y49" i="25"/>
  <c r="Q49" i="25"/>
  <c r="K49" i="25"/>
  <c r="J49" i="25"/>
  <c r="I49" i="25"/>
  <c r="H49" i="25"/>
  <c r="F49" i="25"/>
  <c r="E49" i="25"/>
  <c r="Y48" i="25"/>
  <c r="Q48" i="25"/>
  <c r="K48" i="25"/>
  <c r="J48" i="25"/>
  <c r="I48" i="25"/>
  <c r="H48" i="25"/>
  <c r="F48" i="25"/>
  <c r="E48" i="25"/>
  <c r="Y47" i="25"/>
  <c r="Q47" i="25"/>
  <c r="K47" i="25"/>
  <c r="J47" i="25"/>
  <c r="I47" i="25"/>
  <c r="H47" i="25"/>
  <c r="F47" i="25"/>
  <c r="E47" i="25"/>
  <c r="Y46" i="25"/>
  <c r="Q46" i="25"/>
  <c r="K46" i="25"/>
  <c r="J46" i="25"/>
  <c r="I46" i="25"/>
  <c r="H46" i="25"/>
  <c r="F46" i="25"/>
  <c r="E46" i="25"/>
  <c r="Y45" i="25"/>
  <c r="Q45" i="25"/>
  <c r="K45" i="25"/>
  <c r="J45" i="25"/>
  <c r="I45" i="25"/>
  <c r="H45" i="25"/>
  <c r="F45" i="25"/>
  <c r="E45" i="25"/>
  <c r="Y44" i="25"/>
  <c r="Q44" i="25"/>
  <c r="K44" i="25"/>
  <c r="J44" i="25"/>
  <c r="I44" i="25"/>
  <c r="H44" i="25"/>
  <c r="F44" i="25"/>
  <c r="E44" i="25"/>
  <c r="Y43" i="25"/>
  <c r="Q43" i="25"/>
  <c r="K43" i="25"/>
  <c r="J43" i="25"/>
  <c r="I43" i="25"/>
  <c r="H43" i="25"/>
  <c r="F43" i="25"/>
  <c r="E43" i="25"/>
  <c r="Y42" i="25"/>
  <c r="Q42" i="25"/>
  <c r="K42" i="25"/>
  <c r="J42" i="25"/>
  <c r="I42" i="25"/>
  <c r="H42" i="25"/>
  <c r="F42" i="25"/>
  <c r="E42" i="25"/>
  <c r="Y41" i="25"/>
  <c r="Q41" i="25"/>
  <c r="K41" i="25"/>
  <c r="J41" i="25"/>
  <c r="I41" i="25"/>
  <c r="H41" i="25"/>
  <c r="F41" i="25"/>
  <c r="E41" i="25"/>
  <c r="Y40" i="25"/>
  <c r="Q40" i="25"/>
  <c r="K40" i="25"/>
  <c r="J40" i="25"/>
  <c r="I40" i="25"/>
  <c r="H40" i="25"/>
  <c r="F40" i="25"/>
  <c r="E40" i="25"/>
  <c r="Y39" i="25"/>
  <c r="Q39" i="25"/>
  <c r="K39" i="25"/>
  <c r="J39" i="25"/>
  <c r="I39" i="25"/>
  <c r="H39" i="25"/>
  <c r="F39" i="25"/>
  <c r="E39" i="25"/>
  <c r="Y38" i="25"/>
  <c r="Q38" i="25"/>
  <c r="K38" i="25"/>
  <c r="J38" i="25"/>
  <c r="I38" i="25"/>
  <c r="H38" i="25"/>
  <c r="F38" i="25"/>
  <c r="E38" i="25"/>
  <c r="Y37" i="25"/>
  <c r="Q37" i="25"/>
  <c r="K37" i="25"/>
  <c r="J37" i="25"/>
  <c r="I37" i="25"/>
  <c r="H37" i="25"/>
  <c r="F37" i="25"/>
  <c r="E37" i="25"/>
  <c r="Y36" i="25"/>
  <c r="Q36" i="25"/>
  <c r="K36" i="25"/>
  <c r="J36" i="25"/>
  <c r="I36" i="25"/>
  <c r="H36" i="25"/>
  <c r="F36" i="25"/>
  <c r="E36" i="25"/>
  <c r="Y35" i="25"/>
  <c r="Q35" i="25"/>
  <c r="K35" i="25"/>
  <c r="J35" i="25"/>
  <c r="I35" i="25"/>
  <c r="H35" i="25"/>
  <c r="D35" i="25"/>
  <c r="C35" i="25"/>
  <c r="B35" i="25"/>
  <c r="F35" i="25" s="1"/>
  <c r="A35" i="25"/>
  <c r="Y34" i="25"/>
  <c r="Q34" i="25"/>
  <c r="K34" i="25"/>
  <c r="J34" i="25"/>
  <c r="I34" i="25"/>
  <c r="H34" i="25"/>
  <c r="D34" i="25"/>
  <c r="C34" i="25"/>
  <c r="B34" i="25"/>
  <c r="F34" i="25" s="1"/>
  <c r="A34" i="25"/>
  <c r="E34" i="25" s="1"/>
  <c r="Y33" i="25"/>
  <c r="Q33" i="25"/>
  <c r="K33" i="25"/>
  <c r="J33" i="25"/>
  <c r="I33" i="25"/>
  <c r="H33" i="25"/>
  <c r="D33" i="25"/>
  <c r="C33" i="25"/>
  <c r="B33" i="25"/>
  <c r="F33" i="25" s="1"/>
  <c r="A33" i="25"/>
  <c r="Y32" i="25"/>
  <c r="Q32" i="25"/>
  <c r="K32" i="25"/>
  <c r="J32" i="25"/>
  <c r="I32" i="25"/>
  <c r="H32" i="25"/>
  <c r="D32" i="25"/>
  <c r="C32" i="25"/>
  <c r="B32" i="25"/>
  <c r="F32" i="25" s="1"/>
  <c r="A32" i="25"/>
  <c r="Y31" i="25"/>
  <c r="Q31" i="25"/>
  <c r="K31" i="25"/>
  <c r="J31" i="25"/>
  <c r="I31" i="25"/>
  <c r="H31" i="25"/>
  <c r="D31" i="25"/>
  <c r="C31" i="25"/>
  <c r="B31" i="25"/>
  <c r="F31" i="25" s="1"/>
  <c r="A31" i="25"/>
  <c r="Y30" i="25"/>
  <c r="Q30" i="25"/>
  <c r="K30" i="25"/>
  <c r="J30" i="25"/>
  <c r="I30" i="25"/>
  <c r="H30" i="25"/>
  <c r="D30" i="25"/>
  <c r="C30" i="25"/>
  <c r="B30" i="25"/>
  <c r="F30" i="25" s="1"/>
  <c r="A30" i="25"/>
  <c r="Y29" i="25"/>
  <c r="Q29" i="25"/>
  <c r="K29" i="25"/>
  <c r="J29" i="25"/>
  <c r="I29" i="25"/>
  <c r="H29" i="25"/>
  <c r="D29" i="25"/>
  <c r="C29" i="25"/>
  <c r="B29" i="25"/>
  <c r="F29" i="25" s="1"/>
  <c r="A29" i="25"/>
  <c r="Y28" i="25"/>
  <c r="Q28" i="25"/>
  <c r="K28" i="25"/>
  <c r="J28" i="25"/>
  <c r="I28" i="25"/>
  <c r="H28" i="25"/>
  <c r="D28" i="25"/>
  <c r="C28" i="25"/>
  <c r="B28" i="25"/>
  <c r="F28" i="25" s="1"/>
  <c r="A28" i="25"/>
  <c r="Y27" i="25"/>
  <c r="Q27" i="25"/>
  <c r="K27" i="25"/>
  <c r="J27" i="25"/>
  <c r="I27" i="25"/>
  <c r="H27" i="25"/>
  <c r="D27" i="25"/>
  <c r="C27" i="25"/>
  <c r="B27" i="25"/>
  <c r="F27" i="25" s="1"/>
  <c r="A27" i="25"/>
  <c r="Y26" i="25"/>
  <c r="Q26" i="25"/>
  <c r="K26" i="25"/>
  <c r="J26" i="25"/>
  <c r="I26" i="25"/>
  <c r="H26" i="25"/>
  <c r="D26" i="25"/>
  <c r="C26" i="25"/>
  <c r="B26" i="25"/>
  <c r="F26" i="25" s="1"/>
  <c r="A26" i="25"/>
  <c r="E26" i="25" s="1"/>
  <c r="Y25" i="25"/>
  <c r="Q25" i="25"/>
  <c r="K25" i="25"/>
  <c r="J25" i="25"/>
  <c r="I25" i="25"/>
  <c r="H25" i="25"/>
  <c r="D25" i="25"/>
  <c r="C25" i="25"/>
  <c r="B25" i="25"/>
  <c r="F25" i="25" s="1"/>
  <c r="A25" i="25"/>
  <c r="Y24" i="25"/>
  <c r="Q24" i="25"/>
  <c r="J24" i="25"/>
  <c r="I24" i="25"/>
  <c r="H24" i="25"/>
  <c r="D24" i="25"/>
  <c r="C24" i="25"/>
  <c r="B24" i="25"/>
  <c r="F24" i="25" s="1"/>
  <c r="A24" i="25"/>
  <c r="Y23" i="25"/>
  <c r="Q23" i="25"/>
  <c r="J23" i="25"/>
  <c r="I23" i="25"/>
  <c r="H23" i="25"/>
  <c r="D23" i="25"/>
  <c r="C23" i="25"/>
  <c r="B23" i="25"/>
  <c r="F23" i="25" s="1"/>
  <c r="A23" i="25"/>
  <c r="Y22" i="25"/>
  <c r="Q22" i="25"/>
  <c r="K22" i="25"/>
  <c r="J22" i="25"/>
  <c r="I22" i="25"/>
  <c r="H22" i="25"/>
  <c r="D22" i="25"/>
  <c r="C22" i="25"/>
  <c r="B22" i="25"/>
  <c r="F22" i="25" s="1"/>
  <c r="A22" i="25"/>
  <c r="Y21" i="25"/>
  <c r="Q21" i="25"/>
  <c r="K21" i="25"/>
  <c r="J21" i="25"/>
  <c r="I21" i="25"/>
  <c r="H21" i="25"/>
  <c r="D21" i="25"/>
  <c r="C21" i="25"/>
  <c r="B21" i="25"/>
  <c r="F21" i="25" s="1"/>
  <c r="A21" i="25"/>
  <c r="E21" i="25" s="1"/>
  <c r="Y20" i="25"/>
  <c r="Q20" i="25"/>
  <c r="K20" i="25"/>
  <c r="J20" i="25"/>
  <c r="I20" i="25"/>
  <c r="H20" i="25"/>
  <c r="D20" i="25"/>
  <c r="C20" i="25"/>
  <c r="B20" i="25"/>
  <c r="F20" i="25" s="1"/>
  <c r="A20" i="25"/>
  <c r="Y19" i="25"/>
  <c r="Q19" i="25"/>
  <c r="K19" i="25"/>
  <c r="J19" i="25"/>
  <c r="I19" i="25"/>
  <c r="H19" i="25"/>
  <c r="D19" i="25"/>
  <c r="C19" i="25"/>
  <c r="B19" i="25"/>
  <c r="F19" i="25" s="1"/>
  <c r="A19" i="25"/>
  <c r="Y18" i="25"/>
  <c r="Q18" i="25"/>
  <c r="K18" i="25"/>
  <c r="J18" i="25"/>
  <c r="I18" i="25"/>
  <c r="H18" i="25"/>
  <c r="D18" i="25"/>
  <c r="C18" i="25"/>
  <c r="B18" i="25"/>
  <c r="F18" i="25" s="1"/>
  <c r="A18" i="25"/>
  <c r="Y17" i="25"/>
  <c r="Q17" i="25"/>
  <c r="K17" i="25"/>
  <c r="J17" i="25"/>
  <c r="I17" i="25"/>
  <c r="H17" i="25"/>
  <c r="D17" i="25"/>
  <c r="C17" i="25"/>
  <c r="B17" i="25"/>
  <c r="F17" i="25" s="1"/>
  <c r="A17" i="25"/>
  <c r="Y16" i="25"/>
  <c r="Q16" i="25"/>
  <c r="K16" i="25"/>
  <c r="J16" i="25"/>
  <c r="I16" i="25"/>
  <c r="H16" i="25"/>
  <c r="D16" i="25"/>
  <c r="C16" i="25"/>
  <c r="B16" i="25"/>
  <c r="F16" i="25" s="1"/>
  <c r="A16" i="25"/>
  <c r="Y15" i="25"/>
  <c r="Q15" i="25"/>
  <c r="J15" i="25"/>
  <c r="I15" i="25"/>
  <c r="H15" i="25"/>
  <c r="D15" i="25"/>
  <c r="C15" i="25"/>
  <c r="B15" i="25"/>
  <c r="F15" i="25" s="1"/>
  <c r="A15" i="25"/>
  <c r="Y14" i="25"/>
  <c r="Q14" i="25"/>
  <c r="K14" i="25"/>
  <c r="J14" i="25"/>
  <c r="I14" i="25"/>
  <c r="H14" i="25"/>
  <c r="D14" i="25"/>
  <c r="C14" i="25"/>
  <c r="B14" i="25"/>
  <c r="F14" i="25" s="1"/>
  <c r="A14" i="25"/>
  <c r="Y13" i="25"/>
  <c r="Q13" i="25"/>
  <c r="K13" i="25"/>
  <c r="J13" i="25"/>
  <c r="I13" i="25"/>
  <c r="H13" i="25"/>
  <c r="D13" i="25"/>
  <c r="C13" i="25"/>
  <c r="B13" i="25"/>
  <c r="F13" i="25" s="1"/>
  <c r="A13" i="25"/>
  <c r="Y12" i="25"/>
  <c r="Q12" i="25"/>
  <c r="K12" i="25"/>
  <c r="J12" i="25"/>
  <c r="I12" i="25"/>
  <c r="H12" i="25"/>
  <c r="D12" i="25"/>
  <c r="C12" i="25"/>
  <c r="B12" i="25"/>
  <c r="F12" i="25" s="1"/>
  <c r="A12" i="25"/>
  <c r="Y11" i="25"/>
  <c r="Q11" i="25"/>
  <c r="K11" i="25"/>
  <c r="J11" i="25"/>
  <c r="I11" i="25"/>
  <c r="H11" i="25"/>
  <c r="D11" i="25"/>
  <c r="C11" i="25"/>
  <c r="B11" i="25"/>
  <c r="F11" i="25" s="1"/>
  <c r="A11" i="25"/>
  <c r="Y10" i="25"/>
  <c r="Q10" i="25"/>
  <c r="K10" i="25"/>
  <c r="J10" i="25"/>
  <c r="I10" i="25"/>
  <c r="H10" i="25"/>
  <c r="D10" i="25"/>
  <c r="C10" i="25"/>
  <c r="B10" i="25"/>
  <c r="F10" i="25" s="1"/>
  <c r="A10" i="25"/>
  <c r="Y9" i="25"/>
  <c r="Q9" i="25"/>
  <c r="K9" i="25"/>
  <c r="J9" i="25"/>
  <c r="I9" i="25"/>
  <c r="H9" i="25"/>
  <c r="D9" i="25"/>
  <c r="C9" i="25"/>
  <c r="B9" i="25"/>
  <c r="F9" i="25" s="1"/>
  <c r="A9" i="25"/>
  <c r="Y8" i="25"/>
  <c r="Q8" i="25"/>
  <c r="K8" i="25"/>
  <c r="J8" i="25"/>
  <c r="I8" i="25"/>
  <c r="H8" i="25"/>
  <c r="D8" i="25"/>
  <c r="C8" i="25"/>
  <c r="B8" i="25"/>
  <c r="F8" i="25" s="1"/>
  <c r="A8" i="25"/>
  <c r="Y7" i="25"/>
  <c r="Q7" i="25"/>
  <c r="K7" i="25"/>
  <c r="J7" i="25"/>
  <c r="I7" i="25"/>
  <c r="H7" i="25"/>
  <c r="D7" i="25"/>
  <c r="C7" i="25"/>
  <c r="B7" i="25"/>
  <c r="F7" i="25" s="1"/>
  <c r="A7" i="25"/>
  <c r="Q6" i="25"/>
  <c r="K6" i="25"/>
  <c r="J6" i="25"/>
  <c r="I6" i="25"/>
  <c r="H6" i="25"/>
  <c r="D6" i="25"/>
  <c r="C6" i="25"/>
  <c r="B6" i="25"/>
  <c r="F6" i="25" s="1"/>
  <c r="A6" i="25"/>
  <c r="Q5" i="25"/>
  <c r="K5" i="25"/>
  <c r="J5" i="25"/>
  <c r="I5" i="25"/>
  <c r="H5" i="25"/>
  <c r="D5" i="25"/>
  <c r="C5" i="25"/>
  <c r="B5" i="25"/>
  <c r="F5" i="25" s="1"/>
  <c r="A5" i="25"/>
  <c r="Q4" i="25"/>
  <c r="K4" i="25"/>
  <c r="J4" i="25"/>
  <c r="I4" i="25"/>
  <c r="H4" i="25"/>
  <c r="D4" i="25"/>
  <c r="C4" i="25"/>
  <c r="B4" i="25"/>
  <c r="F4" i="25" s="1"/>
  <c r="A4" i="25"/>
  <c r="Q3" i="25"/>
  <c r="K3" i="25"/>
  <c r="J3" i="25"/>
  <c r="I3" i="25"/>
  <c r="H3" i="25"/>
  <c r="D3" i="25"/>
  <c r="C3" i="25"/>
  <c r="B3" i="25"/>
  <c r="F3" i="25" s="1"/>
  <c r="A3" i="25"/>
  <c r="S2" i="25"/>
  <c r="N2" i="25"/>
  <c r="Q2" i="25" s="1"/>
  <c r="J2" i="25"/>
  <c r="I2" i="25"/>
  <c r="H2" i="25"/>
  <c r="D2" i="25"/>
  <c r="C2" i="25"/>
  <c r="B2" i="25"/>
  <c r="F2" i="25" s="1"/>
  <c r="A2" i="25"/>
  <c r="F993" i="24"/>
  <c r="A993" i="24"/>
  <c r="F992" i="24"/>
  <c r="A992" i="24"/>
  <c r="F991" i="24"/>
  <c r="A991" i="24"/>
  <c r="F990" i="24"/>
  <c r="A990" i="24"/>
  <c r="F989" i="24"/>
  <c r="A989" i="24"/>
  <c r="F988" i="24"/>
  <c r="A988" i="24"/>
  <c r="F987" i="24"/>
  <c r="A987" i="24"/>
  <c r="F986" i="24"/>
  <c r="A986" i="24"/>
  <c r="F985" i="24"/>
  <c r="A985" i="24"/>
  <c r="F984" i="24"/>
  <c r="A984" i="24"/>
  <c r="F983" i="24"/>
  <c r="A983" i="24"/>
  <c r="F982" i="24"/>
  <c r="A982" i="24"/>
  <c r="F981" i="24"/>
  <c r="A981" i="24"/>
  <c r="F980" i="24"/>
  <c r="A980" i="24"/>
  <c r="F979" i="24"/>
  <c r="A979" i="24"/>
  <c r="F978" i="24"/>
  <c r="A978" i="24"/>
  <c r="F977" i="24"/>
  <c r="A977" i="24"/>
  <c r="F976" i="24"/>
  <c r="A976" i="24"/>
  <c r="F975" i="24"/>
  <c r="A975" i="24"/>
  <c r="F974" i="24"/>
  <c r="A974" i="24"/>
  <c r="F973" i="24"/>
  <c r="A973" i="24"/>
  <c r="F972" i="24"/>
  <c r="A972" i="24"/>
  <c r="F971" i="24"/>
  <c r="A971" i="24"/>
  <c r="F970" i="24"/>
  <c r="A970" i="24"/>
  <c r="F969" i="24"/>
  <c r="A969" i="24"/>
  <c r="F968" i="24"/>
  <c r="A968" i="24"/>
  <c r="F967" i="24"/>
  <c r="A967" i="24"/>
  <c r="F966" i="24"/>
  <c r="A966" i="24"/>
  <c r="F965" i="24"/>
  <c r="A965" i="24"/>
  <c r="F964" i="24"/>
  <c r="A964" i="24"/>
  <c r="F963" i="24"/>
  <c r="A963" i="24"/>
  <c r="F962" i="24"/>
  <c r="A962" i="24"/>
  <c r="F961" i="24"/>
  <c r="A961" i="24"/>
  <c r="F960" i="24"/>
  <c r="A960" i="24"/>
  <c r="F959" i="24"/>
  <c r="A959" i="24"/>
  <c r="F958" i="24"/>
  <c r="A958" i="24"/>
  <c r="F957" i="24"/>
  <c r="A957" i="24"/>
  <c r="F956" i="24"/>
  <c r="A956" i="24"/>
  <c r="F955" i="24"/>
  <c r="A955" i="24"/>
  <c r="F954" i="24"/>
  <c r="A954" i="24"/>
  <c r="F953" i="24"/>
  <c r="A953" i="24"/>
  <c r="F952" i="24"/>
  <c r="A952" i="24"/>
  <c r="F951" i="24"/>
  <c r="A951" i="24"/>
  <c r="F950" i="24"/>
  <c r="A950" i="24"/>
  <c r="F949" i="24"/>
  <c r="A949" i="24"/>
  <c r="F948" i="24"/>
  <c r="A948" i="24"/>
  <c r="F947" i="24"/>
  <c r="A947" i="24"/>
  <c r="F946" i="24"/>
  <c r="A946" i="24"/>
  <c r="F945" i="24"/>
  <c r="A945" i="24"/>
  <c r="F944" i="24"/>
  <c r="A944" i="24"/>
  <c r="F943" i="24"/>
  <c r="A943" i="24"/>
  <c r="F942" i="24"/>
  <c r="A942" i="24"/>
  <c r="F941" i="24"/>
  <c r="A941" i="24"/>
  <c r="F940" i="24"/>
  <c r="A940" i="24"/>
  <c r="F939" i="24"/>
  <c r="A939" i="24"/>
  <c r="F938" i="24"/>
  <c r="A938" i="24"/>
  <c r="F937" i="24"/>
  <c r="A937" i="24"/>
  <c r="F936" i="24"/>
  <c r="A936" i="24"/>
  <c r="F935" i="24"/>
  <c r="A935" i="24"/>
  <c r="F934" i="24"/>
  <c r="A934" i="24"/>
  <c r="F933" i="24"/>
  <c r="A933" i="24"/>
  <c r="F932" i="24"/>
  <c r="A932" i="24"/>
  <c r="F931" i="24"/>
  <c r="A931" i="24"/>
  <c r="F930" i="24"/>
  <c r="A930" i="24"/>
  <c r="F929" i="24"/>
  <c r="A929" i="24"/>
  <c r="F928" i="24"/>
  <c r="A928" i="24"/>
  <c r="F927" i="24"/>
  <c r="A927" i="24"/>
  <c r="F926" i="24"/>
  <c r="A926" i="24"/>
  <c r="F925" i="24"/>
  <c r="A925" i="24"/>
  <c r="F924" i="24"/>
  <c r="A924" i="24"/>
  <c r="F923" i="24"/>
  <c r="A923" i="24"/>
  <c r="F922" i="24"/>
  <c r="A922" i="24"/>
  <c r="F921" i="24"/>
  <c r="A921" i="24"/>
  <c r="F920" i="24"/>
  <c r="A920" i="24"/>
  <c r="F919" i="24"/>
  <c r="A919" i="24"/>
  <c r="F918" i="24"/>
  <c r="A918" i="24"/>
  <c r="F917" i="24"/>
  <c r="A917" i="24"/>
  <c r="F916" i="24"/>
  <c r="A916" i="24"/>
  <c r="F915" i="24"/>
  <c r="A915" i="24"/>
  <c r="F914" i="24"/>
  <c r="A914" i="24"/>
  <c r="F913" i="24"/>
  <c r="A913" i="24"/>
  <c r="F912" i="24"/>
  <c r="A912" i="24"/>
  <c r="F911" i="24"/>
  <c r="A911" i="24"/>
  <c r="F910" i="24"/>
  <c r="A910" i="24"/>
  <c r="F909" i="24"/>
  <c r="A909" i="24"/>
  <c r="F908" i="24"/>
  <c r="A908" i="24"/>
  <c r="F907" i="24"/>
  <c r="A907" i="24"/>
  <c r="F906" i="24"/>
  <c r="A906" i="24"/>
  <c r="F905" i="24"/>
  <c r="A905" i="24"/>
  <c r="F904" i="24"/>
  <c r="A904" i="24"/>
  <c r="F903" i="24"/>
  <c r="A903" i="24"/>
  <c r="F902" i="24"/>
  <c r="A902" i="24"/>
  <c r="F901" i="24"/>
  <c r="A901" i="24"/>
  <c r="F900" i="24"/>
  <c r="A900" i="24"/>
  <c r="F899" i="24"/>
  <c r="A899" i="24"/>
  <c r="F898" i="24"/>
  <c r="A898" i="24"/>
  <c r="F897" i="24"/>
  <c r="A897" i="24"/>
  <c r="F896" i="24"/>
  <c r="A896" i="24"/>
  <c r="F895" i="24"/>
  <c r="A895" i="24"/>
  <c r="F894" i="24"/>
  <c r="A894" i="24"/>
  <c r="F893" i="24"/>
  <c r="A893" i="24"/>
  <c r="F892" i="24"/>
  <c r="A892" i="24"/>
  <c r="F891" i="24"/>
  <c r="A891" i="24"/>
  <c r="F890" i="24"/>
  <c r="A890" i="24"/>
  <c r="F889" i="24"/>
  <c r="A889" i="24"/>
  <c r="F888" i="24"/>
  <c r="A888" i="24"/>
  <c r="F887" i="24"/>
  <c r="A887" i="24"/>
  <c r="F886" i="24"/>
  <c r="A886" i="24"/>
  <c r="F885" i="24"/>
  <c r="A885" i="24"/>
  <c r="F884" i="24"/>
  <c r="A884" i="24"/>
  <c r="F883" i="24"/>
  <c r="A883" i="24"/>
  <c r="F882" i="24"/>
  <c r="A882" i="24"/>
  <c r="F881" i="24"/>
  <c r="A881" i="24"/>
  <c r="F880" i="24"/>
  <c r="A880" i="24"/>
  <c r="F879" i="24"/>
  <c r="A879" i="24"/>
  <c r="F878" i="24"/>
  <c r="A878" i="24"/>
  <c r="F877" i="24"/>
  <c r="A877" i="24"/>
  <c r="F876" i="24"/>
  <c r="A876" i="24"/>
  <c r="F875" i="24"/>
  <c r="A875" i="24"/>
  <c r="F874" i="24"/>
  <c r="A874" i="24"/>
  <c r="F873" i="24"/>
  <c r="A873" i="24"/>
  <c r="F872" i="24"/>
  <c r="A872" i="24"/>
  <c r="F871" i="24"/>
  <c r="A871" i="24"/>
  <c r="F870" i="24"/>
  <c r="A870" i="24"/>
  <c r="F869" i="24"/>
  <c r="A869" i="24"/>
  <c r="F868" i="24"/>
  <c r="A868" i="24"/>
  <c r="F867" i="24"/>
  <c r="A867" i="24"/>
  <c r="F866" i="24"/>
  <c r="A866" i="24"/>
  <c r="F865" i="24"/>
  <c r="A865" i="24"/>
  <c r="F864" i="24"/>
  <c r="A864" i="24"/>
  <c r="F863" i="24"/>
  <c r="A863" i="24"/>
  <c r="F862" i="24"/>
  <c r="A862" i="24"/>
  <c r="F861" i="24"/>
  <c r="A861" i="24"/>
  <c r="F860" i="24"/>
  <c r="A860" i="24"/>
  <c r="F859" i="24"/>
  <c r="A859" i="24"/>
  <c r="F858" i="24"/>
  <c r="A858" i="24"/>
  <c r="F857" i="24"/>
  <c r="A857" i="24"/>
  <c r="F856" i="24"/>
  <c r="A856" i="24"/>
  <c r="F855" i="24"/>
  <c r="A855" i="24"/>
  <c r="F854" i="24"/>
  <c r="A854" i="24"/>
  <c r="F853" i="24"/>
  <c r="A853" i="24"/>
  <c r="F852" i="24"/>
  <c r="A852" i="24"/>
  <c r="F851" i="24"/>
  <c r="A851" i="24"/>
  <c r="F850" i="24"/>
  <c r="A850" i="24"/>
  <c r="F849" i="24"/>
  <c r="A849" i="24"/>
  <c r="F848" i="24"/>
  <c r="A848" i="24"/>
  <c r="F847" i="24"/>
  <c r="A847" i="24"/>
  <c r="F846" i="24"/>
  <c r="A846" i="24"/>
  <c r="F845" i="24"/>
  <c r="A845" i="24"/>
  <c r="F844" i="24"/>
  <c r="A844" i="24"/>
  <c r="F843" i="24"/>
  <c r="A843" i="24"/>
  <c r="F842" i="24"/>
  <c r="A842" i="24"/>
  <c r="F841" i="24"/>
  <c r="A841" i="24"/>
  <c r="F840" i="24"/>
  <c r="A840" i="24"/>
  <c r="F839" i="24"/>
  <c r="A839" i="24"/>
  <c r="F838" i="24"/>
  <c r="A838" i="24"/>
  <c r="F837" i="24"/>
  <c r="A837" i="24"/>
  <c r="F836" i="24"/>
  <c r="A836" i="24"/>
  <c r="F835" i="24"/>
  <c r="A835" i="24"/>
  <c r="F834" i="24"/>
  <c r="A834" i="24"/>
  <c r="F833" i="24"/>
  <c r="A833" i="24"/>
  <c r="F832" i="24"/>
  <c r="A832" i="24"/>
  <c r="F831" i="24"/>
  <c r="A831" i="24"/>
  <c r="F830" i="24"/>
  <c r="A830" i="24"/>
  <c r="F829" i="24"/>
  <c r="A829" i="24"/>
  <c r="F828" i="24"/>
  <c r="A828" i="24"/>
  <c r="F827" i="24"/>
  <c r="A827" i="24"/>
  <c r="F826" i="24"/>
  <c r="A826" i="24"/>
  <c r="F825" i="24"/>
  <c r="A825" i="24"/>
  <c r="F824" i="24"/>
  <c r="A824" i="24"/>
  <c r="F823" i="24"/>
  <c r="A823" i="24"/>
  <c r="F822" i="24"/>
  <c r="A822" i="24"/>
  <c r="F821" i="24"/>
  <c r="A821" i="24"/>
  <c r="F820" i="24"/>
  <c r="A820" i="24"/>
  <c r="F819" i="24"/>
  <c r="A819" i="24"/>
  <c r="F818" i="24"/>
  <c r="A818" i="24"/>
  <c r="F817" i="24"/>
  <c r="A817" i="24"/>
  <c r="F816" i="24"/>
  <c r="A816" i="24"/>
  <c r="F815" i="24"/>
  <c r="A815" i="24"/>
  <c r="F814" i="24"/>
  <c r="A814" i="24"/>
  <c r="F813" i="24"/>
  <c r="A813" i="24"/>
  <c r="F812" i="24"/>
  <c r="A812" i="24"/>
  <c r="F811" i="24"/>
  <c r="A811" i="24"/>
  <c r="F810" i="24"/>
  <c r="A810" i="24"/>
  <c r="F809" i="24"/>
  <c r="A809" i="24"/>
  <c r="F808" i="24"/>
  <c r="A808" i="24"/>
  <c r="F807" i="24"/>
  <c r="A807" i="24"/>
  <c r="F806" i="24"/>
  <c r="A806" i="24"/>
  <c r="F805" i="24"/>
  <c r="A805" i="24"/>
  <c r="F804" i="24"/>
  <c r="A804" i="24"/>
  <c r="F803" i="24"/>
  <c r="A803" i="24"/>
  <c r="F802" i="24"/>
  <c r="A802" i="24"/>
  <c r="F801" i="24"/>
  <c r="A801" i="24"/>
  <c r="F800" i="24"/>
  <c r="A800" i="24"/>
  <c r="F799" i="24"/>
  <c r="A799" i="24"/>
  <c r="F798" i="24"/>
  <c r="A798" i="24"/>
  <c r="F797" i="24"/>
  <c r="A797" i="24"/>
  <c r="F796" i="24"/>
  <c r="A796" i="24"/>
  <c r="F795" i="24"/>
  <c r="A795" i="24"/>
  <c r="F794" i="24"/>
  <c r="A794" i="24"/>
  <c r="F793" i="24"/>
  <c r="A793" i="24"/>
  <c r="F792" i="24"/>
  <c r="A792" i="24"/>
  <c r="F791" i="24"/>
  <c r="A791" i="24"/>
  <c r="F790" i="24"/>
  <c r="A790" i="24"/>
  <c r="F789" i="24"/>
  <c r="A789" i="24"/>
  <c r="F788" i="24"/>
  <c r="A788" i="24"/>
  <c r="F787" i="24"/>
  <c r="A787" i="24"/>
  <c r="F786" i="24"/>
  <c r="A786" i="24"/>
  <c r="F785" i="24"/>
  <c r="A785" i="24"/>
  <c r="F784" i="24"/>
  <c r="A784" i="24"/>
  <c r="F783" i="24"/>
  <c r="A783" i="24"/>
  <c r="F782" i="24"/>
  <c r="A782" i="24"/>
  <c r="F781" i="24"/>
  <c r="A781" i="24"/>
  <c r="F780" i="24"/>
  <c r="A780" i="24"/>
  <c r="F779" i="24"/>
  <c r="A779" i="24"/>
  <c r="F778" i="24"/>
  <c r="A778" i="24"/>
  <c r="F777" i="24"/>
  <c r="A777" i="24"/>
  <c r="F776" i="24"/>
  <c r="A776" i="24"/>
  <c r="F775" i="24"/>
  <c r="A775" i="24"/>
  <c r="F774" i="24"/>
  <c r="A774" i="24"/>
  <c r="F773" i="24"/>
  <c r="A773" i="24"/>
  <c r="F772" i="24"/>
  <c r="A772" i="24"/>
  <c r="F771" i="24"/>
  <c r="A771" i="24"/>
  <c r="F770" i="24"/>
  <c r="A770" i="24"/>
  <c r="F769" i="24"/>
  <c r="A769" i="24"/>
  <c r="F768" i="24"/>
  <c r="A768" i="24"/>
  <c r="F767" i="24"/>
  <c r="A767" i="24"/>
  <c r="F766" i="24"/>
  <c r="A766" i="24"/>
  <c r="F765" i="24"/>
  <c r="A765" i="24"/>
  <c r="F764" i="24"/>
  <c r="A764" i="24"/>
  <c r="F763" i="24"/>
  <c r="A763" i="24"/>
  <c r="F762" i="24"/>
  <c r="A762" i="24"/>
  <c r="F761" i="24"/>
  <c r="A761" i="24"/>
  <c r="F760" i="24"/>
  <c r="A760" i="24"/>
  <c r="F759" i="24"/>
  <c r="A759" i="24"/>
  <c r="F758" i="24"/>
  <c r="A758" i="24"/>
  <c r="F757" i="24"/>
  <c r="A757" i="24"/>
  <c r="F756" i="24"/>
  <c r="A756" i="24"/>
  <c r="F755" i="24"/>
  <c r="A755" i="24"/>
  <c r="F754" i="24"/>
  <c r="A754" i="24"/>
  <c r="F753" i="24"/>
  <c r="A753" i="24"/>
  <c r="F752" i="24"/>
  <c r="A752" i="24"/>
  <c r="F751" i="24"/>
  <c r="A751" i="24"/>
  <c r="F750" i="24"/>
  <c r="A750" i="24"/>
  <c r="F749" i="24"/>
  <c r="A749" i="24"/>
  <c r="F748" i="24"/>
  <c r="A748" i="24"/>
  <c r="F747" i="24"/>
  <c r="A747" i="24"/>
  <c r="F746" i="24"/>
  <c r="A746" i="24"/>
  <c r="F745" i="24"/>
  <c r="A745" i="24"/>
  <c r="F744" i="24"/>
  <c r="A744" i="24"/>
  <c r="F743" i="24"/>
  <c r="A743" i="24"/>
  <c r="F742" i="24"/>
  <c r="A742" i="24"/>
  <c r="F741" i="24"/>
  <c r="A741" i="24"/>
  <c r="F740" i="24"/>
  <c r="A740" i="24"/>
  <c r="F739" i="24"/>
  <c r="A739" i="24"/>
  <c r="F738" i="24"/>
  <c r="A738" i="24"/>
  <c r="F737" i="24"/>
  <c r="A737" i="24"/>
  <c r="F736" i="24"/>
  <c r="A736" i="24"/>
  <c r="F735" i="24"/>
  <c r="A735" i="24"/>
  <c r="F734" i="24"/>
  <c r="A734" i="24"/>
  <c r="F733" i="24"/>
  <c r="A733" i="24"/>
  <c r="F732" i="24"/>
  <c r="A732" i="24"/>
  <c r="F731" i="24"/>
  <c r="A731" i="24"/>
  <c r="F730" i="24"/>
  <c r="A730" i="24"/>
  <c r="F729" i="24"/>
  <c r="A729" i="24"/>
  <c r="F728" i="24"/>
  <c r="A728" i="24"/>
  <c r="F727" i="24"/>
  <c r="A727" i="24"/>
  <c r="F726" i="24"/>
  <c r="A726" i="24"/>
  <c r="F725" i="24"/>
  <c r="A725" i="24"/>
  <c r="F724" i="24"/>
  <c r="A724" i="24"/>
  <c r="F723" i="24"/>
  <c r="A723" i="24"/>
  <c r="F722" i="24"/>
  <c r="A722" i="24"/>
  <c r="F721" i="24"/>
  <c r="A721" i="24"/>
  <c r="F720" i="24"/>
  <c r="A720" i="24"/>
  <c r="F719" i="24"/>
  <c r="A719" i="24"/>
  <c r="F718" i="24"/>
  <c r="A718" i="24"/>
  <c r="F717" i="24"/>
  <c r="A717" i="24"/>
  <c r="F716" i="24"/>
  <c r="A716" i="24"/>
  <c r="F715" i="24"/>
  <c r="A715" i="24"/>
  <c r="F714" i="24"/>
  <c r="A714" i="24"/>
  <c r="F713" i="24"/>
  <c r="A713" i="24"/>
  <c r="F712" i="24"/>
  <c r="A712" i="24"/>
  <c r="F711" i="24"/>
  <c r="A711" i="24"/>
  <c r="F710" i="24"/>
  <c r="A710" i="24"/>
  <c r="F709" i="24"/>
  <c r="A709" i="24"/>
  <c r="F708" i="24"/>
  <c r="A708" i="24"/>
  <c r="F707" i="24"/>
  <c r="A707" i="24"/>
  <c r="F706" i="24"/>
  <c r="A706" i="24"/>
  <c r="F705" i="24"/>
  <c r="A705" i="24"/>
  <c r="F704" i="24"/>
  <c r="A704" i="24"/>
  <c r="F703" i="24"/>
  <c r="A703" i="24"/>
  <c r="F702" i="24"/>
  <c r="A702" i="24"/>
  <c r="F701" i="24"/>
  <c r="A701" i="24"/>
  <c r="F700" i="24"/>
  <c r="A700" i="24"/>
  <c r="F699" i="24"/>
  <c r="A699" i="24"/>
  <c r="F698" i="24"/>
  <c r="A698" i="24"/>
  <c r="F697" i="24"/>
  <c r="A697" i="24"/>
  <c r="F696" i="24"/>
  <c r="A696" i="24"/>
  <c r="F695" i="24"/>
  <c r="A695" i="24"/>
  <c r="F694" i="24"/>
  <c r="A694" i="24"/>
  <c r="F693" i="24"/>
  <c r="A693" i="24"/>
  <c r="F692" i="24"/>
  <c r="A692" i="24"/>
  <c r="F691" i="24"/>
  <c r="A691" i="24"/>
  <c r="F690" i="24"/>
  <c r="A690" i="24"/>
  <c r="F689" i="24"/>
  <c r="A689" i="24"/>
  <c r="F688" i="24"/>
  <c r="A688" i="24"/>
  <c r="F687" i="24"/>
  <c r="A687" i="24"/>
  <c r="F686" i="24"/>
  <c r="A686" i="24"/>
  <c r="F685" i="24"/>
  <c r="A685" i="24"/>
  <c r="F684" i="24"/>
  <c r="A684" i="24"/>
  <c r="F683" i="24"/>
  <c r="A683" i="24"/>
  <c r="F682" i="24"/>
  <c r="A682" i="24"/>
  <c r="F681" i="24"/>
  <c r="A681" i="24"/>
  <c r="F680" i="24"/>
  <c r="A680" i="24"/>
  <c r="F679" i="24"/>
  <c r="A679" i="24"/>
  <c r="F678" i="24"/>
  <c r="A678" i="24"/>
  <c r="F677" i="24"/>
  <c r="A677" i="24"/>
  <c r="F676" i="24"/>
  <c r="A676" i="24"/>
  <c r="F675" i="24"/>
  <c r="A675" i="24"/>
  <c r="F674" i="24"/>
  <c r="A674" i="24"/>
  <c r="F673" i="24"/>
  <c r="A673" i="24"/>
  <c r="F672" i="24"/>
  <c r="A672" i="24"/>
  <c r="F671" i="24"/>
  <c r="A671" i="24"/>
  <c r="F670" i="24"/>
  <c r="A670" i="24"/>
  <c r="F669" i="24"/>
  <c r="A669" i="24"/>
  <c r="F668" i="24"/>
  <c r="A668" i="24"/>
  <c r="F667" i="24"/>
  <c r="A667" i="24"/>
  <c r="F666" i="24"/>
  <c r="A666" i="24"/>
  <c r="F665" i="24"/>
  <c r="A665" i="24"/>
  <c r="F664" i="24"/>
  <c r="A664" i="24"/>
  <c r="F663" i="24"/>
  <c r="A663" i="24"/>
  <c r="F662" i="24"/>
  <c r="A662" i="24"/>
  <c r="F661" i="24"/>
  <c r="A661" i="24"/>
  <c r="F660" i="24"/>
  <c r="A660" i="24"/>
  <c r="F659" i="24"/>
  <c r="A659" i="24"/>
  <c r="F658" i="24"/>
  <c r="A658" i="24"/>
  <c r="F657" i="24"/>
  <c r="A657" i="24"/>
  <c r="F656" i="24"/>
  <c r="A656" i="24"/>
  <c r="F655" i="24"/>
  <c r="A655" i="24"/>
  <c r="F654" i="24"/>
  <c r="A654" i="24"/>
  <c r="F653" i="24"/>
  <c r="A653" i="24"/>
  <c r="F652" i="24"/>
  <c r="A652" i="24"/>
  <c r="F651" i="24"/>
  <c r="A651" i="24"/>
  <c r="F650" i="24"/>
  <c r="A650" i="24"/>
  <c r="F649" i="24"/>
  <c r="A649" i="24"/>
  <c r="F648" i="24"/>
  <c r="A648" i="24"/>
  <c r="F647" i="24"/>
  <c r="A647" i="24"/>
  <c r="F646" i="24"/>
  <c r="A646" i="24"/>
  <c r="F645" i="24"/>
  <c r="A645" i="24"/>
  <c r="F644" i="24"/>
  <c r="A644" i="24"/>
  <c r="F643" i="24"/>
  <c r="A643" i="24"/>
  <c r="F642" i="24"/>
  <c r="A642" i="24"/>
  <c r="F641" i="24"/>
  <c r="A641" i="24"/>
  <c r="F640" i="24"/>
  <c r="A640" i="24"/>
  <c r="F639" i="24"/>
  <c r="A639" i="24"/>
  <c r="F638" i="24"/>
  <c r="A638" i="24"/>
  <c r="F637" i="24"/>
  <c r="A637" i="24"/>
  <c r="F636" i="24"/>
  <c r="A636" i="24"/>
  <c r="F635" i="24"/>
  <c r="A635" i="24"/>
  <c r="F634" i="24"/>
  <c r="A634" i="24"/>
  <c r="F633" i="24"/>
  <c r="A633" i="24"/>
  <c r="F632" i="24"/>
  <c r="A632" i="24"/>
  <c r="F631" i="24"/>
  <c r="A631" i="24"/>
  <c r="F630" i="24"/>
  <c r="A630" i="24"/>
  <c r="F629" i="24"/>
  <c r="A629" i="24"/>
  <c r="F628" i="24"/>
  <c r="A628" i="24"/>
  <c r="F627" i="24"/>
  <c r="A627" i="24"/>
  <c r="F626" i="24"/>
  <c r="A626" i="24"/>
  <c r="F625" i="24"/>
  <c r="A625" i="24"/>
  <c r="F624" i="24"/>
  <c r="A624" i="24"/>
  <c r="F623" i="24"/>
  <c r="A623" i="24"/>
  <c r="F622" i="24"/>
  <c r="A622" i="24"/>
  <c r="F621" i="24"/>
  <c r="A621" i="24"/>
  <c r="F620" i="24"/>
  <c r="A620" i="24"/>
  <c r="F619" i="24"/>
  <c r="A619" i="24"/>
  <c r="F618" i="24"/>
  <c r="A618" i="24"/>
  <c r="F617" i="24"/>
  <c r="A617" i="24"/>
  <c r="F616" i="24"/>
  <c r="A616" i="24"/>
  <c r="F615" i="24"/>
  <c r="A615" i="24"/>
  <c r="F614" i="24"/>
  <c r="A614" i="24"/>
  <c r="F613" i="24"/>
  <c r="A613" i="24"/>
  <c r="F612" i="24"/>
  <c r="A612" i="24"/>
  <c r="F611" i="24"/>
  <c r="A611" i="24"/>
  <c r="F610" i="24"/>
  <c r="A610" i="24"/>
  <c r="F609" i="24"/>
  <c r="A609" i="24"/>
  <c r="F608" i="24"/>
  <c r="A608" i="24"/>
  <c r="F607" i="24"/>
  <c r="A607" i="24"/>
  <c r="F606" i="24"/>
  <c r="A606" i="24"/>
  <c r="F605" i="24"/>
  <c r="A605" i="24"/>
  <c r="F604" i="24"/>
  <c r="A604" i="24"/>
  <c r="F603" i="24"/>
  <c r="A603" i="24"/>
  <c r="F602" i="24"/>
  <c r="A602" i="24"/>
  <c r="F601" i="24"/>
  <c r="A601" i="24"/>
  <c r="F600" i="24"/>
  <c r="A600" i="24"/>
  <c r="F599" i="24"/>
  <c r="A599" i="24"/>
  <c r="F598" i="24"/>
  <c r="A598" i="24"/>
  <c r="F597" i="24"/>
  <c r="A597" i="24"/>
  <c r="F596" i="24"/>
  <c r="A596" i="24"/>
  <c r="F595" i="24"/>
  <c r="A595" i="24"/>
  <c r="F594" i="24"/>
  <c r="A594" i="24"/>
  <c r="F593" i="24"/>
  <c r="A593" i="24"/>
  <c r="F592" i="24"/>
  <c r="A592" i="24"/>
  <c r="F591" i="24"/>
  <c r="A591" i="24"/>
  <c r="F590" i="24"/>
  <c r="A590" i="24"/>
  <c r="F589" i="24"/>
  <c r="A589" i="24"/>
  <c r="F588" i="24"/>
  <c r="A588" i="24"/>
  <c r="F587" i="24"/>
  <c r="A587" i="24"/>
  <c r="F586" i="24"/>
  <c r="A586" i="24"/>
  <c r="F585" i="24"/>
  <c r="A585" i="24"/>
  <c r="F584" i="24"/>
  <c r="A584" i="24"/>
  <c r="F583" i="24"/>
  <c r="A583" i="24"/>
  <c r="F582" i="24"/>
  <c r="A582" i="24"/>
  <c r="F581" i="24"/>
  <c r="A581" i="24"/>
  <c r="F580" i="24"/>
  <c r="A580" i="24"/>
  <c r="F579" i="24"/>
  <c r="A579" i="24"/>
  <c r="F578" i="24"/>
  <c r="A578" i="24"/>
  <c r="F577" i="24"/>
  <c r="A577" i="24"/>
  <c r="F576" i="24"/>
  <c r="A576" i="24"/>
  <c r="F575" i="24"/>
  <c r="A575" i="24"/>
  <c r="F574" i="24"/>
  <c r="A574" i="24"/>
  <c r="F573" i="24"/>
  <c r="A573" i="24"/>
  <c r="F572" i="24"/>
  <c r="A572" i="24"/>
  <c r="F571" i="24"/>
  <c r="A571" i="24"/>
  <c r="F570" i="24"/>
  <c r="A570" i="24"/>
  <c r="F569" i="24"/>
  <c r="A569" i="24"/>
  <c r="F568" i="24"/>
  <c r="A568" i="24"/>
  <c r="F567" i="24"/>
  <c r="A567" i="24"/>
  <c r="F566" i="24"/>
  <c r="A566" i="24"/>
  <c r="F565" i="24"/>
  <c r="A565" i="24"/>
  <c r="F564" i="24"/>
  <c r="A564" i="24"/>
  <c r="F563" i="24"/>
  <c r="A563" i="24"/>
  <c r="F562" i="24"/>
  <c r="A562" i="24"/>
  <c r="F561" i="24"/>
  <c r="A561" i="24"/>
  <c r="F560" i="24"/>
  <c r="A560" i="24"/>
  <c r="F559" i="24"/>
  <c r="A559" i="24"/>
  <c r="F558" i="24"/>
  <c r="A558" i="24"/>
  <c r="F557" i="24"/>
  <c r="A557" i="24"/>
  <c r="F556" i="24"/>
  <c r="A556" i="24"/>
  <c r="F555" i="24"/>
  <c r="A555" i="24"/>
  <c r="F554" i="24"/>
  <c r="A554" i="24"/>
  <c r="F553" i="24"/>
  <c r="A553" i="24"/>
  <c r="F552" i="24"/>
  <c r="A552" i="24"/>
  <c r="F551" i="24"/>
  <c r="A551" i="24"/>
  <c r="F550" i="24"/>
  <c r="A550" i="24"/>
  <c r="F549" i="24"/>
  <c r="A549" i="24"/>
  <c r="F548" i="24"/>
  <c r="A548" i="24"/>
  <c r="F547" i="24"/>
  <c r="A547" i="24"/>
  <c r="F546" i="24"/>
  <c r="A546" i="24"/>
  <c r="F545" i="24"/>
  <c r="A545" i="24"/>
  <c r="F544" i="24"/>
  <c r="A544" i="24"/>
  <c r="F543" i="24"/>
  <c r="A543" i="24"/>
  <c r="F542" i="24"/>
  <c r="A542" i="24"/>
  <c r="F541" i="24"/>
  <c r="A541" i="24"/>
  <c r="F540" i="24"/>
  <c r="A540" i="24"/>
  <c r="F539" i="24"/>
  <c r="A539" i="24"/>
  <c r="F538" i="24"/>
  <c r="A538" i="24"/>
  <c r="F537" i="24"/>
  <c r="A537" i="24"/>
  <c r="F536" i="24"/>
  <c r="A536" i="24"/>
  <c r="F535" i="24"/>
  <c r="A535" i="24"/>
  <c r="F534" i="24"/>
  <c r="A534" i="24"/>
  <c r="F533" i="24"/>
  <c r="A533" i="24"/>
  <c r="F532" i="24"/>
  <c r="A532" i="24"/>
  <c r="F531" i="24"/>
  <c r="A531" i="24"/>
  <c r="F530" i="24"/>
  <c r="A530" i="24"/>
  <c r="F529" i="24"/>
  <c r="A529" i="24"/>
  <c r="F528" i="24"/>
  <c r="A528" i="24"/>
  <c r="F527" i="24"/>
  <c r="A527" i="24"/>
  <c r="F526" i="24"/>
  <c r="A526" i="24"/>
  <c r="F525" i="24"/>
  <c r="A525" i="24"/>
  <c r="F524" i="24"/>
  <c r="A524" i="24"/>
  <c r="F523" i="24"/>
  <c r="A523" i="24"/>
  <c r="F522" i="24"/>
  <c r="A522" i="24"/>
  <c r="F521" i="24"/>
  <c r="A521" i="24"/>
  <c r="F520" i="24"/>
  <c r="A520" i="24"/>
  <c r="F519" i="24"/>
  <c r="A519" i="24"/>
  <c r="F518" i="24"/>
  <c r="A518" i="24"/>
  <c r="F517" i="24"/>
  <c r="A517" i="24"/>
  <c r="F516" i="24"/>
  <c r="A516" i="24"/>
  <c r="F515" i="24"/>
  <c r="A515" i="24"/>
  <c r="F514" i="24"/>
  <c r="A514" i="24"/>
  <c r="F513" i="24"/>
  <c r="A513" i="24"/>
  <c r="F512" i="24"/>
  <c r="A512" i="24"/>
  <c r="F511" i="24"/>
  <c r="A511" i="24"/>
  <c r="F510" i="24"/>
  <c r="A510" i="24"/>
  <c r="F509" i="24"/>
  <c r="A509" i="24"/>
  <c r="F508" i="24"/>
  <c r="A508" i="24"/>
  <c r="F507" i="24"/>
  <c r="A507" i="24"/>
  <c r="F506" i="24"/>
  <c r="A506" i="24"/>
  <c r="F505" i="24"/>
  <c r="A505" i="24"/>
  <c r="F504" i="24"/>
  <c r="A504" i="24"/>
  <c r="F503" i="24"/>
  <c r="A503" i="24"/>
  <c r="F502" i="24"/>
  <c r="A502" i="24"/>
  <c r="F501" i="24"/>
  <c r="A501" i="24"/>
  <c r="F500" i="24"/>
  <c r="A500" i="24"/>
  <c r="F499" i="24"/>
  <c r="A499" i="24"/>
  <c r="F498" i="24"/>
  <c r="A498" i="24"/>
  <c r="F497" i="24"/>
  <c r="A497" i="24"/>
  <c r="F496" i="24"/>
  <c r="A496" i="24"/>
  <c r="F495" i="24"/>
  <c r="A495" i="24"/>
  <c r="F494" i="24"/>
  <c r="A494" i="24"/>
  <c r="F493" i="24"/>
  <c r="A493" i="24"/>
  <c r="F492" i="24"/>
  <c r="A492" i="24"/>
  <c r="F491" i="24"/>
  <c r="A491" i="24"/>
  <c r="F490" i="24"/>
  <c r="A490" i="24"/>
  <c r="F489" i="24"/>
  <c r="A489" i="24"/>
  <c r="F488" i="24"/>
  <c r="A488" i="24"/>
  <c r="F487" i="24"/>
  <c r="A487" i="24"/>
  <c r="F486" i="24"/>
  <c r="A486" i="24"/>
  <c r="F485" i="24"/>
  <c r="A485" i="24"/>
  <c r="F484" i="24"/>
  <c r="A484" i="24"/>
  <c r="F483" i="24"/>
  <c r="A483" i="24"/>
  <c r="F482" i="24"/>
  <c r="A482" i="24"/>
  <c r="F481" i="24"/>
  <c r="A481" i="24"/>
  <c r="F480" i="24"/>
  <c r="A480" i="24"/>
  <c r="F479" i="24"/>
  <c r="A479" i="24"/>
  <c r="F478" i="24"/>
  <c r="A478" i="24"/>
  <c r="F477" i="24"/>
  <c r="A477" i="24"/>
  <c r="F476" i="24"/>
  <c r="A476" i="24"/>
  <c r="F475" i="24"/>
  <c r="A475" i="24"/>
  <c r="F474" i="24"/>
  <c r="A474" i="24"/>
  <c r="F473" i="24"/>
  <c r="A473" i="24"/>
  <c r="F472" i="24"/>
  <c r="A472" i="24"/>
  <c r="F471" i="24"/>
  <c r="A471" i="24"/>
  <c r="F470" i="24"/>
  <c r="A470" i="24"/>
  <c r="F469" i="24"/>
  <c r="A469" i="24"/>
  <c r="F468" i="24"/>
  <c r="A468" i="24"/>
  <c r="F467" i="24"/>
  <c r="A467" i="24"/>
  <c r="F466" i="24"/>
  <c r="A466" i="24"/>
  <c r="F465" i="24"/>
  <c r="A465" i="24"/>
  <c r="F464" i="24"/>
  <c r="A464" i="24"/>
  <c r="F463" i="24"/>
  <c r="A463" i="24"/>
  <c r="F462" i="24"/>
  <c r="A462" i="24"/>
  <c r="F461" i="24"/>
  <c r="A461" i="24"/>
  <c r="F460" i="24"/>
  <c r="A460" i="24"/>
  <c r="F459" i="24"/>
  <c r="A459" i="24"/>
  <c r="F458" i="24"/>
  <c r="A458" i="24"/>
  <c r="F457" i="24"/>
  <c r="A457" i="24"/>
  <c r="F456" i="24"/>
  <c r="A456" i="24"/>
  <c r="F455" i="24"/>
  <c r="A455" i="24"/>
  <c r="F454" i="24"/>
  <c r="A454" i="24"/>
  <c r="F453" i="24"/>
  <c r="A453" i="24"/>
  <c r="F452" i="24"/>
  <c r="A452" i="24"/>
  <c r="F451" i="24"/>
  <c r="A451" i="24"/>
  <c r="F450" i="24"/>
  <c r="A450" i="24"/>
  <c r="F449" i="24"/>
  <c r="A449" i="24"/>
  <c r="F448" i="24"/>
  <c r="A448" i="24"/>
  <c r="F447" i="24"/>
  <c r="A447" i="24"/>
  <c r="F446" i="24"/>
  <c r="A446" i="24"/>
  <c r="F445" i="24"/>
  <c r="A445" i="24"/>
  <c r="F444" i="24"/>
  <c r="A444" i="24"/>
  <c r="F443" i="24"/>
  <c r="A443" i="24"/>
  <c r="F442" i="24"/>
  <c r="A442" i="24"/>
  <c r="F441" i="24"/>
  <c r="A441" i="24"/>
  <c r="F440" i="24"/>
  <c r="A440" i="24"/>
  <c r="F439" i="24"/>
  <c r="A439" i="24"/>
  <c r="F438" i="24"/>
  <c r="A438" i="24"/>
  <c r="F437" i="24"/>
  <c r="A437" i="24"/>
  <c r="F436" i="24"/>
  <c r="A436" i="24"/>
  <c r="F435" i="24"/>
  <c r="A435" i="24"/>
  <c r="F434" i="24"/>
  <c r="A434" i="24"/>
  <c r="F433" i="24"/>
  <c r="A433" i="24"/>
  <c r="F432" i="24"/>
  <c r="A432" i="24"/>
  <c r="F431" i="24"/>
  <c r="A431" i="24"/>
  <c r="F430" i="24"/>
  <c r="A430" i="24"/>
  <c r="F429" i="24"/>
  <c r="A429" i="24"/>
  <c r="F428" i="24"/>
  <c r="A428" i="24"/>
  <c r="F427" i="24"/>
  <c r="A427" i="24"/>
  <c r="F426" i="24"/>
  <c r="A426" i="24"/>
  <c r="F425" i="24"/>
  <c r="A425" i="24"/>
  <c r="F424" i="24"/>
  <c r="A424" i="24"/>
  <c r="F423" i="24"/>
  <c r="A423" i="24"/>
  <c r="F422" i="24"/>
  <c r="A422" i="24"/>
  <c r="F421" i="24"/>
  <c r="A421" i="24"/>
  <c r="F420" i="24"/>
  <c r="A420" i="24"/>
  <c r="F419" i="24"/>
  <c r="A419" i="24"/>
  <c r="F418" i="24"/>
  <c r="A418" i="24"/>
  <c r="F417" i="24"/>
  <c r="A417" i="24"/>
  <c r="F416" i="24"/>
  <c r="A416" i="24"/>
  <c r="F415" i="24"/>
  <c r="A415" i="24"/>
  <c r="F414" i="24"/>
  <c r="A414" i="24"/>
  <c r="F413" i="24"/>
  <c r="A413" i="24"/>
  <c r="F412" i="24"/>
  <c r="A412" i="24"/>
  <c r="F411" i="24"/>
  <c r="A411" i="24"/>
  <c r="F410" i="24"/>
  <c r="A410" i="24"/>
  <c r="F409" i="24"/>
  <c r="A409" i="24"/>
  <c r="F408" i="24"/>
  <c r="A408" i="24"/>
  <c r="F407" i="24"/>
  <c r="A407" i="24"/>
  <c r="F406" i="24"/>
  <c r="A406" i="24"/>
  <c r="F405" i="24"/>
  <c r="A405" i="24"/>
  <c r="F404" i="24"/>
  <c r="A404" i="24"/>
  <c r="F403" i="24"/>
  <c r="A403" i="24"/>
  <c r="F402" i="24"/>
  <c r="A402" i="24"/>
  <c r="F401" i="24"/>
  <c r="A401" i="24"/>
  <c r="F400" i="24"/>
  <c r="A400" i="24"/>
  <c r="F399" i="24"/>
  <c r="A399" i="24"/>
  <c r="F398" i="24"/>
  <c r="A398" i="24"/>
  <c r="F397" i="24"/>
  <c r="A397" i="24"/>
  <c r="F396" i="24"/>
  <c r="A396" i="24"/>
  <c r="F395" i="24"/>
  <c r="A395" i="24"/>
  <c r="F394" i="24"/>
  <c r="A394" i="24"/>
  <c r="F393" i="24"/>
  <c r="A393" i="24"/>
  <c r="F392" i="24"/>
  <c r="A392" i="24"/>
  <c r="F391" i="24"/>
  <c r="A391" i="24"/>
  <c r="F390" i="24"/>
  <c r="A390" i="24"/>
  <c r="F389" i="24"/>
  <c r="A389" i="24"/>
  <c r="F388" i="24"/>
  <c r="A388" i="24"/>
  <c r="F387" i="24"/>
  <c r="A387" i="24"/>
  <c r="F386" i="24"/>
  <c r="A386" i="24"/>
  <c r="F385" i="24"/>
  <c r="A385" i="24"/>
  <c r="F384" i="24"/>
  <c r="A384" i="24"/>
  <c r="F383" i="24"/>
  <c r="A383" i="24"/>
  <c r="F382" i="24"/>
  <c r="A382" i="24"/>
  <c r="F381" i="24"/>
  <c r="A381" i="24"/>
  <c r="F380" i="24"/>
  <c r="A380" i="24"/>
  <c r="F379" i="24"/>
  <c r="A379" i="24"/>
  <c r="F378" i="24"/>
  <c r="A378" i="24"/>
  <c r="F377" i="24"/>
  <c r="A377" i="24"/>
  <c r="F376" i="24"/>
  <c r="A376" i="24"/>
  <c r="F375" i="24"/>
  <c r="A375" i="24"/>
  <c r="F374" i="24"/>
  <c r="A374" i="24"/>
  <c r="F373" i="24"/>
  <c r="A373" i="24"/>
  <c r="F372" i="24"/>
  <c r="A372" i="24"/>
  <c r="F371" i="24"/>
  <c r="A371" i="24"/>
  <c r="F370" i="24"/>
  <c r="A370" i="24"/>
  <c r="F369" i="24"/>
  <c r="A369" i="24"/>
  <c r="F368" i="24"/>
  <c r="A368" i="24"/>
  <c r="F367" i="24"/>
  <c r="A367" i="24"/>
  <c r="F366" i="24"/>
  <c r="A366" i="24"/>
  <c r="F365" i="24"/>
  <c r="A365" i="24"/>
  <c r="F364" i="24"/>
  <c r="A364" i="24"/>
  <c r="F363" i="24"/>
  <c r="A363" i="24"/>
  <c r="F362" i="24"/>
  <c r="A362" i="24"/>
  <c r="F361" i="24"/>
  <c r="A361" i="24"/>
  <c r="F360" i="24"/>
  <c r="A360" i="24"/>
  <c r="F359" i="24"/>
  <c r="A359" i="24"/>
  <c r="F358" i="24"/>
  <c r="A358" i="24"/>
  <c r="F357" i="24"/>
  <c r="A357" i="24"/>
  <c r="F356" i="24"/>
  <c r="A356" i="24"/>
  <c r="F355" i="24"/>
  <c r="A355" i="24"/>
  <c r="F354" i="24"/>
  <c r="A354" i="24"/>
  <c r="F353" i="24"/>
  <c r="A353" i="24"/>
  <c r="F352" i="24"/>
  <c r="A352" i="24"/>
  <c r="F351" i="24"/>
  <c r="A351" i="24"/>
  <c r="F350" i="24"/>
  <c r="A350" i="24"/>
  <c r="F349" i="24"/>
  <c r="A349" i="24"/>
  <c r="F348" i="24"/>
  <c r="A348" i="24"/>
  <c r="F347" i="24"/>
  <c r="A347" i="24"/>
  <c r="F346" i="24"/>
  <c r="A346" i="24"/>
  <c r="F345" i="24"/>
  <c r="A345" i="24"/>
  <c r="F344" i="24"/>
  <c r="A344" i="24"/>
  <c r="F343" i="24"/>
  <c r="A343" i="24"/>
  <c r="F342" i="24"/>
  <c r="A342" i="24"/>
  <c r="F341" i="24"/>
  <c r="A341" i="24"/>
  <c r="F340" i="24"/>
  <c r="A340" i="24"/>
  <c r="F339" i="24"/>
  <c r="A339" i="24"/>
  <c r="F338" i="24"/>
  <c r="A338" i="24"/>
  <c r="F337" i="24"/>
  <c r="A337" i="24"/>
  <c r="F336" i="24"/>
  <c r="A336" i="24"/>
  <c r="F335" i="24"/>
  <c r="A335" i="24"/>
  <c r="F334" i="24"/>
  <c r="A334" i="24"/>
  <c r="F333" i="24"/>
  <c r="A333" i="24"/>
  <c r="F332" i="24"/>
  <c r="A332" i="24"/>
  <c r="F331" i="24"/>
  <c r="A331" i="24"/>
  <c r="F330" i="24"/>
  <c r="A330" i="24"/>
  <c r="F329" i="24"/>
  <c r="A329" i="24"/>
  <c r="F328" i="24"/>
  <c r="A328" i="24"/>
  <c r="F327" i="24"/>
  <c r="A327" i="24"/>
  <c r="F326" i="24"/>
  <c r="A326" i="24"/>
  <c r="F325" i="24"/>
  <c r="A325" i="24"/>
  <c r="F324" i="24"/>
  <c r="A324" i="24"/>
  <c r="F323" i="24"/>
  <c r="A323" i="24"/>
  <c r="F322" i="24"/>
  <c r="A322" i="24"/>
  <c r="F321" i="24"/>
  <c r="A321" i="24"/>
  <c r="F320" i="24"/>
  <c r="A320" i="24"/>
  <c r="F319" i="24"/>
  <c r="A319" i="24"/>
  <c r="F318" i="24"/>
  <c r="A318" i="24"/>
  <c r="F317" i="24"/>
  <c r="A317" i="24"/>
  <c r="F316" i="24"/>
  <c r="A316" i="24"/>
  <c r="F315" i="24"/>
  <c r="A315" i="24"/>
  <c r="F314" i="24"/>
  <c r="A314" i="24"/>
  <c r="F313" i="24"/>
  <c r="A313" i="24"/>
  <c r="F312" i="24"/>
  <c r="A312" i="24"/>
  <c r="F311" i="24"/>
  <c r="A311" i="24"/>
  <c r="F310" i="24"/>
  <c r="A310" i="24"/>
  <c r="F309" i="24"/>
  <c r="A309" i="24"/>
  <c r="F308" i="24"/>
  <c r="A308" i="24"/>
  <c r="F307" i="24"/>
  <c r="A307" i="24"/>
  <c r="F306" i="24"/>
  <c r="A306" i="24"/>
  <c r="F305" i="24"/>
  <c r="A305" i="24"/>
  <c r="F304" i="24"/>
  <c r="A304" i="24"/>
  <c r="F303" i="24"/>
  <c r="A303" i="24"/>
  <c r="F302" i="24"/>
  <c r="A302" i="24"/>
  <c r="F301" i="24"/>
  <c r="A301" i="24"/>
  <c r="F300" i="24"/>
  <c r="A300" i="24"/>
  <c r="F299" i="24"/>
  <c r="A299" i="24"/>
  <c r="F298" i="24"/>
  <c r="A298" i="24"/>
  <c r="F297" i="24"/>
  <c r="A297" i="24"/>
  <c r="F296" i="24"/>
  <c r="A296" i="24"/>
  <c r="F295" i="24"/>
  <c r="A295" i="24"/>
  <c r="F294" i="24"/>
  <c r="A294" i="24"/>
  <c r="F293" i="24"/>
  <c r="A293" i="24"/>
  <c r="F292" i="24"/>
  <c r="A292" i="24"/>
  <c r="F291" i="24"/>
  <c r="A291" i="24"/>
  <c r="F290" i="24"/>
  <c r="A290" i="24"/>
  <c r="F289" i="24"/>
  <c r="A289" i="24"/>
  <c r="F288" i="24"/>
  <c r="A288" i="24"/>
  <c r="F287" i="24"/>
  <c r="A287" i="24"/>
  <c r="F286" i="24"/>
  <c r="A286" i="24"/>
  <c r="F285" i="24"/>
  <c r="A285" i="24"/>
  <c r="F284" i="24"/>
  <c r="A284" i="24"/>
  <c r="F283" i="24"/>
  <c r="A283" i="24"/>
  <c r="F282" i="24"/>
  <c r="A282" i="24"/>
  <c r="F281" i="24"/>
  <c r="A281" i="24"/>
  <c r="F280" i="24"/>
  <c r="A280" i="24"/>
  <c r="F279" i="24"/>
  <c r="A279" i="24"/>
  <c r="F278" i="24"/>
  <c r="A278" i="24"/>
  <c r="F277" i="24"/>
  <c r="A277" i="24"/>
  <c r="F276" i="24"/>
  <c r="A276" i="24"/>
  <c r="F275" i="24"/>
  <c r="A275" i="24"/>
  <c r="F274" i="24"/>
  <c r="A274" i="24"/>
  <c r="F273" i="24"/>
  <c r="A273" i="24"/>
  <c r="F272" i="24"/>
  <c r="A272" i="24"/>
  <c r="F271" i="24"/>
  <c r="A271" i="24"/>
  <c r="F270" i="24"/>
  <c r="A270" i="24"/>
  <c r="F269" i="24"/>
  <c r="A269" i="24"/>
  <c r="F268" i="24"/>
  <c r="A268" i="24"/>
  <c r="F267" i="24"/>
  <c r="A267" i="24"/>
  <c r="F266" i="24"/>
  <c r="A266" i="24"/>
  <c r="F265" i="24"/>
  <c r="A265" i="24"/>
  <c r="F264" i="24"/>
  <c r="A264" i="24"/>
  <c r="F263" i="24"/>
  <c r="A263" i="24"/>
  <c r="F262" i="24"/>
  <c r="A262" i="24"/>
  <c r="F261" i="24"/>
  <c r="A261" i="24"/>
  <c r="F260" i="24"/>
  <c r="A260" i="24"/>
  <c r="F259" i="24"/>
  <c r="A259" i="24"/>
  <c r="F258" i="24"/>
  <c r="A258" i="24"/>
  <c r="F257" i="24"/>
  <c r="A257" i="24"/>
  <c r="F256" i="24"/>
  <c r="A256" i="24"/>
  <c r="F255" i="24"/>
  <c r="A255" i="24"/>
  <c r="F254" i="24"/>
  <c r="A254" i="24"/>
  <c r="F253" i="24"/>
  <c r="A253" i="24"/>
  <c r="F252" i="24"/>
  <c r="A252" i="24"/>
  <c r="F251" i="24"/>
  <c r="A251" i="24"/>
  <c r="F250" i="24"/>
  <c r="A250" i="24"/>
  <c r="F249" i="24"/>
  <c r="A249" i="24"/>
  <c r="F248" i="24"/>
  <c r="A248" i="24"/>
  <c r="F247" i="24"/>
  <c r="A247" i="24"/>
  <c r="F246" i="24"/>
  <c r="A246" i="24"/>
  <c r="F245" i="24"/>
  <c r="A245" i="24"/>
  <c r="F244" i="24"/>
  <c r="A244" i="24"/>
  <c r="F243" i="24"/>
  <c r="A243" i="24"/>
  <c r="F242" i="24"/>
  <c r="A242" i="24"/>
  <c r="F241" i="24"/>
  <c r="A241" i="24"/>
  <c r="F240" i="24"/>
  <c r="A240" i="24"/>
  <c r="F239" i="24"/>
  <c r="A239" i="24"/>
  <c r="F238" i="24"/>
  <c r="A238" i="24"/>
  <c r="F237" i="24"/>
  <c r="A237" i="24"/>
  <c r="F236" i="24"/>
  <c r="A236" i="24"/>
  <c r="F235" i="24"/>
  <c r="A235" i="24"/>
  <c r="F234" i="24"/>
  <c r="A234" i="24"/>
  <c r="F233" i="24"/>
  <c r="A233" i="24"/>
  <c r="F232" i="24"/>
  <c r="A232" i="24"/>
  <c r="F231" i="24"/>
  <c r="A231" i="24"/>
  <c r="F230" i="24"/>
  <c r="A230" i="24"/>
  <c r="F229" i="24"/>
  <c r="A229" i="24"/>
  <c r="F228" i="24"/>
  <c r="A228" i="24"/>
  <c r="F227" i="24"/>
  <c r="A227" i="24"/>
  <c r="F226" i="24"/>
  <c r="A226" i="24"/>
  <c r="F225" i="24"/>
  <c r="A225" i="24"/>
  <c r="F224" i="24"/>
  <c r="A224" i="24"/>
  <c r="F223" i="24"/>
  <c r="A223" i="24"/>
  <c r="F222" i="24"/>
  <c r="A222" i="24"/>
  <c r="F221" i="24"/>
  <c r="A221" i="24"/>
  <c r="F220" i="24"/>
  <c r="A220" i="24"/>
  <c r="F219" i="24"/>
  <c r="A219" i="24"/>
  <c r="F218" i="24"/>
  <c r="A218" i="24"/>
  <c r="F217" i="24"/>
  <c r="A217" i="24"/>
  <c r="F216" i="24"/>
  <c r="A216" i="24"/>
  <c r="F215" i="24"/>
  <c r="A215" i="24"/>
  <c r="F214" i="24"/>
  <c r="A214" i="24"/>
  <c r="F213" i="24"/>
  <c r="A213" i="24"/>
  <c r="F212" i="24"/>
  <c r="A212" i="24"/>
  <c r="F211" i="24"/>
  <c r="A211" i="24"/>
  <c r="F210" i="24"/>
  <c r="A210" i="24"/>
  <c r="F209" i="24"/>
  <c r="A209" i="24"/>
  <c r="F208" i="24"/>
  <c r="A208" i="24"/>
  <c r="F207" i="24"/>
  <c r="A207" i="24"/>
  <c r="F206" i="24"/>
  <c r="A206" i="24"/>
  <c r="F205" i="24"/>
  <c r="A205" i="24"/>
  <c r="F204" i="24"/>
  <c r="A204" i="24"/>
  <c r="F203" i="24"/>
  <c r="A203" i="24"/>
  <c r="F202" i="24"/>
  <c r="A202" i="24"/>
  <c r="F201" i="24"/>
  <c r="A201" i="24"/>
  <c r="F200" i="24"/>
  <c r="A200" i="24"/>
  <c r="F199" i="24"/>
  <c r="A199" i="24"/>
  <c r="F198" i="24"/>
  <c r="A198" i="24"/>
  <c r="F197" i="24"/>
  <c r="A197" i="24"/>
  <c r="F196" i="24"/>
  <c r="A196" i="24"/>
  <c r="F195" i="24"/>
  <c r="A195" i="24"/>
  <c r="F194" i="24"/>
  <c r="A194" i="24"/>
  <c r="F193" i="24"/>
  <c r="A193" i="24"/>
  <c r="F192" i="24"/>
  <c r="A192" i="24"/>
  <c r="F191" i="24"/>
  <c r="A191" i="24"/>
  <c r="F190" i="24"/>
  <c r="A190" i="24"/>
  <c r="F189" i="24"/>
  <c r="A189" i="24"/>
  <c r="F188" i="24"/>
  <c r="A188" i="24"/>
  <c r="F187" i="24"/>
  <c r="A187" i="24"/>
  <c r="F186" i="24"/>
  <c r="A186" i="24"/>
  <c r="F185" i="24"/>
  <c r="A185" i="24"/>
  <c r="F184" i="24"/>
  <c r="A184" i="24"/>
  <c r="F183" i="24"/>
  <c r="A183" i="24"/>
  <c r="F182" i="24"/>
  <c r="A182" i="24"/>
  <c r="F181" i="24"/>
  <c r="A181" i="24"/>
  <c r="F180" i="24"/>
  <c r="A180" i="24"/>
  <c r="F179" i="24"/>
  <c r="A179" i="24"/>
  <c r="F178" i="24"/>
  <c r="A178" i="24"/>
  <c r="F177" i="24"/>
  <c r="A177" i="24"/>
  <c r="F176" i="24"/>
  <c r="A176" i="24"/>
  <c r="F175" i="24"/>
  <c r="A175" i="24"/>
  <c r="F174" i="24"/>
  <c r="A174" i="24"/>
  <c r="F173" i="24"/>
  <c r="A173" i="24"/>
  <c r="F172" i="24"/>
  <c r="A172" i="24"/>
  <c r="F171" i="24"/>
  <c r="A171" i="24"/>
  <c r="F170" i="24"/>
  <c r="A170" i="24"/>
  <c r="F169" i="24"/>
  <c r="A169" i="24"/>
  <c r="F168" i="24"/>
  <c r="A168" i="24"/>
  <c r="F167" i="24"/>
  <c r="A167" i="24"/>
  <c r="F166" i="24"/>
  <c r="A166" i="24"/>
  <c r="F165" i="24"/>
  <c r="A165" i="24"/>
  <c r="F164" i="24"/>
  <c r="A164" i="24"/>
  <c r="F163" i="24"/>
  <c r="A163" i="24"/>
  <c r="F162" i="24"/>
  <c r="A162" i="24"/>
  <c r="F161" i="24"/>
  <c r="A161" i="24"/>
  <c r="F160" i="24"/>
  <c r="A160" i="24"/>
  <c r="F159" i="24"/>
  <c r="A159" i="24"/>
  <c r="F158" i="24"/>
  <c r="A158" i="24"/>
  <c r="F157" i="24"/>
  <c r="A157" i="24"/>
  <c r="F156" i="24"/>
  <c r="A156" i="24"/>
  <c r="F155" i="24"/>
  <c r="A155" i="24"/>
  <c r="F154" i="24"/>
  <c r="A154" i="24"/>
  <c r="F153" i="24"/>
  <c r="A153" i="24"/>
  <c r="F152" i="24"/>
  <c r="A152" i="24"/>
  <c r="F151" i="24"/>
  <c r="A151" i="24"/>
  <c r="F150" i="24"/>
  <c r="A150" i="24"/>
  <c r="F149" i="24"/>
  <c r="A149" i="24"/>
  <c r="F148" i="24"/>
  <c r="A148" i="24"/>
  <c r="F147" i="24"/>
  <c r="A147" i="24"/>
  <c r="F146" i="24"/>
  <c r="A146" i="24"/>
  <c r="F145" i="24"/>
  <c r="A145" i="24"/>
  <c r="F144" i="24"/>
  <c r="A144" i="24"/>
  <c r="F143" i="24"/>
  <c r="A143" i="24"/>
  <c r="F142" i="24"/>
  <c r="A142" i="24"/>
  <c r="F141" i="24"/>
  <c r="A141" i="24"/>
  <c r="F140" i="24"/>
  <c r="A140" i="24"/>
  <c r="F139" i="24"/>
  <c r="A139" i="24"/>
  <c r="F138" i="24"/>
  <c r="A138" i="24"/>
  <c r="F137" i="24"/>
  <c r="A137" i="24"/>
  <c r="F136" i="24"/>
  <c r="A136" i="24"/>
  <c r="F135" i="24"/>
  <c r="A135" i="24"/>
  <c r="F134" i="24"/>
  <c r="A134" i="24"/>
  <c r="F133" i="24"/>
  <c r="A133" i="24"/>
  <c r="F132" i="24"/>
  <c r="A132" i="24"/>
  <c r="F131" i="24"/>
  <c r="A131" i="24"/>
  <c r="F130" i="24"/>
  <c r="A130" i="24"/>
  <c r="F129" i="24"/>
  <c r="A129" i="24"/>
  <c r="F128" i="24"/>
  <c r="A128" i="24"/>
  <c r="F127" i="24"/>
  <c r="A127" i="24"/>
  <c r="F126" i="24"/>
  <c r="A126" i="24"/>
  <c r="F125" i="24"/>
  <c r="A125" i="24"/>
  <c r="F124" i="24"/>
  <c r="A124" i="24"/>
  <c r="F123" i="24"/>
  <c r="A123" i="24"/>
  <c r="F122" i="24"/>
  <c r="A122" i="24"/>
  <c r="F121" i="24"/>
  <c r="A121" i="24"/>
  <c r="F120" i="24"/>
  <c r="A120" i="24"/>
  <c r="F119" i="24"/>
  <c r="A119" i="24"/>
  <c r="F118" i="24"/>
  <c r="A118" i="24"/>
  <c r="F117" i="24"/>
  <c r="A117" i="24"/>
  <c r="F116" i="24"/>
  <c r="A116" i="24"/>
  <c r="F115" i="24"/>
  <c r="A115" i="24"/>
  <c r="F114" i="24"/>
  <c r="A114" i="24"/>
  <c r="F113" i="24"/>
  <c r="A113" i="24"/>
  <c r="F112" i="24"/>
  <c r="A112" i="24"/>
  <c r="F111" i="24"/>
  <c r="A111" i="24"/>
  <c r="F110" i="24"/>
  <c r="A110" i="24"/>
  <c r="F109" i="24"/>
  <c r="A109" i="24"/>
  <c r="F108" i="24"/>
  <c r="A108" i="24"/>
  <c r="F107" i="24"/>
  <c r="A107" i="24"/>
  <c r="F106" i="24"/>
  <c r="A106" i="24"/>
  <c r="F105" i="24"/>
  <c r="A105" i="24"/>
  <c r="F104" i="24"/>
  <c r="A104" i="24"/>
  <c r="F103" i="24"/>
  <c r="A103" i="24"/>
  <c r="F102" i="24"/>
  <c r="A102" i="24"/>
  <c r="F101" i="24"/>
  <c r="A101" i="24"/>
  <c r="F100" i="24"/>
  <c r="A100" i="24"/>
  <c r="F99" i="24"/>
  <c r="A99" i="24"/>
  <c r="F98" i="24"/>
  <c r="A98" i="24"/>
  <c r="F97" i="24"/>
  <c r="A97" i="24"/>
  <c r="F96" i="24"/>
  <c r="A96" i="24"/>
  <c r="F95" i="24"/>
  <c r="A95" i="24"/>
  <c r="F94" i="24"/>
  <c r="A94" i="24"/>
  <c r="F93" i="24"/>
  <c r="A93" i="24"/>
  <c r="F92" i="24"/>
  <c r="A92" i="24"/>
  <c r="F91" i="24"/>
  <c r="A91" i="24"/>
  <c r="F90" i="24"/>
  <c r="A90" i="24"/>
  <c r="F89" i="24"/>
  <c r="A89" i="24"/>
  <c r="F88" i="24"/>
  <c r="A88" i="24"/>
  <c r="F87" i="24"/>
  <c r="A87" i="24"/>
  <c r="F86" i="24"/>
  <c r="A86" i="24"/>
  <c r="F85" i="24"/>
  <c r="A85" i="24"/>
  <c r="F84" i="24"/>
  <c r="A84" i="24"/>
  <c r="F83" i="24"/>
  <c r="A83" i="24"/>
  <c r="F82" i="24"/>
  <c r="A82" i="24"/>
  <c r="F81" i="24"/>
  <c r="A81" i="24"/>
  <c r="F80" i="24"/>
  <c r="A80" i="24"/>
  <c r="F79" i="24"/>
  <c r="A79" i="24"/>
  <c r="F78" i="24"/>
  <c r="A78" i="24"/>
  <c r="F77" i="24"/>
  <c r="A77" i="24"/>
  <c r="F76" i="24"/>
  <c r="A76" i="24"/>
  <c r="F75" i="24"/>
  <c r="A75" i="24"/>
  <c r="F74" i="24"/>
  <c r="A74" i="24"/>
  <c r="F73" i="24"/>
  <c r="A73" i="24"/>
  <c r="F72" i="24"/>
  <c r="A72" i="24"/>
  <c r="F71" i="24"/>
  <c r="A71" i="24"/>
  <c r="F70" i="24"/>
  <c r="A70" i="24"/>
  <c r="F69" i="24"/>
  <c r="A69" i="24"/>
  <c r="F68" i="24"/>
  <c r="A68" i="24"/>
  <c r="F67" i="24"/>
  <c r="A67" i="24"/>
  <c r="F66" i="24"/>
  <c r="A66" i="24"/>
  <c r="F65" i="24"/>
  <c r="A65" i="24"/>
  <c r="F64" i="24"/>
  <c r="A64" i="24"/>
  <c r="F63" i="24"/>
  <c r="A63" i="24"/>
  <c r="F62" i="24"/>
  <c r="A62" i="24"/>
  <c r="F61" i="24"/>
  <c r="A61" i="24"/>
  <c r="F60" i="24"/>
  <c r="A60" i="24"/>
  <c r="F59" i="24"/>
  <c r="A59" i="24"/>
  <c r="F58" i="24"/>
  <c r="A58" i="24"/>
  <c r="F57" i="24"/>
  <c r="A57" i="24"/>
  <c r="F56" i="24"/>
  <c r="A56" i="24"/>
  <c r="F55" i="24"/>
  <c r="A55" i="24"/>
  <c r="F54" i="24"/>
  <c r="A54" i="24"/>
  <c r="F53" i="24"/>
  <c r="A53" i="24"/>
  <c r="F52" i="24"/>
  <c r="A52" i="24"/>
  <c r="F51" i="24"/>
  <c r="A51" i="24"/>
  <c r="F50" i="24"/>
  <c r="A50" i="24"/>
  <c r="F49" i="24"/>
  <c r="A49" i="24"/>
  <c r="F48" i="24"/>
  <c r="A48" i="24"/>
  <c r="F47" i="24"/>
  <c r="A47" i="24"/>
  <c r="F46" i="24"/>
  <c r="A46" i="24"/>
  <c r="F45" i="24"/>
  <c r="A45" i="24"/>
  <c r="F44" i="24"/>
  <c r="A44" i="24"/>
  <c r="F43" i="24"/>
  <c r="A43" i="24"/>
  <c r="F42" i="24"/>
  <c r="A42" i="24"/>
  <c r="F41" i="24"/>
  <c r="A41" i="24"/>
  <c r="F40" i="24"/>
  <c r="A40" i="24"/>
  <c r="F39" i="24"/>
  <c r="A39" i="24"/>
  <c r="F38" i="24"/>
  <c r="A38" i="24"/>
  <c r="F37" i="24"/>
  <c r="A37" i="24"/>
  <c r="F36" i="24"/>
  <c r="A36" i="24"/>
  <c r="F35" i="24"/>
  <c r="A35" i="24"/>
  <c r="F34" i="24"/>
  <c r="A34" i="24"/>
  <c r="F33" i="24"/>
  <c r="A33" i="24"/>
  <c r="F32" i="24"/>
  <c r="A32" i="24"/>
  <c r="F31" i="24"/>
  <c r="A31" i="24"/>
  <c r="F30" i="24"/>
  <c r="A30" i="24"/>
  <c r="F29" i="24"/>
  <c r="A29" i="24"/>
  <c r="F28" i="24"/>
  <c r="A28" i="24"/>
  <c r="F27" i="24"/>
  <c r="A27" i="24"/>
  <c r="F26" i="24"/>
  <c r="A26" i="24"/>
  <c r="F25" i="24"/>
  <c r="A25" i="24"/>
  <c r="F24" i="24"/>
  <c r="A24" i="24"/>
  <c r="F23" i="24"/>
  <c r="A23" i="24"/>
  <c r="F22" i="24"/>
  <c r="A22" i="24"/>
  <c r="F21" i="24"/>
  <c r="A21" i="24"/>
  <c r="F20" i="24"/>
  <c r="A20" i="24"/>
  <c r="F19" i="24"/>
  <c r="A19" i="24"/>
  <c r="F18" i="24"/>
  <c r="A18" i="24"/>
  <c r="F17" i="24"/>
  <c r="A17" i="24"/>
  <c r="F16" i="24"/>
  <c r="A16" i="24"/>
  <c r="F15" i="24"/>
  <c r="A15" i="24"/>
  <c r="F14" i="24"/>
  <c r="A14" i="24"/>
  <c r="F13" i="24"/>
  <c r="A13" i="24"/>
  <c r="F12" i="24"/>
  <c r="A12" i="24"/>
  <c r="F11" i="24"/>
  <c r="A11" i="24"/>
  <c r="F10" i="24"/>
  <c r="A10" i="24"/>
  <c r="F9" i="24"/>
  <c r="A9" i="24"/>
  <c r="F8" i="24"/>
  <c r="A8" i="24"/>
  <c r="F7" i="24"/>
  <c r="A7" i="24"/>
  <c r="F6" i="24"/>
  <c r="A6" i="24"/>
  <c r="F5" i="24"/>
  <c r="F4" i="24"/>
  <c r="F3" i="24"/>
  <c r="A3" i="24"/>
  <c r="A94" i="23"/>
  <c r="A93" i="23"/>
  <c r="A92" i="23"/>
  <c r="A91" i="23"/>
  <c r="A90" i="23"/>
  <c r="A89" i="23"/>
  <c r="A88" i="23"/>
  <c r="A87" i="23"/>
  <c r="A86" i="23"/>
  <c r="A85" i="23"/>
  <c r="A84" i="23"/>
  <c r="A83" i="23"/>
  <c r="A82" i="23"/>
  <c r="A81" i="23"/>
  <c r="A80" i="23"/>
  <c r="A79" i="23"/>
  <c r="A78" i="23"/>
  <c r="A77" i="23"/>
  <c r="A76" i="23"/>
  <c r="A75" i="23"/>
  <c r="A74" i="23"/>
  <c r="A73" i="23"/>
  <c r="A72" i="23"/>
  <c r="A71" i="23"/>
  <c r="A70" i="23"/>
  <c r="A69" i="23"/>
  <c r="A68" i="23"/>
  <c r="A67" i="23"/>
  <c r="A66" i="23"/>
  <c r="A65" i="23"/>
  <c r="A64" i="23"/>
  <c r="A63" i="23"/>
  <c r="A62" i="23"/>
  <c r="A61" i="23"/>
  <c r="A60" i="23"/>
  <c r="A59" i="23"/>
  <c r="A58" i="23"/>
  <c r="A57" i="23"/>
  <c r="A56" i="23"/>
  <c r="A55" i="23"/>
  <c r="A54" i="23"/>
  <c r="A53" i="23"/>
  <c r="A52" i="23"/>
  <c r="A51" i="23"/>
  <c r="A50" i="23"/>
  <c r="A49" i="23"/>
  <c r="A48" i="23"/>
  <c r="A47" i="23"/>
  <c r="A46" i="23"/>
  <c r="A45" i="23"/>
  <c r="A44" i="23"/>
  <c r="A43" i="23"/>
  <c r="A42" i="23"/>
  <c r="A41" i="23"/>
  <c r="A40" i="23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A6" i="23"/>
  <c r="A5" i="23"/>
  <c r="A4" i="23"/>
  <c r="A999" i="22"/>
  <c r="A998" i="22"/>
  <c r="A997" i="22"/>
  <c r="A996" i="22"/>
  <c r="A995" i="22"/>
  <c r="A994" i="22"/>
  <c r="A993" i="22"/>
  <c r="A992" i="22"/>
  <c r="A991" i="22"/>
  <c r="A990" i="22"/>
  <c r="A989" i="22"/>
  <c r="A988" i="22"/>
  <c r="A987" i="22"/>
  <c r="A986" i="22"/>
  <c r="A985" i="22"/>
  <c r="A984" i="22"/>
  <c r="A983" i="22"/>
  <c r="A982" i="22"/>
  <c r="A981" i="22"/>
  <c r="A980" i="22"/>
  <c r="A979" i="22"/>
  <c r="A978" i="22"/>
  <c r="A977" i="22"/>
  <c r="A976" i="22"/>
  <c r="A975" i="22"/>
  <c r="A974" i="22"/>
  <c r="A973" i="22"/>
  <c r="A972" i="22"/>
  <c r="A971" i="22"/>
  <c r="A970" i="22"/>
  <c r="A969" i="22"/>
  <c r="A968" i="22"/>
  <c r="A967" i="22"/>
  <c r="A966" i="22"/>
  <c r="A965" i="22"/>
  <c r="A964" i="22"/>
  <c r="A963" i="22"/>
  <c r="A962" i="22"/>
  <c r="A961" i="22"/>
  <c r="A960" i="22"/>
  <c r="A959" i="22"/>
  <c r="A958" i="22"/>
  <c r="A957" i="22"/>
  <c r="A956" i="22"/>
  <c r="A955" i="22"/>
  <c r="A954" i="22"/>
  <c r="A953" i="22"/>
  <c r="A952" i="22"/>
  <c r="A951" i="22"/>
  <c r="A950" i="22"/>
  <c r="A949" i="22"/>
  <c r="A948" i="22"/>
  <c r="A947" i="22"/>
  <c r="A946" i="22"/>
  <c r="A945" i="22"/>
  <c r="A944" i="22"/>
  <c r="A943" i="22"/>
  <c r="A942" i="22"/>
  <c r="A941" i="22"/>
  <c r="A940" i="22"/>
  <c r="A939" i="22"/>
  <c r="A938" i="22"/>
  <c r="A937" i="22"/>
  <c r="A936" i="22"/>
  <c r="A935" i="22"/>
  <c r="A934" i="22"/>
  <c r="A933" i="22"/>
  <c r="A932" i="22"/>
  <c r="A931" i="22"/>
  <c r="A930" i="22"/>
  <c r="A929" i="22"/>
  <c r="A928" i="22"/>
  <c r="A927" i="22"/>
  <c r="A926" i="22"/>
  <c r="A925" i="22"/>
  <c r="A924" i="22"/>
  <c r="A923" i="22"/>
  <c r="A922" i="22"/>
  <c r="A921" i="22"/>
  <c r="A920" i="22"/>
  <c r="A919" i="22"/>
  <c r="A918" i="22"/>
  <c r="A917" i="22"/>
  <c r="A916" i="22"/>
  <c r="A915" i="22"/>
  <c r="A914" i="22"/>
  <c r="A913" i="22"/>
  <c r="A912" i="22"/>
  <c r="A911" i="22"/>
  <c r="A910" i="22"/>
  <c r="A909" i="22"/>
  <c r="A908" i="22"/>
  <c r="A907" i="22"/>
  <c r="A906" i="22"/>
  <c r="A905" i="22"/>
  <c r="A904" i="22"/>
  <c r="A903" i="22"/>
  <c r="A902" i="22"/>
  <c r="A901" i="22"/>
  <c r="A900" i="22"/>
  <c r="A899" i="22"/>
  <c r="A898" i="22"/>
  <c r="A897" i="22"/>
  <c r="A896" i="22"/>
  <c r="A895" i="22"/>
  <c r="A894" i="22"/>
  <c r="A893" i="22"/>
  <c r="A892" i="22"/>
  <c r="A891" i="22"/>
  <c r="A890" i="22"/>
  <c r="A889" i="22"/>
  <c r="A888" i="22"/>
  <c r="A887" i="22"/>
  <c r="A886" i="22"/>
  <c r="A885" i="22"/>
  <c r="A884" i="22"/>
  <c r="A883" i="22"/>
  <c r="A882" i="22"/>
  <c r="A881" i="22"/>
  <c r="A880" i="22"/>
  <c r="A879" i="22"/>
  <c r="A878" i="22"/>
  <c r="A877" i="22"/>
  <c r="A876" i="22"/>
  <c r="A875" i="22"/>
  <c r="A874" i="22"/>
  <c r="A873" i="22"/>
  <c r="A872" i="22"/>
  <c r="A871" i="22"/>
  <c r="A870" i="22"/>
  <c r="A869" i="22"/>
  <c r="A868" i="22"/>
  <c r="A867" i="22"/>
  <c r="A866" i="22"/>
  <c r="A865" i="22"/>
  <c r="A864" i="22"/>
  <c r="A863" i="22"/>
  <c r="A862" i="22"/>
  <c r="A861" i="22"/>
  <c r="A860" i="22"/>
  <c r="A859" i="22"/>
  <c r="A858" i="22"/>
  <c r="A857" i="22"/>
  <c r="A856" i="22"/>
  <c r="A855" i="22"/>
  <c r="A854" i="22"/>
  <c r="A853" i="22"/>
  <c r="A852" i="22"/>
  <c r="A851" i="22"/>
  <c r="A850" i="22"/>
  <c r="A849" i="22"/>
  <c r="A848" i="22"/>
  <c r="A847" i="22"/>
  <c r="A846" i="22"/>
  <c r="A845" i="22"/>
  <c r="A844" i="22"/>
  <c r="A843" i="22"/>
  <c r="A842" i="22"/>
  <c r="A841" i="22"/>
  <c r="A840" i="22"/>
  <c r="A839" i="22"/>
  <c r="A838" i="22"/>
  <c r="A837" i="22"/>
  <c r="A836" i="22"/>
  <c r="A835" i="22"/>
  <c r="A834" i="22"/>
  <c r="A833" i="22"/>
  <c r="A832" i="22"/>
  <c r="A831" i="22"/>
  <c r="A830" i="22"/>
  <c r="A829" i="22"/>
  <c r="A828" i="22"/>
  <c r="A827" i="22"/>
  <c r="A826" i="22"/>
  <c r="A825" i="22"/>
  <c r="A824" i="22"/>
  <c r="A823" i="22"/>
  <c r="A822" i="22"/>
  <c r="A821" i="22"/>
  <c r="A820" i="22"/>
  <c r="A819" i="22"/>
  <c r="A818" i="22"/>
  <c r="A817" i="22"/>
  <c r="A816" i="22"/>
  <c r="A815" i="22"/>
  <c r="A814" i="22"/>
  <c r="A813" i="22"/>
  <c r="A812" i="22"/>
  <c r="A811" i="22"/>
  <c r="A810" i="22"/>
  <c r="A809" i="22"/>
  <c r="A808" i="22"/>
  <c r="A807" i="22"/>
  <c r="A806" i="22"/>
  <c r="A805" i="22"/>
  <c r="A804" i="22"/>
  <c r="A803" i="22"/>
  <c r="A802" i="22"/>
  <c r="A801" i="22"/>
  <c r="A800" i="22"/>
  <c r="A799" i="22"/>
  <c r="A798" i="22"/>
  <c r="A797" i="22"/>
  <c r="A796" i="22"/>
  <c r="A795" i="22"/>
  <c r="A794" i="22"/>
  <c r="A793" i="22"/>
  <c r="A792" i="22"/>
  <c r="A791" i="22"/>
  <c r="A790" i="22"/>
  <c r="A789" i="22"/>
  <c r="A788" i="22"/>
  <c r="A787" i="22"/>
  <c r="A786" i="22"/>
  <c r="A785" i="22"/>
  <c r="A784" i="22"/>
  <c r="A783" i="22"/>
  <c r="A782" i="22"/>
  <c r="A781" i="22"/>
  <c r="A780" i="22"/>
  <c r="A779" i="22"/>
  <c r="A778" i="22"/>
  <c r="A777" i="22"/>
  <c r="A776" i="22"/>
  <c r="A775" i="22"/>
  <c r="A774" i="22"/>
  <c r="A773" i="22"/>
  <c r="A772" i="22"/>
  <c r="A771" i="22"/>
  <c r="A770" i="22"/>
  <c r="A769" i="22"/>
  <c r="A768" i="22"/>
  <c r="A767" i="22"/>
  <c r="A766" i="22"/>
  <c r="A765" i="22"/>
  <c r="A764" i="22"/>
  <c r="A763" i="22"/>
  <c r="A762" i="22"/>
  <c r="A761" i="22"/>
  <c r="A760" i="22"/>
  <c r="A759" i="22"/>
  <c r="A758" i="22"/>
  <c r="A757" i="22"/>
  <c r="A756" i="22"/>
  <c r="A755" i="22"/>
  <c r="A754" i="22"/>
  <c r="A753" i="22"/>
  <c r="A752" i="22"/>
  <c r="A751" i="22"/>
  <c r="A750" i="22"/>
  <c r="A749" i="22"/>
  <c r="A748" i="22"/>
  <c r="A747" i="22"/>
  <c r="A746" i="22"/>
  <c r="A745" i="22"/>
  <c r="A744" i="22"/>
  <c r="A743" i="22"/>
  <c r="A742" i="22"/>
  <c r="A741" i="22"/>
  <c r="A740" i="22"/>
  <c r="A739" i="22"/>
  <c r="A738" i="22"/>
  <c r="A737" i="22"/>
  <c r="A736" i="22"/>
  <c r="A735" i="22"/>
  <c r="A734" i="22"/>
  <c r="A733" i="22"/>
  <c r="A732" i="22"/>
  <c r="A731" i="22"/>
  <c r="A730" i="22"/>
  <c r="A729" i="22"/>
  <c r="A728" i="22"/>
  <c r="A727" i="22"/>
  <c r="A726" i="22"/>
  <c r="A725" i="22"/>
  <c r="A724" i="22"/>
  <c r="A723" i="22"/>
  <c r="A722" i="22"/>
  <c r="A721" i="22"/>
  <c r="A720" i="22"/>
  <c r="A719" i="22"/>
  <c r="A718" i="22"/>
  <c r="A717" i="22"/>
  <c r="A716" i="22"/>
  <c r="A715" i="22"/>
  <c r="A714" i="22"/>
  <c r="A713" i="22"/>
  <c r="A712" i="22"/>
  <c r="A711" i="22"/>
  <c r="A710" i="22"/>
  <c r="A709" i="22"/>
  <c r="A708" i="22"/>
  <c r="A707" i="22"/>
  <c r="A706" i="22"/>
  <c r="A705" i="22"/>
  <c r="A704" i="22"/>
  <c r="A703" i="22"/>
  <c r="A702" i="22"/>
  <c r="A701" i="22"/>
  <c r="A700" i="22"/>
  <c r="A699" i="22"/>
  <c r="A698" i="22"/>
  <c r="A697" i="22"/>
  <c r="A696" i="22"/>
  <c r="A695" i="22"/>
  <c r="A694" i="22"/>
  <c r="A693" i="22"/>
  <c r="A692" i="22"/>
  <c r="A691" i="22"/>
  <c r="A690" i="22"/>
  <c r="A689" i="22"/>
  <c r="A688" i="22"/>
  <c r="A687" i="22"/>
  <c r="A686" i="22"/>
  <c r="A685" i="22"/>
  <c r="A684" i="22"/>
  <c r="A683" i="22"/>
  <c r="A682" i="22"/>
  <c r="A681" i="22"/>
  <c r="A680" i="22"/>
  <c r="A679" i="22"/>
  <c r="A678" i="22"/>
  <c r="A677" i="22"/>
  <c r="A676" i="22"/>
  <c r="A675" i="22"/>
  <c r="A674" i="22"/>
  <c r="A673" i="22"/>
  <c r="A672" i="22"/>
  <c r="A671" i="22"/>
  <c r="A670" i="22"/>
  <c r="A669" i="22"/>
  <c r="A668" i="22"/>
  <c r="A667" i="22"/>
  <c r="A666" i="22"/>
  <c r="A665" i="22"/>
  <c r="A664" i="22"/>
  <c r="A663" i="22"/>
  <c r="A662" i="22"/>
  <c r="A661" i="22"/>
  <c r="A660" i="22"/>
  <c r="A659" i="22"/>
  <c r="A658" i="22"/>
  <c r="A657" i="22"/>
  <c r="A656" i="22"/>
  <c r="A655" i="22"/>
  <c r="A654" i="22"/>
  <c r="A653" i="22"/>
  <c r="A652" i="22"/>
  <c r="A651" i="22"/>
  <c r="A650" i="22"/>
  <c r="A649" i="22"/>
  <c r="A648" i="22"/>
  <c r="A647" i="22"/>
  <c r="A646" i="22"/>
  <c r="A645" i="22"/>
  <c r="A644" i="22"/>
  <c r="A643" i="22"/>
  <c r="A642" i="22"/>
  <c r="A641" i="22"/>
  <c r="A640" i="22"/>
  <c r="A639" i="22"/>
  <c r="A638" i="22"/>
  <c r="A637" i="22"/>
  <c r="A636" i="22"/>
  <c r="A635" i="22"/>
  <c r="A634" i="22"/>
  <c r="A633" i="22"/>
  <c r="A632" i="22"/>
  <c r="A631" i="22"/>
  <c r="A630" i="22"/>
  <c r="A629" i="22"/>
  <c r="A628" i="22"/>
  <c r="A627" i="22"/>
  <c r="A626" i="22"/>
  <c r="A625" i="22"/>
  <c r="A624" i="22"/>
  <c r="A623" i="22"/>
  <c r="A622" i="22"/>
  <c r="A621" i="22"/>
  <c r="A620" i="22"/>
  <c r="A619" i="22"/>
  <c r="A618" i="22"/>
  <c r="A617" i="22"/>
  <c r="A616" i="22"/>
  <c r="A615" i="22"/>
  <c r="A614" i="22"/>
  <c r="A613" i="22"/>
  <c r="A612" i="22"/>
  <c r="A611" i="22"/>
  <c r="A610" i="22"/>
  <c r="A609" i="22"/>
  <c r="A608" i="22"/>
  <c r="A607" i="22"/>
  <c r="A606" i="22"/>
  <c r="A605" i="22"/>
  <c r="A604" i="22"/>
  <c r="A603" i="22"/>
  <c r="A602" i="22"/>
  <c r="A601" i="22"/>
  <c r="A600" i="22"/>
  <c r="A599" i="22"/>
  <c r="A598" i="22"/>
  <c r="A597" i="22"/>
  <c r="A596" i="22"/>
  <c r="A595" i="22"/>
  <c r="A594" i="22"/>
  <c r="A593" i="22"/>
  <c r="A592" i="22"/>
  <c r="A591" i="22"/>
  <c r="A590" i="22"/>
  <c r="A589" i="22"/>
  <c r="A588" i="22"/>
  <c r="A587" i="22"/>
  <c r="A586" i="22"/>
  <c r="A585" i="22"/>
  <c r="A584" i="22"/>
  <c r="A583" i="22"/>
  <c r="A582" i="22"/>
  <c r="A581" i="22"/>
  <c r="A580" i="22"/>
  <c r="A579" i="22"/>
  <c r="A578" i="22"/>
  <c r="A577" i="22"/>
  <c r="A576" i="22"/>
  <c r="A575" i="22"/>
  <c r="A574" i="22"/>
  <c r="A573" i="22"/>
  <c r="A572" i="22"/>
  <c r="A571" i="22"/>
  <c r="A570" i="22"/>
  <c r="A569" i="22"/>
  <c r="A568" i="22"/>
  <c r="A567" i="22"/>
  <c r="A566" i="22"/>
  <c r="A565" i="22"/>
  <c r="A564" i="22"/>
  <c r="A563" i="22"/>
  <c r="A562" i="22"/>
  <c r="A561" i="22"/>
  <c r="A560" i="22"/>
  <c r="A559" i="22"/>
  <c r="A558" i="22"/>
  <c r="A557" i="22"/>
  <c r="A556" i="22"/>
  <c r="A555" i="22"/>
  <c r="A554" i="22"/>
  <c r="A553" i="22"/>
  <c r="A552" i="22"/>
  <c r="A551" i="22"/>
  <c r="A550" i="22"/>
  <c r="A549" i="22"/>
  <c r="A548" i="22"/>
  <c r="A547" i="22"/>
  <c r="A546" i="22"/>
  <c r="A545" i="22"/>
  <c r="A544" i="22"/>
  <c r="A543" i="22"/>
  <c r="A542" i="22"/>
  <c r="A541" i="22"/>
  <c r="A540" i="22"/>
  <c r="A539" i="22"/>
  <c r="A538" i="22"/>
  <c r="A537" i="22"/>
  <c r="A536" i="22"/>
  <c r="A535" i="22"/>
  <c r="A534" i="22"/>
  <c r="A533" i="22"/>
  <c r="A532" i="22"/>
  <c r="A531" i="22"/>
  <c r="A530" i="22"/>
  <c r="A529" i="22"/>
  <c r="A528" i="22"/>
  <c r="A527" i="22"/>
  <c r="A526" i="22"/>
  <c r="A525" i="22"/>
  <c r="A524" i="22"/>
  <c r="A523" i="22"/>
  <c r="A522" i="22"/>
  <c r="A521" i="22"/>
  <c r="A520" i="22"/>
  <c r="A519" i="22"/>
  <c r="A518" i="22"/>
  <c r="A517" i="22"/>
  <c r="A516" i="22"/>
  <c r="A515" i="22"/>
  <c r="A514" i="22"/>
  <c r="A513" i="22"/>
  <c r="A512" i="22"/>
  <c r="A511" i="22"/>
  <c r="A510" i="22"/>
  <c r="A509" i="22"/>
  <c r="A508" i="22"/>
  <c r="A507" i="22"/>
  <c r="A506" i="22"/>
  <c r="A505" i="22"/>
  <c r="A504" i="22"/>
  <c r="A503" i="22"/>
  <c r="A502" i="22"/>
  <c r="A501" i="22"/>
  <c r="A500" i="22"/>
  <c r="A499" i="22"/>
  <c r="A498" i="22"/>
  <c r="A497" i="22"/>
  <c r="A496" i="22"/>
  <c r="A495" i="22"/>
  <c r="A494" i="22"/>
  <c r="A493" i="22"/>
  <c r="A492" i="22"/>
  <c r="A491" i="22"/>
  <c r="A490" i="22"/>
  <c r="A489" i="22"/>
  <c r="A488" i="22"/>
  <c r="A487" i="22"/>
  <c r="A486" i="22"/>
  <c r="A485" i="22"/>
  <c r="A484" i="22"/>
  <c r="A483" i="22"/>
  <c r="A482" i="22"/>
  <c r="A481" i="22"/>
  <c r="A480" i="22"/>
  <c r="A479" i="22"/>
  <c r="A478" i="22"/>
  <c r="A477" i="22"/>
  <c r="A476" i="22"/>
  <c r="A475" i="22"/>
  <c r="A474" i="22"/>
  <c r="A473" i="22"/>
  <c r="A472" i="22"/>
  <c r="A471" i="22"/>
  <c r="A470" i="22"/>
  <c r="A469" i="22"/>
  <c r="A468" i="22"/>
  <c r="A467" i="22"/>
  <c r="A466" i="22"/>
  <c r="A465" i="22"/>
  <c r="A464" i="22"/>
  <c r="A463" i="22"/>
  <c r="A462" i="22"/>
  <c r="A461" i="22"/>
  <c r="A460" i="22"/>
  <c r="A459" i="22"/>
  <c r="A458" i="22"/>
  <c r="A457" i="22"/>
  <c r="A456" i="22"/>
  <c r="A455" i="22"/>
  <c r="A454" i="22"/>
  <c r="A453" i="22"/>
  <c r="A452" i="22"/>
  <c r="A451" i="22"/>
  <c r="A450" i="22"/>
  <c r="A449" i="22"/>
  <c r="A448" i="22"/>
  <c r="A447" i="22"/>
  <c r="A446" i="22"/>
  <c r="A445" i="22"/>
  <c r="A444" i="22"/>
  <c r="A443" i="22"/>
  <c r="A442" i="22"/>
  <c r="A441" i="22"/>
  <c r="A440" i="22"/>
  <c r="A439" i="22"/>
  <c r="A438" i="22"/>
  <c r="A437" i="22"/>
  <c r="A436" i="22"/>
  <c r="A435" i="22"/>
  <c r="A434" i="22"/>
  <c r="A433" i="22"/>
  <c r="A432" i="22"/>
  <c r="A431" i="22"/>
  <c r="A430" i="22"/>
  <c r="A429" i="22"/>
  <c r="A428" i="22"/>
  <c r="A427" i="22"/>
  <c r="A426" i="22"/>
  <c r="A425" i="22"/>
  <c r="A424" i="22"/>
  <c r="A423" i="22"/>
  <c r="A422" i="22"/>
  <c r="A421" i="22"/>
  <c r="A420" i="22"/>
  <c r="A419" i="22"/>
  <c r="A418" i="22"/>
  <c r="A417" i="22"/>
  <c r="A416" i="22"/>
  <c r="A415" i="22"/>
  <c r="A414" i="22"/>
  <c r="A413" i="22"/>
  <c r="A412" i="22"/>
  <c r="A411" i="22"/>
  <c r="A410" i="22"/>
  <c r="A409" i="22"/>
  <c r="A408" i="22"/>
  <c r="A407" i="22"/>
  <c r="A406" i="22"/>
  <c r="A405" i="22"/>
  <c r="A404" i="22"/>
  <c r="A403" i="22"/>
  <c r="A402" i="22"/>
  <c r="A401" i="22"/>
  <c r="A400" i="22"/>
  <c r="A399" i="22"/>
  <c r="A398" i="22"/>
  <c r="A397" i="22"/>
  <c r="A396" i="22"/>
  <c r="A395" i="22"/>
  <c r="A394" i="22"/>
  <c r="A393" i="22"/>
  <c r="A392" i="22"/>
  <c r="A391" i="22"/>
  <c r="A390" i="22"/>
  <c r="A389" i="22"/>
  <c r="A388" i="22"/>
  <c r="A387" i="22"/>
  <c r="A386" i="22"/>
  <c r="A385" i="22"/>
  <c r="A384" i="22"/>
  <c r="A383" i="22"/>
  <c r="A382" i="22"/>
  <c r="A381" i="22"/>
  <c r="A380" i="22"/>
  <c r="A379" i="22"/>
  <c r="A378" i="22"/>
  <c r="A377" i="22"/>
  <c r="A376" i="22"/>
  <c r="A375" i="22"/>
  <c r="A374" i="22"/>
  <c r="A373" i="22"/>
  <c r="A372" i="22"/>
  <c r="A371" i="22"/>
  <c r="A370" i="22"/>
  <c r="A369" i="22"/>
  <c r="A368" i="22"/>
  <c r="A367" i="22"/>
  <c r="A366" i="22"/>
  <c r="A365" i="22"/>
  <c r="A364" i="22"/>
  <c r="A363" i="22"/>
  <c r="A362" i="22"/>
  <c r="A361" i="22"/>
  <c r="A360" i="22"/>
  <c r="A359" i="22"/>
  <c r="A358" i="22"/>
  <c r="A357" i="22"/>
  <c r="A356" i="22"/>
  <c r="A355" i="22"/>
  <c r="A354" i="22"/>
  <c r="A353" i="22"/>
  <c r="A352" i="22"/>
  <c r="A351" i="22"/>
  <c r="A350" i="22"/>
  <c r="A349" i="22"/>
  <c r="A348" i="22"/>
  <c r="A347" i="22"/>
  <c r="A346" i="22"/>
  <c r="A345" i="22"/>
  <c r="A344" i="22"/>
  <c r="A343" i="22"/>
  <c r="A342" i="22"/>
  <c r="A341" i="22"/>
  <c r="A340" i="22"/>
  <c r="A339" i="22"/>
  <c r="A338" i="22"/>
  <c r="A337" i="22"/>
  <c r="A336" i="22"/>
  <c r="A335" i="22"/>
  <c r="A334" i="22"/>
  <c r="A333" i="22"/>
  <c r="A332" i="22"/>
  <c r="A331" i="22"/>
  <c r="A330" i="22"/>
  <c r="A329" i="22"/>
  <c r="A328" i="22"/>
  <c r="A327" i="22"/>
  <c r="A326" i="22"/>
  <c r="A325" i="22"/>
  <c r="A324" i="22"/>
  <c r="A323" i="22"/>
  <c r="A322" i="22"/>
  <c r="A321" i="22"/>
  <c r="A320" i="22"/>
  <c r="A319" i="22"/>
  <c r="A318" i="22"/>
  <c r="A317" i="22"/>
  <c r="A316" i="22"/>
  <c r="A315" i="22"/>
  <c r="A314" i="22"/>
  <c r="A313" i="22"/>
  <c r="A312" i="22"/>
  <c r="A311" i="22"/>
  <c r="A310" i="22"/>
  <c r="A309" i="22"/>
  <c r="A308" i="22"/>
  <c r="A307" i="22"/>
  <c r="A306" i="22"/>
  <c r="A305" i="22"/>
  <c r="A304" i="22"/>
  <c r="A303" i="22"/>
  <c r="A302" i="22"/>
  <c r="A301" i="22"/>
  <c r="A300" i="22"/>
  <c r="A299" i="22"/>
  <c r="A298" i="22"/>
  <c r="A297" i="22"/>
  <c r="A296" i="22"/>
  <c r="A295" i="22"/>
  <c r="A294" i="22"/>
  <c r="A293" i="22"/>
  <c r="A292" i="22"/>
  <c r="A291" i="22"/>
  <c r="A290" i="22"/>
  <c r="A289" i="22"/>
  <c r="A288" i="22"/>
  <c r="A287" i="22"/>
  <c r="A286" i="22"/>
  <c r="A285" i="22"/>
  <c r="A284" i="22"/>
  <c r="A283" i="22"/>
  <c r="A282" i="22"/>
  <c r="A281" i="22"/>
  <c r="A280" i="22"/>
  <c r="A279" i="22"/>
  <c r="A278" i="22"/>
  <c r="A277" i="22"/>
  <c r="A276" i="22"/>
  <c r="A275" i="22"/>
  <c r="A274" i="22"/>
  <c r="A273" i="22"/>
  <c r="A272" i="22"/>
  <c r="A271" i="22"/>
  <c r="A270" i="22"/>
  <c r="A269" i="22"/>
  <c r="A268" i="22"/>
  <c r="A267" i="22"/>
  <c r="A266" i="22"/>
  <c r="A265" i="22"/>
  <c r="A264" i="22"/>
  <c r="A263" i="22"/>
  <c r="A262" i="22"/>
  <c r="A261" i="22"/>
  <c r="A260" i="22"/>
  <c r="A259" i="22"/>
  <c r="A258" i="22"/>
  <c r="A257" i="22"/>
  <c r="A256" i="22"/>
  <c r="A255" i="22"/>
  <c r="A254" i="22"/>
  <c r="A253" i="22"/>
  <c r="A252" i="22"/>
  <c r="A251" i="22"/>
  <c r="A250" i="22"/>
  <c r="A249" i="22"/>
  <c r="A248" i="22"/>
  <c r="A247" i="22"/>
  <c r="A246" i="22"/>
  <c r="A245" i="22"/>
  <c r="A244" i="22"/>
  <c r="A243" i="22"/>
  <c r="A242" i="22"/>
  <c r="A241" i="22"/>
  <c r="A240" i="22"/>
  <c r="A239" i="22"/>
  <c r="A238" i="22"/>
  <c r="A237" i="22"/>
  <c r="A236" i="22"/>
  <c r="A235" i="22"/>
  <c r="A234" i="22"/>
  <c r="A233" i="22"/>
  <c r="A232" i="22"/>
  <c r="A231" i="22"/>
  <c r="A230" i="22"/>
  <c r="A229" i="22"/>
  <c r="A228" i="22"/>
  <c r="A227" i="22"/>
  <c r="A226" i="22"/>
  <c r="A225" i="22"/>
  <c r="A224" i="22"/>
  <c r="A223" i="22"/>
  <c r="A222" i="22"/>
  <c r="A221" i="22"/>
  <c r="A220" i="22"/>
  <c r="A219" i="22"/>
  <c r="A218" i="22"/>
  <c r="A217" i="22"/>
  <c r="A216" i="22"/>
  <c r="A215" i="22"/>
  <c r="A214" i="22"/>
  <c r="A213" i="22"/>
  <c r="A212" i="22"/>
  <c r="A211" i="22"/>
  <c r="A210" i="22"/>
  <c r="A209" i="22"/>
  <c r="A208" i="22"/>
  <c r="A207" i="22"/>
  <c r="A206" i="22"/>
  <c r="A205" i="22"/>
  <c r="A204" i="22"/>
  <c r="A203" i="22"/>
  <c r="A202" i="22"/>
  <c r="A201" i="22"/>
  <c r="A200" i="22"/>
  <c r="A199" i="22"/>
  <c r="A198" i="22"/>
  <c r="A197" i="22"/>
  <c r="A196" i="22"/>
  <c r="A195" i="22"/>
  <c r="A194" i="22"/>
  <c r="A193" i="22"/>
  <c r="A192" i="22"/>
  <c r="A191" i="22"/>
  <c r="A190" i="22"/>
  <c r="A189" i="22"/>
  <c r="A188" i="22"/>
  <c r="A187" i="22"/>
  <c r="A186" i="22"/>
  <c r="A185" i="22"/>
  <c r="A184" i="22"/>
  <c r="A183" i="22"/>
  <c r="A182" i="22"/>
  <c r="A181" i="22"/>
  <c r="A180" i="22"/>
  <c r="A179" i="22"/>
  <c r="A178" i="22"/>
  <c r="A177" i="22"/>
  <c r="A176" i="22"/>
  <c r="A175" i="22"/>
  <c r="A174" i="22"/>
  <c r="A173" i="22"/>
  <c r="A172" i="22"/>
  <c r="A171" i="22"/>
  <c r="A170" i="22"/>
  <c r="A169" i="22"/>
  <c r="A168" i="22"/>
  <c r="A167" i="22"/>
  <c r="A166" i="22"/>
  <c r="A165" i="22"/>
  <c r="A164" i="22"/>
  <c r="A163" i="22"/>
  <c r="A162" i="22"/>
  <c r="A161" i="22"/>
  <c r="A160" i="22"/>
  <c r="A159" i="22"/>
  <c r="A158" i="22"/>
  <c r="A157" i="22"/>
  <c r="A156" i="22"/>
  <c r="A155" i="22"/>
  <c r="A154" i="22"/>
  <c r="A153" i="22"/>
  <c r="A152" i="22"/>
  <c r="A151" i="22"/>
  <c r="A150" i="22"/>
  <c r="A149" i="22"/>
  <c r="A148" i="22"/>
  <c r="A147" i="22"/>
  <c r="A146" i="22"/>
  <c r="A145" i="22"/>
  <c r="A144" i="22"/>
  <c r="A143" i="22"/>
  <c r="A142" i="22"/>
  <c r="A141" i="22"/>
  <c r="A140" i="22"/>
  <c r="A139" i="22"/>
  <c r="A138" i="22"/>
  <c r="A137" i="22"/>
  <c r="A136" i="22"/>
  <c r="A135" i="22"/>
  <c r="A134" i="22"/>
  <c r="A133" i="22"/>
  <c r="A132" i="22"/>
  <c r="A131" i="22"/>
  <c r="A130" i="22"/>
  <c r="A129" i="22"/>
  <c r="A128" i="22"/>
  <c r="A127" i="22"/>
  <c r="A126" i="22"/>
  <c r="A125" i="22"/>
  <c r="A124" i="22"/>
  <c r="A123" i="22"/>
  <c r="A122" i="22"/>
  <c r="A121" i="22"/>
  <c r="A120" i="22"/>
  <c r="A119" i="22"/>
  <c r="A118" i="22"/>
  <c r="A117" i="22"/>
  <c r="A116" i="22"/>
  <c r="A115" i="22"/>
  <c r="A114" i="22"/>
  <c r="A113" i="22"/>
  <c r="A112" i="22"/>
  <c r="A111" i="22"/>
  <c r="A110" i="22"/>
  <c r="A109" i="22"/>
  <c r="A108" i="22"/>
  <c r="A107" i="22"/>
  <c r="A106" i="22"/>
  <c r="A105" i="22"/>
  <c r="A104" i="22"/>
  <c r="A103" i="22"/>
  <c r="A102" i="22"/>
  <c r="A101" i="22"/>
  <c r="A100" i="22"/>
  <c r="A99" i="22"/>
  <c r="A98" i="22"/>
  <c r="A97" i="22"/>
  <c r="A96" i="22"/>
  <c r="A95" i="22"/>
  <c r="A94" i="22"/>
  <c r="A93" i="22"/>
  <c r="A92" i="22"/>
  <c r="A91" i="22"/>
  <c r="A90" i="22"/>
  <c r="A89" i="22"/>
  <c r="A88" i="22"/>
  <c r="A87" i="22"/>
  <c r="A86" i="22"/>
  <c r="A85" i="22"/>
  <c r="A84" i="22"/>
  <c r="A83" i="22"/>
  <c r="A82" i="22"/>
  <c r="A81" i="22"/>
  <c r="A80" i="22"/>
  <c r="A79" i="22"/>
  <c r="A78" i="22"/>
  <c r="A77" i="22"/>
  <c r="A76" i="22"/>
  <c r="A75" i="22"/>
  <c r="A74" i="22"/>
  <c r="A73" i="22"/>
  <c r="A72" i="22"/>
  <c r="A71" i="22"/>
  <c r="A70" i="22"/>
  <c r="A69" i="22"/>
  <c r="A68" i="22"/>
  <c r="A67" i="22"/>
  <c r="A66" i="22"/>
  <c r="A65" i="22"/>
  <c r="A64" i="22"/>
  <c r="A63" i="22"/>
  <c r="A62" i="22"/>
  <c r="A61" i="22"/>
  <c r="A60" i="22"/>
  <c r="A59" i="22"/>
  <c r="A58" i="22"/>
  <c r="A57" i="22"/>
  <c r="A56" i="22"/>
  <c r="A55" i="22"/>
  <c r="A54" i="22"/>
  <c r="A53" i="22"/>
  <c r="A52" i="22"/>
  <c r="A51" i="22"/>
  <c r="A50" i="22"/>
  <c r="A49" i="22"/>
  <c r="A48" i="22"/>
  <c r="A47" i="22"/>
  <c r="A46" i="22"/>
  <c r="A45" i="22"/>
  <c r="A44" i="22"/>
  <c r="A43" i="22"/>
  <c r="A42" i="22"/>
  <c r="A41" i="22"/>
  <c r="A40" i="22"/>
  <c r="A39" i="22"/>
  <c r="A38" i="22"/>
  <c r="A37" i="22"/>
  <c r="A36" i="22"/>
  <c r="A35" i="22"/>
  <c r="A34" i="22"/>
  <c r="A33" i="22"/>
  <c r="A32" i="22"/>
  <c r="A31" i="22"/>
  <c r="A30" i="22"/>
  <c r="A29" i="22"/>
  <c r="A28" i="22"/>
  <c r="A27" i="22"/>
  <c r="A26" i="22"/>
  <c r="A25" i="22"/>
  <c r="A24" i="22"/>
  <c r="A23" i="22"/>
  <c r="A22" i="22"/>
  <c r="A21" i="22"/>
  <c r="A20" i="22"/>
  <c r="A19" i="22"/>
  <c r="A18" i="22"/>
  <c r="A17" i="22"/>
  <c r="A16" i="22"/>
  <c r="A15" i="22"/>
  <c r="A14" i="22"/>
  <c r="A13" i="22"/>
  <c r="A12" i="22"/>
  <c r="A11" i="22"/>
  <c r="A10" i="22"/>
  <c r="A9" i="22"/>
  <c r="A2" i="22"/>
  <c r="Z995" i="21"/>
  <c r="Z994" i="21"/>
  <c r="Z993" i="21"/>
  <c r="Z992" i="21"/>
  <c r="Z991" i="21"/>
  <c r="Z990" i="21"/>
  <c r="Z989" i="21"/>
  <c r="Z988" i="21"/>
  <c r="Z987" i="21"/>
  <c r="Z986" i="21"/>
  <c r="Z985" i="21"/>
  <c r="Z984" i="21"/>
  <c r="Z983" i="21"/>
  <c r="Z982" i="21"/>
  <c r="Z981" i="21"/>
  <c r="Z980" i="21"/>
  <c r="Z979" i="21"/>
  <c r="Z978" i="21"/>
  <c r="Z977" i="21"/>
  <c r="Z976" i="21"/>
  <c r="Z975" i="21"/>
  <c r="Z974" i="21"/>
  <c r="Z973" i="21"/>
  <c r="Z972" i="21"/>
  <c r="Z971" i="21"/>
  <c r="Z970" i="21"/>
  <c r="Z969" i="21"/>
  <c r="Z968" i="21"/>
  <c r="Z967" i="21"/>
  <c r="Z966" i="21"/>
  <c r="Z965" i="21"/>
  <c r="Z964" i="21"/>
  <c r="Z963" i="21"/>
  <c r="Z962" i="21"/>
  <c r="Z961" i="21"/>
  <c r="Z960" i="21"/>
  <c r="Z959" i="21"/>
  <c r="Z958" i="21"/>
  <c r="Z957" i="21"/>
  <c r="Z956" i="21"/>
  <c r="Z955" i="21"/>
  <c r="Z954" i="21"/>
  <c r="Z953" i="21"/>
  <c r="Z952" i="21"/>
  <c r="Z951" i="21"/>
  <c r="Z950" i="21"/>
  <c r="Z949" i="21"/>
  <c r="Z948" i="21"/>
  <c r="Z947" i="21"/>
  <c r="Z946" i="21"/>
  <c r="Z945" i="21"/>
  <c r="Z944" i="21"/>
  <c r="Z943" i="21"/>
  <c r="Z942" i="21"/>
  <c r="Z941" i="21"/>
  <c r="Z940" i="21"/>
  <c r="Z939" i="21"/>
  <c r="Z938" i="21"/>
  <c r="Z937" i="21"/>
  <c r="Z936" i="21"/>
  <c r="Z935" i="21"/>
  <c r="Z934" i="21"/>
  <c r="Z933" i="21"/>
  <c r="Z932" i="21"/>
  <c r="Z931" i="21"/>
  <c r="Z930" i="21"/>
  <c r="Z929" i="21"/>
  <c r="Z928" i="21"/>
  <c r="Z927" i="21"/>
  <c r="Z926" i="21"/>
  <c r="Z925" i="21"/>
  <c r="Z924" i="21"/>
  <c r="Z923" i="21"/>
  <c r="Z922" i="21"/>
  <c r="Z921" i="21"/>
  <c r="Z920" i="21"/>
  <c r="Z919" i="21"/>
  <c r="Z918" i="21"/>
  <c r="Z917" i="21"/>
  <c r="Z916" i="21"/>
  <c r="Z915" i="21"/>
  <c r="Z914" i="21"/>
  <c r="Z913" i="21"/>
  <c r="Z912" i="21"/>
  <c r="Z911" i="21"/>
  <c r="Z910" i="21"/>
  <c r="Z909" i="21"/>
  <c r="Z908" i="21"/>
  <c r="Z907" i="21"/>
  <c r="Z906" i="21"/>
  <c r="Z905" i="21"/>
  <c r="Z904" i="21"/>
  <c r="Z903" i="21"/>
  <c r="Z902" i="21"/>
  <c r="Z901" i="21"/>
  <c r="Z900" i="21"/>
  <c r="Z899" i="21"/>
  <c r="Z898" i="21"/>
  <c r="Z897" i="21"/>
  <c r="Z896" i="21"/>
  <c r="Z895" i="21"/>
  <c r="Z894" i="21"/>
  <c r="Z893" i="21"/>
  <c r="Z892" i="21"/>
  <c r="Z891" i="21"/>
  <c r="Z890" i="21"/>
  <c r="Z889" i="21"/>
  <c r="Z888" i="21"/>
  <c r="Z887" i="21"/>
  <c r="Z886" i="21"/>
  <c r="Z885" i="21"/>
  <c r="Z884" i="21"/>
  <c r="Z883" i="21"/>
  <c r="Z882" i="21"/>
  <c r="Z881" i="21"/>
  <c r="Z880" i="21"/>
  <c r="Z879" i="21"/>
  <c r="Z878" i="21"/>
  <c r="Z877" i="21"/>
  <c r="Z876" i="21"/>
  <c r="Z875" i="21"/>
  <c r="Z874" i="21"/>
  <c r="Z873" i="21"/>
  <c r="Z872" i="21"/>
  <c r="Z871" i="21"/>
  <c r="Z870" i="21"/>
  <c r="Z869" i="21"/>
  <c r="Z868" i="21"/>
  <c r="Z867" i="21"/>
  <c r="Z866" i="21"/>
  <c r="Z865" i="21"/>
  <c r="Z864" i="21"/>
  <c r="Z863" i="21"/>
  <c r="Z862" i="21"/>
  <c r="Z861" i="21"/>
  <c r="Z860" i="21"/>
  <c r="Z859" i="21"/>
  <c r="Z858" i="21"/>
  <c r="Z857" i="21"/>
  <c r="Z856" i="21"/>
  <c r="Z855" i="21"/>
  <c r="Z854" i="21"/>
  <c r="Z853" i="21"/>
  <c r="Z852" i="21"/>
  <c r="Z851" i="21"/>
  <c r="Z850" i="21"/>
  <c r="Z849" i="21"/>
  <c r="Z848" i="21"/>
  <c r="Z847" i="21"/>
  <c r="Z846" i="21"/>
  <c r="Z845" i="21"/>
  <c r="Z844" i="21"/>
  <c r="Z843" i="21"/>
  <c r="Z842" i="21"/>
  <c r="Z841" i="21"/>
  <c r="Z840" i="21"/>
  <c r="Z839" i="21"/>
  <c r="Z838" i="21"/>
  <c r="Z837" i="21"/>
  <c r="Z836" i="21"/>
  <c r="Z835" i="21"/>
  <c r="Z834" i="21"/>
  <c r="Z833" i="21"/>
  <c r="Z832" i="21"/>
  <c r="Z831" i="21"/>
  <c r="Z830" i="21"/>
  <c r="Z829" i="21"/>
  <c r="Z828" i="21"/>
  <c r="Z827" i="21"/>
  <c r="Z826" i="21"/>
  <c r="Z825" i="21"/>
  <c r="Z824" i="21"/>
  <c r="Z823" i="21"/>
  <c r="Z822" i="21"/>
  <c r="Z821" i="21"/>
  <c r="Z820" i="21"/>
  <c r="Z819" i="21"/>
  <c r="Z818" i="21"/>
  <c r="Z817" i="21"/>
  <c r="Z816" i="21"/>
  <c r="Z815" i="21"/>
  <c r="Z814" i="21"/>
  <c r="Z813" i="21"/>
  <c r="Z812" i="21"/>
  <c r="Z811" i="21"/>
  <c r="Z810" i="21"/>
  <c r="Z809" i="21"/>
  <c r="Z808" i="21"/>
  <c r="Z807" i="21"/>
  <c r="Z806" i="21"/>
  <c r="Z805" i="21"/>
  <c r="Z804" i="21"/>
  <c r="Z803" i="21"/>
  <c r="Z802" i="21"/>
  <c r="Z801" i="21"/>
  <c r="Z800" i="21"/>
  <c r="Z799" i="21"/>
  <c r="Z798" i="21"/>
  <c r="Z797" i="21"/>
  <c r="Z796" i="21"/>
  <c r="Z795" i="21"/>
  <c r="Z794" i="21"/>
  <c r="Z793" i="21"/>
  <c r="Z792" i="21"/>
  <c r="Z791" i="21"/>
  <c r="Z790" i="21"/>
  <c r="Z789" i="21"/>
  <c r="Z788" i="21"/>
  <c r="Z787" i="21"/>
  <c r="Z786" i="21"/>
  <c r="Z785" i="21"/>
  <c r="Z784" i="21"/>
  <c r="Z783" i="21"/>
  <c r="Z782" i="21"/>
  <c r="Z781" i="21"/>
  <c r="Z780" i="21"/>
  <c r="Z779" i="21"/>
  <c r="Z778" i="21"/>
  <c r="Z777" i="21"/>
  <c r="Z776" i="21"/>
  <c r="Z775" i="21"/>
  <c r="Z774" i="21"/>
  <c r="Z773" i="21"/>
  <c r="Z772" i="21"/>
  <c r="Z771" i="21"/>
  <c r="Z770" i="21"/>
  <c r="Z769" i="21"/>
  <c r="Z768" i="21"/>
  <c r="Z767" i="21"/>
  <c r="Z766" i="21"/>
  <c r="Z765" i="21"/>
  <c r="Z764" i="21"/>
  <c r="Z763" i="21"/>
  <c r="Z762" i="21"/>
  <c r="Z761" i="21"/>
  <c r="Z760" i="21"/>
  <c r="Z759" i="21"/>
  <c r="Z758" i="21"/>
  <c r="Z757" i="21"/>
  <c r="Z756" i="21"/>
  <c r="Z755" i="21"/>
  <c r="Z754" i="21"/>
  <c r="Z753" i="21"/>
  <c r="Z752" i="21"/>
  <c r="Z751" i="21"/>
  <c r="Z750" i="21"/>
  <c r="Z749" i="21"/>
  <c r="Z748" i="21"/>
  <c r="Z747" i="21"/>
  <c r="Z746" i="21"/>
  <c r="Z745" i="21"/>
  <c r="Z744" i="21"/>
  <c r="Z743" i="21"/>
  <c r="Z742" i="21"/>
  <c r="Z741" i="21"/>
  <c r="Z740" i="21"/>
  <c r="Z739" i="21"/>
  <c r="Z738" i="21"/>
  <c r="Z737" i="21"/>
  <c r="Z736" i="21"/>
  <c r="Z735" i="21"/>
  <c r="Z734" i="21"/>
  <c r="Z733" i="21"/>
  <c r="Z732" i="21"/>
  <c r="Z731" i="21"/>
  <c r="Z730" i="21"/>
  <c r="Z729" i="21"/>
  <c r="Z728" i="21"/>
  <c r="Z727" i="21"/>
  <c r="Z726" i="21"/>
  <c r="Z725" i="21"/>
  <c r="Z724" i="21"/>
  <c r="Z723" i="21"/>
  <c r="Z722" i="21"/>
  <c r="Z721" i="21"/>
  <c r="Z720" i="21"/>
  <c r="Z719" i="21"/>
  <c r="Z718" i="21"/>
  <c r="Z717" i="21"/>
  <c r="Z716" i="21"/>
  <c r="Z715" i="21"/>
  <c r="Z714" i="21"/>
  <c r="Z713" i="21"/>
  <c r="Z712" i="21"/>
  <c r="Z711" i="21"/>
  <c r="Z710" i="21"/>
  <c r="Z709" i="21"/>
  <c r="Z708" i="21"/>
  <c r="Z707" i="21"/>
  <c r="Z706" i="21"/>
  <c r="Z705" i="21"/>
  <c r="Z704" i="21"/>
  <c r="Z703" i="21"/>
  <c r="Z702" i="21"/>
  <c r="Z701" i="21"/>
  <c r="Z700" i="21"/>
  <c r="Z699" i="21"/>
  <c r="Z698" i="21"/>
  <c r="Z697" i="21"/>
  <c r="Z696" i="21"/>
  <c r="Z695" i="21"/>
  <c r="Z694" i="21"/>
  <c r="Z693" i="21"/>
  <c r="Z692" i="21"/>
  <c r="Z691" i="21"/>
  <c r="Z690" i="21"/>
  <c r="Z689" i="21"/>
  <c r="Z688" i="21"/>
  <c r="Z687" i="21"/>
  <c r="Z686" i="21"/>
  <c r="Z685" i="21"/>
  <c r="Z684" i="21"/>
  <c r="Z683" i="21"/>
  <c r="Z682" i="21"/>
  <c r="Z681" i="21"/>
  <c r="Z680" i="21"/>
  <c r="Z679" i="21"/>
  <c r="Z678" i="21"/>
  <c r="Z677" i="21"/>
  <c r="Z676" i="21"/>
  <c r="Z675" i="21"/>
  <c r="Z674" i="21"/>
  <c r="Z673" i="21"/>
  <c r="Z672" i="21"/>
  <c r="Z671" i="21"/>
  <c r="Z670" i="21"/>
  <c r="Z669" i="21"/>
  <c r="Z668" i="21"/>
  <c r="Z667" i="21"/>
  <c r="Z666" i="21"/>
  <c r="Z665" i="21"/>
  <c r="Z664" i="21"/>
  <c r="Z663" i="21"/>
  <c r="Z662" i="21"/>
  <c r="Z661" i="21"/>
  <c r="Z660" i="21"/>
  <c r="Z659" i="21"/>
  <c r="Z658" i="21"/>
  <c r="Z657" i="21"/>
  <c r="Z656" i="21"/>
  <c r="Z655" i="21"/>
  <c r="Z654" i="21"/>
  <c r="Z653" i="21"/>
  <c r="Z652" i="21"/>
  <c r="Z651" i="21"/>
  <c r="Z650" i="21"/>
  <c r="Z649" i="21"/>
  <c r="Z648" i="21"/>
  <c r="Z647" i="21"/>
  <c r="Z646" i="21"/>
  <c r="Z645" i="21"/>
  <c r="Z644" i="21"/>
  <c r="Z643" i="21"/>
  <c r="Z642" i="21"/>
  <c r="Z641" i="21"/>
  <c r="Z640" i="21"/>
  <c r="Z639" i="21"/>
  <c r="Z638" i="21"/>
  <c r="Z637" i="21"/>
  <c r="Z636" i="21"/>
  <c r="Z635" i="21"/>
  <c r="Z634" i="21"/>
  <c r="Z633" i="21"/>
  <c r="Z632" i="21"/>
  <c r="Z631" i="21"/>
  <c r="Z630" i="21"/>
  <c r="Z629" i="21"/>
  <c r="Z628" i="21"/>
  <c r="Z627" i="21"/>
  <c r="Z626" i="21"/>
  <c r="Z625" i="21"/>
  <c r="Z624" i="21"/>
  <c r="Z623" i="21"/>
  <c r="Z622" i="21"/>
  <c r="Z621" i="21"/>
  <c r="Z620" i="21"/>
  <c r="Z619" i="21"/>
  <c r="Z618" i="21"/>
  <c r="Z617" i="21"/>
  <c r="Z616" i="21"/>
  <c r="Z615" i="21"/>
  <c r="Z614" i="21"/>
  <c r="Z613" i="21"/>
  <c r="Z612" i="21"/>
  <c r="Z611" i="21"/>
  <c r="Z610" i="21"/>
  <c r="Z609" i="21"/>
  <c r="Z608" i="21"/>
  <c r="Z607" i="21"/>
  <c r="Z606" i="21"/>
  <c r="Z605" i="21"/>
  <c r="Z604" i="21"/>
  <c r="Z603" i="21"/>
  <c r="Z602" i="21"/>
  <c r="Z601" i="21"/>
  <c r="Z600" i="21"/>
  <c r="Z599" i="21"/>
  <c r="Z598" i="21"/>
  <c r="Z597" i="21"/>
  <c r="Z596" i="21"/>
  <c r="Z595" i="21"/>
  <c r="Z594" i="21"/>
  <c r="Z593" i="21"/>
  <c r="Z592" i="21"/>
  <c r="Z591" i="21"/>
  <c r="Z590" i="21"/>
  <c r="Z589" i="21"/>
  <c r="Z588" i="21"/>
  <c r="Z587" i="21"/>
  <c r="Z586" i="21"/>
  <c r="Z585" i="21"/>
  <c r="Z584" i="21"/>
  <c r="Z583" i="21"/>
  <c r="Z582" i="21"/>
  <c r="Z581" i="21"/>
  <c r="Z580" i="21"/>
  <c r="Z579" i="21"/>
  <c r="Z578" i="21"/>
  <c r="Z577" i="21"/>
  <c r="Z576" i="21"/>
  <c r="Z575" i="21"/>
  <c r="Z574" i="21"/>
  <c r="Z573" i="21"/>
  <c r="Z572" i="21"/>
  <c r="Z571" i="21"/>
  <c r="Z570" i="21"/>
  <c r="Z569" i="21"/>
  <c r="Z568" i="21"/>
  <c r="Z567" i="21"/>
  <c r="Z566" i="21"/>
  <c r="Z565" i="21"/>
  <c r="Z564" i="21"/>
  <c r="Z563" i="21"/>
  <c r="Z562" i="21"/>
  <c r="Z561" i="21"/>
  <c r="Z560" i="21"/>
  <c r="Z559" i="21"/>
  <c r="Z558" i="21"/>
  <c r="Z557" i="21"/>
  <c r="Z556" i="21"/>
  <c r="Z555" i="21"/>
  <c r="Z554" i="21"/>
  <c r="Z553" i="21"/>
  <c r="Z552" i="21"/>
  <c r="Z551" i="21"/>
  <c r="Z550" i="21"/>
  <c r="Z549" i="21"/>
  <c r="Z548" i="21"/>
  <c r="Z547" i="21"/>
  <c r="Z546" i="21"/>
  <c r="Z545" i="21"/>
  <c r="Z544" i="21"/>
  <c r="Z543" i="21"/>
  <c r="Z542" i="21"/>
  <c r="Z541" i="21"/>
  <c r="Z540" i="21"/>
  <c r="Z539" i="21"/>
  <c r="Z538" i="21"/>
  <c r="Z537" i="21"/>
  <c r="Z536" i="21"/>
  <c r="Z535" i="21"/>
  <c r="Z534" i="21"/>
  <c r="Z533" i="21"/>
  <c r="Z532" i="21"/>
  <c r="Z531" i="21"/>
  <c r="Z530" i="21"/>
  <c r="Z529" i="21"/>
  <c r="Z528" i="21"/>
  <c r="Z527" i="21"/>
  <c r="Z526" i="21"/>
  <c r="Z525" i="21"/>
  <c r="Z524" i="21"/>
  <c r="Z523" i="21"/>
  <c r="Z522" i="21"/>
  <c r="Z521" i="21"/>
  <c r="Z520" i="21"/>
  <c r="Z519" i="21"/>
  <c r="Z518" i="21"/>
  <c r="Z517" i="21"/>
  <c r="Z516" i="21"/>
  <c r="Z515" i="21"/>
  <c r="Z514" i="21"/>
  <c r="Z513" i="21"/>
  <c r="Z512" i="21"/>
  <c r="Z511" i="21"/>
  <c r="Z510" i="21"/>
  <c r="Z509" i="21"/>
  <c r="Z508" i="21"/>
  <c r="Z507" i="21"/>
  <c r="Z506" i="21"/>
  <c r="Z505" i="21"/>
  <c r="Z504" i="21"/>
  <c r="Z503" i="21"/>
  <c r="Z502" i="21"/>
  <c r="Z501" i="21"/>
  <c r="Z500" i="21"/>
  <c r="Z499" i="21"/>
  <c r="Z498" i="21"/>
  <c r="Z497" i="21"/>
  <c r="Z496" i="21"/>
  <c r="Z495" i="21"/>
  <c r="Z494" i="21"/>
  <c r="Z493" i="21"/>
  <c r="Z492" i="21"/>
  <c r="Z491" i="21"/>
  <c r="Z490" i="21"/>
  <c r="Z489" i="21"/>
  <c r="Z488" i="21"/>
  <c r="Z487" i="21"/>
  <c r="Z486" i="21"/>
  <c r="Z485" i="21"/>
  <c r="Z484" i="21"/>
  <c r="Z483" i="21"/>
  <c r="Z482" i="21"/>
  <c r="Z481" i="21"/>
  <c r="Z480" i="21"/>
  <c r="Z479" i="21"/>
  <c r="Z478" i="21"/>
  <c r="Z477" i="21"/>
  <c r="Z476" i="21"/>
  <c r="Z475" i="21"/>
  <c r="Z474" i="21"/>
  <c r="Z473" i="21"/>
  <c r="Z472" i="21"/>
  <c r="Z471" i="21"/>
  <c r="Z470" i="21"/>
  <c r="Z469" i="21"/>
  <c r="Z468" i="21"/>
  <c r="Z467" i="21"/>
  <c r="Z466" i="21"/>
  <c r="Z465" i="21"/>
  <c r="Z464" i="21"/>
  <c r="Z463" i="21"/>
  <c r="Z462" i="21"/>
  <c r="Z461" i="21"/>
  <c r="Z460" i="21"/>
  <c r="Z459" i="21"/>
  <c r="Z458" i="21"/>
  <c r="Z457" i="21"/>
  <c r="Z456" i="21"/>
  <c r="Z455" i="21"/>
  <c r="Z454" i="21"/>
  <c r="Z453" i="21"/>
  <c r="Z452" i="21"/>
  <c r="Z451" i="21"/>
  <c r="Z450" i="21"/>
  <c r="Z449" i="21"/>
  <c r="Z448" i="21"/>
  <c r="Z447" i="21"/>
  <c r="Z446" i="21"/>
  <c r="Z445" i="21"/>
  <c r="Z444" i="21"/>
  <c r="Z443" i="21"/>
  <c r="Z442" i="21"/>
  <c r="Z441" i="21"/>
  <c r="Z440" i="21"/>
  <c r="Z439" i="21"/>
  <c r="Z438" i="21"/>
  <c r="Z437" i="21"/>
  <c r="Z436" i="21"/>
  <c r="Z435" i="21"/>
  <c r="Z434" i="21"/>
  <c r="Z433" i="21"/>
  <c r="Z432" i="21"/>
  <c r="Z431" i="21"/>
  <c r="Z430" i="21"/>
  <c r="Z429" i="21"/>
  <c r="Z428" i="21"/>
  <c r="Z427" i="21"/>
  <c r="Z426" i="21"/>
  <c r="Z425" i="21"/>
  <c r="Z424" i="21"/>
  <c r="Z423" i="21"/>
  <c r="Z422" i="21"/>
  <c r="Z421" i="21"/>
  <c r="Z420" i="21"/>
  <c r="Z419" i="21"/>
  <c r="Z418" i="21"/>
  <c r="Z417" i="21"/>
  <c r="Z416" i="21"/>
  <c r="Z415" i="21"/>
  <c r="Z414" i="21"/>
  <c r="Z413" i="21"/>
  <c r="Z412" i="21"/>
  <c r="Z411" i="21"/>
  <c r="Z410" i="21"/>
  <c r="Z409" i="21"/>
  <c r="Z408" i="21"/>
  <c r="Z407" i="21"/>
  <c r="Z406" i="21"/>
  <c r="Z405" i="21"/>
  <c r="Z404" i="21"/>
  <c r="Z403" i="21"/>
  <c r="Z402" i="21"/>
  <c r="Z401" i="21"/>
  <c r="Z400" i="21"/>
  <c r="Z399" i="21"/>
  <c r="Z398" i="21"/>
  <c r="Z397" i="21"/>
  <c r="Z396" i="21"/>
  <c r="Z395" i="21"/>
  <c r="Z394" i="21"/>
  <c r="Z393" i="21"/>
  <c r="Z392" i="21"/>
  <c r="Z391" i="21"/>
  <c r="Z390" i="21"/>
  <c r="Z389" i="21"/>
  <c r="Z388" i="21"/>
  <c r="Z387" i="21"/>
  <c r="Z386" i="21"/>
  <c r="Z385" i="21"/>
  <c r="Z384" i="21"/>
  <c r="Z383" i="21"/>
  <c r="Z382" i="21"/>
  <c r="Z381" i="21"/>
  <c r="Z380" i="21"/>
  <c r="Z379" i="21"/>
  <c r="Z378" i="21"/>
  <c r="Z377" i="21"/>
  <c r="Z376" i="21"/>
  <c r="Z375" i="21"/>
  <c r="Z374" i="21"/>
  <c r="Z373" i="21"/>
  <c r="Z372" i="21"/>
  <c r="Z371" i="21"/>
  <c r="Z370" i="21"/>
  <c r="Z369" i="21"/>
  <c r="Z368" i="21"/>
  <c r="Z367" i="21"/>
  <c r="Z366" i="21"/>
  <c r="Z365" i="21"/>
  <c r="Z364" i="21"/>
  <c r="Z363" i="21"/>
  <c r="Z362" i="21"/>
  <c r="Z361" i="21"/>
  <c r="Z360" i="21"/>
  <c r="Z359" i="21"/>
  <c r="Z358" i="21"/>
  <c r="Z357" i="21"/>
  <c r="Z356" i="21"/>
  <c r="Z355" i="21"/>
  <c r="Z354" i="21"/>
  <c r="Z353" i="21"/>
  <c r="Z352" i="21"/>
  <c r="Z351" i="21"/>
  <c r="Z350" i="21"/>
  <c r="Z349" i="21"/>
  <c r="Z348" i="21"/>
  <c r="Z347" i="21"/>
  <c r="Z346" i="21"/>
  <c r="Z345" i="21"/>
  <c r="Z344" i="21"/>
  <c r="Z343" i="21"/>
  <c r="Z342" i="21"/>
  <c r="Z341" i="21"/>
  <c r="Z340" i="21"/>
  <c r="Z339" i="21"/>
  <c r="Z338" i="21"/>
  <c r="Z337" i="21"/>
  <c r="Z336" i="21"/>
  <c r="Z335" i="21"/>
  <c r="Z334" i="21"/>
  <c r="Z333" i="21"/>
  <c r="Z332" i="21"/>
  <c r="Z331" i="21"/>
  <c r="Z330" i="21"/>
  <c r="Z329" i="21"/>
  <c r="Z328" i="21"/>
  <c r="Z327" i="21"/>
  <c r="Z326" i="21"/>
  <c r="Z325" i="21"/>
  <c r="Z324" i="21"/>
  <c r="Z323" i="21"/>
  <c r="Z322" i="21"/>
  <c r="Z321" i="21"/>
  <c r="Z320" i="21"/>
  <c r="Z319" i="21"/>
  <c r="Z318" i="21"/>
  <c r="Z317" i="21"/>
  <c r="Z316" i="21"/>
  <c r="Z315" i="21"/>
  <c r="Z314" i="21"/>
  <c r="Z313" i="21"/>
  <c r="Z312" i="21"/>
  <c r="Z311" i="21"/>
  <c r="Z310" i="21"/>
  <c r="Z309" i="21"/>
  <c r="Z308" i="21"/>
  <c r="Z307" i="21"/>
  <c r="Z306" i="21"/>
  <c r="Z305" i="21"/>
  <c r="Z304" i="21"/>
  <c r="Z303" i="21"/>
  <c r="Z302" i="21"/>
  <c r="Z301" i="21"/>
  <c r="Z300" i="21"/>
  <c r="Z299" i="21"/>
  <c r="Z298" i="21"/>
  <c r="Z297" i="21"/>
  <c r="Z296" i="21"/>
  <c r="Z295" i="21"/>
  <c r="Z294" i="21"/>
  <c r="Z293" i="21"/>
  <c r="Z292" i="21"/>
  <c r="Z291" i="21"/>
  <c r="Z290" i="21"/>
  <c r="Z289" i="21"/>
  <c r="Z288" i="21"/>
  <c r="Z287" i="21"/>
  <c r="Z286" i="21"/>
  <c r="Z285" i="21"/>
  <c r="Z284" i="21"/>
  <c r="Z283" i="21"/>
  <c r="Z282" i="21"/>
  <c r="Z281" i="21"/>
  <c r="Z280" i="21"/>
  <c r="Z279" i="21"/>
  <c r="Z278" i="21"/>
  <c r="Z277" i="21"/>
  <c r="Z276" i="21"/>
  <c r="Z275" i="21"/>
  <c r="Z274" i="21"/>
  <c r="Z273" i="21"/>
  <c r="Z272" i="21"/>
  <c r="Z271" i="21"/>
  <c r="Z270" i="21"/>
  <c r="Z269" i="21"/>
  <c r="Z268" i="21"/>
  <c r="Z267" i="21"/>
  <c r="Z266" i="21"/>
  <c r="Z265" i="21"/>
  <c r="Z264" i="21"/>
  <c r="Z263" i="21"/>
  <c r="Z262" i="21"/>
  <c r="Z261" i="21"/>
  <c r="Z260" i="21"/>
  <c r="Z259" i="21"/>
  <c r="Z258" i="21"/>
  <c r="Z257" i="21"/>
  <c r="Z256" i="21"/>
  <c r="Z255" i="21"/>
  <c r="Z254" i="21"/>
  <c r="Z253" i="21"/>
  <c r="Z252" i="21"/>
  <c r="Z251" i="21"/>
  <c r="Z250" i="21"/>
  <c r="Z249" i="21"/>
  <c r="Z248" i="21"/>
  <c r="Z247" i="21"/>
  <c r="Z246" i="21"/>
  <c r="Z245" i="21"/>
  <c r="Z244" i="21"/>
  <c r="Z243" i="21"/>
  <c r="Z242" i="21"/>
  <c r="Z241" i="21"/>
  <c r="Z240" i="21"/>
  <c r="Z239" i="21"/>
  <c r="Z238" i="21"/>
  <c r="Z237" i="21"/>
  <c r="Z236" i="21"/>
  <c r="Z235" i="21"/>
  <c r="Z234" i="21"/>
  <c r="Z233" i="21"/>
  <c r="Z232" i="21"/>
  <c r="Z231" i="21"/>
  <c r="Z230" i="21"/>
  <c r="Z229" i="21"/>
  <c r="Z228" i="21"/>
  <c r="Z227" i="21"/>
  <c r="Z226" i="21"/>
  <c r="Z225" i="21"/>
  <c r="Z224" i="21"/>
  <c r="Z223" i="21"/>
  <c r="Z222" i="21"/>
  <c r="Z221" i="21"/>
  <c r="Z220" i="21"/>
  <c r="Z219" i="21"/>
  <c r="Z218" i="21"/>
  <c r="Z217" i="21"/>
  <c r="Z216" i="21"/>
  <c r="Z215" i="21"/>
  <c r="Z214" i="21"/>
  <c r="Z213" i="21"/>
  <c r="Z212" i="21"/>
  <c r="Z211" i="21"/>
  <c r="Z210" i="21"/>
  <c r="Z209" i="21"/>
  <c r="Z208" i="21"/>
  <c r="Z207" i="21"/>
  <c r="Z206" i="21"/>
  <c r="Z205" i="21"/>
  <c r="Z204" i="21"/>
  <c r="Z203" i="21"/>
  <c r="Z202" i="21"/>
  <c r="Z201" i="21"/>
  <c r="Z200" i="21"/>
  <c r="Z199" i="21"/>
  <c r="Z198" i="21"/>
  <c r="Z197" i="21"/>
  <c r="Z196" i="21"/>
  <c r="Z195" i="21"/>
  <c r="Z194" i="21"/>
  <c r="Z193" i="21"/>
  <c r="Z192" i="21"/>
  <c r="Z191" i="21"/>
  <c r="Z190" i="21"/>
  <c r="Z189" i="21"/>
  <c r="Z188" i="21"/>
  <c r="Z187" i="21"/>
  <c r="Z186" i="21"/>
  <c r="Z185" i="21"/>
  <c r="Z184" i="21"/>
  <c r="Z183" i="21"/>
  <c r="Z182" i="21"/>
  <c r="Z181" i="21"/>
  <c r="Z180" i="21"/>
  <c r="Z179" i="21"/>
  <c r="Z178" i="21"/>
  <c r="Z177" i="21"/>
  <c r="Z176" i="21"/>
  <c r="Z175" i="21"/>
  <c r="Z174" i="21"/>
  <c r="Z173" i="21"/>
  <c r="Z172" i="21"/>
  <c r="Z171" i="21"/>
  <c r="Z170" i="21"/>
  <c r="Z169" i="21"/>
  <c r="Z168" i="21"/>
  <c r="Z167" i="21"/>
  <c r="Z166" i="21"/>
  <c r="Z165" i="21"/>
  <c r="Z164" i="21"/>
  <c r="Z163" i="21"/>
  <c r="Z162" i="21"/>
  <c r="Z161" i="21"/>
  <c r="Z160" i="21"/>
  <c r="Z159" i="21"/>
  <c r="Z158" i="21"/>
  <c r="Z157" i="21"/>
  <c r="Z156" i="21"/>
  <c r="Z155" i="21"/>
  <c r="Z154" i="21"/>
  <c r="Z153" i="21"/>
  <c r="Z152" i="21"/>
  <c r="Z151" i="21"/>
  <c r="Z150" i="21"/>
  <c r="Z149" i="21"/>
  <c r="Z148" i="21"/>
  <c r="Z147" i="21"/>
  <c r="Z146" i="21"/>
  <c r="Z145" i="21"/>
  <c r="Z144" i="21"/>
  <c r="Z143" i="21"/>
  <c r="Z142" i="21"/>
  <c r="Z141" i="21"/>
  <c r="Z140" i="21"/>
  <c r="Z139" i="21"/>
  <c r="Z138" i="21"/>
  <c r="Z137" i="21"/>
  <c r="Z136" i="21"/>
  <c r="Z135" i="21"/>
  <c r="Z134" i="21"/>
  <c r="Z133" i="21"/>
  <c r="Z132" i="21"/>
  <c r="Z131" i="21"/>
  <c r="Z130" i="21"/>
  <c r="Z129" i="21"/>
  <c r="Z128" i="21"/>
  <c r="Z127" i="21"/>
  <c r="Z126" i="21"/>
  <c r="Z125" i="21"/>
  <c r="Z124" i="21"/>
  <c r="Z123" i="21"/>
  <c r="Z122" i="21"/>
  <c r="Z121" i="21"/>
  <c r="Z120" i="21"/>
  <c r="Z119" i="21"/>
  <c r="Z118" i="21"/>
  <c r="Z117" i="21"/>
  <c r="Z116" i="21"/>
  <c r="Z115" i="21"/>
  <c r="Z114" i="21"/>
  <c r="Z113" i="21"/>
  <c r="Z112" i="21"/>
  <c r="Z111" i="21"/>
  <c r="Z110" i="21"/>
  <c r="Z109" i="21"/>
  <c r="Z108" i="21"/>
  <c r="Z107" i="21"/>
  <c r="Z106" i="21"/>
  <c r="Z105" i="21"/>
  <c r="Z104" i="21"/>
  <c r="Z103" i="21"/>
  <c r="Z102" i="21"/>
  <c r="Z101" i="21"/>
  <c r="Z100" i="21"/>
  <c r="Z99" i="21"/>
  <c r="Z98" i="21"/>
  <c r="Z97" i="21"/>
  <c r="Z96" i="21"/>
  <c r="Z95" i="21"/>
  <c r="Z94" i="21"/>
  <c r="Z93" i="21"/>
  <c r="Z92" i="21"/>
  <c r="Z91" i="21"/>
  <c r="Z90" i="21"/>
  <c r="Z89" i="21"/>
  <c r="Z88" i="21"/>
  <c r="Z87" i="21"/>
  <c r="Z86" i="21"/>
  <c r="Z85" i="21"/>
  <c r="Z84" i="21"/>
  <c r="Z83" i="21"/>
  <c r="Z82" i="21"/>
  <c r="Z81" i="21"/>
  <c r="Z80" i="21"/>
  <c r="Z79" i="21"/>
  <c r="Z78" i="21"/>
  <c r="Z77" i="21"/>
  <c r="Z76" i="21"/>
  <c r="Z75" i="21"/>
  <c r="Z74" i="21"/>
  <c r="Z73" i="21"/>
  <c r="Z72" i="21"/>
  <c r="Z71" i="21"/>
  <c r="Z70" i="21"/>
  <c r="Z69" i="21"/>
  <c r="Z68" i="21"/>
  <c r="Z67" i="21"/>
  <c r="Z66" i="21"/>
  <c r="Z65" i="21"/>
  <c r="Z64" i="21"/>
  <c r="Z63" i="21"/>
  <c r="Z62" i="21"/>
  <c r="Z61" i="21"/>
  <c r="Z60" i="21"/>
  <c r="Z59" i="21"/>
  <c r="Z58" i="21"/>
  <c r="Z57" i="21"/>
  <c r="Z56" i="21"/>
  <c r="Z55" i="21"/>
  <c r="Z54" i="21"/>
  <c r="Z53" i="21"/>
  <c r="Z52" i="21"/>
  <c r="Z51" i="21"/>
  <c r="Z50" i="21"/>
  <c r="Z49" i="21"/>
  <c r="Z48" i="21"/>
  <c r="Z47" i="21"/>
  <c r="Z46" i="21"/>
  <c r="Z45" i="21"/>
  <c r="Z44" i="21"/>
  <c r="Z43" i="21"/>
  <c r="Z42" i="21"/>
  <c r="Z41" i="21"/>
  <c r="Z40" i="21"/>
  <c r="Z39" i="21"/>
  <c r="Z38" i="21"/>
  <c r="Z37" i="21"/>
  <c r="Z36" i="21"/>
  <c r="Z35" i="21"/>
  <c r="Z34" i="21"/>
  <c r="Z33" i="21"/>
  <c r="Z32" i="21"/>
  <c r="Z31" i="21"/>
  <c r="Z30" i="21"/>
  <c r="Z29" i="21"/>
  <c r="Z28" i="21"/>
  <c r="Z27" i="21"/>
  <c r="Z26" i="21"/>
  <c r="Z25" i="21"/>
  <c r="Z24" i="21"/>
  <c r="Z23" i="21"/>
  <c r="Z22" i="21"/>
  <c r="Z21" i="21"/>
  <c r="Z20" i="21"/>
  <c r="Z19" i="21"/>
  <c r="Z18" i="21"/>
  <c r="Z17" i="21"/>
  <c r="Z16" i="21"/>
  <c r="Z15" i="21"/>
  <c r="Z14" i="21"/>
  <c r="Z13" i="21"/>
  <c r="Z12" i="21"/>
  <c r="Z11" i="21"/>
  <c r="Z10" i="21"/>
  <c r="Z9" i="21"/>
  <c r="Z8" i="21"/>
  <c r="Z7" i="21"/>
  <c r="Z6" i="21"/>
  <c r="Z5" i="21"/>
  <c r="Z4" i="21"/>
  <c r="Z3" i="21"/>
  <c r="A1001" i="20"/>
  <c r="A1000" i="20"/>
  <c r="A999" i="20"/>
  <c r="A998" i="20"/>
  <c r="A997" i="20"/>
  <c r="A996" i="20"/>
  <c r="A995" i="20"/>
  <c r="A994" i="20"/>
  <c r="A993" i="20"/>
  <c r="A992" i="20"/>
  <c r="A991" i="20"/>
  <c r="A990" i="20"/>
  <c r="A989" i="20"/>
  <c r="A988" i="20"/>
  <c r="A987" i="20"/>
  <c r="A986" i="20"/>
  <c r="A985" i="20"/>
  <c r="A984" i="20"/>
  <c r="A983" i="20"/>
  <c r="A982" i="20"/>
  <c r="A981" i="20"/>
  <c r="A980" i="20"/>
  <c r="A979" i="20"/>
  <c r="A978" i="20"/>
  <c r="A977" i="20"/>
  <c r="A976" i="20"/>
  <c r="A975" i="20"/>
  <c r="A974" i="20"/>
  <c r="A973" i="20"/>
  <c r="A972" i="20"/>
  <c r="A971" i="20"/>
  <c r="A970" i="20"/>
  <c r="A969" i="20"/>
  <c r="A968" i="20"/>
  <c r="A967" i="20"/>
  <c r="A966" i="20"/>
  <c r="A965" i="20"/>
  <c r="A964" i="20"/>
  <c r="A963" i="20"/>
  <c r="A962" i="20"/>
  <c r="A961" i="20"/>
  <c r="A960" i="20"/>
  <c r="A959" i="20"/>
  <c r="A958" i="20"/>
  <c r="A957" i="20"/>
  <c r="A956" i="20"/>
  <c r="A955" i="20"/>
  <c r="A954" i="20"/>
  <c r="A953" i="20"/>
  <c r="A952" i="20"/>
  <c r="A951" i="20"/>
  <c r="A950" i="20"/>
  <c r="A949" i="20"/>
  <c r="A948" i="20"/>
  <c r="A947" i="20"/>
  <c r="A946" i="20"/>
  <c r="A945" i="20"/>
  <c r="A944" i="20"/>
  <c r="A943" i="20"/>
  <c r="A942" i="20"/>
  <c r="A941" i="20"/>
  <c r="A940" i="20"/>
  <c r="A939" i="20"/>
  <c r="A938" i="20"/>
  <c r="A937" i="20"/>
  <c r="A936" i="20"/>
  <c r="A935" i="20"/>
  <c r="A934" i="20"/>
  <c r="A933" i="20"/>
  <c r="A932" i="20"/>
  <c r="A931" i="20"/>
  <c r="A930" i="20"/>
  <c r="A929" i="20"/>
  <c r="A928" i="20"/>
  <c r="A927" i="20"/>
  <c r="A926" i="20"/>
  <c r="A925" i="20"/>
  <c r="A924" i="20"/>
  <c r="A923" i="20"/>
  <c r="A922" i="20"/>
  <c r="A921" i="20"/>
  <c r="A920" i="20"/>
  <c r="A919" i="20"/>
  <c r="A918" i="20"/>
  <c r="A917" i="20"/>
  <c r="A916" i="20"/>
  <c r="A915" i="20"/>
  <c r="A914" i="20"/>
  <c r="A913" i="20"/>
  <c r="A912" i="20"/>
  <c r="A911" i="20"/>
  <c r="A910" i="20"/>
  <c r="A909" i="20"/>
  <c r="A908" i="20"/>
  <c r="A907" i="20"/>
  <c r="A906" i="20"/>
  <c r="A905" i="20"/>
  <c r="A904" i="20"/>
  <c r="A903" i="20"/>
  <c r="A902" i="20"/>
  <c r="A901" i="20"/>
  <c r="A900" i="20"/>
  <c r="A899" i="20"/>
  <c r="A898" i="20"/>
  <c r="A897" i="20"/>
  <c r="A896" i="20"/>
  <c r="A895" i="20"/>
  <c r="A894" i="20"/>
  <c r="A893" i="20"/>
  <c r="A892" i="20"/>
  <c r="A891" i="20"/>
  <c r="A890" i="20"/>
  <c r="A889" i="20"/>
  <c r="A888" i="20"/>
  <c r="A887" i="20"/>
  <c r="A886" i="20"/>
  <c r="A885" i="20"/>
  <c r="A884" i="20"/>
  <c r="A883" i="20"/>
  <c r="A882" i="20"/>
  <c r="A881" i="20"/>
  <c r="A880" i="20"/>
  <c r="A879" i="20"/>
  <c r="A878" i="20"/>
  <c r="A877" i="20"/>
  <c r="A876" i="20"/>
  <c r="A875" i="20"/>
  <c r="A874" i="20"/>
  <c r="A873" i="20"/>
  <c r="A872" i="20"/>
  <c r="A871" i="20"/>
  <c r="A870" i="20"/>
  <c r="A869" i="20"/>
  <c r="A868" i="20"/>
  <c r="A867" i="20"/>
  <c r="A866" i="20"/>
  <c r="A865" i="20"/>
  <c r="A864" i="20"/>
  <c r="A863" i="20"/>
  <c r="A862" i="20"/>
  <c r="A861" i="20"/>
  <c r="A860" i="20"/>
  <c r="A859" i="20"/>
  <c r="A858" i="20"/>
  <c r="A857" i="20"/>
  <c r="A856" i="20"/>
  <c r="A855" i="20"/>
  <c r="A854" i="20"/>
  <c r="A853" i="20"/>
  <c r="A852" i="20"/>
  <c r="A851" i="20"/>
  <c r="A850" i="20"/>
  <c r="A849" i="20"/>
  <c r="A848" i="20"/>
  <c r="A847" i="20"/>
  <c r="A846" i="20"/>
  <c r="A845" i="20"/>
  <c r="A844" i="20"/>
  <c r="A843" i="20"/>
  <c r="A842" i="20"/>
  <c r="A841" i="20"/>
  <c r="A840" i="20"/>
  <c r="A839" i="20"/>
  <c r="A838" i="20"/>
  <c r="A837" i="20"/>
  <c r="A836" i="20"/>
  <c r="A835" i="20"/>
  <c r="A834" i="20"/>
  <c r="A833" i="20"/>
  <c r="A832" i="20"/>
  <c r="A831" i="20"/>
  <c r="A830" i="20"/>
  <c r="A829" i="20"/>
  <c r="A828" i="20"/>
  <c r="A827" i="20"/>
  <c r="A826" i="20"/>
  <c r="A825" i="20"/>
  <c r="A824" i="20"/>
  <c r="A823" i="20"/>
  <c r="A822" i="20"/>
  <c r="A821" i="20"/>
  <c r="A820" i="20"/>
  <c r="A819" i="20"/>
  <c r="A818" i="20"/>
  <c r="A817" i="20"/>
  <c r="A816" i="20"/>
  <c r="A815" i="20"/>
  <c r="A814" i="20"/>
  <c r="A813" i="20"/>
  <c r="A812" i="20"/>
  <c r="A811" i="20"/>
  <c r="A810" i="20"/>
  <c r="A809" i="20"/>
  <c r="A808" i="20"/>
  <c r="A807" i="20"/>
  <c r="A806" i="20"/>
  <c r="A805" i="20"/>
  <c r="A804" i="20"/>
  <c r="A803" i="20"/>
  <c r="A802" i="20"/>
  <c r="A801" i="20"/>
  <c r="A800" i="20"/>
  <c r="A799" i="20"/>
  <c r="A798" i="20"/>
  <c r="A797" i="20"/>
  <c r="A796" i="20"/>
  <c r="A795" i="20"/>
  <c r="A794" i="20"/>
  <c r="A793" i="20"/>
  <c r="A792" i="20"/>
  <c r="A791" i="20"/>
  <c r="A790" i="20"/>
  <c r="A789" i="20"/>
  <c r="A788" i="20"/>
  <c r="A787" i="20"/>
  <c r="A786" i="20"/>
  <c r="A785" i="20"/>
  <c r="A784" i="20"/>
  <c r="A783" i="20"/>
  <c r="A782" i="20"/>
  <c r="A781" i="20"/>
  <c r="A780" i="20"/>
  <c r="A779" i="20"/>
  <c r="A778" i="20"/>
  <c r="A777" i="20"/>
  <c r="A776" i="20"/>
  <c r="A775" i="20"/>
  <c r="A774" i="20"/>
  <c r="A773" i="20"/>
  <c r="A772" i="20"/>
  <c r="A771" i="20"/>
  <c r="A770" i="20"/>
  <c r="A769" i="20"/>
  <c r="A768" i="20"/>
  <c r="A767" i="20"/>
  <c r="A766" i="20"/>
  <c r="A765" i="20"/>
  <c r="A764" i="20"/>
  <c r="A763" i="20"/>
  <c r="A762" i="20"/>
  <c r="A761" i="20"/>
  <c r="A760" i="20"/>
  <c r="A759" i="20"/>
  <c r="A758" i="20"/>
  <c r="A757" i="20"/>
  <c r="A756" i="20"/>
  <c r="A755" i="20"/>
  <c r="A754" i="20"/>
  <c r="A753" i="20"/>
  <c r="A752" i="20"/>
  <c r="A751" i="20"/>
  <c r="A750" i="20"/>
  <c r="A749" i="20"/>
  <c r="A748" i="20"/>
  <c r="A747" i="20"/>
  <c r="A746" i="20"/>
  <c r="A745" i="20"/>
  <c r="A744" i="20"/>
  <c r="A743" i="20"/>
  <c r="A742" i="20"/>
  <c r="A741" i="20"/>
  <c r="A740" i="20"/>
  <c r="A739" i="20"/>
  <c r="A738" i="20"/>
  <c r="A737" i="20"/>
  <c r="A736" i="20"/>
  <c r="A735" i="20"/>
  <c r="A734" i="20"/>
  <c r="A733" i="20"/>
  <c r="A732" i="20"/>
  <c r="A731" i="20"/>
  <c r="A730" i="20"/>
  <c r="A729" i="20"/>
  <c r="A728" i="20"/>
  <c r="A727" i="20"/>
  <c r="A726" i="20"/>
  <c r="A725" i="20"/>
  <c r="A724" i="20"/>
  <c r="A723" i="20"/>
  <c r="A722" i="20"/>
  <c r="A721" i="20"/>
  <c r="A720" i="20"/>
  <c r="A719" i="20"/>
  <c r="A718" i="20"/>
  <c r="A717" i="20"/>
  <c r="A716" i="20"/>
  <c r="A715" i="20"/>
  <c r="A714" i="20"/>
  <c r="A713" i="20"/>
  <c r="A712" i="20"/>
  <c r="A711" i="20"/>
  <c r="A710" i="20"/>
  <c r="A709" i="20"/>
  <c r="A708" i="20"/>
  <c r="A707" i="20"/>
  <c r="A706" i="20"/>
  <c r="A705" i="20"/>
  <c r="A704" i="20"/>
  <c r="A703" i="20"/>
  <c r="A702" i="20"/>
  <c r="A701" i="20"/>
  <c r="A700" i="20"/>
  <c r="A699" i="20"/>
  <c r="A698" i="20"/>
  <c r="A697" i="20"/>
  <c r="A696" i="20"/>
  <c r="A695" i="20"/>
  <c r="A694" i="20"/>
  <c r="A693" i="20"/>
  <c r="A692" i="20"/>
  <c r="A691" i="20"/>
  <c r="A690" i="20"/>
  <c r="A689" i="20"/>
  <c r="A688" i="20"/>
  <c r="A687" i="20"/>
  <c r="A686" i="20"/>
  <c r="A685" i="20"/>
  <c r="A684" i="20"/>
  <c r="A683" i="20"/>
  <c r="A682" i="20"/>
  <c r="A681" i="20"/>
  <c r="A680" i="20"/>
  <c r="A679" i="20"/>
  <c r="A678" i="20"/>
  <c r="A677" i="20"/>
  <c r="A676" i="20"/>
  <c r="A675" i="20"/>
  <c r="A674" i="20"/>
  <c r="A673" i="20"/>
  <c r="A672" i="20"/>
  <c r="A671" i="20"/>
  <c r="A670" i="20"/>
  <c r="A669" i="20"/>
  <c r="A668" i="20"/>
  <c r="A667" i="20"/>
  <c r="A666" i="20"/>
  <c r="A665" i="20"/>
  <c r="A664" i="20"/>
  <c r="A663" i="20"/>
  <c r="A662" i="20"/>
  <c r="A661" i="20"/>
  <c r="A660" i="20"/>
  <c r="A659" i="20"/>
  <c r="A658" i="20"/>
  <c r="A657" i="20"/>
  <c r="A656" i="20"/>
  <c r="A655" i="20"/>
  <c r="A654" i="20"/>
  <c r="A653" i="20"/>
  <c r="A652" i="20"/>
  <c r="A651" i="20"/>
  <c r="A650" i="20"/>
  <c r="A649" i="20"/>
  <c r="A648" i="20"/>
  <c r="A647" i="20"/>
  <c r="A646" i="20"/>
  <c r="A645" i="20"/>
  <c r="A644" i="20"/>
  <c r="A643" i="20"/>
  <c r="A642" i="20"/>
  <c r="A641" i="20"/>
  <c r="A640" i="20"/>
  <c r="A639" i="20"/>
  <c r="A638" i="20"/>
  <c r="A637" i="20"/>
  <c r="A636" i="20"/>
  <c r="A635" i="20"/>
  <c r="A634" i="20"/>
  <c r="A633" i="20"/>
  <c r="A632" i="20"/>
  <c r="A631" i="20"/>
  <c r="A630" i="20"/>
  <c r="A629" i="20"/>
  <c r="A628" i="20"/>
  <c r="A627" i="20"/>
  <c r="A626" i="20"/>
  <c r="A625" i="20"/>
  <c r="A624" i="20"/>
  <c r="A623" i="20"/>
  <c r="A622" i="20"/>
  <c r="A621" i="20"/>
  <c r="A620" i="20"/>
  <c r="A619" i="20"/>
  <c r="A618" i="20"/>
  <c r="A617" i="20"/>
  <c r="A616" i="20"/>
  <c r="A615" i="20"/>
  <c r="A614" i="20"/>
  <c r="A613" i="20"/>
  <c r="A612" i="20"/>
  <c r="A611" i="20"/>
  <c r="A610" i="20"/>
  <c r="A609" i="20"/>
  <c r="A608" i="20"/>
  <c r="A607" i="20"/>
  <c r="A606" i="20"/>
  <c r="A605" i="20"/>
  <c r="A604" i="20"/>
  <c r="A603" i="20"/>
  <c r="A602" i="20"/>
  <c r="A601" i="20"/>
  <c r="A600" i="20"/>
  <c r="A599" i="20"/>
  <c r="A598" i="20"/>
  <c r="A597" i="20"/>
  <c r="A596" i="20"/>
  <c r="A595" i="20"/>
  <c r="A594" i="20"/>
  <c r="A593" i="20"/>
  <c r="A592" i="20"/>
  <c r="A591" i="20"/>
  <c r="A590" i="20"/>
  <c r="A589" i="20"/>
  <c r="A588" i="20"/>
  <c r="A587" i="20"/>
  <c r="A586" i="20"/>
  <c r="A585" i="20"/>
  <c r="A584" i="20"/>
  <c r="A583" i="20"/>
  <c r="A582" i="20"/>
  <c r="A581" i="20"/>
  <c r="A580" i="20"/>
  <c r="A579" i="20"/>
  <c r="A578" i="20"/>
  <c r="A577" i="20"/>
  <c r="A576" i="20"/>
  <c r="A575" i="20"/>
  <c r="A574" i="20"/>
  <c r="A573" i="20"/>
  <c r="A572" i="20"/>
  <c r="A571" i="20"/>
  <c r="A570" i="20"/>
  <c r="A569" i="20"/>
  <c r="A568" i="20"/>
  <c r="A567" i="20"/>
  <c r="A566" i="20"/>
  <c r="A565" i="20"/>
  <c r="A564" i="20"/>
  <c r="A563" i="20"/>
  <c r="A562" i="20"/>
  <c r="A561" i="20"/>
  <c r="A560" i="20"/>
  <c r="A559" i="20"/>
  <c r="A558" i="20"/>
  <c r="A557" i="20"/>
  <c r="A556" i="20"/>
  <c r="A555" i="20"/>
  <c r="A554" i="20"/>
  <c r="A553" i="20"/>
  <c r="A552" i="20"/>
  <c r="A551" i="20"/>
  <c r="A550" i="20"/>
  <c r="A549" i="20"/>
  <c r="A548" i="20"/>
  <c r="A547" i="20"/>
  <c r="A546" i="20"/>
  <c r="A545" i="20"/>
  <c r="A544" i="20"/>
  <c r="A543" i="20"/>
  <c r="A542" i="20"/>
  <c r="A541" i="20"/>
  <c r="A540" i="20"/>
  <c r="A539" i="20"/>
  <c r="A538" i="20"/>
  <c r="A537" i="20"/>
  <c r="A536" i="20"/>
  <c r="A535" i="20"/>
  <c r="A534" i="20"/>
  <c r="A533" i="20"/>
  <c r="A532" i="20"/>
  <c r="A531" i="20"/>
  <c r="A530" i="20"/>
  <c r="A529" i="20"/>
  <c r="A528" i="20"/>
  <c r="A527" i="20"/>
  <c r="A526" i="20"/>
  <c r="A525" i="20"/>
  <c r="A524" i="20"/>
  <c r="A523" i="20"/>
  <c r="A522" i="20"/>
  <c r="A521" i="20"/>
  <c r="A520" i="20"/>
  <c r="A519" i="20"/>
  <c r="A518" i="20"/>
  <c r="A517" i="20"/>
  <c r="A516" i="20"/>
  <c r="A515" i="20"/>
  <c r="A514" i="20"/>
  <c r="A513" i="20"/>
  <c r="A512" i="20"/>
  <c r="A511" i="20"/>
  <c r="A510" i="20"/>
  <c r="A509" i="20"/>
  <c r="A508" i="20"/>
  <c r="A507" i="20"/>
  <c r="A506" i="20"/>
  <c r="A505" i="20"/>
  <c r="A504" i="20"/>
  <c r="A503" i="20"/>
  <c r="A502" i="20"/>
  <c r="A501" i="20"/>
  <c r="A500" i="20"/>
  <c r="A499" i="20"/>
  <c r="A498" i="20"/>
  <c r="A497" i="20"/>
  <c r="A496" i="20"/>
  <c r="A495" i="20"/>
  <c r="A494" i="20"/>
  <c r="A493" i="20"/>
  <c r="A492" i="20"/>
  <c r="A491" i="20"/>
  <c r="A490" i="20"/>
  <c r="A489" i="20"/>
  <c r="A488" i="20"/>
  <c r="A487" i="20"/>
  <c r="A486" i="20"/>
  <c r="A485" i="20"/>
  <c r="A484" i="20"/>
  <c r="A483" i="20"/>
  <c r="A482" i="20"/>
  <c r="A481" i="20"/>
  <c r="A480" i="20"/>
  <c r="A479" i="20"/>
  <c r="A478" i="20"/>
  <c r="A477" i="20"/>
  <c r="A476" i="20"/>
  <c r="A475" i="20"/>
  <c r="A474" i="20"/>
  <c r="A473" i="20"/>
  <c r="A472" i="20"/>
  <c r="A471" i="20"/>
  <c r="A470" i="20"/>
  <c r="A469" i="20"/>
  <c r="A468" i="20"/>
  <c r="A467" i="20"/>
  <c r="A466" i="20"/>
  <c r="A465" i="20"/>
  <c r="A464" i="20"/>
  <c r="A463" i="20"/>
  <c r="A462" i="20"/>
  <c r="A461" i="20"/>
  <c r="A460" i="20"/>
  <c r="A459" i="20"/>
  <c r="A458" i="20"/>
  <c r="A457" i="20"/>
  <c r="A456" i="20"/>
  <c r="A455" i="20"/>
  <c r="A454" i="20"/>
  <c r="A453" i="20"/>
  <c r="A452" i="20"/>
  <c r="A451" i="20"/>
  <c r="A450" i="20"/>
  <c r="A449" i="20"/>
  <c r="A448" i="20"/>
  <c r="A447" i="20"/>
  <c r="A446" i="20"/>
  <c r="A445" i="20"/>
  <c r="A444" i="20"/>
  <c r="A443" i="20"/>
  <c r="A442" i="20"/>
  <c r="A441" i="20"/>
  <c r="A440" i="20"/>
  <c r="A439" i="20"/>
  <c r="A438" i="20"/>
  <c r="A437" i="20"/>
  <c r="A436" i="20"/>
  <c r="A435" i="20"/>
  <c r="A434" i="20"/>
  <c r="A433" i="20"/>
  <c r="A432" i="20"/>
  <c r="A431" i="20"/>
  <c r="A430" i="20"/>
  <c r="A429" i="20"/>
  <c r="A428" i="20"/>
  <c r="A427" i="20"/>
  <c r="A426" i="20"/>
  <c r="A425" i="20"/>
  <c r="A424" i="20"/>
  <c r="A423" i="20"/>
  <c r="A422" i="20"/>
  <c r="A421" i="20"/>
  <c r="A420" i="20"/>
  <c r="A419" i="20"/>
  <c r="A418" i="20"/>
  <c r="A417" i="20"/>
  <c r="A416" i="20"/>
  <c r="A415" i="20"/>
  <c r="A414" i="20"/>
  <c r="A413" i="20"/>
  <c r="A412" i="20"/>
  <c r="A411" i="20"/>
  <c r="A410" i="20"/>
  <c r="A409" i="20"/>
  <c r="A408" i="20"/>
  <c r="A407" i="20"/>
  <c r="A406" i="20"/>
  <c r="A405" i="20"/>
  <c r="A404" i="20"/>
  <c r="A403" i="20"/>
  <c r="A402" i="20"/>
  <c r="A401" i="20"/>
  <c r="A400" i="20"/>
  <c r="A399" i="20"/>
  <c r="A398" i="20"/>
  <c r="A397" i="20"/>
  <c r="A396" i="20"/>
  <c r="A395" i="20"/>
  <c r="A394" i="20"/>
  <c r="A393" i="20"/>
  <c r="A392" i="20"/>
  <c r="A391" i="20"/>
  <c r="A390" i="20"/>
  <c r="A389" i="20"/>
  <c r="A388" i="20"/>
  <c r="A387" i="20"/>
  <c r="A386" i="20"/>
  <c r="A385" i="20"/>
  <c r="A384" i="20"/>
  <c r="A383" i="20"/>
  <c r="A382" i="20"/>
  <c r="A381" i="20"/>
  <c r="A380" i="20"/>
  <c r="A379" i="20"/>
  <c r="A378" i="20"/>
  <c r="A377" i="20"/>
  <c r="A376" i="20"/>
  <c r="A375" i="20"/>
  <c r="A374" i="20"/>
  <c r="A373" i="20"/>
  <c r="A372" i="20"/>
  <c r="A371" i="20"/>
  <c r="A370" i="20"/>
  <c r="A369" i="20"/>
  <c r="A368" i="20"/>
  <c r="A367" i="20"/>
  <c r="A366" i="20"/>
  <c r="A365" i="20"/>
  <c r="A364" i="20"/>
  <c r="A363" i="20"/>
  <c r="A362" i="20"/>
  <c r="A361" i="20"/>
  <c r="A360" i="20"/>
  <c r="A359" i="20"/>
  <c r="A358" i="20"/>
  <c r="A357" i="20"/>
  <c r="A356" i="20"/>
  <c r="A355" i="20"/>
  <c r="A354" i="20"/>
  <c r="A353" i="20"/>
  <c r="A352" i="20"/>
  <c r="A351" i="20"/>
  <c r="A350" i="20"/>
  <c r="A349" i="20"/>
  <c r="A348" i="20"/>
  <c r="A347" i="20"/>
  <c r="A346" i="20"/>
  <c r="A345" i="20"/>
  <c r="A344" i="20"/>
  <c r="A343" i="20"/>
  <c r="A342" i="20"/>
  <c r="A341" i="20"/>
  <c r="A340" i="20"/>
  <c r="A339" i="20"/>
  <c r="A338" i="20"/>
  <c r="A337" i="20"/>
  <c r="A336" i="20"/>
  <c r="A335" i="20"/>
  <c r="A334" i="20"/>
  <c r="A333" i="20"/>
  <c r="A332" i="20"/>
  <c r="A331" i="20"/>
  <c r="A330" i="20"/>
  <c r="A329" i="20"/>
  <c r="A328" i="20"/>
  <c r="A327" i="20"/>
  <c r="A326" i="20"/>
  <c r="A325" i="20"/>
  <c r="A324" i="20"/>
  <c r="A323" i="20"/>
  <c r="A322" i="20"/>
  <c r="A321" i="20"/>
  <c r="A320" i="20"/>
  <c r="A319" i="20"/>
  <c r="A318" i="20"/>
  <c r="A317" i="20"/>
  <c r="A316" i="20"/>
  <c r="A315" i="20"/>
  <c r="A314" i="20"/>
  <c r="A313" i="20"/>
  <c r="A312" i="20"/>
  <c r="A311" i="20"/>
  <c r="A310" i="20"/>
  <c r="A309" i="20"/>
  <c r="A308" i="20"/>
  <c r="A307" i="20"/>
  <c r="A306" i="20"/>
  <c r="A305" i="20"/>
  <c r="A304" i="20"/>
  <c r="A303" i="20"/>
  <c r="A302" i="20"/>
  <c r="A301" i="20"/>
  <c r="A300" i="20"/>
  <c r="A299" i="20"/>
  <c r="A298" i="20"/>
  <c r="A297" i="20"/>
  <c r="A296" i="20"/>
  <c r="A295" i="20"/>
  <c r="A294" i="20"/>
  <c r="A293" i="20"/>
  <c r="A292" i="20"/>
  <c r="A291" i="20"/>
  <c r="A290" i="20"/>
  <c r="A289" i="20"/>
  <c r="A288" i="20"/>
  <c r="A287" i="20"/>
  <c r="A286" i="20"/>
  <c r="A285" i="20"/>
  <c r="A284" i="20"/>
  <c r="A283" i="20"/>
  <c r="A282" i="20"/>
  <c r="A281" i="20"/>
  <c r="A280" i="20"/>
  <c r="A279" i="20"/>
  <c r="A278" i="20"/>
  <c r="A277" i="20"/>
  <c r="A276" i="20"/>
  <c r="A275" i="20"/>
  <c r="A274" i="20"/>
  <c r="A273" i="20"/>
  <c r="A272" i="20"/>
  <c r="A271" i="20"/>
  <c r="A270" i="20"/>
  <c r="A269" i="20"/>
  <c r="A268" i="20"/>
  <c r="A267" i="20"/>
  <c r="A266" i="20"/>
  <c r="A265" i="20"/>
  <c r="A264" i="20"/>
  <c r="A263" i="20"/>
  <c r="A262" i="20"/>
  <c r="A261" i="20"/>
  <c r="A260" i="20"/>
  <c r="A259" i="20"/>
  <c r="A258" i="20"/>
  <c r="A257" i="20"/>
  <c r="A256" i="20"/>
  <c r="A255" i="20"/>
  <c r="A254" i="20"/>
  <c r="A253" i="20"/>
  <c r="A252" i="20"/>
  <c r="A251" i="20"/>
  <c r="A250" i="20"/>
  <c r="A249" i="20"/>
  <c r="A248" i="20"/>
  <c r="A247" i="20"/>
  <c r="A246" i="20"/>
  <c r="A245" i="20"/>
  <c r="A244" i="20"/>
  <c r="A243" i="20"/>
  <c r="A242" i="20"/>
  <c r="A241" i="20"/>
  <c r="A240" i="20"/>
  <c r="A239" i="20"/>
  <c r="A238" i="20"/>
  <c r="A237" i="20"/>
  <c r="A236" i="20"/>
  <c r="A235" i="20"/>
  <c r="A234" i="20"/>
  <c r="A233" i="20"/>
  <c r="A232" i="20"/>
  <c r="A231" i="20"/>
  <c r="A230" i="20"/>
  <c r="A229" i="20"/>
  <c r="A228" i="20"/>
  <c r="A227" i="20"/>
  <c r="A226" i="20"/>
  <c r="A225" i="20"/>
  <c r="A224" i="20"/>
  <c r="A223" i="20"/>
  <c r="A222" i="20"/>
  <c r="A221" i="20"/>
  <c r="A220" i="20"/>
  <c r="A219" i="20"/>
  <c r="A218" i="20"/>
  <c r="A217" i="20"/>
  <c r="A216" i="20"/>
  <c r="A215" i="20"/>
  <c r="A214" i="20"/>
  <c r="A213" i="20"/>
  <c r="A212" i="20"/>
  <c r="A211" i="20"/>
  <c r="A210" i="20"/>
  <c r="A209" i="20"/>
  <c r="A208" i="20"/>
  <c r="A207" i="20"/>
  <c r="A206" i="20"/>
  <c r="A205" i="20"/>
  <c r="A204" i="20"/>
  <c r="A203" i="20"/>
  <c r="A202" i="20"/>
  <c r="A201" i="20"/>
  <c r="A200" i="20"/>
  <c r="A199" i="20"/>
  <c r="A198" i="20"/>
  <c r="A197" i="20"/>
  <c r="A196" i="20"/>
  <c r="A195" i="20"/>
  <c r="A194" i="20"/>
  <c r="A193" i="20"/>
  <c r="A192" i="20"/>
  <c r="A191" i="20"/>
  <c r="A190" i="20"/>
  <c r="A189" i="20"/>
  <c r="A188" i="20"/>
  <c r="A187" i="20"/>
  <c r="A186" i="20"/>
  <c r="A185" i="20"/>
  <c r="A184" i="20"/>
  <c r="A183" i="20"/>
  <c r="A182" i="20"/>
  <c r="A181" i="20"/>
  <c r="A180" i="20"/>
  <c r="A179" i="20"/>
  <c r="A178" i="20"/>
  <c r="A177" i="20"/>
  <c r="A176" i="20"/>
  <c r="A175" i="20"/>
  <c r="A174" i="20"/>
  <c r="A173" i="20"/>
  <c r="A172" i="20"/>
  <c r="A171" i="20"/>
  <c r="A170" i="20"/>
  <c r="A169" i="20"/>
  <c r="A168" i="20"/>
  <c r="A167" i="20"/>
  <c r="A166" i="20"/>
  <c r="A165" i="20"/>
  <c r="A164" i="20"/>
  <c r="A163" i="20"/>
  <c r="A162" i="20"/>
  <c r="A161" i="20"/>
  <c r="A160" i="20"/>
  <c r="A159" i="20"/>
  <c r="A158" i="20"/>
  <c r="A157" i="20"/>
  <c r="A156" i="20"/>
  <c r="A155" i="20"/>
  <c r="A154" i="20"/>
  <c r="A153" i="20"/>
  <c r="A152" i="20"/>
  <c r="A151" i="20"/>
  <c r="A150" i="20"/>
  <c r="A149" i="20"/>
  <c r="A148" i="20"/>
  <c r="A147" i="20"/>
  <c r="A146" i="20"/>
  <c r="A145" i="20"/>
  <c r="A144" i="20"/>
  <c r="A143" i="20"/>
  <c r="A142" i="20"/>
  <c r="A141" i="20"/>
  <c r="A140" i="20"/>
  <c r="A139" i="20"/>
  <c r="A138" i="20"/>
  <c r="A137" i="20"/>
  <c r="A136" i="20"/>
  <c r="A135" i="20"/>
  <c r="A134" i="20"/>
  <c r="A133" i="20"/>
  <c r="A132" i="20"/>
  <c r="A131" i="20"/>
  <c r="A130" i="20"/>
  <c r="A129" i="20"/>
  <c r="A128" i="20"/>
  <c r="A127" i="20"/>
  <c r="A126" i="20"/>
  <c r="A125" i="20"/>
  <c r="A124" i="20"/>
  <c r="A123" i="20"/>
  <c r="A122" i="20"/>
  <c r="A121" i="20"/>
  <c r="A120" i="20"/>
  <c r="A119" i="20"/>
  <c r="A118" i="20"/>
  <c r="A117" i="20"/>
  <c r="A116" i="20"/>
  <c r="A115" i="20"/>
  <c r="A114" i="20"/>
  <c r="A113" i="20"/>
  <c r="A112" i="20"/>
  <c r="A111" i="20"/>
  <c r="A110" i="20"/>
  <c r="A109" i="20"/>
  <c r="A108" i="20"/>
  <c r="A107" i="20"/>
  <c r="A106" i="20"/>
  <c r="A105" i="20"/>
  <c r="A104" i="20"/>
  <c r="A103" i="20"/>
  <c r="A102" i="20"/>
  <c r="A101" i="20"/>
  <c r="A100" i="20"/>
  <c r="A99" i="20"/>
  <c r="A98" i="20"/>
  <c r="A97" i="20"/>
  <c r="A96" i="20"/>
  <c r="A95" i="20"/>
  <c r="A94" i="20"/>
  <c r="A93" i="20"/>
  <c r="A92" i="20"/>
  <c r="A91" i="20"/>
  <c r="A90" i="20"/>
  <c r="A89" i="20"/>
  <c r="A88" i="20"/>
  <c r="A87" i="20"/>
  <c r="A86" i="20"/>
  <c r="A85" i="20"/>
  <c r="A84" i="20"/>
  <c r="A83" i="20"/>
  <c r="A82" i="20"/>
  <c r="A81" i="20"/>
  <c r="A80" i="20"/>
  <c r="A79" i="20"/>
  <c r="A78" i="20"/>
  <c r="A77" i="20"/>
  <c r="A76" i="20"/>
  <c r="A75" i="20"/>
  <c r="A74" i="20"/>
  <c r="A73" i="20"/>
  <c r="A72" i="20"/>
  <c r="A71" i="20"/>
  <c r="A70" i="20"/>
  <c r="A69" i="20"/>
  <c r="A68" i="20"/>
  <c r="A67" i="20"/>
  <c r="A66" i="20"/>
  <c r="A65" i="20"/>
  <c r="A64" i="20"/>
  <c r="A63" i="20"/>
  <c r="A62" i="20"/>
  <c r="A61" i="20"/>
  <c r="A60" i="20"/>
  <c r="A59" i="20"/>
  <c r="A58" i="20"/>
  <c r="A57" i="20"/>
  <c r="A56" i="20"/>
  <c r="A55" i="20"/>
  <c r="A54" i="20"/>
  <c r="A53" i="20"/>
  <c r="A52" i="20"/>
  <c r="A51" i="20"/>
  <c r="A50" i="20"/>
  <c r="A49" i="20"/>
  <c r="A48" i="20"/>
  <c r="A47" i="20"/>
  <c r="A46" i="20"/>
  <c r="A45" i="20"/>
  <c r="A44" i="20"/>
  <c r="A43" i="20"/>
  <c r="A42" i="20"/>
  <c r="A41" i="20"/>
  <c r="A40" i="20"/>
  <c r="A39" i="20"/>
  <c r="A38" i="20"/>
  <c r="A37" i="20"/>
  <c r="A36" i="20"/>
  <c r="A35" i="20"/>
  <c r="A34" i="20"/>
  <c r="A33" i="20"/>
  <c r="A32" i="20"/>
  <c r="A31" i="20"/>
  <c r="A30" i="20"/>
  <c r="A29" i="20"/>
  <c r="A28" i="20"/>
  <c r="A27" i="20"/>
  <c r="A26" i="20"/>
  <c r="A25" i="20"/>
  <c r="A24" i="20"/>
  <c r="A23" i="20"/>
  <c r="A22" i="20"/>
  <c r="A21" i="20"/>
  <c r="A20" i="20"/>
  <c r="A19" i="20"/>
  <c r="A18" i="20"/>
  <c r="A17" i="20"/>
  <c r="A16" i="20"/>
  <c r="A15" i="20"/>
  <c r="A14" i="20"/>
  <c r="A13" i="20"/>
  <c r="A12" i="20"/>
  <c r="A11" i="20"/>
  <c r="A10" i="20"/>
  <c r="A9" i="20"/>
  <c r="A8" i="20"/>
  <c r="A7" i="20"/>
  <c r="A6" i="20"/>
  <c r="A5" i="20"/>
  <c r="A4" i="20"/>
  <c r="A3" i="20"/>
  <c r="A101" i="19"/>
  <c r="A995" i="18"/>
  <c r="A994" i="18"/>
  <c r="A993" i="18"/>
  <c r="A992" i="18"/>
  <c r="A991" i="18"/>
  <c r="A990" i="18"/>
  <c r="A989" i="18"/>
  <c r="A988" i="18"/>
  <c r="A987" i="18"/>
  <c r="A986" i="18"/>
  <c r="A985" i="18"/>
  <c r="A984" i="18"/>
  <c r="A983" i="18"/>
  <c r="A982" i="18"/>
  <c r="A981" i="18"/>
  <c r="A980" i="18"/>
  <c r="A979" i="18"/>
  <c r="A978" i="18"/>
  <c r="A977" i="18"/>
  <c r="A976" i="18"/>
  <c r="A975" i="18"/>
  <c r="A974" i="18"/>
  <c r="A973" i="18"/>
  <c r="A972" i="18"/>
  <c r="A971" i="18"/>
  <c r="A970" i="18"/>
  <c r="A969" i="18"/>
  <c r="A968" i="18"/>
  <c r="A967" i="18"/>
  <c r="A966" i="18"/>
  <c r="A965" i="18"/>
  <c r="A964" i="18"/>
  <c r="A963" i="18"/>
  <c r="A962" i="18"/>
  <c r="A961" i="18"/>
  <c r="A960" i="18"/>
  <c r="A959" i="18"/>
  <c r="A958" i="18"/>
  <c r="A957" i="18"/>
  <c r="A956" i="18"/>
  <c r="A955" i="18"/>
  <c r="A954" i="18"/>
  <c r="A953" i="18"/>
  <c r="A952" i="18"/>
  <c r="A951" i="18"/>
  <c r="A950" i="18"/>
  <c r="A949" i="18"/>
  <c r="A948" i="18"/>
  <c r="A947" i="18"/>
  <c r="A946" i="18"/>
  <c r="A945" i="18"/>
  <c r="A944" i="18"/>
  <c r="A943" i="18"/>
  <c r="A942" i="18"/>
  <c r="A941" i="18"/>
  <c r="A940" i="18"/>
  <c r="A939" i="18"/>
  <c r="A938" i="18"/>
  <c r="A937" i="18"/>
  <c r="A936" i="18"/>
  <c r="A935" i="18"/>
  <c r="A934" i="18"/>
  <c r="A933" i="18"/>
  <c r="A932" i="18"/>
  <c r="A931" i="18"/>
  <c r="A930" i="18"/>
  <c r="A929" i="18"/>
  <c r="A928" i="18"/>
  <c r="A927" i="18"/>
  <c r="A926" i="18"/>
  <c r="A925" i="18"/>
  <c r="A924" i="18"/>
  <c r="A923" i="18"/>
  <c r="A922" i="18"/>
  <c r="A921" i="18"/>
  <c r="A920" i="18"/>
  <c r="A919" i="18"/>
  <c r="A918" i="18"/>
  <c r="A917" i="18"/>
  <c r="A916" i="18"/>
  <c r="A915" i="18"/>
  <c r="A914" i="18"/>
  <c r="A913" i="18"/>
  <c r="A912" i="18"/>
  <c r="A911" i="18"/>
  <c r="A910" i="18"/>
  <c r="A909" i="18"/>
  <c r="A908" i="18"/>
  <c r="A907" i="18"/>
  <c r="A906" i="18"/>
  <c r="A905" i="18"/>
  <c r="A904" i="18"/>
  <c r="A903" i="18"/>
  <c r="A902" i="18"/>
  <c r="A901" i="18"/>
  <c r="A900" i="18"/>
  <c r="A899" i="18"/>
  <c r="A898" i="18"/>
  <c r="A897" i="18"/>
  <c r="A896" i="18"/>
  <c r="A895" i="18"/>
  <c r="A894" i="18"/>
  <c r="A893" i="18"/>
  <c r="A892" i="18"/>
  <c r="A891" i="18"/>
  <c r="A890" i="18"/>
  <c r="A889" i="18"/>
  <c r="A888" i="18"/>
  <c r="A887" i="18"/>
  <c r="A886" i="18"/>
  <c r="A885" i="18"/>
  <c r="A884" i="18"/>
  <c r="A883" i="18"/>
  <c r="A882" i="18"/>
  <c r="A881" i="18"/>
  <c r="A880" i="18"/>
  <c r="A879" i="18"/>
  <c r="A878" i="18"/>
  <c r="A877" i="18"/>
  <c r="A876" i="18"/>
  <c r="A875" i="18"/>
  <c r="A874" i="18"/>
  <c r="A873" i="18"/>
  <c r="A872" i="18"/>
  <c r="A871" i="18"/>
  <c r="A870" i="18"/>
  <c r="A869" i="18"/>
  <c r="A868" i="18"/>
  <c r="A867" i="18"/>
  <c r="A866" i="18"/>
  <c r="A865" i="18"/>
  <c r="A864" i="18"/>
  <c r="A863" i="18"/>
  <c r="A862" i="18"/>
  <c r="A861" i="18"/>
  <c r="A860" i="18"/>
  <c r="A859" i="18"/>
  <c r="A858" i="18"/>
  <c r="A857" i="18"/>
  <c r="A856" i="18"/>
  <c r="A855" i="18"/>
  <c r="A854" i="18"/>
  <c r="A853" i="18"/>
  <c r="A852" i="18"/>
  <c r="A851" i="18"/>
  <c r="A850" i="18"/>
  <c r="A849" i="18"/>
  <c r="A848" i="18"/>
  <c r="A847" i="18"/>
  <c r="A846" i="18"/>
  <c r="A845" i="18"/>
  <c r="A844" i="18"/>
  <c r="A843" i="18"/>
  <c r="A842" i="18"/>
  <c r="A841" i="18"/>
  <c r="A840" i="18"/>
  <c r="A839" i="18"/>
  <c r="A838" i="18"/>
  <c r="A837" i="18"/>
  <c r="A836" i="18"/>
  <c r="A835" i="18"/>
  <c r="A834" i="18"/>
  <c r="A833" i="18"/>
  <c r="A832" i="18"/>
  <c r="A831" i="18"/>
  <c r="A830" i="18"/>
  <c r="A829" i="18"/>
  <c r="A828" i="18"/>
  <c r="A827" i="18"/>
  <c r="A826" i="18"/>
  <c r="A825" i="18"/>
  <c r="A824" i="18"/>
  <c r="A823" i="18"/>
  <c r="A822" i="18"/>
  <c r="A821" i="18"/>
  <c r="A820" i="18"/>
  <c r="A819" i="18"/>
  <c r="A818" i="18"/>
  <c r="A817" i="18"/>
  <c r="A816" i="18"/>
  <c r="A815" i="18"/>
  <c r="A814" i="18"/>
  <c r="A813" i="18"/>
  <c r="A812" i="18"/>
  <c r="A811" i="18"/>
  <c r="A810" i="18"/>
  <c r="A809" i="18"/>
  <c r="A808" i="18"/>
  <c r="A807" i="18"/>
  <c r="A806" i="18"/>
  <c r="A805" i="18"/>
  <c r="A804" i="18"/>
  <c r="A803" i="18"/>
  <c r="A802" i="18"/>
  <c r="A801" i="18"/>
  <c r="A800" i="18"/>
  <c r="A799" i="18"/>
  <c r="A798" i="18"/>
  <c r="A797" i="18"/>
  <c r="A796" i="18"/>
  <c r="A795" i="18"/>
  <c r="A794" i="18"/>
  <c r="A793" i="18"/>
  <c r="A792" i="18"/>
  <c r="A791" i="18"/>
  <c r="A790" i="18"/>
  <c r="A789" i="18"/>
  <c r="A788" i="18"/>
  <c r="A787" i="18"/>
  <c r="A786" i="18"/>
  <c r="A785" i="18"/>
  <c r="A784" i="18"/>
  <c r="A783" i="18"/>
  <c r="A782" i="18"/>
  <c r="A781" i="18"/>
  <c r="A780" i="18"/>
  <c r="A779" i="18"/>
  <c r="A778" i="18"/>
  <c r="A777" i="18"/>
  <c r="A776" i="18"/>
  <c r="A775" i="18"/>
  <c r="A774" i="18"/>
  <c r="A773" i="18"/>
  <c r="A772" i="18"/>
  <c r="A771" i="18"/>
  <c r="A770" i="18"/>
  <c r="A769" i="18"/>
  <c r="A768" i="18"/>
  <c r="A767" i="18"/>
  <c r="A766" i="18"/>
  <c r="A765" i="18"/>
  <c r="A764" i="18"/>
  <c r="A763" i="18"/>
  <c r="A762" i="18"/>
  <c r="A761" i="18"/>
  <c r="A760" i="18"/>
  <c r="A759" i="18"/>
  <c r="A758" i="18"/>
  <c r="A757" i="18"/>
  <c r="A756" i="18"/>
  <c r="A755" i="18"/>
  <c r="A754" i="18"/>
  <c r="A753" i="18"/>
  <c r="A752" i="18"/>
  <c r="A751" i="18"/>
  <c r="A750" i="18"/>
  <c r="A749" i="18"/>
  <c r="A748" i="18"/>
  <c r="A747" i="18"/>
  <c r="A746" i="18"/>
  <c r="A745" i="18"/>
  <c r="A744" i="18"/>
  <c r="A743" i="18"/>
  <c r="A742" i="18"/>
  <c r="A741" i="18"/>
  <c r="A740" i="18"/>
  <c r="A739" i="18"/>
  <c r="A738" i="18"/>
  <c r="A737" i="18"/>
  <c r="A736" i="18"/>
  <c r="A735" i="18"/>
  <c r="A734" i="18"/>
  <c r="A733" i="18"/>
  <c r="A732" i="18"/>
  <c r="A731" i="18"/>
  <c r="A730" i="18"/>
  <c r="A729" i="18"/>
  <c r="A728" i="18"/>
  <c r="A727" i="18"/>
  <c r="A726" i="18"/>
  <c r="A725" i="18"/>
  <c r="A724" i="18"/>
  <c r="A723" i="18"/>
  <c r="A722" i="18"/>
  <c r="A721" i="18"/>
  <c r="A720" i="18"/>
  <c r="A719" i="18"/>
  <c r="A718" i="18"/>
  <c r="A717" i="18"/>
  <c r="A716" i="18"/>
  <c r="A715" i="18"/>
  <c r="A714" i="18"/>
  <c r="A713" i="18"/>
  <c r="A712" i="18"/>
  <c r="A711" i="18"/>
  <c r="A710" i="18"/>
  <c r="A709" i="18"/>
  <c r="A708" i="18"/>
  <c r="A707" i="18"/>
  <c r="A706" i="18"/>
  <c r="A705" i="18"/>
  <c r="A704" i="18"/>
  <c r="A703" i="18"/>
  <c r="A702" i="18"/>
  <c r="A701" i="18"/>
  <c r="A700" i="18"/>
  <c r="A699" i="18"/>
  <c r="A698" i="18"/>
  <c r="A697" i="18"/>
  <c r="A696" i="18"/>
  <c r="A695" i="18"/>
  <c r="A694" i="18"/>
  <c r="A693" i="18"/>
  <c r="A692" i="18"/>
  <c r="A691" i="18"/>
  <c r="A690" i="18"/>
  <c r="A689" i="18"/>
  <c r="A688" i="18"/>
  <c r="A687" i="18"/>
  <c r="A686" i="18"/>
  <c r="A685" i="18"/>
  <c r="A684" i="18"/>
  <c r="A683" i="18"/>
  <c r="A682" i="18"/>
  <c r="A681" i="18"/>
  <c r="A680" i="18"/>
  <c r="A679" i="18"/>
  <c r="A678" i="18"/>
  <c r="A677" i="18"/>
  <c r="A676" i="18"/>
  <c r="A675" i="18"/>
  <c r="A674" i="18"/>
  <c r="A673" i="18"/>
  <c r="A672" i="18"/>
  <c r="A671" i="18"/>
  <c r="A670" i="18"/>
  <c r="A669" i="18"/>
  <c r="A668" i="18"/>
  <c r="A667" i="18"/>
  <c r="A666" i="18"/>
  <c r="A665" i="18"/>
  <c r="A664" i="18"/>
  <c r="A663" i="18"/>
  <c r="A662" i="18"/>
  <c r="A661" i="18"/>
  <c r="A660" i="18"/>
  <c r="A659" i="18"/>
  <c r="A658" i="18"/>
  <c r="A657" i="18"/>
  <c r="A656" i="18"/>
  <c r="A655" i="18"/>
  <c r="A654" i="18"/>
  <c r="A653" i="18"/>
  <c r="A652" i="18"/>
  <c r="A651" i="18"/>
  <c r="A650" i="18"/>
  <c r="A649" i="18"/>
  <c r="A648" i="18"/>
  <c r="A647" i="18"/>
  <c r="A646" i="18"/>
  <c r="A645" i="18"/>
  <c r="A644" i="18"/>
  <c r="A643" i="18"/>
  <c r="A642" i="18"/>
  <c r="A641" i="18"/>
  <c r="A640" i="18"/>
  <c r="A639" i="18"/>
  <c r="A638" i="18"/>
  <c r="A637" i="18"/>
  <c r="A636" i="18"/>
  <c r="A635" i="18"/>
  <c r="A634" i="18"/>
  <c r="A633" i="18"/>
  <c r="A632" i="18"/>
  <c r="A631" i="18"/>
  <c r="A630" i="18"/>
  <c r="A629" i="18"/>
  <c r="A628" i="18"/>
  <c r="A627" i="18"/>
  <c r="A626" i="18"/>
  <c r="A625" i="18"/>
  <c r="A624" i="18"/>
  <c r="A623" i="18"/>
  <c r="A622" i="18"/>
  <c r="A621" i="18"/>
  <c r="A620" i="18"/>
  <c r="A619" i="18"/>
  <c r="A618" i="18"/>
  <c r="A617" i="18"/>
  <c r="A616" i="18"/>
  <c r="A615" i="18"/>
  <c r="A614" i="18"/>
  <c r="A613" i="18"/>
  <c r="A612" i="18"/>
  <c r="A611" i="18"/>
  <c r="A610" i="18"/>
  <c r="A609" i="18"/>
  <c r="A608" i="18"/>
  <c r="A607" i="18"/>
  <c r="A606" i="18"/>
  <c r="A605" i="18"/>
  <c r="A604" i="18"/>
  <c r="A603" i="18"/>
  <c r="A602" i="18"/>
  <c r="A601" i="18"/>
  <c r="A600" i="18"/>
  <c r="A599" i="18"/>
  <c r="A598" i="18"/>
  <c r="A597" i="18"/>
  <c r="A596" i="18"/>
  <c r="A595" i="18"/>
  <c r="A594" i="18"/>
  <c r="A593" i="18"/>
  <c r="A592" i="18"/>
  <c r="A591" i="18"/>
  <c r="A590" i="18"/>
  <c r="A589" i="18"/>
  <c r="A588" i="18"/>
  <c r="A587" i="18"/>
  <c r="A586" i="18"/>
  <c r="A585" i="18"/>
  <c r="A584" i="18"/>
  <c r="A583" i="18"/>
  <c r="A582" i="18"/>
  <c r="A581" i="18"/>
  <c r="A580" i="18"/>
  <c r="A579" i="18"/>
  <c r="A578" i="18"/>
  <c r="A577" i="18"/>
  <c r="A576" i="18"/>
  <c r="A575" i="18"/>
  <c r="A574" i="18"/>
  <c r="A573" i="18"/>
  <c r="A572" i="18"/>
  <c r="A571" i="18"/>
  <c r="A570" i="18"/>
  <c r="A569" i="18"/>
  <c r="A568" i="18"/>
  <c r="A567" i="18"/>
  <c r="A566" i="18"/>
  <c r="A565" i="18"/>
  <c r="A564" i="18"/>
  <c r="A563" i="18"/>
  <c r="A562" i="18"/>
  <c r="A561" i="18"/>
  <c r="A560" i="18"/>
  <c r="A559" i="18"/>
  <c r="A558" i="18"/>
  <c r="A557" i="18"/>
  <c r="A556" i="18"/>
  <c r="A555" i="18"/>
  <c r="A554" i="18"/>
  <c r="A553" i="18"/>
  <c r="A552" i="18"/>
  <c r="A551" i="18"/>
  <c r="A550" i="18"/>
  <c r="A549" i="18"/>
  <c r="A548" i="18"/>
  <c r="A547" i="18"/>
  <c r="A546" i="18"/>
  <c r="A545" i="18"/>
  <c r="A544" i="18"/>
  <c r="A543" i="18"/>
  <c r="A542" i="18"/>
  <c r="A541" i="18"/>
  <c r="A540" i="18"/>
  <c r="A539" i="18"/>
  <c r="A538" i="18"/>
  <c r="A537" i="18"/>
  <c r="A536" i="18"/>
  <c r="A535" i="18"/>
  <c r="A534" i="18"/>
  <c r="A533" i="18"/>
  <c r="A532" i="18"/>
  <c r="A531" i="18"/>
  <c r="A530" i="18"/>
  <c r="A529" i="18"/>
  <c r="A528" i="18"/>
  <c r="A527" i="18"/>
  <c r="A526" i="18"/>
  <c r="A525" i="18"/>
  <c r="A524" i="18"/>
  <c r="A523" i="18"/>
  <c r="A522" i="18"/>
  <c r="A521" i="18"/>
  <c r="A520" i="18"/>
  <c r="A519" i="18"/>
  <c r="A518" i="18"/>
  <c r="A517" i="18"/>
  <c r="A516" i="18"/>
  <c r="A515" i="18"/>
  <c r="A514" i="18"/>
  <c r="A513" i="18"/>
  <c r="A512" i="18"/>
  <c r="A511" i="18"/>
  <c r="A510" i="18"/>
  <c r="A509" i="18"/>
  <c r="A508" i="18"/>
  <c r="A507" i="18"/>
  <c r="A506" i="18"/>
  <c r="A505" i="18"/>
  <c r="A504" i="18"/>
  <c r="A503" i="18"/>
  <c r="A502" i="18"/>
  <c r="A501" i="18"/>
  <c r="A500" i="18"/>
  <c r="A499" i="18"/>
  <c r="A498" i="18"/>
  <c r="A497" i="18"/>
  <c r="A496" i="18"/>
  <c r="A495" i="18"/>
  <c r="A494" i="18"/>
  <c r="A493" i="18"/>
  <c r="A492" i="18"/>
  <c r="A491" i="18"/>
  <c r="A490" i="18"/>
  <c r="A489" i="18"/>
  <c r="A488" i="18"/>
  <c r="A487" i="18"/>
  <c r="A486" i="18"/>
  <c r="A485" i="18"/>
  <c r="A484" i="18"/>
  <c r="A483" i="18"/>
  <c r="A482" i="18"/>
  <c r="A481" i="18"/>
  <c r="A480" i="18"/>
  <c r="A479" i="18"/>
  <c r="A478" i="18"/>
  <c r="A477" i="18"/>
  <c r="A476" i="18"/>
  <c r="A475" i="18"/>
  <c r="A474" i="18"/>
  <c r="A473" i="18"/>
  <c r="A472" i="18"/>
  <c r="A471" i="18"/>
  <c r="A470" i="18"/>
  <c r="A469" i="18"/>
  <c r="A468" i="18"/>
  <c r="A467" i="18"/>
  <c r="A466" i="18"/>
  <c r="A465" i="18"/>
  <c r="A464" i="18"/>
  <c r="A463" i="18"/>
  <c r="A462" i="18"/>
  <c r="A461" i="18"/>
  <c r="A460" i="18"/>
  <c r="A459" i="18"/>
  <c r="A458" i="18"/>
  <c r="A457" i="18"/>
  <c r="A456" i="18"/>
  <c r="A455" i="18"/>
  <c r="A454" i="18"/>
  <c r="A453" i="18"/>
  <c r="A452" i="18"/>
  <c r="A451" i="18"/>
  <c r="A450" i="18"/>
  <c r="A449" i="18"/>
  <c r="A448" i="18"/>
  <c r="A447" i="18"/>
  <c r="A446" i="18"/>
  <c r="A445" i="18"/>
  <c r="A444" i="18"/>
  <c r="A443" i="18"/>
  <c r="A442" i="18"/>
  <c r="A441" i="18"/>
  <c r="A440" i="18"/>
  <c r="A439" i="18"/>
  <c r="A438" i="18"/>
  <c r="A437" i="18"/>
  <c r="A436" i="18"/>
  <c r="A435" i="18"/>
  <c r="A434" i="18"/>
  <c r="A433" i="18"/>
  <c r="A432" i="18"/>
  <c r="A431" i="18"/>
  <c r="A430" i="18"/>
  <c r="A429" i="18"/>
  <c r="A428" i="18"/>
  <c r="A427" i="18"/>
  <c r="A426" i="18"/>
  <c r="A425" i="18"/>
  <c r="A424" i="18"/>
  <c r="A423" i="18"/>
  <c r="A422" i="18"/>
  <c r="A421" i="18"/>
  <c r="A420" i="18"/>
  <c r="A419" i="18"/>
  <c r="A418" i="18"/>
  <c r="A417" i="18"/>
  <c r="A416" i="18"/>
  <c r="A415" i="18"/>
  <c r="A414" i="18"/>
  <c r="A413" i="18"/>
  <c r="A412" i="18"/>
  <c r="A411" i="18"/>
  <c r="A410" i="18"/>
  <c r="A409" i="18"/>
  <c r="A408" i="18"/>
  <c r="A407" i="18"/>
  <c r="A406" i="18"/>
  <c r="A405" i="18"/>
  <c r="A404" i="18"/>
  <c r="A403" i="18"/>
  <c r="A402" i="18"/>
  <c r="A401" i="18"/>
  <c r="A400" i="18"/>
  <c r="A399" i="18"/>
  <c r="A398" i="18"/>
  <c r="A397" i="18"/>
  <c r="A396" i="18"/>
  <c r="A395" i="18"/>
  <c r="A394" i="18"/>
  <c r="A393" i="18"/>
  <c r="A392" i="18"/>
  <c r="A391" i="18"/>
  <c r="A390" i="18"/>
  <c r="A389" i="18"/>
  <c r="A388" i="18"/>
  <c r="A387" i="18"/>
  <c r="A386" i="18"/>
  <c r="A385" i="18"/>
  <c r="A384" i="18"/>
  <c r="A383" i="18"/>
  <c r="A382" i="18"/>
  <c r="A381" i="18"/>
  <c r="A380" i="18"/>
  <c r="A379" i="18"/>
  <c r="A378" i="18"/>
  <c r="A377" i="18"/>
  <c r="A376" i="18"/>
  <c r="A375" i="18"/>
  <c r="A374" i="18"/>
  <c r="A373" i="18"/>
  <c r="A372" i="18"/>
  <c r="A371" i="18"/>
  <c r="A370" i="18"/>
  <c r="A369" i="18"/>
  <c r="A368" i="18"/>
  <c r="A367" i="18"/>
  <c r="A366" i="18"/>
  <c r="A365" i="18"/>
  <c r="A364" i="18"/>
  <c r="A363" i="18"/>
  <c r="A362" i="18"/>
  <c r="A361" i="18"/>
  <c r="A360" i="18"/>
  <c r="A359" i="18"/>
  <c r="A358" i="18"/>
  <c r="A357" i="18"/>
  <c r="A356" i="18"/>
  <c r="A355" i="18"/>
  <c r="A354" i="18"/>
  <c r="A353" i="18"/>
  <c r="A352" i="18"/>
  <c r="A351" i="18"/>
  <c r="A350" i="18"/>
  <c r="A349" i="18"/>
  <c r="A348" i="18"/>
  <c r="A347" i="18"/>
  <c r="A346" i="18"/>
  <c r="A345" i="18"/>
  <c r="A344" i="18"/>
  <c r="A343" i="18"/>
  <c r="A342" i="18"/>
  <c r="A341" i="18"/>
  <c r="A340" i="18"/>
  <c r="A339" i="18"/>
  <c r="A338" i="18"/>
  <c r="A337" i="18"/>
  <c r="A336" i="18"/>
  <c r="A335" i="18"/>
  <c r="A334" i="18"/>
  <c r="A333" i="18"/>
  <c r="A332" i="18"/>
  <c r="A331" i="18"/>
  <c r="A330" i="18"/>
  <c r="A329" i="18"/>
  <c r="A328" i="18"/>
  <c r="A327" i="18"/>
  <c r="A326" i="18"/>
  <c r="A325" i="18"/>
  <c r="A324" i="18"/>
  <c r="A323" i="18"/>
  <c r="A322" i="18"/>
  <c r="A321" i="18"/>
  <c r="A320" i="18"/>
  <c r="A319" i="18"/>
  <c r="A318" i="18"/>
  <c r="A317" i="18"/>
  <c r="A316" i="18"/>
  <c r="A315" i="18"/>
  <c r="A314" i="18"/>
  <c r="A313" i="18"/>
  <c r="A312" i="18"/>
  <c r="A311" i="18"/>
  <c r="A310" i="18"/>
  <c r="A309" i="18"/>
  <c r="A308" i="18"/>
  <c r="A307" i="18"/>
  <c r="A306" i="18"/>
  <c r="A305" i="18"/>
  <c r="A304" i="18"/>
  <c r="A303" i="18"/>
  <c r="A302" i="18"/>
  <c r="A301" i="18"/>
  <c r="A300" i="18"/>
  <c r="A299" i="18"/>
  <c r="A298" i="18"/>
  <c r="A297" i="18"/>
  <c r="A296" i="18"/>
  <c r="A295" i="18"/>
  <c r="A294" i="18"/>
  <c r="A293" i="18"/>
  <c r="A292" i="18"/>
  <c r="A291" i="18"/>
  <c r="A290" i="18"/>
  <c r="A289" i="18"/>
  <c r="A288" i="18"/>
  <c r="A287" i="18"/>
  <c r="A286" i="18"/>
  <c r="A285" i="18"/>
  <c r="A284" i="18"/>
  <c r="A283" i="18"/>
  <c r="A282" i="18"/>
  <c r="A281" i="18"/>
  <c r="A280" i="18"/>
  <c r="A279" i="18"/>
  <c r="A278" i="18"/>
  <c r="A277" i="18"/>
  <c r="A276" i="18"/>
  <c r="A275" i="18"/>
  <c r="A274" i="18"/>
  <c r="A273" i="18"/>
  <c r="A272" i="18"/>
  <c r="A271" i="18"/>
  <c r="A270" i="18"/>
  <c r="A269" i="18"/>
  <c r="A268" i="18"/>
  <c r="A267" i="18"/>
  <c r="A266" i="18"/>
  <c r="A265" i="18"/>
  <c r="A264" i="18"/>
  <c r="A263" i="18"/>
  <c r="A262" i="18"/>
  <c r="A261" i="18"/>
  <c r="A260" i="18"/>
  <c r="A259" i="18"/>
  <c r="A258" i="18"/>
  <c r="A257" i="18"/>
  <c r="A256" i="18"/>
  <c r="A255" i="18"/>
  <c r="A254" i="18"/>
  <c r="A253" i="18"/>
  <c r="A252" i="18"/>
  <c r="A251" i="18"/>
  <c r="A250" i="18"/>
  <c r="A249" i="18"/>
  <c r="A248" i="18"/>
  <c r="A247" i="18"/>
  <c r="A246" i="18"/>
  <c r="A245" i="18"/>
  <c r="A244" i="18"/>
  <c r="A243" i="18"/>
  <c r="A242" i="18"/>
  <c r="A241" i="18"/>
  <c r="A240" i="18"/>
  <c r="A239" i="18"/>
  <c r="A238" i="18"/>
  <c r="A237" i="18"/>
  <c r="A236" i="18"/>
  <c r="A235" i="18"/>
  <c r="A234" i="18"/>
  <c r="A233" i="18"/>
  <c r="A232" i="18"/>
  <c r="A231" i="18"/>
  <c r="A230" i="18"/>
  <c r="A229" i="18"/>
  <c r="A228" i="18"/>
  <c r="A227" i="18"/>
  <c r="A226" i="18"/>
  <c r="A225" i="18"/>
  <c r="A224" i="18"/>
  <c r="A223" i="18"/>
  <c r="A222" i="18"/>
  <c r="A221" i="18"/>
  <c r="A220" i="18"/>
  <c r="A219" i="18"/>
  <c r="A218" i="18"/>
  <c r="A217" i="18"/>
  <c r="A216" i="18"/>
  <c r="A215" i="18"/>
  <c r="A214" i="18"/>
  <c r="A213" i="18"/>
  <c r="A212" i="18"/>
  <c r="A211" i="18"/>
  <c r="A210" i="18"/>
  <c r="A209" i="18"/>
  <c r="A208" i="18"/>
  <c r="A207" i="18"/>
  <c r="A206" i="18"/>
  <c r="A205" i="18"/>
  <c r="A204" i="18"/>
  <c r="A203" i="18"/>
  <c r="A202" i="18"/>
  <c r="A201" i="18"/>
  <c r="A200" i="18"/>
  <c r="A199" i="18"/>
  <c r="A198" i="18"/>
  <c r="A197" i="18"/>
  <c r="A196" i="18"/>
  <c r="A195" i="18"/>
  <c r="A194" i="18"/>
  <c r="A193" i="18"/>
  <c r="A192" i="18"/>
  <c r="A191" i="18"/>
  <c r="A190" i="18"/>
  <c r="A189" i="18"/>
  <c r="A188" i="18"/>
  <c r="A187" i="18"/>
  <c r="A186" i="18"/>
  <c r="A185" i="18"/>
  <c r="A184" i="18"/>
  <c r="A183" i="18"/>
  <c r="A182" i="18"/>
  <c r="A181" i="18"/>
  <c r="A180" i="18"/>
  <c r="A179" i="18"/>
  <c r="A178" i="18"/>
  <c r="A177" i="18"/>
  <c r="A176" i="18"/>
  <c r="A175" i="18"/>
  <c r="A174" i="18"/>
  <c r="A173" i="18"/>
  <c r="A172" i="18"/>
  <c r="A171" i="18"/>
  <c r="A170" i="18"/>
  <c r="A169" i="18"/>
  <c r="A168" i="18"/>
  <c r="A167" i="18"/>
  <c r="A166" i="18"/>
  <c r="A165" i="18"/>
  <c r="A164" i="18"/>
  <c r="A163" i="18"/>
  <c r="A162" i="18"/>
  <c r="A161" i="18"/>
  <c r="A160" i="18"/>
  <c r="A159" i="18"/>
  <c r="A158" i="18"/>
  <c r="A157" i="18"/>
  <c r="A156" i="18"/>
  <c r="A155" i="18"/>
  <c r="A154" i="18"/>
  <c r="A153" i="18"/>
  <c r="A152" i="18"/>
  <c r="A151" i="18"/>
  <c r="A150" i="18"/>
  <c r="A149" i="18"/>
  <c r="A148" i="18"/>
  <c r="A147" i="18"/>
  <c r="A146" i="18"/>
  <c r="A145" i="18"/>
  <c r="A144" i="18"/>
  <c r="A143" i="18"/>
  <c r="A142" i="18"/>
  <c r="A141" i="18"/>
  <c r="A140" i="18"/>
  <c r="A139" i="18"/>
  <c r="A138" i="18"/>
  <c r="A137" i="18"/>
  <c r="A136" i="18"/>
  <c r="A135" i="18"/>
  <c r="A134" i="18"/>
  <c r="A133" i="18"/>
  <c r="A132" i="18"/>
  <c r="A131" i="18"/>
  <c r="A130" i="18"/>
  <c r="A129" i="18"/>
  <c r="A128" i="18"/>
  <c r="A127" i="18"/>
  <c r="A126" i="18"/>
  <c r="A125" i="18"/>
  <c r="A124" i="18"/>
  <c r="A123" i="18"/>
  <c r="A122" i="18"/>
  <c r="A121" i="18"/>
  <c r="A120" i="18"/>
  <c r="A119" i="18"/>
  <c r="A118" i="18"/>
  <c r="A117" i="18"/>
  <c r="A116" i="18"/>
  <c r="A115" i="18"/>
  <c r="A114" i="18"/>
  <c r="A113" i="18"/>
  <c r="A112" i="18"/>
  <c r="A111" i="18"/>
  <c r="A110" i="18"/>
  <c r="A109" i="18"/>
  <c r="A108" i="18"/>
  <c r="A107" i="18"/>
  <c r="A106" i="18"/>
  <c r="A105" i="18"/>
  <c r="A104" i="18"/>
  <c r="A103" i="18"/>
  <c r="A102" i="18"/>
  <c r="A101" i="18"/>
  <c r="A100" i="18"/>
  <c r="A99" i="18"/>
  <c r="A98" i="18"/>
  <c r="A97" i="18"/>
  <c r="A96" i="18"/>
  <c r="A95" i="18"/>
  <c r="A94" i="18"/>
  <c r="A93" i="18"/>
  <c r="A92" i="18"/>
  <c r="A91" i="18"/>
  <c r="A90" i="18"/>
  <c r="A89" i="18"/>
  <c r="A88" i="18"/>
  <c r="A87" i="18"/>
  <c r="A86" i="18"/>
  <c r="A85" i="18"/>
  <c r="A84" i="18"/>
  <c r="A83" i="18"/>
  <c r="A82" i="18"/>
  <c r="A81" i="18"/>
  <c r="A80" i="18"/>
  <c r="A79" i="18"/>
  <c r="A78" i="18"/>
  <c r="A77" i="18"/>
  <c r="A76" i="18"/>
  <c r="A75" i="18"/>
  <c r="A74" i="18"/>
  <c r="A73" i="18"/>
  <c r="A72" i="18"/>
  <c r="A71" i="18"/>
  <c r="A70" i="18"/>
  <c r="A69" i="18"/>
  <c r="A68" i="18"/>
  <c r="A67" i="18"/>
  <c r="A66" i="18"/>
  <c r="A65" i="18"/>
  <c r="A64" i="18"/>
  <c r="A63" i="18"/>
  <c r="A62" i="18"/>
  <c r="A61" i="18"/>
  <c r="A60" i="18"/>
  <c r="A59" i="18"/>
  <c r="A58" i="18"/>
  <c r="A57" i="18"/>
  <c r="A56" i="18"/>
  <c r="A55" i="18"/>
  <c r="A54" i="18"/>
  <c r="A53" i="18"/>
  <c r="A52" i="18"/>
  <c r="A51" i="18"/>
  <c r="A50" i="18"/>
  <c r="A49" i="18"/>
  <c r="A48" i="18"/>
  <c r="A47" i="18"/>
  <c r="A46" i="18"/>
  <c r="A45" i="18"/>
  <c r="A44" i="18"/>
  <c r="A43" i="18"/>
  <c r="A42" i="18"/>
  <c r="A41" i="18"/>
  <c r="A40" i="18"/>
  <c r="A39" i="18"/>
  <c r="A38" i="18"/>
  <c r="A37" i="18"/>
  <c r="A36" i="18"/>
  <c r="A35" i="18"/>
  <c r="A34" i="18"/>
  <c r="A33" i="18"/>
  <c r="A32" i="18"/>
  <c r="A31" i="18"/>
  <c r="A30" i="18"/>
  <c r="A29" i="18"/>
  <c r="A28" i="18"/>
  <c r="A27" i="18"/>
  <c r="A26" i="18"/>
  <c r="A25" i="18"/>
  <c r="A24" i="18"/>
  <c r="A23" i="18"/>
  <c r="A22" i="18"/>
  <c r="A21" i="18"/>
  <c r="A20" i="18"/>
  <c r="A19" i="18"/>
  <c r="A18" i="18"/>
  <c r="A17" i="18"/>
  <c r="A16" i="18"/>
  <c r="A15" i="18"/>
  <c r="A14" i="18"/>
  <c r="A13" i="18"/>
  <c r="A12" i="18"/>
  <c r="A11" i="18"/>
  <c r="A10" i="18"/>
  <c r="B9" i="18"/>
  <c r="A9" i="18" s="1"/>
  <c r="Q8" i="18"/>
  <c r="P8" i="18"/>
  <c r="O8" i="18"/>
  <c r="N8" i="18"/>
  <c r="E8" i="18"/>
  <c r="D8" i="18"/>
  <c r="C8" i="18"/>
  <c r="B8" i="18"/>
  <c r="A8" i="18" s="1"/>
  <c r="Q7" i="18"/>
  <c r="P7" i="18"/>
  <c r="O7" i="18"/>
  <c r="N7" i="18"/>
  <c r="E7" i="18"/>
  <c r="D7" i="18"/>
  <c r="C7" i="18"/>
  <c r="B7" i="18"/>
  <c r="A7" i="18" s="1"/>
  <c r="Q6" i="18"/>
  <c r="P6" i="18"/>
  <c r="O6" i="18"/>
  <c r="N6" i="18"/>
  <c r="E6" i="18"/>
  <c r="D6" i="18"/>
  <c r="C6" i="18"/>
  <c r="B6" i="18"/>
  <c r="A6" i="18" s="1"/>
  <c r="S5" i="18"/>
  <c r="Q5" i="18"/>
  <c r="P5" i="18"/>
  <c r="O5" i="18"/>
  <c r="N5" i="18"/>
  <c r="E5" i="18"/>
  <c r="D5" i="18"/>
  <c r="C5" i="18"/>
  <c r="B5" i="18"/>
  <c r="A5" i="18" s="1"/>
  <c r="B3" i="18"/>
  <c r="E2" i="18"/>
  <c r="A1" i="17"/>
  <c r="G406" i="16"/>
  <c r="G405" i="16"/>
  <c r="G404" i="16"/>
  <c r="G403" i="16"/>
  <c r="G402" i="16"/>
  <c r="G401" i="16"/>
  <c r="G400" i="16"/>
  <c r="G399" i="16"/>
  <c r="G398" i="16"/>
  <c r="G397" i="16"/>
  <c r="G396" i="16"/>
  <c r="G395" i="16"/>
  <c r="G394" i="16"/>
  <c r="G393" i="16"/>
  <c r="G392" i="16"/>
  <c r="G391" i="16"/>
  <c r="G390" i="16"/>
  <c r="G389" i="16"/>
  <c r="G388" i="16"/>
  <c r="G387" i="16"/>
  <c r="G386" i="16"/>
  <c r="G385" i="16"/>
  <c r="G384" i="16"/>
  <c r="G383" i="16"/>
  <c r="G382" i="16"/>
  <c r="G381" i="16"/>
  <c r="G380" i="16"/>
  <c r="G379" i="16"/>
  <c r="G378" i="16"/>
  <c r="G377" i="16"/>
  <c r="G376" i="16"/>
  <c r="G375" i="16"/>
  <c r="G374" i="16"/>
  <c r="G373" i="16"/>
  <c r="G372" i="16"/>
  <c r="G371" i="16"/>
  <c r="G370" i="16"/>
  <c r="G369" i="16"/>
  <c r="G368" i="16"/>
  <c r="G367" i="16"/>
  <c r="G366" i="16"/>
  <c r="G365" i="16"/>
  <c r="G364" i="16"/>
  <c r="G363" i="16"/>
  <c r="G362" i="16"/>
  <c r="G361" i="16"/>
  <c r="G360" i="16"/>
  <c r="G359" i="16"/>
  <c r="G358" i="16"/>
  <c r="G357" i="16"/>
  <c r="G356" i="16"/>
  <c r="G355" i="16"/>
  <c r="G354" i="16"/>
  <c r="G353" i="16"/>
  <c r="G352" i="16"/>
  <c r="G351" i="16"/>
  <c r="G350" i="16"/>
  <c r="G349" i="16"/>
  <c r="G348" i="16"/>
  <c r="G347" i="16"/>
  <c r="G346" i="16"/>
  <c r="G345" i="16"/>
  <c r="G344" i="16"/>
  <c r="G343" i="16"/>
  <c r="G342" i="16"/>
  <c r="G341" i="16"/>
  <c r="G340" i="16"/>
  <c r="G339" i="16"/>
  <c r="G338" i="16"/>
  <c r="G337" i="16"/>
  <c r="G336" i="16"/>
  <c r="G335" i="16"/>
  <c r="G334" i="16"/>
  <c r="G333" i="16"/>
  <c r="G332" i="16"/>
  <c r="G331" i="16"/>
  <c r="G330" i="16"/>
  <c r="G329" i="16"/>
  <c r="G328" i="16"/>
  <c r="G327" i="16"/>
  <c r="G326" i="16"/>
  <c r="G325" i="16"/>
  <c r="G324" i="16"/>
  <c r="G323" i="16"/>
  <c r="G322" i="16"/>
  <c r="G321" i="16"/>
  <c r="G320" i="16"/>
  <c r="G319" i="16"/>
  <c r="G318" i="16"/>
  <c r="G317" i="16"/>
  <c r="G316" i="16"/>
  <c r="G315" i="16"/>
  <c r="G314" i="16"/>
  <c r="G313" i="16"/>
  <c r="G312" i="16"/>
  <c r="G311" i="16"/>
  <c r="G310" i="16"/>
  <c r="G309" i="16"/>
  <c r="G308" i="16"/>
  <c r="G307" i="16"/>
  <c r="G306" i="16"/>
  <c r="G305" i="16"/>
  <c r="G304" i="16"/>
  <c r="G303" i="16"/>
  <c r="G302" i="16"/>
  <c r="G301" i="16"/>
  <c r="G300" i="16"/>
  <c r="G299" i="16"/>
  <c r="G298" i="16"/>
  <c r="G297" i="16"/>
  <c r="G296" i="16"/>
  <c r="G295" i="16"/>
  <c r="G294" i="16"/>
  <c r="G293" i="16"/>
  <c r="G292" i="16"/>
  <c r="G291" i="16"/>
  <c r="G290" i="16"/>
  <c r="G289" i="16"/>
  <c r="G288" i="16"/>
  <c r="G287" i="16"/>
  <c r="G286" i="16"/>
  <c r="G285" i="16"/>
  <c r="G284" i="16"/>
  <c r="G283" i="16"/>
  <c r="G282" i="16"/>
  <c r="G281" i="16"/>
  <c r="G280" i="16"/>
  <c r="G279" i="16"/>
  <c r="G278" i="16"/>
  <c r="G277" i="16"/>
  <c r="G276" i="16"/>
  <c r="G275" i="16"/>
  <c r="G274" i="16"/>
  <c r="G273" i="16"/>
  <c r="G272" i="16"/>
  <c r="G271" i="16"/>
  <c r="G270" i="16"/>
  <c r="G269" i="16"/>
  <c r="G268" i="16"/>
  <c r="G267" i="16"/>
  <c r="G266" i="16"/>
  <c r="G265" i="16"/>
  <c r="G264" i="16"/>
  <c r="G263" i="16"/>
  <c r="G262" i="16"/>
  <c r="G261" i="16"/>
  <c r="G260" i="16"/>
  <c r="G259" i="16"/>
  <c r="G258" i="16"/>
  <c r="G257" i="16"/>
  <c r="G256" i="16"/>
  <c r="G255" i="16"/>
  <c r="G254" i="16"/>
  <c r="G253" i="16"/>
  <c r="G252" i="16"/>
  <c r="G251" i="16"/>
  <c r="G250" i="16"/>
  <c r="G249" i="16"/>
  <c r="G248" i="16"/>
  <c r="G247" i="16"/>
  <c r="G246" i="16"/>
  <c r="G245" i="16"/>
  <c r="G244" i="16"/>
  <c r="G243" i="16"/>
  <c r="G242" i="16"/>
  <c r="G241" i="16"/>
  <c r="G240" i="16"/>
  <c r="G239" i="16"/>
  <c r="G238" i="16"/>
  <c r="G237" i="16"/>
  <c r="G236" i="16"/>
  <c r="G235" i="16"/>
  <c r="G234" i="16"/>
  <c r="G233" i="16"/>
  <c r="G232" i="16"/>
  <c r="G231" i="16"/>
  <c r="G230" i="16"/>
  <c r="G229" i="16"/>
  <c r="G228" i="16"/>
  <c r="G227" i="16"/>
  <c r="G226" i="16"/>
  <c r="G225" i="16"/>
  <c r="G224" i="16"/>
  <c r="G223" i="16"/>
  <c r="G222" i="16"/>
  <c r="G221" i="16"/>
  <c r="G220" i="16"/>
  <c r="G219" i="16"/>
  <c r="G218" i="16"/>
  <c r="G217" i="16"/>
  <c r="G216" i="16"/>
  <c r="G215" i="16"/>
  <c r="G214" i="16"/>
  <c r="G213" i="16"/>
  <c r="G212" i="16"/>
  <c r="G211" i="16"/>
  <c r="G210" i="16"/>
  <c r="G209" i="16"/>
  <c r="G208" i="16"/>
  <c r="G207" i="16"/>
  <c r="G206" i="16"/>
  <c r="G205" i="16"/>
  <c r="G204" i="16"/>
  <c r="G203" i="16"/>
  <c r="G202" i="16"/>
  <c r="G201" i="16"/>
  <c r="G200" i="16"/>
  <c r="G199" i="16"/>
  <c r="G198" i="16"/>
  <c r="G197" i="16"/>
  <c r="G196" i="16"/>
  <c r="G195" i="16"/>
  <c r="G194" i="16"/>
  <c r="G193" i="16"/>
  <c r="G192" i="16"/>
  <c r="G191" i="16"/>
  <c r="G190" i="16"/>
  <c r="G189" i="16"/>
  <c r="G188" i="16"/>
  <c r="G187" i="16"/>
  <c r="G186" i="16"/>
  <c r="G185" i="16"/>
  <c r="G184" i="16"/>
  <c r="G183" i="16"/>
  <c r="G182" i="16"/>
  <c r="G181" i="16"/>
  <c r="G180" i="16"/>
  <c r="G179" i="16"/>
  <c r="G178" i="16"/>
  <c r="G177" i="16"/>
  <c r="G176" i="16"/>
  <c r="G175" i="16"/>
  <c r="G174" i="16"/>
  <c r="G173" i="16"/>
  <c r="G172" i="16"/>
  <c r="G171" i="16"/>
  <c r="G170" i="16"/>
  <c r="G169" i="16"/>
  <c r="G168" i="16"/>
  <c r="G167" i="16"/>
  <c r="G166" i="16"/>
  <c r="G165" i="16"/>
  <c r="G164" i="16"/>
  <c r="G163" i="16"/>
  <c r="G162" i="16"/>
  <c r="G161" i="16"/>
  <c r="G160" i="16"/>
  <c r="G159" i="16"/>
  <c r="G158" i="16"/>
  <c r="G157" i="16"/>
  <c r="G156" i="16"/>
  <c r="G155" i="16"/>
  <c r="G154" i="16"/>
  <c r="G153" i="16"/>
  <c r="G152" i="16"/>
  <c r="G151" i="16"/>
  <c r="G150" i="16"/>
  <c r="G149" i="16"/>
  <c r="G148" i="16"/>
  <c r="G147" i="16"/>
  <c r="G146" i="16"/>
  <c r="G145" i="16"/>
  <c r="G144" i="16"/>
  <c r="G143" i="16"/>
  <c r="G142" i="16"/>
  <c r="G141" i="16"/>
  <c r="G140" i="16"/>
  <c r="G139" i="16"/>
  <c r="G138" i="16"/>
  <c r="G137" i="16"/>
  <c r="G136" i="16"/>
  <c r="G135" i="16"/>
  <c r="G134" i="16"/>
  <c r="G133" i="16"/>
  <c r="G132" i="16"/>
  <c r="G131" i="16"/>
  <c r="G130" i="16"/>
  <c r="G129" i="16"/>
  <c r="G128" i="16"/>
  <c r="G127" i="16"/>
  <c r="G126" i="16"/>
  <c r="G125" i="16"/>
  <c r="G124" i="16"/>
  <c r="G123" i="16"/>
  <c r="G122" i="16"/>
  <c r="G121" i="16"/>
  <c r="G120" i="16"/>
  <c r="G119" i="16"/>
  <c r="G118" i="16"/>
  <c r="G117" i="16"/>
  <c r="G116" i="16"/>
  <c r="G115" i="16"/>
  <c r="G114" i="16"/>
  <c r="G113" i="16"/>
  <c r="G112" i="16"/>
  <c r="G111" i="16"/>
  <c r="G110" i="16"/>
  <c r="G109" i="16"/>
  <c r="G108" i="16"/>
  <c r="G107" i="16"/>
  <c r="G106" i="16"/>
  <c r="G105" i="16"/>
  <c r="G104" i="16"/>
  <c r="G103" i="16"/>
  <c r="G102" i="16"/>
  <c r="G101" i="16"/>
  <c r="G100" i="16"/>
  <c r="G99" i="16"/>
  <c r="G98" i="16"/>
  <c r="G97" i="16"/>
  <c r="G96" i="16"/>
  <c r="G95" i="16"/>
  <c r="G94" i="16"/>
  <c r="G93" i="16"/>
  <c r="G92" i="16"/>
  <c r="G91" i="16"/>
  <c r="G90" i="16"/>
  <c r="G89" i="16"/>
  <c r="G88" i="16"/>
  <c r="G87" i="16"/>
  <c r="G86" i="16"/>
  <c r="G85" i="16"/>
  <c r="G84" i="16"/>
  <c r="G83" i="16"/>
  <c r="G82" i="16"/>
  <c r="G81" i="16"/>
  <c r="G80" i="16"/>
  <c r="G79" i="16"/>
  <c r="G78" i="16"/>
  <c r="G77" i="16"/>
  <c r="G76" i="16"/>
  <c r="G75" i="16"/>
  <c r="G74" i="16"/>
  <c r="G73" i="16"/>
  <c r="G72" i="16"/>
  <c r="G71" i="16"/>
  <c r="G70" i="16"/>
  <c r="G69" i="16"/>
  <c r="G68" i="16"/>
  <c r="G67" i="16"/>
  <c r="G66" i="16"/>
  <c r="G65" i="16"/>
  <c r="G64" i="16"/>
  <c r="G63" i="16"/>
  <c r="G62" i="16"/>
  <c r="G61" i="16"/>
  <c r="G60" i="16"/>
  <c r="G59" i="16"/>
  <c r="G58" i="16"/>
  <c r="G57" i="16"/>
  <c r="G56" i="16"/>
  <c r="G55" i="16"/>
  <c r="G54" i="16"/>
  <c r="G53" i="16"/>
  <c r="G52" i="16"/>
  <c r="G51" i="16"/>
  <c r="G50" i="16"/>
  <c r="G49" i="16"/>
  <c r="G48" i="16"/>
  <c r="G47" i="16"/>
  <c r="G46" i="16"/>
  <c r="G45" i="16"/>
  <c r="G44" i="16"/>
  <c r="G43" i="16"/>
  <c r="G42" i="16"/>
  <c r="G41" i="16"/>
  <c r="G40" i="16"/>
  <c r="G39" i="16"/>
  <c r="G38" i="16"/>
  <c r="G37" i="16"/>
  <c r="G36" i="16"/>
  <c r="G35" i="16"/>
  <c r="G34" i="16"/>
  <c r="G33" i="16"/>
  <c r="G32" i="16"/>
  <c r="G31" i="16"/>
  <c r="G30" i="16"/>
  <c r="G29" i="16"/>
  <c r="G28" i="16"/>
  <c r="G27" i="16"/>
  <c r="G26" i="16"/>
  <c r="G25" i="16"/>
  <c r="G24" i="16"/>
  <c r="G23" i="16"/>
  <c r="G22" i="16"/>
  <c r="G21" i="16"/>
  <c r="G20" i="16"/>
  <c r="G19" i="16"/>
  <c r="G18" i="16"/>
  <c r="G17" i="16"/>
  <c r="G16" i="16"/>
  <c r="G15" i="16"/>
  <c r="G14" i="16"/>
  <c r="G13" i="16"/>
  <c r="G12" i="16"/>
  <c r="G11" i="16"/>
  <c r="G10" i="16"/>
  <c r="G9" i="16"/>
  <c r="G8" i="16"/>
  <c r="G7" i="16"/>
  <c r="G6" i="16"/>
  <c r="K4" i="16"/>
  <c r="L3" i="16"/>
  <c r="AQ1" i="16"/>
  <c r="AM1" i="16"/>
  <c r="A1000" i="15"/>
  <c r="A999" i="15"/>
  <c r="A998" i="15"/>
  <c r="A997" i="15"/>
  <c r="A996" i="15"/>
  <c r="A995" i="15"/>
  <c r="A994" i="15"/>
  <c r="A993" i="15"/>
  <c r="A992" i="15"/>
  <c r="A991" i="15"/>
  <c r="A990" i="15"/>
  <c r="A989" i="15"/>
  <c r="A988" i="15"/>
  <c r="A987" i="15"/>
  <c r="A986" i="15"/>
  <c r="A985" i="15"/>
  <c r="A984" i="15"/>
  <c r="A983" i="15"/>
  <c r="A982" i="15"/>
  <c r="A981" i="15"/>
  <c r="A980" i="15"/>
  <c r="A979" i="15"/>
  <c r="A978" i="15"/>
  <c r="A977" i="15"/>
  <c r="A976" i="15"/>
  <c r="A975" i="15"/>
  <c r="A974" i="15"/>
  <c r="A973" i="15"/>
  <c r="A972" i="15"/>
  <c r="A971" i="15"/>
  <c r="A970" i="15"/>
  <c r="A969" i="15"/>
  <c r="A968" i="15"/>
  <c r="A967" i="15"/>
  <c r="A966" i="15"/>
  <c r="A965" i="15"/>
  <c r="A964" i="15"/>
  <c r="A963" i="15"/>
  <c r="A962" i="15"/>
  <c r="A961" i="15"/>
  <c r="A960" i="15"/>
  <c r="A959" i="15"/>
  <c r="A958" i="15"/>
  <c r="A957" i="15"/>
  <c r="A956" i="15"/>
  <c r="A955" i="15"/>
  <c r="A954" i="15"/>
  <c r="A953" i="15"/>
  <c r="A952" i="15"/>
  <c r="A951" i="15"/>
  <c r="A950" i="15"/>
  <c r="A949" i="15"/>
  <c r="A948" i="15"/>
  <c r="A947" i="15"/>
  <c r="A946" i="15"/>
  <c r="A945" i="15"/>
  <c r="A944" i="15"/>
  <c r="A943" i="15"/>
  <c r="A942" i="15"/>
  <c r="A941" i="15"/>
  <c r="A940" i="15"/>
  <c r="A939" i="15"/>
  <c r="A938" i="15"/>
  <c r="A937" i="15"/>
  <c r="A936" i="15"/>
  <c r="A935" i="15"/>
  <c r="A934" i="15"/>
  <c r="A933" i="15"/>
  <c r="A932" i="15"/>
  <c r="A931" i="15"/>
  <c r="A930" i="15"/>
  <c r="A929" i="15"/>
  <c r="A928" i="15"/>
  <c r="A927" i="15"/>
  <c r="A926" i="15"/>
  <c r="A925" i="15"/>
  <c r="A924" i="15"/>
  <c r="A923" i="15"/>
  <c r="A922" i="15"/>
  <c r="A921" i="15"/>
  <c r="A920" i="15"/>
  <c r="A919" i="15"/>
  <c r="A918" i="15"/>
  <c r="A917" i="15"/>
  <c r="A916" i="15"/>
  <c r="A915" i="15"/>
  <c r="A914" i="15"/>
  <c r="A913" i="15"/>
  <c r="A912" i="15"/>
  <c r="A911" i="15"/>
  <c r="A910" i="15"/>
  <c r="A909" i="15"/>
  <c r="A908" i="15"/>
  <c r="A907" i="15"/>
  <c r="A906" i="15"/>
  <c r="A905" i="15"/>
  <c r="A904" i="15"/>
  <c r="A903" i="15"/>
  <c r="A902" i="15"/>
  <c r="A901" i="15"/>
  <c r="A900" i="15"/>
  <c r="A899" i="15"/>
  <c r="A898" i="15"/>
  <c r="A897" i="15"/>
  <c r="A896" i="15"/>
  <c r="A895" i="15"/>
  <c r="A894" i="15"/>
  <c r="A893" i="15"/>
  <c r="A892" i="15"/>
  <c r="A891" i="15"/>
  <c r="A890" i="15"/>
  <c r="A889" i="15"/>
  <c r="A888" i="15"/>
  <c r="A887" i="15"/>
  <c r="A886" i="15"/>
  <c r="A885" i="15"/>
  <c r="A884" i="15"/>
  <c r="A883" i="15"/>
  <c r="A882" i="15"/>
  <c r="A881" i="15"/>
  <c r="A880" i="15"/>
  <c r="A879" i="15"/>
  <c r="A878" i="15"/>
  <c r="A877" i="15"/>
  <c r="A876" i="15"/>
  <c r="A875" i="15"/>
  <c r="A874" i="15"/>
  <c r="A873" i="15"/>
  <c r="A872" i="15"/>
  <c r="A871" i="15"/>
  <c r="A870" i="15"/>
  <c r="A869" i="15"/>
  <c r="A868" i="15"/>
  <c r="A867" i="15"/>
  <c r="A866" i="15"/>
  <c r="A865" i="15"/>
  <c r="A864" i="15"/>
  <c r="A863" i="15"/>
  <c r="A862" i="15"/>
  <c r="A861" i="15"/>
  <c r="A860" i="15"/>
  <c r="A859" i="15"/>
  <c r="A858" i="15"/>
  <c r="A857" i="15"/>
  <c r="A856" i="15"/>
  <c r="A855" i="15"/>
  <c r="A854" i="15"/>
  <c r="A853" i="15"/>
  <c r="A852" i="15"/>
  <c r="A851" i="15"/>
  <c r="A850" i="15"/>
  <c r="A849" i="15"/>
  <c r="A848" i="15"/>
  <c r="A847" i="15"/>
  <c r="A846" i="15"/>
  <c r="A845" i="15"/>
  <c r="A844" i="15"/>
  <c r="A843" i="15"/>
  <c r="A842" i="15"/>
  <c r="A841" i="15"/>
  <c r="A840" i="15"/>
  <c r="A839" i="15"/>
  <c r="A838" i="15"/>
  <c r="A837" i="15"/>
  <c r="A836" i="15"/>
  <c r="A835" i="15"/>
  <c r="A834" i="15"/>
  <c r="A833" i="15"/>
  <c r="A832" i="15"/>
  <c r="A831" i="15"/>
  <c r="A830" i="15"/>
  <c r="A829" i="15"/>
  <c r="A828" i="15"/>
  <c r="A827" i="15"/>
  <c r="A826" i="15"/>
  <c r="A825" i="15"/>
  <c r="A824" i="15"/>
  <c r="A823" i="15"/>
  <c r="A822" i="15"/>
  <c r="A821" i="15"/>
  <c r="A820" i="15"/>
  <c r="A819" i="15"/>
  <c r="A818" i="15"/>
  <c r="A817" i="15"/>
  <c r="A816" i="15"/>
  <c r="A815" i="15"/>
  <c r="A814" i="15"/>
  <c r="A813" i="15"/>
  <c r="A812" i="15"/>
  <c r="A811" i="15"/>
  <c r="A810" i="15"/>
  <c r="A809" i="15"/>
  <c r="A808" i="15"/>
  <c r="A807" i="15"/>
  <c r="A806" i="15"/>
  <c r="A805" i="15"/>
  <c r="A804" i="15"/>
  <c r="A803" i="15"/>
  <c r="A802" i="15"/>
  <c r="A801" i="15"/>
  <c r="A800" i="15"/>
  <c r="A799" i="15"/>
  <c r="A798" i="15"/>
  <c r="A797" i="15"/>
  <c r="A796" i="15"/>
  <c r="A795" i="15"/>
  <c r="A794" i="15"/>
  <c r="A793" i="15"/>
  <c r="A792" i="15"/>
  <c r="A791" i="15"/>
  <c r="A790" i="15"/>
  <c r="A789" i="15"/>
  <c r="A788" i="15"/>
  <c r="A787" i="15"/>
  <c r="A786" i="15"/>
  <c r="A785" i="15"/>
  <c r="A784" i="15"/>
  <c r="A783" i="15"/>
  <c r="A782" i="15"/>
  <c r="A781" i="15"/>
  <c r="A780" i="15"/>
  <c r="A779" i="15"/>
  <c r="A778" i="15"/>
  <c r="A777" i="15"/>
  <c r="A776" i="15"/>
  <c r="A775" i="15"/>
  <c r="A774" i="15"/>
  <c r="A773" i="15"/>
  <c r="A772" i="15"/>
  <c r="A771" i="15"/>
  <c r="A770" i="15"/>
  <c r="A769" i="15"/>
  <c r="A768" i="15"/>
  <c r="A767" i="15"/>
  <c r="A766" i="15"/>
  <c r="A765" i="15"/>
  <c r="A764" i="15"/>
  <c r="A763" i="15"/>
  <c r="A762" i="15"/>
  <c r="A761" i="15"/>
  <c r="A760" i="15"/>
  <c r="A759" i="15"/>
  <c r="A758" i="15"/>
  <c r="A757" i="15"/>
  <c r="A756" i="15"/>
  <c r="A755" i="15"/>
  <c r="A754" i="15"/>
  <c r="A753" i="15"/>
  <c r="A752" i="15"/>
  <c r="A751" i="15"/>
  <c r="A750" i="15"/>
  <c r="A749" i="15"/>
  <c r="A748" i="15"/>
  <c r="A747" i="15"/>
  <c r="A746" i="15"/>
  <c r="A745" i="15"/>
  <c r="A744" i="15"/>
  <c r="A743" i="15"/>
  <c r="A742" i="15"/>
  <c r="A741" i="15"/>
  <c r="A740" i="15"/>
  <c r="A739" i="15"/>
  <c r="A738" i="15"/>
  <c r="A737" i="15"/>
  <c r="A736" i="15"/>
  <c r="A735" i="15"/>
  <c r="A734" i="15"/>
  <c r="A733" i="15"/>
  <c r="A732" i="15"/>
  <c r="A731" i="15"/>
  <c r="A730" i="15"/>
  <c r="A729" i="15"/>
  <c r="A728" i="15"/>
  <c r="A727" i="15"/>
  <c r="A726" i="15"/>
  <c r="A725" i="15"/>
  <c r="A724" i="15"/>
  <c r="A723" i="15"/>
  <c r="A722" i="15"/>
  <c r="A721" i="15"/>
  <c r="A720" i="15"/>
  <c r="A719" i="15"/>
  <c r="A718" i="15"/>
  <c r="A717" i="15"/>
  <c r="A716" i="15"/>
  <c r="A715" i="15"/>
  <c r="A714" i="15"/>
  <c r="A713" i="15"/>
  <c r="A712" i="15"/>
  <c r="A711" i="15"/>
  <c r="A710" i="15"/>
  <c r="A709" i="15"/>
  <c r="A708" i="15"/>
  <c r="A707" i="15"/>
  <c r="A706" i="15"/>
  <c r="A705" i="15"/>
  <c r="A704" i="15"/>
  <c r="A703" i="15"/>
  <c r="A702" i="15"/>
  <c r="A701" i="15"/>
  <c r="A700" i="15"/>
  <c r="A699" i="15"/>
  <c r="A698" i="15"/>
  <c r="A697" i="15"/>
  <c r="A696" i="15"/>
  <c r="A695" i="15"/>
  <c r="A694" i="15"/>
  <c r="A693" i="15"/>
  <c r="A692" i="15"/>
  <c r="A691" i="15"/>
  <c r="A690" i="15"/>
  <c r="A689" i="15"/>
  <c r="A688" i="15"/>
  <c r="A687" i="15"/>
  <c r="A686" i="15"/>
  <c r="A685" i="15"/>
  <c r="A684" i="15"/>
  <c r="A683" i="15"/>
  <c r="A682" i="15"/>
  <c r="A681" i="15"/>
  <c r="A680" i="15"/>
  <c r="A679" i="15"/>
  <c r="A678" i="15"/>
  <c r="A677" i="15"/>
  <c r="A676" i="15"/>
  <c r="A675" i="15"/>
  <c r="A674" i="15"/>
  <c r="A673" i="15"/>
  <c r="A672" i="15"/>
  <c r="A671" i="15"/>
  <c r="A670" i="15"/>
  <c r="A669" i="15"/>
  <c r="A668" i="15"/>
  <c r="A667" i="15"/>
  <c r="A666" i="15"/>
  <c r="A665" i="15"/>
  <c r="A664" i="15"/>
  <c r="A663" i="15"/>
  <c r="A662" i="15"/>
  <c r="A661" i="15"/>
  <c r="A660" i="15"/>
  <c r="A659" i="15"/>
  <c r="A658" i="15"/>
  <c r="A657" i="15"/>
  <c r="A656" i="15"/>
  <c r="A655" i="15"/>
  <c r="A654" i="15"/>
  <c r="A653" i="15"/>
  <c r="A652" i="15"/>
  <c r="A651" i="15"/>
  <c r="A650" i="15"/>
  <c r="A649" i="15"/>
  <c r="A648" i="15"/>
  <c r="A647" i="15"/>
  <c r="A646" i="15"/>
  <c r="A645" i="15"/>
  <c r="A644" i="15"/>
  <c r="A643" i="15"/>
  <c r="A642" i="15"/>
  <c r="A641" i="15"/>
  <c r="A640" i="15"/>
  <c r="A639" i="15"/>
  <c r="A638" i="15"/>
  <c r="A637" i="15"/>
  <c r="A636" i="15"/>
  <c r="A635" i="15"/>
  <c r="A634" i="15"/>
  <c r="A633" i="15"/>
  <c r="A632" i="15"/>
  <c r="A631" i="15"/>
  <c r="A630" i="15"/>
  <c r="A629" i="15"/>
  <c r="A628" i="15"/>
  <c r="A627" i="15"/>
  <c r="A626" i="15"/>
  <c r="A625" i="15"/>
  <c r="A624" i="15"/>
  <c r="A623" i="15"/>
  <c r="A622" i="15"/>
  <c r="A621" i="15"/>
  <c r="A620" i="15"/>
  <c r="A619" i="15"/>
  <c r="A618" i="15"/>
  <c r="A617" i="15"/>
  <c r="A616" i="15"/>
  <c r="A615" i="15"/>
  <c r="A614" i="15"/>
  <c r="A613" i="15"/>
  <c r="A612" i="15"/>
  <c r="A611" i="15"/>
  <c r="A610" i="15"/>
  <c r="A609" i="15"/>
  <c r="A608" i="15"/>
  <c r="A607" i="15"/>
  <c r="A606" i="15"/>
  <c r="A605" i="15"/>
  <c r="A604" i="15"/>
  <c r="A603" i="15"/>
  <c r="A602" i="15"/>
  <c r="A601" i="15"/>
  <c r="A600" i="15"/>
  <c r="A599" i="15"/>
  <c r="A598" i="15"/>
  <c r="A597" i="15"/>
  <c r="A596" i="15"/>
  <c r="A595" i="15"/>
  <c r="A594" i="15"/>
  <c r="A593" i="15"/>
  <c r="A592" i="15"/>
  <c r="A591" i="15"/>
  <c r="A590" i="15"/>
  <c r="A589" i="15"/>
  <c r="A588" i="15"/>
  <c r="A587" i="15"/>
  <c r="A586" i="15"/>
  <c r="A585" i="15"/>
  <c r="A584" i="15"/>
  <c r="A583" i="15"/>
  <c r="A582" i="15"/>
  <c r="A581" i="15"/>
  <c r="A580" i="15"/>
  <c r="A579" i="15"/>
  <c r="A578" i="15"/>
  <c r="A577" i="15"/>
  <c r="A576" i="15"/>
  <c r="A575" i="15"/>
  <c r="A574" i="15"/>
  <c r="A573" i="15"/>
  <c r="A572" i="15"/>
  <c r="A571" i="15"/>
  <c r="A570" i="15"/>
  <c r="A569" i="15"/>
  <c r="A568" i="15"/>
  <c r="A567" i="15"/>
  <c r="A566" i="15"/>
  <c r="A565" i="15"/>
  <c r="A564" i="15"/>
  <c r="A563" i="15"/>
  <c r="A562" i="15"/>
  <c r="A561" i="15"/>
  <c r="A560" i="15"/>
  <c r="A559" i="15"/>
  <c r="A558" i="15"/>
  <c r="A557" i="15"/>
  <c r="A556" i="15"/>
  <c r="A555" i="15"/>
  <c r="A554" i="15"/>
  <c r="A553" i="15"/>
  <c r="A552" i="15"/>
  <c r="A551" i="15"/>
  <c r="A550" i="15"/>
  <c r="A549" i="15"/>
  <c r="A548" i="15"/>
  <c r="A547" i="15"/>
  <c r="A546" i="15"/>
  <c r="A545" i="15"/>
  <c r="A544" i="15"/>
  <c r="A543" i="15"/>
  <c r="A542" i="15"/>
  <c r="A541" i="15"/>
  <c r="A540" i="15"/>
  <c r="A539" i="15"/>
  <c r="A538" i="15"/>
  <c r="A537" i="15"/>
  <c r="A536" i="15"/>
  <c r="A535" i="15"/>
  <c r="A534" i="15"/>
  <c r="A533" i="15"/>
  <c r="A532" i="15"/>
  <c r="A531" i="15"/>
  <c r="A530" i="15"/>
  <c r="A529" i="15"/>
  <c r="A528" i="15"/>
  <c r="A527" i="15"/>
  <c r="A526" i="15"/>
  <c r="A525" i="15"/>
  <c r="A524" i="15"/>
  <c r="A523" i="15"/>
  <c r="A522" i="15"/>
  <c r="A521" i="15"/>
  <c r="A520" i="15"/>
  <c r="A519" i="15"/>
  <c r="A518" i="15"/>
  <c r="A517" i="15"/>
  <c r="A516" i="15"/>
  <c r="A515" i="15"/>
  <c r="A514" i="15"/>
  <c r="A513" i="15"/>
  <c r="A512" i="15"/>
  <c r="A511" i="15"/>
  <c r="A510" i="15"/>
  <c r="A509" i="15"/>
  <c r="A508" i="15"/>
  <c r="A507" i="15"/>
  <c r="A506" i="15"/>
  <c r="A505" i="15"/>
  <c r="A504" i="15"/>
  <c r="A503" i="15"/>
  <c r="A502" i="15"/>
  <c r="A501" i="15"/>
  <c r="A500" i="15"/>
  <c r="A499" i="15"/>
  <c r="A498" i="15"/>
  <c r="A497" i="15"/>
  <c r="A496" i="15"/>
  <c r="A495" i="15"/>
  <c r="A494" i="15"/>
  <c r="A493" i="15"/>
  <c r="A492" i="15"/>
  <c r="A491" i="15"/>
  <c r="A490" i="15"/>
  <c r="A489" i="15"/>
  <c r="A488" i="15"/>
  <c r="A487" i="15"/>
  <c r="A486" i="15"/>
  <c r="A485" i="15"/>
  <c r="A484" i="15"/>
  <c r="A483" i="15"/>
  <c r="A482" i="15"/>
  <c r="A481" i="15"/>
  <c r="A480" i="15"/>
  <c r="A479" i="15"/>
  <c r="A478" i="15"/>
  <c r="A477" i="15"/>
  <c r="A476" i="15"/>
  <c r="A475" i="15"/>
  <c r="A474" i="15"/>
  <c r="A473" i="15"/>
  <c r="A472" i="15"/>
  <c r="A471" i="15"/>
  <c r="A470" i="15"/>
  <c r="A469" i="15"/>
  <c r="A468" i="15"/>
  <c r="A467" i="15"/>
  <c r="A466" i="15"/>
  <c r="A465" i="15"/>
  <c r="A464" i="15"/>
  <c r="A463" i="15"/>
  <c r="A462" i="15"/>
  <c r="A461" i="15"/>
  <c r="A460" i="15"/>
  <c r="A459" i="15"/>
  <c r="A458" i="15"/>
  <c r="A457" i="15"/>
  <c r="A456" i="15"/>
  <c r="A455" i="15"/>
  <c r="A454" i="15"/>
  <c r="A453" i="15"/>
  <c r="A452" i="15"/>
  <c r="A451" i="15"/>
  <c r="A450" i="15"/>
  <c r="A449" i="15"/>
  <c r="A448" i="15"/>
  <c r="A447" i="15"/>
  <c r="A446" i="15"/>
  <c r="A445" i="15"/>
  <c r="A444" i="15"/>
  <c r="A443" i="15"/>
  <c r="A442" i="15"/>
  <c r="A441" i="15"/>
  <c r="A440" i="15"/>
  <c r="A439" i="15"/>
  <c r="A438" i="15"/>
  <c r="A437" i="15"/>
  <c r="A436" i="15"/>
  <c r="A435" i="15"/>
  <c r="A434" i="15"/>
  <c r="A433" i="15"/>
  <c r="A432" i="15"/>
  <c r="A431" i="15"/>
  <c r="A430" i="15"/>
  <c r="A429" i="15"/>
  <c r="A428" i="15"/>
  <c r="A427" i="15"/>
  <c r="A426" i="15"/>
  <c r="A425" i="15"/>
  <c r="A424" i="15"/>
  <c r="A423" i="15"/>
  <c r="A422" i="15"/>
  <c r="A421" i="15"/>
  <c r="A420" i="15"/>
  <c r="A419" i="15"/>
  <c r="A418" i="15"/>
  <c r="A417" i="15"/>
  <c r="A416" i="15"/>
  <c r="A415" i="15"/>
  <c r="A414" i="15"/>
  <c r="A413" i="15"/>
  <c r="A412" i="15"/>
  <c r="A411" i="15"/>
  <c r="A410" i="15"/>
  <c r="A409" i="15"/>
  <c r="A408" i="15"/>
  <c r="A407" i="15"/>
  <c r="A406" i="15"/>
  <c r="A405" i="15"/>
  <c r="A404" i="15"/>
  <c r="A403" i="15"/>
  <c r="A402" i="15"/>
  <c r="A401" i="15"/>
  <c r="A400" i="15"/>
  <c r="A399" i="15"/>
  <c r="A398" i="15"/>
  <c r="A397" i="15"/>
  <c r="A396" i="15"/>
  <c r="A395" i="15"/>
  <c r="A394" i="15"/>
  <c r="A393" i="15"/>
  <c r="A392" i="15"/>
  <c r="A391" i="15"/>
  <c r="A390" i="15"/>
  <c r="A389" i="15"/>
  <c r="A388" i="15"/>
  <c r="A387" i="15"/>
  <c r="A386" i="15"/>
  <c r="A385" i="15"/>
  <c r="A384" i="15"/>
  <c r="A383" i="15"/>
  <c r="A382" i="15"/>
  <c r="A381" i="15"/>
  <c r="A380" i="15"/>
  <c r="A379" i="15"/>
  <c r="A378" i="15"/>
  <c r="A377" i="15"/>
  <c r="A376" i="15"/>
  <c r="A375" i="15"/>
  <c r="A374" i="15"/>
  <c r="A373" i="15"/>
  <c r="A372" i="15"/>
  <c r="A371" i="15"/>
  <c r="A370" i="15"/>
  <c r="A369" i="15"/>
  <c r="A368" i="15"/>
  <c r="A367" i="15"/>
  <c r="A366" i="15"/>
  <c r="A365" i="15"/>
  <c r="A364" i="15"/>
  <c r="A363" i="15"/>
  <c r="A362" i="15"/>
  <c r="A361" i="15"/>
  <c r="A360" i="15"/>
  <c r="A359" i="15"/>
  <c r="A358" i="15"/>
  <c r="A357" i="15"/>
  <c r="A356" i="15"/>
  <c r="A355" i="15"/>
  <c r="A354" i="15"/>
  <c r="A353" i="15"/>
  <c r="A352" i="15"/>
  <c r="A351" i="15"/>
  <c r="A350" i="15"/>
  <c r="A349" i="15"/>
  <c r="A348" i="15"/>
  <c r="A347" i="15"/>
  <c r="A346" i="15"/>
  <c r="A345" i="15"/>
  <c r="A344" i="15"/>
  <c r="A343" i="15"/>
  <c r="A342" i="15"/>
  <c r="A341" i="15"/>
  <c r="A340" i="15"/>
  <c r="A339" i="15"/>
  <c r="A338" i="15"/>
  <c r="A337" i="15"/>
  <c r="A336" i="15"/>
  <c r="A335" i="15"/>
  <c r="A334" i="15"/>
  <c r="A333" i="15"/>
  <c r="A332" i="15"/>
  <c r="A331" i="15"/>
  <c r="A330" i="15"/>
  <c r="A329" i="15"/>
  <c r="A328" i="15"/>
  <c r="A327" i="15"/>
  <c r="A326" i="15"/>
  <c r="A325" i="15"/>
  <c r="A324" i="15"/>
  <c r="A323" i="15"/>
  <c r="A322" i="15"/>
  <c r="A321" i="15"/>
  <c r="A320" i="15"/>
  <c r="A319" i="15"/>
  <c r="A318" i="15"/>
  <c r="A317" i="15"/>
  <c r="A316" i="15"/>
  <c r="A315" i="15"/>
  <c r="A314" i="15"/>
  <c r="A313" i="15"/>
  <c r="A312" i="15"/>
  <c r="A311" i="15"/>
  <c r="A310" i="15"/>
  <c r="A309" i="15"/>
  <c r="A308" i="15"/>
  <c r="A307" i="15"/>
  <c r="A306" i="15"/>
  <c r="A305" i="15"/>
  <c r="A304" i="15"/>
  <c r="A303" i="15"/>
  <c r="A302" i="15"/>
  <c r="A301" i="15"/>
  <c r="A300" i="15"/>
  <c r="A299" i="15"/>
  <c r="A298" i="15"/>
  <c r="A297" i="15"/>
  <c r="A296" i="15"/>
  <c r="A295" i="15"/>
  <c r="A294" i="15"/>
  <c r="A293" i="15"/>
  <c r="A292" i="15"/>
  <c r="A291" i="15"/>
  <c r="A290" i="15"/>
  <c r="A289" i="15"/>
  <c r="A288" i="15"/>
  <c r="A287" i="15"/>
  <c r="A286" i="15"/>
  <c r="A285" i="15"/>
  <c r="A284" i="15"/>
  <c r="A283" i="15"/>
  <c r="A282" i="15"/>
  <c r="A281" i="15"/>
  <c r="A280" i="15"/>
  <c r="A279" i="15"/>
  <c r="A278" i="15"/>
  <c r="A277" i="15"/>
  <c r="A276" i="15"/>
  <c r="A275" i="15"/>
  <c r="A274" i="15"/>
  <c r="A273" i="15"/>
  <c r="A272" i="15"/>
  <c r="A271" i="15"/>
  <c r="A270" i="15"/>
  <c r="A269" i="15"/>
  <c r="A268" i="15"/>
  <c r="A267" i="15"/>
  <c r="A266" i="15"/>
  <c r="A265" i="15"/>
  <c r="A264" i="15"/>
  <c r="A263" i="15"/>
  <c r="A262" i="15"/>
  <c r="A261" i="15"/>
  <c r="A260" i="15"/>
  <c r="A259" i="15"/>
  <c r="A258" i="15"/>
  <c r="A257" i="15"/>
  <c r="A256" i="15"/>
  <c r="A255" i="15"/>
  <c r="A254" i="15"/>
  <c r="A253" i="15"/>
  <c r="A252" i="15"/>
  <c r="A251" i="15"/>
  <c r="A250" i="15"/>
  <c r="A249" i="15"/>
  <c r="A248" i="15"/>
  <c r="A247" i="15"/>
  <c r="A246" i="15"/>
  <c r="A245" i="15"/>
  <c r="A244" i="15"/>
  <c r="A243" i="15"/>
  <c r="A242" i="15"/>
  <c r="A241" i="15"/>
  <c r="A240" i="15"/>
  <c r="A239" i="15"/>
  <c r="A238" i="15"/>
  <c r="A237" i="15"/>
  <c r="A236" i="15"/>
  <c r="A235" i="15"/>
  <c r="A234" i="15"/>
  <c r="A233" i="15"/>
  <c r="A232" i="15"/>
  <c r="A231" i="15"/>
  <c r="A230" i="15"/>
  <c r="A229" i="15"/>
  <c r="A228" i="15"/>
  <c r="A227" i="15"/>
  <c r="A226" i="15"/>
  <c r="A225" i="15"/>
  <c r="A224" i="15"/>
  <c r="A223" i="15"/>
  <c r="A222" i="15"/>
  <c r="A221" i="15"/>
  <c r="A220" i="15"/>
  <c r="A219" i="15"/>
  <c r="A218" i="15"/>
  <c r="A217" i="15"/>
  <c r="A216" i="15"/>
  <c r="A215" i="15"/>
  <c r="A214" i="15"/>
  <c r="A213" i="15"/>
  <c r="A212" i="15"/>
  <c r="A211" i="15"/>
  <c r="A210" i="15"/>
  <c r="A209" i="15"/>
  <c r="A208" i="15"/>
  <c r="A207" i="15"/>
  <c r="A206" i="15"/>
  <c r="A205" i="15"/>
  <c r="A204" i="15"/>
  <c r="A203" i="15"/>
  <c r="A202" i="15"/>
  <c r="A201" i="15"/>
  <c r="A200" i="15"/>
  <c r="A199" i="15"/>
  <c r="A198" i="15"/>
  <c r="A197" i="15"/>
  <c r="A196" i="15"/>
  <c r="A195" i="15"/>
  <c r="A194" i="15"/>
  <c r="A193" i="15"/>
  <c r="A192" i="15"/>
  <c r="A191" i="15"/>
  <c r="A190" i="15"/>
  <c r="A189" i="15"/>
  <c r="A188" i="15"/>
  <c r="A187" i="15"/>
  <c r="A186" i="15"/>
  <c r="A185" i="15"/>
  <c r="A184" i="15"/>
  <c r="A183" i="15"/>
  <c r="A182" i="15"/>
  <c r="A181" i="15"/>
  <c r="A180" i="15"/>
  <c r="A179" i="15"/>
  <c r="A178" i="15"/>
  <c r="A177" i="15"/>
  <c r="A176" i="15"/>
  <c r="A175" i="15"/>
  <c r="A174" i="15"/>
  <c r="A173" i="15"/>
  <c r="A172" i="15"/>
  <c r="A171" i="15"/>
  <c r="A170" i="15"/>
  <c r="A169" i="15"/>
  <c r="A168" i="15"/>
  <c r="A167" i="15"/>
  <c r="A166" i="15"/>
  <c r="A165" i="15"/>
  <c r="A164" i="15"/>
  <c r="A163" i="15"/>
  <c r="A162" i="15"/>
  <c r="A161" i="15"/>
  <c r="A160" i="15"/>
  <c r="A159" i="15"/>
  <c r="A158" i="15"/>
  <c r="A157" i="15"/>
  <c r="A156" i="15"/>
  <c r="A155" i="15"/>
  <c r="A154" i="15"/>
  <c r="A153" i="15"/>
  <c r="A152" i="15"/>
  <c r="A151" i="15"/>
  <c r="A150" i="15"/>
  <c r="A149" i="15"/>
  <c r="A148" i="15"/>
  <c r="A147" i="15"/>
  <c r="A146" i="15"/>
  <c r="A145" i="15"/>
  <c r="A144" i="15"/>
  <c r="A143" i="15"/>
  <c r="A142" i="15"/>
  <c r="A141" i="15"/>
  <c r="A140" i="15"/>
  <c r="A139" i="15"/>
  <c r="A138" i="15"/>
  <c r="A137" i="15"/>
  <c r="A136" i="15"/>
  <c r="A135" i="15"/>
  <c r="A134" i="15"/>
  <c r="A133" i="15"/>
  <c r="A132" i="15"/>
  <c r="A131" i="15"/>
  <c r="A130" i="15"/>
  <c r="A129" i="15"/>
  <c r="A128" i="15"/>
  <c r="A127" i="15"/>
  <c r="A126" i="15"/>
  <c r="A125" i="15"/>
  <c r="A124" i="15"/>
  <c r="A123" i="15"/>
  <c r="A122" i="15"/>
  <c r="A121" i="15"/>
  <c r="A120" i="15"/>
  <c r="A119" i="15"/>
  <c r="A118" i="15"/>
  <c r="A117" i="15"/>
  <c r="A116" i="15"/>
  <c r="A115" i="15"/>
  <c r="A114" i="15"/>
  <c r="A113" i="15"/>
  <c r="A112" i="15"/>
  <c r="A111" i="15"/>
  <c r="A110" i="15"/>
  <c r="A109" i="15"/>
  <c r="A108" i="15"/>
  <c r="A107" i="15"/>
  <c r="A106" i="15"/>
  <c r="A105" i="15"/>
  <c r="A104" i="15"/>
  <c r="A103" i="15"/>
  <c r="A102" i="15"/>
  <c r="A101" i="15"/>
  <c r="A100" i="15"/>
  <c r="A99" i="15"/>
  <c r="A98" i="15"/>
  <c r="A97" i="15"/>
  <c r="A96" i="15"/>
  <c r="A95" i="15"/>
  <c r="A94" i="15"/>
  <c r="A93" i="15"/>
  <c r="A92" i="15"/>
  <c r="A91" i="15"/>
  <c r="A90" i="15"/>
  <c r="A89" i="15"/>
  <c r="A88" i="15"/>
  <c r="A87" i="15"/>
  <c r="A86" i="15"/>
  <c r="A85" i="15"/>
  <c r="A84" i="15"/>
  <c r="A83" i="15"/>
  <c r="A82" i="15"/>
  <c r="A81" i="15"/>
  <c r="A80" i="15"/>
  <c r="A79" i="15"/>
  <c r="A78" i="15"/>
  <c r="A77" i="15"/>
  <c r="A76" i="15"/>
  <c r="A75" i="15"/>
  <c r="A74" i="15"/>
  <c r="A73" i="15"/>
  <c r="A72" i="15"/>
  <c r="A71" i="15"/>
  <c r="A70" i="15"/>
  <c r="A69" i="15"/>
  <c r="A68" i="15"/>
  <c r="A67" i="15"/>
  <c r="A66" i="15"/>
  <c r="A65" i="15"/>
  <c r="A64" i="15"/>
  <c r="A63" i="15"/>
  <c r="A62" i="15"/>
  <c r="A61" i="15"/>
  <c r="A60" i="15"/>
  <c r="A59" i="15"/>
  <c r="A58" i="15"/>
  <c r="A57" i="15"/>
  <c r="A56" i="15"/>
  <c r="A55" i="15"/>
  <c r="A54" i="15"/>
  <c r="A53" i="15"/>
  <c r="A52" i="15"/>
  <c r="A51" i="15"/>
  <c r="A50" i="15"/>
  <c r="A49" i="15"/>
  <c r="A48" i="15"/>
  <c r="A47" i="15"/>
  <c r="A46" i="15"/>
  <c r="A45" i="15"/>
  <c r="A44" i="15"/>
  <c r="A43" i="15"/>
  <c r="A42" i="15"/>
  <c r="A41" i="15"/>
  <c r="A40" i="15"/>
  <c r="A39" i="15"/>
  <c r="A38" i="15"/>
  <c r="A37" i="15"/>
  <c r="A36" i="15"/>
  <c r="A35" i="15"/>
  <c r="A34" i="15"/>
  <c r="A33" i="15"/>
  <c r="A32" i="15"/>
  <c r="A31" i="15"/>
  <c r="A30" i="15"/>
  <c r="A29" i="15"/>
  <c r="A28" i="15"/>
  <c r="A27" i="15"/>
  <c r="A26" i="15"/>
  <c r="A25" i="15"/>
  <c r="A24" i="15"/>
  <c r="A23" i="15"/>
  <c r="A22" i="15"/>
  <c r="A21" i="15"/>
  <c r="A20" i="15"/>
  <c r="A19" i="15"/>
  <c r="A18" i="15"/>
  <c r="A17" i="15"/>
  <c r="A16" i="15"/>
  <c r="A15" i="15"/>
  <c r="A14" i="15"/>
  <c r="A13" i="15"/>
  <c r="A12" i="15"/>
  <c r="A11" i="15"/>
  <c r="A10" i="15"/>
  <c r="A9" i="15"/>
  <c r="A8" i="15"/>
  <c r="A7" i="15"/>
  <c r="A6" i="15"/>
  <c r="A3" i="15"/>
  <c r="E990" i="14"/>
  <c r="A990" i="14"/>
  <c r="E989" i="14"/>
  <c r="A989" i="14"/>
  <c r="E988" i="14"/>
  <c r="A988" i="14"/>
  <c r="E987" i="14"/>
  <c r="A987" i="14"/>
  <c r="E986" i="14"/>
  <c r="A986" i="14"/>
  <c r="E985" i="14"/>
  <c r="A985" i="14"/>
  <c r="E984" i="14"/>
  <c r="A984" i="14"/>
  <c r="E983" i="14"/>
  <c r="A983" i="14"/>
  <c r="E982" i="14"/>
  <c r="A982" i="14"/>
  <c r="E981" i="14"/>
  <c r="A981" i="14"/>
  <c r="E980" i="14"/>
  <c r="A980" i="14"/>
  <c r="E979" i="14"/>
  <c r="A979" i="14"/>
  <c r="E978" i="14"/>
  <c r="A978" i="14"/>
  <c r="E977" i="14"/>
  <c r="A977" i="14"/>
  <c r="E976" i="14"/>
  <c r="A976" i="14"/>
  <c r="E975" i="14"/>
  <c r="A975" i="14"/>
  <c r="E974" i="14"/>
  <c r="A974" i="14"/>
  <c r="E973" i="14"/>
  <c r="A973" i="14"/>
  <c r="E972" i="14"/>
  <c r="A972" i="14"/>
  <c r="E971" i="14"/>
  <c r="A971" i="14"/>
  <c r="E970" i="14"/>
  <c r="A970" i="14"/>
  <c r="E969" i="14"/>
  <c r="A969" i="14"/>
  <c r="E968" i="14"/>
  <c r="A968" i="14"/>
  <c r="E967" i="14"/>
  <c r="A967" i="14"/>
  <c r="E966" i="14"/>
  <c r="A966" i="14"/>
  <c r="E965" i="14"/>
  <c r="A965" i="14"/>
  <c r="E964" i="14"/>
  <c r="A964" i="14"/>
  <c r="E963" i="14"/>
  <c r="A963" i="14"/>
  <c r="E962" i="14"/>
  <c r="A962" i="14"/>
  <c r="E961" i="14"/>
  <c r="A961" i="14"/>
  <c r="E960" i="14"/>
  <c r="A960" i="14"/>
  <c r="E959" i="14"/>
  <c r="A959" i="14"/>
  <c r="E958" i="14"/>
  <c r="A958" i="14"/>
  <c r="E957" i="14"/>
  <c r="A957" i="14"/>
  <c r="E956" i="14"/>
  <c r="A956" i="14"/>
  <c r="E955" i="14"/>
  <c r="A955" i="14"/>
  <c r="E954" i="14"/>
  <c r="A954" i="14"/>
  <c r="E953" i="14"/>
  <c r="A953" i="14"/>
  <c r="E952" i="14"/>
  <c r="A952" i="14"/>
  <c r="E951" i="14"/>
  <c r="A951" i="14"/>
  <c r="E950" i="14"/>
  <c r="A950" i="14"/>
  <c r="E949" i="14"/>
  <c r="A949" i="14"/>
  <c r="E948" i="14"/>
  <c r="A948" i="14"/>
  <c r="E947" i="14"/>
  <c r="A947" i="14"/>
  <c r="E946" i="14"/>
  <c r="A946" i="14"/>
  <c r="E945" i="14"/>
  <c r="A945" i="14"/>
  <c r="E944" i="14"/>
  <c r="A944" i="14"/>
  <c r="E943" i="14"/>
  <c r="A943" i="14"/>
  <c r="E942" i="14"/>
  <c r="A942" i="14"/>
  <c r="E941" i="14"/>
  <c r="A941" i="14"/>
  <c r="E940" i="14"/>
  <c r="A940" i="14"/>
  <c r="E939" i="14"/>
  <c r="A939" i="14"/>
  <c r="E938" i="14"/>
  <c r="A938" i="14"/>
  <c r="E937" i="14"/>
  <c r="A937" i="14"/>
  <c r="E936" i="14"/>
  <c r="A936" i="14"/>
  <c r="E935" i="14"/>
  <c r="A935" i="14"/>
  <c r="E934" i="14"/>
  <c r="A934" i="14"/>
  <c r="E933" i="14"/>
  <c r="A933" i="14"/>
  <c r="E932" i="14"/>
  <c r="A932" i="14"/>
  <c r="E931" i="14"/>
  <c r="A931" i="14"/>
  <c r="E930" i="14"/>
  <c r="A930" i="14"/>
  <c r="E929" i="14"/>
  <c r="A929" i="14"/>
  <c r="E928" i="14"/>
  <c r="A928" i="14"/>
  <c r="E927" i="14"/>
  <c r="A927" i="14"/>
  <c r="E926" i="14"/>
  <c r="A926" i="14"/>
  <c r="E925" i="14"/>
  <c r="A925" i="14"/>
  <c r="E924" i="14"/>
  <c r="A924" i="14"/>
  <c r="E923" i="14"/>
  <c r="A923" i="14"/>
  <c r="E922" i="14"/>
  <c r="A922" i="14"/>
  <c r="E921" i="14"/>
  <c r="A921" i="14"/>
  <c r="E920" i="14"/>
  <c r="A920" i="14"/>
  <c r="E919" i="14"/>
  <c r="A919" i="14"/>
  <c r="E918" i="14"/>
  <c r="A918" i="14"/>
  <c r="E917" i="14"/>
  <c r="A917" i="14"/>
  <c r="E916" i="14"/>
  <c r="A916" i="14"/>
  <c r="E915" i="14"/>
  <c r="A915" i="14"/>
  <c r="E914" i="14"/>
  <c r="A914" i="14"/>
  <c r="E913" i="14"/>
  <c r="A913" i="14"/>
  <c r="E912" i="14"/>
  <c r="A912" i="14"/>
  <c r="E911" i="14"/>
  <c r="A911" i="14"/>
  <c r="E910" i="14"/>
  <c r="A910" i="14"/>
  <c r="E909" i="14"/>
  <c r="A909" i="14"/>
  <c r="E908" i="14"/>
  <c r="A908" i="14"/>
  <c r="E907" i="14"/>
  <c r="A907" i="14"/>
  <c r="E906" i="14"/>
  <c r="A906" i="14"/>
  <c r="E905" i="14"/>
  <c r="A905" i="14"/>
  <c r="E904" i="14"/>
  <c r="A904" i="14"/>
  <c r="E903" i="14"/>
  <c r="A903" i="14"/>
  <c r="E902" i="14"/>
  <c r="A902" i="14"/>
  <c r="E901" i="14"/>
  <c r="A901" i="14"/>
  <c r="E900" i="14"/>
  <c r="A900" i="14"/>
  <c r="E899" i="14"/>
  <c r="A899" i="14"/>
  <c r="E898" i="14"/>
  <c r="A898" i="14"/>
  <c r="E897" i="14"/>
  <c r="A897" i="14"/>
  <c r="E896" i="14"/>
  <c r="A896" i="14"/>
  <c r="E895" i="14"/>
  <c r="A895" i="14"/>
  <c r="E894" i="14"/>
  <c r="A894" i="14"/>
  <c r="E893" i="14"/>
  <c r="A893" i="14"/>
  <c r="E892" i="14"/>
  <c r="A892" i="14"/>
  <c r="E891" i="14"/>
  <c r="A891" i="14"/>
  <c r="E890" i="14"/>
  <c r="A890" i="14"/>
  <c r="E889" i="14"/>
  <c r="A889" i="14"/>
  <c r="E888" i="14"/>
  <c r="A888" i="14"/>
  <c r="E887" i="14"/>
  <c r="A887" i="14"/>
  <c r="E886" i="14"/>
  <c r="A886" i="14"/>
  <c r="E885" i="14"/>
  <c r="A885" i="14"/>
  <c r="E884" i="14"/>
  <c r="A884" i="14"/>
  <c r="E883" i="14"/>
  <c r="A883" i="14"/>
  <c r="E882" i="14"/>
  <c r="A882" i="14"/>
  <c r="E881" i="14"/>
  <c r="A881" i="14"/>
  <c r="E880" i="14"/>
  <c r="A880" i="14"/>
  <c r="E879" i="14"/>
  <c r="A879" i="14"/>
  <c r="E878" i="14"/>
  <c r="A878" i="14"/>
  <c r="E877" i="14"/>
  <c r="A877" i="14"/>
  <c r="E876" i="14"/>
  <c r="A876" i="14"/>
  <c r="E875" i="14"/>
  <c r="A875" i="14"/>
  <c r="E874" i="14"/>
  <c r="A874" i="14"/>
  <c r="E873" i="14"/>
  <c r="A873" i="14"/>
  <c r="E872" i="14"/>
  <c r="A872" i="14"/>
  <c r="E871" i="14"/>
  <c r="A871" i="14"/>
  <c r="E870" i="14"/>
  <c r="A870" i="14"/>
  <c r="E869" i="14"/>
  <c r="A869" i="14"/>
  <c r="E868" i="14"/>
  <c r="A868" i="14"/>
  <c r="E867" i="14"/>
  <c r="A867" i="14"/>
  <c r="E866" i="14"/>
  <c r="A866" i="14"/>
  <c r="E865" i="14"/>
  <c r="A865" i="14"/>
  <c r="E864" i="14"/>
  <c r="A864" i="14"/>
  <c r="E863" i="14"/>
  <c r="A863" i="14"/>
  <c r="E862" i="14"/>
  <c r="A862" i="14"/>
  <c r="E861" i="14"/>
  <c r="A861" i="14"/>
  <c r="E860" i="14"/>
  <c r="A860" i="14"/>
  <c r="E859" i="14"/>
  <c r="A859" i="14"/>
  <c r="E858" i="14"/>
  <c r="A858" i="14"/>
  <c r="E857" i="14"/>
  <c r="A857" i="14"/>
  <c r="E856" i="14"/>
  <c r="A856" i="14"/>
  <c r="E855" i="14"/>
  <c r="A855" i="14"/>
  <c r="E854" i="14"/>
  <c r="A854" i="14"/>
  <c r="E853" i="14"/>
  <c r="A853" i="14"/>
  <c r="E852" i="14"/>
  <c r="A852" i="14"/>
  <c r="E851" i="14"/>
  <c r="A851" i="14"/>
  <c r="E850" i="14"/>
  <c r="A850" i="14"/>
  <c r="E849" i="14"/>
  <c r="A849" i="14"/>
  <c r="E848" i="14"/>
  <c r="A848" i="14"/>
  <c r="E847" i="14"/>
  <c r="A847" i="14"/>
  <c r="E846" i="14"/>
  <c r="A846" i="14"/>
  <c r="E845" i="14"/>
  <c r="A845" i="14"/>
  <c r="E844" i="14"/>
  <c r="A844" i="14"/>
  <c r="E843" i="14"/>
  <c r="A843" i="14"/>
  <c r="E842" i="14"/>
  <c r="A842" i="14"/>
  <c r="E841" i="14"/>
  <c r="A841" i="14"/>
  <c r="E840" i="14"/>
  <c r="A840" i="14"/>
  <c r="E839" i="14"/>
  <c r="A839" i="14"/>
  <c r="E838" i="14"/>
  <c r="A838" i="14"/>
  <c r="E837" i="14"/>
  <c r="A837" i="14"/>
  <c r="E836" i="14"/>
  <c r="A836" i="14"/>
  <c r="E835" i="14"/>
  <c r="A835" i="14"/>
  <c r="E834" i="14"/>
  <c r="A834" i="14"/>
  <c r="E833" i="14"/>
  <c r="A833" i="14"/>
  <c r="E832" i="14"/>
  <c r="A832" i="14"/>
  <c r="E831" i="14"/>
  <c r="A831" i="14"/>
  <c r="E830" i="14"/>
  <c r="A830" i="14"/>
  <c r="E829" i="14"/>
  <c r="A829" i="14"/>
  <c r="E828" i="14"/>
  <c r="A828" i="14"/>
  <c r="E827" i="14"/>
  <c r="A827" i="14"/>
  <c r="E826" i="14"/>
  <c r="A826" i="14"/>
  <c r="E825" i="14"/>
  <c r="A825" i="14"/>
  <c r="E824" i="14"/>
  <c r="A824" i="14"/>
  <c r="E823" i="14"/>
  <c r="A823" i="14"/>
  <c r="E822" i="14"/>
  <c r="A822" i="14"/>
  <c r="E821" i="14"/>
  <c r="A821" i="14"/>
  <c r="E820" i="14"/>
  <c r="A820" i="14"/>
  <c r="E819" i="14"/>
  <c r="A819" i="14"/>
  <c r="E818" i="14"/>
  <c r="A818" i="14"/>
  <c r="E817" i="14"/>
  <c r="A817" i="14"/>
  <c r="E816" i="14"/>
  <c r="A816" i="14"/>
  <c r="E815" i="14"/>
  <c r="A815" i="14"/>
  <c r="E814" i="14"/>
  <c r="A814" i="14"/>
  <c r="E813" i="14"/>
  <c r="A813" i="14"/>
  <c r="E812" i="14"/>
  <c r="A812" i="14"/>
  <c r="E811" i="14"/>
  <c r="A811" i="14"/>
  <c r="E810" i="14"/>
  <c r="A810" i="14"/>
  <c r="E809" i="14"/>
  <c r="A809" i="14"/>
  <c r="E808" i="14"/>
  <c r="A808" i="14"/>
  <c r="E807" i="14"/>
  <c r="A807" i="14"/>
  <c r="E806" i="14"/>
  <c r="A806" i="14"/>
  <c r="E805" i="14"/>
  <c r="A805" i="14"/>
  <c r="E804" i="14"/>
  <c r="A804" i="14"/>
  <c r="E803" i="14"/>
  <c r="A803" i="14"/>
  <c r="E802" i="14"/>
  <c r="A802" i="14"/>
  <c r="E801" i="14"/>
  <c r="A801" i="14"/>
  <c r="E800" i="14"/>
  <c r="A800" i="14"/>
  <c r="E799" i="14"/>
  <c r="A799" i="14"/>
  <c r="E798" i="14"/>
  <c r="A798" i="14"/>
  <c r="E797" i="14"/>
  <c r="A797" i="14"/>
  <c r="E796" i="14"/>
  <c r="A796" i="14"/>
  <c r="E795" i="14"/>
  <c r="A795" i="14"/>
  <c r="E794" i="14"/>
  <c r="A794" i="14"/>
  <c r="E793" i="14"/>
  <c r="A793" i="14"/>
  <c r="E792" i="14"/>
  <c r="A792" i="14"/>
  <c r="E791" i="14"/>
  <c r="A791" i="14"/>
  <c r="E790" i="14"/>
  <c r="A790" i="14"/>
  <c r="E789" i="14"/>
  <c r="A789" i="14"/>
  <c r="E788" i="14"/>
  <c r="A788" i="14"/>
  <c r="E787" i="14"/>
  <c r="A787" i="14"/>
  <c r="E786" i="14"/>
  <c r="A786" i="14"/>
  <c r="E785" i="14"/>
  <c r="A785" i="14"/>
  <c r="E784" i="14"/>
  <c r="A784" i="14"/>
  <c r="E783" i="14"/>
  <c r="A783" i="14"/>
  <c r="E782" i="14"/>
  <c r="A782" i="14"/>
  <c r="E781" i="14"/>
  <c r="A781" i="14"/>
  <c r="E780" i="14"/>
  <c r="A780" i="14"/>
  <c r="E779" i="14"/>
  <c r="A779" i="14"/>
  <c r="E778" i="14"/>
  <c r="A778" i="14"/>
  <c r="E777" i="14"/>
  <c r="A777" i="14"/>
  <c r="E776" i="14"/>
  <c r="A776" i="14"/>
  <c r="E775" i="14"/>
  <c r="A775" i="14"/>
  <c r="E774" i="14"/>
  <c r="A774" i="14"/>
  <c r="E773" i="14"/>
  <c r="A773" i="14"/>
  <c r="E772" i="14"/>
  <c r="A772" i="14"/>
  <c r="E771" i="14"/>
  <c r="A771" i="14"/>
  <c r="E770" i="14"/>
  <c r="A770" i="14"/>
  <c r="E769" i="14"/>
  <c r="A769" i="14"/>
  <c r="E768" i="14"/>
  <c r="A768" i="14"/>
  <c r="E767" i="14"/>
  <c r="A767" i="14"/>
  <c r="E766" i="14"/>
  <c r="A766" i="14"/>
  <c r="E765" i="14"/>
  <c r="A765" i="14"/>
  <c r="E764" i="14"/>
  <c r="A764" i="14"/>
  <c r="E763" i="14"/>
  <c r="A763" i="14"/>
  <c r="E762" i="14"/>
  <c r="A762" i="14"/>
  <c r="E761" i="14"/>
  <c r="A761" i="14"/>
  <c r="E760" i="14"/>
  <c r="A760" i="14"/>
  <c r="E759" i="14"/>
  <c r="A759" i="14"/>
  <c r="E758" i="14"/>
  <c r="A758" i="14"/>
  <c r="E757" i="14"/>
  <c r="A757" i="14"/>
  <c r="E756" i="14"/>
  <c r="A756" i="14"/>
  <c r="E755" i="14"/>
  <c r="A755" i="14"/>
  <c r="E754" i="14"/>
  <c r="A754" i="14"/>
  <c r="E753" i="14"/>
  <c r="A753" i="14"/>
  <c r="E752" i="14"/>
  <c r="A752" i="14"/>
  <c r="E751" i="14"/>
  <c r="A751" i="14"/>
  <c r="E750" i="14"/>
  <c r="A750" i="14"/>
  <c r="E749" i="14"/>
  <c r="A749" i="14"/>
  <c r="E748" i="14"/>
  <c r="A748" i="14"/>
  <c r="E747" i="14"/>
  <c r="A747" i="14"/>
  <c r="E746" i="14"/>
  <c r="A746" i="14"/>
  <c r="E745" i="14"/>
  <c r="A745" i="14"/>
  <c r="E744" i="14"/>
  <c r="A744" i="14"/>
  <c r="E743" i="14"/>
  <c r="A743" i="14"/>
  <c r="E742" i="14"/>
  <c r="A742" i="14"/>
  <c r="E741" i="14"/>
  <c r="A741" i="14"/>
  <c r="E740" i="14"/>
  <c r="A740" i="14"/>
  <c r="E739" i="14"/>
  <c r="A739" i="14"/>
  <c r="E738" i="14"/>
  <c r="A738" i="14"/>
  <c r="E737" i="14"/>
  <c r="A737" i="14"/>
  <c r="E736" i="14"/>
  <c r="A736" i="14"/>
  <c r="E735" i="14"/>
  <c r="A735" i="14"/>
  <c r="E734" i="14"/>
  <c r="A734" i="14"/>
  <c r="E733" i="14"/>
  <c r="A733" i="14"/>
  <c r="E732" i="14"/>
  <c r="A732" i="14"/>
  <c r="E731" i="14"/>
  <c r="A731" i="14"/>
  <c r="E730" i="14"/>
  <c r="A730" i="14"/>
  <c r="E729" i="14"/>
  <c r="A729" i="14"/>
  <c r="E728" i="14"/>
  <c r="A728" i="14"/>
  <c r="E727" i="14"/>
  <c r="A727" i="14"/>
  <c r="E726" i="14"/>
  <c r="A726" i="14"/>
  <c r="E725" i="14"/>
  <c r="A725" i="14"/>
  <c r="E724" i="14"/>
  <c r="A724" i="14"/>
  <c r="E723" i="14"/>
  <c r="A723" i="14"/>
  <c r="E722" i="14"/>
  <c r="A722" i="14"/>
  <c r="E721" i="14"/>
  <c r="A721" i="14"/>
  <c r="E720" i="14"/>
  <c r="A720" i="14"/>
  <c r="E719" i="14"/>
  <c r="A719" i="14"/>
  <c r="E718" i="14"/>
  <c r="A718" i="14"/>
  <c r="E717" i="14"/>
  <c r="A717" i="14"/>
  <c r="E716" i="14"/>
  <c r="A716" i="14"/>
  <c r="E715" i="14"/>
  <c r="A715" i="14"/>
  <c r="E714" i="14"/>
  <c r="A714" i="14"/>
  <c r="E713" i="14"/>
  <c r="A713" i="14"/>
  <c r="E712" i="14"/>
  <c r="A712" i="14"/>
  <c r="E711" i="14"/>
  <c r="A711" i="14"/>
  <c r="E710" i="14"/>
  <c r="A710" i="14"/>
  <c r="E709" i="14"/>
  <c r="A709" i="14"/>
  <c r="E708" i="14"/>
  <c r="A708" i="14"/>
  <c r="E707" i="14"/>
  <c r="A707" i="14"/>
  <c r="E706" i="14"/>
  <c r="A706" i="14"/>
  <c r="E705" i="14"/>
  <c r="A705" i="14"/>
  <c r="E704" i="14"/>
  <c r="A704" i="14"/>
  <c r="E703" i="14"/>
  <c r="A703" i="14"/>
  <c r="E702" i="14"/>
  <c r="A702" i="14"/>
  <c r="E701" i="14"/>
  <c r="A701" i="14"/>
  <c r="E700" i="14"/>
  <c r="A700" i="14"/>
  <c r="E699" i="14"/>
  <c r="A699" i="14"/>
  <c r="E698" i="14"/>
  <c r="A698" i="14"/>
  <c r="E697" i="14"/>
  <c r="A697" i="14"/>
  <c r="E696" i="14"/>
  <c r="A696" i="14"/>
  <c r="E695" i="14"/>
  <c r="A695" i="14"/>
  <c r="E694" i="14"/>
  <c r="A694" i="14"/>
  <c r="E693" i="14"/>
  <c r="A693" i="14"/>
  <c r="E692" i="14"/>
  <c r="A692" i="14"/>
  <c r="E691" i="14"/>
  <c r="A691" i="14"/>
  <c r="E690" i="14"/>
  <c r="A690" i="14"/>
  <c r="E689" i="14"/>
  <c r="A689" i="14"/>
  <c r="E688" i="14"/>
  <c r="A688" i="14"/>
  <c r="E687" i="14"/>
  <c r="A687" i="14"/>
  <c r="E686" i="14"/>
  <c r="A686" i="14"/>
  <c r="E685" i="14"/>
  <c r="A685" i="14"/>
  <c r="E684" i="14"/>
  <c r="A684" i="14"/>
  <c r="E683" i="14"/>
  <c r="A683" i="14"/>
  <c r="E682" i="14"/>
  <c r="A682" i="14"/>
  <c r="E681" i="14"/>
  <c r="A681" i="14"/>
  <c r="E680" i="14"/>
  <c r="A680" i="14"/>
  <c r="E679" i="14"/>
  <c r="A679" i="14"/>
  <c r="E678" i="14"/>
  <c r="A678" i="14"/>
  <c r="E677" i="14"/>
  <c r="A677" i="14"/>
  <c r="E676" i="14"/>
  <c r="A676" i="14"/>
  <c r="E675" i="14"/>
  <c r="A675" i="14"/>
  <c r="E674" i="14"/>
  <c r="A674" i="14"/>
  <c r="E673" i="14"/>
  <c r="A673" i="14"/>
  <c r="E672" i="14"/>
  <c r="A672" i="14"/>
  <c r="E671" i="14"/>
  <c r="A671" i="14"/>
  <c r="E670" i="14"/>
  <c r="A670" i="14"/>
  <c r="E669" i="14"/>
  <c r="A669" i="14"/>
  <c r="E668" i="14"/>
  <c r="A668" i="14"/>
  <c r="E667" i="14"/>
  <c r="A667" i="14"/>
  <c r="E666" i="14"/>
  <c r="A666" i="14"/>
  <c r="E665" i="14"/>
  <c r="A665" i="14"/>
  <c r="E664" i="14"/>
  <c r="A664" i="14"/>
  <c r="E663" i="14"/>
  <c r="A663" i="14"/>
  <c r="E662" i="14"/>
  <c r="A662" i="14"/>
  <c r="E661" i="14"/>
  <c r="A661" i="14"/>
  <c r="E660" i="14"/>
  <c r="A660" i="14"/>
  <c r="E659" i="14"/>
  <c r="A659" i="14"/>
  <c r="E658" i="14"/>
  <c r="A658" i="14"/>
  <c r="E657" i="14"/>
  <c r="A657" i="14"/>
  <c r="E656" i="14"/>
  <c r="A656" i="14"/>
  <c r="E655" i="14"/>
  <c r="A655" i="14"/>
  <c r="E654" i="14"/>
  <c r="A654" i="14"/>
  <c r="E653" i="14"/>
  <c r="A653" i="14"/>
  <c r="E652" i="14"/>
  <c r="A652" i="14"/>
  <c r="E651" i="14"/>
  <c r="A651" i="14"/>
  <c r="E650" i="14"/>
  <c r="A650" i="14"/>
  <c r="E649" i="14"/>
  <c r="A649" i="14"/>
  <c r="E648" i="14"/>
  <c r="A648" i="14"/>
  <c r="E647" i="14"/>
  <c r="A647" i="14"/>
  <c r="E646" i="14"/>
  <c r="A646" i="14"/>
  <c r="E645" i="14"/>
  <c r="A645" i="14"/>
  <c r="E644" i="14"/>
  <c r="A644" i="14"/>
  <c r="E643" i="14"/>
  <c r="A643" i="14"/>
  <c r="E642" i="14"/>
  <c r="A642" i="14"/>
  <c r="E641" i="14"/>
  <c r="A641" i="14"/>
  <c r="E640" i="14"/>
  <c r="A640" i="14"/>
  <c r="E639" i="14"/>
  <c r="A639" i="14"/>
  <c r="E638" i="14"/>
  <c r="A638" i="14"/>
  <c r="E637" i="14"/>
  <c r="A637" i="14"/>
  <c r="E636" i="14"/>
  <c r="A636" i="14"/>
  <c r="E635" i="14"/>
  <c r="A635" i="14"/>
  <c r="E634" i="14"/>
  <c r="A634" i="14"/>
  <c r="E633" i="14"/>
  <c r="A633" i="14"/>
  <c r="E632" i="14"/>
  <c r="A632" i="14"/>
  <c r="E631" i="14"/>
  <c r="A631" i="14"/>
  <c r="E630" i="14"/>
  <c r="A630" i="14"/>
  <c r="E629" i="14"/>
  <c r="A629" i="14"/>
  <c r="E628" i="14"/>
  <c r="A628" i="14"/>
  <c r="E627" i="14"/>
  <c r="A627" i="14"/>
  <c r="E626" i="14"/>
  <c r="A626" i="14"/>
  <c r="E625" i="14"/>
  <c r="A625" i="14"/>
  <c r="E624" i="14"/>
  <c r="A624" i="14"/>
  <c r="E623" i="14"/>
  <c r="A623" i="14"/>
  <c r="E622" i="14"/>
  <c r="A622" i="14"/>
  <c r="E621" i="14"/>
  <c r="A621" i="14"/>
  <c r="E620" i="14"/>
  <c r="A620" i="14"/>
  <c r="E619" i="14"/>
  <c r="A619" i="14"/>
  <c r="E618" i="14"/>
  <c r="A618" i="14"/>
  <c r="E617" i="14"/>
  <c r="A617" i="14"/>
  <c r="E616" i="14"/>
  <c r="A616" i="14"/>
  <c r="E615" i="14"/>
  <c r="A615" i="14"/>
  <c r="E614" i="14"/>
  <c r="A614" i="14"/>
  <c r="E613" i="14"/>
  <c r="A613" i="14"/>
  <c r="E612" i="14"/>
  <c r="A612" i="14"/>
  <c r="E611" i="14"/>
  <c r="A611" i="14"/>
  <c r="E610" i="14"/>
  <c r="A610" i="14"/>
  <c r="E609" i="14"/>
  <c r="A609" i="14"/>
  <c r="E608" i="14"/>
  <c r="A608" i="14"/>
  <c r="E607" i="14"/>
  <c r="A607" i="14"/>
  <c r="E606" i="14"/>
  <c r="A606" i="14"/>
  <c r="E605" i="14"/>
  <c r="A605" i="14"/>
  <c r="E604" i="14"/>
  <c r="A604" i="14"/>
  <c r="E603" i="14"/>
  <c r="A603" i="14"/>
  <c r="E602" i="14"/>
  <c r="A602" i="14"/>
  <c r="E601" i="14"/>
  <c r="A601" i="14"/>
  <c r="E600" i="14"/>
  <c r="A600" i="14"/>
  <c r="E599" i="14"/>
  <c r="A599" i="14"/>
  <c r="E598" i="14"/>
  <c r="A598" i="14"/>
  <c r="E597" i="14"/>
  <c r="A597" i="14"/>
  <c r="E596" i="14"/>
  <c r="A596" i="14"/>
  <c r="E595" i="14"/>
  <c r="A595" i="14"/>
  <c r="E594" i="14"/>
  <c r="A594" i="14"/>
  <c r="E593" i="14"/>
  <c r="A593" i="14"/>
  <c r="E592" i="14"/>
  <c r="A592" i="14"/>
  <c r="E591" i="14"/>
  <c r="A591" i="14"/>
  <c r="E590" i="14"/>
  <c r="A590" i="14"/>
  <c r="E589" i="14"/>
  <c r="A589" i="14"/>
  <c r="E588" i="14"/>
  <c r="A588" i="14"/>
  <c r="E587" i="14"/>
  <c r="A587" i="14"/>
  <c r="E586" i="14"/>
  <c r="A586" i="14"/>
  <c r="E585" i="14"/>
  <c r="A585" i="14"/>
  <c r="E584" i="14"/>
  <c r="A584" i="14"/>
  <c r="E583" i="14"/>
  <c r="A583" i="14"/>
  <c r="E582" i="14"/>
  <c r="A582" i="14"/>
  <c r="E581" i="14"/>
  <c r="A581" i="14"/>
  <c r="E580" i="14"/>
  <c r="A580" i="14"/>
  <c r="E579" i="14"/>
  <c r="A579" i="14"/>
  <c r="E578" i="14"/>
  <c r="A578" i="14"/>
  <c r="E577" i="14"/>
  <c r="A577" i="14"/>
  <c r="E576" i="14"/>
  <c r="A576" i="14"/>
  <c r="E575" i="14"/>
  <c r="A575" i="14"/>
  <c r="E574" i="14"/>
  <c r="A574" i="14"/>
  <c r="E573" i="14"/>
  <c r="A573" i="14"/>
  <c r="E572" i="14"/>
  <c r="A572" i="14"/>
  <c r="E571" i="14"/>
  <c r="A571" i="14"/>
  <c r="E570" i="14"/>
  <c r="A570" i="14"/>
  <c r="E569" i="14"/>
  <c r="A569" i="14"/>
  <c r="E568" i="14"/>
  <c r="A568" i="14"/>
  <c r="E567" i="14"/>
  <c r="A567" i="14"/>
  <c r="E566" i="14"/>
  <c r="A566" i="14"/>
  <c r="E565" i="14"/>
  <c r="A565" i="14"/>
  <c r="E564" i="14"/>
  <c r="A564" i="14"/>
  <c r="E563" i="14"/>
  <c r="A563" i="14"/>
  <c r="E562" i="14"/>
  <c r="A562" i="14"/>
  <c r="E561" i="14"/>
  <c r="A561" i="14"/>
  <c r="E560" i="14"/>
  <c r="A560" i="14"/>
  <c r="E559" i="14"/>
  <c r="A559" i="14"/>
  <c r="E558" i="14"/>
  <c r="A558" i="14"/>
  <c r="E557" i="14"/>
  <c r="A557" i="14"/>
  <c r="E556" i="14"/>
  <c r="A556" i="14"/>
  <c r="E555" i="14"/>
  <c r="A555" i="14"/>
  <c r="E554" i="14"/>
  <c r="A554" i="14"/>
  <c r="E553" i="14"/>
  <c r="A553" i="14"/>
  <c r="E552" i="14"/>
  <c r="A552" i="14"/>
  <c r="E551" i="14"/>
  <c r="A551" i="14"/>
  <c r="E550" i="14"/>
  <c r="A550" i="14"/>
  <c r="E549" i="14"/>
  <c r="A549" i="14"/>
  <c r="E548" i="14"/>
  <c r="A548" i="14"/>
  <c r="E547" i="14"/>
  <c r="A547" i="14"/>
  <c r="E546" i="14"/>
  <c r="A546" i="14"/>
  <c r="E545" i="14"/>
  <c r="A545" i="14"/>
  <c r="E544" i="14"/>
  <c r="A544" i="14"/>
  <c r="E543" i="14"/>
  <c r="A543" i="14"/>
  <c r="E542" i="14"/>
  <c r="A542" i="14"/>
  <c r="E541" i="14"/>
  <c r="A541" i="14"/>
  <c r="E540" i="14"/>
  <c r="A540" i="14"/>
  <c r="E539" i="14"/>
  <c r="A539" i="14"/>
  <c r="E538" i="14"/>
  <c r="A538" i="14"/>
  <c r="E537" i="14"/>
  <c r="A537" i="14"/>
  <c r="E536" i="14"/>
  <c r="A536" i="14"/>
  <c r="E535" i="14"/>
  <c r="A535" i="14"/>
  <c r="E534" i="14"/>
  <c r="A534" i="14"/>
  <c r="E533" i="14"/>
  <c r="A533" i="14"/>
  <c r="E532" i="14"/>
  <c r="A532" i="14"/>
  <c r="E531" i="14"/>
  <c r="A531" i="14"/>
  <c r="E530" i="14"/>
  <c r="A530" i="14"/>
  <c r="E529" i="14"/>
  <c r="A529" i="14"/>
  <c r="E528" i="14"/>
  <c r="A528" i="14"/>
  <c r="E527" i="14"/>
  <c r="A527" i="14"/>
  <c r="E526" i="14"/>
  <c r="A526" i="14"/>
  <c r="E525" i="14"/>
  <c r="A525" i="14"/>
  <c r="E524" i="14"/>
  <c r="A524" i="14"/>
  <c r="E523" i="14"/>
  <c r="A523" i="14"/>
  <c r="E522" i="14"/>
  <c r="A522" i="14"/>
  <c r="E521" i="14"/>
  <c r="A521" i="14"/>
  <c r="E520" i="14"/>
  <c r="A520" i="14"/>
  <c r="E519" i="14"/>
  <c r="A519" i="14"/>
  <c r="E518" i="14"/>
  <c r="A518" i="14"/>
  <c r="E517" i="14"/>
  <c r="A517" i="14"/>
  <c r="E516" i="14"/>
  <c r="A516" i="14"/>
  <c r="E515" i="14"/>
  <c r="A515" i="14"/>
  <c r="E514" i="14"/>
  <c r="A514" i="14"/>
  <c r="E513" i="14"/>
  <c r="A513" i="14"/>
  <c r="E512" i="14"/>
  <c r="A512" i="14"/>
  <c r="E511" i="14"/>
  <c r="A511" i="14"/>
  <c r="E510" i="14"/>
  <c r="A510" i="14"/>
  <c r="E509" i="14"/>
  <c r="A509" i="14"/>
  <c r="E508" i="14"/>
  <c r="A508" i="14"/>
  <c r="E507" i="14"/>
  <c r="A507" i="14"/>
  <c r="E506" i="14"/>
  <c r="A506" i="14"/>
  <c r="E505" i="14"/>
  <c r="A505" i="14"/>
  <c r="E504" i="14"/>
  <c r="A504" i="14"/>
  <c r="E503" i="14"/>
  <c r="A503" i="14"/>
  <c r="E502" i="14"/>
  <c r="A502" i="14"/>
  <c r="E501" i="14"/>
  <c r="A501" i="14"/>
  <c r="E500" i="14"/>
  <c r="A500" i="14"/>
  <c r="E499" i="14"/>
  <c r="A499" i="14"/>
  <c r="E498" i="14"/>
  <c r="A498" i="14"/>
  <c r="E497" i="14"/>
  <c r="A497" i="14"/>
  <c r="E496" i="14"/>
  <c r="A496" i="14"/>
  <c r="E495" i="14"/>
  <c r="A495" i="14"/>
  <c r="E494" i="14"/>
  <c r="A494" i="14"/>
  <c r="E493" i="14"/>
  <c r="A493" i="14"/>
  <c r="E492" i="14"/>
  <c r="A492" i="14"/>
  <c r="E491" i="14"/>
  <c r="A491" i="14"/>
  <c r="E490" i="14"/>
  <c r="A490" i="14"/>
  <c r="E489" i="14"/>
  <c r="A489" i="14"/>
  <c r="E488" i="14"/>
  <c r="A488" i="14"/>
  <c r="E487" i="14"/>
  <c r="A487" i="14"/>
  <c r="E486" i="14"/>
  <c r="A486" i="14"/>
  <c r="E485" i="14"/>
  <c r="A485" i="14"/>
  <c r="E484" i="14"/>
  <c r="A484" i="14"/>
  <c r="E483" i="14"/>
  <c r="A483" i="14"/>
  <c r="E482" i="14"/>
  <c r="A482" i="14"/>
  <c r="E481" i="14"/>
  <c r="A481" i="14"/>
  <c r="E480" i="14"/>
  <c r="A480" i="14"/>
  <c r="E479" i="14"/>
  <c r="A479" i="14"/>
  <c r="E478" i="14"/>
  <c r="A478" i="14"/>
  <c r="E477" i="14"/>
  <c r="A477" i="14"/>
  <c r="E476" i="14"/>
  <c r="A476" i="14"/>
  <c r="E475" i="14"/>
  <c r="A475" i="14"/>
  <c r="E474" i="14"/>
  <c r="A474" i="14"/>
  <c r="E473" i="14"/>
  <c r="A473" i="14"/>
  <c r="E472" i="14"/>
  <c r="A472" i="14"/>
  <c r="E471" i="14"/>
  <c r="A471" i="14"/>
  <c r="E470" i="14"/>
  <c r="A470" i="14"/>
  <c r="E469" i="14"/>
  <c r="A469" i="14"/>
  <c r="E468" i="14"/>
  <c r="A468" i="14"/>
  <c r="E467" i="14"/>
  <c r="A467" i="14"/>
  <c r="E466" i="14"/>
  <c r="A466" i="14"/>
  <c r="E465" i="14"/>
  <c r="A465" i="14"/>
  <c r="E464" i="14"/>
  <c r="A464" i="14"/>
  <c r="E463" i="14"/>
  <c r="A463" i="14"/>
  <c r="E462" i="14"/>
  <c r="A462" i="14"/>
  <c r="E461" i="14"/>
  <c r="A461" i="14"/>
  <c r="E460" i="14"/>
  <c r="A460" i="14"/>
  <c r="E459" i="14"/>
  <c r="A459" i="14"/>
  <c r="E458" i="14"/>
  <c r="A458" i="14"/>
  <c r="E457" i="14"/>
  <c r="A457" i="14"/>
  <c r="E456" i="14"/>
  <c r="A456" i="14"/>
  <c r="E455" i="14"/>
  <c r="A455" i="14"/>
  <c r="E454" i="14"/>
  <c r="A454" i="14"/>
  <c r="E453" i="14"/>
  <c r="A453" i="14"/>
  <c r="E452" i="14"/>
  <c r="A452" i="14"/>
  <c r="E451" i="14"/>
  <c r="A451" i="14"/>
  <c r="E450" i="14"/>
  <c r="A450" i="14"/>
  <c r="E449" i="14"/>
  <c r="A449" i="14"/>
  <c r="E448" i="14"/>
  <c r="A448" i="14"/>
  <c r="E447" i="14"/>
  <c r="A447" i="14"/>
  <c r="E446" i="14"/>
  <c r="A446" i="14"/>
  <c r="E445" i="14"/>
  <c r="A445" i="14"/>
  <c r="E444" i="14"/>
  <c r="A444" i="14"/>
  <c r="E443" i="14"/>
  <c r="A443" i="14"/>
  <c r="E442" i="14"/>
  <c r="A442" i="14"/>
  <c r="E441" i="14"/>
  <c r="A441" i="14"/>
  <c r="E440" i="14"/>
  <c r="A440" i="14"/>
  <c r="E439" i="14"/>
  <c r="A439" i="14"/>
  <c r="E438" i="14"/>
  <c r="A438" i="14"/>
  <c r="E437" i="14"/>
  <c r="A437" i="14"/>
  <c r="E436" i="14"/>
  <c r="A436" i="14"/>
  <c r="E435" i="14"/>
  <c r="A435" i="14"/>
  <c r="E434" i="14"/>
  <c r="A434" i="14"/>
  <c r="E433" i="14"/>
  <c r="A433" i="14"/>
  <c r="E432" i="14"/>
  <c r="A432" i="14"/>
  <c r="E431" i="14"/>
  <c r="A431" i="14"/>
  <c r="E430" i="14"/>
  <c r="A430" i="14"/>
  <c r="E429" i="14"/>
  <c r="A429" i="14"/>
  <c r="E428" i="14"/>
  <c r="A428" i="14"/>
  <c r="E427" i="14"/>
  <c r="A427" i="14"/>
  <c r="E426" i="14"/>
  <c r="A426" i="14"/>
  <c r="E425" i="14"/>
  <c r="A425" i="14"/>
  <c r="E424" i="14"/>
  <c r="A424" i="14"/>
  <c r="E423" i="14"/>
  <c r="A423" i="14"/>
  <c r="E422" i="14"/>
  <c r="A422" i="14"/>
  <c r="E421" i="14"/>
  <c r="A421" i="14"/>
  <c r="E420" i="14"/>
  <c r="A420" i="14"/>
  <c r="E419" i="14"/>
  <c r="A419" i="14"/>
  <c r="E418" i="14"/>
  <c r="A418" i="14"/>
  <c r="E417" i="14"/>
  <c r="A417" i="14"/>
  <c r="E416" i="14"/>
  <c r="A416" i="14"/>
  <c r="E415" i="14"/>
  <c r="A415" i="14"/>
  <c r="E414" i="14"/>
  <c r="A414" i="14"/>
  <c r="E413" i="14"/>
  <c r="A413" i="14"/>
  <c r="E412" i="14"/>
  <c r="A412" i="14"/>
  <c r="E411" i="14"/>
  <c r="A411" i="14"/>
  <c r="E410" i="14"/>
  <c r="A410" i="14"/>
  <c r="E409" i="14"/>
  <c r="A409" i="14"/>
  <c r="E408" i="14"/>
  <c r="A408" i="14"/>
  <c r="E407" i="14"/>
  <c r="A407" i="14"/>
  <c r="E406" i="14"/>
  <c r="A406" i="14"/>
  <c r="E405" i="14"/>
  <c r="A405" i="14"/>
  <c r="E404" i="14"/>
  <c r="A404" i="14"/>
  <c r="E403" i="14"/>
  <c r="A403" i="14"/>
  <c r="E402" i="14"/>
  <c r="A402" i="14"/>
  <c r="E401" i="14"/>
  <c r="A401" i="14"/>
  <c r="E400" i="14"/>
  <c r="A400" i="14"/>
  <c r="E399" i="14"/>
  <c r="A399" i="14"/>
  <c r="E398" i="14"/>
  <c r="A398" i="14"/>
  <c r="E397" i="14"/>
  <c r="A397" i="14"/>
  <c r="E396" i="14"/>
  <c r="A396" i="14"/>
  <c r="E395" i="14"/>
  <c r="A395" i="14"/>
  <c r="E394" i="14"/>
  <c r="A394" i="14"/>
  <c r="E393" i="14"/>
  <c r="A393" i="14"/>
  <c r="E392" i="14"/>
  <c r="A392" i="14"/>
  <c r="E391" i="14"/>
  <c r="A391" i="14"/>
  <c r="E390" i="14"/>
  <c r="A390" i="14"/>
  <c r="E389" i="14"/>
  <c r="A389" i="14"/>
  <c r="E388" i="14"/>
  <c r="A388" i="14"/>
  <c r="E387" i="14"/>
  <c r="A387" i="14"/>
  <c r="E386" i="14"/>
  <c r="A386" i="14"/>
  <c r="E385" i="14"/>
  <c r="A385" i="14"/>
  <c r="E384" i="14"/>
  <c r="A384" i="14"/>
  <c r="E383" i="14"/>
  <c r="A383" i="14"/>
  <c r="E382" i="14"/>
  <c r="A382" i="14"/>
  <c r="E381" i="14"/>
  <c r="A381" i="14"/>
  <c r="E380" i="14"/>
  <c r="A380" i="14"/>
  <c r="E379" i="14"/>
  <c r="A379" i="14"/>
  <c r="E378" i="14"/>
  <c r="A378" i="14"/>
  <c r="E377" i="14"/>
  <c r="A377" i="14"/>
  <c r="E376" i="14"/>
  <c r="A376" i="14"/>
  <c r="E375" i="14"/>
  <c r="A375" i="14"/>
  <c r="E374" i="14"/>
  <c r="A374" i="14"/>
  <c r="E373" i="14"/>
  <c r="A373" i="14"/>
  <c r="E372" i="14"/>
  <c r="A372" i="14"/>
  <c r="E371" i="14"/>
  <c r="A371" i="14"/>
  <c r="E370" i="14"/>
  <c r="A370" i="14"/>
  <c r="E369" i="14"/>
  <c r="A369" i="14"/>
  <c r="E368" i="14"/>
  <c r="A368" i="14"/>
  <c r="E367" i="14"/>
  <c r="A367" i="14"/>
  <c r="E366" i="14"/>
  <c r="A366" i="14"/>
  <c r="E365" i="14"/>
  <c r="A365" i="14"/>
  <c r="E364" i="14"/>
  <c r="A364" i="14"/>
  <c r="E363" i="14"/>
  <c r="A363" i="14"/>
  <c r="E362" i="14"/>
  <c r="A362" i="14"/>
  <c r="E361" i="14"/>
  <c r="A361" i="14"/>
  <c r="E360" i="14"/>
  <c r="A360" i="14"/>
  <c r="E359" i="14"/>
  <c r="A359" i="14"/>
  <c r="E358" i="14"/>
  <c r="A358" i="14"/>
  <c r="E357" i="14"/>
  <c r="A357" i="14"/>
  <c r="E356" i="14"/>
  <c r="A356" i="14"/>
  <c r="E355" i="14"/>
  <c r="A355" i="14"/>
  <c r="E354" i="14"/>
  <c r="A354" i="14"/>
  <c r="E353" i="14"/>
  <c r="A353" i="14"/>
  <c r="E352" i="14"/>
  <c r="A352" i="14"/>
  <c r="E351" i="14"/>
  <c r="A351" i="14"/>
  <c r="E350" i="14"/>
  <c r="A350" i="14"/>
  <c r="E349" i="14"/>
  <c r="A349" i="14"/>
  <c r="E348" i="14"/>
  <c r="A348" i="14"/>
  <c r="E347" i="14"/>
  <c r="A347" i="14"/>
  <c r="E346" i="14"/>
  <c r="A346" i="14"/>
  <c r="E345" i="14"/>
  <c r="A345" i="14"/>
  <c r="E344" i="14"/>
  <c r="A344" i="14"/>
  <c r="E343" i="14"/>
  <c r="A343" i="14"/>
  <c r="E342" i="14"/>
  <c r="A342" i="14"/>
  <c r="E341" i="14"/>
  <c r="A341" i="14"/>
  <c r="E340" i="14"/>
  <c r="A340" i="14"/>
  <c r="E339" i="14"/>
  <c r="A339" i="14"/>
  <c r="E338" i="14"/>
  <c r="A338" i="14"/>
  <c r="E337" i="14"/>
  <c r="A337" i="14"/>
  <c r="E336" i="14"/>
  <c r="A336" i="14"/>
  <c r="E335" i="14"/>
  <c r="A335" i="14"/>
  <c r="E334" i="14"/>
  <c r="A334" i="14"/>
  <c r="E333" i="14"/>
  <c r="A333" i="14"/>
  <c r="E332" i="14"/>
  <c r="A332" i="14"/>
  <c r="E331" i="14"/>
  <c r="A331" i="14"/>
  <c r="E330" i="14"/>
  <c r="A330" i="14"/>
  <c r="E329" i="14"/>
  <c r="A329" i="14"/>
  <c r="E328" i="14"/>
  <c r="A328" i="14"/>
  <c r="E327" i="14"/>
  <c r="A327" i="14"/>
  <c r="E326" i="14"/>
  <c r="A326" i="14"/>
  <c r="E325" i="14"/>
  <c r="A325" i="14"/>
  <c r="E324" i="14"/>
  <c r="A324" i="14"/>
  <c r="E323" i="14"/>
  <c r="A323" i="14"/>
  <c r="E322" i="14"/>
  <c r="A322" i="14"/>
  <c r="E321" i="14"/>
  <c r="A321" i="14"/>
  <c r="E320" i="14"/>
  <c r="A320" i="14"/>
  <c r="E319" i="14"/>
  <c r="A319" i="14"/>
  <c r="E318" i="14"/>
  <c r="A318" i="14"/>
  <c r="E317" i="14"/>
  <c r="A317" i="14"/>
  <c r="E316" i="14"/>
  <c r="A316" i="14"/>
  <c r="E315" i="14"/>
  <c r="A315" i="14"/>
  <c r="E314" i="14"/>
  <c r="A314" i="14"/>
  <c r="E313" i="14"/>
  <c r="A313" i="14"/>
  <c r="E312" i="14"/>
  <c r="A312" i="14"/>
  <c r="E311" i="14"/>
  <c r="A311" i="14"/>
  <c r="E310" i="14"/>
  <c r="A310" i="14"/>
  <c r="E309" i="14"/>
  <c r="A309" i="14"/>
  <c r="E308" i="14"/>
  <c r="A308" i="14"/>
  <c r="E307" i="14"/>
  <c r="A307" i="14"/>
  <c r="E306" i="14"/>
  <c r="A306" i="14"/>
  <c r="E305" i="14"/>
  <c r="A305" i="14"/>
  <c r="E304" i="14"/>
  <c r="A304" i="14"/>
  <c r="E303" i="14"/>
  <c r="A303" i="14"/>
  <c r="E302" i="14"/>
  <c r="A302" i="14"/>
  <c r="E301" i="14"/>
  <c r="A301" i="14"/>
  <c r="E300" i="14"/>
  <c r="A300" i="14"/>
  <c r="E299" i="14"/>
  <c r="A299" i="14"/>
  <c r="E298" i="14"/>
  <c r="A298" i="14"/>
  <c r="E297" i="14"/>
  <c r="A297" i="14"/>
  <c r="E296" i="14"/>
  <c r="A296" i="14"/>
  <c r="E295" i="14"/>
  <c r="A295" i="14"/>
  <c r="E294" i="14"/>
  <c r="A294" i="14"/>
  <c r="E293" i="14"/>
  <c r="A293" i="14"/>
  <c r="E292" i="14"/>
  <c r="A292" i="14"/>
  <c r="E291" i="14"/>
  <c r="A291" i="14"/>
  <c r="E290" i="14"/>
  <c r="A290" i="14"/>
  <c r="E289" i="14"/>
  <c r="A289" i="14"/>
  <c r="E288" i="14"/>
  <c r="A288" i="14"/>
  <c r="E287" i="14"/>
  <c r="A287" i="14"/>
  <c r="E286" i="14"/>
  <c r="A286" i="14"/>
  <c r="E285" i="14"/>
  <c r="A285" i="14"/>
  <c r="E284" i="14"/>
  <c r="A284" i="14"/>
  <c r="E283" i="14"/>
  <c r="A283" i="14"/>
  <c r="E282" i="14"/>
  <c r="A282" i="14"/>
  <c r="E281" i="14"/>
  <c r="A281" i="14"/>
  <c r="E280" i="14"/>
  <c r="A280" i="14"/>
  <c r="E279" i="14"/>
  <c r="A279" i="14"/>
  <c r="E278" i="14"/>
  <c r="A278" i="14"/>
  <c r="E277" i="14"/>
  <c r="A277" i="14"/>
  <c r="E276" i="14"/>
  <c r="A276" i="14"/>
  <c r="E275" i="14"/>
  <c r="A275" i="14"/>
  <c r="E274" i="14"/>
  <c r="A274" i="14"/>
  <c r="E273" i="14"/>
  <c r="A273" i="14"/>
  <c r="E272" i="14"/>
  <c r="A272" i="14"/>
  <c r="E271" i="14"/>
  <c r="A271" i="14"/>
  <c r="E270" i="14"/>
  <c r="A270" i="14"/>
  <c r="E269" i="14"/>
  <c r="A269" i="14"/>
  <c r="E268" i="14"/>
  <c r="A268" i="14"/>
  <c r="E267" i="14"/>
  <c r="A267" i="14"/>
  <c r="E266" i="14"/>
  <c r="A266" i="14"/>
  <c r="E265" i="14"/>
  <c r="A265" i="14"/>
  <c r="E264" i="14"/>
  <c r="A264" i="14"/>
  <c r="E263" i="14"/>
  <c r="A263" i="14"/>
  <c r="E262" i="14"/>
  <c r="A262" i="14"/>
  <c r="E261" i="14"/>
  <c r="A261" i="14"/>
  <c r="E260" i="14"/>
  <c r="A260" i="14"/>
  <c r="E259" i="14"/>
  <c r="A259" i="14"/>
  <c r="E258" i="14"/>
  <c r="A258" i="14"/>
  <c r="E257" i="14"/>
  <c r="A257" i="14"/>
  <c r="E256" i="14"/>
  <c r="A256" i="14"/>
  <c r="E255" i="14"/>
  <c r="A255" i="14"/>
  <c r="E254" i="14"/>
  <c r="A254" i="14"/>
  <c r="E253" i="14"/>
  <c r="A253" i="14"/>
  <c r="E252" i="14"/>
  <c r="A252" i="14"/>
  <c r="E251" i="14"/>
  <c r="A251" i="14"/>
  <c r="E250" i="14"/>
  <c r="A250" i="14"/>
  <c r="E249" i="14"/>
  <c r="A249" i="14"/>
  <c r="E248" i="14"/>
  <c r="A248" i="14"/>
  <c r="E247" i="14"/>
  <c r="A247" i="14"/>
  <c r="E246" i="14"/>
  <c r="A246" i="14"/>
  <c r="E245" i="14"/>
  <c r="A245" i="14"/>
  <c r="E244" i="14"/>
  <c r="A244" i="14"/>
  <c r="E243" i="14"/>
  <c r="A243" i="14"/>
  <c r="E242" i="14"/>
  <c r="A242" i="14"/>
  <c r="E241" i="14"/>
  <c r="A241" i="14"/>
  <c r="E240" i="14"/>
  <c r="A240" i="14"/>
  <c r="E239" i="14"/>
  <c r="A239" i="14"/>
  <c r="E238" i="14"/>
  <c r="A238" i="14"/>
  <c r="E237" i="14"/>
  <c r="A237" i="14"/>
  <c r="E236" i="14"/>
  <c r="A236" i="14"/>
  <c r="E235" i="14"/>
  <c r="A235" i="14"/>
  <c r="E234" i="14"/>
  <c r="A234" i="14"/>
  <c r="E233" i="14"/>
  <c r="A233" i="14"/>
  <c r="E232" i="14"/>
  <c r="A232" i="14"/>
  <c r="E231" i="14"/>
  <c r="A231" i="14"/>
  <c r="E230" i="14"/>
  <c r="A230" i="14"/>
  <c r="E229" i="14"/>
  <c r="A229" i="14"/>
  <c r="E228" i="14"/>
  <c r="A228" i="14"/>
  <c r="E227" i="14"/>
  <c r="A227" i="14"/>
  <c r="E226" i="14"/>
  <c r="A226" i="14"/>
  <c r="E225" i="14"/>
  <c r="A225" i="14"/>
  <c r="E224" i="14"/>
  <c r="A224" i="14"/>
  <c r="E223" i="14"/>
  <c r="A223" i="14"/>
  <c r="E222" i="14"/>
  <c r="A222" i="14"/>
  <c r="E221" i="14"/>
  <c r="A221" i="14"/>
  <c r="E220" i="14"/>
  <c r="A220" i="14"/>
  <c r="E219" i="14"/>
  <c r="A219" i="14"/>
  <c r="E218" i="14"/>
  <c r="A218" i="14"/>
  <c r="E217" i="14"/>
  <c r="A217" i="14"/>
  <c r="E216" i="14"/>
  <c r="A216" i="14"/>
  <c r="E215" i="14"/>
  <c r="A215" i="14"/>
  <c r="E214" i="14"/>
  <c r="A214" i="14"/>
  <c r="E213" i="14"/>
  <c r="A213" i="14"/>
  <c r="E212" i="14"/>
  <c r="A212" i="14"/>
  <c r="E211" i="14"/>
  <c r="A211" i="14"/>
  <c r="E210" i="14"/>
  <c r="A210" i="14"/>
  <c r="E209" i="14"/>
  <c r="A209" i="14"/>
  <c r="E208" i="14"/>
  <c r="A208" i="14"/>
  <c r="E207" i="14"/>
  <c r="A207" i="14"/>
  <c r="E206" i="14"/>
  <c r="A206" i="14"/>
  <c r="E205" i="14"/>
  <c r="A205" i="14"/>
  <c r="E204" i="14"/>
  <c r="A204" i="14"/>
  <c r="E203" i="14"/>
  <c r="A203" i="14"/>
  <c r="E202" i="14"/>
  <c r="A202" i="14"/>
  <c r="E201" i="14"/>
  <c r="A201" i="14"/>
  <c r="E200" i="14"/>
  <c r="A200" i="14"/>
  <c r="E199" i="14"/>
  <c r="A199" i="14"/>
  <c r="E198" i="14"/>
  <c r="A198" i="14"/>
  <c r="E197" i="14"/>
  <c r="A197" i="14"/>
  <c r="E196" i="14"/>
  <c r="A196" i="14"/>
  <c r="E195" i="14"/>
  <c r="A195" i="14"/>
  <c r="E194" i="14"/>
  <c r="A194" i="14"/>
  <c r="E193" i="14"/>
  <c r="A193" i="14"/>
  <c r="E192" i="14"/>
  <c r="A192" i="14"/>
  <c r="E191" i="14"/>
  <c r="A191" i="14"/>
  <c r="E190" i="14"/>
  <c r="A190" i="14"/>
  <c r="E189" i="14"/>
  <c r="A189" i="14"/>
  <c r="E188" i="14"/>
  <c r="A188" i="14"/>
  <c r="E187" i="14"/>
  <c r="A187" i="14"/>
  <c r="E186" i="14"/>
  <c r="A186" i="14"/>
  <c r="E185" i="14"/>
  <c r="A185" i="14"/>
  <c r="E184" i="14"/>
  <c r="A184" i="14"/>
  <c r="E183" i="14"/>
  <c r="A183" i="14"/>
  <c r="E182" i="14"/>
  <c r="A182" i="14"/>
  <c r="E181" i="14"/>
  <c r="A181" i="14"/>
  <c r="E180" i="14"/>
  <c r="A180" i="14"/>
  <c r="E179" i="14"/>
  <c r="A179" i="14"/>
  <c r="E178" i="14"/>
  <c r="A178" i="14"/>
  <c r="E177" i="14"/>
  <c r="A177" i="14"/>
  <c r="E176" i="14"/>
  <c r="A176" i="14"/>
  <c r="E175" i="14"/>
  <c r="A175" i="14"/>
  <c r="E174" i="14"/>
  <c r="A174" i="14"/>
  <c r="E173" i="14"/>
  <c r="A173" i="14"/>
  <c r="E172" i="14"/>
  <c r="A172" i="14"/>
  <c r="E171" i="14"/>
  <c r="A171" i="14"/>
  <c r="E170" i="14"/>
  <c r="A170" i="14"/>
  <c r="E169" i="14"/>
  <c r="A169" i="14"/>
  <c r="E168" i="14"/>
  <c r="A168" i="14"/>
  <c r="E167" i="14"/>
  <c r="A167" i="14"/>
  <c r="E166" i="14"/>
  <c r="A166" i="14"/>
  <c r="E165" i="14"/>
  <c r="A165" i="14"/>
  <c r="E164" i="14"/>
  <c r="A164" i="14"/>
  <c r="E163" i="14"/>
  <c r="A163" i="14"/>
  <c r="E162" i="14"/>
  <c r="A162" i="14"/>
  <c r="E161" i="14"/>
  <c r="A161" i="14"/>
  <c r="E160" i="14"/>
  <c r="A160" i="14"/>
  <c r="E159" i="14"/>
  <c r="A159" i="14"/>
  <c r="E158" i="14"/>
  <c r="A158" i="14"/>
  <c r="E157" i="14"/>
  <c r="A157" i="14"/>
  <c r="E156" i="14"/>
  <c r="A156" i="14"/>
  <c r="E155" i="14"/>
  <c r="A155" i="14"/>
  <c r="E154" i="14"/>
  <c r="A154" i="14"/>
  <c r="E153" i="14"/>
  <c r="A153" i="14"/>
  <c r="E152" i="14"/>
  <c r="A152" i="14"/>
  <c r="E151" i="14"/>
  <c r="A151" i="14"/>
  <c r="E150" i="14"/>
  <c r="A150" i="14"/>
  <c r="E149" i="14"/>
  <c r="A149" i="14"/>
  <c r="E148" i="14"/>
  <c r="A148" i="14"/>
  <c r="E147" i="14"/>
  <c r="A147" i="14"/>
  <c r="E146" i="14"/>
  <c r="A146" i="14"/>
  <c r="E145" i="14"/>
  <c r="A145" i="14"/>
  <c r="E144" i="14"/>
  <c r="A144" i="14"/>
  <c r="E143" i="14"/>
  <c r="A143" i="14"/>
  <c r="E142" i="14"/>
  <c r="A142" i="14"/>
  <c r="E141" i="14"/>
  <c r="A141" i="14"/>
  <c r="E140" i="14"/>
  <c r="A140" i="14"/>
  <c r="E139" i="14"/>
  <c r="A139" i="14"/>
  <c r="E138" i="14"/>
  <c r="A138" i="14"/>
  <c r="E137" i="14"/>
  <c r="A137" i="14"/>
  <c r="E136" i="14"/>
  <c r="A136" i="14"/>
  <c r="E135" i="14"/>
  <c r="A135" i="14"/>
  <c r="E134" i="14"/>
  <c r="A134" i="14"/>
  <c r="E133" i="14"/>
  <c r="A133" i="14"/>
  <c r="E132" i="14"/>
  <c r="A132" i="14"/>
  <c r="E131" i="14"/>
  <c r="A131" i="14"/>
  <c r="E130" i="14"/>
  <c r="A130" i="14"/>
  <c r="E129" i="14"/>
  <c r="A129" i="14"/>
  <c r="E128" i="14"/>
  <c r="A128" i="14"/>
  <c r="E127" i="14"/>
  <c r="A127" i="14"/>
  <c r="E126" i="14"/>
  <c r="A126" i="14"/>
  <c r="E125" i="14"/>
  <c r="A125" i="14"/>
  <c r="E124" i="14"/>
  <c r="A124" i="14"/>
  <c r="E123" i="14"/>
  <c r="A123" i="14"/>
  <c r="E122" i="14"/>
  <c r="A122" i="14"/>
  <c r="E121" i="14"/>
  <c r="A121" i="14"/>
  <c r="E120" i="14"/>
  <c r="A120" i="14"/>
  <c r="E119" i="14"/>
  <c r="A119" i="14"/>
  <c r="E118" i="14"/>
  <c r="A118" i="14"/>
  <c r="E117" i="14"/>
  <c r="A117" i="14"/>
  <c r="E116" i="14"/>
  <c r="A116" i="14"/>
  <c r="E115" i="14"/>
  <c r="A115" i="14"/>
  <c r="E114" i="14"/>
  <c r="A114" i="14"/>
  <c r="E113" i="14"/>
  <c r="A113" i="14"/>
  <c r="E112" i="14"/>
  <c r="A112" i="14"/>
  <c r="E111" i="14"/>
  <c r="A111" i="14"/>
  <c r="E110" i="14"/>
  <c r="A110" i="14"/>
  <c r="E109" i="14"/>
  <c r="A109" i="14"/>
  <c r="E108" i="14"/>
  <c r="A108" i="14"/>
  <c r="E107" i="14"/>
  <c r="A107" i="14"/>
  <c r="E106" i="14"/>
  <c r="A106" i="14"/>
  <c r="E105" i="14"/>
  <c r="A105" i="14"/>
  <c r="E104" i="14"/>
  <c r="A104" i="14"/>
  <c r="E103" i="14"/>
  <c r="A103" i="14"/>
  <c r="E102" i="14"/>
  <c r="A102" i="14"/>
  <c r="E101" i="14"/>
  <c r="A101" i="14"/>
  <c r="E100" i="14"/>
  <c r="A100" i="14"/>
  <c r="E99" i="14"/>
  <c r="A99" i="14"/>
  <c r="E98" i="14"/>
  <c r="A98" i="14"/>
  <c r="E97" i="14"/>
  <c r="A97" i="14"/>
  <c r="E96" i="14"/>
  <c r="A96" i="14"/>
  <c r="E95" i="14"/>
  <c r="A95" i="14"/>
  <c r="E94" i="14"/>
  <c r="A94" i="14"/>
  <c r="E93" i="14"/>
  <c r="A93" i="14"/>
  <c r="E92" i="14"/>
  <c r="A92" i="14"/>
  <c r="E91" i="14"/>
  <c r="A91" i="14"/>
  <c r="E90" i="14"/>
  <c r="A90" i="14"/>
  <c r="E89" i="14"/>
  <c r="A89" i="14"/>
  <c r="E88" i="14"/>
  <c r="A88" i="14"/>
  <c r="E87" i="14"/>
  <c r="A87" i="14"/>
  <c r="E86" i="14"/>
  <c r="A86" i="14"/>
  <c r="E85" i="14"/>
  <c r="A85" i="14"/>
  <c r="E84" i="14"/>
  <c r="A84" i="14"/>
  <c r="E83" i="14"/>
  <c r="A83" i="14"/>
  <c r="E82" i="14"/>
  <c r="A82" i="14"/>
  <c r="E81" i="14"/>
  <c r="A81" i="14"/>
  <c r="E80" i="14"/>
  <c r="A80" i="14"/>
  <c r="E79" i="14"/>
  <c r="A79" i="14"/>
  <c r="E78" i="14"/>
  <c r="A78" i="14"/>
  <c r="E77" i="14"/>
  <c r="A77" i="14"/>
  <c r="E76" i="14"/>
  <c r="A76" i="14"/>
  <c r="E75" i="14"/>
  <c r="A75" i="14"/>
  <c r="E74" i="14"/>
  <c r="A74" i="14"/>
  <c r="E73" i="14"/>
  <c r="A73" i="14"/>
  <c r="E72" i="14"/>
  <c r="A72" i="14"/>
  <c r="E71" i="14"/>
  <c r="A71" i="14"/>
  <c r="E70" i="14"/>
  <c r="A70" i="14"/>
  <c r="E69" i="14"/>
  <c r="A69" i="14"/>
  <c r="E68" i="14"/>
  <c r="A68" i="14"/>
  <c r="E67" i="14"/>
  <c r="A67" i="14"/>
  <c r="E66" i="14"/>
  <c r="A66" i="14"/>
  <c r="E65" i="14"/>
  <c r="A65" i="14"/>
  <c r="E64" i="14"/>
  <c r="A64" i="14"/>
  <c r="E63" i="14"/>
  <c r="A63" i="14"/>
  <c r="E62" i="14"/>
  <c r="A62" i="14"/>
  <c r="E61" i="14"/>
  <c r="A61" i="14"/>
  <c r="E60" i="14"/>
  <c r="A60" i="14"/>
  <c r="E59" i="14"/>
  <c r="A59" i="14"/>
  <c r="E58" i="14"/>
  <c r="A58" i="14"/>
  <c r="E57" i="14"/>
  <c r="A57" i="14"/>
  <c r="E56" i="14"/>
  <c r="A56" i="14"/>
  <c r="E55" i="14"/>
  <c r="A55" i="14"/>
  <c r="E54" i="14"/>
  <c r="A54" i="14"/>
  <c r="E53" i="14"/>
  <c r="A53" i="14"/>
  <c r="E52" i="14"/>
  <c r="A52" i="14"/>
  <c r="E51" i="14"/>
  <c r="A51" i="14"/>
  <c r="E50" i="14"/>
  <c r="A50" i="14"/>
  <c r="E49" i="14"/>
  <c r="A49" i="14"/>
  <c r="E48" i="14"/>
  <c r="A48" i="14"/>
  <c r="E47" i="14"/>
  <c r="A47" i="14"/>
  <c r="E46" i="14"/>
  <c r="A46" i="14"/>
  <c r="E45" i="14"/>
  <c r="A45" i="14"/>
  <c r="E44" i="14"/>
  <c r="A44" i="14"/>
  <c r="E43" i="14"/>
  <c r="A43" i="14"/>
  <c r="E42" i="14"/>
  <c r="A42" i="14"/>
  <c r="E41" i="14"/>
  <c r="A41" i="14"/>
  <c r="E40" i="14"/>
  <c r="A40" i="14"/>
  <c r="E39" i="14"/>
  <c r="A39" i="14"/>
  <c r="E38" i="14"/>
  <c r="A38" i="14"/>
  <c r="E37" i="14"/>
  <c r="A37" i="14"/>
  <c r="A36" i="14"/>
  <c r="A35" i="14"/>
  <c r="A34" i="14"/>
  <c r="A33" i="14"/>
  <c r="A32" i="14"/>
  <c r="A31" i="14"/>
  <c r="A30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7" i="14"/>
  <c r="A6" i="14"/>
  <c r="A5" i="14"/>
  <c r="A4" i="14"/>
  <c r="E996" i="13"/>
  <c r="E995" i="13"/>
  <c r="E994" i="13"/>
  <c r="E993" i="13"/>
  <c r="E992" i="13"/>
  <c r="E991" i="13"/>
  <c r="E990" i="13"/>
  <c r="E989" i="13"/>
  <c r="E988" i="13"/>
  <c r="E987" i="13"/>
  <c r="E986" i="13"/>
  <c r="E985" i="13"/>
  <c r="E984" i="13"/>
  <c r="E983" i="13"/>
  <c r="E982" i="13"/>
  <c r="E981" i="13"/>
  <c r="E980" i="13"/>
  <c r="E979" i="13"/>
  <c r="E978" i="13"/>
  <c r="E977" i="13"/>
  <c r="E976" i="13"/>
  <c r="E975" i="13"/>
  <c r="E974" i="13"/>
  <c r="E973" i="13"/>
  <c r="E972" i="13"/>
  <c r="E971" i="13"/>
  <c r="E970" i="13"/>
  <c r="E969" i="13"/>
  <c r="E968" i="13"/>
  <c r="E967" i="13"/>
  <c r="E966" i="13"/>
  <c r="E965" i="13"/>
  <c r="E964" i="13"/>
  <c r="E963" i="13"/>
  <c r="E962" i="13"/>
  <c r="E961" i="13"/>
  <c r="E960" i="13"/>
  <c r="E959" i="13"/>
  <c r="E958" i="13"/>
  <c r="E957" i="13"/>
  <c r="E956" i="13"/>
  <c r="E955" i="13"/>
  <c r="E954" i="13"/>
  <c r="E953" i="13"/>
  <c r="E952" i="13"/>
  <c r="E951" i="13"/>
  <c r="E950" i="13"/>
  <c r="E949" i="13"/>
  <c r="E948" i="13"/>
  <c r="E947" i="13"/>
  <c r="E946" i="13"/>
  <c r="E945" i="13"/>
  <c r="E944" i="13"/>
  <c r="E943" i="13"/>
  <c r="E942" i="13"/>
  <c r="E941" i="13"/>
  <c r="E940" i="13"/>
  <c r="E939" i="13"/>
  <c r="E938" i="13"/>
  <c r="E937" i="13"/>
  <c r="E936" i="13"/>
  <c r="E935" i="13"/>
  <c r="E934" i="13"/>
  <c r="E933" i="13"/>
  <c r="E932" i="13"/>
  <c r="E931" i="13"/>
  <c r="E930" i="13"/>
  <c r="E929" i="13"/>
  <c r="E928" i="13"/>
  <c r="E927" i="13"/>
  <c r="E926" i="13"/>
  <c r="E925" i="13"/>
  <c r="E924" i="13"/>
  <c r="E923" i="13"/>
  <c r="E922" i="13"/>
  <c r="E921" i="13"/>
  <c r="E920" i="13"/>
  <c r="E919" i="13"/>
  <c r="E918" i="13"/>
  <c r="E917" i="13"/>
  <c r="E916" i="13"/>
  <c r="E915" i="13"/>
  <c r="E914" i="13"/>
  <c r="E913" i="13"/>
  <c r="E912" i="13"/>
  <c r="E911" i="13"/>
  <c r="E910" i="13"/>
  <c r="E909" i="13"/>
  <c r="E908" i="13"/>
  <c r="E907" i="13"/>
  <c r="E906" i="13"/>
  <c r="E905" i="13"/>
  <c r="E904" i="13"/>
  <c r="E903" i="13"/>
  <c r="E902" i="13"/>
  <c r="E901" i="13"/>
  <c r="E900" i="13"/>
  <c r="E899" i="13"/>
  <c r="E898" i="13"/>
  <c r="E897" i="13"/>
  <c r="E896" i="13"/>
  <c r="E895" i="13"/>
  <c r="E894" i="13"/>
  <c r="E893" i="13"/>
  <c r="E892" i="13"/>
  <c r="E891" i="13"/>
  <c r="E890" i="13"/>
  <c r="E889" i="13"/>
  <c r="E888" i="13"/>
  <c r="E887" i="13"/>
  <c r="E886" i="13"/>
  <c r="E885" i="13"/>
  <c r="E884" i="13"/>
  <c r="E883" i="13"/>
  <c r="E882" i="13"/>
  <c r="E881" i="13"/>
  <c r="E880" i="13"/>
  <c r="E879" i="13"/>
  <c r="E878" i="13"/>
  <c r="E877" i="13"/>
  <c r="E876" i="13"/>
  <c r="E875" i="13"/>
  <c r="E874" i="13"/>
  <c r="E873" i="13"/>
  <c r="E872" i="13"/>
  <c r="E871" i="13"/>
  <c r="E870" i="13"/>
  <c r="E869" i="13"/>
  <c r="E868" i="13"/>
  <c r="E867" i="13"/>
  <c r="E866" i="13"/>
  <c r="E865" i="13"/>
  <c r="E864" i="13"/>
  <c r="E863" i="13"/>
  <c r="E862" i="13"/>
  <c r="E861" i="13"/>
  <c r="E860" i="13"/>
  <c r="E859" i="13"/>
  <c r="E858" i="13"/>
  <c r="E857" i="13"/>
  <c r="E856" i="13"/>
  <c r="E855" i="13"/>
  <c r="E854" i="13"/>
  <c r="E853" i="13"/>
  <c r="E852" i="13"/>
  <c r="E851" i="13"/>
  <c r="E850" i="13"/>
  <c r="E849" i="13"/>
  <c r="E848" i="13"/>
  <c r="E847" i="13"/>
  <c r="E846" i="13"/>
  <c r="E845" i="13"/>
  <c r="E844" i="13"/>
  <c r="E843" i="13"/>
  <c r="E842" i="13"/>
  <c r="E841" i="13"/>
  <c r="E840" i="13"/>
  <c r="E839" i="13"/>
  <c r="E838" i="13"/>
  <c r="E837" i="13"/>
  <c r="E836" i="13"/>
  <c r="E835" i="13"/>
  <c r="E834" i="13"/>
  <c r="E833" i="13"/>
  <c r="E832" i="13"/>
  <c r="E831" i="13"/>
  <c r="E830" i="13"/>
  <c r="E829" i="13"/>
  <c r="E828" i="13"/>
  <c r="E827" i="13"/>
  <c r="E826" i="13"/>
  <c r="E825" i="13"/>
  <c r="E824" i="13"/>
  <c r="E823" i="13"/>
  <c r="E822" i="13"/>
  <c r="E821" i="13"/>
  <c r="E820" i="13"/>
  <c r="E819" i="13"/>
  <c r="E818" i="13"/>
  <c r="E817" i="13"/>
  <c r="E816" i="13"/>
  <c r="E815" i="13"/>
  <c r="E814" i="13"/>
  <c r="E813" i="13"/>
  <c r="E812" i="13"/>
  <c r="E811" i="13"/>
  <c r="E810" i="13"/>
  <c r="E809" i="13"/>
  <c r="E808" i="13"/>
  <c r="E807" i="13"/>
  <c r="E806" i="13"/>
  <c r="E805" i="13"/>
  <c r="E804" i="13"/>
  <c r="E803" i="13"/>
  <c r="E802" i="13"/>
  <c r="E801" i="13"/>
  <c r="E800" i="13"/>
  <c r="E799" i="13"/>
  <c r="E798" i="13"/>
  <c r="E797" i="13"/>
  <c r="E796" i="13"/>
  <c r="E795" i="13"/>
  <c r="E794" i="13"/>
  <c r="E793" i="13"/>
  <c r="E792" i="13"/>
  <c r="E791" i="13"/>
  <c r="E790" i="13"/>
  <c r="E789" i="13"/>
  <c r="E788" i="13"/>
  <c r="E787" i="13"/>
  <c r="E786" i="13"/>
  <c r="E785" i="13"/>
  <c r="E784" i="13"/>
  <c r="E783" i="13"/>
  <c r="E782" i="13"/>
  <c r="E781" i="13"/>
  <c r="E780" i="13"/>
  <c r="E779" i="13"/>
  <c r="E778" i="13"/>
  <c r="E777" i="13"/>
  <c r="E776" i="13"/>
  <c r="E775" i="13"/>
  <c r="E774" i="13"/>
  <c r="E773" i="13"/>
  <c r="E772" i="13"/>
  <c r="E771" i="13"/>
  <c r="E770" i="13"/>
  <c r="E769" i="13"/>
  <c r="E768" i="13"/>
  <c r="E767" i="13"/>
  <c r="E766" i="13"/>
  <c r="E765" i="13"/>
  <c r="E764" i="13"/>
  <c r="E763" i="13"/>
  <c r="E762" i="13"/>
  <c r="E761" i="13"/>
  <c r="E760" i="13"/>
  <c r="E759" i="13"/>
  <c r="E758" i="13"/>
  <c r="E757" i="13"/>
  <c r="E756" i="13"/>
  <c r="E755" i="13"/>
  <c r="E754" i="13"/>
  <c r="E753" i="13"/>
  <c r="E752" i="13"/>
  <c r="E751" i="13"/>
  <c r="E750" i="13"/>
  <c r="E749" i="13"/>
  <c r="E748" i="13"/>
  <c r="E747" i="13"/>
  <c r="E746" i="13"/>
  <c r="E745" i="13"/>
  <c r="E744" i="13"/>
  <c r="E743" i="13"/>
  <c r="E742" i="13"/>
  <c r="E741" i="13"/>
  <c r="E740" i="13"/>
  <c r="E739" i="13"/>
  <c r="E738" i="13"/>
  <c r="E737" i="13"/>
  <c r="E736" i="13"/>
  <c r="E735" i="13"/>
  <c r="E734" i="13"/>
  <c r="E733" i="13"/>
  <c r="E732" i="13"/>
  <c r="E731" i="13"/>
  <c r="E730" i="13"/>
  <c r="E729" i="13"/>
  <c r="E728" i="13"/>
  <c r="E727" i="13"/>
  <c r="E726" i="13"/>
  <c r="E725" i="13"/>
  <c r="E724" i="13"/>
  <c r="E723" i="13"/>
  <c r="E722" i="13"/>
  <c r="E721" i="13"/>
  <c r="E720" i="13"/>
  <c r="E719" i="13"/>
  <c r="E718" i="13"/>
  <c r="E717" i="13"/>
  <c r="E716" i="13"/>
  <c r="E715" i="13"/>
  <c r="E714" i="13"/>
  <c r="E713" i="13"/>
  <c r="E712" i="13"/>
  <c r="E711" i="13"/>
  <c r="E710" i="13"/>
  <c r="E709" i="13"/>
  <c r="E708" i="13"/>
  <c r="E707" i="13"/>
  <c r="E706" i="13"/>
  <c r="E705" i="13"/>
  <c r="E704" i="13"/>
  <c r="E703" i="13"/>
  <c r="E702" i="13"/>
  <c r="E701" i="13"/>
  <c r="E700" i="13"/>
  <c r="E699" i="13"/>
  <c r="E698" i="13"/>
  <c r="E697" i="13"/>
  <c r="E696" i="13"/>
  <c r="E695" i="13"/>
  <c r="E694" i="13"/>
  <c r="E693" i="13"/>
  <c r="E692" i="13"/>
  <c r="E691" i="13"/>
  <c r="E690" i="13"/>
  <c r="E689" i="13"/>
  <c r="E688" i="13"/>
  <c r="E687" i="13"/>
  <c r="E686" i="13"/>
  <c r="E685" i="13"/>
  <c r="E684" i="13"/>
  <c r="E683" i="13"/>
  <c r="E682" i="13"/>
  <c r="E681" i="13"/>
  <c r="E680" i="13"/>
  <c r="E679" i="13"/>
  <c r="E678" i="13"/>
  <c r="E677" i="13"/>
  <c r="E676" i="13"/>
  <c r="E675" i="13"/>
  <c r="E674" i="13"/>
  <c r="E673" i="13"/>
  <c r="E672" i="13"/>
  <c r="E671" i="13"/>
  <c r="E670" i="13"/>
  <c r="E669" i="13"/>
  <c r="E668" i="13"/>
  <c r="E667" i="13"/>
  <c r="E666" i="13"/>
  <c r="E665" i="13"/>
  <c r="E664" i="13"/>
  <c r="E663" i="13"/>
  <c r="E662" i="13"/>
  <c r="E661" i="13"/>
  <c r="E660" i="13"/>
  <c r="E659" i="13"/>
  <c r="E658" i="13"/>
  <c r="E657" i="13"/>
  <c r="E656" i="13"/>
  <c r="E655" i="13"/>
  <c r="E654" i="13"/>
  <c r="E653" i="13"/>
  <c r="E652" i="13"/>
  <c r="E651" i="13"/>
  <c r="E650" i="13"/>
  <c r="E649" i="13"/>
  <c r="E648" i="13"/>
  <c r="E647" i="13"/>
  <c r="E646" i="13"/>
  <c r="E645" i="13"/>
  <c r="E644" i="13"/>
  <c r="E643" i="13"/>
  <c r="E642" i="13"/>
  <c r="E641" i="13"/>
  <c r="E640" i="13"/>
  <c r="E639" i="13"/>
  <c r="E638" i="13"/>
  <c r="E637" i="13"/>
  <c r="E636" i="13"/>
  <c r="E635" i="13"/>
  <c r="E634" i="13"/>
  <c r="E633" i="13"/>
  <c r="E632" i="13"/>
  <c r="E631" i="13"/>
  <c r="E630" i="13"/>
  <c r="E629" i="13"/>
  <c r="E628" i="13"/>
  <c r="E627" i="13"/>
  <c r="E626" i="13"/>
  <c r="E625" i="13"/>
  <c r="E624" i="13"/>
  <c r="E623" i="13"/>
  <c r="E622" i="13"/>
  <c r="E621" i="13"/>
  <c r="E620" i="13"/>
  <c r="E619" i="13"/>
  <c r="E618" i="13"/>
  <c r="E617" i="13"/>
  <c r="E616" i="13"/>
  <c r="E615" i="13"/>
  <c r="E614" i="13"/>
  <c r="E613" i="13"/>
  <c r="E612" i="13"/>
  <c r="E611" i="13"/>
  <c r="E610" i="13"/>
  <c r="E609" i="13"/>
  <c r="E608" i="13"/>
  <c r="E607" i="13"/>
  <c r="E606" i="13"/>
  <c r="E605" i="13"/>
  <c r="E604" i="13"/>
  <c r="E603" i="13"/>
  <c r="E602" i="13"/>
  <c r="E601" i="13"/>
  <c r="E600" i="13"/>
  <c r="E599" i="13"/>
  <c r="E598" i="13"/>
  <c r="E597" i="13"/>
  <c r="E596" i="13"/>
  <c r="E595" i="13"/>
  <c r="E594" i="13"/>
  <c r="E593" i="13"/>
  <c r="E592" i="13"/>
  <c r="E591" i="13"/>
  <c r="E590" i="13"/>
  <c r="E589" i="13"/>
  <c r="E588" i="13"/>
  <c r="E587" i="13"/>
  <c r="E586" i="13"/>
  <c r="E585" i="13"/>
  <c r="E584" i="13"/>
  <c r="E583" i="13"/>
  <c r="E582" i="13"/>
  <c r="E581" i="13"/>
  <c r="E580" i="13"/>
  <c r="E579" i="13"/>
  <c r="E578" i="13"/>
  <c r="E577" i="13"/>
  <c r="E576" i="13"/>
  <c r="E575" i="13"/>
  <c r="E574" i="13"/>
  <c r="E573" i="13"/>
  <c r="E572" i="13"/>
  <c r="E571" i="13"/>
  <c r="E570" i="13"/>
  <c r="E569" i="13"/>
  <c r="E568" i="13"/>
  <c r="E567" i="13"/>
  <c r="E566" i="13"/>
  <c r="E565" i="13"/>
  <c r="E564" i="13"/>
  <c r="E563" i="13"/>
  <c r="E562" i="13"/>
  <c r="E561" i="13"/>
  <c r="E560" i="13"/>
  <c r="E559" i="13"/>
  <c r="E558" i="13"/>
  <c r="E557" i="13"/>
  <c r="E556" i="13"/>
  <c r="E555" i="13"/>
  <c r="E554" i="13"/>
  <c r="E553" i="13"/>
  <c r="E552" i="13"/>
  <c r="E551" i="13"/>
  <c r="E550" i="13"/>
  <c r="E549" i="13"/>
  <c r="E548" i="13"/>
  <c r="E547" i="13"/>
  <c r="E546" i="13"/>
  <c r="E545" i="13"/>
  <c r="E544" i="13"/>
  <c r="E543" i="13"/>
  <c r="E542" i="13"/>
  <c r="E541" i="13"/>
  <c r="E540" i="13"/>
  <c r="E539" i="13"/>
  <c r="E538" i="13"/>
  <c r="E537" i="13"/>
  <c r="E536" i="13"/>
  <c r="E535" i="13"/>
  <c r="E534" i="13"/>
  <c r="E533" i="13"/>
  <c r="E532" i="13"/>
  <c r="E531" i="13"/>
  <c r="E530" i="13"/>
  <c r="E529" i="13"/>
  <c r="E528" i="13"/>
  <c r="E527" i="13"/>
  <c r="E526" i="13"/>
  <c r="E525" i="13"/>
  <c r="E524" i="13"/>
  <c r="E523" i="13"/>
  <c r="E522" i="13"/>
  <c r="E521" i="13"/>
  <c r="E520" i="13"/>
  <c r="E519" i="13"/>
  <c r="E518" i="13"/>
  <c r="E517" i="13"/>
  <c r="E516" i="13"/>
  <c r="E515" i="13"/>
  <c r="E514" i="13"/>
  <c r="E513" i="13"/>
  <c r="E512" i="13"/>
  <c r="E511" i="13"/>
  <c r="E510" i="13"/>
  <c r="E509" i="13"/>
  <c r="E508" i="13"/>
  <c r="E507" i="13"/>
  <c r="E506" i="13"/>
  <c r="E505" i="13"/>
  <c r="E504" i="13"/>
  <c r="E503" i="13"/>
  <c r="E502" i="13"/>
  <c r="E501" i="13"/>
  <c r="E500" i="13"/>
  <c r="E499" i="13"/>
  <c r="E498" i="13"/>
  <c r="E497" i="13"/>
  <c r="E496" i="13"/>
  <c r="E495" i="13"/>
  <c r="E494" i="13"/>
  <c r="E493" i="13"/>
  <c r="E492" i="13"/>
  <c r="E491" i="13"/>
  <c r="E490" i="13"/>
  <c r="E489" i="13"/>
  <c r="E488" i="13"/>
  <c r="E487" i="13"/>
  <c r="E486" i="13"/>
  <c r="E485" i="13"/>
  <c r="E484" i="13"/>
  <c r="E483" i="13"/>
  <c r="E482" i="13"/>
  <c r="E481" i="13"/>
  <c r="E480" i="13"/>
  <c r="E479" i="13"/>
  <c r="E478" i="13"/>
  <c r="E477" i="13"/>
  <c r="E476" i="13"/>
  <c r="E475" i="13"/>
  <c r="E474" i="13"/>
  <c r="E473" i="13"/>
  <c r="E472" i="13"/>
  <c r="E471" i="13"/>
  <c r="E470" i="13"/>
  <c r="E469" i="13"/>
  <c r="E468" i="13"/>
  <c r="E467" i="13"/>
  <c r="E466" i="13"/>
  <c r="E465" i="13"/>
  <c r="E464" i="13"/>
  <c r="E463" i="13"/>
  <c r="E462" i="13"/>
  <c r="E461" i="13"/>
  <c r="E460" i="13"/>
  <c r="E459" i="13"/>
  <c r="E458" i="13"/>
  <c r="E457" i="13"/>
  <c r="E456" i="13"/>
  <c r="E455" i="13"/>
  <c r="E454" i="13"/>
  <c r="E453" i="13"/>
  <c r="E452" i="13"/>
  <c r="E451" i="13"/>
  <c r="E450" i="13"/>
  <c r="E449" i="13"/>
  <c r="E448" i="13"/>
  <c r="E447" i="13"/>
  <c r="E446" i="13"/>
  <c r="E445" i="13"/>
  <c r="E444" i="13"/>
  <c r="E443" i="13"/>
  <c r="E442" i="13"/>
  <c r="E441" i="13"/>
  <c r="E440" i="13"/>
  <c r="E439" i="13"/>
  <c r="E438" i="13"/>
  <c r="E437" i="13"/>
  <c r="E436" i="13"/>
  <c r="E435" i="13"/>
  <c r="E434" i="13"/>
  <c r="E433" i="13"/>
  <c r="E432" i="13"/>
  <c r="E431" i="13"/>
  <c r="E430" i="13"/>
  <c r="E429" i="13"/>
  <c r="E428" i="13"/>
  <c r="E427" i="13"/>
  <c r="E426" i="13"/>
  <c r="E425" i="13"/>
  <c r="E424" i="13"/>
  <c r="E423" i="13"/>
  <c r="E422" i="13"/>
  <c r="E421" i="13"/>
  <c r="E420" i="13"/>
  <c r="E419" i="13"/>
  <c r="E418" i="13"/>
  <c r="E417" i="13"/>
  <c r="E416" i="13"/>
  <c r="E415" i="13"/>
  <c r="E414" i="13"/>
  <c r="E413" i="13"/>
  <c r="E412" i="13"/>
  <c r="E411" i="13"/>
  <c r="E410" i="13"/>
  <c r="E409" i="13"/>
  <c r="E408" i="13"/>
  <c r="E407" i="13"/>
  <c r="E406" i="13"/>
  <c r="E405" i="13"/>
  <c r="E404" i="13"/>
  <c r="E403" i="13"/>
  <c r="E402" i="13"/>
  <c r="E401" i="13"/>
  <c r="E400" i="13"/>
  <c r="E399" i="13"/>
  <c r="E398" i="13"/>
  <c r="E397" i="13"/>
  <c r="E396" i="13"/>
  <c r="E395" i="13"/>
  <c r="E394" i="13"/>
  <c r="E393" i="13"/>
  <c r="E392" i="13"/>
  <c r="E391" i="13"/>
  <c r="E390" i="13"/>
  <c r="E389" i="13"/>
  <c r="E388" i="13"/>
  <c r="E387" i="13"/>
  <c r="E386" i="13"/>
  <c r="E385" i="13"/>
  <c r="E384" i="13"/>
  <c r="E383" i="13"/>
  <c r="E382" i="13"/>
  <c r="E381" i="13"/>
  <c r="E380" i="13"/>
  <c r="E379" i="13"/>
  <c r="E378" i="13"/>
  <c r="E377" i="13"/>
  <c r="E376" i="13"/>
  <c r="E375" i="13"/>
  <c r="E374" i="13"/>
  <c r="E373" i="13"/>
  <c r="E372" i="13"/>
  <c r="E371" i="13"/>
  <c r="E370" i="13"/>
  <c r="E369" i="13"/>
  <c r="E368" i="13"/>
  <c r="E367" i="13"/>
  <c r="E366" i="13"/>
  <c r="E365" i="13"/>
  <c r="E364" i="13"/>
  <c r="E363" i="13"/>
  <c r="E362" i="13"/>
  <c r="E361" i="13"/>
  <c r="E360" i="13"/>
  <c r="E359" i="13"/>
  <c r="E358" i="13"/>
  <c r="E357" i="13"/>
  <c r="E356" i="13"/>
  <c r="E355" i="13"/>
  <c r="E354" i="13"/>
  <c r="E353" i="13"/>
  <c r="E352" i="13"/>
  <c r="E351" i="13"/>
  <c r="E350" i="13"/>
  <c r="E349" i="13"/>
  <c r="E348" i="13"/>
  <c r="E347" i="13"/>
  <c r="E346" i="13"/>
  <c r="E345" i="13"/>
  <c r="E344" i="13"/>
  <c r="E343" i="13"/>
  <c r="E342" i="13"/>
  <c r="E341" i="13"/>
  <c r="E340" i="13"/>
  <c r="E339" i="13"/>
  <c r="E338" i="13"/>
  <c r="E337" i="13"/>
  <c r="E336" i="13"/>
  <c r="E335" i="13"/>
  <c r="E334" i="13"/>
  <c r="E333" i="13"/>
  <c r="E332" i="13"/>
  <c r="E331" i="13"/>
  <c r="E330" i="13"/>
  <c r="E329" i="13"/>
  <c r="E328" i="13"/>
  <c r="E327" i="13"/>
  <c r="E326" i="13"/>
  <c r="E325" i="13"/>
  <c r="E324" i="13"/>
  <c r="E323" i="13"/>
  <c r="E322" i="13"/>
  <c r="E321" i="13"/>
  <c r="E320" i="13"/>
  <c r="E319" i="13"/>
  <c r="E318" i="13"/>
  <c r="E317" i="13"/>
  <c r="E316" i="13"/>
  <c r="E315" i="13"/>
  <c r="E314" i="13"/>
  <c r="E313" i="13"/>
  <c r="E312" i="13"/>
  <c r="E311" i="13"/>
  <c r="E310" i="13"/>
  <c r="E309" i="13"/>
  <c r="E308" i="13"/>
  <c r="E307" i="13"/>
  <c r="E306" i="13"/>
  <c r="E305" i="13"/>
  <c r="E304" i="13"/>
  <c r="E303" i="13"/>
  <c r="E302" i="13"/>
  <c r="E301" i="13"/>
  <c r="E300" i="13"/>
  <c r="E299" i="13"/>
  <c r="E298" i="13"/>
  <c r="E297" i="13"/>
  <c r="E296" i="13"/>
  <c r="E295" i="13"/>
  <c r="E294" i="13"/>
  <c r="E293" i="13"/>
  <c r="E292" i="13"/>
  <c r="E291" i="13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E263" i="13"/>
  <c r="E262" i="13"/>
  <c r="E261" i="13"/>
  <c r="E260" i="13"/>
  <c r="E259" i="13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4" i="13"/>
  <c r="E3" i="13"/>
  <c r="G994" i="12"/>
  <c r="F994" i="12"/>
  <c r="E994" i="12"/>
  <c r="D994" i="12"/>
  <c r="C994" i="12"/>
  <c r="G993" i="12"/>
  <c r="F993" i="12"/>
  <c r="E993" i="12"/>
  <c r="D993" i="12"/>
  <c r="C993" i="12"/>
  <c r="G992" i="12"/>
  <c r="F992" i="12"/>
  <c r="E992" i="12"/>
  <c r="D992" i="12"/>
  <c r="C992" i="12"/>
  <c r="G991" i="12"/>
  <c r="F991" i="12"/>
  <c r="E991" i="12"/>
  <c r="D991" i="12"/>
  <c r="C991" i="12"/>
  <c r="G990" i="12"/>
  <c r="F990" i="12"/>
  <c r="E990" i="12"/>
  <c r="D990" i="12"/>
  <c r="C990" i="12"/>
  <c r="G989" i="12"/>
  <c r="F989" i="12"/>
  <c r="E989" i="12"/>
  <c r="D989" i="12"/>
  <c r="C989" i="12"/>
  <c r="G988" i="12"/>
  <c r="F988" i="12"/>
  <c r="E988" i="12"/>
  <c r="D988" i="12"/>
  <c r="C988" i="12"/>
  <c r="G987" i="12"/>
  <c r="F987" i="12"/>
  <c r="E987" i="12"/>
  <c r="D987" i="12"/>
  <c r="C987" i="12"/>
  <c r="G986" i="12"/>
  <c r="F986" i="12"/>
  <c r="E986" i="12"/>
  <c r="D986" i="12"/>
  <c r="C986" i="12"/>
  <c r="G985" i="12"/>
  <c r="F985" i="12"/>
  <c r="E985" i="12"/>
  <c r="D985" i="12"/>
  <c r="C985" i="12"/>
  <c r="G984" i="12"/>
  <c r="F984" i="12"/>
  <c r="E984" i="12"/>
  <c r="D984" i="12"/>
  <c r="C984" i="12"/>
  <c r="G983" i="12"/>
  <c r="F983" i="12"/>
  <c r="E983" i="12"/>
  <c r="D983" i="12"/>
  <c r="C983" i="12"/>
  <c r="G982" i="12"/>
  <c r="F982" i="12"/>
  <c r="E982" i="12"/>
  <c r="D982" i="12"/>
  <c r="C982" i="12"/>
  <c r="G981" i="12"/>
  <c r="F981" i="12"/>
  <c r="E981" i="12"/>
  <c r="D981" i="12"/>
  <c r="C981" i="12"/>
  <c r="G980" i="12"/>
  <c r="F980" i="12"/>
  <c r="E980" i="12"/>
  <c r="D980" i="12"/>
  <c r="C980" i="12"/>
  <c r="G979" i="12"/>
  <c r="F979" i="12"/>
  <c r="E979" i="12"/>
  <c r="D979" i="12"/>
  <c r="C979" i="12"/>
  <c r="G978" i="12"/>
  <c r="F978" i="12"/>
  <c r="E978" i="12"/>
  <c r="D978" i="12"/>
  <c r="C978" i="12"/>
  <c r="G977" i="12"/>
  <c r="F977" i="12"/>
  <c r="E977" i="12"/>
  <c r="D977" i="12"/>
  <c r="C977" i="12"/>
  <c r="G976" i="12"/>
  <c r="F976" i="12"/>
  <c r="E976" i="12"/>
  <c r="D976" i="12"/>
  <c r="C976" i="12"/>
  <c r="G975" i="12"/>
  <c r="F975" i="12"/>
  <c r="E975" i="12"/>
  <c r="D975" i="12"/>
  <c r="C975" i="12"/>
  <c r="G974" i="12"/>
  <c r="F974" i="12"/>
  <c r="E974" i="12"/>
  <c r="D974" i="12"/>
  <c r="C974" i="12"/>
  <c r="G973" i="12"/>
  <c r="F973" i="12"/>
  <c r="E973" i="12"/>
  <c r="D973" i="12"/>
  <c r="C973" i="12"/>
  <c r="G972" i="12"/>
  <c r="F972" i="12"/>
  <c r="E972" i="12"/>
  <c r="D972" i="12"/>
  <c r="C972" i="12"/>
  <c r="G971" i="12"/>
  <c r="F971" i="12"/>
  <c r="E971" i="12"/>
  <c r="D971" i="12"/>
  <c r="C971" i="12"/>
  <c r="G970" i="12"/>
  <c r="F970" i="12"/>
  <c r="E970" i="12"/>
  <c r="D970" i="12"/>
  <c r="C970" i="12"/>
  <c r="G969" i="12"/>
  <c r="F969" i="12"/>
  <c r="E969" i="12"/>
  <c r="D969" i="12"/>
  <c r="C969" i="12"/>
  <c r="G968" i="12"/>
  <c r="F968" i="12"/>
  <c r="E968" i="12"/>
  <c r="D968" i="12"/>
  <c r="C968" i="12"/>
  <c r="G967" i="12"/>
  <c r="F967" i="12"/>
  <c r="E967" i="12"/>
  <c r="D967" i="12"/>
  <c r="C967" i="12"/>
  <c r="G966" i="12"/>
  <c r="F966" i="12"/>
  <c r="E966" i="12"/>
  <c r="D966" i="12"/>
  <c r="C966" i="12"/>
  <c r="G965" i="12"/>
  <c r="F965" i="12"/>
  <c r="E965" i="12"/>
  <c r="D965" i="12"/>
  <c r="C965" i="12"/>
  <c r="G964" i="12"/>
  <c r="F964" i="12"/>
  <c r="E964" i="12"/>
  <c r="D964" i="12"/>
  <c r="C964" i="12"/>
  <c r="G963" i="12"/>
  <c r="F963" i="12"/>
  <c r="E963" i="12"/>
  <c r="D963" i="12"/>
  <c r="C963" i="12"/>
  <c r="G962" i="12"/>
  <c r="F962" i="12"/>
  <c r="E962" i="12"/>
  <c r="D962" i="12"/>
  <c r="C962" i="12"/>
  <c r="G961" i="12"/>
  <c r="F961" i="12"/>
  <c r="E961" i="12"/>
  <c r="D961" i="12"/>
  <c r="C961" i="12"/>
  <c r="G960" i="12"/>
  <c r="F960" i="12"/>
  <c r="E960" i="12"/>
  <c r="D960" i="12"/>
  <c r="C960" i="12"/>
  <c r="G959" i="12"/>
  <c r="F959" i="12"/>
  <c r="E959" i="12"/>
  <c r="D959" i="12"/>
  <c r="C959" i="12"/>
  <c r="G958" i="12"/>
  <c r="F958" i="12"/>
  <c r="E958" i="12"/>
  <c r="D958" i="12"/>
  <c r="C958" i="12"/>
  <c r="G957" i="12"/>
  <c r="F957" i="12"/>
  <c r="E957" i="12"/>
  <c r="D957" i="12"/>
  <c r="C957" i="12"/>
  <c r="G956" i="12"/>
  <c r="F956" i="12"/>
  <c r="E956" i="12"/>
  <c r="D956" i="12"/>
  <c r="C956" i="12"/>
  <c r="G955" i="12"/>
  <c r="F955" i="12"/>
  <c r="E955" i="12"/>
  <c r="D955" i="12"/>
  <c r="C955" i="12"/>
  <c r="G954" i="12"/>
  <c r="F954" i="12"/>
  <c r="E954" i="12"/>
  <c r="D954" i="12"/>
  <c r="C954" i="12"/>
  <c r="G953" i="12"/>
  <c r="F953" i="12"/>
  <c r="E953" i="12"/>
  <c r="D953" i="12"/>
  <c r="C953" i="12"/>
  <c r="G952" i="12"/>
  <c r="F952" i="12"/>
  <c r="E952" i="12"/>
  <c r="D952" i="12"/>
  <c r="C952" i="12"/>
  <c r="G951" i="12"/>
  <c r="F951" i="12"/>
  <c r="E951" i="12"/>
  <c r="D951" i="12"/>
  <c r="C951" i="12"/>
  <c r="G950" i="12"/>
  <c r="F950" i="12"/>
  <c r="E950" i="12"/>
  <c r="D950" i="12"/>
  <c r="C950" i="12"/>
  <c r="G949" i="12"/>
  <c r="F949" i="12"/>
  <c r="E949" i="12"/>
  <c r="D949" i="12"/>
  <c r="C949" i="12"/>
  <c r="G948" i="12"/>
  <c r="F948" i="12"/>
  <c r="E948" i="12"/>
  <c r="D948" i="12"/>
  <c r="C948" i="12"/>
  <c r="G947" i="12"/>
  <c r="F947" i="12"/>
  <c r="E947" i="12"/>
  <c r="D947" i="12"/>
  <c r="C947" i="12"/>
  <c r="G946" i="12"/>
  <c r="F946" i="12"/>
  <c r="E946" i="12"/>
  <c r="D946" i="12"/>
  <c r="C946" i="12"/>
  <c r="G945" i="12"/>
  <c r="F945" i="12"/>
  <c r="E945" i="12"/>
  <c r="D945" i="12"/>
  <c r="C945" i="12"/>
  <c r="G944" i="12"/>
  <c r="F944" i="12"/>
  <c r="E944" i="12"/>
  <c r="D944" i="12"/>
  <c r="C944" i="12"/>
  <c r="G943" i="12"/>
  <c r="F943" i="12"/>
  <c r="E943" i="12"/>
  <c r="D943" i="12"/>
  <c r="C943" i="12"/>
  <c r="G942" i="12"/>
  <c r="F942" i="12"/>
  <c r="E942" i="12"/>
  <c r="D942" i="12"/>
  <c r="C942" i="12"/>
  <c r="G941" i="12"/>
  <c r="F941" i="12"/>
  <c r="E941" i="12"/>
  <c r="D941" i="12"/>
  <c r="C941" i="12"/>
  <c r="G940" i="12"/>
  <c r="F940" i="12"/>
  <c r="E940" i="12"/>
  <c r="D940" i="12"/>
  <c r="C940" i="12"/>
  <c r="G939" i="12"/>
  <c r="F939" i="12"/>
  <c r="E939" i="12"/>
  <c r="D939" i="12"/>
  <c r="C939" i="12"/>
  <c r="G938" i="12"/>
  <c r="F938" i="12"/>
  <c r="E938" i="12"/>
  <c r="D938" i="12"/>
  <c r="C938" i="12"/>
  <c r="G937" i="12"/>
  <c r="F937" i="12"/>
  <c r="E937" i="12"/>
  <c r="D937" i="12"/>
  <c r="C937" i="12"/>
  <c r="G936" i="12"/>
  <c r="F936" i="12"/>
  <c r="E936" i="12"/>
  <c r="D936" i="12"/>
  <c r="C936" i="12"/>
  <c r="G935" i="12"/>
  <c r="F935" i="12"/>
  <c r="E935" i="12"/>
  <c r="D935" i="12"/>
  <c r="C935" i="12"/>
  <c r="G934" i="12"/>
  <c r="F934" i="12"/>
  <c r="E934" i="12"/>
  <c r="D934" i="12"/>
  <c r="C934" i="12"/>
  <c r="G933" i="12"/>
  <c r="F933" i="12"/>
  <c r="E933" i="12"/>
  <c r="D933" i="12"/>
  <c r="C933" i="12"/>
  <c r="G932" i="12"/>
  <c r="F932" i="12"/>
  <c r="E932" i="12"/>
  <c r="D932" i="12"/>
  <c r="C932" i="12"/>
  <c r="G931" i="12"/>
  <c r="F931" i="12"/>
  <c r="E931" i="12"/>
  <c r="D931" i="12"/>
  <c r="C931" i="12"/>
  <c r="G930" i="12"/>
  <c r="F930" i="12"/>
  <c r="E930" i="12"/>
  <c r="D930" i="12"/>
  <c r="C930" i="12"/>
  <c r="G929" i="12"/>
  <c r="F929" i="12"/>
  <c r="E929" i="12"/>
  <c r="D929" i="12"/>
  <c r="C929" i="12"/>
  <c r="G928" i="12"/>
  <c r="F928" i="12"/>
  <c r="E928" i="12"/>
  <c r="D928" i="12"/>
  <c r="C928" i="12"/>
  <c r="G927" i="12"/>
  <c r="F927" i="12"/>
  <c r="E927" i="12"/>
  <c r="D927" i="12"/>
  <c r="C927" i="12"/>
  <c r="G926" i="12"/>
  <c r="F926" i="12"/>
  <c r="E926" i="12"/>
  <c r="D926" i="12"/>
  <c r="C926" i="12"/>
  <c r="G925" i="12"/>
  <c r="F925" i="12"/>
  <c r="E925" i="12"/>
  <c r="D925" i="12"/>
  <c r="C925" i="12"/>
  <c r="G924" i="12"/>
  <c r="F924" i="12"/>
  <c r="E924" i="12"/>
  <c r="D924" i="12"/>
  <c r="C924" i="12"/>
  <c r="G923" i="12"/>
  <c r="F923" i="12"/>
  <c r="E923" i="12"/>
  <c r="D923" i="12"/>
  <c r="C923" i="12"/>
  <c r="G922" i="12"/>
  <c r="F922" i="12"/>
  <c r="E922" i="12"/>
  <c r="D922" i="12"/>
  <c r="C922" i="12"/>
  <c r="G921" i="12"/>
  <c r="F921" i="12"/>
  <c r="E921" i="12"/>
  <c r="D921" i="12"/>
  <c r="C921" i="12"/>
  <c r="G920" i="12"/>
  <c r="F920" i="12"/>
  <c r="E920" i="12"/>
  <c r="D920" i="12"/>
  <c r="C920" i="12"/>
  <c r="G919" i="12"/>
  <c r="F919" i="12"/>
  <c r="E919" i="12"/>
  <c r="D919" i="12"/>
  <c r="C919" i="12"/>
  <c r="G918" i="12"/>
  <c r="F918" i="12"/>
  <c r="E918" i="12"/>
  <c r="D918" i="12"/>
  <c r="C918" i="12"/>
  <c r="G917" i="12"/>
  <c r="F917" i="12"/>
  <c r="E917" i="12"/>
  <c r="D917" i="12"/>
  <c r="C917" i="12"/>
  <c r="G916" i="12"/>
  <c r="F916" i="12"/>
  <c r="E916" i="12"/>
  <c r="D916" i="12"/>
  <c r="C916" i="12"/>
  <c r="G915" i="12"/>
  <c r="F915" i="12"/>
  <c r="E915" i="12"/>
  <c r="D915" i="12"/>
  <c r="C915" i="12"/>
  <c r="G914" i="12"/>
  <c r="F914" i="12"/>
  <c r="E914" i="12"/>
  <c r="D914" i="12"/>
  <c r="C914" i="12"/>
  <c r="G913" i="12"/>
  <c r="F913" i="12"/>
  <c r="E913" i="12"/>
  <c r="D913" i="12"/>
  <c r="C913" i="12"/>
  <c r="G912" i="12"/>
  <c r="F912" i="12"/>
  <c r="E912" i="12"/>
  <c r="D912" i="12"/>
  <c r="C912" i="12"/>
  <c r="G911" i="12"/>
  <c r="F911" i="12"/>
  <c r="E911" i="12"/>
  <c r="D911" i="12"/>
  <c r="C911" i="12"/>
  <c r="G910" i="12"/>
  <c r="F910" i="12"/>
  <c r="E910" i="12"/>
  <c r="D910" i="12"/>
  <c r="C910" i="12"/>
  <c r="G909" i="12"/>
  <c r="F909" i="12"/>
  <c r="E909" i="12"/>
  <c r="D909" i="12"/>
  <c r="C909" i="12"/>
  <c r="G908" i="12"/>
  <c r="F908" i="12"/>
  <c r="E908" i="12"/>
  <c r="D908" i="12"/>
  <c r="C908" i="12"/>
  <c r="G907" i="12"/>
  <c r="F907" i="12"/>
  <c r="E907" i="12"/>
  <c r="D907" i="12"/>
  <c r="C907" i="12"/>
  <c r="G906" i="12"/>
  <c r="F906" i="12"/>
  <c r="E906" i="12"/>
  <c r="D906" i="12"/>
  <c r="C906" i="12"/>
  <c r="G905" i="12"/>
  <c r="F905" i="12"/>
  <c r="E905" i="12"/>
  <c r="D905" i="12"/>
  <c r="C905" i="12"/>
  <c r="G904" i="12"/>
  <c r="F904" i="12"/>
  <c r="E904" i="12"/>
  <c r="D904" i="12"/>
  <c r="C904" i="12"/>
  <c r="G903" i="12"/>
  <c r="F903" i="12"/>
  <c r="E903" i="12"/>
  <c r="D903" i="12"/>
  <c r="C903" i="12"/>
  <c r="G902" i="12"/>
  <c r="F902" i="12"/>
  <c r="E902" i="12"/>
  <c r="D902" i="12"/>
  <c r="C902" i="12"/>
  <c r="G901" i="12"/>
  <c r="F901" i="12"/>
  <c r="E901" i="12"/>
  <c r="D901" i="12"/>
  <c r="C901" i="12"/>
  <c r="G900" i="12"/>
  <c r="F900" i="12"/>
  <c r="E900" i="12"/>
  <c r="D900" i="12"/>
  <c r="C900" i="12"/>
  <c r="G899" i="12"/>
  <c r="F899" i="12"/>
  <c r="E899" i="12"/>
  <c r="D899" i="12"/>
  <c r="C899" i="12"/>
  <c r="G898" i="12"/>
  <c r="F898" i="12"/>
  <c r="E898" i="12"/>
  <c r="D898" i="12"/>
  <c r="C898" i="12"/>
  <c r="G897" i="12"/>
  <c r="F897" i="12"/>
  <c r="E897" i="12"/>
  <c r="D897" i="12"/>
  <c r="C897" i="12"/>
  <c r="G896" i="12"/>
  <c r="F896" i="12"/>
  <c r="E896" i="12"/>
  <c r="D896" i="12"/>
  <c r="C896" i="12"/>
  <c r="G895" i="12"/>
  <c r="F895" i="12"/>
  <c r="E895" i="12"/>
  <c r="D895" i="12"/>
  <c r="C895" i="12"/>
  <c r="G894" i="12"/>
  <c r="F894" i="12"/>
  <c r="E894" i="12"/>
  <c r="D894" i="12"/>
  <c r="C894" i="12"/>
  <c r="G893" i="12"/>
  <c r="F893" i="12"/>
  <c r="E893" i="12"/>
  <c r="D893" i="12"/>
  <c r="C893" i="12"/>
  <c r="G892" i="12"/>
  <c r="F892" i="12"/>
  <c r="E892" i="12"/>
  <c r="D892" i="12"/>
  <c r="C892" i="12"/>
  <c r="G891" i="12"/>
  <c r="F891" i="12"/>
  <c r="E891" i="12"/>
  <c r="D891" i="12"/>
  <c r="C891" i="12"/>
  <c r="G890" i="12"/>
  <c r="F890" i="12"/>
  <c r="E890" i="12"/>
  <c r="D890" i="12"/>
  <c r="C890" i="12"/>
  <c r="G889" i="12"/>
  <c r="F889" i="12"/>
  <c r="E889" i="12"/>
  <c r="D889" i="12"/>
  <c r="C889" i="12"/>
  <c r="G888" i="12"/>
  <c r="F888" i="12"/>
  <c r="E888" i="12"/>
  <c r="D888" i="12"/>
  <c r="C888" i="12"/>
  <c r="G887" i="12"/>
  <c r="F887" i="12"/>
  <c r="E887" i="12"/>
  <c r="D887" i="12"/>
  <c r="C887" i="12"/>
  <c r="G886" i="12"/>
  <c r="F886" i="12"/>
  <c r="E886" i="12"/>
  <c r="D886" i="12"/>
  <c r="C886" i="12"/>
  <c r="G885" i="12"/>
  <c r="F885" i="12"/>
  <c r="E885" i="12"/>
  <c r="D885" i="12"/>
  <c r="C885" i="12"/>
  <c r="G884" i="12"/>
  <c r="F884" i="12"/>
  <c r="E884" i="12"/>
  <c r="D884" i="12"/>
  <c r="C884" i="12"/>
  <c r="G883" i="12"/>
  <c r="F883" i="12"/>
  <c r="E883" i="12"/>
  <c r="D883" i="12"/>
  <c r="C883" i="12"/>
  <c r="G882" i="12"/>
  <c r="F882" i="12"/>
  <c r="E882" i="12"/>
  <c r="D882" i="12"/>
  <c r="C882" i="12"/>
  <c r="G881" i="12"/>
  <c r="F881" i="12"/>
  <c r="E881" i="12"/>
  <c r="D881" i="12"/>
  <c r="C881" i="12"/>
  <c r="G880" i="12"/>
  <c r="F880" i="12"/>
  <c r="E880" i="12"/>
  <c r="D880" i="12"/>
  <c r="C880" i="12"/>
  <c r="G879" i="12"/>
  <c r="F879" i="12"/>
  <c r="E879" i="12"/>
  <c r="D879" i="12"/>
  <c r="C879" i="12"/>
  <c r="G878" i="12"/>
  <c r="F878" i="12"/>
  <c r="E878" i="12"/>
  <c r="D878" i="12"/>
  <c r="C878" i="12"/>
  <c r="G877" i="12"/>
  <c r="F877" i="12"/>
  <c r="E877" i="12"/>
  <c r="D877" i="12"/>
  <c r="C877" i="12"/>
  <c r="G876" i="12"/>
  <c r="F876" i="12"/>
  <c r="E876" i="12"/>
  <c r="D876" i="12"/>
  <c r="C876" i="12"/>
  <c r="G875" i="12"/>
  <c r="F875" i="12"/>
  <c r="E875" i="12"/>
  <c r="D875" i="12"/>
  <c r="C875" i="12"/>
  <c r="G874" i="12"/>
  <c r="F874" i="12"/>
  <c r="E874" i="12"/>
  <c r="D874" i="12"/>
  <c r="C874" i="12"/>
  <c r="G873" i="12"/>
  <c r="F873" i="12"/>
  <c r="E873" i="12"/>
  <c r="D873" i="12"/>
  <c r="C873" i="12"/>
  <c r="G872" i="12"/>
  <c r="F872" i="12"/>
  <c r="E872" i="12"/>
  <c r="D872" i="12"/>
  <c r="C872" i="12"/>
  <c r="G871" i="12"/>
  <c r="F871" i="12"/>
  <c r="E871" i="12"/>
  <c r="D871" i="12"/>
  <c r="C871" i="12"/>
  <c r="G870" i="12"/>
  <c r="F870" i="12"/>
  <c r="E870" i="12"/>
  <c r="D870" i="12"/>
  <c r="C870" i="12"/>
  <c r="G869" i="12"/>
  <c r="F869" i="12"/>
  <c r="E869" i="12"/>
  <c r="D869" i="12"/>
  <c r="C869" i="12"/>
  <c r="G868" i="12"/>
  <c r="F868" i="12"/>
  <c r="E868" i="12"/>
  <c r="D868" i="12"/>
  <c r="C868" i="12"/>
  <c r="G867" i="12"/>
  <c r="F867" i="12"/>
  <c r="E867" i="12"/>
  <c r="D867" i="12"/>
  <c r="C867" i="12"/>
  <c r="G866" i="12"/>
  <c r="F866" i="12"/>
  <c r="E866" i="12"/>
  <c r="D866" i="12"/>
  <c r="C866" i="12"/>
  <c r="G865" i="12"/>
  <c r="F865" i="12"/>
  <c r="E865" i="12"/>
  <c r="D865" i="12"/>
  <c r="C865" i="12"/>
  <c r="G864" i="12"/>
  <c r="F864" i="12"/>
  <c r="E864" i="12"/>
  <c r="D864" i="12"/>
  <c r="C864" i="12"/>
  <c r="G863" i="12"/>
  <c r="F863" i="12"/>
  <c r="E863" i="12"/>
  <c r="D863" i="12"/>
  <c r="C863" i="12"/>
  <c r="G862" i="12"/>
  <c r="F862" i="12"/>
  <c r="E862" i="12"/>
  <c r="D862" i="12"/>
  <c r="C862" i="12"/>
  <c r="G861" i="12"/>
  <c r="F861" i="12"/>
  <c r="E861" i="12"/>
  <c r="D861" i="12"/>
  <c r="C861" i="12"/>
  <c r="G860" i="12"/>
  <c r="F860" i="12"/>
  <c r="E860" i="12"/>
  <c r="D860" i="12"/>
  <c r="C860" i="12"/>
  <c r="G859" i="12"/>
  <c r="F859" i="12"/>
  <c r="E859" i="12"/>
  <c r="D859" i="12"/>
  <c r="C859" i="12"/>
  <c r="G858" i="12"/>
  <c r="F858" i="12"/>
  <c r="E858" i="12"/>
  <c r="D858" i="12"/>
  <c r="C858" i="12"/>
  <c r="G857" i="12"/>
  <c r="F857" i="12"/>
  <c r="E857" i="12"/>
  <c r="D857" i="12"/>
  <c r="C857" i="12"/>
  <c r="G856" i="12"/>
  <c r="F856" i="12"/>
  <c r="E856" i="12"/>
  <c r="D856" i="12"/>
  <c r="C856" i="12"/>
  <c r="G855" i="12"/>
  <c r="F855" i="12"/>
  <c r="E855" i="12"/>
  <c r="D855" i="12"/>
  <c r="C855" i="12"/>
  <c r="G854" i="12"/>
  <c r="F854" i="12"/>
  <c r="E854" i="12"/>
  <c r="D854" i="12"/>
  <c r="C854" i="12"/>
  <c r="G853" i="12"/>
  <c r="F853" i="12"/>
  <c r="E853" i="12"/>
  <c r="D853" i="12"/>
  <c r="C853" i="12"/>
  <c r="G852" i="12"/>
  <c r="F852" i="12"/>
  <c r="E852" i="12"/>
  <c r="D852" i="12"/>
  <c r="C852" i="12"/>
  <c r="G851" i="12"/>
  <c r="F851" i="12"/>
  <c r="E851" i="12"/>
  <c r="D851" i="12"/>
  <c r="C851" i="12"/>
  <c r="G850" i="12"/>
  <c r="F850" i="12"/>
  <c r="E850" i="12"/>
  <c r="D850" i="12"/>
  <c r="C850" i="12"/>
  <c r="G849" i="12"/>
  <c r="F849" i="12"/>
  <c r="E849" i="12"/>
  <c r="D849" i="12"/>
  <c r="C849" i="12"/>
  <c r="G848" i="12"/>
  <c r="F848" i="12"/>
  <c r="E848" i="12"/>
  <c r="D848" i="12"/>
  <c r="C848" i="12"/>
  <c r="G847" i="12"/>
  <c r="F847" i="12"/>
  <c r="E847" i="12"/>
  <c r="D847" i="12"/>
  <c r="C847" i="12"/>
  <c r="G846" i="12"/>
  <c r="F846" i="12"/>
  <c r="E846" i="12"/>
  <c r="D846" i="12"/>
  <c r="C846" i="12"/>
  <c r="G845" i="12"/>
  <c r="F845" i="12"/>
  <c r="E845" i="12"/>
  <c r="D845" i="12"/>
  <c r="C845" i="12"/>
  <c r="G844" i="12"/>
  <c r="F844" i="12"/>
  <c r="E844" i="12"/>
  <c r="D844" i="12"/>
  <c r="C844" i="12"/>
  <c r="G843" i="12"/>
  <c r="F843" i="12"/>
  <c r="E843" i="12"/>
  <c r="D843" i="12"/>
  <c r="C843" i="12"/>
  <c r="G842" i="12"/>
  <c r="F842" i="12"/>
  <c r="E842" i="12"/>
  <c r="D842" i="12"/>
  <c r="C842" i="12"/>
  <c r="G841" i="12"/>
  <c r="F841" i="12"/>
  <c r="E841" i="12"/>
  <c r="D841" i="12"/>
  <c r="C841" i="12"/>
  <c r="G840" i="12"/>
  <c r="F840" i="12"/>
  <c r="E840" i="12"/>
  <c r="D840" i="12"/>
  <c r="C840" i="12"/>
  <c r="G839" i="12"/>
  <c r="F839" i="12"/>
  <c r="E839" i="12"/>
  <c r="D839" i="12"/>
  <c r="C839" i="12"/>
  <c r="G838" i="12"/>
  <c r="F838" i="12"/>
  <c r="E838" i="12"/>
  <c r="D838" i="12"/>
  <c r="C838" i="12"/>
  <c r="G837" i="12"/>
  <c r="F837" i="12"/>
  <c r="E837" i="12"/>
  <c r="D837" i="12"/>
  <c r="C837" i="12"/>
  <c r="G836" i="12"/>
  <c r="F836" i="12"/>
  <c r="E836" i="12"/>
  <c r="D836" i="12"/>
  <c r="C836" i="12"/>
  <c r="G835" i="12"/>
  <c r="F835" i="12"/>
  <c r="E835" i="12"/>
  <c r="D835" i="12"/>
  <c r="C835" i="12"/>
  <c r="G834" i="12"/>
  <c r="F834" i="12"/>
  <c r="E834" i="12"/>
  <c r="D834" i="12"/>
  <c r="C834" i="12"/>
  <c r="G833" i="12"/>
  <c r="F833" i="12"/>
  <c r="E833" i="12"/>
  <c r="D833" i="12"/>
  <c r="C833" i="12"/>
  <c r="G832" i="12"/>
  <c r="F832" i="12"/>
  <c r="E832" i="12"/>
  <c r="D832" i="12"/>
  <c r="C832" i="12"/>
  <c r="G831" i="12"/>
  <c r="F831" i="12"/>
  <c r="E831" i="12"/>
  <c r="D831" i="12"/>
  <c r="C831" i="12"/>
  <c r="G830" i="12"/>
  <c r="F830" i="12"/>
  <c r="E830" i="12"/>
  <c r="D830" i="12"/>
  <c r="C830" i="12"/>
  <c r="G829" i="12"/>
  <c r="F829" i="12"/>
  <c r="E829" i="12"/>
  <c r="D829" i="12"/>
  <c r="C829" i="12"/>
  <c r="G828" i="12"/>
  <c r="F828" i="12"/>
  <c r="E828" i="12"/>
  <c r="D828" i="12"/>
  <c r="C828" i="12"/>
  <c r="G827" i="12"/>
  <c r="F827" i="12"/>
  <c r="E827" i="12"/>
  <c r="D827" i="12"/>
  <c r="C827" i="12"/>
  <c r="G826" i="12"/>
  <c r="F826" i="12"/>
  <c r="E826" i="12"/>
  <c r="D826" i="12"/>
  <c r="C826" i="12"/>
  <c r="G825" i="12"/>
  <c r="F825" i="12"/>
  <c r="E825" i="12"/>
  <c r="D825" i="12"/>
  <c r="C825" i="12"/>
  <c r="G824" i="12"/>
  <c r="F824" i="12"/>
  <c r="E824" i="12"/>
  <c r="D824" i="12"/>
  <c r="C824" i="12"/>
  <c r="G823" i="12"/>
  <c r="F823" i="12"/>
  <c r="E823" i="12"/>
  <c r="D823" i="12"/>
  <c r="C823" i="12"/>
  <c r="G822" i="12"/>
  <c r="F822" i="12"/>
  <c r="E822" i="12"/>
  <c r="D822" i="12"/>
  <c r="C822" i="12"/>
  <c r="G821" i="12"/>
  <c r="F821" i="12"/>
  <c r="E821" i="12"/>
  <c r="D821" i="12"/>
  <c r="C821" i="12"/>
  <c r="G820" i="12"/>
  <c r="F820" i="12"/>
  <c r="E820" i="12"/>
  <c r="D820" i="12"/>
  <c r="C820" i="12"/>
  <c r="G819" i="12"/>
  <c r="F819" i="12"/>
  <c r="E819" i="12"/>
  <c r="D819" i="12"/>
  <c r="C819" i="12"/>
  <c r="G818" i="12"/>
  <c r="F818" i="12"/>
  <c r="E818" i="12"/>
  <c r="D818" i="12"/>
  <c r="C818" i="12"/>
  <c r="G817" i="12"/>
  <c r="F817" i="12"/>
  <c r="E817" i="12"/>
  <c r="D817" i="12"/>
  <c r="C817" i="12"/>
  <c r="G816" i="12"/>
  <c r="F816" i="12"/>
  <c r="E816" i="12"/>
  <c r="D816" i="12"/>
  <c r="C816" i="12"/>
  <c r="G815" i="12"/>
  <c r="F815" i="12"/>
  <c r="E815" i="12"/>
  <c r="D815" i="12"/>
  <c r="C815" i="12"/>
  <c r="G814" i="12"/>
  <c r="F814" i="12"/>
  <c r="E814" i="12"/>
  <c r="D814" i="12"/>
  <c r="C814" i="12"/>
  <c r="G813" i="12"/>
  <c r="F813" i="12"/>
  <c r="E813" i="12"/>
  <c r="D813" i="12"/>
  <c r="C813" i="12"/>
  <c r="G812" i="12"/>
  <c r="F812" i="12"/>
  <c r="E812" i="12"/>
  <c r="D812" i="12"/>
  <c r="C812" i="12"/>
  <c r="G811" i="12"/>
  <c r="F811" i="12"/>
  <c r="E811" i="12"/>
  <c r="D811" i="12"/>
  <c r="C811" i="12"/>
  <c r="G810" i="12"/>
  <c r="F810" i="12"/>
  <c r="E810" i="12"/>
  <c r="D810" i="12"/>
  <c r="C810" i="12"/>
  <c r="G809" i="12"/>
  <c r="F809" i="12"/>
  <c r="E809" i="12"/>
  <c r="D809" i="12"/>
  <c r="C809" i="12"/>
  <c r="G808" i="12"/>
  <c r="F808" i="12"/>
  <c r="E808" i="12"/>
  <c r="D808" i="12"/>
  <c r="C808" i="12"/>
  <c r="G807" i="12"/>
  <c r="F807" i="12"/>
  <c r="E807" i="12"/>
  <c r="D807" i="12"/>
  <c r="C807" i="12"/>
  <c r="G806" i="12"/>
  <c r="F806" i="12"/>
  <c r="E806" i="12"/>
  <c r="D806" i="12"/>
  <c r="C806" i="12"/>
  <c r="G805" i="12"/>
  <c r="F805" i="12"/>
  <c r="E805" i="12"/>
  <c r="D805" i="12"/>
  <c r="C805" i="12"/>
  <c r="G804" i="12"/>
  <c r="F804" i="12"/>
  <c r="E804" i="12"/>
  <c r="D804" i="12"/>
  <c r="C804" i="12"/>
  <c r="G803" i="12"/>
  <c r="F803" i="12"/>
  <c r="E803" i="12"/>
  <c r="D803" i="12"/>
  <c r="C803" i="12"/>
  <c r="G802" i="12"/>
  <c r="F802" i="12"/>
  <c r="E802" i="12"/>
  <c r="D802" i="12"/>
  <c r="C802" i="12"/>
  <c r="G801" i="12"/>
  <c r="F801" i="12"/>
  <c r="E801" i="12"/>
  <c r="D801" i="12"/>
  <c r="C801" i="12"/>
  <c r="G800" i="12"/>
  <c r="F800" i="12"/>
  <c r="E800" i="12"/>
  <c r="D800" i="12"/>
  <c r="C800" i="12"/>
  <c r="G799" i="12"/>
  <c r="F799" i="12"/>
  <c r="E799" i="12"/>
  <c r="D799" i="12"/>
  <c r="C799" i="12"/>
  <c r="G798" i="12"/>
  <c r="F798" i="12"/>
  <c r="E798" i="12"/>
  <c r="D798" i="12"/>
  <c r="C798" i="12"/>
  <c r="G797" i="12"/>
  <c r="F797" i="12"/>
  <c r="E797" i="12"/>
  <c r="D797" i="12"/>
  <c r="C797" i="12"/>
  <c r="G796" i="12"/>
  <c r="F796" i="12"/>
  <c r="E796" i="12"/>
  <c r="D796" i="12"/>
  <c r="C796" i="12"/>
  <c r="G795" i="12"/>
  <c r="F795" i="12"/>
  <c r="E795" i="12"/>
  <c r="D795" i="12"/>
  <c r="C795" i="12"/>
  <c r="G794" i="12"/>
  <c r="F794" i="12"/>
  <c r="E794" i="12"/>
  <c r="D794" i="12"/>
  <c r="C794" i="12"/>
  <c r="G793" i="12"/>
  <c r="F793" i="12"/>
  <c r="E793" i="12"/>
  <c r="D793" i="12"/>
  <c r="C793" i="12"/>
  <c r="G792" i="12"/>
  <c r="F792" i="12"/>
  <c r="E792" i="12"/>
  <c r="D792" i="12"/>
  <c r="C792" i="12"/>
  <c r="G791" i="12"/>
  <c r="F791" i="12"/>
  <c r="E791" i="12"/>
  <c r="D791" i="12"/>
  <c r="C791" i="12"/>
  <c r="G790" i="12"/>
  <c r="F790" i="12"/>
  <c r="E790" i="12"/>
  <c r="D790" i="12"/>
  <c r="C790" i="12"/>
  <c r="G789" i="12"/>
  <c r="F789" i="12"/>
  <c r="E789" i="12"/>
  <c r="D789" i="12"/>
  <c r="C789" i="12"/>
  <c r="G788" i="12"/>
  <c r="F788" i="12"/>
  <c r="E788" i="12"/>
  <c r="D788" i="12"/>
  <c r="C788" i="12"/>
  <c r="G787" i="12"/>
  <c r="F787" i="12"/>
  <c r="E787" i="12"/>
  <c r="D787" i="12"/>
  <c r="C787" i="12"/>
  <c r="G786" i="12"/>
  <c r="F786" i="12"/>
  <c r="E786" i="12"/>
  <c r="D786" i="12"/>
  <c r="C786" i="12"/>
  <c r="G785" i="12"/>
  <c r="F785" i="12"/>
  <c r="E785" i="12"/>
  <c r="D785" i="12"/>
  <c r="C785" i="12"/>
  <c r="G784" i="12"/>
  <c r="F784" i="12"/>
  <c r="E784" i="12"/>
  <c r="D784" i="12"/>
  <c r="C784" i="12"/>
  <c r="G783" i="12"/>
  <c r="F783" i="12"/>
  <c r="E783" i="12"/>
  <c r="D783" i="12"/>
  <c r="C783" i="12"/>
  <c r="G782" i="12"/>
  <c r="F782" i="12"/>
  <c r="E782" i="12"/>
  <c r="D782" i="12"/>
  <c r="C782" i="12"/>
  <c r="G781" i="12"/>
  <c r="F781" i="12"/>
  <c r="E781" i="12"/>
  <c r="D781" i="12"/>
  <c r="C781" i="12"/>
  <c r="G780" i="12"/>
  <c r="F780" i="12"/>
  <c r="E780" i="12"/>
  <c r="D780" i="12"/>
  <c r="C780" i="12"/>
  <c r="G779" i="12"/>
  <c r="F779" i="12"/>
  <c r="E779" i="12"/>
  <c r="D779" i="12"/>
  <c r="C779" i="12"/>
  <c r="G778" i="12"/>
  <c r="F778" i="12"/>
  <c r="E778" i="12"/>
  <c r="D778" i="12"/>
  <c r="C778" i="12"/>
  <c r="G777" i="12"/>
  <c r="F777" i="12"/>
  <c r="E777" i="12"/>
  <c r="D777" i="12"/>
  <c r="C777" i="12"/>
  <c r="G776" i="12"/>
  <c r="F776" i="12"/>
  <c r="E776" i="12"/>
  <c r="D776" i="12"/>
  <c r="C776" i="12"/>
  <c r="G775" i="12"/>
  <c r="F775" i="12"/>
  <c r="E775" i="12"/>
  <c r="D775" i="12"/>
  <c r="C775" i="12"/>
  <c r="G774" i="12"/>
  <c r="F774" i="12"/>
  <c r="E774" i="12"/>
  <c r="D774" i="12"/>
  <c r="C774" i="12"/>
  <c r="G773" i="12"/>
  <c r="F773" i="12"/>
  <c r="E773" i="12"/>
  <c r="D773" i="12"/>
  <c r="C773" i="12"/>
  <c r="G772" i="12"/>
  <c r="F772" i="12"/>
  <c r="E772" i="12"/>
  <c r="D772" i="12"/>
  <c r="C772" i="12"/>
  <c r="G771" i="12"/>
  <c r="F771" i="12"/>
  <c r="E771" i="12"/>
  <c r="D771" i="12"/>
  <c r="C771" i="12"/>
  <c r="G770" i="12"/>
  <c r="F770" i="12"/>
  <c r="E770" i="12"/>
  <c r="D770" i="12"/>
  <c r="C770" i="12"/>
  <c r="G769" i="12"/>
  <c r="F769" i="12"/>
  <c r="E769" i="12"/>
  <c r="D769" i="12"/>
  <c r="C769" i="12"/>
  <c r="G768" i="12"/>
  <c r="F768" i="12"/>
  <c r="E768" i="12"/>
  <c r="D768" i="12"/>
  <c r="C768" i="12"/>
  <c r="G767" i="12"/>
  <c r="F767" i="12"/>
  <c r="E767" i="12"/>
  <c r="D767" i="12"/>
  <c r="C767" i="12"/>
  <c r="G766" i="12"/>
  <c r="F766" i="12"/>
  <c r="E766" i="12"/>
  <c r="D766" i="12"/>
  <c r="C766" i="12"/>
  <c r="G765" i="12"/>
  <c r="F765" i="12"/>
  <c r="E765" i="12"/>
  <c r="D765" i="12"/>
  <c r="C765" i="12"/>
  <c r="G764" i="12"/>
  <c r="F764" i="12"/>
  <c r="E764" i="12"/>
  <c r="D764" i="12"/>
  <c r="C764" i="12"/>
  <c r="G763" i="12"/>
  <c r="F763" i="12"/>
  <c r="E763" i="12"/>
  <c r="D763" i="12"/>
  <c r="C763" i="12"/>
  <c r="G762" i="12"/>
  <c r="F762" i="12"/>
  <c r="E762" i="12"/>
  <c r="D762" i="12"/>
  <c r="C762" i="12"/>
  <c r="G761" i="12"/>
  <c r="F761" i="12"/>
  <c r="E761" i="12"/>
  <c r="D761" i="12"/>
  <c r="C761" i="12"/>
  <c r="G760" i="12"/>
  <c r="F760" i="12"/>
  <c r="E760" i="12"/>
  <c r="D760" i="12"/>
  <c r="C760" i="12"/>
  <c r="G759" i="12"/>
  <c r="F759" i="12"/>
  <c r="E759" i="12"/>
  <c r="D759" i="12"/>
  <c r="C759" i="12"/>
  <c r="G758" i="12"/>
  <c r="F758" i="12"/>
  <c r="E758" i="12"/>
  <c r="D758" i="12"/>
  <c r="C758" i="12"/>
  <c r="G757" i="12"/>
  <c r="F757" i="12"/>
  <c r="E757" i="12"/>
  <c r="D757" i="12"/>
  <c r="C757" i="12"/>
  <c r="G756" i="12"/>
  <c r="F756" i="12"/>
  <c r="E756" i="12"/>
  <c r="D756" i="12"/>
  <c r="C756" i="12"/>
  <c r="G755" i="12"/>
  <c r="F755" i="12"/>
  <c r="E755" i="12"/>
  <c r="D755" i="12"/>
  <c r="C755" i="12"/>
  <c r="G754" i="12"/>
  <c r="F754" i="12"/>
  <c r="E754" i="12"/>
  <c r="D754" i="12"/>
  <c r="C754" i="12"/>
  <c r="G753" i="12"/>
  <c r="F753" i="12"/>
  <c r="E753" i="12"/>
  <c r="D753" i="12"/>
  <c r="C753" i="12"/>
  <c r="G752" i="12"/>
  <c r="F752" i="12"/>
  <c r="E752" i="12"/>
  <c r="D752" i="12"/>
  <c r="C752" i="12"/>
  <c r="G751" i="12"/>
  <c r="F751" i="12"/>
  <c r="E751" i="12"/>
  <c r="D751" i="12"/>
  <c r="C751" i="12"/>
  <c r="G750" i="12"/>
  <c r="F750" i="12"/>
  <c r="E750" i="12"/>
  <c r="D750" i="12"/>
  <c r="C750" i="12"/>
  <c r="G749" i="12"/>
  <c r="F749" i="12"/>
  <c r="E749" i="12"/>
  <c r="D749" i="12"/>
  <c r="C749" i="12"/>
  <c r="G748" i="12"/>
  <c r="F748" i="12"/>
  <c r="E748" i="12"/>
  <c r="D748" i="12"/>
  <c r="C748" i="12"/>
  <c r="G747" i="12"/>
  <c r="F747" i="12"/>
  <c r="E747" i="12"/>
  <c r="D747" i="12"/>
  <c r="C747" i="12"/>
  <c r="G746" i="12"/>
  <c r="F746" i="12"/>
  <c r="E746" i="12"/>
  <c r="D746" i="12"/>
  <c r="C746" i="12"/>
  <c r="G745" i="12"/>
  <c r="F745" i="12"/>
  <c r="E745" i="12"/>
  <c r="D745" i="12"/>
  <c r="C745" i="12"/>
  <c r="G744" i="12"/>
  <c r="F744" i="12"/>
  <c r="E744" i="12"/>
  <c r="D744" i="12"/>
  <c r="C744" i="12"/>
  <c r="G743" i="12"/>
  <c r="F743" i="12"/>
  <c r="E743" i="12"/>
  <c r="D743" i="12"/>
  <c r="C743" i="12"/>
  <c r="G742" i="12"/>
  <c r="F742" i="12"/>
  <c r="E742" i="12"/>
  <c r="D742" i="12"/>
  <c r="C742" i="12"/>
  <c r="G741" i="12"/>
  <c r="F741" i="12"/>
  <c r="E741" i="12"/>
  <c r="D741" i="12"/>
  <c r="C741" i="12"/>
  <c r="G740" i="12"/>
  <c r="F740" i="12"/>
  <c r="E740" i="12"/>
  <c r="D740" i="12"/>
  <c r="C740" i="12"/>
  <c r="G739" i="12"/>
  <c r="F739" i="12"/>
  <c r="E739" i="12"/>
  <c r="D739" i="12"/>
  <c r="C739" i="12"/>
  <c r="G738" i="12"/>
  <c r="F738" i="12"/>
  <c r="E738" i="12"/>
  <c r="D738" i="12"/>
  <c r="C738" i="12"/>
  <c r="G737" i="12"/>
  <c r="F737" i="12"/>
  <c r="E737" i="12"/>
  <c r="D737" i="12"/>
  <c r="C737" i="12"/>
  <c r="G736" i="12"/>
  <c r="F736" i="12"/>
  <c r="E736" i="12"/>
  <c r="D736" i="12"/>
  <c r="C736" i="12"/>
  <c r="G735" i="12"/>
  <c r="F735" i="12"/>
  <c r="E735" i="12"/>
  <c r="D735" i="12"/>
  <c r="C735" i="12"/>
  <c r="G734" i="12"/>
  <c r="F734" i="12"/>
  <c r="E734" i="12"/>
  <c r="D734" i="12"/>
  <c r="C734" i="12"/>
  <c r="G733" i="12"/>
  <c r="F733" i="12"/>
  <c r="E733" i="12"/>
  <c r="D733" i="12"/>
  <c r="C733" i="12"/>
  <c r="G732" i="12"/>
  <c r="F732" i="12"/>
  <c r="E732" i="12"/>
  <c r="D732" i="12"/>
  <c r="C732" i="12"/>
  <c r="G731" i="12"/>
  <c r="F731" i="12"/>
  <c r="E731" i="12"/>
  <c r="D731" i="12"/>
  <c r="C731" i="12"/>
  <c r="G730" i="12"/>
  <c r="F730" i="12"/>
  <c r="E730" i="12"/>
  <c r="D730" i="12"/>
  <c r="C730" i="12"/>
  <c r="G729" i="12"/>
  <c r="F729" i="12"/>
  <c r="E729" i="12"/>
  <c r="D729" i="12"/>
  <c r="C729" i="12"/>
  <c r="G728" i="12"/>
  <c r="F728" i="12"/>
  <c r="E728" i="12"/>
  <c r="D728" i="12"/>
  <c r="C728" i="12"/>
  <c r="G727" i="12"/>
  <c r="F727" i="12"/>
  <c r="E727" i="12"/>
  <c r="D727" i="12"/>
  <c r="C727" i="12"/>
  <c r="G726" i="12"/>
  <c r="F726" i="12"/>
  <c r="E726" i="12"/>
  <c r="D726" i="12"/>
  <c r="C726" i="12"/>
  <c r="G725" i="12"/>
  <c r="F725" i="12"/>
  <c r="E725" i="12"/>
  <c r="D725" i="12"/>
  <c r="C725" i="12"/>
  <c r="G724" i="12"/>
  <c r="F724" i="12"/>
  <c r="E724" i="12"/>
  <c r="D724" i="12"/>
  <c r="C724" i="12"/>
  <c r="G723" i="12"/>
  <c r="F723" i="12"/>
  <c r="E723" i="12"/>
  <c r="D723" i="12"/>
  <c r="C723" i="12"/>
  <c r="G722" i="12"/>
  <c r="F722" i="12"/>
  <c r="E722" i="12"/>
  <c r="D722" i="12"/>
  <c r="C722" i="12"/>
  <c r="G721" i="12"/>
  <c r="F721" i="12"/>
  <c r="E721" i="12"/>
  <c r="D721" i="12"/>
  <c r="C721" i="12"/>
  <c r="G720" i="12"/>
  <c r="F720" i="12"/>
  <c r="E720" i="12"/>
  <c r="D720" i="12"/>
  <c r="C720" i="12"/>
  <c r="G719" i="12"/>
  <c r="F719" i="12"/>
  <c r="E719" i="12"/>
  <c r="D719" i="12"/>
  <c r="C719" i="12"/>
  <c r="G718" i="12"/>
  <c r="F718" i="12"/>
  <c r="E718" i="12"/>
  <c r="D718" i="12"/>
  <c r="C718" i="12"/>
  <c r="G717" i="12"/>
  <c r="F717" i="12"/>
  <c r="E717" i="12"/>
  <c r="D717" i="12"/>
  <c r="C717" i="12"/>
  <c r="G716" i="12"/>
  <c r="F716" i="12"/>
  <c r="E716" i="12"/>
  <c r="D716" i="12"/>
  <c r="C716" i="12"/>
  <c r="G715" i="12"/>
  <c r="F715" i="12"/>
  <c r="E715" i="12"/>
  <c r="D715" i="12"/>
  <c r="C715" i="12"/>
  <c r="G714" i="12"/>
  <c r="F714" i="12"/>
  <c r="E714" i="12"/>
  <c r="D714" i="12"/>
  <c r="C714" i="12"/>
  <c r="G713" i="12"/>
  <c r="F713" i="12"/>
  <c r="E713" i="12"/>
  <c r="D713" i="12"/>
  <c r="C713" i="12"/>
  <c r="G712" i="12"/>
  <c r="F712" i="12"/>
  <c r="E712" i="12"/>
  <c r="D712" i="12"/>
  <c r="C712" i="12"/>
  <c r="G711" i="12"/>
  <c r="F711" i="12"/>
  <c r="E711" i="12"/>
  <c r="D711" i="12"/>
  <c r="C711" i="12"/>
  <c r="G710" i="12"/>
  <c r="F710" i="12"/>
  <c r="E710" i="12"/>
  <c r="D710" i="12"/>
  <c r="C710" i="12"/>
  <c r="G709" i="12"/>
  <c r="F709" i="12"/>
  <c r="E709" i="12"/>
  <c r="D709" i="12"/>
  <c r="C709" i="12"/>
  <c r="G708" i="12"/>
  <c r="F708" i="12"/>
  <c r="E708" i="12"/>
  <c r="D708" i="12"/>
  <c r="C708" i="12"/>
  <c r="G707" i="12"/>
  <c r="F707" i="12"/>
  <c r="E707" i="12"/>
  <c r="D707" i="12"/>
  <c r="C707" i="12"/>
  <c r="G706" i="12"/>
  <c r="F706" i="12"/>
  <c r="E706" i="12"/>
  <c r="D706" i="12"/>
  <c r="C706" i="12"/>
  <c r="G705" i="12"/>
  <c r="F705" i="12"/>
  <c r="E705" i="12"/>
  <c r="D705" i="12"/>
  <c r="C705" i="12"/>
  <c r="G704" i="12"/>
  <c r="F704" i="12"/>
  <c r="E704" i="12"/>
  <c r="D704" i="12"/>
  <c r="C704" i="12"/>
  <c r="G703" i="12"/>
  <c r="F703" i="12"/>
  <c r="E703" i="12"/>
  <c r="D703" i="12"/>
  <c r="C703" i="12"/>
  <c r="G702" i="12"/>
  <c r="F702" i="12"/>
  <c r="E702" i="12"/>
  <c r="D702" i="12"/>
  <c r="C702" i="12"/>
  <c r="G701" i="12"/>
  <c r="F701" i="12"/>
  <c r="E701" i="12"/>
  <c r="D701" i="12"/>
  <c r="C701" i="12"/>
  <c r="G700" i="12"/>
  <c r="F700" i="12"/>
  <c r="E700" i="12"/>
  <c r="D700" i="12"/>
  <c r="C700" i="12"/>
  <c r="G699" i="12"/>
  <c r="F699" i="12"/>
  <c r="E699" i="12"/>
  <c r="D699" i="12"/>
  <c r="C699" i="12"/>
  <c r="G698" i="12"/>
  <c r="F698" i="12"/>
  <c r="E698" i="12"/>
  <c r="D698" i="12"/>
  <c r="C698" i="12"/>
  <c r="G697" i="12"/>
  <c r="F697" i="12"/>
  <c r="E697" i="12"/>
  <c r="D697" i="12"/>
  <c r="C697" i="12"/>
  <c r="G696" i="12"/>
  <c r="F696" i="12"/>
  <c r="E696" i="12"/>
  <c r="D696" i="12"/>
  <c r="C696" i="12"/>
  <c r="G695" i="12"/>
  <c r="F695" i="12"/>
  <c r="E695" i="12"/>
  <c r="D695" i="12"/>
  <c r="C695" i="12"/>
  <c r="G694" i="12"/>
  <c r="F694" i="12"/>
  <c r="E694" i="12"/>
  <c r="D694" i="12"/>
  <c r="C694" i="12"/>
  <c r="G693" i="12"/>
  <c r="F693" i="12"/>
  <c r="E693" i="12"/>
  <c r="D693" i="12"/>
  <c r="C693" i="12"/>
  <c r="G692" i="12"/>
  <c r="F692" i="12"/>
  <c r="E692" i="12"/>
  <c r="D692" i="12"/>
  <c r="C692" i="12"/>
  <c r="G691" i="12"/>
  <c r="F691" i="12"/>
  <c r="E691" i="12"/>
  <c r="D691" i="12"/>
  <c r="C691" i="12"/>
  <c r="G690" i="12"/>
  <c r="F690" i="12"/>
  <c r="E690" i="12"/>
  <c r="D690" i="12"/>
  <c r="C690" i="12"/>
  <c r="G689" i="12"/>
  <c r="F689" i="12"/>
  <c r="E689" i="12"/>
  <c r="D689" i="12"/>
  <c r="C689" i="12"/>
  <c r="G688" i="12"/>
  <c r="F688" i="12"/>
  <c r="E688" i="12"/>
  <c r="D688" i="12"/>
  <c r="C688" i="12"/>
  <c r="G687" i="12"/>
  <c r="F687" i="12"/>
  <c r="E687" i="12"/>
  <c r="D687" i="12"/>
  <c r="C687" i="12"/>
  <c r="G686" i="12"/>
  <c r="F686" i="12"/>
  <c r="E686" i="12"/>
  <c r="D686" i="12"/>
  <c r="C686" i="12"/>
  <c r="G685" i="12"/>
  <c r="F685" i="12"/>
  <c r="E685" i="12"/>
  <c r="D685" i="12"/>
  <c r="C685" i="12"/>
  <c r="G684" i="12"/>
  <c r="F684" i="12"/>
  <c r="E684" i="12"/>
  <c r="D684" i="12"/>
  <c r="C684" i="12"/>
  <c r="G683" i="12"/>
  <c r="F683" i="12"/>
  <c r="E683" i="12"/>
  <c r="D683" i="12"/>
  <c r="C683" i="12"/>
  <c r="G682" i="12"/>
  <c r="F682" i="12"/>
  <c r="E682" i="12"/>
  <c r="D682" i="12"/>
  <c r="C682" i="12"/>
  <c r="G681" i="12"/>
  <c r="F681" i="12"/>
  <c r="E681" i="12"/>
  <c r="D681" i="12"/>
  <c r="C681" i="12"/>
  <c r="G680" i="12"/>
  <c r="F680" i="12"/>
  <c r="E680" i="12"/>
  <c r="D680" i="12"/>
  <c r="C680" i="12"/>
  <c r="G679" i="12"/>
  <c r="F679" i="12"/>
  <c r="E679" i="12"/>
  <c r="D679" i="12"/>
  <c r="C679" i="12"/>
  <c r="G678" i="12"/>
  <c r="F678" i="12"/>
  <c r="E678" i="12"/>
  <c r="D678" i="12"/>
  <c r="C678" i="12"/>
  <c r="G677" i="12"/>
  <c r="F677" i="12"/>
  <c r="E677" i="12"/>
  <c r="D677" i="12"/>
  <c r="C677" i="12"/>
  <c r="G676" i="12"/>
  <c r="F676" i="12"/>
  <c r="E676" i="12"/>
  <c r="D676" i="12"/>
  <c r="C676" i="12"/>
  <c r="G675" i="12"/>
  <c r="F675" i="12"/>
  <c r="E675" i="12"/>
  <c r="D675" i="12"/>
  <c r="C675" i="12"/>
  <c r="G674" i="12"/>
  <c r="F674" i="12"/>
  <c r="E674" i="12"/>
  <c r="D674" i="12"/>
  <c r="C674" i="12"/>
  <c r="G673" i="12"/>
  <c r="F673" i="12"/>
  <c r="E673" i="12"/>
  <c r="D673" i="12"/>
  <c r="C673" i="12"/>
  <c r="G672" i="12"/>
  <c r="F672" i="12"/>
  <c r="E672" i="12"/>
  <c r="D672" i="12"/>
  <c r="C672" i="12"/>
  <c r="G671" i="12"/>
  <c r="F671" i="12"/>
  <c r="E671" i="12"/>
  <c r="D671" i="12"/>
  <c r="C671" i="12"/>
  <c r="G670" i="12"/>
  <c r="F670" i="12"/>
  <c r="E670" i="12"/>
  <c r="D670" i="12"/>
  <c r="C670" i="12"/>
  <c r="G669" i="12"/>
  <c r="F669" i="12"/>
  <c r="E669" i="12"/>
  <c r="D669" i="12"/>
  <c r="C669" i="12"/>
  <c r="G668" i="12"/>
  <c r="F668" i="12"/>
  <c r="E668" i="12"/>
  <c r="D668" i="12"/>
  <c r="C668" i="12"/>
  <c r="G667" i="12"/>
  <c r="F667" i="12"/>
  <c r="E667" i="12"/>
  <c r="D667" i="12"/>
  <c r="C667" i="12"/>
  <c r="G666" i="12"/>
  <c r="F666" i="12"/>
  <c r="E666" i="12"/>
  <c r="D666" i="12"/>
  <c r="C666" i="12"/>
  <c r="G665" i="12"/>
  <c r="F665" i="12"/>
  <c r="E665" i="12"/>
  <c r="D665" i="12"/>
  <c r="C665" i="12"/>
  <c r="G664" i="12"/>
  <c r="F664" i="12"/>
  <c r="E664" i="12"/>
  <c r="D664" i="12"/>
  <c r="C664" i="12"/>
  <c r="G663" i="12"/>
  <c r="F663" i="12"/>
  <c r="E663" i="12"/>
  <c r="D663" i="12"/>
  <c r="C663" i="12"/>
  <c r="G662" i="12"/>
  <c r="F662" i="12"/>
  <c r="E662" i="12"/>
  <c r="D662" i="12"/>
  <c r="C662" i="12"/>
  <c r="G661" i="12"/>
  <c r="F661" i="12"/>
  <c r="E661" i="12"/>
  <c r="D661" i="12"/>
  <c r="C661" i="12"/>
  <c r="G660" i="12"/>
  <c r="F660" i="12"/>
  <c r="E660" i="12"/>
  <c r="D660" i="12"/>
  <c r="C660" i="12"/>
  <c r="G659" i="12"/>
  <c r="F659" i="12"/>
  <c r="E659" i="12"/>
  <c r="D659" i="12"/>
  <c r="C659" i="12"/>
  <c r="G658" i="12"/>
  <c r="F658" i="12"/>
  <c r="E658" i="12"/>
  <c r="D658" i="12"/>
  <c r="C658" i="12"/>
  <c r="G657" i="12"/>
  <c r="F657" i="12"/>
  <c r="E657" i="12"/>
  <c r="D657" i="12"/>
  <c r="C657" i="12"/>
  <c r="G656" i="12"/>
  <c r="F656" i="12"/>
  <c r="E656" i="12"/>
  <c r="D656" i="12"/>
  <c r="C656" i="12"/>
  <c r="G655" i="12"/>
  <c r="F655" i="12"/>
  <c r="E655" i="12"/>
  <c r="D655" i="12"/>
  <c r="C655" i="12"/>
  <c r="G654" i="12"/>
  <c r="F654" i="12"/>
  <c r="E654" i="12"/>
  <c r="D654" i="12"/>
  <c r="C654" i="12"/>
  <c r="G653" i="12"/>
  <c r="F653" i="12"/>
  <c r="E653" i="12"/>
  <c r="D653" i="12"/>
  <c r="C653" i="12"/>
  <c r="G652" i="12"/>
  <c r="F652" i="12"/>
  <c r="E652" i="12"/>
  <c r="D652" i="12"/>
  <c r="C652" i="12"/>
  <c r="G651" i="12"/>
  <c r="F651" i="12"/>
  <c r="E651" i="12"/>
  <c r="D651" i="12"/>
  <c r="C651" i="12"/>
  <c r="G650" i="12"/>
  <c r="F650" i="12"/>
  <c r="E650" i="12"/>
  <c r="D650" i="12"/>
  <c r="C650" i="12"/>
  <c r="G649" i="12"/>
  <c r="F649" i="12"/>
  <c r="E649" i="12"/>
  <c r="D649" i="12"/>
  <c r="C649" i="12"/>
  <c r="G648" i="12"/>
  <c r="F648" i="12"/>
  <c r="E648" i="12"/>
  <c r="D648" i="12"/>
  <c r="C648" i="12"/>
  <c r="G647" i="12"/>
  <c r="F647" i="12"/>
  <c r="E647" i="12"/>
  <c r="D647" i="12"/>
  <c r="C647" i="12"/>
  <c r="G646" i="12"/>
  <c r="F646" i="12"/>
  <c r="E646" i="12"/>
  <c r="D646" i="12"/>
  <c r="C646" i="12"/>
  <c r="G645" i="12"/>
  <c r="F645" i="12"/>
  <c r="E645" i="12"/>
  <c r="D645" i="12"/>
  <c r="C645" i="12"/>
  <c r="G644" i="12"/>
  <c r="F644" i="12"/>
  <c r="E644" i="12"/>
  <c r="D644" i="12"/>
  <c r="C644" i="12"/>
  <c r="G643" i="12"/>
  <c r="F643" i="12"/>
  <c r="E643" i="12"/>
  <c r="D643" i="12"/>
  <c r="C643" i="12"/>
  <c r="G642" i="12"/>
  <c r="F642" i="12"/>
  <c r="E642" i="12"/>
  <c r="D642" i="12"/>
  <c r="C642" i="12"/>
  <c r="G641" i="12"/>
  <c r="F641" i="12"/>
  <c r="E641" i="12"/>
  <c r="D641" i="12"/>
  <c r="C641" i="12"/>
  <c r="G640" i="12"/>
  <c r="F640" i="12"/>
  <c r="E640" i="12"/>
  <c r="D640" i="12"/>
  <c r="C640" i="12"/>
  <c r="G639" i="12"/>
  <c r="F639" i="12"/>
  <c r="E639" i="12"/>
  <c r="D639" i="12"/>
  <c r="C639" i="12"/>
  <c r="G638" i="12"/>
  <c r="F638" i="12"/>
  <c r="E638" i="12"/>
  <c r="D638" i="12"/>
  <c r="C638" i="12"/>
  <c r="G637" i="12"/>
  <c r="F637" i="12"/>
  <c r="E637" i="12"/>
  <c r="D637" i="12"/>
  <c r="C637" i="12"/>
  <c r="G636" i="12"/>
  <c r="F636" i="12"/>
  <c r="E636" i="12"/>
  <c r="D636" i="12"/>
  <c r="C636" i="12"/>
  <c r="G635" i="12"/>
  <c r="F635" i="12"/>
  <c r="E635" i="12"/>
  <c r="D635" i="12"/>
  <c r="C635" i="12"/>
  <c r="G634" i="12"/>
  <c r="F634" i="12"/>
  <c r="E634" i="12"/>
  <c r="D634" i="12"/>
  <c r="C634" i="12"/>
  <c r="G633" i="12"/>
  <c r="F633" i="12"/>
  <c r="E633" i="12"/>
  <c r="D633" i="12"/>
  <c r="C633" i="12"/>
  <c r="G632" i="12"/>
  <c r="F632" i="12"/>
  <c r="E632" i="12"/>
  <c r="D632" i="12"/>
  <c r="C632" i="12"/>
  <c r="G631" i="12"/>
  <c r="F631" i="12"/>
  <c r="E631" i="12"/>
  <c r="D631" i="12"/>
  <c r="C631" i="12"/>
  <c r="G630" i="12"/>
  <c r="F630" i="12"/>
  <c r="E630" i="12"/>
  <c r="D630" i="12"/>
  <c r="C630" i="12"/>
  <c r="G629" i="12"/>
  <c r="F629" i="12"/>
  <c r="E629" i="12"/>
  <c r="D629" i="12"/>
  <c r="C629" i="12"/>
  <c r="G628" i="12"/>
  <c r="F628" i="12"/>
  <c r="E628" i="12"/>
  <c r="D628" i="12"/>
  <c r="C628" i="12"/>
  <c r="G627" i="12"/>
  <c r="F627" i="12"/>
  <c r="E627" i="12"/>
  <c r="D627" i="12"/>
  <c r="C627" i="12"/>
  <c r="G626" i="12"/>
  <c r="F626" i="12"/>
  <c r="E626" i="12"/>
  <c r="D626" i="12"/>
  <c r="C626" i="12"/>
  <c r="G625" i="12"/>
  <c r="F625" i="12"/>
  <c r="E625" i="12"/>
  <c r="D625" i="12"/>
  <c r="C625" i="12"/>
  <c r="G624" i="12"/>
  <c r="F624" i="12"/>
  <c r="E624" i="12"/>
  <c r="D624" i="12"/>
  <c r="C624" i="12"/>
  <c r="G623" i="12"/>
  <c r="F623" i="12"/>
  <c r="E623" i="12"/>
  <c r="D623" i="12"/>
  <c r="C623" i="12"/>
  <c r="G622" i="12"/>
  <c r="F622" i="12"/>
  <c r="E622" i="12"/>
  <c r="D622" i="12"/>
  <c r="C622" i="12"/>
  <c r="G621" i="12"/>
  <c r="F621" i="12"/>
  <c r="E621" i="12"/>
  <c r="D621" i="12"/>
  <c r="C621" i="12"/>
  <c r="G620" i="12"/>
  <c r="F620" i="12"/>
  <c r="E620" i="12"/>
  <c r="D620" i="12"/>
  <c r="C620" i="12"/>
  <c r="G619" i="12"/>
  <c r="F619" i="12"/>
  <c r="E619" i="12"/>
  <c r="D619" i="12"/>
  <c r="C619" i="12"/>
  <c r="G618" i="12"/>
  <c r="F618" i="12"/>
  <c r="E618" i="12"/>
  <c r="D618" i="12"/>
  <c r="C618" i="12"/>
  <c r="G617" i="12"/>
  <c r="F617" i="12"/>
  <c r="E617" i="12"/>
  <c r="D617" i="12"/>
  <c r="C617" i="12"/>
  <c r="G616" i="12"/>
  <c r="F616" i="12"/>
  <c r="E616" i="12"/>
  <c r="D616" i="12"/>
  <c r="C616" i="12"/>
  <c r="G615" i="12"/>
  <c r="F615" i="12"/>
  <c r="E615" i="12"/>
  <c r="D615" i="12"/>
  <c r="C615" i="12"/>
  <c r="G614" i="12"/>
  <c r="F614" i="12"/>
  <c r="E614" i="12"/>
  <c r="D614" i="12"/>
  <c r="C614" i="12"/>
  <c r="G613" i="12"/>
  <c r="F613" i="12"/>
  <c r="E613" i="12"/>
  <c r="D613" i="12"/>
  <c r="C613" i="12"/>
  <c r="G612" i="12"/>
  <c r="F612" i="12"/>
  <c r="E612" i="12"/>
  <c r="D612" i="12"/>
  <c r="C612" i="12"/>
  <c r="G611" i="12"/>
  <c r="F611" i="12"/>
  <c r="E611" i="12"/>
  <c r="D611" i="12"/>
  <c r="C611" i="12"/>
  <c r="G610" i="12"/>
  <c r="F610" i="12"/>
  <c r="E610" i="12"/>
  <c r="D610" i="12"/>
  <c r="C610" i="12"/>
  <c r="G609" i="12"/>
  <c r="F609" i="12"/>
  <c r="E609" i="12"/>
  <c r="D609" i="12"/>
  <c r="C609" i="12"/>
  <c r="G608" i="12"/>
  <c r="F608" i="12"/>
  <c r="E608" i="12"/>
  <c r="D608" i="12"/>
  <c r="C608" i="12"/>
  <c r="G607" i="12"/>
  <c r="F607" i="12"/>
  <c r="E607" i="12"/>
  <c r="D607" i="12"/>
  <c r="C607" i="12"/>
  <c r="G606" i="12"/>
  <c r="F606" i="12"/>
  <c r="E606" i="12"/>
  <c r="D606" i="12"/>
  <c r="C606" i="12"/>
  <c r="G605" i="12"/>
  <c r="F605" i="12"/>
  <c r="E605" i="12"/>
  <c r="D605" i="12"/>
  <c r="C605" i="12"/>
  <c r="G604" i="12"/>
  <c r="F604" i="12"/>
  <c r="E604" i="12"/>
  <c r="D604" i="12"/>
  <c r="C604" i="12"/>
  <c r="G603" i="12"/>
  <c r="F603" i="12"/>
  <c r="E603" i="12"/>
  <c r="D603" i="12"/>
  <c r="C603" i="12"/>
  <c r="G602" i="12"/>
  <c r="F602" i="12"/>
  <c r="E602" i="12"/>
  <c r="D602" i="12"/>
  <c r="C602" i="12"/>
  <c r="G601" i="12"/>
  <c r="F601" i="12"/>
  <c r="E601" i="12"/>
  <c r="D601" i="12"/>
  <c r="C601" i="12"/>
  <c r="G600" i="12"/>
  <c r="F600" i="12"/>
  <c r="E600" i="12"/>
  <c r="D600" i="12"/>
  <c r="C600" i="12"/>
  <c r="G599" i="12"/>
  <c r="F599" i="12"/>
  <c r="E599" i="12"/>
  <c r="D599" i="12"/>
  <c r="C599" i="12"/>
  <c r="G598" i="12"/>
  <c r="F598" i="12"/>
  <c r="E598" i="12"/>
  <c r="D598" i="12"/>
  <c r="C598" i="12"/>
  <c r="G597" i="12"/>
  <c r="F597" i="12"/>
  <c r="E597" i="12"/>
  <c r="D597" i="12"/>
  <c r="C597" i="12"/>
  <c r="G596" i="12"/>
  <c r="F596" i="12"/>
  <c r="E596" i="12"/>
  <c r="D596" i="12"/>
  <c r="C596" i="12"/>
  <c r="G595" i="12"/>
  <c r="F595" i="12"/>
  <c r="E595" i="12"/>
  <c r="D595" i="12"/>
  <c r="C595" i="12"/>
  <c r="G594" i="12"/>
  <c r="F594" i="12"/>
  <c r="E594" i="12"/>
  <c r="D594" i="12"/>
  <c r="C594" i="12"/>
  <c r="G593" i="12"/>
  <c r="F593" i="12"/>
  <c r="E593" i="12"/>
  <c r="D593" i="12"/>
  <c r="C593" i="12"/>
  <c r="G592" i="12"/>
  <c r="F592" i="12"/>
  <c r="E592" i="12"/>
  <c r="D592" i="12"/>
  <c r="C592" i="12"/>
  <c r="G591" i="12"/>
  <c r="F591" i="12"/>
  <c r="E591" i="12"/>
  <c r="D591" i="12"/>
  <c r="C591" i="12"/>
  <c r="G590" i="12"/>
  <c r="F590" i="12"/>
  <c r="E590" i="12"/>
  <c r="D590" i="12"/>
  <c r="C590" i="12"/>
  <c r="G589" i="12"/>
  <c r="F589" i="12"/>
  <c r="E589" i="12"/>
  <c r="D589" i="12"/>
  <c r="C589" i="12"/>
  <c r="G588" i="12"/>
  <c r="F588" i="12"/>
  <c r="E588" i="12"/>
  <c r="D588" i="12"/>
  <c r="C588" i="12"/>
  <c r="G587" i="12"/>
  <c r="F587" i="12"/>
  <c r="E587" i="12"/>
  <c r="D587" i="12"/>
  <c r="C587" i="12"/>
  <c r="G586" i="12"/>
  <c r="F586" i="12"/>
  <c r="E586" i="12"/>
  <c r="D586" i="12"/>
  <c r="C586" i="12"/>
  <c r="G585" i="12"/>
  <c r="F585" i="12"/>
  <c r="E585" i="12"/>
  <c r="D585" i="12"/>
  <c r="C585" i="12"/>
  <c r="G584" i="12"/>
  <c r="F584" i="12"/>
  <c r="E584" i="12"/>
  <c r="D584" i="12"/>
  <c r="C584" i="12"/>
  <c r="G583" i="12"/>
  <c r="F583" i="12"/>
  <c r="E583" i="12"/>
  <c r="D583" i="12"/>
  <c r="C583" i="12"/>
  <c r="G582" i="12"/>
  <c r="F582" i="12"/>
  <c r="E582" i="12"/>
  <c r="D582" i="12"/>
  <c r="C582" i="12"/>
  <c r="G581" i="12"/>
  <c r="F581" i="12"/>
  <c r="E581" i="12"/>
  <c r="D581" i="12"/>
  <c r="C581" i="12"/>
  <c r="G580" i="12"/>
  <c r="F580" i="12"/>
  <c r="E580" i="12"/>
  <c r="D580" i="12"/>
  <c r="C580" i="12"/>
  <c r="G579" i="12"/>
  <c r="F579" i="12"/>
  <c r="E579" i="12"/>
  <c r="D579" i="12"/>
  <c r="C579" i="12"/>
  <c r="G578" i="12"/>
  <c r="F578" i="12"/>
  <c r="E578" i="12"/>
  <c r="D578" i="12"/>
  <c r="C578" i="12"/>
  <c r="G577" i="12"/>
  <c r="F577" i="12"/>
  <c r="E577" i="12"/>
  <c r="D577" i="12"/>
  <c r="C577" i="12"/>
  <c r="G576" i="12"/>
  <c r="F576" i="12"/>
  <c r="E576" i="12"/>
  <c r="D576" i="12"/>
  <c r="C576" i="12"/>
  <c r="G575" i="12"/>
  <c r="F575" i="12"/>
  <c r="E575" i="12"/>
  <c r="D575" i="12"/>
  <c r="C575" i="12"/>
  <c r="G574" i="12"/>
  <c r="F574" i="12"/>
  <c r="E574" i="12"/>
  <c r="D574" i="12"/>
  <c r="C574" i="12"/>
  <c r="G573" i="12"/>
  <c r="F573" i="12"/>
  <c r="E573" i="12"/>
  <c r="D573" i="12"/>
  <c r="C573" i="12"/>
  <c r="G572" i="12"/>
  <c r="F572" i="12"/>
  <c r="E572" i="12"/>
  <c r="D572" i="12"/>
  <c r="C572" i="12"/>
  <c r="G571" i="12"/>
  <c r="F571" i="12"/>
  <c r="E571" i="12"/>
  <c r="D571" i="12"/>
  <c r="C571" i="12"/>
  <c r="G570" i="12"/>
  <c r="F570" i="12"/>
  <c r="E570" i="12"/>
  <c r="D570" i="12"/>
  <c r="C570" i="12"/>
  <c r="G569" i="12"/>
  <c r="F569" i="12"/>
  <c r="E569" i="12"/>
  <c r="D569" i="12"/>
  <c r="C569" i="12"/>
  <c r="G568" i="12"/>
  <c r="F568" i="12"/>
  <c r="E568" i="12"/>
  <c r="D568" i="12"/>
  <c r="C568" i="12"/>
  <c r="G567" i="12"/>
  <c r="F567" i="12"/>
  <c r="E567" i="12"/>
  <c r="D567" i="12"/>
  <c r="C567" i="12"/>
  <c r="G566" i="12"/>
  <c r="F566" i="12"/>
  <c r="E566" i="12"/>
  <c r="D566" i="12"/>
  <c r="C566" i="12"/>
  <c r="G565" i="12"/>
  <c r="F565" i="12"/>
  <c r="E565" i="12"/>
  <c r="D565" i="12"/>
  <c r="C565" i="12"/>
  <c r="G564" i="12"/>
  <c r="F564" i="12"/>
  <c r="E564" i="12"/>
  <c r="D564" i="12"/>
  <c r="C564" i="12"/>
  <c r="G563" i="12"/>
  <c r="F563" i="12"/>
  <c r="E563" i="12"/>
  <c r="D563" i="12"/>
  <c r="C563" i="12"/>
  <c r="G562" i="12"/>
  <c r="F562" i="12"/>
  <c r="E562" i="12"/>
  <c r="D562" i="12"/>
  <c r="C562" i="12"/>
  <c r="G561" i="12"/>
  <c r="F561" i="12"/>
  <c r="E561" i="12"/>
  <c r="D561" i="12"/>
  <c r="C561" i="12"/>
  <c r="G560" i="12"/>
  <c r="F560" i="12"/>
  <c r="E560" i="12"/>
  <c r="D560" i="12"/>
  <c r="C560" i="12"/>
  <c r="G559" i="12"/>
  <c r="F559" i="12"/>
  <c r="E559" i="12"/>
  <c r="D559" i="12"/>
  <c r="C559" i="12"/>
  <c r="G558" i="12"/>
  <c r="F558" i="12"/>
  <c r="E558" i="12"/>
  <c r="D558" i="12"/>
  <c r="C558" i="12"/>
  <c r="G557" i="12"/>
  <c r="F557" i="12"/>
  <c r="E557" i="12"/>
  <c r="D557" i="12"/>
  <c r="C557" i="12"/>
  <c r="G556" i="12"/>
  <c r="F556" i="12"/>
  <c r="E556" i="12"/>
  <c r="D556" i="12"/>
  <c r="C556" i="12"/>
  <c r="G555" i="12"/>
  <c r="F555" i="12"/>
  <c r="E555" i="12"/>
  <c r="D555" i="12"/>
  <c r="C555" i="12"/>
  <c r="G554" i="12"/>
  <c r="F554" i="12"/>
  <c r="E554" i="12"/>
  <c r="D554" i="12"/>
  <c r="C554" i="12"/>
  <c r="G553" i="12"/>
  <c r="F553" i="12"/>
  <c r="E553" i="12"/>
  <c r="D553" i="12"/>
  <c r="C553" i="12"/>
  <c r="G552" i="12"/>
  <c r="F552" i="12"/>
  <c r="E552" i="12"/>
  <c r="D552" i="12"/>
  <c r="C552" i="12"/>
  <c r="G551" i="12"/>
  <c r="F551" i="12"/>
  <c r="E551" i="12"/>
  <c r="D551" i="12"/>
  <c r="C551" i="12"/>
  <c r="G550" i="12"/>
  <c r="F550" i="12"/>
  <c r="E550" i="12"/>
  <c r="D550" i="12"/>
  <c r="C550" i="12"/>
  <c r="G549" i="12"/>
  <c r="F549" i="12"/>
  <c r="E549" i="12"/>
  <c r="D549" i="12"/>
  <c r="C549" i="12"/>
  <c r="G548" i="12"/>
  <c r="F548" i="12"/>
  <c r="E548" i="12"/>
  <c r="D548" i="12"/>
  <c r="C548" i="12"/>
  <c r="G547" i="12"/>
  <c r="F547" i="12"/>
  <c r="E547" i="12"/>
  <c r="D547" i="12"/>
  <c r="C547" i="12"/>
  <c r="G546" i="12"/>
  <c r="F546" i="12"/>
  <c r="E546" i="12"/>
  <c r="D546" i="12"/>
  <c r="C546" i="12"/>
  <c r="G545" i="12"/>
  <c r="F545" i="12"/>
  <c r="E545" i="12"/>
  <c r="D545" i="12"/>
  <c r="C545" i="12"/>
  <c r="G544" i="12"/>
  <c r="F544" i="12"/>
  <c r="E544" i="12"/>
  <c r="D544" i="12"/>
  <c r="C544" i="12"/>
  <c r="G543" i="12"/>
  <c r="F543" i="12"/>
  <c r="E543" i="12"/>
  <c r="D543" i="12"/>
  <c r="C543" i="12"/>
  <c r="G542" i="12"/>
  <c r="F542" i="12"/>
  <c r="E542" i="12"/>
  <c r="D542" i="12"/>
  <c r="C542" i="12"/>
  <c r="G541" i="12"/>
  <c r="F541" i="12"/>
  <c r="E541" i="12"/>
  <c r="D541" i="12"/>
  <c r="C541" i="12"/>
  <c r="G540" i="12"/>
  <c r="F540" i="12"/>
  <c r="E540" i="12"/>
  <c r="D540" i="12"/>
  <c r="C540" i="12"/>
  <c r="G539" i="12"/>
  <c r="F539" i="12"/>
  <c r="E539" i="12"/>
  <c r="D539" i="12"/>
  <c r="C539" i="12"/>
  <c r="G538" i="12"/>
  <c r="F538" i="12"/>
  <c r="E538" i="12"/>
  <c r="D538" i="12"/>
  <c r="C538" i="12"/>
  <c r="G537" i="12"/>
  <c r="F537" i="12"/>
  <c r="E537" i="12"/>
  <c r="D537" i="12"/>
  <c r="C537" i="12"/>
  <c r="G536" i="12"/>
  <c r="F536" i="12"/>
  <c r="E536" i="12"/>
  <c r="D536" i="12"/>
  <c r="C536" i="12"/>
  <c r="G535" i="12"/>
  <c r="F535" i="12"/>
  <c r="E535" i="12"/>
  <c r="D535" i="12"/>
  <c r="C535" i="12"/>
  <c r="G534" i="12"/>
  <c r="F534" i="12"/>
  <c r="E534" i="12"/>
  <c r="D534" i="12"/>
  <c r="C534" i="12"/>
  <c r="G533" i="12"/>
  <c r="F533" i="12"/>
  <c r="E533" i="12"/>
  <c r="D533" i="12"/>
  <c r="C533" i="12"/>
  <c r="G532" i="12"/>
  <c r="F532" i="12"/>
  <c r="E532" i="12"/>
  <c r="D532" i="12"/>
  <c r="C532" i="12"/>
  <c r="G531" i="12"/>
  <c r="F531" i="12"/>
  <c r="E531" i="12"/>
  <c r="D531" i="12"/>
  <c r="C531" i="12"/>
  <c r="G530" i="12"/>
  <c r="F530" i="12"/>
  <c r="E530" i="12"/>
  <c r="D530" i="12"/>
  <c r="C530" i="12"/>
  <c r="G529" i="12"/>
  <c r="F529" i="12"/>
  <c r="E529" i="12"/>
  <c r="D529" i="12"/>
  <c r="C529" i="12"/>
  <c r="G528" i="12"/>
  <c r="F528" i="12"/>
  <c r="E528" i="12"/>
  <c r="D528" i="12"/>
  <c r="C528" i="12"/>
  <c r="G527" i="12"/>
  <c r="F527" i="12"/>
  <c r="E527" i="12"/>
  <c r="D527" i="12"/>
  <c r="C527" i="12"/>
  <c r="G526" i="12"/>
  <c r="F526" i="12"/>
  <c r="E526" i="12"/>
  <c r="D526" i="12"/>
  <c r="C526" i="12"/>
  <c r="G525" i="12"/>
  <c r="F525" i="12"/>
  <c r="E525" i="12"/>
  <c r="D525" i="12"/>
  <c r="C525" i="12"/>
  <c r="G524" i="12"/>
  <c r="F524" i="12"/>
  <c r="E524" i="12"/>
  <c r="D524" i="12"/>
  <c r="C524" i="12"/>
  <c r="G523" i="12"/>
  <c r="F523" i="12"/>
  <c r="E523" i="12"/>
  <c r="D523" i="12"/>
  <c r="C523" i="12"/>
  <c r="G522" i="12"/>
  <c r="F522" i="12"/>
  <c r="E522" i="12"/>
  <c r="D522" i="12"/>
  <c r="C522" i="12"/>
  <c r="G521" i="12"/>
  <c r="F521" i="12"/>
  <c r="E521" i="12"/>
  <c r="D521" i="12"/>
  <c r="C521" i="12"/>
  <c r="G520" i="12"/>
  <c r="F520" i="12"/>
  <c r="E520" i="12"/>
  <c r="D520" i="12"/>
  <c r="C520" i="12"/>
  <c r="G519" i="12"/>
  <c r="F519" i="12"/>
  <c r="E519" i="12"/>
  <c r="D519" i="12"/>
  <c r="C519" i="12"/>
  <c r="G518" i="12"/>
  <c r="F518" i="12"/>
  <c r="E518" i="12"/>
  <c r="D518" i="12"/>
  <c r="C518" i="12"/>
  <c r="G517" i="12"/>
  <c r="F517" i="12"/>
  <c r="E517" i="12"/>
  <c r="D517" i="12"/>
  <c r="C517" i="12"/>
  <c r="G516" i="12"/>
  <c r="F516" i="12"/>
  <c r="E516" i="12"/>
  <c r="D516" i="12"/>
  <c r="C516" i="12"/>
  <c r="G515" i="12"/>
  <c r="F515" i="12"/>
  <c r="E515" i="12"/>
  <c r="D515" i="12"/>
  <c r="C515" i="12"/>
  <c r="G514" i="12"/>
  <c r="F514" i="12"/>
  <c r="E514" i="12"/>
  <c r="D514" i="12"/>
  <c r="C514" i="12"/>
  <c r="G513" i="12"/>
  <c r="F513" i="12"/>
  <c r="E513" i="12"/>
  <c r="D513" i="12"/>
  <c r="C513" i="12"/>
  <c r="G512" i="12"/>
  <c r="F512" i="12"/>
  <c r="E512" i="12"/>
  <c r="D512" i="12"/>
  <c r="C512" i="12"/>
  <c r="G511" i="12"/>
  <c r="F511" i="12"/>
  <c r="E511" i="12"/>
  <c r="D511" i="12"/>
  <c r="C511" i="12"/>
  <c r="G510" i="12"/>
  <c r="F510" i="12"/>
  <c r="E510" i="12"/>
  <c r="D510" i="12"/>
  <c r="C510" i="12"/>
  <c r="G509" i="12"/>
  <c r="F509" i="12"/>
  <c r="E509" i="12"/>
  <c r="D509" i="12"/>
  <c r="C509" i="12"/>
  <c r="G508" i="12"/>
  <c r="F508" i="12"/>
  <c r="E508" i="12"/>
  <c r="D508" i="12"/>
  <c r="C508" i="12"/>
  <c r="G507" i="12"/>
  <c r="F507" i="12"/>
  <c r="E507" i="12"/>
  <c r="D507" i="12"/>
  <c r="C507" i="12"/>
  <c r="G506" i="12"/>
  <c r="F506" i="12"/>
  <c r="E506" i="12"/>
  <c r="D506" i="12"/>
  <c r="C506" i="12"/>
  <c r="G505" i="12"/>
  <c r="F505" i="12"/>
  <c r="E505" i="12"/>
  <c r="D505" i="12"/>
  <c r="C505" i="12"/>
  <c r="G504" i="12"/>
  <c r="F504" i="12"/>
  <c r="E504" i="12"/>
  <c r="D504" i="12"/>
  <c r="C504" i="12"/>
  <c r="G503" i="12"/>
  <c r="F503" i="12"/>
  <c r="E503" i="12"/>
  <c r="D503" i="12"/>
  <c r="C503" i="12"/>
  <c r="G502" i="12"/>
  <c r="F502" i="12"/>
  <c r="E502" i="12"/>
  <c r="D502" i="12"/>
  <c r="C502" i="12"/>
  <c r="G501" i="12"/>
  <c r="F501" i="12"/>
  <c r="E501" i="12"/>
  <c r="D501" i="12"/>
  <c r="C501" i="12"/>
  <c r="G500" i="12"/>
  <c r="F500" i="12"/>
  <c r="E500" i="12"/>
  <c r="D500" i="12"/>
  <c r="C500" i="12"/>
  <c r="G499" i="12"/>
  <c r="F499" i="12"/>
  <c r="E499" i="12"/>
  <c r="D499" i="12"/>
  <c r="C499" i="12"/>
  <c r="G498" i="12"/>
  <c r="F498" i="12"/>
  <c r="E498" i="12"/>
  <c r="D498" i="12"/>
  <c r="C498" i="12"/>
  <c r="G497" i="12"/>
  <c r="F497" i="12"/>
  <c r="E497" i="12"/>
  <c r="D497" i="12"/>
  <c r="C497" i="12"/>
  <c r="G496" i="12"/>
  <c r="F496" i="12"/>
  <c r="E496" i="12"/>
  <c r="D496" i="12"/>
  <c r="C496" i="12"/>
  <c r="G495" i="12"/>
  <c r="F495" i="12"/>
  <c r="E495" i="12"/>
  <c r="D495" i="12"/>
  <c r="C495" i="12"/>
  <c r="G494" i="12"/>
  <c r="F494" i="12"/>
  <c r="E494" i="12"/>
  <c r="D494" i="12"/>
  <c r="C494" i="12"/>
  <c r="G493" i="12"/>
  <c r="F493" i="12"/>
  <c r="E493" i="12"/>
  <c r="D493" i="12"/>
  <c r="C493" i="12"/>
  <c r="G492" i="12"/>
  <c r="F492" i="12"/>
  <c r="E492" i="12"/>
  <c r="D492" i="12"/>
  <c r="C492" i="12"/>
  <c r="G491" i="12"/>
  <c r="F491" i="12"/>
  <c r="E491" i="12"/>
  <c r="D491" i="12"/>
  <c r="C491" i="12"/>
  <c r="G490" i="12"/>
  <c r="F490" i="12"/>
  <c r="E490" i="12"/>
  <c r="D490" i="12"/>
  <c r="C490" i="12"/>
  <c r="G489" i="12"/>
  <c r="F489" i="12"/>
  <c r="E489" i="12"/>
  <c r="D489" i="12"/>
  <c r="C489" i="12"/>
  <c r="G488" i="12"/>
  <c r="F488" i="12"/>
  <c r="E488" i="12"/>
  <c r="D488" i="12"/>
  <c r="C488" i="12"/>
  <c r="G487" i="12"/>
  <c r="F487" i="12"/>
  <c r="E487" i="12"/>
  <c r="D487" i="12"/>
  <c r="C487" i="12"/>
  <c r="G486" i="12"/>
  <c r="F486" i="12"/>
  <c r="E486" i="12"/>
  <c r="D486" i="12"/>
  <c r="C486" i="12"/>
  <c r="G485" i="12"/>
  <c r="F485" i="12"/>
  <c r="E485" i="12"/>
  <c r="D485" i="12"/>
  <c r="C485" i="12"/>
  <c r="G484" i="12"/>
  <c r="F484" i="12"/>
  <c r="E484" i="12"/>
  <c r="D484" i="12"/>
  <c r="C484" i="12"/>
  <c r="G483" i="12"/>
  <c r="F483" i="12"/>
  <c r="E483" i="12"/>
  <c r="D483" i="12"/>
  <c r="C483" i="12"/>
  <c r="G482" i="12"/>
  <c r="F482" i="12"/>
  <c r="E482" i="12"/>
  <c r="D482" i="12"/>
  <c r="C482" i="12"/>
  <c r="G481" i="12"/>
  <c r="F481" i="12"/>
  <c r="E481" i="12"/>
  <c r="D481" i="12"/>
  <c r="C481" i="12"/>
  <c r="G480" i="12"/>
  <c r="F480" i="12"/>
  <c r="E480" i="12"/>
  <c r="D480" i="12"/>
  <c r="C480" i="12"/>
  <c r="G479" i="12"/>
  <c r="F479" i="12"/>
  <c r="E479" i="12"/>
  <c r="D479" i="12"/>
  <c r="C479" i="12"/>
  <c r="G478" i="12"/>
  <c r="F478" i="12"/>
  <c r="E478" i="12"/>
  <c r="D478" i="12"/>
  <c r="C478" i="12"/>
  <c r="G477" i="12"/>
  <c r="F477" i="12"/>
  <c r="E477" i="12"/>
  <c r="D477" i="12"/>
  <c r="C477" i="12"/>
  <c r="G476" i="12"/>
  <c r="F476" i="12"/>
  <c r="E476" i="12"/>
  <c r="D476" i="12"/>
  <c r="C476" i="12"/>
  <c r="G475" i="12"/>
  <c r="F475" i="12"/>
  <c r="E475" i="12"/>
  <c r="D475" i="12"/>
  <c r="C475" i="12"/>
  <c r="G474" i="12"/>
  <c r="F474" i="12"/>
  <c r="E474" i="12"/>
  <c r="D474" i="12"/>
  <c r="C474" i="12"/>
  <c r="G473" i="12"/>
  <c r="F473" i="12"/>
  <c r="E473" i="12"/>
  <c r="D473" i="12"/>
  <c r="C473" i="12"/>
  <c r="G472" i="12"/>
  <c r="F472" i="12"/>
  <c r="E472" i="12"/>
  <c r="D472" i="12"/>
  <c r="C472" i="12"/>
  <c r="G471" i="12"/>
  <c r="F471" i="12"/>
  <c r="E471" i="12"/>
  <c r="D471" i="12"/>
  <c r="C471" i="12"/>
  <c r="G470" i="12"/>
  <c r="F470" i="12"/>
  <c r="E470" i="12"/>
  <c r="D470" i="12"/>
  <c r="C470" i="12"/>
  <c r="G469" i="12"/>
  <c r="F469" i="12"/>
  <c r="E469" i="12"/>
  <c r="D469" i="12"/>
  <c r="C469" i="12"/>
  <c r="G468" i="12"/>
  <c r="F468" i="12"/>
  <c r="E468" i="12"/>
  <c r="D468" i="12"/>
  <c r="C468" i="12"/>
  <c r="G467" i="12"/>
  <c r="F467" i="12"/>
  <c r="E467" i="12"/>
  <c r="D467" i="12"/>
  <c r="C467" i="12"/>
  <c r="G466" i="12"/>
  <c r="F466" i="12"/>
  <c r="E466" i="12"/>
  <c r="D466" i="12"/>
  <c r="C466" i="12"/>
  <c r="G465" i="12"/>
  <c r="F465" i="12"/>
  <c r="E465" i="12"/>
  <c r="D465" i="12"/>
  <c r="C465" i="12"/>
  <c r="G464" i="12"/>
  <c r="F464" i="12"/>
  <c r="E464" i="12"/>
  <c r="D464" i="12"/>
  <c r="C464" i="12"/>
  <c r="G463" i="12"/>
  <c r="F463" i="12"/>
  <c r="E463" i="12"/>
  <c r="D463" i="12"/>
  <c r="C463" i="12"/>
  <c r="G462" i="12"/>
  <c r="F462" i="12"/>
  <c r="E462" i="12"/>
  <c r="D462" i="12"/>
  <c r="C462" i="12"/>
  <c r="G461" i="12"/>
  <c r="F461" i="12"/>
  <c r="E461" i="12"/>
  <c r="D461" i="12"/>
  <c r="C461" i="12"/>
  <c r="G460" i="12"/>
  <c r="F460" i="12"/>
  <c r="E460" i="12"/>
  <c r="D460" i="12"/>
  <c r="C460" i="12"/>
  <c r="G459" i="12"/>
  <c r="F459" i="12"/>
  <c r="E459" i="12"/>
  <c r="D459" i="12"/>
  <c r="C459" i="12"/>
  <c r="G458" i="12"/>
  <c r="F458" i="12"/>
  <c r="E458" i="12"/>
  <c r="D458" i="12"/>
  <c r="C458" i="12"/>
  <c r="G457" i="12"/>
  <c r="F457" i="12"/>
  <c r="E457" i="12"/>
  <c r="D457" i="12"/>
  <c r="C457" i="12"/>
  <c r="G456" i="12"/>
  <c r="F456" i="12"/>
  <c r="E456" i="12"/>
  <c r="D456" i="12"/>
  <c r="C456" i="12"/>
  <c r="G455" i="12"/>
  <c r="F455" i="12"/>
  <c r="E455" i="12"/>
  <c r="D455" i="12"/>
  <c r="C455" i="12"/>
  <c r="G454" i="12"/>
  <c r="F454" i="12"/>
  <c r="E454" i="12"/>
  <c r="D454" i="12"/>
  <c r="C454" i="12"/>
  <c r="G453" i="12"/>
  <c r="F453" i="12"/>
  <c r="E453" i="12"/>
  <c r="D453" i="12"/>
  <c r="C453" i="12"/>
  <c r="G452" i="12"/>
  <c r="F452" i="12"/>
  <c r="E452" i="12"/>
  <c r="D452" i="12"/>
  <c r="C452" i="12"/>
  <c r="G451" i="12"/>
  <c r="F451" i="12"/>
  <c r="E451" i="12"/>
  <c r="D451" i="12"/>
  <c r="C451" i="12"/>
  <c r="G450" i="12"/>
  <c r="F450" i="12"/>
  <c r="E450" i="12"/>
  <c r="D450" i="12"/>
  <c r="C450" i="12"/>
  <c r="G449" i="12"/>
  <c r="F449" i="12"/>
  <c r="E449" i="12"/>
  <c r="D449" i="12"/>
  <c r="C449" i="12"/>
  <c r="G448" i="12"/>
  <c r="F448" i="12"/>
  <c r="E448" i="12"/>
  <c r="D448" i="12"/>
  <c r="C448" i="12"/>
  <c r="G447" i="12"/>
  <c r="F447" i="12"/>
  <c r="E447" i="12"/>
  <c r="D447" i="12"/>
  <c r="C447" i="12"/>
  <c r="G446" i="12"/>
  <c r="F446" i="12"/>
  <c r="E446" i="12"/>
  <c r="D446" i="12"/>
  <c r="C446" i="12"/>
  <c r="G445" i="12"/>
  <c r="F445" i="12"/>
  <c r="E445" i="12"/>
  <c r="D445" i="12"/>
  <c r="C445" i="12"/>
  <c r="G444" i="12"/>
  <c r="F444" i="12"/>
  <c r="E444" i="12"/>
  <c r="D444" i="12"/>
  <c r="C444" i="12"/>
  <c r="G443" i="12"/>
  <c r="F443" i="12"/>
  <c r="E443" i="12"/>
  <c r="D443" i="12"/>
  <c r="C443" i="12"/>
  <c r="G442" i="12"/>
  <c r="F442" i="12"/>
  <c r="E442" i="12"/>
  <c r="D442" i="12"/>
  <c r="C442" i="12"/>
  <c r="G441" i="12"/>
  <c r="F441" i="12"/>
  <c r="E441" i="12"/>
  <c r="D441" i="12"/>
  <c r="C441" i="12"/>
  <c r="G440" i="12"/>
  <c r="F440" i="12"/>
  <c r="E440" i="12"/>
  <c r="D440" i="12"/>
  <c r="C440" i="12"/>
  <c r="G439" i="12"/>
  <c r="F439" i="12"/>
  <c r="E439" i="12"/>
  <c r="D439" i="12"/>
  <c r="C439" i="12"/>
  <c r="G438" i="12"/>
  <c r="F438" i="12"/>
  <c r="E438" i="12"/>
  <c r="D438" i="12"/>
  <c r="C438" i="12"/>
  <c r="G437" i="12"/>
  <c r="F437" i="12"/>
  <c r="E437" i="12"/>
  <c r="D437" i="12"/>
  <c r="C437" i="12"/>
  <c r="G436" i="12"/>
  <c r="F436" i="12"/>
  <c r="E436" i="12"/>
  <c r="D436" i="12"/>
  <c r="C436" i="12"/>
  <c r="G435" i="12"/>
  <c r="F435" i="12"/>
  <c r="E435" i="12"/>
  <c r="D435" i="12"/>
  <c r="C435" i="12"/>
  <c r="G434" i="12"/>
  <c r="F434" i="12"/>
  <c r="E434" i="12"/>
  <c r="D434" i="12"/>
  <c r="C434" i="12"/>
  <c r="G433" i="12"/>
  <c r="F433" i="12"/>
  <c r="E433" i="12"/>
  <c r="D433" i="12"/>
  <c r="C433" i="12"/>
  <c r="G432" i="12"/>
  <c r="F432" i="12"/>
  <c r="E432" i="12"/>
  <c r="D432" i="12"/>
  <c r="C432" i="12"/>
  <c r="G431" i="12"/>
  <c r="F431" i="12"/>
  <c r="E431" i="12"/>
  <c r="D431" i="12"/>
  <c r="C431" i="12"/>
  <c r="G430" i="12"/>
  <c r="F430" i="12"/>
  <c r="E430" i="12"/>
  <c r="D430" i="12"/>
  <c r="C430" i="12"/>
  <c r="G429" i="12"/>
  <c r="F429" i="12"/>
  <c r="E429" i="12"/>
  <c r="D429" i="12"/>
  <c r="C429" i="12"/>
  <c r="G428" i="12"/>
  <c r="F428" i="12"/>
  <c r="E428" i="12"/>
  <c r="D428" i="12"/>
  <c r="C428" i="12"/>
  <c r="G427" i="12"/>
  <c r="F427" i="12"/>
  <c r="E427" i="12"/>
  <c r="D427" i="12"/>
  <c r="C427" i="12"/>
  <c r="G426" i="12"/>
  <c r="F426" i="12"/>
  <c r="E426" i="12"/>
  <c r="D426" i="12"/>
  <c r="C426" i="12"/>
  <c r="G425" i="12"/>
  <c r="F425" i="12"/>
  <c r="E425" i="12"/>
  <c r="D425" i="12"/>
  <c r="C425" i="12"/>
  <c r="G424" i="12"/>
  <c r="F424" i="12"/>
  <c r="E424" i="12"/>
  <c r="D424" i="12"/>
  <c r="C424" i="12"/>
  <c r="G423" i="12"/>
  <c r="F423" i="12"/>
  <c r="E423" i="12"/>
  <c r="D423" i="12"/>
  <c r="C423" i="12"/>
  <c r="G422" i="12"/>
  <c r="F422" i="12"/>
  <c r="E422" i="12"/>
  <c r="D422" i="12"/>
  <c r="C422" i="12"/>
  <c r="G421" i="12"/>
  <c r="F421" i="12"/>
  <c r="E421" i="12"/>
  <c r="D421" i="12"/>
  <c r="C421" i="12"/>
  <c r="G420" i="12"/>
  <c r="F420" i="12"/>
  <c r="E420" i="12"/>
  <c r="D420" i="12"/>
  <c r="C420" i="12"/>
  <c r="G419" i="12"/>
  <c r="F419" i="12"/>
  <c r="E419" i="12"/>
  <c r="D419" i="12"/>
  <c r="C419" i="12"/>
  <c r="G418" i="12"/>
  <c r="F418" i="12"/>
  <c r="E418" i="12"/>
  <c r="D418" i="12"/>
  <c r="C418" i="12"/>
  <c r="G417" i="12"/>
  <c r="F417" i="12"/>
  <c r="E417" i="12"/>
  <c r="D417" i="12"/>
  <c r="C417" i="12"/>
  <c r="G416" i="12"/>
  <c r="F416" i="12"/>
  <c r="E416" i="12"/>
  <c r="D416" i="12"/>
  <c r="C416" i="12"/>
  <c r="G415" i="12"/>
  <c r="F415" i="12"/>
  <c r="E415" i="12"/>
  <c r="D415" i="12"/>
  <c r="C415" i="12"/>
  <c r="G414" i="12"/>
  <c r="F414" i="12"/>
  <c r="E414" i="12"/>
  <c r="D414" i="12"/>
  <c r="C414" i="12"/>
  <c r="G413" i="12"/>
  <c r="F413" i="12"/>
  <c r="E413" i="12"/>
  <c r="D413" i="12"/>
  <c r="C413" i="12"/>
  <c r="G412" i="12"/>
  <c r="F412" i="12"/>
  <c r="E412" i="12"/>
  <c r="D412" i="12"/>
  <c r="C412" i="12"/>
  <c r="G411" i="12"/>
  <c r="F411" i="12"/>
  <c r="E411" i="12"/>
  <c r="D411" i="12"/>
  <c r="C411" i="12"/>
  <c r="G410" i="12"/>
  <c r="F410" i="12"/>
  <c r="E410" i="12"/>
  <c r="D410" i="12"/>
  <c r="C410" i="12"/>
  <c r="G409" i="12"/>
  <c r="F409" i="12"/>
  <c r="E409" i="12"/>
  <c r="D409" i="12"/>
  <c r="C409" i="12"/>
  <c r="G408" i="12"/>
  <c r="F408" i="12"/>
  <c r="E408" i="12"/>
  <c r="D408" i="12"/>
  <c r="C408" i="12"/>
  <c r="G407" i="12"/>
  <c r="F407" i="12"/>
  <c r="E407" i="12"/>
  <c r="D407" i="12"/>
  <c r="C407" i="12"/>
  <c r="G406" i="12"/>
  <c r="F406" i="12"/>
  <c r="E406" i="12"/>
  <c r="D406" i="12"/>
  <c r="C406" i="12"/>
  <c r="G405" i="12"/>
  <c r="F405" i="12"/>
  <c r="E405" i="12"/>
  <c r="D405" i="12"/>
  <c r="C405" i="12"/>
  <c r="G404" i="12"/>
  <c r="F404" i="12"/>
  <c r="E404" i="12"/>
  <c r="D404" i="12"/>
  <c r="C404" i="12"/>
  <c r="G403" i="12"/>
  <c r="F403" i="12"/>
  <c r="E403" i="12"/>
  <c r="D403" i="12"/>
  <c r="C403" i="12"/>
  <c r="G402" i="12"/>
  <c r="F402" i="12"/>
  <c r="E402" i="12"/>
  <c r="D402" i="12"/>
  <c r="C402" i="12"/>
  <c r="G401" i="12"/>
  <c r="F401" i="12"/>
  <c r="E401" i="12"/>
  <c r="D401" i="12"/>
  <c r="C401" i="12"/>
  <c r="G400" i="12"/>
  <c r="F400" i="12"/>
  <c r="E400" i="12"/>
  <c r="D400" i="12"/>
  <c r="C400" i="12"/>
  <c r="G399" i="12"/>
  <c r="F399" i="12"/>
  <c r="E399" i="12"/>
  <c r="D399" i="12"/>
  <c r="C399" i="12"/>
  <c r="G398" i="12"/>
  <c r="F398" i="12"/>
  <c r="E398" i="12"/>
  <c r="D398" i="12"/>
  <c r="C398" i="12"/>
  <c r="G397" i="12"/>
  <c r="F397" i="12"/>
  <c r="E397" i="12"/>
  <c r="D397" i="12"/>
  <c r="C397" i="12"/>
  <c r="G396" i="12"/>
  <c r="F396" i="12"/>
  <c r="E396" i="12"/>
  <c r="D396" i="12"/>
  <c r="C396" i="12"/>
  <c r="G395" i="12"/>
  <c r="F395" i="12"/>
  <c r="E395" i="12"/>
  <c r="D395" i="12"/>
  <c r="C395" i="12"/>
  <c r="G394" i="12"/>
  <c r="F394" i="12"/>
  <c r="E394" i="12"/>
  <c r="D394" i="12"/>
  <c r="C394" i="12"/>
  <c r="G393" i="12"/>
  <c r="F393" i="12"/>
  <c r="E393" i="12"/>
  <c r="D393" i="12"/>
  <c r="C393" i="12"/>
  <c r="G392" i="12"/>
  <c r="F392" i="12"/>
  <c r="E392" i="12"/>
  <c r="D392" i="12"/>
  <c r="C392" i="12"/>
  <c r="G391" i="12"/>
  <c r="F391" i="12"/>
  <c r="E391" i="12"/>
  <c r="D391" i="12"/>
  <c r="C391" i="12"/>
  <c r="G390" i="12"/>
  <c r="F390" i="12"/>
  <c r="E390" i="12"/>
  <c r="D390" i="12"/>
  <c r="C390" i="12"/>
  <c r="G389" i="12"/>
  <c r="F389" i="12"/>
  <c r="E389" i="12"/>
  <c r="D389" i="12"/>
  <c r="C389" i="12"/>
  <c r="G388" i="12"/>
  <c r="F388" i="12"/>
  <c r="E388" i="12"/>
  <c r="D388" i="12"/>
  <c r="C388" i="12"/>
  <c r="G387" i="12"/>
  <c r="F387" i="12"/>
  <c r="E387" i="12"/>
  <c r="D387" i="12"/>
  <c r="C387" i="12"/>
  <c r="G386" i="12"/>
  <c r="F386" i="12"/>
  <c r="E386" i="12"/>
  <c r="D386" i="12"/>
  <c r="C386" i="12"/>
  <c r="G385" i="12"/>
  <c r="F385" i="12"/>
  <c r="E385" i="12"/>
  <c r="D385" i="12"/>
  <c r="C385" i="12"/>
  <c r="G384" i="12"/>
  <c r="F384" i="12"/>
  <c r="E384" i="12"/>
  <c r="D384" i="12"/>
  <c r="C384" i="12"/>
  <c r="G383" i="12"/>
  <c r="F383" i="12"/>
  <c r="E383" i="12"/>
  <c r="D383" i="12"/>
  <c r="C383" i="12"/>
  <c r="G382" i="12"/>
  <c r="F382" i="12"/>
  <c r="E382" i="12"/>
  <c r="D382" i="12"/>
  <c r="C382" i="12"/>
  <c r="G381" i="12"/>
  <c r="F381" i="12"/>
  <c r="E381" i="12"/>
  <c r="D381" i="12"/>
  <c r="C381" i="12"/>
  <c r="G380" i="12"/>
  <c r="F380" i="12"/>
  <c r="E380" i="12"/>
  <c r="D380" i="12"/>
  <c r="C380" i="12"/>
  <c r="G379" i="12"/>
  <c r="F379" i="12"/>
  <c r="E379" i="12"/>
  <c r="D379" i="12"/>
  <c r="C379" i="12"/>
  <c r="G378" i="12"/>
  <c r="F378" i="12"/>
  <c r="E378" i="12"/>
  <c r="D378" i="12"/>
  <c r="C378" i="12"/>
  <c r="G377" i="12"/>
  <c r="F377" i="12"/>
  <c r="E377" i="12"/>
  <c r="D377" i="12"/>
  <c r="C377" i="12"/>
  <c r="G376" i="12"/>
  <c r="F376" i="12"/>
  <c r="E376" i="12"/>
  <c r="D376" i="12"/>
  <c r="C376" i="12"/>
  <c r="G375" i="12"/>
  <c r="F375" i="12"/>
  <c r="E375" i="12"/>
  <c r="D375" i="12"/>
  <c r="C375" i="12"/>
  <c r="G374" i="12"/>
  <c r="F374" i="12"/>
  <c r="E374" i="12"/>
  <c r="D374" i="12"/>
  <c r="C374" i="12"/>
  <c r="G373" i="12"/>
  <c r="F373" i="12"/>
  <c r="E373" i="12"/>
  <c r="D373" i="12"/>
  <c r="C373" i="12"/>
  <c r="G372" i="12"/>
  <c r="F372" i="12"/>
  <c r="E372" i="12"/>
  <c r="D372" i="12"/>
  <c r="C372" i="12"/>
  <c r="G371" i="12"/>
  <c r="F371" i="12"/>
  <c r="E371" i="12"/>
  <c r="D371" i="12"/>
  <c r="C371" i="12"/>
  <c r="G370" i="12"/>
  <c r="F370" i="12"/>
  <c r="E370" i="12"/>
  <c r="D370" i="12"/>
  <c r="C370" i="12"/>
  <c r="G369" i="12"/>
  <c r="F369" i="12"/>
  <c r="E369" i="12"/>
  <c r="D369" i="12"/>
  <c r="C369" i="12"/>
  <c r="G368" i="12"/>
  <c r="F368" i="12"/>
  <c r="E368" i="12"/>
  <c r="D368" i="12"/>
  <c r="C368" i="12"/>
  <c r="G367" i="12"/>
  <c r="F367" i="12"/>
  <c r="E367" i="12"/>
  <c r="D367" i="12"/>
  <c r="C367" i="12"/>
  <c r="G366" i="12"/>
  <c r="F366" i="12"/>
  <c r="E366" i="12"/>
  <c r="D366" i="12"/>
  <c r="C366" i="12"/>
  <c r="G365" i="12"/>
  <c r="F365" i="12"/>
  <c r="E365" i="12"/>
  <c r="D365" i="12"/>
  <c r="C365" i="12"/>
  <c r="G364" i="12"/>
  <c r="F364" i="12"/>
  <c r="E364" i="12"/>
  <c r="D364" i="12"/>
  <c r="C364" i="12"/>
  <c r="G363" i="12"/>
  <c r="F363" i="12"/>
  <c r="E363" i="12"/>
  <c r="D363" i="12"/>
  <c r="C363" i="12"/>
  <c r="G362" i="12"/>
  <c r="F362" i="12"/>
  <c r="E362" i="12"/>
  <c r="D362" i="12"/>
  <c r="C362" i="12"/>
  <c r="G361" i="12"/>
  <c r="F361" i="12"/>
  <c r="E361" i="12"/>
  <c r="D361" i="12"/>
  <c r="C361" i="12"/>
  <c r="G360" i="12"/>
  <c r="F360" i="12"/>
  <c r="E360" i="12"/>
  <c r="D360" i="12"/>
  <c r="C360" i="12"/>
  <c r="G359" i="12"/>
  <c r="F359" i="12"/>
  <c r="E359" i="12"/>
  <c r="D359" i="12"/>
  <c r="C359" i="12"/>
  <c r="G358" i="12"/>
  <c r="F358" i="12"/>
  <c r="E358" i="12"/>
  <c r="D358" i="12"/>
  <c r="C358" i="12"/>
  <c r="G357" i="12"/>
  <c r="F357" i="12"/>
  <c r="E357" i="12"/>
  <c r="D357" i="12"/>
  <c r="C357" i="12"/>
  <c r="G356" i="12"/>
  <c r="F356" i="12"/>
  <c r="E356" i="12"/>
  <c r="D356" i="12"/>
  <c r="C356" i="12"/>
  <c r="G355" i="12"/>
  <c r="F355" i="12"/>
  <c r="E355" i="12"/>
  <c r="D355" i="12"/>
  <c r="C355" i="12"/>
  <c r="G354" i="12"/>
  <c r="F354" i="12"/>
  <c r="E354" i="12"/>
  <c r="D354" i="12"/>
  <c r="C354" i="12"/>
  <c r="G353" i="12"/>
  <c r="F353" i="12"/>
  <c r="E353" i="12"/>
  <c r="D353" i="12"/>
  <c r="C353" i="12"/>
  <c r="G352" i="12"/>
  <c r="F352" i="12"/>
  <c r="E352" i="12"/>
  <c r="D352" i="12"/>
  <c r="C352" i="12"/>
  <c r="G351" i="12"/>
  <c r="F351" i="12"/>
  <c r="E351" i="12"/>
  <c r="D351" i="12"/>
  <c r="C351" i="12"/>
  <c r="G350" i="12"/>
  <c r="F350" i="12"/>
  <c r="E350" i="12"/>
  <c r="D350" i="12"/>
  <c r="C350" i="12"/>
  <c r="G349" i="12"/>
  <c r="F349" i="12"/>
  <c r="E349" i="12"/>
  <c r="D349" i="12"/>
  <c r="C349" i="12"/>
  <c r="G348" i="12"/>
  <c r="F348" i="12"/>
  <c r="E348" i="12"/>
  <c r="D348" i="12"/>
  <c r="C348" i="12"/>
  <c r="G347" i="12"/>
  <c r="F347" i="12"/>
  <c r="E347" i="12"/>
  <c r="D347" i="12"/>
  <c r="C347" i="12"/>
  <c r="G346" i="12"/>
  <c r="F346" i="12"/>
  <c r="E346" i="12"/>
  <c r="D346" i="12"/>
  <c r="C346" i="12"/>
  <c r="G345" i="12"/>
  <c r="F345" i="12"/>
  <c r="E345" i="12"/>
  <c r="D345" i="12"/>
  <c r="C345" i="12"/>
  <c r="G344" i="12"/>
  <c r="F344" i="12"/>
  <c r="E344" i="12"/>
  <c r="D344" i="12"/>
  <c r="C344" i="12"/>
  <c r="G343" i="12"/>
  <c r="F343" i="12"/>
  <c r="E343" i="12"/>
  <c r="D343" i="12"/>
  <c r="C343" i="12"/>
  <c r="G342" i="12"/>
  <c r="F342" i="12"/>
  <c r="E342" i="12"/>
  <c r="D342" i="12"/>
  <c r="C342" i="12"/>
  <c r="G341" i="12"/>
  <c r="F341" i="12"/>
  <c r="E341" i="12"/>
  <c r="D341" i="12"/>
  <c r="C341" i="12"/>
  <c r="G340" i="12"/>
  <c r="F340" i="12"/>
  <c r="E340" i="12"/>
  <c r="D340" i="12"/>
  <c r="C340" i="12"/>
  <c r="G339" i="12"/>
  <c r="F339" i="12"/>
  <c r="E339" i="12"/>
  <c r="D339" i="12"/>
  <c r="C339" i="12"/>
  <c r="G338" i="12"/>
  <c r="F338" i="12"/>
  <c r="E338" i="12"/>
  <c r="D338" i="12"/>
  <c r="C338" i="12"/>
  <c r="G337" i="12"/>
  <c r="F337" i="12"/>
  <c r="E337" i="12"/>
  <c r="D337" i="12"/>
  <c r="C337" i="12"/>
  <c r="G336" i="12"/>
  <c r="F336" i="12"/>
  <c r="E336" i="12"/>
  <c r="D336" i="12"/>
  <c r="C336" i="12"/>
  <c r="G335" i="12"/>
  <c r="F335" i="12"/>
  <c r="E335" i="12"/>
  <c r="D335" i="12"/>
  <c r="C335" i="12"/>
  <c r="G334" i="12"/>
  <c r="F334" i="12"/>
  <c r="E334" i="12"/>
  <c r="D334" i="12"/>
  <c r="C334" i="12"/>
  <c r="G333" i="12"/>
  <c r="F333" i="12"/>
  <c r="E333" i="12"/>
  <c r="D333" i="12"/>
  <c r="C333" i="12"/>
  <c r="G332" i="12"/>
  <c r="F332" i="12"/>
  <c r="E332" i="12"/>
  <c r="D332" i="12"/>
  <c r="C332" i="12"/>
  <c r="G331" i="12"/>
  <c r="F331" i="12"/>
  <c r="E331" i="12"/>
  <c r="D331" i="12"/>
  <c r="C331" i="12"/>
  <c r="G330" i="12"/>
  <c r="F330" i="12"/>
  <c r="E330" i="12"/>
  <c r="D330" i="12"/>
  <c r="C330" i="12"/>
  <c r="G329" i="12"/>
  <c r="F329" i="12"/>
  <c r="E329" i="12"/>
  <c r="D329" i="12"/>
  <c r="C329" i="12"/>
  <c r="G328" i="12"/>
  <c r="F328" i="12"/>
  <c r="E328" i="12"/>
  <c r="D328" i="12"/>
  <c r="C328" i="12"/>
  <c r="G327" i="12"/>
  <c r="F327" i="12"/>
  <c r="E327" i="12"/>
  <c r="D327" i="12"/>
  <c r="C327" i="12"/>
  <c r="G326" i="12"/>
  <c r="F326" i="12"/>
  <c r="E326" i="12"/>
  <c r="D326" i="12"/>
  <c r="C326" i="12"/>
  <c r="G325" i="12"/>
  <c r="F325" i="12"/>
  <c r="E325" i="12"/>
  <c r="D325" i="12"/>
  <c r="C325" i="12"/>
  <c r="G324" i="12"/>
  <c r="F324" i="12"/>
  <c r="E324" i="12"/>
  <c r="D324" i="12"/>
  <c r="C324" i="12"/>
  <c r="G323" i="12"/>
  <c r="F323" i="12"/>
  <c r="E323" i="12"/>
  <c r="D323" i="12"/>
  <c r="C323" i="12"/>
  <c r="G322" i="12"/>
  <c r="F322" i="12"/>
  <c r="E322" i="12"/>
  <c r="D322" i="12"/>
  <c r="C322" i="12"/>
  <c r="G321" i="12"/>
  <c r="F321" i="12"/>
  <c r="E321" i="12"/>
  <c r="D321" i="12"/>
  <c r="C321" i="12"/>
  <c r="G320" i="12"/>
  <c r="F320" i="12"/>
  <c r="E320" i="12"/>
  <c r="D320" i="12"/>
  <c r="C320" i="12"/>
  <c r="G319" i="12"/>
  <c r="F319" i="12"/>
  <c r="E319" i="12"/>
  <c r="D319" i="12"/>
  <c r="C319" i="12"/>
  <c r="G318" i="12"/>
  <c r="F318" i="12"/>
  <c r="E318" i="12"/>
  <c r="D318" i="12"/>
  <c r="C318" i="12"/>
  <c r="G317" i="12"/>
  <c r="F317" i="12"/>
  <c r="E317" i="12"/>
  <c r="D317" i="12"/>
  <c r="C317" i="12"/>
  <c r="G316" i="12"/>
  <c r="F316" i="12"/>
  <c r="E316" i="12"/>
  <c r="D316" i="12"/>
  <c r="C316" i="12"/>
  <c r="G315" i="12"/>
  <c r="F315" i="12"/>
  <c r="E315" i="12"/>
  <c r="D315" i="12"/>
  <c r="C315" i="12"/>
  <c r="G314" i="12"/>
  <c r="F314" i="12"/>
  <c r="E314" i="12"/>
  <c r="D314" i="12"/>
  <c r="C314" i="12"/>
  <c r="G313" i="12"/>
  <c r="F313" i="12"/>
  <c r="E313" i="12"/>
  <c r="D313" i="12"/>
  <c r="C313" i="12"/>
  <c r="G312" i="12"/>
  <c r="F312" i="12"/>
  <c r="E312" i="12"/>
  <c r="D312" i="12"/>
  <c r="C312" i="12"/>
  <c r="G311" i="12"/>
  <c r="F311" i="12"/>
  <c r="E311" i="12"/>
  <c r="D311" i="12"/>
  <c r="C311" i="12"/>
  <c r="G310" i="12"/>
  <c r="F310" i="12"/>
  <c r="E310" i="12"/>
  <c r="D310" i="12"/>
  <c r="C310" i="12"/>
  <c r="G309" i="12"/>
  <c r="F309" i="12"/>
  <c r="E309" i="12"/>
  <c r="D309" i="12"/>
  <c r="C309" i="12"/>
  <c r="G308" i="12"/>
  <c r="F308" i="12"/>
  <c r="E308" i="12"/>
  <c r="D308" i="12"/>
  <c r="C308" i="12"/>
  <c r="G307" i="12"/>
  <c r="F307" i="12"/>
  <c r="E307" i="12"/>
  <c r="D307" i="12"/>
  <c r="C307" i="12"/>
  <c r="G306" i="12"/>
  <c r="F306" i="12"/>
  <c r="E306" i="12"/>
  <c r="D306" i="12"/>
  <c r="C306" i="12"/>
  <c r="G305" i="12"/>
  <c r="F305" i="12"/>
  <c r="E305" i="12"/>
  <c r="D305" i="12"/>
  <c r="C305" i="12"/>
  <c r="G304" i="12"/>
  <c r="F304" i="12"/>
  <c r="E304" i="12"/>
  <c r="D304" i="12"/>
  <c r="C304" i="12"/>
  <c r="G303" i="12"/>
  <c r="F303" i="12"/>
  <c r="E303" i="12"/>
  <c r="D303" i="12"/>
  <c r="C303" i="12"/>
  <c r="G302" i="12"/>
  <c r="F302" i="12"/>
  <c r="E302" i="12"/>
  <c r="D302" i="12"/>
  <c r="C302" i="12"/>
  <c r="G301" i="12"/>
  <c r="F301" i="12"/>
  <c r="E301" i="12"/>
  <c r="D301" i="12"/>
  <c r="C301" i="12"/>
  <c r="G300" i="12"/>
  <c r="F300" i="12"/>
  <c r="E300" i="12"/>
  <c r="D300" i="12"/>
  <c r="C300" i="12"/>
  <c r="G299" i="12"/>
  <c r="F299" i="12"/>
  <c r="E299" i="12"/>
  <c r="D299" i="12"/>
  <c r="C299" i="12"/>
  <c r="G298" i="12"/>
  <c r="F298" i="12"/>
  <c r="E298" i="12"/>
  <c r="D298" i="12"/>
  <c r="C298" i="12"/>
  <c r="G297" i="12"/>
  <c r="F297" i="12"/>
  <c r="E297" i="12"/>
  <c r="D297" i="12"/>
  <c r="C297" i="12"/>
  <c r="G296" i="12"/>
  <c r="F296" i="12"/>
  <c r="E296" i="12"/>
  <c r="D296" i="12"/>
  <c r="C296" i="12"/>
  <c r="G295" i="12"/>
  <c r="F295" i="12"/>
  <c r="E295" i="12"/>
  <c r="D295" i="12"/>
  <c r="C295" i="12"/>
  <c r="G294" i="12"/>
  <c r="F294" i="12"/>
  <c r="E294" i="12"/>
  <c r="D294" i="12"/>
  <c r="C294" i="12"/>
  <c r="G293" i="12"/>
  <c r="F293" i="12"/>
  <c r="E293" i="12"/>
  <c r="D293" i="12"/>
  <c r="C293" i="12"/>
  <c r="G292" i="12"/>
  <c r="F292" i="12"/>
  <c r="E292" i="12"/>
  <c r="D292" i="12"/>
  <c r="C292" i="12"/>
  <c r="G291" i="12"/>
  <c r="F291" i="12"/>
  <c r="E291" i="12"/>
  <c r="D291" i="12"/>
  <c r="C291" i="12"/>
  <c r="G290" i="12"/>
  <c r="F290" i="12"/>
  <c r="E290" i="12"/>
  <c r="D290" i="12"/>
  <c r="C290" i="12"/>
  <c r="G289" i="12"/>
  <c r="F289" i="12"/>
  <c r="E289" i="12"/>
  <c r="D289" i="12"/>
  <c r="C289" i="12"/>
  <c r="G288" i="12"/>
  <c r="F288" i="12"/>
  <c r="E288" i="12"/>
  <c r="D288" i="12"/>
  <c r="C288" i="12"/>
  <c r="G287" i="12"/>
  <c r="F287" i="12"/>
  <c r="E287" i="12"/>
  <c r="D287" i="12"/>
  <c r="C287" i="12"/>
  <c r="G286" i="12"/>
  <c r="F286" i="12"/>
  <c r="E286" i="12"/>
  <c r="D286" i="12"/>
  <c r="C286" i="12"/>
  <c r="G285" i="12"/>
  <c r="F285" i="12"/>
  <c r="E285" i="12"/>
  <c r="D285" i="12"/>
  <c r="C285" i="12"/>
  <c r="G284" i="12"/>
  <c r="F284" i="12"/>
  <c r="E284" i="12"/>
  <c r="D284" i="12"/>
  <c r="C284" i="12"/>
  <c r="G283" i="12"/>
  <c r="F283" i="12"/>
  <c r="E283" i="12"/>
  <c r="D283" i="12"/>
  <c r="C283" i="12"/>
  <c r="G282" i="12"/>
  <c r="F282" i="12"/>
  <c r="E282" i="12"/>
  <c r="D282" i="12"/>
  <c r="C282" i="12"/>
  <c r="G281" i="12"/>
  <c r="F281" i="12"/>
  <c r="E281" i="12"/>
  <c r="D281" i="12"/>
  <c r="C281" i="12"/>
  <c r="G280" i="12"/>
  <c r="F280" i="12"/>
  <c r="E280" i="12"/>
  <c r="D280" i="12"/>
  <c r="C280" i="12"/>
  <c r="G279" i="12"/>
  <c r="F279" i="12"/>
  <c r="E279" i="12"/>
  <c r="D279" i="12"/>
  <c r="C279" i="12"/>
  <c r="G278" i="12"/>
  <c r="F278" i="12"/>
  <c r="E278" i="12"/>
  <c r="D278" i="12"/>
  <c r="C278" i="12"/>
  <c r="G277" i="12"/>
  <c r="F277" i="12"/>
  <c r="E277" i="12"/>
  <c r="D277" i="12"/>
  <c r="C277" i="12"/>
  <c r="G276" i="12"/>
  <c r="F276" i="12"/>
  <c r="E276" i="12"/>
  <c r="D276" i="12"/>
  <c r="C276" i="12"/>
  <c r="G275" i="12"/>
  <c r="F275" i="12"/>
  <c r="E275" i="12"/>
  <c r="D275" i="12"/>
  <c r="C275" i="12"/>
  <c r="G274" i="12"/>
  <c r="F274" i="12"/>
  <c r="E274" i="12"/>
  <c r="D274" i="12"/>
  <c r="C274" i="12"/>
  <c r="G273" i="12"/>
  <c r="F273" i="12"/>
  <c r="E273" i="12"/>
  <c r="D273" i="12"/>
  <c r="C273" i="12"/>
  <c r="G272" i="12"/>
  <c r="F272" i="12"/>
  <c r="E272" i="12"/>
  <c r="D272" i="12"/>
  <c r="C272" i="12"/>
  <c r="G271" i="12"/>
  <c r="F271" i="12"/>
  <c r="E271" i="12"/>
  <c r="D271" i="12"/>
  <c r="C271" i="12"/>
  <c r="G270" i="12"/>
  <c r="F270" i="12"/>
  <c r="E270" i="12"/>
  <c r="D270" i="12"/>
  <c r="C270" i="12"/>
  <c r="G269" i="12"/>
  <c r="F269" i="12"/>
  <c r="E269" i="12"/>
  <c r="D269" i="12"/>
  <c r="C269" i="12"/>
  <c r="G268" i="12"/>
  <c r="F268" i="12"/>
  <c r="E268" i="12"/>
  <c r="D268" i="12"/>
  <c r="C268" i="12"/>
  <c r="G267" i="12"/>
  <c r="F267" i="12"/>
  <c r="E267" i="12"/>
  <c r="D267" i="12"/>
  <c r="C267" i="12"/>
  <c r="G266" i="12"/>
  <c r="F266" i="12"/>
  <c r="E266" i="12"/>
  <c r="D266" i="12"/>
  <c r="C266" i="12"/>
  <c r="G265" i="12"/>
  <c r="F265" i="12"/>
  <c r="E265" i="12"/>
  <c r="D265" i="12"/>
  <c r="C265" i="12"/>
  <c r="G264" i="12"/>
  <c r="F264" i="12"/>
  <c r="E264" i="12"/>
  <c r="D264" i="12"/>
  <c r="C264" i="12"/>
  <c r="G263" i="12"/>
  <c r="F263" i="12"/>
  <c r="E263" i="12"/>
  <c r="D263" i="12"/>
  <c r="C263" i="12"/>
  <c r="G262" i="12"/>
  <c r="F262" i="12"/>
  <c r="E262" i="12"/>
  <c r="D262" i="12"/>
  <c r="C262" i="12"/>
  <c r="G261" i="12"/>
  <c r="F261" i="12"/>
  <c r="E261" i="12"/>
  <c r="D261" i="12"/>
  <c r="C261" i="12"/>
  <c r="G260" i="12"/>
  <c r="F260" i="12"/>
  <c r="E260" i="12"/>
  <c r="D260" i="12"/>
  <c r="C260" i="12"/>
  <c r="G259" i="12"/>
  <c r="F259" i="12"/>
  <c r="E259" i="12"/>
  <c r="D259" i="12"/>
  <c r="C259" i="12"/>
  <c r="G258" i="12"/>
  <c r="F258" i="12"/>
  <c r="E258" i="12"/>
  <c r="D258" i="12"/>
  <c r="C258" i="12"/>
  <c r="G257" i="12"/>
  <c r="F257" i="12"/>
  <c r="E257" i="12"/>
  <c r="D257" i="12"/>
  <c r="C257" i="12"/>
  <c r="G256" i="12"/>
  <c r="F256" i="12"/>
  <c r="E256" i="12"/>
  <c r="D256" i="12"/>
  <c r="C256" i="12"/>
  <c r="G255" i="12"/>
  <c r="F255" i="12"/>
  <c r="E255" i="12"/>
  <c r="D255" i="12"/>
  <c r="C255" i="12"/>
  <c r="G254" i="12"/>
  <c r="F254" i="12"/>
  <c r="E254" i="12"/>
  <c r="D254" i="12"/>
  <c r="C254" i="12"/>
  <c r="G253" i="12"/>
  <c r="F253" i="12"/>
  <c r="E253" i="12"/>
  <c r="D253" i="12"/>
  <c r="C253" i="12"/>
  <c r="G252" i="12"/>
  <c r="F252" i="12"/>
  <c r="E252" i="12"/>
  <c r="D252" i="12"/>
  <c r="C252" i="12"/>
  <c r="G251" i="12"/>
  <c r="F251" i="12"/>
  <c r="E251" i="12"/>
  <c r="D251" i="12"/>
  <c r="C251" i="12"/>
  <c r="G250" i="12"/>
  <c r="F250" i="12"/>
  <c r="E250" i="12"/>
  <c r="D250" i="12"/>
  <c r="C250" i="12"/>
  <c r="G249" i="12"/>
  <c r="F249" i="12"/>
  <c r="E249" i="12"/>
  <c r="D249" i="12"/>
  <c r="C249" i="12"/>
  <c r="G248" i="12"/>
  <c r="F248" i="12"/>
  <c r="E248" i="12"/>
  <c r="D248" i="12"/>
  <c r="C248" i="12"/>
  <c r="G247" i="12"/>
  <c r="F247" i="12"/>
  <c r="E247" i="12"/>
  <c r="D247" i="12"/>
  <c r="C247" i="12"/>
  <c r="G246" i="12"/>
  <c r="F246" i="12"/>
  <c r="E246" i="12"/>
  <c r="D246" i="12"/>
  <c r="C246" i="12"/>
  <c r="G245" i="12"/>
  <c r="F245" i="12"/>
  <c r="E245" i="12"/>
  <c r="D245" i="12"/>
  <c r="C245" i="12"/>
  <c r="G244" i="12"/>
  <c r="F244" i="12"/>
  <c r="E244" i="12"/>
  <c r="D244" i="12"/>
  <c r="C244" i="12"/>
  <c r="G243" i="12"/>
  <c r="F243" i="12"/>
  <c r="E243" i="12"/>
  <c r="D243" i="12"/>
  <c r="C243" i="12"/>
  <c r="G242" i="12"/>
  <c r="F242" i="12"/>
  <c r="E242" i="12"/>
  <c r="D242" i="12"/>
  <c r="C242" i="12"/>
  <c r="G241" i="12"/>
  <c r="F241" i="12"/>
  <c r="E241" i="12"/>
  <c r="D241" i="12"/>
  <c r="C241" i="12"/>
  <c r="G240" i="12"/>
  <c r="F240" i="12"/>
  <c r="E240" i="12"/>
  <c r="D240" i="12"/>
  <c r="C240" i="12"/>
  <c r="G239" i="12"/>
  <c r="F239" i="12"/>
  <c r="E239" i="12"/>
  <c r="D239" i="12"/>
  <c r="C239" i="12"/>
  <c r="G238" i="12"/>
  <c r="F238" i="12"/>
  <c r="E238" i="12"/>
  <c r="D238" i="12"/>
  <c r="C238" i="12"/>
  <c r="G237" i="12"/>
  <c r="F237" i="12"/>
  <c r="E237" i="12"/>
  <c r="D237" i="12"/>
  <c r="C237" i="12"/>
  <c r="G236" i="12"/>
  <c r="F236" i="12"/>
  <c r="E236" i="12"/>
  <c r="D236" i="12"/>
  <c r="C236" i="12"/>
  <c r="G235" i="12"/>
  <c r="F235" i="12"/>
  <c r="E235" i="12"/>
  <c r="D235" i="12"/>
  <c r="C235" i="12"/>
  <c r="G234" i="12"/>
  <c r="F234" i="12"/>
  <c r="E234" i="12"/>
  <c r="D234" i="12"/>
  <c r="C234" i="12"/>
  <c r="G233" i="12"/>
  <c r="F233" i="12"/>
  <c r="E233" i="12"/>
  <c r="D233" i="12"/>
  <c r="C233" i="12"/>
  <c r="G232" i="12"/>
  <c r="F232" i="12"/>
  <c r="E232" i="12"/>
  <c r="D232" i="12"/>
  <c r="C232" i="12"/>
  <c r="G231" i="12"/>
  <c r="F231" i="12"/>
  <c r="E231" i="12"/>
  <c r="D231" i="12"/>
  <c r="C231" i="12"/>
  <c r="G230" i="12"/>
  <c r="F230" i="12"/>
  <c r="E230" i="12"/>
  <c r="D230" i="12"/>
  <c r="C230" i="12"/>
  <c r="G229" i="12"/>
  <c r="F229" i="12"/>
  <c r="E229" i="12"/>
  <c r="D229" i="12"/>
  <c r="C229" i="12"/>
  <c r="G228" i="12"/>
  <c r="F228" i="12"/>
  <c r="E228" i="12"/>
  <c r="D228" i="12"/>
  <c r="C228" i="12"/>
  <c r="G227" i="12"/>
  <c r="F227" i="12"/>
  <c r="E227" i="12"/>
  <c r="D227" i="12"/>
  <c r="C227" i="12"/>
  <c r="G226" i="12"/>
  <c r="F226" i="12"/>
  <c r="E226" i="12"/>
  <c r="D226" i="12"/>
  <c r="C226" i="12"/>
  <c r="G225" i="12"/>
  <c r="F225" i="12"/>
  <c r="E225" i="12"/>
  <c r="D225" i="12"/>
  <c r="C225" i="12"/>
  <c r="G224" i="12"/>
  <c r="F224" i="12"/>
  <c r="E224" i="12"/>
  <c r="D224" i="12"/>
  <c r="C224" i="12"/>
  <c r="G223" i="12"/>
  <c r="F223" i="12"/>
  <c r="E223" i="12"/>
  <c r="D223" i="12"/>
  <c r="C223" i="12"/>
  <c r="G222" i="12"/>
  <c r="F222" i="12"/>
  <c r="E222" i="12"/>
  <c r="D222" i="12"/>
  <c r="C222" i="12"/>
  <c r="G221" i="12"/>
  <c r="F221" i="12"/>
  <c r="E221" i="12"/>
  <c r="D221" i="12"/>
  <c r="C221" i="12"/>
  <c r="G220" i="12"/>
  <c r="F220" i="12"/>
  <c r="E220" i="12"/>
  <c r="D220" i="12"/>
  <c r="C220" i="12"/>
  <c r="G219" i="12"/>
  <c r="F219" i="12"/>
  <c r="E219" i="12"/>
  <c r="D219" i="12"/>
  <c r="C219" i="12"/>
  <c r="G218" i="12"/>
  <c r="F218" i="12"/>
  <c r="E218" i="12"/>
  <c r="D218" i="12"/>
  <c r="C218" i="12"/>
  <c r="G217" i="12"/>
  <c r="F217" i="12"/>
  <c r="E217" i="12"/>
  <c r="D217" i="12"/>
  <c r="C217" i="12"/>
  <c r="G216" i="12"/>
  <c r="F216" i="12"/>
  <c r="E216" i="12"/>
  <c r="D216" i="12"/>
  <c r="C216" i="12"/>
  <c r="G215" i="12"/>
  <c r="F215" i="12"/>
  <c r="E215" i="12"/>
  <c r="D215" i="12"/>
  <c r="C215" i="12"/>
  <c r="G214" i="12"/>
  <c r="F214" i="12"/>
  <c r="E214" i="12"/>
  <c r="D214" i="12"/>
  <c r="C214" i="12"/>
  <c r="G213" i="12"/>
  <c r="F213" i="12"/>
  <c r="E213" i="12"/>
  <c r="D213" i="12"/>
  <c r="C213" i="12"/>
  <c r="G212" i="12"/>
  <c r="F212" i="12"/>
  <c r="E212" i="12"/>
  <c r="D212" i="12"/>
  <c r="C212" i="12"/>
  <c r="G211" i="12"/>
  <c r="F211" i="12"/>
  <c r="E211" i="12"/>
  <c r="D211" i="12"/>
  <c r="C211" i="12"/>
  <c r="G210" i="12"/>
  <c r="F210" i="12"/>
  <c r="E210" i="12"/>
  <c r="D210" i="12"/>
  <c r="C210" i="12"/>
  <c r="G209" i="12"/>
  <c r="F209" i="12"/>
  <c r="E209" i="12"/>
  <c r="D209" i="12"/>
  <c r="C209" i="12"/>
  <c r="G208" i="12"/>
  <c r="F208" i="12"/>
  <c r="E208" i="12"/>
  <c r="D208" i="12"/>
  <c r="C208" i="12"/>
  <c r="G207" i="12"/>
  <c r="F207" i="12"/>
  <c r="E207" i="12"/>
  <c r="D207" i="12"/>
  <c r="C207" i="12"/>
  <c r="G206" i="12"/>
  <c r="F206" i="12"/>
  <c r="E206" i="12"/>
  <c r="D206" i="12"/>
  <c r="C206" i="12"/>
  <c r="G205" i="12"/>
  <c r="F205" i="12"/>
  <c r="E205" i="12"/>
  <c r="D205" i="12"/>
  <c r="C205" i="12"/>
  <c r="G204" i="12"/>
  <c r="F204" i="12"/>
  <c r="E204" i="12"/>
  <c r="D204" i="12"/>
  <c r="C204" i="12"/>
  <c r="G203" i="12"/>
  <c r="F203" i="12"/>
  <c r="E203" i="12"/>
  <c r="D203" i="12"/>
  <c r="C203" i="12"/>
  <c r="G202" i="12"/>
  <c r="F202" i="12"/>
  <c r="E202" i="12"/>
  <c r="D202" i="12"/>
  <c r="C202" i="12"/>
  <c r="G201" i="12"/>
  <c r="F201" i="12"/>
  <c r="E201" i="12"/>
  <c r="D201" i="12"/>
  <c r="C201" i="12"/>
  <c r="G200" i="12"/>
  <c r="F200" i="12"/>
  <c r="E200" i="12"/>
  <c r="D200" i="12"/>
  <c r="C200" i="12"/>
  <c r="G199" i="12"/>
  <c r="F199" i="12"/>
  <c r="E199" i="12"/>
  <c r="D199" i="12"/>
  <c r="C199" i="12"/>
  <c r="G198" i="12"/>
  <c r="F198" i="12"/>
  <c r="E198" i="12"/>
  <c r="D198" i="12"/>
  <c r="C198" i="12"/>
  <c r="G197" i="12"/>
  <c r="F197" i="12"/>
  <c r="E197" i="12"/>
  <c r="D197" i="12"/>
  <c r="C197" i="12"/>
  <c r="G196" i="12"/>
  <c r="F196" i="12"/>
  <c r="E196" i="12"/>
  <c r="D196" i="12"/>
  <c r="C196" i="12"/>
  <c r="G195" i="12"/>
  <c r="F195" i="12"/>
  <c r="E195" i="12"/>
  <c r="D195" i="12"/>
  <c r="C195" i="12"/>
  <c r="G194" i="12"/>
  <c r="F194" i="12"/>
  <c r="E194" i="12"/>
  <c r="D194" i="12"/>
  <c r="C194" i="12"/>
  <c r="G193" i="12"/>
  <c r="F193" i="12"/>
  <c r="E193" i="12"/>
  <c r="D193" i="12"/>
  <c r="C193" i="12"/>
  <c r="G192" i="12"/>
  <c r="F192" i="12"/>
  <c r="E192" i="12"/>
  <c r="D192" i="12"/>
  <c r="C192" i="12"/>
  <c r="G191" i="12"/>
  <c r="F191" i="12"/>
  <c r="E191" i="12"/>
  <c r="D191" i="12"/>
  <c r="C191" i="12"/>
  <c r="G190" i="12"/>
  <c r="F190" i="12"/>
  <c r="E190" i="12"/>
  <c r="D190" i="12"/>
  <c r="C190" i="12"/>
  <c r="G189" i="12"/>
  <c r="F189" i="12"/>
  <c r="E189" i="12"/>
  <c r="D189" i="12"/>
  <c r="C189" i="12"/>
  <c r="G188" i="12"/>
  <c r="F188" i="12"/>
  <c r="E188" i="12"/>
  <c r="D188" i="12"/>
  <c r="C188" i="12"/>
  <c r="G187" i="12"/>
  <c r="F187" i="12"/>
  <c r="E187" i="12"/>
  <c r="D187" i="12"/>
  <c r="C187" i="12"/>
  <c r="G186" i="12"/>
  <c r="F186" i="12"/>
  <c r="E186" i="12"/>
  <c r="D186" i="12"/>
  <c r="C186" i="12"/>
  <c r="G185" i="12"/>
  <c r="F185" i="12"/>
  <c r="E185" i="12"/>
  <c r="D185" i="12"/>
  <c r="C185" i="12"/>
  <c r="G184" i="12"/>
  <c r="F184" i="12"/>
  <c r="E184" i="12"/>
  <c r="D184" i="12"/>
  <c r="C184" i="12"/>
  <c r="G183" i="12"/>
  <c r="F183" i="12"/>
  <c r="E183" i="12"/>
  <c r="D183" i="12"/>
  <c r="C183" i="12"/>
  <c r="G182" i="12"/>
  <c r="F182" i="12"/>
  <c r="E182" i="12"/>
  <c r="D182" i="12"/>
  <c r="C182" i="12"/>
  <c r="G181" i="12"/>
  <c r="F181" i="12"/>
  <c r="E181" i="12"/>
  <c r="D181" i="12"/>
  <c r="C181" i="12"/>
  <c r="G180" i="12"/>
  <c r="F180" i="12"/>
  <c r="E180" i="12"/>
  <c r="D180" i="12"/>
  <c r="C180" i="12"/>
  <c r="G179" i="12"/>
  <c r="F179" i="12"/>
  <c r="E179" i="12"/>
  <c r="D179" i="12"/>
  <c r="C179" i="12"/>
  <c r="G178" i="12"/>
  <c r="F178" i="12"/>
  <c r="E178" i="12"/>
  <c r="D178" i="12"/>
  <c r="C178" i="12"/>
  <c r="G177" i="12"/>
  <c r="F177" i="12"/>
  <c r="E177" i="12"/>
  <c r="D177" i="12"/>
  <c r="C177" i="12"/>
  <c r="G176" i="12"/>
  <c r="F176" i="12"/>
  <c r="E176" i="12"/>
  <c r="D176" i="12"/>
  <c r="C176" i="12"/>
  <c r="G175" i="12"/>
  <c r="F175" i="12"/>
  <c r="E175" i="12"/>
  <c r="D175" i="12"/>
  <c r="C175" i="12"/>
  <c r="G174" i="12"/>
  <c r="F174" i="12"/>
  <c r="E174" i="12"/>
  <c r="D174" i="12"/>
  <c r="C174" i="12"/>
  <c r="G173" i="12"/>
  <c r="F173" i="12"/>
  <c r="E173" i="12"/>
  <c r="D173" i="12"/>
  <c r="C173" i="12"/>
  <c r="G172" i="12"/>
  <c r="F172" i="12"/>
  <c r="E172" i="12"/>
  <c r="D172" i="12"/>
  <c r="C172" i="12"/>
  <c r="G171" i="12"/>
  <c r="F171" i="12"/>
  <c r="E171" i="12"/>
  <c r="D171" i="12"/>
  <c r="C171" i="12"/>
  <c r="G170" i="12"/>
  <c r="F170" i="12"/>
  <c r="E170" i="12"/>
  <c r="D170" i="12"/>
  <c r="C170" i="12"/>
  <c r="G169" i="12"/>
  <c r="F169" i="12"/>
  <c r="E169" i="12"/>
  <c r="D169" i="12"/>
  <c r="C169" i="12"/>
  <c r="G168" i="12"/>
  <c r="F168" i="12"/>
  <c r="E168" i="12"/>
  <c r="D168" i="12"/>
  <c r="C168" i="12"/>
  <c r="G167" i="12"/>
  <c r="F167" i="12"/>
  <c r="E167" i="12"/>
  <c r="D167" i="12"/>
  <c r="C167" i="12"/>
  <c r="G166" i="12"/>
  <c r="F166" i="12"/>
  <c r="E166" i="12"/>
  <c r="D166" i="12"/>
  <c r="C166" i="12"/>
  <c r="G165" i="12"/>
  <c r="F165" i="12"/>
  <c r="E165" i="12"/>
  <c r="D165" i="12"/>
  <c r="C165" i="12"/>
  <c r="G164" i="12"/>
  <c r="F164" i="12"/>
  <c r="E164" i="12"/>
  <c r="D164" i="12"/>
  <c r="C164" i="12"/>
  <c r="G163" i="12"/>
  <c r="F163" i="12"/>
  <c r="E163" i="12"/>
  <c r="D163" i="12"/>
  <c r="C163" i="12"/>
  <c r="G162" i="12"/>
  <c r="F162" i="12"/>
  <c r="E162" i="12"/>
  <c r="D162" i="12"/>
  <c r="C162" i="12"/>
  <c r="G161" i="12"/>
  <c r="F161" i="12"/>
  <c r="E161" i="12"/>
  <c r="D161" i="12"/>
  <c r="C161" i="12"/>
  <c r="G160" i="12"/>
  <c r="F160" i="12"/>
  <c r="E160" i="12"/>
  <c r="D160" i="12"/>
  <c r="C160" i="12"/>
  <c r="G159" i="12"/>
  <c r="F159" i="12"/>
  <c r="E159" i="12"/>
  <c r="D159" i="12"/>
  <c r="C159" i="12"/>
  <c r="G158" i="12"/>
  <c r="F158" i="12"/>
  <c r="E158" i="12"/>
  <c r="D158" i="12"/>
  <c r="C158" i="12"/>
  <c r="G157" i="12"/>
  <c r="F157" i="12"/>
  <c r="E157" i="12"/>
  <c r="D157" i="12"/>
  <c r="C157" i="12"/>
  <c r="G156" i="12"/>
  <c r="F156" i="12"/>
  <c r="E156" i="12"/>
  <c r="D156" i="12"/>
  <c r="C156" i="12"/>
  <c r="G155" i="12"/>
  <c r="F155" i="12"/>
  <c r="E155" i="12"/>
  <c r="D155" i="12"/>
  <c r="C155" i="12"/>
  <c r="G154" i="12"/>
  <c r="F154" i="12"/>
  <c r="E154" i="12"/>
  <c r="D154" i="12"/>
  <c r="C154" i="12"/>
  <c r="G153" i="12"/>
  <c r="F153" i="12"/>
  <c r="E153" i="12"/>
  <c r="D153" i="12"/>
  <c r="C153" i="12"/>
  <c r="G152" i="12"/>
  <c r="F152" i="12"/>
  <c r="E152" i="12"/>
  <c r="D152" i="12"/>
  <c r="C152" i="12"/>
  <c r="G151" i="12"/>
  <c r="F151" i="12"/>
  <c r="E151" i="12"/>
  <c r="D151" i="12"/>
  <c r="C151" i="12"/>
  <c r="G150" i="12"/>
  <c r="F150" i="12"/>
  <c r="E150" i="12"/>
  <c r="D150" i="12"/>
  <c r="C150" i="12"/>
  <c r="G149" i="12"/>
  <c r="F149" i="12"/>
  <c r="E149" i="12"/>
  <c r="D149" i="12"/>
  <c r="C149" i="12"/>
  <c r="G148" i="12"/>
  <c r="F148" i="12"/>
  <c r="E148" i="12"/>
  <c r="D148" i="12"/>
  <c r="C148" i="12"/>
  <c r="G147" i="12"/>
  <c r="F147" i="12"/>
  <c r="E147" i="12"/>
  <c r="D147" i="12"/>
  <c r="C147" i="12"/>
  <c r="G146" i="12"/>
  <c r="F146" i="12"/>
  <c r="E146" i="12"/>
  <c r="D146" i="12"/>
  <c r="C146" i="12"/>
  <c r="G145" i="12"/>
  <c r="F145" i="12"/>
  <c r="E145" i="12"/>
  <c r="D145" i="12"/>
  <c r="C145" i="12"/>
  <c r="G144" i="12"/>
  <c r="F144" i="12"/>
  <c r="E144" i="12"/>
  <c r="D144" i="12"/>
  <c r="C144" i="12"/>
  <c r="G143" i="12"/>
  <c r="F143" i="12"/>
  <c r="E143" i="12"/>
  <c r="D143" i="12"/>
  <c r="C143" i="12"/>
  <c r="G142" i="12"/>
  <c r="F142" i="12"/>
  <c r="E142" i="12"/>
  <c r="D142" i="12"/>
  <c r="C142" i="12"/>
  <c r="G141" i="12"/>
  <c r="F141" i="12"/>
  <c r="E141" i="12"/>
  <c r="D141" i="12"/>
  <c r="C141" i="12"/>
  <c r="G140" i="12"/>
  <c r="F140" i="12"/>
  <c r="E140" i="12"/>
  <c r="D140" i="12"/>
  <c r="C140" i="12"/>
  <c r="G139" i="12"/>
  <c r="F139" i="12"/>
  <c r="E139" i="12"/>
  <c r="D139" i="12"/>
  <c r="C139" i="12"/>
  <c r="G138" i="12"/>
  <c r="F138" i="12"/>
  <c r="E138" i="12"/>
  <c r="D138" i="12"/>
  <c r="C138" i="12"/>
  <c r="G137" i="12"/>
  <c r="F137" i="12"/>
  <c r="E137" i="12"/>
  <c r="D137" i="12"/>
  <c r="C137" i="12"/>
  <c r="G136" i="12"/>
  <c r="F136" i="12"/>
  <c r="E136" i="12"/>
  <c r="D136" i="12"/>
  <c r="C136" i="12"/>
  <c r="G135" i="12"/>
  <c r="F135" i="12"/>
  <c r="E135" i="12"/>
  <c r="D135" i="12"/>
  <c r="C135" i="12"/>
  <c r="G134" i="12"/>
  <c r="F134" i="12"/>
  <c r="E134" i="12"/>
  <c r="D134" i="12"/>
  <c r="C134" i="12"/>
  <c r="G133" i="12"/>
  <c r="F133" i="12"/>
  <c r="E133" i="12"/>
  <c r="D133" i="12"/>
  <c r="C133" i="12"/>
  <c r="G132" i="12"/>
  <c r="F132" i="12"/>
  <c r="E132" i="12"/>
  <c r="D132" i="12"/>
  <c r="C132" i="12"/>
  <c r="G131" i="12"/>
  <c r="F131" i="12"/>
  <c r="E131" i="12"/>
  <c r="D131" i="12"/>
  <c r="C131" i="12"/>
  <c r="G130" i="12"/>
  <c r="F130" i="12"/>
  <c r="E130" i="12"/>
  <c r="D130" i="12"/>
  <c r="C130" i="12"/>
  <c r="G129" i="12"/>
  <c r="F129" i="12"/>
  <c r="E129" i="12"/>
  <c r="D129" i="12"/>
  <c r="C129" i="12"/>
  <c r="G128" i="12"/>
  <c r="F128" i="12"/>
  <c r="E128" i="12"/>
  <c r="D128" i="12"/>
  <c r="C128" i="12"/>
  <c r="G127" i="12"/>
  <c r="F127" i="12"/>
  <c r="E127" i="12"/>
  <c r="D127" i="12"/>
  <c r="C127" i="12"/>
  <c r="G126" i="12"/>
  <c r="F126" i="12"/>
  <c r="E126" i="12"/>
  <c r="D126" i="12"/>
  <c r="C126" i="12"/>
  <c r="G125" i="12"/>
  <c r="F125" i="12"/>
  <c r="E125" i="12"/>
  <c r="D125" i="12"/>
  <c r="C125" i="12"/>
  <c r="G124" i="12"/>
  <c r="F124" i="12"/>
  <c r="E124" i="12"/>
  <c r="D124" i="12"/>
  <c r="C124" i="12"/>
  <c r="G123" i="12"/>
  <c r="F123" i="12"/>
  <c r="E123" i="12"/>
  <c r="D123" i="12"/>
  <c r="C123" i="12"/>
  <c r="G122" i="12"/>
  <c r="F122" i="12"/>
  <c r="E122" i="12"/>
  <c r="D122" i="12"/>
  <c r="C122" i="12"/>
  <c r="G121" i="12"/>
  <c r="F121" i="12"/>
  <c r="E121" i="12"/>
  <c r="D121" i="12"/>
  <c r="C121" i="12"/>
  <c r="G120" i="12"/>
  <c r="F120" i="12"/>
  <c r="E120" i="12"/>
  <c r="D120" i="12"/>
  <c r="C120" i="12"/>
  <c r="G119" i="12"/>
  <c r="F119" i="12"/>
  <c r="E119" i="12"/>
  <c r="D119" i="12"/>
  <c r="C119" i="12"/>
  <c r="G118" i="12"/>
  <c r="F118" i="12"/>
  <c r="E118" i="12"/>
  <c r="D118" i="12"/>
  <c r="C118" i="12"/>
  <c r="G117" i="12"/>
  <c r="F117" i="12"/>
  <c r="E117" i="12"/>
  <c r="D117" i="12"/>
  <c r="C117" i="12"/>
  <c r="G116" i="12"/>
  <c r="F116" i="12"/>
  <c r="E116" i="12"/>
  <c r="D116" i="12"/>
  <c r="C116" i="12"/>
  <c r="G115" i="12"/>
  <c r="F115" i="12"/>
  <c r="E115" i="12"/>
  <c r="D115" i="12"/>
  <c r="C115" i="12"/>
  <c r="G114" i="12"/>
  <c r="F114" i="12"/>
  <c r="E114" i="12"/>
  <c r="D114" i="12"/>
  <c r="C114" i="12"/>
  <c r="G113" i="12"/>
  <c r="F113" i="12"/>
  <c r="E113" i="12"/>
  <c r="D113" i="12"/>
  <c r="C113" i="12"/>
  <c r="G112" i="12"/>
  <c r="F112" i="12"/>
  <c r="E112" i="12"/>
  <c r="D112" i="12"/>
  <c r="C112" i="12"/>
  <c r="G111" i="12"/>
  <c r="F111" i="12"/>
  <c r="E111" i="12"/>
  <c r="D111" i="12"/>
  <c r="C111" i="12"/>
  <c r="G110" i="12"/>
  <c r="F110" i="12"/>
  <c r="E110" i="12"/>
  <c r="D110" i="12"/>
  <c r="C110" i="12"/>
  <c r="G109" i="12"/>
  <c r="F109" i="12"/>
  <c r="E109" i="12"/>
  <c r="D109" i="12"/>
  <c r="C109" i="12"/>
  <c r="G108" i="12"/>
  <c r="F108" i="12"/>
  <c r="E108" i="12"/>
  <c r="D108" i="12"/>
  <c r="C108" i="12"/>
  <c r="G107" i="12"/>
  <c r="F107" i="12"/>
  <c r="E107" i="12"/>
  <c r="D107" i="12"/>
  <c r="C107" i="12"/>
  <c r="G106" i="12"/>
  <c r="F106" i="12"/>
  <c r="E106" i="12"/>
  <c r="D106" i="12"/>
  <c r="C106" i="12"/>
  <c r="G105" i="12"/>
  <c r="F105" i="12"/>
  <c r="E105" i="12"/>
  <c r="D105" i="12"/>
  <c r="C105" i="12"/>
  <c r="G104" i="12"/>
  <c r="F104" i="12"/>
  <c r="E104" i="12"/>
  <c r="D104" i="12"/>
  <c r="C104" i="12"/>
  <c r="G103" i="12"/>
  <c r="F103" i="12"/>
  <c r="E103" i="12"/>
  <c r="D103" i="12"/>
  <c r="C103" i="12"/>
  <c r="G102" i="12"/>
  <c r="F102" i="12"/>
  <c r="E102" i="12"/>
  <c r="D102" i="12"/>
  <c r="C102" i="12"/>
  <c r="G101" i="12"/>
  <c r="F101" i="12"/>
  <c r="E101" i="12"/>
  <c r="D101" i="12"/>
  <c r="C101" i="12"/>
  <c r="G100" i="12"/>
  <c r="F100" i="12"/>
  <c r="E100" i="12"/>
  <c r="D100" i="12"/>
  <c r="C100" i="12"/>
  <c r="G99" i="12"/>
  <c r="F99" i="12"/>
  <c r="E99" i="12"/>
  <c r="D99" i="12"/>
  <c r="C99" i="12"/>
  <c r="G98" i="12"/>
  <c r="F98" i="12"/>
  <c r="E98" i="12"/>
  <c r="D98" i="12"/>
  <c r="C98" i="12"/>
  <c r="G97" i="12"/>
  <c r="F97" i="12"/>
  <c r="E97" i="12"/>
  <c r="D97" i="12"/>
  <c r="C97" i="12"/>
  <c r="G96" i="12"/>
  <c r="F96" i="12"/>
  <c r="E96" i="12"/>
  <c r="D96" i="12"/>
  <c r="C96" i="12"/>
  <c r="G95" i="12"/>
  <c r="F95" i="12"/>
  <c r="E95" i="12"/>
  <c r="D95" i="12"/>
  <c r="C95" i="12"/>
  <c r="G94" i="12"/>
  <c r="F94" i="12"/>
  <c r="E94" i="12"/>
  <c r="D94" i="12"/>
  <c r="C94" i="12"/>
  <c r="A94" i="12"/>
  <c r="G93" i="12"/>
  <c r="F93" i="12"/>
  <c r="E93" i="12"/>
  <c r="D93" i="12"/>
  <c r="C93" i="12"/>
  <c r="A93" i="12"/>
  <c r="G92" i="12"/>
  <c r="F92" i="12"/>
  <c r="E92" i="12"/>
  <c r="D92" i="12"/>
  <c r="C92" i="12"/>
  <c r="A92" i="12"/>
  <c r="G91" i="12"/>
  <c r="F91" i="12"/>
  <c r="E91" i="12"/>
  <c r="D91" i="12"/>
  <c r="C91" i="12"/>
  <c r="A91" i="12"/>
  <c r="G90" i="12"/>
  <c r="F90" i="12"/>
  <c r="E90" i="12"/>
  <c r="D90" i="12"/>
  <c r="C90" i="12"/>
  <c r="A90" i="12"/>
  <c r="G89" i="12"/>
  <c r="F89" i="12"/>
  <c r="E89" i="12"/>
  <c r="D89" i="12"/>
  <c r="C89" i="12"/>
  <c r="A89" i="12"/>
  <c r="G88" i="12"/>
  <c r="F88" i="12"/>
  <c r="E88" i="12"/>
  <c r="D88" i="12"/>
  <c r="C88" i="12"/>
  <c r="A88" i="12"/>
  <c r="G87" i="12"/>
  <c r="F87" i="12"/>
  <c r="E87" i="12"/>
  <c r="D87" i="12"/>
  <c r="C87" i="12"/>
  <c r="A87" i="12"/>
  <c r="G86" i="12"/>
  <c r="F86" i="12"/>
  <c r="E86" i="12"/>
  <c r="D86" i="12"/>
  <c r="C86" i="12"/>
  <c r="A86" i="12"/>
  <c r="G85" i="12"/>
  <c r="F85" i="12"/>
  <c r="E85" i="12"/>
  <c r="D85" i="12"/>
  <c r="C85" i="12"/>
  <c r="A85" i="12"/>
  <c r="G84" i="12"/>
  <c r="F84" i="12"/>
  <c r="E84" i="12"/>
  <c r="D84" i="12"/>
  <c r="C84" i="12"/>
  <c r="A84" i="12"/>
  <c r="G83" i="12"/>
  <c r="F83" i="12"/>
  <c r="E83" i="12"/>
  <c r="D83" i="12"/>
  <c r="C83" i="12"/>
  <c r="A83" i="12"/>
  <c r="G82" i="12"/>
  <c r="F82" i="12"/>
  <c r="E82" i="12"/>
  <c r="D82" i="12"/>
  <c r="C82" i="12"/>
  <c r="A82" i="12"/>
  <c r="G81" i="12"/>
  <c r="F81" i="12"/>
  <c r="E81" i="12"/>
  <c r="D81" i="12"/>
  <c r="C81" i="12"/>
  <c r="A81" i="12"/>
  <c r="G80" i="12"/>
  <c r="F80" i="12"/>
  <c r="E80" i="12"/>
  <c r="D80" i="12"/>
  <c r="C80" i="12"/>
  <c r="A80" i="12"/>
  <c r="G79" i="12"/>
  <c r="F79" i="12"/>
  <c r="E79" i="12"/>
  <c r="D79" i="12"/>
  <c r="C79" i="12"/>
  <c r="A79" i="12"/>
  <c r="G78" i="12"/>
  <c r="F78" i="12"/>
  <c r="E78" i="12"/>
  <c r="D78" i="12"/>
  <c r="C78" i="12"/>
  <c r="A78" i="12"/>
  <c r="G77" i="12"/>
  <c r="F77" i="12"/>
  <c r="E77" i="12"/>
  <c r="D77" i="12"/>
  <c r="C77" i="12"/>
  <c r="A77" i="12"/>
  <c r="G76" i="12"/>
  <c r="F76" i="12"/>
  <c r="E76" i="12"/>
  <c r="D76" i="12"/>
  <c r="C76" i="12"/>
  <c r="A76" i="12"/>
  <c r="G75" i="12"/>
  <c r="F75" i="12"/>
  <c r="E75" i="12"/>
  <c r="D75" i="12"/>
  <c r="C75" i="12"/>
  <c r="A75" i="12"/>
  <c r="G74" i="12"/>
  <c r="F74" i="12"/>
  <c r="E74" i="12"/>
  <c r="D74" i="12"/>
  <c r="C74" i="12"/>
  <c r="A74" i="12"/>
  <c r="G73" i="12"/>
  <c r="F73" i="12"/>
  <c r="E73" i="12"/>
  <c r="D73" i="12"/>
  <c r="C73" i="12"/>
  <c r="A73" i="12"/>
  <c r="G72" i="12"/>
  <c r="F72" i="12"/>
  <c r="E72" i="12"/>
  <c r="D72" i="12"/>
  <c r="C72" i="12"/>
  <c r="A72" i="12"/>
  <c r="G71" i="12"/>
  <c r="F71" i="12"/>
  <c r="E71" i="12"/>
  <c r="D71" i="12"/>
  <c r="C71" i="12"/>
  <c r="A71" i="12"/>
  <c r="G70" i="12"/>
  <c r="F70" i="12"/>
  <c r="E70" i="12"/>
  <c r="D70" i="12"/>
  <c r="C70" i="12"/>
  <c r="A70" i="12"/>
  <c r="G69" i="12"/>
  <c r="F69" i="12"/>
  <c r="E69" i="12"/>
  <c r="D69" i="12"/>
  <c r="C69" i="12"/>
  <c r="A69" i="12"/>
  <c r="G68" i="12"/>
  <c r="F68" i="12"/>
  <c r="E68" i="12"/>
  <c r="D68" i="12"/>
  <c r="C68" i="12"/>
  <c r="A68" i="12"/>
  <c r="G67" i="12"/>
  <c r="F67" i="12"/>
  <c r="E67" i="12"/>
  <c r="D67" i="12"/>
  <c r="C67" i="12"/>
  <c r="A67" i="12"/>
  <c r="G66" i="12"/>
  <c r="F66" i="12"/>
  <c r="E66" i="12"/>
  <c r="D66" i="12"/>
  <c r="C66" i="12"/>
  <c r="A66" i="12"/>
  <c r="G65" i="12"/>
  <c r="F65" i="12"/>
  <c r="E65" i="12"/>
  <c r="D65" i="12"/>
  <c r="C65" i="12"/>
  <c r="A65" i="12"/>
  <c r="G64" i="12"/>
  <c r="F64" i="12"/>
  <c r="E64" i="12"/>
  <c r="D64" i="12"/>
  <c r="C64" i="12"/>
  <c r="A64" i="12"/>
  <c r="G63" i="12"/>
  <c r="F63" i="12"/>
  <c r="E63" i="12"/>
  <c r="D63" i="12"/>
  <c r="C63" i="12"/>
  <c r="A63" i="12"/>
  <c r="G62" i="12"/>
  <c r="F62" i="12"/>
  <c r="E62" i="12"/>
  <c r="D62" i="12"/>
  <c r="C62" i="12"/>
  <c r="A62" i="12"/>
  <c r="G61" i="12"/>
  <c r="F61" i="12"/>
  <c r="E61" i="12"/>
  <c r="D61" i="12"/>
  <c r="C61" i="12"/>
  <c r="A61" i="12"/>
  <c r="G60" i="12"/>
  <c r="F60" i="12"/>
  <c r="E60" i="12"/>
  <c r="D60" i="12"/>
  <c r="C60" i="12"/>
  <c r="A60" i="12"/>
  <c r="G59" i="12"/>
  <c r="F59" i="12"/>
  <c r="E59" i="12"/>
  <c r="D59" i="12"/>
  <c r="C59" i="12"/>
  <c r="A59" i="12"/>
  <c r="G58" i="12"/>
  <c r="F58" i="12"/>
  <c r="E58" i="12"/>
  <c r="D58" i="12"/>
  <c r="C58" i="12"/>
  <c r="A58" i="12"/>
  <c r="G57" i="12"/>
  <c r="F57" i="12"/>
  <c r="E57" i="12"/>
  <c r="D57" i="12"/>
  <c r="C57" i="12"/>
  <c r="A57" i="12"/>
  <c r="G56" i="12"/>
  <c r="F56" i="12"/>
  <c r="E56" i="12"/>
  <c r="D56" i="12"/>
  <c r="C56" i="12"/>
  <c r="A56" i="12"/>
  <c r="G55" i="12"/>
  <c r="F55" i="12"/>
  <c r="E55" i="12"/>
  <c r="D55" i="12"/>
  <c r="C55" i="12"/>
  <c r="A55" i="12"/>
  <c r="G54" i="12"/>
  <c r="F54" i="12"/>
  <c r="E54" i="12"/>
  <c r="D54" i="12"/>
  <c r="C54" i="12"/>
  <c r="A54" i="12"/>
  <c r="G53" i="12"/>
  <c r="F53" i="12"/>
  <c r="E53" i="12"/>
  <c r="D53" i="12"/>
  <c r="C53" i="12"/>
  <c r="A53" i="12"/>
  <c r="G52" i="12"/>
  <c r="F52" i="12"/>
  <c r="E52" i="12"/>
  <c r="D52" i="12"/>
  <c r="C52" i="12"/>
  <c r="A52" i="12"/>
  <c r="G51" i="12"/>
  <c r="F51" i="12"/>
  <c r="E51" i="12"/>
  <c r="D51" i="12"/>
  <c r="C51" i="12"/>
  <c r="A51" i="12"/>
  <c r="G50" i="12"/>
  <c r="F50" i="12"/>
  <c r="E50" i="12"/>
  <c r="D50" i="12"/>
  <c r="C50" i="12"/>
  <c r="A50" i="12"/>
  <c r="G49" i="12"/>
  <c r="F49" i="12"/>
  <c r="E49" i="12"/>
  <c r="D49" i="12"/>
  <c r="C49" i="12"/>
  <c r="A49" i="12"/>
  <c r="G48" i="12"/>
  <c r="F48" i="12"/>
  <c r="E48" i="12"/>
  <c r="D48" i="12"/>
  <c r="C48" i="12"/>
  <c r="A48" i="12"/>
  <c r="G47" i="12"/>
  <c r="F47" i="12"/>
  <c r="E47" i="12"/>
  <c r="D47" i="12"/>
  <c r="C47" i="12"/>
  <c r="A47" i="12"/>
  <c r="G46" i="12"/>
  <c r="F46" i="12"/>
  <c r="E46" i="12"/>
  <c r="D46" i="12"/>
  <c r="C46" i="12"/>
  <c r="A46" i="12"/>
  <c r="G45" i="12"/>
  <c r="F45" i="12"/>
  <c r="E45" i="12"/>
  <c r="D45" i="12"/>
  <c r="C45" i="12"/>
  <c r="A45" i="12"/>
  <c r="G44" i="12"/>
  <c r="F44" i="12"/>
  <c r="E44" i="12"/>
  <c r="D44" i="12"/>
  <c r="C44" i="12"/>
  <c r="A44" i="12"/>
  <c r="G43" i="12"/>
  <c r="F43" i="12"/>
  <c r="E43" i="12"/>
  <c r="D43" i="12"/>
  <c r="C43" i="12"/>
  <c r="A43" i="12"/>
  <c r="G42" i="12"/>
  <c r="F42" i="12"/>
  <c r="E42" i="12"/>
  <c r="D42" i="12"/>
  <c r="C42" i="12"/>
  <c r="A42" i="12"/>
  <c r="G41" i="12"/>
  <c r="F41" i="12"/>
  <c r="E41" i="12"/>
  <c r="D41" i="12"/>
  <c r="C41" i="12"/>
  <c r="A41" i="12"/>
  <c r="G40" i="12"/>
  <c r="F40" i="12"/>
  <c r="E40" i="12"/>
  <c r="D40" i="12"/>
  <c r="C40" i="12"/>
  <c r="A40" i="12"/>
  <c r="G39" i="12"/>
  <c r="F39" i="12"/>
  <c r="E39" i="12"/>
  <c r="D39" i="12"/>
  <c r="C39" i="12"/>
  <c r="A39" i="12"/>
  <c r="G38" i="12"/>
  <c r="F38" i="12"/>
  <c r="E38" i="12"/>
  <c r="D38" i="12"/>
  <c r="C38" i="12"/>
  <c r="A38" i="12"/>
  <c r="G37" i="12"/>
  <c r="F37" i="12"/>
  <c r="E37" i="12"/>
  <c r="D37" i="12"/>
  <c r="C37" i="12"/>
  <c r="A37" i="12"/>
  <c r="G36" i="12"/>
  <c r="F36" i="12"/>
  <c r="E36" i="12"/>
  <c r="D36" i="12"/>
  <c r="C36" i="12"/>
  <c r="A36" i="12"/>
  <c r="G35" i="12"/>
  <c r="F35" i="12"/>
  <c r="E35" i="12"/>
  <c r="D35" i="12"/>
  <c r="C35" i="12"/>
  <c r="A35" i="12"/>
  <c r="G34" i="12"/>
  <c r="F34" i="12"/>
  <c r="E34" i="12"/>
  <c r="D34" i="12"/>
  <c r="C34" i="12"/>
  <c r="A34" i="12"/>
  <c r="G33" i="12"/>
  <c r="F33" i="12"/>
  <c r="E33" i="12"/>
  <c r="D33" i="12"/>
  <c r="C33" i="12"/>
  <c r="A33" i="12"/>
  <c r="G32" i="12"/>
  <c r="F32" i="12"/>
  <c r="E32" i="12"/>
  <c r="D32" i="12"/>
  <c r="C32" i="12"/>
  <c r="A32" i="12"/>
  <c r="G31" i="12"/>
  <c r="F31" i="12"/>
  <c r="E31" i="12"/>
  <c r="D31" i="12"/>
  <c r="C31" i="12"/>
  <c r="A31" i="12"/>
  <c r="G30" i="12"/>
  <c r="F30" i="12"/>
  <c r="E30" i="12"/>
  <c r="D30" i="12"/>
  <c r="C30" i="12"/>
  <c r="A30" i="12"/>
  <c r="G29" i="12"/>
  <c r="F29" i="12"/>
  <c r="E29" i="12"/>
  <c r="D29" i="12"/>
  <c r="C29" i="12"/>
  <c r="A29" i="12"/>
  <c r="G28" i="12"/>
  <c r="F28" i="12"/>
  <c r="E28" i="12"/>
  <c r="D28" i="12"/>
  <c r="C28" i="12"/>
  <c r="A28" i="12"/>
  <c r="G27" i="12"/>
  <c r="F27" i="12"/>
  <c r="E27" i="12"/>
  <c r="D27" i="12"/>
  <c r="C27" i="12"/>
  <c r="A27" i="12"/>
  <c r="G26" i="12"/>
  <c r="F26" i="12"/>
  <c r="E26" i="12"/>
  <c r="D26" i="12"/>
  <c r="C26" i="12"/>
  <c r="A26" i="12"/>
  <c r="G25" i="12"/>
  <c r="F25" i="12"/>
  <c r="E25" i="12"/>
  <c r="D25" i="12"/>
  <c r="C25" i="12"/>
  <c r="A25" i="12"/>
  <c r="G24" i="12"/>
  <c r="F24" i="12"/>
  <c r="E24" i="12"/>
  <c r="D24" i="12"/>
  <c r="C24" i="12"/>
  <c r="A24" i="12"/>
  <c r="G23" i="12"/>
  <c r="F23" i="12"/>
  <c r="E23" i="12"/>
  <c r="D23" i="12"/>
  <c r="C23" i="12"/>
  <c r="A23" i="12"/>
  <c r="G22" i="12"/>
  <c r="F22" i="12"/>
  <c r="E22" i="12"/>
  <c r="D22" i="12"/>
  <c r="C22" i="12"/>
  <c r="A22" i="12"/>
  <c r="G21" i="12"/>
  <c r="F21" i="12"/>
  <c r="E21" i="12"/>
  <c r="D21" i="12"/>
  <c r="C21" i="12"/>
  <c r="A21" i="12"/>
  <c r="G20" i="12"/>
  <c r="F20" i="12"/>
  <c r="E20" i="12"/>
  <c r="D20" i="12"/>
  <c r="C20" i="12"/>
  <c r="A20" i="12"/>
  <c r="G19" i="12"/>
  <c r="F19" i="12"/>
  <c r="E19" i="12"/>
  <c r="D19" i="12"/>
  <c r="C19" i="12"/>
  <c r="A19" i="12"/>
  <c r="G18" i="12"/>
  <c r="F18" i="12"/>
  <c r="E18" i="12"/>
  <c r="D18" i="12"/>
  <c r="C18" i="12"/>
  <c r="A18" i="12"/>
  <c r="B17" i="12"/>
  <c r="B16" i="12"/>
  <c r="B15" i="12"/>
  <c r="A15" i="12" s="1"/>
  <c r="B14" i="12"/>
  <c r="B13" i="12"/>
  <c r="B12" i="12"/>
  <c r="B11" i="12"/>
  <c r="B10" i="12"/>
  <c r="B9" i="12"/>
  <c r="B8" i="12"/>
  <c r="B7" i="12"/>
  <c r="B6" i="12"/>
  <c r="B5" i="12"/>
  <c r="B4" i="12"/>
  <c r="G993" i="11"/>
  <c r="F993" i="11"/>
  <c r="D993" i="11"/>
  <c r="C993" i="11"/>
  <c r="G992" i="11"/>
  <c r="F992" i="11"/>
  <c r="D992" i="11"/>
  <c r="C992" i="11"/>
  <c r="G991" i="11"/>
  <c r="F991" i="11"/>
  <c r="D991" i="11"/>
  <c r="C991" i="11"/>
  <c r="G990" i="11"/>
  <c r="F990" i="11"/>
  <c r="D990" i="11"/>
  <c r="C990" i="11"/>
  <c r="G989" i="11"/>
  <c r="F989" i="11"/>
  <c r="D989" i="11"/>
  <c r="C989" i="11"/>
  <c r="G988" i="11"/>
  <c r="F988" i="11"/>
  <c r="D988" i="11"/>
  <c r="C988" i="11"/>
  <c r="G987" i="11"/>
  <c r="F987" i="11"/>
  <c r="D987" i="11"/>
  <c r="C987" i="11"/>
  <c r="G986" i="11"/>
  <c r="F986" i="11"/>
  <c r="D986" i="11"/>
  <c r="C986" i="11"/>
  <c r="G985" i="11"/>
  <c r="F985" i="11"/>
  <c r="D985" i="11"/>
  <c r="C985" i="11"/>
  <c r="G984" i="11"/>
  <c r="F984" i="11"/>
  <c r="D984" i="11"/>
  <c r="C984" i="11"/>
  <c r="G983" i="11"/>
  <c r="F983" i="11"/>
  <c r="D983" i="11"/>
  <c r="C983" i="11"/>
  <c r="G982" i="11"/>
  <c r="F982" i="11"/>
  <c r="D982" i="11"/>
  <c r="C982" i="11"/>
  <c r="G981" i="11"/>
  <c r="F981" i="11"/>
  <c r="D981" i="11"/>
  <c r="C981" i="11"/>
  <c r="G980" i="11"/>
  <c r="F980" i="11"/>
  <c r="D980" i="11"/>
  <c r="C980" i="11"/>
  <c r="G979" i="11"/>
  <c r="F979" i="11"/>
  <c r="D979" i="11"/>
  <c r="C979" i="11"/>
  <c r="G978" i="11"/>
  <c r="F978" i="11"/>
  <c r="D978" i="11"/>
  <c r="C978" i="11"/>
  <c r="G977" i="11"/>
  <c r="F977" i="11"/>
  <c r="D977" i="11"/>
  <c r="C977" i="11"/>
  <c r="G976" i="11"/>
  <c r="F976" i="11"/>
  <c r="D976" i="11"/>
  <c r="C976" i="11"/>
  <c r="G975" i="11"/>
  <c r="F975" i="11"/>
  <c r="D975" i="11"/>
  <c r="C975" i="11"/>
  <c r="G974" i="11"/>
  <c r="F974" i="11"/>
  <c r="D974" i="11"/>
  <c r="C974" i="11"/>
  <c r="G973" i="11"/>
  <c r="F973" i="11"/>
  <c r="D973" i="11"/>
  <c r="C973" i="11"/>
  <c r="G972" i="11"/>
  <c r="F972" i="11"/>
  <c r="D972" i="11"/>
  <c r="C972" i="11"/>
  <c r="G971" i="11"/>
  <c r="F971" i="11"/>
  <c r="D971" i="11"/>
  <c r="C971" i="11"/>
  <c r="G970" i="11"/>
  <c r="F970" i="11"/>
  <c r="D970" i="11"/>
  <c r="C970" i="11"/>
  <c r="G969" i="11"/>
  <c r="F969" i="11"/>
  <c r="D969" i="11"/>
  <c r="C969" i="11"/>
  <c r="G968" i="11"/>
  <c r="F968" i="11"/>
  <c r="D968" i="11"/>
  <c r="C968" i="11"/>
  <c r="G967" i="11"/>
  <c r="F967" i="11"/>
  <c r="D967" i="11"/>
  <c r="C967" i="11"/>
  <c r="G966" i="11"/>
  <c r="F966" i="11"/>
  <c r="D966" i="11"/>
  <c r="C966" i="11"/>
  <c r="G965" i="11"/>
  <c r="F965" i="11"/>
  <c r="D965" i="11"/>
  <c r="C965" i="11"/>
  <c r="G964" i="11"/>
  <c r="F964" i="11"/>
  <c r="D964" i="11"/>
  <c r="C964" i="11"/>
  <c r="G963" i="11"/>
  <c r="F963" i="11"/>
  <c r="D963" i="11"/>
  <c r="C963" i="11"/>
  <c r="G962" i="11"/>
  <c r="F962" i="11"/>
  <c r="D962" i="11"/>
  <c r="C962" i="11"/>
  <c r="G961" i="11"/>
  <c r="F961" i="11"/>
  <c r="D961" i="11"/>
  <c r="C961" i="11"/>
  <c r="G960" i="11"/>
  <c r="F960" i="11"/>
  <c r="D960" i="11"/>
  <c r="C960" i="11"/>
  <c r="G959" i="11"/>
  <c r="F959" i="11"/>
  <c r="D959" i="11"/>
  <c r="C959" i="11"/>
  <c r="G958" i="11"/>
  <c r="F958" i="11"/>
  <c r="D958" i="11"/>
  <c r="C958" i="11"/>
  <c r="G957" i="11"/>
  <c r="F957" i="11"/>
  <c r="D957" i="11"/>
  <c r="C957" i="11"/>
  <c r="G956" i="11"/>
  <c r="F956" i="11"/>
  <c r="D956" i="11"/>
  <c r="C956" i="11"/>
  <c r="G955" i="11"/>
  <c r="F955" i="11"/>
  <c r="D955" i="11"/>
  <c r="C955" i="11"/>
  <c r="G954" i="11"/>
  <c r="F954" i="11"/>
  <c r="D954" i="11"/>
  <c r="C954" i="11"/>
  <c r="G953" i="11"/>
  <c r="F953" i="11"/>
  <c r="D953" i="11"/>
  <c r="C953" i="11"/>
  <c r="G952" i="11"/>
  <c r="F952" i="11"/>
  <c r="D952" i="11"/>
  <c r="C952" i="11"/>
  <c r="G951" i="11"/>
  <c r="F951" i="11"/>
  <c r="D951" i="11"/>
  <c r="C951" i="11"/>
  <c r="G950" i="11"/>
  <c r="F950" i="11"/>
  <c r="D950" i="11"/>
  <c r="C950" i="11"/>
  <c r="G949" i="11"/>
  <c r="F949" i="11"/>
  <c r="D949" i="11"/>
  <c r="C949" i="11"/>
  <c r="G948" i="11"/>
  <c r="F948" i="11"/>
  <c r="D948" i="11"/>
  <c r="C948" i="11"/>
  <c r="G947" i="11"/>
  <c r="F947" i="11"/>
  <c r="D947" i="11"/>
  <c r="C947" i="11"/>
  <c r="G946" i="11"/>
  <c r="F946" i="11"/>
  <c r="D946" i="11"/>
  <c r="C946" i="11"/>
  <c r="G945" i="11"/>
  <c r="F945" i="11"/>
  <c r="D945" i="11"/>
  <c r="C945" i="11"/>
  <c r="G944" i="11"/>
  <c r="F944" i="11"/>
  <c r="D944" i="11"/>
  <c r="C944" i="11"/>
  <c r="G943" i="11"/>
  <c r="F943" i="11"/>
  <c r="D943" i="11"/>
  <c r="C943" i="11"/>
  <c r="G942" i="11"/>
  <c r="F942" i="11"/>
  <c r="D942" i="11"/>
  <c r="C942" i="11"/>
  <c r="G941" i="11"/>
  <c r="F941" i="11"/>
  <c r="D941" i="11"/>
  <c r="C941" i="11"/>
  <c r="G940" i="11"/>
  <c r="F940" i="11"/>
  <c r="D940" i="11"/>
  <c r="C940" i="11"/>
  <c r="G939" i="11"/>
  <c r="F939" i="11"/>
  <c r="D939" i="11"/>
  <c r="C939" i="11"/>
  <c r="G938" i="11"/>
  <c r="F938" i="11"/>
  <c r="D938" i="11"/>
  <c r="C938" i="11"/>
  <c r="G937" i="11"/>
  <c r="F937" i="11"/>
  <c r="D937" i="11"/>
  <c r="C937" i="11"/>
  <c r="G936" i="11"/>
  <c r="F936" i="11"/>
  <c r="D936" i="11"/>
  <c r="C936" i="11"/>
  <c r="G935" i="11"/>
  <c r="F935" i="11"/>
  <c r="D935" i="11"/>
  <c r="C935" i="11"/>
  <c r="G934" i="11"/>
  <c r="F934" i="11"/>
  <c r="D934" i="11"/>
  <c r="C934" i="11"/>
  <c r="G933" i="11"/>
  <c r="F933" i="11"/>
  <c r="D933" i="11"/>
  <c r="C933" i="11"/>
  <c r="G932" i="11"/>
  <c r="F932" i="11"/>
  <c r="D932" i="11"/>
  <c r="C932" i="11"/>
  <c r="G931" i="11"/>
  <c r="F931" i="11"/>
  <c r="D931" i="11"/>
  <c r="C931" i="11"/>
  <c r="G930" i="11"/>
  <c r="F930" i="11"/>
  <c r="D930" i="11"/>
  <c r="C930" i="11"/>
  <c r="G929" i="11"/>
  <c r="F929" i="11"/>
  <c r="D929" i="11"/>
  <c r="C929" i="11"/>
  <c r="G928" i="11"/>
  <c r="F928" i="11"/>
  <c r="D928" i="11"/>
  <c r="C928" i="11"/>
  <c r="G927" i="11"/>
  <c r="F927" i="11"/>
  <c r="D927" i="11"/>
  <c r="C927" i="11"/>
  <c r="G926" i="11"/>
  <c r="F926" i="11"/>
  <c r="D926" i="11"/>
  <c r="C926" i="11"/>
  <c r="G925" i="11"/>
  <c r="F925" i="11"/>
  <c r="D925" i="11"/>
  <c r="C925" i="11"/>
  <c r="G924" i="11"/>
  <c r="F924" i="11"/>
  <c r="D924" i="11"/>
  <c r="C924" i="11"/>
  <c r="G923" i="11"/>
  <c r="F923" i="11"/>
  <c r="D923" i="11"/>
  <c r="C923" i="11"/>
  <c r="G922" i="11"/>
  <c r="F922" i="11"/>
  <c r="D922" i="11"/>
  <c r="C922" i="11"/>
  <c r="G921" i="11"/>
  <c r="F921" i="11"/>
  <c r="D921" i="11"/>
  <c r="C921" i="11"/>
  <c r="G920" i="11"/>
  <c r="F920" i="11"/>
  <c r="D920" i="11"/>
  <c r="C920" i="11"/>
  <c r="G919" i="11"/>
  <c r="F919" i="11"/>
  <c r="D919" i="11"/>
  <c r="C919" i="11"/>
  <c r="G918" i="11"/>
  <c r="F918" i="11"/>
  <c r="D918" i="11"/>
  <c r="C918" i="11"/>
  <c r="G917" i="11"/>
  <c r="F917" i="11"/>
  <c r="D917" i="11"/>
  <c r="C917" i="11"/>
  <c r="G916" i="11"/>
  <c r="F916" i="11"/>
  <c r="D916" i="11"/>
  <c r="C916" i="11"/>
  <c r="G915" i="11"/>
  <c r="F915" i="11"/>
  <c r="D915" i="11"/>
  <c r="C915" i="11"/>
  <c r="G914" i="11"/>
  <c r="F914" i="11"/>
  <c r="D914" i="11"/>
  <c r="C914" i="11"/>
  <c r="G913" i="11"/>
  <c r="F913" i="11"/>
  <c r="D913" i="11"/>
  <c r="C913" i="11"/>
  <c r="G912" i="11"/>
  <c r="F912" i="11"/>
  <c r="D912" i="11"/>
  <c r="C912" i="11"/>
  <c r="G911" i="11"/>
  <c r="F911" i="11"/>
  <c r="D911" i="11"/>
  <c r="C911" i="11"/>
  <c r="G910" i="11"/>
  <c r="F910" i="11"/>
  <c r="D910" i="11"/>
  <c r="C910" i="11"/>
  <c r="G909" i="11"/>
  <c r="F909" i="11"/>
  <c r="D909" i="11"/>
  <c r="C909" i="11"/>
  <c r="G908" i="11"/>
  <c r="F908" i="11"/>
  <c r="D908" i="11"/>
  <c r="C908" i="11"/>
  <c r="G907" i="11"/>
  <c r="F907" i="11"/>
  <c r="D907" i="11"/>
  <c r="C907" i="11"/>
  <c r="G906" i="11"/>
  <c r="F906" i="11"/>
  <c r="D906" i="11"/>
  <c r="C906" i="11"/>
  <c r="G905" i="11"/>
  <c r="F905" i="11"/>
  <c r="D905" i="11"/>
  <c r="C905" i="11"/>
  <c r="G904" i="11"/>
  <c r="F904" i="11"/>
  <c r="D904" i="11"/>
  <c r="C904" i="11"/>
  <c r="G903" i="11"/>
  <c r="F903" i="11"/>
  <c r="D903" i="11"/>
  <c r="C903" i="11"/>
  <c r="G902" i="11"/>
  <c r="F902" i="11"/>
  <c r="D902" i="11"/>
  <c r="C902" i="11"/>
  <c r="G901" i="11"/>
  <c r="F901" i="11"/>
  <c r="D901" i="11"/>
  <c r="C901" i="11"/>
  <c r="G900" i="11"/>
  <c r="F900" i="11"/>
  <c r="D900" i="11"/>
  <c r="C900" i="11"/>
  <c r="G899" i="11"/>
  <c r="F899" i="11"/>
  <c r="D899" i="11"/>
  <c r="C899" i="11"/>
  <c r="G898" i="11"/>
  <c r="F898" i="11"/>
  <c r="D898" i="11"/>
  <c r="C898" i="11"/>
  <c r="G897" i="11"/>
  <c r="F897" i="11"/>
  <c r="D897" i="11"/>
  <c r="C897" i="11"/>
  <c r="G896" i="11"/>
  <c r="F896" i="11"/>
  <c r="D896" i="11"/>
  <c r="C896" i="11"/>
  <c r="G895" i="11"/>
  <c r="F895" i="11"/>
  <c r="D895" i="11"/>
  <c r="C895" i="11"/>
  <c r="G894" i="11"/>
  <c r="F894" i="11"/>
  <c r="D894" i="11"/>
  <c r="C894" i="11"/>
  <c r="G893" i="11"/>
  <c r="F893" i="11"/>
  <c r="D893" i="11"/>
  <c r="C893" i="11"/>
  <c r="G892" i="11"/>
  <c r="F892" i="11"/>
  <c r="D892" i="11"/>
  <c r="C892" i="11"/>
  <c r="G891" i="11"/>
  <c r="F891" i="11"/>
  <c r="D891" i="11"/>
  <c r="C891" i="11"/>
  <c r="G890" i="11"/>
  <c r="F890" i="11"/>
  <c r="D890" i="11"/>
  <c r="C890" i="11"/>
  <c r="G889" i="11"/>
  <c r="F889" i="11"/>
  <c r="D889" i="11"/>
  <c r="C889" i="11"/>
  <c r="G888" i="11"/>
  <c r="F888" i="11"/>
  <c r="D888" i="11"/>
  <c r="C888" i="11"/>
  <c r="G887" i="11"/>
  <c r="F887" i="11"/>
  <c r="D887" i="11"/>
  <c r="C887" i="11"/>
  <c r="G886" i="11"/>
  <c r="F886" i="11"/>
  <c r="D886" i="11"/>
  <c r="C886" i="11"/>
  <c r="G885" i="11"/>
  <c r="F885" i="11"/>
  <c r="D885" i="11"/>
  <c r="C885" i="11"/>
  <c r="G884" i="11"/>
  <c r="F884" i="11"/>
  <c r="D884" i="11"/>
  <c r="C884" i="11"/>
  <c r="G883" i="11"/>
  <c r="F883" i="11"/>
  <c r="D883" i="11"/>
  <c r="C883" i="11"/>
  <c r="G882" i="11"/>
  <c r="F882" i="11"/>
  <c r="D882" i="11"/>
  <c r="C882" i="11"/>
  <c r="G881" i="11"/>
  <c r="F881" i="11"/>
  <c r="D881" i="11"/>
  <c r="C881" i="11"/>
  <c r="G880" i="11"/>
  <c r="F880" i="11"/>
  <c r="D880" i="11"/>
  <c r="C880" i="11"/>
  <c r="G879" i="11"/>
  <c r="F879" i="11"/>
  <c r="D879" i="11"/>
  <c r="C879" i="11"/>
  <c r="G878" i="11"/>
  <c r="F878" i="11"/>
  <c r="D878" i="11"/>
  <c r="C878" i="11"/>
  <c r="G877" i="11"/>
  <c r="F877" i="11"/>
  <c r="D877" i="11"/>
  <c r="C877" i="11"/>
  <c r="G876" i="11"/>
  <c r="F876" i="11"/>
  <c r="D876" i="11"/>
  <c r="C876" i="11"/>
  <c r="G875" i="11"/>
  <c r="F875" i="11"/>
  <c r="D875" i="11"/>
  <c r="C875" i="11"/>
  <c r="G874" i="11"/>
  <c r="F874" i="11"/>
  <c r="D874" i="11"/>
  <c r="C874" i="11"/>
  <c r="G873" i="11"/>
  <c r="F873" i="11"/>
  <c r="D873" i="11"/>
  <c r="C873" i="11"/>
  <c r="G872" i="11"/>
  <c r="F872" i="11"/>
  <c r="D872" i="11"/>
  <c r="C872" i="11"/>
  <c r="G871" i="11"/>
  <c r="F871" i="11"/>
  <c r="D871" i="11"/>
  <c r="C871" i="11"/>
  <c r="G870" i="11"/>
  <c r="F870" i="11"/>
  <c r="D870" i="11"/>
  <c r="C870" i="11"/>
  <c r="G869" i="11"/>
  <c r="F869" i="11"/>
  <c r="D869" i="11"/>
  <c r="C869" i="11"/>
  <c r="G868" i="11"/>
  <c r="F868" i="11"/>
  <c r="D868" i="11"/>
  <c r="C868" i="11"/>
  <c r="G867" i="11"/>
  <c r="F867" i="11"/>
  <c r="D867" i="11"/>
  <c r="C867" i="11"/>
  <c r="G866" i="11"/>
  <c r="F866" i="11"/>
  <c r="D866" i="11"/>
  <c r="C866" i="11"/>
  <c r="G865" i="11"/>
  <c r="F865" i="11"/>
  <c r="D865" i="11"/>
  <c r="C865" i="11"/>
  <c r="G864" i="11"/>
  <c r="F864" i="11"/>
  <c r="D864" i="11"/>
  <c r="C864" i="11"/>
  <c r="G863" i="11"/>
  <c r="F863" i="11"/>
  <c r="D863" i="11"/>
  <c r="C863" i="11"/>
  <c r="G862" i="11"/>
  <c r="F862" i="11"/>
  <c r="D862" i="11"/>
  <c r="C862" i="11"/>
  <c r="G861" i="11"/>
  <c r="F861" i="11"/>
  <c r="D861" i="11"/>
  <c r="C861" i="11"/>
  <c r="G860" i="11"/>
  <c r="F860" i="11"/>
  <c r="D860" i="11"/>
  <c r="C860" i="11"/>
  <c r="G859" i="11"/>
  <c r="F859" i="11"/>
  <c r="D859" i="11"/>
  <c r="C859" i="11"/>
  <c r="G858" i="11"/>
  <c r="F858" i="11"/>
  <c r="D858" i="11"/>
  <c r="C858" i="11"/>
  <c r="G857" i="11"/>
  <c r="F857" i="11"/>
  <c r="D857" i="11"/>
  <c r="C857" i="11"/>
  <c r="G856" i="11"/>
  <c r="F856" i="11"/>
  <c r="D856" i="11"/>
  <c r="C856" i="11"/>
  <c r="G855" i="11"/>
  <c r="F855" i="11"/>
  <c r="D855" i="11"/>
  <c r="C855" i="11"/>
  <c r="G854" i="11"/>
  <c r="F854" i="11"/>
  <c r="D854" i="11"/>
  <c r="C854" i="11"/>
  <c r="G853" i="11"/>
  <c r="F853" i="11"/>
  <c r="D853" i="11"/>
  <c r="C853" i="11"/>
  <c r="G852" i="11"/>
  <c r="F852" i="11"/>
  <c r="D852" i="11"/>
  <c r="C852" i="11"/>
  <c r="G851" i="11"/>
  <c r="F851" i="11"/>
  <c r="D851" i="11"/>
  <c r="C851" i="11"/>
  <c r="G850" i="11"/>
  <c r="F850" i="11"/>
  <c r="D850" i="11"/>
  <c r="C850" i="11"/>
  <c r="G849" i="11"/>
  <c r="F849" i="11"/>
  <c r="D849" i="11"/>
  <c r="C849" i="11"/>
  <c r="G848" i="11"/>
  <c r="F848" i="11"/>
  <c r="D848" i="11"/>
  <c r="C848" i="11"/>
  <c r="G847" i="11"/>
  <c r="F847" i="11"/>
  <c r="D847" i="11"/>
  <c r="C847" i="11"/>
  <c r="G846" i="11"/>
  <c r="F846" i="11"/>
  <c r="D846" i="11"/>
  <c r="C846" i="11"/>
  <c r="G845" i="11"/>
  <c r="F845" i="11"/>
  <c r="D845" i="11"/>
  <c r="C845" i="11"/>
  <c r="G844" i="11"/>
  <c r="F844" i="11"/>
  <c r="D844" i="11"/>
  <c r="C844" i="11"/>
  <c r="G843" i="11"/>
  <c r="F843" i="11"/>
  <c r="D843" i="11"/>
  <c r="C843" i="11"/>
  <c r="G842" i="11"/>
  <c r="F842" i="11"/>
  <c r="D842" i="11"/>
  <c r="C842" i="11"/>
  <c r="G841" i="11"/>
  <c r="F841" i="11"/>
  <c r="D841" i="11"/>
  <c r="C841" i="11"/>
  <c r="G840" i="11"/>
  <c r="F840" i="11"/>
  <c r="D840" i="11"/>
  <c r="C840" i="11"/>
  <c r="G839" i="11"/>
  <c r="F839" i="11"/>
  <c r="D839" i="11"/>
  <c r="C839" i="11"/>
  <c r="G838" i="11"/>
  <c r="F838" i="11"/>
  <c r="D838" i="11"/>
  <c r="C838" i="11"/>
  <c r="G837" i="11"/>
  <c r="F837" i="11"/>
  <c r="D837" i="11"/>
  <c r="C837" i="11"/>
  <c r="G836" i="11"/>
  <c r="F836" i="11"/>
  <c r="D836" i="11"/>
  <c r="C836" i="11"/>
  <c r="G835" i="11"/>
  <c r="F835" i="11"/>
  <c r="D835" i="11"/>
  <c r="C835" i="11"/>
  <c r="G834" i="11"/>
  <c r="F834" i="11"/>
  <c r="D834" i="11"/>
  <c r="C834" i="11"/>
  <c r="G833" i="11"/>
  <c r="F833" i="11"/>
  <c r="D833" i="11"/>
  <c r="C833" i="11"/>
  <c r="G832" i="11"/>
  <c r="F832" i="11"/>
  <c r="D832" i="11"/>
  <c r="C832" i="11"/>
  <c r="G831" i="11"/>
  <c r="F831" i="11"/>
  <c r="D831" i="11"/>
  <c r="C831" i="11"/>
  <c r="G830" i="11"/>
  <c r="F830" i="11"/>
  <c r="D830" i="11"/>
  <c r="C830" i="11"/>
  <c r="G829" i="11"/>
  <c r="F829" i="11"/>
  <c r="D829" i="11"/>
  <c r="C829" i="11"/>
  <c r="G828" i="11"/>
  <c r="F828" i="11"/>
  <c r="D828" i="11"/>
  <c r="C828" i="11"/>
  <c r="G827" i="11"/>
  <c r="F827" i="11"/>
  <c r="D827" i="11"/>
  <c r="C827" i="11"/>
  <c r="G826" i="11"/>
  <c r="F826" i="11"/>
  <c r="D826" i="11"/>
  <c r="C826" i="11"/>
  <c r="G825" i="11"/>
  <c r="F825" i="11"/>
  <c r="D825" i="11"/>
  <c r="C825" i="11"/>
  <c r="G824" i="11"/>
  <c r="F824" i="11"/>
  <c r="D824" i="11"/>
  <c r="C824" i="11"/>
  <c r="G823" i="11"/>
  <c r="F823" i="11"/>
  <c r="D823" i="11"/>
  <c r="C823" i="11"/>
  <c r="G822" i="11"/>
  <c r="F822" i="11"/>
  <c r="D822" i="11"/>
  <c r="C822" i="11"/>
  <c r="G821" i="11"/>
  <c r="F821" i="11"/>
  <c r="D821" i="11"/>
  <c r="C821" i="11"/>
  <c r="G820" i="11"/>
  <c r="F820" i="11"/>
  <c r="D820" i="11"/>
  <c r="C820" i="11"/>
  <c r="G819" i="11"/>
  <c r="F819" i="11"/>
  <c r="D819" i="11"/>
  <c r="C819" i="11"/>
  <c r="G818" i="11"/>
  <c r="F818" i="11"/>
  <c r="D818" i="11"/>
  <c r="C818" i="11"/>
  <c r="G817" i="11"/>
  <c r="F817" i="11"/>
  <c r="D817" i="11"/>
  <c r="C817" i="11"/>
  <c r="G816" i="11"/>
  <c r="F816" i="11"/>
  <c r="D816" i="11"/>
  <c r="C816" i="11"/>
  <c r="G815" i="11"/>
  <c r="F815" i="11"/>
  <c r="D815" i="11"/>
  <c r="C815" i="11"/>
  <c r="G814" i="11"/>
  <c r="F814" i="11"/>
  <c r="D814" i="11"/>
  <c r="C814" i="11"/>
  <c r="G813" i="11"/>
  <c r="F813" i="11"/>
  <c r="D813" i="11"/>
  <c r="C813" i="11"/>
  <c r="G812" i="11"/>
  <c r="F812" i="11"/>
  <c r="D812" i="11"/>
  <c r="C812" i="11"/>
  <c r="G811" i="11"/>
  <c r="F811" i="11"/>
  <c r="D811" i="11"/>
  <c r="C811" i="11"/>
  <c r="G810" i="11"/>
  <c r="F810" i="11"/>
  <c r="D810" i="11"/>
  <c r="C810" i="11"/>
  <c r="G809" i="11"/>
  <c r="F809" i="11"/>
  <c r="D809" i="11"/>
  <c r="C809" i="11"/>
  <c r="G808" i="11"/>
  <c r="F808" i="11"/>
  <c r="D808" i="11"/>
  <c r="C808" i="11"/>
  <c r="G807" i="11"/>
  <c r="F807" i="11"/>
  <c r="D807" i="11"/>
  <c r="C807" i="11"/>
  <c r="G806" i="11"/>
  <c r="F806" i="11"/>
  <c r="D806" i="11"/>
  <c r="C806" i="11"/>
  <c r="G805" i="11"/>
  <c r="F805" i="11"/>
  <c r="D805" i="11"/>
  <c r="C805" i="11"/>
  <c r="G804" i="11"/>
  <c r="F804" i="11"/>
  <c r="D804" i="11"/>
  <c r="C804" i="11"/>
  <c r="G803" i="11"/>
  <c r="F803" i="11"/>
  <c r="D803" i="11"/>
  <c r="C803" i="11"/>
  <c r="G802" i="11"/>
  <c r="F802" i="11"/>
  <c r="D802" i="11"/>
  <c r="C802" i="11"/>
  <c r="G801" i="11"/>
  <c r="F801" i="11"/>
  <c r="D801" i="11"/>
  <c r="C801" i="11"/>
  <c r="G800" i="11"/>
  <c r="F800" i="11"/>
  <c r="D800" i="11"/>
  <c r="C800" i="11"/>
  <c r="G799" i="11"/>
  <c r="F799" i="11"/>
  <c r="D799" i="11"/>
  <c r="C799" i="11"/>
  <c r="G798" i="11"/>
  <c r="F798" i="11"/>
  <c r="D798" i="11"/>
  <c r="C798" i="11"/>
  <c r="G797" i="11"/>
  <c r="F797" i="11"/>
  <c r="D797" i="11"/>
  <c r="C797" i="11"/>
  <c r="G796" i="11"/>
  <c r="F796" i="11"/>
  <c r="D796" i="11"/>
  <c r="C796" i="11"/>
  <c r="G795" i="11"/>
  <c r="F795" i="11"/>
  <c r="D795" i="11"/>
  <c r="C795" i="11"/>
  <c r="G794" i="11"/>
  <c r="F794" i="11"/>
  <c r="D794" i="11"/>
  <c r="C794" i="11"/>
  <c r="G793" i="11"/>
  <c r="F793" i="11"/>
  <c r="D793" i="11"/>
  <c r="C793" i="11"/>
  <c r="G792" i="11"/>
  <c r="F792" i="11"/>
  <c r="D792" i="11"/>
  <c r="C792" i="11"/>
  <c r="G791" i="11"/>
  <c r="F791" i="11"/>
  <c r="D791" i="11"/>
  <c r="C791" i="11"/>
  <c r="G790" i="11"/>
  <c r="F790" i="11"/>
  <c r="D790" i="11"/>
  <c r="C790" i="11"/>
  <c r="G789" i="11"/>
  <c r="F789" i="11"/>
  <c r="D789" i="11"/>
  <c r="C789" i="11"/>
  <c r="G788" i="11"/>
  <c r="F788" i="11"/>
  <c r="D788" i="11"/>
  <c r="C788" i="11"/>
  <c r="G787" i="11"/>
  <c r="F787" i="11"/>
  <c r="D787" i="11"/>
  <c r="C787" i="11"/>
  <c r="G786" i="11"/>
  <c r="F786" i="11"/>
  <c r="D786" i="11"/>
  <c r="C786" i="11"/>
  <c r="G785" i="11"/>
  <c r="F785" i="11"/>
  <c r="D785" i="11"/>
  <c r="C785" i="11"/>
  <c r="G784" i="11"/>
  <c r="F784" i="11"/>
  <c r="D784" i="11"/>
  <c r="C784" i="11"/>
  <c r="G783" i="11"/>
  <c r="F783" i="11"/>
  <c r="D783" i="11"/>
  <c r="C783" i="11"/>
  <c r="G782" i="11"/>
  <c r="F782" i="11"/>
  <c r="D782" i="11"/>
  <c r="C782" i="11"/>
  <c r="G781" i="11"/>
  <c r="F781" i="11"/>
  <c r="D781" i="11"/>
  <c r="C781" i="11"/>
  <c r="G780" i="11"/>
  <c r="F780" i="11"/>
  <c r="D780" i="11"/>
  <c r="C780" i="11"/>
  <c r="G779" i="11"/>
  <c r="F779" i="11"/>
  <c r="D779" i="11"/>
  <c r="C779" i="11"/>
  <c r="G778" i="11"/>
  <c r="F778" i="11"/>
  <c r="D778" i="11"/>
  <c r="C778" i="11"/>
  <c r="G777" i="11"/>
  <c r="F777" i="11"/>
  <c r="D777" i="11"/>
  <c r="C777" i="11"/>
  <c r="G776" i="11"/>
  <c r="F776" i="11"/>
  <c r="D776" i="11"/>
  <c r="C776" i="11"/>
  <c r="G775" i="11"/>
  <c r="F775" i="11"/>
  <c r="D775" i="11"/>
  <c r="C775" i="11"/>
  <c r="G774" i="11"/>
  <c r="F774" i="11"/>
  <c r="D774" i="11"/>
  <c r="C774" i="11"/>
  <c r="G773" i="11"/>
  <c r="F773" i="11"/>
  <c r="D773" i="11"/>
  <c r="C773" i="11"/>
  <c r="G772" i="11"/>
  <c r="F772" i="11"/>
  <c r="D772" i="11"/>
  <c r="C772" i="11"/>
  <c r="G771" i="11"/>
  <c r="F771" i="11"/>
  <c r="D771" i="11"/>
  <c r="C771" i="11"/>
  <c r="G770" i="11"/>
  <c r="F770" i="11"/>
  <c r="D770" i="11"/>
  <c r="C770" i="11"/>
  <c r="G769" i="11"/>
  <c r="F769" i="11"/>
  <c r="D769" i="11"/>
  <c r="C769" i="11"/>
  <c r="G768" i="11"/>
  <c r="F768" i="11"/>
  <c r="D768" i="11"/>
  <c r="C768" i="11"/>
  <c r="G767" i="11"/>
  <c r="F767" i="11"/>
  <c r="D767" i="11"/>
  <c r="C767" i="11"/>
  <c r="G766" i="11"/>
  <c r="F766" i="11"/>
  <c r="D766" i="11"/>
  <c r="C766" i="11"/>
  <c r="G765" i="11"/>
  <c r="F765" i="11"/>
  <c r="D765" i="11"/>
  <c r="C765" i="11"/>
  <c r="G764" i="11"/>
  <c r="F764" i="11"/>
  <c r="D764" i="11"/>
  <c r="C764" i="11"/>
  <c r="G763" i="11"/>
  <c r="F763" i="11"/>
  <c r="D763" i="11"/>
  <c r="C763" i="11"/>
  <c r="G762" i="11"/>
  <c r="F762" i="11"/>
  <c r="D762" i="11"/>
  <c r="C762" i="11"/>
  <c r="G761" i="11"/>
  <c r="F761" i="11"/>
  <c r="D761" i="11"/>
  <c r="C761" i="11"/>
  <c r="G760" i="11"/>
  <c r="F760" i="11"/>
  <c r="D760" i="11"/>
  <c r="C760" i="11"/>
  <c r="G759" i="11"/>
  <c r="F759" i="11"/>
  <c r="D759" i="11"/>
  <c r="C759" i="11"/>
  <c r="G758" i="11"/>
  <c r="F758" i="11"/>
  <c r="D758" i="11"/>
  <c r="C758" i="11"/>
  <c r="G757" i="11"/>
  <c r="F757" i="11"/>
  <c r="D757" i="11"/>
  <c r="C757" i="11"/>
  <c r="G756" i="11"/>
  <c r="F756" i="11"/>
  <c r="D756" i="11"/>
  <c r="C756" i="11"/>
  <c r="G755" i="11"/>
  <c r="F755" i="11"/>
  <c r="D755" i="11"/>
  <c r="C755" i="11"/>
  <c r="G754" i="11"/>
  <c r="F754" i="11"/>
  <c r="D754" i="11"/>
  <c r="C754" i="11"/>
  <c r="G753" i="11"/>
  <c r="F753" i="11"/>
  <c r="D753" i="11"/>
  <c r="C753" i="11"/>
  <c r="G752" i="11"/>
  <c r="F752" i="11"/>
  <c r="D752" i="11"/>
  <c r="C752" i="11"/>
  <c r="G751" i="11"/>
  <c r="F751" i="11"/>
  <c r="D751" i="11"/>
  <c r="C751" i="11"/>
  <c r="G750" i="11"/>
  <c r="F750" i="11"/>
  <c r="D750" i="11"/>
  <c r="C750" i="11"/>
  <c r="G749" i="11"/>
  <c r="F749" i="11"/>
  <c r="D749" i="11"/>
  <c r="C749" i="11"/>
  <c r="G748" i="11"/>
  <c r="F748" i="11"/>
  <c r="D748" i="11"/>
  <c r="C748" i="11"/>
  <c r="G747" i="11"/>
  <c r="F747" i="11"/>
  <c r="D747" i="11"/>
  <c r="C747" i="11"/>
  <c r="G746" i="11"/>
  <c r="F746" i="11"/>
  <c r="D746" i="11"/>
  <c r="C746" i="11"/>
  <c r="G745" i="11"/>
  <c r="F745" i="11"/>
  <c r="D745" i="11"/>
  <c r="C745" i="11"/>
  <c r="G744" i="11"/>
  <c r="F744" i="11"/>
  <c r="D744" i="11"/>
  <c r="C744" i="11"/>
  <c r="G743" i="11"/>
  <c r="F743" i="11"/>
  <c r="D743" i="11"/>
  <c r="C743" i="11"/>
  <c r="G742" i="11"/>
  <c r="F742" i="11"/>
  <c r="D742" i="11"/>
  <c r="C742" i="11"/>
  <c r="G741" i="11"/>
  <c r="F741" i="11"/>
  <c r="D741" i="11"/>
  <c r="C741" i="11"/>
  <c r="G740" i="11"/>
  <c r="F740" i="11"/>
  <c r="D740" i="11"/>
  <c r="C740" i="11"/>
  <c r="G739" i="11"/>
  <c r="F739" i="11"/>
  <c r="D739" i="11"/>
  <c r="C739" i="11"/>
  <c r="G738" i="11"/>
  <c r="F738" i="11"/>
  <c r="D738" i="11"/>
  <c r="C738" i="11"/>
  <c r="G737" i="11"/>
  <c r="F737" i="11"/>
  <c r="D737" i="11"/>
  <c r="C737" i="11"/>
  <c r="G736" i="11"/>
  <c r="F736" i="11"/>
  <c r="D736" i="11"/>
  <c r="C736" i="11"/>
  <c r="G735" i="11"/>
  <c r="F735" i="11"/>
  <c r="D735" i="11"/>
  <c r="C735" i="11"/>
  <c r="G734" i="11"/>
  <c r="F734" i="11"/>
  <c r="D734" i="11"/>
  <c r="C734" i="11"/>
  <c r="G733" i="11"/>
  <c r="F733" i="11"/>
  <c r="D733" i="11"/>
  <c r="C733" i="11"/>
  <c r="G732" i="11"/>
  <c r="F732" i="11"/>
  <c r="D732" i="11"/>
  <c r="C732" i="11"/>
  <c r="G731" i="11"/>
  <c r="F731" i="11"/>
  <c r="D731" i="11"/>
  <c r="C731" i="11"/>
  <c r="G730" i="11"/>
  <c r="F730" i="11"/>
  <c r="D730" i="11"/>
  <c r="C730" i="11"/>
  <c r="G729" i="11"/>
  <c r="F729" i="11"/>
  <c r="D729" i="11"/>
  <c r="C729" i="11"/>
  <c r="G728" i="11"/>
  <c r="F728" i="11"/>
  <c r="D728" i="11"/>
  <c r="C728" i="11"/>
  <c r="G727" i="11"/>
  <c r="F727" i="11"/>
  <c r="D727" i="11"/>
  <c r="C727" i="11"/>
  <c r="G726" i="11"/>
  <c r="F726" i="11"/>
  <c r="D726" i="11"/>
  <c r="C726" i="11"/>
  <c r="G725" i="11"/>
  <c r="F725" i="11"/>
  <c r="D725" i="11"/>
  <c r="C725" i="11"/>
  <c r="G724" i="11"/>
  <c r="F724" i="11"/>
  <c r="D724" i="11"/>
  <c r="C724" i="11"/>
  <c r="G723" i="11"/>
  <c r="F723" i="11"/>
  <c r="D723" i="11"/>
  <c r="C723" i="11"/>
  <c r="G722" i="11"/>
  <c r="F722" i="11"/>
  <c r="D722" i="11"/>
  <c r="C722" i="11"/>
  <c r="G721" i="11"/>
  <c r="F721" i="11"/>
  <c r="D721" i="11"/>
  <c r="C721" i="11"/>
  <c r="G720" i="11"/>
  <c r="F720" i="11"/>
  <c r="D720" i="11"/>
  <c r="C720" i="11"/>
  <c r="G719" i="11"/>
  <c r="F719" i="11"/>
  <c r="D719" i="11"/>
  <c r="C719" i="11"/>
  <c r="G718" i="11"/>
  <c r="F718" i="11"/>
  <c r="D718" i="11"/>
  <c r="C718" i="11"/>
  <c r="G717" i="11"/>
  <c r="F717" i="11"/>
  <c r="D717" i="11"/>
  <c r="C717" i="11"/>
  <c r="G716" i="11"/>
  <c r="F716" i="11"/>
  <c r="D716" i="11"/>
  <c r="C716" i="11"/>
  <c r="G715" i="11"/>
  <c r="F715" i="11"/>
  <c r="D715" i="11"/>
  <c r="C715" i="11"/>
  <c r="G714" i="11"/>
  <c r="F714" i="11"/>
  <c r="D714" i="11"/>
  <c r="C714" i="11"/>
  <c r="G713" i="11"/>
  <c r="F713" i="11"/>
  <c r="D713" i="11"/>
  <c r="C713" i="11"/>
  <c r="G712" i="11"/>
  <c r="F712" i="11"/>
  <c r="D712" i="11"/>
  <c r="C712" i="11"/>
  <c r="G711" i="11"/>
  <c r="F711" i="11"/>
  <c r="D711" i="11"/>
  <c r="C711" i="11"/>
  <c r="G710" i="11"/>
  <c r="F710" i="11"/>
  <c r="D710" i="11"/>
  <c r="C710" i="11"/>
  <c r="G709" i="11"/>
  <c r="F709" i="11"/>
  <c r="D709" i="11"/>
  <c r="C709" i="11"/>
  <c r="G708" i="11"/>
  <c r="F708" i="11"/>
  <c r="D708" i="11"/>
  <c r="C708" i="11"/>
  <c r="G707" i="11"/>
  <c r="F707" i="11"/>
  <c r="D707" i="11"/>
  <c r="C707" i="11"/>
  <c r="G706" i="11"/>
  <c r="F706" i="11"/>
  <c r="D706" i="11"/>
  <c r="C706" i="11"/>
  <c r="G705" i="11"/>
  <c r="F705" i="11"/>
  <c r="D705" i="11"/>
  <c r="C705" i="11"/>
  <c r="G704" i="11"/>
  <c r="F704" i="11"/>
  <c r="D704" i="11"/>
  <c r="C704" i="11"/>
  <c r="G703" i="11"/>
  <c r="F703" i="11"/>
  <c r="D703" i="11"/>
  <c r="C703" i="11"/>
  <c r="G702" i="11"/>
  <c r="F702" i="11"/>
  <c r="D702" i="11"/>
  <c r="C702" i="11"/>
  <c r="G701" i="11"/>
  <c r="F701" i="11"/>
  <c r="D701" i="11"/>
  <c r="C701" i="11"/>
  <c r="G700" i="11"/>
  <c r="F700" i="11"/>
  <c r="D700" i="11"/>
  <c r="C700" i="11"/>
  <c r="G699" i="11"/>
  <c r="F699" i="11"/>
  <c r="D699" i="11"/>
  <c r="C699" i="11"/>
  <c r="G698" i="11"/>
  <c r="F698" i="11"/>
  <c r="D698" i="11"/>
  <c r="C698" i="11"/>
  <c r="G697" i="11"/>
  <c r="F697" i="11"/>
  <c r="D697" i="11"/>
  <c r="C697" i="11"/>
  <c r="G696" i="11"/>
  <c r="F696" i="11"/>
  <c r="D696" i="11"/>
  <c r="C696" i="11"/>
  <c r="G695" i="11"/>
  <c r="F695" i="11"/>
  <c r="D695" i="11"/>
  <c r="C695" i="11"/>
  <c r="G694" i="11"/>
  <c r="F694" i="11"/>
  <c r="D694" i="11"/>
  <c r="C694" i="11"/>
  <c r="G693" i="11"/>
  <c r="F693" i="11"/>
  <c r="D693" i="11"/>
  <c r="C693" i="11"/>
  <c r="G692" i="11"/>
  <c r="F692" i="11"/>
  <c r="D692" i="11"/>
  <c r="C692" i="11"/>
  <c r="G691" i="11"/>
  <c r="F691" i="11"/>
  <c r="D691" i="11"/>
  <c r="C691" i="11"/>
  <c r="G690" i="11"/>
  <c r="F690" i="11"/>
  <c r="D690" i="11"/>
  <c r="C690" i="11"/>
  <c r="G689" i="11"/>
  <c r="F689" i="11"/>
  <c r="D689" i="11"/>
  <c r="C689" i="11"/>
  <c r="G688" i="11"/>
  <c r="F688" i="11"/>
  <c r="D688" i="11"/>
  <c r="C688" i="11"/>
  <c r="G687" i="11"/>
  <c r="F687" i="11"/>
  <c r="D687" i="11"/>
  <c r="C687" i="11"/>
  <c r="G686" i="11"/>
  <c r="F686" i="11"/>
  <c r="D686" i="11"/>
  <c r="C686" i="11"/>
  <c r="G685" i="11"/>
  <c r="F685" i="11"/>
  <c r="D685" i="11"/>
  <c r="C685" i="11"/>
  <c r="G684" i="11"/>
  <c r="F684" i="11"/>
  <c r="D684" i="11"/>
  <c r="C684" i="11"/>
  <c r="G683" i="11"/>
  <c r="F683" i="11"/>
  <c r="D683" i="11"/>
  <c r="C683" i="11"/>
  <c r="G682" i="11"/>
  <c r="F682" i="11"/>
  <c r="D682" i="11"/>
  <c r="C682" i="11"/>
  <c r="G681" i="11"/>
  <c r="F681" i="11"/>
  <c r="D681" i="11"/>
  <c r="C681" i="11"/>
  <c r="G680" i="11"/>
  <c r="F680" i="11"/>
  <c r="D680" i="11"/>
  <c r="C680" i="11"/>
  <c r="G679" i="11"/>
  <c r="F679" i="11"/>
  <c r="D679" i="11"/>
  <c r="C679" i="11"/>
  <c r="G678" i="11"/>
  <c r="F678" i="11"/>
  <c r="D678" i="11"/>
  <c r="C678" i="11"/>
  <c r="G677" i="11"/>
  <c r="F677" i="11"/>
  <c r="D677" i="11"/>
  <c r="C677" i="11"/>
  <c r="G676" i="11"/>
  <c r="F676" i="11"/>
  <c r="D676" i="11"/>
  <c r="C676" i="11"/>
  <c r="G675" i="11"/>
  <c r="F675" i="11"/>
  <c r="D675" i="11"/>
  <c r="C675" i="11"/>
  <c r="G674" i="11"/>
  <c r="F674" i="11"/>
  <c r="D674" i="11"/>
  <c r="C674" i="11"/>
  <c r="G673" i="11"/>
  <c r="F673" i="11"/>
  <c r="D673" i="11"/>
  <c r="C673" i="11"/>
  <c r="G672" i="11"/>
  <c r="F672" i="11"/>
  <c r="D672" i="11"/>
  <c r="C672" i="11"/>
  <c r="G671" i="11"/>
  <c r="F671" i="11"/>
  <c r="D671" i="11"/>
  <c r="C671" i="11"/>
  <c r="G670" i="11"/>
  <c r="F670" i="11"/>
  <c r="D670" i="11"/>
  <c r="C670" i="11"/>
  <c r="G669" i="11"/>
  <c r="F669" i="11"/>
  <c r="D669" i="11"/>
  <c r="C669" i="11"/>
  <c r="G668" i="11"/>
  <c r="F668" i="11"/>
  <c r="D668" i="11"/>
  <c r="C668" i="11"/>
  <c r="G667" i="11"/>
  <c r="F667" i="11"/>
  <c r="D667" i="11"/>
  <c r="C667" i="11"/>
  <c r="G666" i="11"/>
  <c r="F666" i="11"/>
  <c r="D666" i="11"/>
  <c r="C666" i="11"/>
  <c r="G665" i="11"/>
  <c r="F665" i="11"/>
  <c r="D665" i="11"/>
  <c r="C665" i="11"/>
  <c r="G664" i="11"/>
  <c r="F664" i="11"/>
  <c r="D664" i="11"/>
  <c r="C664" i="11"/>
  <c r="G663" i="11"/>
  <c r="F663" i="11"/>
  <c r="D663" i="11"/>
  <c r="C663" i="11"/>
  <c r="G662" i="11"/>
  <c r="F662" i="11"/>
  <c r="D662" i="11"/>
  <c r="C662" i="11"/>
  <c r="G661" i="11"/>
  <c r="F661" i="11"/>
  <c r="D661" i="11"/>
  <c r="C661" i="11"/>
  <c r="G660" i="11"/>
  <c r="F660" i="11"/>
  <c r="D660" i="11"/>
  <c r="C660" i="11"/>
  <c r="G659" i="11"/>
  <c r="F659" i="11"/>
  <c r="D659" i="11"/>
  <c r="C659" i="11"/>
  <c r="G658" i="11"/>
  <c r="F658" i="11"/>
  <c r="D658" i="11"/>
  <c r="C658" i="11"/>
  <c r="G657" i="11"/>
  <c r="F657" i="11"/>
  <c r="D657" i="11"/>
  <c r="C657" i="11"/>
  <c r="G656" i="11"/>
  <c r="F656" i="11"/>
  <c r="D656" i="11"/>
  <c r="C656" i="11"/>
  <c r="G655" i="11"/>
  <c r="F655" i="11"/>
  <c r="D655" i="11"/>
  <c r="C655" i="11"/>
  <c r="G654" i="11"/>
  <c r="F654" i="11"/>
  <c r="D654" i="11"/>
  <c r="C654" i="11"/>
  <c r="G653" i="11"/>
  <c r="F653" i="11"/>
  <c r="D653" i="11"/>
  <c r="C653" i="11"/>
  <c r="G652" i="11"/>
  <c r="F652" i="11"/>
  <c r="D652" i="11"/>
  <c r="C652" i="11"/>
  <c r="G651" i="11"/>
  <c r="F651" i="11"/>
  <c r="D651" i="11"/>
  <c r="C651" i="11"/>
  <c r="G650" i="11"/>
  <c r="F650" i="11"/>
  <c r="D650" i="11"/>
  <c r="C650" i="11"/>
  <c r="G649" i="11"/>
  <c r="F649" i="11"/>
  <c r="D649" i="11"/>
  <c r="C649" i="11"/>
  <c r="G648" i="11"/>
  <c r="F648" i="11"/>
  <c r="D648" i="11"/>
  <c r="C648" i="11"/>
  <c r="G647" i="11"/>
  <c r="F647" i="11"/>
  <c r="D647" i="11"/>
  <c r="C647" i="11"/>
  <c r="G646" i="11"/>
  <c r="F646" i="11"/>
  <c r="D646" i="11"/>
  <c r="C646" i="11"/>
  <c r="G645" i="11"/>
  <c r="F645" i="11"/>
  <c r="D645" i="11"/>
  <c r="C645" i="11"/>
  <c r="G644" i="11"/>
  <c r="F644" i="11"/>
  <c r="D644" i="11"/>
  <c r="C644" i="11"/>
  <c r="G643" i="11"/>
  <c r="F643" i="11"/>
  <c r="D643" i="11"/>
  <c r="C643" i="11"/>
  <c r="G642" i="11"/>
  <c r="F642" i="11"/>
  <c r="D642" i="11"/>
  <c r="C642" i="11"/>
  <c r="G641" i="11"/>
  <c r="F641" i="11"/>
  <c r="D641" i="11"/>
  <c r="C641" i="11"/>
  <c r="G640" i="11"/>
  <c r="F640" i="11"/>
  <c r="D640" i="11"/>
  <c r="C640" i="11"/>
  <c r="G639" i="11"/>
  <c r="F639" i="11"/>
  <c r="D639" i="11"/>
  <c r="C639" i="11"/>
  <c r="G638" i="11"/>
  <c r="F638" i="11"/>
  <c r="D638" i="11"/>
  <c r="C638" i="11"/>
  <c r="G637" i="11"/>
  <c r="F637" i="11"/>
  <c r="D637" i="11"/>
  <c r="C637" i="11"/>
  <c r="G636" i="11"/>
  <c r="F636" i="11"/>
  <c r="D636" i="11"/>
  <c r="C636" i="11"/>
  <c r="G635" i="11"/>
  <c r="F635" i="11"/>
  <c r="D635" i="11"/>
  <c r="C635" i="11"/>
  <c r="G634" i="11"/>
  <c r="F634" i="11"/>
  <c r="D634" i="11"/>
  <c r="C634" i="11"/>
  <c r="G633" i="11"/>
  <c r="F633" i="11"/>
  <c r="D633" i="11"/>
  <c r="C633" i="11"/>
  <c r="G632" i="11"/>
  <c r="F632" i="11"/>
  <c r="D632" i="11"/>
  <c r="C632" i="11"/>
  <c r="G631" i="11"/>
  <c r="F631" i="11"/>
  <c r="D631" i="11"/>
  <c r="C631" i="11"/>
  <c r="G630" i="11"/>
  <c r="F630" i="11"/>
  <c r="D630" i="11"/>
  <c r="C630" i="11"/>
  <c r="G629" i="11"/>
  <c r="F629" i="11"/>
  <c r="D629" i="11"/>
  <c r="C629" i="11"/>
  <c r="G628" i="11"/>
  <c r="F628" i="11"/>
  <c r="D628" i="11"/>
  <c r="C628" i="11"/>
  <c r="G627" i="11"/>
  <c r="F627" i="11"/>
  <c r="D627" i="11"/>
  <c r="C627" i="11"/>
  <c r="G626" i="11"/>
  <c r="F626" i="11"/>
  <c r="D626" i="11"/>
  <c r="C626" i="11"/>
  <c r="G625" i="11"/>
  <c r="F625" i="11"/>
  <c r="D625" i="11"/>
  <c r="C625" i="11"/>
  <c r="G624" i="11"/>
  <c r="F624" i="11"/>
  <c r="D624" i="11"/>
  <c r="C624" i="11"/>
  <c r="G623" i="11"/>
  <c r="F623" i="11"/>
  <c r="D623" i="11"/>
  <c r="C623" i="11"/>
  <c r="G622" i="11"/>
  <c r="F622" i="11"/>
  <c r="D622" i="11"/>
  <c r="C622" i="11"/>
  <c r="G621" i="11"/>
  <c r="F621" i="11"/>
  <c r="D621" i="11"/>
  <c r="C621" i="11"/>
  <c r="G620" i="11"/>
  <c r="F620" i="11"/>
  <c r="D620" i="11"/>
  <c r="C620" i="11"/>
  <c r="G619" i="11"/>
  <c r="F619" i="11"/>
  <c r="D619" i="11"/>
  <c r="C619" i="11"/>
  <c r="G618" i="11"/>
  <c r="F618" i="11"/>
  <c r="D618" i="11"/>
  <c r="C618" i="11"/>
  <c r="G617" i="11"/>
  <c r="F617" i="11"/>
  <c r="D617" i="11"/>
  <c r="C617" i="11"/>
  <c r="G616" i="11"/>
  <c r="F616" i="11"/>
  <c r="D616" i="11"/>
  <c r="C616" i="11"/>
  <c r="G615" i="11"/>
  <c r="F615" i="11"/>
  <c r="D615" i="11"/>
  <c r="C615" i="11"/>
  <c r="G614" i="11"/>
  <c r="F614" i="11"/>
  <c r="D614" i="11"/>
  <c r="C614" i="11"/>
  <c r="G613" i="11"/>
  <c r="F613" i="11"/>
  <c r="D613" i="11"/>
  <c r="C613" i="11"/>
  <c r="G612" i="11"/>
  <c r="F612" i="11"/>
  <c r="D612" i="11"/>
  <c r="C612" i="11"/>
  <c r="G611" i="11"/>
  <c r="F611" i="11"/>
  <c r="D611" i="11"/>
  <c r="C611" i="11"/>
  <c r="G610" i="11"/>
  <c r="F610" i="11"/>
  <c r="D610" i="11"/>
  <c r="C610" i="11"/>
  <c r="G609" i="11"/>
  <c r="F609" i="11"/>
  <c r="D609" i="11"/>
  <c r="C609" i="11"/>
  <c r="G608" i="11"/>
  <c r="F608" i="11"/>
  <c r="D608" i="11"/>
  <c r="C608" i="11"/>
  <c r="G607" i="11"/>
  <c r="F607" i="11"/>
  <c r="D607" i="11"/>
  <c r="C607" i="11"/>
  <c r="G606" i="11"/>
  <c r="F606" i="11"/>
  <c r="D606" i="11"/>
  <c r="C606" i="11"/>
  <c r="G605" i="11"/>
  <c r="F605" i="11"/>
  <c r="D605" i="11"/>
  <c r="C605" i="11"/>
  <c r="G604" i="11"/>
  <c r="F604" i="11"/>
  <c r="D604" i="11"/>
  <c r="C604" i="11"/>
  <c r="G603" i="11"/>
  <c r="F603" i="11"/>
  <c r="D603" i="11"/>
  <c r="C603" i="11"/>
  <c r="G602" i="11"/>
  <c r="F602" i="11"/>
  <c r="D602" i="11"/>
  <c r="C602" i="11"/>
  <c r="G601" i="11"/>
  <c r="F601" i="11"/>
  <c r="D601" i="11"/>
  <c r="C601" i="11"/>
  <c r="G600" i="11"/>
  <c r="F600" i="11"/>
  <c r="D600" i="11"/>
  <c r="C600" i="11"/>
  <c r="G599" i="11"/>
  <c r="F599" i="11"/>
  <c r="D599" i="11"/>
  <c r="C599" i="11"/>
  <c r="G598" i="11"/>
  <c r="F598" i="11"/>
  <c r="D598" i="11"/>
  <c r="C598" i="11"/>
  <c r="G597" i="11"/>
  <c r="F597" i="11"/>
  <c r="D597" i="11"/>
  <c r="C597" i="11"/>
  <c r="G596" i="11"/>
  <c r="F596" i="11"/>
  <c r="D596" i="11"/>
  <c r="C596" i="11"/>
  <c r="G595" i="11"/>
  <c r="F595" i="11"/>
  <c r="D595" i="11"/>
  <c r="C595" i="11"/>
  <c r="G594" i="11"/>
  <c r="F594" i="11"/>
  <c r="D594" i="11"/>
  <c r="C594" i="11"/>
  <c r="G593" i="11"/>
  <c r="F593" i="11"/>
  <c r="D593" i="11"/>
  <c r="C593" i="11"/>
  <c r="G592" i="11"/>
  <c r="F592" i="11"/>
  <c r="D592" i="11"/>
  <c r="C592" i="11"/>
  <c r="G591" i="11"/>
  <c r="F591" i="11"/>
  <c r="D591" i="11"/>
  <c r="C591" i="11"/>
  <c r="G590" i="11"/>
  <c r="F590" i="11"/>
  <c r="D590" i="11"/>
  <c r="C590" i="11"/>
  <c r="G589" i="11"/>
  <c r="F589" i="11"/>
  <c r="D589" i="11"/>
  <c r="C589" i="11"/>
  <c r="G588" i="11"/>
  <c r="F588" i="11"/>
  <c r="D588" i="11"/>
  <c r="C588" i="11"/>
  <c r="G587" i="11"/>
  <c r="F587" i="11"/>
  <c r="D587" i="11"/>
  <c r="C587" i="11"/>
  <c r="G586" i="11"/>
  <c r="F586" i="11"/>
  <c r="D586" i="11"/>
  <c r="C586" i="11"/>
  <c r="G585" i="11"/>
  <c r="F585" i="11"/>
  <c r="D585" i="11"/>
  <c r="C585" i="11"/>
  <c r="G584" i="11"/>
  <c r="F584" i="11"/>
  <c r="D584" i="11"/>
  <c r="C584" i="11"/>
  <c r="G583" i="11"/>
  <c r="F583" i="11"/>
  <c r="D583" i="11"/>
  <c r="C583" i="11"/>
  <c r="G582" i="11"/>
  <c r="F582" i="11"/>
  <c r="D582" i="11"/>
  <c r="C582" i="11"/>
  <c r="G581" i="11"/>
  <c r="F581" i="11"/>
  <c r="D581" i="11"/>
  <c r="C581" i="11"/>
  <c r="G580" i="11"/>
  <c r="F580" i="11"/>
  <c r="D580" i="11"/>
  <c r="C580" i="11"/>
  <c r="G579" i="11"/>
  <c r="F579" i="11"/>
  <c r="D579" i="11"/>
  <c r="C579" i="11"/>
  <c r="G578" i="11"/>
  <c r="F578" i="11"/>
  <c r="D578" i="11"/>
  <c r="C578" i="11"/>
  <c r="G577" i="11"/>
  <c r="F577" i="11"/>
  <c r="D577" i="11"/>
  <c r="C577" i="11"/>
  <c r="G576" i="11"/>
  <c r="F576" i="11"/>
  <c r="D576" i="11"/>
  <c r="C576" i="11"/>
  <c r="G575" i="11"/>
  <c r="F575" i="11"/>
  <c r="D575" i="11"/>
  <c r="C575" i="11"/>
  <c r="G574" i="11"/>
  <c r="F574" i="11"/>
  <c r="D574" i="11"/>
  <c r="C574" i="11"/>
  <c r="G573" i="11"/>
  <c r="F573" i="11"/>
  <c r="D573" i="11"/>
  <c r="C573" i="11"/>
  <c r="G572" i="11"/>
  <c r="F572" i="11"/>
  <c r="D572" i="11"/>
  <c r="C572" i="11"/>
  <c r="G571" i="11"/>
  <c r="F571" i="11"/>
  <c r="D571" i="11"/>
  <c r="C571" i="11"/>
  <c r="G570" i="11"/>
  <c r="F570" i="11"/>
  <c r="D570" i="11"/>
  <c r="C570" i="11"/>
  <c r="G569" i="11"/>
  <c r="F569" i="11"/>
  <c r="D569" i="11"/>
  <c r="C569" i="11"/>
  <c r="G568" i="11"/>
  <c r="F568" i="11"/>
  <c r="D568" i="11"/>
  <c r="C568" i="11"/>
  <c r="G567" i="11"/>
  <c r="F567" i="11"/>
  <c r="D567" i="11"/>
  <c r="C567" i="11"/>
  <c r="G566" i="11"/>
  <c r="F566" i="11"/>
  <c r="D566" i="11"/>
  <c r="C566" i="11"/>
  <c r="G565" i="11"/>
  <c r="F565" i="11"/>
  <c r="D565" i="11"/>
  <c r="C565" i="11"/>
  <c r="G564" i="11"/>
  <c r="F564" i="11"/>
  <c r="D564" i="11"/>
  <c r="C564" i="11"/>
  <c r="G563" i="11"/>
  <c r="F563" i="11"/>
  <c r="D563" i="11"/>
  <c r="C563" i="11"/>
  <c r="G562" i="11"/>
  <c r="F562" i="11"/>
  <c r="D562" i="11"/>
  <c r="C562" i="11"/>
  <c r="G561" i="11"/>
  <c r="F561" i="11"/>
  <c r="D561" i="11"/>
  <c r="C561" i="11"/>
  <c r="G560" i="11"/>
  <c r="F560" i="11"/>
  <c r="D560" i="11"/>
  <c r="C560" i="11"/>
  <c r="G559" i="11"/>
  <c r="F559" i="11"/>
  <c r="D559" i="11"/>
  <c r="C559" i="11"/>
  <c r="G558" i="11"/>
  <c r="F558" i="11"/>
  <c r="D558" i="11"/>
  <c r="C558" i="11"/>
  <c r="G557" i="11"/>
  <c r="F557" i="11"/>
  <c r="D557" i="11"/>
  <c r="C557" i="11"/>
  <c r="G556" i="11"/>
  <c r="F556" i="11"/>
  <c r="D556" i="11"/>
  <c r="C556" i="11"/>
  <c r="G555" i="11"/>
  <c r="F555" i="11"/>
  <c r="D555" i="11"/>
  <c r="C555" i="11"/>
  <c r="G554" i="11"/>
  <c r="F554" i="11"/>
  <c r="D554" i="11"/>
  <c r="C554" i="11"/>
  <c r="G553" i="11"/>
  <c r="F553" i="11"/>
  <c r="D553" i="11"/>
  <c r="C553" i="11"/>
  <c r="G552" i="11"/>
  <c r="F552" i="11"/>
  <c r="D552" i="11"/>
  <c r="C552" i="11"/>
  <c r="G551" i="11"/>
  <c r="F551" i="11"/>
  <c r="D551" i="11"/>
  <c r="C551" i="11"/>
  <c r="G550" i="11"/>
  <c r="F550" i="11"/>
  <c r="D550" i="11"/>
  <c r="C550" i="11"/>
  <c r="G549" i="11"/>
  <c r="F549" i="11"/>
  <c r="D549" i="11"/>
  <c r="C549" i="11"/>
  <c r="G548" i="11"/>
  <c r="F548" i="11"/>
  <c r="D548" i="11"/>
  <c r="C548" i="11"/>
  <c r="G547" i="11"/>
  <c r="F547" i="11"/>
  <c r="D547" i="11"/>
  <c r="C547" i="11"/>
  <c r="G546" i="11"/>
  <c r="F546" i="11"/>
  <c r="D546" i="11"/>
  <c r="C546" i="11"/>
  <c r="G545" i="11"/>
  <c r="F545" i="11"/>
  <c r="D545" i="11"/>
  <c r="C545" i="11"/>
  <c r="G544" i="11"/>
  <c r="F544" i="11"/>
  <c r="D544" i="11"/>
  <c r="C544" i="11"/>
  <c r="G543" i="11"/>
  <c r="F543" i="11"/>
  <c r="D543" i="11"/>
  <c r="C543" i="11"/>
  <c r="G542" i="11"/>
  <c r="F542" i="11"/>
  <c r="D542" i="11"/>
  <c r="C542" i="11"/>
  <c r="G541" i="11"/>
  <c r="F541" i="11"/>
  <c r="D541" i="11"/>
  <c r="C541" i="11"/>
  <c r="G540" i="11"/>
  <c r="F540" i="11"/>
  <c r="D540" i="11"/>
  <c r="C540" i="11"/>
  <c r="G539" i="11"/>
  <c r="F539" i="11"/>
  <c r="D539" i="11"/>
  <c r="C539" i="11"/>
  <c r="G538" i="11"/>
  <c r="F538" i="11"/>
  <c r="D538" i="11"/>
  <c r="C538" i="11"/>
  <c r="G537" i="11"/>
  <c r="F537" i="11"/>
  <c r="D537" i="11"/>
  <c r="C537" i="11"/>
  <c r="G536" i="11"/>
  <c r="F536" i="11"/>
  <c r="D536" i="11"/>
  <c r="C536" i="11"/>
  <c r="G535" i="11"/>
  <c r="F535" i="11"/>
  <c r="D535" i="11"/>
  <c r="C535" i="11"/>
  <c r="G534" i="11"/>
  <c r="F534" i="11"/>
  <c r="D534" i="11"/>
  <c r="C534" i="11"/>
  <c r="G533" i="11"/>
  <c r="F533" i="11"/>
  <c r="D533" i="11"/>
  <c r="C533" i="11"/>
  <c r="G532" i="11"/>
  <c r="F532" i="11"/>
  <c r="D532" i="11"/>
  <c r="C532" i="11"/>
  <c r="G531" i="11"/>
  <c r="F531" i="11"/>
  <c r="D531" i="11"/>
  <c r="C531" i="11"/>
  <c r="G530" i="11"/>
  <c r="F530" i="11"/>
  <c r="D530" i="11"/>
  <c r="C530" i="11"/>
  <c r="G529" i="11"/>
  <c r="F529" i="11"/>
  <c r="D529" i="11"/>
  <c r="C529" i="11"/>
  <c r="G528" i="11"/>
  <c r="F528" i="11"/>
  <c r="D528" i="11"/>
  <c r="C528" i="11"/>
  <c r="G527" i="11"/>
  <c r="F527" i="11"/>
  <c r="D527" i="11"/>
  <c r="C527" i="11"/>
  <c r="G526" i="11"/>
  <c r="F526" i="11"/>
  <c r="D526" i="11"/>
  <c r="C526" i="11"/>
  <c r="G525" i="11"/>
  <c r="F525" i="11"/>
  <c r="D525" i="11"/>
  <c r="C525" i="11"/>
  <c r="G524" i="11"/>
  <c r="F524" i="11"/>
  <c r="D524" i="11"/>
  <c r="C524" i="11"/>
  <c r="G523" i="11"/>
  <c r="F523" i="11"/>
  <c r="D523" i="11"/>
  <c r="C523" i="11"/>
  <c r="G522" i="11"/>
  <c r="F522" i="11"/>
  <c r="D522" i="11"/>
  <c r="C522" i="11"/>
  <c r="G521" i="11"/>
  <c r="F521" i="11"/>
  <c r="D521" i="11"/>
  <c r="C521" i="11"/>
  <c r="G520" i="11"/>
  <c r="F520" i="11"/>
  <c r="D520" i="11"/>
  <c r="C520" i="11"/>
  <c r="G519" i="11"/>
  <c r="F519" i="11"/>
  <c r="D519" i="11"/>
  <c r="C519" i="11"/>
  <c r="G518" i="11"/>
  <c r="F518" i="11"/>
  <c r="D518" i="11"/>
  <c r="C518" i="11"/>
  <c r="G517" i="11"/>
  <c r="F517" i="11"/>
  <c r="D517" i="11"/>
  <c r="C517" i="11"/>
  <c r="G516" i="11"/>
  <c r="F516" i="11"/>
  <c r="D516" i="11"/>
  <c r="C516" i="11"/>
  <c r="G515" i="11"/>
  <c r="F515" i="11"/>
  <c r="D515" i="11"/>
  <c r="C515" i="11"/>
  <c r="G514" i="11"/>
  <c r="F514" i="11"/>
  <c r="D514" i="11"/>
  <c r="C514" i="11"/>
  <c r="G513" i="11"/>
  <c r="F513" i="11"/>
  <c r="D513" i="11"/>
  <c r="C513" i="11"/>
  <c r="G512" i="11"/>
  <c r="F512" i="11"/>
  <c r="D512" i="11"/>
  <c r="C512" i="11"/>
  <c r="G511" i="11"/>
  <c r="F511" i="11"/>
  <c r="D511" i="11"/>
  <c r="C511" i="11"/>
  <c r="G510" i="11"/>
  <c r="F510" i="11"/>
  <c r="D510" i="11"/>
  <c r="C510" i="11"/>
  <c r="G509" i="11"/>
  <c r="F509" i="11"/>
  <c r="D509" i="11"/>
  <c r="C509" i="11"/>
  <c r="G508" i="11"/>
  <c r="F508" i="11"/>
  <c r="D508" i="11"/>
  <c r="C508" i="11"/>
  <c r="G507" i="11"/>
  <c r="F507" i="11"/>
  <c r="D507" i="11"/>
  <c r="C507" i="11"/>
  <c r="G506" i="11"/>
  <c r="F506" i="11"/>
  <c r="D506" i="11"/>
  <c r="C506" i="11"/>
  <c r="G505" i="11"/>
  <c r="F505" i="11"/>
  <c r="D505" i="11"/>
  <c r="C505" i="11"/>
  <c r="G504" i="11"/>
  <c r="F504" i="11"/>
  <c r="D504" i="11"/>
  <c r="C504" i="11"/>
  <c r="G503" i="11"/>
  <c r="F503" i="11"/>
  <c r="D503" i="11"/>
  <c r="C503" i="11"/>
  <c r="G502" i="11"/>
  <c r="F502" i="11"/>
  <c r="D502" i="11"/>
  <c r="C502" i="11"/>
  <c r="G501" i="11"/>
  <c r="F501" i="11"/>
  <c r="D501" i="11"/>
  <c r="C501" i="11"/>
  <c r="G500" i="11"/>
  <c r="F500" i="11"/>
  <c r="D500" i="11"/>
  <c r="C500" i="11"/>
  <c r="G499" i="11"/>
  <c r="F499" i="11"/>
  <c r="D499" i="11"/>
  <c r="C499" i="11"/>
  <c r="G498" i="11"/>
  <c r="F498" i="11"/>
  <c r="D498" i="11"/>
  <c r="C498" i="11"/>
  <c r="G497" i="11"/>
  <c r="F497" i="11"/>
  <c r="D497" i="11"/>
  <c r="C497" i="11"/>
  <c r="G496" i="11"/>
  <c r="F496" i="11"/>
  <c r="D496" i="11"/>
  <c r="C496" i="11"/>
  <c r="G495" i="11"/>
  <c r="F495" i="11"/>
  <c r="D495" i="11"/>
  <c r="C495" i="11"/>
  <c r="G494" i="11"/>
  <c r="F494" i="11"/>
  <c r="D494" i="11"/>
  <c r="C494" i="11"/>
  <c r="G493" i="11"/>
  <c r="F493" i="11"/>
  <c r="D493" i="11"/>
  <c r="C493" i="11"/>
  <c r="G492" i="11"/>
  <c r="F492" i="11"/>
  <c r="D492" i="11"/>
  <c r="C492" i="11"/>
  <c r="G491" i="11"/>
  <c r="F491" i="11"/>
  <c r="D491" i="11"/>
  <c r="C491" i="11"/>
  <c r="G490" i="11"/>
  <c r="F490" i="11"/>
  <c r="D490" i="11"/>
  <c r="C490" i="11"/>
  <c r="G489" i="11"/>
  <c r="F489" i="11"/>
  <c r="D489" i="11"/>
  <c r="C489" i="11"/>
  <c r="G488" i="11"/>
  <c r="F488" i="11"/>
  <c r="D488" i="11"/>
  <c r="C488" i="11"/>
  <c r="G487" i="11"/>
  <c r="F487" i="11"/>
  <c r="D487" i="11"/>
  <c r="C487" i="11"/>
  <c r="G486" i="11"/>
  <c r="F486" i="11"/>
  <c r="D486" i="11"/>
  <c r="C486" i="11"/>
  <c r="G485" i="11"/>
  <c r="F485" i="11"/>
  <c r="D485" i="11"/>
  <c r="C485" i="11"/>
  <c r="G484" i="11"/>
  <c r="F484" i="11"/>
  <c r="D484" i="11"/>
  <c r="C484" i="11"/>
  <c r="G483" i="11"/>
  <c r="F483" i="11"/>
  <c r="D483" i="11"/>
  <c r="C483" i="11"/>
  <c r="G482" i="11"/>
  <c r="F482" i="11"/>
  <c r="D482" i="11"/>
  <c r="C482" i="11"/>
  <c r="G481" i="11"/>
  <c r="F481" i="11"/>
  <c r="D481" i="11"/>
  <c r="C481" i="11"/>
  <c r="G480" i="11"/>
  <c r="F480" i="11"/>
  <c r="D480" i="11"/>
  <c r="C480" i="11"/>
  <c r="G479" i="11"/>
  <c r="F479" i="11"/>
  <c r="D479" i="11"/>
  <c r="C479" i="11"/>
  <c r="G478" i="11"/>
  <c r="F478" i="11"/>
  <c r="D478" i="11"/>
  <c r="C478" i="11"/>
  <c r="G477" i="11"/>
  <c r="F477" i="11"/>
  <c r="D477" i="11"/>
  <c r="C477" i="11"/>
  <c r="G476" i="11"/>
  <c r="F476" i="11"/>
  <c r="D476" i="11"/>
  <c r="C476" i="11"/>
  <c r="G475" i="11"/>
  <c r="F475" i="11"/>
  <c r="D475" i="11"/>
  <c r="C475" i="11"/>
  <c r="G474" i="11"/>
  <c r="F474" i="11"/>
  <c r="D474" i="11"/>
  <c r="C474" i="11"/>
  <c r="G473" i="11"/>
  <c r="F473" i="11"/>
  <c r="D473" i="11"/>
  <c r="C473" i="11"/>
  <c r="G472" i="11"/>
  <c r="F472" i="11"/>
  <c r="D472" i="11"/>
  <c r="C472" i="11"/>
  <c r="G471" i="11"/>
  <c r="F471" i="11"/>
  <c r="D471" i="11"/>
  <c r="C471" i="11"/>
  <c r="G470" i="11"/>
  <c r="F470" i="11"/>
  <c r="D470" i="11"/>
  <c r="C470" i="11"/>
  <c r="G469" i="11"/>
  <c r="F469" i="11"/>
  <c r="D469" i="11"/>
  <c r="C469" i="11"/>
  <c r="G468" i="11"/>
  <c r="F468" i="11"/>
  <c r="D468" i="11"/>
  <c r="C468" i="11"/>
  <c r="G467" i="11"/>
  <c r="F467" i="11"/>
  <c r="D467" i="11"/>
  <c r="C467" i="11"/>
  <c r="G466" i="11"/>
  <c r="F466" i="11"/>
  <c r="D466" i="11"/>
  <c r="C466" i="11"/>
  <c r="G465" i="11"/>
  <c r="F465" i="11"/>
  <c r="D465" i="11"/>
  <c r="C465" i="11"/>
  <c r="G464" i="11"/>
  <c r="F464" i="11"/>
  <c r="D464" i="11"/>
  <c r="C464" i="11"/>
  <c r="G463" i="11"/>
  <c r="F463" i="11"/>
  <c r="D463" i="11"/>
  <c r="C463" i="11"/>
  <c r="G462" i="11"/>
  <c r="F462" i="11"/>
  <c r="D462" i="11"/>
  <c r="C462" i="11"/>
  <c r="G461" i="11"/>
  <c r="F461" i="11"/>
  <c r="D461" i="11"/>
  <c r="C461" i="11"/>
  <c r="G460" i="11"/>
  <c r="F460" i="11"/>
  <c r="D460" i="11"/>
  <c r="C460" i="11"/>
  <c r="G459" i="11"/>
  <c r="F459" i="11"/>
  <c r="D459" i="11"/>
  <c r="C459" i="11"/>
  <c r="G458" i="11"/>
  <c r="F458" i="11"/>
  <c r="D458" i="11"/>
  <c r="C458" i="11"/>
  <c r="G457" i="11"/>
  <c r="F457" i="11"/>
  <c r="D457" i="11"/>
  <c r="C457" i="11"/>
  <c r="G456" i="11"/>
  <c r="F456" i="11"/>
  <c r="D456" i="11"/>
  <c r="C456" i="11"/>
  <c r="G455" i="11"/>
  <c r="F455" i="11"/>
  <c r="D455" i="11"/>
  <c r="C455" i="11"/>
  <c r="G454" i="11"/>
  <c r="F454" i="11"/>
  <c r="D454" i="11"/>
  <c r="C454" i="11"/>
  <c r="G453" i="11"/>
  <c r="F453" i="11"/>
  <c r="D453" i="11"/>
  <c r="C453" i="11"/>
  <c r="G452" i="11"/>
  <c r="F452" i="11"/>
  <c r="D452" i="11"/>
  <c r="C452" i="11"/>
  <c r="G451" i="11"/>
  <c r="F451" i="11"/>
  <c r="D451" i="11"/>
  <c r="C451" i="11"/>
  <c r="G450" i="11"/>
  <c r="F450" i="11"/>
  <c r="D450" i="11"/>
  <c r="C450" i="11"/>
  <c r="G449" i="11"/>
  <c r="F449" i="11"/>
  <c r="D449" i="11"/>
  <c r="C449" i="11"/>
  <c r="G448" i="11"/>
  <c r="F448" i="11"/>
  <c r="D448" i="11"/>
  <c r="C448" i="11"/>
  <c r="G447" i="11"/>
  <c r="F447" i="11"/>
  <c r="D447" i="11"/>
  <c r="C447" i="11"/>
  <c r="G446" i="11"/>
  <c r="F446" i="11"/>
  <c r="D446" i="11"/>
  <c r="C446" i="11"/>
  <c r="G445" i="11"/>
  <c r="F445" i="11"/>
  <c r="D445" i="11"/>
  <c r="C445" i="11"/>
  <c r="G444" i="11"/>
  <c r="F444" i="11"/>
  <c r="D444" i="11"/>
  <c r="C444" i="11"/>
  <c r="G443" i="11"/>
  <c r="F443" i="11"/>
  <c r="D443" i="11"/>
  <c r="C443" i="11"/>
  <c r="G442" i="11"/>
  <c r="F442" i="11"/>
  <c r="D442" i="11"/>
  <c r="C442" i="11"/>
  <c r="G441" i="11"/>
  <c r="F441" i="11"/>
  <c r="D441" i="11"/>
  <c r="C441" i="11"/>
  <c r="G440" i="11"/>
  <c r="F440" i="11"/>
  <c r="D440" i="11"/>
  <c r="C440" i="11"/>
  <c r="G439" i="11"/>
  <c r="F439" i="11"/>
  <c r="D439" i="11"/>
  <c r="C439" i="11"/>
  <c r="G438" i="11"/>
  <c r="F438" i="11"/>
  <c r="D438" i="11"/>
  <c r="C438" i="11"/>
  <c r="G437" i="11"/>
  <c r="F437" i="11"/>
  <c r="D437" i="11"/>
  <c r="C437" i="11"/>
  <c r="G436" i="11"/>
  <c r="F436" i="11"/>
  <c r="D436" i="11"/>
  <c r="C436" i="11"/>
  <c r="G435" i="11"/>
  <c r="F435" i="11"/>
  <c r="D435" i="11"/>
  <c r="C435" i="11"/>
  <c r="G434" i="11"/>
  <c r="F434" i="11"/>
  <c r="D434" i="11"/>
  <c r="C434" i="11"/>
  <c r="G433" i="11"/>
  <c r="F433" i="11"/>
  <c r="D433" i="11"/>
  <c r="C433" i="11"/>
  <c r="G432" i="11"/>
  <c r="F432" i="11"/>
  <c r="D432" i="11"/>
  <c r="C432" i="11"/>
  <c r="G431" i="11"/>
  <c r="F431" i="11"/>
  <c r="D431" i="11"/>
  <c r="C431" i="11"/>
  <c r="G430" i="11"/>
  <c r="F430" i="11"/>
  <c r="D430" i="11"/>
  <c r="C430" i="11"/>
  <c r="G429" i="11"/>
  <c r="F429" i="11"/>
  <c r="D429" i="11"/>
  <c r="C429" i="11"/>
  <c r="G428" i="11"/>
  <c r="F428" i="11"/>
  <c r="D428" i="11"/>
  <c r="C428" i="11"/>
  <c r="G427" i="11"/>
  <c r="F427" i="11"/>
  <c r="D427" i="11"/>
  <c r="C427" i="11"/>
  <c r="G426" i="11"/>
  <c r="F426" i="11"/>
  <c r="D426" i="11"/>
  <c r="C426" i="11"/>
  <c r="G425" i="11"/>
  <c r="F425" i="11"/>
  <c r="D425" i="11"/>
  <c r="C425" i="11"/>
  <c r="G424" i="11"/>
  <c r="F424" i="11"/>
  <c r="D424" i="11"/>
  <c r="C424" i="11"/>
  <c r="G423" i="11"/>
  <c r="F423" i="11"/>
  <c r="D423" i="11"/>
  <c r="C423" i="11"/>
  <c r="G422" i="11"/>
  <c r="F422" i="11"/>
  <c r="D422" i="11"/>
  <c r="C422" i="11"/>
  <c r="G421" i="11"/>
  <c r="F421" i="11"/>
  <c r="D421" i="11"/>
  <c r="C421" i="11"/>
  <c r="G420" i="11"/>
  <c r="F420" i="11"/>
  <c r="D420" i="11"/>
  <c r="C420" i="11"/>
  <c r="G419" i="11"/>
  <c r="F419" i="11"/>
  <c r="D419" i="11"/>
  <c r="C419" i="11"/>
  <c r="G418" i="11"/>
  <c r="F418" i="11"/>
  <c r="D418" i="11"/>
  <c r="C418" i="11"/>
  <c r="G417" i="11"/>
  <c r="F417" i="11"/>
  <c r="D417" i="11"/>
  <c r="C417" i="11"/>
  <c r="G416" i="11"/>
  <c r="F416" i="11"/>
  <c r="D416" i="11"/>
  <c r="C416" i="11"/>
  <c r="G415" i="11"/>
  <c r="F415" i="11"/>
  <c r="D415" i="11"/>
  <c r="C415" i="11"/>
  <c r="G414" i="11"/>
  <c r="F414" i="11"/>
  <c r="D414" i="11"/>
  <c r="C414" i="11"/>
  <c r="G413" i="11"/>
  <c r="F413" i="11"/>
  <c r="D413" i="11"/>
  <c r="C413" i="11"/>
  <c r="G412" i="11"/>
  <c r="F412" i="11"/>
  <c r="D412" i="11"/>
  <c r="C412" i="11"/>
  <c r="G411" i="11"/>
  <c r="F411" i="11"/>
  <c r="D411" i="11"/>
  <c r="C411" i="11"/>
  <c r="G410" i="11"/>
  <c r="F410" i="11"/>
  <c r="D410" i="11"/>
  <c r="C410" i="11"/>
  <c r="G409" i="11"/>
  <c r="F409" i="11"/>
  <c r="D409" i="11"/>
  <c r="C409" i="11"/>
  <c r="G408" i="11"/>
  <c r="F408" i="11"/>
  <c r="D408" i="11"/>
  <c r="C408" i="11"/>
  <c r="G407" i="11"/>
  <c r="F407" i="11"/>
  <c r="D407" i="11"/>
  <c r="C407" i="11"/>
  <c r="G406" i="11"/>
  <c r="F406" i="11"/>
  <c r="D406" i="11"/>
  <c r="C406" i="11"/>
  <c r="G405" i="11"/>
  <c r="F405" i="11"/>
  <c r="D405" i="11"/>
  <c r="C405" i="11"/>
  <c r="G404" i="11"/>
  <c r="F404" i="11"/>
  <c r="D404" i="11"/>
  <c r="C404" i="11"/>
  <c r="G403" i="11"/>
  <c r="F403" i="11"/>
  <c r="D403" i="11"/>
  <c r="C403" i="11"/>
  <c r="G402" i="11"/>
  <c r="F402" i="11"/>
  <c r="D402" i="11"/>
  <c r="C402" i="11"/>
  <c r="G401" i="11"/>
  <c r="F401" i="11"/>
  <c r="D401" i="11"/>
  <c r="C401" i="11"/>
  <c r="G400" i="11"/>
  <c r="F400" i="11"/>
  <c r="D400" i="11"/>
  <c r="C400" i="11"/>
  <c r="G399" i="11"/>
  <c r="F399" i="11"/>
  <c r="D399" i="11"/>
  <c r="C399" i="11"/>
  <c r="G398" i="11"/>
  <c r="F398" i="11"/>
  <c r="D398" i="11"/>
  <c r="C398" i="11"/>
  <c r="G397" i="11"/>
  <c r="F397" i="11"/>
  <c r="D397" i="11"/>
  <c r="C397" i="11"/>
  <c r="G396" i="11"/>
  <c r="F396" i="11"/>
  <c r="D396" i="11"/>
  <c r="C396" i="11"/>
  <c r="G395" i="11"/>
  <c r="F395" i="11"/>
  <c r="D395" i="11"/>
  <c r="C395" i="11"/>
  <c r="G394" i="11"/>
  <c r="F394" i="11"/>
  <c r="D394" i="11"/>
  <c r="C394" i="11"/>
  <c r="G393" i="11"/>
  <c r="F393" i="11"/>
  <c r="D393" i="11"/>
  <c r="C393" i="11"/>
  <c r="G392" i="11"/>
  <c r="F392" i="11"/>
  <c r="D392" i="11"/>
  <c r="C392" i="11"/>
  <c r="G391" i="11"/>
  <c r="F391" i="11"/>
  <c r="D391" i="11"/>
  <c r="C391" i="11"/>
  <c r="G390" i="11"/>
  <c r="F390" i="11"/>
  <c r="D390" i="11"/>
  <c r="C390" i="11"/>
  <c r="G389" i="11"/>
  <c r="F389" i="11"/>
  <c r="D389" i="11"/>
  <c r="C389" i="11"/>
  <c r="G388" i="11"/>
  <c r="F388" i="11"/>
  <c r="D388" i="11"/>
  <c r="C388" i="11"/>
  <c r="G387" i="11"/>
  <c r="F387" i="11"/>
  <c r="D387" i="11"/>
  <c r="C387" i="11"/>
  <c r="G386" i="11"/>
  <c r="F386" i="11"/>
  <c r="D386" i="11"/>
  <c r="C386" i="11"/>
  <c r="G385" i="11"/>
  <c r="F385" i="11"/>
  <c r="D385" i="11"/>
  <c r="C385" i="11"/>
  <c r="G384" i="11"/>
  <c r="F384" i="11"/>
  <c r="D384" i="11"/>
  <c r="C384" i="11"/>
  <c r="G383" i="11"/>
  <c r="F383" i="11"/>
  <c r="D383" i="11"/>
  <c r="C383" i="11"/>
  <c r="G382" i="11"/>
  <c r="F382" i="11"/>
  <c r="D382" i="11"/>
  <c r="C382" i="11"/>
  <c r="G381" i="11"/>
  <c r="F381" i="11"/>
  <c r="D381" i="11"/>
  <c r="C381" i="11"/>
  <c r="G380" i="11"/>
  <c r="F380" i="11"/>
  <c r="D380" i="11"/>
  <c r="C380" i="11"/>
  <c r="G379" i="11"/>
  <c r="F379" i="11"/>
  <c r="D379" i="11"/>
  <c r="C379" i="11"/>
  <c r="G378" i="11"/>
  <c r="F378" i="11"/>
  <c r="D378" i="11"/>
  <c r="C378" i="11"/>
  <c r="G377" i="11"/>
  <c r="F377" i="11"/>
  <c r="D377" i="11"/>
  <c r="C377" i="11"/>
  <c r="G376" i="11"/>
  <c r="F376" i="11"/>
  <c r="D376" i="11"/>
  <c r="C376" i="11"/>
  <c r="G375" i="11"/>
  <c r="F375" i="11"/>
  <c r="D375" i="11"/>
  <c r="C375" i="11"/>
  <c r="G374" i="11"/>
  <c r="F374" i="11"/>
  <c r="D374" i="11"/>
  <c r="C374" i="11"/>
  <c r="G373" i="11"/>
  <c r="F373" i="11"/>
  <c r="D373" i="11"/>
  <c r="C373" i="11"/>
  <c r="G372" i="11"/>
  <c r="F372" i="11"/>
  <c r="D372" i="11"/>
  <c r="C372" i="11"/>
  <c r="G371" i="11"/>
  <c r="F371" i="11"/>
  <c r="D371" i="11"/>
  <c r="C371" i="11"/>
  <c r="G370" i="11"/>
  <c r="F370" i="11"/>
  <c r="D370" i="11"/>
  <c r="C370" i="11"/>
  <c r="G369" i="11"/>
  <c r="F369" i="11"/>
  <c r="D369" i="11"/>
  <c r="C369" i="11"/>
  <c r="G368" i="11"/>
  <c r="F368" i="11"/>
  <c r="D368" i="11"/>
  <c r="C368" i="11"/>
  <c r="G367" i="11"/>
  <c r="F367" i="11"/>
  <c r="D367" i="11"/>
  <c r="C367" i="11"/>
  <c r="G366" i="11"/>
  <c r="F366" i="11"/>
  <c r="D366" i="11"/>
  <c r="C366" i="11"/>
  <c r="G365" i="11"/>
  <c r="F365" i="11"/>
  <c r="D365" i="11"/>
  <c r="C365" i="11"/>
  <c r="G364" i="11"/>
  <c r="F364" i="11"/>
  <c r="D364" i="11"/>
  <c r="C364" i="11"/>
  <c r="G363" i="11"/>
  <c r="F363" i="11"/>
  <c r="D363" i="11"/>
  <c r="C363" i="11"/>
  <c r="G362" i="11"/>
  <c r="F362" i="11"/>
  <c r="D362" i="11"/>
  <c r="C362" i="11"/>
  <c r="G361" i="11"/>
  <c r="F361" i="11"/>
  <c r="D361" i="11"/>
  <c r="C361" i="11"/>
  <c r="G360" i="11"/>
  <c r="F360" i="11"/>
  <c r="D360" i="11"/>
  <c r="C360" i="11"/>
  <c r="G359" i="11"/>
  <c r="F359" i="11"/>
  <c r="D359" i="11"/>
  <c r="C359" i="11"/>
  <c r="G358" i="11"/>
  <c r="F358" i="11"/>
  <c r="D358" i="11"/>
  <c r="C358" i="11"/>
  <c r="G357" i="11"/>
  <c r="F357" i="11"/>
  <c r="D357" i="11"/>
  <c r="C357" i="11"/>
  <c r="G356" i="11"/>
  <c r="F356" i="11"/>
  <c r="D356" i="11"/>
  <c r="C356" i="11"/>
  <c r="G355" i="11"/>
  <c r="F355" i="11"/>
  <c r="D355" i="11"/>
  <c r="C355" i="11"/>
  <c r="G354" i="11"/>
  <c r="F354" i="11"/>
  <c r="D354" i="11"/>
  <c r="C354" i="11"/>
  <c r="G353" i="11"/>
  <c r="F353" i="11"/>
  <c r="D353" i="11"/>
  <c r="C353" i="11"/>
  <c r="G352" i="11"/>
  <c r="F352" i="11"/>
  <c r="D352" i="11"/>
  <c r="C352" i="11"/>
  <c r="G351" i="11"/>
  <c r="F351" i="11"/>
  <c r="D351" i="11"/>
  <c r="C351" i="11"/>
  <c r="G350" i="11"/>
  <c r="F350" i="11"/>
  <c r="D350" i="11"/>
  <c r="C350" i="11"/>
  <c r="G349" i="11"/>
  <c r="F349" i="11"/>
  <c r="D349" i="11"/>
  <c r="C349" i="11"/>
  <c r="G348" i="11"/>
  <c r="F348" i="11"/>
  <c r="D348" i="11"/>
  <c r="C348" i="11"/>
  <c r="G347" i="11"/>
  <c r="F347" i="11"/>
  <c r="D347" i="11"/>
  <c r="C347" i="11"/>
  <c r="G346" i="11"/>
  <c r="F346" i="11"/>
  <c r="D346" i="11"/>
  <c r="C346" i="11"/>
  <c r="G345" i="11"/>
  <c r="F345" i="11"/>
  <c r="D345" i="11"/>
  <c r="C345" i="11"/>
  <c r="G344" i="11"/>
  <c r="F344" i="11"/>
  <c r="D344" i="11"/>
  <c r="C344" i="11"/>
  <c r="G343" i="11"/>
  <c r="F343" i="11"/>
  <c r="D343" i="11"/>
  <c r="C343" i="11"/>
  <c r="G342" i="11"/>
  <c r="F342" i="11"/>
  <c r="D342" i="11"/>
  <c r="C342" i="11"/>
  <c r="G341" i="11"/>
  <c r="F341" i="11"/>
  <c r="D341" i="11"/>
  <c r="C341" i="11"/>
  <c r="G340" i="11"/>
  <c r="F340" i="11"/>
  <c r="D340" i="11"/>
  <c r="C340" i="11"/>
  <c r="G339" i="11"/>
  <c r="F339" i="11"/>
  <c r="D339" i="11"/>
  <c r="C339" i="11"/>
  <c r="G338" i="11"/>
  <c r="F338" i="11"/>
  <c r="D338" i="11"/>
  <c r="C338" i="11"/>
  <c r="G337" i="11"/>
  <c r="F337" i="11"/>
  <c r="D337" i="11"/>
  <c r="C337" i="11"/>
  <c r="G336" i="11"/>
  <c r="F336" i="11"/>
  <c r="D336" i="11"/>
  <c r="C336" i="11"/>
  <c r="G335" i="11"/>
  <c r="F335" i="11"/>
  <c r="D335" i="11"/>
  <c r="C335" i="11"/>
  <c r="G334" i="11"/>
  <c r="F334" i="11"/>
  <c r="D334" i="11"/>
  <c r="C334" i="11"/>
  <c r="G333" i="11"/>
  <c r="F333" i="11"/>
  <c r="D333" i="11"/>
  <c r="C333" i="11"/>
  <c r="G332" i="11"/>
  <c r="F332" i="11"/>
  <c r="D332" i="11"/>
  <c r="C332" i="11"/>
  <c r="G331" i="11"/>
  <c r="F331" i="11"/>
  <c r="D331" i="11"/>
  <c r="C331" i="11"/>
  <c r="G330" i="11"/>
  <c r="F330" i="11"/>
  <c r="D330" i="11"/>
  <c r="C330" i="11"/>
  <c r="G329" i="11"/>
  <c r="F329" i="11"/>
  <c r="D329" i="11"/>
  <c r="C329" i="11"/>
  <c r="G328" i="11"/>
  <c r="F328" i="11"/>
  <c r="D328" i="11"/>
  <c r="C328" i="11"/>
  <c r="G327" i="11"/>
  <c r="F327" i="11"/>
  <c r="D327" i="11"/>
  <c r="C327" i="11"/>
  <c r="G326" i="11"/>
  <c r="F326" i="11"/>
  <c r="D326" i="11"/>
  <c r="C326" i="11"/>
  <c r="G325" i="11"/>
  <c r="F325" i="11"/>
  <c r="D325" i="11"/>
  <c r="C325" i="11"/>
  <c r="G324" i="11"/>
  <c r="F324" i="11"/>
  <c r="D324" i="11"/>
  <c r="C324" i="11"/>
  <c r="G323" i="11"/>
  <c r="F323" i="11"/>
  <c r="D323" i="11"/>
  <c r="C323" i="11"/>
  <c r="G322" i="11"/>
  <c r="F322" i="11"/>
  <c r="D322" i="11"/>
  <c r="C322" i="11"/>
  <c r="G321" i="11"/>
  <c r="F321" i="11"/>
  <c r="D321" i="11"/>
  <c r="C321" i="11"/>
  <c r="G320" i="11"/>
  <c r="F320" i="11"/>
  <c r="D320" i="11"/>
  <c r="C320" i="11"/>
  <c r="G319" i="11"/>
  <c r="F319" i="11"/>
  <c r="D319" i="11"/>
  <c r="C319" i="11"/>
  <c r="G318" i="11"/>
  <c r="F318" i="11"/>
  <c r="D318" i="11"/>
  <c r="C318" i="11"/>
  <c r="G317" i="11"/>
  <c r="F317" i="11"/>
  <c r="D317" i="11"/>
  <c r="C317" i="11"/>
  <c r="G316" i="11"/>
  <c r="F316" i="11"/>
  <c r="D316" i="11"/>
  <c r="C316" i="11"/>
  <c r="G315" i="11"/>
  <c r="F315" i="11"/>
  <c r="D315" i="11"/>
  <c r="C315" i="11"/>
  <c r="G314" i="11"/>
  <c r="F314" i="11"/>
  <c r="D314" i="11"/>
  <c r="C314" i="11"/>
  <c r="G313" i="11"/>
  <c r="F313" i="11"/>
  <c r="D313" i="11"/>
  <c r="C313" i="11"/>
  <c r="G312" i="11"/>
  <c r="F312" i="11"/>
  <c r="D312" i="11"/>
  <c r="C312" i="11"/>
  <c r="G311" i="11"/>
  <c r="F311" i="11"/>
  <c r="D311" i="11"/>
  <c r="C311" i="11"/>
  <c r="G310" i="11"/>
  <c r="F310" i="11"/>
  <c r="D310" i="11"/>
  <c r="C310" i="11"/>
  <c r="G309" i="11"/>
  <c r="F309" i="11"/>
  <c r="D309" i="11"/>
  <c r="C309" i="11"/>
  <c r="G308" i="11"/>
  <c r="F308" i="11"/>
  <c r="D308" i="11"/>
  <c r="C308" i="11"/>
  <c r="G307" i="11"/>
  <c r="F307" i="11"/>
  <c r="D307" i="11"/>
  <c r="C307" i="11"/>
  <c r="G306" i="11"/>
  <c r="F306" i="11"/>
  <c r="D306" i="11"/>
  <c r="C306" i="11"/>
  <c r="G305" i="11"/>
  <c r="F305" i="11"/>
  <c r="D305" i="11"/>
  <c r="C305" i="11"/>
  <c r="G304" i="11"/>
  <c r="F304" i="11"/>
  <c r="D304" i="11"/>
  <c r="C304" i="11"/>
  <c r="G303" i="11"/>
  <c r="F303" i="11"/>
  <c r="D303" i="11"/>
  <c r="C303" i="11"/>
  <c r="G302" i="11"/>
  <c r="F302" i="11"/>
  <c r="D302" i="11"/>
  <c r="C302" i="11"/>
  <c r="G301" i="11"/>
  <c r="F301" i="11"/>
  <c r="D301" i="11"/>
  <c r="C301" i="11"/>
  <c r="G300" i="11"/>
  <c r="F300" i="11"/>
  <c r="D300" i="11"/>
  <c r="C300" i="11"/>
  <c r="G299" i="11"/>
  <c r="F299" i="11"/>
  <c r="D299" i="11"/>
  <c r="C299" i="11"/>
  <c r="G298" i="11"/>
  <c r="F298" i="11"/>
  <c r="D298" i="11"/>
  <c r="C298" i="11"/>
  <c r="G297" i="11"/>
  <c r="F297" i="11"/>
  <c r="D297" i="11"/>
  <c r="C297" i="11"/>
  <c r="G296" i="11"/>
  <c r="F296" i="11"/>
  <c r="D296" i="11"/>
  <c r="C296" i="11"/>
  <c r="G295" i="11"/>
  <c r="F295" i="11"/>
  <c r="D295" i="11"/>
  <c r="C295" i="11"/>
  <c r="G294" i="11"/>
  <c r="F294" i="11"/>
  <c r="D294" i="11"/>
  <c r="C294" i="11"/>
  <c r="G293" i="11"/>
  <c r="F293" i="11"/>
  <c r="D293" i="11"/>
  <c r="C293" i="11"/>
  <c r="G292" i="11"/>
  <c r="F292" i="11"/>
  <c r="D292" i="11"/>
  <c r="C292" i="11"/>
  <c r="G291" i="11"/>
  <c r="F291" i="11"/>
  <c r="D291" i="11"/>
  <c r="C291" i="11"/>
  <c r="G290" i="11"/>
  <c r="F290" i="11"/>
  <c r="D290" i="11"/>
  <c r="C290" i="11"/>
  <c r="G289" i="11"/>
  <c r="F289" i="11"/>
  <c r="D289" i="11"/>
  <c r="C289" i="11"/>
  <c r="G288" i="11"/>
  <c r="F288" i="11"/>
  <c r="D288" i="11"/>
  <c r="C288" i="11"/>
  <c r="G287" i="11"/>
  <c r="F287" i="11"/>
  <c r="D287" i="11"/>
  <c r="C287" i="11"/>
  <c r="G286" i="11"/>
  <c r="F286" i="11"/>
  <c r="D286" i="11"/>
  <c r="C286" i="11"/>
  <c r="G285" i="11"/>
  <c r="F285" i="11"/>
  <c r="D285" i="11"/>
  <c r="C285" i="11"/>
  <c r="G284" i="11"/>
  <c r="F284" i="11"/>
  <c r="D284" i="11"/>
  <c r="C284" i="11"/>
  <c r="G283" i="11"/>
  <c r="F283" i="11"/>
  <c r="D283" i="11"/>
  <c r="C283" i="11"/>
  <c r="G282" i="11"/>
  <c r="F282" i="11"/>
  <c r="D282" i="11"/>
  <c r="C282" i="11"/>
  <c r="G281" i="11"/>
  <c r="F281" i="11"/>
  <c r="D281" i="11"/>
  <c r="C281" i="11"/>
  <c r="G280" i="11"/>
  <c r="F280" i="11"/>
  <c r="D280" i="11"/>
  <c r="C280" i="11"/>
  <c r="G279" i="11"/>
  <c r="F279" i="11"/>
  <c r="D279" i="11"/>
  <c r="C279" i="11"/>
  <c r="G278" i="11"/>
  <c r="F278" i="11"/>
  <c r="D278" i="11"/>
  <c r="C278" i="11"/>
  <c r="G277" i="11"/>
  <c r="F277" i="11"/>
  <c r="D277" i="11"/>
  <c r="C277" i="11"/>
  <c r="G276" i="11"/>
  <c r="F276" i="11"/>
  <c r="D276" i="11"/>
  <c r="C276" i="11"/>
  <c r="G275" i="11"/>
  <c r="F275" i="11"/>
  <c r="D275" i="11"/>
  <c r="C275" i="11"/>
  <c r="G274" i="11"/>
  <c r="F274" i="11"/>
  <c r="D274" i="11"/>
  <c r="C274" i="11"/>
  <c r="G273" i="11"/>
  <c r="F273" i="11"/>
  <c r="D273" i="11"/>
  <c r="C273" i="11"/>
  <c r="G272" i="11"/>
  <c r="F272" i="11"/>
  <c r="D272" i="11"/>
  <c r="C272" i="11"/>
  <c r="G271" i="11"/>
  <c r="F271" i="11"/>
  <c r="D271" i="11"/>
  <c r="C271" i="11"/>
  <c r="G270" i="11"/>
  <c r="F270" i="11"/>
  <c r="D270" i="11"/>
  <c r="C270" i="11"/>
  <c r="G269" i="11"/>
  <c r="F269" i="11"/>
  <c r="D269" i="11"/>
  <c r="C269" i="11"/>
  <c r="G268" i="11"/>
  <c r="F268" i="11"/>
  <c r="D268" i="11"/>
  <c r="C268" i="11"/>
  <c r="G267" i="11"/>
  <c r="F267" i="11"/>
  <c r="D267" i="11"/>
  <c r="C267" i="11"/>
  <c r="G266" i="11"/>
  <c r="F266" i="11"/>
  <c r="D266" i="11"/>
  <c r="C266" i="11"/>
  <c r="G265" i="11"/>
  <c r="F265" i="11"/>
  <c r="D265" i="11"/>
  <c r="C265" i="11"/>
  <c r="G264" i="11"/>
  <c r="F264" i="11"/>
  <c r="D264" i="11"/>
  <c r="C264" i="11"/>
  <c r="G263" i="11"/>
  <c r="F263" i="11"/>
  <c r="D263" i="11"/>
  <c r="C263" i="11"/>
  <c r="G262" i="11"/>
  <c r="F262" i="11"/>
  <c r="D262" i="11"/>
  <c r="C262" i="11"/>
  <c r="G261" i="11"/>
  <c r="F261" i="11"/>
  <c r="D261" i="11"/>
  <c r="C261" i="11"/>
  <c r="G260" i="11"/>
  <c r="F260" i="11"/>
  <c r="D260" i="11"/>
  <c r="C260" i="11"/>
  <c r="G259" i="11"/>
  <c r="F259" i="11"/>
  <c r="D259" i="11"/>
  <c r="C259" i="11"/>
  <c r="G258" i="11"/>
  <c r="F258" i="11"/>
  <c r="D258" i="11"/>
  <c r="C258" i="11"/>
  <c r="G257" i="11"/>
  <c r="F257" i="11"/>
  <c r="D257" i="11"/>
  <c r="C257" i="11"/>
  <c r="G256" i="11"/>
  <c r="F256" i="11"/>
  <c r="D256" i="11"/>
  <c r="C256" i="11"/>
  <c r="G255" i="11"/>
  <c r="F255" i="11"/>
  <c r="D255" i="11"/>
  <c r="C255" i="11"/>
  <c r="G254" i="11"/>
  <c r="F254" i="11"/>
  <c r="D254" i="11"/>
  <c r="C254" i="11"/>
  <c r="G253" i="11"/>
  <c r="F253" i="11"/>
  <c r="D253" i="11"/>
  <c r="C253" i="11"/>
  <c r="G252" i="11"/>
  <c r="F252" i="11"/>
  <c r="D252" i="11"/>
  <c r="C252" i="11"/>
  <c r="G251" i="11"/>
  <c r="F251" i="11"/>
  <c r="D251" i="11"/>
  <c r="C251" i="11"/>
  <c r="G250" i="11"/>
  <c r="F250" i="11"/>
  <c r="D250" i="11"/>
  <c r="C250" i="11"/>
  <c r="G249" i="11"/>
  <c r="F249" i="11"/>
  <c r="D249" i="11"/>
  <c r="C249" i="11"/>
  <c r="G248" i="11"/>
  <c r="F248" i="11"/>
  <c r="D248" i="11"/>
  <c r="C248" i="11"/>
  <c r="G247" i="11"/>
  <c r="F247" i="11"/>
  <c r="D247" i="11"/>
  <c r="C247" i="11"/>
  <c r="G246" i="11"/>
  <c r="F246" i="11"/>
  <c r="D246" i="11"/>
  <c r="C246" i="11"/>
  <c r="G245" i="11"/>
  <c r="F245" i="11"/>
  <c r="D245" i="11"/>
  <c r="C245" i="11"/>
  <c r="G244" i="11"/>
  <c r="F244" i="11"/>
  <c r="D244" i="11"/>
  <c r="C244" i="11"/>
  <c r="G243" i="11"/>
  <c r="F243" i="11"/>
  <c r="D243" i="11"/>
  <c r="C243" i="11"/>
  <c r="G242" i="11"/>
  <c r="F242" i="11"/>
  <c r="D242" i="11"/>
  <c r="C242" i="11"/>
  <c r="G241" i="11"/>
  <c r="F241" i="11"/>
  <c r="D241" i="11"/>
  <c r="C241" i="11"/>
  <c r="G240" i="11"/>
  <c r="F240" i="11"/>
  <c r="D240" i="11"/>
  <c r="C240" i="11"/>
  <c r="G239" i="11"/>
  <c r="F239" i="11"/>
  <c r="D239" i="11"/>
  <c r="C239" i="11"/>
  <c r="G238" i="11"/>
  <c r="F238" i="11"/>
  <c r="D238" i="11"/>
  <c r="C238" i="11"/>
  <c r="G237" i="11"/>
  <c r="F237" i="11"/>
  <c r="D237" i="11"/>
  <c r="C237" i="11"/>
  <c r="G236" i="11"/>
  <c r="F236" i="11"/>
  <c r="D236" i="11"/>
  <c r="C236" i="11"/>
  <c r="G235" i="11"/>
  <c r="F235" i="11"/>
  <c r="D235" i="11"/>
  <c r="C235" i="11"/>
  <c r="G234" i="11"/>
  <c r="F234" i="11"/>
  <c r="D234" i="11"/>
  <c r="C234" i="11"/>
  <c r="G233" i="11"/>
  <c r="F233" i="11"/>
  <c r="D233" i="11"/>
  <c r="C233" i="11"/>
  <c r="G232" i="11"/>
  <c r="F232" i="11"/>
  <c r="D232" i="11"/>
  <c r="C232" i="11"/>
  <c r="G231" i="11"/>
  <c r="F231" i="11"/>
  <c r="D231" i="11"/>
  <c r="C231" i="11"/>
  <c r="G230" i="11"/>
  <c r="F230" i="11"/>
  <c r="D230" i="11"/>
  <c r="C230" i="11"/>
  <c r="G229" i="11"/>
  <c r="F229" i="11"/>
  <c r="D229" i="11"/>
  <c r="C229" i="11"/>
  <c r="G228" i="11"/>
  <c r="F228" i="11"/>
  <c r="D228" i="11"/>
  <c r="C228" i="11"/>
  <c r="G227" i="11"/>
  <c r="F227" i="11"/>
  <c r="D227" i="11"/>
  <c r="C227" i="11"/>
  <c r="G226" i="11"/>
  <c r="F226" i="11"/>
  <c r="D226" i="11"/>
  <c r="C226" i="11"/>
  <c r="G225" i="11"/>
  <c r="F225" i="11"/>
  <c r="D225" i="11"/>
  <c r="C225" i="11"/>
  <c r="G224" i="11"/>
  <c r="F224" i="11"/>
  <c r="D224" i="11"/>
  <c r="C224" i="11"/>
  <c r="G223" i="11"/>
  <c r="F223" i="11"/>
  <c r="D223" i="11"/>
  <c r="C223" i="11"/>
  <c r="G222" i="11"/>
  <c r="F222" i="11"/>
  <c r="D222" i="11"/>
  <c r="C222" i="11"/>
  <c r="G221" i="11"/>
  <c r="F221" i="11"/>
  <c r="D221" i="11"/>
  <c r="C221" i="11"/>
  <c r="G220" i="11"/>
  <c r="F220" i="11"/>
  <c r="D220" i="11"/>
  <c r="C220" i="11"/>
  <c r="G219" i="11"/>
  <c r="F219" i="11"/>
  <c r="D219" i="11"/>
  <c r="C219" i="11"/>
  <c r="G218" i="11"/>
  <c r="F218" i="11"/>
  <c r="D218" i="11"/>
  <c r="C218" i="11"/>
  <c r="G217" i="11"/>
  <c r="F217" i="11"/>
  <c r="D217" i="11"/>
  <c r="C217" i="11"/>
  <c r="G216" i="11"/>
  <c r="F216" i="11"/>
  <c r="D216" i="11"/>
  <c r="C216" i="11"/>
  <c r="G215" i="11"/>
  <c r="F215" i="11"/>
  <c r="D215" i="11"/>
  <c r="C215" i="11"/>
  <c r="G214" i="11"/>
  <c r="F214" i="11"/>
  <c r="D214" i="11"/>
  <c r="C214" i="11"/>
  <c r="G213" i="11"/>
  <c r="F213" i="11"/>
  <c r="D213" i="11"/>
  <c r="C213" i="11"/>
  <c r="G212" i="11"/>
  <c r="F212" i="11"/>
  <c r="D212" i="11"/>
  <c r="C212" i="11"/>
  <c r="G211" i="11"/>
  <c r="F211" i="11"/>
  <c r="D211" i="11"/>
  <c r="C211" i="11"/>
  <c r="G210" i="11"/>
  <c r="F210" i="11"/>
  <c r="D210" i="11"/>
  <c r="C210" i="11"/>
  <c r="G209" i="11"/>
  <c r="F209" i="11"/>
  <c r="D209" i="11"/>
  <c r="C209" i="11"/>
  <c r="G208" i="11"/>
  <c r="F208" i="11"/>
  <c r="D208" i="11"/>
  <c r="C208" i="11"/>
  <c r="G207" i="11"/>
  <c r="F207" i="11"/>
  <c r="D207" i="11"/>
  <c r="C207" i="11"/>
  <c r="G206" i="11"/>
  <c r="F206" i="11"/>
  <c r="D206" i="11"/>
  <c r="C206" i="11"/>
  <c r="G205" i="11"/>
  <c r="F205" i="11"/>
  <c r="D205" i="11"/>
  <c r="C205" i="11"/>
  <c r="G204" i="11"/>
  <c r="F204" i="11"/>
  <c r="D204" i="11"/>
  <c r="C204" i="11"/>
  <c r="G203" i="11"/>
  <c r="F203" i="11"/>
  <c r="D203" i="11"/>
  <c r="C203" i="11"/>
  <c r="G202" i="11"/>
  <c r="F202" i="11"/>
  <c r="D202" i="11"/>
  <c r="C202" i="11"/>
  <c r="G201" i="11"/>
  <c r="F201" i="11"/>
  <c r="D201" i="11"/>
  <c r="C201" i="11"/>
  <c r="G200" i="11"/>
  <c r="F200" i="11"/>
  <c r="D200" i="11"/>
  <c r="C200" i="11"/>
  <c r="G199" i="11"/>
  <c r="F199" i="11"/>
  <c r="D199" i="11"/>
  <c r="C199" i="11"/>
  <c r="G198" i="11"/>
  <c r="F198" i="11"/>
  <c r="D198" i="11"/>
  <c r="C198" i="11"/>
  <c r="G197" i="11"/>
  <c r="F197" i="11"/>
  <c r="D197" i="11"/>
  <c r="C197" i="11"/>
  <c r="G196" i="11"/>
  <c r="F196" i="11"/>
  <c r="D196" i="11"/>
  <c r="C196" i="11"/>
  <c r="G195" i="11"/>
  <c r="F195" i="11"/>
  <c r="D195" i="11"/>
  <c r="C195" i="11"/>
  <c r="G194" i="11"/>
  <c r="F194" i="11"/>
  <c r="D194" i="11"/>
  <c r="C194" i="11"/>
  <c r="G193" i="11"/>
  <c r="F193" i="11"/>
  <c r="D193" i="11"/>
  <c r="C193" i="11"/>
  <c r="G192" i="11"/>
  <c r="F192" i="11"/>
  <c r="D192" i="11"/>
  <c r="C192" i="11"/>
  <c r="G191" i="11"/>
  <c r="F191" i="11"/>
  <c r="D191" i="11"/>
  <c r="C191" i="11"/>
  <c r="G190" i="11"/>
  <c r="F190" i="11"/>
  <c r="D190" i="11"/>
  <c r="C190" i="11"/>
  <c r="G189" i="11"/>
  <c r="F189" i="11"/>
  <c r="D189" i="11"/>
  <c r="C189" i="11"/>
  <c r="G188" i="11"/>
  <c r="F188" i="11"/>
  <c r="D188" i="11"/>
  <c r="C188" i="11"/>
  <c r="G187" i="11"/>
  <c r="F187" i="11"/>
  <c r="D187" i="11"/>
  <c r="C187" i="11"/>
  <c r="G186" i="11"/>
  <c r="F186" i="11"/>
  <c r="D186" i="11"/>
  <c r="C186" i="11"/>
  <c r="G185" i="11"/>
  <c r="F185" i="11"/>
  <c r="D185" i="11"/>
  <c r="C185" i="11"/>
  <c r="G184" i="11"/>
  <c r="F184" i="11"/>
  <c r="D184" i="11"/>
  <c r="C184" i="11"/>
  <c r="G183" i="11"/>
  <c r="F183" i="11"/>
  <c r="D183" i="11"/>
  <c r="C183" i="11"/>
  <c r="G182" i="11"/>
  <c r="F182" i="11"/>
  <c r="D182" i="11"/>
  <c r="C182" i="11"/>
  <c r="G181" i="11"/>
  <c r="F181" i="11"/>
  <c r="D181" i="11"/>
  <c r="C181" i="11"/>
  <c r="G180" i="11"/>
  <c r="F180" i="11"/>
  <c r="D180" i="11"/>
  <c r="C180" i="11"/>
  <c r="G179" i="11"/>
  <c r="F179" i="11"/>
  <c r="D179" i="11"/>
  <c r="C179" i="11"/>
  <c r="G178" i="11"/>
  <c r="F178" i="11"/>
  <c r="D178" i="11"/>
  <c r="C178" i="11"/>
  <c r="G177" i="11"/>
  <c r="F177" i="11"/>
  <c r="D177" i="11"/>
  <c r="C177" i="11"/>
  <c r="G176" i="11"/>
  <c r="F176" i="11"/>
  <c r="D176" i="11"/>
  <c r="C176" i="11"/>
  <c r="G175" i="11"/>
  <c r="F175" i="11"/>
  <c r="D175" i="11"/>
  <c r="C175" i="11"/>
  <c r="G174" i="11"/>
  <c r="F174" i="11"/>
  <c r="D174" i="11"/>
  <c r="C174" i="11"/>
  <c r="G173" i="11"/>
  <c r="F173" i="11"/>
  <c r="D173" i="11"/>
  <c r="C173" i="11"/>
  <c r="G172" i="11"/>
  <c r="F172" i="11"/>
  <c r="D172" i="11"/>
  <c r="C172" i="11"/>
  <c r="G171" i="11"/>
  <c r="F171" i="11"/>
  <c r="D171" i="11"/>
  <c r="C171" i="11"/>
  <c r="G170" i="11"/>
  <c r="F170" i="11"/>
  <c r="D170" i="11"/>
  <c r="C170" i="11"/>
  <c r="G169" i="11"/>
  <c r="F169" i="11"/>
  <c r="D169" i="11"/>
  <c r="C169" i="11"/>
  <c r="G168" i="11"/>
  <c r="F168" i="11"/>
  <c r="D168" i="11"/>
  <c r="C168" i="11"/>
  <c r="G167" i="11"/>
  <c r="F167" i="11"/>
  <c r="D167" i="11"/>
  <c r="C167" i="11"/>
  <c r="G166" i="11"/>
  <c r="F166" i="11"/>
  <c r="D166" i="11"/>
  <c r="C166" i="11"/>
  <c r="G165" i="11"/>
  <c r="F165" i="11"/>
  <c r="D165" i="11"/>
  <c r="C165" i="11"/>
  <c r="G164" i="11"/>
  <c r="F164" i="11"/>
  <c r="D164" i="11"/>
  <c r="C164" i="11"/>
  <c r="G163" i="11"/>
  <c r="F163" i="11"/>
  <c r="D163" i="11"/>
  <c r="C163" i="11"/>
  <c r="G162" i="11"/>
  <c r="F162" i="11"/>
  <c r="D162" i="11"/>
  <c r="C162" i="11"/>
  <c r="G161" i="11"/>
  <c r="F161" i="11"/>
  <c r="D161" i="11"/>
  <c r="C161" i="11"/>
  <c r="G160" i="11"/>
  <c r="F160" i="11"/>
  <c r="D160" i="11"/>
  <c r="C160" i="11"/>
  <c r="G159" i="11"/>
  <c r="F159" i="11"/>
  <c r="D159" i="11"/>
  <c r="C159" i="11"/>
  <c r="G158" i="11"/>
  <c r="F158" i="11"/>
  <c r="D158" i="11"/>
  <c r="C158" i="11"/>
  <c r="G157" i="11"/>
  <c r="F157" i="11"/>
  <c r="D157" i="11"/>
  <c r="C157" i="11"/>
  <c r="G156" i="11"/>
  <c r="F156" i="11"/>
  <c r="D156" i="11"/>
  <c r="C156" i="11"/>
  <c r="G155" i="11"/>
  <c r="F155" i="11"/>
  <c r="D155" i="11"/>
  <c r="C155" i="11"/>
  <c r="G154" i="11"/>
  <c r="F154" i="11"/>
  <c r="D154" i="11"/>
  <c r="C154" i="11"/>
  <c r="G153" i="11"/>
  <c r="F153" i="11"/>
  <c r="D153" i="11"/>
  <c r="C153" i="11"/>
  <c r="G152" i="11"/>
  <c r="F152" i="11"/>
  <c r="D152" i="11"/>
  <c r="C152" i="11"/>
  <c r="G151" i="11"/>
  <c r="F151" i="11"/>
  <c r="D151" i="11"/>
  <c r="C151" i="11"/>
  <c r="G150" i="11"/>
  <c r="F150" i="11"/>
  <c r="D150" i="11"/>
  <c r="C150" i="11"/>
  <c r="G149" i="11"/>
  <c r="F149" i="11"/>
  <c r="D149" i="11"/>
  <c r="C149" i="11"/>
  <c r="G148" i="11"/>
  <c r="F148" i="11"/>
  <c r="D148" i="11"/>
  <c r="C148" i="11"/>
  <c r="G147" i="11"/>
  <c r="F147" i="11"/>
  <c r="D147" i="11"/>
  <c r="C147" i="11"/>
  <c r="G146" i="11"/>
  <c r="F146" i="11"/>
  <c r="D146" i="11"/>
  <c r="C146" i="11"/>
  <c r="G145" i="11"/>
  <c r="F145" i="11"/>
  <c r="D145" i="11"/>
  <c r="C145" i="11"/>
  <c r="G144" i="11"/>
  <c r="F144" i="11"/>
  <c r="D144" i="11"/>
  <c r="C144" i="11"/>
  <c r="G143" i="11"/>
  <c r="F143" i="11"/>
  <c r="D143" i="11"/>
  <c r="C143" i="11"/>
  <c r="G142" i="11"/>
  <c r="F142" i="11"/>
  <c r="D142" i="11"/>
  <c r="C142" i="11"/>
  <c r="G141" i="11"/>
  <c r="F141" i="11"/>
  <c r="D141" i="11"/>
  <c r="C141" i="11"/>
  <c r="G140" i="11"/>
  <c r="F140" i="11"/>
  <c r="D140" i="11"/>
  <c r="C140" i="11"/>
  <c r="G139" i="11"/>
  <c r="F139" i="11"/>
  <c r="D139" i="11"/>
  <c r="C139" i="11"/>
  <c r="G138" i="11"/>
  <c r="F138" i="11"/>
  <c r="D138" i="11"/>
  <c r="C138" i="11"/>
  <c r="G137" i="11"/>
  <c r="F137" i="11"/>
  <c r="D137" i="11"/>
  <c r="C137" i="11"/>
  <c r="G136" i="11"/>
  <c r="F136" i="11"/>
  <c r="D136" i="11"/>
  <c r="C136" i="11"/>
  <c r="G135" i="11"/>
  <c r="F135" i="11"/>
  <c r="D135" i="11"/>
  <c r="C135" i="11"/>
  <c r="G134" i="11"/>
  <c r="F134" i="11"/>
  <c r="D134" i="11"/>
  <c r="C134" i="11"/>
  <c r="G133" i="11"/>
  <c r="F133" i="11"/>
  <c r="D133" i="11"/>
  <c r="C133" i="11"/>
  <c r="G132" i="11"/>
  <c r="F132" i="11"/>
  <c r="D132" i="11"/>
  <c r="C132" i="11"/>
  <c r="G131" i="11"/>
  <c r="F131" i="11"/>
  <c r="D131" i="11"/>
  <c r="C131" i="11"/>
  <c r="G130" i="11"/>
  <c r="F130" i="11"/>
  <c r="D130" i="11"/>
  <c r="C130" i="11"/>
  <c r="G129" i="11"/>
  <c r="F129" i="11"/>
  <c r="D129" i="11"/>
  <c r="C129" i="11"/>
  <c r="G128" i="11"/>
  <c r="F128" i="11"/>
  <c r="D128" i="11"/>
  <c r="C128" i="11"/>
  <c r="G127" i="11"/>
  <c r="F127" i="11"/>
  <c r="D127" i="11"/>
  <c r="C127" i="11"/>
  <c r="G126" i="11"/>
  <c r="F126" i="11"/>
  <c r="D126" i="11"/>
  <c r="C126" i="11"/>
  <c r="G125" i="11"/>
  <c r="F125" i="11"/>
  <c r="D125" i="11"/>
  <c r="C125" i="11"/>
  <c r="G124" i="11"/>
  <c r="F124" i="11"/>
  <c r="D124" i="11"/>
  <c r="C124" i="11"/>
  <c r="G123" i="11"/>
  <c r="F123" i="11"/>
  <c r="D123" i="11"/>
  <c r="C123" i="11"/>
  <c r="G122" i="11"/>
  <c r="F122" i="11"/>
  <c r="D122" i="11"/>
  <c r="C122" i="11"/>
  <c r="G121" i="11"/>
  <c r="F121" i="11"/>
  <c r="D121" i="11"/>
  <c r="C121" i="11"/>
  <c r="G120" i="11"/>
  <c r="F120" i="11"/>
  <c r="D120" i="11"/>
  <c r="C120" i="11"/>
  <c r="G119" i="11"/>
  <c r="F119" i="11"/>
  <c r="D119" i="11"/>
  <c r="C119" i="11"/>
  <c r="G118" i="11"/>
  <c r="F118" i="11"/>
  <c r="D118" i="11"/>
  <c r="C118" i="11"/>
  <c r="G117" i="11"/>
  <c r="F117" i="11"/>
  <c r="D117" i="11"/>
  <c r="C117" i="11"/>
  <c r="G116" i="11"/>
  <c r="F116" i="11"/>
  <c r="D116" i="11"/>
  <c r="C116" i="11"/>
  <c r="G115" i="11"/>
  <c r="F115" i="11"/>
  <c r="D115" i="11"/>
  <c r="C115" i="11"/>
  <c r="G114" i="11"/>
  <c r="F114" i="11"/>
  <c r="D114" i="11"/>
  <c r="C114" i="11"/>
  <c r="G113" i="11"/>
  <c r="F113" i="11"/>
  <c r="D113" i="11"/>
  <c r="C113" i="11"/>
  <c r="G112" i="11"/>
  <c r="F112" i="11"/>
  <c r="D112" i="11"/>
  <c r="C112" i="11"/>
  <c r="G111" i="11"/>
  <c r="F111" i="11"/>
  <c r="D111" i="11"/>
  <c r="C111" i="11"/>
  <c r="G110" i="11"/>
  <c r="F110" i="11"/>
  <c r="D110" i="11"/>
  <c r="C110" i="11"/>
  <c r="G109" i="11"/>
  <c r="F109" i="11"/>
  <c r="D109" i="11"/>
  <c r="C109" i="11"/>
  <c r="G108" i="11"/>
  <c r="F108" i="11"/>
  <c r="D108" i="11"/>
  <c r="C108" i="11"/>
  <c r="G107" i="11"/>
  <c r="F107" i="11"/>
  <c r="D107" i="11"/>
  <c r="C107" i="11"/>
  <c r="G106" i="11"/>
  <c r="F106" i="11"/>
  <c r="D106" i="11"/>
  <c r="C106" i="11"/>
  <c r="G105" i="11"/>
  <c r="F105" i="11"/>
  <c r="D105" i="11"/>
  <c r="C105" i="11"/>
  <c r="G104" i="11"/>
  <c r="F104" i="11"/>
  <c r="D104" i="11"/>
  <c r="C104" i="11"/>
  <c r="G103" i="11"/>
  <c r="F103" i="11"/>
  <c r="D103" i="11"/>
  <c r="C103" i="11"/>
  <c r="G102" i="11"/>
  <c r="F102" i="11"/>
  <c r="D102" i="11"/>
  <c r="C102" i="11"/>
  <c r="G101" i="11"/>
  <c r="F101" i="11"/>
  <c r="D101" i="11"/>
  <c r="C101" i="11"/>
  <c r="G100" i="11"/>
  <c r="F100" i="11"/>
  <c r="D100" i="11"/>
  <c r="C100" i="11"/>
  <c r="G99" i="11"/>
  <c r="F99" i="11"/>
  <c r="D99" i="11"/>
  <c r="C99" i="11"/>
  <c r="G98" i="11"/>
  <c r="F98" i="11"/>
  <c r="D98" i="11"/>
  <c r="C98" i="11"/>
  <c r="G97" i="11"/>
  <c r="F97" i="11"/>
  <c r="D97" i="11"/>
  <c r="C97" i="11"/>
  <c r="G96" i="11"/>
  <c r="F96" i="11"/>
  <c r="D96" i="11"/>
  <c r="C96" i="11"/>
  <c r="G95" i="11"/>
  <c r="F95" i="11"/>
  <c r="D95" i="11"/>
  <c r="C95" i="11"/>
  <c r="G94" i="11"/>
  <c r="F94" i="11"/>
  <c r="D94" i="11"/>
  <c r="C94" i="11"/>
  <c r="G93" i="11"/>
  <c r="F93" i="11"/>
  <c r="D93" i="11"/>
  <c r="C93" i="11"/>
  <c r="A93" i="11"/>
  <c r="G92" i="11"/>
  <c r="F92" i="11"/>
  <c r="D92" i="11"/>
  <c r="C92" i="11"/>
  <c r="A92" i="11"/>
  <c r="G91" i="11"/>
  <c r="F91" i="11"/>
  <c r="D91" i="11"/>
  <c r="C91" i="11"/>
  <c r="A91" i="11"/>
  <c r="G90" i="11"/>
  <c r="F90" i="11"/>
  <c r="D90" i="11"/>
  <c r="C90" i="11"/>
  <c r="A90" i="11"/>
  <c r="G89" i="11"/>
  <c r="F89" i="11"/>
  <c r="D89" i="11"/>
  <c r="C89" i="11"/>
  <c r="A89" i="11"/>
  <c r="G88" i="11"/>
  <c r="F88" i="11"/>
  <c r="D88" i="11"/>
  <c r="C88" i="11"/>
  <c r="A88" i="11"/>
  <c r="G87" i="11"/>
  <c r="F87" i="11"/>
  <c r="D87" i="11"/>
  <c r="C87" i="11"/>
  <c r="A87" i="11"/>
  <c r="G86" i="11"/>
  <c r="F86" i="11"/>
  <c r="D86" i="11"/>
  <c r="C86" i="11"/>
  <c r="A86" i="11"/>
  <c r="G85" i="11"/>
  <c r="F85" i="11"/>
  <c r="D85" i="11"/>
  <c r="C85" i="11"/>
  <c r="A85" i="11"/>
  <c r="G84" i="11"/>
  <c r="F84" i="11"/>
  <c r="D84" i="11"/>
  <c r="C84" i="11"/>
  <c r="A84" i="11"/>
  <c r="G83" i="11"/>
  <c r="F83" i="11"/>
  <c r="D83" i="11"/>
  <c r="C83" i="11"/>
  <c r="A83" i="11"/>
  <c r="G82" i="11"/>
  <c r="F82" i="11"/>
  <c r="D82" i="11"/>
  <c r="C82" i="11"/>
  <c r="A82" i="11"/>
  <c r="G81" i="11"/>
  <c r="F81" i="11"/>
  <c r="D81" i="11"/>
  <c r="C81" i="11"/>
  <c r="A81" i="11"/>
  <c r="G80" i="11"/>
  <c r="F80" i="11"/>
  <c r="D80" i="11"/>
  <c r="C80" i="11"/>
  <c r="A80" i="11"/>
  <c r="G79" i="11"/>
  <c r="F79" i="11"/>
  <c r="D79" i="11"/>
  <c r="C79" i="11"/>
  <c r="A79" i="11"/>
  <c r="G78" i="11"/>
  <c r="F78" i="11"/>
  <c r="D78" i="11"/>
  <c r="C78" i="11"/>
  <c r="A78" i="11"/>
  <c r="G77" i="11"/>
  <c r="F77" i="11"/>
  <c r="D77" i="11"/>
  <c r="C77" i="11"/>
  <c r="A77" i="11"/>
  <c r="G76" i="11"/>
  <c r="F76" i="11"/>
  <c r="D76" i="11"/>
  <c r="C76" i="11"/>
  <c r="A76" i="11"/>
  <c r="G75" i="11"/>
  <c r="F75" i="11"/>
  <c r="D75" i="11"/>
  <c r="C75" i="11"/>
  <c r="A75" i="11"/>
  <c r="G74" i="11"/>
  <c r="F74" i="11"/>
  <c r="D74" i="11"/>
  <c r="C74" i="11"/>
  <c r="A74" i="11"/>
  <c r="G73" i="11"/>
  <c r="F73" i="11"/>
  <c r="D73" i="11"/>
  <c r="C73" i="11"/>
  <c r="A73" i="11"/>
  <c r="G72" i="11"/>
  <c r="F72" i="11"/>
  <c r="D72" i="11"/>
  <c r="C72" i="11"/>
  <c r="A72" i="11"/>
  <c r="G71" i="11"/>
  <c r="F71" i="11"/>
  <c r="D71" i="11"/>
  <c r="C71" i="11"/>
  <c r="A71" i="11"/>
  <c r="G70" i="11"/>
  <c r="F70" i="11"/>
  <c r="D70" i="11"/>
  <c r="C70" i="11"/>
  <c r="A70" i="11"/>
  <c r="G69" i="11"/>
  <c r="F69" i="11"/>
  <c r="D69" i="11"/>
  <c r="C69" i="11"/>
  <c r="A69" i="11"/>
  <c r="G68" i="11"/>
  <c r="F68" i="11"/>
  <c r="D68" i="11"/>
  <c r="C68" i="11"/>
  <c r="A68" i="11"/>
  <c r="G67" i="11"/>
  <c r="F67" i="11"/>
  <c r="D67" i="11"/>
  <c r="C67" i="11"/>
  <c r="A67" i="11"/>
  <c r="G66" i="11"/>
  <c r="F66" i="11"/>
  <c r="D66" i="11"/>
  <c r="C66" i="11"/>
  <c r="A66" i="11"/>
  <c r="G65" i="11"/>
  <c r="F65" i="11"/>
  <c r="D65" i="11"/>
  <c r="C65" i="11"/>
  <c r="A65" i="11"/>
  <c r="G64" i="11"/>
  <c r="F64" i="11"/>
  <c r="D64" i="11"/>
  <c r="C64" i="11"/>
  <c r="A64" i="11"/>
  <c r="G63" i="11"/>
  <c r="F63" i="11"/>
  <c r="D63" i="11"/>
  <c r="C63" i="11"/>
  <c r="A63" i="11"/>
  <c r="G62" i="11"/>
  <c r="F62" i="11"/>
  <c r="D62" i="11"/>
  <c r="C62" i="11"/>
  <c r="A62" i="11"/>
  <c r="G61" i="11"/>
  <c r="F61" i="11"/>
  <c r="D61" i="11"/>
  <c r="C61" i="11"/>
  <c r="A61" i="11"/>
  <c r="G60" i="11"/>
  <c r="F60" i="11"/>
  <c r="D60" i="11"/>
  <c r="C60" i="11"/>
  <c r="A60" i="11"/>
  <c r="G59" i="11"/>
  <c r="F59" i="11"/>
  <c r="D59" i="11"/>
  <c r="C59" i="11"/>
  <c r="A59" i="11"/>
  <c r="G58" i="11"/>
  <c r="F58" i="11"/>
  <c r="D58" i="11"/>
  <c r="C58" i="11"/>
  <c r="A58" i="11"/>
  <c r="G57" i="11"/>
  <c r="F57" i="11"/>
  <c r="D57" i="11"/>
  <c r="C57" i="11"/>
  <c r="A57" i="11"/>
  <c r="G56" i="11"/>
  <c r="F56" i="11"/>
  <c r="D56" i="11"/>
  <c r="C56" i="11"/>
  <c r="A56" i="11"/>
  <c r="G55" i="11"/>
  <c r="F55" i="11"/>
  <c r="D55" i="11"/>
  <c r="C55" i="11"/>
  <c r="A55" i="11"/>
  <c r="G54" i="11"/>
  <c r="F54" i="11"/>
  <c r="D54" i="11"/>
  <c r="C54" i="11"/>
  <c r="A54" i="11"/>
  <c r="G53" i="11"/>
  <c r="F53" i="11"/>
  <c r="D53" i="11"/>
  <c r="C53" i="11"/>
  <c r="A53" i="11"/>
  <c r="G52" i="11"/>
  <c r="F52" i="11"/>
  <c r="D52" i="11"/>
  <c r="C52" i="11"/>
  <c r="A52" i="11"/>
  <c r="G51" i="11"/>
  <c r="F51" i="11"/>
  <c r="D51" i="11"/>
  <c r="C51" i="11"/>
  <c r="A51" i="11"/>
  <c r="G50" i="11"/>
  <c r="F50" i="11"/>
  <c r="D50" i="11"/>
  <c r="C50" i="11"/>
  <c r="A50" i="11"/>
  <c r="G49" i="11"/>
  <c r="F49" i="11"/>
  <c r="D49" i="11"/>
  <c r="C49" i="11"/>
  <c r="A49" i="11"/>
  <c r="G48" i="11"/>
  <c r="F48" i="11"/>
  <c r="D48" i="11"/>
  <c r="C48" i="11"/>
  <c r="A48" i="11"/>
  <c r="G47" i="11"/>
  <c r="F47" i="11"/>
  <c r="D47" i="11"/>
  <c r="C47" i="11"/>
  <c r="A47" i="11"/>
  <c r="G46" i="11"/>
  <c r="F46" i="11"/>
  <c r="D46" i="11"/>
  <c r="C46" i="11"/>
  <c r="A46" i="11"/>
  <c r="G45" i="11"/>
  <c r="F45" i="11"/>
  <c r="D45" i="11"/>
  <c r="C45" i="11"/>
  <c r="A45" i="11"/>
  <c r="G44" i="11"/>
  <c r="F44" i="11"/>
  <c r="D44" i="11"/>
  <c r="C44" i="11"/>
  <c r="A44" i="11"/>
  <c r="G43" i="11"/>
  <c r="F43" i="11"/>
  <c r="D43" i="11"/>
  <c r="C43" i="11"/>
  <c r="A43" i="11"/>
  <c r="G42" i="11"/>
  <c r="F42" i="11"/>
  <c r="D42" i="11"/>
  <c r="C42" i="11"/>
  <c r="A42" i="11"/>
  <c r="G41" i="11"/>
  <c r="F41" i="11"/>
  <c r="D41" i="11"/>
  <c r="C41" i="11"/>
  <c r="A41" i="11"/>
  <c r="G40" i="11"/>
  <c r="F40" i="11"/>
  <c r="D40" i="11"/>
  <c r="C40" i="11"/>
  <c r="A40" i="11"/>
  <c r="G39" i="11"/>
  <c r="F39" i="11"/>
  <c r="D39" i="11"/>
  <c r="C39" i="11"/>
  <c r="A39" i="11"/>
  <c r="G38" i="11"/>
  <c r="F38" i="11"/>
  <c r="D38" i="11"/>
  <c r="C38" i="11"/>
  <c r="A38" i="11"/>
  <c r="G37" i="11"/>
  <c r="F37" i="11"/>
  <c r="D37" i="11"/>
  <c r="C37" i="11"/>
  <c r="A37" i="11"/>
  <c r="G36" i="11"/>
  <c r="F36" i="11"/>
  <c r="D36" i="11"/>
  <c r="C36" i="11"/>
  <c r="A36" i="11"/>
  <c r="G35" i="11"/>
  <c r="F35" i="11"/>
  <c r="D35" i="11"/>
  <c r="C35" i="11"/>
  <c r="A35" i="11"/>
  <c r="G34" i="11"/>
  <c r="F34" i="11"/>
  <c r="D34" i="11"/>
  <c r="C34" i="11"/>
  <c r="A34" i="11"/>
  <c r="G33" i="11"/>
  <c r="F33" i="11"/>
  <c r="D33" i="11"/>
  <c r="C33" i="11"/>
  <c r="A33" i="11"/>
  <c r="G32" i="11"/>
  <c r="F32" i="11"/>
  <c r="D32" i="11"/>
  <c r="C32" i="11"/>
  <c r="A32" i="11"/>
  <c r="G31" i="11"/>
  <c r="F31" i="11"/>
  <c r="D31" i="11"/>
  <c r="C31" i="11"/>
  <c r="A31" i="11"/>
  <c r="G30" i="11"/>
  <c r="F30" i="11"/>
  <c r="D30" i="11"/>
  <c r="C30" i="11"/>
  <c r="A30" i="11"/>
  <c r="G29" i="11"/>
  <c r="F29" i="11"/>
  <c r="D29" i="11"/>
  <c r="C29" i="11"/>
  <c r="A29" i="11"/>
  <c r="G28" i="11"/>
  <c r="F28" i="11"/>
  <c r="D28" i="11"/>
  <c r="C28" i="11"/>
  <c r="A28" i="11"/>
  <c r="G27" i="11"/>
  <c r="F27" i="11"/>
  <c r="D27" i="11"/>
  <c r="C27" i="11"/>
  <c r="A27" i="11"/>
  <c r="G26" i="11"/>
  <c r="F26" i="11"/>
  <c r="D26" i="11"/>
  <c r="C26" i="11"/>
  <c r="A26" i="11"/>
  <c r="G25" i="11"/>
  <c r="F25" i="11"/>
  <c r="D25" i="11"/>
  <c r="C25" i="11"/>
  <c r="A25" i="11"/>
  <c r="G24" i="11"/>
  <c r="F24" i="11"/>
  <c r="D24" i="11"/>
  <c r="C24" i="11"/>
  <c r="A24" i="11"/>
  <c r="G23" i="11"/>
  <c r="F23" i="11"/>
  <c r="D23" i="11"/>
  <c r="C23" i="11"/>
  <c r="A23" i="11"/>
  <c r="G22" i="11"/>
  <c r="F22" i="11"/>
  <c r="D22" i="11"/>
  <c r="C22" i="11"/>
  <c r="A22" i="11"/>
  <c r="G21" i="11"/>
  <c r="F21" i="11"/>
  <c r="D21" i="11"/>
  <c r="C21" i="11"/>
  <c r="A21" i="11"/>
  <c r="G20" i="11"/>
  <c r="F20" i="11"/>
  <c r="D20" i="11"/>
  <c r="C20" i="11"/>
  <c r="A20" i="11"/>
  <c r="G19" i="11"/>
  <c r="F19" i="11"/>
  <c r="D19" i="11"/>
  <c r="C19" i="11"/>
  <c r="A19" i="11"/>
  <c r="G18" i="11"/>
  <c r="F18" i="11"/>
  <c r="D18" i="11"/>
  <c r="C18" i="11"/>
  <c r="A18" i="11"/>
  <c r="D17" i="11"/>
  <c r="C17" i="11"/>
  <c r="F17" i="11" s="1"/>
  <c r="A17" i="11"/>
  <c r="D16" i="11"/>
  <c r="C16" i="11"/>
  <c r="F16" i="11" s="1"/>
  <c r="A16" i="11"/>
  <c r="D15" i="11"/>
  <c r="C15" i="11"/>
  <c r="F15" i="11" s="1"/>
  <c r="A15" i="11"/>
  <c r="D14" i="11"/>
  <c r="C14" i="11"/>
  <c r="F14" i="11" s="1"/>
  <c r="A14" i="11"/>
  <c r="D13" i="11"/>
  <c r="C13" i="11"/>
  <c r="F13" i="11" s="1"/>
  <c r="A13" i="11"/>
  <c r="D12" i="11"/>
  <c r="C12" i="11"/>
  <c r="F12" i="11" s="1"/>
  <c r="A12" i="11"/>
  <c r="D11" i="11"/>
  <c r="C11" i="11"/>
  <c r="F11" i="11" s="1"/>
  <c r="A11" i="11"/>
  <c r="D10" i="11"/>
  <c r="C10" i="11"/>
  <c r="F10" i="11" s="1"/>
  <c r="A10" i="11"/>
  <c r="D9" i="11"/>
  <c r="C9" i="11"/>
  <c r="F9" i="11" s="1"/>
  <c r="A9" i="11"/>
  <c r="D8" i="11"/>
  <c r="C8" i="11"/>
  <c r="F8" i="11" s="1"/>
  <c r="A8" i="11"/>
  <c r="D7" i="11"/>
  <c r="C7" i="11"/>
  <c r="F7" i="11" s="1"/>
  <c r="A7" i="11"/>
  <c r="D6" i="11"/>
  <c r="C6" i="11"/>
  <c r="F6" i="11" s="1"/>
  <c r="A6" i="11"/>
  <c r="D5" i="11"/>
  <c r="C5" i="11"/>
  <c r="F5" i="11" s="1"/>
  <c r="A5" i="11"/>
  <c r="D4" i="11"/>
  <c r="C4" i="11"/>
  <c r="F4" i="11" s="1"/>
  <c r="A4" i="11"/>
  <c r="H2" i="9"/>
  <c r="E2" i="9"/>
  <c r="D2" i="9"/>
  <c r="B2" i="9"/>
  <c r="H759" i="8"/>
  <c r="J758" i="8"/>
  <c r="H758" i="8"/>
  <c r="J757" i="8"/>
  <c r="H757" i="8"/>
  <c r="J756" i="8"/>
  <c r="H756" i="8"/>
  <c r="J755" i="8"/>
  <c r="H755" i="8"/>
  <c r="J754" i="8"/>
  <c r="H754" i="8"/>
  <c r="J753" i="8"/>
  <c r="H753" i="8"/>
  <c r="J752" i="8"/>
  <c r="H752" i="8"/>
  <c r="J751" i="8"/>
  <c r="H751" i="8"/>
  <c r="J750" i="8"/>
  <c r="H750" i="8"/>
  <c r="J749" i="8"/>
  <c r="H749" i="8"/>
  <c r="J748" i="8"/>
  <c r="H748" i="8"/>
  <c r="J747" i="8"/>
  <c r="H747" i="8"/>
  <c r="J746" i="8"/>
  <c r="H746" i="8"/>
  <c r="J745" i="8"/>
  <c r="H745" i="8"/>
  <c r="J744" i="8"/>
  <c r="H744" i="8"/>
  <c r="J743" i="8"/>
  <c r="H743" i="8"/>
  <c r="J742" i="8"/>
  <c r="H742" i="8"/>
  <c r="J741" i="8"/>
  <c r="H741" i="8"/>
  <c r="J740" i="8"/>
  <c r="H740" i="8"/>
  <c r="J739" i="8"/>
  <c r="I739" i="8"/>
  <c r="H739" i="8"/>
  <c r="J738" i="8"/>
  <c r="I738" i="8"/>
  <c r="H738" i="8"/>
  <c r="J737" i="8"/>
  <c r="H737" i="8"/>
  <c r="J736" i="8"/>
  <c r="H736" i="8"/>
  <c r="J735" i="8"/>
  <c r="H735" i="8"/>
  <c r="J734" i="8"/>
  <c r="H734" i="8"/>
  <c r="J733" i="8"/>
  <c r="H733" i="8"/>
  <c r="J732" i="8"/>
  <c r="H732" i="8"/>
  <c r="J731" i="8"/>
  <c r="H731" i="8"/>
  <c r="J730" i="8"/>
  <c r="H730" i="8"/>
  <c r="J729" i="8"/>
  <c r="H729" i="8"/>
  <c r="J728" i="8"/>
  <c r="I728" i="8"/>
  <c r="H728" i="8"/>
  <c r="J727" i="8"/>
  <c r="H727" i="8"/>
  <c r="J726" i="8"/>
  <c r="H726" i="8"/>
  <c r="J725" i="8"/>
  <c r="H725" i="8"/>
  <c r="J724" i="8"/>
  <c r="H724" i="8"/>
  <c r="E724" i="8"/>
  <c r="J723" i="8"/>
  <c r="H723" i="8"/>
  <c r="G723" i="8"/>
  <c r="E723" i="8"/>
  <c r="J722" i="8"/>
  <c r="H722" i="8"/>
  <c r="G722" i="8"/>
  <c r="E722" i="8"/>
  <c r="H721" i="8"/>
  <c r="G721" i="8"/>
  <c r="E721" i="8"/>
  <c r="H720" i="8"/>
  <c r="G720" i="8"/>
  <c r="E720" i="8"/>
  <c r="H719" i="8"/>
  <c r="G719" i="8"/>
  <c r="E719" i="8"/>
  <c r="H718" i="8"/>
  <c r="G718" i="8"/>
  <c r="E718" i="8"/>
  <c r="H717" i="8"/>
  <c r="G717" i="8"/>
  <c r="E717" i="8"/>
  <c r="H716" i="8"/>
  <c r="G716" i="8"/>
  <c r="E716" i="8"/>
  <c r="H715" i="8"/>
  <c r="G715" i="8"/>
  <c r="E715" i="8"/>
  <c r="H714" i="8"/>
  <c r="G714" i="8"/>
  <c r="E714" i="8"/>
  <c r="H713" i="8"/>
  <c r="G713" i="8"/>
  <c r="E713" i="8"/>
  <c r="H712" i="8"/>
  <c r="G712" i="8"/>
  <c r="E712" i="8"/>
  <c r="H711" i="8"/>
  <c r="G711" i="8"/>
  <c r="E711" i="8"/>
  <c r="H710" i="8"/>
  <c r="G710" i="8"/>
  <c r="E710" i="8"/>
  <c r="H709" i="8"/>
  <c r="G709" i="8"/>
  <c r="E709" i="8"/>
  <c r="H708" i="8"/>
  <c r="G708" i="8"/>
  <c r="E708" i="8"/>
  <c r="H707" i="8"/>
  <c r="G707" i="8"/>
  <c r="E707" i="8"/>
  <c r="H706" i="8"/>
  <c r="G706" i="8"/>
  <c r="E706" i="8"/>
  <c r="H705" i="8"/>
  <c r="G705" i="8"/>
  <c r="E705" i="8"/>
  <c r="H704" i="8"/>
  <c r="G704" i="8"/>
  <c r="F704" i="8"/>
  <c r="E704" i="8"/>
  <c r="H703" i="8"/>
  <c r="G703" i="8"/>
  <c r="F703" i="8"/>
  <c r="E703" i="8"/>
  <c r="H702" i="8"/>
  <c r="G702" i="8"/>
  <c r="E702" i="8"/>
  <c r="H701" i="8"/>
  <c r="G701" i="8"/>
  <c r="E701" i="8"/>
  <c r="H700" i="8"/>
  <c r="G700" i="8"/>
  <c r="E700" i="8"/>
  <c r="H699" i="8"/>
  <c r="G699" i="8"/>
  <c r="E699" i="8"/>
  <c r="H698" i="8"/>
  <c r="G698" i="8"/>
  <c r="E698" i="8"/>
  <c r="H697" i="8"/>
  <c r="G697" i="8"/>
  <c r="E697" i="8"/>
  <c r="H696" i="8"/>
  <c r="G696" i="8"/>
  <c r="E696" i="8"/>
  <c r="H695" i="8"/>
  <c r="G695" i="8"/>
  <c r="E695" i="8"/>
  <c r="H694" i="8"/>
  <c r="G694" i="8"/>
  <c r="E694" i="8"/>
  <c r="H693" i="8"/>
  <c r="G693" i="8"/>
  <c r="F693" i="8"/>
  <c r="E693" i="8"/>
  <c r="H692" i="8"/>
  <c r="G692" i="8"/>
  <c r="E692" i="8"/>
  <c r="H691" i="8"/>
  <c r="G691" i="8"/>
  <c r="E691" i="8"/>
  <c r="H690" i="8"/>
  <c r="G690" i="8"/>
  <c r="E690" i="8"/>
  <c r="H689" i="8"/>
  <c r="G689" i="8"/>
  <c r="E689" i="8"/>
  <c r="H688" i="8"/>
  <c r="G688" i="8"/>
  <c r="E688" i="8"/>
  <c r="H687" i="8"/>
  <c r="G687" i="8"/>
  <c r="E687" i="8"/>
  <c r="H686" i="8"/>
  <c r="E686" i="8"/>
  <c r="H685" i="8"/>
  <c r="E685" i="8"/>
  <c r="H684" i="8"/>
  <c r="E684" i="8"/>
  <c r="H683" i="8"/>
  <c r="E683" i="8"/>
  <c r="H682" i="8"/>
  <c r="E682" i="8"/>
  <c r="J681" i="8"/>
  <c r="H681" i="8"/>
  <c r="E681" i="8"/>
  <c r="H680" i="8"/>
  <c r="E680" i="8"/>
  <c r="H679" i="8"/>
  <c r="E679" i="8"/>
  <c r="H678" i="8"/>
  <c r="E678" i="8"/>
  <c r="H677" i="8"/>
  <c r="E677" i="8"/>
  <c r="H676" i="8"/>
  <c r="E676" i="8"/>
  <c r="H675" i="8"/>
  <c r="E675" i="8"/>
  <c r="H674" i="8"/>
  <c r="E674" i="8"/>
  <c r="H673" i="8"/>
  <c r="E673" i="8"/>
  <c r="H672" i="8"/>
  <c r="E672" i="8"/>
  <c r="H671" i="8"/>
  <c r="E671" i="8"/>
  <c r="H670" i="8"/>
  <c r="E670" i="8"/>
  <c r="H669" i="8"/>
  <c r="E669" i="8"/>
  <c r="H668" i="8"/>
  <c r="E668" i="8"/>
  <c r="H667" i="8"/>
  <c r="E667" i="8"/>
  <c r="H666" i="8"/>
  <c r="E666" i="8"/>
  <c r="H665" i="8"/>
  <c r="E665" i="8"/>
  <c r="H664" i="8"/>
  <c r="E664" i="8"/>
  <c r="H663" i="8"/>
  <c r="E663" i="8"/>
  <c r="H662" i="8"/>
  <c r="E662" i="8"/>
  <c r="H661" i="8"/>
  <c r="E661" i="8"/>
  <c r="H660" i="8"/>
  <c r="E660" i="8"/>
  <c r="H659" i="8"/>
  <c r="E659" i="8"/>
  <c r="H658" i="8"/>
  <c r="E658" i="8"/>
  <c r="H657" i="8"/>
  <c r="E657" i="8"/>
  <c r="H656" i="8"/>
  <c r="E656" i="8"/>
  <c r="H655" i="8"/>
  <c r="E655" i="8"/>
  <c r="H654" i="8"/>
  <c r="E654" i="8"/>
  <c r="H653" i="8"/>
  <c r="E653" i="8"/>
  <c r="H652" i="8"/>
  <c r="E652" i="8"/>
  <c r="H651" i="8"/>
  <c r="E651" i="8"/>
  <c r="H650" i="8"/>
  <c r="E650" i="8"/>
  <c r="H649" i="8"/>
  <c r="E649" i="8"/>
  <c r="H648" i="8"/>
  <c r="E648" i="8"/>
  <c r="H647" i="8"/>
  <c r="E647" i="8"/>
  <c r="H646" i="8"/>
  <c r="G646" i="8"/>
  <c r="E646" i="8"/>
  <c r="H645" i="8"/>
  <c r="E645" i="8"/>
  <c r="H644" i="8"/>
  <c r="E644" i="8"/>
  <c r="H643" i="8"/>
  <c r="E643" i="8"/>
  <c r="H642" i="8"/>
  <c r="E642" i="8"/>
  <c r="H641" i="8"/>
  <c r="E641" i="8"/>
  <c r="H640" i="8"/>
  <c r="E640" i="8"/>
  <c r="H639" i="8"/>
  <c r="E639" i="8"/>
  <c r="H638" i="8"/>
  <c r="E638" i="8"/>
  <c r="H637" i="8"/>
  <c r="E637" i="8"/>
  <c r="H636" i="8"/>
  <c r="E636" i="8"/>
  <c r="H635" i="8"/>
  <c r="E635" i="8"/>
  <c r="H634" i="8"/>
  <c r="E634" i="8"/>
  <c r="H633" i="8"/>
  <c r="E633" i="8"/>
  <c r="H632" i="8"/>
  <c r="E632" i="8"/>
  <c r="H631" i="8"/>
  <c r="E631" i="8"/>
  <c r="H630" i="8"/>
  <c r="E630" i="8"/>
  <c r="H629" i="8"/>
  <c r="E629" i="8"/>
  <c r="H628" i="8"/>
  <c r="E628" i="8"/>
  <c r="I627" i="8"/>
  <c r="H627" i="8"/>
  <c r="E627" i="8"/>
  <c r="H626" i="8"/>
  <c r="E626" i="8"/>
  <c r="I625" i="8"/>
  <c r="H625" i="8"/>
  <c r="E625" i="8"/>
  <c r="I624" i="8"/>
  <c r="H624" i="8"/>
  <c r="E624" i="8"/>
  <c r="H623" i="8"/>
  <c r="E623" i="8"/>
  <c r="H622" i="8"/>
  <c r="E622" i="8"/>
  <c r="I621" i="8"/>
  <c r="H621" i="8"/>
  <c r="E621" i="8"/>
  <c r="H620" i="8"/>
  <c r="E620" i="8"/>
  <c r="H619" i="8"/>
  <c r="E619" i="8"/>
  <c r="H618" i="8"/>
  <c r="E618" i="8"/>
  <c r="I617" i="8"/>
  <c r="H617" i="8"/>
  <c r="E617" i="8"/>
  <c r="J616" i="8"/>
  <c r="I616" i="8"/>
  <c r="H616" i="8"/>
  <c r="E616" i="8"/>
  <c r="J615" i="8"/>
  <c r="I615" i="8"/>
  <c r="H615" i="8"/>
  <c r="E615" i="8"/>
  <c r="H614" i="8"/>
  <c r="E614" i="8"/>
  <c r="H613" i="8"/>
  <c r="E613" i="8"/>
  <c r="I612" i="8"/>
  <c r="H612" i="8"/>
  <c r="E612" i="8"/>
  <c r="H611" i="8"/>
  <c r="E611" i="8"/>
  <c r="I610" i="8"/>
  <c r="H610" i="8"/>
  <c r="E610" i="8"/>
  <c r="I609" i="8"/>
  <c r="H609" i="8"/>
  <c r="E609" i="8"/>
  <c r="I608" i="8"/>
  <c r="H608" i="8"/>
  <c r="E608" i="8"/>
  <c r="I607" i="8"/>
  <c r="H607" i="8"/>
  <c r="E607" i="8"/>
  <c r="I606" i="8"/>
  <c r="H606" i="8"/>
  <c r="E606" i="8"/>
  <c r="I605" i="8"/>
  <c r="H605" i="8"/>
  <c r="E605" i="8"/>
  <c r="I604" i="8"/>
  <c r="H604" i="8"/>
  <c r="E604" i="8"/>
  <c r="I603" i="8"/>
  <c r="H603" i="8"/>
  <c r="E603" i="8"/>
  <c r="I602" i="8"/>
  <c r="H602" i="8"/>
  <c r="E602" i="8"/>
  <c r="J601" i="8"/>
  <c r="I601" i="8"/>
  <c r="H601" i="8"/>
  <c r="E601" i="8"/>
  <c r="J600" i="8"/>
  <c r="I600" i="8"/>
  <c r="H600" i="8"/>
  <c r="E600" i="8"/>
  <c r="H599" i="8"/>
  <c r="E599" i="8"/>
  <c r="J598" i="8"/>
  <c r="I598" i="8"/>
  <c r="H598" i="8"/>
  <c r="E598" i="8"/>
  <c r="H597" i="8"/>
  <c r="E597" i="8"/>
  <c r="I596" i="8"/>
  <c r="H596" i="8"/>
  <c r="E596" i="8"/>
  <c r="I595" i="8"/>
  <c r="H595" i="8"/>
  <c r="E595" i="8"/>
  <c r="I594" i="8"/>
  <c r="H594" i="8"/>
  <c r="E594" i="8"/>
  <c r="H593" i="8"/>
  <c r="E593" i="8"/>
  <c r="H592" i="8"/>
  <c r="F592" i="8"/>
  <c r="E592" i="8"/>
  <c r="H591" i="8"/>
  <c r="E591" i="8"/>
  <c r="I590" i="8"/>
  <c r="H590" i="8"/>
  <c r="F590" i="8"/>
  <c r="E590" i="8"/>
  <c r="H589" i="8"/>
  <c r="F589" i="8"/>
  <c r="E589" i="8"/>
  <c r="I588" i="8"/>
  <c r="H588" i="8"/>
  <c r="E588" i="8"/>
  <c r="I587" i="8"/>
  <c r="H587" i="8"/>
  <c r="E587" i="8"/>
  <c r="I586" i="8"/>
  <c r="H586" i="8"/>
  <c r="F586" i="8"/>
  <c r="E586" i="8"/>
  <c r="H585" i="8"/>
  <c r="E585" i="8"/>
  <c r="I584" i="8"/>
  <c r="H584" i="8"/>
  <c r="E584" i="8"/>
  <c r="H583" i="8"/>
  <c r="E583" i="8"/>
  <c r="J582" i="8"/>
  <c r="H582" i="8"/>
  <c r="F582" i="8"/>
  <c r="E582" i="8"/>
  <c r="H581" i="8"/>
  <c r="G581" i="8"/>
  <c r="F581" i="8"/>
  <c r="E581" i="8"/>
  <c r="I580" i="8"/>
  <c r="H580" i="8"/>
  <c r="G580" i="8"/>
  <c r="F580" i="8"/>
  <c r="E580" i="8"/>
  <c r="H579" i="8"/>
  <c r="E579" i="8"/>
  <c r="H578" i="8"/>
  <c r="E578" i="8"/>
  <c r="H577" i="8"/>
  <c r="F577" i="8"/>
  <c r="E577" i="8"/>
  <c r="H576" i="8"/>
  <c r="E576" i="8"/>
  <c r="J575" i="8"/>
  <c r="I575" i="8"/>
  <c r="H575" i="8"/>
  <c r="F575" i="8"/>
  <c r="E575" i="8"/>
  <c r="H574" i="8"/>
  <c r="F574" i="8"/>
  <c r="E574" i="8"/>
  <c r="J573" i="8"/>
  <c r="I573" i="8"/>
  <c r="H573" i="8"/>
  <c r="F573" i="8"/>
  <c r="E573" i="8"/>
  <c r="H572" i="8"/>
  <c r="F572" i="8"/>
  <c r="E572" i="8"/>
  <c r="H571" i="8"/>
  <c r="F571" i="8"/>
  <c r="E571" i="8"/>
  <c r="I570" i="8"/>
  <c r="H570" i="8"/>
  <c r="F570" i="8"/>
  <c r="E570" i="8"/>
  <c r="I569" i="8"/>
  <c r="H569" i="8"/>
  <c r="F569" i="8"/>
  <c r="E569" i="8"/>
  <c r="I568" i="8"/>
  <c r="H568" i="8"/>
  <c r="F568" i="8"/>
  <c r="E568" i="8"/>
  <c r="I567" i="8"/>
  <c r="H567" i="8"/>
  <c r="F567" i="8"/>
  <c r="E567" i="8"/>
  <c r="I566" i="8"/>
  <c r="H566" i="8"/>
  <c r="G566" i="8"/>
  <c r="F566" i="8"/>
  <c r="E566" i="8"/>
  <c r="I565" i="8"/>
  <c r="H565" i="8"/>
  <c r="G565" i="8"/>
  <c r="F565" i="8"/>
  <c r="E565" i="8"/>
  <c r="I564" i="8"/>
  <c r="H564" i="8"/>
  <c r="E564" i="8"/>
  <c r="I563" i="8"/>
  <c r="H563" i="8"/>
  <c r="G563" i="8"/>
  <c r="F563" i="8"/>
  <c r="E563" i="8"/>
  <c r="I562" i="8"/>
  <c r="H562" i="8"/>
  <c r="E562" i="8"/>
  <c r="H561" i="8"/>
  <c r="F561" i="8"/>
  <c r="E561" i="8"/>
  <c r="H560" i="8"/>
  <c r="F560" i="8"/>
  <c r="E560" i="8"/>
  <c r="H559" i="8"/>
  <c r="F559" i="8"/>
  <c r="E559" i="8"/>
  <c r="I558" i="8"/>
  <c r="H558" i="8"/>
  <c r="E558" i="8"/>
  <c r="H557" i="8"/>
  <c r="E557" i="8"/>
  <c r="I556" i="8"/>
  <c r="H556" i="8"/>
  <c r="E556" i="8"/>
  <c r="I555" i="8"/>
  <c r="H555" i="8"/>
  <c r="F555" i="8"/>
  <c r="E555" i="8"/>
  <c r="H554" i="8"/>
  <c r="E554" i="8"/>
  <c r="H553" i="8"/>
  <c r="F553" i="8"/>
  <c r="E553" i="8"/>
  <c r="H552" i="8"/>
  <c r="F552" i="8"/>
  <c r="E552" i="8"/>
  <c r="H551" i="8"/>
  <c r="F551" i="8"/>
  <c r="E551" i="8"/>
  <c r="I550" i="8"/>
  <c r="H550" i="8"/>
  <c r="E550" i="8"/>
  <c r="I549" i="8"/>
  <c r="H549" i="8"/>
  <c r="F549" i="8"/>
  <c r="E549" i="8"/>
  <c r="I548" i="8"/>
  <c r="H548" i="8"/>
  <c r="E548" i="8"/>
  <c r="I547" i="8"/>
  <c r="H547" i="8"/>
  <c r="G547" i="8"/>
  <c r="E547" i="8"/>
  <c r="I546" i="8"/>
  <c r="H546" i="8"/>
  <c r="E546" i="8"/>
  <c r="I545" i="8"/>
  <c r="H545" i="8"/>
  <c r="F545" i="8"/>
  <c r="E545" i="8"/>
  <c r="I544" i="8"/>
  <c r="H544" i="8"/>
  <c r="E544" i="8"/>
  <c r="I543" i="8"/>
  <c r="H543" i="8"/>
  <c r="E543" i="8"/>
  <c r="I542" i="8"/>
  <c r="H542" i="8"/>
  <c r="E542" i="8"/>
  <c r="I541" i="8"/>
  <c r="H541" i="8"/>
  <c r="E541" i="8"/>
  <c r="I540" i="8"/>
  <c r="H540" i="8"/>
  <c r="G540" i="8"/>
  <c r="F540" i="8"/>
  <c r="E540" i="8"/>
  <c r="I539" i="8"/>
  <c r="H539" i="8"/>
  <c r="E539" i="8"/>
  <c r="I538" i="8"/>
  <c r="H538" i="8"/>
  <c r="G538" i="8"/>
  <c r="F538" i="8"/>
  <c r="E538" i="8"/>
  <c r="I537" i="8"/>
  <c r="H537" i="8"/>
  <c r="E537" i="8"/>
  <c r="I536" i="8"/>
  <c r="H536" i="8"/>
  <c r="E536" i="8"/>
  <c r="J535" i="8"/>
  <c r="I535" i="8"/>
  <c r="H535" i="8"/>
  <c r="F535" i="8"/>
  <c r="E535" i="8"/>
  <c r="J534" i="8"/>
  <c r="I534" i="8"/>
  <c r="H534" i="8"/>
  <c r="F534" i="8"/>
  <c r="E534" i="8"/>
  <c r="J533" i="8"/>
  <c r="I533" i="8"/>
  <c r="H533" i="8"/>
  <c r="F533" i="8"/>
  <c r="E533" i="8"/>
  <c r="J532" i="8"/>
  <c r="I532" i="8"/>
  <c r="H532" i="8"/>
  <c r="F532" i="8"/>
  <c r="E532" i="8"/>
  <c r="I531" i="8"/>
  <c r="H531" i="8"/>
  <c r="F531" i="8"/>
  <c r="E531" i="8"/>
  <c r="I530" i="8"/>
  <c r="H530" i="8"/>
  <c r="F530" i="8"/>
  <c r="E530" i="8"/>
  <c r="I529" i="8"/>
  <c r="H529" i="8"/>
  <c r="F529" i="8"/>
  <c r="E529" i="8"/>
  <c r="I528" i="8"/>
  <c r="H528" i="8"/>
  <c r="F528" i="8"/>
  <c r="E528" i="8"/>
  <c r="I527" i="8"/>
  <c r="H527" i="8"/>
  <c r="F527" i="8"/>
  <c r="E527" i="8"/>
  <c r="I526" i="8"/>
  <c r="H526" i="8"/>
  <c r="E526" i="8"/>
  <c r="H525" i="8"/>
  <c r="E525" i="8"/>
  <c r="I524" i="8"/>
  <c r="H524" i="8"/>
  <c r="E524" i="8"/>
  <c r="I523" i="8"/>
  <c r="H523" i="8"/>
  <c r="F523" i="8"/>
  <c r="E523" i="8"/>
  <c r="I522" i="8"/>
  <c r="H522" i="8"/>
  <c r="E522" i="8"/>
  <c r="I521" i="8"/>
  <c r="H521" i="8"/>
  <c r="F521" i="8"/>
  <c r="E521" i="8"/>
  <c r="I520" i="8"/>
  <c r="H520" i="8"/>
  <c r="F520" i="8"/>
  <c r="E520" i="8"/>
  <c r="I519" i="8"/>
  <c r="H519" i="8"/>
  <c r="E519" i="8"/>
  <c r="I518" i="8"/>
  <c r="H518" i="8"/>
  <c r="E518" i="8"/>
  <c r="I517" i="8"/>
  <c r="H517" i="8"/>
  <c r="E517" i="8"/>
  <c r="I516" i="8"/>
  <c r="H516" i="8"/>
  <c r="E516" i="8"/>
  <c r="I515" i="8"/>
  <c r="H515" i="8"/>
  <c r="F515" i="8"/>
  <c r="E515" i="8"/>
  <c r="I514" i="8"/>
  <c r="H514" i="8"/>
  <c r="F514" i="8"/>
  <c r="E514" i="8"/>
  <c r="I513" i="8"/>
  <c r="H513" i="8"/>
  <c r="F513" i="8"/>
  <c r="E513" i="8"/>
  <c r="I512" i="8"/>
  <c r="H512" i="8"/>
  <c r="F512" i="8"/>
  <c r="E512" i="8"/>
  <c r="I511" i="8"/>
  <c r="H511" i="8"/>
  <c r="F511" i="8"/>
  <c r="E511" i="8"/>
  <c r="I510" i="8"/>
  <c r="H510" i="8"/>
  <c r="F510" i="8"/>
  <c r="E510" i="8"/>
  <c r="I509" i="8"/>
  <c r="H509" i="8"/>
  <c r="F509" i="8"/>
  <c r="E509" i="8"/>
  <c r="I508" i="8"/>
  <c r="H508" i="8"/>
  <c r="F508" i="8"/>
  <c r="E508" i="8"/>
  <c r="I507" i="8"/>
  <c r="H507" i="8"/>
  <c r="F507" i="8"/>
  <c r="E507" i="8"/>
  <c r="I506" i="8"/>
  <c r="H506" i="8"/>
  <c r="F506" i="8"/>
  <c r="E506" i="8"/>
  <c r="I505" i="8"/>
  <c r="H505" i="8"/>
  <c r="F505" i="8"/>
  <c r="E505" i="8"/>
  <c r="I504" i="8"/>
  <c r="H504" i="8"/>
  <c r="F504" i="8"/>
  <c r="E504" i="8"/>
  <c r="I503" i="8"/>
  <c r="H503" i="8"/>
  <c r="F503" i="8"/>
  <c r="E503" i="8"/>
  <c r="H502" i="8"/>
  <c r="F502" i="8"/>
  <c r="E502" i="8"/>
  <c r="H501" i="8"/>
  <c r="F501" i="8"/>
  <c r="E501" i="8"/>
  <c r="H500" i="8"/>
  <c r="G500" i="8"/>
  <c r="F500" i="8"/>
  <c r="E500" i="8"/>
  <c r="H499" i="8"/>
  <c r="G499" i="8"/>
  <c r="F499" i="8"/>
  <c r="E499" i="8"/>
  <c r="H498" i="8"/>
  <c r="G498" i="8"/>
  <c r="F498" i="8"/>
  <c r="E498" i="8"/>
  <c r="H497" i="8"/>
  <c r="G497" i="8"/>
  <c r="F497" i="8"/>
  <c r="E497" i="8"/>
  <c r="J496" i="8"/>
  <c r="H496" i="8"/>
  <c r="F496" i="8"/>
  <c r="E496" i="8"/>
  <c r="H495" i="8"/>
  <c r="F495" i="8"/>
  <c r="E495" i="8"/>
  <c r="H494" i="8"/>
  <c r="F494" i="8"/>
  <c r="E494" i="8"/>
  <c r="H493" i="8"/>
  <c r="F493" i="8"/>
  <c r="E493" i="8"/>
  <c r="H492" i="8"/>
  <c r="F492" i="8"/>
  <c r="E492" i="8"/>
  <c r="H491" i="8"/>
  <c r="F491" i="8"/>
  <c r="E491" i="8"/>
  <c r="H490" i="8"/>
  <c r="E490" i="8"/>
  <c r="H489" i="8"/>
  <c r="F489" i="8"/>
  <c r="E489" i="8"/>
  <c r="H488" i="8"/>
  <c r="F488" i="8"/>
  <c r="E488" i="8"/>
  <c r="H487" i="8"/>
  <c r="F487" i="8"/>
  <c r="E487" i="8"/>
  <c r="I486" i="8"/>
  <c r="H486" i="8"/>
  <c r="F486" i="8"/>
  <c r="E486" i="8"/>
  <c r="H485" i="8"/>
  <c r="F485" i="8"/>
  <c r="E485" i="8"/>
  <c r="H484" i="8"/>
  <c r="F484" i="8"/>
  <c r="E484" i="8"/>
  <c r="H483" i="8"/>
  <c r="F483" i="8"/>
  <c r="E483" i="8"/>
  <c r="H482" i="8"/>
  <c r="F482" i="8"/>
  <c r="E482" i="8"/>
  <c r="I481" i="8"/>
  <c r="H481" i="8"/>
  <c r="F481" i="8"/>
  <c r="E481" i="8"/>
  <c r="H480" i="8"/>
  <c r="F480" i="8"/>
  <c r="E480" i="8"/>
  <c r="H479" i="8"/>
  <c r="F479" i="8"/>
  <c r="E479" i="8"/>
  <c r="H478" i="8"/>
  <c r="F478" i="8"/>
  <c r="E478" i="8"/>
  <c r="H477" i="8"/>
  <c r="F477" i="8"/>
  <c r="E477" i="8"/>
  <c r="I476" i="8"/>
  <c r="H476" i="8"/>
  <c r="F476" i="8"/>
  <c r="E476" i="8"/>
  <c r="I475" i="8"/>
  <c r="H475" i="8"/>
  <c r="F475" i="8"/>
  <c r="E475" i="8"/>
  <c r="I474" i="8"/>
  <c r="H474" i="8"/>
  <c r="F474" i="8"/>
  <c r="E474" i="8"/>
  <c r="I473" i="8"/>
  <c r="H473" i="8"/>
  <c r="F473" i="8"/>
  <c r="E473" i="8"/>
  <c r="H472" i="8"/>
  <c r="F472" i="8"/>
  <c r="E472" i="8"/>
  <c r="I471" i="8"/>
  <c r="H471" i="8"/>
  <c r="F471" i="8"/>
  <c r="E471" i="8"/>
  <c r="I470" i="8"/>
  <c r="H470" i="8"/>
  <c r="F470" i="8"/>
  <c r="E470" i="8"/>
  <c r="J469" i="8"/>
  <c r="I469" i="8"/>
  <c r="H469" i="8"/>
  <c r="F469" i="8"/>
  <c r="E469" i="8"/>
  <c r="I468" i="8"/>
  <c r="H468" i="8"/>
  <c r="F468" i="8"/>
  <c r="E468" i="8"/>
  <c r="I467" i="8"/>
  <c r="H467" i="8"/>
  <c r="E467" i="8"/>
  <c r="I466" i="8"/>
  <c r="H466" i="8"/>
  <c r="E466" i="8"/>
  <c r="I465" i="8"/>
  <c r="H465" i="8"/>
  <c r="E465" i="8"/>
  <c r="I464" i="8"/>
  <c r="H464" i="8"/>
  <c r="E464" i="8"/>
  <c r="I463" i="8"/>
  <c r="H463" i="8"/>
  <c r="E463" i="8"/>
  <c r="I462" i="8"/>
  <c r="H462" i="8"/>
  <c r="E462" i="8"/>
  <c r="I461" i="8"/>
  <c r="H461" i="8"/>
  <c r="G461" i="8"/>
  <c r="E461" i="8"/>
  <c r="I460" i="8"/>
  <c r="H460" i="8"/>
  <c r="E460" i="8"/>
  <c r="I459" i="8"/>
  <c r="H459" i="8"/>
  <c r="E459" i="8"/>
  <c r="I458" i="8"/>
  <c r="H458" i="8"/>
  <c r="E458" i="8"/>
  <c r="I457" i="8"/>
  <c r="H457" i="8"/>
  <c r="E457" i="8"/>
  <c r="I456" i="8"/>
  <c r="H456" i="8"/>
  <c r="E456" i="8"/>
  <c r="H455" i="8"/>
  <c r="E455" i="8"/>
  <c r="H454" i="8"/>
  <c r="E454" i="8"/>
  <c r="I453" i="8"/>
  <c r="H453" i="8"/>
  <c r="E453" i="8"/>
  <c r="I452" i="8"/>
  <c r="H452" i="8"/>
  <c r="E452" i="8"/>
  <c r="I451" i="8"/>
  <c r="H451" i="8"/>
  <c r="F451" i="8"/>
  <c r="E451" i="8"/>
  <c r="I450" i="8"/>
  <c r="H450" i="8"/>
  <c r="E450" i="8"/>
  <c r="I449" i="8"/>
  <c r="H449" i="8"/>
  <c r="E449" i="8"/>
  <c r="J448" i="8"/>
  <c r="I448" i="8"/>
  <c r="H448" i="8"/>
  <c r="E448" i="8"/>
  <c r="I447" i="8"/>
  <c r="H447" i="8"/>
  <c r="E447" i="8"/>
  <c r="I446" i="8"/>
  <c r="H446" i="8"/>
  <c r="F446" i="8"/>
  <c r="E446" i="8"/>
  <c r="I445" i="8"/>
  <c r="H445" i="8"/>
  <c r="E445" i="8"/>
  <c r="H444" i="8"/>
  <c r="E444" i="8"/>
  <c r="I443" i="8"/>
  <c r="H443" i="8"/>
  <c r="E443" i="8"/>
  <c r="I442" i="8"/>
  <c r="H442" i="8"/>
  <c r="E442" i="8"/>
  <c r="H441" i="8"/>
  <c r="F441" i="8"/>
  <c r="E441" i="8"/>
  <c r="H440" i="8"/>
  <c r="F440" i="8"/>
  <c r="E440" i="8"/>
  <c r="H439" i="8"/>
  <c r="F439" i="8"/>
  <c r="E439" i="8"/>
  <c r="H438" i="8"/>
  <c r="F438" i="8"/>
  <c r="E438" i="8"/>
  <c r="I437" i="8"/>
  <c r="H437" i="8"/>
  <c r="E437" i="8"/>
  <c r="H436" i="8"/>
  <c r="F436" i="8"/>
  <c r="E436" i="8"/>
  <c r="I435" i="8"/>
  <c r="H435" i="8"/>
  <c r="F435" i="8"/>
  <c r="E435" i="8"/>
  <c r="I434" i="8"/>
  <c r="H434" i="8"/>
  <c r="G434" i="8"/>
  <c r="F434" i="8"/>
  <c r="E434" i="8"/>
  <c r="H433" i="8"/>
  <c r="F433" i="8"/>
  <c r="E433" i="8"/>
  <c r="H432" i="8"/>
  <c r="F432" i="8"/>
  <c r="E432" i="8"/>
  <c r="H431" i="8"/>
  <c r="F431" i="8"/>
  <c r="E431" i="8"/>
  <c r="H430" i="8"/>
  <c r="F430" i="8"/>
  <c r="E430" i="8"/>
  <c r="H429" i="8"/>
  <c r="F429" i="8"/>
  <c r="E429" i="8"/>
  <c r="H428" i="8"/>
  <c r="F428" i="8"/>
  <c r="E428" i="8"/>
  <c r="I427" i="8"/>
  <c r="H427" i="8"/>
  <c r="F427" i="8"/>
  <c r="E427" i="8"/>
  <c r="H426" i="8"/>
  <c r="F426" i="8"/>
  <c r="E426" i="8"/>
  <c r="I425" i="8"/>
  <c r="H425" i="8"/>
  <c r="F425" i="8"/>
  <c r="E425" i="8"/>
  <c r="I424" i="8"/>
  <c r="H424" i="8"/>
  <c r="F424" i="8"/>
  <c r="E424" i="8"/>
  <c r="I423" i="8"/>
  <c r="H423" i="8"/>
  <c r="F423" i="8"/>
  <c r="E423" i="8"/>
  <c r="I422" i="8"/>
  <c r="H422" i="8"/>
  <c r="F422" i="8"/>
  <c r="E422" i="8"/>
  <c r="I421" i="8"/>
  <c r="H421" i="8"/>
  <c r="F421" i="8"/>
  <c r="E421" i="8"/>
  <c r="H420" i="8"/>
  <c r="E420" i="8"/>
  <c r="H419" i="8"/>
  <c r="E419" i="8"/>
  <c r="I418" i="8"/>
  <c r="H418" i="8"/>
  <c r="F418" i="8"/>
  <c r="E418" i="8"/>
  <c r="I417" i="8"/>
  <c r="H417" i="8"/>
  <c r="F417" i="8"/>
  <c r="E417" i="8"/>
  <c r="I416" i="8"/>
  <c r="H416" i="8"/>
  <c r="F416" i="8"/>
  <c r="E416" i="8"/>
  <c r="I415" i="8"/>
  <c r="H415" i="8"/>
  <c r="F415" i="8"/>
  <c r="E415" i="8"/>
  <c r="I414" i="8"/>
  <c r="H414" i="8"/>
  <c r="F414" i="8"/>
  <c r="E414" i="8"/>
  <c r="I413" i="8"/>
  <c r="H413" i="8"/>
  <c r="G413" i="8"/>
  <c r="F413" i="8"/>
  <c r="E413" i="8"/>
  <c r="I412" i="8"/>
  <c r="H412" i="8"/>
  <c r="F412" i="8"/>
  <c r="E412" i="8"/>
  <c r="I411" i="8"/>
  <c r="H411" i="8"/>
  <c r="F411" i="8"/>
  <c r="E411" i="8"/>
  <c r="I410" i="8"/>
  <c r="H410" i="8"/>
  <c r="F410" i="8"/>
  <c r="E410" i="8"/>
  <c r="I409" i="8"/>
  <c r="H409" i="8"/>
  <c r="E409" i="8"/>
  <c r="I408" i="8"/>
  <c r="H408" i="8"/>
  <c r="F408" i="8"/>
  <c r="E408" i="8"/>
  <c r="I407" i="8"/>
  <c r="H407" i="8"/>
  <c r="F407" i="8"/>
  <c r="E407" i="8"/>
  <c r="I406" i="8"/>
  <c r="H406" i="8"/>
  <c r="E406" i="8"/>
  <c r="I405" i="8"/>
  <c r="H405" i="8"/>
  <c r="E405" i="8"/>
  <c r="H404" i="8"/>
  <c r="E404" i="8"/>
  <c r="I403" i="8"/>
  <c r="H403" i="8"/>
  <c r="E403" i="8"/>
  <c r="I402" i="8"/>
  <c r="H402" i="8"/>
  <c r="F402" i="8"/>
  <c r="E402" i="8"/>
  <c r="I401" i="8"/>
  <c r="H401" i="8"/>
  <c r="E401" i="8"/>
  <c r="I400" i="8"/>
  <c r="H400" i="8"/>
  <c r="F400" i="8"/>
  <c r="E400" i="8"/>
  <c r="I399" i="8"/>
  <c r="H399" i="8"/>
  <c r="F399" i="8"/>
  <c r="E399" i="8"/>
  <c r="H398" i="8"/>
  <c r="E398" i="8"/>
  <c r="I397" i="8"/>
  <c r="H397" i="8"/>
  <c r="E397" i="8"/>
  <c r="I396" i="8"/>
  <c r="H396" i="8"/>
  <c r="E396" i="8"/>
  <c r="I395" i="8"/>
  <c r="H395" i="8"/>
  <c r="E395" i="8"/>
  <c r="I394" i="8"/>
  <c r="H394" i="8"/>
  <c r="E394" i="8"/>
  <c r="I393" i="8"/>
  <c r="H393" i="8"/>
  <c r="E393" i="8"/>
  <c r="I392" i="8"/>
  <c r="H392" i="8"/>
  <c r="F392" i="8"/>
  <c r="E392" i="8"/>
  <c r="I391" i="8"/>
  <c r="H391" i="8"/>
  <c r="E391" i="8"/>
  <c r="I390" i="8"/>
  <c r="H390" i="8"/>
  <c r="F390" i="8"/>
  <c r="E390" i="8"/>
  <c r="I389" i="8"/>
  <c r="H389" i="8"/>
  <c r="F389" i="8"/>
  <c r="E389" i="8"/>
  <c r="I388" i="8"/>
  <c r="H388" i="8"/>
  <c r="F388" i="8"/>
  <c r="E388" i="8"/>
  <c r="I387" i="8"/>
  <c r="H387" i="8"/>
  <c r="F387" i="8"/>
  <c r="E387" i="8"/>
  <c r="I386" i="8"/>
  <c r="H386" i="8"/>
  <c r="F386" i="8"/>
  <c r="E386" i="8"/>
  <c r="I385" i="8"/>
  <c r="H385" i="8"/>
  <c r="E385" i="8"/>
  <c r="I384" i="8"/>
  <c r="H384" i="8"/>
  <c r="E384" i="8"/>
  <c r="I383" i="8"/>
  <c r="H383" i="8"/>
  <c r="F383" i="8"/>
  <c r="E383" i="8"/>
  <c r="I382" i="8"/>
  <c r="H382" i="8"/>
  <c r="F382" i="8"/>
  <c r="E382" i="8"/>
  <c r="I381" i="8"/>
  <c r="H381" i="8"/>
  <c r="F381" i="8"/>
  <c r="E381" i="8"/>
  <c r="H380" i="8"/>
  <c r="F380" i="8"/>
  <c r="E380" i="8"/>
  <c r="I379" i="8"/>
  <c r="H379" i="8"/>
  <c r="F379" i="8"/>
  <c r="E379" i="8"/>
  <c r="I378" i="8"/>
  <c r="H378" i="8"/>
  <c r="F378" i="8"/>
  <c r="E378" i="8"/>
  <c r="I377" i="8"/>
  <c r="H377" i="8"/>
  <c r="F377" i="8"/>
  <c r="E377" i="8"/>
  <c r="I376" i="8"/>
  <c r="H376" i="8"/>
  <c r="F376" i="8"/>
  <c r="E376" i="8"/>
  <c r="I375" i="8"/>
  <c r="H375" i="8"/>
  <c r="F375" i="8"/>
  <c r="E375" i="8"/>
  <c r="I374" i="8"/>
  <c r="H374" i="8"/>
  <c r="F374" i="8"/>
  <c r="E374" i="8"/>
  <c r="I373" i="8"/>
  <c r="H373" i="8"/>
  <c r="F373" i="8"/>
  <c r="E373" i="8"/>
  <c r="I372" i="8"/>
  <c r="H372" i="8"/>
  <c r="F372" i="8"/>
  <c r="E372" i="8"/>
  <c r="I371" i="8"/>
  <c r="H371" i="8"/>
  <c r="F371" i="8"/>
  <c r="E371" i="8"/>
  <c r="I370" i="8"/>
  <c r="H370" i="8"/>
  <c r="F370" i="8"/>
  <c r="E370" i="8"/>
  <c r="I369" i="8"/>
  <c r="H369" i="8"/>
  <c r="E369" i="8"/>
  <c r="I368" i="8"/>
  <c r="H368" i="8"/>
  <c r="F368" i="8"/>
  <c r="E368" i="8"/>
  <c r="I367" i="8"/>
  <c r="H367" i="8"/>
  <c r="F367" i="8"/>
  <c r="E367" i="8"/>
  <c r="I366" i="8"/>
  <c r="H366" i="8"/>
  <c r="F366" i="8"/>
  <c r="E366" i="8"/>
  <c r="I365" i="8"/>
  <c r="H365" i="8"/>
  <c r="F365" i="8"/>
  <c r="E365" i="8"/>
  <c r="I364" i="8"/>
  <c r="H364" i="8"/>
  <c r="F364" i="8"/>
  <c r="E364" i="8"/>
  <c r="I363" i="8"/>
  <c r="H363" i="8"/>
  <c r="E363" i="8"/>
  <c r="I362" i="8"/>
  <c r="H362" i="8"/>
  <c r="F362" i="8"/>
  <c r="E362" i="8"/>
  <c r="I361" i="8"/>
  <c r="H361" i="8"/>
  <c r="F361" i="8"/>
  <c r="E361" i="8"/>
  <c r="I360" i="8"/>
  <c r="H360" i="8"/>
  <c r="F360" i="8"/>
  <c r="E360" i="8"/>
  <c r="H359" i="8"/>
  <c r="F359" i="8"/>
  <c r="E359" i="8"/>
  <c r="I358" i="8"/>
  <c r="H358" i="8"/>
  <c r="F358" i="8"/>
  <c r="E358" i="8"/>
  <c r="I357" i="8"/>
  <c r="H357" i="8"/>
  <c r="F357" i="8"/>
  <c r="E357" i="8"/>
  <c r="I356" i="8"/>
  <c r="H356" i="8"/>
  <c r="F356" i="8"/>
  <c r="E356" i="8"/>
  <c r="I355" i="8"/>
  <c r="H355" i="8"/>
  <c r="F355" i="8"/>
  <c r="E355" i="8"/>
  <c r="I354" i="8"/>
  <c r="H354" i="8"/>
  <c r="F354" i="8"/>
  <c r="E354" i="8"/>
  <c r="I353" i="8"/>
  <c r="H353" i="8"/>
  <c r="F353" i="8"/>
  <c r="E353" i="8"/>
  <c r="I352" i="8"/>
  <c r="H352" i="8"/>
  <c r="F352" i="8"/>
  <c r="E352" i="8"/>
  <c r="I351" i="8"/>
  <c r="H351" i="8"/>
  <c r="F351" i="8"/>
  <c r="E351" i="8"/>
  <c r="I350" i="8"/>
  <c r="H350" i="8"/>
  <c r="F350" i="8"/>
  <c r="E350" i="8"/>
  <c r="I349" i="8"/>
  <c r="H349" i="8"/>
  <c r="F349" i="8"/>
  <c r="E349" i="8"/>
  <c r="I348" i="8"/>
  <c r="H348" i="8"/>
  <c r="F348" i="8"/>
  <c r="E348" i="8"/>
  <c r="I347" i="8"/>
  <c r="H347" i="8"/>
  <c r="F347" i="8"/>
  <c r="E347" i="8"/>
  <c r="I346" i="8"/>
  <c r="H346" i="8"/>
  <c r="F346" i="8"/>
  <c r="E346" i="8"/>
  <c r="H345" i="8"/>
  <c r="E345" i="8"/>
  <c r="I344" i="8"/>
  <c r="H344" i="8"/>
  <c r="F344" i="8"/>
  <c r="E344" i="8"/>
  <c r="I343" i="8"/>
  <c r="H343" i="8"/>
  <c r="F343" i="8"/>
  <c r="E343" i="8"/>
  <c r="I342" i="8"/>
  <c r="H342" i="8"/>
  <c r="F342" i="8"/>
  <c r="E342" i="8"/>
  <c r="I341" i="8"/>
  <c r="H341" i="8"/>
  <c r="F341" i="8"/>
  <c r="E341" i="8"/>
  <c r="I340" i="8"/>
  <c r="H340" i="8"/>
  <c r="F340" i="8"/>
  <c r="E340" i="8"/>
  <c r="I339" i="8"/>
  <c r="H339" i="8"/>
  <c r="F339" i="8"/>
  <c r="E339" i="8"/>
  <c r="I338" i="8"/>
  <c r="H338" i="8"/>
  <c r="F338" i="8"/>
  <c r="E338" i="8"/>
  <c r="I337" i="8"/>
  <c r="H337" i="8"/>
  <c r="F337" i="8"/>
  <c r="E337" i="8"/>
  <c r="I336" i="8"/>
  <c r="H336" i="8"/>
  <c r="F336" i="8"/>
  <c r="E336" i="8"/>
  <c r="I335" i="8"/>
  <c r="H335" i="8"/>
  <c r="F335" i="8"/>
  <c r="E335" i="8"/>
  <c r="I334" i="8"/>
  <c r="H334" i="8"/>
  <c r="F334" i="8"/>
  <c r="E334" i="8"/>
  <c r="J333" i="8"/>
  <c r="I333" i="8"/>
  <c r="H333" i="8"/>
  <c r="F333" i="8"/>
  <c r="E333" i="8"/>
  <c r="J332" i="8"/>
  <c r="I332" i="8"/>
  <c r="H332" i="8"/>
  <c r="F332" i="8"/>
  <c r="E332" i="8"/>
  <c r="J331" i="8"/>
  <c r="I331" i="8"/>
  <c r="H331" i="8"/>
  <c r="F331" i="8"/>
  <c r="E331" i="8"/>
  <c r="J330" i="8"/>
  <c r="I330" i="8"/>
  <c r="H330" i="8"/>
  <c r="F330" i="8"/>
  <c r="E330" i="8"/>
  <c r="J329" i="8"/>
  <c r="I329" i="8"/>
  <c r="H329" i="8"/>
  <c r="F329" i="8"/>
  <c r="E329" i="8"/>
  <c r="H328" i="8"/>
  <c r="F328" i="8"/>
  <c r="E328" i="8"/>
  <c r="J327" i="8"/>
  <c r="I327" i="8"/>
  <c r="H327" i="8"/>
  <c r="F327" i="8"/>
  <c r="E327" i="8"/>
  <c r="J326" i="8"/>
  <c r="I326" i="8"/>
  <c r="H326" i="8"/>
  <c r="F326" i="8"/>
  <c r="E326" i="8"/>
  <c r="J325" i="8"/>
  <c r="I325" i="8"/>
  <c r="H325" i="8"/>
  <c r="F325" i="8"/>
  <c r="E325" i="8"/>
  <c r="J324" i="8"/>
  <c r="I324" i="8"/>
  <c r="H324" i="8"/>
  <c r="E324" i="8"/>
  <c r="J323" i="8"/>
  <c r="I323" i="8"/>
  <c r="H323" i="8"/>
  <c r="F323" i="8"/>
  <c r="E323" i="8"/>
  <c r="J322" i="8"/>
  <c r="I322" i="8"/>
  <c r="H322" i="8"/>
  <c r="F322" i="8"/>
  <c r="E322" i="8"/>
  <c r="J321" i="8"/>
  <c r="I321" i="8"/>
  <c r="H321" i="8"/>
  <c r="F321" i="8"/>
  <c r="E321" i="8"/>
  <c r="J320" i="8"/>
  <c r="I320" i="8"/>
  <c r="H320" i="8"/>
  <c r="F320" i="8"/>
  <c r="E320" i="8"/>
  <c r="J319" i="8"/>
  <c r="I319" i="8"/>
  <c r="H319" i="8"/>
  <c r="F319" i="8"/>
  <c r="E319" i="8"/>
  <c r="J318" i="8"/>
  <c r="I318" i="8"/>
  <c r="H318" i="8"/>
  <c r="F318" i="8"/>
  <c r="E318" i="8"/>
  <c r="J317" i="8"/>
  <c r="H317" i="8"/>
  <c r="F317" i="8"/>
  <c r="E317" i="8"/>
  <c r="J316" i="8"/>
  <c r="H316" i="8"/>
  <c r="F316" i="8"/>
  <c r="E316" i="8"/>
  <c r="J315" i="8"/>
  <c r="H315" i="8"/>
  <c r="F315" i="8"/>
  <c r="E315" i="8"/>
  <c r="J314" i="8"/>
  <c r="H314" i="8"/>
  <c r="F314" i="8"/>
  <c r="E314" i="8"/>
  <c r="J313" i="8"/>
  <c r="I313" i="8"/>
  <c r="H313" i="8"/>
  <c r="F313" i="8"/>
  <c r="E313" i="8"/>
  <c r="J312" i="8"/>
  <c r="I312" i="8"/>
  <c r="H312" i="8"/>
  <c r="F312" i="8"/>
  <c r="E312" i="8"/>
  <c r="J311" i="8"/>
  <c r="I311" i="8"/>
  <c r="H311" i="8"/>
  <c r="F311" i="8"/>
  <c r="E311" i="8"/>
  <c r="J310" i="8"/>
  <c r="I310" i="8"/>
  <c r="H310" i="8"/>
  <c r="E310" i="8"/>
  <c r="J309" i="8"/>
  <c r="I309" i="8"/>
  <c r="H309" i="8"/>
  <c r="F309" i="8"/>
  <c r="E309" i="8"/>
  <c r="J308" i="8"/>
  <c r="I308" i="8"/>
  <c r="H308" i="8"/>
  <c r="F308" i="8"/>
  <c r="E308" i="8"/>
  <c r="J307" i="8"/>
  <c r="I307" i="8"/>
  <c r="H307" i="8"/>
  <c r="F307" i="8"/>
  <c r="E307" i="8"/>
  <c r="I306" i="8"/>
  <c r="H306" i="8"/>
  <c r="F306" i="8"/>
  <c r="E306" i="8"/>
  <c r="I305" i="8"/>
  <c r="H305" i="8"/>
  <c r="F305" i="8"/>
  <c r="E305" i="8"/>
  <c r="J304" i="8"/>
  <c r="I304" i="8"/>
  <c r="H304" i="8"/>
  <c r="F304" i="8"/>
  <c r="E304" i="8"/>
  <c r="J303" i="8"/>
  <c r="I303" i="8"/>
  <c r="H303" i="8"/>
  <c r="F303" i="8"/>
  <c r="E303" i="8"/>
  <c r="J302" i="8"/>
  <c r="I302" i="8"/>
  <c r="H302" i="8"/>
  <c r="F302" i="8"/>
  <c r="E302" i="8"/>
  <c r="I301" i="8"/>
  <c r="H301" i="8"/>
  <c r="F301" i="8"/>
  <c r="E301" i="8"/>
  <c r="I300" i="8"/>
  <c r="H300" i="8"/>
  <c r="F300" i="8"/>
  <c r="E300" i="8"/>
  <c r="H299" i="8"/>
  <c r="F299" i="8"/>
  <c r="E299" i="8"/>
  <c r="I298" i="8"/>
  <c r="H298" i="8"/>
  <c r="G298" i="8"/>
  <c r="F298" i="8"/>
  <c r="E298" i="8"/>
  <c r="I297" i="8"/>
  <c r="H297" i="8"/>
  <c r="G297" i="8"/>
  <c r="F297" i="8"/>
  <c r="E297" i="8"/>
  <c r="I296" i="8"/>
  <c r="H296" i="8"/>
  <c r="G296" i="8"/>
  <c r="F296" i="8"/>
  <c r="E296" i="8"/>
  <c r="I295" i="8"/>
  <c r="H295" i="8"/>
  <c r="G295" i="8"/>
  <c r="F295" i="8"/>
  <c r="E295" i="8"/>
  <c r="I294" i="8"/>
  <c r="H294" i="8"/>
  <c r="G294" i="8"/>
  <c r="F294" i="8"/>
  <c r="E294" i="8"/>
  <c r="H293" i="8"/>
  <c r="E293" i="8"/>
  <c r="H292" i="8"/>
  <c r="G292" i="8"/>
  <c r="F292" i="8"/>
  <c r="E292" i="8"/>
  <c r="I291" i="8"/>
  <c r="H291" i="8"/>
  <c r="G291" i="8"/>
  <c r="F291" i="8"/>
  <c r="E291" i="8"/>
  <c r="I290" i="8"/>
  <c r="H290" i="8"/>
  <c r="G290" i="8"/>
  <c r="F290" i="8"/>
  <c r="E290" i="8"/>
  <c r="I289" i="8"/>
  <c r="H289" i="8"/>
  <c r="G289" i="8"/>
  <c r="F289" i="8"/>
  <c r="E289" i="8"/>
  <c r="I288" i="8"/>
  <c r="H288" i="8"/>
  <c r="G288" i="8"/>
  <c r="F288" i="8"/>
  <c r="E288" i="8"/>
  <c r="H287" i="8"/>
  <c r="G287" i="8"/>
  <c r="F287" i="8"/>
  <c r="E287" i="8"/>
  <c r="I286" i="8"/>
  <c r="H286" i="8"/>
  <c r="G286" i="8"/>
  <c r="F286" i="8"/>
  <c r="E286" i="8"/>
  <c r="I285" i="8"/>
  <c r="H285" i="8"/>
  <c r="G285" i="8"/>
  <c r="F285" i="8"/>
  <c r="E285" i="8"/>
  <c r="H284" i="8"/>
  <c r="G284" i="8"/>
  <c r="F284" i="8"/>
  <c r="E284" i="8"/>
  <c r="I283" i="8"/>
  <c r="H283" i="8"/>
  <c r="G283" i="8"/>
  <c r="F283" i="8"/>
  <c r="E283" i="8"/>
  <c r="I282" i="8"/>
  <c r="H282" i="8"/>
  <c r="G282" i="8"/>
  <c r="E282" i="8"/>
  <c r="H281" i="8"/>
  <c r="G281" i="8"/>
  <c r="E281" i="8"/>
  <c r="I280" i="8"/>
  <c r="H280" i="8"/>
  <c r="G280" i="8"/>
  <c r="E280" i="8"/>
  <c r="I279" i="8"/>
  <c r="H279" i="8"/>
  <c r="G279" i="8"/>
  <c r="E279" i="8"/>
  <c r="H278" i="8"/>
  <c r="G278" i="8"/>
  <c r="F278" i="8"/>
  <c r="E278" i="8"/>
  <c r="J277" i="8"/>
  <c r="I277" i="8"/>
  <c r="H277" i="8"/>
  <c r="G277" i="8"/>
  <c r="F277" i="8"/>
  <c r="E277" i="8"/>
  <c r="I276" i="8"/>
  <c r="H276" i="8"/>
  <c r="G276" i="8"/>
  <c r="F276" i="8"/>
  <c r="E276" i="8"/>
  <c r="I275" i="8"/>
  <c r="H275" i="8"/>
  <c r="G275" i="8"/>
  <c r="F275" i="8"/>
  <c r="E275" i="8"/>
  <c r="I274" i="8"/>
  <c r="H274" i="8"/>
  <c r="G274" i="8"/>
  <c r="F274" i="8"/>
  <c r="E274" i="8"/>
  <c r="I273" i="8"/>
  <c r="H273" i="8"/>
  <c r="G273" i="8"/>
  <c r="F273" i="8"/>
  <c r="E273" i="8"/>
  <c r="I272" i="8"/>
  <c r="H272" i="8"/>
  <c r="G272" i="8"/>
  <c r="F272" i="8"/>
  <c r="E272" i="8"/>
  <c r="I271" i="8"/>
  <c r="H271" i="8"/>
  <c r="F271" i="8"/>
  <c r="E271" i="8"/>
  <c r="I270" i="8"/>
  <c r="H270" i="8"/>
  <c r="F270" i="8"/>
  <c r="E270" i="8"/>
  <c r="I269" i="8"/>
  <c r="H269" i="8"/>
  <c r="G269" i="8"/>
  <c r="F269" i="8"/>
  <c r="E269" i="8"/>
  <c r="I268" i="8"/>
  <c r="H268" i="8"/>
  <c r="G268" i="8"/>
  <c r="F268" i="8"/>
  <c r="E268" i="8"/>
  <c r="I267" i="8"/>
  <c r="H267" i="8"/>
  <c r="G267" i="8"/>
  <c r="F267" i="8"/>
  <c r="E267" i="8"/>
  <c r="I266" i="8"/>
  <c r="H266" i="8"/>
  <c r="F266" i="8"/>
  <c r="E266" i="8"/>
  <c r="I265" i="8"/>
  <c r="H265" i="8"/>
  <c r="F265" i="8"/>
  <c r="E265" i="8"/>
  <c r="I264" i="8"/>
  <c r="H264" i="8"/>
  <c r="E264" i="8"/>
  <c r="I263" i="8"/>
  <c r="H263" i="8"/>
  <c r="F263" i="8"/>
  <c r="E263" i="8"/>
  <c r="I262" i="8"/>
  <c r="H262" i="8"/>
  <c r="F262" i="8"/>
  <c r="E262" i="8"/>
  <c r="I261" i="8"/>
  <c r="H261" i="8"/>
  <c r="F261" i="8"/>
  <c r="E261" i="8"/>
  <c r="I260" i="8"/>
  <c r="H260" i="8"/>
  <c r="F260" i="8"/>
  <c r="E260" i="8"/>
  <c r="I259" i="8"/>
  <c r="H259" i="8"/>
  <c r="F259" i="8"/>
  <c r="E259" i="8"/>
  <c r="I258" i="8"/>
  <c r="H258" i="8"/>
  <c r="E258" i="8"/>
  <c r="I257" i="8"/>
  <c r="H257" i="8"/>
  <c r="E257" i="8"/>
  <c r="I256" i="8"/>
  <c r="H256" i="8"/>
  <c r="F256" i="8"/>
  <c r="E256" i="8"/>
  <c r="I255" i="8"/>
  <c r="H255" i="8"/>
  <c r="F255" i="8"/>
  <c r="E255" i="8"/>
  <c r="I254" i="8"/>
  <c r="H254" i="8"/>
  <c r="F254" i="8"/>
  <c r="E254" i="8"/>
  <c r="I253" i="8"/>
  <c r="H253" i="8"/>
  <c r="F253" i="8"/>
  <c r="E253" i="8"/>
  <c r="I252" i="8"/>
  <c r="H252" i="8"/>
  <c r="E252" i="8"/>
  <c r="H251" i="8"/>
  <c r="F251" i="8"/>
  <c r="E251" i="8"/>
  <c r="H250" i="8"/>
  <c r="F250" i="8"/>
  <c r="E250" i="8"/>
  <c r="H249" i="8"/>
  <c r="E249" i="8"/>
  <c r="H248" i="8"/>
  <c r="F248" i="8"/>
  <c r="E248" i="8"/>
  <c r="H247" i="8"/>
  <c r="F247" i="8"/>
  <c r="E247" i="8"/>
  <c r="H246" i="8"/>
  <c r="E246" i="8"/>
  <c r="H245" i="8"/>
  <c r="F245" i="8"/>
  <c r="E245" i="8"/>
  <c r="H244" i="8"/>
  <c r="F244" i="8"/>
  <c r="E244" i="8"/>
  <c r="H243" i="8"/>
  <c r="E243" i="8"/>
  <c r="H242" i="8"/>
  <c r="G242" i="8"/>
  <c r="F242" i="8"/>
  <c r="E242" i="8"/>
  <c r="H241" i="8"/>
  <c r="F241" i="8"/>
  <c r="E241" i="8"/>
  <c r="I240" i="8"/>
  <c r="H240" i="8"/>
  <c r="F240" i="8"/>
  <c r="E240" i="8"/>
  <c r="J239" i="8"/>
  <c r="I239" i="8"/>
  <c r="H239" i="8"/>
  <c r="F239" i="8"/>
  <c r="E239" i="8"/>
  <c r="I238" i="8"/>
  <c r="H238" i="8"/>
  <c r="F238" i="8"/>
  <c r="E238" i="8"/>
  <c r="J237" i="8"/>
  <c r="I237" i="8"/>
  <c r="H237" i="8"/>
  <c r="F237" i="8"/>
  <c r="E237" i="8"/>
  <c r="I236" i="8"/>
  <c r="H236" i="8"/>
  <c r="F236" i="8"/>
  <c r="E236" i="8"/>
  <c r="I235" i="8"/>
  <c r="H235" i="8"/>
  <c r="F235" i="8"/>
  <c r="E235" i="8"/>
  <c r="I234" i="8"/>
  <c r="H234" i="8"/>
  <c r="F234" i="8"/>
  <c r="E234" i="8"/>
  <c r="I233" i="8"/>
  <c r="H233" i="8"/>
  <c r="F233" i="8"/>
  <c r="E233" i="8"/>
  <c r="I232" i="8"/>
  <c r="H232" i="8"/>
  <c r="F232" i="8"/>
  <c r="E232" i="8"/>
  <c r="I231" i="8"/>
  <c r="H231" i="8"/>
  <c r="F231" i="8"/>
  <c r="E231" i="8"/>
  <c r="I230" i="8"/>
  <c r="H230" i="8"/>
  <c r="F230" i="8"/>
  <c r="E230" i="8"/>
  <c r="I229" i="8"/>
  <c r="H229" i="8"/>
  <c r="F229" i="8"/>
  <c r="E229" i="8"/>
  <c r="I228" i="8"/>
  <c r="H228" i="8"/>
  <c r="F228" i="8"/>
  <c r="E228" i="8"/>
  <c r="I227" i="8"/>
  <c r="H227" i="8"/>
  <c r="F227" i="8"/>
  <c r="E227" i="8"/>
  <c r="I226" i="8"/>
  <c r="H226" i="8"/>
  <c r="F226" i="8"/>
  <c r="E226" i="8"/>
  <c r="I225" i="8"/>
  <c r="H225" i="8"/>
  <c r="F225" i="8"/>
  <c r="E225" i="8"/>
  <c r="I224" i="8"/>
  <c r="H224" i="8"/>
  <c r="F224" i="8"/>
  <c r="E224" i="8"/>
  <c r="I223" i="8"/>
  <c r="H223" i="8"/>
  <c r="F223" i="8"/>
  <c r="E223" i="8"/>
  <c r="I222" i="8"/>
  <c r="H222" i="8"/>
  <c r="F222" i="8"/>
  <c r="E222" i="8"/>
  <c r="I221" i="8"/>
  <c r="H221" i="8"/>
  <c r="F221" i="8"/>
  <c r="E221" i="8"/>
  <c r="I220" i="8"/>
  <c r="H220" i="8"/>
  <c r="F220" i="8"/>
  <c r="E220" i="8"/>
  <c r="I219" i="8"/>
  <c r="H219" i="8"/>
  <c r="F219" i="8"/>
  <c r="E219" i="8"/>
  <c r="I218" i="8"/>
  <c r="H218" i="8"/>
  <c r="F218" i="8"/>
  <c r="E218" i="8"/>
  <c r="I217" i="8"/>
  <c r="H217" i="8"/>
  <c r="F217" i="8"/>
  <c r="E217" i="8"/>
  <c r="I216" i="8"/>
  <c r="H216" i="8"/>
  <c r="E216" i="8"/>
  <c r="I215" i="8"/>
  <c r="H215" i="8"/>
  <c r="E215" i="8"/>
  <c r="H214" i="8"/>
  <c r="E214" i="8"/>
  <c r="H213" i="8"/>
  <c r="E213" i="8"/>
  <c r="I212" i="8"/>
  <c r="H212" i="8"/>
  <c r="E212" i="8"/>
  <c r="I211" i="8"/>
  <c r="H211" i="8"/>
  <c r="E211" i="8"/>
  <c r="H210" i="8"/>
  <c r="E210" i="8"/>
  <c r="H209" i="8"/>
  <c r="E209" i="8"/>
  <c r="H208" i="8"/>
  <c r="E208" i="8"/>
  <c r="H207" i="8"/>
  <c r="E207" i="8"/>
  <c r="H206" i="8"/>
  <c r="E206" i="8"/>
  <c r="H205" i="8"/>
  <c r="F205" i="8"/>
  <c r="E205" i="8"/>
  <c r="H204" i="8"/>
  <c r="G204" i="8"/>
  <c r="F204" i="8"/>
  <c r="E204" i="8"/>
  <c r="H203" i="8"/>
  <c r="F203" i="8"/>
  <c r="E203" i="8"/>
  <c r="I202" i="8"/>
  <c r="H202" i="8"/>
  <c r="G202" i="8"/>
  <c r="F202" i="8"/>
  <c r="E202" i="8"/>
  <c r="H201" i="8"/>
  <c r="F201" i="8"/>
  <c r="E201" i="8"/>
  <c r="H200" i="8"/>
  <c r="F200" i="8"/>
  <c r="E200" i="8"/>
  <c r="I199" i="8"/>
  <c r="H199" i="8"/>
  <c r="F199" i="8"/>
  <c r="E199" i="8"/>
  <c r="I198" i="8"/>
  <c r="H198" i="8"/>
  <c r="F198" i="8"/>
  <c r="E198" i="8"/>
  <c r="I197" i="8"/>
  <c r="H197" i="8"/>
  <c r="F197" i="8"/>
  <c r="E197" i="8"/>
  <c r="I196" i="8"/>
  <c r="H196" i="8"/>
  <c r="F196" i="8"/>
  <c r="E196" i="8"/>
  <c r="I195" i="8"/>
  <c r="H195" i="8"/>
  <c r="F195" i="8"/>
  <c r="E195" i="8"/>
  <c r="H194" i="8"/>
  <c r="F194" i="8"/>
  <c r="E194" i="8"/>
  <c r="I193" i="8"/>
  <c r="H193" i="8"/>
  <c r="F193" i="8"/>
  <c r="E193" i="8"/>
  <c r="I192" i="8"/>
  <c r="H192" i="8"/>
  <c r="F192" i="8"/>
  <c r="E192" i="8"/>
  <c r="I191" i="8"/>
  <c r="H191" i="8"/>
  <c r="F191" i="8"/>
  <c r="E191" i="8"/>
  <c r="I190" i="8"/>
  <c r="H190" i="8"/>
  <c r="F190" i="8"/>
  <c r="E190" i="8"/>
  <c r="I189" i="8"/>
  <c r="H189" i="8"/>
  <c r="F189" i="8"/>
  <c r="E189" i="8"/>
  <c r="I188" i="8"/>
  <c r="H188" i="8"/>
  <c r="F188" i="8"/>
  <c r="E188" i="8"/>
  <c r="I187" i="8"/>
  <c r="H187" i="8"/>
  <c r="F187" i="8"/>
  <c r="E187" i="8"/>
  <c r="H186" i="8"/>
  <c r="F186" i="8"/>
  <c r="E186" i="8"/>
  <c r="H185" i="8"/>
  <c r="F185" i="8"/>
  <c r="E185" i="8"/>
  <c r="I184" i="8"/>
  <c r="H184" i="8"/>
  <c r="F184" i="8"/>
  <c r="E184" i="8"/>
  <c r="I183" i="8"/>
  <c r="H183" i="8"/>
  <c r="F183" i="8"/>
  <c r="E183" i="8"/>
  <c r="H182" i="8"/>
  <c r="F182" i="8"/>
  <c r="E182" i="8"/>
  <c r="H181" i="8"/>
  <c r="F181" i="8"/>
  <c r="E181" i="8"/>
  <c r="I180" i="8"/>
  <c r="H180" i="8"/>
  <c r="F180" i="8"/>
  <c r="E180" i="8"/>
  <c r="J179" i="8"/>
  <c r="I179" i="8"/>
  <c r="H179" i="8"/>
  <c r="E179" i="8"/>
  <c r="H178" i="8"/>
  <c r="E178" i="8"/>
  <c r="I177" i="8"/>
  <c r="H177" i="8"/>
  <c r="F177" i="8"/>
  <c r="E177" i="8"/>
  <c r="H176" i="8"/>
  <c r="F176" i="8"/>
  <c r="E176" i="8"/>
  <c r="H175" i="8"/>
  <c r="E175" i="8"/>
  <c r="H174" i="8"/>
  <c r="E174" i="8"/>
  <c r="J173" i="8"/>
  <c r="I173" i="8"/>
  <c r="H173" i="8"/>
  <c r="E173" i="8"/>
  <c r="J172" i="8"/>
  <c r="I172" i="8"/>
  <c r="H172" i="8"/>
  <c r="E172" i="8"/>
  <c r="J171" i="8"/>
  <c r="I171" i="8"/>
  <c r="H171" i="8"/>
  <c r="E171" i="8"/>
  <c r="J170" i="8"/>
  <c r="I170" i="8"/>
  <c r="H170" i="8"/>
  <c r="E170" i="8"/>
  <c r="J169" i="8"/>
  <c r="H169" i="8"/>
  <c r="E169" i="8"/>
  <c r="J168" i="8"/>
  <c r="I168" i="8"/>
  <c r="H168" i="8"/>
  <c r="E168" i="8"/>
  <c r="J167" i="8"/>
  <c r="I167" i="8"/>
  <c r="H167" i="8"/>
  <c r="F167" i="8"/>
  <c r="E167" i="8"/>
  <c r="J166" i="8"/>
  <c r="I166" i="8"/>
  <c r="H166" i="8"/>
  <c r="E166" i="8"/>
  <c r="J165" i="8"/>
  <c r="I165" i="8"/>
  <c r="H165" i="8"/>
  <c r="E165" i="8"/>
  <c r="J164" i="8"/>
  <c r="I164" i="8"/>
  <c r="H164" i="8"/>
  <c r="F164" i="8"/>
  <c r="E164" i="8"/>
  <c r="J163" i="8"/>
  <c r="I163" i="8"/>
  <c r="H163" i="8"/>
  <c r="F163" i="8"/>
  <c r="E163" i="8"/>
  <c r="J162" i="8"/>
  <c r="I162" i="8"/>
  <c r="H162" i="8"/>
  <c r="F162" i="8"/>
  <c r="E162" i="8"/>
  <c r="J161" i="8"/>
  <c r="I161" i="8"/>
  <c r="H161" i="8"/>
  <c r="F161" i="8"/>
  <c r="E161" i="8"/>
  <c r="J160" i="8"/>
  <c r="I160" i="8"/>
  <c r="H160" i="8"/>
  <c r="F160" i="8"/>
  <c r="E160" i="8"/>
  <c r="J159" i="8"/>
  <c r="I159" i="8"/>
  <c r="H159" i="8"/>
  <c r="E159" i="8"/>
  <c r="J158" i="8"/>
  <c r="I158" i="8"/>
  <c r="H158" i="8"/>
  <c r="F158" i="8"/>
  <c r="E158" i="8"/>
  <c r="J157" i="8"/>
  <c r="I157" i="8"/>
  <c r="H157" i="8"/>
  <c r="F157" i="8"/>
  <c r="E157" i="8"/>
  <c r="J156" i="8"/>
  <c r="I156" i="8"/>
  <c r="H156" i="8"/>
  <c r="F156" i="8"/>
  <c r="E156" i="8"/>
  <c r="J155" i="8"/>
  <c r="I155" i="8"/>
  <c r="H155" i="8"/>
  <c r="F155" i="8"/>
  <c r="E155" i="8"/>
  <c r="J154" i="8"/>
  <c r="I154" i="8"/>
  <c r="H154" i="8"/>
  <c r="F154" i="8"/>
  <c r="E154" i="8"/>
  <c r="J153" i="8"/>
  <c r="I153" i="8"/>
  <c r="H153" i="8"/>
  <c r="F153" i="8"/>
  <c r="E153" i="8"/>
  <c r="J152" i="8"/>
  <c r="I152" i="8"/>
  <c r="H152" i="8"/>
  <c r="F152" i="8"/>
  <c r="E152" i="8"/>
  <c r="J151" i="8"/>
  <c r="I151" i="8"/>
  <c r="H151" i="8"/>
  <c r="E151" i="8"/>
  <c r="H150" i="8"/>
  <c r="E150" i="8"/>
  <c r="J149" i="8"/>
  <c r="I149" i="8"/>
  <c r="H149" i="8"/>
  <c r="F149" i="8"/>
  <c r="E149" i="8"/>
  <c r="H148" i="8"/>
  <c r="F148" i="8"/>
  <c r="E148" i="8"/>
  <c r="H147" i="8"/>
  <c r="E147" i="8"/>
  <c r="H146" i="8"/>
  <c r="E146" i="8"/>
  <c r="H145" i="8"/>
  <c r="F145" i="8"/>
  <c r="E145" i="8"/>
  <c r="H144" i="8"/>
  <c r="G144" i="8"/>
  <c r="F144" i="8"/>
  <c r="E144" i="8"/>
  <c r="H143" i="8"/>
  <c r="E143" i="8"/>
  <c r="J142" i="8"/>
  <c r="H142" i="8"/>
  <c r="F142" i="8"/>
  <c r="E142" i="8"/>
  <c r="J141" i="8"/>
  <c r="H141" i="8"/>
  <c r="E141" i="8"/>
  <c r="J140" i="8"/>
  <c r="I140" i="8"/>
  <c r="H140" i="8"/>
  <c r="E140" i="8"/>
  <c r="J139" i="8"/>
  <c r="I139" i="8"/>
  <c r="H139" i="8"/>
  <c r="E139" i="8"/>
  <c r="J138" i="8"/>
  <c r="I138" i="8"/>
  <c r="H138" i="8"/>
  <c r="G138" i="8"/>
  <c r="F138" i="8"/>
  <c r="E138" i="8"/>
  <c r="I137" i="8"/>
  <c r="H137" i="8"/>
  <c r="G137" i="8"/>
  <c r="F137" i="8"/>
  <c r="E137" i="8"/>
  <c r="J136" i="8"/>
  <c r="I136" i="8"/>
  <c r="H136" i="8"/>
  <c r="G136" i="8"/>
  <c r="F136" i="8"/>
  <c r="E136" i="8"/>
  <c r="J135" i="8"/>
  <c r="I135" i="8"/>
  <c r="H135" i="8"/>
  <c r="G135" i="8"/>
  <c r="F135" i="8"/>
  <c r="E135" i="8"/>
  <c r="J134" i="8"/>
  <c r="I134" i="8"/>
  <c r="H134" i="8"/>
  <c r="G134" i="8"/>
  <c r="E134" i="8"/>
  <c r="I133" i="8"/>
  <c r="H133" i="8"/>
  <c r="G133" i="8"/>
  <c r="F133" i="8"/>
  <c r="E133" i="8"/>
  <c r="J132" i="8"/>
  <c r="I132" i="8"/>
  <c r="H132" i="8"/>
  <c r="G132" i="8"/>
  <c r="F132" i="8"/>
  <c r="E132" i="8"/>
  <c r="J131" i="8"/>
  <c r="I131" i="8"/>
  <c r="H131" i="8"/>
  <c r="G131" i="8"/>
  <c r="F131" i="8"/>
  <c r="E131" i="8"/>
  <c r="J130" i="8"/>
  <c r="I130" i="8"/>
  <c r="H130" i="8"/>
  <c r="G130" i="8"/>
  <c r="F130" i="8"/>
  <c r="E130" i="8"/>
  <c r="J129" i="8"/>
  <c r="I129" i="8"/>
  <c r="H129" i="8"/>
  <c r="G129" i="8"/>
  <c r="F129" i="8"/>
  <c r="E129" i="8"/>
  <c r="J128" i="8"/>
  <c r="I128" i="8"/>
  <c r="H128" i="8"/>
  <c r="G128" i="8"/>
  <c r="F128" i="8"/>
  <c r="E128" i="8"/>
  <c r="J127" i="8"/>
  <c r="I127" i="8"/>
  <c r="H127" i="8"/>
  <c r="G127" i="8"/>
  <c r="F127" i="8"/>
  <c r="E127" i="8"/>
  <c r="J126" i="8"/>
  <c r="I126" i="8"/>
  <c r="H126" i="8"/>
  <c r="G126" i="8"/>
  <c r="F126" i="8"/>
  <c r="E126" i="8"/>
  <c r="J125" i="8"/>
  <c r="I125" i="8"/>
  <c r="H125" i="8"/>
  <c r="G125" i="8"/>
  <c r="F125" i="8"/>
  <c r="E125" i="8"/>
  <c r="J124" i="8"/>
  <c r="I124" i="8"/>
  <c r="H124" i="8"/>
  <c r="G124" i="8"/>
  <c r="F124" i="8"/>
  <c r="E124" i="8"/>
  <c r="J123" i="8"/>
  <c r="I123" i="8"/>
  <c r="H123" i="8"/>
  <c r="G123" i="8"/>
  <c r="F123" i="8"/>
  <c r="E123" i="8"/>
  <c r="J122" i="8"/>
  <c r="I122" i="8"/>
  <c r="H122" i="8"/>
  <c r="G122" i="8"/>
  <c r="F122" i="8"/>
  <c r="E122" i="8"/>
  <c r="J121" i="8"/>
  <c r="I121" i="8"/>
  <c r="H121" i="8"/>
  <c r="G121" i="8"/>
  <c r="F121" i="8"/>
  <c r="E121" i="8"/>
  <c r="J120" i="8"/>
  <c r="I120" i="8"/>
  <c r="H120" i="8"/>
  <c r="G120" i="8"/>
  <c r="F120" i="8"/>
  <c r="E120" i="8"/>
  <c r="J119" i="8"/>
  <c r="I119" i="8"/>
  <c r="H119" i="8"/>
  <c r="G119" i="8"/>
  <c r="F119" i="8"/>
  <c r="E119" i="8"/>
  <c r="J118" i="8"/>
  <c r="I118" i="8"/>
  <c r="H118" i="8"/>
  <c r="G118" i="8"/>
  <c r="F118" i="8"/>
  <c r="E118" i="8"/>
  <c r="I117" i="8"/>
  <c r="H117" i="8"/>
  <c r="G117" i="8"/>
  <c r="F117" i="8"/>
  <c r="E117" i="8"/>
  <c r="I116" i="8"/>
  <c r="H116" i="8"/>
  <c r="G116" i="8"/>
  <c r="F116" i="8"/>
  <c r="E116" i="8"/>
  <c r="I115" i="8"/>
  <c r="H115" i="8"/>
  <c r="E115" i="8"/>
  <c r="I114" i="8"/>
  <c r="H114" i="8"/>
  <c r="G114" i="8"/>
  <c r="F114" i="8"/>
  <c r="E114" i="8"/>
  <c r="I113" i="8"/>
  <c r="H113" i="8"/>
  <c r="E113" i="8"/>
  <c r="I112" i="8"/>
  <c r="H112" i="8"/>
  <c r="E112" i="8"/>
  <c r="I111" i="8"/>
  <c r="H111" i="8"/>
  <c r="E111" i="8"/>
  <c r="I110" i="8"/>
  <c r="H110" i="8"/>
  <c r="E110" i="8"/>
  <c r="I109" i="8"/>
  <c r="H109" i="8"/>
  <c r="E109" i="8"/>
  <c r="J108" i="8"/>
  <c r="I108" i="8"/>
  <c r="H108" i="8"/>
  <c r="E108" i="8"/>
  <c r="J107" i="8"/>
  <c r="I107" i="8"/>
  <c r="H107" i="8"/>
  <c r="G107" i="8"/>
  <c r="E107" i="8"/>
  <c r="J106" i="8"/>
  <c r="I106" i="8"/>
  <c r="H106" i="8"/>
  <c r="G106" i="8"/>
  <c r="E106" i="8"/>
  <c r="I105" i="8"/>
  <c r="H105" i="8"/>
  <c r="G105" i="8"/>
  <c r="F105" i="8"/>
  <c r="E105" i="8"/>
  <c r="I104" i="8"/>
  <c r="H104" i="8"/>
  <c r="G104" i="8"/>
  <c r="F104" i="8"/>
  <c r="E104" i="8"/>
  <c r="I103" i="8"/>
  <c r="H103" i="8"/>
  <c r="G103" i="8"/>
  <c r="F103" i="8"/>
  <c r="E103" i="8"/>
  <c r="I102" i="8"/>
  <c r="H102" i="8"/>
  <c r="F102" i="8"/>
  <c r="E102" i="8"/>
  <c r="I101" i="8"/>
  <c r="H101" i="8"/>
  <c r="G101" i="8"/>
  <c r="F101" i="8"/>
  <c r="E101" i="8"/>
  <c r="H100" i="8"/>
  <c r="G100" i="8"/>
  <c r="F100" i="8"/>
  <c r="E100" i="8"/>
  <c r="I99" i="8"/>
  <c r="H99" i="8"/>
  <c r="G99" i="8"/>
  <c r="F99" i="8"/>
  <c r="E99" i="8"/>
  <c r="I98" i="8"/>
  <c r="H98" i="8"/>
  <c r="F98" i="8"/>
  <c r="E98" i="8"/>
  <c r="I97" i="8"/>
  <c r="H97" i="8"/>
  <c r="G97" i="8"/>
  <c r="F97" i="8"/>
  <c r="E97" i="8"/>
  <c r="I96" i="8"/>
  <c r="H96" i="8"/>
  <c r="G96" i="8"/>
  <c r="F96" i="8"/>
  <c r="E96" i="8"/>
  <c r="I95" i="8"/>
  <c r="H95" i="8"/>
  <c r="G95" i="8"/>
  <c r="F95" i="8"/>
  <c r="E95" i="8"/>
  <c r="I94" i="8"/>
  <c r="H94" i="8"/>
  <c r="G94" i="8"/>
  <c r="F94" i="8"/>
  <c r="E94" i="8"/>
  <c r="I93" i="8"/>
  <c r="H93" i="8"/>
  <c r="G93" i="8"/>
  <c r="F93" i="8"/>
  <c r="E93" i="8"/>
  <c r="I92" i="8"/>
  <c r="H92" i="8"/>
  <c r="G92" i="8"/>
  <c r="F92" i="8"/>
  <c r="E92" i="8"/>
  <c r="I91" i="8"/>
  <c r="H91" i="8"/>
  <c r="G91" i="8"/>
  <c r="F91" i="8"/>
  <c r="E91" i="8"/>
  <c r="I90" i="8"/>
  <c r="H90" i="8"/>
  <c r="G90" i="8"/>
  <c r="F90" i="8"/>
  <c r="E90" i="8"/>
  <c r="I89" i="8"/>
  <c r="H89" i="8"/>
  <c r="G89" i="8"/>
  <c r="F89" i="8"/>
  <c r="E89" i="8"/>
  <c r="I88" i="8"/>
  <c r="H88" i="8"/>
  <c r="G88" i="8"/>
  <c r="F88" i="8"/>
  <c r="E88" i="8"/>
  <c r="I87" i="8"/>
  <c r="H87" i="8"/>
  <c r="G87" i="8"/>
  <c r="F87" i="8"/>
  <c r="E87" i="8"/>
  <c r="J86" i="8"/>
  <c r="I86" i="8"/>
  <c r="H86" i="8"/>
  <c r="G86" i="8"/>
  <c r="F86" i="8"/>
  <c r="E86" i="8"/>
  <c r="I85" i="8"/>
  <c r="H85" i="8"/>
  <c r="G85" i="8"/>
  <c r="F85" i="8"/>
  <c r="E85" i="8"/>
  <c r="I84" i="8"/>
  <c r="H84" i="8"/>
  <c r="G84" i="8"/>
  <c r="F84" i="8"/>
  <c r="E84" i="8"/>
  <c r="I83" i="8"/>
  <c r="H83" i="8"/>
  <c r="G83" i="8"/>
  <c r="F83" i="8"/>
  <c r="E83" i="8"/>
  <c r="J82" i="8"/>
  <c r="I82" i="8"/>
  <c r="H82" i="8"/>
  <c r="F82" i="8"/>
  <c r="E82" i="8"/>
  <c r="J81" i="8"/>
  <c r="I81" i="8"/>
  <c r="H81" i="8"/>
  <c r="F81" i="8"/>
  <c r="E81" i="8"/>
  <c r="I80" i="8"/>
  <c r="H80" i="8"/>
  <c r="F80" i="8"/>
  <c r="E80" i="8"/>
  <c r="J79" i="8"/>
  <c r="I79" i="8"/>
  <c r="H79" i="8"/>
  <c r="F79" i="8"/>
  <c r="E79" i="8"/>
  <c r="J78" i="8"/>
  <c r="I78" i="8"/>
  <c r="H78" i="8"/>
  <c r="F78" i="8"/>
  <c r="E78" i="8"/>
  <c r="J77" i="8"/>
  <c r="I77" i="8"/>
  <c r="H77" i="8"/>
  <c r="F77" i="8"/>
  <c r="E77" i="8"/>
  <c r="J76" i="8"/>
  <c r="I76" i="8"/>
  <c r="H76" i="8"/>
  <c r="F76" i="8"/>
  <c r="E76" i="8"/>
  <c r="J75" i="8"/>
  <c r="I75" i="8"/>
  <c r="H75" i="8"/>
  <c r="F75" i="8"/>
  <c r="E75" i="8"/>
  <c r="J74" i="8"/>
  <c r="I74" i="8"/>
  <c r="H74" i="8"/>
  <c r="F74" i="8"/>
  <c r="E74" i="8"/>
  <c r="J73" i="8"/>
  <c r="I73" i="8"/>
  <c r="H73" i="8"/>
  <c r="G73" i="8"/>
  <c r="F73" i="8"/>
  <c r="E73" i="8"/>
  <c r="I72" i="8"/>
  <c r="H72" i="8"/>
  <c r="G72" i="8"/>
  <c r="F72" i="8"/>
  <c r="E72" i="8"/>
  <c r="I71" i="8"/>
  <c r="H71" i="8"/>
  <c r="G71" i="8"/>
  <c r="F71" i="8"/>
  <c r="E71" i="8"/>
  <c r="I70" i="8"/>
  <c r="H70" i="8"/>
  <c r="F70" i="8"/>
  <c r="E70" i="8"/>
  <c r="J69" i="8"/>
  <c r="I69" i="8"/>
  <c r="H69" i="8"/>
  <c r="F69" i="8"/>
  <c r="E69" i="8"/>
  <c r="J68" i="8"/>
  <c r="I68" i="8"/>
  <c r="H68" i="8"/>
  <c r="F68" i="8"/>
  <c r="E68" i="8"/>
  <c r="J67" i="8"/>
  <c r="I67" i="8"/>
  <c r="H67" i="8"/>
  <c r="F67" i="8"/>
  <c r="E67" i="8"/>
  <c r="J66" i="8"/>
  <c r="I66" i="8"/>
  <c r="H66" i="8"/>
  <c r="F66" i="8"/>
  <c r="E66" i="8"/>
  <c r="I65" i="8"/>
  <c r="H65" i="8"/>
  <c r="E65" i="8"/>
  <c r="J64" i="8"/>
  <c r="I64" i="8"/>
  <c r="H64" i="8"/>
  <c r="F64" i="8"/>
  <c r="E64" i="8"/>
  <c r="I63" i="8"/>
  <c r="H63" i="8"/>
  <c r="F63" i="8"/>
  <c r="E63" i="8"/>
  <c r="I62" i="8"/>
  <c r="H62" i="8"/>
  <c r="F62" i="8"/>
  <c r="E62" i="8"/>
  <c r="I61" i="8"/>
  <c r="H61" i="8"/>
  <c r="F61" i="8"/>
  <c r="E61" i="8"/>
  <c r="J60" i="8"/>
  <c r="I60" i="8"/>
  <c r="H60" i="8"/>
  <c r="F60" i="8"/>
  <c r="E60" i="8"/>
  <c r="J59" i="8"/>
  <c r="I59" i="8"/>
  <c r="H59" i="8"/>
  <c r="F59" i="8"/>
  <c r="E59" i="8"/>
  <c r="I58" i="8"/>
  <c r="H58" i="8"/>
  <c r="F58" i="8"/>
  <c r="E58" i="8"/>
  <c r="I57" i="8"/>
  <c r="H57" i="8"/>
  <c r="F57" i="8"/>
  <c r="E57" i="8"/>
  <c r="J56" i="8"/>
  <c r="I56" i="8"/>
  <c r="H56" i="8"/>
  <c r="F56" i="8"/>
  <c r="E56" i="8"/>
  <c r="J55" i="8"/>
  <c r="I55" i="8"/>
  <c r="H55" i="8"/>
  <c r="F55" i="8"/>
  <c r="E55" i="8"/>
  <c r="J54" i="8"/>
  <c r="I54" i="8"/>
  <c r="H54" i="8"/>
  <c r="F54" i="8"/>
  <c r="E54" i="8"/>
  <c r="J53" i="8"/>
  <c r="I53" i="8"/>
  <c r="H53" i="8"/>
  <c r="F53" i="8"/>
  <c r="E53" i="8"/>
  <c r="J52" i="8"/>
  <c r="I52" i="8"/>
  <c r="H52" i="8"/>
  <c r="F52" i="8"/>
  <c r="E52" i="8"/>
  <c r="J51" i="8"/>
  <c r="I51" i="8"/>
  <c r="H51" i="8"/>
  <c r="G51" i="8"/>
  <c r="F51" i="8"/>
  <c r="E51" i="8"/>
  <c r="J50" i="8"/>
  <c r="I50" i="8"/>
  <c r="H50" i="8"/>
  <c r="F50" i="8"/>
  <c r="E50" i="8"/>
  <c r="J49" i="8"/>
  <c r="I49" i="8"/>
  <c r="H49" i="8"/>
  <c r="F49" i="8"/>
  <c r="E49" i="8"/>
  <c r="J48" i="8"/>
  <c r="I48" i="8"/>
  <c r="H48" i="8"/>
  <c r="F48" i="8"/>
  <c r="E48" i="8"/>
  <c r="J47" i="8"/>
  <c r="I47" i="8"/>
  <c r="H47" i="8"/>
  <c r="G47" i="8"/>
  <c r="F47" i="8"/>
  <c r="E47" i="8"/>
  <c r="J46" i="8"/>
  <c r="I46" i="8"/>
  <c r="H46" i="8"/>
  <c r="G46" i="8"/>
  <c r="F46" i="8"/>
  <c r="E46" i="8"/>
  <c r="J45" i="8"/>
  <c r="I45" i="8"/>
  <c r="H45" i="8"/>
  <c r="F45" i="8"/>
  <c r="E45" i="8"/>
  <c r="J44" i="8"/>
  <c r="I44" i="8"/>
  <c r="H44" i="8"/>
  <c r="G44" i="8"/>
  <c r="F44" i="8"/>
  <c r="E44" i="8"/>
  <c r="J43" i="8"/>
  <c r="I43" i="8"/>
  <c r="H43" i="8"/>
  <c r="G43" i="8"/>
  <c r="F43" i="8"/>
  <c r="E43" i="8"/>
  <c r="J42" i="8"/>
  <c r="I42" i="8"/>
  <c r="H42" i="8"/>
  <c r="G42" i="8"/>
  <c r="F42" i="8"/>
  <c r="E42" i="8"/>
  <c r="J41" i="8"/>
  <c r="I41" i="8"/>
  <c r="H41" i="8"/>
  <c r="G41" i="8"/>
  <c r="F41" i="8"/>
  <c r="E41" i="8"/>
  <c r="J40" i="8"/>
  <c r="I40" i="8"/>
  <c r="H40" i="8"/>
  <c r="G40" i="8"/>
  <c r="F40" i="8"/>
  <c r="E40" i="8"/>
  <c r="J39" i="8"/>
  <c r="I39" i="8"/>
  <c r="H39" i="8"/>
  <c r="G39" i="8"/>
  <c r="F39" i="8"/>
  <c r="E39" i="8"/>
  <c r="J38" i="8"/>
  <c r="I38" i="8"/>
  <c r="H38" i="8"/>
  <c r="G38" i="8"/>
  <c r="F38" i="8"/>
  <c r="E38" i="8"/>
  <c r="J37" i="8"/>
  <c r="I37" i="8"/>
  <c r="H37" i="8"/>
  <c r="F37" i="8"/>
  <c r="E37" i="8"/>
  <c r="J36" i="8"/>
  <c r="H36" i="8"/>
  <c r="F36" i="8"/>
  <c r="E36" i="8"/>
  <c r="D36" i="8"/>
  <c r="B36" i="8"/>
  <c r="J35" i="8"/>
  <c r="H35" i="8"/>
  <c r="F35" i="8"/>
  <c r="E35" i="8"/>
  <c r="D35" i="8"/>
  <c r="B35" i="8"/>
  <c r="J34" i="8"/>
  <c r="H34" i="8"/>
  <c r="G34" i="8"/>
  <c r="F34" i="8"/>
  <c r="E34" i="8"/>
  <c r="D34" i="8"/>
  <c r="B34" i="8"/>
  <c r="J33" i="8"/>
  <c r="H33" i="8"/>
  <c r="G33" i="8"/>
  <c r="F33" i="8"/>
  <c r="E33" i="8"/>
  <c r="D33" i="8"/>
  <c r="B33" i="8"/>
  <c r="J32" i="8"/>
  <c r="H32" i="8"/>
  <c r="G32" i="8"/>
  <c r="F32" i="8"/>
  <c r="E32" i="8"/>
  <c r="D32" i="8"/>
  <c r="B32" i="8"/>
  <c r="J31" i="8"/>
  <c r="H31" i="8"/>
  <c r="G31" i="8"/>
  <c r="F31" i="8"/>
  <c r="E31" i="8"/>
  <c r="D31" i="8"/>
  <c r="B31" i="8"/>
  <c r="J30" i="8"/>
  <c r="H30" i="8"/>
  <c r="F30" i="8"/>
  <c r="E30" i="8"/>
  <c r="D30" i="8"/>
  <c r="B30" i="8"/>
  <c r="J29" i="8"/>
  <c r="H29" i="8"/>
  <c r="G29" i="8"/>
  <c r="F29" i="8"/>
  <c r="E29" i="8"/>
  <c r="D29" i="8"/>
  <c r="B29" i="8"/>
  <c r="J28" i="8"/>
  <c r="H28" i="8"/>
  <c r="F28" i="8"/>
  <c r="E28" i="8"/>
  <c r="D28" i="8"/>
  <c r="B28" i="8"/>
  <c r="J27" i="8"/>
  <c r="H27" i="8"/>
  <c r="F27" i="8"/>
  <c r="E27" i="8"/>
  <c r="D27" i="8"/>
  <c r="B27" i="8"/>
  <c r="J26" i="8"/>
  <c r="H26" i="8"/>
  <c r="F26" i="8"/>
  <c r="E26" i="8"/>
  <c r="D26" i="8"/>
  <c r="B26" i="8"/>
  <c r="J25" i="8"/>
  <c r="H25" i="8"/>
  <c r="G25" i="8"/>
  <c r="F25" i="8"/>
  <c r="E25" i="8"/>
  <c r="D25" i="8"/>
  <c r="B25" i="8"/>
  <c r="J24" i="8"/>
  <c r="H24" i="8"/>
  <c r="G24" i="8"/>
  <c r="F24" i="8"/>
  <c r="E24" i="8"/>
  <c r="D24" i="8"/>
  <c r="B24" i="8"/>
  <c r="J23" i="8"/>
  <c r="H23" i="8"/>
  <c r="F23" i="8"/>
  <c r="E23" i="8"/>
  <c r="D23" i="8"/>
  <c r="B23" i="8"/>
  <c r="J22" i="8"/>
  <c r="H22" i="8"/>
  <c r="F22" i="8"/>
  <c r="E22" i="8"/>
  <c r="D22" i="8"/>
  <c r="B22" i="8"/>
  <c r="J21" i="8"/>
  <c r="H21" i="8"/>
  <c r="G21" i="8"/>
  <c r="F21" i="8"/>
  <c r="E21" i="8"/>
  <c r="D21" i="8"/>
  <c r="B21" i="8"/>
  <c r="J20" i="8"/>
  <c r="H20" i="8"/>
  <c r="G20" i="8"/>
  <c r="F20" i="8"/>
  <c r="E20" i="8"/>
  <c r="D20" i="8"/>
  <c r="B20" i="8"/>
  <c r="J19" i="8"/>
  <c r="H19" i="8"/>
  <c r="G19" i="8"/>
  <c r="F19" i="8"/>
  <c r="E19" i="8"/>
  <c r="D19" i="8"/>
  <c r="B19" i="8"/>
  <c r="J18" i="8"/>
  <c r="H18" i="8"/>
  <c r="G18" i="8"/>
  <c r="F18" i="8"/>
  <c r="E18" i="8"/>
  <c r="D18" i="8"/>
  <c r="B18" i="8"/>
  <c r="J17" i="8"/>
  <c r="H17" i="8"/>
  <c r="G17" i="8"/>
  <c r="F17" i="8"/>
  <c r="E17" i="8"/>
  <c r="D17" i="8"/>
  <c r="B17" i="8"/>
  <c r="J16" i="8"/>
  <c r="H16" i="8"/>
  <c r="G16" i="8"/>
  <c r="F16" i="8"/>
  <c r="E16" i="8"/>
  <c r="D16" i="8"/>
  <c r="B16" i="8"/>
  <c r="J15" i="8"/>
  <c r="H15" i="8"/>
  <c r="G15" i="8"/>
  <c r="F15" i="8"/>
  <c r="E15" i="8"/>
  <c r="D15" i="8"/>
  <c r="B15" i="8"/>
  <c r="J14" i="8"/>
  <c r="H14" i="8"/>
  <c r="G14" i="8"/>
  <c r="F14" i="8"/>
  <c r="E14" i="8"/>
  <c r="D14" i="8"/>
  <c r="B14" i="8"/>
  <c r="J13" i="8"/>
  <c r="H13" i="8"/>
  <c r="G13" i="8"/>
  <c r="F13" i="8"/>
  <c r="E13" i="8"/>
  <c r="D13" i="8"/>
  <c r="B13" i="8"/>
  <c r="J12" i="8"/>
  <c r="H12" i="8"/>
  <c r="G12" i="8"/>
  <c r="F12" i="8"/>
  <c r="E12" i="8"/>
  <c r="D12" i="8"/>
  <c r="B12" i="8"/>
  <c r="J11" i="8"/>
  <c r="H11" i="8"/>
  <c r="G11" i="8"/>
  <c r="F11" i="8"/>
  <c r="E11" i="8"/>
  <c r="D11" i="8"/>
  <c r="B11" i="8"/>
  <c r="J10" i="8"/>
  <c r="H10" i="8"/>
  <c r="G10" i="8"/>
  <c r="F10" i="8"/>
  <c r="E10" i="8"/>
  <c r="D10" i="8"/>
  <c r="B10" i="8"/>
  <c r="J9" i="8"/>
  <c r="H9" i="8"/>
  <c r="G9" i="8"/>
  <c r="F9" i="8"/>
  <c r="E9" i="8"/>
  <c r="D9" i="8"/>
  <c r="B9" i="8"/>
  <c r="J8" i="8"/>
  <c r="H8" i="8"/>
  <c r="G8" i="8"/>
  <c r="F8" i="8"/>
  <c r="E8" i="8"/>
  <c r="D8" i="8"/>
  <c r="B8" i="8"/>
  <c r="J7" i="8"/>
  <c r="H7" i="8"/>
  <c r="G7" i="8"/>
  <c r="F7" i="8"/>
  <c r="E7" i="8"/>
  <c r="D7" i="8"/>
  <c r="B7" i="8"/>
  <c r="J6" i="8"/>
  <c r="H6" i="8"/>
  <c r="G6" i="8"/>
  <c r="F6" i="8"/>
  <c r="E6" i="8"/>
  <c r="D6" i="8"/>
  <c r="B6" i="8"/>
  <c r="J5" i="8"/>
  <c r="H5" i="8"/>
  <c r="G5" i="8"/>
  <c r="F5" i="8"/>
  <c r="E5" i="8"/>
  <c r="D5" i="8"/>
  <c r="B5" i="8"/>
  <c r="J4" i="8"/>
  <c r="H4" i="8"/>
  <c r="G4" i="8"/>
  <c r="F4" i="8"/>
  <c r="E4" i="8"/>
  <c r="D4" i="8"/>
  <c r="B4" i="8"/>
  <c r="J3" i="8"/>
  <c r="H3" i="8"/>
  <c r="G3" i="8"/>
  <c r="F3" i="8"/>
  <c r="E3" i="8"/>
  <c r="D3" i="8"/>
  <c r="B3" i="8"/>
  <c r="J2" i="8"/>
  <c r="H2" i="8"/>
  <c r="G2" i="8"/>
  <c r="F2" i="8"/>
  <c r="E2" i="8"/>
  <c r="D2" i="8"/>
  <c r="B2" i="8"/>
  <c r="A994" i="7"/>
  <c r="A993" i="7"/>
  <c r="A992" i="7"/>
  <c r="A991" i="7"/>
  <c r="A990" i="7"/>
  <c r="A989" i="7"/>
  <c r="A988" i="7"/>
  <c r="A987" i="7"/>
  <c r="A986" i="7"/>
  <c r="A985" i="7"/>
  <c r="A984" i="7"/>
  <c r="A983" i="7"/>
  <c r="A982" i="7"/>
  <c r="A981" i="7"/>
  <c r="A980" i="7"/>
  <c r="A979" i="7"/>
  <c r="A978" i="7"/>
  <c r="A977" i="7"/>
  <c r="A976" i="7"/>
  <c r="A975" i="7"/>
  <c r="A974" i="7"/>
  <c r="A973" i="7"/>
  <c r="A972" i="7"/>
  <c r="A971" i="7"/>
  <c r="A970" i="7"/>
  <c r="A969" i="7"/>
  <c r="A968" i="7"/>
  <c r="A967" i="7"/>
  <c r="A966" i="7"/>
  <c r="A965" i="7"/>
  <c r="A964" i="7"/>
  <c r="A963" i="7"/>
  <c r="A962" i="7"/>
  <c r="A961" i="7"/>
  <c r="A960" i="7"/>
  <c r="A959" i="7"/>
  <c r="A958" i="7"/>
  <c r="A957" i="7"/>
  <c r="A956" i="7"/>
  <c r="A955" i="7"/>
  <c r="A954" i="7"/>
  <c r="A953" i="7"/>
  <c r="A952" i="7"/>
  <c r="A951" i="7"/>
  <c r="A950" i="7"/>
  <c r="A949" i="7"/>
  <c r="A948" i="7"/>
  <c r="A947" i="7"/>
  <c r="A946" i="7"/>
  <c r="A945" i="7"/>
  <c r="A944" i="7"/>
  <c r="A943" i="7"/>
  <c r="A942" i="7"/>
  <c r="A941" i="7"/>
  <c r="A940" i="7"/>
  <c r="A939" i="7"/>
  <c r="A938" i="7"/>
  <c r="A937" i="7"/>
  <c r="A936" i="7"/>
  <c r="A935" i="7"/>
  <c r="A934" i="7"/>
  <c r="A933" i="7"/>
  <c r="A932" i="7"/>
  <c r="A931" i="7"/>
  <c r="A930" i="7"/>
  <c r="A929" i="7"/>
  <c r="A928" i="7"/>
  <c r="A927" i="7"/>
  <c r="A926" i="7"/>
  <c r="A925" i="7"/>
  <c r="A924" i="7"/>
  <c r="A923" i="7"/>
  <c r="A922" i="7"/>
  <c r="A921" i="7"/>
  <c r="A920" i="7"/>
  <c r="A919" i="7"/>
  <c r="A918" i="7"/>
  <c r="A917" i="7"/>
  <c r="A916" i="7"/>
  <c r="A915" i="7"/>
  <c r="A914" i="7"/>
  <c r="A913" i="7"/>
  <c r="A912" i="7"/>
  <c r="A911" i="7"/>
  <c r="A910" i="7"/>
  <c r="A909" i="7"/>
  <c r="A908" i="7"/>
  <c r="A907" i="7"/>
  <c r="A906" i="7"/>
  <c r="A905" i="7"/>
  <c r="A904" i="7"/>
  <c r="A903" i="7"/>
  <c r="A902" i="7"/>
  <c r="A901" i="7"/>
  <c r="A900" i="7"/>
  <c r="A899" i="7"/>
  <c r="A898" i="7"/>
  <c r="A897" i="7"/>
  <c r="A896" i="7"/>
  <c r="A895" i="7"/>
  <c r="A894" i="7"/>
  <c r="A893" i="7"/>
  <c r="A892" i="7"/>
  <c r="A891" i="7"/>
  <c r="A890" i="7"/>
  <c r="A889" i="7"/>
  <c r="A888" i="7"/>
  <c r="A887" i="7"/>
  <c r="A886" i="7"/>
  <c r="A885" i="7"/>
  <c r="A884" i="7"/>
  <c r="A883" i="7"/>
  <c r="A882" i="7"/>
  <c r="A881" i="7"/>
  <c r="A880" i="7"/>
  <c r="A879" i="7"/>
  <c r="A878" i="7"/>
  <c r="A877" i="7"/>
  <c r="A876" i="7"/>
  <c r="A875" i="7"/>
  <c r="A874" i="7"/>
  <c r="A873" i="7"/>
  <c r="A872" i="7"/>
  <c r="A871" i="7"/>
  <c r="A870" i="7"/>
  <c r="A869" i="7"/>
  <c r="A868" i="7"/>
  <c r="A867" i="7"/>
  <c r="A866" i="7"/>
  <c r="A865" i="7"/>
  <c r="A864" i="7"/>
  <c r="A863" i="7"/>
  <c r="A862" i="7"/>
  <c r="A861" i="7"/>
  <c r="A860" i="7"/>
  <c r="A859" i="7"/>
  <c r="A858" i="7"/>
  <c r="A857" i="7"/>
  <c r="A856" i="7"/>
  <c r="A855" i="7"/>
  <c r="A854" i="7"/>
  <c r="A853" i="7"/>
  <c r="A852" i="7"/>
  <c r="A851" i="7"/>
  <c r="A850" i="7"/>
  <c r="A849" i="7"/>
  <c r="A848" i="7"/>
  <c r="A847" i="7"/>
  <c r="A846" i="7"/>
  <c r="A845" i="7"/>
  <c r="A844" i="7"/>
  <c r="A843" i="7"/>
  <c r="A842" i="7"/>
  <c r="A841" i="7"/>
  <c r="A840" i="7"/>
  <c r="A839" i="7"/>
  <c r="A838" i="7"/>
  <c r="A837" i="7"/>
  <c r="A836" i="7"/>
  <c r="A835" i="7"/>
  <c r="A834" i="7"/>
  <c r="A833" i="7"/>
  <c r="A832" i="7"/>
  <c r="A831" i="7"/>
  <c r="A830" i="7"/>
  <c r="A829" i="7"/>
  <c r="A828" i="7"/>
  <c r="A827" i="7"/>
  <c r="A826" i="7"/>
  <c r="A825" i="7"/>
  <c r="A824" i="7"/>
  <c r="A823" i="7"/>
  <c r="A822" i="7"/>
  <c r="A821" i="7"/>
  <c r="A820" i="7"/>
  <c r="A819" i="7"/>
  <c r="A818" i="7"/>
  <c r="A817" i="7"/>
  <c r="A816" i="7"/>
  <c r="A815" i="7"/>
  <c r="A814" i="7"/>
  <c r="A813" i="7"/>
  <c r="A812" i="7"/>
  <c r="A811" i="7"/>
  <c r="A810" i="7"/>
  <c r="A809" i="7"/>
  <c r="A808" i="7"/>
  <c r="A807" i="7"/>
  <c r="A806" i="7"/>
  <c r="A805" i="7"/>
  <c r="A804" i="7"/>
  <c r="A803" i="7"/>
  <c r="A802" i="7"/>
  <c r="A801" i="7"/>
  <c r="A800" i="7"/>
  <c r="A799" i="7"/>
  <c r="A798" i="7"/>
  <c r="A797" i="7"/>
  <c r="A796" i="7"/>
  <c r="A795" i="7"/>
  <c r="A794" i="7"/>
  <c r="A793" i="7"/>
  <c r="A792" i="7"/>
  <c r="A791" i="7"/>
  <c r="A790" i="7"/>
  <c r="A789" i="7"/>
  <c r="A788" i="7"/>
  <c r="A787" i="7"/>
  <c r="A786" i="7"/>
  <c r="A785" i="7"/>
  <c r="A784" i="7"/>
  <c r="A783" i="7"/>
  <c r="A782" i="7"/>
  <c r="A781" i="7"/>
  <c r="A780" i="7"/>
  <c r="A779" i="7"/>
  <c r="A778" i="7"/>
  <c r="A777" i="7"/>
  <c r="A776" i="7"/>
  <c r="A775" i="7"/>
  <c r="A774" i="7"/>
  <c r="A773" i="7"/>
  <c r="A772" i="7"/>
  <c r="A771" i="7"/>
  <c r="A770" i="7"/>
  <c r="A769" i="7"/>
  <c r="A768" i="7"/>
  <c r="A767" i="7"/>
  <c r="A766" i="7"/>
  <c r="A765" i="7"/>
  <c r="A764" i="7"/>
  <c r="A763" i="7"/>
  <c r="A762" i="7"/>
  <c r="A761" i="7"/>
  <c r="A760" i="7"/>
  <c r="A759" i="7"/>
  <c r="A758" i="7"/>
  <c r="A757" i="7"/>
  <c r="A756" i="7"/>
  <c r="A755" i="7"/>
  <c r="A754" i="7"/>
  <c r="A753" i="7"/>
  <c r="A752" i="7"/>
  <c r="A751" i="7"/>
  <c r="A750" i="7"/>
  <c r="A749" i="7"/>
  <c r="A748" i="7"/>
  <c r="A747" i="7"/>
  <c r="A746" i="7"/>
  <c r="A745" i="7"/>
  <c r="A744" i="7"/>
  <c r="A743" i="7"/>
  <c r="A742" i="7"/>
  <c r="A741" i="7"/>
  <c r="A740" i="7"/>
  <c r="A739" i="7"/>
  <c r="A738" i="7"/>
  <c r="A737" i="7"/>
  <c r="A736" i="7"/>
  <c r="A735" i="7"/>
  <c r="A734" i="7"/>
  <c r="A733" i="7"/>
  <c r="A732" i="7"/>
  <c r="A731" i="7"/>
  <c r="A730" i="7"/>
  <c r="A729" i="7"/>
  <c r="A728" i="7"/>
  <c r="A727" i="7"/>
  <c r="A726" i="7"/>
  <c r="A725" i="7"/>
  <c r="A724" i="7"/>
  <c r="A723" i="7"/>
  <c r="A722" i="7"/>
  <c r="A721" i="7"/>
  <c r="A720" i="7"/>
  <c r="A719" i="7"/>
  <c r="A718" i="7"/>
  <c r="A717" i="7"/>
  <c r="A716" i="7"/>
  <c r="A715" i="7"/>
  <c r="A714" i="7"/>
  <c r="A713" i="7"/>
  <c r="A712" i="7"/>
  <c r="A711" i="7"/>
  <c r="A710" i="7"/>
  <c r="A709" i="7"/>
  <c r="A708" i="7"/>
  <c r="A707" i="7"/>
  <c r="A706" i="7"/>
  <c r="A705" i="7"/>
  <c r="A704" i="7"/>
  <c r="A703" i="7"/>
  <c r="A702" i="7"/>
  <c r="A701" i="7"/>
  <c r="A700" i="7"/>
  <c r="A699" i="7"/>
  <c r="A698" i="7"/>
  <c r="A697" i="7"/>
  <c r="A696" i="7"/>
  <c r="A695" i="7"/>
  <c r="A694" i="7"/>
  <c r="A693" i="7"/>
  <c r="A692" i="7"/>
  <c r="A691" i="7"/>
  <c r="A690" i="7"/>
  <c r="A689" i="7"/>
  <c r="A688" i="7"/>
  <c r="A687" i="7"/>
  <c r="A686" i="7"/>
  <c r="A685" i="7"/>
  <c r="A684" i="7"/>
  <c r="A683" i="7"/>
  <c r="A682" i="7"/>
  <c r="A681" i="7"/>
  <c r="A680" i="7"/>
  <c r="A679" i="7"/>
  <c r="A678" i="7"/>
  <c r="A677" i="7"/>
  <c r="A676" i="7"/>
  <c r="A675" i="7"/>
  <c r="A674" i="7"/>
  <c r="A673" i="7"/>
  <c r="A672" i="7"/>
  <c r="A671" i="7"/>
  <c r="A670" i="7"/>
  <c r="A669" i="7"/>
  <c r="A668" i="7"/>
  <c r="A667" i="7"/>
  <c r="A666" i="7"/>
  <c r="A665" i="7"/>
  <c r="A664" i="7"/>
  <c r="A663" i="7"/>
  <c r="A662" i="7"/>
  <c r="A661" i="7"/>
  <c r="A660" i="7"/>
  <c r="A659" i="7"/>
  <c r="A658" i="7"/>
  <c r="A657" i="7"/>
  <c r="A656" i="7"/>
  <c r="A655" i="7"/>
  <c r="A654" i="7"/>
  <c r="A653" i="7"/>
  <c r="A652" i="7"/>
  <c r="A651" i="7"/>
  <c r="A650" i="7"/>
  <c r="A649" i="7"/>
  <c r="A648" i="7"/>
  <c r="A647" i="7"/>
  <c r="A646" i="7"/>
  <c r="A645" i="7"/>
  <c r="A644" i="7"/>
  <c r="A643" i="7"/>
  <c r="A642" i="7"/>
  <c r="A641" i="7"/>
  <c r="A640" i="7"/>
  <c r="A639" i="7"/>
  <c r="A638" i="7"/>
  <c r="A637" i="7"/>
  <c r="A636" i="7"/>
  <c r="A635" i="7"/>
  <c r="A634" i="7"/>
  <c r="A633" i="7"/>
  <c r="A632" i="7"/>
  <c r="A631" i="7"/>
  <c r="A630" i="7"/>
  <c r="A629" i="7"/>
  <c r="A628" i="7"/>
  <c r="A627" i="7"/>
  <c r="A626" i="7"/>
  <c r="A625" i="7"/>
  <c r="A624" i="7"/>
  <c r="A623" i="7"/>
  <c r="A622" i="7"/>
  <c r="A621" i="7"/>
  <c r="A620" i="7"/>
  <c r="A619" i="7"/>
  <c r="A618" i="7"/>
  <c r="A617" i="7"/>
  <c r="A616" i="7"/>
  <c r="A615" i="7"/>
  <c r="A614" i="7"/>
  <c r="A613" i="7"/>
  <c r="A612" i="7"/>
  <c r="A611" i="7"/>
  <c r="A610" i="7"/>
  <c r="A609" i="7"/>
  <c r="A608" i="7"/>
  <c r="A607" i="7"/>
  <c r="A606" i="7"/>
  <c r="A605" i="7"/>
  <c r="A604" i="7"/>
  <c r="A603" i="7"/>
  <c r="A602" i="7"/>
  <c r="A601" i="7"/>
  <c r="A600" i="7"/>
  <c r="A599" i="7"/>
  <c r="A598" i="7"/>
  <c r="A597" i="7"/>
  <c r="A596" i="7"/>
  <c r="A595" i="7"/>
  <c r="A594" i="7"/>
  <c r="A593" i="7"/>
  <c r="A592" i="7"/>
  <c r="A591" i="7"/>
  <c r="A590" i="7"/>
  <c r="A589" i="7"/>
  <c r="A588" i="7"/>
  <c r="A587" i="7"/>
  <c r="A586" i="7"/>
  <c r="A585" i="7"/>
  <c r="A584" i="7"/>
  <c r="A583" i="7"/>
  <c r="A582" i="7"/>
  <c r="A581" i="7"/>
  <c r="A580" i="7"/>
  <c r="A579" i="7"/>
  <c r="A578" i="7"/>
  <c r="A577" i="7"/>
  <c r="A576" i="7"/>
  <c r="A575" i="7"/>
  <c r="A574" i="7"/>
  <c r="A573" i="7"/>
  <c r="A572" i="7"/>
  <c r="A571" i="7"/>
  <c r="A570" i="7"/>
  <c r="A569" i="7"/>
  <c r="A568" i="7"/>
  <c r="A567" i="7"/>
  <c r="A566" i="7"/>
  <c r="A565" i="7"/>
  <c r="A564" i="7"/>
  <c r="A563" i="7"/>
  <c r="A562" i="7"/>
  <c r="A561" i="7"/>
  <c r="A560" i="7"/>
  <c r="A559" i="7"/>
  <c r="A558" i="7"/>
  <c r="A557" i="7"/>
  <c r="A556" i="7"/>
  <c r="A555" i="7"/>
  <c r="A554" i="7"/>
  <c r="A553" i="7"/>
  <c r="A552" i="7"/>
  <c r="A551" i="7"/>
  <c r="A550" i="7"/>
  <c r="A549" i="7"/>
  <c r="A548" i="7"/>
  <c r="A547" i="7"/>
  <c r="A546" i="7"/>
  <c r="A545" i="7"/>
  <c r="A544" i="7"/>
  <c r="A543" i="7"/>
  <c r="A542" i="7"/>
  <c r="A541" i="7"/>
  <c r="A540" i="7"/>
  <c r="A539" i="7"/>
  <c r="A538" i="7"/>
  <c r="A537" i="7"/>
  <c r="A536" i="7"/>
  <c r="A535" i="7"/>
  <c r="A534" i="7"/>
  <c r="A533" i="7"/>
  <c r="A532" i="7"/>
  <c r="A531" i="7"/>
  <c r="A530" i="7"/>
  <c r="A529" i="7"/>
  <c r="A528" i="7"/>
  <c r="A527" i="7"/>
  <c r="A526" i="7"/>
  <c r="A525" i="7"/>
  <c r="A524" i="7"/>
  <c r="A523" i="7"/>
  <c r="A522" i="7"/>
  <c r="A521" i="7"/>
  <c r="A520" i="7"/>
  <c r="A519" i="7"/>
  <c r="A518" i="7"/>
  <c r="A517" i="7"/>
  <c r="A516" i="7"/>
  <c r="A515" i="7"/>
  <c r="A514" i="7"/>
  <c r="A513" i="7"/>
  <c r="A512" i="7"/>
  <c r="A511" i="7"/>
  <c r="A510" i="7"/>
  <c r="A509" i="7"/>
  <c r="A508" i="7"/>
  <c r="A507" i="7"/>
  <c r="A506" i="7"/>
  <c r="A505" i="7"/>
  <c r="A504" i="7"/>
  <c r="A503" i="7"/>
  <c r="A502" i="7"/>
  <c r="A501" i="7"/>
  <c r="A500" i="7"/>
  <c r="A499" i="7"/>
  <c r="A498" i="7"/>
  <c r="A497" i="7"/>
  <c r="A496" i="7"/>
  <c r="A495" i="7"/>
  <c r="A494" i="7"/>
  <c r="A493" i="7"/>
  <c r="A492" i="7"/>
  <c r="A491" i="7"/>
  <c r="A490" i="7"/>
  <c r="A489" i="7"/>
  <c r="A488" i="7"/>
  <c r="A487" i="7"/>
  <c r="A486" i="7"/>
  <c r="A485" i="7"/>
  <c r="A484" i="7"/>
  <c r="A483" i="7"/>
  <c r="A482" i="7"/>
  <c r="A481" i="7"/>
  <c r="A480" i="7"/>
  <c r="A479" i="7"/>
  <c r="A478" i="7"/>
  <c r="A477" i="7"/>
  <c r="A476" i="7"/>
  <c r="A475" i="7"/>
  <c r="A474" i="7"/>
  <c r="A473" i="7"/>
  <c r="A472" i="7"/>
  <c r="A471" i="7"/>
  <c r="A470" i="7"/>
  <c r="A469" i="7"/>
  <c r="A468" i="7"/>
  <c r="A467" i="7"/>
  <c r="A466" i="7"/>
  <c r="A465" i="7"/>
  <c r="A464" i="7"/>
  <c r="A463" i="7"/>
  <c r="A462" i="7"/>
  <c r="A461" i="7"/>
  <c r="A460" i="7"/>
  <c r="A459" i="7"/>
  <c r="A458" i="7"/>
  <c r="A457" i="7"/>
  <c r="A456" i="7"/>
  <c r="A455" i="7"/>
  <c r="A454" i="7"/>
  <c r="A453" i="7"/>
  <c r="A452" i="7"/>
  <c r="A451" i="7"/>
  <c r="A450" i="7"/>
  <c r="A449" i="7"/>
  <c r="A448" i="7"/>
  <c r="A447" i="7"/>
  <c r="A446" i="7"/>
  <c r="A445" i="7"/>
  <c r="A444" i="7"/>
  <c r="A443" i="7"/>
  <c r="A442" i="7"/>
  <c r="A441" i="7"/>
  <c r="A440" i="7"/>
  <c r="A439" i="7"/>
  <c r="A438" i="7"/>
  <c r="A437" i="7"/>
  <c r="A436" i="7"/>
  <c r="A435" i="7"/>
  <c r="A434" i="7"/>
  <c r="A433" i="7"/>
  <c r="A432" i="7"/>
  <c r="A431" i="7"/>
  <c r="A430" i="7"/>
  <c r="A429" i="7"/>
  <c r="A428" i="7"/>
  <c r="A427" i="7"/>
  <c r="A426" i="7"/>
  <c r="A425" i="7"/>
  <c r="A424" i="7"/>
  <c r="A423" i="7"/>
  <c r="A422" i="7"/>
  <c r="A421" i="7"/>
  <c r="A420" i="7"/>
  <c r="A419" i="7"/>
  <c r="A418" i="7"/>
  <c r="A417" i="7"/>
  <c r="A416" i="7"/>
  <c r="A415" i="7"/>
  <c r="A414" i="7"/>
  <c r="A413" i="7"/>
  <c r="A412" i="7"/>
  <c r="A411" i="7"/>
  <c r="A410" i="7"/>
  <c r="A409" i="7"/>
  <c r="A408" i="7"/>
  <c r="A407" i="7"/>
  <c r="A406" i="7"/>
  <c r="A405" i="7"/>
  <c r="A404" i="7"/>
  <c r="A403" i="7"/>
  <c r="A402" i="7"/>
  <c r="A401" i="7"/>
  <c r="A400" i="7"/>
  <c r="A399" i="7"/>
  <c r="A398" i="7"/>
  <c r="A397" i="7"/>
  <c r="A396" i="7"/>
  <c r="A395" i="7"/>
  <c r="A394" i="7"/>
  <c r="A393" i="7"/>
  <c r="A392" i="7"/>
  <c r="A391" i="7"/>
  <c r="A390" i="7"/>
  <c r="A389" i="7"/>
  <c r="A388" i="7"/>
  <c r="A387" i="7"/>
  <c r="A386" i="7"/>
  <c r="A385" i="7"/>
  <c r="A384" i="7"/>
  <c r="A383" i="7"/>
  <c r="A382" i="7"/>
  <c r="A381" i="7"/>
  <c r="A380" i="7"/>
  <c r="A379" i="7"/>
  <c r="A378" i="7"/>
  <c r="A377" i="7"/>
  <c r="A376" i="7"/>
  <c r="A375" i="7"/>
  <c r="A374" i="7"/>
  <c r="A373" i="7"/>
  <c r="A372" i="7"/>
  <c r="A371" i="7"/>
  <c r="A370" i="7"/>
  <c r="A369" i="7"/>
  <c r="A368" i="7"/>
  <c r="A367" i="7"/>
  <c r="A366" i="7"/>
  <c r="A365" i="7"/>
  <c r="A364" i="7"/>
  <c r="A363" i="7"/>
  <c r="A362" i="7"/>
  <c r="A361" i="7"/>
  <c r="A360" i="7"/>
  <c r="A359" i="7"/>
  <c r="A358" i="7"/>
  <c r="A357" i="7"/>
  <c r="A356" i="7"/>
  <c r="A355" i="7"/>
  <c r="A354" i="7"/>
  <c r="A353" i="7"/>
  <c r="A352" i="7"/>
  <c r="A351" i="7"/>
  <c r="A350" i="7"/>
  <c r="A349" i="7"/>
  <c r="A348" i="7"/>
  <c r="A347" i="7"/>
  <c r="A346" i="7"/>
  <c r="A345" i="7"/>
  <c r="A344" i="7"/>
  <c r="A343" i="7"/>
  <c r="A342" i="7"/>
  <c r="A341" i="7"/>
  <c r="A340" i="7"/>
  <c r="A339" i="7"/>
  <c r="A338" i="7"/>
  <c r="A337" i="7"/>
  <c r="A336" i="7"/>
  <c r="A335" i="7"/>
  <c r="A334" i="7"/>
  <c r="A333" i="7"/>
  <c r="A332" i="7"/>
  <c r="A331" i="7"/>
  <c r="A330" i="7"/>
  <c r="A329" i="7"/>
  <c r="A328" i="7"/>
  <c r="A327" i="7"/>
  <c r="A326" i="7"/>
  <c r="A325" i="7"/>
  <c r="A324" i="7"/>
  <c r="A323" i="7"/>
  <c r="A322" i="7"/>
  <c r="A321" i="7"/>
  <c r="A320" i="7"/>
  <c r="A319" i="7"/>
  <c r="A318" i="7"/>
  <c r="A317" i="7"/>
  <c r="A316" i="7"/>
  <c r="A315" i="7"/>
  <c r="A314" i="7"/>
  <c r="A313" i="7"/>
  <c r="A312" i="7"/>
  <c r="A311" i="7"/>
  <c r="A310" i="7"/>
  <c r="A309" i="7"/>
  <c r="A308" i="7"/>
  <c r="A307" i="7"/>
  <c r="A306" i="7"/>
  <c r="A305" i="7"/>
  <c r="A304" i="7"/>
  <c r="A303" i="7"/>
  <c r="A302" i="7"/>
  <c r="A301" i="7"/>
  <c r="A300" i="7"/>
  <c r="A299" i="7"/>
  <c r="A298" i="7"/>
  <c r="A297" i="7"/>
  <c r="A296" i="7"/>
  <c r="A295" i="7"/>
  <c r="A294" i="7"/>
  <c r="A293" i="7"/>
  <c r="A292" i="7"/>
  <c r="A291" i="7"/>
  <c r="A290" i="7"/>
  <c r="A289" i="7"/>
  <c r="A288" i="7"/>
  <c r="A287" i="7"/>
  <c r="A286" i="7"/>
  <c r="A285" i="7"/>
  <c r="A284" i="7"/>
  <c r="A283" i="7"/>
  <c r="A282" i="7"/>
  <c r="A281" i="7"/>
  <c r="A280" i="7"/>
  <c r="A279" i="7"/>
  <c r="A278" i="7"/>
  <c r="A277" i="7"/>
  <c r="A276" i="7"/>
  <c r="A275" i="7"/>
  <c r="A274" i="7"/>
  <c r="A273" i="7"/>
  <c r="A272" i="7"/>
  <c r="A271" i="7"/>
  <c r="A270" i="7"/>
  <c r="A269" i="7"/>
  <c r="A268" i="7"/>
  <c r="A267" i="7"/>
  <c r="A266" i="7"/>
  <c r="A265" i="7"/>
  <c r="A264" i="7"/>
  <c r="A263" i="7"/>
  <c r="A262" i="7"/>
  <c r="A261" i="7"/>
  <c r="A260" i="7"/>
  <c r="A259" i="7"/>
  <c r="A258" i="7"/>
  <c r="A257" i="7"/>
  <c r="A256" i="7"/>
  <c r="A255" i="7"/>
  <c r="A254" i="7"/>
  <c r="A253" i="7"/>
  <c r="A252" i="7"/>
  <c r="A251" i="7"/>
  <c r="A250" i="7"/>
  <c r="A249" i="7"/>
  <c r="A248" i="7"/>
  <c r="A247" i="7"/>
  <c r="A246" i="7"/>
  <c r="A245" i="7"/>
  <c r="A244" i="7"/>
  <c r="A243" i="7"/>
  <c r="A242" i="7"/>
  <c r="A241" i="7"/>
  <c r="A240" i="7"/>
  <c r="A239" i="7"/>
  <c r="A238" i="7"/>
  <c r="A237" i="7"/>
  <c r="A236" i="7"/>
  <c r="A235" i="7"/>
  <c r="A234" i="7"/>
  <c r="A233" i="7"/>
  <c r="A232" i="7"/>
  <c r="A231" i="7"/>
  <c r="A230" i="7"/>
  <c r="A229" i="7"/>
  <c r="A228" i="7"/>
  <c r="A227" i="7"/>
  <c r="A226" i="7"/>
  <c r="A225" i="7"/>
  <c r="A224" i="7"/>
  <c r="A223" i="7"/>
  <c r="A222" i="7"/>
  <c r="A221" i="7"/>
  <c r="A220" i="7"/>
  <c r="A219" i="7"/>
  <c r="A218" i="7"/>
  <c r="A217" i="7"/>
  <c r="A216" i="7"/>
  <c r="A215" i="7"/>
  <c r="A214" i="7"/>
  <c r="A213" i="7"/>
  <c r="A212" i="7"/>
  <c r="A211" i="7"/>
  <c r="A210" i="7"/>
  <c r="A209" i="7"/>
  <c r="A208" i="7"/>
  <c r="A207" i="7"/>
  <c r="A206" i="7"/>
  <c r="A205" i="7"/>
  <c r="A204" i="7"/>
  <c r="A203" i="7"/>
  <c r="A202" i="7"/>
  <c r="A201" i="7"/>
  <c r="A200" i="7"/>
  <c r="A199" i="7"/>
  <c r="A198" i="7"/>
  <c r="A197" i="7"/>
  <c r="A196" i="7"/>
  <c r="A195" i="7"/>
  <c r="A194" i="7"/>
  <c r="A193" i="7"/>
  <c r="A192" i="7"/>
  <c r="A191" i="7"/>
  <c r="A190" i="7"/>
  <c r="A189" i="7"/>
  <c r="A188" i="7"/>
  <c r="A187" i="7"/>
  <c r="A186" i="7"/>
  <c r="A185" i="7"/>
  <c r="A184" i="7"/>
  <c r="A183" i="7"/>
  <c r="A182" i="7"/>
  <c r="A181" i="7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F28" i="7"/>
  <c r="E28" i="7"/>
  <c r="B28" i="7"/>
  <c r="A28" i="7" s="1"/>
  <c r="F27" i="7"/>
  <c r="E27" i="7"/>
  <c r="C27" i="7"/>
  <c r="B27" i="7"/>
  <c r="A27" i="7" s="1"/>
  <c r="F26" i="7"/>
  <c r="E26" i="7"/>
  <c r="C26" i="7"/>
  <c r="B26" i="7"/>
  <c r="A26" i="7" s="1"/>
  <c r="F25" i="7"/>
  <c r="E25" i="7"/>
  <c r="C25" i="7"/>
  <c r="B25" i="7"/>
  <c r="A25" i="7" s="1"/>
  <c r="F24" i="7"/>
  <c r="E24" i="7"/>
  <c r="C24" i="7"/>
  <c r="B24" i="7"/>
  <c r="A24" i="7" s="1"/>
  <c r="F23" i="7"/>
  <c r="E23" i="7"/>
  <c r="C23" i="7"/>
  <c r="B23" i="7"/>
  <c r="A23" i="7" s="1"/>
  <c r="F22" i="7"/>
  <c r="E22" i="7"/>
  <c r="C22" i="7"/>
  <c r="B22" i="7"/>
  <c r="A22" i="7" s="1"/>
  <c r="F21" i="7"/>
  <c r="E21" i="7"/>
  <c r="C21" i="7"/>
  <c r="B21" i="7"/>
  <c r="A21" i="7" s="1"/>
  <c r="F20" i="7"/>
  <c r="E20" i="7"/>
  <c r="C20" i="7"/>
  <c r="B20" i="7"/>
  <c r="A20" i="7" s="1"/>
  <c r="F19" i="7"/>
  <c r="E19" i="7"/>
  <c r="C19" i="7"/>
  <c r="B19" i="7"/>
  <c r="A19" i="7" s="1"/>
  <c r="F18" i="7"/>
  <c r="E18" i="7"/>
  <c r="C18" i="7"/>
  <c r="B18" i="7"/>
  <c r="A18" i="7" s="1"/>
  <c r="F17" i="7"/>
  <c r="E17" i="7"/>
  <c r="C17" i="7"/>
  <c r="B17" i="7"/>
  <c r="A17" i="7" s="1"/>
  <c r="F16" i="7"/>
  <c r="E16" i="7"/>
  <c r="C16" i="7"/>
  <c r="B16" i="7"/>
  <c r="A16" i="7" s="1"/>
  <c r="F15" i="7"/>
  <c r="E15" i="7"/>
  <c r="C15" i="7"/>
  <c r="B15" i="7"/>
  <c r="A15" i="7" s="1"/>
  <c r="F14" i="7"/>
  <c r="E14" i="7"/>
  <c r="C14" i="7"/>
  <c r="B14" i="7"/>
  <c r="A14" i="7" s="1"/>
  <c r="F13" i="7"/>
  <c r="E13" i="7"/>
  <c r="C13" i="7"/>
  <c r="B13" i="7"/>
  <c r="A13" i="7" s="1"/>
  <c r="F12" i="7"/>
  <c r="E12" i="7"/>
  <c r="C12" i="7"/>
  <c r="B12" i="7"/>
  <c r="A12" i="7" s="1"/>
  <c r="F11" i="7"/>
  <c r="E11" i="7"/>
  <c r="C11" i="7"/>
  <c r="B11" i="7"/>
  <c r="A11" i="7" s="1"/>
  <c r="F10" i="7"/>
  <c r="E10" i="7"/>
  <c r="C10" i="7"/>
  <c r="B10" i="7"/>
  <c r="A10" i="7" s="1"/>
  <c r="F9" i="7"/>
  <c r="E9" i="7"/>
  <c r="C9" i="7"/>
  <c r="B9" i="7"/>
  <c r="A9" i="7" s="1"/>
  <c r="F8" i="7"/>
  <c r="E8" i="7"/>
  <c r="C8" i="7"/>
  <c r="B8" i="7"/>
  <c r="A8" i="7" s="1"/>
  <c r="F7" i="7"/>
  <c r="E7" i="7"/>
  <c r="C7" i="7"/>
  <c r="B7" i="7"/>
  <c r="A7" i="7" s="1"/>
  <c r="F6" i="7"/>
  <c r="E6" i="7"/>
  <c r="C6" i="7"/>
  <c r="B6" i="7"/>
  <c r="A6" i="7" s="1"/>
  <c r="F5" i="7"/>
  <c r="E5" i="7"/>
  <c r="C5" i="7"/>
  <c r="B5" i="7"/>
  <c r="A5" i="7" s="1"/>
  <c r="F4" i="7"/>
  <c r="E4" i="7"/>
  <c r="C4" i="7"/>
  <c r="B4" i="7"/>
  <c r="A4" i="7" s="1"/>
  <c r="N994" i="6"/>
  <c r="M994" i="6"/>
  <c r="L994" i="6"/>
  <c r="A994" i="6"/>
  <c r="N993" i="6"/>
  <c r="M993" i="6"/>
  <c r="L993" i="6"/>
  <c r="A993" i="6"/>
  <c r="N992" i="6"/>
  <c r="M992" i="6"/>
  <c r="L992" i="6"/>
  <c r="A992" i="6"/>
  <c r="N991" i="6"/>
  <c r="M991" i="6"/>
  <c r="L991" i="6"/>
  <c r="A991" i="6"/>
  <c r="N990" i="6"/>
  <c r="M990" i="6"/>
  <c r="L990" i="6"/>
  <c r="A990" i="6"/>
  <c r="N989" i="6"/>
  <c r="M989" i="6"/>
  <c r="L989" i="6"/>
  <c r="A989" i="6"/>
  <c r="N988" i="6"/>
  <c r="M988" i="6"/>
  <c r="L988" i="6"/>
  <c r="A988" i="6"/>
  <c r="N987" i="6"/>
  <c r="M987" i="6"/>
  <c r="L987" i="6"/>
  <c r="A987" i="6"/>
  <c r="N986" i="6"/>
  <c r="M986" i="6"/>
  <c r="L986" i="6"/>
  <c r="A986" i="6"/>
  <c r="N985" i="6"/>
  <c r="M985" i="6"/>
  <c r="L985" i="6"/>
  <c r="A985" i="6"/>
  <c r="N984" i="6"/>
  <c r="M984" i="6"/>
  <c r="L984" i="6"/>
  <c r="A984" i="6"/>
  <c r="N983" i="6"/>
  <c r="M983" i="6"/>
  <c r="L983" i="6"/>
  <c r="A983" i="6"/>
  <c r="N982" i="6"/>
  <c r="M982" i="6"/>
  <c r="L982" i="6"/>
  <c r="A982" i="6"/>
  <c r="N981" i="6"/>
  <c r="M981" i="6"/>
  <c r="L981" i="6"/>
  <c r="A981" i="6"/>
  <c r="N980" i="6"/>
  <c r="M980" i="6"/>
  <c r="L980" i="6"/>
  <c r="A980" i="6"/>
  <c r="N979" i="6"/>
  <c r="M979" i="6"/>
  <c r="L979" i="6"/>
  <c r="A979" i="6"/>
  <c r="N978" i="6"/>
  <c r="M978" i="6"/>
  <c r="L978" i="6"/>
  <c r="A978" i="6"/>
  <c r="N977" i="6"/>
  <c r="M977" i="6"/>
  <c r="L977" i="6"/>
  <c r="A977" i="6"/>
  <c r="N976" i="6"/>
  <c r="M976" i="6"/>
  <c r="L976" i="6"/>
  <c r="A976" i="6"/>
  <c r="N975" i="6"/>
  <c r="M975" i="6"/>
  <c r="L975" i="6"/>
  <c r="A975" i="6"/>
  <c r="N974" i="6"/>
  <c r="M974" i="6"/>
  <c r="L974" i="6"/>
  <c r="A974" i="6"/>
  <c r="N973" i="6"/>
  <c r="M973" i="6"/>
  <c r="L973" i="6"/>
  <c r="A973" i="6"/>
  <c r="N972" i="6"/>
  <c r="M972" i="6"/>
  <c r="L972" i="6"/>
  <c r="A972" i="6"/>
  <c r="N971" i="6"/>
  <c r="M971" i="6"/>
  <c r="L971" i="6"/>
  <c r="A971" i="6"/>
  <c r="N970" i="6"/>
  <c r="M970" i="6"/>
  <c r="L970" i="6"/>
  <c r="A970" i="6"/>
  <c r="N969" i="6"/>
  <c r="M969" i="6"/>
  <c r="L969" i="6"/>
  <c r="A969" i="6"/>
  <c r="N968" i="6"/>
  <c r="M968" i="6"/>
  <c r="L968" i="6"/>
  <c r="A968" i="6"/>
  <c r="N967" i="6"/>
  <c r="M967" i="6"/>
  <c r="L967" i="6"/>
  <c r="A967" i="6"/>
  <c r="N966" i="6"/>
  <c r="M966" i="6"/>
  <c r="L966" i="6"/>
  <c r="A966" i="6"/>
  <c r="N965" i="6"/>
  <c r="M965" i="6"/>
  <c r="L965" i="6"/>
  <c r="A965" i="6"/>
  <c r="N964" i="6"/>
  <c r="M964" i="6"/>
  <c r="L964" i="6"/>
  <c r="A964" i="6"/>
  <c r="N963" i="6"/>
  <c r="M963" i="6"/>
  <c r="L963" i="6"/>
  <c r="A963" i="6"/>
  <c r="N962" i="6"/>
  <c r="M962" i="6"/>
  <c r="L962" i="6"/>
  <c r="A962" i="6"/>
  <c r="N961" i="6"/>
  <c r="M961" i="6"/>
  <c r="L961" i="6"/>
  <c r="A961" i="6"/>
  <c r="N960" i="6"/>
  <c r="M960" i="6"/>
  <c r="L960" i="6"/>
  <c r="A960" i="6"/>
  <c r="N959" i="6"/>
  <c r="M959" i="6"/>
  <c r="L959" i="6"/>
  <c r="A959" i="6"/>
  <c r="N958" i="6"/>
  <c r="M958" i="6"/>
  <c r="L958" i="6"/>
  <c r="A958" i="6"/>
  <c r="N957" i="6"/>
  <c r="M957" i="6"/>
  <c r="L957" i="6"/>
  <c r="A957" i="6"/>
  <c r="N956" i="6"/>
  <c r="M956" i="6"/>
  <c r="L956" i="6"/>
  <c r="A956" i="6"/>
  <c r="N955" i="6"/>
  <c r="M955" i="6"/>
  <c r="L955" i="6"/>
  <c r="A955" i="6"/>
  <c r="N954" i="6"/>
  <c r="M954" i="6"/>
  <c r="L954" i="6"/>
  <c r="A954" i="6"/>
  <c r="N953" i="6"/>
  <c r="M953" i="6"/>
  <c r="L953" i="6"/>
  <c r="A953" i="6"/>
  <c r="N952" i="6"/>
  <c r="M952" i="6"/>
  <c r="L952" i="6"/>
  <c r="A952" i="6"/>
  <c r="N951" i="6"/>
  <c r="M951" i="6"/>
  <c r="L951" i="6"/>
  <c r="A951" i="6"/>
  <c r="N950" i="6"/>
  <c r="M950" i="6"/>
  <c r="L950" i="6"/>
  <c r="A950" i="6"/>
  <c r="N949" i="6"/>
  <c r="M949" i="6"/>
  <c r="L949" i="6"/>
  <c r="A949" i="6"/>
  <c r="N948" i="6"/>
  <c r="M948" i="6"/>
  <c r="L948" i="6"/>
  <c r="A948" i="6"/>
  <c r="N947" i="6"/>
  <c r="M947" i="6"/>
  <c r="L947" i="6"/>
  <c r="A947" i="6"/>
  <c r="N946" i="6"/>
  <c r="M946" i="6"/>
  <c r="L946" i="6"/>
  <c r="A946" i="6"/>
  <c r="N945" i="6"/>
  <c r="M945" i="6"/>
  <c r="L945" i="6"/>
  <c r="A945" i="6"/>
  <c r="N944" i="6"/>
  <c r="M944" i="6"/>
  <c r="L944" i="6"/>
  <c r="A944" i="6"/>
  <c r="N943" i="6"/>
  <c r="M943" i="6"/>
  <c r="L943" i="6"/>
  <c r="A943" i="6"/>
  <c r="N942" i="6"/>
  <c r="M942" i="6"/>
  <c r="L942" i="6"/>
  <c r="A942" i="6"/>
  <c r="N941" i="6"/>
  <c r="M941" i="6"/>
  <c r="L941" i="6"/>
  <c r="A941" i="6"/>
  <c r="N940" i="6"/>
  <c r="M940" i="6"/>
  <c r="L940" i="6"/>
  <c r="A940" i="6"/>
  <c r="N939" i="6"/>
  <c r="M939" i="6"/>
  <c r="L939" i="6"/>
  <c r="A939" i="6"/>
  <c r="N938" i="6"/>
  <c r="M938" i="6"/>
  <c r="L938" i="6"/>
  <c r="A938" i="6"/>
  <c r="N937" i="6"/>
  <c r="M937" i="6"/>
  <c r="L937" i="6"/>
  <c r="A937" i="6"/>
  <c r="N936" i="6"/>
  <c r="M936" i="6"/>
  <c r="L936" i="6"/>
  <c r="A936" i="6"/>
  <c r="N935" i="6"/>
  <c r="M935" i="6"/>
  <c r="L935" i="6"/>
  <c r="A935" i="6"/>
  <c r="N934" i="6"/>
  <c r="M934" i="6"/>
  <c r="L934" i="6"/>
  <c r="A934" i="6"/>
  <c r="N933" i="6"/>
  <c r="M933" i="6"/>
  <c r="L933" i="6"/>
  <c r="A933" i="6"/>
  <c r="N932" i="6"/>
  <c r="M932" i="6"/>
  <c r="L932" i="6"/>
  <c r="A932" i="6"/>
  <c r="N931" i="6"/>
  <c r="M931" i="6"/>
  <c r="L931" i="6"/>
  <c r="A931" i="6"/>
  <c r="N930" i="6"/>
  <c r="M930" i="6"/>
  <c r="L930" i="6"/>
  <c r="A930" i="6"/>
  <c r="N929" i="6"/>
  <c r="M929" i="6"/>
  <c r="L929" i="6"/>
  <c r="A929" i="6"/>
  <c r="N928" i="6"/>
  <c r="M928" i="6"/>
  <c r="L928" i="6"/>
  <c r="A928" i="6"/>
  <c r="N927" i="6"/>
  <c r="M927" i="6"/>
  <c r="L927" i="6"/>
  <c r="A927" i="6"/>
  <c r="N926" i="6"/>
  <c r="M926" i="6"/>
  <c r="L926" i="6"/>
  <c r="A926" i="6"/>
  <c r="N925" i="6"/>
  <c r="M925" i="6"/>
  <c r="L925" i="6"/>
  <c r="A925" i="6"/>
  <c r="N924" i="6"/>
  <c r="M924" i="6"/>
  <c r="L924" i="6"/>
  <c r="A924" i="6"/>
  <c r="N923" i="6"/>
  <c r="M923" i="6"/>
  <c r="L923" i="6"/>
  <c r="A923" i="6"/>
  <c r="N922" i="6"/>
  <c r="M922" i="6"/>
  <c r="L922" i="6"/>
  <c r="A922" i="6"/>
  <c r="N921" i="6"/>
  <c r="M921" i="6"/>
  <c r="L921" i="6"/>
  <c r="A921" i="6"/>
  <c r="N920" i="6"/>
  <c r="M920" i="6"/>
  <c r="L920" i="6"/>
  <c r="A920" i="6"/>
  <c r="N919" i="6"/>
  <c r="M919" i="6"/>
  <c r="L919" i="6"/>
  <c r="A919" i="6"/>
  <c r="N918" i="6"/>
  <c r="M918" i="6"/>
  <c r="L918" i="6"/>
  <c r="A918" i="6"/>
  <c r="N917" i="6"/>
  <c r="M917" i="6"/>
  <c r="L917" i="6"/>
  <c r="A917" i="6"/>
  <c r="N916" i="6"/>
  <c r="M916" i="6"/>
  <c r="L916" i="6"/>
  <c r="A916" i="6"/>
  <c r="N915" i="6"/>
  <c r="M915" i="6"/>
  <c r="L915" i="6"/>
  <c r="A915" i="6"/>
  <c r="N914" i="6"/>
  <c r="M914" i="6"/>
  <c r="L914" i="6"/>
  <c r="A914" i="6"/>
  <c r="N913" i="6"/>
  <c r="M913" i="6"/>
  <c r="L913" i="6"/>
  <c r="A913" i="6"/>
  <c r="N912" i="6"/>
  <c r="M912" i="6"/>
  <c r="L912" i="6"/>
  <c r="A912" i="6"/>
  <c r="N911" i="6"/>
  <c r="M911" i="6"/>
  <c r="L911" i="6"/>
  <c r="A911" i="6"/>
  <c r="N910" i="6"/>
  <c r="M910" i="6"/>
  <c r="L910" i="6"/>
  <c r="A910" i="6"/>
  <c r="N909" i="6"/>
  <c r="M909" i="6"/>
  <c r="L909" i="6"/>
  <c r="A909" i="6"/>
  <c r="N908" i="6"/>
  <c r="M908" i="6"/>
  <c r="L908" i="6"/>
  <c r="A908" i="6"/>
  <c r="N907" i="6"/>
  <c r="M907" i="6"/>
  <c r="L907" i="6"/>
  <c r="A907" i="6"/>
  <c r="N906" i="6"/>
  <c r="M906" i="6"/>
  <c r="L906" i="6"/>
  <c r="A906" i="6"/>
  <c r="N905" i="6"/>
  <c r="M905" i="6"/>
  <c r="L905" i="6"/>
  <c r="A905" i="6"/>
  <c r="N904" i="6"/>
  <c r="M904" i="6"/>
  <c r="L904" i="6"/>
  <c r="A904" i="6"/>
  <c r="N903" i="6"/>
  <c r="M903" i="6"/>
  <c r="L903" i="6"/>
  <c r="A903" i="6"/>
  <c r="N902" i="6"/>
  <c r="M902" i="6"/>
  <c r="L902" i="6"/>
  <c r="A902" i="6"/>
  <c r="N901" i="6"/>
  <c r="M901" i="6"/>
  <c r="L901" i="6"/>
  <c r="A901" i="6"/>
  <c r="N900" i="6"/>
  <c r="M900" i="6"/>
  <c r="L900" i="6"/>
  <c r="A900" i="6"/>
  <c r="N899" i="6"/>
  <c r="M899" i="6"/>
  <c r="L899" i="6"/>
  <c r="A899" i="6"/>
  <c r="N898" i="6"/>
  <c r="M898" i="6"/>
  <c r="L898" i="6"/>
  <c r="A898" i="6"/>
  <c r="N897" i="6"/>
  <c r="M897" i="6"/>
  <c r="L897" i="6"/>
  <c r="A897" i="6"/>
  <c r="N896" i="6"/>
  <c r="M896" i="6"/>
  <c r="L896" i="6"/>
  <c r="A896" i="6"/>
  <c r="N895" i="6"/>
  <c r="M895" i="6"/>
  <c r="L895" i="6"/>
  <c r="A895" i="6"/>
  <c r="N894" i="6"/>
  <c r="M894" i="6"/>
  <c r="L894" i="6"/>
  <c r="A894" i="6"/>
  <c r="N893" i="6"/>
  <c r="M893" i="6"/>
  <c r="L893" i="6"/>
  <c r="A893" i="6"/>
  <c r="N892" i="6"/>
  <c r="M892" i="6"/>
  <c r="L892" i="6"/>
  <c r="A892" i="6"/>
  <c r="N891" i="6"/>
  <c r="M891" i="6"/>
  <c r="L891" i="6"/>
  <c r="A891" i="6"/>
  <c r="N890" i="6"/>
  <c r="M890" i="6"/>
  <c r="L890" i="6"/>
  <c r="A890" i="6"/>
  <c r="N889" i="6"/>
  <c r="M889" i="6"/>
  <c r="L889" i="6"/>
  <c r="A889" i="6"/>
  <c r="N888" i="6"/>
  <c r="M888" i="6"/>
  <c r="L888" i="6"/>
  <c r="A888" i="6"/>
  <c r="N887" i="6"/>
  <c r="M887" i="6"/>
  <c r="L887" i="6"/>
  <c r="A887" i="6"/>
  <c r="N886" i="6"/>
  <c r="M886" i="6"/>
  <c r="L886" i="6"/>
  <c r="A886" i="6"/>
  <c r="N885" i="6"/>
  <c r="M885" i="6"/>
  <c r="L885" i="6"/>
  <c r="A885" i="6"/>
  <c r="N884" i="6"/>
  <c r="M884" i="6"/>
  <c r="L884" i="6"/>
  <c r="A884" i="6"/>
  <c r="N883" i="6"/>
  <c r="M883" i="6"/>
  <c r="L883" i="6"/>
  <c r="A883" i="6"/>
  <c r="N882" i="6"/>
  <c r="M882" i="6"/>
  <c r="L882" i="6"/>
  <c r="A882" i="6"/>
  <c r="N881" i="6"/>
  <c r="M881" i="6"/>
  <c r="L881" i="6"/>
  <c r="A881" i="6"/>
  <c r="N880" i="6"/>
  <c r="M880" i="6"/>
  <c r="L880" i="6"/>
  <c r="A880" i="6"/>
  <c r="N879" i="6"/>
  <c r="M879" i="6"/>
  <c r="L879" i="6"/>
  <c r="A879" i="6"/>
  <c r="N878" i="6"/>
  <c r="M878" i="6"/>
  <c r="L878" i="6"/>
  <c r="A878" i="6"/>
  <c r="N877" i="6"/>
  <c r="M877" i="6"/>
  <c r="L877" i="6"/>
  <c r="A877" i="6"/>
  <c r="N876" i="6"/>
  <c r="M876" i="6"/>
  <c r="L876" i="6"/>
  <c r="A876" i="6"/>
  <c r="N875" i="6"/>
  <c r="M875" i="6"/>
  <c r="L875" i="6"/>
  <c r="A875" i="6"/>
  <c r="N874" i="6"/>
  <c r="M874" i="6"/>
  <c r="L874" i="6"/>
  <c r="A874" i="6"/>
  <c r="N873" i="6"/>
  <c r="M873" i="6"/>
  <c r="L873" i="6"/>
  <c r="A873" i="6"/>
  <c r="N872" i="6"/>
  <c r="M872" i="6"/>
  <c r="L872" i="6"/>
  <c r="A872" i="6"/>
  <c r="N871" i="6"/>
  <c r="M871" i="6"/>
  <c r="L871" i="6"/>
  <c r="A871" i="6"/>
  <c r="N870" i="6"/>
  <c r="M870" i="6"/>
  <c r="L870" i="6"/>
  <c r="A870" i="6"/>
  <c r="N869" i="6"/>
  <c r="M869" i="6"/>
  <c r="L869" i="6"/>
  <c r="A869" i="6"/>
  <c r="N868" i="6"/>
  <c r="M868" i="6"/>
  <c r="L868" i="6"/>
  <c r="A868" i="6"/>
  <c r="N867" i="6"/>
  <c r="M867" i="6"/>
  <c r="L867" i="6"/>
  <c r="A867" i="6"/>
  <c r="N866" i="6"/>
  <c r="M866" i="6"/>
  <c r="L866" i="6"/>
  <c r="A866" i="6"/>
  <c r="N865" i="6"/>
  <c r="M865" i="6"/>
  <c r="L865" i="6"/>
  <c r="A865" i="6"/>
  <c r="N864" i="6"/>
  <c r="M864" i="6"/>
  <c r="L864" i="6"/>
  <c r="A864" i="6"/>
  <c r="N863" i="6"/>
  <c r="M863" i="6"/>
  <c r="L863" i="6"/>
  <c r="A863" i="6"/>
  <c r="N862" i="6"/>
  <c r="M862" i="6"/>
  <c r="L862" i="6"/>
  <c r="A862" i="6"/>
  <c r="N861" i="6"/>
  <c r="M861" i="6"/>
  <c r="L861" i="6"/>
  <c r="A861" i="6"/>
  <c r="N860" i="6"/>
  <c r="M860" i="6"/>
  <c r="L860" i="6"/>
  <c r="A860" i="6"/>
  <c r="N859" i="6"/>
  <c r="M859" i="6"/>
  <c r="L859" i="6"/>
  <c r="A859" i="6"/>
  <c r="N858" i="6"/>
  <c r="M858" i="6"/>
  <c r="L858" i="6"/>
  <c r="A858" i="6"/>
  <c r="N857" i="6"/>
  <c r="M857" i="6"/>
  <c r="L857" i="6"/>
  <c r="A857" i="6"/>
  <c r="N856" i="6"/>
  <c r="M856" i="6"/>
  <c r="L856" i="6"/>
  <c r="A856" i="6"/>
  <c r="N855" i="6"/>
  <c r="M855" i="6"/>
  <c r="L855" i="6"/>
  <c r="A855" i="6"/>
  <c r="N854" i="6"/>
  <c r="M854" i="6"/>
  <c r="L854" i="6"/>
  <c r="A854" i="6"/>
  <c r="N853" i="6"/>
  <c r="M853" i="6"/>
  <c r="L853" i="6"/>
  <c r="A853" i="6"/>
  <c r="N852" i="6"/>
  <c r="M852" i="6"/>
  <c r="L852" i="6"/>
  <c r="A852" i="6"/>
  <c r="N851" i="6"/>
  <c r="M851" i="6"/>
  <c r="L851" i="6"/>
  <c r="A851" i="6"/>
  <c r="N850" i="6"/>
  <c r="M850" i="6"/>
  <c r="L850" i="6"/>
  <c r="A850" i="6"/>
  <c r="N849" i="6"/>
  <c r="M849" i="6"/>
  <c r="L849" i="6"/>
  <c r="A849" i="6"/>
  <c r="N848" i="6"/>
  <c r="M848" i="6"/>
  <c r="L848" i="6"/>
  <c r="A848" i="6"/>
  <c r="N847" i="6"/>
  <c r="M847" i="6"/>
  <c r="L847" i="6"/>
  <c r="A847" i="6"/>
  <c r="N846" i="6"/>
  <c r="M846" i="6"/>
  <c r="L846" i="6"/>
  <c r="A846" i="6"/>
  <c r="N845" i="6"/>
  <c r="M845" i="6"/>
  <c r="L845" i="6"/>
  <c r="A845" i="6"/>
  <c r="N844" i="6"/>
  <c r="M844" i="6"/>
  <c r="L844" i="6"/>
  <c r="A844" i="6"/>
  <c r="N843" i="6"/>
  <c r="M843" i="6"/>
  <c r="L843" i="6"/>
  <c r="A843" i="6"/>
  <c r="N842" i="6"/>
  <c r="M842" i="6"/>
  <c r="L842" i="6"/>
  <c r="A842" i="6"/>
  <c r="N841" i="6"/>
  <c r="M841" i="6"/>
  <c r="L841" i="6"/>
  <c r="A841" i="6"/>
  <c r="N840" i="6"/>
  <c r="M840" i="6"/>
  <c r="L840" i="6"/>
  <c r="A840" i="6"/>
  <c r="N839" i="6"/>
  <c r="M839" i="6"/>
  <c r="L839" i="6"/>
  <c r="A839" i="6"/>
  <c r="N838" i="6"/>
  <c r="M838" i="6"/>
  <c r="L838" i="6"/>
  <c r="A838" i="6"/>
  <c r="N837" i="6"/>
  <c r="M837" i="6"/>
  <c r="L837" i="6"/>
  <c r="A837" i="6"/>
  <c r="N836" i="6"/>
  <c r="M836" i="6"/>
  <c r="L836" i="6"/>
  <c r="A836" i="6"/>
  <c r="N835" i="6"/>
  <c r="M835" i="6"/>
  <c r="L835" i="6"/>
  <c r="A835" i="6"/>
  <c r="N834" i="6"/>
  <c r="M834" i="6"/>
  <c r="L834" i="6"/>
  <c r="A834" i="6"/>
  <c r="N833" i="6"/>
  <c r="M833" i="6"/>
  <c r="L833" i="6"/>
  <c r="A833" i="6"/>
  <c r="N832" i="6"/>
  <c r="M832" i="6"/>
  <c r="L832" i="6"/>
  <c r="A832" i="6"/>
  <c r="N831" i="6"/>
  <c r="M831" i="6"/>
  <c r="L831" i="6"/>
  <c r="A831" i="6"/>
  <c r="N830" i="6"/>
  <c r="M830" i="6"/>
  <c r="L830" i="6"/>
  <c r="A830" i="6"/>
  <c r="N829" i="6"/>
  <c r="M829" i="6"/>
  <c r="L829" i="6"/>
  <c r="A829" i="6"/>
  <c r="N828" i="6"/>
  <c r="M828" i="6"/>
  <c r="L828" i="6"/>
  <c r="A828" i="6"/>
  <c r="N827" i="6"/>
  <c r="M827" i="6"/>
  <c r="L827" i="6"/>
  <c r="A827" i="6"/>
  <c r="N826" i="6"/>
  <c r="M826" i="6"/>
  <c r="L826" i="6"/>
  <c r="A826" i="6"/>
  <c r="N825" i="6"/>
  <c r="M825" i="6"/>
  <c r="L825" i="6"/>
  <c r="A825" i="6"/>
  <c r="N824" i="6"/>
  <c r="M824" i="6"/>
  <c r="L824" i="6"/>
  <c r="A824" i="6"/>
  <c r="N823" i="6"/>
  <c r="M823" i="6"/>
  <c r="L823" i="6"/>
  <c r="A823" i="6"/>
  <c r="N822" i="6"/>
  <c r="M822" i="6"/>
  <c r="L822" i="6"/>
  <c r="A822" i="6"/>
  <c r="N821" i="6"/>
  <c r="M821" i="6"/>
  <c r="L821" i="6"/>
  <c r="A821" i="6"/>
  <c r="N820" i="6"/>
  <c r="M820" i="6"/>
  <c r="L820" i="6"/>
  <c r="A820" i="6"/>
  <c r="N819" i="6"/>
  <c r="M819" i="6"/>
  <c r="L819" i="6"/>
  <c r="A819" i="6"/>
  <c r="N818" i="6"/>
  <c r="M818" i="6"/>
  <c r="L818" i="6"/>
  <c r="A818" i="6"/>
  <c r="N817" i="6"/>
  <c r="M817" i="6"/>
  <c r="L817" i="6"/>
  <c r="A817" i="6"/>
  <c r="N816" i="6"/>
  <c r="M816" i="6"/>
  <c r="L816" i="6"/>
  <c r="A816" i="6"/>
  <c r="N815" i="6"/>
  <c r="M815" i="6"/>
  <c r="L815" i="6"/>
  <c r="A815" i="6"/>
  <c r="N814" i="6"/>
  <c r="M814" i="6"/>
  <c r="L814" i="6"/>
  <c r="A814" i="6"/>
  <c r="N813" i="6"/>
  <c r="M813" i="6"/>
  <c r="L813" i="6"/>
  <c r="A813" i="6"/>
  <c r="N812" i="6"/>
  <c r="M812" i="6"/>
  <c r="L812" i="6"/>
  <c r="A812" i="6"/>
  <c r="N811" i="6"/>
  <c r="M811" i="6"/>
  <c r="L811" i="6"/>
  <c r="A811" i="6"/>
  <c r="N810" i="6"/>
  <c r="M810" i="6"/>
  <c r="L810" i="6"/>
  <c r="A810" i="6"/>
  <c r="N809" i="6"/>
  <c r="M809" i="6"/>
  <c r="L809" i="6"/>
  <c r="A809" i="6"/>
  <c r="N808" i="6"/>
  <c r="M808" i="6"/>
  <c r="L808" i="6"/>
  <c r="A808" i="6"/>
  <c r="N807" i="6"/>
  <c r="M807" i="6"/>
  <c r="L807" i="6"/>
  <c r="A807" i="6"/>
  <c r="N806" i="6"/>
  <c r="M806" i="6"/>
  <c r="L806" i="6"/>
  <c r="A806" i="6"/>
  <c r="N805" i="6"/>
  <c r="M805" i="6"/>
  <c r="L805" i="6"/>
  <c r="A805" i="6"/>
  <c r="N804" i="6"/>
  <c r="M804" i="6"/>
  <c r="L804" i="6"/>
  <c r="A804" i="6"/>
  <c r="N803" i="6"/>
  <c r="M803" i="6"/>
  <c r="L803" i="6"/>
  <c r="A803" i="6"/>
  <c r="N802" i="6"/>
  <c r="M802" i="6"/>
  <c r="L802" i="6"/>
  <c r="A802" i="6"/>
  <c r="N801" i="6"/>
  <c r="M801" i="6"/>
  <c r="L801" i="6"/>
  <c r="A801" i="6"/>
  <c r="N800" i="6"/>
  <c r="M800" i="6"/>
  <c r="L800" i="6"/>
  <c r="A800" i="6"/>
  <c r="N799" i="6"/>
  <c r="M799" i="6"/>
  <c r="L799" i="6"/>
  <c r="A799" i="6"/>
  <c r="N798" i="6"/>
  <c r="M798" i="6"/>
  <c r="L798" i="6"/>
  <c r="A798" i="6"/>
  <c r="N797" i="6"/>
  <c r="M797" i="6"/>
  <c r="L797" i="6"/>
  <c r="A797" i="6"/>
  <c r="N796" i="6"/>
  <c r="M796" i="6"/>
  <c r="L796" i="6"/>
  <c r="A796" i="6"/>
  <c r="N795" i="6"/>
  <c r="M795" i="6"/>
  <c r="L795" i="6"/>
  <c r="A795" i="6"/>
  <c r="N794" i="6"/>
  <c r="M794" i="6"/>
  <c r="L794" i="6"/>
  <c r="A794" i="6"/>
  <c r="N793" i="6"/>
  <c r="M793" i="6"/>
  <c r="L793" i="6"/>
  <c r="A793" i="6"/>
  <c r="N792" i="6"/>
  <c r="M792" i="6"/>
  <c r="L792" i="6"/>
  <c r="A792" i="6"/>
  <c r="N791" i="6"/>
  <c r="M791" i="6"/>
  <c r="L791" i="6"/>
  <c r="A791" i="6"/>
  <c r="N790" i="6"/>
  <c r="M790" i="6"/>
  <c r="L790" i="6"/>
  <c r="A790" i="6"/>
  <c r="N789" i="6"/>
  <c r="M789" i="6"/>
  <c r="L789" i="6"/>
  <c r="A789" i="6"/>
  <c r="N788" i="6"/>
  <c r="M788" i="6"/>
  <c r="L788" i="6"/>
  <c r="A788" i="6"/>
  <c r="N787" i="6"/>
  <c r="M787" i="6"/>
  <c r="L787" i="6"/>
  <c r="A787" i="6"/>
  <c r="N786" i="6"/>
  <c r="M786" i="6"/>
  <c r="L786" i="6"/>
  <c r="A786" i="6"/>
  <c r="N785" i="6"/>
  <c r="M785" i="6"/>
  <c r="L785" i="6"/>
  <c r="A785" i="6"/>
  <c r="N784" i="6"/>
  <c r="M784" i="6"/>
  <c r="L784" i="6"/>
  <c r="A784" i="6"/>
  <c r="N783" i="6"/>
  <c r="M783" i="6"/>
  <c r="L783" i="6"/>
  <c r="A783" i="6"/>
  <c r="N782" i="6"/>
  <c r="M782" i="6"/>
  <c r="L782" i="6"/>
  <c r="A782" i="6"/>
  <c r="N781" i="6"/>
  <c r="M781" i="6"/>
  <c r="L781" i="6"/>
  <c r="A781" i="6"/>
  <c r="N780" i="6"/>
  <c r="M780" i="6"/>
  <c r="L780" i="6"/>
  <c r="A780" i="6"/>
  <c r="N779" i="6"/>
  <c r="M779" i="6"/>
  <c r="L779" i="6"/>
  <c r="A779" i="6"/>
  <c r="N778" i="6"/>
  <c r="M778" i="6"/>
  <c r="L778" i="6"/>
  <c r="A778" i="6"/>
  <c r="N777" i="6"/>
  <c r="M777" i="6"/>
  <c r="L777" i="6"/>
  <c r="A777" i="6"/>
  <c r="N776" i="6"/>
  <c r="M776" i="6"/>
  <c r="L776" i="6"/>
  <c r="A776" i="6"/>
  <c r="N775" i="6"/>
  <c r="M775" i="6"/>
  <c r="L775" i="6"/>
  <c r="A775" i="6"/>
  <c r="N774" i="6"/>
  <c r="M774" i="6"/>
  <c r="L774" i="6"/>
  <c r="A774" i="6"/>
  <c r="N773" i="6"/>
  <c r="M773" i="6"/>
  <c r="L773" i="6"/>
  <c r="A773" i="6"/>
  <c r="N772" i="6"/>
  <c r="M772" i="6"/>
  <c r="L772" i="6"/>
  <c r="A772" i="6"/>
  <c r="N771" i="6"/>
  <c r="M771" i="6"/>
  <c r="L771" i="6"/>
  <c r="A771" i="6"/>
  <c r="N770" i="6"/>
  <c r="M770" i="6"/>
  <c r="L770" i="6"/>
  <c r="A770" i="6"/>
  <c r="N769" i="6"/>
  <c r="M769" i="6"/>
  <c r="L769" i="6"/>
  <c r="A769" i="6"/>
  <c r="N768" i="6"/>
  <c r="M768" i="6"/>
  <c r="L768" i="6"/>
  <c r="A768" i="6"/>
  <c r="N767" i="6"/>
  <c r="M767" i="6"/>
  <c r="L767" i="6"/>
  <c r="A767" i="6"/>
  <c r="N766" i="6"/>
  <c r="M766" i="6"/>
  <c r="L766" i="6"/>
  <c r="A766" i="6"/>
  <c r="N765" i="6"/>
  <c r="M765" i="6"/>
  <c r="L765" i="6"/>
  <c r="A765" i="6"/>
  <c r="N764" i="6"/>
  <c r="M764" i="6"/>
  <c r="L764" i="6"/>
  <c r="A764" i="6"/>
  <c r="N763" i="6"/>
  <c r="M763" i="6"/>
  <c r="L763" i="6"/>
  <c r="A763" i="6"/>
  <c r="N762" i="6"/>
  <c r="M762" i="6"/>
  <c r="L762" i="6"/>
  <c r="A762" i="6"/>
  <c r="N761" i="6"/>
  <c r="M761" i="6"/>
  <c r="L761" i="6"/>
  <c r="A761" i="6"/>
  <c r="N760" i="6"/>
  <c r="M760" i="6"/>
  <c r="L760" i="6"/>
  <c r="A760" i="6"/>
  <c r="N759" i="6"/>
  <c r="M759" i="6"/>
  <c r="L759" i="6"/>
  <c r="A759" i="6"/>
  <c r="N758" i="6"/>
  <c r="M758" i="6"/>
  <c r="L758" i="6"/>
  <c r="A758" i="6"/>
  <c r="N757" i="6"/>
  <c r="M757" i="6"/>
  <c r="L757" i="6"/>
  <c r="A757" i="6"/>
  <c r="N756" i="6"/>
  <c r="M756" i="6"/>
  <c r="L756" i="6"/>
  <c r="A756" i="6"/>
  <c r="N755" i="6"/>
  <c r="M755" i="6"/>
  <c r="L755" i="6"/>
  <c r="A755" i="6"/>
  <c r="N754" i="6"/>
  <c r="M754" i="6"/>
  <c r="L754" i="6"/>
  <c r="A754" i="6"/>
  <c r="N753" i="6"/>
  <c r="M753" i="6"/>
  <c r="L753" i="6"/>
  <c r="A753" i="6"/>
  <c r="N752" i="6"/>
  <c r="M752" i="6"/>
  <c r="L752" i="6"/>
  <c r="A752" i="6"/>
  <c r="N751" i="6"/>
  <c r="M751" i="6"/>
  <c r="L751" i="6"/>
  <c r="A751" i="6"/>
  <c r="N750" i="6"/>
  <c r="M750" i="6"/>
  <c r="L750" i="6"/>
  <c r="A750" i="6"/>
  <c r="N749" i="6"/>
  <c r="M749" i="6"/>
  <c r="L749" i="6"/>
  <c r="A749" i="6"/>
  <c r="N748" i="6"/>
  <c r="M748" i="6"/>
  <c r="L748" i="6"/>
  <c r="A748" i="6"/>
  <c r="N747" i="6"/>
  <c r="M747" i="6"/>
  <c r="L747" i="6"/>
  <c r="A747" i="6"/>
  <c r="N746" i="6"/>
  <c r="M746" i="6"/>
  <c r="L746" i="6"/>
  <c r="A746" i="6"/>
  <c r="N745" i="6"/>
  <c r="M745" i="6"/>
  <c r="L745" i="6"/>
  <c r="A745" i="6"/>
  <c r="N744" i="6"/>
  <c r="M744" i="6"/>
  <c r="L744" i="6"/>
  <c r="A744" i="6"/>
  <c r="N743" i="6"/>
  <c r="M743" i="6"/>
  <c r="L743" i="6"/>
  <c r="A743" i="6"/>
  <c r="N742" i="6"/>
  <c r="M742" i="6"/>
  <c r="L742" i="6"/>
  <c r="A742" i="6"/>
  <c r="N741" i="6"/>
  <c r="M741" i="6"/>
  <c r="L741" i="6"/>
  <c r="A741" i="6"/>
  <c r="N740" i="6"/>
  <c r="M740" i="6"/>
  <c r="L740" i="6"/>
  <c r="A740" i="6"/>
  <c r="N739" i="6"/>
  <c r="M739" i="6"/>
  <c r="L739" i="6"/>
  <c r="A739" i="6"/>
  <c r="N738" i="6"/>
  <c r="M738" i="6"/>
  <c r="L738" i="6"/>
  <c r="A738" i="6"/>
  <c r="N737" i="6"/>
  <c r="M737" i="6"/>
  <c r="L737" i="6"/>
  <c r="A737" i="6"/>
  <c r="N736" i="6"/>
  <c r="M736" i="6"/>
  <c r="L736" i="6"/>
  <c r="A736" i="6"/>
  <c r="N735" i="6"/>
  <c r="M735" i="6"/>
  <c r="L735" i="6"/>
  <c r="A735" i="6"/>
  <c r="N734" i="6"/>
  <c r="M734" i="6"/>
  <c r="L734" i="6"/>
  <c r="A734" i="6"/>
  <c r="N733" i="6"/>
  <c r="M733" i="6"/>
  <c r="L733" i="6"/>
  <c r="A733" i="6"/>
  <c r="N732" i="6"/>
  <c r="M732" i="6"/>
  <c r="L732" i="6"/>
  <c r="A732" i="6"/>
  <c r="N731" i="6"/>
  <c r="M731" i="6"/>
  <c r="L731" i="6"/>
  <c r="A731" i="6"/>
  <c r="N730" i="6"/>
  <c r="M730" i="6"/>
  <c r="L730" i="6"/>
  <c r="A730" i="6"/>
  <c r="N729" i="6"/>
  <c r="M729" i="6"/>
  <c r="L729" i="6"/>
  <c r="A729" i="6"/>
  <c r="N728" i="6"/>
  <c r="M728" i="6"/>
  <c r="L728" i="6"/>
  <c r="A728" i="6"/>
  <c r="N727" i="6"/>
  <c r="M727" i="6"/>
  <c r="L727" i="6"/>
  <c r="A727" i="6"/>
  <c r="N726" i="6"/>
  <c r="M726" i="6"/>
  <c r="L726" i="6"/>
  <c r="A726" i="6"/>
  <c r="N725" i="6"/>
  <c r="M725" i="6"/>
  <c r="L725" i="6"/>
  <c r="A725" i="6"/>
  <c r="N724" i="6"/>
  <c r="M724" i="6"/>
  <c r="L724" i="6"/>
  <c r="A724" i="6"/>
  <c r="N723" i="6"/>
  <c r="M723" i="6"/>
  <c r="L723" i="6"/>
  <c r="A723" i="6"/>
  <c r="N722" i="6"/>
  <c r="M722" i="6"/>
  <c r="L722" i="6"/>
  <c r="A722" i="6"/>
  <c r="N721" i="6"/>
  <c r="M721" i="6"/>
  <c r="L721" i="6"/>
  <c r="A721" i="6"/>
  <c r="N720" i="6"/>
  <c r="M720" i="6"/>
  <c r="L720" i="6"/>
  <c r="A720" i="6"/>
  <c r="N719" i="6"/>
  <c r="M719" i="6"/>
  <c r="L719" i="6"/>
  <c r="A719" i="6"/>
  <c r="N718" i="6"/>
  <c r="M718" i="6"/>
  <c r="L718" i="6"/>
  <c r="A718" i="6"/>
  <c r="N717" i="6"/>
  <c r="M717" i="6"/>
  <c r="L717" i="6"/>
  <c r="A717" i="6"/>
  <c r="N716" i="6"/>
  <c r="M716" i="6"/>
  <c r="L716" i="6"/>
  <c r="A716" i="6"/>
  <c r="N715" i="6"/>
  <c r="M715" i="6"/>
  <c r="L715" i="6"/>
  <c r="A715" i="6"/>
  <c r="N714" i="6"/>
  <c r="M714" i="6"/>
  <c r="L714" i="6"/>
  <c r="A714" i="6"/>
  <c r="N713" i="6"/>
  <c r="M713" i="6"/>
  <c r="L713" i="6"/>
  <c r="A713" i="6"/>
  <c r="N712" i="6"/>
  <c r="M712" i="6"/>
  <c r="L712" i="6"/>
  <c r="A712" i="6"/>
  <c r="N711" i="6"/>
  <c r="M711" i="6"/>
  <c r="L711" i="6"/>
  <c r="A711" i="6"/>
  <c r="N710" i="6"/>
  <c r="M710" i="6"/>
  <c r="L710" i="6"/>
  <c r="A710" i="6"/>
  <c r="N709" i="6"/>
  <c r="M709" i="6"/>
  <c r="L709" i="6"/>
  <c r="A709" i="6"/>
  <c r="N708" i="6"/>
  <c r="M708" i="6"/>
  <c r="L708" i="6"/>
  <c r="A708" i="6"/>
  <c r="N707" i="6"/>
  <c r="M707" i="6"/>
  <c r="L707" i="6"/>
  <c r="A707" i="6"/>
  <c r="N706" i="6"/>
  <c r="M706" i="6"/>
  <c r="L706" i="6"/>
  <c r="A706" i="6"/>
  <c r="N705" i="6"/>
  <c r="M705" i="6"/>
  <c r="L705" i="6"/>
  <c r="A705" i="6"/>
  <c r="N704" i="6"/>
  <c r="M704" i="6"/>
  <c r="L704" i="6"/>
  <c r="A704" i="6"/>
  <c r="N703" i="6"/>
  <c r="M703" i="6"/>
  <c r="L703" i="6"/>
  <c r="A703" i="6"/>
  <c r="N702" i="6"/>
  <c r="M702" i="6"/>
  <c r="L702" i="6"/>
  <c r="A702" i="6"/>
  <c r="N701" i="6"/>
  <c r="M701" i="6"/>
  <c r="L701" i="6"/>
  <c r="A701" i="6"/>
  <c r="N700" i="6"/>
  <c r="M700" i="6"/>
  <c r="L700" i="6"/>
  <c r="A700" i="6"/>
  <c r="N699" i="6"/>
  <c r="M699" i="6"/>
  <c r="L699" i="6"/>
  <c r="A699" i="6"/>
  <c r="N698" i="6"/>
  <c r="M698" i="6"/>
  <c r="L698" i="6"/>
  <c r="A698" i="6"/>
  <c r="N697" i="6"/>
  <c r="M697" i="6"/>
  <c r="L697" i="6"/>
  <c r="A697" i="6"/>
  <c r="N696" i="6"/>
  <c r="M696" i="6"/>
  <c r="L696" i="6"/>
  <c r="A696" i="6"/>
  <c r="N695" i="6"/>
  <c r="M695" i="6"/>
  <c r="L695" i="6"/>
  <c r="A695" i="6"/>
  <c r="N694" i="6"/>
  <c r="M694" i="6"/>
  <c r="L694" i="6"/>
  <c r="A694" i="6"/>
  <c r="N693" i="6"/>
  <c r="M693" i="6"/>
  <c r="L693" i="6"/>
  <c r="A693" i="6"/>
  <c r="N692" i="6"/>
  <c r="M692" i="6"/>
  <c r="L692" i="6"/>
  <c r="A692" i="6"/>
  <c r="N691" i="6"/>
  <c r="M691" i="6"/>
  <c r="L691" i="6"/>
  <c r="A691" i="6"/>
  <c r="N690" i="6"/>
  <c r="M690" i="6"/>
  <c r="L690" i="6"/>
  <c r="A690" i="6"/>
  <c r="N689" i="6"/>
  <c r="M689" i="6"/>
  <c r="L689" i="6"/>
  <c r="A689" i="6"/>
  <c r="N688" i="6"/>
  <c r="M688" i="6"/>
  <c r="L688" i="6"/>
  <c r="A688" i="6"/>
  <c r="N687" i="6"/>
  <c r="M687" i="6"/>
  <c r="L687" i="6"/>
  <c r="A687" i="6"/>
  <c r="N686" i="6"/>
  <c r="M686" i="6"/>
  <c r="L686" i="6"/>
  <c r="A686" i="6"/>
  <c r="N685" i="6"/>
  <c r="M685" i="6"/>
  <c r="L685" i="6"/>
  <c r="A685" i="6"/>
  <c r="N684" i="6"/>
  <c r="M684" i="6"/>
  <c r="L684" i="6"/>
  <c r="A684" i="6"/>
  <c r="N683" i="6"/>
  <c r="M683" i="6"/>
  <c r="L683" i="6"/>
  <c r="A683" i="6"/>
  <c r="N682" i="6"/>
  <c r="M682" i="6"/>
  <c r="L682" i="6"/>
  <c r="A682" i="6"/>
  <c r="N681" i="6"/>
  <c r="M681" i="6"/>
  <c r="L681" i="6"/>
  <c r="A681" i="6"/>
  <c r="N680" i="6"/>
  <c r="M680" i="6"/>
  <c r="L680" i="6"/>
  <c r="A680" i="6"/>
  <c r="N679" i="6"/>
  <c r="M679" i="6"/>
  <c r="L679" i="6"/>
  <c r="A679" i="6"/>
  <c r="N678" i="6"/>
  <c r="M678" i="6"/>
  <c r="L678" i="6"/>
  <c r="A678" i="6"/>
  <c r="N677" i="6"/>
  <c r="M677" i="6"/>
  <c r="L677" i="6"/>
  <c r="A677" i="6"/>
  <c r="N676" i="6"/>
  <c r="M676" i="6"/>
  <c r="L676" i="6"/>
  <c r="A676" i="6"/>
  <c r="N675" i="6"/>
  <c r="M675" i="6"/>
  <c r="L675" i="6"/>
  <c r="A675" i="6"/>
  <c r="N674" i="6"/>
  <c r="M674" i="6"/>
  <c r="L674" i="6"/>
  <c r="A674" i="6"/>
  <c r="N673" i="6"/>
  <c r="M673" i="6"/>
  <c r="L673" i="6"/>
  <c r="A673" i="6"/>
  <c r="N672" i="6"/>
  <c r="M672" i="6"/>
  <c r="L672" i="6"/>
  <c r="A672" i="6"/>
  <c r="N671" i="6"/>
  <c r="M671" i="6"/>
  <c r="L671" i="6"/>
  <c r="A671" i="6"/>
  <c r="N670" i="6"/>
  <c r="M670" i="6"/>
  <c r="L670" i="6"/>
  <c r="A670" i="6"/>
  <c r="N669" i="6"/>
  <c r="M669" i="6"/>
  <c r="L669" i="6"/>
  <c r="A669" i="6"/>
  <c r="N668" i="6"/>
  <c r="M668" i="6"/>
  <c r="L668" i="6"/>
  <c r="A668" i="6"/>
  <c r="N667" i="6"/>
  <c r="M667" i="6"/>
  <c r="L667" i="6"/>
  <c r="A667" i="6"/>
  <c r="N666" i="6"/>
  <c r="M666" i="6"/>
  <c r="L666" i="6"/>
  <c r="A666" i="6"/>
  <c r="N665" i="6"/>
  <c r="M665" i="6"/>
  <c r="L665" i="6"/>
  <c r="A665" i="6"/>
  <c r="N664" i="6"/>
  <c r="M664" i="6"/>
  <c r="L664" i="6"/>
  <c r="A664" i="6"/>
  <c r="N663" i="6"/>
  <c r="M663" i="6"/>
  <c r="L663" i="6"/>
  <c r="A663" i="6"/>
  <c r="N662" i="6"/>
  <c r="M662" i="6"/>
  <c r="L662" i="6"/>
  <c r="A662" i="6"/>
  <c r="N661" i="6"/>
  <c r="M661" i="6"/>
  <c r="L661" i="6"/>
  <c r="A661" i="6"/>
  <c r="N660" i="6"/>
  <c r="M660" i="6"/>
  <c r="L660" i="6"/>
  <c r="A660" i="6"/>
  <c r="N659" i="6"/>
  <c r="M659" i="6"/>
  <c r="L659" i="6"/>
  <c r="A659" i="6"/>
  <c r="N658" i="6"/>
  <c r="M658" i="6"/>
  <c r="L658" i="6"/>
  <c r="A658" i="6"/>
  <c r="N657" i="6"/>
  <c r="M657" i="6"/>
  <c r="L657" i="6"/>
  <c r="A657" i="6"/>
  <c r="N656" i="6"/>
  <c r="M656" i="6"/>
  <c r="L656" i="6"/>
  <c r="A656" i="6"/>
  <c r="N655" i="6"/>
  <c r="M655" i="6"/>
  <c r="L655" i="6"/>
  <c r="A655" i="6"/>
  <c r="N654" i="6"/>
  <c r="M654" i="6"/>
  <c r="L654" i="6"/>
  <c r="A654" i="6"/>
  <c r="N653" i="6"/>
  <c r="M653" i="6"/>
  <c r="L653" i="6"/>
  <c r="A653" i="6"/>
  <c r="N652" i="6"/>
  <c r="M652" i="6"/>
  <c r="L652" i="6"/>
  <c r="A652" i="6"/>
  <c r="N651" i="6"/>
  <c r="M651" i="6"/>
  <c r="L651" i="6"/>
  <c r="A651" i="6"/>
  <c r="N650" i="6"/>
  <c r="M650" i="6"/>
  <c r="L650" i="6"/>
  <c r="A650" i="6"/>
  <c r="N649" i="6"/>
  <c r="M649" i="6"/>
  <c r="L649" i="6"/>
  <c r="A649" i="6"/>
  <c r="N648" i="6"/>
  <c r="M648" i="6"/>
  <c r="L648" i="6"/>
  <c r="A648" i="6"/>
  <c r="N647" i="6"/>
  <c r="M647" i="6"/>
  <c r="L647" i="6"/>
  <c r="A647" i="6"/>
  <c r="N646" i="6"/>
  <c r="M646" i="6"/>
  <c r="L646" i="6"/>
  <c r="A646" i="6"/>
  <c r="N645" i="6"/>
  <c r="M645" i="6"/>
  <c r="L645" i="6"/>
  <c r="A645" i="6"/>
  <c r="N644" i="6"/>
  <c r="M644" i="6"/>
  <c r="L644" i="6"/>
  <c r="A644" i="6"/>
  <c r="N643" i="6"/>
  <c r="M643" i="6"/>
  <c r="L643" i="6"/>
  <c r="A643" i="6"/>
  <c r="N642" i="6"/>
  <c r="M642" i="6"/>
  <c r="L642" i="6"/>
  <c r="A642" i="6"/>
  <c r="N641" i="6"/>
  <c r="M641" i="6"/>
  <c r="L641" i="6"/>
  <c r="A641" i="6"/>
  <c r="N640" i="6"/>
  <c r="M640" i="6"/>
  <c r="L640" i="6"/>
  <c r="A640" i="6"/>
  <c r="N639" i="6"/>
  <c r="M639" i="6"/>
  <c r="L639" i="6"/>
  <c r="A639" i="6"/>
  <c r="N638" i="6"/>
  <c r="M638" i="6"/>
  <c r="L638" i="6"/>
  <c r="A638" i="6"/>
  <c r="N637" i="6"/>
  <c r="M637" i="6"/>
  <c r="L637" i="6"/>
  <c r="A637" i="6"/>
  <c r="N636" i="6"/>
  <c r="M636" i="6"/>
  <c r="L636" i="6"/>
  <c r="A636" i="6"/>
  <c r="N635" i="6"/>
  <c r="M635" i="6"/>
  <c r="L635" i="6"/>
  <c r="A635" i="6"/>
  <c r="N634" i="6"/>
  <c r="M634" i="6"/>
  <c r="L634" i="6"/>
  <c r="A634" i="6"/>
  <c r="N633" i="6"/>
  <c r="M633" i="6"/>
  <c r="L633" i="6"/>
  <c r="A633" i="6"/>
  <c r="N632" i="6"/>
  <c r="M632" i="6"/>
  <c r="L632" i="6"/>
  <c r="A632" i="6"/>
  <c r="N631" i="6"/>
  <c r="M631" i="6"/>
  <c r="L631" i="6"/>
  <c r="A631" i="6"/>
  <c r="N630" i="6"/>
  <c r="M630" i="6"/>
  <c r="L630" i="6"/>
  <c r="A630" i="6"/>
  <c r="N629" i="6"/>
  <c r="M629" i="6"/>
  <c r="L629" i="6"/>
  <c r="A629" i="6"/>
  <c r="N628" i="6"/>
  <c r="M628" i="6"/>
  <c r="L628" i="6"/>
  <c r="A628" i="6"/>
  <c r="N627" i="6"/>
  <c r="M627" i="6"/>
  <c r="L627" i="6"/>
  <c r="A627" i="6"/>
  <c r="N626" i="6"/>
  <c r="M626" i="6"/>
  <c r="L626" i="6"/>
  <c r="A626" i="6"/>
  <c r="N625" i="6"/>
  <c r="M625" i="6"/>
  <c r="L625" i="6"/>
  <c r="A625" i="6"/>
  <c r="N624" i="6"/>
  <c r="M624" i="6"/>
  <c r="L624" i="6"/>
  <c r="A624" i="6"/>
  <c r="N623" i="6"/>
  <c r="M623" i="6"/>
  <c r="L623" i="6"/>
  <c r="A623" i="6"/>
  <c r="N622" i="6"/>
  <c r="M622" i="6"/>
  <c r="L622" i="6"/>
  <c r="A622" i="6"/>
  <c r="N621" i="6"/>
  <c r="M621" i="6"/>
  <c r="L621" i="6"/>
  <c r="A621" i="6"/>
  <c r="N620" i="6"/>
  <c r="M620" i="6"/>
  <c r="L620" i="6"/>
  <c r="A620" i="6"/>
  <c r="N619" i="6"/>
  <c r="M619" i="6"/>
  <c r="L619" i="6"/>
  <c r="A619" i="6"/>
  <c r="N618" i="6"/>
  <c r="M618" i="6"/>
  <c r="L618" i="6"/>
  <c r="A618" i="6"/>
  <c r="N617" i="6"/>
  <c r="M617" i="6"/>
  <c r="L617" i="6"/>
  <c r="A617" i="6"/>
  <c r="N616" i="6"/>
  <c r="M616" i="6"/>
  <c r="L616" i="6"/>
  <c r="A616" i="6"/>
  <c r="N615" i="6"/>
  <c r="M615" i="6"/>
  <c r="L615" i="6"/>
  <c r="A615" i="6"/>
  <c r="N614" i="6"/>
  <c r="M614" i="6"/>
  <c r="L614" i="6"/>
  <c r="A614" i="6"/>
  <c r="N613" i="6"/>
  <c r="M613" i="6"/>
  <c r="L613" i="6"/>
  <c r="A613" i="6"/>
  <c r="N612" i="6"/>
  <c r="M612" i="6"/>
  <c r="L612" i="6"/>
  <c r="A612" i="6"/>
  <c r="N611" i="6"/>
  <c r="M611" i="6"/>
  <c r="L611" i="6"/>
  <c r="A611" i="6"/>
  <c r="N610" i="6"/>
  <c r="M610" i="6"/>
  <c r="L610" i="6"/>
  <c r="A610" i="6"/>
  <c r="N609" i="6"/>
  <c r="M609" i="6"/>
  <c r="L609" i="6"/>
  <c r="A609" i="6"/>
  <c r="N608" i="6"/>
  <c r="M608" i="6"/>
  <c r="L608" i="6"/>
  <c r="A608" i="6"/>
  <c r="N607" i="6"/>
  <c r="M607" i="6"/>
  <c r="L607" i="6"/>
  <c r="A607" i="6"/>
  <c r="N606" i="6"/>
  <c r="M606" i="6"/>
  <c r="L606" i="6"/>
  <c r="A606" i="6"/>
  <c r="N605" i="6"/>
  <c r="M605" i="6"/>
  <c r="L605" i="6"/>
  <c r="A605" i="6"/>
  <c r="N604" i="6"/>
  <c r="M604" i="6"/>
  <c r="L604" i="6"/>
  <c r="A604" i="6"/>
  <c r="N603" i="6"/>
  <c r="M603" i="6"/>
  <c r="L603" i="6"/>
  <c r="A603" i="6"/>
  <c r="N602" i="6"/>
  <c r="M602" i="6"/>
  <c r="L602" i="6"/>
  <c r="A602" i="6"/>
  <c r="N601" i="6"/>
  <c r="M601" i="6"/>
  <c r="L601" i="6"/>
  <c r="A601" i="6"/>
  <c r="N600" i="6"/>
  <c r="M600" i="6"/>
  <c r="L600" i="6"/>
  <c r="A600" i="6"/>
  <c r="N599" i="6"/>
  <c r="M599" i="6"/>
  <c r="L599" i="6"/>
  <c r="A599" i="6"/>
  <c r="N598" i="6"/>
  <c r="M598" i="6"/>
  <c r="L598" i="6"/>
  <c r="A598" i="6"/>
  <c r="N597" i="6"/>
  <c r="M597" i="6"/>
  <c r="L597" i="6"/>
  <c r="A597" i="6"/>
  <c r="N596" i="6"/>
  <c r="M596" i="6"/>
  <c r="L596" i="6"/>
  <c r="A596" i="6"/>
  <c r="N595" i="6"/>
  <c r="M595" i="6"/>
  <c r="L595" i="6"/>
  <c r="A595" i="6"/>
  <c r="N594" i="6"/>
  <c r="M594" i="6"/>
  <c r="L594" i="6"/>
  <c r="A594" i="6"/>
  <c r="N593" i="6"/>
  <c r="M593" i="6"/>
  <c r="L593" i="6"/>
  <c r="A593" i="6"/>
  <c r="N592" i="6"/>
  <c r="M592" i="6"/>
  <c r="L592" i="6"/>
  <c r="A592" i="6"/>
  <c r="N591" i="6"/>
  <c r="M591" i="6"/>
  <c r="L591" i="6"/>
  <c r="A591" i="6"/>
  <c r="N590" i="6"/>
  <c r="M590" i="6"/>
  <c r="L590" i="6"/>
  <c r="A590" i="6"/>
  <c r="N589" i="6"/>
  <c r="M589" i="6"/>
  <c r="L589" i="6"/>
  <c r="A589" i="6"/>
  <c r="N588" i="6"/>
  <c r="M588" i="6"/>
  <c r="L588" i="6"/>
  <c r="A588" i="6"/>
  <c r="N587" i="6"/>
  <c r="M587" i="6"/>
  <c r="L587" i="6"/>
  <c r="A587" i="6"/>
  <c r="N586" i="6"/>
  <c r="M586" i="6"/>
  <c r="L586" i="6"/>
  <c r="A586" i="6"/>
  <c r="N585" i="6"/>
  <c r="M585" i="6"/>
  <c r="L585" i="6"/>
  <c r="A585" i="6"/>
  <c r="N584" i="6"/>
  <c r="M584" i="6"/>
  <c r="L584" i="6"/>
  <c r="A584" i="6"/>
  <c r="N583" i="6"/>
  <c r="M583" i="6"/>
  <c r="L583" i="6"/>
  <c r="A583" i="6"/>
  <c r="N582" i="6"/>
  <c r="M582" i="6"/>
  <c r="L582" i="6"/>
  <c r="A582" i="6"/>
  <c r="N581" i="6"/>
  <c r="M581" i="6"/>
  <c r="L581" i="6"/>
  <c r="A581" i="6"/>
  <c r="N580" i="6"/>
  <c r="M580" i="6"/>
  <c r="L580" i="6"/>
  <c r="A580" i="6"/>
  <c r="N579" i="6"/>
  <c r="M579" i="6"/>
  <c r="L579" i="6"/>
  <c r="A579" i="6"/>
  <c r="N578" i="6"/>
  <c r="M578" i="6"/>
  <c r="L578" i="6"/>
  <c r="A578" i="6"/>
  <c r="N577" i="6"/>
  <c r="M577" i="6"/>
  <c r="L577" i="6"/>
  <c r="A577" i="6"/>
  <c r="N576" i="6"/>
  <c r="M576" i="6"/>
  <c r="L576" i="6"/>
  <c r="A576" i="6"/>
  <c r="N575" i="6"/>
  <c r="M575" i="6"/>
  <c r="L575" i="6"/>
  <c r="A575" i="6"/>
  <c r="N574" i="6"/>
  <c r="M574" i="6"/>
  <c r="L574" i="6"/>
  <c r="A574" i="6"/>
  <c r="N573" i="6"/>
  <c r="M573" i="6"/>
  <c r="L573" i="6"/>
  <c r="A573" i="6"/>
  <c r="N572" i="6"/>
  <c r="M572" i="6"/>
  <c r="L572" i="6"/>
  <c r="A572" i="6"/>
  <c r="N571" i="6"/>
  <c r="M571" i="6"/>
  <c r="L571" i="6"/>
  <c r="A571" i="6"/>
  <c r="N570" i="6"/>
  <c r="M570" i="6"/>
  <c r="L570" i="6"/>
  <c r="A570" i="6"/>
  <c r="N569" i="6"/>
  <c r="M569" i="6"/>
  <c r="L569" i="6"/>
  <c r="A569" i="6"/>
  <c r="N568" i="6"/>
  <c r="M568" i="6"/>
  <c r="L568" i="6"/>
  <c r="A568" i="6"/>
  <c r="N567" i="6"/>
  <c r="M567" i="6"/>
  <c r="L567" i="6"/>
  <c r="A567" i="6"/>
  <c r="N566" i="6"/>
  <c r="M566" i="6"/>
  <c r="L566" i="6"/>
  <c r="A566" i="6"/>
  <c r="N565" i="6"/>
  <c r="M565" i="6"/>
  <c r="L565" i="6"/>
  <c r="A565" i="6"/>
  <c r="N564" i="6"/>
  <c r="M564" i="6"/>
  <c r="L564" i="6"/>
  <c r="A564" i="6"/>
  <c r="N563" i="6"/>
  <c r="M563" i="6"/>
  <c r="L563" i="6"/>
  <c r="A563" i="6"/>
  <c r="N562" i="6"/>
  <c r="M562" i="6"/>
  <c r="L562" i="6"/>
  <c r="A562" i="6"/>
  <c r="N561" i="6"/>
  <c r="M561" i="6"/>
  <c r="L561" i="6"/>
  <c r="A561" i="6"/>
  <c r="N560" i="6"/>
  <c r="M560" i="6"/>
  <c r="L560" i="6"/>
  <c r="A560" i="6"/>
  <c r="N559" i="6"/>
  <c r="M559" i="6"/>
  <c r="L559" i="6"/>
  <c r="A559" i="6"/>
  <c r="N558" i="6"/>
  <c r="M558" i="6"/>
  <c r="L558" i="6"/>
  <c r="A558" i="6"/>
  <c r="N557" i="6"/>
  <c r="M557" i="6"/>
  <c r="L557" i="6"/>
  <c r="A557" i="6"/>
  <c r="N556" i="6"/>
  <c r="M556" i="6"/>
  <c r="L556" i="6"/>
  <c r="A556" i="6"/>
  <c r="N555" i="6"/>
  <c r="M555" i="6"/>
  <c r="L555" i="6"/>
  <c r="A555" i="6"/>
  <c r="N554" i="6"/>
  <c r="M554" i="6"/>
  <c r="L554" i="6"/>
  <c r="A554" i="6"/>
  <c r="N553" i="6"/>
  <c r="M553" i="6"/>
  <c r="L553" i="6"/>
  <c r="A553" i="6"/>
  <c r="N552" i="6"/>
  <c r="M552" i="6"/>
  <c r="L552" i="6"/>
  <c r="A552" i="6"/>
  <c r="N551" i="6"/>
  <c r="M551" i="6"/>
  <c r="L551" i="6"/>
  <c r="A551" i="6"/>
  <c r="N550" i="6"/>
  <c r="M550" i="6"/>
  <c r="L550" i="6"/>
  <c r="A550" i="6"/>
  <c r="N549" i="6"/>
  <c r="M549" i="6"/>
  <c r="L549" i="6"/>
  <c r="A549" i="6"/>
  <c r="N548" i="6"/>
  <c r="M548" i="6"/>
  <c r="L548" i="6"/>
  <c r="A548" i="6"/>
  <c r="N547" i="6"/>
  <c r="M547" i="6"/>
  <c r="L547" i="6"/>
  <c r="A547" i="6"/>
  <c r="N546" i="6"/>
  <c r="M546" i="6"/>
  <c r="L546" i="6"/>
  <c r="A546" i="6"/>
  <c r="N545" i="6"/>
  <c r="M545" i="6"/>
  <c r="L545" i="6"/>
  <c r="A545" i="6"/>
  <c r="N544" i="6"/>
  <c r="M544" i="6"/>
  <c r="L544" i="6"/>
  <c r="A544" i="6"/>
  <c r="N543" i="6"/>
  <c r="M543" i="6"/>
  <c r="L543" i="6"/>
  <c r="A543" i="6"/>
  <c r="N542" i="6"/>
  <c r="M542" i="6"/>
  <c r="L542" i="6"/>
  <c r="A542" i="6"/>
  <c r="N541" i="6"/>
  <c r="M541" i="6"/>
  <c r="L541" i="6"/>
  <c r="A541" i="6"/>
  <c r="N540" i="6"/>
  <c r="M540" i="6"/>
  <c r="L540" i="6"/>
  <c r="A540" i="6"/>
  <c r="N539" i="6"/>
  <c r="M539" i="6"/>
  <c r="L539" i="6"/>
  <c r="A539" i="6"/>
  <c r="N538" i="6"/>
  <c r="M538" i="6"/>
  <c r="L538" i="6"/>
  <c r="A538" i="6"/>
  <c r="N537" i="6"/>
  <c r="M537" i="6"/>
  <c r="L537" i="6"/>
  <c r="A537" i="6"/>
  <c r="N536" i="6"/>
  <c r="M536" i="6"/>
  <c r="L536" i="6"/>
  <c r="A536" i="6"/>
  <c r="N535" i="6"/>
  <c r="M535" i="6"/>
  <c r="L535" i="6"/>
  <c r="A535" i="6"/>
  <c r="N534" i="6"/>
  <c r="M534" i="6"/>
  <c r="L534" i="6"/>
  <c r="A534" i="6"/>
  <c r="N533" i="6"/>
  <c r="M533" i="6"/>
  <c r="L533" i="6"/>
  <c r="A533" i="6"/>
  <c r="N532" i="6"/>
  <c r="M532" i="6"/>
  <c r="L532" i="6"/>
  <c r="A532" i="6"/>
  <c r="N531" i="6"/>
  <c r="M531" i="6"/>
  <c r="L531" i="6"/>
  <c r="A531" i="6"/>
  <c r="N530" i="6"/>
  <c r="M530" i="6"/>
  <c r="L530" i="6"/>
  <c r="A530" i="6"/>
  <c r="N529" i="6"/>
  <c r="M529" i="6"/>
  <c r="L529" i="6"/>
  <c r="A529" i="6"/>
  <c r="N528" i="6"/>
  <c r="M528" i="6"/>
  <c r="L528" i="6"/>
  <c r="A528" i="6"/>
  <c r="N527" i="6"/>
  <c r="M527" i="6"/>
  <c r="L527" i="6"/>
  <c r="A527" i="6"/>
  <c r="N526" i="6"/>
  <c r="M526" i="6"/>
  <c r="L526" i="6"/>
  <c r="A526" i="6"/>
  <c r="N525" i="6"/>
  <c r="M525" i="6"/>
  <c r="L525" i="6"/>
  <c r="A525" i="6"/>
  <c r="N524" i="6"/>
  <c r="M524" i="6"/>
  <c r="L524" i="6"/>
  <c r="A524" i="6"/>
  <c r="N523" i="6"/>
  <c r="M523" i="6"/>
  <c r="L523" i="6"/>
  <c r="A523" i="6"/>
  <c r="N522" i="6"/>
  <c r="M522" i="6"/>
  <c r="L522" i="6"/>
  <c r="A522" i="6"/>
  <c r="N521" i="6"/>
  <c r="M521" i="6"/>
  <c r="L521" i="6"/>
  <c r="A521" i="6"/>
  <c r="N520" i="6"/>
  <c r="M520" i="6"/>
  <c r="L520" i="6"/>
  <c r="A520" i="6"/>
  <c r="N519" i="6"/>
  <c r="M519" i="6"/>
  <c r="L519" i="6"/>
  <c r="A519" i="6"/>
  <c r="N518" i="6"/>
  <c r="M518" i="6"/>
  <c r="L518" i="6"/>
  <c r="A518" i="6"/>
  <c r="N517" i="6"/>
  <c r="M517" i="6"/>
  <c r="L517" i="6"/>
  <c r="A517" i="6"/>
  <c r="N516" i="6"/>
  <c r="M516" i="6"/>
  <c r="L516" i="6"/>
  <c r="A516" i="6"/>
  <c r="N515" i="6"/>
  <c r="M515" i="6"/>
  <c r="L515" i="6"/>
  <c r="A515" i="6"/>
  <c r="N514" i="6"/>
  <c r="M514" i="6"/>
  <c r="L514" i="6"/>
  <c r="A514" i="6"/>
  <c r="N513" i="6"/>
  <c r="M513" i="6"/>
  <c r="L513" i="6"/>
  <c r="A513" i="6"/>
  <c r="N512" i="6"/>
  <c r="M512" i="6"/>
  <c r="L512" i="6"/>
  <c r="A512" i="6"/>
  <c r="N511" i="6"/>
  <c r="M511" i="6"/>
  <c r="L511" i="6"/>
  <c r="A511" i="6"/>
  <c r="N510" i="6"/>
  <c r="M510" i="6"/>
  <c r="L510" i="6"/>
  <c r="A510" i="6"/>
  <c r="N509" i="6"/>
  <c r="M509" i="6"/>
  <c r="L509" i="6"/>
  <c r="A509" i="6"/>
  <c r="N508" i="6"/>
  <c r="M508" i="6"/>
  <c r="L508" i="6"/>
  <c r="A508" i="6"/>
  <c r="N507" i="6"/>
  <c r="M507" i="6"/>
  <c r="L507" i="6"/>
  <c r="A507" i="6"/>
  <c r="N506" i="6"/>
  <c r="M506" i="6"/>
  <c r="L506" i="6"/>
  <c r="A506" i="6"/>
  <c r="N505" i="6"/>
  <c r="M505" i="6"/>
  <c r="L505" i="6"/>
  <c r="A505" i="6"/>
  <c r="N504" i="6"/>
  <c r="M504" i="6"/>
  <c r="L504" i="6"/>
  <c r="A504" i="6"/>
  <c r="N503" i="6"/>
  <c r="M503" i="6"/>
  <c r="L503" i="6"/>
  <c r="A503" i="6"/>
  <c r="N502" i="6"/>
  <c r="M502" i="6"/>
  <c r="L502" i="6"/>
  <c r="A502" i="6"/>
  <c r="N501" i="6"/>
  <c r="M501" i="6"/>
  <c r="L501" i="6"/>
  <c r="A501" i="6"/>
  <c r="N500" i="6"/>
  <c r="M500" i="6"/>
  <c r="L500" i="6"/>
  <c r="A500" i="6"/>
  <c r="N499" i="6"/>
  <c r="M499" i="6"/>
  <c r="L499" i="6"/>
  <c r="A499" i="6"/>
  <c r="N498" i="6"/>
  <c r="M498" i="6"/>
  <c r="L498" i="6"/>
  <c r="A498" i="6"/>
  <c r="N497" i="6"/>
  <c r="M497" i="6"/>
  <c r="L497" i="6"/>
  <c r="A497" i="6"/>
  <c r="N496" i="6"/>
  <c r="M496" i="6"/>
  <c r="L496" i="6"/>
  <c r="A496" i="6"/>
  <c r="N495" i="6"/>
  <c r="M495" i="6"/>
  <c r="L495" i="6"/>
  <c r="A495" i="6"/>
  <c r="N494" i="6"/>
  <c r="M494" i="6"/>
  <c r="L494" i="6"/>
  <c r="A494" i="6"/>
  <c r="N493" i="6"/>
  <c r="M493" i="6"/>
  <c r="L493" i="6"/>
  <c r="A493" i="6"/>
  <c r="N492" i="6"/>
  <c r="M492" i="6"/>
  <c r="L492" i="6"/>
  <c r="A492" i="6"/>
  <c r="N491" i="6"/>
  <c r="M491" i="6"/>
  <c r="L491" i="6"/>
  <c r="A491" i="6"/>
  <c r="N490" i="6"/>
  <c r="M490" i="6"/>
  <c r="L490" i="6"/>
  <c r="A490" i="6"/>
  <c r="N489" i="6"/>
  <c r="M489" i="6"/>
  <c r="L489" i="6"/>
  <c r="A489" i="6"/>
  <c r="N488" i="6"/>
  <c r="M488" i="6"/>
  <c r="L488" i="6"/>
  <c r="A488" i="6"/>
  <c r="N487" i="6"/>
  <c r="M487" i="6"/>
  <c r="L487" i="6"/>
  <c r="A487" i="6"/>
  <c r="N486" i="6"/>
  <c r="M486" i="6"/>
  <c r="L486" i="6"/>
  <c r="A486" i="6"/>
  <c r="N485" i="6"/>
  <c r="M485" i="6"/>
  <c r="L485" i="6"/>
  <c r="A485" i="6"/>
  <c r="N484" i="6"/>
  <c r="M484" i="6"/>
  <c r="L484" i="6"/>
  <c r="A484" i="6"/>
  <c r="N483" i="6"/>
  <c r="M483" i="6"/>
  <c r="L483" i="6"/>
  <c r="A483" i="6"/>
  <c r="N482" i="6"/>
  <c r="M482" i="6"/>
  <c r="L482" i="6"/>
  <c r="A482" i="6"/>
  <c r="N481" i="6"/>
  <c r="M481" i="6"/>
  <c r="L481" i="6"/>
  <c r="A481" i="6"/>
  <c r="N480" i="6"/>
  <c r="M480" i="6"/>
  <c r="L480" i="6"/>
  <c r="A480" i="6"/>
  <c r="N479" i="6"/>
  <c r="M479" i="6"/>
  <c r="L479" i="6"/>
  <c r="A479" i="6"/>
  <c r="N478" i="6"/>
  <c r="M478" i="6"/>
  <c r="L478" i="6"/>
  <c r="A478" i="6"/>
  <c r="N477" i="6"/>
  <c r="M477" i="6"/>
  <c r="L477" i="6"/>
  <c r="A477" i="6"/>
  <c r="N476" i="6"/>
  <c r="M476" i="6"/>
  <c r="L476" i="6"/>
  <c r="A476" i="6"/>
  <c r="N475" i="6"/>
  <c r="M475" i="6"/>
  <c r="L475" i="6"/>
  <c r="A475" i="6"/>
  <c r="N474" i="6"/>
  <c r="M474" i="6"/>
  <c r="L474" i="6"/>
  <c r="A474" i="6"/>
  <c r="N473" i="6"/>
  <c r="M473" i="6"/>
  <c r="L473" i="6"/>
  <c r="A473" i="6"/>
  <c r="N472" i="6"/>
  <c r="M472" i="6"/>
  <c r="L472" i="6"/>
  <c r="A472" i="6"/>
  <c r="N471" i="6"/>
  <c r="M471" i="6"/>
  <c r="L471" i="6"/>
  <c r="A471" i="6"/>
  <c r="N470" i="6"/>
  <c r="M470" i="6"/>
  <c r="L470" i="6"/>
  <c r="A470" i="6"/>
  <c r="N469" i="6"/>
  <c r="M469" i="6"/>
  <c r="L469" i="6"/>
  <c r="A469" i="6"/>
  <c r="N468" i="6"/>
  <c r="M468" i="6"/>
  <c r="L468" i="6"/>
  <c r="A468" i="6"/>
  <c r="N467" i="6"/>
  <c r="M467" i="6"/>
  <c r="L467" i="6"/>
  <c r="A467" i="6"/>
  <c r="N466" i="6"/>
  <c r="M466" i="6"/>
  <c r="L466" i="6"/>
  <c r="A466" i="6"/>
  <c r="N465" i="6"/>
  <c r="M465" i="6"/>
  <c r="L465" i="6"/>
  <c r="A465" i="6"/>
  <c r="N464" i="6"/>
  <c r="M464" i="6"/>
  <c r="L464" i="6"/>
  <c r="A464" i="6"/>
  <c r="N463" i="6"/>
  <c r="M463" i="6"/>
  <c r="L463" i="6"/>
  <c r="A463" i="6"/>
  <c r="N462" i="6"/>
  <c r="M462" i="6"/>
  <c r="L462" i="6"/>
  <c r="A462" i="6"/>
  <c r="N461" i="6"/>
  <c r="M461" i="6"/>
  <c r="L461" i="6"/>
  <c r="A461" i="6"/>
  <c r="N460" i="6"/>
  <c r="M460" i="6"/>
  <c r="L460" i="6"/>
  <c r="A460" i="6"/>
  <c r="N459" i="6"/>
  <c r="M459" i="6"/>
  <c r="L459" i="6"/>
  <c r="A459" i="6"/>
  <c r="N458" i="6"/>
  <c r="M458" i="6"/>
  <c r="L458" i="6"/>
  <c r="A458" i="6"/>
  <c r="N457" i="6"/>
  <c r="M457" i="6"/>
  <c r="L457" i="6"/>
  <c r="A457" i="6"/>
  <c r="N456" i="6"/>
  <c r="M456" i="6"/>
  <c r="L456" i="6"/>
  <c r="A456" i="6"/>
  <c r="N455" i="6"/>
  <c r="M455" i="6"/>
  <c r="L455" i="6"/>
  <c r="A455" i="6"/>
  <c r="N454" i="6"/>
  <c r="M454" i="6"/>
  <c r="L454" i="6"/>
  <c r="A454" i="6"/>
  <c r="N453" i="6"/>
  <c r="M453" i="6"/>
  <c r="L453" i="6"/>
  <c r="A453" i="6"/>
  <c r="N452" i="6"/>
  <c r="M452" i="6"/>
  <c r="L452" i="6"/>
  <c r="A452" i="6"/>
  <c r="N451" i="6"/>
  <c r="M451" i="6"/>
  <c r="L451" i="6"/>
  <c r="A451" i="6"/>
  <c r="N450" i="6"/>
  <c r="M450" i="6"/>
  <c r="L450" i="6"/>
  <c r="A450" i="6"/>
  <c r="N449" i="6"/>
  <c r="M449" i="6"/>
  <c r="L449" i="6"/>
  <c r="A449" i="6"/>
  <c r="N448" i="6"/>
  <c r="M448" i="6"/>
  <c r="L448" i="6"/>
  <c r="A448" i="6"/>
  <c r="N447" i="6"/>
  <c r="M447" i="6"/>
  <c r="L447" i="6"/>
  <c r="A447" i="6"/>
  <c r="N446" i="6"/>
  <c r="M446" i="6"/>
  <c r="L446" i="6"/>
  <c r="A446" i="6"/>
  <c r="N445" i="6"/>
  <c r="M445" i="6"/>
  <c r="L445" i="6"/>
  <c r="A445" i="6"/>
  <c r="N444" i="6"/>
  <c r="M444" i="6"/>
  <c r="L444" i="6"/>
  <c r="A444" i="6"/>
  <c r="N443" i="6"/>
  <c r="M443" i="6"/>
  <c r="L443" i="6"/>
  <c r="A443" i="6"/>
  <c r="N442" i="6"/>
  <c r="M442" i="6"/>
  <c r="L442" i="6"/>
  <c r="A442" i="6"/>
  <c r="N441" i="6"/>
  <c r="M441" i="6"/>
  <c r="L441" i="6"/>
  <c r="A441" i="6"/>
  <c r="N440" i="6"/>
  <c r="M440" i="6"/>
  <c r="L440" i="6"/>
  <c r="A440" i="6"/>
  <c r="N439" i="6"/>
  <c r="M439" i="6"/>
  <c r="L439" i="6"/>
  <c r="A439" i="6"/>
  <c r="N438" i="6"/>
  <c r="M438" i="6"/>
  <c r="L438" i="6"/>
  <c r="A438" i="6"/>
  <c r="N437" i="6"/>
  <c r="M437" i="6"/>
  <c r="L437" i="6"/>
  <c r="A437" i="6"/>
  <c r="N436" i="6"/>
  <c r="M436" i="6"/>
  <c r="L436" i="6"/>
  <c r="A436" i="6"/>
  <c r="N435" i="6"/>
  <c r="M435" i="6"/>
  <c r="L435" i="6"/>
  <c r="A435" i="6"/>
  <c r="N434" i="6"/>
  <c r="M434" i="6"/>
  <c r="L434" i="6"/>
  <c r="A434" i="6"/>
  <c r="N433" i="6"/>
  <c r="M433" i="6"/>
  <c r="L433" i="6"/>
  <c r="A433" i="6"/>
  <c r="N432" i="6"/>
  <c r="M432" i="6"/>
  <c r="L432" i="6"/>
  <c r="A432" i="6"/>
  <c r="N431" i="6"/>
  <c r="M431" i="6"/>
  <c r="L431" i="6"/>
  <c r="A431" i="6"/>
  <c r="N430" i="6"/>
  <c r="M430" i="6"/>
  <c r="L430" i="6"/>
  <c r="A430" i="6"/>
  <c r="N429" i="6"/>
  <c r="M429" i="6"/>
  <c r="L429" i="6"/>
  <c r="A429" i="6"/>
  <c r="N428" i="6"/>
  <c r="M428" i="6"/>
  <c r="L428" i="6"/>
  <c r="A428" i="6"/>
  <c r="N427" i="6"/>
  <c r="M427" i="6"/>
  <c r="L427" i="6"/>
  <c r="A427" i="6"/>
  <c r="N426" i="6"/>
  <c r="M426" i="6"/>
  <c r="L426" i="6"/>
  <c r="A426" i="6"/>
  <c r="N425" i="6"/>
  <c r="M425" i="6"/>
  <c r="L425" i="6"/>
  <c r="A425" i="6"/>
  <c r="N424" i="6"/>
  <c r="M424" i="6"/>
  <c r="L424" i="6"/>
  <c r="A424" i="6"/>
  <c r="N423" i="6"/>
  <c r="M423" i="6"/>
  <c r="L423" i="6"/>
  <c r="A423" i="6"/>
  <c r="N422" i="6"/>
  <c r="M422" i="6"/>
  <c r="L422" i="6"/>
  <c r="A422" i="6"/>
  <c r="N421" i="6"/>
  <c r="M421" i="6"/>
  <c r="L421" i="6"/>
  <c r="A421" i="6"/>
  <c r="N420" i="6"/>
  <c r="M420" i="6"/>
  <c r="L420" i="6"/>
  <c r="A420" i="6"/>
  <c r="N419" i="6"/>
  <c r="M419" i="6"/>
  <c r="L419" i="6"/>
  <c r="A419" i="6"/>
  <c r="N418" i="6"/>
  <c r="M418" i="6"/>
  <c r="L418" i="6"/>
  <c r="A418" i="6"/>
  <c r="N417" i="6"/>
  <c r="M417" i="6"/>
  <c r="L417" i="6"/>
  <c r="A417" i="6"/>
  <c r="N416" i="6"/>
  <c r="M416" i="6"/>
  <c r="L416" i="6"/>
  <c r="A416" i="6"/>
  <c r="N415" i="6"/>
  <c r="M415" i="6"/>
  <c r="L415" i="6"/>
  <c r="A415" i="6"/>
  <c r="N414" i="6"/>
  <c r="M414" i="6"/>
  <c r="L414" i="6"/>
  <c r="A414" i="6"/>
  <c r="N413" i="6"/>
  <c r="M413" i="6"/>
  <c r="L413" i="6"/>
  <c r="A413" i="6"/>
  <c r="N412" i="6"/>
  <c r="M412" i="6"/>
  <c r="L412" i="6"/>
  <c r="A412" i="6"/>
  <c r="N411" i="6"/>
  <c r="M411" i="6"/>
  <c r="L411" i="6"/>
  <c r="A411" i="6"/>
  <c r="N410" i="6"/>
  <c r="M410" i="6"/>
  <c r="L410" i="6"/>
  <c r="A410" i="6"/>
  <c r="N409" i="6"/>
  <c r="M409" i="6"/>
  <c r="L409" i="6"/>
  <c r="A409" i="6"/>
  <c r="N408" i="6"/>
  <c r="M408" i="6"/>
  <c r="L408" i="6"/>
  <c r="A408" i="6"/>
  <c r="N407" i="6"/>
  <c r="M407" i="6"/>
  <c r="L407" i="6"/>
  <c r="A407" i="6"/>
  <c r="N406" i="6"/>
  <c r="M406" i="6"/>
  <c r="L406" i="6"/>
  <c r="A406" i="6"/>
  <c r="N405" i="6"/>
  <c r="M405" i="6"/>
  <c r="L405" i="6"/>
  <c r="A405" i="6"/>
  <c r="N404" i="6"/>
  <c r="M404" i="6"/>
  <c r="L404" i="6"/>
  <c r="A404" i="6"/>
  <c r="N403" i="6"/>
  <c r="M403" i="6"/>
  <c r="L403" i="6"/>
  <c r="A403" i="6"/>
  <c r="N402" i="6"/>
  <c r="M402" i="6"/>
  <c r="L402" i="6"/>
  <c r="A402" i="6"/>
  <c r="N401" i="6"/>
  <c r="M401" i="6"/>
  <c r="L401" i="6"/>
  <c r="A401" i="6"/>
  <c r="N400" i="6"/>
  <c r="M400" i="6"/>
  <c r="L400" i="6"/>
  <c r="A400" i="6"/>
  <c r="N399" i="6"/>
  <c r="M399" i="6"/>
  <c r="L399" i="6"/>
  <c r="A399" i="6"/>
  <c r="N398" i="6"/>
  <c r="M398" i="6"/>
  <c r="L398" i="6"/>
  <c r="A398" i="6"/>
  <c r="N397" i="6"/>
  <c r="M397" i="6"/>
  <c r="L397" i="6"/>
  <c r="A397" i="6"/>
  <c r="N396" i="6"/>
  <c r="M396" i="6"/>
  <c r="L396" i="6"/>
  <c r="A396" i="6"/>
  <c r="N395" i="6"/>
  <c r="M395" i="6"/>
  <c r="L395" i="6"/>
  <c r="A395" i="6"/>
  <c r="N394" i="6"/>
  <c r="M394" i="6"/>
  <c r="L394" i="6"/>
  <c r="A394" i="6"/>
  <c r="N393" i="6"/>
  <c r="M393" i="6"/>
  <c r="L393" i="6"/>
  <c r="A393" i="6"/>
  <c r="N392" i="6"/>
  <c r="M392" i="6"/>
  <c r="L392" i="6"/>
  <c r="A392" i="6"/>
  <c r="N391" i="6"/>
  <c r="M391" i="6"/>
  <c r="L391" i="6"/>
  <c r="A391" i="6"/>
  <c r="N390" i="6"/>
  <c r="M390" i="6"/>
  <c r="L390" i="6"/>
  <c r="A390" i="6"/>
  <c r="N389" i="6"/>
  <c r="M389" i="6"/>
  <c r="L389" i="6"/>
  <c r="A389" i="6"/>
  <c r="N388" i="6"/>
  <c r="M388" i="6"/>
  <c r="L388" i="6"/>
  <c r="A388" i="6"/>
  <c r="N387" i="6"/>
  <c r="M387" i="6"/>
  <c r="L387" i="6"/>
  <c r="A387" i="6"/>
  <c r="N386" i="6"/>
  <c r="M386" i="6"/>
  <c r="L386" i="6"/>
  <c r="A386" i="6"/>
  <c r="N385" i="6"/>
  <c r="M385" i="6"/>
  <c r="L385" i="6"/>
  <c r="A385" i="6"/>
  <c r="N384" i="6"/>
  <c r="M384" i="6"/>
  <c r="L384" i="6"/>
  <c r="A384" i="6"/>
  <c r="N383" i="6"/>
  <c r="M383" i="6"/>
  <c r="L383" i="6"/>
  <c r="A383" i="6"/>
  <c r="N382" i="6"/>
  <c r="M382" i="6"/>
  <c r="L382" i="6"/>
  <c r="A382" i="6"/>
  <c r="N381" i="6"/>
  <c r="M381" i="6"/>
  <c r="L381" i="6"/>
  <c r="A381" i="6"/>
  <c r="N380" i="6"/>
  <c r="M380" i="6"/>
  <c r="L380" i="6"/>
  <c r="A380" i="6"/>
  <c r="N379" i="6"/>
  <c r="M379" i="6"/>
  <c r="L379" i="6"/>
  <c r="A379" i="6"/>
  <c r="N378" i="6"/>
  <c r="M378" i="6"/>
  <c r="L378" i="6"/>
  <c r="A378" i="6"/>
  <c r="N377" i="6"/>
  <c r="M377" i="6"/>
  <c r="L377" i="6"/>
  <c r="A377" i="6"/>
  <c r="N376" i="6"/>
  <c r="M376" i="6"/>
  <c r="L376" i="6"/>
  <c r="A376" i="6"/>
  <c r="N375" i="6"/>
  <c r="M375" i="6"/>
  <c r="L375" i="6"/>
  <c r="A375" i="6"/>
  <c r="N374" i="6"/>
  <c r="M374" i="6"/>
  <c r="L374" i="6"/>
  <c r="A374" i="6"/>
  <c r="N373" i="6"/>
  <c r="M373" i="6"/>
  <c r="L373" i="6"/>
  <c r="A373" i="6"/>
  <c r="N372" i="6"/>
  <c r="M372" i="6"/>
  <c r="L372" i="6"/>
  <c r="A372" i="6"/>
  <c r="N371" i="6"/>
  <c r="M371" i="6"/>
  <c r="L371" i="6"/>
  <c r="A371" i="6"/>
  <c r="N370" i="6"/>
  <c r="M370" i="6"/>
  <c r="L370" i="6"/>
  <c r="A370" i="6"/>
  <c r="N369" i="6"/>
  <c r="M369" i="6"/>
  <c r="L369" i="6"/>
  <c r="A369" i="6"/>
  <c r="N368" i="6"/>
  <c r="M368" i="6"/>
  <c r="L368" i="6"/>
  <c r="A368" i="6"/>
  <c r="N367" i="6"/>
  <c r="M367" i="6"/>
  <c r="L367" i="6"/>
  <c r="A367" i="6"/>
  <c r="N366" i="6"/>
  <c r="M366" i="6"/>
  <c r="L366" i="6"/>
  <c r="A366" i="6"/>
  <c r="N365" i="6"/>
  <c r="M365" i="6"/>
  <c r="L365" i="6"/>
  <c r="A365" i="6"/>
  <c r="N364" i="6"/>
  <c r="M364" i="6"/>
  <c r="L364" i="6"/>
  <c r="A364" i="6"/>
  <c r="N363" i="6"/>
  <c r="M363" i="6"/>
  <c r="L363" i="6"/>
  <c r="A363" i="6"/>
  <c r="N362" i="6"/>
  <c r="M362" i="6"/>
  <c r="L362" i="6"/>
  <c r="A362" i="6"/>
  <c r="N361" i="6"/>
  <c r="M361" i="6"/>
  <c r="L361" i="6"/>
  <c r="A361" i="6"/>
  <c r="N360" i="6"/>
  <c r="M360" i="6"/>
  <c r="L360" i="6"/>
  <c r="A360" i="6"/>
  <c r="N359" i="6"/>
  <c r="M359" i="6"/>
  <c r="L359" i="6"/>
  <c r="A359" i="6"/>
  <c r="N358" i="6"/>
  <c r="M358" i="6"/>
  <c r="L358" i="6"/>
  <c r="A358" i="6"/>
  <c r="N357" i="6"/>
  <c r="M357" i="6"/>
  <c r="L357" i="6"/>
  <c r="A357" i="6"/>
  <c r="N356" i="6"/>
  <c r="M356" i="6"/>
  <c r="L356" i="6"/>
  <c r="A356" i="6"/>
  <c r="N355" i="6"/>
  <c r="M355" i="6"/>
  <c r="L355" i="6"/>
  <c r="A355" i="6"/>
  <c r="N354" i="6"/>
  <c r="M354" i="6"/>
  <c r="L354" i="6"/>
  <c r="A354" i="6"/>
  <c r="N353" i="6"/>
  <c r="M353" i="6"/>
  <c r="L353" i="6"/>
  <c r="A353" i="6"/>
  <c r="N352" i="6"/>
  <c r="M352" i="6"/>
  <c r="L352" i="6"/>
  <c r="A352" i="6"/>
  <c r="N351" i="6"/>
  <c r="M351" i="6"/>
  <c r="L351" i="6"/>
  <c r="A351" i="6"/>
  <c r="N350" i="6"/>
  <c r="M350" i="6"/>
  <c r="L350" i="6"/>
  <c r="A350" i="6"/>
  <c r="N349" i="6"/>
  <c r="M349" i="6"/>
  <c r="L349" i="6"/>
  <c r="A349" i="6"/>
  <c r="N348" i="6"/>
  <c r="M348" i="6"/>
  <c r="L348" i="6"/>
  <c r="A348" i="6"/>
  <c r="N347" i="6"/>
  <c r="M347" i="6"/>
  <c r="L347" i="6"/>
  <c r="A347" i="6"/>
  <c r="N346" i="6"/>
  <c r="M346" i="6"/>
  <c r="L346" i="6"/>
  <c r="A346" i="6"/>
  <c r="N345" i="6"/>
  <c r="M345" i="6"/>
  <c r="L345" i="6"/>
  <c r="A345" i="6"/>
  <c r="N344" i="6"/>
  <c r="M344" i="6"/>
  <c r="L344" i="6"/>
  <c r="A344" i="6"/>
  <c r="N343" i="6"/>
  <c r="M343" i="6"/>
  <c r="L343" i="6"/>
  <c r="A343" i="6"/>
  <c r="N342" i="6"/>
  <c r="M342" i="6"/>
  <c r="L342" i="6"/>
  <c r="A342" i="6"/>
  <c r="N341" i="6"/>
  <c r="M341" i="6"/>
  <c r="L341" i="6"/>
  <c r="A341" i="6"/>
  <c r="N340" i="6"/>
  <c r="M340" i="6"/>
  <c r="L340" i="6"/>
  <c r="A340" i="6"/>
  <c r="N339" i="6"/>
  <c r="M339" i="6"/>
  <c r="L339" i="6"/>
  <c r="A339" i="6"/>
  <c r="N338" i="6"/>
  <c r="M338" i="6"/>
  <c r="L338" i="6"/>
  <c r="A338" i="6"/>
  <c r="N337" i="6"/>
  <c r="M337" i="6"/>
  <c r="L337" i="6"/>
  <c r="A337" i="6"/>
  <c r="N336" i="6"/>
  <c r="M336" i="6"/>
  <c r="L336" i="6"/>
  <c r="A336" i="6"/>
  <c r="N335" i="6"/>
  <c r="M335" i="6"/>
  <c r="L335" i="6"/>
  <c r="A335" i="6"/>
  <c r="N334" i="6"/>
  <c r="M334" i="6"/>
  <c r="L334" i="6"/>
  <c r="A334" i="6"/>
  <c r="N333" i="6"/>
  <c r="M333" i="6"/>
  <c r="L333" i="6"/>
  <c r="A333" i="6"/>
  <c r="N332" i="6"/>
  <c r="M332" i="6"/>
  <c r="L332" i="6"/>
  <c r="A332" i="6"/>
  <c r="N331" i="6"/>
  <c r="M331" i="6"/>
  <c r="L331" i="6"/>
  <c r="A331" i="6"/>
  <c r="N330" i="6"/>
  <c r="M330" i="6"/>
  <c r="L330" i="6"/>
  <c r="A330" i="6"/>
  <c r="N329" i="6"/>
  <c r="M329" i="6"/>
  <c r="L329" i="6"/>
  <c r="A329" i="6"/>
  <c r="N328" i="6"/>
  <c r="M328" i="6"/>
  <c r="L328" i="6"/>
  <c r="A328" i="6"/>
  <c r="N327" i="6"/>
  <c r="M327" i="6"/>
  <c r="L327" i="6"/>
  <c r="A327" i="6"/>
  <c r="N326" i="6"/>
  <c r="M326" i="6"/>
  <c r="L326" i="6"/>
  <c r="A326" i="6"/>
  <c r="N325" i="6"/>
  <c r="M325" i="6"/>
  <c r="L325" i="6"/>
  <c r="A325" i="6"/>
  <c r="N324" i="6"/>
  <c r="M324" i="6"/>
  <c r="L324" i="6"/>
  <c r="A324" i="6"/>
  <c r="N323" i="6"/>
  <c r="M323" i="6"/>
  <c r="L323" i="6"/>
  <c r="A323" i="6"/>
  <c r="N322" i="6"/>
  <c r="M322" i="6"/>
  <c r="L322" i="6"/>
  <c r="A322" i="6"/>
  <c r="N321" i="6"/>
  <c r="M321" i="6"/>
  <c r="L321" i="6"/>
  <c r="A321" i="6"/>
  <c r="N320" i="6"/>
  <c r="M320" i="6"/>
  <c r="L320" i="6"/>
  <c r="A320" i="6"/>
  <c r="N319" i="6"/>
  <c r="M319" i="6"/>
  <c r="L319" i="6"/>
  <c r="A319" i="6"/>
  <c r="N318" i="6"/>
  <c r="M318" i="6"/>
  <c r="L318" i="6"/>
  <c r="A318" i="6"/>
  <c r="N317" i="6"/>
  <c r="M317" i="6"/>
  <c r="L317" i="6"/>
  <c r="A317" i="6"/>
  <c r="N316" i="6"/>
  <c r="M316" i="6"/>
  <c r="L316" i="6"/>
  <c r="A316" i="6"/>
  <c r="N315" i="6"/>
  <c r="M315" i="6"/>
  <c r="L315" i="6"/>
  <c r="A315" i="6"/>
  <c r="N314" i="6"/>
  <c r="M314" i="6"/>
  <c r="L314" i="6"/>
  <c r="A314" i="6"/>
  <c r="N313" i="6"/>
  <c r="M313" i="6"/>
  <c r="L313" i="6"/>
  <c r="A313" i="6"/>
  <c r="N312" i="6"/>
  <c r="M312" i="6"/>
  <c r="L312" i="6"/>
  <c r="A312" i="6"/>
  <c r="N311" i="6"/>
  <c r="M311" i="6"/>
  <c r="L311" i="6"/>
  <c r="A311" i="6"/>
  <c r="N310" i="6"/>
  <c r="M310" i="6"/>
  <c r="L310" i="6"/>
  <c r="A310" i="6"/>
  <c r="N309" i="6"/>
  <c r="M309" i="6"/>
  <c r="L309" i="6"/>
  <c r="A309" i="6"/>
  <c r="N308" i="6"/>
  <c r="M308" i="6"/>
  <c r="L308" i="6"/>
  <c r="A308" i="6"/>
  <c r="N307" i="6"/>
  <c r="M307" i="6"/>
  <c r="L307" i="6"/>
  <c r="A307" i="6"/>
  <c r="N306" i="6"/>
  <c r="M306" i="6"/>
  <c r="L306" i="6"/>
  <c r="A306" i="6"/>
  <c r="N305" i="6"/>
  <c r="M305" i="6"/>
  <c r="L305" i="6"/>
  <c r="A305" i="6"/>
  <c r="N304" i="6"/>
  <c r="M304" i="6"/>
  <c r="L304" i="6"/>
  <c r="A304" i="6"/>
  <c r="N303" i="6"/>
  <c r="M303" i="6"/>
  <c r="L303" i="6"/>
  <c r="A303" i="6"/>
  <c r="N302" i="6"/>
  <c r="M302" i="6"/>
  <c r="L302" i="6"/>
  <c r="A302" i="6"/>
  <c r="N301" i="6"/>
  <c r="M301" i="6"/>
  <c r="L301" i="6"/>
  <c r="A301" i="6"/>
  <c r="N300" i="6"/>
  <c r="M300" i="6"/>
  <c r="L300" i="6"/>
  <c r="A300" i="6"/>
  <c r="N299" i="6"/>
  <c r="M299" i="6"/>
  <c r="L299" i="6"/>
  <c r="A299" i="6"/>
  <c r="N298" i="6"/>
  <c r="M298" i="6"/>
  <c r="L298" i="6"/>
  <c r="A298" i="6"/>
  <c r="N297" i="6"/>
  <c r="M297" i="6"/>
  <c r="L297" i="6"/>
  <c r="A297" i="6"/>
  <c r="N296" i="6"/>
  <c r="M296" i="6"/>
  <c r="L296" i="6"/>
  <c r="A296" i="6"/>
  <c r="N295" i="6"/>
  <c r="M295" i="6"/>
  <c r="L295" i="6"/>
  <c r="A295" i="6"/>
  <c r="N294" i="6"/>
  <c r="M294" i="6"/>
  <c r="L294" i="6"/>
  <c r="A294" i="6"/>
  <c r="N293" i="6"/>
  <c r="M293" i="6"/>
  <c r="L293" i="6"/>
  <c r="A293" i="6"/>
  <c r="N292" i="6"/>
  <c r="M292" i="6"/>
  <c r="L292" i="6"/>
  <c r="A292" i="6"/>
  <c r="N291" i="6"/>
  <c r="M291" i="6"/>
  <c r="L291" i="6"/>
  <c r="A291" i="6"/>
  <c r="N290" i="6"/>
  <c r="M290" i="6"/>
  <c r="L290" i="6"/>
  <c r="A290" i="6"/>
  <c r="N289" i="6"/>
  <c r="M289" i="6"/>
  <c r="L289" i="6"/>
  <c r="A289" i="6"/>
  <c r="N288" i="6"/>
  <c r="M288" i="6"/>
  <c r="L288" i="6"/>
  <c r="A288" i="6"/>
  <c r="N287" i="6"/>
  <c r="M287" i="6"/>
  <c r="L287" i="6"/>
  <c r="A287" i="6"/>
  <c r="N286" i="6"/>
  <c r="M286" i="6"/>
  <c r="L286" i="6"/>
  <c r="A286" i="6"/>
  <c r="N285" i="6"/>
  <c r="M285" i="6"/>
  <c r="L285" i="6"/>
  <c r="A285" i="6"/>
  <c r="N284" i="6"/>
  <c r="M284" i="6"/>
  <c r="L284" i="6"/>
  <c r="A284" i="6"/>
  <c r="N283" i="6"/>
  <c r="M283" i="6"/>
  <c r="L283" i="6"/>
  <c r="A283" i="6"/>
  <c r="N282" i="6"/>
  <c r="M282" i="6"/>
  <c r="L282" i="6"/>
  <c r="A282" i="6"/>
  <c r="N281" i="6"/>
  <c r="M281" i="6"/>
  <c r="L281" i="6"/>
  <c r="A281" i="6"/>
  <c r="N280" i="6"/>
  <c r="M280" i="6"/>
  <c r="L280" i="6"/>
  <c r="A280" i="6"/>
  <c r="N279" i="6"/>
  <c r="M279" i="6"/>
  <c r="L279" i="6"/>
  <c r="A279" i="6"/>
  <c r="N278" i="6"/>
  <c r="M278" i="6"/>
  <c r="L278" i="6"/>
  <c r="A278" i="6"/>
  <c r="N277" i="6"/>
  <c r="M277" i="6"/>
  <c r="L277" i="6"/>
  <c r="A277" i="6"/>
  <c r="N276" i="6"/>
  <c r="M276" i="6"/>
  <c r="L276" i="6"/>
  <c r="A276" i="6"/>
  <c r="N275" i="6"/>
  <c r="M275" i="6"/>
  <c r="L275" i="6"/>
  <c r="A275" i="6"/>
  <c r="N274" i="6"/>
  <c r="M274" i="6"/>
  <c r="L274" i="6"/>
  <c r="A274" i="6"/>
  <c r="N273" i="6"/>
  <c r="M273" i="6"/>
  <c r="L273" i="6"/>
  <c r="A273" i="6"/>
  <c r="N272" i="6"/>
  <c r="M272" i="6"/>
  <c r="L272" i="6"/>
  <c r="A272" i="6"/>
  <c r="N271" i="6"/>
  <c r="M271" i="6"/>
  <c r="L271" i="6"/>
  <c r="A271" i="6"/>
  <c r="N270" i="6"/>
  <c r="M270" i="6"/>
  <c r="L270" i="6"/>
  <c r="A270" i="6"/>
  <c r="N269" i="6"/>
  <c r="M269" i="6"/>
  <c r="L269" i="6"/>
  <c r="A269" i="6"/>
  <c r="N268" i="6"/>
  <c r="M268" i="6"/>
  <c r="L268" i="6"/>
  <c r="A268" i="6"/>
  <c r="N267" i="6"/>
  <c r="M267" i="6"/>
  <c r="L267" i="6"/>
  <c r="A267" i="6"/>
  <c r="N266" i="6"/>
  <c r="M266" i="6"/>
  <c r="L266" i="6"/>
  <c r="A266" i="6"/>
  <c r="N265" i="6"/>
  <c r="M265" i="6"/>
  <c r="L265" i="6"/>
  <c r="A265" i="6"/>
  <c r="N264" i="6"/>
  <c r="M264" i="6"/>
  <c r="L264" i="6"/>
  <c r="A264" i="6"/>
  <c r="N263" i="6"/>
  <c r="M263" i="6"/>
  <c r="L263" i="6"/>
  <c r="A263" i="6"/>
  <c r="N262" i="6"/>
  <c r="M262" i="6"/>
  <c r="L262" i="6"/>
  <c r="A262" i="6"/>
  <c r="N261" i="6"/>
  <c r="M261" i="6"/>
  <c r="L261" i="6"/>
  <c r="A261" i="6"/>
  <c r="N260" i="6"/>
  <c r="M260" i="6"/>
  <c r="L260" i="6"/>
  <c r="A260" i="6"/>
  <c r="N259" i="6"/>
  <c r="M259" i="6"/>
  <c r="L259" i="6"/>
  <c r="A259" i="6"/>
  <c r="N258" i="6"/>
  <c r="M258" i="6"/>
  <c r="L258" i="6"/>
  <c r="A258" i="6"/>
  <c r="N257" i="6"/>
  <c r="M257" i="6"/>
  <c r="L257" i="6"/>
  <c r="A257" i="6"/>
  <c r="N256" i="6"/>
  <c r="M256" i="6"/>
  <c r="L256" i="6"/>
  <c r="A256" i="6"/>
  <c r="N255" i="6"/>
  <c r="M255" i="6"/>
  <c r="L255" i="6"/>
  <c r="A255" i="6"/>
  <c r="N254" i="6"/>
  <c r="M254" i="6"/>
  <c r="L254" i="6"/>
  <c r="A254" i="6"/>
  <c r="N253" i="6"/>
  <c r="M253" i="6"/>
  <c r="L253" i="6"/>
  <c r="A253" i="6"/>
  <c r="N252" i="6"/>
  <c r="M252" i="6"/>
  <c r="L252" i="6"/>
  <c r="A252" i="6"/>
  <c r="N251" i="6"/>
  <c r="M251" i="6"/>
  <c r="L251" i="6"/>
  <c r="A251" i="6"/>
  <c r="N250" i="6"/>
  <c r="M250" i="6"/>
  <c r="L250" i="6"/>
  <c r="A250" i="6"/>
  <c r="N249" i="6"/>
  <c r="M249" i="6"/>
  <c r="L249" i="6"/>
  <c r="A249" i="6"/>
  <c r="N248" i="6"/>
  <c r="M248" i="6"/>
  <c r="L248" i="6"/>
  <c r="A248" i="6"/>
  <c r="N247" i="6"/>
  <c r="M247" i="6"/>
  <c r="L247" i="6"/>
  <c r="A247" i="6"/>
  <c r="N246" i="6"/>
  <c r="M246" i="6"/>
  <c r="L246" i="6"/>
  <c r="A246" i="6"/>
  <c r="N245" i="6"/>
  <c r="M245" i="6"/>
  <c r="L245" i="6"/>
  <c r="A245" i="6"/>
  <c r="N244" i="6"/>
  <c r="M244" i="6"/>
  <c r="L244" i="6"/>
  <c r="A244" i="6"/>
  <c r="N243" i="6"/>
  <c r="M243" i="6"/>
  <c r="L243" i="6"/>
  <c r="A243" i="6"/>
  <c r="N242" i="6"/>
  <c r="M242" i="6"/>
  <c r="L242" i="6"/>
  <c r="A242" i="6"/>
  <c r="N241" i="6"/>
  <c r="M241" i="6"/>
  <c r="L241" i="6"/>
  <c r="A241" i="6"/>
  <c r="N240" i="6"/>
  <c r="M240" i="6"/>
  <c r="L240" i="6"/>
  <c r="A240" i="6"/>
  <c r="N239" i="6"/>
  <c r="M239" i="6"/>
  <c r="L239" i="6"/>
  <c r="A239" i="6"/>
  <c r="N238" i="6"/>
  <c r="M238" i="6"/>
  <c r="L238" i="6"/>
  <c r="A238" i="6"/>
  <c r="N237" i="6"/>
  <c r="M237" i="6"/>
  <c r="L237" i="6"/>
  <c r="A237" i="6"/>
  <c r="N236" i="6"/>
  <c r="M236" i="6"/>
  <c r="L236" i="6"/>
  <c r="A236" i="6"/>
  <c r="N235" i="6"/>
  <c r="M235" i="6"/>
  <c r="L235" i="6"/>
  <c r="A235" i="6"/>
  <c r="N234" i="6"/>
  <c r="M234" i="6"/>
  <c r="L234" i="6"/>
  <c r="A234" i="6"/>
  <c r="N233" i="6"/>
  <c r="M233" i="6"/>
  <c r="L233" i="6"/>
  <c r="A233" i="6"/>
  <c r="N232" i="6"/>
  <c r="M232" i="6"/>
  <c r="L232" i="6"/>
  <c r="A232" i="6"/>
  <c r="N231" i="6"/>
  <c r="M231" i="6"/>
  <c r="L231" i="6"/>
  <c r="A231" i="6"/>
  <c r="N230" i="6"/>
  <c r="M230" i="6"/>
  <c r="L230" i="6"/>
  <c r="A230" i="6"/>
  <c r="N229" i="6"/>
  <c r="M229" i="6"/>
  <c r="L229" i="6"/>
  <c r="A229" i="6"/>
  <c r="N228" i="6"/>
  <c r="M228" i="6"/>
  <c r="L228" i="6"/>
  <c r="A228" i="6"/>
  <c r="N227" i="6"/>
  <c r="M227" i="6"/>
  <c r="L227" i="6"/>
  <c r="A227" i="6"/>
  <c r="N226" i="6"/>
  <c r="M226" i="6"/>
  <c r="L226" i="6"/>
  <c r="A226" i="6"/>
  <c r="N225" i="6"/>
  <c r="M225" i="6"/>
  <c r="L225" i="6"/>
  <c r="A225" i="6"/>
  <c r="N224" i="6"/>
  <c r="M224" i="6"/>
  <c r="L224" i="6"/>
  <c r="A224" i="6"/>
  <c r="N223" i="6"/>
  <c r="M223" i="6"/>
  <c r="L223" i="6"/>
  <c r="A223" i="6"/>
  <c r="N222" i="6"/>
  <c r="M222" i="6"/>
  <c r="L222" i="6"/>
  <c r="A222" i="6"/>
  <c r="N221" i="6"/>
  <c r="M221" i="6"/>
  <c r="L221" i="6"/>
  <c r="A221" i="6"/>
  <c r="N220" i="6"/>
  <c r="M220" i="6"/>
  <c r="L220" i="6"/>
  <c r="A220" i="6"/>
  <c r="N219" i="6"/>
  <c r="M219" i="6"/>
  <c r="L219" i="6"/>
  <c r="A219" i="6"/>
  <c r="N218" i="6"/>
  <c r="M218" i="6"/>
  <c r="L218" i="6"/>
  <c r="A218" i="6"/>
  <c r="N217" i="6"/>
  <c r="M217" i="6"/>
  <c r="L217" i="6"/>
  <c r="A217" i="6"/>
  <c r="N216" i="6"/>
  <c r="M216" i="6"/>
  <c r="L216" i="6"/>
  <c r="A216" i="6"/>
  <c r="N215" i="6"/>
  <c r="M215" i="6"/>
  <c r="L215" i="6"/>
  <c r="A215" i="6"/>
  <c r="N214" i="6"/>
  <c r="M214" i="6"/>
  <c r="L214" i="6"/>
  <c r="A214" i="6"/>
  <c r="N213" i="6"/>
  <c r="M213" i="6"/>
  <c r="L213" i="6"/>
  <c r="A213" i="6"/>
  <c r="N212" i="6"/>
  <c r="M212" i="6"/>
  <c r="L212" i="6"/>
  <c r="A212" i="6"/>
  <c r="N211" i="6"/>
  <c r="M211" i="6"/>
  <c r="L211" i="6"/>
  <c r="A211" i="6"/>
  <c r="N210" i="6"/>
  <c r="M210" i="6"/>
  <c r="L210" i="6"/>
  <c r="A210" i="6"/>
  <c r="N209" i="6"/>
  <c r="M209" i="6"/>
  <c r="L209" i="6"/>
  <c r="A209" i="6"/>
  <c r="N208" i="6"/>
  <c r="M208" i="6"/>
  <c r="L208" i="6"/>
  <c r="A208" i="6"/>
  <c r="N207" i="6"/>
  <c r="M207" i="6"/>
  <c r="L207" i="6"/>
  <c r="A207" i="6"/>
  <c r="N206" i="6"/>
  <c r="M206" i="6"/>
  <c r="L206" i="6"/>
  <c r="A206" i="6"/>
  <c r="N205" i="6"/>
  <c r="M205" i="6"/>
  <c r="L205" i="6"/>
  <c r="A205" i="6"/>
  <c r="N204" i="6"/>
  <c r="M204" i="6"/>
  <c r="L204" i="6"/>
  <c r="A204" i="6"/>
  <c r="N203" i="6"/>
  <c r="M203" i="6"/>
  <c r="L203" i="6"/>
  <c r="A203" i="6"/>
  <c r="N202" i="6"/>
  <c r="M202" i="6"/>
  <c r="L202" i="6"/>
  <c r="A202" i="6"/>
  <c r="N201" i="6"/>
  <c r="M201" i="6"/>
  <c r="L201" i="6"/>
  <c r="A201" i="6"/>
  <c r="N200" i="6"/>
  <c r="M200" i="6"/>
  <c r="L200" i="6"/>
  <c r="A200" i="6"/>
  <c r="N199" i="6"/>
  <c r="M199" i="6"/>
  <c r="L199" i="6"/>
  <c r="A199" i="6"/>
  <c r="N198" i="6"/>
  <c r="M198" i="6"/>
  <c r="L198" i="6"/>
  <c r="A198" i="6"/>
  <c r="N197" i="6"/>
  <c r="M197" i="6"/>
  <c r="L197" i="6"/>
  <c r="A197" i="6"/>
  <c r="N196" i="6"/>
  <c r="M196" i="6"/>
  <c r="L196" i="6"/>
  <c r="A196" i="6"/>
  <c r="N195" i="6"/>
  <c r="M195" i="6"/>
  <c r="L195" i="6"/>
  <c r="A195" i="6"/>
  <c r="N194" i="6"/>
  <c r="M194" i="6"/>
  <c r="L194" i="6"/>
  <c r="A194" i="6"/>
  <c r="N193" i="6"/>
  <c r="M193" i="6"/>
  <c r="L193" i="6"/>
  <c r="A193" i="6"/>
  <c r="N192" i="6"/>
  <c r="M192" i="6"/>
  <c r="L192" i="6"/>
  <c r="A192" i="6"/>
  <c r="N191" i="6"/>
  <c r="M191" i="6"/>
  <c r="L191" i="6"/>
  <c r="A191" i="6"/>
  <c r="N190" i="6"/>
  <c r="M190" i="6"/>
  <c r="L190" i="6"/>
  <c r="A190" i="6"/>
  <c r="N189" i="6"/>
  <c r="M189" i="6"/>
  <c r="L189" i="6"/>
  <c r="A189" i="6"/>
  <c r="N188" i="6"/>
  <c r="M188" i="6"/>
  <c r="L188" i="6"/>
  <c r="A188" i="6"/>
  <c r="N187" i="6"/>
  <c r="M187" i="6"/>
  <c r="L187" i="6"/>
  <c r="A187" i="6"/>
  <c r="N186" i="6"/>
  <c r="M186" i="6"/>
  <c r="L186" i="6"/>
  <c r="A186" i="6"/>
  <c r="N185" i="6"/>
  <c r="M185" i="6"/>
  <c r="L185" i="6"/>
  <c r="A185" i="6"/>
  <c r="N184" i="6"/>
  <c r="M184" i="6"/>
  <c r="L184" i="6"/>
  <c r="A184" i="6"/>
  <c r="N183" i="6"/>
  <c r="M183" i="6"/>
  <c r="L183" i="6"/>
  <c r="A183" i="6"/>
  <c r="N182" i="6"/>
  <c r="M182" i="6"/>
  <c r="L182" i="6"/>
  <c r="A182" i="6"/>
  <c r="N181" i="6"/>
  <c r="M181" i="6"/>
  <c r="L181" i="6"/>
  <c r="A181" i="6"/>
  <c r="N180" i="6"/>
  <c r="M180" i="6"/>
  <c r="L180" i="6"/>
  <c r="A180" i="6"/>
  <c r="N179" i="6"/>
  <c r="M179" i="6"/>
  <c r="L179" i="6"/>
  <c r="A179" i="6"/>
  <c r="N178" i="6"/>
  <c r="M178" i="6"/>
  <c r="L178" i="6"/>
  <c r="A178" i="6"/>
  <c r="N177" i="6"/>
  <c r="M177" i="6"/>
  <c r="L177" i="6"/>
  <c r="A177" i="6"/>
  <c r="N176" i="6"/>
  <c r="M176" i="6"/>
  <c r="L176" i="6"/>
  <c r="A176" i="6"/>
  <c r="N175" i="6"/>
  <c r="M175" i="6"/>
  <c r="L175" i="6"/>
  <c r="A175" i="6"/>
  <c r="N174" i="6"/>
  <c r="M174" i="6"/>
  <c r="L174" i="6"/>
  <c r="A174" i="6"/>
  <c r="N173" i="6"/>
  <c r="M173" i="6"/>
  <c r="L173" i="6"/>
  <c r="A173" i="6"/>
  <c r="N172" i="6"/>
  <c r="M172" i="6"/>
  <c r="L172" i="6"/>
  <c r="A172" i="6"/>
  <c r="N171" i="6"/>
  <c r="M171" i="6"/>
  <c r="L171" i="6"/>
  <c r="A171" i="6"/>
  <c r="N170" i="6"/>
  <c r="M170" i="6"/>
  <c r="L170" i="6"/>
  <c r="A170" i="6"/>
  <c r="N169" i="6"/>
  <c r="M169" i="6"/>
  <c r="L169" i="6"/>
  <c r="A169" i="6"/>
  <c r="N168" i="6"/>
  <c r="M168" i="6"/>
  <c r="L168" i="6"/>
  <c r="A168" i="6"/>
  <c r="N167" i="6"/>
  <c r="M167" i="6"/>
  <c r="L167" i="6"/>
  <c r="A167" i="6"/>
  <c r="N166" i="6"/>
  <c r="M166" i="6"/>
  <c r="L166" i="6"/>
  <c r="A166" i="6"/>
  <c r="N165" i="6"/>
  <c r="M165" i="6"/>
  <c r="L165" i="6"/>
  <c r="A165" i="6"/>
  <c r="N164" i="6"/>
  <c r="M164" i="6"/>
  <c r="L164" i="6"/>
  <c r="A164" i="6"/>
  <c r="N163" i="6"/>
  <c r="M163" i="6"/>
  <c r="L163" i="6"/>
  <c r="A163" i="6"/>
  <c r="N162" i="6"/>
  <c r="M162" i="6"/>
  <c r="L162" i="6"/>
  <c r="A162" i="6"/>
  <c r="N161" i="6"/>
  <c r="M161" i="6"/>
  <c r="L161" i="6"/>
  <c r="A161" i="6"/>
  <c r="N160" i="6"/>
  <c r="M160" i="6"/>
  <c r="L160" i="6"/>
  <c r="A160" i="6"/>
  <c r="N159" i="6"/>
  <c r="M159" i="6"/>
  <c r="L159" i="6"/>
  <c r="A159" i="6"/>
  <c r="N158" i="6"/>
  <c r="M158" i="6"/>
  <c r="L158" i="6"/>
  <c r="A158" i="6"/>
  <c r="N157" i="6"/>
  <c r="M157" i="6"/>
  <c r="L157" i="6"/>
  <c r="A157" i="6"/>
  <c r="N156" i="6"/>
  <c r="M156" i="6"/>
  <c r="L156" i="6"/>
  <c r="A156" i="6"/>
  <c r="N155" i="6"/>
  <c r="M155" i="6"/>
  <c r="L155" i="6"/>
  <c r="A155" i="6"/>
  <c r="N154" i="6"/>
  <c r="M154" i="6"/>
  <c r="L154" i="6"/>
  <c r="A154" i="6"/>
  <c r="N153" i="6"/>
  <c r="M153" i="6"/>
  <c r="L153" i="6"/>
  <c r="A153" i="6"/>
  <c r="N152" i="6"/>
  <c r="M152" i="6"/>
  <c r="L152" i="6"/>
  <c r="A152" i="6"/>
  <c r="N151" i="6"/>
  <c r="M151" i="6"/>
  <c r="L151" i="6"/>
  <c r="A151" i="6"/>
  <c r="N150" i="6"/>
  <c r="M150" i="6"/>
  <c r="L150" i="6"/>
  <c r="A150" i="6"/>
  <c r="N149" i="6"/>
  <c r="M149" i="6"/>
  <c r="L149" i="6"/>
  <c r="A149" i="6"/>
  <c r="N148" i="6"/>
  <c r="M148" i="6"/>
  <c r="L148" i="6"/>
  <c r="A148" i="6"/>
  <c r="N147" i="6"/>
  <c r="M147" i="6"/>
  <c r="L147" i="6"/>
  <c r="A147" i="6"/>
  <c r="N146" i="6"/>
  <c r="M146" i="6"/>
  <c r="L146" i="6"/>
  <c r="A146" i="6"/>
  <c r="N145" i="6"/>
  <c r="M145" i="6"/>
  <c r="L145" i="6"/>
  <c r="A145" i="6"/>
  <c r="N144" i="6"/>
  <c r="M144" i="6"/>
  <c r="L144" i="6"/>
  <c r="A144" i="6"/>
  <c r="N143" i="6"/>
  <c r="M143" i="6"/>
  <c r="L143" i="6"/>
  <c r="A143" i="6"/>
  <c r="N142" i="6"/>
  <c r="M142" i="6"/>
  <c r="L142" i="6"/>
  <c r="A142" i="6"/>
  <c r="N141" i="6"/>
  <c r="M141" i="6"/>
  <c r="L141" i="6"/>
  <c r="A141" i="6"/>
  <c r="N140" i="6"/>
  <c r="M140" i="6"/>
  <c r="L140" i="6"/>
  <c r="A140" i="6"/>
  <c r="N139" i="6"/>
  <c r="M139" i="6"/>
  <c r="L139" i="6"/>
  <c r="A139" i="6"/>
  <c r="N138" i="6"/>
  <c r="M138" i="6"/>
  <c r="L138" i="6"/>
  <c r="A138" i="6"/>
  <c r="N137" i="6"/>
  <c r="M137" i="6"/>
  <c r="L137" i="6"/>
  <c r="A137" i="6"/>
  <c r="N136" i="6"/>
  <c r="M136" i="6"/>
  <c r="L136" i="6"/>
  <c r="A136" i="6"/>
  <c r="N135" i="6"/>
  <c r="M135" i="6"/>
  <c r="L135" i="6"/>
  <c r="A135" i="6"/>
  <c r="N134" i="6"/>
  <c r="M134" i="6"/>
  <c r="L134" i="6"/>
  <c r="A134" i="6"/>
  <c r="N133" i="6"/>
  <c r="M133" i="6"/>
  <c r="L133" i="6"/>
  <c r="A133" i="6"/>
  <c r="N132" i="6"/>
  <c r="M132" i="6"/>
  <c r="L132" i="6"/>
  <c r="A132" i="6"/>
  <c r="N131" i="6"/>
  <c r="M131" i="6"/>
  <c r="L131" i="6"/>
  <c r="A131" i="6"/>
  <c r="N130" i="6"/>
  <c r="M130" i="6"/>
  <c r="L130" i="6"/>
  <c r="A130" i="6"/>
  <c r="N129" i="6"/>
  <c r="M129" i="6"/>
  <c r="L129" i="6"/>
  <c r="A129" i="6"/>
  <c r="N128" i="6"/>
  <c r="M128" i="6"/>
  <c r="L128" i="6"/>
  <c r="A128" i="6"/>
  <c r="N127" i="6"/>
  <c r="M127" i="6"/>
  <c r="L127" i="6"/>
  <c r="A127" i="6"/>
  <c r="N126" i="6"/>
  <c r="M126" i="6"/>
  <c r="L126" i="6"/>
  <c r="A126" i="6"/>
  <c r="N125" i="6"/>
  <c r="M125" i="6"/>
  <c r="L125" i="6"/>
  <c r="A125" i="6"/>
  <c r="N124" i="6"/>
  <c r="M124" i="6"/>
  <c r="L124" i="6"/>
  <c r="A124" i="6"/>
  <c r="N123" i="6"/>
  <c r="M123" i="6"/>
  <c r="L123" i="6"/>
  <c r="A123" i="6"/>
  <c r="N122" i="6"/>
  <c r="M122" i="6"/>
  <c r="L122" i="6"/>
  <c r="A122" i="6"/>
  <c r="N121" i="6"/>
  <c r="M121" i="6"/>
  <c r="L121" i="6"/>
  <c r="A121" i="6"/>
  <c r="N120" i="6"/>
  <c r="M120" i="6"/>
  <c r="L120" i="6"/>
  <c r="A120" i="6"/>
  <c r="N119" i="6"/>
  <c r="M119" i="6"/>
  <c r="L119" i="6"/>
  <c r="A119" i="6"/>
  <c r="N118" i="6"/>
  <c r="M118" i="6"/>
  <c r="L118" i="6"/>
  <c r="A118" i="6"/>
  <c r="N117" i="6"/>
  <c r="M117" i="6"/>
  <c r="L117" i="6"/>
  <c r="A117" i="6"/>
  <c r="N116" i="6"/>
  <c r="M116" i="6"/>
  <c r="L116" i="6"/>
  <c r="A116" i="6"/>
  <c r="N115" i="6"/>
  <c r="M115" i="6"/>
  <c r="L115" i="6"/>
  <c r="A115" i="6"/>
  <c r="N114" i="6"/>
  <c r="M114" i="6"/>
  <c r="L114" i="6"/>
  <c r="A114" i="6"/>
  <c r="N113" i="6"/>
  <c r="M113" i="6"/>
  <c r="L113" i="6"/>
  <c r="A113" i="6"/>
  <c r="N112" i="6"/>
  <c r="M112" i="6"/>
  <c r="L112" i="6"/>
  <c r="A112" i="6"/>
  <c r="N111" i="6"/>
  <c r="M111" i="6"/>
  <c r="L111" i="6"/>
  <c r="A111" i="6"/>
  <c r="N110" i="6"/>
  <c r="M110" i="6"/>
  <c r="L110" i="6"/>
  <c r="A110" i="6"/>
  <c r="N109" i="6"/>
  <c r="M109" i="6"/>
  <c r="L109" i="6"/>
  <c r="A109" i="6"/>
  <c r="N108" i="6"/>
  <c r="M108" i="6"/>
  <c r="L108" i="6"/>
  <c r="A108" i="6"/>
  <c r="N107" i="6"/>
  <c r="M107" i="6"/>
  <c r="L107" i="6"/>
  <c r="A107" i="6"/>
  <c r="N106" i="6"/>
  <c r="M106" i="6"/>
  <c r="L106" i="6"/>
  <c r="A106" i="6"/>
  <c r="N105" i="6"/>
  <c r="M105" i="6"/>
  <c r="L105" i="6"/>
  <c r="A105" i="6"/>
  <c r="N104" i="6"/>
  <c r="M104" i="6"/>
  <c r="L104" i="6"/>
  <c r="A104" i="6"/>
  <c r="N103" i="6"/>
  <c r="M103" i="6"/>
  <c r="L103" i="6"/>
  <c r="A103" i="6"/>
  <c r="N102" i="6"/>
  <c r="M102" i="6"/>
  <c r="L102" i="6"/>
  <c r="A102" i="6"/>
  <c r="N101" i="6"/>
  <c r="M101" i="6"/>
  <c r="L101" i="6"/>
  <c r="A101" i="6"/>
  <c r="N100" i="6"/>
  <c r="M100" i="6"/>
  <c r="L100" i="6"/>
  <c r="A100" i="6"/>
  <c r="N99" i="6"/>
  <c r="M99" i="6"/>
  <c r="L99" i="6"/>
  <c r="A99" i="6"/>
  <c r="N98" i="6"/>
  <c r="M98" i="6"/>
  <c r="L98" i="6"/>
  <c r="A98" i="6"/>
  <c r="N97" i="6"/>
  <c r="M97" i="6"/>
  <c r="L97" i="6"/>
  <c r="A97" i="6"/>
  <c r="N96" i="6"/>
  <c r="M96" i="6"/>
  <c r="L96" i="6"/>
  <c r="A96" i="6"/>
  <c r="N95" i="6"/>
  <c r="M95" i="6"/>
  <c r="L95" i="6"/>
  <c r="A95" i="6"/>
  <c r="N94" i="6"/>
  <c r="M94" i="6"/>
  <c r="L94" i="6"/>
  <c r="A94" i="6"/>
  <c r="N93" i="6"/>
  <c r="M93" i="6"/>
  <c r="L93" i="6"/>
  <c r="A93" i="6"/>
  <c r="N92" i="6"/>
  <c r="M92" i="6"/>
  <c r="L92" i="6"/>
  <c r="A92" i="6"/>
  <c r="N91" i="6"/>
  <c r="M91" i="6"/>
  <c r="L91" i="6"/>
  <c r="A91" i="6"/>
  <c r="N90" i="6"/>
  <c r="M90" i="6"/>
  <c r="L90" i="6"/>
  <c r="A90" i="6"/>
  <c r="N89" i="6"/>
  <c r="M89" i="6"/>
  <c r="L89" i="6"/>
  <c r="A89" i="6"/>
  <c r="N88" i="6"/>
  <c r="M88" i="6"/>
  <c r="L88" i="6"/>
  <c r="A88" i="6"/>
  <c r="N87" i="6"/>
  <c r="M87" i="6"/>
  <c r="L87" i="6"/>
  <c r="A87" i="6"/>
  <c r="N86" i="6"/>
  <c r="M86" i="6"/>
  <c r="L86" i="6"/>
  <c r="A86" i="6"/>
  <c r="N85" i="6"/>
  <c r="M85" i="6"/>
  <c r="L85" i="6"/>
  <c r="A85" i="6"/>
  <c r="N84" i="6"/>
  <c r="M84" i="6"/>
  <c r="L84" i="6"/>
  <c r="A84" i="6"/>
  <c r="N83" i="6"/>
  <c r="M83" i="6"/>
  <c r="L83" i="6"/>
  <c r="A83" i="6"/>
  <c r="N82" i="6"/>
  <c r="M82" i="6"/>
  <c r="L82" i="6"/>
  <c r="A82" i="6"/>
  <c r="N81" i="6"/>
  <c r="M81" i="6"/>
  <c r="L81" i="6"/>
  <c r="A81" i="6"/>
  <c r="N80" i="6"/>
  <c r="M80" i="6"/>
  <c r="L80" i="6"/>
  <c r="A80" i="6"/>
  <c r="N79" i="6"/>
  <c r="M79" i="6"/>
  <c r="L79" i="6"/>
  <c r="A79" i="6"/>
  <c r="N78" i="6"/>
  <c r="M78" i="6"/>
  <c r="L78" i="6"/>
  <c r="A78" i="6"/>
  <c r="N77" i="6"/>
  <c r="M77" i="6"/>
  <c r="L77" i="6"/>
  <c r="A77" i="6"/>
  <c r="N76" i="6"/>
  <c r="M76" i="6"/>
  <c r="L76" i="6"/>
  <c r="A76" i="6"/>
  <c r="N75" i="6"/>
  <c r="M75" i="6"/>
  <c r="L75" i="6"/>
  <c r="A75" i="6"/>
  <c r="N74" i="6"/>
  <c r="M74" i="6"/>
  <c r="L74" i="6"/>
  <c r="A74" i="6"/>
  <c r="N73" i="6"/>
  <c r="M73" i="6"/>
  <c r="L73" i="6"/>
  <c r="A73" i="6"/>
  <c r="N72" i="6"/>
  <c r="M72" i="6"/>
  <c r="L72" i="6"/>
  <c r="A72" i="6"/>
  <c r="N71" i="6"/>
  <c r="M71" i="6"/>
  <c r="L71" i="6"/>
  <c r="A71" i="6"/>
  <c r="N70" i="6"/>
  <c r="M70" i="6"/>
  <c r="L70" i="6"/>
  <c r="A70" i="6"/>
  <c r="N69" i="6"/>
  <c r="M69" i="6"/>
  <c r="L69" i="6"/>
  <c r="A69" i="6"/>
  <c r="N68" i="6"/>
  <c r="M68" i="6"/>
  <c r="L68" i="6"/>
  <c r="A68" i="6"/>
  <c r="N67" i="6"/>
  <c r="M67" i="6"/>
  <c r="L67" i="6"/>
  <c r="A67" i="6"/>
  <c r="N66" i="6"/>
  <c r="M66" i="6"/>
  <c r="L66" i="6"/>
  <c r="A66" i="6"/>
  <c r="N65" i="6"/>
  <c r="M65" i="6"/>
  <c r="L65" i="6"/>
  <c r="A65" i="6"/>
  <c r="N64" i="6"/>
  <c r="M64" i="6"/>
  <c r="L64" i="6"/>
  <c r="A64" i="6"/>
  <c r="N63" i="6"/>
  <c r="M63" i="6"/>
  <c r="L63" i="6"/>
  <c r="A63" i="6"/>
  <c r="N62" i="6"/>
  <c r="M62" i="6"/>
  <c r="L62" i="6"/>
  <c r="A62" i="6"/>
  <c r="N61" i="6"/>
  <c r="M61" i="6"/>
  <c r="L61" i="6"/>
  <c r="A61" i="6"/>
  <c r="N60" i="6"/>
  <c r="M60" i="6"/>
  <c r="L60" i="6"/>
  <c r="A60" i="6"/>
  <c r="N59" i="6"/>
  <c r="M59" i="6"/>
  <c r="L59" i="6"/>
  <c r="A59" i="6"/>
  <c r="N58" i="6"/>
  <c r="M58" i="6"/>
  <c r="L58" i="6"/>
  <c r="A58" i="6"/>
  <c r="N57" i="6"/>
  <c r="M57" i="6"/>
  <c r="L57" i="6"/>
  <c r="A57" i="6"/>
  <c r="N56" i="6"/>
  <c r="M56" i="6"/>
  <c r="L56" i="6"/>
  <c r="A56" i="6"/>
  <c r="N55" i="6"/>
  <c r="M55" i="6"/>
  <c r="L55" i="6"/>
  <c r="A55" i="6"/>
  <c r="N54" i="6"/>
  <c r="M54" i="6"/>
  <c r="L54" i="6"/>
  <c r="A54" i="6"/>
  <c r="N53" i="6"/>
  <c r="M53" i="6"/>
  <c r="L53" i="6"/>
  <c r="A53" i="6"/>
  <c r="N52" i="6"/>
  <c r="M52" i="6"/>
  <c r="L52" i="6"/>
  <c r="A52" i="6"/>
  <c r="N51" i="6"/>
  <c r="M51" i="6"/>
  <c r="L51" i="6"/>
  <c r="A51" i="6"/>
  <c r="N50" i="6"/>
  <c r="M50" i="6"/>
  <c r="L50" i="6"/>
  <c r="A50" i="6"/>
  <c r="N49" i="6"/>
  <c r="M49" i="6"/>
  <c r="L49" i="6"/>
  <c r="A49" i="6"/>
  <c r="N48" i="6"/>
  <c r="M48" i="6"/>
  <c r="L48" i="6"/>
  <c r="A48" i="6"/>
  <c r="N47" i="6"/>
  <c r="M47" i="6"/>
  <c r="L47" i="6"/>
  <c r="A47" i="6"/>
  <c r="N46" i="6"/>
  <c r="M46" i="6"/>
  <c r="L46" i="6"/>
  <c r="A46" i="6"/>
  <c r="N45" i="6"/>
  <c r="M45" i="6"/>
  <c r="L45" i="6"/>
  <c r="A45" i="6"/>
  <c r="N44" i="6"/>
  <c r="M44" i="6"/>
  <c r="L44" i="6"/>
  <c r="A44" i="6"/>
  <c r="N43" i="6"/>
  <c r="M43" i="6"/>
  <c r="L43" i="6"/>
  <c r="A43" i="6"/>
  <c r="N42" i="6"/>
  <c r="M42" i="6"/>
  <c r="L42" i="6"/>
  <c r="A42" i="6"/>
  <c r="N41" i="6"/>
  <c r="M41" i="6"/>
  <c r="L41" i="6"/>
  <c r="A41" i="6"/>
  <c r="N40" i="6"/>
  <c r="M40" i="6"/>
  <c r="L40" i="6"/>
  <c r="A40" i="6"/>
  <c r="N39" i="6"/>
  <c r="M39" i="6"/>
  <c r="L39" i="6"/>
  <c r="A39" i="6"/>
  <c r="N38" i="6"/>
  <c r="M38" i="6"/>
  <c r="L38" i="6"/>
  <c r="A38" i="6"/>
  <c r="N37" i="6"/>
  <c r="M37" i="6"/>
  <c r="L37" i="6"/>
  <c r="A37" i="6"/>
  <c r="N36" i="6"/>
  <c r="M36" i="6"/>
  <c r="L36" i="6"/>
  <c r="A36" i="6"/>
  <c r="N35" i="6"/>
  <c r="M35" i="6"/>
  <c r="L35" i="6"/>
  <c r="A35" i="6"/>
  <c r="N34" i="6"/>
  <c r="M34" i="6"/>
  <c r="L34" i="6"/>
  <c r="A34" i="6"/>
  <c r="N33" i="6"/>
  <c r="M33" i="6"/>
  <c r="L33" i="6"/>
  <c r="A33" i="6"/>
  <c r="N32" i="6"/>
  <c r="M32" i="6"/>
  <c r="L32" i="6"/>
  <c r="A32" i="6"/>
  <c r="N31" i="6"/>
  <c r="M31" i="6"/>
  <c r="L31" i="6"/>
  <c r="A31" i="6"/>
  <c r="N30" i="6"/>
  <c r="M30" i="6"/>
  <c r="L30" i="6"/>
  <c r="A30" i="6"/>
  <c r="N29" i="6"/>
  <c r="M29" i="6"/>
  <c r="L29" i="6"/>
  <c r="A29" i="6"/>
  <c r="N28" i="6"/>
  <c r="M28" i="6"/>
  <c r="L28" i="6"/>
  <c r="A28" i="6"/>
  <c r="N27" i="6"/>
  <c r="M27" i="6"/>
  <c r="L27" i="6"/>
  <c r="A27" i="6"/>
  <c r="N26" i="6"/>
  <c r="M26" i="6"/>
  <c r="L26" i="6"/>
  <c r="A26" i="6"/>
  <c r="N25" i="6"/>
  <c r="M25" i="6"/>
  <c r="L25" i="6"/>
  <c r="A25" i="6"/>
  <c r="N24" i="6"/>
  <c r="M24" i="6"/>
  <c r="L24" i="6"/>
  <c r="A24" i="6"/>
  <c r="N23" i="6"/>
  <c r="M23" i="6"/>
  <c r="L23" i="6"/>
  <c r="A23" i="6"/>
  <c r="N22" i="6"/>
  <c r="M22" i="6"/>
  <c r="L22" i="6"/>
  <c r="A22" i="6"/>
  <c r="N21" i="6"/>
  <c r="M21" i="6"/>
  <c r="L21" i="6"/>
  <c r="A21" i="6"/>
  <c r="N20" i="6"/>
  <c r="M20" i="6"/>
  <c r="L20" i="6"/>
  <c r="A20" i="6"/>
  <c r="N19" i="6"/>
  <c r="M19" i="6"/>
  <c r="L19" i="6"/>
  <c r="A19" i="6"/>
  <c r="N18" i="6"/>
  <c r="M18" i="6"/>
  <c r="L18" i="6"/>
  <c r="A18" i="6"/>
  <c r="N17" i="6"/>
  <c r="M17" i="6"/>
  <c r="L17" i="6"/>
  <c r="A17" i="6"/>
  <c r="N16" i="6"/>
  <c r="M16" i="6"/>
  <c r="L16" i="6"/>
  <c r="A16" i="6"/>
  <c r="N15" i="6"/>
  <c r="M15" i="6"/>
  <c r="L15" i="6"/>
  <c r="A15" i="6"/>
  <c r="N14" i="6"/>
  <c r="M14" i="6"/>
  <c r="L14" i="6"/>
  <c r="A14" i="6"/>
  <c r="N13" i="6"/>
  <c r="M13" i="6"/>
  <c r="L13" i="6"/>
  <c r="A13" i="6"/>
  <c r="N12" i="6"/>
  <c r="M12" i="6"/>
  <c r="L12" i="6"/>
  <c r="A12" i="6"/>
  <c r="N11" i="6"/>
  <c r="M11" i="6"/>
  <c r="L11" i="6"/>
  <c r="A11" i="6"/>
  <c r="N10" i="6"/>
  <c r="M10" i="6"/>
  <c r="L10" i="6"/>
  <c r="A10" i="6"/>
  <c r="N9" i="6"/>
  <c r="M9" i="6"/>
  <c r="L9" i="6"/>
  <c r="A9" i="6"/>
  <c r="N8" i="6"/>
  <c r="M8" i="6"/>
  <c r="L8" i="6"/>
  <c r="A8" i="6"/>
  <c r="N7" i="6"/>
  <c r="M7" i="6"/>
  <c r="L7" i="6"/>
  <c r="A7" i="6"/>
  <c r="N6" i="6"/>
  <c r="M6" i="6"/>
  <c r="L6" i="6"/>
  <c r="A6" i="6"/>
  <c r="N5" i="6"/>
  <c r="M5" i="6"/>
  <c r="L5" i="6"/>
  <c r="A5" i="6"/>
  <c r="B4" i="6"/>
  <c r="J2" i="6"/>
  <c r="B3" i="5"/>
  <c r="J1" i="5"/>
  <c r="G1013" i="4" a="1"/>
  <c r="G1013" i="4" s="1"/>
  <c r="F1013" i="4"/>
  <c r="E1013" i="4"/>
  <c r="G1012" i="4" a="1"/>
  <c r="G1012" i="4" s="1"/>
  <c r="F1012" i="4"/>
  <c r="E1012" i="4"/>
  <c r="A1012" i="4"/>
  <c r="G1011" i="4" a="1"/>
  <c r="G1011" i="4" s="1"/>
  <c r="F1011" i="4"/>
  <c r="E1011" i="4"/>
  <c r="A1011" i="4"/>
  <c r="G1010" i="4" a="1"/>
  <c r="G1010" i="4" s="1"/>
  <c r="F1010" i="4"/>
  <c r="E1010" i="4"/>
  <c r="A1010" i="4"/>
  <c r="G1009" i="4" a="1"/>
  <c r="G1009" i="4" s="1"/>
  <c r="F1009" i="4"/>
  <c r="E1009" i="4"/>
  <c r="A1009" i="4"/>
  <c r="G1008" i="4" a="1"/>
  <c r="G1008" i="4" s="1"/>
  <c r="F1008" i="4"/>
  <c r="E1008" i="4"/>
  <c r="A1008" i="4"/>
  <c r="G1007" i="4" a="1"/>
  <c r="G1007" i="4" s="1"/>
  <c r="F1007" i="4"/>
  <c r="E1007" i="4"/>
  <c r="A1007" i="4"/>
  <c r="G1006" i="4" a="1"/>
  <c r="G1006" i="4" s="1"/>
  <c r="F1006" i="4"/>
  <c r="E1006" i="4"/>
  <c r="A1006" i="4"/>
  <c r="G1005" i="4" a="1"/>
  <c r="G1005" i="4" s="1"/>
  <c r="F1005" i="4"/>
  <c r="E1005" i="4"/>
  <c r="A1005" i="4"/>
  <c r="G1004" i="4" a="1"/>
  <c r="G1004" i="4" s="1"/>
  <c r="F1004" i="4"/>
  <c r="E1004" i="4"/>
  <c r="A1004" i="4"/>
  <c r="G1003" i="4" a="1"/>
  <c r="G1003" i="4" s="1"/>
  <c r="F1003" i="4"/>
  <c r="E1003" i="4"/>
  <c r="A1003" i="4"/>
  <c r="G1002" i="4" a="1"/>
  <c r="G1002" i="4" s="1"/>
  <c r="F1002" i="4"/>
  <c r="E1002" i="4"/>
  <c r="A1002" i="4"/>
  <c r="G1001" i="4" a="1"/>
  <c r="G1001" i="4" s="1"/>
  <c r="F1001" i="4"/>
  <c r="E1001" i="4"/>
  <c r="A1001" i="4"/>
  <c r="G1000" i="4" a="1"/>
  <c r="G1000" i="4" s="1"/>
  <c r="F1000" i="4"/>
  <c r="E1000" i="4"/>
  <c r="A1000" i="4"/>
  <c r="G999" i="4" a="1"/>
  <c r="G999" i="4" s="1"/>
  <c r="F999" i="4"/>
  <c r="E999" i="4"/>
  <c r="A999" i="4"/>
  <c r="G998" i="4" a="1"/>
  <c r="G998" i="4" s="1"/>
  <c r="F998" i="4"/>
  <c r="E998" i="4"/>
  <c r="A998" i="4"/>
  <c r="G997" i="4" a="1"/>
  <c r="G997" i="4" s="1"/>
  <c r="F997" i="4"/>
  <c r="E997" i="4"/>
  <c r="A997" i="4"/>
  <c r="G996" i="4" a="1"/>
  <c r="G996" i="4" s="1"/>
  <c r="F996" i="4"/>
  <c r="E996" i="4"/>
  <c r="A996" i="4"/>
  <c r="G995" i="4" a="1"/>
  <c r="G995" i="4" s="1"/>
  <c r="F995" i="4"/>
  <c r="E995" i="4"/>
  <c r="A995" i="4"/>
  <c r="G994" i="4" a="1"/>
  <c r="G994" i="4" s="1"/>
  <c r="F994" i="4"/>
  <c r="E994" i="4"/>
  <c r="A994" i="4"/>
  <c r="G993" i="4" a="1"/>
  <c r="G993" i="4" s="1"/>
  <c r="F993" i="4"/>
  <c r="E993" i="4"/>
  <c r="A993" i="4"/>
  <c r="G992" i="4" a="1"/>
  <c r="G992" i="4" s="1"/>
  <c r="F992" i="4"/>
  <c r="E992" i="4"/>
  <c r="A992" i="4"/>
  <c r="G991" i="4" a="1"/>
  <c r="G991" i="4" s="1"/>
  <c r="F991" i="4"/>
  <c r="E991" i="4"/>
  <c r="A991" i="4"/>
  <c r="G990" i="4" a="1"/>
  <c r="G990" i="4" s="1"/>
  <c r="F990" i="4"/>
  <c r="E990" i="4"/>
  <c r="A990" i="4"/>
  <c r="G989" i="4" a="1"/>
  <c r="G989" i="4" s="1"/>
  <c r="F989" i="4"/>
  <c r="E989" i="4"/>
  <c r="A989" i="4"/>
  <c r="G988" i="4" a="1"/>
  <c r="G988" i="4" s="1"/>
  <c r="F988" i="4"/>
  <c r="E988" i="4"/>
  <c r="A988" i="4"/>
  <c r="G987" i="4" a="1"/>
  <c r="G987" i="4" s="1"/>
  <c r="F987" i="4"/>
  <c r="E987" i="4"/>
  <c r="A987" i="4"/>
  <c r="G986" i="4" a="1"/>
  <c r="G986" i="4" s="1"/>
  <c r="F986" i="4"/>
  <c r="E986" i="4"/>
  <c r="A986" i="4"/>
  <c r="G985" i="4" a="1"/>
  <c r="G985" i="4" s="1"/>
  <c r="F985" i="4"/>
  <c r="E985" i="4"/>
  <c r="A985" i="4"/>
  <c r="G984" i="4" a="1"/>
  <c r="G984" i="4" s="1"/>
  <c r="F984" i="4"/>
  <c r="E984" i="4"/>
  <c r="A984" i="4"/>
  <c r="G983" i="4" a="1"/>
  <c r="G983" i="4" s="1"/>
  <c r="F983" i="4"/>
  <c r="E983" i="4"/>
  <c r="A983" i="4"/>
  <c r="G982" i="4" a="1"/>
  <c r="G982" i="4" s="1"/>
  <c r="F982" i="4"/>
  <c r="E982" i="4"/>
  <c r="A982" i="4"/>
  <c r="G981" i="4" a="1"/>
  <c r="G981" i="4" s="1"/>
  <c r="F981" i="4"/>
  <c r="E981" i="4"/>
  <c r="A981" i="4"/>
  <c r="G980" i="4" a="1"/>
  <c r="G980" i="4" s="1"/>
  <c r="F980" i="4"/>
  <c r="E980" i="4"/>
  <c r="A980" i="4"/>
  <c r="G979" i="4" a="1"/>
  <c r="G979" i="4" s="1"/>
  <c r="F979" i="4"/>
  <c r="E979" i="4"/>
  <c r="A979" i="4"/>
  <c r="G978" i="4" a="1"/>
  <c r="G978" i="4" s="1"/>
  <c r="F978" i="4"/>
  <c r="E978" i="4"/>
  <c r="A978" i="4"/>
  <c r="G977" i="4" a="1"/>
  <c r="G977" i="4" s="1"/>
  <c r="F977" i="4"/>
  <c r="E977" i="4"/>
  <c r="A977" i="4"/>
  <c r="G976" i="4" a="1"/>
  <c r="G976" i="4" s="1"/>
  <c r="F976" i="4"/>
  <c r="E976" i="4"/>
  <c r="A976" i="4"/>
  <c r="G975" i="4" a="1"/>
  <c r="G975" i="4" s="1"/>
  <c r="F975" i="4"/>
  <c r="E975" i="4"/>
  <c r="A975" i="4"/>
  <c r="G974" i="4" a="1"/>
  <c r="G974" i="4" s="1"/>
  <c r="F974" i="4"/>
  <c r="E974" i="4"/>
  <c r="A974" i="4"/>
  <c r="G973" i="4" a="1"/>
  <c r="G973" i="4" s="1"/>
  <c r="F973" i="4"/>
  <c r="E973" i="4"/>
  <c r="A973" i="4"/>
  <c r="G972" i="4" a="1"/>
  <c r="G972" i="4" s="1"/>
  <c r="F972" i="4"/>
  <c r="E972" i="4"/>
  <c r="A972" i="4"/>
  <c r="G971" i="4" a="1"/>
  <c r="G971" i="4" s="1"/>
  <c r="H971" i="4" s="1"/>
  <c r="F971" i="4"/>
  <c r="E971" i="4"/>
  <c r="A971" i="4"/>
  <c r="G970" i="4" a="1"/>
  <c r="G970" i="4" s="1"/>
  <c r="H970" i="4" s="1"/>
  <c r="F970" i="4"/>
  <c r="E970" i="4"/>
  <c r="A970" i="4"/>
  <c r="G969" i="4" a="1"/>
  <c r="G969" i="4" s="1"/>
  <c r="H969" i="4" s="1"/>
  <c r="F969" i="4"/>
  <c r="E969" i="4"/>
  <c r="A969" i="4"/>
  <c r="G968" i="4" a="1"/>
  <c r="G968" i="4" s="1"/>
  <c r="H968" i="4" s="1"/>
  <c r="F968" i="4"/>
  <c r="E968" i="4"/>
  <c r="A968" i="4"/>
  <c r="G967" i="4" a="1"/>
  <c r="G967" i="4" s="1"/>
  <c r="H967" i="4" s="1"/>
  <c r="F967" i="4"/>
  <c r="E967" i="4"/>
  <c r="A967" i="4"/>
  <c r="G966" i="4" a="1"/>
  <c r="G966" i="4" s="1"/>
  <c r="H966" i="4" s="1"/>
  <c r="F966" i="4"/>
  <c r="E966" i="4"/>
  <c r="A966" i="4"/>
  <c r="G965" i="4" a="1"/>
  <c r="G965" i="4" s="1"/>
  <c r="H965" i="4" s="1"/>
  <c r="F965" i="4"/>
  <c r="E965" i="4"/>
  <c r="A965" i="4"/>
  <c r="G964" i="4" a="1"/>
  <c r="G964" i="4" s="1"/>
  <c r="H964" i="4" s="1"/>
  <c r="F964" i="4"/>
  <c r="E964" i="4"/>
  <c r="A964" i="4"/>
  <c r="G963" i="4" a="1"/>
  <c r="G963" i="4" s="1"/>
  <c r="H963" i="4" s="1"/>
  <c r="F963" i="4"/>
  <c r="E963" i="4"/>
  <c r="A963" i="4"/>
  <c r="G962" i="4" a="1"/>
  <c r="G962" i="4" s="1"/>
  <c r="H962" i="4" s="1"/>
  <c r="F962" i="4"/>
  <c r="E962" i="4"/>
  <c r="A962" i="4"/>
  <c r="G961" i="4" a="1"/>
  <c r="G961" i="4" s="1"/>
  <c r="H961" i="4" s="1"/>
  <c r="F961" i="4"/>
  <c r="E961" i="4"/>
  <c r="A961" i="4"/>
  <c r="G960" i="4" a="1"/>
  <c r="G960" i="4" s="1"/>
  <c r="H960" i="4" s="1"/>
  <c r="F960" i="4"/>
  <c r="E960" i="4"/>
  <c r="A960" i="4"/>
  <c r="G959" i="4" a="1"/>
  <c r="G959" i="4" s="1"/>
  <c r="H959" i="4" s="1"/>
  <c r="F959" i="4"/>
  <c r="E959" i="4"/>
  <c r="A959" i="4"/>
  <c r="G958" i="4" a="1"/>
  <c r="G958" i="4" s="1"/>
  <c r="H958" i="4" s="1"/>
  <c r="F958" i="4"/>
  <c r="E958" i="4"/>
  <c r="A958" i="4"/>
  <c r="G957" i="4" a="1"/>
  <c r="G957" i="4" s="1"/>
  <c r="H957" i="4" s="1"/>
  <c r="F957" i="4"/>
  <c r="E957" i="4"/>
  <c r="A957" i="4"/>
  <c r="G956" i="4" a="1"/>
  <c r="G956" i="4" s="1"/>
  <c r="H956" i="4" s="1"/>
  <c r="F956" i="4"/>
  <c r="E956" i="4"/>
  <c r="A956" i="4"/>
  <c r="G955" i="4" a="1"/>
  <c r="G955" i="4" s="1"/>
  <c r="H955" i="4" s="1"/>
  <c r="F955" i="4"/>
  <c r="E955" i="4"/>
  <c r="A955" i="4"/>
  <c r="G954" i="4" a="1"/>
  <c r="G954" i="4" s="1"/>
  <c r="H954" i="4" s="1"/>
  <c r="F954" i="4"/>
  <c r="E954" i="4"/>
  <c r="A954" i="4"/>
  <c r="G953" i="4" a="1"/>
  <c r="G953" i="4" s="1"/>
  <c r="H953" i="4" s="1"/>
  <c r="F953" i="4"/>
  <c r="E953" i="4"/>
  <c r="A953" i="4"/>
  <c r="G952" i="4" a="1"/>
  <c r="G952" i="4" s="1"/>
  <c r="H952" i="4" s="1"/>
  <c r="F952" i="4"/>
  <c r="E952" i="4"/>
  <c r="A952" i="4"/>
  <c r="G951" i="4" a="1"/>
  <c r="G951" i="4" s="1"/>
  <c r="H951" i="4" s="1"/>
  <c r="F951" i="4"/>
  <c r="E951" i="4"/>
  <c r="A951" i="4"/>
  <c r="G950" i="4" a="1"/>
  <c r="G950" i="4" s="1"/>
  <c r="H950" i="4" s="1"/>
  <c r="F950" i="4"/>
  <c r="E950" i="4"/>
  <c r="A950" i="4"/>
  <c r="G949" i="4" a="1"/>
  <c r="G949" i="4" s="1"/>
  <c r="H949" i="4" s="1"/>
  <c r="F949" i="4"/>
  <c r="E949" i="4"/>
  <c r="A949" i="4"/>
  <c r="G948" i="4" a="1"/>
  <c r="G948" i="4" s="1"/>
  <c r="H948" i="4" s="1"/>
  <c r="F948" i="4"/>
  <c r="E948" i="4"/>
  <c r="A948" i="4"/>
  <c r="G947" i="4" a="1"/>
  <c r="G947" i="4" s="1"/>
  <c r="H947" i="4" s="1"/>
  <c r="F947" i="4"/>
  <c r="E947" i="4"/>
  <c r="A947" i="4"/>
  <c r="G946" i="4" a="1"/>
  <c r="G946" i="4" s="1"/>
  <c r="H946" i="4" s="1"/>
  <c r="F946" i="4"/>
  <c r="E946" i="4"/>
  <c r="A946" i="4"/>
  <c r="G945" i="4" a="1"/>
  <c r="G945" i="4" s="1"/>
  <c r="H945" i="4" s="1"/>
  <c r="F945" i="4"/>
  <c r="E945" i="4"/>
  <c r="A945" i="4"/>
  <c r="G944" i="4" a="1"/>
  <c r="G944" i="4" s="1"/>
  <c r="H944" i="4" s="1"/>
  <c r="F944" i="4"/>
  <c r="E944" i="4"/>
  <c r="A944" i="4"/>
  <c r="G943" i="4" a="1"/>
  <c r="G943" i="4" s="1"/>
  <c r="H943" i="4" s="1"/>
  <c r="F943" i="4"/>
  <c r="E943" i="4"/>
  <c r="A943" i="4"/>
  <c r="G942" i="4" a="1"/>
  <c r="G942" i="4" s="1"/>
  <c r="H942" i="4" s="1"/>
  <c r="F942" i="4"/>
  <c r="E942" i="4"/>
  <c r="A942" i="4"/>
  <c r="G941" i="4" a="1"/>
  <c r="G941" i="4" s="1"/>
  <c r="H941" i="4" s="1"/>
  <c r="F941" i="4"/>
  <c r="E941" i="4"/>
  <c r="A941" i="4"/>
  <c r="G940" i="4" a="1"/>
  <c r="G940" i="4" s="1"/>
  <c r="H940" i="4" s="1"/>
  <c r="F940" i="4"/>
  <c r="E940" i="4"/>
  <c r="A940" i="4"/>
  <c r="G939" i="4" a="1"/>
  <c r="G939" i="4" s="1"/>
  <c r="H939" i="4" s="1"/>
  <c r="F939" i="4"/>
  <c r="E939" i="4"/>
  <c r="A939" i="4"/>
  <c r="G938" i="4" a="1"/>
  <c r="G938" i="4" s="1"/>
  <c r="H938" i="4" s="1"/>
  <c r="F938" i="4"/>
  <c r="E938" i="4"/>
  <c r="A938" i="4"/>
  <c r="G937" i="4" a="1"/>
  <c r="G937" i="4" s="1"/>
  <c r="H937" i="4" s="1"/>
  <c r="F937" i="4"/>
  <c r="E937" i="4"/>
  <c r="A937" i="4"/>
  <c r="G936" i="4" a="1"/>
  <c r="G936" i="4" s="1"/>
  <c r="H936" i="4" s="1"/>
  <c r="F936" i="4"/>
  <c r="E936" i="4"/>
  <c r="A936" i="4"/>
  <c r="G935" i="4" a="1"/>
  <c r="G935" i="4" s="1"/>
  <c r="H935" i="4" s="1"/>
  <c r="F935" i="4"/>
  <c r="E935" i="4"/>
  <c r="A935" i="4"/>
  <c r="G934" i="4" a="1"/>
  <c r="G934" i="4" s="1"/>
  <c r="H934" i="4" s="1"/>
  <c r="F934" i="4"/>
  <c r="E934" i="4"/>
  <c r="A934" i="4"/>
  <c r="G933" i="4" a="1"/>
  <c r="G933" i="4" s="1"/>
  <c r="H933" i="4" s="1"/>
  <c r="F933" i="4"/>
  <c r="E933" i="4"/>
  <c r="A933" i="4"/>
  <c r="G932" i="4" a="1"/>
  <c r="G932" i="4" s="1"/>
  <c r="H932" i="4" s="1"/>
  <c r="F932" i="4"/>
  <c r="E932" i="4"/>
  <c r="A932" i="4"/>
  <c r="G931" i="4" a="1"/>
  <c r="G931" i="4" s="1"/>
  <c r="H931" i="4" s="1"/>
  <c r="F931" i="4"/>
  <c r="E931" i="4"/>
  <c r="A931" i="4"/>
  <c r="G930" i="4" a="1"/>
  <c r="G930" i="4" s="1"/>
  <c r="H930" i="4" s="1"/>
  <c r="F930" i="4"/>
  <c r="E930" i="4"/>
  <c r="A930" i="4"/>
  <c r="G929" i="4" a="1"/>
  <c r="G929" i="4" s="1"/>
  <c r="H929" i="4" s="1"/>
  <c r="F929" i="4"/>
  <c r="E929" i="4"/>
  <c r="A929" i="4"/>
  <c r="G928" i="4" a="1"/>
  <c r="G928" i="4" s="1"/>
  <c r="H928" i="4" s="1"/>
  <c r="F928" i="4"/>
  <c r="E928" i="4"/>
  <c r="A928" i="4"/>
  <c r="G927" i="4" a="1"/>
  <c r="G927" i="4" s="1"/>
  <c r="H927" i="4" s="1"/>
  <c r="F927" i="4"/>
  <c r="E927" i="4"/>
  <c r="A927" i="4"/>
  <c r="G926" i="4" a="1"/>
  <c r="G926" i="4" s="1"/>
  <c r="H926" i="4" s="1"/>
  <c r="F926" i="4"/>
  <c r="E926" i="4"/>
  <c r="A926" i="4"/>
  <c r="G925" i="4" a="1"/>
  <c r="G925" i="4" s="1"/>
  <c r="H925" i="4" s="1"/>
  <c r="F925" i="4"/>
  <c r="E925" i="4"/>
  <c r="A925" i="4"/>
  <c r="G924" i="4" a="1"/>
  <c r="G924" i="4" s="1"/>
  <c r="H924" i="4" s="1"/>
  <c r="F924" i="4"/>
  <c r="E924" i="4"/>
  <c r="A924" i="4"/>
  <c r="G923" i="4" a="1"/>
  <c r="G923" i="4" s="1"/>
  <c r="H923" i="4" s="1"/>
  <c r="F923" i="4"/>
  <c r="E923" i="4"/>
  <c r="A923" i="4"/>
  <c r="G922" i="4" a="1"/>
  <c r="G922" i="4" s="1"/>
  <c r="H922" i="4" s="1"/>
  <c r="F922" i="4"/>
  <c r="E922" i="4"/>
  <c r="A922" i="4"/>
  <c r="G921" i="4" a="1"/>
  <c r="G921" i="4" s="1"/>
  <c r="H921" i="4" s="1"/>
  <c r="F921" i="4"/>
  <c r="E921" i="4"/>
  <c r="A921" i="4"/>
  <c r="G920" i="4" a="1"/>
  <c r="G920" i="4" s="1"/>
  <c r="H920" i="4" s="1"/>
  <c r="F920" i="4"/>
  <c r="E920" i="4"/>
  <c r="A920" i="4"/>
  <c r="G919" i="4" a="1"/>
  <c r="G919" i="4" s="1"/>
  <c r="H919" i="4" s="1"/>
  <c r="F919" i="4"/>
  <c r="E919" i="4"/>
  <c r="A919" i="4"/>
  <c r="G918" i="4" a="1"/>
  <c r="G918" i="4" s="1"/>
  <c r="H918" i="4" s="1"/>
  <c r="F918" i="4"/>
  <c r="E918" i="4"/>
  <c r="A918" i="4"/>
  <c r="G917" i="4" a="1"/>
  <c r="G917" i="4" s="1"/>
  <c r="H917" i="4" s="1"/>
  <c r="F917" i="4"/>
  <c r="E917" i="4"/>
  <c r="A917" i="4"/>
  <c r="G916" i="4" a="1"/>
  <c r="G916" i="4" s="1"/>
  <c r="H916" i="4" s="1"/>
  <c r="F916" i="4"/>
  <c r="E916" i="4"/>
  <c r="A916" i="4"/>
  <c r="G915" i="4" a="1"/>
  <c r="G915" i="4" s="1"/>
  <c r="H915" i="4" s="1"/>
  <c r="F915" i="4"/>
  <c r="E915" i="4"/>
  <c r="A915" i="4"/>
  <c r="G914" i="4" a="1"/>
  <c r="G914" i="4" s="1"/>
  <c r="H914" i="4" s="1"/>
  <c r="F914" i="4"/>
  <c r="E914" i="4"/>
  <c r="A914" i="4"/>
  <c r="G913" i="4" a="1"/>
  <c r="G913" i="4" s="1"/>
  <c r="H913" i="4" s="1"/>
  <c r="F913" i="4"/>
  <c r="E913" i="4"/>
  <c r="A913" i="4"/>
  <c r="G912" i="4" a="1"/>
  <c r="G912" i="4" s="1"/>
  <c r="H912" i="4" s="1"/>
  <c r="F912" i="4"/>
  <c r="E912" i="4"/>
  <c r="A912" i="4"/>
  <c r="G911" i="4" a="1"/>
  <c r="G911" i="4" s="1"/>
  <c r="H911" i="4" s="1"/>
  <c r="F911" i="4"/>
  <c r="E911" i="4"/>
  <c r="A911" i="4"/>
  <c r="G910" i="4" a="1"/>
  <c r="G910" i="4" s="1"/>
  <c r="H910" i="4" s="1"/>
  <c r="F910" i="4"/>
  <c r="E910" i="4"/>
  <c r="A910" i="4"/>
  <c r="G909" i="4" a="1"/>
  <c r="G909" i="4" s="1"/>
  <c r="H909" i="4" s="1"/>
  <c r="F909" i="4"/>
  <c r="E909" i="4"/>
  <c r="A909" i="4"/>
  <c r="G908" i="4" a="1"/>
  <c r="G908" i="4" s="1"/>
  <c r="H908" i="4" s="1"/>
  <c r="F908" i="4"/>
  <c r="E908" i="4"/>
  <c r="A908" i="4"/>
  <c r="G907" i="4" a="1"/>
  <c r="G907" i="4" s="1"/>
  <c r="H907" i="4" s="1"/>
  <c r="F907" i="4"/>
  <c r="E907" i="4"/>
  <c r="A907" i="4"/>
  <c r="G906" i="4" a="1"/>
  <c r="G906" i="4" s="1"/>
  <c r="H906" i="4" s="1"/>
  <c r="F906" i="4"/>
  <c r="E906" i="4"/>
  <c r="A906" i="4"/>
  <c r="G905" i="4" a="1"/>
  <c r="G905" i="4" s="1"/>
  <c r="H905" i="4" s="1"/>
  <c r="F905" i="4"/>
  <c r="E905" i="4"/>
  <c r="A905" i="4"/>
  <c r="G904" i="4" a="1"/>
  <c r="G904" i="4" s="1"/>
  <c r="H904" i="4" s="1"/>
  <c r="F904" i="4"/>
  <c r="E904" i="4"/>
  <c r="A904" i="4"/>
  <c r="G903" i="4" a="1"/>
  <c r="G903" i="4" s="1"/>
  <c r="H903" i="4" s="1"/>
  <c r="F903" i="4"/>
  <c r="E903" i="4"/>
  <c r="A903" i="4"/>
  <c r="G902" i="4" a="1"/>
  <c r="G902" i="4" s="1"/>
  <c r="H902" i="4" s="1"/>
  <c r="F902" i="4"/>
  <c r="E902" i="4"/>
  <c r="A902" i="4"/>
  <c r="G901" i="4" a="1"/>
  <c r="G901" i="4" s="1"/>
  <c r="H901" i="4" s="1"/>
  <c r="F901" i="4"/>
  <c r="E901" i="4"/>
  <c r="A901" i="4"/>
  <c r="G900" i="4" a="1"/>
  <c r="G900" i="4" s="1"/>
  <c r="H900" i="4" s="1"/>
  <c r="F900" i="4"/>
  <c r="E900" i="4"/>
  <c r="A900" i="4"/>
  <c r="G899" i="4" a="1"/>
  <c r="G899" i="4" s="1"/>
  <c r="H899" i="4" s="1"/>
  <c r="F899" i="4"/>
  <c r="E899" i="4"/>
  <c r="A899" i="4"/>
  <c r="G898" i="4" a="1"/>
  <c r="G898" i="4" s="1"/>
  <c r="H898" i="4" s="1"/>
  <c r="F898" i="4"/>
  <c r="E898" i="4"/>
  <c r="A898" i="4"/>
  <c r="G897" i="4" a="1"/>
  <c r="G897" i="4" s="1"/>
  <c r="H897" i="4" s="1"/>
  <c r="F897" i="4"/>
  <c r="E897" i="4"/>
  <c r="A897" i="4"/>
  <c r="G896" i="4" a="1"/>
  <c r="G896" i="4" s="1"/>
  <c r="H896" i="4" s="1"/>
  <c r="F896" i="4"/>
  <c r="E896" i="4"/>
  <c r="A896" i="4"/>
  <c r="G895" i="4" a="1"/>
  <c r="G895" i="4" s="1"/>
  <c r="H895" i="4" s="1"/>
  <c r="F895" i="4"/>
  <c r="E895" i="4"/>
  <c r="A895" i="4"/>
  <c r="G894" i="4" a="1"/>
  <c r="G894" i="4" s="1"/>
  <c r="H894" i="4" s="1"/>
  <c r="F894" i="4"/>
  <c r="E894" i="4"/>
  <c r="A894" i="4"/>
  <c r="G893" i="4" a="1"/>
  <c r="G893" i="4" s="1"/>
  <c r="H893" i="4" s="1"/>
  <c r="F893" i="4"/>
  <c r="E893" i="4"/>
  <c r="A893" i="4"/>
  <c r="G892" i="4" a="1"/>
  <c r="G892" i="4" s="1"/>
  <c r="H892" i="4" s="1"/>
  <c r="F892" i="4"/>
  <c r="E892" i="4"/>
  <c r="A892" i="4"/>
  <c r="G891" i="4" a="1"/>
  <c r="G891" i="4" s="1"/>
  <c r="H891" i="4" s="1"/>
  <c r="F891" i="4"/>
  <c r="E891" i="4"/>
  <c r="A891" i="4"/>
  <c r="G890" i="4" a="1"/>
  <c r="G890" i="4" s="1"/>
  <c r="H890" i="4" s="1"/>
  <c r="F890" i="4"/>
  <c r="E890" i="4"/>
  <c r="A890" i="4"/>
  <c r="G889" i="4" a="1"/>
  <c r="G889" i="4" s="1"/>
  <c r="H889" i="4" s="1"/>
  <c r="F889" i="4"/>
  <c r="E889" i="4"/>
  <c r="A889" i="4"/>
  <c r="G888" i="4" a="1"/>
  <c r="G888" i="4" s="1"/>
  <c r="H888" i="4" s="1"/>
  <c r="F888" i="4"/>
  <c r="E888" i="4"/>
  <c r="A888" i="4"/>
  <c r="G887" i="4" a="1"/>
  <c r="G887" i="4" s="1"/>
  <c r="H887" i="4" s="1"/>
  <c r="F887" i="4"/>
  <c r="E887" i="4"/>
  <c r="A887" i="4"/>
  <c r="G886" i="4" a="1"/>
  <c r="G886" i="4" s="1"/>
  <c r="H886" i="4" s="1"/>
  <c r="F886" i="4"/>
  <c r="E886" i="4"/>
  <c r="A886" i="4"/>
  <c r="G885" i="4" a="1"/>
  <c r="G885" i="4" s="1"/>
  <c r="H885" i="4" s="1"/>
  <c r="F885" i="4"/>
  <c r="E885" i="4"/>
  <c r="A885" i="4"/>
  <c r="G884" i="4" a="1"/>
  <c r="G884" i="4" s="1"/>
  <c r="H884" i="4" s="1"/>
  <c r="F884" i="4"/>
  <c r="E884" i="4"/>
  <c r="A884" i="4"/>
  <c r="G883" i="4" a="1"/>
  <c r="G883" i="4" s="1"/>
  <c r="H883" i="4" s="1"/>
  <c r="F883" i="4"/>
  <c r="E883" i="4"/>
  <c r="A883" i="4"/>
  <c r="G882" i="4" a="1"/>
  <c r="G882" i="4" s="1"/>
  <c r="H882" i="4" s="1"/>
  <c r="F882" i="4"/>
  <c r="E882" i="4"/>
  <c r="A882" i="4"/>
  <c r="G881" i="4" a="1"/>
  <c r="G881" i="4" s="1"/>
  <c r="H881" i="4" s="1"/>
  <c r="F881" i="4"/>
  <c r="E881" i="4"/>
  <c r="A881" i="4"/>
  <c r="G880" i="4" a="1"/>
  <c r="G880" i="4" s="1"/>
  <c r="H880" i="4" s="1"/>
  <c r="F880" i="4"/>
  <c r="E880" i="4"/>
  <c r="A880" i="4"/>
  <c r="G879" i="4" a="1"/>
  <c r="G879" i="4" s="1"/>
  <c r="H879" i="4" s="1"/>
  <c r="F879" i="4"/>
  <c r="E879" i="4"/>
  <c r="A879" i="4"/>
  <c r="G878" i="4" a="1"/>
  <c r="G878" i="4" s="1"/>
  <c r="H878" i="4" s="1"/>
  <c r="F878" i="4"/>
  <c r="E878" i="4"/>
  <c r="A878" i="4"/>
  <c r="G877" i="4" a="1"/>
  <c r="G877" i="4" s="1"/>
  <c r="H877" i="4" s="1"/>
  <c r="F877" i="4"/>
  <c r="E877" i="4"/>
  <c r="A877" i="4"/>
  <c r="G876" i="4" a="1"/>
  <c r="G876" i="4" s="1"/>
  <c r="H876" i="4" s="1"/>
  <c r="F876" i="4"/>
  <c r="E876" i="4"/>
  <c r="A876" i="4"/>
  <c r="G875" i="4" a="1"/>
  <c r="G875" i="4" s="1"/>
  <c r="H875" i="4" s="1"/>
  <c r="F875" i="4"/>
  <c r="E875" i="4"/>
  <c r="A875" i="4"/>
  <c r="G874" i="4" a="1"/>
  <c r="G874" i="4" s="1"/>
  <c r="H874" i="4" s="1"/>
  <c r="F874" i="4"/>
  <c r="E874" i="4"/>
  <c r="A874" i="4"/>
  <c r="G873" i="4" a="1"/>
  <c r="G873" i="4" s="1"/>
  <c r="H873" i="4" s="1"/>
  <c r="F873" i="4"/>
  <c r="E873" i="4"/>
  <c r="A873" i="4"/>
  <c r="G872" i="4" a="1"/>
  <c r="G872" i="4" s="1"/>
  <c r="H872" i="4" s="1"/>
  <c r="F872" i="4"/>
  <c r="E872" i="4"/>
  <c r="A872" i="4"/>
  <c r="G871" i="4" a="1"/>
  <c r="G871" i="4" s="1"/>
  <c r="H871" i="4" s="1"/>
  <c r="F871" i="4"/>
  <c r="E871" i="4"/>
  <c r="A871" i="4"/>
  <c r="G870" i="4" a="1"/>
  <c r="G870" i="4" s="1"/>
  <c r="H870" i="4" s="1"/>
  <c r="F870" i="4"/>
  <c r="E870" i="4"/>
  <c r="A870" i="4"/>
  <c r="G869" i="4" a="1"/>
  <c r="G869" i="4" s="1"/>
  <c r="H869" i="4" s="1"/>
  <c r="F869" i="4"/>
  <c r="E869" i="4"/>
  <c r="A869" i="4"/>
  <c r="G868" i="4" a="1"/>
  <c r="G868" i="4" s="1"/>
  <c r="H868" i="4" s="1"/>
  <c r="F868" i="4"/>
  <c r="E868" i="4"/>
  <c r="A868" i="4"/>
  <c r="G867" i="4" a="1"/>
  <c r="G867" i="4" s="1"/>
  <c r="H867" i="4" s="1"/>
  <c r="F867" i="4"/>
  <c r="E867" i="4"/>
  <c r="A867" i="4"/>
  <c r="G866" i="4" a="1"/>
  <c r="G866" i="4" s="1"/>
  <c r="H866" i="4" s="1"/>
  <c r="F866" i="4"/>
  <c r="E866" i="4"/>
  <c r="A866" i="4"/>
  <c r="G865" i="4" a="1"/>
  <c r="G865" i="4" s="1"/>
  <c r="H865" i="4" s="1"/>
  <c r="F865" i="4"/>
  <c r="E865" i="4"/>
  <c r="A865" i="4"/>
  <c r="G864" i="4" a="1"/>
  <c r="G864" i="4" s="1"/>
  <c r="H864" i="4" s="1"/>
  <c r="F864" i="4"/>
  <c r="E864" i="4"/>
  <c r="A864" i="4"/>
  <c r="G863" i="4" a="1"/>
  <c r="G863" i="4" s="1"/>
  <c r="H863" i="4" s="1"/>
  <c r="F863" i="4"/>
  <c r="E863" i="4"/>
  <c r="A863" i="4"/>
  <c r="G862" i="4" a="1"/>
  <c r="G862" i="4" s="1"/>
  <c r="H862" i="4" s="1"/>
  <c r="F862" i="4"/>
  <c r="E862" i="4"/>
  <c r="A862" i="4"/>
  <c r="G861" i="4" a="1"/>
  <c r="G861" i="4" s="1"/>
  <c r="H861" i="4" s="1"/>
  <c r="F861" i="4"/>
  <c r="E861" i="4"/>
  <c r="A861" i="4"/>
  <c r="G860" i="4" a="1"/>
  <c r="G860" i="4" s="1"/>
  <c r="H860" i="4" s="1"/>
  <c r="F860" i="4"/>
  <c r="E860" i="4"/>
  <c r="A860" i="4"/>
  <c r="G859" i="4" a="1"/>
  <c r="G859" i="4" s="1"/>
  <c r="H859" i="4" s="1"/>
  <c r="F859" i="4"/>
  <c r="E859" i="4"/>
  <c r="A859" i="4"/>
  <c r="G858" i="4" a="1"/>
  <c r="G858" i="4" s="1"/>
  <c r="H858" i="4" s="1"/>
  <c r="F858" i="4"/>
  <c r="E858" i="4"/>
  <c r="A858" i="4"/>
  <c r="G857" i="4" a="1"/>
  <c r="G857" i="4" s="1"/>
  <c r="H857" i="4" s="1"/>
  <c r="F857" i="4"/>
  <c r="E857" i="4"/>
  <c r="A857" i="4"/>
  <c r="G856" i="4" a="1"/>
  <c r="G856" i="4" s="1"/>
  <c r="H856" i="4" s="1"/>
  <c r="F856" i="4"/>
  <c r="E856" i="4"/>
  <c r="A856" i="4"/>
  <c r="G855" i="4" a="1"/>
  <c r="G855" i="4" s="1"/>
  <c r="H855" i="4" s="1"/>
  <c r="F855" i="4"/>
  <c r="E855" i="4"/>
  <c r="A855" i="4"/>
  <c r="G854" i="4" a="1"/>
  <c r="G854" i="4" s="1"/>
  <c r="H854" i="4" s="1"/>
  <c r="F854" i="4"/>
  <c r="E854" i="4"/>
  <c r="A854" i="4"/>
  <c r="G853" i="4" a="1"/>
  <c r="G853" i="4" s="1"/>
  <c r="H853" i="4" s="1"/>
  <c r="F853" i="4"/>
  <c r="E853" i="4"/>
  <c r="A853" i="4"/>
  <c r="G852" i="4" a="1"/>
  <c r="G852" i="4" s="1"/>
  <c r="H852" i="4" s="1"/>
  <c r="F852" i="4"/>
  <c r="E852" i="4"/>
  <c r="A852" i="4"/>
  <c r="G851" i="4" a="1"/>
  <c r="G851" i="4" s="1"/>
  <c r="H851" i="4" s="1"/>
  <c r="F851" i="4"/>
  <c r="E851" i="4"/>
  <c r="A851" i="4"/>
  <c r="G850" i="4" a="1"/>
  <c r="G850" i="4" s="1"/>
  <c r="H850" i="4" s="1"/>
  <c r="F850" i="4"/>
  <c r="E850" i="4"/>
  <c r="A850" i="4"/>
  <c r="G849" i="4" a="1"/>
  <c r="G849" i="4" s="1"/>
  <c r="H849" i="4" s="1"/>
  <c r="F849" i="4"/>
  <c r="E849" i="4"/>
  <c r="A849" i="4"/>
  <c r="G848" i="4" a="1"/>
  <c r="G848" i="4" s="1"/>
  <c r="H848" i="4" s="1"/>
  <c r="F848" i="4"/>
  <c r="E848" i="4"/>
  <c r="A848" i="4"/>
  <c r="G847" i="4" a="1"/>
  <c r="G847" i="4" s="1"/>
  <c r="H847" i="4" s="1"/>
  <c r="F847" i="4"/>
  <c r="E847" i="4"/>
  <c r="A847" i="4"/>
  <c r="G846" i="4" a="1"/>
  <c r="G846" i="4" s="1"/>
  <c r="H846" i="4" s="1"/>
  <c r="F846" i="4"/>
  <c r="E846" i="4"/>
  <c r="A846" i="4"/>
  <c r="G845" i="4" a="1"/>
  <c r="G845" i="4" s="1"/>
  <c r="H845" i="4" s="1"/>
  <c r="F845" i="4"/>
  <c r="E845" i="4"/>
  <c r="A845" i="4"/>
  <c r="G844" i="4" a="1"/>
  <c r="G844" i="4" s="1"/>
  <c r="H844" i="4" s="1"/>
  <c r="F844" i="4"/>
  <c r="E844" i="4"/>
  <c r="A844" i="4"/>
  <c r="G843" i="4" a="1"/>
  <c r="G843" i="4" s="1"/>
  <c r="H843" i="4" s="1"/>
  <c r="F843" i="4"/>
  <c r="E843" i="4"/>
  <c r="A843" i="4"/>
  <c r="G842" i="4" a="1"/>
  <c r="G842" i="4" s="1"/>
  <c r="H842" i="4" s="1"/>
  <c r="F842" i="4"/>
  <c r="E842" i="4"/>
  <c r="A842" i="4"/>
  <c r="G841" i="4" a="1"/>
  <c r="G841" i="4" s="1"/>
  <c r="H841" i="4" s="1"/>
  <c r="F841" i="4"/>
  <c r="E841" i="4"/>
  <c r="A841" i="4"/>
  <c r="G840" i="4" a="1"/>
  <c r="G840" i="4" s="1"/>
  <c r="H840" i="4" s="1"/>
  <c r="F840" i="4"/>
  <c r="E840" i="4"/>
  <c r="A840" i="4"/>
  <c r="G839" i="4" a="1"/>
  <c r="G839" i="4" s="1"/>
  <c r="H839" i="4" s="1"/>
  <c r="F839" i="4"/>
  <c r="E839" i="4"/>
  <c r="A839" i="4"/>
  <c r="G838" i="4" a="1"/>
  <c r="G838" i="4" s="1"/>
  <c r="H838" i="4" s="1"/>
  <c r="F838" i="4"/>
  <c r="E838" i="4"/>
  <c r="A838" i="4"/>
  <c r="G837" i="4" a="1"/>
  <c r="G837" i="4" s="1"/>
  <c r="H837" i="4" s="1"/>
  <c r="F837" i="4"/>
  <c r="E837" i="4"/>
  <c r="A837" i="4"/>
  <c r="G836" i="4" a="1"/>
  <c r="G836" i="4" s="1"/>
  <c r="H836" i="4" s="1"/>
  <c r="F836" i="4"/>
  <c r="E836" i="4"/>
  <c r="A836" i="4"/>
  <c r="G835" i="4" a="1"/>
  <c r="G835" i="4" s="1"/>
  <c r="H835" i="4" s="1"/>
  <c r="F835" i="4"/>
  <c r="E835" i="4"/>
  <c r="A835" i="4"/>
  <c r="G834" i="4" a="1"/>
  <c r="G834" i="4" s="1"/>
  <c r="H834" i="4" s="1"/>
  <c r="F834" i="4"/>
  <c r="E834" i="4"/>
  <c r="A834" i="4"/>
  <c r="G833" i="4" a="1"/>
  <c r="G833" i="4" s="1"/>
  <c r="H833" i="4" s="1"/>
  <c r="F833" i="4"/>
  <c r="E833" i="4"/>
  <c r="A833" i="4"/>
  <c r="G832" i="4" a="1"/>
  <c r="G832" i="4" s="1"/>
  <c r="H832" i="4" s="1"/>
  <c r="F832" i="4"/>
  <c r="E832" i="4"/>
  <c r="A832" i="4"/>
  <c r="G831" i="4" a="1"/>
  <c r="G831" i="4" s="1"/>
  <c r="H831" i="4" s="1"/>
  <c r="F831" i="4"/>
  <c r="E831" i="4"/>
  <c r="A831" i="4"/>
  <c r="G830" i="4" a="1"/>
  <c r="G830" i="4" s="1"/>
  <c r="H830" i="4" s="1"/>
  <c r="F830" i="4"/>
  <c r="E830" i="4"/>
  <c r="A830" i="4"/>
  <c r="G829" i="4" a="1"/>
  <c r="G829" i="4" s="1"/>
  <c r="H829" i="4" s="1"/>
  <c r="F829" i="4"/>
  <c r="E829" i="4"/>
  <c r="A829" i="4"/>
  <c r="G828" i="4" a="1"/>
  <c r="G828" i="4" s="1"/>
  <c r="H828" i="4" s="1"/>
  <c r="F828" i="4"/>
  <c r="E828" i="4"/>
  <c r="A828" i="4"/>
  <c r="G827" i="4" a="1"/>
  <c r="G827" i="4" s="1"/>
  <c r="H827" i="4" s="1"/>
  <c r="F827" i="4"/>
  <c r="E827" i="4"/>
  <c r="A827" i="4"/>
  <c r="G826" i="4" a="1"/>
  <c r="G826" i="4" s="1"/>
  <c r="H826" i="4" s="1"/>
  <c r="F826" i="4"/>
  <c r="E826" i="4"/>
  <c r="A826" i="4"/>
  <c r="G825" i="4" a="1"/>
  <c r="G825" i="4" s="1"/>
  <c r="H825" i="4" s="1"/>
  <c r="F825" i="4"/>
  <c r="E825" i="4"/>
  <c r="A825" i="4"/>
  <c r="G824" i="4" a="1"/>
  <c r="G824" i="4" s="1"/>
  <c r="H824" i="4" s="1"/>
  <c r="F824" i="4"/>
  <c r="E824" i="4"/>
  <c r="A824" i="4"/>
  <c r="G823" i="4" a="1"/>
  <c r="G823" i="4" s="1"/>
  <c r="H823" i="4" s="1"/>
  <c r="F823" i="4"/>
  <c r="E823" i="4"/>
  <c r="A823" i="4"/>
  <c r="G822" i="4" a="1"/>
  <c r="G822" i="4" s="1"/>
  <c r="H822" i="4" s="1"/>
  <c r="F822" i="4"/>
  <c r="E822" i="4"/>
  <c r="A822" i="4"/>
  <c r="G821" i="4" a="1"/>
  <c r="G821" i="4" s="1"/>
  <c r="H821" i="4" s="1"/>
  <c r="F821" i="4"/>
  <c r="E821" i="4"/>
  <c r="A821" i="4"/>
  <c r="G820" i="4" a="1"/>
  <c r="G820" i="4" s="1"/>
  <c r="H820" i="4" s="1"/>
  <c r="F820" i="4"/>
  <c r="E820" i="4"/>
  <c r="A820" i="4"/>
  <c r="G819" i="4" a="1"/>
  <c r="G819" i="4" s="1"/>
  <c r="H819" i="4" s="1"/>
  <c r="F819" i="4"/>
  <c r="E819" i="4"/>
  <c r="A819" i="4"/>
  <c r="G818" i="4" a="1"/>
  <c r="G818" i="4" s="1"/>
  <c r="H818" i="4" s="1"/>
  <c r="F818" i="4"/>
  <c r="E818" i="4"/>
  <c r="A818" i="4"/>
  <c r="G817" i="4" a="1"/>
  <c r="G817" i="4" s="1"/>
  <c r="H817" i="4" s="1"/>
  <c r="F817" i="4"/>
  <c r="E817" i="4"/>
  <c r="A817" i="4"/>
  <c r="G816" i="4" a="1"/>
  <c r="G816" i="4" s="1"/>
  <c r="H816" i="4" s="1"/>
  <c r="F816" i="4"/>
  <c r="E816" i="4"/>
  <c r="A816" i="4"/>
  <c r="G815" i="4" a="1"/>
  <c r="G815" i="4" s="1"/>
  <c r="H815" i="4" s="1"/>
  <c r="F815" i="4"/>
  <c r="E815" i="4"/>
  <c r="A815" i="4"/>
  <c r="G814" i="4" a="1"/>
  <c r="G814" i="4" s="1"/>
  <c r="H814" i="4" s="1"/>
  <c r="F814" i="4"/>
  <c r="E814" i="4"/>
  <c r="A814" i="4"/>
  <c r="G813" i="4" a="1"/>
  <c r="G813" i="4" s="1"/>
  <c r="H813" i="4" s="1"/>
  <c r="F813" i="4"/>
  <c r="E813" i="4"/>
  <c r="A813" i="4"/>
  <c r="G812" i="4" a="1"/>
  <c r="G812" i="4" s="1"/>
  <c r="H812" i="4" s="1"/>
  <c r="F812" i="4"/>
  <c r="E812" i="4"/>
  <c r="A812" i="4"/>
  <c r="G811" i="4" a="1"/>
  <c r="G811" i="4" s="1"/>
  <c r="H811" i="4" s="1"/>
  <c r="F811" i="4"/>
  <c r="E811" i="4"/>
  <c r="A811" i="4"/>
  <c r="G810" i="4" a="1"/>
  <c r="G810" i="4" s="1"/>
  <c r="H810" i="4" s="1"/>
  <c r="F810" i="4"/>
  <c r="E810" i="4"/>
  <c r="A810" i="4"/>
  <c r="G809" i="4" a="1"/>
  <c r="G809" i="4" s="1"/>
  <c r="H809" i="4" s="1"/>
  <c r="F809" i="4"/>
  <c r="E809" i="4"/>
  <c r="A809" i="4"/>
  <c r="G808" i="4" a="1"/>
  <c r="G808" i="4" s="1"/>
  <c r="H808" i="4" s="1"/>
  <c r="F808" i="4"/>
  <c r="E808" i="4"/>
  <c r="A808" i="4"/>
  <c r="G807" i="4" a="1"/>
  <c r="G807" i="4" s="1"/>
  <c r="H807" i="4" s="1"/>
  <c r="F807" i="4"/>
  <c r="E807" i="4"/>
  <c r="A807" i="4"/>
  <c r="G806" i="4" a="1"/>
  <c r="G806" i="4" s="1"/>
  <c r="H806" i="4" s="1"/>
  <c r="F806" i="4"/>
  <c r="E806" i="4"/>
  <c r="A806" i="4"/>
  <c r="G805" i="4" a="1"/>
  <c r="G805" i="4" s="1"/>
  <c r="H805" i="4" s="1"/>
  <c r="F805" i="4"/>
  <c r="E805" i="4"/>
  <c r="A805" i="4"/>
  <c r="G804" i="4" a="1"/>
  <c r="G804" i="4" s="1"/>
  <c r="H804" i="4" s="1"/>
  <c r="F804" i="4"/>
  <c r="E804" i="4"/>
  <c r="A804" i="4"/>
  <c r="G803" i="4" a="1"/>
  <c r="G803" i="4" s="1"/>
  <c r="H803" i="4" s="1"/>
  <c r="F803" i="4"/>
  <c r="E803" i="4"/>
  <c r="A803" i="4"/>
  <c r="G802" i="4" a="1"/>
  <c r="G802" i="4" s="1"/>
  <c r="H802" i="4" s="1"/>
  <c r="F802" i="4"/>
  <c r="E802" i="4"/>
  <c r="A802" i="4"/>
  <c r="G801" i="4" a="1"/>
  <c r="G801" i="4" s="1"/>
  <c r="H801" i="4" s="1"/>
  <c r="F801" i="4"/>
  <c r="E801" i="4"/>
  <c r="A801" i="4"/>
  <c r="G800" i="4" a="1"/>
  <c r="G800" i="4" s="1"/>
  <c r="H800" i="4" s="1"/>
  <c r="F800" i="4"/>
  <c r="E800" i="4"/>
  <c r="A800" i="4"/>
  <c r="G799" i="4" a="1"/>
  <c r="G799" i="4" s="1"/>
  <c r="H799" i="4" s="1"/>
  <c r="F799" i="4"/>
  <c r="E799" i="4"/>
  <c r="A799" i="4"/>
  <c r="G798" i="4" a="1"/>
  <c r="G798" i="4" s="1"/>
  <c r="H798" i="4" s="1"/>
  <c r="F798" i="4"/>
  <c r="E798" i="4"/>
  <c r="A798" i="4"/>
  <c r="G797" i="4" a="1"/>
  <c r="G797" i="4" s="1"/>
  <c r="H797" i="4" s="1"/>
  <c r="F797" i="4"/>
  <c r="E797" i="4"/>
  <c r="A797" i="4"/>
  <c r="G796" i="4" a="1"/>
  <c r="G796" i="4" s="1"/>
  <c r="H796" i="4" s="1"/>
  <c r="F796" i="4"/>
  <c r="E796" i="4"/>
  <c r="A796" i="4"/>
  <c r="G795" i="4" a="1"/>
  <c r="G795" i="4" s="1"/>
  <c r="H795" i="4" s="1"/>
  <c r="F795" i="4"/>
  <c r="E795" i="4"/>
  <c r="A795" i="4"/>
  <c r="G794" i="4" a="1"/>
  <c r="G794" i="4" s="1"/>
  <c r="H794" i="4" s="1"/>
  <c r="F794" i="4"/>
  <c r="E794" i="4"/>
  <c r="A794" i="4"/>
  <c r="G793" i="4" a="1"/>
  <c r="G793" i="4" s="1"/>
  <c r="H793" i="4" s="1"/>
  <c r="F793" i="4"/>
  <c r="E793" i="4"/>
  <c r="A793" i="4"/>
  <c r="G792" i="4" a="1"/>
  <c r="G792" i="4" s="1"/>
  <c r="H792" i="4" s="1"/>
  <c r="F792" i="4"/>
  <c r="E792" i="4"/>
  <c r="A792" i="4"/>
  <c r="G791" i="4" a="1"/>
  <c r="G791" i="4" s="1"/>
  <c r="H791" i="4" s="1"/>
  <c r="F791" i="4"/>
  <c r="E791" i="4"/>
  <c r="A791" i="4"/>
  <c r="G790" i="4" a="1"/>
  <c r="G790" i="4" s="1"/>
  <c r="H790" i="4" s="1"/>
  <c r="F790" i="4"/>
  <c r="E790" i="4"/>
  <c r="A790" i="4"/>
  <c r="G789" i="4" a="1"/>
  <c r="G789" i="4" s="1"/>
  <c r="H789" i="4" s="1"/>
  <c r="F789" i="4"/>
  <c r="E789" i="4"/>
  <c r="A789" i="4"/>
  <c r="G788" i="4" a="1"/>
  <c r="G788" i="4" s="1"/>
  <c r="H788" i="4" s="1"/>
  <c r="F788" i="4"/>
  <c r="E788" i="4"/>
  <c r="A788" i="4"/>
  <c r="G787" i="4" a="1"/>
  <c r="G787" i="4" s="1"/>
  <c r="H787" i="4" s="1"/>
  <c r="F787" i="4"/>
  <c r="E787" i="4"/>
  <c r="A787" i="4"/>
  <c r="G786" i="4" a="1"/>
  <c r="G786" i="4" s="1"/>
  <c r="H786" i="4" s="1"/>
  <c r="F786" i="4"/>
  <c r="E786" i="4"/>
  <c r="A786" i="4"/>
  <c r="G785" i="4" a="1"/>
  <c r="G785" i="4" s="1"/>
  <c r="H785" i="4" s="1"/>
  <c r="F785" i="4"/>
  <c r="E785" i="4"/>
  <c r="A785" i="4"/>
  <c r="G784" i="4" a="1"/>
  <c r="G784" i="4" s="1"/>
  <c r="H784" i="4" s="1"/>
  <c r="F784" i="4"/>
  <c r="E784" i="4"/>
  <c r="A784" i="4"/>
  <c r="G783" i="4" a="1"/>
  <c r="G783" i="4" s="1"/>
  <c r="H783" i="4" s="1"/>
  <c r="F783" i="4"/>
  <c r="E783" i="4"/>
  <c r="A783" i="4"/>
  <c r="G782" i="4" a="1"/>
  <c r="G782" i="4" s="1"/>
  <c r="H782" i="4" s="1"/>
  <c r="F782" i="4"/>
  <c r="E782" i="4"/>
  <c r="A782" i="4"/>
  <c r="G781" i="4" a="1"/>
  <c r="G781" i="4" s="1"/>
  <c r="H781" i="4" s="1"/>
  <c r="F781" i="4"/>
  <c r="E781" i="4"/>
  <c r="A781" i="4"/>
  <c r="G780" i="4" a="1"/>
  <c r="G780" i="4" s="1"/>
  <c r="H780" i="4" s="1"/>
  <c r="F780" i="4"/>
  <c r="E780" i="4"/>
  <c r="A780" i="4"/>
  <c r="G779" i="4" a="1"/>
  <c r="G779" i="4" s="1"/>
  <c r="H779" i="4" s="1"/>
  <c r="F779" i="4"/>
  <c r="E779" i="4"/>
  <c r="A779" i="4"/>
  <c r="G778" i="4" a="1"/>
  <c r="G778" i="4" s="1"/>
  <c r="H778" i="4" s="1"/>
  <c r="F778" i="4"/>
  <c r="E778" i="4"/>
  <c r="A778" i="4"/>
  <c r="G777" i="4" a="1"/>
  <c r="G777" i="4" s="1"/>
  <c r="H777" i="4" s="1"/>
  <c r="F777" i="4"/>
  <c r="E777" i="4"/>
  <c r="A777" i="4"/>
  <c r="G776" i="4" a="1"/>
  <c r="G776" i="4" s="1"/>
  <c r="H776" i="4" s="1"/>
  <c r="F776" i="4"/>
  <c r="E776" i="4"/>
  <c r="A776" i="4"/>
  <c r="G775" i="4" a="1"/>
  <c r="G775" i="4" s="1"/>
  <c r="H775" i="4" s="1"/>
  <c r="F775" i="4"/>
  <c r="E775" i="4"/>
  <c r="A775" i="4"/>
  <c r="G774" i="4" a="1"/>
  <c r="G774" i="4" s="1"/>
  <c r="H774" i="4" s="1"/>
  <c r="F774" i="4"/>
  <c r="E774" i="4"/>
  <c r="A774" i="4"/>
  <c r="G773" i="4" a="1"/>
  <c r="G773" i="4" s="1"/>
  <c r="H773" i="4" s="1"/>
  <c r="F773" i="4"/>
  <c r="E773" i="4"/>
  <c r="A773" i="4"/>
  <c r="G772" i="4" a="1"/>
  <c r="G772" i="4" s="1"/>
  <c r="H772" i="4" s="1"/>
  <c r="F772" i="4"/>
  <c r="E772" i="4"/>
  <c r="A772" i="4"/>
  <c r="G771" i="4" a="1"/>
  <c r="G771" i="4" s="1"/>
  <c r="H771" i="4" s="1"/>
  <c r="F771" i="4"/>
  <c r="E771" i="4"/>
  <c r="A771" i="4"/>
  <c r="G770" i="4" a="1"/>
  <c r="G770" i="4" s="1"/>
  <c r="H770" i="4" s="1"/>
  <c r="F770" i="4"/>
  <c r="E770" i="4"/>
  <c r="A770" i="4"/>
  <c r="G769" i="4" a="1"/>
  <c r="G769" i="4" s="1"/>
  <c r="H769" i="4" s="1"/>
  <c r="F769" i="4"/>
  <c r="E769" i="4"/>
  <c r="A769" i="4"/>
  <c r="G768" i="4" a="1"/>
  <c r="G768" i="4" s="1"/>
  <c r="H768" i="4" s="1"/>
  <c r="F768" i="4"/>
  <c r="E768" i="4"/>
  <c r="A768" i="4"/>
  <c r="G767" i="4" a="1"/>
  <c r="G767" i="4" s="1"/>
  <c r="H767" i="4" s="1"/>
  <c r="F767" i="4"/>
  <c r="E767" i="4"/>
  <c r="A767" i="4"/>
  <c r="G766" i="4" a="1"/>
  <c r="G766" i="4" s="1"/>
  <c r="H766" i="4" s="1"/>
  <c r="F766" i="4"/>
  <c r="E766" i="4"/>
  <c r="A766" i="4"/>
  <c r="G765" i="4" a="1"/>
  <c r="G765" i="4" s="1"/>
  <c r="H765" i="4" s="1"/>
  <c r="F765" i="4"/>
  <c r="E765" i="4"/>
  <c r="A765" i="4"/>
  <c r="G764" i="4" a="1"/>
  <c r="G764" i="4" s="1"/>
  <c r="H764" i="4" s="1"/>
  <c r="F764" i="4"/>
  <c r="E764" i="4"/>
  <c r="A764" i="4"/>
  <c r="G763" i="4" a="1"/>
  <c r="G763" i="4" s="1"/>
  <c r="H763" i="4" s="1"/>
  <c r="F763" i="4"/>
  <c r="E763" i="4"/>
  <c r="A763" i="4"/>
  <c r="G762" i="4" a="1"/>
  <c r="G762" i="4" s="1"/>
  <c r="H762" i="4" s="1"/>
  <c r="F762" i="4"/>
  <c r="E762" i="4"/>
  <c r="A762" i="4"/>
  <c r="G761" i="4" a="1"/>
  <c r="G761" i="4" s="1"/>
  <c r="H761" i="4" s="1"/>
  <c r="F761" i="4"/>
  <c r="E761" i="4"/>
  <c r="A761" i="4"/>
  <c r="G760" i="4" a="1"/>
  <c r="G760" i="4" s="1"/>
  <c r="H760" i="4" s="1"/>
  <c r="F760" i="4"/>
  <c r="E760" i="4"/>
  <c r="A760" i="4"/>
  <c r="G759" i="4" a="1"/>
  <c r="G759" i="4" s="1"/>
  <c r="H759" i="4" s="1"/>
  <c r="F759" i="4"/>
  <c r="E759" i="4"/>
  <c r="A759" i="4"/>
  <c r="G758" i="4" a="1"/>
  <c r="G758" i="4" s="1"/>
  <c r="H758" i="4" s="1"/>
  <c r="F758" i="4"/>
  <c r="E758" i="4"/>
  <c r="A758" i="4"/>
  <c r="G757" i="4" a="1"/>
  <c r="G757" i="4" s="1"/>
  <c r="H757" i="4" s="1"/>
  <c r="F757" i="4"/>
  <c r="E757" i="4"/>
  <c r="A757" i="4"/>
  <c r="G756" i="4" a="1"/>
  <c r="G756" i="4" s="1"/>
  <c r="H756" i="4" s="1"/>
  <c r="F756" i="4"/>
  <c r="E756" i="4"/>
  <c r="A756" i="4"/>
  <c r="G755" i="4" a="1"/>
  <c r="G755" i="4" s="1"/>
  <c r="H755" i="4" s="1"/>
  <c r="F755" i="4"/>
  <c r="E755" i="4"/>
  <c r="A755" i="4"/>
  <c r="G754" i="4" a="1"/>
  <c r="G754" i="4" s="1"/>
  <c r="H754" i="4" s="1"/>
  <c r="F754" i="4"/>
  <c r="E754" i="4"/>
  <c r="A754" i="4"/>
  <c r="G753" i="4" a="1"/>
  <c r="G753" i="4" s="1"/>
  <c r="H753" i="4" s="1"/>
  <c r="F753" i="4"/>
  <c r="E753" i="4"/>
  <c r="A753" i="4"/>
  <c r="G752" i="4" a="1"/>
  <c r="G752" i="4" s="1"/>
  <c r="H752" i="4" s="1"/>
  <c r="F752" i="4"/>
  <c r="E752" i="4"/>
  <c r="A752" i="4"/>
  <c r="G751" i="4" a="1"/>
  <c r="G751" i="4" s="1"/>
  <c r="H751" i="4" s="1"/>
  <c r="F751" i="4"/>
  <c r="E751" i="4"/>
  <c r="A751" i="4"/>
  <c r="G750" i="4" a="1"/>
  <c r="G750" i="4" s="1"/>
  <c r="H750" i="4" s="1"/>
  <c r="F750" i="4"/>
  <c r="E750" i="4"/>
  <c r="A750" i="4"/>
  <c r="G749" i="4" a="1"/>
  <c r="G749" i="4" s="1"/>
  <c r="H749" i="4" s="1"/>
  <c r="F749" i="4"/>
  <c r="E749" i="4"/>
  <c r="A749" i="4"/>
  <c r="G748" i="4" a="1"/>
  <c r="G748" i="4" s="1"/>
  <c r="H748" i="4" s="1"/>
  <c r="F748" i="4"/>
  <c r="E748" i="4"/>
  <c r="A748" i="4"/>
  <c r="G747" i="4" a="1"/>
  <c r="G747" i="4" s="1"/>
  <c r="H747" i="4" s="1"/>
  <c r="F747" i="4"/>
  <c r="E747" i="4"/>
  <c r="A747" i="4"/>
  <c r="G746" i="4" a="1"/>
  <c r="G746" i="4" s="1"/>
  <c r="H746" i="4" s="1"/>
  <c r="F746" i="4"/>
  <c r="E746" i="4"/>
  <c r="A746" i="4"/>
  <c r="G745" i="4" a="1"/>
  <c r="G745" i="4" s="1"/>
  <c r="H745" i="4" s="1"/>
  <c r="F745" i="4"/>
  <c r="E745" i="4"/>
  <c r="A745" i="4"/>
  <c r="G744" i="4" a="1"/>
  <c r="G744" i="4" s="1"/>
  <c r="H744" i="4" s="1"/>
  <c r="F744" i="4"/>
  <c r="E744" i="4"/>
  <c r="A744" i="4"/>
  <c r="G743" i="4" a="1"/>
  <c r="G743" i="4" s="1"/>
  <c r="H743" i="4" s="1"/>
  <c r="F743" i="4"/>
  <c r="E743" i="4"/>
  <c r="A743" i="4"/>
  <c r="G742" i="4" a="1"/>
  <c r="G742" i="4" s="1"/>
  <c r="H742" i="4" s="1"/>
  <c r="F742" i="4"/>
  <c r="E742" i="4"/>
  <c r="A742" i="4"/>
  <c r="G741" i="4" a="1"/>
  <c r="G741" i="4" s="1"/>
  <c r="H741" i="4" s="1"/>
  <c r="F741" i="4"/>
  <c r="E741" i="4"/>
  <c r="A741" i="4"/>
  <c r="G740" i="4" a="1"/>
  <c r="G740" i="4" s="1"/>
  <c r="H740" i="4" s="1"/>
  <c r="F740" i="4"/>
  <c r="E740" i="4"/>
  <c r="A740" i="4"/>
  <c r="G739" i="4" a="1"/>
  <c r="G739" i="4" s="1"/>
  <c r="H739" i="4" s="1"/>
  <c r="F739" i="4"/>
  <c r="E739" i="4"/>
  <c r="A739" i="4"/>
  <c r="G738" i="4" a="1"/>
  <c r="G738" i="4" s="1"/>
  <c r="H738" i="4" s="1"/>
  <c r="F738" i="4"/>
  <c r="E738" i="4"/>
  <c r="A738" i="4"/>
  <c r="G737" i="4" a="1"/>
  <c r="G737" i="4" s="1"/>
  <c r="H737" i="4" s="1"/>
  <c r="F737" i="4"/>
  <c r="E737" i="4"/>
  <c r="A737" i="4"/>
  <c r="G736" i="4" a="1"/>
  <c r="G736" i="4" s="1"/>
  <c r="H736" i="4" s="1"/>
  <c r="F736" i="4"/>
  <c r="E736" i="4"/>
  <c r="A736" i="4"/>
  <c r="G735" i="4" a="1"/>
  <c r="G735" i="4" s="1"/>
  <c r="H735" i="4" s="1"/>
  <c r="F735" i="4"/>
  <c r="E735" i="4"/>
  <c r="A735" i="4"/>
  <c r="G734" i="4" a="1"/>
  <c r="G734" i="4" s="1"/>
  <c r="H734" i="4" s="1"/>
  <c r="F734" i="4"/>
  <c r="E734" i="4"/>
  <c r="A734" i="4"/>
  <c r="G733" i="4" a="1"/>
  <c r="G733" i="4" s="1"/>
  <c r="H733" i="4" s="1"/>
  <c r="F733" i="4"/>
  <c r="E733" i="4"/>
  <c r="A733" i="4"/>
  <c r="G732" i="4" a="1"/>
  <c r="G732" i="4" s="1"/>
  <c r="H732" i="4" s="1"/>
  <c r="F732" i="4"/>
  <c r="E732" i="4"/>
  <c r="A732" i="4"/>
  <c r="G731" i="4" a="1"/>
  <c r="G731" i="4" s="1"/>
  <c r="H731" i="4" s="1"/>
  <c r="F731" i="4"/>
  <c r="E731" i="4"/>
  <c r="A731" i="4"/>
  <c r="G730" i="4" a="1"/>
  <c r="G730" i="4" s="1"/>
  <c r="H730" i="4" s="1"/>
  <c r="F730" i="4"/>
  <c r="E730" i="4"/>
  <c r="A730" i="4"/>
  <c r="G729" i="4" a="1"/>
  <c r="G729" i="4" s="1"/>
  <c r="H729" i="4" s="1"/>
  <c r="F729" i="4"/>
  <c r="E729" i="4"/>
  <c r="A729" i="4"/>
  <c r="G728" i="4" a="1"/>
  <c r="G728" i="4" s="1"/>
  <c r="H728" i="4" s="1"/>
  <c r="F728" i="4"/>
  <c r="E728" i="4"/>
  <c r="A728" i="4"/>
  <c r="G727" i="4" a="1"/>
  <c r="G727" i="4" s="1"/>
  <c r="H727" i="4" s="1"/>
  <c r="F727" i="4"/>
  <c r="E727" i="4"/>
  <c r="A727" i="4"/>
  <c r="G726" i="4" a="1"/>
  <c r="G726" i="4" s="1"/>
  <c r="H726" i="4" s="1"/>
  <c r="F726" i="4"/>
  <c r="E726" i="4"/>
  <c r="A726" i="4"/>
  <c r="G725" i="4" a="1"/>
  <c r="G725" i="4" s="1"/>
  <c r="H725" i="4" s="1"/>
  <c r="F725" i="4"/>
  <c r="E725" i="4"/>
  <c r="A725" i="4"/>
  <c r="G724" i="4" a="1"/>
  <c r="G724" i="4" s="1"/>
  <c r="H724" i="4" s="1"/>
  <c r="F724" i="4"/>
  <c r="E724" i="4"/>
  <c r="A724" i="4"/>
  <c r="G723" i="4" a="1"/>
  <c r="G723" i="4" s="1"/>
  <c r="H723" i="4" s="1"/>
  <c r="F723" i="4"/>
  <c r="E723" i="4"/>
  <c r="A723" i="4"/>
  <c r="G722" i="4" a="1"/>
  <c r="G722" i="4" s="1"/>
  <c r="H722" i="4" s="1"/>
  <c r="F722" i="4"/>
  <c r="E722" i="4"/>
  <c r="A722" i="4"/>
  <c r="G721" i="4" a="1"/>
  <c r="G721" i="4" s="1"/>
  <c r="H721" i="4" s="1"/>
  <c r="F721" i="4"/>
  <c r="E721" i="4"/>
  <c r="A721" i="4"/>
  <c r="G720" i="4" a="1"/>
  <c r="G720" i="4" s="1"/>
  <c r="H720" i="4" s="1"/>
  <c r="F720" i="4"/>
  <c r="E720" i="4"/>
  <c r="A720" i="4"/>
  <c r="G719" i="4" a="1"/>
  <c r="G719" i="4" s="1"/>
  <c r="H719" i="4" s="1"/>
  <c r="F719" i="4"/>
  <c r="E719" i="4"/>
  <c r="A719" i="4"/>
  <c r="G718" i="4" a="1"/>
  <c r="G718" i="4" s="1"/>
  <c r="H718" i="4" s="1"/>
  <c r="F718" i="4"/>
  <c r="E718" i="4"/>
  <c r="A718" i="4"/>
  <c r="G717" i="4" a="1"/>
  <c r="G717" i="4" s="1"/>
  <c r="H717" i="4" s="1"/>
  <c r="F717" i="4"/>
  <c r="E717" i="4"/>
  <c r="A717" i="4"/>
  <c r="G716" i="4" a="1"/>
  <c r="G716" i="4" s="1"/>
  <c r="H716" i="4" s="1"/>
  <c r="F716" i="4"/>
  <c r="E716" i="4"/>
  <c r="A716" i="4"/>
  <c r="G715" i="4" a="1"/>
  <c r="G715" i="4" s="1"/>
  <c r="H715" i="4" s="1"/>
  <c r="F715" i="4"/>
  <c r="E715" i="4"/>
  <c r="A715" i="4"/>
  <c r="G714" i="4" a="1"/>
  <c r="G714" i="4" s="1"/>
  <c r="H714" i="4" s="1"/>
  <c r="F714" i="4"/>
  <c r="E714" i="4"/>
  <c r="A714" i="4"/>
  <c r="G713" i="4" a="1"/>
  <c r="G713" i="4" s="1"/>
  <c r="H713" i="4" s="1"/>
  <c r="F713" i="4"/>
  <c r="E713" i="4"/>
  <c r="A713" i="4"/>
  <c r="G712" i="4" a="1"/>
  <c r="G712" i="4" s="1"/>
  <c r="H712" i="4" s="1"/>
  <c r="F712" i="4"/>
  <c r="E712" i="4"/>
  <c r="A712" i="4"/>
  <c r="G711" i="4" a="1"/>
  <c r="G711" i="4" s="1"/>
  <c r="H711" i="4" s="1"/>
  <c r="F711" i="4"/>
  <c r="E711" i="4"/>
  <c r="A711" i="4"/>
  <c r="G710" i="4" a="1"/>
  <c r="G710" i="4" s="1"/>
  <c r="H710" i="4" s="1"/>
  <c r="F710" i="4"/>
  <c r="E710" i="4"/>
  <c r="A710" i="4"/>
  <c r="G709" i="4" a="1"/>
  <c r="G709" i="4" s="1"/>
  <c r="H709" i="4" s="1"/>
  <c r="F709" i="4"/>
  <c r="E709" i="4"/>
  <c r="A709" i="4"/>
  <c r="G708" i="4" a="1"/>
  <c r="G708" i="4" s="1"/>
  <c r="H708" i="4" s="1"/>
  <c r="F708" i="4"/>
  <c r="E708" i="4"/>
  <c r="A708" i="4"/>
  <c r="G707" i="4" a="1"/>
  <c r="G707" i="4" s="1"/>
  <c r="H707" i="4" s="1"/>
  <c r="F707" i="4"/>
  <c r="E707" i="4"/>
  <c r="A707" i="4"/>
  <c r="G706" i="4" a="1"/>
  <c r="G706" i="4" s="1"/>
  <c r="H706" i="4" s="1"/>
  <c r="F706" i="4"/>
  <c r="E706" i="4"/>
  <c r="A706" i="4"/>
  <c r="G705" i="4" a="1"/>
  <c r="G705" i="4" s="1"/>
  <c r="H705" i="4" s="1"/>
  <c r="F705" i="4"/>
  <c r="E705" i="4"/>
  <c r="A705" i="4"/>
  <c r="G704" i="4" a="1"/>
  <c r="G704" i="4" s="1"/>
  <c r="H704" i="4" s="1"/>
  <c r="F704" i="4"/>
  <c r="E704" i="4"/>
  <c r="A704" i="4"/>
  <c r="G703" i="4" a="1"/>
  <c r="G703" i="4" s="1"/>
  <c r="H703" i="4" s="1"/>
  <c r="F703" i="4"/>
  <c r="E703" i="4"/>
  <c r="A703" i="4"/>
  <c r="G702" i="4" a="1"/>
  <c r="G702" i="4" s="1"/>
  <c r="H702" i="4" s="1"/>
  <c r="F702" i="4"/>
  <c r="E702" i="4"/>
  <c r="A702" i="4"/>
  <c r="G701" i="4" a="1"/>
  <c r="G701" i="4" s="1"/>
  <c r="H701" i="4" s="1"/>
  <c r="F701" i="4"/>
  <c r="E701" i="4"/>
  <c r="A701" i="4"/>
  <c r="G700" i="4" a="1"/>
  <c r="G700" i="4" s="1"/>
  <c r="H700" i="4" s="1"/>
  <c r="F700" i="4"/>
  <c r="E700" i="4"/>
  <c r="A700" i="4"/>
  <c r="G699" i="4" a="1"/>
  <c r="G699" i="4" s="1"/>
  <c r="H699" i="4" s="1"/>
  <c r="F699" i="4"/>
  <c r="E699" i="4"/>
  <c r="A699" i="4"/>
  <c r="G698" i="4" a="1"/>
  <c r="G698" i="4" s="1"/>
  <c r="H698" i="4" s="1"/>
  <c r="F698" i="4"/>
  <c r="E698" i="4"/>
  <c r="A698" i="4"/>
  <c r="G697" i="4" a="1"/>
  <c r="G697" i="4" s="1"/>
  <c r="H697" i="4" s="1"/>
  <c r="F697" i="4"/>
  <c r="E697" i="4"/>
  <c r="A697" i="4"/>
  <c r="G696" i="4" a="1"/>
  <c r="G696" i="4" s="1"/>
  <c r="H696" i="4" s="1"/>
  <c r="F696" i="4"/>
  <c r="E696" i="4"/>
  <c r="A696" i="4"/>
  <c r="G695" i="4" a="1"/>
  <c r="G695" i="4" s="1"/>
  <c r="H695" i="4" s="1"/>
  <c r="F695" i="4"/>
  <c r="E695" i="4"/>
  <c r="A695" i="4"/>
  <c r="G694" i="4" a="1"/>
  <c r="G694" i="4" s="1"/>
  <c r="H694" i="4" s="1"/>
  <c r="F694" i="4"/>
  <c r="E694" i="4"/>
  <c r="A694" i="4"/>
  <c r="G693" i="4" a="1"/>
  <c r="G693" i="4" s="1"/>
  <c r="H693" i="4" s="1"/>
  <c r="F693" i="4"/>
  <c r="E693" i="4"/>
  <c r="A693" i="4"/>
  <c r="G692" i="4" a="1"/>
  <c r="G692" i="4" s="1"/>
  <c r="H692" i="4" s="1"/>
  <c r="F692" i="4"/>
  <c r="E692" i="4"/>
  <c r="A692" i="4"/>
  <c r="G691" i="4" a="1"/>
  <c r="G691" i="4" s="1"/>
  <c r="H691" i="4" s="1"/>
  <c r="F691" i="4"/>
  <c r="E691" i="4"/>
  <c r="A691" i="4"/>
  <c r="G690" i="4" a="1"/>
  <c r="G690" i="4" s="1"/>
  <c r="H690" i="4" s="1"/>
  <c r="F690" i="4"/>
  <c r="E690" i="4"/>
  <c r="A690" i="4"/>
  <c r="G689" i="4" a="1"/>
  <c r="G689" i="4" s="1"/>
  <c r="H689" i="4" s="1"/>
  <c r="F689" i="4"/>
  <c r="E689" i="4"/>
  <c r="A689" i="4"/>
  <c r="G688" i="4" a="1"/>
  <c r="G688" i="4" s="1"/>
  <c r="H688" i="4" s="1"/>
  <c r="F688" i="4"/>
  <c r="E688" i="4"/>
  <c r="A688" i="4"/>
  <c r="G687" i="4" a="1"/>
  <c r="G687" i="4" s="1"/>
  <c r="H687" i="4" s="1"/>
  <c r="F687" i="4"/>
  <c r="E687" i="4"/>
  <c r="A687" i="4"/>
  <c r="G686" i="4" a="1"/>
  <c r="G686" i="4" s="1"/>
  <c r="H686" i="4" s="1"/>
  <c r="F686" i="4"/>
  <c r="E686" i="4"/>
  <c r="A686" i="4"/>
  <c r="G685" i="4" a="1"/>
  <c r="G685" i="4" s="1"/>
  <c r="H685" i="4" s="1"/>
  <c r="F685" i="4"/>
  <c r="E685" i="4"/>
  <c r="A685" i="4"/>
  <c r="G684" i="4" a="1"/>
  <c r="G684" i="4" s="1"/>
  <c r="H684" i="4" s="1"/>
  <c r="F684" i="4"/>
  <c r="E684" i="4"/>
  <c r="A684" i="4"/>
  <c r="G683" i="4" a="1"/>
  <c r="G683" i="4" s="1"/>
  <c r="H683" i="4" s="1"/>
  <c r="F683" i="4"/>
  <c r="E683" i="4"/>
  <c r="A683" i="4"/>
  <c r="G682" i="4" a="1"/>
  <c r="G682" i="4" s="1"/>
  <c r="H682" i="4" s="1"/>
  <c r="F682" i="4"/>
  <c r="E682" i="4"/>
  <c r="A682" i="4"/>
  <c r="G681" i="4" a="1"/>
  <c r="G681" i="4" s="1"/>
  <c r="H681" i="4" s="1"/>
  <c r="F681" i="4"/>
  <c r="E681" i="4"/>
  <c r="A681" i="4"/>
  <c r="G680" i="4" a="1"/>
  <c r="G680" i="4" s="1"/>
  <c r="H680" i="4" s="1"/>
  <c r="F680" i="4"/>
  <c r="E680" i="4"/>
  <c r="A680" i="4"/>
  <c r="G679" i="4" a="1"/>
  <c r="G679" i="4" s="1"/>
  <c r="H679" i="4" s="1"/>
  <c r="F679" i="4"/>
  <c r="E679" i="4"/>
  <c r="A679" i="4"/>
  <c r="G678" i="4" a="1"/>
  <c r="G678" i="4" s="1"/>
  <c r="H678" i="4" s="1"/>
  <c r="F678" i="4"/>
  <c r="E678" i="4"/>
  <c r="A678" i="4"/>
  <c r="G677" i="4" a="1"/>
  <c r="G677" i="4" s="1"/>
  <c r="H677" i="4" s="1"/>
  <c r="F677" i="4"/>
  <c r="E677" i="4"/>
  <c r="A677" i="4"/>
  <c r="G676" i="4" a="1"/>
  <c r="G676" i="4" s="1"/>
  <c r="H676" i="4" s="1"/>
  <c r="F676" i="4"/>
  <c r="E676" i="4"/>
  <c r="A676" i="4"/>
  <c r="G675" i="4" a="1"/>
  <c r="G675" i="4" s="1"/>
  <c r="H675" i="4" s="1"/>
  <c r="F675" i="4"/>
  <c r="E675" i="4"/>
  <c r="A675" i="4"/>
  <c r="G674" i="4" a="1"/>
  <c r="G674" i="4" s="1"/>
  <c r="H674" i="4" s="1"/>
  <c r="F674" i="4"/>
  <c r="E674" i="4"/>
  <c r="A674" i="4"/>
  <c r="G673" i="4" a="1"/>
  <c r="G673" i="4" s="1"/>
  <c r="H673" i="4" s="1"/>
  <c r="F673" i="4"/>
  <c r="E673" i="4"/>
  <c r="A673" i="4"/>
  <c r="G672" i="4" a="1"/>
  <c r="G672" i="4" s="1"/>
  <c r="H672" i="4" s="1"/>
  <c r="F672" i="4"/>
  <c r="E672" i="4"/>
  <c r="A672" i="4"/>
  <c r="G671" i="4" a="1"/>
  <c r="G671" i="4" s="1"/>
  <c r="H671" i="4" s="1"/>
  <c r="F671" i="4"/>
  <c r="E671" i="4"/>
  <c r="A671" i="4"/>
  <c r="G670" i="4" a="1"/>
  <c r="G670" i="4" s="1"/>
  <c r="H670" i="4" s="1"/>
  <c r="F670" i="4"/>
  <c r="E670" i="4"/>
  <c r="A670" i="4"/>
  <c r="G669" i="4" a="1"/>
  <c r="G669" i="4" s="1"/>
  <c r="H669" i="4" s="1"/>
  <c r="F669" i="4"/>
  <c r="E669" i="4"/>
  <c r="A669" i="4"/>
  <c r="G668" i="4" a="1"/>
  <c r="G668" i="4" s="1"/>
  <c r="H668" i="4" s="1"/>
  <c r="F668" i="4"/>
  <c r="E668" i="4"/>
  <c r="A668" i="4"/>
  <c r="G667" i="4" a="1"/>
  <c r="G667" i="4" s="1"/>
  <c r="H667" i="4" s="1"/>
  <c r="F667" i="4"/>
  <c r="E667" i="4"/>
  <c r="A667" i="4"/>
  <c r="G666" i="4" a="1"/>
  <c r="G666" i="4" s="1"/>
  <c r="H666" i="4" s="1"/>
  <c r="F666" i="4"/>
  <c r="E666" i="4"/>
  <c r="A666" i="4"/>
  <c r="G665" i="4" a="1"/>
  <c r="G665" i="4" s="1"/>
  <c r="H665" i="4" s="1"/>
  <c r="F665" i="4"/>
  <c r="E665" i="4"/>
  <c r="A665" i="4"/>
  <c r="G664" i="4" a="1"/>
  <c r="G664" i="4" s="1"/>
  <c r="H664" i="4" s="1"/>
  <c r="F664" i="4"/>
  <c r="E664" i="4"/>
  <c r="A664" i="4"/>
  <c r="G663" i="4" a="1"/>
  <c r="G663" i="4" s="1"/>
  <c r="H663" i="4" s="1"/>
  <c r="F663" i="4"/>
  <c r="E663" i="4"/>
  <c r="A663" i="4"/>
  <c r="G662" i="4" a="1"/>
  <c r="G662" i="4" s="1"/>
  <c r="H662" i="4" s="1"/>
  <c r="F662" i="4"/>
  <c r="E662" i="4"/>
  <c r="A662" i="4"/>
  <c r="G661" i="4" a="1"/>
  <c r="G661" i="4" s="1"/>
  <c r="H661" i="4" s="1"/>
  <c r="F661" i="4"/>
  <c r="E661" i="4"/>
  <c r="A661" i="4"/>
  <c r="G660" i="4" a="1"/>
  <c r="G660" i="4" s="1"/>
  <c r="H660" i="4" s="1"/>
  <c r="F660" i="4"/>
  <c r="E660" i="4"/>
  <c r="A660" i="4"/>
  <c r="G659" i="4" a="1"/>
  <c r="G659" i="4" s="1"/>
  <c r="H659" i="4" s="1"/>
  <c r="F659" i="4"/>
  <c r="E659" i="4"/>
  <c r="A659" i="4"/>
  <c r="G658" i="4" a="1"/>
  <c r="G658" i="4" s="1"/>
  <c r="H658" i="4" s="1"/>
  <c r="F658" i="4"/>
  <c r="E658" i="4"/>
  <c r="A658" i="4"/>
  <c r="G657" i="4" a="1"/>
  <c r="G657" i="4" s="1"/>
  <c r="H657" i="4" s="1"/>
  <c r="F657" i="4"/>
  <c r="E657" i="4"/>
  <c r="A657" i="4"/>
  <c r="G656" i="4" a="1"/>
  <c r="G656" i="4" s="1"/>
  <c r="H656" i="4" s="1"/>
  <c r="F656" i="4"/>
  <c r="E656" i="4"/>
  <c r="A656" i="4"/>
  <c r="G655" i="4" a="1"/>
  <c r="G655" i="4" s="1"/>
  <c r="H655" i="4" s="1"/>
  <c r="F655" i="4"/>
  <c r="E655" i="4"/>
  <c r="A655" i="4"/>
  <c r="G654" i="4" a="1"/>
  <c r="G654" i="4" s="1"/>
  <c r="H654" i="4" s="1"/>
  <c r="F654" i="4"/>
  <c r="E654" i="4"/>
  <c r="A654" i="4"/>
  <c r="G653" i="4" a="1"/>
  <c r="G653" i="4" s="1"/>
  <c r="H653" i="4" s="1"/>
  <c r="F653" i="4"/>
  <c r="E653" i="4"/>
  <c r="A653" i="4"/>
  <c r="G652" i="4" a="1"/>
  <c r="G652" i="4" s="1"/>
  <c r="H652" i="4" s="1"/>
  <c r="F652" i="4"/>
  <c r="E652" i="4"/>
  <c r="A652" i="4"/>
  <c r="G651" i="4" a="1"/>
  <c r="G651" i="4" s="1"/>
  <c r="H651" i="4" s="1"/>
  <c r="F651" i="4"/>
  <c r="E651" i="4"/>
  <c r="A651" i="4"/>
  <c r="G650" i="4" a="1"/>
  <c r="G650" i="4" s="1"/>
  <c r="H650" i="4" s="1"/>
  <c r="F650" i="4"/>
  <c r="E650" i="4"/>
  <c r="A650" i="4"/>
  <c r="G649" i="4" a="1"/>
  <c r="G649" i="4" s="1"/>
  <c r="H649" i="4" s="1"/>
  <c r="F649" i="4"/>
  <c r="E649" i="4"/>
  <c r="A649" i="4"/>
  <c r="G648" i="4" a="1"/>
  <c r="G648" i="4" s="1"/>
  <c r="H648" i="4" s="1"/>
  <c r="F648" i="4"/>
  <c r="E648" i="4"/>
  <c r="A648" i="4"/>
  <c r="G647" i="4" a="1"/>
  <c r="G647" i="4" s="1"/>
  <c r="H647" i="4" s="1"/>
  <c r="F647" i="4"/>
  <c r="E647" i="4"/>
  <c r="A647" i="4"/>
  <c r="G646" i="4" a="1"/>
  <c r="G646" i="4" s="1"/>
  <c r="H646" i="4" s="1"/>
  <c r="F646" i="4"/>
  <c r="E646" i="4"/>
  <c r="A646" i="4"/>
  <c r="G645" i="4" a="1"/>
  <c r="G645" i="4" s="1"/>
  <c r="H645" i="4" s="1"/>
  <c r="F645" i="4"/>
  <c r="E645" i="4"/>
  <c r="A645" i="4"/>
  <c r="G644" i="4" a="1"/>
  <c r="G644" i="4" s="1"/>
  <c r="H644" i="4" s="1"/>
  <c r="F644" i="4"/>
  <c r="E644" i="4"/>
  <c r="A644" i="4"/>
  <c r="G643" i="4" a="1"/>
  <c r="G643" i="4" s="1"/>
  <c r="H643" i="4" s="1"/>
  <c r="F643" i="4"/>
  <c r="E643" i="4"/>
  <c r="A643" i="4"/>
  <c r="G642" i="4" a="1"/>
  <c r="G642" i="4" s="1"/>
  <c r="H642" i="4" s="1"/>
  <c r="F642" i="4"/>
  <c r="E642" i="4"/>
  <c r="A642" i="4"/>
  <c r="G641" i="4" a="1"/>
  <c r="G641" i="4" s="1"/>
  <c r="H641" i="4" s="1"/>
  <c r="F641" i="4"/>
  <c r="E641" i="4"/>
  <c r="A641" i="4"/>
  <c r="G640" i="4" a="1"/>
  <c r="G640" i="4" s="1"/>
  <c r="H640" i="4" s="1"/>
  <c r="F640" i="4"/>
  <c r="E640" i="4"/>
  <c r="A640" i="4"/>
  <c r="G639" i="4" a="1"/>
  <c r="G639" i="4" s="1"/>
  <c r="H639" i="4" s="1"/>
  <c r="F639" i="4"/>
  <c r="E639" i="4"/>
  <c r="A639" i="4"/>
  <c r="G638" i="4" a="1"/>
  <c r="G638" i="4" s="1"/>
  <c r="H638" i="4" s="1"/>
  <c r="F638" i="4"/>
  <c r="E638" i="4"/>
  <c r="A638" i="4"/>
  <c r="G637" i="4" a="1"/>
  <c r="G637" i="4" s="1"/>
  <c r="H637" i="4" s="1"/>
  <c r="F637" i="4"/>
  <c r="E637" i="4"/>
  <c r="A637" i="4"/>
  <c r="G636" i="4" a="1"/>
  <c r="G636" i="4" s="1"/>
  <c r="H636" i="4" s="1"/>
  <c r="F636" i="4"/>
  <c r="E636" i="4"/>
  <c r="A636" i="4"/>
  <c r="G635" i="4" a="1"/>
  <c r="G635" i="4" s="1"/>
  <c r="H635" i="4" s="1"/>
  <c r="F635" i="4"/>
  <c r="E635" i="4"/>
  <c r="A635" i="4"/>
  <c r="G634" i="4" a="1"/>
  <c r="G634" i="4" s="1"/>
  <c r="H634" i="4" s="1"/>
  <c r="F634" i="4"/>
  <c r="E634" i="4"/>
  <c r="A634" i="4"/>
  <c r="G633" i="4" a="1"/>
  <c r="G633" i="4" s="1"/>
  <c r="H633" i="4" s="1"/>
  <c r="F633" i="4"/>
  <c r="E633" i="4"/>
  <c r="A633" i="4"/>
  <c r="G632" i="4" a="1"/>
  <c r="G632" i="4" s="1"/>
  <c r="H632" i="4" s="1"/>
  <c r="F632" i="4"/>
  <c r="E632" i="4"/>
  <c r="A632" i="4"/>
  <c r="G631" i="4" a="1"/>
  <c r="G631" i="4" s="1"/>
  <c r="H631" i="4" s="1"/>
  <c r="F631" i="4"/>
  <c r="E631" i="4"/>
  <c r="A631" i="4"/>
  <c r="G630" i="4" a="1"/>
  <c r="G630" i="4" s="1"/>
  <c r="H630" i="4" s="1"/>
  <c r="F630" i="4"/>
  <c r="E630" i="4"/>
  <c r="A630" i="4"/>
  <c r="G629" i="4" a="1"/>
  <c r="G629" i="4" s="1"/>
  <c r="H629" i="4" s="1"/>
  <c r="F629" i="4"/>
  <c r="E629" i="4"/>
  <c r="A629" i="4"/>
  <c r="G628" i="4" a="1"/>
  <c r="G628" i="4" s="1"/>
  <c r="H628" i="4" s="1"/>
  <c r="F628" i="4"/>
  <c r="E628" i="4"/>
  <c r="A628" i="4"/>
  <c r="G627" i="4" a="1"/>
  <c r="G627" i="4" s="1"/>
  <c r="H627" i="4" s="1"/>
  <c r="F627" i="4"/>
  <c r="E627" i="4"/>
  <c r="A627" i="4"/>
  <c r="G626" i="4" a="1"/>
  <c r="G626" i="4" s="1"/>
  <c r="H626" i="4" s="1"/>
  <c r="F626" i="4"/>
  <c r="E626" i="4"/>
  <c r="A626" i="4"/>
  <c r="G625" i="4" a="1"/>
  <c r="G625" i="4" s="1"/>
  <c r="H625" i="4" s="1"/>
  <c r="F625" i="4"/>
  <c r="E625" i="4"/>
  <c r="A625" i="4"/>
  <c r="G624" i="4" a="1"/>
  <c r="G624" i="4" s="1"/>
  <c r="H624" i="4" s="1"/>
  <c r="F624" i="4"/>
  <c r="E624" i="4"/>
  <c r="A624" i="4"/>
  <c r="G623" i="4" a="1"/>
  <c r="G623" i="4" s="1"/>
  <c r="H623" i="4" s="1"/>
  <c r="F623" i="4"/>
  <c r="E623" i="4"/>
  <c r="A623" i="4"/>
  <c r="G622" i="4" a="1"/>
  <c r="G622" i="4" s="1"/>
  <c r="H622" i="4" s="1"/>
  <c r="F622" i="4"/>
  <c r="E622" i="4"/>
  <c r="A622" i="4"/>
  <c r="G621" i="4" a="1"/>
  <c r="G621" i="4" s="1"/>
  <c r="H621" i="4" s="1"/>
  <c r="F621" i="4"/>
  <c r="E621" i="4"/>
  <c r="A621" i="4"/>
  <c r="G620" i="4" a="1"/>
  <c r="G620" i="4" s="1"/>
  <c r="H620" i="4" s="1"/>
  <c r="F620" i="4"/>
  <c r="E620" i="4"/>
  <c r="A620" i="4"/>
  <c r="G619" i="4" a="1"/>
  <c r="G619" i="4" s="1"/>
  <c r="H619" i="4" s="1"/>
  <c r="F619" i="4"/>
  <c r="E619" i="4"/>
  <c r="A619" i="4"/>
  <c r="G618" i="4" a="1"/>
  <c r="G618" i="4" s="1"/>
  <c r="H618" i="4" s="1"/>
  <c r="F618" i="4"/>
  <c r="E618" i="4"/>
  <c r="A618" i="4"/>
  <c r="G617" i="4" a="1"/>
  <c r="G617" i="4" s="1"/>
  <c r="H617" i="4" s="1"/>
  <c r="F617" i="4"/>
  <c r="E617" i="4"/>
  <c r="A617" i="4"/>
  <c r="G616" i="4" a="1"/>
  <c r="G616" i="4" s="1"/>
  <c r="H616" i="4" s="1"/>
  <c r="F616" i="4"/>
  <c r="E616" i="4"/>
  <c r="A616" i="4"/>
  <c r="G615" i="4" a="1"/>
  <c r="G615" i="4" s="1"/>
  <c r="H615" i="4" s="1"/>
  <c r="F615" i="4"/>
  <c r="E615" i="4"/>
  <c r="A615" i="4"/>
  <c r="G614" i="4" a="1"/>
  <c r="G614" i="4" s="1"/>
  <c r="H614" i="4" s="1"/>
  <c r="F614" i="4"/>
  <c r="E614" i="4"/>
  <c r="A614" i="4"/>
  <c r="G613" i="4" a="1"/>
  <c r="G613" i="4" s="1"/>
  <c r="H613" i="4" s="1"/>
  <c r="F613" i="4"/>
  <c r="E613" i="4"/>
  <c r="A613" i="4"/>
  <c r="G612" i="4" a="1"/>
  <c r="G612" i="4" s="1"/>
  <c r="H612" i="4" s="1"/>
  <c r="F612" i="4"/>
  <c r="E612" i="4"/>
  <c r="A612" i="4"/>
  <c r="G611" i="4" a="1"/>
  <c r="G611" i="4" s="1"/>
  <c r="H611" i="4" s="1"/>
  <c r="F611" i="4"/>
  <c r="E611" i="4"/>
  <c r="A611" i="4"/>
  <c r="G610" i="4" a="1"/>
  <c r="G610" i="4" s="1"/>
  <c r="H610" i="4" s="1"/>
  <c r="F610" i="4"/>
  <c r="E610" i="4"/>
  <c r="A610" i="4"/>
  <c r="G609" i="4" a="1"/>
  <c r="G609" i="4" s="1"/>
  <c r="H609" i="4" s="1"/>
  <c r="F609" i="4"/>
  <c r="E609" i="4"/>
  <c r="A609" i="4"/>
  <c r="G608" i="4" a="1"/>
  <c r="G608" i="4" s="1"/>
  <c r="H608" i="4" s="1"/>
  <c r="F608" i="4"/>
  <c r="E608" i="4"/>
  <c r="A608" i="4"/>
  <c r="G607" i="4" a="1"/>
  <c r="G607" i="4" s="1"/>
  <c r="H607" i="4" s="1"/>
  <c r="F607" i="4"/>
  <c r="E607" i="4"/>
  <c r="A607" i="4"/>
  <c r="G606" i="4" a="1"/>
  <c r="G606" i="4" s="1"/>
  <c r="H606" i="4" s="1"/>
  <c r="F606" i="4"/>
  <c r="E606" i="4"/>
  <c r="A606" i="4"/>
  <c r="G605" i="4" a="1"/>
  <c r="G605" i="4" s="1"/>
  <c r="H605" i="4" s="1"/>
  <c r="F605" i="4"/>
  <c r="E605" i="4"/>
  <c r="A605" i="4"/>
  <c r="G604" i="4" a="1"/>
  <c r="G604" i="4" s="1"/>
  <c r="H604" i="4" s="1"/>
  <c r="F604" i="4"/>
  <c r="E604" i="4"/>
  <c r="A604" i="4"/>
  <c r="G603" i="4" a="1"/>
  <c r="G603" i="4" s="1"/>
  <c r="H603" i="4" s="1"/>
  <c r="F603" i="4"/>
  <c r="E603" i="4"/>
  <c r="A603" i="4"/>
  <c r="G602" i="4" a="1"/>
  <c r="G602" i="4" s="1"/>
  <c r="H602" i="4" s="1"/>
  <c r="F602" i="4"/>
  <c r="E602" i="4"/>
  <c r="A602" i="4"/>
  <c r="G601" i="4" a="1"/>
  <c r="G601" i="4" s="1"/>
  <c r="H601" i="4" s="1"/>
  <c r="F601" i="4"/>
  <c r="E601" i="4"/>
  <c r="A601" i="4"/>
  <c r="G600" i="4" a="1"/>
  <c r="G600" i="4" s="1"/>
  <c r="H600" i="4" s="1"/>
  <c r="F600" i="4"/>
  <c r="E600" i="4"/>
  <c r="A600" i="4"/>
  <c r="G599" i="4" a="1"/>
  <c r="G599" i="4" s="1"/>
  <c r="H599" i="4" s="1"/>
  <c r="F599" i="4"/>
  <c r="E599" i="4"/>
  <c r="A599" i="4"/>
  <c r="G598" i="4" a="1"/>
  <c r="G598" i="4" s="1"/>
  <c r="H598" i="4" s="1"/>
  <c r="F598" i="4"/>
  <c r="E598" i="4"/>
  <c r="A598" i="4"/>
  <c r="G597" i="4" a="1"/>
  <c r="G597" i="4" s="1"/>
  <c r="H597" i="4" s="1"/>
  <c r="F597" i="4"/>
  <c r="E597" i="4"/>
  <c r="A597" i="4"/>
  <c r="G596" i="4" a="1"/>
  <c r="G596" i="4" s="1"/>
  <c r="H596" i="4" s="1"/>
  <c r="F596" i="4"/>
  <c r="E596" i="4"/>
  <c r="A596" i="4"/>
  <c r="G595" i="4" a="1"/>
  <c r="G595" i="4" s="1"/>
  <c r="H595" i="4" s="1"/>
  <c r="F595" i="4"/>
  <c r="E595" i="4"/>
  <c r="A595" i="4"/>
  <c r="G594" i="4" a="1"/>
  <c r="G594" i="4" s="1"/>
  <c r="H594" i="4" s="1"/>
  <c r="F594" i="4"/>
  <c r="E594" i="4"/>
  <c r="A594" i="4"/>
  <c r="G593" i="4" a="1"/>
  <c r="G593" i="4" s="1"/>
  <c r="H593" i="4" s="1"/>
  <c r="F593" i="4"/>
  <c r="E593" i="4"/>
  <c r="A593" i="4"/>
  <c r="G592" i="4" a="1"/>
  <c r="G592" i="4" s="1"/>
  <c r="H592" i="4" s="1"/>
  <c r="F592" i="4"/>
  <c r="E592" i="4"/>
  <c r="A592" i="4"/>
  <c r="G591" i="4" a="1"/>
  <c r="G591" i="4" s="1"/>
  <c r="H591" i="4" s="1"/>
  <c r="F591" i="4"/>
  <c r="E591" i="4"/>
  <c r="A591" i="4"/>
  <c r="G590" i="4" a="1"/>
  <c r="G590" i="4" s="1"/>
  <c r="H590" i="4" s="1"/>
  <c r="F590" i="4"/>
  <c r="E590" i="4"/>
  <c r="A590" i="4"/>
  <c r="G589" i="4" a="1"/>
  <c r="G589" i="4" s="1"/>
  <c r="H589" i="4" s="1"/>
  <c r="F589" i="4"/>
  <c r="E589" i="4"/>
  <c r="A589" i="4"/>
  <c r="G588" i="4" a="1"/>
  <c r="G588" i="4" s="1"/>
  <c r="H588" i="4" s="1"/>
  <c r="F588" i="4"/>
  <c r="E588" i="4"/>
  <c r="A588" i="4"/>
  <c r="G587" i="4" a="1"/>
  <c r="G587" i="4" s="1"/>
  <c r="H587" i="4" s="1"/>
  <c r="F587" i="4"/>
  <c r="E587" i="4"/>
  <c r="A587" i="4"/>
  <c r="G586" i="4" a="1"/>
  <c r="G586" i="4" s="1"/>
  <c r="H586" i="4" s="1"/>
  <c r="F586" i="4"/>
  <c r="E586" i="4"/>
  <c r="A586" i="4"/>
  <c r="G585" i="4" a="1"/>
  <c r="G585" i="4" s="1"/>
  <c r="H585" i="4" s="1"/>
  <c r="F585" i="4"/>
  <c r="E585" i="4"/>
  <c r="A585" i="4"/>
  <c r="G584" i="4" a="1"/>
  <c r="G584" i="4" s="1"/>
  <c r="H584" i="4" s="1"/>
  <c r="F584" i="4"/>
  <c r="E584" i="4"/>
  <c r="A584" i="4"/>
  <c r="G583" i="4" a="1"/>
  <c r="G583" i="4" s="1"/>
  <c r="H583" i="4" s="1"/>
  <c r="F583" i="4"/>
  <c r="E583" i="4"/>
  <c r="A583" i="4"/>
  <c r="G582" i="4" a="1"/>
  <c r="G582" i="4" s="1"/>
  <c r="H582" i="4" s="1"/>
  <c r="F582" i="4"/>
  <c r="E582" i="4"/>
  <c r="A582" i="4"/>
  <c r="G581" i="4" a="1"/>
  <c r="G581" i="4" s="1"/>
  <c r="H581" i="4" s="1"/>
  <c r="F581" i="4"/>
  <c r="E581" i="4"/>
  <c r="A581" i="4"/>
  <c r="G580" i="4" a="1"/>
  <c r="G580" i="4" s="1"/>
  <c r="H580" i="4" s="1"/>
  <c r="F580" i="4"/>
  <c r="E580" i="4"/>
  <c r="A580" i="4"/>
  <c r="G579" i="4" a="1"/>
  <c r="G579" i="4" s="1"/>
  <c r="H579" i="4" s="1"/>
  <c r="F579" i="4"/>
  <c r="E579" i="4"/>
  <c r="A579" i="4"/>
  <c r="G578" i="4" a="1"/>
  <c r="G578" i="4" s="1"/>
  <c r="H578" i="4" s="1"/>
  <c r="F578" i="4"/>
  <c r="E578" i="4"/>
  <c r="A578" i="4"/>
  <c r="G577" i="4" a="1"/>
  <c r="G577" i="4" s="1"/>
  <c r="H577" i="4" s="1"/>
  <c r="F577" i="4"/>
  <c r="E577" i="4"/>
  <c r="A577" i="4"/>
  <c r="G576" i="4" a="1"/>
  <c r="G576" i="4" s="1"/>
  <c r="H576" i="4" s="1"/>
  <c r="F576" i="4"/>
  <c r="E576" i="4"/>
  <c r="A576" i="4"/>
  <c r="G575" i="4" a="1"/>
  <c r="G575" i="4" s="1"/>
  <c r="H575" i="4" s="1"/>
  <c r="F575" i="4"/>
  <c r="E575" i="4"/>
  <c r="A575" i="4"/>
  <c r="G574" i="4" a="1"/>
  <c r="G574" i="4" s="1"/>
  <c r="H574" i="4" s="1"/>
  <c r="F574" i="4"/>
  <c r="E574" i="4"/>
  <c r="A574" i="4"/>
  <c r="G573" i="4" a="1"/>
  <c r="G573" i="4" s="1"/>
  <c r="H573" i="4" s="1"/>
  <c r="F573" i="4"/>
  <c r="E573" i="4"/>
  <c r="A573" i="4"/>
  <c r="G572" i="4" a="1"/>
  <c r="G572" i="4" s="1"/>
  <c r="H572" i="4" s="1"/>
  <c r="F572" i="4"/>
  <c r="E572" i="4"/>
  <c r="A572" i="4"/>
  <c r="G571" i="4" a="1"/>
  <c r="G571" i="4" s="1"/>
  <c r="H571" i="4" s="1"/>
  <c r="F571" i="4"/>
  <c r="E571" i="4"/>
  <c r="A571" i="4"/>
  <c r="G570" i="4" a="1"/>
  <c r="G570" i="4" s="1"/>
  <c r="H570" i="4" s="1"/>
  <c r="F570" i="4"/>
  <c r="E570" i="4"/>
  <c r="A570" i="4"/>
  <c r="G569" i="4" a="1"/>
  <c r="G569" i="4" s="1"/>
  <c r="H569" i="4" s="1"/>
  <c r="F569" i="4"/>
  <c r="E569" i="4"/>
  <c r="A569" i="4"/>
  <c r="G568" i="4" a="1"/>
  <c r="G568" i="4" s="1"/>
  <c r="H568" i="4" s="1"/>
  <c r="F568" i="4"/>
  <c r="E568" i="4"/>
  <c r="A568" i="4"/>
  <c r="G567" i="4" a="1"/>
  <c r="G567" i="4" s="1"/>
  <c r="H567" i="4" s="1"/>
  <c r="F567" i="4"/>
  <c r="E567" i="4"/>
  <c r="A567" i="4"/>
  <c r="G566" i="4" a="1"/>
  <c r="G566" i="4" s="1"/>
  <c r="H566" i="4" s="1"/>
  <c r="F566" i="4"/>
  <c r="E566" i="4"/>
  <c r="A566" i="4"/>
  <c r="G565" i="4" a="1"/>
  <c r="G565" i="4" s="1"/>
  <c r="H565" i="4" s="1"/>
  <c r="F565" i="4"/>
  <c r="E565" i="4"/>
  <c r="A565" i="4"/>
  <c r="G564" i="4" a="1"/>
  <c r="G564" i="4" s="1"/>
  <c r="H564" i="4" s="1"/>
  <c r="F564" i="4"/>
  <c r="E564" i="4"/>
  <c r="A564" i="4"/>
  <c r="G563" i="4" a="1"/>
  <c r="G563" i="4" s="1"/>
  <c r="H563" i="4" s="1"/>
  <c r="F563" i="4"/>
  <c r="E563" i="4"/>
  <c r="A563" i="4"/>
  <c r="G562" i="4" a="1"/>
  <c r="G562" i="4" s="1"/>
  <c r="H562" i="4" s="1"/>
  <c r="F562" i="4"/>
  <c r="E562" i="4"/>
  <c r="A562" i="4"/>
  <c r="G561" i="4" a="1"/>
  <c r="G561" i="4" s="1"/>
  <c r="H561" i="4" s="1"/>
  <c r="F561" i="4"/>
  <c r="E561" i="4"/>
  <c r="A561" i="4"/>
  <c r="G560" i="4" a="1"/>
  <c r="G560" i="4" s="1"/>
  <c r="H560" i="4" s="1"/>
  <c r="F560" i="4"/>
  <c r="E560" i="4"/>
  <c r="A560" i="4"/>
  <c r="G559" i="4" a="1"/>
  <c r="G559" i="4" s="1"/>
  <c r="H559" i="4" s="1"/>
  <c r="F559" i="4"/>
  <c r="E559" i="4"/>
  <c r="A559" i="4"/>
  <c r="G558" i="4" a="1"/>
  <c r="G558" i="4" s="1"/>
  <c r="H558" i="4" s="1"/>
  <c r="F558" i="4"/>
  <c r="E558" i="4"/>
  <c r="A558" i="4"/>
  <c r="G557" i="4" a="1"/>
  <c r="G557" i="4" s="1"/>
  <c r="H557" i="4" s="1"/>
  <c r="F557" i="4"/>
  <c r="E557" i="4"/>
  <c r="A557" i="4"/>
  <c r="G556" i="4" a="1"/>
  <c r="G556" i="4" s="1"/>
  <c r="H556" i="4" s="1"/>
  <c r="F556" i="4"/>
  <c r="E556" i="4"/>
  <c r="A556" i="4"/>
  <c r="G555" i="4" a="1"/>
  <c r="G555" i="4" s="1"/>
  <c r="H555" i="4" s="1"/>
  <c r="F555" i="4"/>
  <c r="E555" i="4"/>
  <c r="A555" i="4"/>
  <c r="G554" i="4" a="1"/>
  <c r="G554" i="4" s="1"/>
  <c r="H554" i="4" s="1"/>
  <c r="F554" i="4"/>
  <c r="E554" i="4"/>
  <c r="A554" i="4"/>
  <c r="G553" i="4" a="1"/>
  <c r="G553" i="4" s="1"/>
  <c r="H553" i="4" s="1"/>
  <c r="F553" i="4"/>
  <c r="E553" i="4"/>
  <c r="A553" i="4"/>
  <c r="G552" i="4" a="1"/>
  <c r="G552" i="4" s="1"/>
  <c r="H552" i="4" s="1"/>
  <c r="F552" i="4"/>
  <c r="E552" i="4"/>
  <c r="A552" i="4"/>
  <c r="G551" i="4" a="1"/>
  <c r="G551" i="4" s="1"/>
  <c r="H551" i="4" s="1"/>
  <c r="F551" i="4"/>
  <c r="E551" i="4"/>
  <c r="A551" i="4"/>
  <c r="G550" i="4" a="1"/>
  <c r="G550" i="4" s="1"/>
  <c r="H550" i="4" s="1"/>
  <c r="F550" i="4"/>
  <c r="E550" i="4"/>
  <c r="A550" i="4"/>
  <c r="G549" i="4" a="1"/>
  <c r="G549" i="4" s="1"/>
  <c r="H549" i="4" s="1"/>
  <c r="F549" i="4"/>
  <c r="E549" i="4"/>
  <c r="A549" i="4"/>
  <c r="G548" i="4" a="1"/>
  <c r="G548" i="4" s="1"/>
  <c r="H548" i="4" s="1"/>
  <c r="F548" i="4"/>
  <c r="E548" i="4"/>
  <c r="A548" i="4"/>
  <c r="G547" i="4" a="1"/>
  <c r="G547" i="4" s="1"/>
  <c r="H547" i="4" s="1"/>
  <c r="F547" i="4"/>
  <c r="E547" i="4"/>
  <c r="A547" i="4"/>
  <c r="G546" i="4" a="1"/>
  <c r="G546" i="4" s="1"/>
  <c r="H546" i="4" s="1"/>
  <c r="F546" i="4"/>
  <c r="E546" i="4"/>
  <c r="A546" i="4"/>
  <c r="G545" i="4" a="1"/>
  <c r="G545" i="4" s="1"/>
  <c r="H545" i="4" s="1"/>
  <c r="F545" i="4"/>
  <c r="E545" i="4"/>
  <c r="A545" i="4"/>
  <c r="G544" i="4" a="1"/>
  <c r="G544" i="4" s="1"/>
  <c r="H544" i="4" s="1"/>
  <c r="F544" i="4"/>
  <c r="E544" i="4"/>
  <c r="A544" i="4"/>
  <c r="G543" i="4" a="1"/>
  <c r="G543" i="4" s="1"/>
  <c r="H543" i="4" s="1"/>
  <c r="F543" i="4"/>
  <c r="E543" i="4"/>
  <c r="A543" i="4"/>
  <c r="G542" i="4" a="1"/>
  <c r="G542" i="4" s="1"/>
  <c r="H542" i="4" s="1"/>
  <c r="F542" i="4"/>
  <c r="E542" i="4"/>
  <c r="A542" i="4"/>
  <c r="G541" i="4" a="1"/>
  <c r="G541" i="4" s="1"/>
  <c r="H541" i="4" s="1"/>
  <c r="F541" i="4"/>
  <c r="E541" i="4"/>
  <c r="A541" i="4"/>
  <c r="G540" i="4" a="1"/>
  <c r="G540" i="4" s="1"/>
  <c r="H540" i="4" s="1"/>
  <c r="F540" i="4"/>
  <c r="E540" i="4"/>
  <c r="A540" i="4"/>
  <c r="G539" i="4" a="1"/>
  <c r="G539" i="4" s="1"/>
  <c r="H539" i="4" s="1"/>
  <c r="F539" i="4"/>
  <c r="E539" i="4"/>
  <c r="A539" i="4"/>
  <c r="G538" i="4" a="1"/>
  <c r="G538" i="4" s="1"/>
  <c r="H538" i="4" s="1"/>
  <c r="F538" i="4"/>
  <c r="E538" i="4"/>
  <c r="A538" i="4"/>
  <c r="G537" i="4" a="1"/>
  <c r="G537" i="4" s="1"/>
  <c r="H537" i="4" s="1"/>
  <c r="F537" i="4"/>
  <c r="E537" i="4"/>
  <c r="A537" i="4"/>
  <c r="G536" i="4" a="1"/>
  <c r="G536" i="4" s="1"/>
  <c r="H536" i="4" s="1"/>
  <c r="F536" i="4"/>
  <c r="E536" i="4"/>
  <c r="A536" i="4"/>
  <c r="G535" i="4" a="1"/>
  <c r="G535" i="4" s="1"/>
  <c r="H535" i="4" s="1"/>
  <c r="F535" i="4"/>
  <c r="E535" i="4"/>
  <c r="A535" i="4"/>
  <c r="G534" i="4" a="1"/>
  <c r="G534" i="4" s="1"/>
  <c r="H534" i="4" s="1"/>
  <c r="F534" i="4"/>
  <c r="E534" i="4"/>
  <c r="A534" i="4"/>
  <c r="G533" i="4" a="1"/>
  <c r="G533" i="4" s="1"/>
  <c r="H533" i="4" s="1"/>
  <c r="F533" i="4"/>
  <c r="E533" i="4"/>
  <c r="A533" i="4"/>
  <c r="G532" i="4" a="1"/>
  <c r="G532" i="4" s="1"/>
  <c r="H532" i="4" s="1"/>
  <c r="F532" i="4"/>
  <c r="E532" i="4"/>
  <c r="A532" i="4"/>
  <c r="G531" i="4" a="1"/>
  <c r="G531" i="4" s="1"/>
  <c r="H531" i="4" s="1"/>
  <c r="F531" i="4"/>
  <c r="E531" i="4"/>
  <c r="A531" i="4"/>
  <c r="G530" i="4" a="1"/>
  <c r="G530" i="4" s="1"/>
  <c r="H530" i="4" s="1"/>
  <c r="F530" i="4"/>
  <c r="E530" i="4"/>
  <c r="A530" i="4"/>
  <c r="G529" i="4" a="1"/>
  <c r="G529" i="4" s="1"/>
  <c r="H529" i="4" s="1"/>
  <c r="F529" i="4"/>
  <c r="E529" i="4"/>
  <c r="A529" i="4"/>
  <c r="G528" i="4" a="1"/>
  <c r="G528" i="4" s="1"/>
  <c r="H528" i="4" s="1"/>
  <c r="F528" i="4"/>
  <c r="E528" i="4"/>
  <c r="A528" i="4"/>
  <c r="G527" i="4" a="1"/>
  <c r="G527" i="4" s="1"/>
  <c r="H527" i="4" s="1"/>
  <c r="F527" i="4"/>
  <c r="E527" i="4"/>
  <c r="A527" i="4"/>
  <c r="G526" i="4" a="1"/>
  <c r="G526" i="4" s="1"/>
  <c r="H526" i="4" s="1"/>
  <c r="F526" i="4"/>
  <c r="E526" i="4"/>
  <c r="A526" i="4"/>
  <c r="G525" i="4" a="1"/>
  <c r="G525" i="4" s="1"/>
  <c r="H525" i="4" s="1"/>
  <c r="F525" i="4"/>
  <c r="E525" i="4"/>
  <c r="A525" i="4"/>
  <c r="G524" i="4" a="1"/>
  <c r="G524" i="4" s="1"/>
  <c r="H524" i="4" s="1"/>
  <c r="F524" i="4"/>
  <c r="E524" i="4"/>
  <c r="A524" i="4"/>
  <c r="G523" i="4" a="1"/>
  <c r="G523" i="4" s="1"/>
  <c r="H523" i="4" s="1"/>
  <c r="F523" i="4"/>
  <c r="E523" i="4"/>
  <c r="A523" i="4"/>
  <c r="G522" i="4" a="1"/>
  <c r="G522" i="4" s="1"/>
  <c r="H522" i="4" s="1"/>
  <c r="F522" i="4"/>
  <c r="E522" i="4"/>
  <c r="A522" i="4"/>
  <c r="G521" i="4" a="1"/>
  <c r="G521" i="4" s="1"/>
  <c r="H521" i="4" s="1"/>
  <c r="F521" i="4"/>
  <c r="E521" i="4"/>
  <c r="A521" i="4"/>
  <c r="G520" i="4" a="1"/>
  <c r="G520" i="4" s="1"/>
  <c r="H520" i="4" s="1"/>
  <c r="F520" i="4"/>
  <c r="E520" i="4"/>
  <c r="A520" i="4"/>
  <c r="G519" i="4" a="1"/>
  <c r="G519" i="4" s="1"/>
  <c r="H519" i="4" s="1"/>
  <c r="F519" i="4"/>
  <c r="E519" i="4"/>
  <c r="A519" i="4"/>
  <c r="G518" i="4" a="1"/>
  <c r="G518" i="4" s="1"/>
  <c r="H518" i="4" s="1"/>
  <c r="F518" i="4"/>
  <c r="E518" i="4"/>
  <c r="A518" i="4"/>
  <c r="G517" i="4" a="1"/>
  <c r="G517" i="4" s="1"/>
  <c r="H517" i="4" s="1"/>
  <c r="F517" i="4"/>
  <c r="E517" i="4"/>
  <c r="A517" i="4"/>
  <c r="G516" i="4" a="1"/>
  <c r="G516" i="4" s="1"/>
  <c r="H516" i="4" s="1"/>
  <c r="F516" i="4"/>
  <c r="E516" i="4"/>
  <c r="A516" i="4"/>
  <c r="G515" i="4" a="1"/>
  <c r="G515" i="4" s="1"/>
  <c r="H515" i="4" s="1"/>
  <c r="F515" i="4"/>
  <c r="E515" i="4"/>
  <c r="A515" i="4"/>
  <c r="G514" i="4" a="1"/>
  <c r="G514" i="4" s="1"/>
  <c r="H514" i="4" s="1"/>
  <c r="F514" i="4"/>
  <c r="E514" i="4"/>
  <c r="A514" i="4"/>
  <c r="G513" i="4" a="1"/>
  <c r="G513" i="4" s="1"/>
  <c r="H513" i="4" s="1"/>
  <c r="F513" i="4"/>
  <c r="E513" i="4"/>
  <c r="A513" i="4"/>
  <c r="G512" i="4" a="1"/>
  <c r="G512" i="4" s="1"/>
  <c r="H512" i="4" s="1"/>
  <c r="F512" i="4"/>
  <c r="E512" i="4"/>
  <c r="A512" i="4"/>
  <c r="G511" i="4" a="1"/>
  <c r="G511" i="4" s="1"/>
  <c r="H511" i="4" s="1"/>
  <c r="F511" i="4"/>
  <c r="E511" i="4"/>
  <c r="A511" i="4"/>
  <c r="G510" i="4" a="1"/>
  <c r="G510" i="4" s="1"/>
  <c r="H510" i="4" s="1"/>
  <c r="F510" i="4"/>
  <c r="E510" i="4"/>
  <c r="A510" i="4"/>
  <c r="G509" i="4" a="1"/>
  <c r="G509" i="4" s="1"/>
  <c r="H509" i="4" s="1"/>
  <c r="F509" i="4"/>
  <c r="E509" i="4"/>
  <c r="A509" i="4"/>
  <c r="G508" i="4" a="1"/>
  <c r="G508" i="4" s="1"/>
  <c r="H508" i="4" s="1"/>
  <c r="F508" i="4"/>
  <c r="E508" i="4"/>
  <c r="A508" i="4"/>
  <c r="G507" i="4" a="1"/>
  <c r="G507" i="4" s="1"/>
  <c r="H507" i="4" s="1"/>
  <c r="F507" i="4"/>
  <c r="E507" i="4"/>
  <c r="A507" i="4"/>
  <c r="G506" i="4" a="1"/>
  <c r="G506" i="4" s="1"/>
  <c r="H506" i="4" s="1"/>
  <c r="F506" i="4"/>
  <c r="E506" i="4"/>
  <c r="A506" i="4"/>
  <c r="G505" i="4" a="1"/>
  <c r="G505" i="4" s="1"/>
  <c r="H505" i="4" s="1"/>
  <c r="F505" i="4"/>
  <c r="E505" i="4"/>
  <c r="A505" i="4"/>
  <c r="G504" i="4" a="1"/>
  <c r="G504" i="4" s="1"/>
  <c r="H504" i="4" s="1"/>
  <c r="F504" i="4"/>
  <c r="E504" i="4"/>
  <c r="A504" i="4"/>
  <c r="G503" i="4" a="1"/>
  <c r="G503" i="4" s="1"/>
  <c r="H503" i="4" s="1"/>
  <c r="F503" i="4"/>
  <c r="E503" i="4"/>
  <c r="A503" i="4"/>
  <c r="G502" i="4" a="1"/>
  <c r="G502" i="4" s="1"/>
  <c r="H502" i="4" s="1"/>
  <c r="F502" i="4"/>
  <c r="E502" i="4"/>
  <c r="A502" i="4"/>
  <c r="G501" i="4" a="1"/>
  <c r="G501" i="4" s="1"/>
  <c r="H501" i="4" s="1"/>
  <c r="F501" i="4"/>
  <c r="E501" i="4"/>
  <c r="A501" i="4"/>
  <c r="G500" i="4" a="1"/>
  <c r="G500" i="4" s="1"/>
  <c r="H500" i="4" s="1"/>
  <c r="F500" i="4"/>
  <c r="E500" i="4"/>
  <c r="A500" i="4"/>
  <c r="G499" i="4" a="1"/>
  <c r="G499" i="4" s="1"/>
  <c r="H499" i="4" s="1"/>
  <c r="F499" i="4"/>
  <c r="E499" i="4"/>
  <c r="A499" i="4"/>
  <c r="G498" i="4" a="1"/>
  <c r="G498" i="4" s="1"/>
  <c r="H498" i="4" s="1"/>
  <c r="F498" i="4"/>
  <c r="E498" i="4"/>
  <c r="A498" i="4"/>
  <c r="G497" i="4" a="1"/>
  <c r="G497" i="4" s="1"/>
  <c r="H497" i="4" s="1"/>
  <c r="F497" i="4"/>
  <c r="E497" i="4"/>
  <c r="A497" i="4"/>
  <c r="G496" i="4" a="1"/>
  <c r="G496" i="4" s="1"/>
  <c r="H496" i="4" s="1"/>
  <c r="F496" i="4"/>
  <c r="E496" i="4"/>
  <c r="A496" i="4"/>
  <c r="G495" i="4" a="1"/>
  <c r="G495" i="4" s="1"/>
  <c r="H495" i="4" s="1"/>
  <c r="F495" i="4"/>
  <c r="E495" i="4"/>
  <c r="A495" i="4"/>
  <c r="G494" i="4" a="1"/>
  <c r="G494" i="4" s="1"/>
  <c r="H494" i="4" s="1"/>
  <c r="F494" i="4"/>
  <c r="E494" i="4"/>
  <c r="A494" i="4"/>
  <c r="G493" i="4" a="1"/>
  <c r="G493" i="4" s="1"/>
  <c r="H493" i="4" s="1"/>
  <c r="F493" i="4"/>
  <c r="E493" i="4"/>
  <c r="A493" i="4"/>
  <c r="G492" i="4" a="1"/>
  <c r="G492" i="4" s="1"/>
  <c r="H492" i="4" s="1"/>
  <c r="F492" i="4"/>
  <c r="E492" i="4"/>
  <c r="A492" i="4"/>
  <c r="G491" i="4" a="1"/>
  <c r="G491" i="4" s="1"/>
  <c r="H491" i="4" s="1"/>
  <c r="F491" i="4"/>
  <c r="E491" i="4"/>
  <c r="A491" i="4"/>
  <c r="G490" i="4" a="1"/>
  <c r="G490" i="4" s="1"/>
  <c r="H490" i="4" s="1"/>
  <c r="F490" i="4"/>
  <c r="E490" i="4"/>
  <c r="A490" i="4"/>
  <c r="G489" i="4" a="1"/>
  <c r="G489" i="4" s="1"/>
  <c r="H489" i="4" s="1"/>
  <c r="F489" i="4"/>
  <c r="E489" i="4"/>
  <c r="A489" i="4"/>
  <c r="G488" i="4" a="1"/>
  <c r="G488" i="4" s="1"/>
  <c r="H488" i="4" s="1"/>
  <c r="F488" i="4"/>
  <c r="E488" i="4"/>
  <c r="A488" i="4"/>
  <c r="G487" i="4" a="1"/>
  <c r="G487" i="4" s="1"/>
  <c r="H487" i="4" s="1"/>
  <c r="F487" i="4"/>
  <c r="E487" i="4"/>
  <c r="A487" i="4"/>
  <c r="G486" i="4" a="1"/>
  <c r="G486" i="4" s="1"/>
  <c r="H486" i="4" s="1"/>
  <c r="F486" i="4"/>
  <c r="E486" i="4"/>
  <c r="A486" i="4"/>
  <c r="G485" i="4" a="1"/>
  <c r="G485" i="4" s="1"/>
  <c r="H485" i="4" s="1"/>
  <c r="F485" i="4"/>
  <c r="E485" i="4"/>
  <c r="A485" i="4"/>
  <c r="G484" i="4" a="1"/>
  <c r="G484" i="4" s="1"/>
  <c r="H484" i="4" s="1"/>
  <c r="F484" i="4"/>
  <c r="E484" i="4"/>
  <c r="A484" i="4"/>
  <c r="G483" i="4" a="1"/>
  <c r="G483" i="4" s="1"/>
  <c r="H483" i="4" s="1"/>
  <c r="F483" i="4"/>
  <c r="E483" i="4"/>
  <c r="A483" i="4"/>
  <c r="G482" i="4" a="1"/>
  <c r="G482" i="4" s="1"/>
  <c r="H482" i="4" s="1"/>
  <c r="F482" i="4"/>
  <c r="E482" i="4"/>
  <c r="A482" i="4"/>
  <c r="G481" i="4" a="1"/>
  <c r="G481" i="4" s="1"/>
  <c r="H481" i="4" s="1"/>
  <c r="F481" i="4"/>
  <c r="E481" i="4"/>
  <c r="A481" i="4"/>
  <c r="G480" i="4" a="1"/>
  <c r="G480" i="4" s="1"/>
  <c r="H480" i="4" s="1"/>
  <c r="F480" i="4"/>
  <c r="E480" i="4"/>
  <c r="A480" i="4"/>
  <c r="G479" i="4" a="1"/>
  <c r="G479" i="4" s="1"/>
  <c r="H479" i="4" s="1"/>
  <c r="F479" i="4"/>
  <c r="E479" i="4"/>
  <c r="A479" i="4"/>
  <c r="G478" i="4" a="1"/>
  <c r="G478" i="4" s="1"/>
  <c r="H478" i="4" s="1"/>
  <c r="F478" i="4"/>
  <c r="E478" i="4"/>
  <c r="A478" i="4"/>
  <c r="G477" i="4" a="1"/>
  <c r="G477" i="4" s="1"/>
  <c r="H477" i="4" s="1"/>
  <c r="F477" i="4"/>
  <c r="E477" i="4"/>
  <c r="A477" i="4"/>
  <c r="G476" i="4" a="1"/>
  <c r="G476" i="4" s="1"/>
  <c r="H476" i="4" s="1"/>
  <c r="F476" i="4"/>
  <c r="E476" i="4"/>
  <c r="A476" i="4"/>
  <c r="G475" i="4" a="1"/>
  <c r="G475" i="4" s="1"/>
  <c r="H475" i="4" s="1"/>
  <c r="F475" i="4"/>
  <c r="E475" i="4"/>
  <c r="A475" i="4"/>
  <c r="G474" i="4" a="1"/>
  <c r="G474" i="4" s="1"/>
  <c r="H474" i="4" s="1"/>
  <c r="F474" i="4"/>
  <c r="E474" i="4"/>
  <c r="A474" i="4"/>
  <c r="G473" i="4" a="1"/>
  <c r="G473" i="4" s="1"/>
  <c r="H473" i="4" s="1"/>
  <c r="F473" i="4"/>
  <c r="E473" i="4"/>
  <c r="A473" i="4"/>
  <c r="G472" i="4" a="1"/>
  <c r="G472" i="4" s="1"/>
  <c r="H472" i="4" s="1"/>
  <c r="F472" i="4"/>
  <c r="E472" i="4"/>
  <c r="A472" i="4"/>
  <c r="G471" i="4" a="1"/>
  <c r="G471" i="4" s="1"/>
  <c r="H471" i="4" s="1"/>
  <c r="F471" i="4"/>
  <c r="E471" i="4"/>
  <c r="A471" i="4"/>
  <c r="G470" i="4" a="1"/>
  <c r="G470" i="4" s="1"/>
  <c r="H470" i="4" s="1"/>
  <c r="F470" i="4"/>
  <c r="E470" i="4"/>
  <c r="A470" i="4"/>
  <c r="G469" i="4" a="1"/>
  <c r="G469" i="4" s="1"/>
  <c r="H469" i="4" s="1"/>
  <c r="F469" i="4"/>
  <c r="E469" i="4"/>
  <c r="A469" i="4"/>
  <c r="G468" i="4" a="1"/>
  <c r="G468" i="4" s="1"/>
  <c r="H468" i="4" s="1"/>
  <c r="F468" i="4"/>
  <c r="E468" i="4"/>
  <c r="A468" i="4"/>
  <c r="G467" i="4" a="1"/>
  <c r="G467" i="4" s="1"/>
  <c r="H467" i="4" s="1"/>
  <c r="F467" i="4"/>
  <c r="E467" i="4"/>
  <c r="A467" i="4"/>
  <c r="G466" i="4" a="1"/>
  <c r="G466" i="4" s="1"/>
  <c r="H466" i="4" s="1"/>
  <c r="F466" i="4"/>
  <c r="E466" i="4"/>
  <c r="A466" i="4"/>
  <c r="G465" i="4" a="1"/>
  <c r="G465" i="4" s="1"/>
  <c r="H465" i="4" s="1"/>
  <c r="F465" i="4"/>
  <c r="E465" i="4"/>
  <c r="A465" i="4"/>
  <c r="G464" i="4" a="1"/>
  <c r="G464" i="4" s="1"/>
  <c r="H464" i="4" s="1"/>
  <c r="F464" i="4"/>
  <c r="E464" i="4"/>
  <c r="A464" i="4"/>
  <c r="G463" i="4" a="1"/>
  <c r="G463" i="4" s="1"/>
  <c r="H463" i="4" s="1"/>
  <c r="F463" i="4"/>
  <c r="E463" i="4"/>
  <c r="A463" i="4"/>
  <c r="G462" i="4" a="1"/>
  <c r="G462" i="4" s="1"/>
  <c r="H462" i="4" s="1"/>
  <c r="F462" i="4"/>
  <c r="E462" i="4"/>
  <c r="A462" i="4"/>
  <c r="G461" i="4" a="1"/>
  <c r="G461" i="4" s="1"/>
  <c r="H461" i="4" s="1"/>
  <c r="F461" i="4"/>
  <c r="E461" i="4"/>
  <c r="A461" i="4"/>
  <c r="G460" i="4" a="1"/>
  <c r="G460" i="4" s="1"/>
  <c r="H460" i="4" s="1"/>
  <c r="F460" i="4"/>
  <c r="E460" i="4"/>
  <c r="A460" i="4"/>
  <c r="G459" i="4" a="1"/>
  <c r="G459" i="4" s="1"/>
  <c r="H459" i="4" s="1"/>
  <c r="F459" i="4"/>
  <c r="E459" i="4"/>
  <c r="A459" i="4"/>
  <c r="G458" i="4" a="1"/>
  <c r="G458" i="4" s="1"/>
  <c r="H458" i="4" s="1"/>
  <c r="F458" i="4"/>
  <c r="E458" i="4"/>
  <c r="A458" i="4"/>
  <c r="G457" i="4" a="1"/>
  <c r="G457" i="4" s="1"/>
  <c r="H457" i="4" s="1"/>
  <c r="F457" i="4"/>
  <c r="E457" i="4"/>
  <c r="A457" i="4"/>
  <c r="G456" i="4" a="1"/>
  <c r="G456" i="4" s="1"/>
  <c r="H456" i="4" s="1"/>
  <c r="F456" i="4"/>
  <c r="E456" i="4"/>
  <c r="A456" i="4"/>
  <c r="G455" i="4" a="1"/>
  <c r="G455" i="4" s="1"/>
  <c r="H455" i="4" s="1"/>
  <c r="F455" i="4"/>
  <c r="E455" i="4"/>
  <c r="A455" i="4"/>
  <c r="G454" i="4" a="1"/>
  <c r="G454" i="4" s="1"/>
  <c r="H454" i="4" s="1"/>
  <c r="F454" i="4"/>
  <c r="E454" i="4"/>
  <c r="A454" i="4"/>
  <c r="G453" i="4" a="1"/>
  <c r="G453" i="4" s="1"/>
  <c r="H453" i="4" s="1"/>
  <c r="F453" i="4"/>
  <c r="E453" i="4"/>
  <c r="A453" i="4"/>
  <c r="G452" i="4" a="1"/>
  <c r="G452" i="4" s="1"/>
  <c r="H452" i="4" s="1"/>
  <c r="F452" i="4"/>
  <c r="E452" i="4"/>
  <c r="A452" i="4"/>
  <c r="G451" i="4" a="1"/>
  <c r="G451" i="4" s="1"/>
  <c r="H451" i="4" s="1"/>
  <c r="F451" i="4"/>
  <c r="E451" i="4"/>
  <c r="A451" i="4"/>
  <c r="G450" i="4" a="1"/>
  <c r="G450" i="4" s="1"/>
  <c r="H450" i="4" s="1"/>
  <c r="F450" i="4"/>
  <c r="E450" i="4"/>
  <c r="A450" i="4"/>
  <c r="G449" i="4" a="1"/>
  <c r="G449" i="4" s="1"/>
  <c r="H449" i="4" s="1"/>
  <c r="F449" i="4"/>
  <c r="E449" i="4"/>
  <c r="A449" i="4"/>
  <c r="G448" i="4" a="1"/>
  <c r="G448" i="4" s="1"/>
  <c r="H448" i="4" s="1"/>
  <c r="F448" i="4"/>
  <c r="E448" i="4"/>
  <c r="A448" i="4"/>
  <c r="G447" i="4" a="1"/>
  <c r="G447" i="4" s="1"/>
  <c r="H447" i="4" s="1"/>
  <c r="F447" i="4"/>
  <c r="E447" i="4"/>
  <c r="A447" i="4"/>
  <c r="G446" i="4" a="1"/>
  <c r="G446" i="4" s="1"/>
  <c r="H446" i="4" s="1"/>
  <c r="F446" i="4"/>
  <c r="E446" i="4"/>
  <c r="A446" i="4"/>
  <c r="G445" i="4" a="1"/>
  <c r="G445" i="4" s="1"/>
  <c r="H445" i="4" s="1"/>
  <c r="F445" i="4"/>
  <c r="E445" i="4"/>
  <c r="A445" i="4"/>
  <c r="G444" i="4" a="1"/>
  <c r="G444" i="4" s="1"/>
  <c r="H444" i="4" s="1"/>
  <c r="F444" i="4"/>
  <c r="E444" i="4"/>
  <c r="A444" i="4"/>
  <c r="G443" i="4" a="1"/>
  <c r="G443" i="4" s="1"/>
  <c r="H443" i="4" s="1"/>
  <c r="F443" i="4"/>
  <c r="E443" i="4"/>
  <c r="A443" i="4"/>
  <c r="G442" i="4" a="1"/>
  <c r="G442" i="4" s="1"/>
  <c r="H442" i="4" s="1"/>
  <c r="F442" i="4"/>
  <c r="E442" i="4"/>
  <c r="A442" i="4"/>
  <c r="G441" i="4" a="1"/>
  <c r="G441" i="4" s="1"/>
  <c r="H441" i="4" s="1"/>
  <c r="F441" i="4"/>
  <c r="E441" i="4"/>
  <c r="A441" i="4"/>
  <c r="G440" i="4" a="1"/>
  <c r="G440" i="4" s="1"/>
  <c r="H440" i="4" s="1"/>
  <c r="F440" i="4"/>
  <c r="E440" i="4"/>
  <c r="A440" i="4"/>
  <c r="G439" i="4" a="1"/>
  <c r="G439" i="4" s="1"/>
  <c r="H439" i="4" s="1"/>
  <c r="F439" i="4"/>
  <c r="E439" i="4"/>
  <c r="A439" i="4"/>
  <c r="G438" i="4" a="1"/>
  <c r="G438" i="4" s="1"/>
  <c r="H438" i="4" s="1"/>
  <c r="F438" i="4"/>
  <c r="E438" i="4"/>
  <c r="A438" i="4"/>
  <c r="G437" i="4" a="1"/>
  <c r="G437" i="4" s="1"/>
  <c r="H437" i="4" s="1"/>
  <c r="F437" i="4"/>
  <c r="E437" i="4"/>
  <c r="A437" i="4"/>
  <c r="G436" i="4" a="1"/>
  <c r="G436" i="4" s="1"/>
  <c r="H436" i="4" s="1"/>
  <c r="F436" i="4"/>
  <c r="E436" i="4"/>
  <c r="A436" i="4"/>
  <c r="G435" i="4" a="1"/>
  <c r="G435" i="4" s="1"/>
  <c r="H435" i="4" s="1"/>
  <c r="F435" i="4"/>
  <c r="E435" i="4"/>
  <c r="A435" i="4"/>
  <c r="G434" i="4" a="1"/>
  <c r="G434" i="4" s="1"/>
  <c r="H434" i="4" s="1"/>
  <c r="F434" i="4"/>
  <c r="E434" i="4"/>
  <c r="A434" i="4"/>
  <c r="G433" i="4" a="1"/>
  <c r="G433" i="4" s="1"/>
  <c r="H433" i="4" s="1"/>
  <c r="F433" i="4"/>
  <c r="E433" i="4"/>
  <c r="A433" i="4"/>
  <c r="G432" i="4" a="1"/>
  <c r="G432" i="4" s="1"/>
  <c r="H432" i="4" s="1"/>
  <c r="F432" i="4"/>
  <c r="E432" i="4"/>
  <c r="A432" i="4"/>
  <c r="G431" i="4" a="1"/>
  <c r="G431" i="4" s="1"/>
  <c r="H431" i="4" s="1"/>
  <c r="F431" i="4"/>
  <c r="E431" i="4"/>
  <c r="A431" i="4"/>
  <c r="G430" i="4" a="1"/>
  <c r="G430" i="4" s="1"/>
  <c r="H430" i="4" s="1"/>
  <c r="F430" i="4"/>
  <c r="E430" i="4"/>
  <c r="A430" i="4"/>
  <c r="G429" i="4" a="1"/>
  <c r="G429" i="4" s="1"/>
  <c r="H429" i="4" s="1"/>
  <c r="F429" i="4"/>
  <c r="E429" i="4"/>
  <c r="A429" i="4"/>
  <c r="G428" i="4" a="1"/>
  <c r="G428" i="4" s="1"/>
  <c r="H428" i="4" s="1"/>
  <c r="F428" i="4"/>
  <c r="E428" i="4"/>
  <c r="A428" i="4"/>
  <c r="G427" i="4" a="1"/>
  <c r="G427" i="4" s="1"/>
  <c r="H427" i="4" s="1"/>
  <c r="F427" i="4"/>
  <c r="E427" i="4"/>
  <c r="A427" i="4"/>
  <c r="G426" i="4" a="1"/>
  <c r="G426" i="4" s="1"/>
  <c r="H426" i="4" s="1"/>
  <c r="F426" i="4"/>
  <c r="E426" i="4"/>
  <c r="A426" i="4"/>
  <c r="G425" i="4" a="1"/>
  <c r="G425" i="4" s="1"/>
  <c r="H425" i="4" s="1"/>
  <c r="F425" i="4"/>
  <c r="E425" i="4"/>
  <c r="A425" i="4"/>
  <c r="G424" i="4" a="1"/>
  <c r="G424" i="4" s="1"/>
  <c r="H424" i="4" s="1"/>
  <c r="F424" i="4"/>
  <c r="E424" i="4"/>
  <c r="A424" i="4"/>
  <c r="G423" i="4" a="1"/>
  <c r="G423" i="4" s="1"/>
  <c r="H423" i="4" s="1"/>
  <c r="F423" i="4"/>
  <c r="E423" i="4"/>
  <c r="A423" i="4"/>
  <c r="G422" i="4" a="1"/>
  <c r="G422" i="4" s="1"/>
  <c r="H422" i="4" s="1"/>
  <c r="F422" i="4"/>
  <c r="E422" i="4"/>
  <c r="A422" i="4"/>
  <c r="G421" i="4" a="1"/>
  <c r="G421" i="4" s="1"/>
  <c r="H421" i="4" s="1"/>
  <c r="F421" i="4"/>
  <c r="E421" i="4"/>
  <c r="A421" i="4"/>
  <c r="G420" i="4" a="1"/>
  <c r="G420" i="4" s="1"/>
  <c r="H420" i="4" s="1"/>
  <c r="F420" i="4"/>
  <c r="E420" i="4"/>
  <c r="A420" i="4"/>
  <c r="G419" i="4" a="1"/>
  <c r="G419" i="4" s="1"/>
  <c r="H419" i="4" s="1"/>
  <c r="F419" i="4"/>
  <c r="E419" i="4"/>
  <c r="A419" i="4"/>
  <c r="G418" i="4" a="1"/>
  <c r="G418" i="4" s="1"/>
  <c r="H418" i="4" s="1"/>
  <c r="F418" i="4"/>
  <c r="E418" i="4"/>
  <c r="A418" i="4"/>
  <c r="G417" i="4" a="1"/>
  <c r="G417" i="4" s="1"/>
  <c r="H417" i="4" s="1"/>
  <c r="F417" i="4"/>
  <c r="E417" i="4"/>
  <c r="A417" i="4"/>
  <c r="G416" i="4" a="1"/>
  <c r="G416" i="4" s="1"/>
  <c r="H416" i="4" s="1"/>
  <c r="F416" i="4"/>
  <c r="E416" i="4"/>
  <c r="A416" i="4"/>
  <c r="G415" i="4" a="1"/>
  <c r="G415" i="4" s="1"/>
  <c r="H415" i="4" s="1"/>
  <c r="F415" i="4"/>
  <c r="E415" i="4"/>
  <c r="A415" i="4"/>
  <c r="G414" i="4" a="1"/>
  <c r="G414" i="4" s="1"/>
  <c r="H414" i="4" s="1"/>
  <c r="F414" i="4"/>
  <c r="E414" i="4"/>
  <c r="A414" i="4"/>
  <c r="G413" i="4" a="1"/>
  <c r="G413" i="4" s="1"/>
  <c r="H413" i="4" s="1"/>
  <c r="F413" i="4"/>
  <c r="E413" i="4"/>
  <c r="A413" i="4"/>
  <c r="G412" i="4" a="1"/>
  <c r="G412" i="4" s="1"/>
  <c r="H412" i="4" s="1"/>
  <c r="F412" i="4"/>
  <c r="E412" i="4"/>
  <c r="A412" i="4"/>
  <c r="G411" i="4" a="1"/>
  <c r="G411" i="4" s="1"/>
  <c r="H411" i="4" s="1"/>
  <c r="F411" i="4"/>
  <c r="E411" i="4"/>
  <c r="A411" i="4"/>
  <c r="G410" i="4" a="1"/>
  <c r="G410" i="4" s="1"/>
  <c r="H410" i="4" s="1"/>
  <c r="F410" i="4"/>
  <c r="E410" i="4"/>
  <c r="A410" i="4"/>
  <c r="G409" i="4" a="1"/>
  <c r="G409" i="4" s="1"/>
  <c r="H409" i="4" s="1"/>
  <c r="F409" i="4"/>
  <c r="E409" i="4"/>
  <c r="A409" i="4"/>
  <c r="G408" i="4" a="1"/>
  <c r="G408" i="4" s="1"/>
  <c r="H408" i="4" s="1"/>
  <c r="F408" i="4"/>
  <c r="E408" i="4"/>
  <c r="A408" i="4"/>
  <c r="G407" i="4" a="1"/>
  <c r="G407" i="4" s="1"/>
  <c r="H407" i="4" s="1"/>
  <c r="F407" i="4"/>
  <c r="E407" i="4"/>
  <c r="A407" i="4"/>
  <c r="G406" i="4" a="1"/>
  <c r="G406" i="4" s="1"/>
  <c r="H406" i="4" s="1"/>
  <c r="F406" i="4"/>
  <c r="E406" i="4"/>
  <c r="A406" i="4"/>
  <c r="G405" i="4" a="1"/>
  <c r="G405" i="4" s="1"/>
  <c r="H405" i="4" s="1"/>
  <c r="F405" i="4"/>
  <c r="E405" i="4"/>
  <c r="A405" i="4"/>
  <c r="G404" i="4" a="1"/>
  <c r="G404" i="4" s="1"/>
  <c r="H404" i="4" s="1"/>
  <c r="F404" i="4"/>
  <c r="E404" i="4"/>
  <c r="A404" i="4"/>
  <c r="G403" i="4" a="1"/>
  <c r="G403" i="4" s="1"/>
  <c r="H403" i="4" s="1"/>
  <c r="F403" i="4"/>
  <c r="E403" i="4"/>
  <c r="A403" i="4"/>
  <c r="G402" i="4" a="1"/>
  <c r="G402" i="4" s="1"/>
  <c r="H402" i="4" s="1"/>
  <c r="F402" i="4"/>
  <c r="E402" i="4"/>
  <c r="A402" i="4"/>
  <c r="G401" i="4" a="1"/>
  <c r="G401" i="4" s="1"/>
  <c r="H401" i="4" s="1"/>
  <c r="F401" i="4"/>
  <c r="E401" i="4"/>
  <c r="A401" i="4"/>
  <c r="G400" i="4" a="1"/>
  <c r="G400" i="4" s="1"/>
  <c r="H400" i="4" s="1"/>
  <c r="F400" i="4"/>
  <c r="E400" i="4"/>
  <c r="A400" i="4"/>
  <c r="G399" i="4" a="1"/>
  <c r="G399" i="4" s="1"/>
  <c r="H399" i="4" s="1"/>
  <c r="F399" i="4"/>
  <c r="E399" i="4"/>
  <c r="A399" i="4"/>
  <c r="G398" i="4" a="1"/>
  <c r="G398" i="4" s="1"/>
  <c r="H398" i="4" s="1"/>
  <c r="F398" i="4"/>
  <c r="E398" i="4"/>
  <c r="A398" i="4"/>
  <c r="G397" i="4" a="1"/>
  <c r="G397" i="4" s="1"/>
  <c r="H397" i="4" s="1"/>
  <c r="F397" i="4"/>
  <c r="E397" i="4"/>
  <c r="A397" i="4"/>
  <c r="G396" i="4" a="1"/>
  <c r="G396" i="4" s="1"/>
  <c r="H396" i="4" s="1"/>
  <c r="F396" i="4"/>
  <c r="E396" i="4"/>
  <c r="A396" i="4"/>
  <c r="G395" i="4" a="1"/>
  <c r="G395" i="4" s="1"/>
  <c r="H395" i="4" s="1"/>
  <c r="F395" i="4"/>
  <c r="E395" i="4"/>
  <c r="A395" i="4"/>
  <c r="G394" i="4" a="1"/>
  <c r="G394" i="4" s="1"/>
  <c r="H394" i="4" s="1"/>
  <c r="F394" i="4"/>
  <c r="E394" i="4"/>
  <c r="A394" i="4"/>
  <c r="G393" i="4" a="1"/>
  <c r="G393" i="4" s="1"/>
  <c r="H393" i="4" s="1"/>
  <c r="F393" i="4"/>
  <c r="E393" i="4"/>
  <c r="A393" i="4"/>
  <c r="G392" i="4" a="1"/>
  <c r="G392" i="4" s="1"/>
  <c r="H392" i="4" s="1"/>
  <c r="F392" i="4"/>
  <c r="E392" i="4"/>
  <c r="A392" i="4"/>
  <c r="G391" i="4" a="1"/>
  <c r="G391" i="4" s="1"/>
  <c r="H391" i="4" s="1"/>
  <c r="F391" i="4"/>
  <c r="E391" i="4"/>
  <c r="A391" i="4"/>
  <c r="G390" i="4" a="1"/>
  <c r="G390" i="4" s="1"/>
  <c r="H390" i="4" s="1"/>
  <c r="F390" i="4"/>
  <c r="E390" i="4"/>
  <c r="A390" i="4"/>
  <c r="G389" i="4" a="1"/>
  <c r="G389" i="4" s="1"/>
  <c r="H389" i="4" s="1"/>
  <c r="F389" i="4"/>
  <c r="E389" i="4"/>
  <c r="A389" i="4"/>
  <c r="G388" i="4" a="1"/>
  <c r="G388" i="4" s="1"/>
  <c r="H388" i="4" s="1"/>
  <c r="F388" i="4"/>
  <c r="E388" i="4"/>
  <c r="A388" i="4"/>
  <c r="G387" i="4" a="1"/>
  <c r="G387" i="4" s="1"/>
  <c r="H387" i="4" s="1"/>
  <c r="F387" i="4"/>
  <c r="E387" i="4"/>
  <c r="A387" i="4"/>
  <c r="G386" i="4" a="1"/>
  <c r="G386" i="4" s="1"/>
  <c r="H386" i="4" s="1"/>
  <c r="F386" i="4"/>
  <c r="E386" i="4"/>
  <c r="A386" i="4"/>
  <c r="G385" i="4" a="1"/>
  <c r="G385" i="4" s="1"/>
  <c r="H385" i="4" s="1"/>
  <c r="F385" i="4"/>
  <c r="E385" i="4"/>
  <c r="A385" i="4"/>
  <c r="G384" i="4" a="1"/>
  <c r="G384" i="4" s="1"/>
  <c r="H384" i="4" s="1"/>
  <c r="F384" i="4"/>
  <c r="E384" i="4"/>
  <c r="A384" i="4"/>
  <c r="G383" i="4" a="1"/>
  <c r="G383" i="4" s="1"/>
  <c r="H383" i="4" s="1"/>
  <c r="F383" i="4"/>
  <c r="E383" i="4"/>
  <c r="A383" i="4"/>
  <c r="G382" i="4" a="1"/>
  <c r="G382" i="4" s="1"/>
  <c r="H382" i="4" s="1"/>
  <c r="F382" i="4"/>
  <c r="E382" i="4"/>
  <c r="A382" i="4"/>
  <c r="G381" i="4" a="1"/>
  <c r="G381" i="4" s="1"/>
  <c r="H381" i="4" s="1"/>
  <c r="F381" i="4"/>
  <c r="E381" i="4"/>
  <c r="A381" i="4"/>
  <c r="G380" i="4" a="1"/>
  <c r="G380" i="4" s="1"/>
  <c r="H380" i="4" s="1"/>
  <c r="F380" i="4"/>
  <c r="E380" i="4"/>
  <c r="A380" i="4"/>
  <c r="G379" i="4" a="1"/>
  <c r="G379" i="4" s="1"/>
  <c r="H379" i="4" s="1"/>
  <c r="F379" i="4"/>
  <c r="E379" i="4"/>
  <c r="A379" i="4"/>
  <c r="G378" i="4" a="1"/>
  <c r="G378" i="4" s="1"/>
  <c r="H378" i="4" s="1"/>
  <c r="F378" i="4"/>
  <c r="E378" i="4"/>
  <c r="A378" i="4"/>
  <c r="G377" i="4" a="1"/>
  <c r="G377" i="4" s="1"/>
  <c r="H377" i="4" s="1"/>
  <c r="F377" i="4"/>
  <c r="E377" i="4"/>
  <c r="A377" i="4"/>
  <c r="G376" i="4" a="1"/>
  <c r="G376" i="4" s="1"/>
  <c r="H376" i="4" s="1"/>
  <c r="F376" i="4"/>
  <c r="E376" i="4"/>
  <c r="A376" i="4"/>
  <c r="G375" i="4" a="1"/>
  <c r="G375" i="4" s="1"/>
  <c r="H375" i="4" s="1"/>
  <c r="F375" i="4"/>
  <c r="E375" i="4"/>
  <c r="A375" i="4"/>
  <c r="G374" i="4" a="1"/>
  <c r="G374" i="4" s="1"/>
  <c r="H374" i="4" s="1"/>
  <c r="F374" i="4"/>
  <c r="E374" i="4"/>
  <c r="A374" i="4"/>
  <c r="G373" i="4" a="1"/>
  <c r="G373" i="4" s="1"/>
  <c r="H373" i="4" s="1"/>
  <c r="F373" i="4"/>
  <c r="E373" i="4"/>
  <c r="A373" i="4"/>
  <c r="G372" i="4" a="1"/>
  <c r="G372" i="4" s="1"/>
  <c r="H372" i="4" s="1"/>
  <c r="F372" i="4"/>
  <c r="E372" i="4"/>
  <c r="A372" i="4"/>
  <c r="G371" i="4" a="1"/>
  <c r="G371" i="4" s="1"/>
  <c r="H371" i="4" s="1"/>
  <c r="F371" i="4"/>
  <c r="E371" i="4"/>
  <c r="A371" i="4"/>
  <c r="G370" i="4" a="1"/>
  <c r="G370" i="4" s="1"/>
  <c r="H370" i="4" s="1"/>
  <c r="F370" i="4"/>
  <c r="E370" i="4"/>
  <c r="A370" i="4"/>
  <c r="G369" i="4" a="1"/>
  <c r="G369" i="4" s="1"/>
  <c r="H369" i="4" s="1"/>
  <c r="F369" i="4"/>
  <c r="E369" i="4"/>
  <c r="A369" i="4"/>
  <c r="G368" i="4" a="1"/>
  <c r="G368" i="4" s="1"/>
  <c r="H368" i="4" s="1"/>
  <c r="F368" i="4"/>
  <c r="E368" i="4"/>
  <c r="A368" i="4"/>
  <c r="G367" i="4" a="1"/>
  <c r="G367" i="4" s="1"/>
  <c r="H367" i="4" s="1"/>
  <c r="F367" i="4"/>
  <c r="E367" i="4"/>
  <c r="A367" i="4"/>
  <c r="G366" i="4" a="1"/>
  <c r="G366" i="4" s="1"/>
  <c r="H366" i="4" s="1"/>
  <c r="F366" i="4"/>
  <c r="E366" i="4"/>
  <c r="A366" i="4"/>
  <c r="G365" i="4" a="1"/>
  <c r="G365" i="4" s="1"/>
  <c r="H365" i="4" s="1"/>
  <c r="F365" i="4"/>
  <c r="E365" i="4"/>
  <c r="A365" i="4"/>
  <c r="G364" i="4" a="1"/>
  <c r="G364" i="4" s="1"/>
  <c r="H364" i="4" s="1"/>
  <c r="F364" i="4"/>
  <c r="E364" i="4"/>
  <c r="A364" i="4"/>
  <c r="G363" i="4" a="1"/>
  <c r="G363" i="4" s="1"/>
  <c r="H363" i="4" s="1"/>
  <c r="F363" i="4"/>
  <c r="E363" i="4"/>
  <c r="A363" i="4"/>
  <c r="G362" i="4" a="1"/>
  <c r="G362" i="4" s="1"/>
  <c r="H362" i="4" s="1"/>
  <c r="F362" i="4"/>
  <c r="E362" i="4"/>
  <c r="A362" i="4"/>
  <c r="G361" i="4" a="1"/>
  <c r="G361" i="4" s="1"/>
  <c r="H361" i="4" s="1"/>
  <c r="F361" i="4"/>
  <c r="E361" i="4"/>
  <c r="A361" i="4"/>
  <c r="G360" i="4" a="1"/>
  <c r="G360" i="4" s="1"/>
  <c r="H360" i="4" s="1"/>
  <c r="F360" i="4"/>
  <c r="E360" i="4"/>
  <c r="A360" i="4"/>
  <c r="G359" i="4" a="1"/>
  <c r="G359" i="4" s="1"/>
  <c r="H359" i="4" s="1"/>
  <c r="F359" i="4"/>
  <c r="E359" i="4"/>
  <c r="A359" i="4"/>
  <c r="G358" i="4" a="1"/>
  <c r="G358" i="4" s="1"/>
  <c r="H358" i="4" s="1"/>
  <c r="F358" i="4"/>
  <c r="E358" i="4"/>
  <c r="A358" i="4"/>
  <c r="G357" i="4" a="1"/>
  <c r="G357" i="4" s="1"/>
  <c r="H357" i="4" s="1"/>
  <c r="F357" i="4"/>
  <c r="E357" i="4"/>
  <c r="A357" i="4"/>
  <c r="G356" i="4" a="1"/>
  <c r="G356" i="4" s="1"/>
  <c r="H356" i="4" s="1"/>
  <c r="F356" i="4"/>
  <c r="E356" i="4"/>
  <c r="A356" i="4"/>
  <c r="G355" i="4" a="1"/>
  <c r="G355" i="4" s="1"/>
  <c r="H355" i="4" s="1"/>
  <c r="F355" i="4"/>
  <c r="E355" i="4"/>
  <c r="A355" i="4"/>
  <c r="G354" i="4" a="1"/>
  <c r="G354" i="4" s="1"/>
  <c r="H354" i="4" s="1"/>
  <c r="F354" i="4"/>
  <c r="E354" i="4"/>
  <c r="A354" i="4"/>
  <c r="G353" i="4" a="1"/>
  <c r="G353" i="4" s="1"/>
  <c r="H353" i="4" s="1"/>
  <c r="F353" i="4"/>
  <c r="E353" i="4"/>
  <c r="A353" i="4"/>
  <c r="G352" i="4" a="1"/>
  <c r="G352" i="4" s="1"/>
  <c r="H352" i="4" s="1"/>
  <c r="F352" i="4"/>
  <c r="E352" i="4"/>
  <c r="A352" i="4"/>
  <c r="G351" i="4" a="1"/>
  <c r="G351" i="4" s="1"/>
  <c r="H351" i="4" s="1"/>
  <c r="F351" i="4"/>
  <c r="E351" i="4"/>
  <c r="A351" i="4"/>
  <c r="G350" i="4" a="1"/>
  <c r="G350" i="4" s="1"/>
  <c r="H350" i="4" s="1"/>
  <c r="F350" i="4"/>
  <c r="E350" i="4"/>
  <c r="A350" i="4"/>
  <c r="G349" i="4" a="1"/>
  <c r="G349" i="4" s="1"/>
  <c r="H349" i="4" s="1"/>
  <c r="F349" i="4"/>
  <c r="E349" i="4"/>
  <c r="A349" i="4"/>
  <c r="G348" i="4" a="1"/>
  <c r="G348" i="4" s="1"/>
  <c r="H348" i="4" s="1"/>
  <c r="F348" i="4"/>
  <c r="E348" i="4"/>
  <c r="A348" i="4"/>
  <c r="G347" i="4" a="1"/>
  <c r="G347" i="4" s="1"/>
  <c r="H347" i="4" s="1"/>
  <c r="F347" i="4"/>
  <c r="E347" i="4"/>
  <c r="A347" i="4"/>
  <c r="G346" i="4" a="1"/>
  <c r="G346" i="4" s="1"/>
  <c r="H346" i="4" s="1"/>
  <c r="F346" i="4"/>
  <c r="E346" i="4"/>
  <c r="A346" i="4"/>
  <c r="G345" i="4" a="1"/>
  <c r="G345" i="4" s="1"/>
  <c r="H345" i="4" s="1"/>
  <c r="F345" i="4"/>
  <c r="E345" i="4"/>
  <c r="A345" i="4"/>
  <c r="G344" i="4" a="1"/>
  <c r="G344" i="4" s="1"/>
  <c r="H344" i="4" s="1"/>
  <c r="F344" i="4"/>
  <c r="E344" i="4"/>
  <c r="A344" i="4"/>
  <c r="G343" i="4" a="1"/>
  <c r="G343" i="4" s="1"/>
  <c r="H343" i="4" s="1"/>
  <c r="F343" i="4"/>
  <c r="E343" i="4"/>
  <c r="A343" i="4"/>
  <c r="G342" i="4" a="1"/>
  <c r="G342" i="4" s="1"/>
  <c r="H342" i="4" s="1"/>
  <c r="F342" i="4"/>
  <c r="E342" i="4"/>
  <c r="A342" i="4"/>
  <c r="G341" i="4" a="1"/>
  <c r="G341" i="4" s="1"/>
  <c r="H341" i="4" s="1"/>
  <c r="F341" i="4"/>
  <c r="E341" i="4"/>
  <c r="A341" i="4"/>
  <c r="G340" i="4" a="1"/>
  <c r="G340" i="4" s="1"/>
  <c r="H340" i="4" s="1"/>
  <c r="F340" i="4"/>
  <c r="E340" i="4"/>
  <c r="A340" i="4"/>
  <c r="G339" i="4" a="1"/>
  <c r="G339" i="4" s="1"/>
  <c r="H339" i="4" s="1"/>
  <c r="F339" i="4"/>
  <c r="E339" i="4"/>
  <c r="A339" i="4"/>
  <c r="G338" i="4" a="1"/>
  <c r="G338" i="4" s="1"/>
  <c r="H338" i="4" s="1"/>
  <c r="F338" i="4"/>
  <c r="E338" i="4"/>
  <c r="A338" i="4"/>
  <c r="G337" i="4" a="1"/>
  <c r="G337" i="4" s="1"/>
  <c r="H337" i="4" s="1"/>
  <c r="F337" i="4"/>
  <c r="E337" i="4"/>
  <c r="A337" i="4"/>
  <c r="G336" i="4" a="1"/>
  <c r="G336" i="4" s="1"/>
  <c r="H336" i="4" s="1"/>
  <c r="F336" i="4"/>
  <c r="E336" i="4"/>
  <c r="A336" i="4"/>
  <c r="G335" i="4" a="1"/>
  <c r="G335" i="4" s="1"/>
  <c r="H335" i="4" s="1"/>
  <c r="F335" i="4"/>
  <c r="E335" i="4"/>
  <c r="A335" i="4"/>
  <c r="G334" i="4" a="1"/>
  <c r="G334" i="4" s="1"/>
  <c r="H334" i="4" s="1"/>
  <c r="F334" i="4"/>
  <c r="E334" i="4"/>
  <c r="A334" i="4"/>
  <c r="G333" i="4" a="1"/>
  <c r="G333" i="4" s="1"/>
  <c r="H333" i="4" s="1"/>
  <c r="F333" i="4"/>
  <c r="E333" i="4"/>
  <c r="A333" i="4"/>
  <c r="G332" i="4" a="1"/>
  <c r="G332" i="4" s="1"/>
  <c r="H332" i="4" s="1"/>
  <c r="F332" i="4"/>
  <c r="E332" i="4"/>
  <c r="A332" i="4"/>
  <c r="G331" i="4" a="1"/>
  <c r="G331" i="4" s="1"/>
  <c r="H331" i="4" s="1"/>
  <c r="F331" i="4"/>
  <c r="E331" i="4"/>
  <c r="A331" i="4"/>
  <c r="G330" i="4" a="1"/>
  <c r="G330" i="4" s="1"/>
  <c r="H330" i="4" s="1"/>
  <c r="F330" i="4"/>
  <c r="E330" i="4"/>
  <c r="A330" i="4"/>
  <c r="G329" i="4" a="1"/>
  <c r="G329" i="4" s="1"/>
  <c r="H329" i="4" s="1"/>
  <c r="F329" i="4"/>
  <c r="E329" i="4"/>
  <c r="A329" i="4"/>
  <c r="G328" i="4" a="1"/>
  <c r="G328" i="4" s="1"/>
  <c r="H328" i="4" s="1"/>
  <c r="F328" i="4"/>
  <c r="E328" i="4"/>
  <c r="A328" i="4"/>
  <c r="G327" i="4" a="1"/>
  <c r="G327" i="4" s="1"/>
  <c r="H327" i="4" s="1"/>
  <c r="F327" i="4"/>
  <c r="E327" i="4"/>
  <c r="A327" i="4"/>
  <c r="G326" i="4" a="1"/>
  <c r="G326" i="4" s="1"/>
  <c r="H326" i="4" s="1"/>
  <c r="F326" i="4"/>
  <c r="E326" i="4"/>
  <c r="A326" i="4"/>
  <c r="G325" i="4" a="1"/>
  <c r="G325" i="4" s="1"/>
  <c r="H325" i="4" s="1"/>
  <c r="F325" i="4"/>
  <c r="E325" i="4"/>
  <c r="A325" i="4"/>
  <c r="G324" i="4" a="1"/>
  <c r="G324" i="4" s="1"/>
  <c r="H324" i="4" s="1"/>
  <c r="F324" i="4"/>
  <c r="E324" i="4"/>
  <c r="A324" i="4"/>
  <c r="G323" i="4" a="1"/>
  <c r="G323" i="4" s="1"/>
  <c r="H323" i="4" s="1"/>
  <c r="F323" i="4"/>
  <c r="E323" i="4"/>
  <c r="A323" i="4"/>
  <c r="G322" i="4" a="1"/>
  <c r="G322" i="4" s="1"/>
  <c r="H322" i="4" s="1"/>
  <c r="F322" i="4"/>
  <c r="E322" i="4"/>
  <c r="A322" i="4"/>
  <c r="G321" i="4" a="1"/>
  <c r="G321" i="4" s="1"/>
  <c r="H321" i="4" s="1"/>
  <c r="F321" i="4"/>
  <c r="E321" i="4"/>
  <c r="A321" i="4"/>
  <c r="G320" i="4" a="1"/>
  <c r="G320" i="4" s="1"/>
  <c r="H320" i="4" s="1"/>
  <c r="F320" i="4"/>
  <c r="E320" i="4"/>
  <c r="A320" i="4"/>
  <c r="G319" i="4" a="1"/>
  <c r="G319" i="4" s="1"/>
  <c r="H319" i="4" s="1"/>
  <c r="F319" i="4"/>
  <c r="E319" i="4"/>
  <c r="A319" i="4"/>
  <c r="G318" i="4" a="1"/>
  <c r="G318" i="4" s="1"/>
  <c r="H318" i="4" s="1"/>
  <c r="F318" i="4"/>
  <c r="E318" i="4"/>
  <c r="A318" i="4"/>
  <c r="G317" i="4" a="1"/>
  <c r="G317" i="4" s="1"/>
  <c r="H317" i="4" s="1"/>
  <c r="F317" i="4"/>
  <c r="E317" i="4"/>
  <c r="A317" i="4"/>
  <c r="G316" i="4" a="1"/>
  <c r="G316" i="4" s="1"/>
  <c r="H316" i="4" s="1"/>
  <c r="F316" i="4"/>
  <c r="E316" i="4"/>
  <c r="A316" i="4"/>
  <c r="G315" i="4" a="1"/>
  <c r="G315" i="4" s="1"/>
  <c r="H315" i="4" s="1"/>
  <c r="F315" i="4"/>
  <c r="E315" i="4"/>
  <c r="A315" i="4"/>
  <c r="G314" i="4" a="1"/>
  <c r="G314" i="4" s="1"/>
  <c r="H314" i="4" s="1"/>
  <c r="F314" i="4"/>
  <c r="E314" i="4"/>
  <c r="A314" i="4"/>
  <c r="G313" i="4" a="1"/>
  <c r="G313" i="4" s="1"/>
  <c r="H313" i="4" s="1"/>
  <c r="F313" i="4"/>
  <c r="E313" i="4"/>
  <c r="A313" i="4"/>
  <c r="G312" i="4" a="1"/>
  <c r="G312" i="4" s="1"/>
  <c r="H312" i="4" s="1"/>
  <c r="F312" i="4"/>
  <c r="E312" i="4"/>
  <c r="A312" i="4"/>
  <c r="G311" i="4" a="1"/>
  <c r="G311" i="4" s="1"/>
  <c r="H311" i="4" s="1"/>
  <c r="F311" i="4"/>
  <c r="E311" i="4"/>
  <c r="A311" i="4"/>
  <c r="G310" i="4" a="1"/>
  <c r="G310" i="4" s="1"/>
  <c r="H310" i="4" s="1"/>
  <c r="F310" i="4"/>
  <c r="E310" i="4"/>
  <c r="A310" i="4"/>
  <c r="G309" i="4" a="1"/>
  <c r="G309" i="4" s="1"/>
  <c r="H309" i="4" s="1"/>
  <c r="F309" i="4"/>
  <c r="E309" i="4"/>
  <c r="A309" i="4"/>
  <c r="G308" i="4" a="1"/>
  <c r="G308" i="4" s="1"/>
  <c r="H308" i="4" s="1"/>
  <c r="F308" i="4"/>
  <c r="E308" i="4"/>
  <c r="A308" i="4"/>
  <c r="G307" i="4" a="1"/>
  <c r="G307" i="4" s="1"/>
  <c r="H307" i="4" s="1"/>
  <c r="F307" i="4"/>
  <c r="E307" i="4"/>
  <c r="A307" i="4"/>
  <c r="G306" i="4" a="1"/>
  <c r="G306" i="4" s="1"/>
  <c r="H306" i="4" s="1"/>
  <c r="F306" i="4"/>
  <c r="E306" i="4"/>
  <c r="A306" i="4"/>
  <c r="G305" i="4" a="1"/>
  <c r="G305" i="4" s="1"/>
  <c r="H305" i="4" s="1"/>
  <c r="F305" i="4"/>
  <c r="E305" i="4"/>
  <c r="A305" i="4"/>
  <c r="G304" i="4" a="1"/>
  <c r="G304" i="4" s="1"/>
  <c r="H304" i="4" s="1"/>
  <c r="F304" i="4"/>
  <c r="E304" i="4"/>
  <c r="A304" i="4"/>
  <c r="G303" i="4" a="1"/>
  <c r="G303" i="4" s="1"/>
  <c r="H303" i="4" s="1"/>
  <c r="F303" i="4"/>
  <c r="E303" i="4"/>
  <c r="A303" i="4"/>
  <c r="G302" i="4" a="1"/>
  <c r="G302" i="4" s="1"/>
  <c r="H302" i="4" s="1"/>
  <c r="F302" i="4"/>
  <c r="E302" i="4"/>
  <c r="A302" i="4"/>
  <c r="G301" i="4" a="1"/>
  <c r="G301" i="4" s="1"/>
  <c r="H301" i="4" s="1"/>
  <c r="F301" i="4"/>
  <c r="E301" i="4"/>
  <c r="A301" i="4"/>
  <c r="G300" i="4" a="1"/>
  <c r="G300" i="4" s="1"/>
  <c r="H300" i="4" s="1"/>
  <c r="F300" i="4"/>
  <c r="E300" i="4"/>
  <c r="A300" i="4"/>
  <c r="G299" i="4" a="1"/>
  <c r="G299" i="4" s="1"/>
  <c r="H299" i="4" s="1"/>
  <c r="F299" i="4"/>
  <c r="E299" i="4"/>
  <c r="A299" i="4"/>
  <c r="G298" i="4" a="1"/>
  <c r="G298" i="4" s="1"/>
  <c r="H298" i="4" s="1"/>
  <c r="F298" i="4"/>
  <c r="E298" i="4"/>
  <c r="A298" i="4"/>
  <c r="G297" i="4" a="1"/>
  <c r="G297" i="4" s="1"/>
  <c r="H297" i="4" s="1"/>
  <c r="F297" i="4"/>
  <c r="E297" i="4"/>
  <c r="A297" i="4"/>
  <c r="G296" i="4" a="1"/>
  <c r="G296" i="4" s="1"/>
  <c r="H296" i="4" s="1"/>
  <c r="F296" i="4"/>
  <c r="E296" i="4"/>
  <c r="A296" i="4"/>
  <c r="G295" i="4" a="1"/>
  <c r="G295" i="4" s="1"/>
  <c r="H295" i="4" s="1"/>
  <c r="F295" i="4"/>
  <c r="E295" i="4"/>
  <c r="A295" i="4"/>
  <c r="G294" i="4" a="1"/>
  <c r="G294" i="4" s="1"/>
  <c r="H294" i="4" s="1"/>
  <c r="F294" i="4"/>
  <c r="E294" i="4"/>
  <c r="A294" i="4"/>
  <c r="G293" i="4" a="1"/>
  <c r="G293" i="4" s="1"/>
  <c r="H293" i="4" s="1"/>
  <c r="F293" i="4"/>
  <c r="E293" i="4"/>
  <c r="A293" i="4"/>
  <c r="G292" i="4" a="1"/>
  <c r="G292" i="4" s="1"/>
  <c r="H292" i="4" s="1"/>
  <c r="F292" i="4"/>
  <c r="E292" i="4"/>
  <c r="A292" i="4"/>
  <c r="G291" i="4" a="1"/>
  <c r="G291" i="4" s="1"/>
  <c r="H291" i="4" s="1"/>
  <c r="F291" i="4"/>
  <c r="E291" i="4"/>
  <c r="A291" i="4"/>
  <c r="G290" i="4" a="1"/>
  <c r="G290" i="4" s="1"/>
  <c r="H290" i="4" s="1"/>
  <c r="F290" i="4"/>
  <c r="E290" i="4"/>
  <c r="A290" i="4"/>
  <c r="G289" i="4" a="1"/>
  <c r="G289" i="4" s="1"/>
  <c r="H289" i="4" s="1"/>
  <c r="F289" i="4"/>
  <c r="E289" i="4"/>
  <c r="A289" i="4"/>
  <c r="G288" i="4" a="1"/>
  <c r="G288" i="4" s="1"/>
  <c r="H288" i="4" s="1"/>
  <c r="F288" i="4"/>
  <c r="E288" i="4"/>
  <c r="A288" i="4"/>
  <c r="G287" i="4" a="1"/>
  <c r="G287" i="4" s="1"/>
  <c r="H287" i="4" s="1"/>
  <c r="F287" i="4"/>
  <c r="E287" i="4"/>
  <c r="A287" i="4"/>
  <c r="G286" i="4" a="1"/>
  <c r="G286" i="4" s="1"/>
  <c r="H286" i="4" s="1"/>
  <c r="F286" i="4"/>
  <c r="E286" i="4"/>
  <c r="A286" i="4"/>
  <c r="G285" i="4" a="1"/>
  <c r="G285" i="4" s="1"/>
  <c r="H285" i="4" s="1"/>
  <c r="F285" i="4"/>
  <c r="E285" i="4"/>
  <c r="A285" i="4"/>
  <c r="G284" i="4" a="1"/>
  <c r="G284" i="4" s="1"/>
  <c r="H284" i="4" s="1"/>
  <c r="F284" i="4"/>
  <c r="E284" i="4"/>
  <c r="A284" i="4"/>
  <c r="G283" i="4" a="1"/>
  <c r="G283" i="4" s="1"/>
  <c r="H283" i="4" s="1"/>
  <c r="F283" i="4"/>
  <c r="E283" i="4"/>
  <c r="A283" i="4"/>
  <c r="G282" i="4" a="1"/>
  <c r="G282" i="4" s="1"/>
  <c r="H282" i="4" s="1"/>
  <c r="F282" i="4"/>
  <c r="E282" i="4"/>
  <c r="A282" i="4"/>
  <c r="G281" i="4" a="1"/>
  <c r="G281" i="4" s="1"/>
  <c r="H281" i="4" s="1"/>
  <c r="F281" i="4"/>
  <c r="E281" i="4"/>
  <c r="A281" i="4"/>
  <c r="G280" i="4" a="1"/>
  <c r="G280" i="4" s="1"/>
  <c r="H280" i="4" s="1"/>
  <c r="F280" i="4"/>
  <c r="E280" i="4"/>
  <c r="A280" i="4"/>
  <c r="G279" i="4" a="1"/>
  <c r="G279" i="4" s="1"/>
  <c r="H279" i="4" s="1"/>
  <c r="F279" i="4"/>
  <c r="E279" i="4"/>
  <c r="A279" i="4"/>
  <c r="G278" i="4" a="1"/>
  <c r="G278" i="4" s="1"/>
  <c r="H278" i="4" s="1"/>
  <c r="F278" i="4"/>
  <c r="E278" i="4"/>
  <c r="A278" i="4"/>
  <c r="G277" i="4" a="1"/>
  <c r="G277" i="4" s="1"/>
  <c r="H277" i="4" s="1"/>
  <c r="F277" i="4"/>
  <c r="E277" i="4"/>
  <c r="A277" i="4"/>
  <c r="G276" i="4" a="1"/>
  <c r="G276" i="4" s="1"/>
  <c r="H276" i="4" s="1"/>
  <c r="F276" i="4"/>
  <c r="E276" i="4"/>
  <c r="A276" i="4"/>
  <c r="G275" i="4" a="1"/>
  <c r="G275" i="4" s="1"/>
  <c r="H275" i="4" s="1"/>
  <c r="F275" i="4"/>
  <c r="E275" i="4"/>
  <c r="A275" i="4"/>
  <c r="G274" i="4" a="1"/>
  <c r="G274" i="4" s="1"/>
  <c r="H274" i="4" s="1"/>
  <c r="F274" i="4"/>
  <c r="E274" i="4"/>
  <c r="A274" i="4"/>
  <c r="G273" i="4" a="1"/>
  <c r="G273" i="4" s="1"/>
  <c r="H273" i="4" s="1"/>
  <c r="F273" i="4"/>
  <c r="E273" i="4"/>
  <c r="A273" i="4"/>
  <c r="G272" i="4" a="1"/>
  <c r="G272" i="4" s="1"/>
  <c r="H272" i="4" s="1"/>
  <c r="F272" i="4"/>
  <c r="E272" i="4"/>
  <c r="A272" i="4"/>
  <c r="G271" i="4" a="1"/>
  <c r="G271" i="4" s="1"/>
  <c r="H271" i="4" s="1"/>
  <c r="F271" i="4"/>
  <c r="E271" i="4"/>
  <c r="A271" i="4"/>
  <c r="G270" i="4" a="1"/>
  <c r="G270" i="4" s="1"/>
  <c r="H270" i="4" s="1"/>
  <c r="F270" i="4"/>
  <c r="E270" i="4"/>
  <c r="A270" i="4"/>
  <c r="G269" i="4" a="1"/>
  <c r="G269" i="4" s="1"/>
  <c r="H269" i="4" s="1"/>
  <c r="F269" i="4"/>
  <c r="E269" i="4"/>
  <c r="A269" i="4"/>
  <c r="G268" i="4" a="1"/>
  <c r="G268" i="4" s="1"/>
  <c r="H268" i="4" s="1"/>
  <c r="F268" i="4"/>
  <c r="E268" i="4"/>
  <c r="A268" i="4"/>
  <c r="G267" i="4" a="1"/>
  <c r="G267" i="4" s="1"/>
  <c r="H267" i="4" s="1"/>
  <c r="F267" i="4"/>
  <c r="E267" i="4"/>
  <c r="A267" i="4"/>
  <c r="G266" i="4" a="1"/>
  <c r="G266" i="4" s="1"/>
  <c r="H266" i="4" s="1"/>
  <c r="F266" i="4"/>
  <c r="E266" i="4"/>
  <c r="A266" i="4"/>
  <c r="G265" i="4" a="1"/>
  <c r="G265" i="4" s="1"/>
  <c r="H265" i="4" s="1"/>
  <c r="F265" i="4"/>
  <c r="E265" i="4"/>
  <c r="A265" i="4"/>
  <c r="G264" i="4" a="1"/>
  <c r="G264" i="4" s="1"/>
  <c r="H264" i="4" s="1"/>
  <c r="F264" i="4"/>
  <c r="E264" i="4"/>
  <c r="A264" i="4"/>
  <c r="G263" i="4" a="1"/>
  <c r="G263" i="4" s="1"/>
  <c r="H263" i="4" s="1"/>
  <c r="F263" i="4"/>
  <c r="E263" i="4"/>
  <c r="A263" i="4"/>
  <c r="G262" i="4" a="1"/>
  <c r="G262" i="4" s="1"/>
  <c r="H262" i="4" s="1"/>
  <c r="F262" i="4"/>
  <c r="E262" i="4"/>
  <c r="A262" i="4"/>
  <c r="G261" i="4" a="1"/>
  <c r="G261" i="4" s="1"/>
  <c r="H261" i="4" s="1"/>
  <c r="F261" i="4"/>
  <c r="E261" i="4"/>
  <c r="A261" i="4"/>
  <c r="G260" i="4" a="1"/>
  <c r="G260" i="4" s="1"/>
  <c r="H260" i="4" s="1"/>
  <c r="F260" i="4"/>
  <c r="E260" i="4"/>
  <c r="A260" i="4"/>
  <c r="G259" i="4" a="1"/>
  <c r="G259" i="4" s="1"/>
  <c r="H259" i="4" s="1"/>
  <c r="F259" i="4"/>
  <c r="E259" i="4"/>
  <c r="A259" i="4"/>
  <c r="G258" i="4" a="1"/>
  <c r="G258" i="4" s="1"/>
  <c r="H258" i="4" s="1"/>
  <c r="F258" i="4"/>
  <c r="E258" i="4"/>
  <c r="A258" i="4"/>
  <c r="G257" i="4" a="1"/>
  <c r="G257" i="4" s="1"/>
  <c r="H257" i="4" s="1"/>
  <c r="F257" i="4"/>
  <c r="E257" i="4"/>
  <c r="A257" i="4"/>
  <c r="G256" i="4" a="1"/>
  <c r="G256" i="4" s="1"/>
  <c r="H256" i="4" s="1"/>
  <c r="F256" i="4"/>
  <c r="E256" i="4"/>
  <c r="A256" i="4"/>
  <c r="G255" i="4" a="1"/>
  <c r="G255" i="4" s="1"/>
  <c r="H255" i="4" s="1"/>
  <c r="F255" i="4"/>
  <c r="E255" i="4"/>
  <c r="A255" i="4"/>
  <c r="G254" i="4" a="1"/>
  <c r="G254" i="4" s="1"/>
  <c r="H254" i="4" s="1"/>
  <c r="F254" i="4"/>
  <c r="E254" i="4"/>
  <c r="A254" i="4"/>
  <c r="G253" i="4" a="1"/>
  <c r="G253" i="4" s="1"/>
  <c r="H253" i="4" s="1"/>
  <c r="F253" i="4"/>
  <c r="E253" i="4"/>
  <c r="A253" i="4"/>
  <c r="G252" i="4" a="1"/>
  <c r="G252" i="4" s="1"/>
  <c r="H252" i="4" s="1"/>
  <c r="F252" i="4"/>
  <c r="E252" i="4"/>
  <c r="A252" i="4"/>
  <c r="G251" i="4" a="1"/>
  <c r="G251" i="4" s="1"/>
  <c r="H251" i="4" s="1"/>
  <c r="F251" i="4"/>
  <c r="E251" i="4"/>
  <c r="A251" i="4"/>
  <c r="G250" i="4" a="1"/>
  <c r="G250" i="4" s="1"/>
  <c r="H250" i="4" s="1"/>
  <c r="F250" i="4"/>
  <c r="E250" i="4"/>
  <c r="A250" i="4"/>
  <c r="G249" i="4" a="1"/>
  <c r="G249" i="4" s="1"/>
  <c r="H249" i="4" s="1"/>
  <c r="F249" i="4"/>
  <c r="E249" i="4"/>
  <c r="A249" i="4"/>
  <c r="G248" i="4" a="1"/>
  <c r="G248" i="4" s="1"/>
  <c r="H248" i="4" s="1"/>
  <c r="F248" i="4"/>
  <c r="E248" i="4"/>
  <c r="A248" i="4"/>
  <c r="G247" i="4" a="1"/>
  <c r="G247" i="4" s="1"/>
  <c r="H247" i="4" s="1"/>
  <c r="F247" i="4"/>
  <c r="E247" i="4"/>
  <c r="A247" i="4"/>
  <c r="G246" i="4" a="1"/>
  <c r="G246" i="4" s="1"/>
  <c r="H246" i="4" s="1"/>
  <c r="F246" i="4"/>
  <c r="E246" i="4"/>
  <c r="A246" i="4"/>
  <c r="G245" i="4" a="1"/>
  <c r="G245" i="4" s="1"/>
  <c r="H245" i="4" s="1"/>
  <c r="F245" i="4"/>
  <c r="E245" i="4"/>
  <c r="A245" i="4"/>
  <c r="G244" i="4" a="1"/>
  <c r="G244" i="4" s="1"/>
  <c r="H244" i="4" s="1"/>
  <c r="F244" i="4"/>
  <c r="E244" i="4"/>
  <c r="A244" i="4"/>
  <c r="G243" i="4" a="1"/>
  <c r="G243" i="4" s="1"/>
  <c r="H243" i="4" s="1"/>
  <c r="F243" i="4"/>
  <c r="E243" i="4"/>
  <c r="A243" i="4"/>
  <c r="G242" i="4" a="1"/>
  <c r="G242" i="4" s="1"/>
  <c r="H242" i="4" s="1"/>
  <c r="F242" i="4"/>
  <c r="E242" i="4"/>
  <c r="A242" i="4"/>
  <c r="G241" i="4" a="1"/>
  <c r="G241" i="4" s="1"/>
  <c r="H241" i="4" s="1"/>
  <c r="F241" i="4"/>
  <c r="E241" i="4"/>
  <c r="A241" i="4"/>
  <c r="G240" i="4" a="1"/>
  <c r="G240" i="4" s="1"/>
  <c r="H240" i="4" s="1"/>
  <c r="F240" i="4"/>
  <c r="E240" i="4"/>
  <c r="A240" i="4"/>
  <c r="G239" i="4" a="1"/>
  <c r="G239" i="4" s="1"/>
  <c r="H239" i="4" s="1"/>
  <c r="F239" i="4"/>
  <c r="E239" i="4"/>
  <c r="A239" i="4"/>
  <c r="G238" i="4" a="1"/>
  <c r="G238" i="4" s="1"/>
  <c r="H238" i="4" s="1"/>
  <c r="F238" i="4"/>
  <c r="E238" i="4"/>
  <c r="A238" i="4"/>
  <c r="G237" i="4" a="1"/>
  <c r="G237" i="4" s="1"/>
  <c r="H237" i="4" s="1"/>
  <c r="F237" i="4"/>
  <c r="E237" i="4"/>
  <c r="A237" i="4"/>
  <c r="G236" i="4" a="1"/>
  <c r="G236" i="4" s="1"/>
  <c r="H236" i="4" s="1"/>
  <c r="F236" i="4"/>
  <c r="E236" i="4"/>
  <c r="A236" i="4"/>
  <c r="G235" i="4" a="1"/>
  <c r="G235" i="4" s="1"/>
  <c r="H235" i="4" s="1"/>
  <c r="F235" i="4"/>
  <c r="E235" i="4"/>
  <c r="A235" i="4"/>
  <c r="G234" i="4" a="1"/>
  <c r="G234" i="4" s="1"/>
  <c r="H234" i="4" s="1"/>
  <c r="F234" i="4"/>
  <c r="E234" i="4"/>
  <c r="A234" i="4"/>
  <c r="G233" i="4" a="1"/>
  <c r="G233" i="4" s="1"/>
  <c r="H233" i="4" s="1"/>
  <c r="F233" i="4"/>
  <c r="E233" i="4"/>
  <c r="A233" i="4"/>
  <c r="G232" i="4" a="1"/>
  <c r="G232" i="4" s="1"/>
  <c r="H232" i="4" s="1"/>
  <c r="F232" i="4"/>
  <c r="E232" i="4"/>
  <c r="A232" i="4"/>
  <c r="G231" i="4" a="1"/>
  <c r="G231" i="4" s="1"/>
  <c r="H231" i="4" s="1"/>
  <c r="F231" i="4"/>
  <c r="E231" i="4"/>
  <c r="A231" i="4"/>
  <c r="G230" i="4" a="1"/>
  <c r="G230" i="4" s="1"/>
  <c r="H230" i="4" s="1"/>
  <c r="F230" i="4"/>
  <c r="E230" i="4"/>
  <c r="A230" i="4"/>
  <c r="G229" i="4" a="1"/>
  <c r="G229" i="4" s="1"/>
  <c r="H229" i="4" s="1"/>
  <c r="F229" i="4"/>
  <c r="E229" i="4"/>
  <c r="A229" i="4"/>
  <c r="G228" i="4" a="1"/>
  <c r="G228" i="4" s="1"/>
  <c r="H228" i="4" s="1"/>
  <c r="F228" i="4"/>
  <c r="E228" i="4"/>
  <c r="A228" i="4"/>
  <c r="G227" i="4" a="1"/>
  <c r="G227" i="4" s="1"/>
  <c r="H227" i="4" s="1"/>
  <c r="F227" i="4"/>
  <c r="E227" i="4"/>
  <c r="A227" i="4"/>
  <c r="G226" i="4" a="1"/>
  <c r="G226" i="4" s="1"/>
  <c r="H226" i="4" s="1"/>
  <c r="F226" i="4"/>
  <c r="E226" i="4"/>
  <c r="A226" i="4"/>
  <c r="G225" i="4" a="1"/>
  <c r="G225" i="4" s="1"/>
  <c r="H225" i="4" s="1"/>
  <c r="F225" i="4"/>
  <c r="E225" i="4"/>
  <c r="A225" i="4"/>
  <c r="G224" i="4" a="1"/>
  <c r="G224" i="4" s="1"/>
  <c r="H224" i="4" s="1"/>
  <c r="F224" i="4"/>
  <c r="E224" i="4"/>
  <c r="A224" i="4"/>
  <c r="G223" i="4" a="1"/>
  <c r="G223" i="4" s="1"/>
  <c r="H223" i="4" s="1"/>
  <c r="F223" i="4"/>
  <c r="E223" i="4"/>
  <c r="A223" i="4"/>
  <c r="G222" i="4" a="1"/>
  <c r="G222" i="4" s="1"/>
  <c r="H222" i="4" s="1"/>
  <c r="F222" i="4"/>
  <c r="E222" i="4"/>
  <c r="A222" i="4"/>
  <c r="G221" i="4" a="1"/>
  <c r="G221" i="4" s="1"/>
  <c r="H221" i="4" s="1"/>
  <c r="F221" i="4"/>
  <c r="E221" i="4"/>
  <c r="A221" i="4"/>
  <c r="G220" i="4" a="1"/>
  <c r="G220" i="4" s="1"/>
  <c r="H220" i="4" s="1"/>
  <c r="F220" i="4"/>
  <c r="E220" i="4"/>
  <c r="A220" i="4"/>
  <c r="G219" i="4" a="1"/>
  <c r="G219" i="4" s="1"/>
  <c r="H219" i="4" s="1"/>
  <c r="F219" i="4"/>
  <c r="E219" i="4"/>
  <c r="A219" i="4"/>
  <c r="G218" i="4" a="1"/>
  <c r="G218" i="4" s="1"/>
  <c r="H218" i="4" s="1"/>
  <c r="F218" i="4"/>
  <c r="E218" i="4"/>
  <c r="A218" i="4"/>
  <c r="G217" i="4" a="1"/>
  <c r="G217" i="4" s="1"/>
  <c r="H217" i="4" s="1"/>
  <c r="F217" i="4"/>
  <c r="E217" i="4"/>
  <c r="A217" i="4"/>
  <c r="G216" i="4" a="1"/>
  <c r="G216" i="4" s="1"/>
  <c r="H216" i="4" s="1"/>
  <c r="F216" i="4"/>
  <c r="E216" i="4"/>
  <c r="A216" i="4"/>
  <c r="G215" i="4" a="1"/>
  <c r="G215" i="4" s="1"/>
  <c r="H215" i="4" s="1"/>
  <c r="F215" i="4"/>
  <c r="E215" i="4"/>
  <c r="A215" i="4"/>
  <c r="G214" i="4" a="1"/>
  <c r="G214" i="4" s="1"/>
  <c r="H214" i="4" s="1"/>
  <c r="F214" i="4"/>
  <c r="E214" i="4"/>
  <c r="A214" i="4"/>
  <c r="G213" i="4" a="1"/>
  <c r="G213" i="4" s="1"/>
  <c r="H213" i="4" s="1"/>
  <c r="F213" i="4"/>
  <c r="E213" i="4"/>
  <c r="A213" i="4"/>
  <c r="G212" i="4" a="1"/>
  <c r="G212" i="4" s="1"/>
  <c r="H212" i="4" s="1"/>
  <c r="F212" i="4"/>
  <c r="E212" i="4"/>
  <c r="A212" i="4"/>
  <c r="G211" i="4" a="1"/>
  <c r="G211" i="4" s="1"/>
  <c r="H211" i="4" s="1"/>
  <c r="F211" i="4"/>
  <c r="E211" i="4"/>
  <c r="A211" i="4"/>
  <c r="G210" i="4" a="1"/>
  <c r="G210" i="4" s="1"/>
  <c r="H210" i="4" s="1"/>
  <c r="F210" i="4"/>
  <c r="E210" i="4"/>
  <c r="A210" i="4"/>
  <c r="G209" i="4" a="1"/>
  <c r="G209" i="4" s="1"/>
  <c r="H209" i="4" s="1"/>
  <c r="F209" i="4"/>
  <c r="E209" i="4"/>
  <c r="A209" i="4"/>
  <c r="G208" i="4" a="1"/>
  <c r="G208" i="4" s="1"/>
  <c r="H208" i="4" s="1"/>
  <c r="F208" i="4"/>
  <c r="E208" i="4"/>
  <c r="A208" i="4"/>
  <c r="G207" i="4" a="1"/>
  <c r="G207" i="4" s="1"/>
  <c r="H207" i="4" s="1"/>
  <c r="F207" i="4"/>
  <c r="E207" i="4"/>
  <c r="A207" i="4"/>
  <c r="G206" i="4" a="1"/>
  <c r="G206" i="4" s="1"/>
  <c r="H206" i="4" s="1"/>
  <c r="F206" i="4"/>
  <c r="E206" i="4"/>
  <c r="A206" i="4"/>
  <c r="G205" i="4" a="1"/>
  <c r="G205" i="4" s="1"/>
  <c r="H205" i="4" s="1"/>
  <c r="F205" i="4"/>
  <c r="E205" i="4"/>
  <c r="A205" i="4"/>
  <c r="G204" i="4" a="1"/>
  <c r="G204" i="4" s="1"/>
  <c r="H204" i="4" s="1"/>
  <c r="F204" i="4"/>
  <c r="E204" i="4"/>
  <c r="A204" i="4"/>
  <c r="G203" i="4" a="1"/>
  <c r="G203" i="4" s="1"/>
  <c r="H203" i="4" s="1"/>
  <c r="F203" i="4"/>
  <c r="E203" i="4"/>
  <c r="A203" i="4"/>
  <c r="G202" i="4" a="1"/>
  <c r="G202" i="4" s="1"/>
  <c r="H202" i="4" s="1"/>
  <c r="F202" i="4"/>
  <c r="E202" i="4"/>
  <c r="A202" i="4"/>
  <c r="G201" i="4" a="1"/>
  <c r="G201" i="4" s="1"/>
  <c r="H201" i="4" s="1"/>
  <c r="F201" i="4"/>
  <c r="E201" i="4"/>
  <c r="A201" i="4"/>
  <c r="G200" i="4" a="1"/>
  <c r="G200" i="4" s="1"/>
  <c r="H200" i="4" s="1"/>
  <c r="F200" i="4"/>
  <c r="E200" i="4"/>
  <c r="A200" i="4"/>
  <c r="G199" i="4" a="1"/>
  <c r="G199" i="4" s="1"/>
  <c r="H199" i="4" s="1"/>
  <c r="F199" i="4"/>
  <c r="E199" i="4"/>
  <c r="A199" i="4"/>
  <c r="G198" i="4" a="1"/>
  <c r="G198" i="4" s="1"/>
  <c r="H198" i="4" s="1"/>
  <c r="F198" i="4"/>
  <c r="E198" i="4"/>
  <c r="A198" i="4"/>
  <c r="G197" i="4" a="1"/>
  <c r="G197" i="4" s="1"/>
  <c r="H197" i="4" s="1"/>
  <c r="F197" i="4"/>
  <c r="E197" i="4"/>
  <c r="A197" i="4"/>
  <c r="G196" i="4" a="1"/>
  <c r="G196" i="4" s="1"/>
  <c r="H196" i="4" s="1"/>
  <c r="F196" i="4"/>
  <c r="E196" i="4"/>
  <c r="A196" i="4"/>
  <c r="G195" i="4" a="1"/>
  <c r="G195" i="4" s="1"/>
  <c r="H195" i="4" s="1"/>
  <c r="F195" i="4"/>
  <c r="E195" i="4"/>
  <c r="A195" i="4"/>
  <c r="G194" i="4" a="1"/>
  <c r="G194" i="4" s="1"/>
  <c r="H194" i="4" s="1"/>
  <c r="F194" i="4"/>
  <c r="E194" i="4"/>
  <c r="A194" i="4"/>
  <c r="G193" i="4" a="1"/>
  <c r="G193" i="4" s="1"/>
  <c r="H193" i="4" s="1"/>
  <c r="F193" i="4"/>
  <c r="E193" i="4"/>
  <c r="A193" i="4"/>
  <c r="G192" i="4" a="1"/>
  <c r="G192" i="4" s="1"/>
  <c r="H192" i="4" s="1"/>
  <c r="F192" i="4"/>
  <c r="E192" i="4"/>
  <c r="A192" i="4"/>
  <c r="G191" i="4" a="1"/>
  <c r="G191" i="4" s="1"/>
  <c r="H191" i="4" s="1"/>
  <c r="F191" i="4"/>
  <c r="E191" i="4"/>
  <c r="A191" i="4"/>
  <c r="G190" i="4" a="1"/>
  <c r="G190" i="4" s="1"/>
  <c r="H190" i="4" s="1"/>
  <c r="F190" i="4"/>
  <c r="E190" i="4"/>
  <c r="A190" i="4"/>
  <c r="G189" i="4" a="1"/>
  <c r="G189" i="4" s="1"/>
  <c r="H189" i="4" s="1"/>
  <c r="F189" i="4"/>
  <c r="E189" i="4"/>
  <c r="A189" i="4"/>
  <c r="G188" i="4" a="1"/>
  <c r="G188" i="4" s="1"/>
  <c r="H188" i="4" s="1"/>
  <c r="F188" i="4"/>
  <c r="E188" i="4"/>
  <c r="A188" i="4"/>
  <c r="G187" i="4" a="1"/>
  <c r="G187" i="4" s="1"/>
  <c r="H187" i="4" s="1"/>
  <c r="F187" i="4"/>
  <c r="E187" i="4"/>
  <c r="A187" i="4"/>
  <c r="G186" i="4" a="1"/>
  <c r="G186" i="4" s="1"/>
  <c r="H186" i="4" s="1"/>
  <c r="F186" i="4"/>
  <c r="E186" i="4"/>
  <c r="A186" i="4"/>
  <c r="G185" i="4" a="1"/>
  <c r="G185" i="4" s="1"/>
  <c r="H185" i="4" s="1"/>
  <c r="F185" i="4"/>
  <c r="E185" i="4"/>
  <c r="A185" i="4"/>
  <c r="G184" i="4" a="1"/>
  <c r="G184" i="4" s="1"/>
  <c r="H184" i="4" s="1"/>
  <c r="F184" i="4"/>
  <c r="E184" i="4"/>
  <c r="A184" i="4"/>
  <c r="G183" i="4" a="1"/>
  <c r="G183" i="4" s="1"/>
  <c r="H183" i="4" s="1"/>
  <c r="F183" i="4"/>
  <c r="E183" i="4"/>
  <c r="A183" i="4"/>
  <c r="G182" i="4" a="1"/>
  <c r="G182" i="4" s="1"/>
  <c r="H182" i="4" s="1"/>
  <c r="F182" i="4"/>
  <c r="E182" i="4"/>
  <c r="A182" i="4"/>
  <c r="G181" i="4" a="1"/>
  <c r="G181" i="4" s="1"/>
  <c r="H181" i="4" s="1"/>
  <c r="F181" i="4"/>
  <c r="E181" i="4"/>
  <c r="A181" i="4"/>
  <c r="G180" i="4" a="1"/>
  <c r="G180" i="4" s="1"/>
  <c r="H180" i="4" s="1"/>
  <c r="F180" i="4"/>
  <c r="E180" i="4"/>
  <c r="A180" i="4"/>
  <c r="G179" i="4" a="1"/>
  <c r="G179" i="4" s="1"/>
  <c r="H179" i="4" s="1"/>
  <c r="F179" i="4"/>
  <c r="E179" i="4"/>
  <c r="A179" i="4"/>
  <c r="G178" i="4" a="1"/>
  <c r="G178" i="4" s="1"/>
  <c r="H178" i="4" s="1"/>
  <c r="F178" i="4"/>
  <c r="E178" i="4"/>
  <c r="A178" i="4"/>
  <c r="G177" i="4" a="1"/>
  <c r="G177" i="4" s="1"/>
  <c r="H177" i="4" s="1"/>
  <c r="F177" i="4"/>
  <c r="E177" i="4"/>
  <c r="A177" i="4"/>
  <c r="G176" i="4" a="1"/>
  <c r="G176" i="4" s="1"/>
  <c r="H176" i="4" s="1"/>
  <c r="F176" i="4"/>
  <c r="E176" i="4"/>
  <c r="A176" i="4"/>
  <c r="G175" i="4" a="1"/>
  <c r="G175" i="4" s="1"/>
  <c r="H175" i="4" s="1"/>
  <c r="F175" i="4"/>
  <c r="E175" i="4"/>
  <c r="A175" i="4"/>
  <c r="G174" i="4" a="1"/>
  <c r="G174" i="4" s="1"/>
  <c r="H174" i="4" s="1"/>
  <c r="F174" i="4"/>
  <c r="E174" i="4"/>
  <c r="A174" i="4"/>
  <c r="G173" i="4" a="1"/>
  <c r="G173" i="4" s="1"/>
  <c r="H173" i="4" s="1"/>
  <c r="F173" i="4"/>
  <c r="E173" i="4"/>
  <c r="A173" i="4"/>
  <c r="G172" i="4" a="1"/>
  <c r="G172" i="4" s="1"/>
  <c r="H172" i="4" s="1"/>
  <c r="F172" i="4"/>
  <c r="E172" i="4"/>
  <c r="A172" i="4"/>
  <c r="G171" i="4" a="1"/>
  <c r="G171" i="4" s="1"/>
  <c r="H171" i="4" s="1"/>
  <c r="F171" i="4"/>
  <c r="E171" i="4"/>
  <c r="A171" i="4"/>
  <c r="G170" i="4" a="1"/>
  <c r="G170" i="4" s="1"/>
  <c r="H170" i="4" s="1"/>
  <c r="F170" i="4"/>
  <c r="E170" i="4"/>
  <c r="A170" i="4"/>
  <c r="G169" i="4" a="1"/>
  <c r="G169" i="4" s="1"/>
  <c r="H169" i="4" s="1"/>
  <c r="F169" i="4"/>
  <c r="E169" i="4"/>
  <c r="A169" i="4"/>
  <c r="G168" i="4" a="1"/>
  <c r="G168" i="4" s="1"/>
  <c r="H168" i="4" s="1"/>
  <c r="F168" i="4"/>
  <c r="E168" i="4"/>
  <c r="A168" i="4"/>
  <c r="G167" i="4" a="1"/>
  <c r="G167" i="4" s="1"/>
  <c r="H167" i="4" s="1"/>
  <c r="F167" i="4"/>
  <c r="E167" i="4"/>
  <c r="A167" i="4"/>
  <c r="G166" i="4" a="1"/>
  <c r="G166" i="4" s="1"/>
  <c r="H166" i="4" s="1"/>
  <c r="F166" i="4"/>
  <c r="E166" i="4"/>
  <c r="A166" i="4"/>
  <c r="G165" i="4" a="1"/>
  <c r="G165" i="4" s="1"/>
  <c r="H165" i="4" s="1"/>
  <c r="F165" i="4"/>
  <c r="E165" i="4"/>
  <c r="A165" i="4"/>
  <c r="G164" i="4" a="1"/>
  <c r="G164" i="4" s="1"/>
  <c r="H164" i="4" s="1"/>
  <c r="F164" i="4"/>
  <c r="E164" i="4"/>
  <c r="A164" i="4"/>
  <c r="G163" i="4" a="1"/>
  <c r="G163" i="4" s="1"/>
  <c r="H163" i="4" s="1"/>
  <c r="F163" i="4"/>
  <c r="E163" i="4"/>
  <c r="A163" i="4"/>
  <c r="G162" i="4" a="1"/>
  <c r="G162" i="4" s="1"/>
  <c r="H162" i="4" s="1"/>
  <c r="F162" i="4"/>
  <c r="E162" i="4"/>
  <c r="A162" i="4"/>
  <c r="G161" i="4" a="1"/>
  <c r="G161" i="4" s="1"/>
  <c r="H161" i="4" s="1"/>
  <c r="F161" i="4"/>
  <c r="E161" i="4"/>
  <c r="A161" i="4"/>
  <c r="G160" i="4" a="1"/>
  <c r="G160" i="4" s="1"/>
  <c r="H160" i="4" s="1"/>
  <c r="F160" i="4"/>
  <c r="E160" i="4"/>
  <c r="A160" i="4"/>
  <c r="G159" i="4" a="1"/>
  <c r="G159" i="4" s="1"/>
  <c r="H159" i="4" s="1"/>
  <c r="F159" i="4"/>
  <c r="E159" i="4"/>
  <c r="A159" i="4"/>
  <c r="G158" i="4" a="1"/>
  <c r="G158" i="4" s="1"/>
  <c r="H158" i="4" s="1"/>
  <c r="F158" i="4"/>
  <c r="E158" i="4"/>
  <c r="A158" i="4"/>
  <c r="G157" i="4" a="1"/>
  <c r="G157" i="4" s="1"/>
  <c r="H157" i="4" s="1"/>
  <c r="F157" i="4"/>
  <c r="E157" i="4"/>
  <c r="A157" i="4"/>
  <c r="G156" i="4" a="1"/>
  <c r="G156" i="4" s="1"/>
  <c r="H156" i="4" s="1"/>
  <c r="F156" i="4"/>
  <c r="E156" i="4"/>
  <c r="A156" i="4"/>
  <c r="G155" i="4" a="1"/>
  <c r="G155" i="4" s="1"/>
  <c r="H155" i="4" s="1"/>
  <c r="F155" i="4"/>
  <c r="E155" i="4"/>
  <c r="A155" i="4"/>
  <c r="G154" i="4" a="1"/>
  <c r="G154" i="4" s="1"/>
  <c r="H154" i="4" s="1"/>
  <c r="F154" i="4"/>
  <c r="E154" i="4"/>
  <c r="A154" i="4"/>
  <c r="G153" i="4" a="1"/>
  <c r="G153" i="4" s="1"/>
  <c r="H153" i="4" s="1"/>
  <c r="F153" i="4"/>
  <c r="E153" i="4"/>
  <c r="A153" i="4"/>
  <c r="G152" i="4" a="1"/>
  <c r="G152" i="4" s="1"/>
  <c r="H152" i="4" s="1"/>
  <c r="F152" i="4"/>
  <c r="E152" i="4"/>
  <c r="A152" i="4"/>
  <c r="G151" i="4" a="1"/>
  <c r="G151" i="4" s="1"/>
  <c r="H151" i="4" s="1"/>
  <c r="F151" i="4"/>
  <c r="E151" i="4"/>
  <c r="A151" i="4"/>
  <c r="G150" i="4" a="1"/>
  <c r="G150" i="4" s="1"/>
  <c r="H150" i="4" s="1"/>
  <c r="F150" i="4"/>
  <c r="E150" i="4"/>
  <c r="A150" i="4"/>
  <c r="G149" i="4" a="1"/>
  <c r="G149" i="4" s="1"/>
  <c r="H149" i="4" s="1"/>
  <c r="F149" i="4"/>
  <c r="E149" i="4"/>
  <c r="A149" i="4"/>
  <c r="G148" i="4" a="1"/>
  <c r="G148" i="4" s="1"/>
  <c r="H148" i="4" s="1"/>
  <c r="F148" i="4"/>
  <c r="E148" i="4"/>
  <c r="A148" i="4"/>
  <c r="G147" i="4" a="1"/>
  <c r="G147" i="4" s="1"/>
  <c r="H147" i="4" s="1"/>
  <c r="F147" i="4"/>
  <c r="E147" i="4"/>
  <c r="A147" i="4"/>
  <c r="G146" i="4" a="1"/>
  <c r="G146" i="4" s="1"/>
  <c r="H146" i="4" s="1"/>
  <c r="F146" i="4"/>
  <c r="E146" i="4"/>
  <c r="A146" i="4"/>
  <c r="G145" i="4" a="1"/>
  <c r="G145" i="4" s="1"/>
  <c r="H145" i="4" s="1"/>
  <c r="F145" i="4"/>
  <c r="E145" i="4"/>
  <c r="A145" i="4"/>
  <c r="G144" i="4" a="1"/>
  <c r="G144" i="4" s="1"/>
  <c r="H144" i="4" s="1"/>
  <c r="F144" i="4"/>
  <c r="E144" i="4"/>
  <c r="A144" i="4"/>
  <c r="G143" i="4" a="1"/>
  <c r="G143" i="4" s="1"/>
  <c r="H143" i="4" s="1"/>
  <c r="F143" i="4"/>
  <c r="E143" i="4"/>
  <c r="A143" i="4"/>
  <c r="G142" i="4" a="1"/>
  <c r="G142" i="4" s="1"/>
  <c r="H142" i="4" s="1"/>
  <c r="F142" i="4"/>
  <c r="E142" i="4"/>
  <c r="A142" i="4"/>
  <c r="G141" i="4" a="1"/>
  <c r="G141" i="4" s="1"/>
  <c r="H141" i="4" s="1"/>
  <c r="F141" i="4"/>
  <c r="E141" i="4"/>
  <c r="A141" i="4"/>
  <c r="G140" i="4" a="1"/>
  <c r="G140" i="4" s="1"/>
  <c r="H140" i="4" s="1"/>
  <c r="F140" i="4"/>
  <c r="E140" i="4"/>
  <c r="A140" i="4"/>
  <c r="G139" i="4" a="1"/>
  <c r="G139" i="4" s="1"/>
  <c r="H139" i="4" s="1"/>
  <c r="F139" i="4"/>
  <c r="E139" i="4"/>
  <c r="A139" i="4"/>
  <c r="G138" i="4" a="1"/>
  <c r="G138" i="4" s="1"/>
  <c r="H138" i="4" s="1"/>
  <c r="F138" i="4"/>
  <c r="E138" i="4"/>
  <c r="A138" i="4"/>
  <c r="G137" i="4" a="1"/>
  <c r="G137" i="4" s="1"/>
  <c r="H137" i="4" s="1"/>
  <c r="F137" i="4"/>
  <c r="E137" i="4"/>
  <c r="A137" i="4"/>
  <c r="G136" i="4" a="1"/>
  <c r="G136" i="4" s="1"/>
  <c r="H136" i="4" s="1"/>
  <c r="F136" i="4"/>
  <c r="E136" i="4"/>
  <c r="A136" i="4"/>
  <c r="G135" i="4" a="1"/>
  <c r="G135" i="4" s="1"/>
  <c r="H135" i="4" s="1"/>
  <c r="F135" i="4"/>
  <c r="E135" i="4"/>
  <c r="A135" i="4"/>
  <c r="G134" i="4" a="1"/>
  <c r="G134" i="4" s="1"/>
  <c r="H134" i="4" s="1"/>
  <c r="F134" i="4"/>
  <c r="E134" i="4"/>
  <c r="A134" i="4"/>
  <c r="G133" i="4" a="1"/>
  <c r="G133" i="4" s="1"/>
  <c r="H133" i="4" s="1"/>
  <c r="F133" i="4"/>
  <c r="E133" i="4"/>
  <c r="A133" i="4"/>
  <c r="G132" i="4" a="1"/>
  <c r="G132" i="4" s="1"/>
  <c r="H132" i="4" s="1"/>
  <c r="F132" i="4"/>
  <c r="E132" i="4"/>
  <c r="A132" i="4"/>
  <c r="G131" i="4" a="1"/>
  <c r="G131" i="4" s="1"/>
  <c r="H131" i="4" s="1"/>
  <c r="F131" i="4"/>
  <c r="E131" i="4"/>
  <c r="A131" i="4"/>
  <c r="G130" i="4" a="1"/>
  <c r="G130" i="4" s="1"/>
  <c r="H130" i="4" s="1"/>
  <c r="F130" i="4"/>
  <c r="E130" i="4"/>
  <c r="A130" i="4"/>
  <c r="G129" i="4" a="1"/>
  <c r="G129" i="4" s="1"/>
  <c r="H129" i="4" s="1"/>
  <c r="F129" i="4"/>
  <c r="E129" i="4"/>
  <c r="A129" i="4"/>
  <c r="G128" i="4" a="1"/>
  <c r="G128" i="4" s="1"/>
  <c r="H128" i="4" s="1"/>
  <c r="F128" i="4"/>
  <c r="E128" i="4"/>
  <c r="A128" i="4"/>
  <c r="G127" i="4" a="1"/>
  <c r="G127" i="4" s="1"/>
  <c r="H127" i="4" s="1"/>
  <c r="F127" i="4"/>
  <c r="E127" i="4"/>
  <c r="A127" i="4"/>
  <c r="G126" i="4" a="1"/>
  <c r="G126" i="4" s="1"/>
  <c r="H126" i="4" s="1"/>
  <c r="F126" i="4"/>
  <c r="E126" i="4"/>
  <c r="A126" i="4"/>
  <c r="G125" i="4" a="1"/>
  <c r="G125" i="4" s="1"/>
  <c r="H125" i="4" s="1"/>
  <c r="F125" i="4"/>
  <c r="E125" i="4"/>
  <c r="A125" i="4"/>
  <c r="G124" i="4" a="1"/>
  <c r="G124" i="4" s="1"/>
  <c r="H124" i="4" s="1"/>
  <c r="F124" i="4"/>
  <c r="E124" i="4"/>
  <c r="A124" i="4"/>
  <c r="G123" i="4" a="1"/>
  <c r="G123" i="4" s="1"/>
  <c r="H123" i="4" s="1"/>
  <c r="F123" i="4"/>
  <c r="E123" i="4"/>
  <c r="A123" i="4"/>
  <c r="G122" i="4" a="1"/>
  <c r="G122" i="4" s="1"/>
  <c r="H122" i="4" s="1"/>
  <c r="F122" i="4"/>
  <c r="E122" i="4"/>
  <c r="A122" i="4"/>
  <c r="G121" i="4" a="1"/>
  <c r="G121" i="4" s="1"/>
  <c r="H121" i="4" s="1"/>
  <c r="F121" i="4"/>
  <c r="E121" i="4"/>
  <c r="A121" i="4"/>
  <c r="G120" i="4" a="1"/>
  <c r="G120" i="4" s="1"/>
  <c r="H120" i="4" s="1"/>
  <c r="F120" i="4"/>
  <c r="E120" i="4"/>
  <c r="A120" i="4"/>
  <c r="G119" i="4" a="1"/>
  <c r="G119" i="4" s="1"/>
  <c r="H119" i="4" s="1"/>
  <c r="F119" i="4"/>
  <c r="E119" i="4"/>
  <c r="A119" i="4"/>
  <c r="G118" i="4" a="1"/>
  <c r="G118" i="4" s="1"/>
  <c r="H118" i="4" s="1"/>
  <c r="F118" i="4"/>
  <c r="E118" i="4"/>
  <c r="A118" i="4"/>
  <c r="G117" i="4" a="1"/>
  <c r="G117" i="4" s="1"/>
  <c r="H117" i="4" s="1"/>
  <c r="F117" i="4"/>
  <c r="E117" i="4"/>
  <c r="A117" i="4"/>
  <c r="G116" i="4" a="1"/>
  <c r="G116" i="4" s="1"/>
  <c r="H116" i="4" s="1"/>
  <c r="F116" i="4"/>
  <c r="E116" i="4"/>
  <c r="A116" i="4"/>
  <c r="G115" i="4" a="1"/>
  <c r="G115" i="4" s="1"/>
  <c r="H115" i="4" s="1"/>
  <c r="F115" i="4"/>
  <c r="E115" i="4"/>
  <c r="A115" i="4"/>
  <c r="G114" i="4" a="1"/>
  <c r="G114" i="4" s="1"/>
  <c r="H114" i="4" s="1"/>
  <c r="F114" i="4"/>
  <c r="E114" i="4"/>
  <c r="A114" i="4"/>
  <c r="G113" i="4" a="1"/>
  <c r="G113" i="4" s="1"/>
  <c r="H113" i="4" s="1"/>
  <c r="F113" i="4"/>
  <c r="E113" i="4"/>
  <c r="A113" i="4"/>
  <c r="G112" i="4" a="1"/>
  <c r="G112" i="4" s="1"/>
  <c r="H112" i="4" s="1"/>
  <c r="F112" i="4"/>
  <c r="E112" i="4"/>
  <c r="A112" i="4"/>
  <c r="G111" i="4" a="1"/>
  <c r="G111" i="4" s="1"/>
  <c r="H111" i="4" s="1"/>
  <c r="F111" i="4"/>
  <c r="E111" i="4"/>
  <c r="A111" i="4"/>
  <c r="G110" i="4" a="1"/>
  <c r="G110" i="4" s="1"/>
  <c r="H110" i="4" s="1"/>
  <c r="F110" i="4"/>
  <c r="E110" i="4"/>
  <c r="A110" i="4"/>
  <c r="G109" i="4" a="1"/>
  <c r="G109" i="4" s="1"/>
  <c r="H109" i="4" s="1"/>
  <c r="F109" i="4"/>
  <c r="E109" i="4"/>
  <c r="A109" i="4"/>
  <c r="G108" i="4" a="1"/>
  <c r="G108" i="4" s="1"/>
  <c r="H108" i="4" s="1"/>
  <c r="F108" i="4"/>
  <c r="E108" i="4"/>
  <c r="A108" i="4"/>
  <c r="G107" i="4" a="1"/>
  <c r="G107" i="4" s="1"/>
  <c r="H107" i="4" s="1"/>
  <c r="F107" i="4"/>
  <c r="E107" i="4"/>
  <c r="A107" i="4"/>
  <c r="G106" i="4" a="1"/>
  <c r="G106" i="4" s="1"/>
  <c r="H106" i="4" s="1"/>
  <c r="F106" i="4"/>
  <c r="E106" i="4"/>
  <c r="A106" i="4"/>
  <c r="G105" i="4" a="1"/>
  <c r="G105" i="4" s="1"/>
  <c r="H105" i="4" s="1"/>
  <c r="F105" i="4"/>
  <c r="E105" i="4"/>
  <c r="A105" i="4"/>
  <c r="G104" i="4" a="1"/>
  <c r="G104" i="4" s="1"/>
  <c r="H104" i="4" s="1"/>
  <c r="F104" i="4"/>
  <c r="E104" i="4"/>
  <c r="A104" i="4"/>
  <c r="G103" i="4" a="1"/>
  <c r="G103" i="4" s="1"/>
  <c r="H103" i="4" s="1"/>
  <c r="F103" i="4"/>
  <c r="E103" i="4"/>
  <c r="A103" i="4"/>
  <c r="G102" i="4" a="1"/>
  <c r="G102" i="4" s="1"/>
  <c r="H102" i="4" s="1"/>
  <c r="F102" i="4"/>
  <c r="E102" i="4"/>
  <c r="A102" i="4"/>
  <c r="G101" i="4" a="1"/>
  <c r="G101" i="4" s="1"/>
  <c r="H101" i="4" s="1"/>
  <c r="F101" i="4"/>
  <c r="E101" i="4"/>
  <c r="A101" i="4"/>
  <c r="G100" i="4" a="1"/>
  <c r="G100" i="4" s="1"/>
  <c r="H100" i="4" s="1"/>
  <c r="F100" i="4"/>
  <c r="E100" i="4"/>
  <c r="A100" i="4"/>
  <c r="G99" i="4" a="1"/>
  <c r="G99" i="4" s="1"/>
  <c r="H99" i="4" s="1"/>
  <c r="F99" i="4"/>
  <c r="E99" i="4"/>
  <c r="A99" i="4"/>
  <c r="G98" i="4" a="1"/>
  <c r="G98" i="4" s="1"/>
  <c r="H98" i="4" s="1"/>
  <c r="F98" i="4"/>
  <c r="E98" i="4"/>
  <c r="A98" i="4"/>
  <c r="G97" i="4" a="1"/>
  <c r="G97" i="4" s="1"/>
  <c r="H97" i="4" s="1"/>
  <c r="F97" i="4"/>
  <c r="E97" i="4"/>
  <c r="A97" i="4"/>
  <c r="G96" i="4" a="1"/>
  <c r="G96" i="4" s="1"/>
  <c r="H96" i="4" s="1"/>
  <c r="F96" i="4"/>
  <c r="E96" i="4"/>
  <c r="A96" i="4"/>
  <c r="G95" i="4" a="1"/>
  <c r="G95" i="4" s="1"/>
  <c r="H95" i="4" s="1"/>
  <c r="F95" i="4"/>
  <c r="E95" i="4"/>
  <c r="A95" i="4"/>
  <c r="G94" i="4" a="1"/>
  <c r="G94" i="4" s="1"/>
  <c r="H94" i="4" s="1"/>
  <c r="F94" i="4"/>
  <c r="E94" i="4"/>
  <c r="A94" i="4"/>
  <c r="G93" i="4" a="1"/>
  <c r="G93" i="4" s="1"/>
  <c r="H93" i="4" s="1"/>
  <c r="F93" i="4"/>
  <c r="E93" i="4"/>
  <c r="A93" i="4"/>
  <c r="G92" i="4" a="1"/>
  <c r="G92" i="4" s="1"/>
  <c r="H92" i="4" s="1"/>
  <c r="F92" i="4"/>
  <c r="E92" i="4"/>
  <c r="A92" i="4"/>
  <c r="G91" i="4" a="1"/>
  <c r="G91" i="4" s="1"/>
  <c r="H91" i="4" s="1"/>
  <c r="F91" i="4"/>
  <c r="E91" i="4"/>
  <c r="A91" i="4"/>
  <c r="G90" i="4" a="1"/>
  <c r="G90" i="4" s="1"/>
  <c r="H90" i="4" s="1"/>
  <c r="F90" i="4"/>
  <c r="E90" i="4"/>
  <c r="A90" i="4"/>
  <c r="G89" i="4" a="1"/>
  <c r="G89" i="4" s="1"/>
  <c r="H89" i="4" s="1"/>
  <c r="F89" i="4"/>
  <c r="E89" i="4"/>
  <c r="A89" i="4"/>
  <c r="G88" i="4" a="1"/>
  <c r="G88" i="4" s="1"/>
  <c r="H88" i="4" s="1"/>
  <c r="F88" i="4"/>
  <c r="E88" i="4"/>
  <c r="A88" i="4"/>
  <c r="G87" i="4" a="1"/>
  <c r="G87" i="4" s="1"/>
  <c r="H87" i="4" s="1"/>
  <c r="F87" i="4"/>
  <c r="E87" i="4"/>
  <c r="A87" i="4"/>
  <c r="G86" i="4" a="1"/>
  <c r="G86" i="4" s="1"/>
  <c r="H86" i="4" s="1"/>
  <c r="F86" i="4"/>
  <c r="E86" i="4"/>
  <c r="A86" i="4"/>
  <c r="G85" i="4" a="1"/>
  <c r="G85" i="4" s="1"/>
  <c r="H85" i="4" s="1"/>
  <c r="F85" i="4"/>
  <c r="E85" i="4"/>
  <c r="A85" i="4"/>
  <c r="G84" i="4" a="1"/>
  <c r="G84" i="4" s="1"/>
  <c r="H84" i="4" s="1"/>
  <c r="F84" i="4"/>
  <c r="E84" i="4"/>
  <c r="A84" i="4"/>
  <c r="G83" i="4" a="1"/>
  <c r="G83" i="4" s="1"/>
  <c r="H83" i="4" s="1"/>
  <c r="F83" i="4"/>
  <c r="E83" i="4"/>
  <c r="A83" i="4"/>
  <c r="G82" i="4" a="1"/>
  <c r="G82" i="4" s="1"/>
  <c r="H82" i="4" s="1"/>
  <c r="F82" i="4"/>
  <c r="E82" i="4"/>
  <c r="A82" i="4"/>
  <c r="G81" i="4" a="1"/>
  <c r="G81" i="4" s="1"/>
  <c r="H81" i="4" s="1"/>
  <c r="F81" i="4"/>
  <c r="E81" i="4"/>
  <c r="A81" i="4"/>
  <c r="G80" i="4" a="1"/>
  <c r="G80" i="4" s="1"/>
  <c r="H80" i="4" s="1"/>
  <c r="F80" i="4"/>
  <c r="E80" i="4"/>
  <c r="A80" i="4"/>
  <c r="G79" i="4" a="1"/>
  <c r="G79" i="4" s="1"/>
  <c r="H79" i="4" s="1"/>
  <c r="F79" i="4"/>
  <c r="E79" i="4"/>
  <c r="A79" i="4"/>
  <c r="G78" i="4" a="1"/>
  <c r="G78" i="4" s="1"/>
  <c r="H78" i="4" s="1"/>
  <c r="F78" i="4"/>
  <c r="E78" i="4"/>
  <c r="A78" i="4"/>
  <c r="G77" i="4" a="1"/>
  <c r="G77" i="4" s="1"/>
  <c r="H77" i="4" s="1"/>
  <c r="F77" i="4"/>
  <c r="E77" i="4"/>
  <c r="A77" i="4"/>
  <c r="G76" i="4" a="1"/>
  <c r="G76" i="4" s="1"/>
  <c r="H76" i="4" s="1"/>
  <c r="F76" i="4"/>
  <c r="E76" i="4"/>
  <c r="A76" i="4"/>
  <c r="G75" i="4" a="1"/>
  <c r="G75" i="4" s="1"/>
  <c r="H75" i="4" s="1"/>
  <c r="F75" i="4"/>
  <c r="E75" i="4"/>
  <c r="A75" i="4"/>
  <c r="G74" i="4" a="1"/>
  <c r="G74" i="4" s="1"/>
  <c r="H74" i="4" s="1"/>
  <c r="F74" i="4"/>
  <c r="E74" i="4"/>
  <c r="A74" i="4"/>
  <c r="G73" i="4" a="1"/>
  <c r="G73" i="4" s="1"/>
  <c r="H73" i="4" s="1"/>
  <c r="F73" i="4"/>
  <c r="E73" i="4"/>
  <c r="A73" i="4"/>
  <c r="G72" i="4" a="1"/>
  <c r="G72" i="4" s="1"/>
  <c r="H72" i="4" s="1"/>
  <c r="F72" i="4"/>
  <c r="E72" i="4"/>
  <c r="A72" i="4"/>
  <c r="G71" i="4" a="1"/>
  <c r="G71" i="4" s="1"/>
  <c r="H71" i="4" s="1"/>
  <c r="F71" i="4"/>
  <c r="E71" i="4"/>
  <c r="A71" i="4"/>
  <c r="G70" i="4" a="1"/>
  <c r="G70" i="4" s="1"/>
  <c r="H70" i="4" s="1"/>
  <c r="F70" i="4"/>
  <c r="E70" i="4"/>
  <c r="A70" i="4"/>
  <c r="G69" i="4" a="1"/>
  <c r="G69" i="4" s="1"/>
  <c r="H69" i="4" s="1"/>
  <c r="F69" i="4"/>
  <c r="E69" i="4"/>
  <c r="A69" i="4"/>
  <c r="G68" i="4" a="1"/>
  <c r="G68" i="4" s="1"/>
  <c r="H68" i="4" s="1"/>
  <c r="F68" i="4"/>
  <c r="E68" i="4"/>
  <c r="A68" i="4"/>
  <c r="G67" i="4" a="1"/>
  <c r="G67" i="4" s="1"/>
  <c r="H67" i="4" s="1"/>
  <c r="F67" i="4"/>
  <c r="E67" i="4"/>
  <c r="A67" i="4"/>
  <c r="G66" i="4" a="1"/>
  <c r="G66" i="4" s="1"/>
  <c r="H66" i="4" s="1"/>
  <c r="F66" i="4"/>
  <c r="E66" i="4"/>
  <c r="A66" i="4"/>
  <c r="G65" i="4" a="1"/>
  <c r="G65" i="4" s="1"/>
  <c r="H65" i="4" s="1"/>
  <c r="F65" i="4"/>
  <c r="E65" i="4"/>
  <c r="A65" i="4"/>
  <c r="G64" i="4" a="1"/>
  <c r="G64" i="4" s="1"/>
  <c r="H64" i="4" s="1"/>
  <c r="F64" i="4"/>
  <c r="E64" i="4"/>
  <c r="A64" i="4"/>
  <c r="G63" i="4" a="1"/>
  <c r="G63" i="4" s="1"/>
  <c r="H63" i="4" s="1"/>
  <c r="F63" i="4"/>
  <c r="E63" i="4"/>
  <c r="A63" i="4"/>
  <c r="G62" i="4" a="1"/>
  <c r="G62" i="4" s="1"/>
  <c r="H62" i="4" s="1"/>
  <c r="F62" i="4"/>
  <c r="E62" i="4"/>
  <c r="A62" i="4"/>
  <c r="G61" i="4" a="1"/>
  <c r="G61" i="4" s="1"/>
  <c r="H61" i="4" s="1"/>
  <c r="F61" i="4"/>
  <c r="E61" i="4"/>
  <c r="A61" i="4"/>
  <c r="G60" i="4" a="1"/>
  <c r="G60" i="4" s="1"/>
  <c r="H60" i="4" s="1"/>
  <c r="F60" i="4"/>
  <c r="E60" i="4"/>
  <c r="A60" i="4"/>
  <c r="G59" i="4" a="1"/>
  <c r="G59" i="4" s="1"/>
  <c r="H59" i="4" s="1"/>
  <c r="F59" i="4"/>
  <c r="E59" i="4"/>
  <c r="A59" i="4"/>
  <c r="G58" i="4" a="1"/>
  <c r="G58" i="4" s="1"/>
  <c r="H58" i="4" s="1"/>
  <c r="F58" i="4"/>
  <c r="E58" i="4"/>
  <c r="A58" i="4"/>
  <c r="G57" i="4" a="1"/>
  <c r="G57" i="4" s="1"/>
  <c r="H57" i="4" s="1"/>
  <c r="F57" i="4"/>
  <c r="E57" i="4"/>
  <c r="A57" i="4"/>
  <c r="G56" i="4" a="1"/>
  <c r="G56" i="4" s="1"/>
  <c r="H56" i="4" s="1"/>
  <c r="F56" i="4"/>
  <c r="E56" i="4"/>
  <c r="A56" i="4"/>
  <c r="G55" i="4" a="1"/>
  <c r="G55" i="4" s="1"/>
  <c r="H55" i="4" s="1"/>
  <c r="F55" i="4"/>
  <c r="E55" i="4"/>
  <c r="A55" i="4"/>
  <c r="G54" i="4" a="1"/>
  <c r="G54" i="4" s="1"/>
  <c r="H54" i="4" s="1"/>
  <c r="F54" i="4"/>
  <c r="E54" i="4"/>
  <c r="A54" i="4"/>
  <c r="G53" i="4" a="1"/>
  <c r="G53" i="4" s="1"/>
  <c r="H53" i="4" s="1"/>
  <c r="F53" i="4"/>
  <c r="E53" i="4"/>
  <c r="A53" i="4"/>
  <c r="G52" i="4" a="1"/>
  <c r="G52" i="4" s="1"/>
  <c r="H52" i="4" s="1"/>
  <c r="F52" i="4"/>
  <c r="E52" i="4"/>
  <c r="A52" i="4"/>
  <c r="G51" i="4" a="1"/>
  <c r="G51" i="4" s="1"/>
  <c r="H51" i="4" s="1"/>
  <c r="F51" i="4"/>
  <c r="E51" i="4"/>
  <c r="A51" i="4"/>
  <c r="G50" i="4" a="1"/>
  <c r="G50" i="4" s="1"/>
  <c r="H50" i="4" s="1"/>
  <c r="F50" i="4"/>
  <c r="E50" i="4"/>
  <c r="A50" i="4"/>
  <c r="G49" i="4" a="1"/>
  <c r="G49" i="4" s="1"/>
  <c r="H49" i="4" s="1"/>
  <c r="F49" i="4"/>
  <c r="E49" i="4"/>
  <c r="A49" i="4"/>
  <c r="G48" i="4" a="1"/>
  <c r="G48" i="4" s="1"/>
  <c r="H48" i="4" s="1"/>
  <c r="F48" i="4"/>
  <c r="E48" i="4"/>
  <c r="A48" i="4"/>
  <c r="G47" i="4" a="1"/>
  <c r="G47" i="4" s="1"/>
  <c r="H47" i="4" s="1"/>
  <c r="F47" i="4"/>
  <c r="E47" i="4"/>
  <c r="A47" i="4"/>
  <c r="G46" i="4" a="1"/>
  <c r="G46" i="4" s="1"/>
  <c r="H46" i="4" s="1"/>
  <c r="F46" i="4"/>
  <c r="E46" i="4"/>
  <c r="A46" i="4"/>
  <c r="G45" i="4" a="1"/>
  <c r="G45" i="4" s="1"/>
  <c r="H45" i="4" s="1"/>
  <c r="F45" i="4"/>
  <c r="E45" i="4"/>
  <c r="A45" i="4"/>
  <c r="G44" i="4" a="1"/>
  <c r="G44" i="4" s="1"/>
  <c r="H44" i="4" s="1"/>
  <c r="F44" i="4"/>
  <c r="E44" i="4"/>
  <c r="A44" i="4"/>
  <c r="G43" i="4" a="1"/>
  <c r="G43" i="4" s="1"/>
  <c r="H43" i="4" s="1"/>
  <c r="F43" i="4"/>
  <c r="E43" i="4"/>
  <c r="A43" i="4"/>
  <c r="G42" i="4" a="1"/>
  <c r="G42" i="4" s="1"/>
  <c r="H42" i="4" s="1"/>
  <c r="F42" i="4"/>
  <c r="E42" i="4"/>
  <c r="A42" i="4"/>
  <c r="G41" i="4" a="1"/>
  <c r="G41" i="4" s="1"/>
  <c r="H41" i="4" s="1"/>
  <c r="F41" i="4"/>
  <c r="E41" i="4"/>
  <c r="A41" i="4"/>
  <c r="G40" i="4" a="1"/>
  <c r="G40" i="4" s="1"/>
  <c r="H40" i="4" s="1"/>
  <c r="F40" i="4"/>
  <c r="E40" i="4"/>
  <c r="A40" i="4"/>
  <c r="G39" i="4" a="1"/>
  <c r="G39" i="4" s="1"/>
  <c r="H39" i="4" s="1"/>
  <c r="F39" i="4"/>
  <c r="E39" i="4"/>
  <c r="A39" i="4"/>
  <c r="G38" i="4" a="1"/>
  <c r="G38" i="4" s="1"/>
  <c r="H38" i="4" s="1"/>
  <c r="F38" i="4"/>
  <c r="E38" i="4"/>
  <c r="A38" i="4"/>
  <c r="G37" i="4" a="1"/>
  <c r="G37" i="4" s="1"/>
  <c r="H37" i="4" s="1"/>
  <c r="F37" i="4"/>
  <c r="E37" i="4"/>
  <c r="A37" i="4"/>
  <c r="G36" i="4" a="1"/>
  <c r="G36" i="4" s="1"/>
  <c r="H36" i="4" s="1"/>
  <c r="F36" i="4"/>
  <c r="E36" i="4"/>
  <c r="A36" i="4"/>
  <c r="G35" i="4" a="1"/>
  <c r="G35" i="4" s="1"/>
  <c r="H35" i="4" s="1"/>
  <c r="F35" i="4"/>
  <c r="E35" i="4"/>
  <c r="A35" i="4"/>
  <c r="G34" i="4" a="1"/>
  <c r="G34" i="4" s="1"/>
  <c r="H34" i="4" s="1"/>
  <c r="F34" i="4"/>
  <c r="E34" i="4"/>
  <c r="A34" i="4"/>
  <c r="G33" i="4" a="1"/>
  <c r="G33" i="4" s="1"/>
  <c r="H33" i="4" s="1"/>
  <c r="F33" i="4"/>
  <c r="E33" i="4"/>
  <c r="A33" i="4"/>
  <c r="G32" i="4" a="1"/>
  <c r="G32" i="4" s="1"/>
  <c r="H32" i="4" s="1"/>
  <c r="F32" i="4"/>
  <c r="E32" i="4"/>
  <c r="A32" i="4"/>
  <c r="G31" i="4" a="1"/>
  <c r="G31" i="4" s="1"/>
  <c r="H31" i="4" s="1"/>
  <c r="F31" i="4"/>
  <c r="E31" i="4"/>
  <c r="A31" i="4"/>
  <c r="G30" i="4" a="1"/>
  <c r="G30" i="4" s="1"/>
  <c r="H30" i="4" s="1"/>
  <c r="F30" i="4"/>
  <c r="E30" i="4"/>
  <c r="A30" i="4"/>
  <c r="G29" i="4" a="1"/>
  <c r="G29" i="4" s="1"/>
  <c r="H29" i="4" s="1"/>
  <c r="F29" i="4"/>
  <c r="E29" i="4"/>
  <c r="A29" i="4"/>
  <c r="G28" i="4" a="1"/>
  <c r="G28" i="4" s="1"/>
  <c r="H28" i="4" s="1"/>
  <c r="F28" i="4"/>
  <c r="E28" i="4"/>
  <c r="A28" i="4"/>
  <c r="G27" i="4" a="1"/>
  <c r="G27" i="4" s="1"/>
  <c r="H27" i="4" s="1"/>
  <c r="F27" i="4"/>
  <c r="E27" i="4"/>
  <c r="A27" i="4"/>
  <c r="G26" i="4" a="1"/>
  <c r="G26" i="4" s="1"/>
  <c r="H26" i="4" s="1"/>
  <c r="F26" i="4"/>
  <c r="E26" i="4"/>
  <c r="A26" i="4"/>
  <c r="G25" i="4" a="1"/>
  <c r="G25" i="4" s="1"/>
  <c r="H25" i="4" s="1"/>
  <c r="F25" i="4"/>
  <c r="E25" i="4"/>
  <c r="A25" i="4"/>
  <c r="G24" i="4" a="1"/>
  <c r="G24" i="4" s="1"/>
  <c r="H24" i="4" s="1"/>
  <c r="F24" i="4"/>
  <c r="E24" i="4"/>
  <c r="A24" i="4"/>
  <c r="G23" i="4" a="1"/>
  <c r="G23" i="4" s="1"/>
  <c r="H23" i="4" s="1"/>
  <c r="F23" i="4"/>
  <c r="E23" i="4"/>
  <c r="A23" i="4"/>
  <c r="G22" i="4" a="1"/>
  <c r="G22" i="4" s="1"/>
  <c r="H22" i="4" s="1"/>
  <c r="F22" i="4"/>
  <c r="E22" i="4"/>
  <c r="A22" i="4"/>
  <c r="G21" i="4" a="1"/>
  <c r="G21" i="4" s="1"/>
  <c r="H21" i="4" s="1"/>
  <c r="F21" i="4"/>
  <c r="E21" i="4"/>
  <c r="A21" i="4"/>
  <c r="G20" i="4" a="1"/>
  <c r="G20" i="4" s="1"/>
  <c r="H20" i="4" s="1"/>
  <c r="F20" i="4"/>
  <c r="E20" i="4"/>
  <c r="A20" i="4"/>
  <c r="G19" i="4" a="1"/>
  <c r="G19" i="4" s="1"/>
  <c r="H19" i="4" s="1"/>
  <c r="F19" i="4"/>
  <c r="E19" i="4"/>
  <c r="A19" i="4"/>
  <c r="G18" i="4" a="1"/>
  <c r="G18" i="4" s="1"/>
  <c r="H18" i="4" s="1"/>
  <c r="F18" i="4"/>
  <c r="E18" i="4"/>
  <c r="A18" i="4"/>
  <c r="G17" i="4" a="1"/>
  <c r="G17" i="4" s="1"/>
  <c r="H17" i="4" s="1"/>
  <c r="F17" i="4"/>
  <c r="E17" i="4"/>
  <c r="A17" i="4"/>
  <c r="G16" i="4" a="1"/>
  <c r="G16" i="4" s="1"/>
  <c r="H16" i="4" s="1"/>
  <c r="F16" i="4"/>
  <c r="E16" i="4"/>
  <c r="A16" i="4"/>
  <c r="G15" i="4" a="1"/>
  <c r="G15" i="4" s="1"/>
  <c r="H15" i="4" s="1"/>
  <c r="F15" i="4"/>
  <c r="E15" i="4"/>
  <c r="A15" i="4"/>
  <c r="G14" i="4" a="1"/>
  <c r="G14" i="4" s="1"/>
  <c r="H14" i="4" s="1"/>
  <c r="F14" i="4"/>
  <c r="E14" i="4"/>
  <c r="A14" i="4"/>
  <c r="G13" i="4" a="1"/>
  <c r="G13" i="4" s="1"/>
  <c r="H13" i="4" s="1"/>
  <c r="F13" i="4"/>
  <c r="E13" i="4"/>
  <c r="A13" i="4"/>
  <c r="G12" i="4" a="1"/>
  <c r="G12" i="4" s="1"/>
  <c r="H12" i="4" s="1"/>
  <c r="F12" i="4"/>
  <c r="E12" i="4"/>
  <c r="A12" i="4"/>
  <c r="G11" i="4" a="1"/>
  <c r="G11" i="4" s="1"/>
  <c r="H11" i="4" s="1"/>
  <c r="F11" i="4"/>
  <c r="E11" i="4"/>
  <c r="A11" i="4"/>
  <c r="G10" i="4" a="1"/>
  <c r="G10" i="4" s="1"/>
  <c r="H10" i="4" s="1"/>
  <c r="F10" i="4"/>
  <c r="E10" i="4"/>
  <c r="A10" i="4"/>
  <c r="G9" i="4" a="1"/>
  <c r="G9" i="4" s="1"/>
  <c r="H9" i="4" s="1"/>
  <c r="F9" i="4"/>
  <c r="E9" i="4"/>
  <c r="A9" i="4"/>
  <c r="G8" i="4" a="1"/>
  <c r="G8" i="4" s="1"/>
  <c r="H8" i="4" s="1"/>
  <c r="F8" i="4"/>
  <c r="E8" i="4"/>
  <c r="A8" i="4"/>
  <c r="G7" i="4" a="1"/>
  <c r="G7" i="4" s="1"/>
  <c r="H7" i="4" s="1"/>
  <c r="F7" i="4"/>
  <c r="E7" i="4"/>
  <c r="A7" i="4"/>
  <c r="G6" i="4" a="1"/>
  <c r="G6" i="4" s="1"/>
  <c r="H6" i="4" s="1"/>
  <c r="F6" i="4"/>
  <c r="E6" i="4"/>
  <c r="A6" i="4"/>
  <c r="G5" i="4" a="1"/>
  <c r="G5" i="4" s="1"/>
  <c r="H5" i="4" s="1"/>
  <c r="F5" i="4"/>
  <c r="E5" i="4"/>
  <c r="A5" i="4"/>
  <c r="G4" i="4" a="1"/>
  <c r="G4" i="4" s="1"/>
  <c r="H4" i="4" s="1"/>
  <c r="F4" i="4"/>
  <c r="E4" i="4"/>
  <c r="A4" i="4"/>
  <c r="G3" i="4" a="1"/>
  <c r="G3" i="4" s="1"/>
  <c r="H3" i="4" s="1"/>
  <c r="F3" i="4"/>
  <c r="E3" i="4"/>
  <c r="A3" i="4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79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E27" i="27" l="1"/>
  <c r="E35" i="27"/>
  <c r="E3" i="25"/>
  <c r="E13" i="25"/>
  <c r="E21" i="26"/>
  <c r="E19" i="27"/>
  <c r="E26" i="27"/>
  <c r="E34" i="27"/>
  <c r="E11" i="27"/>
  <c r="E6" i="25"/>
  <c r="E19" i="25"/>
  <c r="E32" i="25"/>
  <c r="E8" i="26"/>
  <c r="E14" i="27"/>
  <c r="E20" i="26"/>
  <c r="E27" i="26"/>
  <c r="E35" i="26"/>
  <c r="E18" i="27"/>
  <c r="E25" i="27"/>
  <c r="E33" i="27"/>
  <c r="E9" i="27"/>
  <c r="E24" i="27"/>
  <c r="E12" i="25"/>
  <c r="AC415" i="26"/>
  <c r="AC457" i="26"/>
  <c r="AC471" i="26"/>
  <c r="AC494" i="26"/>
  <c r="AC506" i="26"/>
  <c r="AC555" i="26"/>
  <c r="AC571" i="26"/>
  <c r="AC587" i="26"/>
  <c r="AC603" i="26"/>
  <c r="AC619" i="26"/>
  <c r="AC635" i="26"/>
  <c r="AC651" i="26"/>
  <c r="AC667" i="26"/>
  <c r="AC683" i="26"/>
  <c r="AC699" i="26"/>
  <c r="AC715" i="26"/>
  <c r="AC731" i="26"/>
  <c r="AC747" i="26"/>
  <c r="AC763" i="26"/>
  <c r="AC779" i="26"/>
  <c r="AC811" i="26"/>
  <c r="AB330" i="27"/>
  <c r="AB339" i="27"/>
  <c r="AB349" i="27"/>
  <c r="AB360" i="27"/>
  <c r="AB368" i="27"/>
  <c r="AB392" i="27"/>
  <c r="AB404" i="27"/>
  <c r="AB415" i="27"/>
  <c r="AB440" i="27"/>
  <c r="AB467" i="27"/>
  <c r="AB508" i="27"/>
  <c r="AB520" i="27"/>
  <c r="AB524" i="27"/>
  <c r="AB528" i="27"/>
  <c r="AB532" i="27"/>
  <c r="AB536" i="27"/>
  <c r="AB540" i="27"/>
  <c r="AB544" i="27"/>
  <c r="AB548" i="27"/>
  <c r="AB552" i="27"/>
  <c r="AB556" i="27"/>
  <c r="AB560" i="27"/>
  <c r="AB564" i="27"/>
  <c r="AB568" i="27"/>
  <c r="AB572" i="27"/>
  <c r="AB576" i="27"/>
  <c r="AB580" i="27"/>
  <c r="AB584" i="27"/>
  <c r="AB588" i="27"/>
  <c r="AB592" i="27"/>
  <c r="AB596" i="27"/>
  <c r="AB600" i="27"/>
  <c r="AB604" i="27"/>
  <c r="AB608" i="27"/>
  <c r="AB612" i="27"/>
  <c r="AB616" i="27"/>
  <c r="AB620" i="27"/>
  <c r="AB624" i="27"/>
  <c r="AB628" i="27"/>
  <c r="AB632" i="27"/>
  <c r="AB636" i="27"/>
  <c r="AB640" i="27"/>
  <c r="AB644" i="27"/>
  <c r="AB648" i="27"/>
  <c r="AC429" i="26"/>
  <c r="AC443" i="26"/>
  <c r="AC465" i="26"/>
  <c r="AC505" i="26"/>
  <c r="AC517" i="26"/>
  <c r="AC544" i="26"/>
  <c r="AC560" i="26"/>
  <c r="AC576" i="26"/>
  <c r="AC592" i="26"/>
  <c r="AC608" i="26"/>
  <c r="AC624" i="26"/>
  <c r="AC640" i="26"/>
  <c r="AC656" i="26"/>
  <c r="AC672" i="26"/>
  <c r="AC688" i="26"/>
  <c r="AC704" i="26"/>
  <c r="AC720" i="26"/>
  <c r="AC736" i="26"/>
  <c r="AC752" i="26"/>
  <c r="AC768" i="26"/>
  <c r="AB350" i="27"/>
  <c r="AB378" i="27"/>
  <c r="AB393" i="27"/>
  <c r="AB426" i="27"/>
  <c r="AB441" i="27"/>
  <c r="AB452" i="27"/>
  <c r="AB477" i="27"/>
  <c r="AB488" i="27"/>
  <c r="AB494" i="27"/>
  <c r="AB514" i="27"/>
  <c r="AC458" i="26"/>
  <c r="AC504" i="26"/>
  <c r="AC516" i="26"/>
  <c r="AC549" i="26"/>
  <c r="AC565" i="26"/>
  <c r="AC597" i="26"/>
  <c r="AC613" i="26"/>
  <c r="AC629" i="26"/>
  <c r="AC645" i="26"/>
  <c r="AC661" i="26"/>
  <c r="AC677" i="26"/>
  <c r="AC693" i="26"/>
  <c r="AC709" i="26"/>
  <c r="AC725" i="26"/>
  <c r="AC741" i="26"/>
  <c r="AC757" i="26"/>
  <c r="AC773" i="26"/>
  <c r="AC997" i="26"/>
  <c r="AB331" i="27"/>
  <c r="AB340" i="27"/>
  <c r="AB351" i="27"/>
  <c r="AB361" i="27"/>
  <c r="AB369" i="27"/>
  <c r="AB405" i="27"/>
  <c r="AB416" i="27"/>
  <c r="AB427" i="27"/>
  <c r="AB428" i="27"/>
  <c r="AB453" i="27"/>
  <c r="AB454" i="27"/>
  <c r="AB455" i="27"/>
  <c r="AB468" i="27"/>
  <c r="AB478" i="27"/>
  <c r="AB500" i="27"/>
  <c r="AB341" i="27"/>
  <c r="AB352" i="27"/>
  <c r="AB379" i="27"/>
  <c r="AB394" i="27"/>
  <c r="AB406" i="27"/>
  <c r="AB429" i="27"/>
  <c r="AB442" i="27"/>
  <c r="AB479" i="27"/>
  <c r="AB507" i="27"/>
  <c r="AB513" i="27"/>
  <c r="E18" i="26"/>
  <c r="E25" i="26"/>
  <c r="E33" i="26"/>
  <c r="AC390" i="26"/>
  <c r="AC438" i="26"/>
  <c r="AC459" i="26"/>
  <c r="AC502" i="26"/>
  <c r="AC514" i="26"/>
  <c r="AC527" i="26"/>
  <c r="AC575" i="26"/>
  <c r="AC591" i="26"/>
  <c r="AC607" i="26"/>
  <c r="AC623" i="26"/>
  <c r="AC639" i="26"/>
  <c r="AC655" i="26"/>
  <c r="AC671" i="26"/>
  <c r="AC687" i="26"/>
  <c r="AC703" i="26"/>
  <c r="AC719" i="26"/>
  <c r="AC735" i="26"/>
  <c r="AC751" i="26"/>
  <c r="AC767" i="26"/>
  <c r="AC783" i="26"/>
  <c r="AC815" i="26"/>
  <c r="E31" i="27"/>
  <c r="AB323" i="27"/>
  <c r="AB332" i="27"/>
  <c r="AB353" i="27"/>
  <c r="AB362" i="27"/>
  <c r="AB370" i="27"/>
  <c r="AB395" i="27"/>
  <c r="AB417" i="27"/>
  <c r="AB456" i="27"/>
  <c r="AB469" i="27"/>
  <c r="AB487" i="27"/>
  <c r="AB493" i="27"/>
  <c r="AB519" i="27"/>
  <c r="AB523" i="27"/>
  <c r="AB527" i="27"/>
  <c r="AB531" i="27"/>
  <c r="AB535" i="27"/>
  <c r="AB539" i="27"/>
  <c r="AB543" i="27"/>
  <c r="AB547" i="27"/>
  <c r="AB551" i="27"/>
  <c r="AB555" i="27"/>
  <c r="AB559" i="27"/>
  <c r="AB563" i="27"/>
  <c r="AB567" i="27"/>
  <c r="AB571" i="27"/>
  <c r="AB575" i="27"/>
  <c r="AB579" i="27"/>
  <c r="AB583" i="27"/>
  <c r="AB587" i="27"/>
  <c r="AB591" i="27"/>
  <c r="AB595" i="27"/>
  <c r="AB599" i="27"/>
  <c r="AB603" i="27"/>
  <c r="AB607" i="27"/>
  <c r="AB611" i="27"/>
  <c r="AB615" i="27"/>
  <c r="AB619" i="27"/>
  <c r="AB623" i="27"/>
  <c r="AB627" i="27"/>
  <c r="AB631" i="27"/>
  <c r="AB635" i="27"/>
  <c r="AB639" i="27"/>
  <c r="AB643" i="27"/>
  <c r="AB647" i="27"/>
  <c r="AB651" i="27"/>
  <c r="AB655" i="27"/>
  <c r="AB659" i="27"/>
  <c r="AB663" i="27"/>
  <c r="AB667" i="27"/>
  <c r="AB671" i="27"/>
  <c r="E4" i="25"/>
  <c r="E22" i="25"/>
  <c r="E27" i="25"/>
  <c r="E35" i="25"/>
  <c r="E24" i="26"/>
  <c r="AC382" i="26"/>
  <c r="AC468" i="26"/>
  <c r="AC474" i="26"/>
  <c r="AC500" i="26"/>
  <c r="AC542" i="26"/>
  <c r="AC558" i="26"/>
  <c r="AC606" i="26"/>
  <c r="AC622" i="26"/>
  <c r="AC638" i="26"/>
  <c r="AC654" i="26"/>
  <c r="AC670" i="26"/>
  <c r="AC686" i="26"/>
  <c r="AC702" i="26"/>
  <c r="AC718" i="26"/>
  <c r="AC734" i="26"/>
  <c r="AC750" i="26"/>
  <c r="AC766" i="26"/>
  <c r="AC782" i="26"/>
  <c r="AB343" i="27"/>
  <c r="AB372" i="27"/>
  <c r="AB381" i="27"/>
  <c r="AB408" i="27"/>
  <c r="AB419" i="27"/>
  <c r="AB420" i="27"/>
  <c r="AB445" i="27"/>
  <c r="AB458" i="27"/>
  <c r="AB481" i="27"/>
  <c r="AB492" i="27"/>
  <c r="AB505" i="27"/>
  <c r="AC346" i="26"/>
  <c r="AC354" i="26"/>
  <c r="AC453" i="26"/>
  <c r="AC489" i="26"/>
  <c r="AC511" i="26"/>
  <c r="AC531" i="26"/>
  <c r="AC563" i="26"/>
  <c r="AC595" i="26"/>
  <c r="AC611" i="26"/>
  <c r="AC627" i="26"/>
  <c r="AC643" i="26"/>
  <c r="AC659" i="26"/>
  <c r="AC675" i="26"/>
  <c r="AC691" i="26"/>
  <c r="AC707" i="26"/>
  <c r="AC723" i="26"/>
  <c r="AC739" i="26"/>
  <c r="AC755" i="26"/>
  <c r="AC771" i="26"/>
  <c r="AC787" i="26"/>
  <c r="AC803" i="26"/>
  <c r="AB325" i="27"/>
  <c r="AB356" i="27"/>
  <c r="AB364" i="27"/>
  <c r="AB382" i="27"/>
  <c r="AB397" i="27"/>
  <c r="AB433" i="27"/>
  <c r="AB446" i="27"/>
  <c r="AB459" i="27"/>
  <c r="AB471" i="27"/>
  <c r="AB485" i="27"/>
  <c r="AB498" i="27"/>
  <c r="AB511" i="27"/>
  <c r="AC335" i="26"/>
  <c r="AC469" i="26"/>
  <c r="AC488" i="26"/>
  <c r="AC525" i="26"/>
  <c r="AC573" i="26"/>
  <c r="AC589" i="26"/>
  <c r="AC605" i="26"/>
  <c r="AC621" i="26"/>
  <c r="AC637" i="26"/>
  <c r="AC653" i="26"/>
  <c r="AC669" i="26"/>
  <c r="AC685" i="26"/>
  <c r="AC701" i="26"/>
  <c r="AC717" i="26"/>
  <c r="AC733" i="26"/>
  <c r="AC749" i="26"/>
  <c r="AC765" i="26"/>
  <c r="AC781" i="26"/>
  <c r="AB335" i="27"/>
  <c r="AB357" i="27"/>
  <c r="AB365" i="27"/>
  <c r="AB374" i="27"/>
  <c r="AB384" i="27"/>
  <c r="AB385" i="27"/>
  <c r="AB398" i="27"/>
  <c r="AB410" i="27"/>
  <c r="AB422" i="27"/>
  <c r="AB435" i="27"/>
  <c r="AB448" i="27"/>
  <c r="AB472" i="27"/>
  <c r="AB483" i="27"/>
  <c r="AB497" i="27"/>
  <c r="AB510" i="27"/>
  <c r="AC366" i="26"/>
  <c r="AC399" i="26"/>
  <c r="AC419" i="26"/>
  <c r="AC498" i="26"/>
  <c r="AC509" i="26"/>
  <c r="AC530" i="26"/>
  <c r="AC578" i="26"/>
  <c r="AC594" i="26"/>
  <c r="AC610" i="26"/>
  <c r="AC626" i="26"/>
  <c r="AC642" i="26"/>
  <c r="AC658" i="26"/>
  <c r="AC674" i="26"/>
  <c r="AC690" i="26"/>
  <c r="AC706" i="26"/>
  <c r="AC722" i="26"/>
  <c r="AC738" i="26"/>
  <c r="AC754" i="26"/>
  <c r="AC770" i="26"/>
  <c r="AC786" i="26"/>
  <c r="AB327" i="27"/>
  <c r="AB345" i="27"/>
  <c r="AB386" i="27"/>
  <c r="AB387" i="27"/>
  <c r="AB388" i="27"/>
  <c r="AB399" i="27"/>
  <c r="AB411" i="27"/>
  <c r="AB423" i="27"/>
  <c r="AB436" i="27"/>
  <c r="AB449" i="27"/>
  <c r="AB461" i="27"/>
  <c r="AB473" i="27"/>
  <c r="AB652" i="27"/>
  <c r="AB656" i="27"/>
  <c r="AB660" i="27"/>
  <c r="AB664" i="27"/>
  <c r="AB668" i="27"/>
  <c r="AB672" i="27"/>
  <c r="AB676" i="27"/>
  <c r="AB680" i="27"/>
  <c r="AB684" i="27"/>
  <c r="AB688" i="27"/>
  <c r="AB692" i="27"/>
  <c r="AB696" i="27"/>
  <c r="AB700" i="27"/>
  <c r="AB704" i="27"/>
  <c r="AB708" i="27"/>
  <c r="AB712" i="27"/>
  <c r="AB716" i="27"/>
  <c r="AB720" i="27"/>
  <c r="AB724" i="27"/>
  <c r="AB728" i="27"/>
  <c r="AB732" i="27"/>
  <c r="AB736" i="27"/>
  <c r="AB740" i="27"/>
  <c r="AB744" i="27"/>
  <c r="AB748" i="27"/>
  <c r="AB752" i="27"/>
  <c r="AB756" i="27"/>
  <c r="AB760" i="27"/>
  <c r="AB764" i="27"/>
  <c r="AB768" i="27"/>
  <c r="AB772" i="27"/>
  <c r="AB776" i="27"/>
  <c r="AB780" i="27"/>
  <c r="AB784" i="27"/>
  <c r="AB788" i="27"/>
  <c r="AB792" i="27"/>
  <c r="AB796" i="27"/>
  <c r="AB800" i="27"/>
  <c r="AB804" i="27"/>
  <c r="AB808" i="27"/>
  <c r="AB812" i="27"/>
  <c r="AB816" i="27"/>
  <c r="AB820" i="27"/>
  <c r="AB824" i="27"/>
  <c r="AB828" i="27"/>
  <c r="AB832" i="27"/>
  <c r="AB836" i="27"/>
  <c r="AB840" i="27"/>
  <c r="AB844" i="27"/>
  <c r="AB848" i="27"/>
  <c r="AB852" i="27"/>
  <c r="AB856" i="27"/>
  <c r="AB860" i="27"/>
  <c r="AB864" i="27"/>
  <c r="AB868" i="27"/>
  <c r="AB872" i="27"/>
  <c r="AB876" i="27"/>
  <c r="AB880" i="27"/>
  <c r="AB884" i="27"/>
  <c r="AB888" i="27"/>
  <c r="AB892" i="27"/>
  <c r="AB896" i="27"/>
  <c r="AB900" i="27"/>
  <c r="AB904" i="27"/>
  <c r="AB908" i="27"/>
  <c r="AB912" i="27"/>
  <c r="AB916" i="27"/>
  <c r="AB920" i="27"/>
  <c r="AB924" i="27"/>
  <c r="AB928" i="27"/>
  <c r="AB932" i="27"/>
  <c r="AB936" i="27"/>
  <c r="AB940" i="27"/>
  <c r="AB944" i="27"/>
  <c r="AB948" i="27"/>
  <c r="AB952" i="27"/>
  <c r="AB956" i="27"/>
  <c r="AB960" i="27"/>
  <c r="AB964" i="27"/>
  <c r="AB968" i="27"/>
  <c r="AB972" i="27"/>
  <c r="AB976" i="27"/>
  <c r="AB980" i="27"/>
  <c r="AB984" i="27"/>
  <c r="AB988" i="27"/>
  <c r="AB518" i="27"/>
  <c r="AB522" i="27"/>
  <c r="AB526" i="27"/>
  <c r="AB530" i="27"/>
  <c r="AB534" i="27"/>
  <c r="AB538" i="27"/>
  <c r="AB542" i="27"/>
  <c r="AB546" i="27"/>
  <c r="AB550" i="27"/>
  <c r="AB554" i="27"/>
  <c r="AB558" i="27"/>
  <c r="AB562" i="27"/>
  <c r="AB566" i="27"/>
  <c r="AB570" i="27"/>
  <c r="AB574" i="27"/>
  <c r="AB578" i="27"/>
  <c r="AB582" i="27"/>
  <c r="AB586" i="27"/>
  <c r="AB590" i="27"/>
  <c r="AB594" i="27"/>
  <c r="AB598" i="27"/>
  <c r="AB602" i="27"/>
  <c r="AB606" i="27"/>
  <c r="AB610" i="27"/>
  <c r="AB614" i="27"/>
  <c r="AB618" i="27"/>
  <c r="AB622" i="27"/>
  <c r="AB626" i="27"/>
  <c r="AB630" i="27"/>
  <c r="AB634" i="27"/>
  <c r="AB638" i="27"/>
  <c r="AB642" i="27"/>
  <c r="AB646" i="27"/>
  <c r="AB650" i="27"/>
  <c r="AB654" i="27"/>
  <c r="AB658" i="27"/>
  <c r="AB490" i="27"/>
  <c r="AB503" i="27"/>
  <c r="AB517" i="27"/>
  <c r="AB675" i="27"/>
  <c r="AB679" i="27"/>
  <c r="AB683" i="27"/>
  <c r="AB687" i="27"/>
  <c r="AB691" i="27"/>
  <c r="AB695" i="27"/>
  <c r="AB699" i="27"/>
  <c r="AB703" i="27"/>
  <c r="AB707" i="27"/>
  <c r="AB711" i="27"/>
  <c r="AB715" i="27"/>
  <c r="AB719" i="27"/>
  <c r="AB723" i="27"/>
  <c r="AB727" i="27"/>
  <c r="AB731" i="27"/>
  <c r="AB735" i="27"/>
  <c r="AB739" i="27"/>
  <c r="AB743" i="27"/>
  <c r="AB747" i="27"/>
  <c r="AB751" i="27"/>
  <c r="AB755" i="27"/>
  <c r="AB759" i="27"/>
  <c r="AB763" i="27"/>
  <c r="AB767" i="27"/>
  <c r="AB771" i="27"/>
  <c r="AB775" i="27"/>
  <c r="AB779" i="27"/>
  <c r="AB783" i="27"/>
  <c r="AB787" i="27"/>
  <c r="AB791" i="27"/>
  <c r="AB795" i="27"/>
  <c r="AB799" i="27"/>
  <c r="AB803" i="27"/>
  <c r="AB807" i="27"/>
  <c r="AB811" i="27"/>
  <c r="AB815" i="27"/>
  <c r="AB819" i="27"/>
  <c r="AB823" i="27"/>
  <c r="AB827" i="27"/>
  <c r="AB831" i="27"/>
  <c r="AB835" i="27"/>
  <c r="AB839" i="27"/>
  <c r="AB843" i="27"/>
  <c r="AB847" i="27"/>
  <c r="AB851" i="27"/>
  <c r="AB855" i="27"/>
  <c r="AB859" i="27"/>
  <c r="AB863" i="27"/>
  <c r="AB867" i="27"/>
  <c r="AB871" i="27"/>
  <c r="AB875" i="27"/>
  <c r="AB879" i="27"/>
  <c r="AB883" i="27"/>
  <c r="AB887" i="27"/>
  <c r="AB891" i="27"/>
  <c r="AB895" i="27"/>
  <c r="AB899" i="27"/>
  <c r="AB903" i="27"/>
  <c r="AB907" i="27"/>
  <c r="AB911" i="27"/>
  <c r="AB915" i="27"/>
  <c r="AB919" i="27"/>
  <c r="AB923" i="27"/>
  <c r="AB927" i="27"/>
  <c r="AB931" i="27"/>
  <c r="AB935" i="27"/>
  <c r="AB939" i="27"/>
  <c r="AB943" i="27"/>
  <c r="AB947" i="27"/>
  <c r="AB951" i="27"/>
  <c r="AB955" i="27"/>
  <c r="AB959" i="27"/>
  <c r="AB963" i="27"/>
  <c r="AB967" i="27"/>
  <c r="AB971" i="27"/>
  <c r="AB975" i="27"/>
  <c r="AB979" i="27"/>
  <c r="AB983" i="27"/>
  <c r="AB987" i="27"/>
  <c r="AB991" i="27"/>
  <c r="AB995" i="27"/>
  <c r="AB999" i="27"/>
  <c r="AB662" i="27"/>
  <c r="AB666" i="27"/>
  <c r="AB670" i="27"/>
  <c r="AB674" i="27"/>
  <c r="AB678" i="27"/>
  <c r="AB682" i="27"/>
  <c r="AB686" i="27"/>
  <c r="AB690" i="27"/>
  <c r="AB694" i="27"/>
  <c r="AB698" i="27"/>
  <c r="AB702" i="27"/>
  <c r="AB706" i="27"/>
  <c r="AB710" i="27"/>
  <c r="AB714" i="27"/>
  <c r="AB718" i="27"/>
  <c r="AB722" i="27"/>
  <c r="AB726" i="27"/>
  <c r="AB730" i="27"/>
  <c r="AB734" i="27"/>
  <c r="AB738" i="27"/>
  <c r="AB742" i="27"/>
  <c r="AB746" i="27"/>
  <c r="AB750" i="27"/>
  <c r="AB754" i="27"/>
  <c r="AB758" i="27"/>
  <c r="AB762" i="27"/>
  <c r="AB766" i="27"/>
  <c r="AB770" i="27"/>
  <c r="AB774" i="27"/>
  <c r="AB778" i="27"/>
  <c r="AB782" i="27"/>
  <c r="AB786" i="27"/>
  <c r="AB790" i="27"/>
  <c r="AB794" i="27"/>
  <c r="AB798" i="27"/>
  <c r="AB802" i="27"/>
  <c r="AB806" i="27"/>
  <c r="AB810" i="27"/>
  <c r="AB814" i="27"/>
  <c r="AB818" i="27"/>
  <c r="AB822" i="27"/>
  <c r="AB826" i="27"/>
  <c r="AB830" i="27"/>
  <c r="AB834" i="27"/>
  <c r="AB838" i="27"/>
  <c r="AB842" i="27"/>
  <c r="AB846" i="27"/>
  <c r="AB850" i="27"/>
  <c r="AB854" i="27"/>
  <c r="AB858" i="27"/>
  <c r="AB862" i="27"/>
  <c r="AB866" i="27"/>
  <c r="AB870" i="27"/>
  <c r="AB874" i="27"/>
  <c r="AB878" i="27"/>
  <c r="AB882" i="27"/>
  <c r="AB886" i="27"/>
  <c r="AB890" i="27"/>
  <c r="AB894" i="27"/>
  <c r="AB898" i="27"/>
  <c r="AB902" i="27"/>
  <c r="AB906" i="27"/>
  <c r="AB910" i="27"/>
  <c r="AB914" i="27"/>
  <c r="AB918" i="27"/>
  <c r="AB922" i="27"/>
  <c r="AB926" i="27"/>
  <c r="AB930" i="27"/>
  <c r="AB934" i="27"/>
  <c r="AB938" i="27"/>
  <c r="AB942" i="27"/>
  <c r="AB946" i="27"/>
  <c r="AB950" i="27"/>
  <c r="AB954" i="27"/>
  <c r="AB958" i="27"/>
  <c r="AB962" i="27"/>
  <c r="AB966" i="27"/>
  <c r="AB970" i="27"/>
  <c r="AB974" i="27"/>
  <c r="AB978" i="27"/>
  <c r="AB982" i="27"/>
  <c r="AB986" i="27"/>
  <c r="AB990" i="27"/>
  <c r="AB994" i="27"/>
  <c r="AB998" i="27"/>
  <c r="E23" i="25"/>
  <c r="E28" i="25"/>
  <c r="E4" i="26"/>
  <c r="E12" i="26"/>
  <c r="E7" i="27"/>
  <c r="E15" i="27"/>
  <c r="E14" i="25"/>
  <c r="E16" i="26"/>
  <c r="E22" i="27"/>
  <c r="E29" i="27"/>
  <c r="E28" i="27"/>
  <c r="E5" i="27"/>
  <c r="E13" i="27"/>
  <c r="E20" i="27"/>
  <c r="E31" i="25"/>
  <c r="E5" i="26"/>
  <c r="E18" i="25"/>
  <c r="E5" i="25"/>
  <c r="E10" i="25"/>
  <c r="E7" i="25"/>
  <c r="E15" i="25"/>
  <c r="E19" i="26"/>
  <c r="E26" i="26"/>
  <c r="E34" i="26"/>
  <c r="E10" i="27"/>
  <c r="E20" i="25"/>
  <c r="E25" i="25"/>
  <c r="E33" i="25"/>
  <c r="E3" i="26"/>
  <c r="E11" i="26"/>
  <c r="E17" i="27"/>
  <c r="E2" i="25"/>
  <c r="E17" i="25"/>
  <c r="E30" i="25"/>
  <c r="E16" i="27"/>
  <c r="E32" i="26"/>
  <c r="E8" i="27"/>
  <c r="E9" i="25"/>
  <c r="E11" i="25"/>
  <c r="E24" i="25"/>
  <c r="E23" i="26"/>
  <c r="E30" i="26"/>
  <c r="E6" i="27"/>
  <c r="E16" i="25"/>
  <c r="E29" i="25"/>
  <c r="E7" i="26"/>
  <c r="E15" i="26"/>
  <c r="E8" i="25"/>
  <c r="E22" i="26"/>
  <c r="E29" i="26"/>
  <c r="E32" i="27"/>
  <c r="AC404" i="26"/>
  <c r="AC397" i="26"/>
  <c r="AC393" i="26"/>
  <c r="AC379" i="26"/>
  <c r="AC374" i="26"/>
  <c r="AC372" i="26"/>
  <c r="AC359" i="26"/>
  <c r="AC333" i="26"/>
  <c r="AC401" i="26"/>
  <c r="AC396" i="26"/>
  <c r="AC377" i="26"/>
  <c r="AC345" i="26"/>
  <c r="AC344" i="26"/>
  <c r="AC331" i="26"/>
  <c r="AC586" i="26"/>
  <c r="AC584" i="26"/>
  <c r="AC581" i="26"/>
  <c r="AC572" i="26"/>
  <c r="AC559" i="26"/>
  <c r="AC550" i="26"/>
  <c r="AC535" i="26"/>
  <c r="AC533" i="26"/>
  <c r="AC521" i="26"/>
  <c r="AC493" i="26"/>
  <c r="AC477" i="26"/>
  <c r="AC450" i="26"/>
  <c r="AC421" i="26"/>
  <c r="AC412" i="26"/>
  <c r="AC398" i="26"/>
  <c r="AC384" i="26"/>
  <c r="AC383" i="26"/>
  <c r="AC376" i="26"/>
  <c r="AC363" i="26"/>
  <c r="AC351" i="26"/>
  <c r="AC338" i="26"/>
  <c r="AC577" i="26"/>
  <c r="AC574" i="26"/>
  <c r="AC566" i="26"/>
  <c r="AC557" i="26"/>
  <c r="AC554" i="26"/>
  <c r="AC552" i="26"/>
  <c r="AC546" i="26"/>
  <c r="AC526" i="26"/>
  <c r="AC499" i="26"/>
  <c r="AC492" i="26"/>
  <c r="AC491" i="26"/>
  <c r="AC449" i="26"/>
  <c r="AC444" i="26"/>
  <c r="AC431" i="26"/>
  <c r="AC417" i="26"/>
  <c r="AC414" i="26"/>
  <c r="AC394" i="26"/>
  <c r="AC388" i="26"/>
  <c r="AC385" i="26"/>
  <c r="AC352" i="26"/>
  <c r="AC341" i="26"/>
  <c r="AC329" i="26"/>
  <c r="AC590" i="26"/>
  <c r="AC562" i="26"/>
  <c r="AC548" i="26"/>
  <c r="AC547" i="26"/>
  <c r="AC541" i="26"/>
  <c r="AC537" i="26"/>
  <c r="AC528" i="26"/>
  <c r="AC478" i="26"/>
  <c r="AC466" i="26"/>
  <c r="AC454" i="26"/>
  <c r="AC447" i="26"/>
  <c r="AC446" i="26"/>
  <c r="AC442" i="26"/>
  <c r="AC432" i="26"/>
  <c r="AC413" i="26"/>
  <c r="AC411" i="26"/>
  <c r="AC356" i="26"/>
  <c r="AC350" i="26"/>
  <c r="AB373" i="27"/>
  <c r="AC593" i="26"/>
  <c r="AC579" i="26"/>
  <c r="AC570" i="26"/>
  <c r="AC568" i="26"/>
  <c r="AC564" i="26"/>
  <c r="AC543" i="26"/>
  <c r="AC539" i="26"/>
  <c r="AC523" i="26"/>
  <c r="AC519" i="26"/>
  <c r="AC512" i="26"/>
  <c r="AC501" i="26"/>
  <c r="AC487" i="26"/>
  <c r="AC479" i="26"/>
  <c r="AC476" i="26"/>
  <c r="AC473" i="26"/>
  <c r="AC467" i="26"/>
  <c r="AC461" i="26"/>
  <c r="AC455" i="26"/>
  <c r="AC452" i="26"/>
  <c r="AC448" i="26"/>
  <c r="AC445" i="26"/>
  <c r="AC441" i="26"/>
  <c r="AC440" i="26"/>
  <c r="AC439" i="26"/>
  <c r="AC437" i="26"/>
  <c r="AC436" i="26"/>
  <c r="AC433" i="26"/>
  <c r="AC430" i="26"/>
  <c r="AC422" i="26"/>
  <c r="AC392" i="26"/>
  <c r="AC362" i="26"/>
  <c r="AC361" i="26"/>
  <c r="AC336" i="26"/>
  <c r="AC434" i="26"/>
  <c r="AC423" i="26"/>
  <c r="AC400" i="26"/>
  <c r="AC381" i="26"/>
  <c r="AC380" i="26"/>
  <c r="AC373" i="26"/>
  <c r="AC339" i="26"/>
  <c r="AC323" i="26"/>
  <c r="AC426" i="26"/>
  <c r="AC395" i="26"/>
  <c r="AC386" i="26"/>
  <c r="AC375" i="26"/>
  <c r="AC370" i="26"/>
  <c r="AC424" i="26"/>
  <c r="AC420" i="26"/>
  <c r="AC406" i="26"/>
  <c r="AC391" i="26"/>
  <c r="AC387" i="26"/>
  <c r="AC368" i="26"/>
  <c r="AC367" i="26"/>
  <c r="AC360" i="26"/>
  <c r="AC357" i="26"/>
  <c r="AC355" i="26"/>
  <c r="AC334" i="26"/>
  <c r="AC416" i="26"/>
  <c r="AC410" i="26"/>
  <c r="AC408" i="26"/>
  <c r="AC405" i="26"/>
  <c r="AC402" i="26"/>
  <c r="AC389" i="26"/>
  <c r="AC369" i="26"/>
  <c r="AC337" i="26"/>
  <c r="AB334" i="27"/>
  <c r="E13" i="26"/>
  <c r="AC821" i="26"/>
  <c r="AC968" i="26"/>
  <c r="AC325" i="26"/>
  <c r="AC330" i="26"/>
  <c r="AC324" i="26"/>
  <c r="AC326" i="26"/>
  <c r="AC918" i="26"/>
  <c r="AC859" i="26"/>
  <c r="AC425" i="26"/>
  <c r="AC365" i="26"/>
  <c r="AC347" i="26"/>
  <c r="AC340" i="26"/>
  <c r="AC328" i="26"/>
  <c r="AC342" i="26"/>
  <c r="AC409" i="26"/>
  <c r="AC378" i="26"/>
  <c r="AC371" i="26"/>
  <c r="AC348" i="26"/>
  <c r="AC343" i="26"/>
  <c r="AC435" i="26"/>
  <c r="AC349" i="26"/>
  <c r="AC332" i="26"/>
  <c r="AC327" i="26"/>
  <c r="AC862" i="26"/>
  <c r="E3" i="27"/>
  <c r="E28" i="26"/>
  <c r="AC909" i="26"/>
  <c r="E9" i="26"/>
  <c r="AC975" i="26"/>
  <c r="AC963" i="26"/>
  <c r="AC960" i="26"/>
  <c r="AC967" i="26"/>
  <c r="AC983" i="26"/>
  <c r="AC870" i="26"/>
  <c r="AC826" i="26"/>
  <c r="AC881" i="26"/>
  <c r="E21" i="27"/>
  <c r="AC865" i="26"/>
  <c r="AC908" i="26"/>
  <c r="AC824" i="26"/>
  <c r="AC943" i="26"/>
  <c r="AC923" i="26"/>
  <c r="AC893" i="26"/>
  <c r="AC885" i="26"/>
  <c r="AC847" i="26"/>
  <c r="AC838" i="26"/>
  <c r="AC890" i="26"/>
  <c r="AC850" i="26"/>
  <c r="AB430" i="27"/>
  <c r="AC868" i="26"/>
  <c r="AC949" i="26"/>
  <c r="AC924" i="26"/>
  <c r="AC999" i="26"/>
  <c r="AC957" i="26"/>
  <c r="AC955" i="26"/>
  <c r="AC941" i="26"/>
  <c r="AC877" i="26"/>
  <c r="AC934" i="26"/>
  <c r="AC917" i="26"/>
  <c r="AC900" i="26"/>
  <c r="AC829" i="26"/>
  <c r="AC929" i="26"/>
  <c r="AC922" i="26"/>
  <c r="AC892" i="26"/>
  <c r="AC998" i="26"/>
  <c r="E31" i="26"/>
  <c r="AC965" i="26"/>
  <c r="AC947" i="26"/>
  <c r="AC784" i="26"/>
  <c r="AC971" i="26"/>
  <c r="AC939" i="26"/>
  <c r="AC873" i="26"/>
  <c r="AC855" i="26"/>
  <c r="AC972" i="26"/>
  <c r="AC843" i="26"/>
  <c r="AC841" i="26"/>
  <c r="AC831" i="26"/>
  <c r="AC805" i="26"/>
  <c r="AC951" i="26"/>
  <c r="AC926" i="26"/>
  <c r="AC915" i="26"/>
  <c r="AC913" i="26"/>
  <c r="AC905" i="26"/>
  <c r="AC897" i="26"/>
  <c r="AC852" i="26"/>
  <c r="AC819" i="26"/>
  <c r="AC985" i="26"/>
  <c r="AC935" i="26"/>
  <c r="AC932" i="26"/>
  <c r="AC864" i="26"/>
  <c r="AC857" i="26"/>
  <c r="AC853" i="26"/>
  <c r="AC801" i="26"/>
  <c r="AC987" i="26"/>
  <c r="AC952" i="26"/>
  <c r="AC950" i="26"/>
  <c r="AC920" i="26"/>
  <c r="AC907" i="26"/>
  <c r="AC902" i="26"/>
  <c r="AC820" i="26"/>
  <c r="AC813" i="26"/>
  <c r="AC980" i="26"/>
  <c r="AC911" i="26"/>
  <c r="AC799" i="26"/>
  <c r="AC984" i="26"/>
  <c r="AC928" i="26"/>
  <c r="AC899" i="26"/>
  <c r="AC896" i="26"/>
  <c r="AC846" i="26"/>
  <c r="AC823" i="26"/>
  <c r="AC992" i="26"/>
  <c r="AC942" i="26"/>
  <c r="AC904" i="26"/>
  <c r="AC901" i="26"/>
  <c r="AC889" i="26"/>
  <c r="AC884" i="26"/>
  <c r="AC849" i="26"/>
  <c r="AC845" i="26"/>
  <c r="AC816" i="26"/>
  <c r="AC800" i="26"/>
  <c r="AC974" i="26"/>
  <c r="AC970" i="26"/>
  <c r="AC954" i="26"/>
  <c r="AC933" i="26"/>
  <c r="AC931" i="26"/>
  <c r="AC921" i="26"/>
  <c r="AC891" i="26"/>
  <c r="AC875" i="26"/>
  <c r="AC872" i="26"/>
  <c r="AC1000" i="26"/>
  <c r="AC995" i="26"/>
  <c r="AC994" i="26"/>
  <c r="AC993" i="26"/>
  <c r="AC966" i="26"/>
  <c r="AC867" i="26"/>
  <c r="AC840" i="26"/>
  <c r="AC837" i="26"/>
  <c r="AC798" i="26"/>
  <c r="AC827" i="26"/>
  <c r="AC812" i="26"/>
  <c r="AC808" i="26"/>
  <c r="AC789" i="26"/>
  <c r="AC990" i="26"/>
  <c r="AC979" i="26"/>
  <c r="AC978" i="26"/>
  <c r="AC977" i="26"/>
  <c r="AC976" i="26"/>
  <c r="AC964" i="26"/>
  <c r="AC961" i="26"/>
  <c r="AC958" i="26"/>
  <c r="AC948" i="26"/>
  <c r="AC940" i="26"/>
  <c r="AC916" i="26"/>
  <c r="AC903" i="26"/>
  <c r="AC894" i="26"/>
  <c r="AC888" i="26"/>
  <c r="AC878" i="26"/>
  <c r="AC863" i="26"/>
  <c r="AC861" i="26"/>
  <c r="AC860" i="26"/>
  <c r="AC858" i="26"/>
  <c r="AC854" i="26"/>
  <c r="AC842" i="26"/>
  <c r="AC839" i="26"/>
  <c r="AC833" i="26"/>
  <c r="AC832" i="26"/>
  <c r="AC828" i="26"/>
  <c r="AC822" i="26"/>
  <c r="AC797" i="26"/>
  <c r="AC988" i="26"/>
  <c r="AC982" i="26"/>
  <c r="AC981" i="26"/>
  <c r="AC969" i="26"/>
  <c r="AC959" i="26"/>
  <c r="AC953" i="26"/>
  <c r="AC937" i="26"/>
  <c r="AC927" i="26"/>
  <c r="AC919" i="26"/>
  <c r="AC914" i="26"/>
  <c r="AC906" i="26"/>
  <c r="AC898" i="26"/>
  <c r="AC886" i="26"/>
  <c r="AC883" i="26"/>
  <c r="AC879" i="26"/>
  <c r="AC876" i="26"/>
  <c r="AC874" i="26"/>
  <c r="AC871" i="26"/>
  <c r="AC866" i="26"/>
  <c r="AC856" i="26"/>
  <c r="AC851" i="26"/>
  <c r="AC848" i="26"/>
  <c r="AC844" i="26"/>
  <c r="AC836" i="26"/>
  <c r="AC835" i="26"/>
  <c r="AC825" i="26"/>
  <c r="AC817" i="26"/>
  <c r="AC810" i="26"/>
  <c r="AC806" i="26"/>
  <c r="AC802" i="26"/>
  <c r="AC991" i="26"/>
  <c r="AC989" i="26"/>
  <c r="AC986" i="26"/>
  <c r="AC973" i="26"/>
  <c r="AC962" i="26"/>
  <c r="AC956" i="26"/>
  <c r="AC946" i="26"/>
  <c r="AC945" i="26"/>
  <c r="AC944" i="26"/>
  <c r="AC938" i="26"/>
  <c r="AC936" i="26"/>
  <c r="AC930" i="26"/>
  <c r="AC925" i="26"/>
  <c r="AC912" i="26"/>
  <c r="AC910" i="26"/>
  <c r="AC895" i="26"/>
  <c r="AC882" i="26"/>
  <c r="AC880" i="26"/>
  <c r="AC869" i="26"/>
  <c r="AC830" i="26"/>
  <c r="AC818" i="26"/>
  <c r="AC814" i="26"/>
  <c r="AC804" i="26"/>
  <c r="AC795" i="26"/>
  <c r="AC793" i="26"/>
  <c r="AC834" i="26"/>
  <c r="AC792" i="26"/>
  <c r="L482" i="25"/>
  <c r="L477" i="25"/>
  <c r="L472" i="25"/>
  <c r="L470" i="25"/>
  <c r="L466" i="25"/>
  <c r="L462" i="25"/>
  <c r="L458" i="25"/>
  <c r="L453" i="25"/>
  <c r="L450" i="25"/>
  <c r="L447" i="25"/>
  <c r="L445" i="25"/>
  <c r="L440" i="25"/>
  <c r="L435" i="25"/>
  <c r="L432" i="25"/>
  <c r="L426" i="25"/>
  <c r="L423" i="25"/>
  <c r="L419" i="25"/>
  <c r="L415" i="25"/>
  <c r="L411" i="25"/>
  <c r="L408" i="25"/>
  <c r="L404" i="25"/>
  <c r="L398" i="25"/>
  <c r="L393" i="25"/>
  <c r="L387" i="25"/>
  <c r="L384" i="25"/>
  <c r="L381" i="25"/>
  <c r="L376" i="25"/>
  <c r="L372" i="25"/>
  <c r="L369" i="25"/>
  <c r="L364" i="25"/>
  <c r="L361" i="25"/>
  <c r="L357" i="25"/>
  <c r="L350" i="25"/>
  <c r="L346" i="25"/>
  <c r="L343" i="25"/>
  <c r="L337" i="25"/>
  <c r="L333" i="25"/>
  <c r="L330" i="25"/>
  <c r="L323" i="25"/>
  <c r="L318" i="25"/>
  <c r="L316" i="25"/>
  <c r="L312" i="25"/>
  <c r="L309" i="25"/>
  <c r="L306" i="25"/>
  <c r="L300" i="25"/>
  <c r="L297" i="25"/>
  <c r="L291" i="25"/>
  <c r="L287" i="25"/>
  <c r="L283" i="25"/>
  <c r="L280" i="25"/>
  <c r="L270" i="25"/>
  <c r="L265" i="25"/>
  <c r="L261" i="25"/>
  <c r="L258" i="25"/>
  <c r="L256" i="25"/>
  <c r="L252" i="25"/>
  <c r="L250" i="25"/>
  <c r="L247" i="25"/>
  <c r="L245" i="25"/>
  <c r="L242" i="25"/>
  <c r="L238" i="25"/>
  <c r="L232" i="25"/>
  <c r="L228" i="25"/>
  <c r="L225" i="25"/>
  <c r="L222" i="25"/>
  <c r="L220" i="25"/>
  <c r="L211" i="25"/>
  <c r="L209" i="25"/>
  <c r="L483" i="25"/>
  <c r="L479" i="25"/>
  <c r="L476" i="25"/>
  <c r="L473" i="25"/>
  <c r="L469" i="25"/>
  <c r="L467" i="25"/>
  <c r="L464" i="25"/>
  <c r="L460" i="25"/>
  <c r="L457" i="25"/>
  <c r="L455" i="25"/>
  <c r="L452" i="25"/>
  <c r="L449" i="25"/>
  <c r="L446" i="25"/>
  <c r="L441" i="25"/>
  <c r="L438" i="25"/>
  <c r="L434" i="25"/>
  <c r="L431" i="25"/>
  <c r="L428" i="25"/>
  <c r="L422" i="25"/>
  <c r="L417" i="25"/>
  <c r="L413" i="25"/>
  <c r="L409" i="25"/>
  <c r="L405" i="25"/>
  <c r="L402" i="25"/>
  <c r="L399" i="25"/>
  <c r="L395" i="25"/>
  <c r="L392" i="25"/>
  <c r="L390" i="25"/>
  <c r="L386" i="25"/>
  <c r="L383" i="25"/>
  <c r="L380" i="25"/>
  <c r="L377" i="25"/>
  <c r="L374" i="25"/>
  <c r="L370" i="25"/>
  <c r="L367" i="25"/>
  <c r="L363" i="25"/>
  <c r="L360" i="25"/>
  <c r="L358" i="25"/>
  <c r="L354" i="25"/>
  <c r="L352" i="25"/>
  <c r="L349" i="25"/>
  <c r="L345" i="25"/>
  <c r="L341" i="25"/>
  <c r="L336" i="25"/>
  <c r="L331" i="25"/>
  <c r="L328" i="25"/>
  <c r="L325" i="25"/>
  <c r="L320" i="25"/>
  <c r="L317" i="25"/>
  <c r="L314" i="25"/>
  <c r="L311" i="25"/>
  <c r="L308" i="25"/>
  <c r="L303" i="25"/>
  <c r="L296" i="25"/>
  <c r="L293" i="25"/>
  <c r="L290" i="25"/>
  <c r="L285" i="25"/>
  <c r="L281" i="25"/>
  <c r="L277" i="25"/>
  <c r="L274" i="25"/>
  <c r="L271" i="25"/>
  <c r="L268" i="25"/>
  <c r="L263" i="25"/>
  <c r="L260" i="25"/>
  <c r="L255" i="25"/>
  <c r="L253" i="25"/>
  <c r="L235" i="25"/>
  <c r="L233" i="25"/>
  <c r="L230" i="25"/>
  <c r="L227" i="25"/>
  <c r="L224" i="25"/>
  <c r="L221" i="25"/>
  <c r="L481" i="25"/>
  <c r="L478" i="25"/>
  <c r="L474" i="25"/>
  <c r="L471" i="25"/>
  <c r="L465" i="25"/>
  <c r="L463" i="25"/>
  <c r="L459" i="25"/>
  <c r="L456" i="25"/>
  <c r="L451" i="25"/>
  <c r="L444" i="25"/>
  <c r="L442" i="25"/>
  <c r="L437" i="25"/>
  <c r="L433" i="25"/>
  <c r="L429" i="25"/>
  <c r="L427" i="25"/>
  <c r="L424" i="25"/>
  <c r="L420" i="25"/>
  <c r="L418" i="25"/>
  <c r="L414" i="25"/>
  <c r="L410" i="25"/>
  <c r="L407" i="25"/>
  <c r="L403" i="25"/>
  <c r="L400" i="25"/>
  <c r="L397" i="25"/>
  <c r="L394" i="25"/>
  <c r="L391" i="25"/>
  <c r="L388" i="25"/>
  <c r="L379" i="25"/>
  <c r="L375" i="25"/>
  <c r="L371" i="25"/>
  <c r="L368" i="25"/>
  <c r="L365" i="25"/>
  <c r="L359" i="25"/>
  <c r="L356" i="25"/>
  <c r="L353" i="25"/>
  <c r="L348" i="25"/>
  <c r="L344" i="25"/>
  <c r="L340" i="25"/>
  <c r="L338" i="25"/>
  <c r="L335" i="25"/>
  <c r="L332" i="25"/>
  <c r="L326" i="25"/>
  <c r="L324" i="25"/>
  <c r="L322" i="25"/>
  <c r="L315" i="25"/>
  <c r="L310" i="25"/>
  <c r="L307" i="25"/>
  <c r="L304" i="25"/>
  <c r="L301" i="25"/>
  <c r="L299" i="25"/>
  <c r="L294" i="25"/>
  <c r="L292" i="25"/>
  <c r="L288" i="25"/>
  <c r="L286" i="25"/>
  <c r="L282" i="25"/>
  <c r="L278" i="25"/>
  <c r="L275" i="25"/>
  <c r="L272" i="25"/>
  <c r="L269" i="25"/>
  <c r="L266" i="25"/>
  <c r="L264" i="25"/>
  <c r="L259" i="25"/>
  <c r="L254" i="25"/>
  <c r="L251" i="25"/>
  <c r="L248" i="25"/>
  <c r="L246" i="25"/>
  <c r="L244" i="25"/>
  <c r="L240" i="25"/>
  <c r="L237" i="25"/>
  <c r="L219" i="25"/>
  <c r="L217" i="25"/>
  <c r="L215" i="25"/>
  <c r="L213" i="25"/>
  <c r="L210" i="25"/>
  <c r="L208" i="25"/>
  <c r="L480" i="25"/>
  <c r="L475" i="25"/>
  <c r="L468" i="25"/>
  <c r="L461" i="25"/>
  <c r="L454" i="25"/>
  <c r="L448" i="25"/>
  <c r="L443" i="25"/>
  <c r="L439" i="25"/>
  <c r="L436" i="25"/>
  <c r="L430" i="25"/>
  <c r="L425" i="25"/>
  <c r="L421" i="25"/>
  <c r="L416" i="25"/>
  <c r="L412" i="25"/>
  <c r="L406" i="25"/>
  <c r="L401" i="25"/>
  <c r="L396" i="25"/>
  <c r="L389" i="25"/>
  <c r="L385" i="25"/>
  <c r="L382" i="25"/>
  <c r="L378" i="25"/>
  <c r="L373" i="25"/>
  <c r="L366" i="25"/>
  <c r="L362" i="25"/>
  <c r="L355" i="25"/>
  <c r="L351" i="25"/>
  <c r="L347" i="25"/>
  <c r="L342" i="25"/>
  <c r="L339" i="25"/>
  <c r="L334" i="25"/>
  <c r="L329" i="25"/>
  <c r="L327" i="25"/>
  <c r="L321" i="25"/>
  <c r="L319" i="25"/>
  <c r="L313" i="25"/>
  <c r="L305" i="25"/>
  <c r="L302" i="25"/>
  <c r="L298" i="25"/>
  <c r="L295" i="25"/>
  <c r="L289" i="25"/>
  <c r="L284" i="25"/>
  <c r="L279" i="25"/>
  <c r="L276" i="25"/>
  <c r="L273" i="25"/>
  <c r="L267" i="25"/>
  <c r="L262" i="25"/>
  <c r="L257" i="25"/>
  <c r="L249" i="25"/>
  <c r="L243" i="25"/>
  <c r="L241" i="25"/>
  <c r="L239" i="25"/>
  <c r="L236" i="25"/>
  <c r="L234" i="25"/>
  <c r="L231" i="25"/>
  <c r="L229" i="25"/>
  <c r="L226" i="25"/>
  <c r="L223" i="25"/>
  <c r="L218" i="25"/>
  <c r="L216" i="25"/>
  <c r="L214" i="25"/>
  <c r="L212" i="25"/>
  <c r="X11" i="27"/>
  <c r="X10" i="27"/>
  <c r="X9" i="27"/>
  <c r="X8" i="27"/>
  <c r="X7" i="27"/>
  <c r="X6" i="27"/>
  <c r="X5" i="27"/>
  <c r="X4" i="27"/>
  <c r="X3" i="27"/>
  <c r="X322" i="27"/>
  <c r="X321" i="27"/>
  <c r="X320" i="27"/>
  <c r="X319" i="27"/>
  <c r="X318" i="27"/>
  <c r="X317" i="27"/>
  <c r="X316" i="27"/>
  <c r="X315" i="27"/>
  <c r="X314" i="27"/>
  <c r="X313" i="27"/>
  <c r="X312" i="27"/>
  <c r="X311" i="27"/>
  <c r="X310" i="27"/>
  <c r="X309" i="27"/>
  <c r="X308" i="27"/>
  <c r="X307" i="27"/>
  <c r="X306" i="27"/>
  <c r="X305" i="27"/>
  <c r="X304" i="27"/>
  <c r="X303" i="27"/>
  <c r="X302" i="27"/>
  <c r="X301" i="27"/>
  <c r="X300" i="27"/>
  <c r="X299" i="27"/>
  <c r="X298" i="27"/>
  <c r="X297" i="27"/>
  <c r="X296" i="27"/>
  <c r="X295" i="27"/>
  <c r="X294" i="27"/>
  <c r="X293" i="27"/>
  <c r="X292" i="27"/>
  <c r="X291" i="27"/>
  <c r="X290" i="27"/>
  <c r="X289" i="27"/>
  <c r="X288" i="27"/>
  <c r="X287" i="27"/>
  <c r="X286" i="27"/>
  <c r="X285" i="27"/>
  <c r="X284" i="27"/>
  <c r="X283" i="27"/>
  <c r="X282" i="27"/>
  <c r="X281" i="27"/>
  <c r="X280" i="27"/>
  <c r="X279" i="27"/>
  <c r="X278" i="27"/>
  <c r="X277" i="27"/>
  <c r="X276" i="27"/>
  <c r="X275" i="27"/>
  <c r="X274" i="27"/>
  <c r="X273" i="27"/>
  <c r="X272" i="27"/>
  <c r="X271" i="27"/>
  <c r="X270" i="27"/>
  <c r="X269" i="27"/>
  <c r="X268" i="27"/>
  <c r="X267" i="27"/>
  <c r="X266" i="27"/>
  <c r="X265" i="27"/>
  <c r="X264" i="27"/>
  <c r="X263" i="27"/>
  <c r="X262" i="27"/>
  <c r="X261" i="27"/>
  <c r="X260" i="27"/>
  <c r="X259" i="27"/>
  <c r="X258" i="27"/>
  <c r="X257" i="27"/>
  <c r="X256" i="27"/>
  <c r="X255" i="27"/>
  <c r="X254" i="27"/>
  <c r="X253" i="27"/>
  <c r="X252" i="27"/>
  <c r="X251" i="27"/>
  <c r="X250" i="27"/>
  <c r="X249" i="27"/>
  <c r="X248" i="27"/>
  <c r="X247" i="27"/>
  <c r="X246" i="27"/>
  <c r="X245" i="27"/>
  <c r="X244" i="27"/>
  <c r="X243" i="27"/>
  <c r="X242" i="27"/>
  <c r="X241" i="27"/>
  <c r="X240" i="27"/>
  <c r="X239" i="27"/>
  <c r="X238" i="27"/>
  <c r="X237" i="27"/>
  <c r="X236" i="27"/>
  <c r="X235" i="27"/>
  <c r="X234" i="27"/>
  <c r="X233" i="27"/>
  <c r="X232" i="27"/>
  <c r="X231" i="27"/>
  <c r="X230" i="27"/>
  <c r="X229" i="27"/>
  <c r="X228" i="27"/>
  <c r="X227" i="27"/>
  <c r="X226" i="27"/>
  <c r="X225" i="27"/>
  <c r="X224" i="27"/>
  <c r="X223" i="27"/>
  <c r="X222" i="27"/>
  <c r="X221" i="27"/>
  <c r="X220" i="27"/>
  <c r="X219" i="27"/>
  <c r="X218" i="27"/>
  <c r="X217" i="27"/>
  <c r="X216" i="27"/>
  <c r="X215" i="27"/>
  <c r="X214" i="27"/>
  <c r="X213" i="27"/>
  <c r="X212" i="27"/>
  <c r="X211" i="27"/>
  <c r="X210" i="27"/>
  <c r="X209" i="27"/>
  <c r="X208" i="27"/>
  <c r="X207" i="27"/>
  <c r="X206" i="27"/>
  <c r="X205" i="27"/>
  <c r="X204" i="27"/>
  <c r="X203" i="27"/>
  <c r="X202" i="27"/>
  <c r="X201" i="27"/>
  <c r="X200" i="27"/>
  <c r="X199" i="27"/>
  <c r="X198" i="27"/>
  <c r="X197" i="27"/>
  <c r="X196" i="27"/>
  <c r="X195" i="27"/>
  <c r="X194" i="27"/>
  <c r="X193" i="27"/>
  <c r="X192" i="27"/>
  <c r="X191" i="27"/>
  <c r="X190" i="27"/>
  <c r="X189" i="27"/>
  <c r="X188" i="27"/>
  <c r="X187" i="27"/>
  <c r="X186" i="27"/>
  <c r="X185" i="27"/>
  <c r="X184" i="27"/>
  <c r="X183" i="27"/>
  <c r="X182" i="27"/>
  <c r="X181" i="27"/>
  <c r="X180" i="27"/>
  <c r="X179" i="27"/>
  <c r="X178" i="27"/>
  <c r="X177" i="27"/>
  <c r="X176" i="27"/>
  <c r="X175" i="27"/>
  <c r="X174" i="27"/>
  <c r="X173" i="27"/>
  <c r="X172" i="27"/>
  <c r="X171" i="27"/>
  <c r="X170" i="27"/>
  <c r="X169" i="27"/>
  <c r="X168" i="27"/>
  <c r="X167" i="27"/>
  <c r="X166" i="27"/>
  <c r="X165" i="27"/>
  <c r="X164" i="27"/>
  <c r="X163" i="27"/>
  <c r="X162" i="27"/>
  <c r="X161" i="27"/>
  <c r="X160" i="27"/>
  <c r="X159" i="27"/>
  <c r="X158" i="27"/>
  <c r="X157" i="27"/>
  <c r="X156" i="27"/>
  <c r="X155" i="27"/>
  <c r="X154" i="27"/>
  <c r="X153" i="27"/>
  <c r="X152" i="27"/>
  <c r="X151" i="27"/>
  <c r="X150" i="27"/>
  <c r="X149" i="27"/>
  <c r="X148" i="27"/>
  <c r="X147" i="27"/>
  <c r="X146" i="27"/>
  <c r="X145" i="27"/>
  <c r="X144" i="27"/>
  <c r="X143" i="27"/>
  <c r="X142" i="27"/>
  <c r="X141" i="27"/>
  <c r="X140" i="27"/>
  <c r="X139" i="27"/>
  <c r="X138" i="27"/>
  <c r="X137" i="27"/>
  <c r="X136" i="27"/>
  <c r="X135" i="27"/>
  <c r="X134" i="27"/>
  <c r="X133" i="27"/>
  <c r="X132" i="27"/>
  <c r="X131" i="27"/>
  <c r="X130" i="27"/>
  <c r="X129" i="27"/>
  <c r="X128" i="27"/>
  <c r="X127" i="27"/>
  <c r="X126" i="27"/>
  <c r="X125" i="27"/>
  <c r="X124" i="27"/>
  <c r="X123" i="27"/>
  <c r="X122" i="27"/>
  <c r="X121" i="27"/>
  <c r="X120" i="27"/>
  <c r="X119" i="27"/>
  <c r="X118" i="27"/>
  <c r="X117" i="27"/>
  <c r="X116" i="27"/>
  <c r="X115" i="27"/>
  <c r="X114" i="27"/>
  <c r="X113" i="27"/>
  <c r="X112" i="27"/>
  <c r="X111" i="27"/>
  <c r="X110" i="27"/>
  <c r="X109" i="27"/>
  <c r="X108" i="27"/>
  <c r="X107" i="27"/>
  <c r="X106" i="27"/>
  <c r="X105" i="27"/>
  <c r="X104" i="27"/>
  <c r="X103" i="27"/>
  <c r="X102" i="27"/>
  <c r="X101" i="27"/>
  <c r="X100" i="27"/>
  <c r="X99" i="27"/>
  <c r="X98" i="27"/>
  <c r="X97" i="27"/>
  <c r="X96" i="27"/>
  <c r="X95" i="27"/>
  <c r="X94" i="27"/>
  <c r="X93" i="27"/>
  <c r="X92" i="27"/>
  <c r="X91" i="27"/>
  <c r="X90" i="27"/>
  <c r="X89" i="27"/>
  <c r="X88" i="27"/>
  <c r="X87" i="27"/>
  <c r="X86" i="27"/>
  <c r="X85" i="27"/>
  <c r="X84" i="27"/>
  <c r="X83" i="27"/>
  <c r="X82" i="27"/>
  <c r="X81" i="27"/>
  <c r="X80" i="27"/>
  <c r="X79" i="27"/>
  <c r="X78" i="27"/>
  <c r="X77" i="27"/>
  <c r="X76" i="27"/>
  <c r="X75" i="27"/>
  <c r="X74" i="27"/>
  <c r="X73" i="27"/>
  <c r="X72" i="27"/>
  <c r="X71" i="27"/>
  <c r="X70" i="27"/>
  <c r="X69" i="27"/>
  <c r="X68" i="27"/>
  <c r="X67" i="27"/>
  <c r="X66" i="27"/>
  <c r="X65" i="27"/>
  <c r="X64" i="27"/>
  <c r="X63" i="27"/>
  <c r="X62" i="27"/>
  <c r="X61" i="27"/>
  <c r="X60" i="27"/>
  <c r="X59" i="27"/>
  <c r="X58" i="27"/>
  <c r="X57" i="27"/>
  <c r="X56" i="27"/>
  <c r="X55" i="27"/>
  <c r="X54" i="27"/>
  <c r="X53" i="27"/>
  <c r="X52" i="27"/>
  <c r="X51" i="27"/>
  <c r="X50" i="27"/>
  <c r="X49" i="27"/>
  <c r="X48" i="27"/>
  <c r="X47" i="27"/>
  <c r="X46" i="27"/>
  <c r="X45" i="27"/>
  <c r="X44" i="27"/>
  <c r="X43" i="27"/>
  <c r="X42" i="27"/>
  <c r="X41" i="27"/>
  <c r="X40" i="27"/>
  <c r="X39" i="27"/>
  <c r="X38" i="27"/>
  <c r="X37" i="27"/>
  <c r="X36" i="27"/>
  <c r="X35" i="27"/>
  <c r="X34" i="27"/>
  <c r="X33" i="27"/>
  <c r="X32" i="27"/>
  <c r="X31" i="27"/>
  <c r="X30" i="27"/>
  <c r="X29" i="27"/>
  <c r="X28" i="27"/>
  <c r="X27" i="27"/>
  <c r="X26" i="27"/>
  <c r="X25" i="27"/>
  <c r="X24" i="27"/>
  <c r="X23" i="27"/>
  <c r="X22" i="27"/>
  <c r="X21" i="27"/>
  <c r="X20" i="27"/>
  <c r="X19" i="27"/>
  <c r="X18" i="27"/>
  <c r="X17" i="27"/>
  <c r="X16" i="27"/>
  <c r="X15" i="27"/>
  <c r="X14" i="27"/>
  <c r="X13" i="27"/>
  <c r="X12" i="27"/>
  <c r="Z2" i="27"/>
  <c r="AE2" i="27"/>
  <c r="AD2" i="27"/>
  <c r="AC2" i="27"/>
  <c r="AA2" i="27"/>
  <c r="Y2" i="27"/>
  <c r="AR2" i="27"/>
  <c r="Q2" i="27"/>
  <c r="AP2" i="27"/>
  <c r="L2" i="27"/>
  <c r="AO2" i="27"/>
  <c r="E2" i="27"/>
  <c r="X265" i="26"/>
  <c r="X264" i="26"/>
  <c r="X262" i="26"/>
  <c r="X260" i="26"/>
  <c r="X259" i="26"/>
  <c r="X258" i="26"/>
  <c r="X257" i="26"/>
  <c r="X256" i="26"/>
  <c r="X253" i="26"/>
  <c r="X245" i="26"/>
  <c r="X243" i="26"/>
  <c r="X242" i="26"/>
  <c r="X241" i="26"/>
  <c r="X240" i="26"/>
  <c r="X239" i="26"/>
  <c r="X238" i="26"/>
  <c r="X235" i="26"/>
  <c r="X234" i="26"/>
  <c r="X232" i="26"/>
  <c r="X229" i="26"/>
  <c r="X228" i="26"/>
  <c r="X226" i="26"/>
  <c r="X223" i="26"/>
  <c r="X222" i="26"/>
  <c r="X221" i="26"/>
  <c r="X220" i="26"/>
  <c r="X219" i="26"/>
  <c r="X218" i="26"/>
  <c r="X216" i="26"/>
  <c r="X215" i="26"/>
  <c r="X214" i="26"/>
  <c r="X213" i="26"/>
  <c r="X212" i="26"/>
  <c r="X211" i="26"/>
  <c r="X210" i="26"/>
  <c r="X209" i="26"/>
  <c r="X208" i="26"/>
  <c r="X207" i="26"/>
  <c r="X206" i="26"/>
  <c r="X205" i="26"/>
  <c r="X204" i="26"/>
  <c r="X203" i="26"/>
  <c r="X202" i="26"/>
  <c r="X201" i="26"/>
  <c r="X200" i="26"/>
  <c r="X199" i="26"/>
  <c r="X198" i="26"/>
  <c r="X192" i="26"/>
  <c r="X189" i="26"/>
  <c r="X188" i="26"/>
  <c r="X187" i="26"/>
  <c r="X186" i="26"/>
  <c r="X185" i="26"/>
  <c r="X184" i="26"/>
  <c r="X183" i="26"/>
  <c r="X182" i="26"/>
  <c r="X181" i="26"/>
  <c r="X180" i="26"/>
  <c r="X179" i="26"/>
  <c r="X177" i="26"/>
  <c r="X176" i="26"/>
  <c r="X174" i="26"/>
  <c r="X173" i="26"/>
  <c r="X170" i="26"/>
  <c r="X169" i="26"/>
  <c r="X168" i="26"/>
  <c r="X167" i="26"/>
  <c r="X166" i="26"/>
  <c r="X163" i="26"/>
  <c r="X160" i="26"/>
  <c r="X159" i="26"/>
  <c r="X158" i="26"/>
  <c r="X10" i="26"/>
  <c r="X8" i="26"/>
  <c r="X2" i="26"/>
  <c r="X84" i="26"/>
  <c r="X83" i="26"/>
  <c r="X82" i="26"/>
  <c r="X81" i="26"/>
  <c r="X80" i="26"/>
  <c r="X79" i="26"/>
  <c r="X78" i="26"/>
  <c r="X77" i="26"/>
  <c r="X76" i="26"/>
  <c r="X75" i="26"/>
  <c r="X74" i="26"/>
  <c r="X73" i="26"/>
  <c r="X72" i="26"/>
  <c r="X71" i="26"/>
  <c r="X70" i="26"/>
  <c r="X69" i="26"/>
  <c r="X68" i="26"/>
  <c r="X67" i="26"/>
  <c r="X66" i="26"/>
  <c r="X65" i="26"/>
  <c r="X64" i="26"/>
  <c r="X63" i="26"/>
  <c r="X62" i="26"/>
  <c r="X61" i="26"/>
  <c r="X60" i="26"/>
  <c r="X59" i="26"/>
  <c r="X58" i="26"/>
  <c r="X57" i="26"/>
  <c r="X56" i="26"/>
  <c r="X55" i="26"/>
  <c r="X54" i="26"/>
  <c r="X53" i="26"/>
  <c r="X52" i="26"/>
  <c r="X51" i="26"/>
  <c r="X50" i="26"/>
  <c r="X49" i="26"/>
  <c r="X48" i="26"/>
  <c r="X47" i="26"/>
  <c r="X46" i="26"/>
  <c r="X45" i="26"/>
  <c r="X44" i="26"/>
  <c r="X43" i="26"/>
  <c r="X42" i="26"/>
  <c r="X41" i="26"/>
  <c r="X40" i="26"/>
  <c r="X39" i="26"/>
  <c r="X38" i="26"/>
  <c r="X37" i="26"/>
  <c r="X36" i="26"/>
  <c r="X35" i="26"/>
  <c r="X34" i="26"/>
  <c r="X33" i="26"/>
  <c r="X32" i="26"/>
  <c r="X31" i="26"/>
  <c r="X30" i="26"/>
  <c r="X29" i="26"/>
  <c r="X28" i="26"/>
  <c r="X27" i="26"/>
  <c r="X26" i="26"/>
  <c r="X25" i="26"/>
  <c r="X24" i="26"/>
  <c r="X23" i="26"/>
  <c r="X22" i="26"/>
  <c r="X21" i="26"/>
  <c r="X20" i="26"/>
  <c r="X19" i="26"/>
  <c r="X18" i="26"/>
  <c r="X17" i="26"/>
  <c r="X16" i="26"/>
  <c r="X15" i="26"/>
  <c r="X14" i="26"/>
  <c r="X13" i="26"/>
  <c r="X12" i="26"/>
  <c r="X11" i="26"/>
  <c r="X9" i="26"/>
  <c r="X7" i="26"/>
  <c r="X6" i="26"/>
  <c r="X5" i="26"/>
  <c r="X4" i="26"/>
  <c r="X3" i="26"/>
  <c r="X85" i="26"/>
  <c r="X227" i="26"/>
  <c r="X322" i="26"/>
  <c r="X319" i="26"/>
  <c r="X316" i="26"/>
  <c r="X312" i="26"/>
  <c r="X311" i="26"/>
  <c r="X310" i="26"/>
  <c r="X309" i="26"/>
  <c r="X308" i="26"/>
  <c r="X307" i="26"/>
  <c r="X305" i="26"/>
  <c r="X304" i="26"/>
  <c r="X302" i="26"/>
  <c r="X301" i="26"/>
  <c r="X300" i="26"/>
  <c r="X299" i="26"/>
  <c r="X298" i="26"/>
  <c r="X297" i="26"/>
  <c r="X296" i="26"/>
  <c r="X295" i="26"/>
  <c r="X294" i="26"/>
  <c r="X291" i="26"/>
  <c r="X290" i="26"/>
  <c r="X289" i="26"/>
  <c r="X285" i="26"/>
  <c r="X284" i="26"/>
  <c r="X281" i="26"/>
  <c r="X280" i="26"/>
  <c r="X276" i="26"/>
  <c r="X273" i="26"/>
  <c r="X271" i="26"/>
  <c r="X269" i="26"/>
  <c r="X268" i="26"/>
  <c r="X266" i="26"/>
  <c r="X321" i="26"/>
  <c r="X320" i="26"/>
  <c r="X318" i="26"/>
  <c r="X317" i="26"/>
  <c r="X315" i="26"/>
  <c r="X314" i="26"/>
  <c r="X313" i="26"/>
  <c r="X306" i="26"/>
  <c r="X303" i="26"/>
  <c r="X293" i="26"/>
  <c r="X292" i="26"/>
  <c r="X288" i="26"/>
  <c r="X287" i="26"/>
  <c r="X286" i="26"/>
  <c r="X283" i="26"/>
  <c r="X282" i="26"/>
  <c r="X279" i="26"/>
  <c r="X278" i="26"/>
  <c r="X277" i="26"/>
  <c r="X275" i="26"/>
  <c r="X274" i="26"/>
  <c r="X272" i="26"/>
  <c r="X270" i="26"/>
  <c r="X267" i="26"/>
  <c r="X263" i="26"/>
  <c r="X261" i="26"/>
  <c r="X255" i="26"/>
  <c r="X254" i="26"/>
  <c r="X252" i="26"/>
  <c r="X251" i="26"/>
  <c r="X250" i="26"/>
  <c r="X249" i="26"/>
  <c r="X248" i="26"/>
  <c r="X247" i="26"/>
  <c r="X246" i="26"/>
  <c r="X244" i="26"/>
  <c r="X237" i="26"/>
  <c r="X236" i="26"/>
  <c r="X233" i="26"/>
  <c r="X231" i="26"/>
  <c r="X230" i="26"/>
  <c r="X225" i="26"/>
  <c r="X224" i="26"/>
  <c r="X217" i="26"/>
  <c r="X197" i="26"/>
  <c r="X196" i="26"/>
  <c r="X195" i="26"/>
  <c r="X194" i="26"/>
  <c r="X193" i="26"/>
  <c r="X191" i="26"/>
  <c r="X190" i="26"/>
  <c r="X178" i="26"/>
  <c r="X175" i="26"/>
  <c r="X172" i="26"/>
  <c r="X171" i="26"/>
  <c r="X165" i="26"/>
  <c r="X164" i="26"/>
  <c r="X162" i="26"/>
  <c r="X161" i="26"/>
  <c r="X157" i="26"/>
  <c r="X156" i="26"/>
  <c r="X155" i="26"/>
  <c r="X154" i="26"/>
  <c r="X153" i="26"/>
  <c r="X152" i="26"/>
  <c r="X151" i="26"/>
  <c r="X150" i="26"/>
  <c r="X149" i="26"/>
  <c r="X148" i="26"/>
  <c r="X147" i="26"/>
  <c r="X146" i="26"/>
  <c r="X145" i="26"/>
  <c r="X144" i="26"/>
  <c r="X143" i="26"/>
  <c r="X142" i="26"/>
  <c r="X141" i="26"/>
  <c r="X140" i="26"/>
  <c r="X139" i="26"/>
  <c r="X138" i="26"/>
  <c r="X137" i="26"/>
  <c r="X136" i="26"/>
  <c r="X135" i="26"/>
  <c r="X134" i="26"/>
  <c r="X133" i="26"/>
  <c r="X132" i="26"/>
  <c r="X131" i="26"/>
  <c r="X130" i="26"/>
  <c r="X129" i="26"/>
  <c r="X128" i="26"/>
  <c r="X127" i="26"/>
  <c r="X126" i="26"/>
  <c r="X125" i="26"/>
  <c r="X124" i="26"/>
  <c r="X123" i="26"/>
  <c r="X122" i="26"/>
  <c r="X121" i="26"/>
  <c r="X120" i="26"/>
  <c r="X119" i="26"/>
  <c r="X118" i="26"/>
  <c r="X117" i="26"/>
  <c r="X116" i="26"/>
  <c r="X115" i="26"/>
  <c r="X114" i="26"/>
  <c r="X113" i="26"/>
  <c r="X112" i="26"/>
  <c r="X111" i="26"/>
  <c r="X110" i="26"/>
  <c r="X109" i="26"/>
  <c r="X108" i="26"/>
  <c r="X107" i="26"/>
  <c r="X106" i="26"/>
  <c r="X105" i="26"/>
  <c r="X104" i="26"/>
  <c r="X103" i="26"/>
  <c r="X102" i="26"/>
  <c r="X101" i="26"/>
  <c r="X100" i="26"/>
  <c r="X99" i="26"/>
  <c r="X98" i="26"/>
  <c r="X97" i="26"/>
  <c r="X96" i="26"/>
  <c r="X95" i="26"/>
  <c r="X94" i="26"/>
  <c r="X93" i="26"/>
  <c r="X92" i="26"/>
  <c r="X91" i="26"/>
  <c r="X90" i="26"/>
  <c r="X89" i="26"/>
  <c r="X88" i="26"/>
  <c r="X87" i="26"/>
  <c r="X86" i="26"/>
  <c r="Q2" i="26"/>
  <c r="AS2" i="26"/>
  <c r="L2" i="26"/>
  <c r="AQ2" i="26"/>
  <c r="E2" i="26"/>
  <c r="AP2" i="26"/>
  <c r="L4" i="16"/>
  <c r="M3" i="16"/>
  <c r="J4" i="16"/>
  <c r="J3" i="16"/>
  <c r="J6" i="16" s="1"/>
  <c r="E17" i="12"/>
  <c r="D17" i="12"/>
  <c r="A17" i="12"/>
  <c r="C17" i="12"/>
  <c r="F17" i="12" s="1"/>
  <c r="A16" i="12"/>
  <c r="C16" i="12"/>
  <c r="F16" i="12" s="1"/>
  <c r="E16" i="12"/>
  <c r="D16" i="12"/>
  <c r="E15" i="12"/>
  <c r="D15" i="12"/>
  <c r="C15" i="12"/>
  <c r="F15" i="12" s="1"/>
  <c r="A14" i="12"/>
  <c r="D14" i="12"/>
  <c r="E14" i="12"/>
  <c r="C14" i="12"/>
  <c r="F14" i="12" s="1"/>
  <c r="D13" i="12"/>
  <c r="E13" i="12"/>
  <c r="A13" i="12"/>
  <c r="C13" i="12"/>
  <c r="F13" i="12" s="1"/>
  <c r="A12" i="12"/>
  <c r="E12" i="12"/>
  <c r="C12" i="12"/>
  <c r="F12" i="12" s="1"/>
  <c r="D12" i="12"/>
  <c r="D11" i="12"/>
  <c r="E11" i="12"/>
  <c r="C11" i="12"/>
  <c r="F11" i="12" s="1"/>
  <c r="A11" i="12"/>
  <c r="A10" i="12"/>
  <c r="E10" i="12"/>
  <c r="D10" i="12"/>
  <c r="C10" i="12"/>
  <c r="F10" i="12" s="1"/>
  <c r="E9" i="12"/>
  <c r="C9" i="12"/>
  <c r="F9" i="12" s="1"/>
  <c r="A9" i="12"/>
  <c r="D9" i="12"/>
  <c r="E8" i="12"/>
  <c r="C8" i="12"/>
  <c r="F8" i="12" s="1"/>
  <c r="A8" i="12"/>
  <c r="D8" i="12"/>
  <c r="E7" i="12"/>
  <c r="C7" i="12"/>
  <c r="F7" i="12" s="1"/>
  <c r="A7" i="12"/>
  <c r="D7" i="12"/>
  <c r="A6" i="12"/>
  <c r="C6" i="12"/>
  <c r="F6" i="12" s="1"/>
  <c r="D6" i="12"/>
  <c r="E6" i="12"/>
  <c r="C5" i="12"/>
  <c r="F5" i="12" s="1"/>
  <c r="A5" i="12"/>
  <c r="E5" i="12"/>
  <c r="D5" i="12"/>
  <c r="A4" i="12"/>
  <c r="E4" i="12"/>
  <c r="D4" i="12"/>
  <c r="C4" i="12"/>
  <c r="F4" i="12" s="1"/>
  <c r="E34" i="14"/>
  <c r="E33" i="14"/>
  <c r="E31" i="14"/>
  <c r="E28" i="14"/>
  <c r="E26" i="14"/>
  <c r="E23" i="14"/>
  <c r="E19" i="14"/>
  <c r="E15" i="14"/>
  <c r="E11" i="14"/>
  <c r="E8" i="14"/>
  <c r="E6" i="14"/>
  <c r="E3" i="14"/>
  <c r="E32" i="14"/>
  <c r="E30" i="14"/>
  <c r="E25" i="14"/>
  <c r="E21" i="14"/>
  <c r="E17" i="14"/>
  <c r="E13" i="14"/>
  <c r="E9" i="14"/>
  <c r="E4" i="14"/>
  <c r="E35" i="14"/>
  <c r="E29" i="14"/>
  <c r="E24" i="14"/>
  <c r="E22" i="14"/>
  <c r="E20" i="14"/>
  <c r="E18" i="14"/>
  <c r="E16" i="14"/>
  <c r="E14" i="14"/>
  <c r="E12" i="14"/>
  <c r="E10" i="14"/>
  <c r="E7" i="14"/>
  <c r="E5" i="14"/>
  <c r="E27" i="14"/>
  <c r="E36" i="14"/>
  <c r="N4" i="6"/>
  <c r="A4" i="6"/>
  <c r="M4" i="6"/>
  <c r="L4" i="6"/>
  <c r="E4" i="11" a="1"/>
  <c r="E4" i="11" s="1"/>
  <c r="G4" i="11" s="1"/>
  <c r="E8" i="11" a="1"/>
  <c r="E8" i="11" s="1"/>
  <c r="G8" i="11" s="1"/>
  <c r="E14" i="11" a="1"/>
  <c r="E14" i="11" s="1"/>
  <c r="G14" i="11" s="1"/>
  <c r="E18" i="11" a="1"/>
  <c r="E18" i="11" s="1"/>
  <c r="E22" i="11" a="1"/>
  <c r="E22" i="11" s="1"/>
  <c r="E26" i="11" a="1"/>
  <c r="E26" i="11" s="1"/>
  <c r="E30" i="11" a="1"/>
  <c r="E30" i="11" s="1"/>
  <c r="E34" i="11" a="1"/>
  <c r="E34" i="11" s="1"/>
  <c r="E38" i="11" a="1"/>
  <c r="E38" i="11" s="1"/>
  <c r="E42" i="11" a="1"/>
  <c r="E42" i="11" s="1"/>
  <c r="E46" i="11" a="1"/>
  <c r="E46" i="11" s="1"/>
  <c r="E50" i="11" a="1"/>
  <c r="E50" i="11" s="1"/>
  <c r="E54" i="11" a="1"/>
  <c r="E54" i="11" s="1"/>
  <c r="E58" i="11" a="1"/>
  <c r="E58" i="11" s="1"/>
  <c r="E62" i="11" a="1"/>
  <c r="E62" i="11" s="1"/>
  <c r="E66" i="11" a="1"/>
  <c r="E66" i="11" s="1"/>
  <c r="E70" i="11" a="1"/>
  <c r="E70" i="11" s="1"/>
  <c r="E74" i="11" a="1"/>
  <c r="E74" i="11" s="1"/>
  <c r="E78" i="11" a="1"/>
  <c r="E78" i="11" s="1"/>
  <c r="E82" i="11" a="1"/>
  <c r="E82" i="11" s="1"/>
  <c r="E86" i="11" a="1"/>
  <c r="E86" i="11" s="1"/>
  <c r="E90" i="11" a="1"/>
  <c r="E90" i="11" s="1"/>
  <c r="E94" i="11" a="1"/>
  <c r="E94" i="11" s="1"/>
  <c r="E98" i="11" a="1"/>
  <c r="E98" i="11" s="1"/>
  <c r="E102" i="11" a="1"/>
  <c r="E102" i="11" s="1"/>
  <c r="E106" i="11" a="1"/>
  <c r="E106" i="11" s="1"/>
  <c r="E110" i="11" a="1"/>
  <c r="E110" i="11" s="1"/>
  <c r="E114" i="11" a="1"/>
  <c r="E114" i="11" s="1"/>
  <c r="E118" i="11" a="1"/>
  <c r="E118" i="11" s="1"/>
  <c r="E122" i="11" a="1"/>
  <c r="E122" i="11" s="1"/>
  <c r="E126" i="11" a="1"/>
  <c r="E126" i="11" s="1"/>
  <c r="E130" i="11" a="1"/>
  <c r="E130" i="11" s="1"/>
  <c r="E134" i="11" a="1"/>
  <c r="E134" i="11" s="1"/>
  <c r="E138" i="11" a="1"/>
  <c r="E138" i="11" s="1"/>
  <c r="E142" i="11" a="1"/>
  <c r="E142" i="11" s="1"/>
  <c r="E146" i="11" a="1"/>
  <c r="E146" i="11" s="1"/>
  <c r="E150" i="11" a="1"/>
  <c r="E150" i="11" s="1"/>
  <c r="E154" i="11" a="1"/>
  <c r="E154" i="11" s="1"/>
  <c r="E158" i="11" a="1"/>
  <c r="E158" i="11" s="1"/>
  <c r="E162" i="11" a="1"/>
  <c r="E162" i="11" s="1"/>
  <c r="E166" i="11" a="1"/>
  <c r="E166" i="11" s="1"/>
  <c r="E170" i="11" a="1"/>
  <c r="E170" i="11" s="1"/>
  <c r="E174" i="11" a="1"/>
  <c r="E174" i="11" s="1"/>
  <c r="E178" i="11" a="1"/>
  <c r="E178" i="11" s="1"/>
  <c r="E182" i="11" a="1"/>
  <c r="E182" i="11" s="1"/>
  <c r="E186" i="11" a="1"/>
  <c r="E186" i="11" s="1"/>
  <c r="E190" i="11" a="1"/>
  <c r="E190" i="11" s="1"/>
  <c r="E194" i="11" a="1"/>
  <c r="E194" i="11" s="1"/>
  <c r="E198" i="11" a="1"/>
  <c r="E198" i="11" s="1"/>
  <c r="E202" i="11" a="1"/>
  <c r="E202" i="11" s="1"/>
  <c r="E207" i="11" a="1"/>
  <c r="E207" i="11" s="1"/>
  <c r="E211" i="11" a="1"/>
  <c r="E211" i="11" s="1"/>
  <c r="E215" i="11" a="1"/>
  <c r="E215" i="11" s="1"/>
  <c r="E219" i="11" a="1"/>
  <c r="E219" i="11" s="1"/>
  <c r="E223" i="11" a="1"/>
  <c r="E223" i="11" s="1"/>
  <c r="E227" i="11" a="1"/>
  <c r="E227" i="11" s="1"/>
  <c r="E237" i="11" a="1"/>
  <c r="E237" i="11" s="1"/>
  <c r="E241" i="11" a="1"/>
  <c r="E241" i="11" s="1"/>
  <c r="E245" i="11" a="1"/>
  <c r="E245" i="11" s="1"/>
  <c r="E249" i="11" a="1"/>
  <c r="E249" i="11" s="1"/>
  <c r="E253" i="11" a="1"/>
  <c r="E253" i="11" s="1"/>
  <c r="E257" i="11" a="1"/>
  <c r="E257" i="11" s="1"/>
  <c r="E261" i="11" a="1"/>
  <c r="E261" i="11" s="1"/>
  <c r="E265" i="11" a="1"/>
  <c r="E265" i="11" s="1"/>
  <c r="E269" i="11" a="1"/>
  <c r="E269" i="11" s="1"/>
  <c r="E273" i="11" a="1"/>
  <c r="E273" i="11" s="1"/>
  <c r="E277" i="11" a="1"/>
  <c r="E277" i="11" s="1"/>
  <c r="E281" i="11" a="1"/>
  <c r="E281" i="11" s="1"/>
  <c r="E285" i="11" a="1"/>
  <c r="E285" i="11" s="1"/>
  <c r="E289" i="11" a="1"/>
  <c r="E289" i="11" s="1"/>
  <c r="E293" i="11" a="1"/>
  <c r="E293" i="11" s="1"/>
  <c r="E297" i="11" a="1"/>
  <c r="E297" i="11" s="1"/>
  <c r="E301" i="11" a="1"/>
  <c r="E301" i="11" s="1"/>
  <c r="E305" i="11" a="1"/>
  <c r="E305" i="11" s="1"/>
  <c r="E309" i="11" a="1"/>
  <c r="E309" i="11" s="1"/>
  <c r="E313" i="11" a="1"/>
  <c r="E313" i="11" s="1"/>
  <c r="E317" i="11" a="1"/>
  <c r="E317" i="11" s="1"/>
  <c r="E321" i="11" a="1"/>
  <c r="E321" i="11" s="1"/>
  <c r="E325" i="11" a="1"/>
  <c r="E325" i="11" s="1"/>
  <c r="E329" i="11" a="1"/>
  <c r="E329" i="11" s="1"/>
  <c r="E333" i="11" a="1"/>
  <c r="E333" i="11" s="1"/>
  <c r="E337" i="11" a="1"/>
  <c r="E337" i="11" s="1"/>
  <c r="E341" i="11" a="1"/>
  <c r="E341" i="11" s="1"/>
  <c r="E345" i="11" a="1"/>
  <c r="E345" i="11" s="1"/>
  <c r="E349" i="11" a="1"/>
  <c r="E349" i="11" s="1"/>
  <c r="E354" i="11" a="1"/>
  <c r="E354" i="11" s="1"/>
  <c r="E358" i="11" a="1"/>
  <c r="E358" i="11" s="1"/>
  <c r="E362" i="11" a="1"/>
  <c r="E362" i="11" s="1"/>
  <c r="E365" i="11" a="1"/>
  <c r="E365" i="11" s="1"/>
  <c r="E369" i="11" a="1"/>
  <c r="E369" i="11" s="1"/>
  <c r="E373" i="11" a="1"/>
  <c r="E373" i="11" s="1"/>
  <c r="E377" i="11" a="1"/>
  <c r="E377" i="11" s="1"/>
  <c r="E381" i="11" a="1"/>
  <c r="E381" i="11" s="1"/>
  <c r="E385" i="11" a="1"/>
  <c r="E385" i="11" s="1"/>
  <c r="E390" i="11" a="1"/>
  <c r="E390" i="11" s="1"/>
  <c r="E394" i="11" a="1"/>
  <c r="E394" i="11" s="1"/>
  <c r="E397" i="11" a="1"/>
  <c r="E397" i="11" s="1"/>
  <c r="E401" i="11" a="1"/>
  <c r="E401" i="11" s="1"/>
  <c r="E405" i="11" a="1"/>
  <c r="E405" i="11" s="1"/>
  <c r="E409" i="11" a="1"/>
  <c r="E409" i="11" s="1"/>
  <c r="E413" i="11" a="1"/>
  <c r="E413" i="11" s="1"/>
  <c r="E417" i="11" a="1"/>
  <c r="E417" i="11" s="1"/>
  <c r="E421" i="11" a="1"/>
  <c r="E421" i="11" s="1"/>
  <c r="E425" i="11" a="1"/>
  <c r="E425" i="11" s="1"/>
  <c r="E429" i="11" a="1"/>
  <c r="E429" i="11" s="1"/>
  <c r="E433" i="11" a="1"/>
  <c r="E433" i="11" s="1"/>
  <c r="E437" i="11" a="1"/>
  <c r="E437" i="11" s="1"/>
  <c r="E441" i="11" a="1"/>
  <c r="E441" i="11" s="1"/>
  <c r="E445" i="11" a="1"/>
  <c r="E445" i="11" s="1"/>
  <c r="E449" i="11" a="1"/>
  <c r="E449" i="11" s="1"/>
  <c r="E453" i="11" a="1"/>
  <c r="E453" i="11" s="1"/>
  <c r="E457" i="11" a="1"/>
  <c r="E457" i="11" s="1"/>
  <c r="E461" i="11" a="1"/>
  <c r="E461" i="11" s="1"/>
  <c r="E465" i="11" a="1"/>
  <c r="E465" i="11" s="1"/>
  <c r="E469" i="11" a="1"/>
  <c r="E469" i="11" s="1"/>
  <c r="E473" i="11" a="1"/>
  <c r="E473" i="11" s="1"/>
  <c r="E477" i="11" a="1"/>
  <c r="E477" i="11" s="1"/>
  <c r="E481" i="11" a="1"/>
  <c r="E481" i="11" s="1"/>
  <c r="E485" i="11" a="1"/>
  <c r="E485" i="11" s="1"/>
  <c r="E489" i="11" a="1"/>
  <c r="E489" i="11" s="1"/>
  <c r="E493" i="11" a="1"/>
  <c r="E493" i="11" s="1"/>
  <c r="E497" i="11" a="1"/>
  <c r="E497" i="11" s="1"/>
  <c r="E501" i="11" a="1"/>
  <c r="E501" i="11" s="1"/>
  <c r="E505" i="11" a="1"/>
  <c r="E505" i="11" s="1"/>
  <c r="E509" i="11" a="1"/>
  <c r="E509" i="11" s="1"/>
  <c r="E513" i="11" a="1"/>
  <c r="E513" i="11" s="1"/>
  <c r="E517" i="11" a="1"/>
  <c r="E517" i="11" s="1"/>
  <c r="E519" i="11" a="1"/>
  <c r="E519" i="11" s="1"/>
  <c r="E520" i="11" a="1"/>
  <c r="E520" i="11" s="1"/>
  <c r="E521" i="11" a="1"/>
  <c r="E521" i="11" s="1"/>
  <c r="E522" i="11" a="1"/>
  <c r="E522" i="11" s="1"/>
  <c r="E523" i="11" a="1"/>
  <c r="E523" i="11" s="1"/>
  <c r="E524" i="11" a="1"/>
  <c r="E524" i="11" s="1"/>
  <c r="E525" i="11" a="1"/>
  <c r="E525" i="11" s="1"/>
  <c r="E526" i="11" a="1"/>
  <c r="E526" i="11" s="1"/>
  <c r="E527" i="11" a="1"/>
  <c r="E527" i="11" s="1"/>
  <c r="E528" i="11" a="1"/>
  <c r="E528" i="11" s="1"/>
  <c r="E529" i="11" a="1"/>
  <c r="E529" i="11" s="1"/>
  <c r="E530" i="11" a="1"/>
  <c r="E530" i="11" s="1"/>
  <c r="E531" i="11" a="1"/>
  <c r="E531" i="11" s="1"/>
  <c r="E532" i="11" a="1"/>
  <c r="E532" i="11" s="1"/>
  <c r="E533" i="11" a="1"/>
  <c r="E533" i="11" s="1"/>
  <c r="E534" i="11" a="1"/>
  <c r="E534" i="11" s="1"/>
  <c r="E535" i="11" a="1"/>
  <c r="E535" i="11" s="1"/>
  <c r="E536" i="11" a="1"/>
  <c r="E536" i="11" s="1"/>
  <c r="E537" i="11" a="1"/>
  <c r="E537" i="11" s="1"/>
  <c r="E538" i="11" a="1"/>
  <c r="E538" i="11" s="1"/>
  <c r="E539" i="11" a="1"/>
  <c r="E539" i="11" s="1"/>
  <c r="E540" i="11" a="1"/>
  <c r="E540" i="11" s="1"/>
  <c r="E541" i="11" a="1"/>
  <c r="E541" i="11" s="1"/>
  <c r="E542" i="11" a="1"/>
  <c r="E542" i="11" s="1"/>
  <c r="E543" i="11" a="1"/>
  <c r="E543" i="11" s="1"/>
  <c r="E544" i="11" a="1"/>
  <c r="E544" i="11" s="1"/>
  <c r="E545" i="11" a="1"/>
  <c r="E545" i="11" s="1"/>
  <c r="E546" i="11" a="1"/>
  <c r="E546" i="11" s="1"/>
  <c r="E547" i="11" a="1"/>
  <c r="E547" i="11" s="1"/>
  <c r="E548" i="11" a="1"/>
  <c r="E548" i="11" s="1"/>
  <c r="E549" i="11" a="1"/>
  <c r="E549" i="11" s="1"/>
  <c r="E550" i="11" a="1"/>
  <c r="E550" i="11" s="1"/>
  <c r="E551" i="11" a="1"/>
  <c r="E551" i="11" s="1"/>
  <c r="E552" i="11" a="1"/>
  <c r="E552" i="11" s="1"/>
  <c r="E553" i="11" a="1"/>
  <c r="E553" i="11" s="1"/>
  <c r="E554" i="11" a="1"/>
  <c r="E554" i="11" s="1"/>
  <c r="E555" i="11" a="1"/>
  <c r="E555" i="11" s="1"/>
  <c r="E556" i="11" a="1"/>
  <c r="E556" i="11" s="1"/>
  <c r="E557" i="11" a="1"/>
  <c r="E557" i="11" s="1"/>
  <c r="E558" i="11" a="1"/>
  <c r="E558" i="11" s="1"/>
  <c r="E559" i="11" a="1"/>
  <c r="E559" i="11" s="1"/>
  <c r="E560" i="11" a="1"/>
  <c r="E560" i="11" s="1"/>
  <c r="E561" i="11" a="1"/>
  <c r="E561" i="11" s="1"/>
  <c r="E562" i="11" a="1"/>
  <c r="E562" i="11" s="1"/>
  <c r="E563" i="11" a="1"/>
  <c r="E563" i="11" s="1"/>
  <c r="E564" i="11" a="1"/>
  <c r="E564" i="11" s="1"/>
  <c r="E565" i="11" a="1"/>
  <c r="E565" i="11" s="1"/>
  <c r="E566" i="11" a="1"/>
  <c r="E566" i="11" s="1"/>
  <c r="E567" i="11" a="1"/>
  <c r="E567" i="11" s="1"/>
  <c r="E568" i="11" a="1"/>
  <c r="E568" i="11" s="1"/>
  <c r="E569" i="11" a="1"/>
  <c r="E569" i="11" s="1"/>
  <c r="E570" i="11" a="1"/>
  <c r="E570" i="11" s="1"/>
  <c r="E571" i="11" a="1"/>
  <c r="E571" i="11" s="1"/>
  <c r="E572" i="11" a="1"/>
  <c r="E572" i="11" s="1"/>
  <c r="E573" i="11" a="1"/>
  <c r="E573" i="11" s="1"/>
  <c r="E574" i="11" a="1"/>
  <c r="E574" i="11" s="1"/>
  <c r="E575" i="11" a="1"/>
  <c r="E575" i="11" s="1"/>
  <c r="E576" i="11" a="1"/>
  <c r="E576" i="11" s="1"/>
  <c r="E577" i="11" a="1"/>
  <c r="E577" i="11" s="1"/>
  <c r="E578" i="11" a="1"/>
  <c r="E578" i="11" s="1"/>
  <c r="E579" i="11" a="1"/>
  <c r="E579" i="11" s="1"/>
  <c r="E580" i="11" a="1"/>
  <c r="E580" i="11" s="1"/>
  <c r="E581" i="11" a="1"/>
  <c r="E581" i="11" s="1"/>
  <c r="E582" i="11" a="1"/>
  <c r="E582" i="11" s="1"/>
  <c r="E583" i="11" a="1"/>
  <c r="E583" i="11" s="1"/>
  <c r="E584" i="11" a="1"/>
  <c r="E584" i="11" s="1"/>
  <c r="E585" i="11" a="1"/>
  <c r="E585" i="11" s="1"/>
  <c r="E586" i="11" a="1"/>
  <c r="E586" i="11" s="1"/>
  <c r="E587" i="11" a="1"/>
  <c r="E587" i="11" s="1"/>
  <c r="E588" i="11" a="1"/>
  <c r="E588" i="11" s="1"/>
  <c r="E589" i="11" a="1"/>
  <c r="E589" i="11" s="1"/>
  <c r="E590" i="11" a="1"/>
  <c r="E590" i="11" s="1"/>
  <c r="E591" i="11" a="1"/>
  <c r="E591" i="11" s="1"/>
  <c r="E592" i="11" a="1"/>
  <c r="E592" i="11" s="1"/>
  <c r="E593" i="11" a="1"/>
  <c r="E593" i="11" s="1"/>
  <c r="E594" i="11" a="1"/>
  <c r="E594" i="11" s="1"/>
  <c r="E595" i="11" a="1"/>
  <c r="E595" i="11" s="1"/>
  <c r="E596" i="11" a="1"/>
  <c r="E596" i="11" s="1"/>
  <c r="E597" i="11" a="1"/>
  <c r="E597" i="11" s="1"/>
  <c r="E598" i="11" a="1"/>
  <c r="E598" i="11" s="1"/>
  <c r="E599" i="11" a="1"/>
  <c r="E599" i="11" s="1"/>
  <c r="E600" i="11" a="1"/>
  <c r="E600" i="11" s="1"/>
  <c r="E601" i="11" a="1"/>
  <c r="E601" i="11" s="1"/>
  <c r="E602" i="11" a="1"/>
  <c r="E602" i="11" s="1"/>
  <c r="E603" i="11" a="1"/>
  <c r="E603" i="11" s="1"/>
  <c r="E604" i="11" a="1"/>
  <c r="E604" i="11" s="1"/>
  <c r="E605" i="11" a="1"/>
  <c r="E605" i="11" s="1"/>
  <c r="E606" i="11" a="1"/>
  <c r="E606" i="11" s="1"/>
  <c r="E607" i="11" a="1"/>
  <c r="E607" i="11" s="1"/>
  <c r="E608" i="11" a="1"/>
  <c r="E608" i="11" s="1"/>
  <c r="E609" i="11" a="1"/>
  <c r="E609" i="11" s="1"/>
  <c r="E610" i="11" a="1"/>
  <c r="E610" i="11" s="1"/>
  <c r="E611" i="11" a="1"/>
  <c r="E611" i="11" s="1"/>
  <c r="E612" i="11" a="1"/>
  <c r="E612" i="11" s="1"/>
  <c r="E613" i="11" a="1"/>
  <c r="E613" i="11" s="1"/>
  <c r="E614" i="11" a="1"/>
  <c r="E614" i="11" s="1"/>
  <c r="E615" i="11" a="1"/>
  <c r="E615" i="11" s="1"/>
  <c r="E616" i="11" a="1"/>
  <c r="E616" i="11" s="1"/>
  <c r="E617" i="11" a="1"/>
  <c r="E617" i="11" s="1"/>
  <c r="E618" i="11" a="1"/>
  <c r="E618" i="11" s="1"/>
  <c r="E619" i="11" a="1"/>
  <c r="E619" i="11" s="1"/>
  <c r="E620" i="11" a="1"/>
  <c r="E620" i="11" s="1"/>
  <c r="E621" i="11" a="1"/>
  <c r="E621" i="11" s="1"/>
  <c r="E622" i="11" a="1"/>
  <c r="E622" i="11" s="1"/>
  <c r="E623" i="11" a="1"/>
  <c r="E623" i="11" s="1"/>
  <c r="E624" i="11" a="1"/>
  <c r="E624" i="11" s="1"/>
  <c r="E625" i="11" a="1"/>
  <c r="E625" i="11" s="1"/>
  <c r="E626" i="11" a="1"/>
  <c r="E626" i="11" s="1"/>
  <c r="E627" i="11" a="1"/>
  <c r="E627" i="11" s="1"/>
  <c r="E628" i="11" a="1"/>
  <c r="E628" i="11" s="1"/>
  <c r="E629" i="11" a="1"/>
  <c r="E629" i="11" s="1"/>
  <c r="E630" i="11" a="1"/>
  <c r="E630" i="11" s="1"/>
  <c r="E631" i="11" a="1"/>
  <c r="E631" i="11" s="1"/>
  <c r="E632" i="11" a="1"/>
  <c r="E632" i="11" s="1"/>
  <c r="E633" i="11" a="1"/>
  <c r="E633" i="11" s="1"/>
  <c r="E634" i="11" a="1"/>
  <c r="E634" i="11" s="1"/>
  <c r="E635" i="11" a="1"/>
  <c r="E635" i="11" s="1"/>
  <c r="E636" i="11" a="1"/>
  <c r="E636" i="11" s="1"/>
  <c r="E637" i="11" a="1"/>
  <c r="E637" i="11" s="1"/>
  <c r="E638" i="11" a="1"/>
  <c r="E638" i="11" s="1"/>
  <c r="E639" i="11" a="1"/>
  <c r="E639" i="11" s="1"/>
  <c r="E640" i="11" a="1"/>
  <c r="E640" i="11" s="1"/>
  <c r="E641" i="11" a="1"/>
  <c r="E641" i="11" s="1"/>
  <c r="E642" i="11" a="1"/>
  <c r="E642" i="11" s="1"/>
  <c r="E643" i="11" a="1"/>
  <c r="E643" i="11" s="1"/>
  <c r="E644" i="11" a="1"/>
  <c r="E644" i="11" s="1"/>
  <c r="E645" i="11" a="1"/>
  <c r="E645" i="11" s="1"/>
  <c r="E646" i="11" a="1"/>
  <c r="E646" i="11" s="1"/>
  <c r="E647" i="11" a="1"/>
  <c r="E647" i="11" s="1"/>
  <c r="E648" i="11" a="1"/>
  <c r="E648" i="11" s="1"/>
  <c r="E649" i="11" a="1"/>
  <c r="E649" i="11" s="1"/>
  <c r="E650" i="11" a="1"/>
  <c r="E650" i="11" s="1"/>
  <c r="E651" i="11" a="1"/>
  <c r="E651" i="11" s="1"/>
  <c r="E652" i="11" a="1"/>
  <c r="E652" i="11" s="1"/>
  <c r="E653" i="11" a="1"/>
  <c r="E653" i="11" s="1"/>
  <c r="E654" i="11" a="1"/>
  <c r="E654" i="11" s="1"/>
  <c r="E655" i="11" a="1"/>
  <c r="E655" i="11" s="1"/>
  <c r="E656" i="11" a="1"/>
  <c r="E656" i="11" s="1"/>
  <c r="E657" i="11" a="1"/>
  <c r="E657" i="11" s="1"/>
  <c r="E658" i="11" a="1"/>
  <c r="E658" i="11" s="1"/>
  <c r="E659" i="11" a="1"/>
  <c r="E659" i="11" s="1"/>
  <c r="E660" i="11" a="1"/>
  <c r="E660" i="11" s="1"/>
  <c r="E661" i="11" a="1"/>
  <c r="E661" i="11" s="1"/>
  <c r="E662" i="11" a="1"/>
  <c r="E662" i="11" s="1"/>
  <c r="E663" i="11" a="1"/>
  <c r="E663" i="11" s="1"/>
  <c r="E664" i="11" a="1"/>
  <c r="E664" i="11" s="1"/>
  <c r="E665" i="11" a="1"/>
  <c r="E665" i="11" s="1"/>
  <c r="E666" i="11" a="1"/>
  <c r="E666" i="11" s="1"/>
  <c r="E667" i="11" a="1"/>
  <c r="E667" i="11" s="1"/>
  <c r="E668" i="11" a="1"/>
  <c r="E668" i="11" s="1"/>
  <c r="E669" i="11" a="1"/>
  <c r="E669" i="11" s="1"/>
  <c r="E670" i="11" a="1"/>
  <c r="E670" i="11" s="1"/>
  <c r="E671" i="11" a="1"/>
  <c r="E671" i="11" s="1"/>
  <c r="E672" i="11" a="1"/>
  <c r="E672" i="11" s="1"/>
  <c r="E673" i="11" a="1"/>
  <c r="E673" i="11" s="1"/>
  <c r="E674" i="11" a="1"/>
  <c r="E674" i="11" s="1"/>
  <c r="E675" i="11" a="1"/>
  <c r="E675" i="11" s="1"/>
  <c r="E676" i="11" a="1"/>
  <c r="E676" i="11" s="1"/>
  <c r="E677" i="11" a="1"/>
  <c r="E677" i="11" s="1"/>
  <c r="E678" i="11" a="1"/>
  <c r="E678" i="11" s="1"/>
  <c r="E679" i="11" a="1"/>
  <c r="E679" i="11" s="1"/>
  <c r="E680" i="11" a="1"/>
  <c r="E680" i="11" s="1"/>
  <c r="E681" i="11" a="1"/>
  <c r="E681" i="11" s="1"/>
  <c r="E682" i="11" a="1"/>
  <c r="E682" i="11" s="1"/>
  <c r="E683" i="11" a="1"/>
  <c r="E683" i="11" s="1"/>
  <c r="E684" i="11" a="1"/>
  <c r="E684" i="11" s="1"/>
  <c r="E685" i="11" a="1"/>
  <c r="E685" i="11" s="1"/>
  <c r="E686" i="11" a="1"/>
  <c r="E686" i="11" s="1"/>
  <c r="E687" i="11" a="1"/>
  <c r="E687" i="11" s="1"/>
  <c r="E688" i="11" a="1"/>
  <c r="E688" i="11" s="1"/>
  <c r="E689" i="11" a="1"/>
  <c r="E689" i="11" s="1"/>
  <c r="E690" i="11" a="1"/>
  <c r="E690" i="11" s="1"/>
  <c r="E691" i="11" a="1"/>
  <c r="E691" i="11" s="1"/>
  <c r="E692" i="11" a="1"/>
  <c r="E692" i="11" s="1"/>
  <c r="E693" i="11" a="1"/>
  <c r="E693" i="11" s="1"/>
  <c r="E694" i="11" a="1"/>
  <c r="E694" i="11" s="1"/>
  <c r="E695" i="11" a="1"/>
  <c r="E695" i="11" s="1"/>
  <c r="E696" i="11" a="1"/>
  <c r="E696" i="11" s="1"/>
  <c r="E697" i="11" a="1"/>
  <c r="E697" i="11" s="1"/>
  <c r="E698" i="11" a="1"/>
  <c r="E698" i="11" s="1"/>
  <c r="E699" i="11" a="1"/>
  <c r="E699" i="11" s="1"/>
  <c r="E700" i="11" a="1"/>
  <c r="E700" i="11" s="1"/>
  <c r="E701" i="11" a="1"/>
  <c r="E701" i="11" s="1"/>
  <c r="E702" i="11" a="1"/>
  <c r="E702" i="11" s="1"/>
  <c r="E703" i="11" a="1"/>
  <c r="E703" i="11" s="1"/>
  <c r="E704" i="11" a="1"/>
  <c r="E704" i="11" s="1"/>
  <c r="E705" i="11" a="1"/>
  <c r="E705" i="11" s="1"/>
  <c r="E706" i="11" a="1"/>
  <c r="E706" i="11" s="1"/>
  <c r="E707" i="11" a="1"/>
  <c r="E707" i="11" s="1"/>
  <c r="E708" i="11" a="1"/>
  <c r="E708" i="11" s="1"/>
  <c r="E709" i="11" a="1"/>
  <c r="E709" i="11" s="1"/>
  <c r="E710" i="11" a="1"/>
  <c r="E710" i="11" s="1"/>
  <c r="E711" i="11" a="1"/>
  <c r="E711" i="11" s="1"/>
  <c r="E712" i="11" a="1"/>
  <c r="E712" i="11" s="1"/>
  <c r="E713" i="11" a="1"/>
  <c r="E713" i="11" s="1"/>
  <c r="E714" i="11" a="1"/>
  <c r="E714" i="11" s="1"/>
  <c r="E715" i="11" a="1"/>
  <c r="E715" i="11" s="1"/>
  <c r="E716" i="11" a="1"/>
  <c r="E716" i="11" s="1"/>
  <c r="E717" i="11" a="1"/>
  <c r="E717" i="11" s="1"/>
  <c r="E718" i="11" a="1"/>
  <c r="E718" i="11" s="1"/>
  <c r="E719" i="11" a="1"/>
  <c r="E719" i="11" s="1"/>
  <c r="E720" i="11" a="1"/>
  <c r="E720" i="11" s="1"/>
  <c r="E721" i="11" a="1"/>
  <c r="E721" i="11" s="1"/>
  <c r="E722" i="11" a="1"/>
  <c r="E722" i="11" s="1"/>
  <c r="E723" i="11" a="1"/>
  <c r="E723" i="11" s="1"/>
  <c r="E724" i="11" a="1"/>
  <c r="E724" i="11" s="1"/>
  <c r="E725" i="11" a="1"/>
  <c r="E725" i="11" s="1"/>
  <c r="E726" i="11" a="1"/>
  <c r="E726" i="11" s="1"/>
  <c r="E727" i="11" a="1"/>
  <c r="E727" i="11" s="1"/>
  <c r="E728" i="11" a="1"/>
  <c r="E728" i="11" s="1"/>
  <c r="E729" i="11" a="1"/>
  <c r="E729" i="11" s="1"/>
  <c r="E730" i="11" a="1"/>
  <c r="E730" i="11" s="1"/>
  <c r="E731" i="11" a="1"/>
  <c r="E731" i="11" s="1"/>
  <c r="E732" i="11" a="1"/>
  <c r="E732" i="11" s="1"/>
  <c r="E733" i="11" a="1"/>
  <c r="E733" i="11" s="1"/>
  <c r="E734" i="11" a="1"/>
  <c r="E734" i="11" s="1"/>
  <c r="E735" i="11" a="1"/>
  <c r="E735" i="11" s="1"/>
  <c r="E736" i="11" a="1"/>
  <c r="E736" i="11" s="1"/>
  <c r="E737" i="11" a="1"/>
  <c r="E737" i="11" s="1"/>
  <c r="E738" i="11" a="1"/>
  <c r="E738" i="11" s="1"/>
  <c r="E739" i="11" a="1"/>
  <c r="E739" i="11" s="1"/>
  <c r="E740" i="11" a="1"/>
  <c r="E740" i="11" s="1"/>
  <c r="E741" i="11" a="1"/>
  <c r="E741" i="11" s="1"/>
  <c r="E742" i="11" a="1"/>
  <c r="E742" i="11" s="1"/>
  <c r="E743" i="11" a="1"/>
  <c r="E743" i="11" s="1"/>
  <c r="E744" i="11" a="1"/>
  <c r="E744" i="11" s="1"/>
  <c r="E745" i="11" a="1"/>
  <c r="E745" i="11" s="1"/>
  <c r="E746" i="11" a="1"/>
  <c r="E746" i="11" s="1"/>
  <c r="E747" i="11" a="1"/>
  <c r="E747" i="11" s="1"/>
  <c r="E748" i="11" a="1"/>
  <c r="E748" i="11" s="1"/>
  <c r="E749" i="11" a="1"/>
  <c r="E749" i="11" s="1"/>
  <c r="E750" i="11" a="1"/>
  <c r="E750" i="11" s="1"/>
  <c r="E751" i="11" a="1"/>
  <c r="E751" i="11" s="1"/>
  <c r="E752" i="11" a="1"/>
  <c r="E752" i="11" s="1"/>
  <c r="E753" i="11" a="1"/>
  <c r="E753" i="11" s="1"/>
  <c r="E754" i="11" a="1"/>
  <c r="E754" i="11" s="1"/>
  <c r="E755" i="11" a="1"/>
  <c r="E755" i="11" s="1"/>
  <c r="E756" i="11" a="1"/>
  <c r="E756" i="11" s="1"/>
  <c r="E757" i="11" a="1"/>
  <c r="E757" i="11" s="1"/>
  <c r="E758" i="11" a="1"/>
  <c r="E758" i="11" s="1"/>
  <c r="E759" i="11" a="1"/>
  <c r="E759" i="11" s="1"/>
  <c r="E760" i="11" a="1"/>
  <c r="E760" i="11" s="1"/>
  <c r="E761" i="11" a="1"/>
  <c r="E761" i="11" s="1"/>
  <c r="E762" i="11" a="1"/>
  <c r="E762" i="11" s="1"/>
  <c r="E763" i="11" a="1"/>
  <c r="E763" i="11" s="1"/>
  <c r="E764" i="11" a="1"/>
  <c r="E764" i="11" s="1"/>
  <c r="E765" i="11" a="1"/>
  <c r="E765" i="11" s="1"/>
  <c r="E766" i="11" a="1"/>
  <c r="E766" i="11" s="1"/>
  <c r="E767" i="11" a="1"/>
  <c r="E767" i="11" s="1"/>
  <c r="E768" i="11" a="1"/>
  <c r="E768" i="11" s="1"/>
  <c r="E769" i="11" a="1"/>
  <c r="E769" i="11" s="1"/>
  <c r="E770" i="11" a="1"/>
  <c r="E770" i="11" s="1"/>
  <c r="E771" i="11" a="1"/>
  <c r="E771" i="11" s="1"/>
  <c r="E772" i="11" a="1"/>
  <c r="E772" i="11" s="1"/>
  <c r="E773" i="11" a="1"/>
  <c r="E773" i="11" s="1"/>
  <c r="E774" i="11" a="1"/>
  <c r="E774" i="11" s="1"/>
  <c r="E775" i="11" a="1"/>
  <c r="E775" i="11" s="1"/>
  <c r="E776" i="11" a="1"/>
  <c r="E776" i="11" s="1"/>
  <c r="E777" i="11" a="1"/>
  <c r="E777" i="11" s="1"/>
  <c r="E778" i="11" a="1"/>
  <c r="E778" i="11" s="1"/>
  <c r="E779" i="11" a="1"/>
  <c r="E779" i="11" s="1"/>
  <c r="E780" i="11" a="1"/>
  <c r="E780" i="11" s="1"/>
  <c r="E781" i="11" a="1"/>
  <c r="E781" i="11" s="1"/>
  <c r="E782" i="11" a="1"/>
  <c r="E782" i="11" s="1"/>
  <c r="E783" i="11" a="1"/>
  <c r="E783" i="11" s="1"/>
  <c r="E784" i="11" a="1"/>
  <c r="E784" i="11" s="1"/>
  <c r="E785" i="11" a="1"/>
  <c r="E785" i="11" s="1"/>
  <c r="E786" i="11" a="1"/>
  <c r="E786" i="11" s="1"/>
  <c r="E787" i="11" a="1"/>
  <c r="E787" i="11" s="1"/>
  <c r="E788" i="11" a="1"/>
  <c r="E788" i="11" s="1"/>
  <c r="E789" i="11" a="1"/>
  <c r="E789" i="11" s="1"/>
  <c r="E790" i="11" a="1"/>
  <c r="E790" i="11" s="1"/>
  <c r="E791" i="11" a="1"/>
  <c r="E791" i="11" s="1"/>
  <c r="E792" i="11" a="1"/>
  <c r="E792" i="11" s="1"/>
  <c r="E793" i="11" a="1"/>
  <c r="E793" i="11" s="1"/>
  <c r="E794" i="11" a="1"/>
  <c r="E794" i="11" s="1"/>
  <c r="E795" i="11" a="1"/>
  <c r="E795" i="11" s="1"/>
  <c r="E796" i="11" a="1"/>
  <c r="E796" i="11" s="1"/>
  <c r="E797" i="11" a="1"/>
  <c r="E797" i="11" s="1"/>
  <c r="E798" i="11" a="1"/>
  <c r="E798" i="11" s="1"/>
  <c r="E799" i="11" a="1"/>
  <c r="E799" i="11" s="1"/>
  <c r="E800" i="11" a="1"/>
  <c r="E800" i="11" s="1"/>
  <c r="E801" i="11" a="1"/>
  <c r="E801" i="11" s="1"/>
  <c r="E802" i="11" a="1"/>
  <c r="E802" i="11" s="1"/>
  <c r="E803" i="11" a="1"/>
  <c r="E803" i="11" s="1"/>
  <c r="E804" i="11" a="1"/>
  <c r="E804" i="11" s="1"/>
  <c r="E805" i="11" a="1"/>
  <c r="E805" i="11" s="1"/>
  <c r="E806" i="11" a="1"/>
  <c r="E806" i="11" s="1"/>
  <c r="E807" i="11" a="1"/>
  <c r="E807" i="11" s="1"/>
  <c r="E808" i="11" a="1"/>
  <c r="E808" i="11" s="1"/>
  <c r="E809" i="11" a="1"/>
  <c r="E809" i="11" s="1"/>
  <c r="E810" i="11" a="1"/>
  <c r="E810" i="11" s="1"/>
  <c r="E811" i="11" a="1"/>
  <c r="E811" i="11" s="1"/>
  <c r="E812" i="11" a="1"/>
  <c r="E812" i="11" s="1"/>
  <c r="E813" i="11" a="1"/>
  <c r="E813" i="11" s="1"/>
  <c r="E814" i="11" a="1"/>
  <c r="E814" i="11" s="1"/>
  <c r="E815" i="11" a="1"/>
  <c r="E815" i="11" s="1"/>
  <c r="E816" i="11" a="1"/>
  <c r="E816" i="11" s="1"/>
  <c r="E817" i="11" a="1"/>
  <c r="E817" i="11" s="1"/>
  <c r="E818" i="11" a="1"/>
  <c r="E818" i="11" s="1"/>
  <c r="E819" i="11" a="1"/>
  <c r="E819" i="11" s="1"/>
  <c r="E820" i="11" a="1"/>
  <c r="E820" i="11" s="1"/>
  <c r="E821" i="11" a="1"/>
  <c r="E821" i="11" s="1"/>
  <c r="E822" i="11" a="1"/>
  <c r="E822" i="11" s="1"/>
  <c r="E823" i="11" a="1"/>
  <c r="E823" i="11" s="1"/>
  <c r="E824" i="11" a="1"/>
  <c r="E824" i="11" s="1"/>
  <c r="E825" i="11" a="1"/>
  <c r="E825" i="11" s="1"/>
  <c r="E826" i="11" a="1"/>
  <c r="E826" i="11" s="1"/>
  <c r="E827" i="11" a="1"/>
  <c r="E827" i="11" s="1"/>
  <c r="E828" i="11" a="1"/>
  <c r="E828" i="11" s="1"/>
  <c r="E829" i="11" a="1"/>
  <c r="E829" i="11" s="1"/>
  <c r="E830" i="11" a="1"/>
  <c r="E830" i="11" s="1"/>
  <c r="E831" i="11" a="1"/>
  <c r="E831" i="11" s="1"/>
  <c r="E832" i="11" a="1"/>
  <c r="E832" i="11" s="1"/>
  <c r="E833" i="11" a="1"/>
  <c r="E833" i="11" s="1"/>
  <c r="E834" i="11" a="1"/>
  <c r="E834" i="11" s="1"/>
  <c r="E835" i="11" a="1"/>
  <c r="E835" i="11" s="1"/>
  <c r="E836" i="11" a="1"/>
  <c r="E836" i="11" s="1"/>
  <c r="E837" i="11" a="1"/>
  <c r="E837" i="11" s="1"/>
  <c r="E838" i="11" a="1"/>
  <c r="E838" i="11" s="1"/>
  <c r="E839" i="11" a="1"/>
  <c r="E839" i="11" s="1"/>
  <c r="E840" i="11" a="1"/>
  <c r="E840" i="11" s="1"/>
  <c r="E841" i="11" a="1"/>
  <c r="E841" i="11" s="1"/>
  <c r="E842" i="11" a="1"/>
  <c r="E842" i="11" s="1"/>
  <c r="E843" i="11" a="1"/>
  <c r="E843" i="11" s="1"/>
  <c r="E844" i="11" a="1"/>
  <c r="E844" i="11" s="1"/>
  <c r="E845" i="11" a="1"/>
  <c r="E845" i="11" s="1"/>
  <c r="E846" i="11" a="1"/>
  <c r="E846" i="11" s="1"/>
  <c r="E847" i="11" a="1"/>
  <c r="E847" i="11" s="1"/>
  <c r="E848" i="11" a="1"/>
  <c r="E848" i="11" s="1"/>
  <c r="E849" i="11" a="1"/>
  <c r="E849" i="11" s="1"/>
  <c r="E850" i="11" a="1"/>
  <c r="E850" i="11" s="1"/>
  <c r="E851" i="11" a="1"/>
  <c r="E851" i="11" s="1"/>
  <c r="E852" i="11" a="1"/>
  <c r="E852" i="11" s="1"/>
  <c r="E853" i="11" a="1"/>
  <c r="E853" i="11" s="1"/>
  <c r="E854" i="11" a="1"/>
  <c r="E854" i="11" s="1"/>
  <c r="E855" i="11" a="1"/>
  <c r="E855" i="11" s="1"/>
  <c r="E856" i="11" a="1"/>
  <c r="E856" i="11" s="1"/>
  <c r="E857" i="11" a="1"/>
  <c r="E857" i="11" s="1"/>
  <c r="E858" i="11" a="1"/>
  <c r="E858" i="11" s="1"/>
  <c r="E859" i="11" a="1"/>
  <c r="E859" i="11" s="1"/>
  <c r="E860" i="11" a="1"/>
  <c r="E860" i="11" s="1"/>
  <c r="E861" i="11" a="1"/>
  <c r="E861" i="11" s="1"/>
  <c r="E862" i="11" a="1"/>
  <c r="E862" i="11" s="1"/>
  <c r="E863" i="11" a="1"/>
  <c r="E863" i="11" s="1"/>
  <c r="E864" i="11" a="1"/>
  <c r="E864" i="11" s="1"/>
  <c r="E865" i="11" a="1"/>
  <c r="E865" i="11" s="1"/>
  <c r="E866" i="11" a="1"/>
  <c r="E866" i="11" s="1"/>
  <c r="E867" i="11" a="1"/>
  <c r="E867" i="11" s="1"/>
  <c r="E868" i="11" a="1"/>
  <c r="E868" i="11" s="1"/>
  <c r="E5" i="11" a="1"/>
  <c r="E5" i="11" s="1"/>
  <c r="G5" i="11" s="1"/>
  <c r="E9" i="11" a="1"/>
  <c r="E9" i="11" s="1"/>
  <c r="G9" i="11" s="1"/>
  <c r="E12" i="11" a="1"/>
  <c r="E12" i="11" s="1"/>
  <c r="G12" i="11" s="1"/>
  <c r="E16" i="11" a="1"/>
  <c r="E16" i="11" s="1"/>
  <c r="G16" i="11" s="1"/>
  <c r="E20" i="11" a="1"/>
  <c r="E20" i="11" s="1"/>
  <c r="E24" i="11" a="1"/>
  <c r="E24" i="11" s="1"/>
  <c r="E28" i="11" a="1"/>
  <c r="E28" i="11" s="1"/>
  <c r="E32" i="11" a="1"/>
  <c r="E32" i="11" s="1"/>
  <c r="E36" i="11" a="1"/>
  <c r="E36" i="11" s="1"/>
  <c r="E40" i="11" a="1"/>
  <c r="E40" i="11" s="1"/>
  <c r="E44" i="11" a="1"/>
  <c r="E44" i="11" s="1"/>
  <c r="E48" i="11" a="1"/>
  <c r="E48" i="11" s="1"/>
  <c r="E52" i="11" a="1"/>
  <c r="E52" i="11" s="1"/>
  <c r="E56" i="11" a="1"/>
  <c r="E56" i="11" s="1"/>
  <c r="E60" i="11" a="1"/>
  <c r="E60" i="11" s="1"/>
  <c r="E64" i="11" a="1"/>
  <c r="E64" i="11" s="1"/>
  <c r="E68" i="11" a="1"/>
  <c r="E68" i="11" s="1"/>
  <c r="E72" i="11" a="1"/>
  <c r="E72" i="11" s="1"/>
  <c r="E76" i="11" a="1"/>
  <c r="E76" i="11" s="1"/>
  <c r="E80" i="11" a="1"/>
  <c r="E80" i="11" s="1"/>
  <c r="E84" i="11" a="1"/>
  <c r="E84" i="11" s="1"/>
  <c r="E88" i="11" a="1"/>
  <c r="E88" i="11" s="1"/>
  <c r="E92" i="11" a="1"/>
  <c r="E92" i="11" s="1"/>
  <c r="E96" i="11" a="1"/>
  <c r="E96" i="11" s="1"/>
  <c r="E100" i="11" a="1"/>
  <c r="E100" i="11" s="1"/>
  <c r="E104" i="11" a="1"/>
  <c r="E104" i="11" s="1"/>
  <c r="E108" i="11" a="1"/>
  <c r="E108" i="11" s="1"/>
  <c r="E112" i="11" a="1"/>
  <c r="E112" i="11" s="1"/>
  <c r="E116" i="11" a="1"/>
  <c r="E116" i="11" s="1"/>
  <c r="E120" i="11" a="1"/>
  <c r="E120" i="11" s="1"/>
  <c r="E124" i="11" a="1"/>
  <c r="E124" i="11" s="1"/>
  <c r="E128" i="11" a="1"/>
  <c r="E128" i="11" s="1"/>
  <c r="E132" i="11" a="1"/>
  <c r="E132" i="11" s="1"/>
  <c r="E136" i="11" a="1"/>
  <c r="E136" i="11" s="1"/>
  <c r="E140" i="11" a="1"/>
  <c r="E140" i="11" s="1"/>
  <c r="E144" i="11" a="1"/>
  <c r="E144" i="11" s="1"/>
  <c r="E148" i="11" a="1"/>
  <c r="E148" i="11" s="1"/>
  <c r="E152" i="11" a="1"/>
  <c r="E152" i="11" s="1"/>
  <c r="E156" i="11" a="1"/>
  <c r="E156" i="11" s="1"/>
  <c r="E160" i="11" a="1"/>
  <c r="E160" i="11" s="1"/>
  <c r="E164" i="11" a="1"/>
  <c r="E164" i="11" s="1"/>
  <c r="E168" i="11" a="1"/>
  <c r="E168" i="11" s="1"/>
  <c r="E172" i="11" a="1"/>
  <c r="E172" i="11" s="1"/>
  <c r="E176" i="11" a="1"/>
  <c r="E176" i="11" s="1"/>
  <c r="E180" i="11" a="1"/>
  <c r="E180" i="11" s="1"/>
  <c r="E184" i="11" a="1"/>
  <c r="E184" i="11" s="1"/>
  <c r="E188" i="11" a="1"/>
  <c r="E188" i="11" s="1"/>
  <c r="E192" i="11" a="1"/>
  <c r="E192" i="11" s="1"/>
  <c r="E196" i="11" a="1"/>
  <c r="E196" i="11" s="1"/>
  <c r="E200" i="11" a="1"/>
  <c r="E200" i="11" s="1"/>
  <c r="E204" i="11" a="1"/>
  <c r="E204" i="11" s="1"/>
  <c r="E208" i="11" a="1"/>
  <c r="E208" i="11" s="1"/>
  <c r="E212" i="11" a="1"/>
  <c r="E212" i="11" s="1"/>
  <c r="E216" i="11" a="1"/>
  <c r="E216" i="11" s="1"/>
  <c r="E220" i="11" a="1"/>
  <c r="E220" i="11" s="1"/>
  <c r="E224" i="11" a="1"/>
  <c r="E224" i="11" s="1"/>
  <c r="E228" i="11" a="1"/>
  <c r="E228" i="11" s="1"/>
  <c r="E238" i="11" a="1"/>
  <c r="E238" i="11" s="1"/>
  <c r="E242" i="11" a="1"/>
  <c r="E242" i="11" s="1"/>
  <c r="E246" i="11" a="1"/>
  <c r="E246" i="11" s="1"/>
  <c r="E250" i="11" a="1"/>
  <c r="E250" i="11" s="1"/>
  <c r="E254" i="11" a="1"/>
  <c r="E254" i="11" s="1"/>
  <c r="E258" i="11" a="1"/>
  <c r="E258" i="11" s="1"/>
  <c r="E262" i="11" a="1"/>
  <c r="E262" i="11" s="1"/>
  <c r="E266" i="11" a="1"/>
  <c r="E266" i="11" s="1"/>
  <c r="E270" i="11" a="1"/>
  <c r="E270" i="11" s="1"/>
  <c r="E274" i="11" a="1"/>
  <c r="E274" i="11" s="1"/>
  <c r="E278" i="11" a="1"/>
  <c r="E278" i="11" s="1"/>
  <c r="E282" i="11" a="1"/>
  <c r="E282" i="11" s="1"/>
  <c r="E286" i="11" a="1"/>
  <c r="E286" i="11" s="1"/>
  <c r="E290" i="11" a="1"/>
  <c r="E290" i="11" s="1"/>
  <c r="E294" i="11" a="1"/>
  <c r="E294" i="11" s="1"/>
  <c r="E298" i="11" a="1"/>
  <c r="E298" i="11" s="1"/>
  <c r="E302" i="11" a="1"/>
  <c r="E302" i="11" s="1"/>
  <c r="E306" i="11" a="1"/>
  <c r="E306" i="11" s="1"/>
  <c r="E310" i="11" a="1"/>
  <c r="E310" i="11" s="1"/>
  <c r="E314" i="11" a="1"/>
  <c r="E314" i="11" s="1"/>
  <c r="E318" i="11" a="1"/>
  <c r="E318" i="11" s="1"/>
  <c r="E322" i="11" a="1"/>
  <c r="E322" i="11" s="1"/>
  <c r="E326" i="11" a="1"/>
  <c r="E326" i="11" s="1"/>
  <c r="E330" i="11" a="1"/>
  <c r="E330" i="11" s="1"/>
  <c r="E334" i="11" a="1"/>
  <c r="E334" i="11" s="1"/>
  <c r="E338" i="11" a="1"/>
  <c r="E338" i="11" s="1"/>
  <c r="E342" i="11" a="1"/>
  <c r="E342" i="11" s="1"/>
  <c r="E346" i="11" a="1"/>
  <c r="E346" i="11" s="1"/>
  <c r="E350" i="11" a="1"/>
  <c r="E350" i="11" s="1"/>
  <c r="E353" i="11" a="1"/>
  <c r="E353" i="11" s="1"/>
  <c r="E357" i="11" a="1"/>
  <c r="E357" i="11" s="1"/>
  <c r="E361" i="11" a="1"/>
  <c r="E361" i="11" s="1"/>
  <c r="E366" i="11" a="1"/>
  <c r="E366" i="11" s="1"/>
  <c r="E370" i="11" a="1"/>
  <c r="E370" i="11" s="1"/>
  <c r="E374" i="11" a="1"/>
  <c r="E374" i="11" s="1"/>
  <c r="E378" i="11" a="1"/>
  <c r="E378" i="11" s="1"/>
  <c r="E382" i="11" a="1"/>
  <c r="E382" i="11" s="1"/>
  <c r="E386" i="11" a="1"/>
  <c r="E386" i="11" s="1"/>
  <c r="E389" i="11" a="1"/>
  <c r="E389" i="11" s="1"/>
  <c r="E393" i="11" a="1"/>
  <c r="E393" i="11" s="1"/>
  <c r="E398" i="11" a="1"/>
  <c r="E398" i="11" s="1"/>
  <c r="E402" i="11" a="1"/>
  <c r="E402" i="11" s="1"/>
  <c r="E406" i="11" a="1"/>
  <c r="E406" i="11" s="1"/>
  <c r="E410" i="11" a="1"/>
  <c r="E410" i="11" s="1"/>
  <c r="E414" i="11" a="1"/>
  <c r="E414" i="11" s="1"/>
  <c r="E418" i="11" a="1"/>
  <c r="E418" i="11" s="1"/>
  <c r="E422" i="11" a="1"/>
  <c r="E422" i="11" s="1"/>
  <c r="E426" i="11" a="1"/>
  <c r="E426" i="11" s="1"/>
  <c r="E430" i="11" a="1"/>
  <c r="E430" i="11" s="1"/>
  <c r="E434" i="11" a="1"/>
  <c r="E434" i="11" s="1"/>
  <c r="E438" i="11" a="1"/>
  <c r="E438" i="11" s="1"/>
  <c r="E442" i="11" a="1"/>
  <c r="E442" i="11" s="1"/>
  <c r="E446" i="11" a="1"/>
  <c r="E446" i="11" s="1"/>
  <c r="E450" i="11" a="1"/>
  <c r="E450" i="11" s="1"/>
  <c r="E454" i="11" a="1"/>
  <c r="E454" i="11" s="1"/>
  <c r="E458" i="11" a="1"/>
  <c r="E458" i="11" s="1"/>
  <c r="E462" i="11" a="1"/>
  <c r="E462" i="11" s="1"/>
  <c r="E466" i="11" a="1"/>
  <c r="E466" i="11" s="1"/>
  <c r="E470" i="11" a="1"/>
  <c r="E470" i="11" s="1"/>
  <c r="E474" i="11" a="1"/>
  <c r="E474" i="11" s="1"/>
  <c r="E478" i="11" a="1"/>
  <c r="E478" i="11" s="1"/>
  <c r="E482" i="11" a="1"/>
  <c r="E482" i="11" s="1"/>
  <c r="E486" i="11" a="1"/>
  <c r="E486" i="11" s="1"/>
  <c r="E490" i="11" a="1"/>
  <c r="E490" i="11" s="1"/>
  <c r="E494" i="11" a="1"/>
  <c r="E494" i="11" s="1"/>
  <c r="E498" i="11" a="1"/>
  <c r="E498" i="11" s="1"/>
  <c r="E502" i="11" a="1"/>
  <c r="E502" i="11" s="1"/>
  <c r="E506" i="11" a="1"/>
  <c r="E506" i="11" s="1"/>
  <c r="E510" i="11" a="1"/>
  <c r="E510" i="11" s="1"/>
  <c r="E514" i="11" a="1"/>
  <c r="E514" i="11" s="1"/>
  <c r="E518" i="11" a="1"/>
  <c r="E518" i="11" s="1"/>
  <c r="E871" i="11" a="1"/>
  <c r="E871" i="11" s="1"/>
  <c r="E874" i="11" a="1"/>
  <c r="E874" i="11" s="1"/>
  <c r="E877" i="11" a="1"/>
  <c r="E877" i="11" s="1"/>
  <c r="E880" i="11" a="1"/>
  <c r="E880" i="11" s="1"/>
  <c r="E883" i="11" a="1"/>
  <c r="E883" i="11" s="1"/>
  <c r="E887" i="11" a="1"/>
  <c r="E887" i="11" s="1"/>
  <c r="E889" i="11" a="1"/>
  <c r="E889" i="11" s="1"/>
  <c r="E891" i="11" a="1"/>
  <c r="E891" i="11" s="1"/>
  <c r="E894" i="11" a="1"/>
  <c r="E894" i="11" s="1"/>
  <c r="E897" i="11" a="1"/>
  <c r="E897" i="11" s="1"/>
  <c r="E900" i="11" a="1"/>
  <c r="E900" i="11" s="1"/>
  <c r="E903" i="11" a="1"/>
  <c r="E903" i="11" s="1"/>
  <c r="E906" i="11" a="1"/>
  <c r="E906" i="11" s="1"/>
  <c r="E909" i="11" a="1"/>
  <c r="E909" i="11" s="1"/>
  <c r="E912" i="11" a="1"/>
  <c r="E912" i="11" s="1"/>
  <c r="E915" i="11" a="1"/>
  <c r="E915" i="11" s="1"/>
  <c r="E918" i="11" a="1"/>
  <c r="E918" i="11" s="1"/>
  <c r="E921" i="11" a="1"/>
  <c r="E921" i="11" s="1"/>
  <c r="E924" i="11" a="1"/>
  <c r="E924" i="11" s="1"/>
  <c r="E927" i="11" a="1"/>
  <c r="E927" i="11" s="1"/>
  <c r="E930" i="11" a="1"/>
  <c r="E930" i="11" s="1"/>
  <c r="E933" i="11" a="1"/>
  <c r="E933" i="11" s="1"/>
  <c r="E936" i="11" a="1"/>
  <c r="E936" i="11" s="1"/>
  <c r="E939" i="11" a="1"/>
  <c r="E939" i="11" s="1"/>
  <c r="E942" i="11" a="1"/>
  <c r="E942" i="11" s="1"/>
  <c r="E945" i="11" a="1"/>
  <c r="E945" i="11" s="1"/>
  <c r="E948" i="11" a="1"/>
  <c r="E948" i="11" s="1"/>
  <c r="E951" i="11" a="1"/>
  <c r="E951" i="11" s="1"/>
  <c r="E953" i="11" a="1"/>
  <c r="E953" i="11" s="1"/>
  <c r="E955" i="11" a="1"/>
  <c r="E955" i="11" s="1"/>
  <c r="E956" i="11" a="1"/>
  <c r="E956" i="11" s="1"/>
  <c r="E958" i="11" a="1"/>
  <c r="E958" i="11" s="1"/>
  <c r="E960" i="11" a="1"/>
  <c r="E960" i="11" s="1"/>
  <c r="E963" i="11" a="1"/>
  <c r="E963" i="11" s="1"/>
  <c r="E966" i="11" a="1"/>
  <c r="E966" i="11" s="1"/>
  <c r="E969" i="11" a="1"/>
  <c r="E969" i="11" s="1"/>
  <c r="E972" i="11" a="1"/>
  <c r="E972" i="11" s="1"/>
  <c r="E975" i="11" a="1"/>
  <c r="E975" i="11" s="1"/>
  <c r="E978" i="11" a="1"/>
  <c r="E978" i="11" s="1"/>
  <c r="E981" i="11" a="1"/>
  <c r="E981" i="11" s="1"/>
  <c r="E984" i="11" a="1"/>
  <c r="E984" i="11" s="1"/>
  <c r="E987" i="11" a="1"/>
  <c r="E987" i="11" s="1"/>
  <c r="E991" i="11" a="1"/>
  <c r="E991" i="11" s="1"/>
  <c r="E993" i="11" a="1"/>
  <c r="E993" i="11" s="1"/>
  <c r="E7" i="11" a="1"/>
  <c r="E7" i="11" s="1"/>
  <c r="G7" i="11" s="1"/>
  <c r="E11" i="11" a="1"/>
  <c r="E11" i="11" s="1"/>
  <c r="G11" i="11" s="1"/>
  <c r="E15" i="11" a="1"/>
  <c r="E15" i="11" s="1"/>
  <c r="G15" i="11" s="1"/>
  <c r="E19" i="11" a="1"/>
  <c r="E19" i="11" s="1"/>
  <c r="E23" i="11" a="1"/>
  <c r="E23" i="11" s="1"/>
  <c r="E27" i="11" a="1"/>
  <c r="E27" i="11" s="1"/>
  <c r="E31" i="11" a="1"/>
  <c r="E31" i="11" s="1"/>
  <c r="E35" i="11" a="1"/>
  <c r="E35" i="11" s="1"/>
  <c r="E39" i="11" a="1"/>
  <c r="E39" i="11" s="1"/>
  <c r="E43" i="11" a="1"/>
  <c r="E43" i="11" s="1"/>
  <c r="E47" i="11" a="1"/>
  <c r="E47" i="11" s="1"/>
  <c r="E51" i="11" a="1"/>
  <c r="E51" i="11" s="1"/>
  <c r="E55" i="11" a="1"/>
  <c r="E55" i="11" s="1"/>
  <c r="E59" i="11" a="1"/>
  <c r="E59" i="11" s="1"/>
  <c r="E63" i="11" a="1"/>
  <c r="E63" i="11" s="1"/>
  <c r="E67" i="11" a="1"/>
  <c r="E67" i="11" s="1"/>
  <c r="E71" i="11" a="1"/>
  <c r="E71" i="11" s="1"/>
  <c r="E75" i="11" a="1"/>
  <c r="E75" i="11" s="1"/>
  <c r="E79" i="11" a="1"/>
  <c r="E79" i="11" s="1"/>
  <c r="E83" i="11" a="1"/>
  <c r="E83" i="11" s="1"/>
  <c r="E87" i="11" a="1"/>
  <c r="E87" i="11" s="1"/>
  <c r="E91" i="11" a="1"/>
  <c r="E91" i="11" s="1"/>
  <c r="E95" i="11" a="1"/>
  <c r="E95" i="11" s="1"/>
  <c r="E99" i="11" a="1"/>
  <c r="E99" i="11" s="1"/>
  <c r="E103" i="11" a="1"/>
  <c r="E103" i="11" s="1"/>
  <c r="E107" i="11" a="1"/>
  <c r="E107" i="11" s="1"/>
  <c r="E111" i="11" a="1"/>
  <c r="E111" i="11" s="1"/>
  <c r="E115" i="11" a="1"/>
  <c r="E115" i="11" s="1"/>
  <c r="E119" i="11" a="1"/>
  <c r="E119" i="11" s="1"/>
  <c r="E123" i="11" a="1"/>
  <c r="E123" i="11" s="1"/>
  <c r="E127" i="11" a="1"/>
  <c r="E127" i="11" s="1"/>
  <c r="E131" i="11" a="1"/>
  <c r="E131" i="11" s="1"/>
  <c r="E135" i="11" a="1"/>
  <c r="E135" i="11" s="1"/>
  <c r="E139" i="11" a="1"/>
  <c r="E139" i="11" s="1"/>
  <c r="E143" i="11" a="1"/>
  <c r="E143" i="11" s="1"/>
  <c r="E147" i="11" a="1"/>
  <c r="E147" i="11" s="1"/>
  <c r="E151" i="11" a="1"/>
  <c r="E151" i="11" s="1"/>
  <c r="E155" i="11" a="1"/>
  <c r="E155" i="11" s="1"/>
  <c r="E159" i="11" a="1"/>
  <c r="E159" i="11" s="1"/>
  <c r="E163" i="11" a="1"/>
  <c r="E163" i="11" s="1"/>
  <c r="E167" i="11" a="1"/>
  <c r="E167" i="11" s="1"/>
  <c r="E171" i="11" a="1"/>
  <c r="E171" i="11" s="1"/>
  <c r="E175" i="11" a="1"/>
  <c r="E175" i="11" s="1"/>
  <c r="E179" i="11" a="1"/>
  <c r="E179" i="11" s="1"/>
  <c r="E183" i="11" a="1"/>
  <c r="E183" i="11" s="1"/>
  <c r="E187" i="11" a="1"/>
  <c r="E187" i="11" s="1"/>
  <c r="E191" i="11" a="1"/>
  <c r="E191" i="11" s="1"/>
  <c r="E195" i="11" a="1"/>
  <c r="E195" i="11" s="1"/>
  <c r="E199" i="11" a="1"/>
  <c r="E199" i="11" s="1"/>
  <c r="E203" i="11" a="1"/>
  <c r="E203" i="11" s="1"/>
  <c r="E206" i="11" a="1"/>
  <c r="E206" i="11" s="1"/>
  <c r="E210" i="11" a="1"/>
  <c r="E210" i="11" s="1"/>
  <c r="E214" i="11" a="1"/>
  <c r="E214" i="11" s="1"/>
  <c r="E218" i="11" a="1"/>
  <c r="E218" i="11" s="1"/>
  <c r="E222" i="11" a="1"/>
  <c r="E222" i="11" s="1"/>
  <c r="E226" i="11" a="1"/>
  <c r="E226" i="11" s="1"/>
  <c r="E230" i="11" a="1"/>
  <c r="E230" i="11" s="1"/>
  <c r="E232" i="11" a="1"/>
  <c r="E232" i="11" s="1"/>
  <c r="E234" i="11" a="1"/>
  <c r="E234" i="11" s="1"/>
  <c r="E235" i="11" a="1"/>
  <c r="E235" i="11" s="1"/>
  <c r="E239" i="11" a="1"/>
  <c r="E239" i="11" s="1"/>
  <c r="E243" i="11" a="1"/>
  <c r="E243" i="11" s="1"/>
  <c r="E247" i="11" a="1"/>
  <c r="E247" i="11" s="1"/>
  <c r="E251" i="11" a="1"/>
  <c r="E251" i="11" s="1"/>
  <c r="E255" i="11" a="1"/>
  <c r="E255" i="11" s="1"/>
  <c r="E259" i="11" a="1"/>
  <c r="E259" i="11" s="1"/>
  <c r="E263" i="11" a="1"/>
  <c r="E263" i="11" s="1"/>
  <c r="E267" i="11" a="1"/>
  <c r="E267" i="11" s="1"/>
  <c r="E271" i="11" a="1"/>
  <c r="E271" i="11" s="1"/>
  <c r="E275" i="11" a="1"/>
  <c r="E275" i="11" s="1"/>
  <c r="E279" i="11" a="1"/>
  <c r="E279" i="11" s="1"/>
  <c r="E283" i="11" a="1"/>
  <c r="E283" i="11" s="1"/>
  <c r="E287" i="11" a="1"/>
  <c r="E287" i="11" s="1"/>
  <c r="E291" i="11" a="1"/>
  <c r="E291" i="11" s="1"/>
  <c r="E295" i="11" a="1"/>
  <c r="E295" i="11" s="1"/>
  <c r="E299" i="11" a="1"/>
  <c r="E299" i="11" s="1"/>
  <c r="E303" i="11" a="1"/>
  <c r="E303" i="11" s="1"/>
  <c r="E307" i="11" a="1"/>
  <c r="E307" i="11" s="1"/>
  <c r="E311" i="11" a="1"/>
  <c r="E311" i="11" s="1"/>
  <c r="E315" i="11" a="1"/>
  <c r="E315" i="11" s="1"/>
  <c r="E319" i="11" a="1"/>
  <c r="E319" i="11" s="1"/>
  <c r="E323" i="11" a="1"/>
  <c r="E323" i="11" s="1"/>
  <c r="E327" i="11" a="1"/>
  <c r="E327" i="11" s="1"/>
  <c r="E331" i="11" a="1"/>
  <c r="E331" i="11" s="1"/>
  <c r="E335" i="11" a="1"/>
  <c r="E335" i="11" s="1"/>
  <c r="E339" i="11" a="1"/>
  <c r="E339" i="11" s="1"/>
  <c r="E343" i="11" a="1"/>
  <c r="E343" i="11" s="1"/>
  <c r="E347" i="11" a="1"/>
  <c r="E347" i="11" s="1"/>
  <c r="E351" i="11" a="1"/>
  <c r="E351" i="11" s="1"/>
  <c r="E355" i="11" a="1"/>
  <c r="E355" i="11" s="1"/>
  <c r="E359" i="11" a="1"/>
  <c r="E359" i="11" s="1"/>
  <c r="E363" i="11" a="1"/>
  <c r="E363" i="11" s="1"/>
  <c r="E367" i="11" a="1"/>
  <c r="E367" i="11" s="1"/>
  <c r="E371" i="11" a="1"/>
  <c r="E371" i="11" s="1"/>
  <c r="E375" i="11" a="1"/>
  <c r="E375" i="11" s="1"/>
  <c r="E379" i="11" a="1"/>
  <c r="E379" i="11" s="1"/>
  <c r="E383" i="11" a="1"/>
  <c r="E383" i="11" s="1"/>
  <c r="E387" i="11" a="1"/>
  <c r="E387" i="11" s="1"/>
  <c r="E391" i="11" a="1"/>
  <c r="E391" i="11" s="1"/>
  <c r="E395" i="11" a="1"/>
  <c r="E395" i="11" s="1"/>
  <c r="E399" i="11" a="1"/>
  <c r="E399" i="11" s="1"/>
  <c r="E403" i="11" a="1"/>
  <c r="E403" i="11" s="1"/>
  <c r="E407" i="11" a="1"/>
  <c r="E407" i="11" s="1"/>
  <c r="E411" i="11" a="1"/>
  <c r="E411" i="11" s="1"/>
  <c r="E415" i="11" a="1"/>
  <c r="E415" i="11" s="1"/>
  <c r="E419" i="11" a="1"/>
  <c r="E419" i="11" s="1"/>
  <c r="E423" i="11" a="1"/>
  <c r="E423" i="11" s="1"/>
  <c r="E427" i="11" a="1"/>
  <c r="E427" i="11" s="1"/>
  <c r="E431" i="11" a="1"/>
  <c r="E431" i="11" s="1"/>
  <c r="E435" i="11" a="1"/>
  <c r="E435" i="11" s="1"/>
  <c r="E439" i="11" a="1"/>
  <c r="E439" i="11" s="1"/>
  <c r="E443" i="11" a="1"/>
  <c r="E443" i="11" s="1"/>
  <c r="E447" i="11" a="1"/>
  <c r="E447" i="11" s="1"/>
  <c r="E451" i="11" a="1"/>
  <c r="E451" i="11" s="1"/>
  <c r="E455" i="11" a="1"/>
  <c r="E455" i="11" s="1"/>
  <c r="E459" i="11" a="1"/>
  <c r="E459" i="11" s="1"/>
  <c r="E463" i="11" a="1"/>
  <c r="E463" i="11" s="1"/>
  <c r="E467" i="11" a="1"/>
  <c r="E467" i="11" s="1"/>
  <c r="E471" i="11" a="1"/>
  <c r="E471" i="11" s="1"/>
  <c r="E475" i="11" a="1"/>
  <c r="E475" i="11" s="1"/>
  <c r="E479" i="11" a="1"/>
  <c r="E479" i="11" s="1"/>
  <c r="E483" i="11" a="1"/>
  <c r="E483" i="11" s="1"/>
  <c r="E487" i="11" a="1"/>
  <c r="E487" i="11" s="1"/>
  <c r="E491" i="11" a="1"/>
  <c r="E491" i="11" s="1"/>
  <c r="E495" i="11" a="1"/>
  <c r="E495" i="11" s="1"/>
  <c r="E499" i="11" a="1"/>
  <c r="E499" i="11" s="1"/>
  <c r="E503" i="11" a="1"/>
  <c r="E503" i="11" s="1"/>
  <c r="E507" i="11" a="1"/>
  <c r="E507" i="11" s="1"/>
  <c r="E511" i="11" a="1"/>
  <c r="E511" i="11" s="1"/>
  <c r="E515" i="11" a="1"/>
  <c r="E515" i="11" s="1"/>
  <c r="E869" i="11" a="1"/>
  <c r="E869" i="11" s="1"/>
  <c r="E872" i="11" a="1"/>
  <c r="E872" i="11" s="1"/>
  <c r="E875" i="11" a="1"/>
  <c r="E875" i="11" s="1"/>
  <c r="E878" i="11" a="1"/>
  <c r="E878" i="11" s="1"/>
  <c r="E881" i="11" a="1"/>
  <c r="E881" i="11" s="1"/>
  <c r="E884" i="11" a="1"/>
  <c r="E884" i="11" s="1"/>
  <c r="E886" i="11" a="1"/>
  <c r="E886" i="11" s="1"/>
  <c r="E892" i="11" a="1"/>
  <c r="E892" i="11" s="1"/>
  <c r="E895" i="11" a="1"/>
  <c r="E895" i="11" s="1"/>
  <c r="E898" i="11" a="1"/>
  <c r="E898" i="11" s="1"/>
  <c r="E901" i="11" a="1"/>
  <c r="E901" i="11" s="1"/>
  <c r="E904" i="11" a="1"/>
  <c r="E904" i="11" s="1"/>
  <c r="E907" i="11" a="1"/>
  <c r="E907" i="11" s="1"/>
  <c r="E910" i="11" a="1"/>
  <c r="E910" i="11" s="1"/>
  <c r="E913" i="11" a="1"/>
  <c r="E913" i="11" s="1"/>
  <c r="E916" i="11" a="1"/>
  <c r="E916" i="11" s="1"/>
  <c r="E919" i="11" a="1"/>
  <c r="E919" i="11" s="1"/>
  <c r="E922" i="11" a="1"/>
  <c r="E922" i="11" s="1"/>
  <c r="E925" i="11" a="1"/>
  <c r="E925" i="11" s="1"/>
  <c r="E928" i="11" a="1"/>
  <c r="E928" i="11" s="1"/>
  <c r="E931" i="11" a="1"/>
  <c r="E931" i="11" s="1"/>
  <c r="E934" i="11" a="1"/>
  <c r="E934" i="11" s="1"/>
  <c r="E937" i="11" a="1"/>
  <c r="E937" i="11" s="1"/>
  <c r="E940" i="11" a="1"/>
  <c r="E940" i="11" s="1"/>
  <c r="E943" i="11" a="1"/>
  <c r="E943" i="11" s="1"/>
  <c r="E946" i="11" a="1"/>
  <c r="E946" i="11" s="1"/>
  <c r="E949" i="11" a="1"/>
  <c r="E949" i="11" s="1"/>
  <c r="E950" i="11" a="1"/>
  <c r="E950" i="11" s="1"/>
  <c r="E952" i="11" a="1"/>
  <c r="E952" i="11" s="1"/>
  <c r="E954" i="11" a="1"/>
  <c r="E954" i="11" s="1"/>
  <c r="E957" i="11" a="1"/>
  <c r="E957" i="11" s="1"/>
  <c r="E959" i="11" a="1"/>
  <c r="E959" i="11" s="1"/>
  <c r="E961" i="11" a="1"/>
  <c r="E961" i="11" s="1"/>
  <c r="E964" i="11" a="1"/>
  <c r="E964" i="11" s="1"/>
  <c r="E967" i="11" a="1"/>
  <c r="E967" i="11" s="1"/>
  <c r="E970" i="11" a="1"/>
  <c r="E970" i="11" s="1"/>
  <c r="E973" i="11" a="1"/>
  <c r="E973" i="11" s="1"/>
  <c r="E976" i="11" a="1"/>
  <c r="E976" i="11" s="1"/>
  <c r="E979" i="11" a="1"/>
  <c r="E979" i="11" s="1"/>
  <c r="E982" i="11" a="1"/>
  <c r="E982" i="11" s="1"/>
  <c r="E985" i="11" a="1"/>
  <c r="E985" i="11" s="1"/>
  <c r="E988" i="11" a="1"/>
  <c r="E988" i="11" s="1"/>
  <c r="E990" i="11" a="1"/>
  <c r="E990" i="11" s="1"/>
  <c r="C2" i="12" a="1"/>
  <c r="C2" i="12" s="1"/>
  <c r="E6" i="11" a="1"/>
  <c r="E6" i="11" s="1"/>
  <c r="G6" i="11" s="1"/>
  <c r="E10" i="11" a="1"/>
  <c r="E10" i="11" s="1"/>
  <c r="G10" i="11" s="1"/>
  <c r="E13" i="11" a="1"/>
  <c r="E13" i="11" s="1"/>
  <c r="G13" i="11" s="1"/>
  <c r="E17" i="11" a="1"/>
  <c r="E17" i="11" s="1"/>
  <c r="G17" i="11" s="1"/>
  <c r="E21" i="11" a="1"/>
  <c r="E21" i="11" s="1"/>
  <c r="E25" i="11" a="1"/>
  <c r="E25" i="11" s="1"/>
  <c r="E29" i="11" a="1"/>
  <c r="E29" i="11" s="1"/>
  <c r="E33" i="11" a="1"/>
  <c r="E33" i="11" s="1"/>
  <c r="E37" i="11" a="1"/>
  <c r="E37" i="11" s="1"/>
  <c r="E41" i="11" a="1"/>
  <c r="E41" i="11" s="1"/>
  <c r="E45" i="11" a="1"/>
  <c r="E45" i="11" s="1"/>
  <c r="E49" i="11" a="1"/>
  <c r="E49" i="11" s="1"/>
  <c r="E53" i="11" a="1"/>
  <c r="E53" i="11" s="1"/>
  <c r="E57" i="11" a="1"/>
  <c r="E57" i="11" s="1"/>
  <c r="E61" i="11" a="1"/>
  <c r="E61" i="11" s="1"/>
  <c r="E65" i="11" a="1"/>
  <c r="E65" i="11" s="1"/>
  <c r="E69" i="11" a="1"/>
  <c r="E69" i="11" s="1"/>
  <c r="E73" i="11" a="1"/>
  <c r="E73" i="11" s="1"/>
  <c r="E77" i="11" a="1"/>
  <c r="E77" i="11" s="1"/>
  <c r="E81" i="11" a="1"/>
  <c r="E81" i="11" s="1"/>
  <c r="E85" i="11" a="1"/>
  <c r="E85" i="11" s="1"/>
  <c r="E89" i="11" a="1"/>
  <c r="E89" i="11" s="1"/>
  <c r="E93" i="11" a="1"/>
  <c r="E93" i="11" s="1"/>
  <c r="E97" i="11" a="1"/>
  <c r="E97" i="11" s="1"/>
  <c r="E101" i="11" a="1"/>
  <c r="E101" i="11" s="1"/>
  <c r="E105" i="11" a="1"/>
  <c r="E105" i="11" s="1"/>
  <c r="E109" i="11" a="1"/>
  <c r="E109" i="11" s="1"/>
  <c r="E113" i="11" a="1"/>
  <c r="E113" i="11" s="1"/>
  <c r="E117" i="11" a="1"/>
  <c r="E117" i="11" s="1"/>
  <c r="E121" i="11" a="1"/>
  <c r="E121" i="11" s="1"/>
  <c r="E125" i="11" a="1"/>
  <c r="E125" i="11" s="1"/>
  <c r="E129" i="11" a="1"/>
  <c r="E129" i="11" s="1"/>
  <c r="E133" i="11" a="1"/>
  <c r="E133" i="11" s="1"/>
  <c r="E137" i="11" a="1"/>
  <c r="E137" i="11" s="1"/>
  <c r="E141" i="11" a="1"/>
  <c r="E141" i="11" s="1"/>
  <c r="E145" i="11" a="1"/>
  <c r="E145" i="11" s="1"/>
  <c r="E149" i="11" a="1"/>
  <c r="E149" i="11" s="1"/>
  <c r="E153" i="11" a="1"/>
  <c r="E153" i="11" s="1"/>
  <c r="E157" i="11" a="1"/>
  <c r="E157" i="11" s="1"/>
  <c r="E161" i="11" a="1"/>
  <c r="E161" i="11" s="1"/>
  <c r="E165" i="11" a="1"/>
  <c r="E165" i="11" s="1"/>
  <c r="E169" i="11" a="1"/>
  <c r="E169" i="11" s="1"/>
  <c r="E173" i="11" a="1"/>
  <c r="E173" i="11" s="1"/>
  <c r="E177" i="11" a="1"/>
  <c r="E177" i="11" s="1"/>
  <c r="E181" i="11" a="1"/>
  <c r="E181" i="11" s="1"/>
  <c r="E185" i="11" a="1"/>
  <c r="E185" i="11" s="1"/>
  <c r="E189" i="11" a="1"/>
  <c r="E189" i="11" s="1"/>
  <c r="E193" i="11" a="1"/>
  <c r="E193" i="11" s="1"/>
  <c r="E197" i="11" a="1"/>
  <c r="E197" i="11" s="1"/>
  <c r="E201" i="11" a="1"/>
  <c r="E201" i="11" s="1"/>
  <c r="E205" i="11" a="1"/>
  <c r="E205" i="11" s="1"/>
  <c r="E209" i="11" a="1"/>
  <c r="E209" i="11" s="1"/>
  <c r="E213" i="11" a="1"/>
  <c r="E213" i="11" s="1"/>
  <c r="E217" i="11" a="1"/>
  <c r="E217" i="11" s="1"/>
  <c r="E221" i="11" a="1"/>
  <c r="E221" i="11" s="1"/>
  <c r="E225" i="11" a="1"/>
  <c r="E225" i="11" s="1"/>
  <c r="E229" i="11" a="1"/>
  <c r="E229" i="11" s="1"/>
  <c r="E231" i="11" a="1"/>
  <c r="E231" i="11" s="1"/>
  <c r="E233" i="11" a="1"/>
  <c r="E233" i="11" s="1"/>
  <c r="E236" i="11" a="1"/>
  <c r="E236" i="11" s="1"/>
  <c r="E240" i="11" a="1"/>
  <c r="E240" i="11" s="1"/>
  <c r="E244" i="11" a="1"/>
  <c r="E244" i="11" s="1"/>
  <c r="E248" i="11" a="1"/>
  <c r="E248" i="11" s="1"/>
  <c r="E252" i="11" a="1"/>
  <c r="E252" i="11" s="1"/>
  <c r="E256" i="11" a="1"/>
  <c r="E256" i="11" s="1"/>
  <c r="E260" i="11" a="1"/>
  <c r="E260" i="11" s="1"/>
  <c r="E264" i="11" a="1"/>
  <c r="E264" i="11" s="1"/>
  <c r="E268" i="11" a="1"/>
  <c r="E268" i="11" s="1"/>
  <c r="E272" i="11" a="1"/>
  <c r="E272" i="11" s="1"/>
  <c r="E276" i="11" a="1"/>
  <c r="E276" i="11" s="1"/>
  <c r="E280" i="11" a="1"/>
  <c r="E280" i="11" s="1"/>
  <c r="E284" i="11" a="1"/>
  <c r="E284" i="11" s="1"/>
  <c r="E288" i="11" a="1"/>
  <c r="E288" i="11" s="1"/>
  <c r="E292" i="11" a="1"/>
  <c r="E292" i="11" s="1"/>
  <c r="E296" i="11" a="1"/>
  <c r="E296" i="11" s="1"/>
  <c r="E300" i="11" a="1"/>
  <c r="E300" i="11" s="1"/>
  <c r="E304" i="11" a="1"/>
  <c r="E304" i="11" s="1"/>
  <c r="E308" i="11" a="1"/>
  <c r="E308" i="11" s="1"/>
  <c r="E312" i="11" a="1"/>
  <c r="E312" i="11" s="1"/>
  <c r="E316" i="11" a="1"/>
  <c r="E316" i="11" s="1"/>
  <c r="E320" i="11" a="1"/>
  <c r="E320" i="11" s="1"/>
  <c r="E324" i="11" a="1"/>
  <c r="E324" i="11" s="1"/>
  <c r="E328" i="11" a="1"/>
  <c r="E328" i="11" s="1"/>
  <c r="E332" i="11" a="1"/>
  <c r="E332" i="11" s="1"/>
  <c r="E336" i="11" a="1"/>
  <c r="E336" i="11" s="1"/>
  <c r="E340" i="11" a="1"/>
  <c r="E340" i="11" s="1"/>
  <c r="E344" i="11" a="1"/>
  <c r="E344" i="11" s="1"/>
  <c r="E348" i="11" a="1"/>
  <c r="E348" i="11" s="1"/>
  <c r="E352" i="11" a="1"/>
  <c r="E352" i="11" s="1"/>
  <c r="E356" i="11" a="1"/>
  <c r="E356" i="11" s="1"/>
  <c r="E360" i="11" a="1"/>
  <c r="E360" i="11" s="1"/>
  <c r="E364" i="11" a="1"/>
  <c r="E364" i="11" s="1"/>
  <c r="E368" i="11" a="1"/>
  <c r="E368" i="11" s="1"/>
  <c r="E372" i="11" a="1"/>
  <c r="E372" i="11" s="1"/>
  <c r="E376" i="11" a="1"/>
  <c r="E376" i="11" s="1"/>
  <c r="E380" i="11" a="1"/>
  <c r="E380" i="11" s="1"/>
  <c r="E384" i="11" a="1"/>
  <c r="E384" i="11" s="1"/>
  <c r="E388" i="11" a="1"/>
  <c r="E388" i="11" s="1"/>
  <c r="E392" i="11" a="1"/>
  <c r="E392" i="11" s="1"/>
  <c r="E396" i="11" a="1"/>
  <c r="E396" i="11" s="1"/>
  <c r="E400" i="11" a="1"/>
  <c r="E400" i="11" s="1"/>
  <c r="E404" i="11" a="1"/>
  <c r="E404" i="11" s="1"/>
  <c r="E408" i="11" a="1"/>
  <c r="E408" i="11" s="1"/>
  <c r="E412" i="11" a="1"/>
  <c r="E412" i="11" s="1"/>
  <c r="E416" i="11" a="1"/>
  <c r="E416" i="11" s="1"/>
  <c r="E420" i="11" a="1"/>
  <c r="E420" i="11" s="1"/>
  <c r="E424" i="11" a="1"/>
  <c r="E424" i="11" s="1"/>
  <c r="E428" i="11" a="1"/>
  <c r="E428" i="11" s="1"/>
  <c r="E432" i="11" a="1"/>
  <c r="E432" i="11" s="1"/>
  <c r="E436" i="11" a="1"/>
  <c r="E436" i="11" s="1"/>
  <c r="E440" i="11" a="1"/>
  <c r="E440" i="11" s="1"/>
  <c r="E444" i="11" a="1"/>
  <c r="E444" i="11" s="1"/>
  <c r="E448" i="11" a="1"/>
  <c r="E448" i="11" s="1"/>
  <c r="E452" i="11" a="1"/>
  <c r="E452" i="11" s="1"/>
  <c r="E456" i="11" a="1"/>
  <c r="E456" i="11" s="1"/>
  <c r="E460" i="11" a="1"/>
  <c r="E460" i="11" s="1"/>
  <c r="E464" i="11" a="1"/>
  <c r="E464" i="11" s="1"/>
  <c r="E468" i="11" a="1"/>
  <c r="E468" i="11" s="1"/>
  <c r="E472" i="11" a="1"/>
  <c r="E472" i="11" s="1"/>
  <c r="E476" i="11" a="1"/>
  <c r="E476" i="11" s="1"/>
  <c r="E480" i="11" a="1"/>
  <c r="E480" i="11" s="1"/>
  <c r="E484" i="11" a="1"/>
  <c r="E484" i="11" s="1"/>
  <c r="E488" i="11" a="1"/>
  <c r="E488" i="11" s="1"/>
  <c r="E492" i="11" a="1"/>
  <c r="E492" i="11" s="1"/>
  <c r="E496" i="11" a="1"/>
  <c r="E496" i="11" s="1"/>
  <c r="E500" i="11" a="1"/>
  <c r="E500" i="11" s="1"/>
  <c r="E504" i="11" a="1"/>
  <c r="E504" i="11" s="1"/>
  <c r="E508" i="11" a="1"/>
  <c r="E508" i="11" s="1"/>
  <c r="E512" i="11" a="1"/>
  <c r="E512" i="11" s="1"/>
  <c r="E516" i="11" a="1"/>
  <c r="E516" i="11" s="1"/>
  <c r="E870" i="11" a="1"/>
  <c r="E870" i="11" s="1"/>
  <c r="E873" i="11" a="1"/>
  <c r="E873" i="11" s="1"/>
  <c r="E876" i="11" a="1"/>
  <c r="E876" i="11" s="1"/>
  <c r="E879" i="11" a="1"/>
  <c r="E879" i="11" s="1"/>
  <c r="E882" i="11" a="1"/>
  <c r="E882" i="11" s="1"/>
  <c r="E885" i="11" a="1"/>
  <c r="E885" i="11" s="1"/>
  <c r="E888" i="11" a="1"/>
  <c r="E888" i="11" s="1"/>
  <c r="E890" i="11" a="1"/>
  <c r="E890" i="11" s="1"/>
  <c r="E893" i="11" a="1"/>
  <c r="E893" i="11" s="1"/>
  <c r="E896" i="11" a="1"/>
  <c r="E896" i="11" s="1"/>
  <c r="E899" i="11" a="1"/>
  <c r="E899" i="11" s="1"/>
  <c r="E902" i="11" a="1"/>
  <c r="E902" i="11" s="1"/>
  <c r="E905" i="11" a="1"/>
  <c r="E905" i="11" s="1"/>
  <c r="E908" i="11" a="1"/>
  <c r="E908" i="11" s="1"/>
  <c r="E911" i="11" a="1"/>
  <c r="E911" i="11" s="1"/>
  <c r="E914" i="11" a="1"/>
  <c r="E914" i="11" s="1"/>
  <c r="E917" i="11" a="1"/>
  <c r="E917" i="11" s="1"/>
  <c r="E920" i="11" a="1"/>
  <c r="E920" i="11" s="1"/>
  <c r="E923" i="11" a="1"/>
  <c r="E923" i="11" s="1"/>
  <c r="E926" i="11" a="1"/>
  <c r="E926" i="11" s="1"/>
  <c r="E929" i="11" a="1"/>
  <c r="E929" i="11" s="1"/>
  <c r="E932" i="11" a="1"/>
  <c r="E932" i="11" s="1"/>
  <c r="E935" i="11" a="1"/>
  <c r="E935" i="11" s="1"/>
  <c r="E938" i="11" a="1"/>
  <c r="E938" i="11" s="1"/>
  <c r="E941" i="11" a="1"/>
  <c r="E941" i="11" s="1"/>
  <c r="E944" i="11" a="1"/>
  <c r="E944" i="11" s="1"/>
  <c r="E947" i="11" a="1"/>
  <c r="E947" i="11" s="1"/>
  <c r="E962" i="11" a="1"/>
  <c r="E962" i="11" s="1"/>
  <c r="E965" i="11" a="1"/>
  <c r="E965" i="11" s="1"/>
  <c r="E968" i="11" a="1"/>
  <c r="E968" i="11" s="1"/>
  <c r="E971" i="11" a="1"/>
  <c r="E971" i="11" s="1"/>
  <c r="E974" i="11" a="1"/>
  <c r="E974" i="11" s="1"/>
  <c r="E977" i="11" a="1"/>
  <c r="E977" i="11" s="1"/>
  <c r="E980" i="11" a="1"/>
  <c r="E980" i="11" s="1"/>
  <c r="E983" i="11" a="1"/>
  <c r="E983" i="11" s="1"/>
  <c r="E986" i="11" a="1"/>
  <c r="E986" i="11" s="1"/>
  <c r="E989" i="11" a="1"/>
  <c r="E989" i="11" s="1"/>
  <c r="E992" i="11" a="1"/>
  <c r="E992" i="11" s="1"/>
  <c r="L483" i="27"/>
  <c r="L482" i="27"/>
  <c r="L481" i="27"/>
  <c r="L480" i="27"/>
  <c r="L479" i="27"/>
  <c r="L478" i="27"/>
  <c r="L477" i="27"/>
  <c r="L476" i="27"/>
  <c r="L475" i="27"/>
  <c r="L474" i="27"/>
  <c r="L473" i="27"/>
  <c r="L472" i="27"/>
  <c r="L471" i="27"/>
  <c r="L470" i="27"/>
  <c r="L469" i="27"/>
  <c r="L468" i="27"/>
  <c r="L467" i="27"/>
  <c r="L466" i="27"/>
  <c r="L465" i="27"/>
  <c r="L464" i="27"/>
  <c r="L463" i="27"/>
  <c r="L462" i="27"/>
  <c r="L461" i="27"/>
  <c r="L460" i="27"/>
  <c r="L459" i="27"/>
  <c r="L458" i="27"/>
  <c r="L457" i="27"/>
  <c r="L456" i="27"/>
  <c r="L455" i="27"/>
  <c r="L454" i="27"/>
  <c r="L453" i="27"/>
  <c r="L452" i="27"/>
  <c r="L451" i="27"/>
  <c r="L450" i="27"/>
  <c r="L449" i="27"/>
  <c r="L448" i="27"/>
  <c r="L447" i="27"/>
  <c r="L446" i="27"/>
  <c r="L445" i="27"/>
  <c r="L444" i="27"/>
  <c r="L443" i="27"/>
  <c r="L442" i="27"/>
  <c r="L441" i="27"/>
  <c r="L440" i="27"/>
  <c r="L439" i="27"/>
  <c r="L438" i="27"/>
  <c r="L437" i="27"/>
  <c r="L436" i="27"/>
  <c r="L434" i="27"/>
  <c r="L432" i="27"/>
  <c r="L431" i="27"/>
  <c r="L429" i="27"/>
  <c r="L426" i="27"/>
  <c r="L425" i="27"/>
  <c r="L423" i="27"/>
  <c r="L421" i="27"/>
  <c r="L420" i="27"/>
  <c r="L418" i="27"/>
  <c r="L417" i="27"/>
  <c r="L415" i="27"/>
  <c r="L414" i="27"/>
  <c r="L412" i="27"/>
  <c r="L410" i="27"/>
  <c r="L400" i="27"/>
  <c r="L398" i="27"/>
  <c r="L396" i="27"/>
  <c r="L395" i="27"/>
  <c r="L393" i="27"/>
  <c r="L391" i="27"/>
  <c r="L390" i="27"/>
  <c r="L388" i="27"/>
  <c r="L387" i="27"/>
  <c r="L386" i="27"/>
  <c r="L384" i="27"/>
  <c r="L382" i="27"/>
  <c r="L381" i="27"/>
  <c r="L379" i="27"/>
  <c r="L378" i="27"/>
  <c r="L376" i="27"/>
  <c r="L374" i="27"/>
  <c r="L373" i="27"/>
  <c r="L372" i="27"/>
  <c r="L368" i="27"/>
  <c r="L366" i="27"/>
  <c r="L362" i="27"/>
  <c r="L360" i="27"/>
  <c r="L357" i="27"/>
  <c r="L351" i="27"/>
  <c r="L348" i="27"/>
  <c r="L347" i="27"/>
  <c r="L343" i="27"/>
  <c r="L341" i="27"/>
  <c r="L339" i="27"/>
  <c r="L336" i="27"/>
  <c r="L335" i="27"/>
  <c r="L333" i="27"/>
  <c r="L331" i="27"/>
  <c r="L329" i="27"/>
  <c r="L326" i="27"/>
  <c r="L325" i="27"/>
  <c r="L322" i="27"/>
  <c r="L321" i="27"/>
  <c r="L316" i="27"/>
  <c r="L315" i="27"/>
  <c r="L304" i="27"/>
  <c r="L303" i="27"/>
  <c r="L296" i="27"/>
  <c r="L295" i="27"/>
  <c r="L288" i="27"/>
  <c r="L287" i="27"/>
  <c r="L284" i="27"/>
  <c r="L282" i="27"/>
  <c r="L281" i="27"/>
  <c r="L278" i="27"/>
  <c r="L277" i="27"/>
  <c r="L274" i="27"/>
  <c r="L273" i="27"/>
  <c r="L270" i="27"/>
  <c r="L269" i="27"/>
  <c r="L267" i="27"/>
  <c r="L264" i="27"/>
  <c r="L263" i="27"/>
  <c r="L254" i="27"/>
  <c r="L253" i="27"/>
  <c r="L250" i="27"/>
  <c r="L248" i="27"/>
  <c r="L246" i="27"/>
  <c r="L245" i="27"/>
  <c r="L242" i="27"/>
  <c r="L241" i="27"/>
  <c r="L238" i="27"/>
  <c r="L237" i="27"/>
  <c r="L232" i="27"/>
  <c r="L231" i="27"/>
  <c r="L226" i="27"/>
  <c r="L225" i="27"/>
  <c r="L214" i="27"/>
  <c r="L213" i="27"/>
  <c r="L210" i="27"/>
  <c r="L209" i="27"/>
  <c r="L200" i="27"/>
  <c r="L199" i="27"/>
  <c r="L194" i="27"/>
  <c r="L193" i="27"/>
  <c r="L190" i="27"/>
  <c r="L189" i="27"/>
  <c r="L186" i="27"/>
  <c r="L185" i="27"/>
  <c r="L182" i="27"/>
  <c r="L181" i="27"/>
  <c r="L178" i="27"/>
  <c r="L177" i="27"/>
  <c r="L174" i="27"/>
  <c r="L173" i="27"/>
  <c r="L168" i="27"/>
  <c r="L167" i="27"/>
  <c r="L160" i="27"/>
  <c r="L159" i="27"/>
  <c r="L156" i="27"/>
  <c r="L155" i="27"/>
  <c r="L148" i="27"/>
  <c r="L147" i="27"/>
  <c r="L140" i="27"/>
  <c r="L139" i="27"/>
  <c r="L134" i="27"/>
  <c r="L133" i="27"/>
  <c r="L130" i="27"/>
  <c r="L129" i="27"/>
  <c r="L126" i="27"/>
  <c r="L125" i="27"/>
  <c r="L118" i="27"/>
  <c r="L117" i="27"/>
  <c r="L108" i="27"/>
  <c r="L107" i="27"/>
  <c r="L92" i="27"/>
  <c r="L91" i="27"/>
  <c r="L86" i="27"/>
  <c r="L85" i="27"/>
  <c r="L82" i="27"/>
  <c r="L81" i="27"/>
  <c r="L78" i="27"/>
  <c r="L74" i="27"/>
  <c r="L72" i="27"/>
  <c r="L71" i="27"/>
  <c r="L66" i="27"/>
  <c r="L65" i="27"/>
  <c r="L60" i="27"/>
  <c r="L59" i="27"/>
  <c r="L42" i="27"/>
  <c r="L41" i="27"/>
  <c r="L30" i="27"/>
  <c r="L29" i="27"/>
  <c r="L28" i="27"/>
  <c r="L26" i="27"/>
  <c r="L20" i="27"/>
  <c r="L14" i="27"/>
  <c r="L12" i="27"/>
  <c r="L9" i="27"/>
  <c r="L7" i="27"/>
  <c r="L5" i="27"/>
  <c r="L284" i="26"/>
  <c r="L281" i="26"/>
  <c r="L277" i="26"/>
  <c r="L275" i="26"/>
  <c r="L270" i="26"/>
  <c r="L267" i="26"/>
  <c r="L264" i="26"/>
  <c r="L261" i="26"/>
  <c r="L254" i="26"/>
  <c r="L249" i="26"/>
  <c r="L247" i="26"/>
  <c r="L242" i="26"/>
  <c r="L239" i="26"/>
  <c r="L237" i="26"/>
  <c r="L235" i="26"/>
  <c r="L230" i="26"/>
  <c r="L226" i="26"/>
  <c r="L224" i="26"/>
  <c r="L220" i="26"/>
  <c r="L218" i="26"/>
  <c r="L212" i="26"/>
  <c r="L207" i="26"/>
  <c r="L205" i="26"/>
  <c r="L203" i="26"/>
  <c r="L197" i="26"/>
  <c r="L191" i="26"/>
  <c r="L185" i="26"/>
  <c r="L183" i="26"/>
  <c r="L180" i="26"/>
  <c r="L177" i="26"/>
  <c r="L174" i="26"/>
  <c r="L171" i="26"/>
  <c r="L168" i="26"/>
  <c r="L166" i="26"/>
  <c r="L163" i="26"/>
  <c r="L160" i="26"/>
  <c r="L158" i="26"/>
  <c r="L153" i="26"/>
  <c r="L150" i="26"/>
  <c r="L147" i="26"/>
  <c r="L146" i="26"/>
  <c r="L141" i="26"/>
  <c r="L138" i="26"/>
  <c r="L136" i="26"/>
  <c r="L134" i="26"/>
  <c r="L128" i="26"/>
  <c r="L124" i="26"/>
  <c r="L122" i="26"/>
  <c r="L117" i="26"/>
  <c r="L113" i="26"/>
  <c r="L107" i="26"/>
  <c r="L99" i="26"/>
  <c r="L97" i="26"/>
  <c r="L95" i="26"/>
  <c r="L80" i="26"/>
  <c r="L74" i="26"/>
  <c r="L71" i="26"/>
  <c r="L66" i="26"/>
  <c r="L63" i="26"/>
  <c r="L60" i="26"/>
  <c r="L55" i="26"/>
  <c r="L52" i="26"/>
  <c r="L44" i="26"/>
  <c r="L42" i="26"/>
  <c r="L32" i="26"/>
  <c r="L29" i="26"/>
  <c r="L25" i="26"/>
  <c r="L22" i="26"/>
  <c r="L20" i="26"/>
  <c r="L18" i="26"/>
  <c r="L16" i="26"/>
  <c r="L15" i="26"/>
  <c r="L483" i="26"/>
  <c r="L482" i="26"/>
  <c r="L481" i="26"/>
  <c r="L480" i="26"/>
  <c r="L479" i="26"/>
  <c r="L478" i="26"/>
  <c r="L477" i="26"/>
  <c r="L476" i="26"/>
  <c r="L475" i="26"/>
  <c r="L474" i="26"/>
  <c r="L473" i="26"/>
  <c r="L472" i="26"/>
  <c r="L471" i="26"/>
  <c r="L470" i="26"/>
  <c r="L469" i="26"/>
  <c r="L468" i="26"/>
  <c r="L467" i="26"/>
  <c r="L466" i="26"/>
  <c r="L465" i="26"/>
  <c r="L464" i="26"/>
  <c r="L463" i="26"/>
  <c r="L462" i="26"/>
  <c r="L461" i="26"/>
  <c r="L460" i="26"/>
  <c r="L459" i="26"/>
  <c r="L458" i="26"/>
  <c r="L457" i="26"/>
  <c r="L456" i="26"/>
  <c r="L455" i="26"/>
  <c r="L454" i="26"/>
  <c r="L453" i="26"/>
  <c r="L452" i="26"/>
  <c r="L451" i="26"/>
  <c r="L450" i="26"/>
  <c r="L449" i="26"/>
  <c r="L448" i="26"/>
  <c r="L447" i="26"/>
  <c r="L446" i="26"/>
  <c r="L445" i="26"/>
  <c r="L444" i="26"/>
  <c r="L443" i="26"/>
  <c r="L442" i="26"/>
  <c r="L441" i="26"/>
  <c r="L440" i="26"/>
  <c r="L439" i="26"/>
  <c r="L438" i="26"/>
  <c r="L437" i="26"/>
  <c r="L436" i="26"/>
  <c r="L435" i="26"/>
  <c r="L434" i="26"/>
  <c r="L433" i="26"/>
  <c r="L432" i="26"/>
  <c r="L431" i="26"/>
  <c r="L430" i="26"/>
  <c r="L429" i="26"/>
  <c r="L428" i="26"/>
  <c r="L427" i="26"/>
  <c r="L426" i="26"/>
  <c r="L425" i="26"/>
  <c r="L424" i="26"/>
  <c r="L423" i="26"/>
  <c r="L422" i="26"/>
  <c r="L421" i="26"/>
  <c r="L420" i="26"/>
  <c r="L419" i="26"/>
  <c r="L418" i="26"/>
  <c r="L417" i="26"/>
  <c r="L416" i="26"/>
  <c r="L415" i="26"/>
  <c r="L414" i="26"/>
  <c r="L413" i="26"/>
  <c r="L412" i="26"/>
  <c r="L411" i="26"/>
  <c r="L410" i="26"/>
  <c r="L409" i="26"/>
  <c r="L408" i="26"/>
  <c r="L407" i="26"/>
  <c r="L406" i="26"/>
  <c r="L405" i="26"/>
  <c r="L404" i="26"/>
  <c r="L403" i="26"/>
  <c r="L402" i="26"/>
  <c r="L401" i="26"/>
  <c r="L400" i="26"/>
  <c r="L399" i="26"/>
  <c r="L398" i="26"/>
  <c r="L397" i="26"/>
  <c r="L396" i="26"/>
  <c r="L395" i="26"/>
  <c r="L394" i="26"/>
  <c r="L393" i="26"/>
  <c r="L392" i="26"/>
  <c r="L391" i="26"/>
  <c r="L390" i="26"/>
  <c r="L389" i="26"/>
  <c r="L388" i="26"/>
  <c r="L387" i="26"/>
  <c r="L386" i="26"/>
  <c r="L385" i="26"/>
  <c r="L384" i="26"/>
  <c r="L383" i="26"/>
  <c r="L382" i="26"/>
  <c r="L381" i="26"/>
  <c r="L380" i="26"/>
  <c r="L379" i="26"/>
  <c r="L378" i="26"/>
  <c r="L377" i="26"/>
  <c r="L376" i="26"/>
  <c r="L375" i="26"/>
  <c r="L374" i="26"/>
  <c r="L373" i="26"/>
  <c r="L372" i="26"/>
  <c r="L371" i="26"/>
  <c r="L370" i="26"/>
  <c r="L369" i="26"/>
  <c r="L368" i="26"/>
  <c r="L367" i="26"/>
  <c r="L366" i="26"/>
  <c r="L365" i="26"/>
  <c r="L364" i="26"/>
  <c r="L363" i="26"/>
  <c r="L362" i="26"/>
  <c r="L361" i="26"/>
  <c r="L360" i="26"/>
  <c r="L359" i="26"/>
  <c r="L358" i="26"/>
  <c r="L357" i="26"/>
  <c r="L356" i="26"/>
  <c r="L355" i="26"/>
  <c r="L354" i="26"/>
  <c r="L353" i="26"/>
  <c r="L352" i="26"/>
  <c r="L351" i="26"/>
  <c r="L350" i="26"/>
  <c r="L349" i="26"/>
  <c r="L348" i="26"/>
  <c r="L347" i="26"/>
  <c r="L346" i="26"/>
  <c r="L345" i="26"/>
  <c r="L344" i="26"/>
  <c r="L343" i="26"/>
  <c r="L342" i="26"/>
  <c r="L341" i="26"/>
  <c r="L340" i="26"/>
  <c r="L339" i="26"/>
  <c r="L338" i="26"/>
  <c r="L337" i="26"/>
  <c r="L336" i="26"/>
  <c r="L335" i="26"/>
  <c r="L334" i="26"/>
  <c r="L333" i="26"/>
  <c r="L332" i="26"/>
  <c r="L331" i="26"/>
  <c r="L330" i="26"/>
  <c r="L329" i="26"/>
  <c r="L328" i="26"/>
  <c r="L327" i="26"/>
  <c r="L326" i="26"/>
  <c r="L325" i="26"/>
  <c r="L324" i="26"/>
  <c r="L323" i="26"/>
  <c r="L322" i="26"/>
  <c r="L321" i="26"/>
  <c r="L320" i="26"/>
  <c r="L319" i="26"/>
  <c r="L318" i="26"/>
  <c r="L317" i="26"/>
  <c r="L316" i="26"/>
  <c r="L315" i="26"/>
  <c r="L314" i="26"/>
  <c r="L313" i="26"/>
  <c r="L312" i="26"/>
  <c r="L311" i="26"/>
  <c r="L310" i="26"/>
  <c r="L309" i="26"/>
  <c r="L308" i="26"/>
  <c r="L307" i="26"/>
  <c r="L306" i="26"/>
  <c r="L305" i="26"/>
  <c r="L304" i="26"/>
  <c r="L303" i="26"/>
  <c r="L302" i="26"/>
  <c r="L301" i="26"/>
  <c r="L300" i="26"/>
  <c r="L299" i="26"/>
  <c r="L298" i="26"/>
  <c r="L297" i="26"/>
  <c r="L296" i="26"/>
  <c r="L295" i="26"/>
  <c r="L294" i="26"/>
  <c r="L293" i="26"/>
  <c r="L292" i="26"/>
  <c r="L291" i="26"/>
  <c r="L290" i="26"/>
  <c r="L289" i="26"/>
  <c r="L288" i="26"/>
  <c r="L287" i="26"/>
  <c r="L283" i="26"/>
  <c r="L280" i="26"/>
  <c r="L274" i="26"/>
  <c r="L272" i="26"/>
  <c r="L268" i="26"/>
  <c r="L266" i="26"/>
  <c r="L260" i="26"/>
  <c r="L256" i="26"/>
  <c r="L253" i="26"/>
  <c r="L246" i="26"/>
  <c r="L243" i="26"/>
  <c r="L241" i="26"/>
  <c r="L238" i="26"/>
  <c r="L233" i="26"/>
  <c r="L229" i="26"/>
  <c r="L227" i="26"/>
  <c r="L223" i="26"/>
  <c r="L219" i="26"/>
  <c r="L216" i="26"/>
  <c r="L213" i="26"/>
  <c r="L208" i="26"/>
  <c r="L202" i="26"/>
  <c r="L199" i="26"/>
  <c r="L193" i="26"/>
  <c r="L189" i="26"/>
  <c r="L182" i="26"/>
  <c r="L175" i="26"/>
  <c r="L172" i="26"/>
  <c r="L167" i="26"/>
  <c r="L161" i="26"/>
  <c r="L156" i="26"/>
  <c r="L152" i="26"/>
  <c r="L142" i="26"/>
  <c r="L140" i="26"/>
  <c r="L135" i="26"/>
  <c r="L132" i="26"/>
  <c r="L129" i="26"/>
  <c r="L126" i="26"/>
  <c r="L123" i="26"/>
  <c r="L120" i="26"/>
  <c r="L116" i="26"/>
  <c r="L109" i="26"/>
  <c r="L106" i="26"/>
  <c r="L104" i="26"/>
  <c r="L100" i="26"/>
  <c r="L98" i="26"/>
  <c r="L94" i="26"/>
  <c r="L92" i="26"/>
  <c r="L88" i="26"/>
  <c r="L86" i="26"/>
  <c r="L82" i="26"/>
  <c r="L76" i="26"/>
  <c r="L73" i="26"/>
  <c r="L69" i="26"/>
  <c r="L61" i="26"/>
  <c r="L57" i="26"/>
  <c r="L54" i="26"/>
  <c r="L49" i="26"/>
  <c r="L46" i="26"/>
  <c r="L43" i="26"/>
  <c r="L40" i="26"/>
  <c r="L36" i="26"/>
  <c r="L33" i="26"/>
  <c r="L30" i="26"/>
  <c r="L26" i="26"/>
  <c r="L24" i="26"/>
  <c r="L21" i="26"/>
  <c r="L17" i="26"/>
  <c r="L12" i="26"/>
  <c r="L11" i="26"/>
  <c r="L7" i="26"/>
  <c r="L4" i="26"/>
  <c r="L207" i="25"/>
  <c r="L206" i="25"/>
  <c r="L205" i="25"/>
  <c r="L204" i="25"/>
  <c r="L203" i="25"/>
  <c r="L202" i="25"/>
  <c r="L201" i="25"/>
  <c r="L200" i="25"/>
  <c r="L199" i="25"/>
  <c r="L198" i="25"/>
  <c r="L197" i="25"/>
  <c r="L196" i="25"/>
  <c r="L195" i="25"/>
  <c r="L194" i="25"/>
  <c r="L193" i="25"/>
  <c r="L192" i="25"/>
  <c r="L191" i="25"/>
  <c r="L190" i="25"/>
  <c r="L189" i="25"/>
  <c r="L188" i="25"/>
  <c r="L187" i="25"/>
  <c r="L186" i="25"/>
  <c r="L185" i="25"/>
  <c r="L184" i="25"/>
  <c r="L183" i="25"/>
  <c r="L182" i="25"/>
  <c r="L181" i="25"/>
  <c r="L180" i="25"/>
  <c r="L179" i="25"/>
  <c r="L178" i="25"/>
  <c r="L177" i="25"/>
  <c r="L176" i="25"/>
  <c r="L175" i="25"/>
  <c r="L174" i="25"/>
  <c r="L173" i="25"/>
  <c r="L172" i="25"/>
  <c r="L171" i="25"/>
  <c r="L170" i="25"/>
  <c r="L169" i="25"/>
  <c r="L168" i="25"/>
  <c r="L167" i="25"/>
  <c r="L166" i="25"/>
  <c r="L165" i="25"/>
  <c r="L164" i="25"/>
  <c r="L163" i="25"/>
  <c r="L162" i="25"/>
  <c r="L161" i="25"/>
  <c r="L160" i="25"/>
  <c r="L159" i="25"/>
  <c r="L158" i="25"/>
  <c r="L157" i="25"/>
  <c r="L156" i="25"/>
  <c r="L155" i="25"/>
  <c r="L154" i="25"/>
  <c r="L153" i="25"/>
  <c r="L152" i="25"/>
  <c r="L151" i="25"/>
  <c r="L150" i="25"/>
  <c r="L149" i="25"/>
  <c r="L148" i="25"/>
  <c r="L147" i="25"/>
  <c r="L146" i="25"/>
  <c r="L145" i="25"/>
  <c r="L144" i="25"/>
  <c r="L143" i="25"/>
  <c r="L142" i="25"/>
  <c r="L141" i="25"/>
  <c r="L140" i="25"/>
  <c r="L139" i="25"/>
  <c r="L138" i="25"/>
  <c r="L137" i="25"/>
  <c r="L136" i="25"/>
  <c r="L135" i="25"/>
  <c r="L134" i="25"/>
  <c r="L133" i="25"/>
  <c r="L132" i="25"/>
  <c r="L131" i="25"/>
  <c r="L130" i="25"/>
  <c r="L129" i="25"/>
  <c r="L128" i="25"/>
  <c r="L127" i="25"/>
  <c r="L126" i="25"/>
  <c r="L125" i="25"/>
  <c r="L124" i="25"/>
  <c r="L123" i="25"/>
  <c r="L122" i="25"/>
  <c r="L121" i="25"/>
  <c r="L120" i="25"/>
  <c r="L119" i="25"/>
  <c r="L118" i="25"/>
  <c r="L117" i="25"/>
  <c r="L116" i="25"/>
  <c r="L115" i="25"/>
  <c r="L114" i="25"/>
  <c r="L113" i="25"/>
  <c r="L112" i="25"/>
  <c r="L111" i="25"/>
  <c r="L110" i="25"/>
  <c r="L109" i="25"/>
  <c r="L108" i="25"/>
  <c r="L107" i="25"/>
  <c r="L106" i="25"/>
  <c r="L105" i="25"/>
  <c r="L104" i="25"/>
  <c r="L103" i="25"/>
  <c r="L102" i="25"/>
  <c r="L101" i="25"/>
  <c r="L100" i="25"/>
  <c r="L99" i="25"/>
  <c r="L98" i="25"/>
  <c r="L97" i="25"/>
  <c r="L96" i="25"/>
  <c r="L95" i="25"/>
  <c r="L94" i="25"/>
  <c r="L93" i="25"/>
  <c r="L92" i="25"/>
  <c r="L91" i="25"/>
  <c r="L90" i="25"/>
  <c r="L89" i="25"/>
  <c r="L88" i="25"/>
  <c r="L87" i="25"/>
  <c r="L86" i="25"/>
  <c r="L85" i="25"/>
  <c r="L84" i="25"/>
  <c r="L83" i="25"/>
  <c r="L82" i="25"/>
  <c r="L81" i="25"/>
  <c r="L80" i="25"/>
  <c r="L79" i="25"/>
  <c r="L78" i="25"/>
  <c r="L77" i="25"/>
  <c r="L76" i="25"/>
  <c r="L75" i="25"/>
  <c r="L74" i="25"/>
  <c r="L73" i="25"/>
  <c r="L72" i="25"/>
  <c r="L71" i="25"/>
  <c r="L70" i="25"/>
  <c r="L69" i="25"/>
  <c r="L68" i="25"/>
  <c r="L67" i="25"/>
  <c r="L66" i="25"/>
  <c r="L65" i="25"/>
  <c r="L64" i="25"/>
  <c r="L63" i="25"/>
  <c r="L62" i="25"/>
  <c r="L61" i="25"/>
  <c r="L60" i="25"/>
  <c r="L59" i="25"/>
  <c r="L58" i="25"/>
  <c r="L57" i="25"/>
  <c r="L56" i="25"/>
  <c r="L55" i="25"/>
  <c r="L54" i="25"/>
  <c r="L53" i="25"/>
  <c r="L52" i="25"/>
  <c r="L51" i="25"/>
  <c r="L50" i="25"/>
  <c r="L49" i="25"/>
  <c r="L48" i="25"/>
  <c r="L47" i="25"/>
  <c r="L46" i="25"/>
  <c r="L45" i="25"/>
  <c r="L44" i="25"/>
  <c r="L43" i="25"/>
  <c r="L42" i="25"/>
  <c r="L41" i="25"/>
  <c r="L40" i="25"/>
  <c r="L39" i="25"/>
  <c r="L38" i="25"/>
  <c r="L37" i="25"/>
  <c r="L36" i="25"/>
  <c r="L35" i="25"/>
  <c r="L34" i="25"/>
  <c r="L33" i="25"/>
  <c r="L32" i="25"/>
  <c r="L31" i="25"/>
  <c r="L30" i="25"/>
  <c r="L29" i="25"/>
  <c r="L28" i="25"/>
  <c r="L27" i="25"/>
  <c r="L26" i="25"/>
  <c r="L25" i="25"/>
  <c r="L24" i="25"/>
  <c r="L23" i="25"/>
  <c r="L22" i="25"/>
  <c r="L21" i="25"/>
  <c r="L20" i="25"/>
  <c r="L19" i="25"/>
  <c r="L18" i="25"/>
  <c r="L17" i="25"/>
  <c r="L16" i="25"/>
  <c r="L15" i="25"/>
  <c r="L14" i="25"/>
  <c r="L13" i="25"/>
  <c r="L12" i="25"/>
  <c r="L11" i="25"/>
  <c r="L10" i="25"/>
  <c r="L9" i="25"/>
  <c r="L8" i="25"/>
  <c r="L7" i="25"/>
  <c r="L6" i="25"/>
  <c r="L5" i="25"/>
  <c r="L4" i="25"/>
  <c r="L3" i="25"/>
  <c r="L2" i="25"/>
  <c r="L355" i="27"/>
  <c r="L353" i="27"/>
  <c r="L352" i="27"/>
  <c r="L350" i="27"/>
  <c r="L346" i="27"/>
  <c r="L345" i="27"/>
  <c r="L342" i="27"/>
  <c r="L340" i="27"/>
  <c r="L338" i="27"/>
  <c r="L334" i="27"/>
  <c r="L332" i="27"/>
  <c r="L330" i="27"/>
  <c r="L327" i="27"/>
  <c r="L323" i="27"/>
  <c r="L320" i="27"/>
  <c r="L319" i="27"/>
  <c r="L314" i="27"/>
  <c r="L312" i="27"/>
  <c r="L311" i="27"/>
  <c r="L308" i="27"/>
  <c r="L307" i="27"/>
  <c r="L300" i="27"/>
  <c r="L299" i="27"/>
  <c r="L292" i="27"/>
  <c r="L291" i="27"/>
  <c r="L286" i="27"/>
  <c r="L285" i="27"/>
  <c r="L276" i="27"/>
  <c r="L268" i="27"/>
  <c r="L266" i="27"/>
  <c r="L265" i="27"/>
  <c r="L262" i="27"/>
  <c r="L260" i="27"/>
  <c r="L259" i="27"/>
  <c r="L256" i="27"/>
  <c r="L255" i="27"/>
  <c r="L252" i="27"/>
  <c r="L251" i="27"/>
  <c r="L247" i="27"/>
  <c r="L244" i="27"/>
  <c r="L243" i="27"/>
  <c r="L240" i="27"/>
  <c r="L239" i="27"/>
  <c r="L234" i="27"/>
  <c r="L233" i="27"/>
  <c r="L230" i="27"/>
  <c r="L229" i="27"/>
  <c r="L222" i="27"/>
  <c r="L221" i="27"/>
  <c r="L218" i="27"/>
  <c r="L217" i="27"/>
  <c r="L206" i="27"/>
  <c r="L205" i="27"/>
  <c r="L202" i="27"/>
  <c r="L201" i="27"/>
  <c r="L196" i="27"/>
  <c r="L195" i="27"/>
  <c r="L192" i="27"/>
  <c r="L191" i="27"/>
  <c r="L184" i="27"/>
  <c r="L183" i="27"/>
  <c r="L176" i="27"/>
  <c r="L170" i="27"/>
  <c r="L169" i="27"/>
  <c r="L166" i="27"/>
  <c r="L165" i="27"/>
  <c r="L162" i="27"/>
  <c r="L161" i="27"/>
  <c r="L158" i="27"/>
  <c r="L157" i="27"/>
  <c r="L152" i="27"/>
  <c r="L151" i="27"/>
  <c r="L146" i="27"/>
  <c r="L145" i="27"/>
  <c r="L142" i="27"/>
  <c r="L141" i="27"/>
  <c r="L138" i="27"/>
  <c r="L137" i="27"/>
  <c r="L132" i="27"/>
  <c r="L131" i="27"/>
  <c r="L128" i="27"/>
  <c r="L127" i="27"/>
  <c r="L124" i="27"/>
  <c r="L123" i="27"/>
  <c r="L121" i="27"/>
  <c r="L116" i="27"/>
  <c r="L115" i="27"/>
  <c r="L112" i="27"/>
  <c r="L111" i="27"/>
  <c r="L106" i="27"/>
  <c r="L105" i="27"/>
  <c r="L102" i="27"/>
  <c r="L101" i="27"/>
  <c r="L98" i="27"/>
  <c r="L97" i="27"/>
  <c r="L94" i="27"/>
  <c r="L93" i="27"/>
  <c r="L90" i="27"/>
  <c r="L89" i="27"/>
  <c r="L80" i="27"/>
  <c r="L79" i="27"/>
  <c r="L76" i="27"/>
  <c r="L75" i="27"/>
  <c r="L70" i="27"/>
  <c r="L68" i="27"/>
  <c r="L67" i="27"/>
  <c r="L62" i="27"/>
  <c r="L61" i="27"/>
  <c r="L58" i="27"/>
  <c r="L57" i="27"/>
  <c r="L54" i="27"/>
  <c r="L53" i="27"/>
  <c r="L50" i="27"/>
  <c r="L49" i="27"/>
  <c r="L46" i="27"/>
  <c r="L45" i="27"/>
  <c r="L40" i="27"/>
  <c r="L39" i="27"/>
  <c r="L36" i="27"/>
  <c r="L35" i="27"/>
  <c r="L33" i="27"/>
  <c r="L31" i="27"/>
  <c r="L27" i="27"/>
  <c r="L25" i="27"/>
  <c r="L24" i="27"/>
  <c r="L23" i="27"/>
  <c r="L22" i="27"/>
  <c r="L21" i="27"/>
  <c r="L19" i="27"/>
  <c r="L17" i="27"/>
  <c r="L15" i="27"/>
  <c r="L11" i="27"/>
  <c r="L3" i="27"/>
  <c r="L286" i="26"/>
  <c r="L279" i="26"/>
  <c r="L276" i="26"/>
  <c r="L273" i="26"/>
  <c r="L265" i="26"/>
  <c r="L263" i="26"/>
  <c r="L258" i="26"/>
  <c r="L255" i="26"/>
  <c r="L252" i="26"/>
  <c r="L250" i="26"/>
  <c r="L244" i="26"/>
  <c r="L240" i="26"/>
  <c r="L236" i="26"/>
  <c r="L234" i="26"/>
  <c r="L232" i="26"/>
  <c r="L221" i="26"/>
  <c r="L217" i="26"/>
  <c r="L215" i="26"/>
  <c r="L210" i="26"/>
  <c r="L206" i="26"/>
  <c r="L200" i="26"/>
  <c r="L196" i="26"/>
  <c r="L194" i="26"/>
  <c r="L190" i="26"/>
  <c r="L188" i="26"/>
  <c r="L186" i="26"/>
  <c r="L179" i="26"/>
  <c r="L176" i="26"/>
  <c r="L173" i="26"/>
  <c r="L169" i="26"/>
  <c r="L164" i="26"/>
  <c r="L159" i="26"/>
  <c r="L155" i="26"/>
  <c r="L148" i="26"/>
  <c r="L145" i="26"/>
  <c r="L143" i="26"/>
  <c r="L139" i="26"/>
  <c r="L133" i="26"/>
  <c r="L131" i="26"/>
  <c r="L127" i="26"/>
  <c r="L125" i="26"/>
  <c r="L118" i="26"/>
  <c r="L115" i="26"/>
  <c r="L112" i="26"/>
  <c r="L110" i="26"/>
  <c r="L105" i="26"/>
  <c r="L103" i="26"/>
  <c r="L101" i="26"/>
  <c r="L96" i="26"/>
  <c r="L93" i="26"/>
  <c r="L90" i="26"/>
  <c r="L87" i="26"/>
  <c r="L84" i="26"/>
  <c r="L81" i="26"/>
  <c r="L78" i="26"/>
  <c r="L75" i="26"/>
  <c r="L72" i="26"/>
  <c r="L68" i="26"/>
  <c r="L64" i="26"/>
  <c r="L59" i="26"/>
  <c r="L56" i="26"/>
  <c r="L53" i="26"/>
  <c r="L50" i="26"/>
  <c r="L47" i="26"/>
  <c r="L45" i="26"/>
  <c r="L41" i="26"/>
  <c r="L39" i="26"/>
  <c r="L37" i="26"/>
  <c r="L31" i="26"/>
  <c r="L14" i="26"/>
  <c r="L10" i="26"/>
  <c r="L8" i="26"/>
  <c r="L5" i="26"/>
  <c r="L3" i="26"/>
  <c r="L435" i="27"/>
  <c r="L433" i="27"/>
  <c r="L430" i="27"/>
  <c r="L428" i="27"/>
  <c r="L427" i="27"/>
  <c r="L424" i="27"/>
  <c r="L422" i="27"/>
  <c r="L419" i="27"/>
  <c r="L416" i="27"/>
  <c r="L413" i="27"/>
  <c r="L411" i="27"/>
  <c r="L409" i="27"/>
  <c r="L408" i="27"/>
  <c r="L407" i="27"/>
  <c r="L406" i="27"/>
  <c r="L405" i="27"/>
  <c r="L404" i="27"/>
  <c r="L403" i="27"/>
  <c r="L402" i="27"/>
  <c r="L401" i="27"/>
  <c r="L399" i="27"/>
  <c r="L397" i="27"/>
  <c r="L394" i="27"/>
  <c r="L392" i="27"/>
  <c r="L389" i="27"/>
  <c r="L385" i="27"/>
  <c r="L383" i="27"/>
  <c r="L380" i="27"/>
  <c r="L377" i="27"/>
  <c r="L375" i="27"/>
  <c r="L371" i="27"/>
  <c r="L370" i="27"/>
  <c r="L369" i="27"/>
  <c r="L367" i="27"/>
  <c r="L365" i="27"/>
  <c r="L364" i="27"/>
  <c r="L363" i="27"/>
  <c r="L361" i="27"/>
  <c r="L359" i="27"/>
  <c r="L358" i="27"/>
  <c r="L356" i="27"/>
  <c r="L354" i="27"/>
  <c r="L349" i="27"/>
  <c r="L344" i="27"/>
  <c r="L337" i="27"/>
  <c r="L328" i="27"/>
  <c r="L324" i="27"/>
  <c r="L318" i="27"/>
  <c r="L317" i="27"/>
  <c r="L313" i="27"/>
  <c r="L310" i="27"/>
  <c r="L309" i="27"/>
  <c r="L306" i="27"/>
  <c r="L305" i="27"/>
  <c r="L302" i="27"/>
  <c r="L301" i="27"/>
  <c r="L298" i="27"/>
  <c r="L297" i="27"/>
  <c r="L294" i="27"/>
  <c r="L293" i="27"/>
  <c r="L290" i="27"/>
  <c r="L289" i="27"/>
  <c r="L283" i="27"/>
  <c r="L280" i="27"/>
  <c r="L279" i="27"/>
  <c r="L275" i="27"/>
  <c r="L272" i="27"/>
  <c r="L271" i="27"/>
  <c r="L261" i="27"/>
  <c r="L258" i="27"/>
  <c r="L257" i="27"/>
  <c r="L249" i="27"/>
  <c r="L236" i="27"/>
  <c r="L235" i="27"/>
  <c r="L228" i="27"/>
  <c r="L227" i="27"/>
  <c r="L224" i="27"/>
  <c r="L223" i="27"/>
  <c r="L220" i="27"/>
  <c r="L219" i="27"/>
  <c r="L216" i="27"/>
  <c r="L215" i="27"/>
  <c r="L212" i="27"/>
  <c r="L211" i="27"/>
  <c r="L208" i="27"/>
  <c r="L207" i="27"/>
  <c r="L204" i="27"/>
  <c r="L203" i="27"/>
  <c r="L198" i="27"/>
  <c r="L197" i="27"/>
  <c r="L188" i="27"/>
  <c r="L187" i="27"/>
  <c r="L180" i="27"/>
  <c r="L179" i="27"/>
  <c r="L175" i="27"/>
  <c r="L172" i="27"/>
  <c r="L171" i="27"/>
  <c r="L164" i="27"/>
  <c r="L163" i="27"/>
  <c r="L154" i="27"/>
  <c r="L153" i="27"/>
  <c r="L150" i="27"/>
  <c r="L149" i="27"/>
  <c r="L144" i="27"/>
  <c r="L143" i="27"/>
  <c r="L136" i="27"/>
  <c r="L135" i="27"/>
  <c r="L122" i="27"/>
  <c r="L120" i="27"/>
  <c r="L119" i="27"/>
  <c r="L114" i="27"/>
  <c r="L113" i="27"/>
  <c r="L110" i="27"/>
  <c r="L109" i="27"/>
  <c r="L104" i="27"/>
  <c r="L103" i="27"/>
  <c r="L100" i="27"/>
  <c r="L99" i="27"/>
  <c r="L96" i="27"/>
  <c r="L95" i="27"/>
  <c r="L88" i="27"/>
  <c r="L87" i="27"/>
  <c r="L84" i="27"/>
  <c r="L83" i="27"/>
  <c r="L77" i="27"/>
  <c r="L73" i="27"/>
  <c r="L69" i="27"/>
  <c r="L64" i="27"/>
  <c r="L63" i="27"/>
  <c r="L56" i="27"/>
  <c r="L55" i="27"/>
  <c r="L52" i="27"/>
  <c r="L51" i="27"/>
  <c r="L48" i="27"/>
  <c r="L47" i="27"/>
  <c r="L44" i="27"/>
  <c r="L43" i="27"/>
  <c r="L38" i="27"/>
  <c r="L37" i="27"/>
  <c r="L34" i="27"/>
  <c r="L32" i="27"/>
  <c r="L18" i="27"/>
  <c r="L16" i="27"/>
  <c r="L13" i="27"/>
  <c r="L10" i="27"/>
  <c r="L8" i="27"/>
  <c r="L6" i="27"/>
  <c r="L4" i="27"/>
  <c r="L285" i="26"/>
  <c r="L282" i="26"/>
  <c r="L278" i="26"/>
  <c r="L271" i="26"/>
  <c r="L269" i="26"/>
  <c r="L262" i="26"/>
  <c r="L259" i="26"/>
  <c r="L257" i="26"/>
  <c r="L251" i="26"/>
  <c r="L248" i="26"/>
  <c r="L245" i="26"/>
  <c r="L231" i="26"/>
  <c r="L228" i="26"/>
  <c r="L225" i="26"/>
  <c r="L222" i="26"/>
  <c r="L214" i="26"/>
  <c r="L211" i="26"/>
  <c r="L209" i="26"/>
  <c r="L204" i="26"/>
  <c r="L201" i="26"/>
  <c r="L198" i="26"/>
  <c r="L195" i="26"/>
  <c r="L192" i="26"/>
  <c r="L187" i="26"/>
  <c r="L184" i="26"/>
  <c r="L181" i="26"/>
  <c r="L178" i="26"/>
  <c r="L170" i="26"/>
  <c r="L165" i="26"/>
  <c r="L162" i="26"/>
  <c r="L157" i="26"/>
  <c r="L154" i="26"/>
  <c r="L151" i="26"/>
  <c r="L149" i="26"/>
  <c r="L144" i="26"/>
  <c r="L137" i="26"/>
  <c r="L130" i="26"/>
  <c r="L121" i="26"/>
  <c r="L119" i="26"/>
  <c r="L114" i="26"/>
  <c r="L111" i="26"/>
  <c r="L108" i="26"/>
  <c r="L102" i="26"/>
  <c r="L91" i="26"/>
  <c r="L89" i="26"/>
  <c r="L85" i="26"/>
  <c r="L83" i="26"/>
  <c r="L79" i="26"/>
  <c r="L77" i="26"/>
  <c r="L70" i="26"/>
  <c r="L67" i="26"/>
  <c r="L65" i="26"/>
  <c r="L62" i="26"/>
  <c r="L58" i="26"/>
  <c r="L51" i="26"/>
  <c r="L48" i="26"/>
  <c r="L38" i="26"/>
  <c r="L35" i="26"/>
  <c r="L34" i="26"/>
  <c r="L28" i="26"/>
  <c r="L27" i="26"/>
  <c r="L23" i="26"/>
  <c r="L19" i="26"/>
  <c r="L13" i="26"/>
  <c r="L9" i="26"/>
  <c r="L6" i="26"/>
  <c r="G8" i="12" l="1"/>
  <c r="G17" i="12"/>
  <c r="G13" i="12"/>
  <c r="AB2" i="27"/>
  <c r="G16" i="12"/>
  <c r="G14" i="12"/>
  <c r="G12" i="12"/>
  <c r="G7" i="12"/>
  <c r="G6" i="12"/>
  <c r="G5" i="12"/>
  <c r="Y11" i="27"/>
  <c r="Z11" i="27"/>
  <c r="AA11" i="27"/>
  <c r="AC11" i="27"/>
  <c r="AD11" i="27"/>
  <c r="AE11" i="27"/>
  <c r="Y10" i="27"/>
  <c r="Z10" i="27"/>
  <c r="AA10" i="27"/>
  <c r="AC10" i="27"/>
  <c r="AD10" i="27"/>
  <c r="AE10" i="27"/>
  <c r="Y9" i="27"/>
  <c r="Z9" i="27"/>
  <c r="AA9" i="27"/>
  <c r="AC9" i="27"/>
  <c r="AD9" i="27"/>
  <c r="AE9" i="27"/>
  <c r="Y8" i="27"/>
  <c r="Z8" i="27"/>
  <c r="AA8" i="27"/>
  <c r="AC8" i="27"/>
  <c r="AD8" i="27"/>
  <c r="AE8" i="27"/>
  <c r="Y7" i="27"/>
  <c r="Z7" i="27"/>
  <c r="AA7" i="27"/>
  <c r="AC7" i="27"/>
  <c r="AD7" i="27"/>
  <c r="AE7" i="27"/>
  <c r="Y6" i="27"/>
  <c r="Z6" i="27"/>
  <c r="AA6" i="27"/>
  <c r="AC6" i="27"/>
  <c r="AD6" i="27"/>
  <c r="AE6" i="27"/>
  <c r="Y5" i="27"/>
  <c r="Z5" i="27"/>
  <c r="AA5" i="27"/>
  <c r="AC5" i="27"/>
  <c r="AD5" i="27"/>
  <c r="AE5" i="27"/>
  <c r="Y4" i="27"/>
  <c r="Z4" i="27"/>
  <c r="AA4" i="27"/>
  <c r="AC4" i="27"/>
  <c r="AD4" i="27"/>
  <c r="AE4" i="27"/>
  <c r="Y3" i="27"/>
  <c r="Z3" i="27"/>
  <c r="AA3" i="27"/>
  <c r="AC3" i="27"/>
  <c r="AD3" i="27"/>
  <c r="AE3" i="27"/>
  <c r="Y322" i="27"/>
  <c r="Z322" i="27"/>
  <c r="AA322" i="27"/>
  <c r="AC322" i="27"/>
  <c r="AD322" i="27"/>
  <c r="AE322" i="27"/>
  <c r="Y321" i="27"/>
  <c r="Z321" i="27"/>
  <c r="AA321" i="27"/>
  <c r="AC321" i="27"/>
  <c r="AD321" i="27"/>
  <c r="AE321" i="27"/>
  <c r="Y320" i="27"/>
  <c r="Z320" i="27"/>
  <c r="AA320" i="27"/>
  <c r="AC320" i="27"/>
  <c r="AD320" i="27"/>
  <c r="AE320" i="27"/>
  <c r="Y319" i="27"/>
  <c r="Z319" i="27"/>
  <c r="AA319" i="27"/>
  <c r="AC319" i="27"/>
  <c r="AD319" i="27"/>
  <c r="AE319" i="27"/>
  <c r="Y318" i="27"/>
  <c r="Z318" i="27"/>
  <c r="AA318" i="27"/>
  <c r="AC318" i="27"/>
  <c r="AD318" i="27"/>
  <c r="AE318" i="27"/>
  <c r="Y317" i="27"/>
  <c r="Z317" i="27"/>
  <c r="AA317" i="27"/>
  <c r="AC317" i="27"/>
  <c r="AD317" i="27"/>
  <c r="AE317" i="27"/>
  <c r="Y316" i="27"/>
  <c r="Z316" i="27"/>
  <c r="AA316" i="27"/>
  <c r="AC316" i="27"/>
  <c r="AD316" i="27"/>
  <c r="AE316" i="27"/>
  <c r="Y315" i="27"/>
  <c r="Z315" i="27"/>
  <c r="AA315" i="27"/>
  <c r="AC315" i="27"/>
  <c r="AD315" i="27"/>
  <c r="AE315" i="27"/>
  <c r="Y314" i="27"/>
  <c r="Z314" i="27"/>
  <c r="AA314" i="27"/>
  <c r="AC314" i="27"/>
  <c r="AD314" i="27"/>
  <c r="AE314" i="27"/>
  <c r="Y313" i="27"/>
  <c r="Z313" i="27"/>
  <c r="AA313" i="27"/>
  <c r="AC313" i="27"/>
  <c r="AD313" i="27"/>
  <c r="AE313" i="27"/>
  <c r="Y312" i="27"/>
  <c r="Z312" i="27"/>
  <c r="AA312" i="27"/>
  <c r="AC312" i="27"/>
  <c r="AD312" i="27"/>
  <c r="AE312" i="27"/>
  <c r="Y311" i="27"/>
  <c r="Z311" i="27"/>
  <c r="AA311" i="27"/>
  <c r="AC311" i="27"/>
  <c r="AD311" i="27"/>
  <c r="AE311" i="27"/>
  <c r="Y310" i="27"/>
  <c r="Z310" i="27"/>
  <c r="AA310" i="27"/>
  <c r="AC310" i="27"/>
  <c r="AD310" i="27"/>
  <c r="AE310" i="27"/>
  <c r="Y309" i="27"/>
  <c r="Z309" i="27"/>
  <c r="AA309" i="27"/>
  <c r="AC309" i="27"/>
  <c r="AD309" i="27"/>
  <c r="AE309" i="27"/>
  <c r="Y308" i="27"/>
  <c r="Z308" i="27"/>
  <c r="AA308" i="27"/>
  <c r="AC308" i="27"/>
  <c r="AD308" i="27"/>
  <c r="AE308" i="27"/>
  <c r="Y307" i="27"/>
  <c r="Z307" i="27"/>
  <c r="AA307" i="27"/>
  <c r="AC307" i="27"/>
  <c r="AD307" i="27"/>
  <c r="AE307" i="27"/>
  <c r="Y306" i="27"/>
  <c r="Z306" i="27"/>
  <c r="AA306" i="27"/>
  <c r="AC306" i="27"/>
  <c r="AD306" i="27"/>
  <c r="AE306" i="27"/>
  <c r="Y305" i="27"/>
  <c r="Z305" i="27"/>
  <c r="AA305" i="27"/>
  <c r="AC305" i="27"/>
  <c r="AD305" i="27"/>
  <c r="AE305" i="27"/>
  <c r="Y304" i="27"/>
  <c r="Z304" i="27"/>
  <c r="AA304" i="27"/>
  <c r="AC304" i="27"/>
  <c r="AD304" i="27"/>
  <c r="AE304" i="27"/>
  <c r="Y303" i="27"/>
  <c r="Z303" i="27"/>
  <c r="AA303" i="27"/>
  <c r="AC303" i="27"/>
  <c r="AD303" i="27"/>
  <c r="AE303" i="27"/>
  <c r="Y302" i="27"/>
  <c r="Z302" i="27"/>
  <c r="AA302" i="27"/>
  <c r="AC302" i="27"/>
  <c r="AD302" i="27"/>
  <c r="AE302" i="27"/>
  <c r="Y301" i="27"/>
  <c r="Z301" i="27"/>
  <c r="AA301" i="27"/>
  <c r="AC301" i="27"/>
  <c r="AD301" i="27"/>
  <c r="AE301" i="27"/>
  <c r="Y300" i="27"/>
  <c r="Z300" i="27"/>
  <c r="AA300" i="27"/>
  <c r="AC300" i="27"/>
  <c r="AD300" i="27"/>
  <c r="AE300" i="27"/>
  <c r="Y299" i="27"/>
  <c r="Z299" i="27"/>
  <c r="AA299" i="27"/>
  <c r="AC299" i="27"/>
  <c r="AD299" i="27"/>
  <c r="AE299" i="27"/>
  <c r="Y298" i="27"/>
  <c r="Z298" i="27"/>
  <c r="AA298" i="27"/>
  <c r="AC298" i="27"/>
  <c r="AD298" i="27"/>
  <c r="AE298" i="27"/>
  <c r="Y297" i="27"/>
  <c r="Z297" i="27"/>
  <c r="AA297" i="27"/>
  <c r="AC297" i="27"/>
  <c r="AD297" i="27"/>
  <c r="AE297" i="27"/>
  <c r="Y296" i="27"/>
  <c r="Z296" i="27"/>
  <c r="AA296" i="27"/>
  <c r="AC296" i="27"/>
  <c r="AD296" i="27"/>
  <c r="AE296" i="27"/>
  <c r="Y295" i="27"/>
  <c r="Z295" i="27"/>
  <c r="AA295" i="27"/>
  <c r="AC295" i="27"/>
  <c r="AD295" i="27"/>
  <c r="AE295" i="27"/>
  <c r="Y294" i="27"/>
  <c r="Z294" i="27"/>
  <c r="AA294" i="27"/>
  <c r="AC294" i="27"/>
  <c r="AD294" i="27"/>
  <c r="AE294" i="27"/>
  <c r="Y293" i="27"/>
  <c r="Z293" i="27"/>
  <c r="AA293" i="27"/>
  <c r="AC293" i="27"/>
  <c r="AD293" i="27"/>
  <c r="AE293" i="27"/>
  <c r="Y292" i="27"/>
  <c r="Z292" i="27"/>
  <c r="AA292" i="27"/>
  <c r="AC292" i="27"/>
  <c r="AD292" i="27"/>
  <c r="AE292" i="27"/>
  <c r="Y291" i="27"/>
  <c r="Z291" i="27"/>
  <c r="AA291" i="27"/>
  <c r="AC291" i="27"/>
  <c r="AD291" i="27"/>
  <c r="AE291" i="27"/>
  <c r="Y290" i="27"/>
  <c r="Z290" i="27"/>
  <c r="AA290" i="27"/>
  <c r="AC290" i="27"/>
  <c r="AD290" i="27"/>
  <c r="AE290" i="27"/>
  <c r="Y289" i="27"/>
  <c r="Z289" i="27"/>
  <c r="AA289" i="27"/>
  <c r="AC289" i="27"/>
  <c r="AD289" i="27"/>
  <c r="AE289" i="27"/>
  <c r="Y288" i="27"/>
  <c r="Z288" i="27"/>
  <c r="AA288" i="27"/>
  <c r="AC288" i="27"/>
  <c r="AD288" i="27"/>
  <c r="AE288" i="27"/>
  <c r="Y287" i="27"/>
  <c r="Z287" i="27"/>
  <c r="AA287" i="27"/>
  <c r="AC287" i="27"/>
  <c r="AD287" i="27"/>
  <c r="AE287" i="27"/>
  <c r="Y286" i="27"/>
  <c r="Z286" i="27"/>
  <c r="AA286" i="27"/>
  <c r="AC286" i="27"/>
  <c r="AD286" i="27"/>
  <c r="AE286" i="27"/>
  <c r="Y285" i="27"/>
  <c r="Z285" i="27"/>
  <c r="AA285" i="27"/>
  <c r="AC285" i="27"/>
  <c r="AD285" i="27"/>
  <c r="AE285" i="27"/>
  <c r="Y284" i="27"/>
  <c r="Z284" i="27"/>
  <c r="AA284" i="27"/>
  <c r="AC284" i="27"/>
  <c r="AD284" i="27"/>
  <c r="AE284" i="27"/>
  <c r="Y283" i="27"/>
  <c r="Z283" i="27"/>
  <c r="AA283" i="27"/>
  <c r="AC283" i="27"/>
  <c r="AD283" i="27"/>
  <c r="AE283" i="27"/>
  <c r="Y282" i="27"/>
  <c r="Z282" i="27"/>
  <c r="AA282" i="27"/>
  <c r="AC282" i="27"/>
  <c r="AD282" i="27"/>
  <c r="AE282" i="27"/>
  <c r="Y281" i="27"/>
  <c r="Z281" i="27"/>
  <c r="AA281" i="27"/>
  <c r="AC281" i="27"/>
  <c r="AD281" i="27"/>
  <c r="AE281" i="27"/>
  <c r="Y280" i="27"/>
  <c r="Z280" i="27"/>
  <c r="AA280" i="27"/>
  <c r="AC280" i="27"/>
  <c r="AD280" i="27"/>
  <c r="AE280" i="27"/>
  <c r="Y279" i="27"/>
  <c r="Z279" i="27"/>
  <c r="AA279" i="27"/>
  <c r="AC279" i="27"/>
  <c r="AD279" i="27"/>
  <c r="AE279" i="27"/>
  <c r="Y278" i="27"/>
  <c r="Z278" i="27"/>
  <c r="AA278" i="27"/>
  <c r="AC278" i="27"/>
  <c r="AD278" i="27"/>
  <c r="AE278" i="27"/>
  <c r="Y277" i="27"/>
  <c r="Z277" i="27"/>
  <c r="AA277" i="27"/>
  <c r="AC277" i="27"/>
  <c r="AD277" i="27"/>
  <c r="AE277" i="27"/>
  <c r="Y276" i="27"/>
  <c r="Z276" i="27"/>
  <c r="AA276" i="27"/>
  <c r="AC276" i="27"/>
  <c r="AD276" i="27"/>
  <c r="AE276" i="27"/>
  <c r="Y275" i="27"/>
  <c r="Z275" i="27"/>
  <c r="AA275" i="27"/>
  <c r="AC275" i="27"/>
  <c r="AD275" i="27"/>
  <c r="AE275" i="27"/>
  <c r="Y274" i="27"/>
  <c r="Z274" i="27"/>
  <c r="AA274" i="27"/>
  <c r="AC274" i="27"/>
  <c r="AD274" i="27"/>
  <c r="AE274" i="27"/>
  <c r="Y273" i="27"/>
  <c r="Z273" i="27"/>
  <c r="AA273" i="27"/>
  <c r="AC273" i="27"/>
  <c r="AD273" i="27"/>
  <c r="AE273" i="27"/>
  <c r="Y272" i="27"/>
  <c r="Z272" i="27"/>
  <c r="AA272" i="27"/>
  <c r="AC272" i="27"/>
  <c r="AD272" i="27"/>
  <c r="AE272" i="27"/>
  <c r="Y271" i="27"/>
  <c r="Z271" i="27"/>
  <c r="AA271" i="27"/>
  <c r="AC271" i="27"/>
  <c r="AD271" i="27"/>
  <c r="AE271" i="27"/>
  <c r="Y270" i="27"/>
  <c r="Z270" i="27"/>
  <c r="AA270" i="27"/>
  <c r="AC270" i="27"/>
  <c r="AD270" i="27"/>
  <c r="AE270" i="27"/>
  <c r="Y269" i="27"/>
  <c r="Z269" i="27"/>
  <c r="AA269" i="27"/>
  <c r="AC269" i="27"/>
  <c r="AD269" i="27"/>
  <c r="AE269" i="27"/>
  <c r="Y268" i="27"/>
  <c r="Z268" i="27"/>
  <c r="AA268" i="27"/>
  <c r="AC268" i="27"/>
  <c r="AD268" i="27"/>
  <c r="AE268" i="27"/>
  <c r="Y267" i="27"/>
  <c r="Z267" i="27"/>
  <c r="AA267" i="27"/>
  <c r="AC267" i="27"/>
  <c r="AD267" i="27"/>
  <c r="AE267" i="27"/>
  <c r="Y266" i="27"/>
  <c r="Z266" i="27"/>
  <c r="AA266" i="27"/>
  <c r="AC266" i="27"/>
  <c r="AD266" i="27"/>
  <c r="AE266" i="27"/>
  <c r="Y265" i="27"/>
  <c r="Z265" i="27"/>
  <c r="AA265" i="27"/>
  <c r="AC265" i="27"/>
  <c r="AD265" i="27"/>
  <c r="AE265" i="27"/>
  <c r="Y264" i="27"/>
  <c r="Z264" i="27"/>
  <c r="AA264" i="27"/>
  <c r="AC264" i="27"/>
  <c r="AD264" i="27"/>
  <c r="AE264" i="27"/>
  <c r="Y263" i="27"/>
  <c r="Z263" i="27"/>
  <c r="AA263" i="27"/>
  <c r="AC263" i="27"/>
  <c r="AD263" i="27"/>
  <c r="AE263" i="27"/>
  <c r="Y262" i="27"/>
  <c r="Z262" i="27"/>
  <c r="AA262" i="27"/>
  <c r="AC262" i="27"/>
  <c r="AD262" i="27"/>
  <c r="AE262" i="27"/>
  <c r="Y261" i="27"/>
  <c r="Z261" i="27"/>
  <c r="AA261" i="27"/>
  <c r="AC261" i="27"/>
  <c r="AD261" i="27"/>
  <c r="AE261" i="27"/>
  <c r="Y260" i="27"/>
  <c r="Z260" i="27"/>
  <c r="AA260" i="27"/>
  <c r="AC260" i="27"/>
  <c r="AD260" i="27"/>
  <c r="AE260" i="27"/>
  <c r="Y259" i="27"/>
  <c r="Z259" i="27"/>
  <c r="AA259" i="27"/>
  <c r="AC259" i="27"/>
  <c r="AD259" i="27"/>
  <c r="AE259" i="27"/>
  <c r="Y258" i="27"/>
  <c r="Z258" i="27"/>
  <c r="AA258" i="27"/>
  <c r="AC258" i="27"/>
  <c r="AD258" i="27"/>
  <c r="AE258" i="27"/>
  <c r="Y257" i="27"/>
  <c r="Z257" i="27"/>
  <c r="AA257" i="27"/>
  <c r="AC257" i="27"/>
  <c r="AD257" i="27"/>
  <c r="AE257" i="27"/>
  <c r="Y256" i="27"/>
  <c r="Z256" i="27"/>
  <c r="AA256" i="27"/>
  <c r="AC256" i="27"/>
  <c r="AD256" i="27"/>
  <c r="AE256" i="27"/>
  <c r="Y255" i="27"/>
  <c r="Z255" i="27"/>
  <c r="AA255" i="27"/>
  <c r="AC255" i="27"/>
  <c r="AD255" i="27"/>
  <c r="AE255" i="27"/>
  <c r="Y254" i="27"/>
  <c r="Z254" i="27"/>
  <c r="AA254" i="27"/>
  <c r="AC254" i="27"/>
  <c r="AD254" i="27"/>
  <c r="AE254" i="27"/>
  <c r="Y253" i="27"/>
  <c r="Z253" i="27"/>
  <c r="AA253" i="27"/>
  <c r="AC253" i="27"/>
  <c r="AD253" i="27"/>
  <c r="AE253" i="27"/>
  <c r="Y252" i="27"/>
  <c r="Z252" i="27"/>
  <c r="AA252" i="27"/>
  <c r="AC252" i="27"/>
  <c r="AD252" i="27"/>
  <c r="AE252" i="27"/>
  <c r="Y251" i="27"/>
  <c r="Z251" i="27"/>
  <c r="AA251" i="27"/>
  <c r="AC251" i="27"/>
  <c r="AD251" i="27"/>
  <c r="AE251" i="27"/>
  <c r="Y250" i="27"/>
  <c r="Z250" i="27"/>
  <c r="AA250" i="27"/>
  <c r="AC250" i="27"/>
  <c r="AD250" i="27"/>
  <c r="AE250" i="27"/>
  <c r="Y249" i="27"/>
  <c r="Z249" i="27"/>
  <c r="AA249" i="27"/>
  <c r="AC249" i="27"/>
  <c r="AD249" i="27"/>
  <c r="AE249" i="27"/>
  <c r="Y248" i="27"/>
  <c r="Z248" i="27"/>
  <c r="AA248" i="27"/>
  <c r="AC248" i="27"/>
  <c r="AD248" i="27"/>
  <c r="AE248" i="27"/>
  <c r="Y247" i="27"/>
  <c r="Z247" i="27"/>
  <c r="AA247" i="27"/>
  <c r="AC247" i="27"/>
  <c r="AD247" i="27"/>
  <c r="AE247" i="27"/>
  <c r="Y246" i="27"/>
  <c r="Z246" i="27"/>
  <c r="AA246" i="27"/>
  <c r="AC246" i="27"/>
  <c r="AD246" i="27"/>
  <c r="AE246" i="27"/>
  <c r="Y245" i="27"/>
  <c r="Z245" i="27"/>
  <c r="AA245" i="27"/>
  <c r="AC245" i="27"/>
  <c r="AD245" i="27"/>
  <c r="AE245" i="27"/>
  <c r="Y244" i="27"/>
  <c r="Z244" i="27"/>
  <c r="AA244" i="27"/>
  <c r="AC244" i="27"/>
  <c r="AD244" i="27"/>
  <c r="AE244" i="27"/>
  <c r="Y243" i="27"/>
  <c r="Z243" i="27"/>
  <c r="AA243" i="27"/>
  <c r="AC243" i="27"/>
  <c r="AD243" i="27"/>
  <c r="AE243" i="27"/>
  <c r="Y242" i="27"/>
  <c r="Z242" i="27"/>
  <c r="AA242" i="27"/>
  <c r="AC242" i="27"/>
  <c r="AD242" i="27"/>
  <c r="AE242" i="27"/>
  <c r="Y241" i="27"/>
  <c r="Z241" i="27"/>
  <c r="AA241" i="27"/>
  <c r="AC241" i="27"/>
  <c r="AD241" i="27"/>
  <c r="AE241" i="27"/>
  <c r="Y240" i="27"/>
  <c r="Z240" i="27"/>
  <c r="AA240" i="27"/>
  <c r="AC240" i="27"/>
  <c r="AD240" i="27"/>
  <c r="AE240" i="27"/>
  <c r="Y239" i="27"/>
  <c r="Z239" i="27"/>
  <c r="AA239" i="27"/>
  <c r="AC239" i="27"/>
  <c r="AD239" i="27"/>
  <c r="AE239" i="27"/>
  <c r="Y238" i="27"/>
  <c r="Z238" i="27"/>
  <c r="AA238" i="27"/>
  <c r="AC238" i="27"/>
  <c r="AD238" i="27"/>
  <c r="AE238" i="27"/>
  <c r="Y237" i="27"/>
  <c r="Z237" i="27"/>
  <c r="AA237" i="27"/>
  <c r="AC237" i="27"/>
  <c r="AD237" i="27"/>
  <c r="AE237" i="27"/>
  <c r="Y236" i="27"/>
  <c r="Z236" i="27"/>
  <c r="AA236" i="27"/>
  <c r="AC236" i="27"/>
  <c r="AD236" i="27"/>
  <c r="AE236" i="27"/>
  <c r="Y235" i="27"/>
  <c r="Z235" i="27"/>
  <c r="AA235" i="27"/>
  <c r="AC235" i="27"/>
  <c r="AD235" i="27"/>
  <c r="AE235" i="27"/>
  <c r="Y234" i="27"/>
  <c r="Z234" i="27"/>
  <c r="AA234" i="27"/>
  <c r="AC234" i="27"/>
  <c r="AD234" i="27"/>
  <c r="AE234" i="27"/>
  <c r="Y233" i="27"/>
  <c r="Z233" i="27"/>
  <c r="AA233" i="27"/>
  <c r="AC233" i="27"/>
  <c r="AD233" i="27"/>
  <c r="AE233" i="27"/>
  <c r="Y232" i="27"/>
  <c r="Z232" i="27"/>
  <c r="AA232" i="27"/>
  <c r="AC232" i="27"/>
  <c r="AD232" i="27"/>
  <c r="AE232" i="27"/>
  <c r="Y231" i="27"/>
  <c r="Z231" i="27"/>
  <c r="AA231" i="27"/>
  <c r="AC231" i="27"/>
  <c r="AD231" i="27"/>
  <c r="AE231" i="27"/>
  <c r="Y230" i="27"/>
  <c r="Z230" i="27"/>
  <c r="AA230" i="27"/>
  <c r="AC230" i="27"/>
  <c r="AD230" i="27"/>
  <c r="AE230" i="27"/>
  <c r="Y229" i="27"/>
  <c r="Z229" i="27"/>
  <c r="AA229" i="27"/>
  <c r="AC229" i="27"/>
  <c r="AD229" i="27"/>
  <c r="AE229" i="27"/>
  <c r="Y228" i="27"/>
  <c r="Z228" i="27"/>
  <c r="AA228" i="27"/>
  <c r="AC228" i="27"/>
  <c r="AD228" i="27"/>
  <c r="AE228" i="27"/>
  <c r="Y227" i="27"/>
  <c r="Z227" i="27"/>
  <c r="AA227" i="27"/>
  <c r="AC227" i="27"/>
  <c r="AD227" i="27"/>
  <c r="AE227" i="27"/>
  <c r="Y226" i="27"/>
  <c r="Z226" i="27"/>
  <c r="AA226" i="27"/>
  <c r="AC226" i="27"/>
  <c r="AD226" i="27"/>
  <c r="AE226" i="27"/>
  <c r="Y225" i="27"/>
  <c r="Z225" i="27"/>
  <c r="AA225" i="27"/>
  <c r="AC225" i="27"/>
  <c r="AD225" i="27"/>
  <c r="AE225" i="27"/>
  <c r="Y224" i="27"/>
  <c r="Z224" i="27"/>
  <c r="AA224" i="27"/>
  <c r="AC224" i="27"/>
  <c r="AD224" i="27"/>
  <c r="AE224" i="27"/>
  <c r="Y223" i="27"/>
  <c r="Z223" i="27"/>
  <c r="AA223" i="27"/>
  <c r="AC223" i="27"/>
  <c r="AD223" i="27"/>
  <c r="AE223" i="27"/>
  <c r="Y222" i="27"/>
  <c r="Z222" i="27"/>
  <c r="AA222" i="27"/>
  <c r="AC222" i="27"/>
  <c r="AD222" i="27"/>
  <c r="AE222" i="27"/>
  <c r="Y221" i="27"/>
  <c r="Z221" i="27"/>
  <c r="AA221" i="27"/>
  <c r="AC221" i="27"/>
  <c r="AD221" i="27"/>
  <c r="AE221" i="27"/>
  <c r="Y220" i="27"/>
  <c r="Z220" i="27"/>
  <c r="AA220" i="27"/>
  <c r="AC220" i="27"/>
  <c r="AD220" i="27"/>
  <c r="AE220" i="27"/>
  <c r="Y219" i="27"/>
  <c r="Z219" i="27"/>
  <c r="AA219" i="27"/>
  <c r="AC219" i="27"/>
  <c r="AD219" i="27"/>
  <c r="AE219" i="27"/>
  <c r="Y218" i="27"/>
  <c r="Z218" i="27"/>
  <c r="AA218" i="27"/>
  <c r="AC218" i="27"/>
  <c r="AD218" i="27"/>
  <c r="AE218" i="27"/>
  <c r="Y217" i="27"/>
  <c r="Z217" i="27"/>
  <c r="AA217" i="27"/>
  <c r="AC217" i="27"/>
  <c r="AD217" i="27"/>
  <c r="AE217" i="27"/>
  <c r="Y216" i="27"/>
  <c r="Z216" i="27"/>
  <c r="AA216" i="27"/>
  <c r="AC216" i="27"/>
  <c r="AD216" i="27"/>
  <c r="AE216" i="27"/>
  <c r="Y215" i="27"/>
  <c r="Z215" i="27"/>
  <c r="AA215" i="27"/>
  <c r="AC215" i="27"/>
  <c r="AD215" i="27"/>
  <c r="AE215" i="27"/>
  <c r="Y214" i="27"/>
  <c r="Z214" i="27"/>
  <c r="AA214" i="27"/>
  <c r="AC214" i="27"/>
  <c r="AD214" i="27"/>
  <c r="AE214" i="27"/>
  <c r="Y213" i="27"/>
  <c r="Z213" i="27"/>
  <c r="AA213" i="27"/>
  <c r="AC213" i="27"/>
  <c r="AD213" i="27"/>
  <c r="AE213" i="27"/>
  <c r="Y212" i="27"/>
  <c r="Z212" i="27"/>
  <c r="AA212" i="27"/>
  <c r="AC212" i="27"/>
  <c r="AD212" i="27"/>
  <c r="AE212" i="27"/>
  <c r="Y211" i="27"/>
  <c r="Z211" i="27"/>
  <c r="AA211" i="27"/>
  <c r="AC211" i="27"/>
  <c r="AD211" i="27"/>
  <c r="AE211" i="27"/>
  <c r="Y210" i="27"/>
  <c r="Z210" i="27"/>
  <c r="AA210" i="27"/>
  <c r="AC210" i="27"/>
  <c r="AD210" i="27"/>
  <c r="AE210" i="27"/>
  <c r="Y209" i="27"/>
  <c r="Z209" i="27"/>
  <c r="AA209" i="27"/>
  <c r="AC209" i="27"/>
  <c r="AD209" i="27"/>
  <c r="AE209" i="27"/>
  <c r="Y208" i="27"/>
  <c r="Z208" i="27"/>
  <c r="AA208" i="27"/>
  <c r="AC208" i="27"/>
  <c r="AD208" i="27"/>
  <c r="AE208" i="27"/>
  <c r="Y207" i="27"/>
  <c r="Z207" i="27"/>
  <c r="AA207" i="27"/>
  <c r="AC207" i="27"/>
  <c r="AD207" i="27"/>
  <c r="AE207" i="27"/>
  <c r="Y206" i="27"/>
  <c r="Z206" i="27"/>
  <c r="AA206" i="27"/>
  <c r="AC206" i="27"/>
  <c r="AD206" i="27"/>
  <c r="AE206" i="27"/>
  <c r="Y205" i="27"/>
  <c r="Z205" i="27"/>
  <c r="AA205" i="27"/>
  <c r="AC205" i="27"/>
  <c r="AD205" i="27"/>
  <c r="AE205" i="27"/>
  <c r="Y204" i="27"/>
  <c r="Z204" i="27"/>
  <c r="AA204" i="27"/>
  <c r="AC204" i="27"/>
  <c r="AD204" i="27"/>
  <c r="AE204" i="27"/>
  <c r="Y203" i="27"/>
  <c r="Z203" i="27"/>
  <c r="AA203" i="27"/>
  <c r="AC203" i="27"/>
  <c r="AD203" i="27"/>
  <c r="AE203" i="27"/>
  <c r="Y202" i="27"/>
  <c r="Z202" i="27"/>
  <c r="AA202" i="27"/>
  <c r="AC202" i="27"/>
  <c r="AD202" i="27"/>
  <c r="AE202" i="27"/>
  <c r="Y201" i="27"/>
  <c r="Z201" i="27"/>
  <c r="AA201" i="27"/>
  <c r="AC201" i="27"/>
  <c r="AD201" i="27"/>
  <c r="AE201" i="27"/>
  <c r="Y200" i="27"/>
  <c r="Z200" i="27"/>
  <c r="AA200" i="27"/>
  <c r="AC200" i="27"/>
  <c r="AD200" i="27"/>
  <c r="AE200" i="27"/>
  <c r="Y199" i="27"/>
  <c r="Z199" i="27"/>
  <c r="AA199" i="27"/>
  <c r="AC199" i="27"/>
  <c r="AD199" i="27"/>
  <c r="AE199" i="27"/>
  <c r="Y198" i="27"/>
  <c r="Z198" i="27"/>
  <c r="AA198" i="27"/>
  <c r="AC198" i="27"/>
  <c r="AD198" i="27"/>
  <c r="AE198" i="27"/>
  <c r="Y197" i="27"/>
  <c r="Z197" i="27"/>
  <c r="AA197" i="27"/>
  <c r="AC197" i="27"/>
  <c r="AD197" i="27"/>
  <c r="AE197" i="27"/>
  <c r="Y196" i="27"/>
  <c r="Z196" i="27"/>
  <c r="AA196" i="27"/>
  <c r="AC196" i="27"/>
  <c r="AD196" i="27"/>
  <c r="AE196" i="27"/>
  <c r="Y195" i="27"/>
  <c r="Z195" i="27"/>
  <c r="AA195" i="27"/>
  <c r="AC195" i="27"/>
  <c r="AD195" i="27"/>
  <c r="AE195" i="27"/>
  <c r="Y194" i="27"/>
  <c r="Z194" i="27"/>
  <c r="AA194" i="27"/>
  <c r="AC194" i="27"/>
  <c r="AD194" i="27"/>
  <c r="AE194" i="27"/>
  <c r="Y193" i="27"/>
  <c r="Z193" i="27"/>
  <c r="AA193" i="27"/>
  <c r="AC193" i="27"/>
  <c r="AD193" i="27"/>
  <c r="AE193" i="27"/>
  <c r="Y192" i="27"/>
  <c r="Z192" i="27"/>
  <c r="AA192" i="27"/>
  <c r="AC192" i="27"/>
  <c r="AD192" i="27"/>
  <c r="AE192" i="27"/>
  <c r="Y191" i="27"/>
  <c r="Z191" i="27"/>
  <c r="AA191" i="27"/>
  <c r="AC191" i="27"/>
  <c r="AD191" i="27"/>
  <c r="AE191" i="27"/>
  <c r="Y190" i="27"/>
  <c r="Z190" i="27"/>
  <c r="AA190" i="27"/>
  <c r="AC190" i="27"/>
  <c r="AD190" i="27"/>
  <c r="AE190" i="27"/>
  <c r="Y189" i="27"/>
  <c r="Z189" i="27"/>
  <c r="AA189" i="27"/>
  <c r="AC189" i="27"/>
  <c r="AD189" i="27"/>
  <c r="AE189" i="27"/>
  <c r="Y188" i="27"/>
  <c r="Z188" i="27"/>
  <c r="AA188" i="27"/>
  <c r="AC188" i="27"/>
  <c r="AD188" i="27"/>
  <c r="AE188" i="27"/>
  <c r="Y187" i="27"/>
  <c r="Z187" i="27"/>
  <c r="AA187" i="27"/>
  <c r="AC187" i="27"/>
  <c r="AD187" i="27"/>
  <c r="AE187" i="27"/>
  <c r="Y186" i="27"/>
  <c r="Z186" i="27"/>
  <c r="AA186" i="27"/>
  <c r="AC186" i="27"/>
  <c r="AD186" i="27"/>
  <c r="AE186" i="27"/>
  <c r="Y185" i="27"/>
  <c r="Z185" i="27"/>
  <c r="AA185" i="27"/>
  <c r="AC185" i="27"/>
  <c r="AD185" i="27"/>
  <c r="AE185" i="27"/>
  <c r="Y184" i="27"/>
  <c r="Z184" i="27"/>
  <c r="AA184" i="27"/>
  <c r="AC184" i="27"/>
  <c r="AD184" i="27"/>
  <c r="AE184" i="27"/>
  <c r="Y183" i="27"/>
  <c r="Z183" i="27"/>
  <c r="AA183" i="27"/>
  <c r="AC183" i="27"/>
  <c r="AD183" i="27"/>
  <c r="AE183" i="27"/>
  <c r="Y182" i="27"/>
  <c r="Z182" i="27"/>
  <c r="AA182" i="27"/>
  <c r="AC182" i="27"/>
  <c r="AD182" i="27"/>
  <c r="AE182" i="27"/>
  <c r="Y181" i="27"/>
  <c r="Z181" i="27"/>
  <c r="AA181" i="27"/>
  <c r="AC181" i="27"/>
  <c r="AD181" i="27"/>
  <c r="AE181" i="27"/>
  <c r="Y180" i="27"/>
  <c r="Z180" i="27"/>
  <c r="AA180" i="27"/>
  <c r="AC180" i="27"/>
  <c r="AD180" i="27"/>
  <c r="AE180" i="27"/>
  <c r="Y179" i="27"/>
  <c r="Z179" i="27"/>
  <c r="AA179" i="27"/>
  <c r="AC179" i="27"/>
  <c r="AD179" i="27"/>
  <c r="AE179" i="27"/>
  <c r="Y178" i="27"/>
  <c r="Z178" i="27"/>
  <c r="AA178" i="27"/>
  <c r="AC178" i="27"/>
  <c r="AD178" i="27"/>
  <c r="AE178" i="27"/>
  <c r="Y177" i="27"/>
  <c r="Z177" i="27"/>
  <c r="AA177" i="27"/>
  <c r="AC177" i="27"/>
  <c r="AD177" i="27"/>
  <c r="AE177" i="27"/>
  <c r="Y176" i="27"/>
  <c r="Z176" i="27"/>
  <c r="AA176" i="27"/>
  <c r="AC176" i="27"/>
  <c r="AD176" i="27"/>
  <c r="AE176" i="27"/>
  <c r="Y175" i="27"/>
  <c r="Z175" i="27"/>
  <c r="AA175" i="27"/>
  <c r="AC175" i="27"/>
  <c r="AD175" i="27"/>
  <c r="AE175" i="27"/>
  <c r="Y174" i="27"/>
  <c r="Z174" i="27"/>
  <c r="AA174" i="27"/>
  <c r="AC174" i="27"/>
  <c r="AD174" i="27"/>
  <c r="AE174" i="27"/>
  <c r="Y173" i="27"/>
  <c r="Z173" i="27"/>
  <c r="AA173" i="27"/>
  <c r="AC173" i="27"/>
  <c r="AD173" i="27"/>
  <c r="AE173" i="27"/>
  <c r="Y172" i="27"/>
  <c r="Z172" i="27"/>
  <c r="AA172" i="27"/>
  <c r="AC172" i="27"/>
  <c r="AD172" i="27"/>
  <c r="AE172" i="27"/>
  <c r="Y171" i="27"/>
  <c r="Z171" i="27"/>
  <c r="AA171" i="27"/>
  <c r="AC171" i="27"/>
  <c r="AD171" i="27"/>
  <c r="AE171" i="27"/>
  <c r="Y170" i="27"/>
  <c r="Z170" i="27"/>
  <c r="AA170" i="27"/>
  <c r="AC170" i="27"/>
  <c r="AD170" i="27"/>
  <c r="AE170" i="27"/>
  <c r="Y169" i="27"/>
  <c r="Z169" i="27"/>
  <c r="AA169" i="27"/>
  <c r="AC169" i="27"/>
  <c r="AD169" i="27"/>
  <c r="AE169" i="27"/>
  <c r="Y168" i="27"/>
  <c r="Z168" i="27"/>
  <c r="AA168" i="27"/>
  <c r="AC168" i="27"/>
  <c r="AD168" i="27"/>
  <c r="AE168" i="27"/>
  <c r="Y167" i="27"/>
  <c r="Z167" i="27"/>
  <c r="AA167" i="27"/>
  <c r="AC167" i="27"/>
  <c r="AD167" i="27"/>
  <c r="AE167" i="27"/>
  <c r="Y166" i="27"/>
  <c r="Z166" i="27"/>
  <c r="AA166" i="27"/>
  <c r="AC166" i="27"/>
  <c r="AD166" i="27"/>
  <c r="AE166" i="27"/>
  <c r="Y165" i="27"/>
  <c r="Z165" i="27"/>
  <c r="AA165" i="27"/>
  <c r="AC165" i="27"/>
  <c r="AD165" i="27"/>
  <c r="AE165" i="27"/>
  <c r="Y164" i="27"/>
  <c r="Z164" i="27"/>
  <c r="AA164" i="27"/>
  <c r="AC164" i="27"/>
  <c r="AD164" i="27"/>
  <c r="AE164" i="27"/>
  <c r="Y163" i="27"/>
  <c r="Z163" i="27"/>
  <c r="AA163" i="27"/>
  <c r="AC163" i="27"/>
  <c r="AD163" i="27"/>
  <c r="AE163" i="27"/>
  <c r="Y162" i="27"/>
  <c r="Z162" i="27"/>
  <c r="AA162" i="27"/>
  <c r="AC162" i="27"/>
  <c r="AD162" i="27"/>
  <c r="AE162" i="27"/>
  <c r="Y161" i="27"/>
  <c r="Z161" i="27"/>
  <c r="AA161" i="27"/>
  <c r="AC161" i="27"/>
  <c r="AD161" i="27"/>
  <c r="AE161" i="27"/>
  <c r="Y160" i="27"/>
  <c r="Z160" i="27"/>
  <c r="AA160" i="27"/>
  <c r="AC160" i="27"/>
  <c r="AD160" i="27"/>
  <c r="AE160" i="27"/>
  <c r="Y159" i="27"/>
  <c r="Z159" i="27"/>
  <c r="AA159" i="27"/>
  <c r="AC159" i="27"/>
  <c r="AD159" i="27"/>
  <c r="AE159" i="27"/>
  <c r="Y158" i="27"/>
  <c r="Z158" i="27"/>
  <c r="AA158" i="27"/>
  <c r="AC158" i="27"/>
  <c r="AD158" i="27"/>
  <c r="AE158" i="27"/>
  <c r="Y157" i="27"/>
  <c r="Z157" i="27"/>
  <c r="AA157" i="27"/>
  <c r="AC157" i="27"/>
  <c r="AD157" i="27"/>
  <c r="AE157" i="27"/>
  <c r="Y156" i="27"/>
  <c r="Z156" i="27"/>
  <c r="AA156" i="27"/>
  <c r="AC156" i="27"/>
  <c r="AD156" i="27"/>
  <c r="AE156" i="27"/>
  <c r="Y155" i="27"/>
  <c r="Z155" i="27"/>
  <c r="AA155" i="27"/>
  <c r="AC155" i="27"/>
  <c r="AD155" i="27"/>
  <c r="AE155" i="27"/>
  <c r="Y154" i="27"/>
  <c r="Z154" i="27"/>
  <c r="AA154" i="27"/>
  <c r="AC154" i="27"/>
  <c r="AD154" i="27"/>
  <c r="AE154" i="27"/>
  <c r="Y153" i="27"/>
  <c r="Z153" i="27"/>
  <c r="AA153" i="27"/>
  <c r="AC153" i="27"/>
  <c r="AD153" i="27"/>
  <c r="AE153" i="27"/>
  <c r="Y152" i="27"/>
  <c r="Z152" i="27"/>
  <c r="AA152" i="27"/>
  <c r="AC152" i="27"/>
  <c r="AD152" i="27"/>
  <c r="AE152" i="27"/>
  <c r="Y151" i="27"/>
  <c r="Z151" i="27"/>
  <c r="AA151" i="27"/>
  <c r="AC151" i="27"/>
  <c r="AD151" i="27"/>
  <c r="AE151" i="27"/>
  <c r="Y150" i="27"/>
  <c r="Z150" i="27"/>
  <c r="AA150" i="27"/>
  <c r="AC150" i="27"/>
  <c r="AD150" i="27"/>
  <c r="AE150" i="27"/>
  <c r="Y149" i="27"/>
  <c r="Z149" i="27"/>
  <c r="AA149" i="27"/>
  <c r="AC149" i="27"/>
  <c r="AD149" i="27"/>
  <c r="AE149" i="27"/>
  <c r="Y148" i="27"/>
  <c r="Z148" i="27"/>
  <c r="AA148" i="27"/>
  <c r="AC148" i="27"/>
  <c r="AD148" i="27"/>
  <c r="AE148" i="27"/>
  <c r="Y147" i="27"/>
  <c r="Z147" i="27"/>
  <c r="AA147" i="27"/>
  <c r="AC147" i="27"/>
  <c r="AD147" i="27"/>
  <c r="AE147" i="27"/>
  <c r="Y146" i="27"/>
  <c r="Z146" i="27"/>
  <c r="AA146" i="27"/>
  <c r="AC146" i="27"/>
  <c r="AD146" i="27"/>
  <c r="AE146" i="27"/>
  <c r="Y145" i="27"/>
  <c r="Z145" i="27"/>
  <c r="AA145" i="27"/>
  <c r="AC145" i="27"/>
  <c r="AD145" i="27"/>
  <c r="AE145" i="27"/>
  <c r="Y144" i="27"/>
  <c r="Z144" i="27"/>
  <c r="AA144" i="27"/>
  <c r="AC144" i="27"/>
  <c r="AD144" i="27"/>
  <c r="AE144" i="27"/>
  <c r="Y143" i="27"/>
  <c r="Z143" i="27"/>
  <c r="AA143" i="27"/>
  <c r="AC143" i="27"/>
  <c r="AD143" i="27"/>
  <c r="AE143" i="27"/>
  <c r="Y142" i="27"/>
  <c r="Z142" i="27"/>
  <c r="AA142" i="27"/>
  <c r="AC142" i="27"/>
  <c r="AD142" i="27"/>
  <c r="AE142" i="27"/>
  <c r="Y141" i="27"/>
  <c r="Z141" i="27"/>
  <c r="AA141" i="27"/>
  <c r="AC141" i="27"/>
  <c r="AD141" i="27"/>
  <c r="AE141" i="27"/>
  <c r="Y140" i="27"/>
  <c r="Z140" i="27"/>
  <c r="AA140" i="27"/>
  <c r="AC140" i="27"/>
  <c r="AD140" i="27"/>
  <c r="AE140" i="27"/>
  <c r="Y139" i="27"/>
  <c r="Z139" i="27"/>
  <c r="AA139" i="27"/>
  <c r="AC139" i="27"/>
  <c r="AD139" i="27"/>
  <c r="AE139" i="27"/>
  <c r="Y138" i="27"/>
  <c r="Z138" i="27"/>
  <c r="AA138" i="27"/>
  <c r="AC138" i="27"/>
  <c r="AD138" i="27"/>
  <c r="AE138" i="27"/>
  <c r="Y137" i="27"/>
  <c r="Z137" i="27"/>
  <c r="AA137" i="27"/>
  <c r="AC137" i="27"/>
  <c r="AD137" i="27"/>
  <c r="AE137" i="27"/>
  <c r="Y136" i="27"/>
  <c r="Z136" i="27"/>
  <c r="AA136" i="27"/>
  <c r="AC136" i="27"/>
  <c r="AD136" i="27"/>
  <c r="AE136" i="27"/>
  <c r="Y135" i="27"/>
  <c r="Z135" i="27"/>
  <c r="AA135" i="27"/>
  <c r="AC135" i="27"/>
  <c r="AD135" i="27"/>
  <c r="AE135" i="27"/>
  <c r="Y134" i="27"/>
  <c r="Z134" i="27"/>
  <c r="AA134" i="27"/>
  <c r="AC134" i="27"/>
  <c r="AD134" i="27"/>
  <c r="AE134" i="27"/>
  <c r="Y133" i="27"/>
  <c r="Z133" i="27"/>
  <c r="AA133" i="27"/>
  <c r="AC133" i="27"/>
  <c r="AD133" i="27"/>
  <c r="AE133" i="27"/>
  <c r="Y132" i="27"/>
  <c r="Z132" i="27"/>
  <c r="AA132" i="27"/>
  <c r="AC132" i="27"/>
  <c r="AD132" i="27"/>
  <c r="AE132" i="27"/>
  <c r="Y131" i="27"/>
  <c r="Z131" i="27"/>
  <c r="AA131" i="27"/>
  <c r="AC131" i="27"/>
  <c r="AD131" i="27"/>
  <c r="AE131" i="27"/>
  <c r="Y130" i="27"/>
  <c r="Z130" i="27"/>
  <c r="AA130" i="27"/>
  <c r="AC130" i="27"/>
  <c r="AD130" i="27"/>
  <c r="AE130" i="27"/>
  <c r="Y129" i="27"/>
  <c r="Z129" i="27"/>
  <c r="AA129" i="27"/>
  <c r="AC129" i="27"/>
  <c r="AD129" i="27"/>
  <c r="AE129" i="27"/>
  <c r="Y128" i="27"/>
  <c r="Z128" i="27"/>
  <c r="AA128" i="27"/>
  <c r="AC128" i="27"/>
  <c r="AD128" i="27"/>
  <c r="AE128" i="27"/>
  <c r="Y127" i="27"/>
  <c r="Z127" i="27"/>
  <c r="AA127" i="27"/>
  <c r="AC127" i="27"/>
  <c r="AD127" i="27"/>
  <c r="AE127" i="27"/>
  <c r="Y126" i="27"/>
  <c r="Z126" i="27"/>
  <c r="AA126" i="27"/>
  <c r="AC126" i="27"/>
  <c r="AD126" i="27"/>
  <c r="AE126" i="27"/>
  <c r="Y125" i="27"/>
  <c r="Z125" i="27"/>
  <c r="AA125" i="27"/>
  <c r="AC125" i="27"/>
  <c r="AD125" i="27"/>
  <c r="AE125" i="27"/>
  <c r="Y124" i="27"/>
  <c r="Z124" i="27"/>
  <c r="AA124" i="27"/>
  <c r="AC124" i="27"/>
  <c r="AD124" i="27"/>
  <c r="AE124" i="27"/>
  <c r="Y123" i="27"/>
  <c r="Z123" i="27"/>
  <c r="AA123" i="27"/>
  <c r="AC123" i="27"/>
  <c r="AD123" i="27"/>
  <c r="AE123" i="27"/>
  <c r="Y122" i="27"/>
  <c r="Z122" i="27"/>
  <c r="AA122" i="27"/>
  <c r="AC122" i="27"/>
  <c r="AD122" i="27"/>
  <c r="AE122" i="27"/>
  <c r="Y121" i="27"/>
  <c r="Z121" i="27"/>
  <c r="AA121" i="27"/>
  <c r="AC121" i="27"/>
  <c r="AD121" i="27"/>
  <c r="AE121" i="27"/>
  <c r="Y120" i="27"/>
  <c r="Z120" i="27"/>
  <c r="AA120" i="27"/>
  <c r="AC120" i="27"/>
  <c r="AD120" i="27"/>
  <c r="AE120" i="27"/>
  <c r="Y119" i="27"/>
  <c r="Z119" i="27"/>
  <c r="AA119" i="27"/>
  <c r="AC119" i="27"/>
  <c r="AD119" i="27"/>
  <c r="AE119" i="27"/>
  <c r="Y118" i="27"/>
  <c r="Z118" i="27"/>
  <c r="AA118" i="27"/>
  <c r="AC118" i="27"/>
  <c r="AD118" i="27"/>
  <c r="AE118" i="27"/>
  <c r="Y117" i="27"/>
  <c r="Z117" i="27"/>
  <c r="AA117" i="27"/>
  <c r="AC117" i="27"/>
  <c r="AD117" i="27"/>
  <c r="AE117" i="27"/>
  <c r="Y116" i="27"/>
  <c r="Z116" i="27"/>
  <c r="AA116" i="27"/>
  <c r="AC116" i="27"/>
  <c r="AD116" i="27"/>
  <c r="AE116" i="27"/>
  <c r="Y115" i="27"/>
  <c r="Z115" i="27"/>
  <c r="AA115" i="27"/>
  <c r="AC115" i="27"/>
  <c r="AD115" i="27"/>
  <c r="AE115" i="27"/>
  <c r="Y114" i="27"/>
  <c r="Z114" i="27"/>
  <c r="AA114" i="27"/>
  <c r="AC114" i="27"/>
  <c r="AD114" i="27"/>
  <c r="AE114" i="27"/>
  <c r="Y113" i="27"/>
  <c r="Z113" i="27"/>
  <c r="AA113" i="27"/>
  <c r="AC113" i="27"/>
  <c r="AD113" i="27"/>
  <c r="AE113" i="27"/>
  <c r="Y112" i="27"/>
  <c r="Z112" i="27"/>
  <c r="AA112" i="27"/>
  <c r="AC112" i="27"/>
  <c r="AD112" i="27"/>
  <c r="AE112" i="27"/>
  <c r="Y111" i="27"/>
  <c r="Z111" i="27"/>
  <c r="AA111" i="27"/>
  <c r="AC111" i="27"/>
  <c r="AD111" i="27"/>
  <c r="AE111" i="27"/>
  <c r="Y110" i="27"/>
  <c r="Z110" i="27"/>
  <c r="AA110" i="27"/>
  <c r="AC110" i="27"/>
  <c r="AD110" i="27"/>
  <c r="AE110" i="27"/>
  <c r="Y109" i="27"/>
  <c r="Z109" i="27"/>
  <c r="AA109" i="27"/>
  <c r="AC109" i="27"/>
  <c r="AD109" i="27"/>
  <c r="AE109" i="27"/>
  <c r="Y108" i="27"/>
  <c r="Z108" i="27"/>
  <c r="AA108" i="27"/>
  <c r="AC108" i="27"/>
  <c r="AD108" i="27"/>
  <c r="AE108" i="27"/>
  <c r="Y107" i="27"/>
  <c r="Z107" i="27"/>
  <c r="AA107" i="27"/>
  <c r="AC107" i="27"/>
  <c r="AD107" i="27"/>
  <c r="AE107" i="27"/>
  <c r="Y106" i="27"/>
  <c r="Z106" i="27"/>
  <c r="AA106" i="27"/>
  <c r="AC106" i="27"/>
  <c r="AD106" i="27"/>
  <c r="AE106" i="27"/>
  <c r="Y105" i="27"/>
  <c r="Z105" i="27"/>
  <c r="AA105" i="27"/>
  <c r="AC105" i="27"/>
  <c r="AD105" i="27"/>
  <c r="AE105" i="27"/>
  <c r="Y104" i="27"/>
  <c r="Z104" i="27"/>
  <c r="AA104" i="27"/>
  <c r="AC104" i="27"/>
  <c r="AD104" i="27"/>
  <c r="AE104" i="27"/>
  <c r="Y103" i="27"/>
  <c r="Z103" i="27"/>
  <c r="AA103" i="27"/>
  <c r="AC103" i="27"/>
  <c r="AD103" i="27"/>
  <c r="AE103" i="27"/>
  <c r="Y102" i="27"/>
  <c r="Z102" i="27"/>
  <c r="AA102" i="27"/>
  <c r="AC102" i="27"/>
  <c r="AD102" i="27"/>
  <c r="AE102" i="27"/>
  <c r="Y101" i="27"/>
  <c r="Z101" i="27"/>
  <c r="AA101" i="27"/>
  <c r="AC101" i="27"/>
  <c r="AD101" i="27"/>
  <c r="AE101" i="27"/>
  <c r="Y100" i="27"/>
  <c r="Z100" i="27"/>
  <c r="AA100" i="27"/>
  <c r="AC100" i="27"/>
  <c r="AD100" i="27"/>
  <c r="AE100" i="27"/>
  <c r="Y99" i="27"/>
  <c r="Z99" i="27"/>
  <c r="AA99" i="27"/>
  <c r="AC99" i="27"/>
  <c r="AD99" i="27"/>
  <c r="AE99" i="27"/>
  <c r="Y98" i="27"/>
  <c r="Z98" i="27"/>
  <c r="AA98" i="27"/>
  <c r="AC98" i="27"/>
  <c r="AD98" i="27"/>
  <c r="AE98" i="27"/>
  <c r="Y97" i="27"/>
  <c r="Z97" i="27"/>
  <c r="AA97" i="27"/>
  <c r="AC97" i="27"/>
  <c r="AD97" i="27"/>
  <c r="AE97" i="27"/>
  <c r="Y96" i="27"/>
  <c r="Z96" i="27"/>
  <c r="AA96" i="27"/>
  <c r="AC96" i="27"/>
  <c r="AD96" i="27"/>
  <c r="AE96" i="27"/>
  <c r="Y95" i="27"/>
  <c r="Z95" i="27"/>
  <c r="AA95" i="27"/>
  <c r="AC95" i="27"/>
  <c r="AD95" i="27"/>
  <c r="AE95" i="27"/>
  <c r="Y94" i="27"/>
  <c r="Z94" i="27"/>
  <c r="AA94" i="27"/>
  <c r="AC94" i="27"/>
  <c r="AD94" i="27"/>
  <c r="AE94" i="27"/>
  <c r="Y93" i="27"/>
  <c r="Z93" i="27"/>
  <c r="AA93" i="27"/>
  <c r="AC93" i="27"/>
  <c r="AD93" i="27"/>
  <c r="AE93" i="27"/>
  <c r="Y92" i="27"/>
  <c r="Z92" i="27"/>
  <c r="AA92" i="27"/>
  <c r="AC92" i="27"/>
  <c r="AD92" i="27"/>
  <c r="AE92" i="27"/>
  <c r="Y91" i="27"/>
  <c r="Z91" i="27"/>
  <c r="AA91" i="27"/>
  <c r="AC91" i="27"/>
  <c r="AD91" i="27"/>
  <c r="AE91" i="27"/>
  <c r="Y90" i="27"/>
  <c r="Z90" i="27"/>
  <c r="AA90" i="27"/>
  <c r="AC90" i="27"/>
  <c r="AD90" i="27"/>
  <c r="AE90" i="27"/>
  <c r="Y89" i="27"/>
  <c r="Z89" i="27"/>
  <c r="AA89" i="27"/>
  <c r="AC89" i="27"/>
  <c r="AD89" i="27"/>
  <c r="AE89" i="27"/>
  <c r="Y88" i="27"/>
  <c r="Z88" i="27"/>
  <c r="AA88" i="27"/>
  <c r="AC88" i="27"/>
  <c r="AD88" i="27"/>
  <c r="AE88" i="27"/>
  <c r="Y87" i="27"/>
  <c r="Z87" i="27"/>
  <c r="AA87" i="27"/>
  <c r="AC87" i="27"/>
  <c r="AD87" i="27"/>
  <c r="AE87" i="27"/>
  <c r="Y86" i="27"/>
  <c r="Z86" i="27"/>
  <c r="AA86" i="27"/>
  <c r="AC86" i="27"/>
  <c r="AD86" i="27"/>
  <c r="AE86" i="27"/>
  <c r="Y85" i="27"/>
  <c r="Z85" i="27"/>
  <c r="AA85" i="27"/>
  <c r="AC85" i="27"/>
  <c r="AD85" i="27"/>
  <c r="AE85" i="27"/>
  <c r="Y84" i="27"/>
  <c r="Z84" i="27"/>
  <c r="AA84" i="27"/>
  <c r="AC84" i="27"/>
  <c r="AD84" i="27"/>
  <c r="AE84" i="27"/>
  <c r="Y83" i="27"/>
  <c r="Z83" i="27"/>
  <c r="AA83" i="27"/>
  <c r="AC83" i="27"/>
  <c r="AD83" i="27"/>
  <c r="AE83" i="27"/>
  <c r="Y82" i="27"/>
  <c r="Z82" i="27"/>
  <c r="AA82" i="27"/>
  <c r="AC82" i="27"/>
  <c r="AD82" i="27"/>
  <c r="AE82" i="27"/>
  <c r="Y81" i="27"/>
  <c r="Z81" i="27"/>
  <c r="AA81" i="27"/>
  <c r="AC81" i="27"/>
  <c r="AD81" i="27"/>
  <c r="AE81" i="27"/>
  <c r="Y80" i="27"/>
  <c r="Z80" i="27"/>
  <c r="AA80" i="27"/>
  <c r="AC80" i="27"/>
  <c r="AD80" i="27"/>
  <c r="AE80" i="27"/>
  <c r="Y79" i="27"/>
  <c r="Z79" i="27"/>
  <c r="AA79" i="27"/>
  <c r="AC79" i="27"/>
  <c r="AD79" i="27"/>
  <c r="AE79" i="27"/>
  <c r="Y78" i="27"/>
  <c r="Z78" i="27"/>
  <c r="AA78" i="27"/>
  <c r="AC78" i="27"/>
  <c r="AD78" i="27"/>
  <c r="AE78" i="27"/>
  <c r="Y77" i="27"/>
  <c r="Z77" i="27"/>
  <c r="AA77" i="27"/>
  <c r="AC77" i="27"/>
  <c r="AD77" i="27"/>
  <c r="AE77" i="27"/>
  <c r="Y76" i="27"/>
  <c r="Z76" i="27"/>
  <c r="AA76" i="27"/>
  <c r="AC76" i="27"/>
  <c r="AD76" i="27"/>
  <c r="AE76" i="27"/>
  <c r="Y75" i="27"/>
  <c r="Z75" i="27"/>
  <c r="AA75" i="27"/>
  <c r="AC75" i="27"/>
  <c r="AD75" i="27"/>
  <c r="AE75" i="27"/>
  <c r="Y74" i="27"/>
  <c r="Z74" i="27"/>
  <c r="AA74" i="27"/>
  <c r="AC74" i="27"/>
  <c r="AD74" i="27"/>
  <c r="AE74" i="27"/>
  <c r="Y73" i="27"/>
  <c r="Z73" i="27"/>
  <c r="AA73" i="27"/>
  <c r="AC73" i="27"/>
  <c r="AD73" i="27"/>
  <c r="AE73" i="27"/>
  <c r="Y72" i="27"/>
  <c r="Z72" i="27"/>
  <c r="AA72" i="27"/>
  <c r="AC72" i="27"/>
  <c r="AD72" i="27"/>
  <c r="AE72" i="27"/>
  <c r="Y71" i="27"/>
  <c r="Z71" i="27"/>
  <c r="AA71" i="27"/>
  <c r="AC71" i="27"/>
  <c r="AD71" i="27"/>
  <c r="AE71" i="27"/>
  <c r="Y70" i="27"/>
  <c r="Z70" i="27"/>
  <c r="AA70" i="27"/>
  <c r="AC70" i="27"/>
  <c r="AD70" i="27"/>
  <c r="AE70" i="27"/>
  <c r="Y69" i="27"/>
  <c r="Z69" i="27"/>
  <c r="AA69" i="27"/>
  <c r="AC69" i="27"/>
  <c r="AD69" i="27"/>
  <c r="AE69" i="27"/>
  <c r="Y68" i="27"/>
  <c r="Z68" i="27"/>
  <c r="AA68" i="27"/>
  <c r="AC68" i="27"/>
  <c r="AD68" i="27"/>
  <c r="AE68" i="27"/>
  <c r="Y67" i="27"/>
  <c r="Z67" i="27"/>
  <c r="AA67" i="27"/>
  <c r="AC67" i="27"/>
  <c r="AD67" i="27"/>
  <c r="AE67" i="27"/>
  <c r="Y66" i="27"/>
  <c r="Z66" i="27"/>
  <c r="AA66" i="27"/>
  <c r="AC66" i="27"/>
  <c r="AD66" i="27"/>
  <c r="AE66" i="27"/>
  <c r="Y65" i="27"/>
  <c r="Z65" i="27"/>
  <c r="AA65" i="27"/>
  <c r="AC65" i="27"/>
  <c r="AD65" i="27"/>
  <c r="AE65" i="27"/>
  <c r="Y64" i="27"/>
  <c r="Z64" i="27"/>
  <c r="AA64" i="27"/>
  <c r="AC64" i="27"/>
  <c r="AD64" i="27"/>
  <c r="AE64" i="27"/>
  <c r="Y63" i="27"/>
  <c r="Z63" i="27"/>
  <c r="AA63" i="27"/>
  <c r="AC63" i="27"/>
  <c r="AD63" i="27"/>
  <c r="AE63" i="27"/>
  <c r="Y62" i="27"/>
  <c r="Z62" i="27"/>
  <c r="AA62" i="27"/>
  <c r="AC62" i="27"/>
  <c r="AD62" i="27"/>
  <c r="AE62" i="27"/>
  <c r="Y61" i="27"/>
  <c r="Z61" i="27"/>
  <c r="AA61" i="27"/>
  <c r="AC61" i="27"/>
  <c r="AD61" i="27"/>
  <c r="AE61" i="27"/>
  <c r="Y60" i="27"/>
  <c r="Z60" i="27"/>
  <c r="AA60" i="27"/>
  <c r="AC60" i="27"/>
  <c r="AD60" i="27"/>
  <c r="AE60" i="27"/>
  <c r="Y59" i="27"/>
  <c r="Z59" i="27"/>
  <c r="AA59" i="27"/>
  <c r="AC59" i="27"/>
  <c r="AD59" i="27"/>
  <c r="AE59" i="27"/>
  <c r="Y58" i="27"/>
  <c r="Z58" i="27"/>
  <c r="AA58" i="27"/>
  <c r="AC58" i="27"/>
  <c r="AD58" i="27"/>
  <c r="AE58" i="27"/>
  <c r="Y57" i="27"/>
  <c r="Z57" i="27"/>
  <c r="AA57" i="27"/>
  <c r="AC57" i="27"/>
  <c r="AD57" i="27"/>
  <c r="AE57" i="27"/>
  <c r="Y56" i="27"/>
  <c r="Z56" i="27"/>
  <c r="AA56" i="27"/>
  <c r="AC56" i="27"/>
  <c r="AD56" i="27"/>
  <c r="AE56" i="27"/>
  <c r="Y55" i="27"/>
  <c r="Z55" i="27"/>
  <c r="AA55" i="27"/>
  <c r="AC55" i="27"/>
  <c r="AD55" i="27"/>
  <c r="AE55" i="27"/>
  <c r="Y54" i="27"/>
  <c r="Z54" i="27"/>
  <c r="AA54" i="27"/>
  <c r="AC54" i="27"/>
  <c r="AD54" i="27"/>
  <c r="AE54" i="27"/>
  <c r="Y53" i="27"/>
  <c r="Z53" i="27"/>
  <c r="AA53" i="27"/>
  <c r="AC53" i="27"/>
  <c r="AD53" i="27"/>
  <c r="AE53" i="27"/>
  <c r="Y52" i="27"/>
  <c r="Z52" i="27"/>
  <c r="AA52" i="27"/>
  <c r="AC52" i="27"/>
  <c r="AD52" i="27"/>
  <c r="AE52" i="27"/>
  <c r="Y51" i="27"/>
  <c r="Z51" i="27"/>
  <c r="AA51" i="27"/>
  <c r="AC51" i="27"/>
  <c r="AD51" i="27"/>
  <c r="AE51" i="27"/>
  <c r="Y50" i="27"/>
  <c r="Z50" i="27"/>
  <c r="AA50" i="27"/>
  <c r="AC50" i="27"/>
  <c r="AD50" i="27"/>
  <c r="AE50" i="27"/>
  <c r="Y49" i="27"/>
  <c r="Z49" i="27"/>
  <c r="AA49" i="27"/>
  <c r="AC49" i="27"/>
  <c r="AD49" i="27"/>
  <c r="AE49" i="27"/>
  <c r="Y48" i="27"/>
  <c r="Z48" i="27"/>
  <c r="AA48" i="27"/>
  <c r="AC48" i="27"/>
  <c r="AD48" i="27"/>
  <c r="AE48" i="27"/>
  <c r="Y47" i="27"/>
  <c r="Z47" i="27"/>
  <c r="AA47" i="27"/>
  <c r="AC47" i="27"/>
  <c r="AD47" i="27"/>
  <c r="AE47" i="27"/>
  <c r="Y46" i="27"/>
  <c r="Z46" i="27"/>
  <c r="AA46" i="27"/>
  <c r="AC46" i="27"/>
  <c r="AD46" i="27"/>
  <c r="AE46" i="27"/>
  <c r="Y45" i="27"/>
  <c r="Z45" i="27"/>
  <c r="AA45" i="27"/>
  <c r="AC45" i="27"/>
  <c r="AD45" i="27"/>
  <c r="AE45" i="27"/>
  <c r="Y44" i="27"/>
  <c r="Z44" i="27"/>
  <c r="AA44" i="27"/>
  <c r="AC44" i="27"/>
  <c r="AD44" i="27"/>
  <c r="AE44" i="27"/>
  <c r="Y43" i="27"/>
  <c r="Z43" i="27"/>
  <c r="AA43" i="27"/>
  <c r="AC43" i="27"/>
  <c r="AD43" i="27"/>
  <c r="AE43" i="27"/>
  <c r="Y42" i="27"/>
  <c r="Z42" i="27"/>
  <c r="AA42" i="27"/>
  <c r="AC42" i="27"/>
  <c r="AD42" i="27"/>
  <c r="AE42" i="27"/>
  <c r="Y41" i="27"/>
  <c r="Z41" i="27"/>
  <c r="AA41" i="27"/>
  <c r="AC41" i="27"/>
  <c r="AD41" i="27"/>
  <c r="AE41" i="27"/>
  <c r="Y40" i="27"/>
  <c r="Z40" i="27"/>
  <c r="AA40" i="27"/>
  <c r="AC40" i="27"/>
  <c r="AD40" i="27"/>
  <c r="AE40" i="27"/>
  <c r="Y39" i="27"/>
  <c r="Z39" i="27"/>
  <c r="AA39" i="27"/>
  <c r="AC39" i="27"/>
  <c r="AD39" i="27"/>
  <c r="AE39" i="27"/>
  <c r="Y38" i="27"/>
  <c r="Z38" i="27"/>
  <c r="AA38" i="27"/>
  <c r="AC38" i="27"/>
  <c r="AD38" i="27"/>
  <c r="AE38" i="27"/>
  <c r="Y37" i="27"/>
  <c r="Z37" i="27"/>
  <c r="AA37" i="27"/>
  <c r="AC37" i="27"/>
  <c r="AD37" i="27"/>
  <c r="AE37" i="27"/>
  <c r="Y36" i="27"/>
  <c r="Z36" i="27"/>
  <c r="AA36" i="27"/>
  <c r="AC36" i="27"/>
  <c r="AD36" i="27"/>
  <c r="AE36" i="27"/>
  <c r="Y35" i="27"/>
  <c r="Z35" i="27"/>
  <c r="AA35" i="27"/>
  <c r="AC35" i="27"/>
  <c r="AD35" i="27"/>
  <c r="AE35" i="27"/>
  <c r="Y34" i="27"/>
  <c r="Z34" i="27"/>
  <c r="AA34" i="27"/>
  <c r="AC34" i="27"/>
  <c r="AD34" i="27"/>
  <c r="AE34" i="27"/>
  <c r="Y33" i="27"/>
  <c r="Z33" i="27"/>
  <c r="AA33" i="27"/>
  <c r="AC33" i="27"/>
  <c r="AD33" i="27"/>
  <c r="AE33" i="27"/>
  <c r="Y32" i="27"/>
  <c r="Z32" i="27"/>
  <c r="AA32" i="27"/>
  <c r="AC32" i="27"/>
  <c r="AD32" i="27"/>
  <c r="AE32" i="27"/>
  <c r="Y31" i="27"/>
  <c r="Z31" i="27"/>
  <c r="AA31" i="27"/>
  <c r="AC31" i="27"/>
  <c r="AD31" i="27"/>
  <c r="AE31" i="27"/>
  <c r="Y30" i="27"/>
  <c r="Z30" i="27"/>
  <c r="AA30" i="27"/>
  <c r="AC30" i="27"/>
  <c r="AD30" i="27"/>
  <c r="AE30" i="27"/>
  <c r="Y29" i="27"/>
  <c r="Z29" i="27"/>
  <c r="AA29" i="27"/>
  <c r="AC29" i="27"/>
  <c r="AD29" i="27"/>
  <c r="AE29" i="27"/>
  <c r="Y28" i="27"/>
  <c r="Z28" i="27"/>
  <c r="AA28" i="27"/>
  <c r="AC28" i="27"/>
  <c r="AD28" i="27"/>
  <c r="AE28" i="27"/>
  <c r="Y27" i="27"/>
  <c r="Z27" i="27"/>
  <c r="AA27" i="27"/>
  <c r="AC27" i="27"/>
  <c r="AD27" i="27"/>
  <c r="AE27" i="27"/>
  <c r="Y26" i="27"/>
  <c r="Z26" i="27"/>
  <c r="AA26" i="27"/>
  <c r="AC26" i="27"/>
  <c r="AD26" i="27"/>
  <c r="AE26" i="27"/>
  <c r="Y25" i="27"/>
  <c r="Z25" i="27"/>
  <c r="AA25" i="27"/>
  <c r="AC25" i="27"/>
  <c r="AD25" i="27"/>
  <c r="AE25" i="27"/>
  <c r="Y24" i="27"/>
  <c r="Z24" i="27"/>
  <c r="AA24" i="27"/>
  <c r="AC24" i="27"/>
  <c r="AD24" i="27"/>
  <c r="AE24" i="27"/>
  <c r="Y23" i="27"/>
  <c r="Z23" i="27"/>
  <c r="AA23" i="27"/>
  <c r="AC23" i="27"/>
  <c r="AD23" i="27"/>
  <c r="AE23" i="27"/>
  <c r="Y22" i="27"/>
  <c r="Z22" i="27"/>
  <c r="AA22" i="27"/>
  <c r="AC22" i="27"/>
  <c r="AD22" i="27"/>
  <c r="AE22" i="27"/>
  <c r="Y21" i="27"/>
  <c r="Z21" i="27"/>
  <c r="AA21" i="27"/>
  <c r="AC21" i="27"/>
  <c r="AD21" i="27"/>
  <c r="AE21" i="27"/>
  <c r="Y20" i="27"/>
  <c r="Z20" i="27"/>
  <c r="AA20" i="27"/>
  <c r="AC20" i="27"/>
  <c r="AD20" i="27"/>
  <c r="AE20" i="27"/>
  <c r="Y19" i="27"/>
  <c r="Z19" i="27"/>
  <c r="AA19" i="27"/>
  <c r="AC19" i="27"/>
  <c r="AD19" i="27"/>
  <c r="AE19" i="27"/>
  <c r="Y18" i="27"/>
  <c r="Z18" i="27"/>
  <c r="AA18" i="27"/>
  <c r="AC18" i="27"/>
  <c r="AD18" i="27"/>
  <c r="AE18" i="27"/>
  <c r="Y17" i="27"/>
  <c r="Z17" i="27"/>
  <c r="AA17" i="27"/>
  <c r="AC17" i="27"/>
  <c r="AD17" i="27"/>
  <c r="AE17" i="27"/>
  <c r="Y16" i="27"/>
  <c r="Z16" i="27"/>
  <c r="AA16" i="27"/>
  <c r="AC16" i="27"/>
  <c r="AD16" i="27"/>
  <c r="AE16" i="27"/>
  <c r="Y15" i="27"/>
  <c r="Z15" i="27"/>
  <c r="AA15" i="27"/>
  <c r="AC15" i="27"/>
  <c r="AD15" i="27"/>
  <c r="AE15" i="27"/>
  <c r="Y14" i="27"/>
  <c r="Z14" i="27"/>
  <c r="AA14" i="27"/>
  <c r="AC14" i="27"/>
  <c r="AD14" i="27"/>
  <c r="AE14" i="27"/>
  <c r="Y13" i="27"/>
  <c r="Z13" i="27"/>
  <c r="AA13" i="27"/>
  <c r="AC13" i="27"/>
  <c r="AD13" i="27"/>
  <c r="AE13" i="27"/>
  <c r="Y12" i="27"/>
  <c r="Z12" i="27"/>
  <c r="AA12" i="27"/>
  <c r="AC12" i="27"/>
  <c r="AD12" i="27"/>
  <c r="AE12" i="27"/>
  <c r="Y265" i="26"/>
  <c r="Z265" i="26"/>
  <c r="AA265" i="26"/>
  <c r="AB265" i="26"/>
  <c r="AD265" i="26"/>
  <c r="AE265" i="26"/>
  <c r="AF265" i="26"/>
  <c r="Y264" i="26"/>
  <c r="Z264" i="26"/>
  <c r="AA264" i="26"/>
  <c r="AB264" i="26"/>
  <c r="AD264" i="26"/>
  <c r="AE264" i="26"/>
  <c r="AF264" i="26"/>
  <c r="Y262" i="26"/>
  <c r="Z262" i="26"/>
  <c r="AA262" i="26"/>
  <c r="AB262" i="26"/>
  <c r="AD262" i="26"/>
  <c r="AE262" i="26"/>
  <c r="AF262" i="26"/>
  <c r="Y260" i="26"/>
  <c r="Z260" i="26"/>
  <c r="AA260" i="26"/>
  <c r="AB260" i="26"/>
  <c r="AD260" i="26"/>
  <c r="AE260" i="26"/>
  <c r="AF260" i="26"/>
  <c r="Y259" i="26"/>
  <c r="Z259" i="26"/>
  <c r="AA259" i="26"/>
  <c r="AB259" i="26"/>
  <c r="AD259" i="26"/>
  <c r="AE259" i="26"/>
  <c r="AF259" i="26"/>
  <c r="Y258" i="26"/>
  <c r="Z258" i="26"/>
  <c r="AA258" i="26"/>
  <c r="AB258" i="26"/>
  <c r="AD258" i="26"/>
  <c r="AE258" i="26"/>
  <c r="AF258" i="26"/>
  <c r="Y257" i="26"/>
  <c r="Z257" i="26"/>
  <c r="AA257" i="26"/>
  <c r="AB257" i="26"/>
  <c r="AD257" i="26"/>
  <c r="AE257" i="26"/>
  <c r="AF257" i="26"/>
  <c r="Y256" i="26"/>
  <c r="Z256" i="26"/>
  <c r="AA256" i="26"/>
  <c r="AB256" i="26"/>
  <c r="AD256" i="26"/>
  <c r="AE256" i="26"/>
  <c r="AF256" i="26"/>
  <c r="Y253" i="26"/>
  <c r="Z253" i="26"/>
  <c r="AA253" i="26"/>
  <c r="AB253" i="26"/>
  <c r="AD253" i="26"/>
  <c r="AE253" i="26"/>
  <c r="AF253" i="26"/>
  <c r="Y245" i="26"/>
  <c r="Z245" i="26"/>
  <c r="AA245" i="26"/>
  <c r="AB245" i="26"/>
  <c r="AD245" i="26"/>
  <c r="AE245" i="26"/>
  <c r="AF245" i="26"/>
  <c r="Y243" i="26"/>
  <c r="Z243" i="26"/>
  <c r="AA243" i="26"/>
  <c r="AB243" i="26"/>
  <c r="AD243" i="26"/>
  <c r="AE243" i="26"/>
  <c r="AF243" i="26"/>
  <c r="Y242" i="26"/>
  <c r="Z242" i="26"/>
  <c r="AA242" i="26"/>
  <c r="AB242" i="26"/>
  <c r="AD242" i="26"/>
  <c r="AE242" i="26"/>
  <c r="AF242" i="26"/>
  <c r="Y241" i="26"/>
  <c r="Z241" i="26"/>
  <c r="AA241" i="26"/>
  <c r="AB241" i="26"/>
  <c r="AD241" i="26"/>
  <c r="AE241" i="26"/>
  <c r="AF241" i="26"/>
  <c r="Y240" i="26"/>
  <c r="Z240" i="26"/>
  <c r="AA240" i="26"/>
  <c r="AB240" i="26"/>
  <c r="AD240" i="26"/>
  <c r="AE240" i="26"/>
  <c r="AF240" i="26"/>
  <c r="Y239" i="26"/>
  <c r="Z239" i="26"/>
  <c r="AA239" i="26"/>
  <c r="AB239" i="26"/>
  <c r="AD239" i="26"/>
  <c r="AE239" i="26"/>
  <c r="AF239" i="26"/>
  <c r="Y238" i="26"/>
  <c r="Z238" i="26"/>
  <c r="AA238" i="26"/>
  <c r="AB238" i="26"/>
  <c r="AD238" i="26"/>
  <c r="AE238" i="26"/>
  <c r="AF238" i="26"/>
  <c r="Y235" i="26"/>
  <c r="Z235" i="26"/>
  <c r="AA235" i="26"/>
  <c r="AB235" i="26"/>
  <c r="AD235" i="26"/>
  <c r="AE235" i="26"/>
  <c r="AF235" i="26"/>
  <c r="Y234" i="26"/>
  <c r="Z234" i="26"/>
  <c r="AA234" i="26"/>
  <c r="AB234" i="26"/>
  <c r="AD234" i="26"/>
  <c r="AE234" i="26"/>
  <c r="AF234" i="26"/>
  <c r="Y232" i="26"/>
  <c r="Z232" i="26"/>
  <c r="AA232" i="26"/>
  <c r="AB232" i="26"/>
  <c r="AD232" i="26"/>
  <c r="AE232" i="26"/>
  <c r="AF232" i="26"/>
  <c r="Y229" i="26"/>
  <c r="Z229" i="26"/>
  <c r="AA229" i="26"/>
  <c r="AB229" i="26"/>
  <c r="AD229" i="26"/>
  <c r="AE229" i="26"/>
  <c r="AF229" i="26"/>
  <c r="Y228" i="26"/>
  <c r="Z228" i="26"/>
  <c r="AA228" i="26"/>
  <c r="AB228" i="26"/>
  <c r="AD228" i="26"/>
  <c r="AE228" i="26"/>
  <c r="AF228" i="26"/>
  <c r="Y226" i="26"/>
  <c r="Z226" i="26"/>
  <c r="AA226" i="26"/>
  <c r="AB226" i="26"/>
  <c r="AD226" i="26"/>
  <c r="AE226" i="26"/>
  <c r="AF226" i="26"/>
  <c r="Y223" i="26"/>
  <c r="Z223" i="26"/>
  <c r="AA223" i="26"/>
  <c r="AB223" i="26"/>
  <c r="AD223" i="26"/>
  <c r="AE223" i="26"/>
  <c r="AF223" i="26"/>
  <c r="Y222" i="26"/>
  <c r="Z222" i="26"/>
  <c r="AA222" i="26"/>
  <c r="AB222" i="26"/>
  <c r="AD222" i="26"/>
  <c r="AE222" i="26"/>
  <c r="AF222" i="26"/>
  <c r="Y221" i="26"/>
  <c r="Z221" i="26"/>
  <c r="AA221" i="26"/>
  <c r="AB221" i="26"/>
  <c r="AD221" i="26"/>
  <c r="AE221" i="26"/>
  <c r="AF221" i="26"/>
  <c r="Y220" i="26"/>
  <c r="Z220" i="26"/>
  <c r="AA220" i="26"/>
  <c r="AB220" i="26"/>
  <c r="AD220" i="26"/>
  <c r="AE220" i="26"/>
  <c r="AF220" i="26"/>
  <c r="Y219" i="26"/>
  <c r="Z219" i="26"/>
  <c r="AA219" i="26"/>
  <c r="AB219" i="26"/>
  <c r="AD219" i="26"/>
  <c r="AE219" i="26"/>
  <c r="AF219" i="26"/>
  <c r="Y218" i="26"/>
  <c r="Z218" i="26"/>
  <c r="AA218" i="26"/>
  <c r="AB218" i="26"/>
  <c r="AD218" i="26"/>
  <c r="AE218" i="26"/>
  <c r="AF218" i="26"/>
  <c r="Y216" i="26"/>
  <c r="Z216" i="26"/>
  <c r="AA216" i="26"/>
  <c r="AB216" i="26"/>
  <c r="AD216" i="26"/>
  <c r="AE216" i="26"/>
  <c r="AF216" i="26"/>
  <c r="Y215" i="26"/>
  <c r="Z215" i="26"/>
  <c r="AA215" i="26"/>
  <c r="AB215" i="26"/>
  <c r="AD215" i="26"/>
  <c r="AE215" i="26"/>
  <c r="AF215" i="26"/>
  <c r="Y214" i="26"/>
  <c r="Z214" i="26"/>
  <c r="AA214" i="26"/>
  <c r="AB214" i="26"/>
  <c r="AD214" i="26"/>
  <c r="AE214" i="26"/>
  <c r="AF214" i="26"/>
  <c r="Y213" i="26"/>
  <c r="Z213" i="26"/>
  <c r="AA213" i="26"/>
  <c r="AB213" i="26"/>
  <c r="AD213" i="26"/>
  <c r="AE213" i="26"/>
  <c r="AF213" i="26"/>
  <c r="Y212" i="26"/>
  <c r="Z212" i="26"/>
  <c r="AA212" i="26"/>
  <c r="AB212" i="26"/>
  <c r="AD212" i="26"/>
  <c r="AE212" i="26"/>
  <c r="AF212" i="26"/>
  <c r="Y211" i="26"/>
  <c r="Z211" i="26"/>
  <c r="AA211" i="26"/>
  <c r="AB211" i="26"/>
  <c r="AD211" i="26"/>
  <c r="AE211" i="26"/>
  <c r="AF211" i="26"/>
  <c r="Y210" i="26"/>
  <c r="Z210" i="26"/>
  <c r="AA210" i="26"/>
  <c r="AB210" i="26"/>
  <c r="AD210" i="26"/>
  <c r="AE210" i="26"/>
  <c r="AF210" i="26"/>
  <c r="Y209" i="26"/>
  <c r="Z209" i="26"/>
  <c r="AA209" i="26"/>
  <c r="AB209" i="26"/>
  <c r="AD209" i="26"/>
  <c r="AE209" i="26"/>
  <c r="AF209" i="26"/>
  <c r="Y208" i="26"/>
  <c r="Z208" i="26"/>
  <c r="AA208" i="26"/>
  <c r="AB208" i="26"/>
  <c r="AD208" i="26"/>
  <c r="AE208" i="26"/>
  <c r="AF208" i="26"/>
  <c r="Y207" i="26"/>
  <c r="Z207" i="26"/>
  <c r="AA207" i="26"/>
  <c r="AB207" i="26"/>
  <c r="AD207" i="26"/>
  <c r="AE207" i="26"/>
  <c r="AF207" i="26"/>
  <c r="Y206" i="26"/>
  <c r="Z206" i="26"/>
  <c r="AA206" i="26"/>
  <c r="AB206" i="26"/>
  <c r="AD206" i="26"/>
  <c r="AE206" i="26"/>
  <c r="AF206" i="26"/>
  <c r="Y205" i="26"/>
  <c r="Z205" i="26"/>
  <c r="AA205" i="26"/>
  <c r="AB205" i="26"/>
  <c r="AD205" i="26"/>
  <c r="AE205" i="26"/>
  <c r="AF205" i="26"/>
  <c r="Y204" i="26"/>
  <c r="Z204" i="26"/>
  <c r="AA204" i="26"/>
  <c r="AB204" i="26"/>
  <c r="AD204" i="26"/>
  <c r="AE204" i="26"/>
  <c r="AF204" i="26"/>
  <c r="Y203" i="26"/>
  <c r="Z203" i="26"/>
  <c r="AA203" i="26"/>
  <c r="AB203" i="26"/>
  <c r="AD203" i="26"/>
  <c r="AE203" i="26"/>
  <c r="AF203" i="26"/>
  <c r="Y202" i="26"/>
  <c r="Z202" i="26"/>
  <c r="AA202" i="26"/>
  <c r="AB202" i="26"/>
  <c r="AD202" i="26"/>
  <c r="AE202" i="26"/>
  <c r="AF202" i="26"/>
  <c r="Y201" i="26"/>
  <c r="Z201" i="26"/>
  <c r="AA201" i="26"/>
  <c r="AB201" i="26"/>
  <c r="AD201" i="26"/>
  <c r="AE201" i="26"/>
  <c r="AF201" i="26"/>
  <c r="Y200" i="26"/>
  <c r="Z200" i="26"/>
  <c r="AA200" i="26"/>
  <c r="AB200" i="26"/>
  <c r="AD200" i="26"/>
  <c r="AE200" i="26"/>
  <c r="AF200" i="26"/>
  <c r="Y199" i="26"/>
  <c r="Z199" i="26"/>
  <c r="AA199" i="26"/>
  <c r="AB199" i="26"/>
  <c r="AD199" i="26"/>
  <c r="AE199" i="26"/>
  <c r="AF199" i="26"/>
  <c r="Y198" i="26"/>
  <c r="Z198" i="26"/>
  <c r="AA198" i="26"/>
  <c r="AB198" i="26"/>
  <c r="AD198" i="26"/>
  <c r="AE198" i="26"/>
  <c r="AF198" i="26"/>
  <c r="Y192" i="26"/>
  <c r="Z192" i="26"/>
  <c r="AA192" i="26"/>
  <c r="AB192" i="26"/>
  <c r="AD192" i="26"/>
  <c r="AE192" i="26"/>
  <c r="AF192" i="26"/>
  <c r="Y189" i="26"/>
  <c r="Z189" i="26"/>
  <c r="AA189" i="26"/>
  <c r="AB189" i="26"/>
  <c r="AD189" i="26"/>
  <c r="AE189" i="26"/>
  <c r="AF189" i="26"/>
  <c r="Y188" i="26"/>
  <c r="Z188" i="26"/>
  <c r="AA188" i="26"/>
  <c r="AB188" i="26"/>
  <c r="AD188" i="26"/>
  <c r="AE188" i="26"/>
  <c r="AF188" i="26"/>
  <c r="Y187" i="26"/>
  <c r="Z187" i="26"/>
  <c r="AA187" i="26"/>
  <c r="AB187" i="26"/>
  <c r="AD187" i="26"/>
  <c r="AE187" i="26"/>
  <c r="AF187" i="26"/>
  <c r="Y186" i="26"/>
  <c r="Z186" i="26"/>
  <c r="AA186" i="26"/>
  <c r="AB186" i="26"/>
  <c r="AD186" i="26"/>
  <c r="AE186" i="26"/>
  <c r="AF186" i="26"/>
  <c r="Y185" i="26"/>
  <c r="Z185" i="26"/>
  <c r="AA185" i="26"/>
  <c r="AB185" i="26"/>
  <c r="AD185" i="26"/>
  <c r="AE185" i="26"/>
  <c r="AF185" i="26"/>
  <c r="Y184" i="26"/>
  <c r="Z184" i="26"/>
  <c r="AA184" i="26"/>
  <c r="AB184" i="26"/>
  <c r="AD184" i="26"/>
  <c r="AE184" i="26"/>
  <c r="AF184" i="26"/>
  <c r="Y183" i="26"/>
  <c r="Z183" i="26"/>
  <c r="AA183" i="26"/>
  <c r="AB183" i="26"/>
  <c r="AD183" i="26"/>
  <c r="AE183" i="26"/>
  <c r="AF183" i="26"/>
  <c r="Y182" i="26"/>
  <c r="Z182" i="26"/>
  <c r="AA182" i="26"/>
  <c r="AB182" i="26"/>
  <c r="AD182" i="26"/>
  <c r="AE182" i="26"/>
  <c r="AF182" i="26"/>
  <c r="Y181" i="26"/>
  <c r="Z181" i="26"/>
  <c r="AA181" i="26"/>
  <c r="AB181" i="26"/>
  <c r="AD181" i="26"/>
  <c r="AE181" i="26"/>
  <c r="AF181" i="26"/>
  <c r="Y180" i="26"/>
  <c r="Z180" i="26"/>
  <c r="AA180" i="26"/>
  <c r="AB180" i="26"/>
  <c r="AD180" i="26"/>
  <c r="AE180" i="26"/>
  <c r="AF180" i="26"/>
  <c r="Y179" i="26"/>
  <c r="Z179" i="26"/>
  <c r="AA179" i="26"/>
  <c r="AB179" i="26"/>
  <c r="AD179" i="26"/>
  <c r="AE179" i="26"/>
  <c r="AF179" i="26"/>
  <c r="Y177" i="26"/>
  <c r="Z177" i="26"/>
  <c r="AA177" i="26"/>
  <c r="AB177" i="26"/>
  <c r="AD177" i="26"/>
  <c r="AE177" i="26"/>
  <c r="AF177" i="26"/>
  <c r="Y176" i="26"/>
  <c r="Z176" i="26"/>
  <c r="AA176" i="26"/>
  <c r="AB176" i="26"/>
  <c r="AD176" i="26"/>
  <c r="AE176" i="26"/>
  <c r="AF176" i="26"/>
  <c r="Y174" i="26"/>
  <c r="Z174" i="26"/>
  <c r="AA174" i="26"/>
  <c r="AB174" i="26"/>
  <c r="AD174" i="26"/>
  <c r="AE174" i="26"/>
  <c r="AF174" i="26"/>
  <c r="Y173" i="26"/>
  <c r="Z173" i="26"/>
  <c r="AA173" i="26"/>
  <c r="AB173" i="26"/>
  <c r="AD173" i="26"/>
  <c r="AE173" i="26"/>
  <c r="AF173" i="26"/>
  <c r="Y170" i="26"/>
  <c r="Z170" i="26"/>
  <c r="AA170" i="26"/>
  <c r="AB170" i="26"/>
  <c r="AD170" i="26"/>
  <c r="AE170" i="26"/>
  <c r="AF170" i="26"/>
  <c r="Y169" i="26"/>
  <c r="Z169" i="26"/>
  <c r="AA169" i="26"/>
  <c r="AB169" i="26"/>
  <c r="AD169" i="26"/>
  <c r="AE169" i="26"/>
  <c r="AF169" i="26"/>
  <c r="Y168" i="26"/>
  <c r="Z168" i="26"/>
  <c r="AA168" i="26"/>
  <c r="AB168" i="26"/>
  <c r="AD168" i="26"/>
  <c r="AE168" i="26"/>
  <c r="AF168" i="26"/>
  <c r="Y167" i="26"/>
  <c r="Z167" i="26"/>
  <c r="AA167" i="26"/>
  <c r="AB167" i="26"/>
  <c r="AD167" i="26"/>
  <c r="AE167" i="26"/>
  <c r="AF167" i="26"/>
  <c r="Y166" i="26"/>
  <c r="Z166" i="26"/>
  <c r="AA166" i="26"/>
  <c r="AB166" i="26"/>
  <c r="AD166" i="26"/>
  <c r="AE166" i="26"/>
  <c r="AF166" i="26"/>
  <c r="Y163" i="26"/>
  <c r="Z163" i="26"/>
  <c r="AA163" i="26"/>
  <c r="AB163" i="26"/>
  <c r="AE163" i="26"/>
  <c r="AF163" i="26"/>
  <c r="AD163" i="26"/>
  <c r="Z160" i="26"/>
  <c r="AB160" i="26"/>
  <c r="AD160" i="26"/>
  <c r="AE160" i="26"/>
  <c r="AF160" i="26"/>
  <c r="Y160" i="26"/>
  <c r="AA160" i="26"/>
  <c r="Z159" i="26"/>
  <c r="AB159" i="26"/>
  <c r="AE159" i="26"/>
  <c r="Y159" i="26"/>
  <c r="AA159" i="26"/>
  <c r="AD159" i="26"/>
  <c r="AF159" i="26"/>
  <c r="Y158" i="26"/>
  <c r="AA158" i="26"/>
  <c r="AB158" i="26"/>
  <c r="AD158" i="26"/>
  <c r="AE158" i="26"/>
  <c r="AF158" i="26"/>
  <c r="Z158" i="26"/>
  <c r="Y10" i="26"/>
  <c r="AA10" i="26"/>
  <c r="AB10" i="26"/>
  <c r="AD10" i="26"/>
  <c r="AE10" i="26"/>
  <c r="AF10" i="26"/>
  <c r="Z10" i="26"/>
  <c r="Y8" i="26"/>
  <c r="Z8" i="26"/>
  <c r="AB8" i="26"/>
  <c r="AD8" i="26"/>
  <c r="AE8" i="26"/>
  <c r="AF8" i="26"/>
  <c r="AA8" i="26"/>
  <c r="Z2" i="26"/>
  <c r="E3" i="18"/>
  <c r="Y2" i="26"/>
  <c r="AA2" i="26"/>
  <c r="AB2" i="26"/>
  <c r="AD2" i="26"/>
  <c r="AE2" i="26"/>
  <c r="AF2" i="26"/>
  <c r="Y84" i="26"/>
  <c r="AB84" i="26"/>
  <c r="Z84" i="26"/>
  <c r="AA84" i="26"/>
  <c r="AD84" i="26"/>
  <c r="AE84" i="26"/>
  <c r="AF84" i="26"/>
  <c r="AA83" i="26"/>
  <c r="AB83" i="26"/>
  <c r="AD83" i="26"/>
  <c r="AF83" i="26"/>
  <c r="Y83" i="26"/>
  <c r="Z83" i="26"/>
  <c r="AE83" i="26"/>
  <c r="Y82" i="26"/>
  <c r="AA82" i="26"/>
  <c r="Z82" i="26"/>
  <c r="AB82" i="26"/>
  <c r="AD82" i="26"/>
  <c r="AE82" i="26"/>
  <c r="AF82" i="26"/>
  <c r="Y81" i="26"/>
  <c r="AA81" i="26"/>
  <c r="AD81" i="26"/>
  <c r="AE81" i="26"/>
  <c r="AF81" i="26"/>
  <c r="Z81" i="26"/>
  <c r="AB81" i="26"/>
  <c r="Y80" i="26"/>
  <c r="AA80" i="26"/>
  <c r="Z80" i="26"/>
  <c r="AB80" i="26"/>
  <c r="AD80" i="26"/>
  <c r="AE80" i="26"/>
  <c r="AF80" i="26"/>
  <c r="Y79" i="26"/>
  <c r="AA79" i="26"/>
  <c r="AB79" i="26"/>
  <c r="AD79" i="26"/>
  <c r="AE79" i="26"/>
  <c r="AF79" i="26"/>
  <c r="Z79" i="26"/>
  <c r="Y78" i="26"/>
  <c r="AA78" i="26"/>
  <c r="AD78" i="26"/>
  <c r="Z78" i="26"/>
  <c r="AB78" i="26"/>
  <c r="AE78" i="26"/>
  <c r="AF78" i="26"/>
  <c r="Y77" i="26"/>
  <c r="AA77" i="26"/>
  <c r="Z77" i="26"/>
  <c r="AB77" i="26"/>
  <c r="AD77" i="26"/>
  <c r="AE77" i="26"/>
  <c r="AF77" i="26"/>
  <c r="Y76" i="26"/>
  <c r="AB76" i="26"/>
  <c r="AD76" i="26"/>
  <c r="Z76" i="26"/>
  <c r="AA76" i="26"/>
  <c r="AE76" i="26"/>
  <c r="AF76" i="26"/>
  <c r="Z75" i="26"/>
  <c r="Y75" i="26"/>
  <c r="AA75" i="26"/>
  <c r="AB75" i="26"/>
  <c r="AD75" i="26"/>
  <c r="AE75" i="26"/>
  <c r="AF75" i="26"/>
  <c r="Y74" i="26"/>
  <c r="AB74" i="26"/>
  <c r="AE74" i="26"/>
  <c r="Z74" i="26"/>
  <c r="AA74" i="26"/>
  <c r="AD74" i="26"/>
  <c r="AF74" i="26"/>
  <c r="Y73" i="26"/>
  <c r="AA73" i="26"/>
  <c r="AD73" i="26"/>
  <c r="AF73" i="26"/>
  <c r="Z73" i="26"/>
  <c r="AB73" i="26"/>
  <c r="AE73" i="26"/>
  <c r="AA72" i="26"/>
  <c r="Y72" i="26"/>
  <c r="Z72" i="26"/>
  <c r="AB72" i="26"/>
  <c r="AD72" i="26"/>
  <c r="AE72" i="26"/>
  <c r="AF72" i="26"/>
  <c r="AA71" i="26"/>
  <c r="Y71" i="26"/>
  <c r="Z71" i="26"/>
  <c r="AB71" i="26"/>
  <c r="AD71" i="26"/>
  <c r="AE71" i="26"/>
  <c r="AF71" i="26"/>
  <c r="Z70" i="26"/>
  <c r="Y70" i="26"/>
  <c r="AA70" i="26"/>
  <c r="AB70" i="26"/>
  <c r="AD70" i="26"/>
  <c r="AE70" i="26"/>
  <c r="AF70" i="26"/>
  <c r="Z69" i="26"/>
  <c r="AB69" i="26"/>
  <c r="AD69" i="26"/>
  <c r="Y69" i="26"/>
  <c r="AA69" i="26"/>
  <c r="AE69" i="26"/>
  <c r="AF69" i="26"/>
  <c r="Y68" i="26"/>
  <c r="AA68" i="26"/>
  <c r="Z68" i="26"/>
  <c r="AB68" i="26"/>
  <c r="AD68" i="26"/>
  <c r="AE68" i="26"/>
  <c r="AF68" i="26"/>
  <c r="Z67" i="26"/>
  <c r="Y67" i="26"/>
  <c r="AA67" i="26"/>
  <c r="AB67" i="26"/>
  <c r="AD67" i="26"/>
  <c r="AE67" i="26"/>
  <c r="AF67" i="26"/>
  <c r="Z66" i="26"/>
  <c r="AF66" i="26"/>
  <c r="Y66" i="26"/>
  <c r="AA66" i="26"/>
  <c r="AB66" i="26"/>
  <c r="AD66" i="26"/>
  <c r="AE66" i="26"/>
  <c r="Z65" i="26"/>
  <c r="AB65" i="26"/>
  <c r="AD65" i="26"/>
  <c r="Y65" i="26"/>
  <c r="AA65" i="26"/>
  <c r="AE65" i="26"/>
  <c r="AF65" i="26"/>
  <c r="Y64" i="26"/>
  <c r="AA64" i="26"/>
  <c r="AE64" i="26"/>
  <c r="Z64" i="26"/>
  <c r="AB64" i="26"/>
  <c r="AD64" i="26"/>
  <c r="AF64" i="26"/>
  <c r="Y63" i="26"/>
  <c r="AA63" i="26"/>
  <c r="Z63" i="26"/>
  <c r="AB63" i="26"/>
  <c r="AD63" i="26"/>
  <c r="AE63" i="26"/>
  <c r="AF63" i="26"/>
  <c r="Z62" i="26"/>
  <c r="AB62" i="26"/>
  <c r="AD62" i="26"/>
  <c r="AF62" i="26"/>
  <c r="Y62" i="26"/>
  <c r="AA62" i="26"/>
  <c r="AE62" i="26"/>
  <c r="Y61" i="26"/>
  <c r="AA61" i="26"/>
  <c r="Z61" i="26"/>
  <c r="AB61" i="26"/>
  <c r="AD61" i="26"/>
  <c r="AE61" i="26"/>
  <c r="AF61" i="26"/>
  <c r="Z60" i="26"/>
  <c r="AB60" i="26"/>
  <c r="AE60" i="26"/>
  <c r="Y60" i="26"/>
  <c r="AA60" i="26"/>
  <c r="AD60" i="26"/>
  <c r="AF60" i="26"/>
  <c r="Y59" i="26"/>
  <c r="AA59" i="26"/>
  <c r="Z59" i="26"/>
  <c r="AB59" i="26"/>
  <c r="AD59" i="26"/>
  <c r="AE59" i="26"/>
  <c r="AF59" i="26"/>
  <c r="Y58" i="26"/>
  <c r="Z58" i="26"/>
  <c r="AB58" i="26"/>
  <c r="AF58" i="26"/>
  <c r="AA58" i="26"/>
  <c r="AD58" i="26"/>
  <c r="AE58" i="26"/>
  <c r="Z57" i="26"/>
  <c r="AA57" i="26"/>
  <c r="AD57" i="26"/>
  <c r="Y57" i="26"/>
  <c r="AB57" i="26"/>
  <c r="AE57" i="26"/>
  <c r="AF57" i="26"/>
  <c r="Z56" i="26"/>
  <c r="AB56" i="26"/>
  <c r="AD56" i="26"/>
  <c r="AF56" i="26"/>
  <c r="Y56" i="26"/>
  <c r="AA56" i="26"/>
  <c r="AE56" i="26"/>
  <c r="Y55" i="26"/>
  <c r="Z55" i="26"/>
  <c r="AA55" i="26"/>
  <c r="AB55" i="26"/>
  <c r="AD55" i="26"/>
  <c r="AE55" i="26"/>
  <c r="AF55" i="26"/>
  <c r="Y54" i="26"/>
  <c r="Z54" i="26"/>
  <c r="AA54" i="26"/>
  <c r="AB54" i="26"/>
  <c r="AD54" i="26"/>
  <c r="AE54" i="26"/>
  <c r="AF54" i="26"/>
  <c r="AA53" i="26"/>
  <c r="Y53" i="26"/>
  <c r="Z53" i="26"/>
  <c r="AB53" i="26"/>
  <c r="AD53" i="26"/>
  <c r="AE53" i="26"/>
  <c r="AF53" i="26"/>
  <c r="Z52" i="26"/>
  <c r="AB52" i="26"/>
  <c r="AD52" i="26"/>
  <c r="AE52" i="26"/>
  <c r="AF52" i="26"/>
  <c r="Y52" i="26"/>
  <c r="AA52" i="26"/>
  <c r="Y51" i="26"/>
  <c r="AA51" i="26"/>
  <c r="AD51" i="26"/>
  <c r="Z51" i="26"/>
  <c r="AB51" i="26"/>
  <c r="AE51" i="26"/>
  <c r="AF51" i="26"/>
  <c r="Y50" i="26"/>
  <c r="AA50" i="26"/>
  <c r="Z50" i="26"/>
  <c r="AB50" i="26"/>
  <c r="AD50" i="26"/>
  <c r="AE50" i="26"/>
  <c r="AF50" i="26"/>
  <c r="Y49" i="26"/>
  <c r="Z49" i="26"/>
  <c r="AA49" i="26"/>
  <c r="AB49" i="26"/>
  <c r="AD49" i="26"/>
  <c r="AE49" i="26"/>
  <c r="AF49" i="26"/>
  <c r="Y48" i="26"/>
  <c r="AB48" i="26"/>
  <c r="Z48" i="26"/>
  <c r="AA48" i="26"/>
  <c r="AD48" i="26"/>
  <c r="AE48" i="26"/>
  <c r="AF48" i="26"/>
  <c r="Y47" i="26"/>
  <c r="AA47" i="26"/>
  <c r="AB47" i="26"/>
  <c r="AD47" i="26"/>
  <c r="AF47" i="26"/>
  <c r="Z47" i="26"/>
  <c r="AE47" i="26"/>
  <c r="Z46" i="26"/>
  <c r="Y46" i="26"/>
  <c r="AA46" i="26"/>
  <c r="AB46" i="26"/>
  <c r="AD46" i="26"/>
  <c r="AE46" i="26"/>
  <c r="AF46" i="26"/>
  <c r="Y45" i="26"/>
  <c r="AA45" i="26"/>
  <c r="AB45" i="26"/>
  <c r="AE45" i="26"/>
  <c r="Z45" i="26"/>
  <c r="AD45" i="26"/>
  <c r="AF45" i="26"/>
  <c r="Y44" i="26"/>
  <c r="AA44" i="26"/>
  <c r="AE44" i="26"/>
  <c r="Z44" i="26"/>
  <c r="AB44" i="26"/>
  <c r="AD44" i="26"/>
  <c r="AF44" i="26"/>
  <c r="AA43" i="26"/>
  <c r="Y43" i="26"/>
  <c r="Z43" i="26"/>
  <c r="AB43" i="26"/>
  <c r="AD43" i="26"/>
  <c r="AE43" i="26"/>
  <c r="AF43" i="26"/>
  <c r="Y42" i="26"/>
  <c r="AA42" i="26"/>
  <c r="AE42" i="26"/>
  <c r="Z42" i="26"/>
  <c r="AB42" i="26"/>
  <c r="AD42" i="26"/>
  <c r="AF42" i="26"/>
  <c r="Z41" i="26"/>
  <c r="AB41" i="26"/>
  <c r="AD41" i="26"/>
  <c r="Y41" i="26"/>
  <c r="AA41" i="26"/>
  <c r="AE41" i="26"/>
  <c r="AF41" i="26"/>
  <c r="Z40" i="26"/>
  <c r="AB40" i="26"/>
  <c r="Y40" i="26"/>
  <c r="AA40" i="26"/>
  <c r="AD40" i="26"/>
  <c r="AE40" i="26"/>
  <c r="AF40" i="26"/>
  <c r="Z39" i="26"/>
  <c r="AB39" i="26"/>
  <c r="Y39" i="26"/>
  <c r="AA39" i="26"/>
  <c r="AD39" i="26"/>
  <c r="AE39" i="26"/>
  <c r="AF39" i="26"/>
  <c r="Z38" i="26"/>
  <c r="AE38" i="26"/>
  <c r="Y38" i="26"/>
  <c r="AA38" i="26"/>
  <c r="AB38" i="26"/>
  <c r="AD38" i="26"/>
  <c r="AF38" i="26"/>
  <c r="Z37" i="26"/>
  <c r="AB37" i="26"/>
  <c r="AD37" i="26"/>
  <c r="AF37" i="26"/>
  <c r="Y37" i="26"/>
  <c r="AA37" i="26"/>
  <c r="AE37" i="26"/>
  <c r="Y36" i="26"/>
  <c r="AA36" i="26"/>
  <c r="AD36" i="26"/>
  <c r="Z36" i="26"/>
  <c r="AB36" i="26"/>
  <c r="AE36" i="26"/>
  <c r="AF36" i="26"/>
  <c r="Z35" i="26"/>
  <c r="AB35" i="26"/>
  <c r="AD35" i="26"/>
  <c r="Y35" i="26"/>
  <c r="AA35" i="26"/>
  <c r="AE35" i="26"/>
  <c r="AF35" i="26"/>
  <c r="Y34" i="26"/>
  <c r="AB34" i="26"/>
  <c r="Z34" i="26"/>
  <c r="AA34" i="26"/>
  <c r="AD34" i="26"/>
  <c r="AE34" i="26"/>
  <c r="AF34" i="26"/>
  <c r="Z33" i="26"/>
  <c r="AA33" i="26"/>
  <c r="Y33" i="26"/>
  <c r="AB33" i="26"/>
  <c r="AD33" i="26"/>
  <c r="AE33" i="26"/>
  <c r="AF33" i="26"/>
  <c r="Z32" i="26"/>
  <c r="Y32" i="26"/>
  <c r="AA32" i="26"/>
  <c r="AB32" i="26"/>
  <c r="AD32" i="26"/>
  <c r="AE32" i="26"/>
  <c r="AF32" i="26"/>
  <c r="Y31" i="26"/>
  <c r="AA31" i="26"/>
  <c r="Z31" i="26"/>
  <c r="AB31" i="26"/>
  <c r="AD31" i="26"/>
  <c r="AE31" i="26"/>
  <c r="AF31" i="26"/>
  <c r="Y30" i="26"/>
  <c r="Z30" i="26"/>
  <c r="AA30" i="26"/>
  <c r="AB30" i="26"/>
  <c r="AD30" i="26"/>
  <c r="AE30" i="26"/>
  <c r="AF30" i="26"/>
  <c r="Y29" i="26"/>
  <c r="AA29" i="26"/>
  <c r="AE29" i="26"/>
  <c r="Z29" i="26"/>
  <c r="AB29" i="26"/>
  <c r="AD29" i="26"/>
  <c r="AF29" i="26"/>
  <c r="Z28" i="26"/>
  <c r="AE28" i="26"/>
  <c r="Y28" i="26"/>
  <c r="AA28" i="26"/>
  <c r="AB28" i="26"/>
  <c r="AD28" i="26"/>
  <c r="AF28" i="26"/>
  <c r="Z27" i="26"/>
  <c r="Y27" i="26"/>
  <c r="AA27" i="26"/>
  <c r="AB27" i="26"/>
  <c r="AD27" i="26"/>
  <c r="AE27" i="26"/>
  <c r="AF27" i="26"/>
  <c r="AA26" i="26"/>
  <c r="Y26" i="26"/>
  <c r="Z26" i="26"/>
  <c r="AB26" i="26"/>
  <c r="AD26" i="26"/>
  <c r="AE26" i="26"/>
  <c r="AF26" i="26"/>
  <c r="Y25" i="26"/>
  <c r="AA25" i="26"/>
  <c r="AE25" i="26"/>
  <c r="AF25" i="26"/>
  <c r="Z25" i="26"/>
  <c r="AB25" i="26"/>
  <c r="AD25" i="26"/>
  <c r="Z24" i="26"/>
  <c r="AA24" i="26"/>
  <c r="AE24" i="26"/>
  <c r="AF24" i="26"/>
  <c r="Y24" i="26"/>
  <c r="AB24" i="26"/>
  <c r="AD24" i="26"/>
  <c r="AA23" i="26"/>
  <c r="Y23" i="26"/>
  <c r="Z23" i="26"/>
  <c r="AB23" i="26"/>
  <c r="AD23" i="26"/>
  <c r="AE23" i="26"/>
  <c r="AF23" i="26"/>
  <c r="Z22" i="26"/>
  <c r="AE22" i="26"/>
  <c r="Y22" i="26"/>
  <c r="AA22" i="26"/>
  <c r="AB22" i="26"/>
  <c r="AD22" i="26"/>
  <c r="AF22" i="26"/>
  <c r="Y21" i="26"/>
  <c r="AB21" i="26"/>
  <c r="AE21" i="26"/>
  <c r="Z21" i="26"/>
  <c r="AA21" i="26"/>
  <c r="AD21" i="26"/>
  <c r="AF21" i="26"/>
  <c r="Z20" i="26"/>
  <c r="Y20" i="26"/>
  <c r="AA20" i="26"/>
  <c r="AB20" i="26"/>
  <c r="AD20" i="26"/>
  <c r="AE20" i="26"/>
  <c r="AF20" i="26"/>
  <c r="Y19" i="26"/>
  <c r="AA19" i="26"/>
  <c r="AD19" i="26"/>
  <c r="Z19" i="26"/>
  <c r="AB19" i="26"/>
  <c r="AE19" i="26"/>
  <c r="AF19" i="26"/>
  <c r="Y18" i="26"/>
  <c r="AA18" i="26"/>
  <c r="AB18" i="26"/>
  <c r="AE18" i="26"/>
  <c r="AF18" i="26"/>
  <c r="Z18" i="26"/>
  <c r="AD18" i="26"/>
  <c r="Y17" i="26"/>
  <c r="AA17" i="26"/>
  <c r="AE17" i="26"/>
  <c r="Z17" i="26"/>
  <c r="AB17" i="26"/>
  <c r="AD17" i="26"/>
  <c r="AF17" i="26"/>
  <c r="Y16" i="26"/>
  <c r="AA16" i="26"/>
  <c r="AE16" i="26"/>
  <c r="Z16" i="26"/>
  <c r="AB16" i="26"/>
  <c r="AD16" i="26"/>
  <c r="AF16" i="26"/>
  <c r="Y15" i="26"/>
  <c r="AA15" i="26"/>
  <c r="AD15" i="26"/>
  <c r="Z15" i="26"/>
  <c r="AB15" i="26"/>
  <c r="AE15" i="26"/>
  <c r="AF15" i="26"/>
  <c r="Y14" i="26"/>
  <c r="AB14" i="26"/>
  <c r="AF14" i="26"/>
  <c r="Z14" i="26"/>
  <c r="AA14" i="26"/>
  <c r="AD14" i="26"/>
  <c r="AE14" i="26"/>
  <c r="Y13" i="26"/>
  <c r="AA13" i="26"/>
  <c r="AE13" i="26"/>
  <c r="Z13" i="26"/>
  <c r="AB13" i="26"/>
  <c r="AD13" i="26"/>
  <c r="AF13" i="26"/>
  <c r="Y12" i="26"/>
  <c r="AA12" i="26"/>
  <c r="AD12" i="26"/>
  <c r="Z12" i="26"/>
  <c r="AB12" i="26"/>
  <c r="AE12" i="26"/>
  <c r="AF12" i="26"/>
  <c r="Z11" i="26"/>
  <c r="AB11" i="26"/>
  <c r="Y11" i="26"/>
  <c r="AA11" i="26"/>
  <c r="AD11" i="26"/>
  <c r="AE11" i="26"/>
  <c r="AF11" i="26"/>
  <c r="Z9" i="26"/>
  <c r="AB9" i="26"/>
  <c r="AD9" i="26"/>
  <c r="AE9" i="26"/>
  <c r="AF9" i="26"/>
  <c r="Y9" i="26"/>
  <c r="AA9" i="26"/>
  <c r="Z7" i="26"/>
  <c r="Y7" i="26"/>
  <c r="AA7" i="26"/>
  <c r="AB7" i="26"/>
  <c r="AD7" i="26"/>
  <c r="AE7" i="26"/>
  <c r="AF7" i="26"/>
  <c r="Y6" i="26"/>
  <c r="AA6" i="26"/>
  <c r="Z6" i="26"/>
  <c r="AB6" i="26"/>
  <c r="AD6" i="26"/>
  <c r="AE6" i="26"/>
  <c r="AF6" i="26"/>
  <c r="Z5" i="26"/>
  <c r="AB5" i="26"/>
  <c r="AE5" i="26"/>
  <c r="Y5" i="26"/>
  <c r="AA5" i="26"/>
  <c r="AD5" i="26"/>
  <c r="AF5" i="26"/>
  <c r="Z4" i="26"/>
  <c r="AB4" i="26"/>
  <c r="Y4" i="26"/>
  <c r="AA4" i="26"/>
  <c r="AD4" i="26"/>
  <c r="AE4" i="26"/>
  <c r="AF4" i="26"/>
  <c r="Y3" i="26"/>
  <c r="Z3" i="26"/>
  <c r="AA3" i="26"/>
  <c r="AB3" i="26"/>
  <c r="AD3" i="26"/>
  <c r="AE3" i="26"/>
  <c r="AF3" i="26"/>
  <c r="Z85" i="26"/>
  <c r="AB85" i="26"/>
  <c r="AE85" i="26"/>
  <c r="Y85" i="26"/>
  <c r="AA85" i="26"/>
  <c r="AD85" i="26"/>
  <c r="AF85" i="26"/>
  <c r="Y227" i="26"/>
  <c r="Z227" i="26"/>
  <c r="AA227" i="26"/>
  <c r="AB227" i="26"/>
  <c r="AD227" i="26"/>
  <c r="AE227" i="26"/>
  <c r="AF227" i="26"/>
  <c r="Y322" i="26"/>
  <c r="Z322" i="26"/>
  <c r="AA322" i="26"/>
  <c r="AB322" i="26"/>
  <c r="AD322" i="26"/>
  <c r="AE322" i="26"/>
  <c r="AF322" i="26"/>
  <c r="Y319" i="26"/>
  <c r="Z319" i="26"/>
  <c r="AA319" i="26"/>
  <c r="AB319" i="26"/>
  <c r="AD319" i="26"/>
  <c r="AE319" i="26"/>
  <c r="AF319" i="26"/>
  <c r="Y316" i="26"/>
  <c r="Z316" i="26"/>
  <c r="AA316" i="26"/>
  <c r="AB316" i="26"/>
  <c r="AD316" i="26"/>
  <c r="AE316" i="26"/>
  <c r="AF316" i="26"/>
  <c r="Y312" i="26"/>
  <c r="Z312" i="26"/>
  <c r="AA312" i="26"/>
  <c r="AB312" i="26"/>
  <c r="AD312" i="26"/>
  <c r="AE312" i="26"/>
  <c r="AF312" i="26"/>
  <c r="Y311" i="26"/>
  <c r="Z311" i="26"/>
  <c r="AA311" i="26"/>
  <c r="AB311" i="26"/>
  <c r="AD311" i="26"/>
  <c r="AE311" i="26"/>
  <c r="AF311" i="26"/>
  <c r="Y310" i="26"/>
  <c r="Z310" i="26"/>
  <c r="AA310" i="26"/>
  <c r="AB310" i="26"/>
  <c r="AD310" i="26"/>
  <c r="AE310" i="26"/>
  <c r="AF310" i="26"/>
  <c r="Y309" i="26"/>
  <c r="Z309" i="26"/>
  <c r="AA309" i="26"/>
  <c r="AB309" i="26"/>
  <c r="AD309" i="26"/>
  <c r="AE309" i="26"/>
  <c r="AF309" i="26"/>
  <c r="Y308" i="26"/>
  <c r="Z308" i="26"/>
  <c r="AA308" i="26"/>
  <c r="AB308" i="26"/>
  <c r="AD308" i="26"/>
  <c r="AE308" i="26"/>
  <c r="AF308" i="26"/>
  <c r="Y307" i="26"/>
  <c r="Z307" i="26"/>
  <c r="AA307" i="26"/>
  <c r="AB307" i="26"/>
  <c r="AD307" i="26"/>
  <c r="AE307" i="26"/>
  <c r="AF307" i="26"/>
  <c r="Y305" i="26"/>
  <c r="Z305" i="26"/>
  <c r="AA305" i="26"/>
  <c r="AB305" i="26"/>
  <c r="AD305" i="26"/>
  <c r="AE305" i="26"/>
  <c r="AF305" i="26"/>
  <c r="Y304" i="26"/>
  <c r="Z304" i="26"/>
  <c r="AA304" i="26"/>
  <c r="AB304" i="26"/>
  <c r="AD304" i="26"/>
  <c r="AE304" i="26"/>
  <c r="AF304" i="26"/>
  <c r="Y302" i="26"/>
  <c r="Z302" i="26"/>
  <c r="AA302" i="26"/>
  <c r="AB302" i="26"/>
  <c r="AD302" i="26"/>
  <c r="AE302" i="26"/>
  <c r="AF302" i="26"/>
  <c r="Y301" i="26"/>
  <c r="Z301" i="26"/>
  <c r="AA301" i="26"/>
  <c r="AB301" i="26"/>
  <c r="AD301" i="26"/>
  <c r="AE301" i="26"/>
  <c r="AF301" i="26"/>
  <c r="Y300" i="26"/>
  <c r="Z300" i="26"/>
  <c r="AA300" i="26"/>
  <c r="AB300" i="26"/>
  <c r="AD300" i="26"/>
  <c r="AE300" i="26"/>
  <c r="AF300" i="26"/>
  <c r="Y299" i="26"/>
  <c r="Z299" i="26"/>
  <c r="AA299" i="26"/>
  <c r="AB299" i="26"/>
  <c r="AD299" i="26"/>
  <c r="AE299" i="26"/>
  <c r="AF299" i="26"/>
  <c r="Y298" i="26"/>
  <c r="Z298" i="26"/>
  <c r="AA298" i="26"/>
  <c r="AB298" i="26"/>
  <c r="AD298" i="26"/>
  <c r="AE298" i="26"/>
  <c r="AF298" i="26"/>
  <c r="Y297" i="26"/>
  <c r="Z297" i="26"/>
  <c r="AA297" i="26"/>
  <c r="AB297" i="26"/>
  <c r="AD297" i="26"/>
  <c r="AE297" i="26"/>
  <c r="AF297" i="26"/>
  <c r="Y296" i="26"/>
  <c r="Z296" i="26"/>
  <c r="AA296" i="26"/>
  <c r="AB296" i="26"/>
  <c r="AD296" i="26"/>
  <c r="AE296" i="26"/>
  <c r="AF296" i="26"/>
  <c r="Y295" i="26"/>
  <c r="Z295" i="26"/>
  <c r="AA295" i="26"/>
  <c r="AB295" i="26"/>
  <c r="AD295" i="26"/>
  <c r="AE295" i="26"/>
  <c r="AF295" i="26"/>
  <c r="Y294" i="26"/>
  <c r="Z294" i="26"/>
  <c r="AA294" i="26"/>
  <c r="AB294" i="26"/>
  <c r="AD294" i="26"/>
  <c r="AE294" i="26"/>
  <c r="AF294" i="26"/>
  <c r="Y291" i="26"/>
  <c r="Z291" i="26"/>
  <c r="AA291" i="26"/>
  <c r="AB291" i="26"/>
  <c r="AD291" i="26"/>
  <c r="AE291" i="26"/>
  <c r="AF291" i="26"/>
  <c r="Y290" i="26"/>
  <c r="Z290" i="26"/>
  <c r="AA290" i="26"/>
  <c r="AB290" i="26"/>
  <c r="AD290" i="26"/>
  <c r="AE290" i="26"/>
  <c r="AF290" i="26"/>
  <c r="Y289" i="26"/>
  <c r="Z289" i="26"/>
  <c r="AA289" i="26"/>
  <c r="AB289" i="26"/>
  <c r="AD289" i="26"/>
  <c r="AE289" i="26"/>
  <c r="AF289" i="26"/>
  <c r="Y285" i="26"/>
  <c r="Z285" i="26"/>
  <c r="AA285" i="26"/>
  <c r="AB285" i="26"/>
  <c r="AD285" i="26"/>
  <c r="AE285" i="26"/>
  <c r="AF285" i="26"/>
  <c r="Y284" i="26"/>
  <c r="Z284" i="26"/>
  <c r="AA284" i="26"/>
  <c r="AB284" i="26"/>
  <c r="AD284" i="26"/>
  <c r="AE284" i="26"/>
  <c r="AF284" i="26"/>
  <c r="Y281" i="26"/>
  <c r="Z281" i="26"/>
  <c r="AA281" i="26"/>
  <c r="AB281" i="26"/>
  <c r="AD281" i="26"/>
  <c r="AE281" i="26"/>
  <c r="AF281" i="26"/>
  <c r="Y280" i="26"/>
  <c r="Z280" i="26"/>
  <c r="AA280" i="26"/>
  <c r="AB280" i="26"/>
  <c r="AD280" i="26"/>
  <c r="AE280" i="26"/>
  <c r="AF280" i="26"/>
  <c r="Y276" i="26"/>
  <c r="Z276" i="26"/>
  <c r="AA276" i="26"/>
  <c r="AB276" i="26"/>
  <c r="AD276" i="26"/>
  <c r="AE276" i="26"/>
  <c r="AF276" i="26"/>
  <c r="Y273" i="26"/>
  <c r="Z273" i="26"/>
  <c r="AA273" i="26"/>
  <c r="AB273" i="26"/>
  <c r="AD273" i="26"/>
  <c r="AE273" i="26"/>
  <c r="AF273" i="26"/>
  <c r="Y271" i="26"/>
  <c r="Z271" i="26"/>
  <c r="AA271" i="26"/>
  <c r="AB271" i="26"/>
  <c r="AD271" i="26"/>
  <c r="AE271" i="26"/>
  <c r="AF271" i="26"/>
  <c r="Y269" i="26"/>
  <c r="Z269" i="26"/>
  <c r="AA269" i="26"/>
  <c r="AB269" i="26"/>
  <c r="AD269" i="26"/>
  <c r="AE269" i="26"/>
  <c r="AF269" i="26"/>
  <c r="Y268" i="26"/>
  <c r="Z268" i="26"/>
  <c r="AA268" i="26"/>
  <c r="AB268" i="26"/>
  <c r="AD268" i="26"/>
  <c r="AE268" i="26"/>
  <c r="AF268" i="26"/>
  <c r="Y266" i="26"/>
  <c r="Z266" i="26"/>
  <c r="AA266" i="26"/>
  <c r="AB266" i="26"/>
  <c r="AD266" i="26"/>
  <c r="AE266" i="26"/>
  <c r="AF266" i="26"/>
  <c r="Y321" i="26"/>
  <c r="Z321" i="26"/>
  <c r="AA321" i="26"/>
  <c r="AB321" i="26"/>
  <c r="AD321" i="26"/>
  <c r="AE321" i="26"/>
  <c r="AF321" i="26"/>
  <c r="Y320" i="26"/>
  <c r="Z320" i="26"/>
  <c r="AA320" i="26"/>
  <c r="AB320" i="26"/>
  <c r="AD320" i="26"/>
  <c r="AE320" i="26"/>
  <c r="AF320" i="26"/>
  <c r="Y318" i="26"/>
  <c r="Z318" i="26"/>
  <c r="AA318" i="26"/>
  <c r="AB318" i="26"/>
  <c r="AD318" i="26"/>
  <c r="AE318" i="26"/>
  <c r="AF318" i="26"/>
  <c r="Y317" i="26"/>
  <c r="Z317" i="26"/>
  <c r="AA317" i="26"/>
  <c r="AB317" i="26"/>
  <c r="AD317" i="26"/>
  <c r="AE317" i="26"/>
  <c r="AF317" i="26"/>
  <c r="Y315" i="26"/>
  <c r="Z315" i="26"/>
  <c r="AA315" i="26"/>
  <c r="AB315" i="26"/>
  <c r="AD315" i="26"/>
  <c r="AE315" i="26"/>
  <c r="AF315" i="26"/>
  <c r="Y314" i="26"/>
  <c r="Z314" i="26"/>
  <c r="AA314" i="26"/>
  <c r="AB314" i="26"/>
  <c r="AD314" i="26"/>
  <c r="AE314" i="26"/>
  <c r="AF314" i="26"/>
  <c r="Y313" i="26"/>
  <c r="Z313" i="26"/>
  <c r="AA313" i="26"/>
  <c r="AB313" i="26"/>
  <c r="AD313" i="26"/>
  <c r="AE313" i="26"/>
  <c r="AF313" i="26"/>
  <c r="Y306" i="26"/>
  <c r="Z306" i="26"/>
  <c r="AA306" i="26"/>
  <c r="AB306" i="26"/>
  <c r="AD306" i="26"/>
  <c r="AE306" i="26"/>
  <c r="AF306" i="26"/>
  <c r="Y303" i="26"/>
  <c r="Z303" i="26"/>
  <c r="AA303" i="26"/>
  <c r="AB303" i="26"/>
  <c r="AD303" i="26"/>
  <c r="AE303" i="26"/>
  <c r="AF303" i="26"/>
  <c r="Y293" i="26"/>
  <c r="Z293" i="26"/>
  <c r="AA293" i="26"/>
  <c r="AB293" i="26"/>
  <c r="AD293" i="26"/>
  <c r="AE293" i="26"/>
  <c r="AF293" i="26"/>
  <c r="Y292" i="26"/>
  <c r="Z292" i="26"/>
  <c r="AA292" i="26"/>
  <c r="AB292" i="26"/>
  <c r="AD292" i="26"/>
  <c r="AE292" i="26"/>
  <c r="AF292" i="26"/>
  <c r="Y288" i="26"/>
  <c r="Z288" i="26"/>
  <c r="AA288" i="26"/>
  <c r="AB288" i="26"/>
  <c r="AD288" i="26"/>
  <c r="AE288" i="26"/>
  <c r="AF288" i="26"/>
  <c r="Y287" i="26"/>
  <c r="Z287" i="26"/>
  <c r="AA287" i="26"/>
  <c r="AB287" i="26"/>
  <c r="AD287" i="26"/>
  <c r="AE287" i="26"/>
  <c r="AF287" i="26"/>
  <c r="Y286" i="26"/>
  <c r="Z286" i="26"/>
  <c r="AA286" i="26"/>
  <c r="AB286" i="26"/>
  <c r="AD286" i="26"/>
  <c r="AE286" i="26"/>
  <c r="AF286" i="26"/>
  <c r="Y283" i="26"/>
  <c r="Z283" i="26"/>
  <c r="AA283" i="26"/>
  <c r="AB283" i="26"/>
  <c r="AD283" i="26"/>
  <c r="AE283" i="26"/>
  <c r="AF283" i="26"/>
  <c r="Y282" i="26"/>
  <c r="Z282" i="26"/>
  <c r="AA282" i="26"/>
  <c r="AB282" i="26"/>
  <c r="AD282" i="26"/>
  <c r="AE282" i="26"/>
  <c r="AF282" i="26"/>
  <c r="Y279" i="26"/>
  <c r="Z279" i="26"/>
  <c r="AA279" i="26"/>
  <c r="AB279" i="26"/>
  <c r="AD279" i="26"/>
  <c r="AE279" i="26"/>
  <c r="AF279" i="26"/>
  <c r="Y278" i="26"/>
  <c r="Z278" i="26"/>
  <c r="AA278" i="26"/>
  <c r="AB278" i="26"/>
  <c r="AD278" i="26"/>
  <c r="AE278" i="26"/>
  <c r="AF278" i="26"/>
  <c r="Y277" i="26"/>
  <c r="Z277" i="26"/>
  <c r="AA277" i="26"/>
  <c r="AB277" i="26"/>
  <c r="AD277" i="26"/>
  <c r="AE277" i="26"/>
  <c r="AF277" i="26"/>
  <c r="Y275" i="26"/>
  <c r="Z275" i="26"/>
  <c r="AA275" i="26"/>
  <c r="AB275" i="26"/>
  <c r="AD275" i="26"/>
  <c r="AE275" i="26"/>
  <c r="AF275" i="26"/>
  <c r="Y274" i="26"/>
  <c r="Z274" i="26"/>
  <c r="AA274" i="26"/>
  <c r="AB274" i="26"/>
  <c r="AD274" i="26"/>
  <c r="AE274" i="26"/>
  <c r="AF274" i="26"/>
  <c r="Y272" i="26"/>
  <c r="Z272" i="26"/>
  <c r="AA272" i="26"/>
  <c r="AB272" i="26"/>
  <c r="AD272" i="26"/>
  <c r="AE272" i="26"/>
  <c r="AF272" i="26"/>
  <c r="Y270" i="26"/>
  <c r="Z270" i="26"/>
  <c r="AA270" i="26"/>
  <c r="AB270" i="26"/>
  <c r="AD270" i="26"/>
  <c r="AE270" i="26"/>
  <c r="AF270" i="26"/>
  <c r="Y267" i="26"/>
  <c r="Z267" i="26"/>
  <c r="AA267" i="26"/>
  <c r="AB267" i="26"/>
  <c r="AD267" i="26"/>
  <c r="AE267" i="26"/>
  <c r="AF267" i="26"/>
  <c r="Y263" i="26"/>
  <c r="Z263" i="26"/>
  <c r="AA263" i="26"/>
  <c r="AB263" i="26"/>
  <c r="AD263" i="26"/>
  <c r="AE263" i="26"/>
  <c r="AF263" i="26"/>
  <c r="Y261" i="26"/>
  <c r="Z261" i="26"/>
  <c r="AA261" i="26"/>
  <c r="AB261" i="26"/>
  <c r="AD261" i="26"/>
  <c r="AE261" i="26"/>
  <c r="AF261" i="26"/>
  <c r="Y255" i="26"/>
  <c r="Z255" i="26"/>
  <c r="AA255" i="26"/>
  <c r="AB255" i="26"/>
  <c r="AD255" i="26"/>
  <c r="AE255" i="26"/>
  <c r="AF255" i="26"/>
  <c r="Y254" i="26"/>
  <c r="Z254" i="26"/>
  <c r="AA254" i="26"/>
  <c r="AB254" i="26"/>
  <c r="AD254" i="26"/>
  <c r="AE254" i="26"/>
  <c r="AF254" i="26"/>
  <c r="Y252" i="26"/>
  <c r="Z252" i="26"/>
  <c r="AA252" i="26"/>
  <c r="AB252" i="26"/>
  <c r="AD252" i="26"/>
  <c r="AE252" i="26"/>
  <c r="AF252" i="26"/>
  <c r="Y251" i="26"/>
  <c r="Z251" i="26"/>
  <c r="AA251" i="26"/>
  <c r="AB251" i="26"/>
  <c r="AD251" i="26"/>
  <c r="AE251" i="26"/>
  <c r="AF251" i="26"/>
  <c r="Y250" i="26"/>
  <c r="Z250" i="26"/>
  <c r="AA250" i="26"/>
  <c r="AB250" i="26"/>
  <c r="AD250" i="26"/>
  <c r="AE250" i="26"/>
  <c r="AF250" i="26"/>
  <c r="Y249" i="26"/>
  <c r="Z249" i="26"/>
  <c r="AA249" i="26"/>
  <c r="AB249" i="26"/>
  <c r="AD249" i="26"/>
  <c r="AE249" i="26"/>
  <c r="AF249" i="26"/>
  <c r="Y248" i="26"/>
  <c r="Z248" i="26"/>
  <c r="AA248" i="26"/>
  <c r="AB248" i="26"/>
  <c r="AD248" i="26"/>
  <c r="AE248" i="26"/>
  <c r="AF248" i="26"/>
  <c r="Y247" i="26"/>
  <c r="Z247" i="26"/>
  <c r="AA247" i="26"/>
  <c r="AB247" i="26"/>
  <c r="AD247" i="26"/>
  <c r="AE247" i="26"/>
  <c r="AF247" i="26"/>
  <c r="Y246" i="26"/>
  <c r="Z246" i="26"/>
  <c r="AA246" i="26"/>
  <c r="AB246" i="26"/>
  <c r="AD246" i="26"/>
  <c r="AE246" i="26"/>
  <c r="AF246" i="26"/>
  <c r="Y244" i="26"/>
  <c r="Z244" i="26"/>
  <c r="AA244" i="26"/>
  <c r="AB244" i="26"/>
  <c r="AD244" i="26"/>
  <c r="AE244" i="26"/>
  <c r="AF244" i="26"/>
  <c r="Y237" i="26"/>
  <c r="Z237" i="26"/>
  <c r="AA237" i="26"/>
  <c r="AB237" i="26"/>
  <c r="AD237" i="26"/>
  <c r="AE237" i="26"/>
  <c r="AF237" i="26"/>
  <c r="Y236" i="26"/>
  <c r="Z236" i="26"/>
  <c r="AA236" i="26"/>
  <c r="AB236" i="26"/>
  <c r="AD236" i="26"/>
  <c r="AE236" i="26"/>
  <c r="AF236" i="26"/>
  <c r="Y233" i="26"/>
  <c r="Z233" i="26"/>
  <c r="AA233" i="26"/>
  <c r="AB233" i="26"/>
  <c r="AD233" i="26"/>
  <c r="AE233" i="26"/>
  <c r="AF233" i="26"/>
  <c r="Y231" i="26"/>
  <c r="Z231" i="26"/>
  <c r="AA231" i="26"/>
  <c r="AB231" i="26"/>
  <c r="AD231" i="26"/>
  <c r="AE231" i="26"/>
  <c r="AF231" i="26"/>
  <c r="Y230" i="26"/>
  <c r="Z230" i="26"/>
  <c r="AA230" i="26"/>
  <c r="AB230" i="26"/>
  <c r="AD230" i="26"/>
  <c r="AE230" i="26"/>
  <c r="AF230" i="26"/>
  <c r="Y225" i="26"/>
  <c r="Z225" i="26"/>
  <c r="AA225" i="26"/>
  <c r="AB225" i="26"/>
  <c r="AD225" i="26"/>
  <c r="AE225" i="26"/>
  <c r="AF225" i="26"/>
  <c r="Y224" i="26"/>
  <c r="Z224" i="26"/>
  <c r="AA224" i="26"/>
  <c r="AB224" i="26"/>
  <c r="AD224" i="26"/>
  <c r="AE224" i="26"/>
  <c r="AF224" i="26"/>
  <c r="Y217" i="26"/>
  <c r="Z217" i="26"/>
  <c r="AA217" i="26"/>
  <c r="AB217" i="26"/>
  <c r="AD217" i="26"/>
  <c r="AE217" i="26"/>
  <c r="AF217" i="26"/>
  <c r="Y197" i="26"/>
  <c r="Z197" i="26"/>
  <c r="AA197" i="26"/>
  <c r="AB197" i="26"/>
  <c r="AD197" i="26"/>
  <c r="AE197" i="26"/>
  <c r="AF197" i="26"/>
  <c r="Y196" i="26"/>
  <c r="Z196" i="26"/>
  <c r="AA196" i="26"/>
  <c r="AB196" i="26"/>
  <c r="AD196" i="26"/>
  <c r="AE196" i="26"/>
  <c r="AF196" i="26"/>
  <c r="Y195" i="26"/>
  <c r="Z195" i="26"/>
  <c r="AA195" i="26"/>
  <c r="AB195" i="26"/>
  <c r="AD195" i="26"/>
  <c r="AE195" i="26"/>
  <c r="AF195" i="26"/>
  <c r="Y194" i="26"/>
  <c r="Z194" i="26"/>
  <c r="AA194" i="26"/>
  <c r="AB194" i="26"/>
  <c r="AD194" i="26"/>
  <c r="AE194" i="26"/>
  <c r="AF194" i="26"/>
  <c r="Y193" i="26"/>
  <c r="Z193" i="26"/>
  <c r="AA193" i="26"/>
  <c r="AB193" i="26"/>
  <c r="AD193" i="26"/>
  <c r="AE193" i="26"/>
  <c r="AF193" i="26"/>
  <c r="Y191" i="26"/>
  <c r="Z191" i="26"/>
  <c r="AA191" i="26"/>
  <c r="AB191" i="26"/>
  <c r="AD191" i="26"/>
  <c r="AE191" i="26"/>
  <c r="AF191" i="26"/>
  <c r="Y190" i="26"/>
  <c r="Z190" i="26"/>
  <c r="AA190" i="26"/>
  <c r="AB190" i="26"/>
  <c r="AD190" i="26"/>
  <c r="AE190" i="26"/>
  <c r="AF190" i="26"/>
  <c r="Y178" i="26"/>
  <c r="Z178" i="26"/>
  <c r="AA178" i="26"/>
  <c r="AB178" i="26"/>
  <c r="AD178" i="26"/>
  <c r="AE178" i="26"/>
  <c r="AF178" i="26"/>
  <c r="Y175" i="26"/>
  <c r="Z175" i="26"/>
  <c r="AA175" i="26"/>
  <c r="AB175" i="26"/>
  <c r="AD175" i="26"/>
  <c r="AE175" i="26"/>
  <c r="AF175" i="26"/>
  <c r="Y172" i="26"/>
  <c r="Z172" i="26"/>
  <c r="AA172" i="26"/>
  <c r="AB172" i="26"/>
  <c r="AD172" i="26"/>
  <c r="AE172" i="26"/>
  <c r="AF172" i="26"/>
  <c r="Y171" i="26"/>
  <c r="Z171" i="26"/>
  <c r="AA171" i="26"/>
  <c r="AB171" i="26"/>
  <c r="AD171" i="26"/>
  <c r="AE171" i="26"/>
  <c r="AF171" i="26"/>
  <c r="Y165" i="26"/>
  <c r="Z165" i="26"/>
  <c r="AA165" i="26"/>
  <c r="AB165" i="26"/>
  <c r="AD165" i="26"/>
  <c r="AE165" i="26"/>
  <c r="AF165" i="26"/>
  <c r="Y164" i="26"/>
  <c r="Z164" i="26"/>
  <c r="AA164" i="26"/>
  <c r="AB164" i="26"/>
  <c r="AD164" i="26"/>
  <c r="AE164" i="26"/>
  <c r="AF164" i="26"/>
  <c r="Z162" i="26"/>
  <c r="Y162" i="26"/>
  <c r="AA162" i="26"/>
  <c r="AB162" i="26"/>
  <c r="AD162" i="26"/>
  <c r="AE162" i="26"/>
  <c r="AF162" i="26"/>
  <c r="Y161" i="26"/>
  <c r="Z161" i="26"/>
  <c r="AA161" i="26"/>
  <c r="AB161" i="26"/>
  <c r="AD161" i="26"/>
  <c r="AE161" i="26"/>
  <c r="AF161" i="26"/>
  <c r="Z157" i="26"/>
  <c r="AB157" i="26"/>
  <c r="AD157" i="26"/>
  <c r="Y157" i="26"/>
  <c r="AA157" i="26"/>
  <c r="AE157" i="26"/>
  <c r="AF157" i="26"/>
  <c r="Y156" i="26"/>
  <c r="AB156" i="26"/>
  <c r="AD156" i="26"/>
  <c r="AF156" i="26"/>
  <c r="Z156" i="26"/>
  <c r="AA156" i="26"/>
  <c r="AE156" i="26"/>
  <c r="Z155" i="26"/>
  <c r="AB155" i="26"/>
  <c r="AD155" i="26"/>
  <c r="Y155" i="26"/>
  <c r="AA155" i="26"/>
  <c r="AE155" i="26"/>
  <c r="AF155" i="26"/>
  <c r="Y154" i="26"/>
  <c r="AB154" i="26"/>
  <c r="AD154" i="26"/>
  <c r="AE154" i="26"/>
  <c r="Z154" i="26"/>
  <c r="AA154" i="26"/>
  <c r="AF154" i="26"/>
  <c r="Y153" i="26"/>
  <c r="AA153" i="26"/>
  <c r="AE153" i="26"/>
  <c r="Z153" i="26"/>
  <c r="AB153" i="26"/>
  <c r="AD153" i="26"/>
  <c r="AF153" i="26"/>
  <c r="Y152" i="26"/>
  <c r="Z152" i="26"/>
  <c r="AA152" i="26"/>
  <c r="AB152" i="26"/>
  <c r="AD152" i="26"/>
  <c r="AE152" i="26"/>
  <c r="AF152" i="26"/>
  <c r="Z151" i="26"/>
  <c r="Y151" i="26"/>
  <c r="AA151" i="26"/>
  <c r="AB151" i="26"/>
  <c r="AD151" i="26"/>
  <c r="AE151" i="26"/>
  <c r="AF151" i="26"/>
  <c r="AA150" i="26"/>
  <c r="AE150" i="26"/>
  <c r="Y150" i="26"/>
  <c r="Z150" i="26"/>
  <c r="AB150" i="26"/>
  <c r="AD150" i="26"/>
  <c r="AF150" i="26"/>
  <c r="AB149" i="26"/>
  <c r="Y149" i="26"/>
  <c r="Z149" i="26"/>
  <c r="AA149" i="26"/>
  <c r="AD149" i="26"/>
  <c r="AE149" i="26"/>
  <c r="AF149" i="26"/>
  <c r="Y148" i="26"/>
  <c r="AA148" i="26"/>
  <c r="AE148" i="26"/>
  <c r="Z148" i="26"/>
  <c r="AB148" i="26"/>
  <c r="AD148" i="26"/>
  <c r="AF148" i="26"/>
  <c r="AA147" i="26"/>
  <c r="Y147" i="26"/>
  <c r="Z147" i="26"/>
  <c r="AB147" i="26"/>
  <c r="AD147" i="26"/>
  <c r="AE147" i="26"/>
  <c r="AF147" i="26"/>
  <c r="Y146" i="26"/>
  <c r="AA146" i="26"/>
  <c r="AE146" i="26"/>
  <c r="Z146" i="26"/>
  <c r="AB146" i="26"/>
  <c r="AD146" i="26"/>
  <c r="AF146" i="26"/>
  <c r="Y145" i="26"/>
  <c r="AA145" i="26"/>
  <c r="AE145" i="26"/>
  <c r="AF145" i="26"/>
  <c r="Z145" i="26"/>
  <c r="AB145" i="26"/>
  <c r="AD145" i="26"/>
  <c r="Y144" i="26"/>
  <c r="Z144" i="26"/>
  <c r="AB144" i="26"/>
  <c r="AD144" i="26"/>
  <c r="AE144" i="26"/>
  <c r="AF144" i="26"/>
  <c r="AA144" i="26"/>
  <c r="AA143" i="26"/>
  <c r="AB143" i="26"/>
  <c r="Y143" i="26"/>
  <c r="Z143" i="26"/>
  <c r="AD143" i="26"/>
  <c r="AE143" i="26"/>
  <c r="AF143" i="26"/>
  <c r="Z142" i="26"/>
  <c r="AB142" i="26"/>
  <c r="Y142" i="26"/>
  <c r="AA142" i="26"/>
  <c r="AD142" i="26"/>
  <c r="AE142" i="26"/>
  <c r="AF142" i="26"/>
  <c r="Y141" i="26"/>
  <c r="AB141" i="26"/>
  <c r="Z141" i="26"/>
  <c r="AA141" i="26"/>
  <c r="AD141" i="26"/>
  <c r="AE141" i="26"/>
  <c r="AF141" i="26"/>
  <c r="Z140" i="26"/>
  <c r="Y140" i="26"/>
  <c r="AA140" i="26"/>
  <c r="AB140" i="26"/>
  <c r="AD140" i="26"/>
  <c r="AE140" i="26"/>
  <c r="AF140" i="26"/>
  <c r="Y139" i="26"/>
  <c r="AA139" i="26"/>
  <c r="AE139" i="26"/>
  <c r="AF139" i="26"/>
  <c r="Z139" i="26"/>
  <c r="AB139" i="26"/>
  <c r="AD139" i="26"/>
  <c r="Z138" i="26"/>
  <c r="AB138" i="26"/>
  <c r="AD138" i="26"/>
  <c r="Y138" i="26"/>
  <c r="AA138" i="26"/>
  <c r="AE138" i="26"/>
  <c r="AF138" i="26"/>
  <c r="Z137" i="26"/>
  <c r="AB137" i="26"/>
  <c r="AD137" i="26"/>
  <c r="AF137" i="26"/>
  <c r="Y137" i="26"/>
  <c r="AA137" i="26"/>
  <c r="AE137" i="26"/>
  <c r="Z136" i="26"/>
  <c r="Y136" i="26"/>
  <c r="AA136" i="26"/>
  <c r="AB136" i="26"/>
  <c r="AD136" i="26"/>
  <c r="AE136" i="26"/>
  <c r="AF136" i="26"/>
  <c r="Z135" i="26"/>
  <c r="AB135" i="26"/>
  <c r="AE135" i="26"/>
  <c r="AF135" i="26"/>
  <c r="Y135" i="26"/>
  <c r="AA135" i="26"/>
  <c r="AD135" i="26"/>
  <c r="Z134" i="26"/>
  <c r="AB134" i="26"/>
  <c r="AD134" i="26"/>
  <c r="Y134" i="26"/>
  <c r="AA134" i="26"/>
  <c r="AE134" i="26"/>
  <c r="AF134" i="26"/>
  <c r="Z133" i="26"/>
  <c r="AD133" i="26"/>
  <c r="AF133" i="26"/>
  <c r="Y133" i="26"/>
  <c r="AA133" i="26"/>
  <c r="AB133" i="26"/>
  <c r="AE133" i="26"/>
  <c r="Y132" i="26"/>
  <c r="AB132" i="26"/>
  <c r="Z132" i="26"/>
  <c r="AA132" i="26"/>
  <c r="AD132" i="26"/>
  <c r="AE132" i="26"/>
  <c r="AF132" i="26"/>
  <c r="Z131" i="26"/>
  <c r="AB131" i="26"/>
  <c r="AD131" i="26"/>
  <c r="AF131" i="26"/>
  <c r="Y131" i="26"/>
  <c r="AA131" i="26"/>
  <c r="AE131" i="26"/>
  <c r="Y130" i="26"/>
  <c r="AA130" i="26"/>
  <c r="AD130" i="26"/>
  <c r="AE130" i="26"/>
  <c r="Z130" i="26"/>
  <c r="AB130" i="26"/>
  <c r="AF130" i="26"/>
  <c r="Y129" i="26"/>
  <c r="AB129" i="26"/>
  <c r="AE129" i="26"/>
  <c r="AF129" i="26"/>
  <c r="Z129" i="26"/>
  <c r="AA129" i="26"/>
  <c r="AD129" i="26"/>
  <c r="Y128" i="26"/>
  <c r="AA128" i="26"/>
  <c r="AE128" i="26"/>
  <c r="Z128" i="26"/>
  <c r="AB128" i="26"/>
  <c r="AD128" i="26"/>
  <c r="AF128" i="26"/>
  <c r="Z127" i="26"/>
  <c r="Y127" i="26"/>
  <c r="AA127" i="26"/>
  <c r="AB127" i="26"/>
  <c r="AD127" i="26"/>
  <c r="AE127" i="26"/>
  <c r="AF127" i="26"/>
  <c r="Z126" i="26"/>
  <c r="AA126" i="26"/>
  <c r="AB126" i="26"/>
  <c r="AD126" i="26"/>
  <c r="AE126" i="26"/>
  <c r="AF126" i="26"/>
  <c r="Y126" i="26"/>
  <c r="Y125" i="26"/>
  <c r="Z125" i="26"/>
  <c r="AA125" i="26"/>
  <c r="AB125" i="26"/>
  <c r="AD125" i="26"/>
  <c r="AE125" i="26"/>
  <c r="AF125" i="26"/>
  <c r="Y124" i="26"/>
  <c r="AB124" i="26"/>
  <c r="AD124" i="26"/>
  <c r="Z124" i="26"/>
  <c r="AA124" i="26"/>
  <c r="AE124" i="26"/>
  <c r="AF124" i="26"/>
  <c r="Y123" i="26"/>
  <c r="AB123" i="26"/>
  <c r="AD123" i="26"/>
  <c r="AE123" i="26"/>
  <c r="AF123" i="26"/>
  <c r="Z123" i="26"/>
  <c r="AA123" i="26"/>
  <c r="Z122" i="26"/>
  <c r="AA122" i="26"/>
  <c r="AB122" i="26"/>
  <c r="AD122" i="26"/>
  <c r="AE122" i="26"/>
  <c r="AF122" i="26"/>
  <c r="Y122" i="26"/>
  <c r="Y121" i="26"/>
  <c r="AA121" i="26"/>
  <c r="AE121" i="26"/>
  <c r="Z121" i="26"/>
  <c r="AB121" i="26"/>
  <c r="AD121" i="26"/>
  <c r="AF121" i="26"/>
  <c r="Z120" i="26"/>
  <c r="Y120" i="26"/>
  <c r="AA120" i="26"/>
  <c r="AB120" i="26"/>
  <c r="AD120" i="26"/>
  <c r="AE120" i="26"/>
  <c r="AF120" i="26"/>
  <c r="Z119" i="26"/>
  <c r="AB119" i="26"/>
  <c r="AD119" i="26"/>
  <c r="AE119" i="26"/>
  <c r="AF119" i="26"/>
  <c r="Y119" i="26"/>
  <c r="AA119" i="26"/>
  <c r="Y118" i="26"/>
  <c r="AA118" i="26"/>
  <c r="AE118" i="26"/>
  <c r="AF118" i="26"/>
  <c r="Z118" i="26"/>
  <c r="AB118" i="26"/>
  <c r="AD118" i="26"/>
  <c r="AA117" i="26"/>
  <c r="Y117" i="26"/>
  <c r="Z117" i="26"/>
  <c r="AB117" i="26"/>
  <c r="AD117" i="26"/>
  <c r="AE117" i="26"/>
  <c r="AF117" i="26"/>
  <c r="Y116" i="26"/>
  <c r="AA116" i="26"/>
  <c r="AE116" i="26"/>
  <c r="Z116" i="26"/>
  <c r="AB116" i="26"/>
  <c r="AD116" i="26"/>
  <c r="AF116" i="26"/>
  <c r="Y115" i="26"/>
  <c r="AA115" i="26"/>
  <c r="Z115" i="26"/>
  <c r="AB115" i="26"/>
  <c r="AD115" i="26"/>
  <c r="AE115" i="26"/>
  <c r="AF115" i="26"/>
  <c r="Y114" i="26"/>
  <c r="AA114" i="26"/>
  <c r="AD114" i="26"/>
  <c r="AE114" i="26"/>
  <c r="AF114" i="26"/>
  <c r="Z114" i="26"/>
  <c r="AB114" i="26"/>
  <c r="Z113" i="26"/>
  <c r="AB113" i="26"/>
  <c r="AE113" i="26"/>
  <c r="Y113" i="26"/>
  <c r="AA113" i="26"/>
  <c r="AD113" i="26"/>
  <c r="AF113" i="26"/>
  <c r="Y112" i="26"/>
  <c r="Z112" i="26"/>
  <c r="AA112" i="26"/>
  <c r="AB112" i="26"/>
  <c r="AD112" i="26"/>
  <c r="AE112" i="26"/>
  <c r="AF112" i="26"/>
  <c r="Z111" i="26"/>
  <c r="AB111" i="26"/>
  <c r="AE111" i="26"/>
  <c r="Y111" i="26"/>
  <c r="AA111" i="26"/>
  <c r="AD111" i="26"/>
  <c r="AF111" i="26"/>
  <c r="Y110" i="26"/>
  <c r="AA110" i="26"/>
  <c r="AD110" i="26"/>
  <c r="AE110" i="26"/>
  <c r="AF110" i="26"/>
  <c r="Z110" i="26"/>
  <c r="AB110" i="26"/>
  <c r="Z109" i="26"/>
  <c r="AB109" i="26"/>
  <c r="AD109" i="26"/>
  <c r="AF109" i="26"/>
  <c r="Y109" i="26"/>
  <c r="AA109" i="26"/>
  <c r="AE109" i="26"/>
  <c r="Z108" i="26"/>
  <c r="AB108" i="26"/>
  <c r="AE108" i="26"/>
  <c r="Y108" i="26"/>
  <c r="AA108" i="26"/>
  <c r="AD108" i="26"/>
  <c r="AF108" i="26"/>
  <c r="Y107" i="26"/>
  <c r="AB107" i="26"/>
  <c r="Z107" i="26"/>
  <c r="AA107" i="26"/>
  <c r="AD107" i="26"/>
  <c r="AE107" i="26"/>
  <c r="AF107" i="26"/>
  <c r="Y106" i="26"/>
  <c r="AA106" i="26"/>
  <c r="AD106" i="26"/>
  <c r="AE106" i="26"/>
  <c r="AF106" i="26"/>
  <c r="Z106" i="26"/>
  <c r="AB106" i="26"/>
  <c r="Z105" i="26"/>
  <c r="AB105" i="26"/>
  <c r="AD105" i="26"/>
  <c r="AE105" i="26"/>
  <c r="AF105" i="26"/>
  <c r="Y105" i="26"/>
  <c r="AA105" i="26"/>
  <c r="Y104" i="26"/>
  <c r="AA104" i="26"/>
  <c r="AD104" i="26"/>
  <c r="AE104" i="26"/>
  <c r="AF104" i="26"/>
  <c r="Z104" i="26"/>
  <c r="AB104" i="26"/>
  <c r="Z103" i="26"/>
  <c r="AB103" i="26"/>
  <c r="AD103" i="26"/>
  <c r="AF103" i="26"/>
  <c r="Y103" i="26"/>
  <c r="AA103" i="26"/>
  <c r="AE103" i="26"/>
  <c r="AA102" i="26"/>
  <c r="AD102" i="26"/>
  <c r="AF102" i="26"/>
  <c r="Y102" i="26"/>
  <c r="Z102" i="26"/>
  <c r="AB102" i="26"/>
  <c r="AE102" i="26"/>
  <c r="Z101" i="26"/>
  <c r="AA101" i="26"/>
  <c r="AD101" i="26"/>
  <c r="AF101" i="26"/>
  <c r="Y101" i="26"/>
  <c r="AB101" i="26"/>
  <c r="AE101" i="26"/>
  <c r="Y100" i="26"/>
  <c r="AA100" i="26"/>
  <c r="AF100" i="26"/>
  <c r="Z100" i="26"/>
  <c r="AB100" i="26"/>
  <c r="AD100" i="26"/>
  <c r="AE100" i="26"/>
  <c r="Z99" i="26"/>
  <c r="Y99" i="26"/>
  <c r="AA99" i="26"/>
  <c r="AB99" i="26"/>
  <c r="AD99" i="26"/>
  <c r="AE99" i="26"/>
  <c r="AF99" i="26"/>
  <c r="Z98" i="26"/>
  <c r="AA98" i="26"/>
  <c r="AF98" i="26"/>
  <c r="Y98" i="26"/>
  <c r="AB98" i="26"/>
  <c r="AD98" i="26"/>
  <c r="AE98" i="26"/>
  <c r="Y97" i="26"/>
  <c r="AA97" i="26"/>
  <c r="AD97" i="26"/>
  <c r="AF97" i="26"/>
  <c r="Z97" i="26"/>
  <c r="AB97" i="26"/>
  <c r="AE97" i="26"/>
  <c r="Y96" i="26"/>
  <c r="AA96" i="26"/>
  <c r="AE96" i="26"/>
  <c r="Z96" i="26"/>
  <c r="AB96" i="26"/>
  <c r="AD96" i="26"/>
  <c r="AF96" i="26"/>
  <c r="AA95" i="26"/>
  <c r="AE95" i="26"/>
  <c r="AF95" i="26"/>
  <c r="Y95" i="26"/>
  <c r="Z95" i="26"/>
  <c r="AB95" i="26"/>
  <c r="AD95" i="26"/>
  <c r="Y94" i="26"/>
  <c r="AB94" i="26"/>
  <c r="AD94" i="26"/>
  <c r="Z94" i="26"/>
  <c r="AA94" i="26"/>
  <c r="AE94" i="26"/>
  <c r="AF94" i="26"/>
  <c r="Z93" i="26"/>
  <c r="AB93" i="26"/>
  <c r="Y93" i="26"/>
  <c r="AA93" i="26"/>
  <c r="AD93" i="26"/>
  <c r="AE93" i="26"/>
  <c r="AF93" i="26"/>
  <c r="Y92" i="26"/>
  <c r="Z92" i="26"/>
  <c r="AA92" i="26"/>
  <c r="AB92" i="26"/>
  <c r="AD92" i="26"/>
  <c r="AE92" i="26"/>
  <c r="AF92" i="26"/>
  <c r="Y91" i="26"/>
  <c r="Z91" i="26"/>
  <c r="AA91" i="26"/>
  <c r="AB91" i="26"/>
  <c r="AD91" i="26"/>
  <c r="AE91" i="26"/>
  <c r="AF91" i="26"/>
  <c r="Y90" i="26"/>
  <c r="Z90" i="26"/>
  <c r="AA90" i="26"/>
  <c r="AB90" i="26"/>
  <c r="AD90" i="26"/>
  <c r="AE90" i="26"/>
  <c r="AF90" i="26"/>
  <c r="Y89" i="26"/>
  <c r="Z89" i="26"/>
  <c r="AA89" i="26"/>
  <c r="AB89" i="26"/>
  <c r="AD89" i="26"/>
  <c r="AE89" i="26"/>
  <c r="AF89" i="26"/>
  <c r="Y88" i="26"/>
  <c r="Z88" i="26"/>
  <c r="AA88" i="26"/>
  <c r="AB88" i="26"/>
  <c r="AD88" i="26"/>
  <c r="AE88" i="26"/>
  <c r="AF88" i="26"/>
  <c r="Y87" i="26"/>
  <c r="Z87" i="26"/>
  <c r="AA87" i="26"/>
  <c r="AB87" i="26"/>
  <c r="AD87" i="26"/>
  <c r="AE87" i="26"/>
  <c r="AF87" i="26"/>
  <c r="Y86" i="26"/>
  <c r="AA86" i="26"/>
  <c r="AE86" i="26"/>
  <c r="Z86" i="26"/>
  <c r="AB86" i="26"/>
  <c r="AD86" i="26"/>
  <c r="AF86" i="26"/>
  <c r="N3" i="16"/>
  <c r="M4" i="16"/>
  <c r="G15" i="12"/>
  <c r="G9" i="12"/>
  <c r="G4" i="12"/>
  <c r="G11" i="12"/>
  <c r="G10" i="12"/>
  <c r="AC126" i="26" l="1"/>
  <c r="AC122" i="26"/>
  <c r="AC316" i="26"/>
  <c r="AC24" i="26"/>
  <c r="AC11" i="26"/>
  <c r="AC299" i="26"/>
  <c r="AC199" i="26"/>
  <c r="AC187" i="26"/>
  <c r="AC83" i="26"/>
  <c r="AC62" i="26"/>
  <c r="AC57" i="26"/>
  <c r="AC43" i="26"/>
  <c r="AC39" i="26"/>
  <c r="AC38" i="26"/>
  <c r="AC33" i="26"/>
  <c r="AC32" i="26"/>
  <c r="O3" i="16"/>
  <c r="N4" i="16"/>
  <c r="AB11" i="27"/>
  <c r="AB10" i="27"/>
  <c r="AB9" i="27"/>
  <c r="AB8" i="27"/>
  <c r="AB7" i="27"/>
  <c r="AB6" i="27"/>
  <c r="AB5" i="27"/>
  <c r="AB4" i="27"/>
  <c r="AB3" i="27"/>
  <c r="AB322" i="27"/>
  <c r="AB321" i="27"/>
  <c r="AB320" i="27"/>
  <c r="AB319" i="27"/>
  <c r="AB318" i="27"/>
  <c r="AB317" i="27"/>
  <c r="AB316" i="27"/>
  <c r="AB315" i="27"/>
  <c r="AB314" i="27"/>
  <c r="AB313" i="27"/>
  <c r="AB312" i="27"/>
  <c r="AB311" i="27"/>
  <c r="AB310" i="27"/>
  <c r="AB309" i="27"/>
  <c r="AB308" i="27"/>
  <c r="AB307" i="27"/>
  <c r="AB306" i="27"/>
  <c r="AB305" i="27"/>
  <c r="AB304" i="27"/>
  <c r="AB303" i="27"/>
  <c r="AB302" i="27"/>
  <c r="AB301" i="27"/>
  <c r="AB300" i="27"/>
  <c r="AB299" i="27"/>
  <c r="AB298" i="27"/>
  <c r="AB297" i="27"/>
  <c r="AB296" i="27"/>
  <c r="AB295" i="27"/>
  <c r="AB294" i="27"/>
  <c r="AB293" i="27"/>
  <c r="AB292" i="27"/>
  <c r="AB291" i="27"/>
  <c r="AB290" i="27"/>
  <c r="AB289" i="27"/>
  <c r="AB288" i="27"/>
  <c r="AB287" i="27"/>
  <c r="AB286" i="27"/>
  <c r="AB285" i="27"/>
  <c r="AB284" i="27"/>
  <c r="AB283" i="27"/>
  <c r="AB282" i="27"/>
  <c r="AB281" i="27"/>
  <c r="AB280" i="27"/>
  <c r="AB279" i="27"/>
  <c r="AB278" i="27"/>
  <c r="AB277" i="27"/>
  <c r="AB276" i="27"/>
  <c r="AB275" i="27"/>
  <c r="AB274" i="27"/>
  <c r="AB273" i="27"/>
  <c r="AB272" i="27"/>
  <c r="AB271" i="27"/>
  <c r="AB270" i="27"/>
  <c r="AB269" i="27"/>
  <c r="AB268" i="27"/>
  <c r="AB267" i="27"/>
  <c r="AB266" i="27"/>
  <c r="AB265" i="27"/>
  <c r="AB264" i="27"/>
  <c r="AB263" i="27"/>
  <c r="AB262" i="27"/>
  <c r="AB261" i="27"/>
  <c r="AB260" i="27"/>
  <c r="AB259" i="27"/>
  <c r="AB258" i="27"/>
  <c r="AB257" i="27"/>
  <c r="AB256" i="27"/>
  <c r="AB255" i="27"/>
  <c r="AB254" i="27"/>
  <c r="AB253" i="27"/>
  <c r="AB252" i="27"/>
  <c r="AB251" i="27"/>
  <c r="AB250" i="27"/>
  <c r="AB249" i="27"/>
  <c r="AB248" i="27"/>
  <c r="AB247" i="27"/>
  <c r="AB246" i="27"/>
  <c r="AB245" i="27"/>
  <c r="AB244" i="27"/>
  <c r="AB243" i="27"/>
  <c r="AB242" i="27"/>
  <c r="AB241" i="27"/>
  <c r="AB240" i="27"/>
  <c r="AB239" i="27"/>
  <c r="AB238" i="27"/>
  <c r="AB237" i="27"/>
  <c r="AB236" i="27"/>
  <c r="AB235" i="27"/>
  <c r="AB234" i="27"/>
  <c r="AB233" i="27"/>
  <c r="AB232" i="27"/>
  <c r="AB231" i="27"/>
  <c r="AB230" i="27"/>
  <c r="AB229" i="27"/>
  <c r="AB228" i="27"/>
  <c r="AB227" i="27"/>
  <c r="AB226" i="27"/>
  <c r="AB225" i="27"/>
  <c r="AB224" i="27"/>
  <c r="AB223" i="27"/>
  <c r="AB222" i="27"/>
  <c r="AB221" i="27"/>
  <c r="AB220" i="27"/>
  <c r="AB219" i="27"/>
  <c r="AB218" i="27"/>
  <c r="AB217" i="27"/>
  <c r="AB216" i="27"/>
  <c r="AB215" i="27"/>
  <c r="AB214" i="27"/>
  <c r="AB213" i="27"/>
  <c r="AB212" i="27"/>
  <c r="AB211" i="27"/>
  <c r="AB210" i="27"/>
  <c r="AB209" i="27"/>
  <c r="AB208" i="27"/>
  <c r="AB207" i="27"/>
  <c r="AB206" i="27"/>
  <c r="AB205" i="27"/>
  <c r="AB204" i="27"/>
  <c r="AB203" i="27"/>
  <c r="AB202" i="27"/>
  <c r="AB201" i="27"/>
  <c r="AB200" i="27"/>
  <c r="AB199" i="27"/>
  <c r="AB198" i="27"/>
  <c r="AB197" i="27"/>
  <c r="AB196" i="27"/>
  <c r="AB195" i="27"/>
  <c r="AB194" i="27"/>
  <c r="AB193" i="27"/>
  <c r="AB192" i="27"/>
  <c r="AB191" i="27"/>
  <c r="AB190" i="27"/>
  <c r="AB189" i="27"/>
  <c r="AB188" i="27"/>
  <c r="AB187" i="27"/>
  <c r="AB186" i="27"/>
  <c r="AB185" i="27"/>
  <c r="AB184" i="27"/>
  <c r="AB183" i="27"/>
  <c r="AB182" i="27"/>
  <c r="AB181" i="27"/>
  <c r="AB180" i="27"/>
  <c r="AB179" i="27"/>
  <c r="AB178" i="27"/>
  <c r="AB177" i="27"/>
  <c r="AB176" i="27"/>
  <c r="AB175" i="27"/>
  <c r="AB174" i="27"/>
  <c r="AB173" i="27"/>
  <c r="AB172" i="27"/>
  <c r="AB171" i="27"/>
  <c r="AB170" i="27"/>
  <c r="AB169" i="27"/>
  <c r="AB168" i="27"/>
  <c r="AB167" i="27"/>
  <c r="AB166" i="27"/>
  <c r="AB165" i="27"/>
  <c r="AB164" i="27"/>
  <c r="AB163" i="27"/>
  <c r="AB162" i="27"/>
  <c r="AB161" i="27"/>
  <c r="AB160" i="27"/>
  <c r="AC212" i="26"/>
  <c r="AC211" i="26"/>
  <c r="AC210" i="26"/>
  <c r="AC207" i="26"/>
  <c r="AC206" i="26"/>
  <c r="AC201" i="26"/>
  <c r="AC200" i="26"/>
  <c r="AC180" i="26"/>
  <c r="AC179" i="26"/>
  <c r="AC174" i="26"/>
  <c r="AC173" i="26"/>
  <c r="AC170" i="26"/>
  <c r="AC168" i="26"/>
  <c r="AC166" i="26"/>
  <c r="AC51" i="26"/>
  <c r="AC49" i="26"/>
  <c r="AC44" i="26"/>
  <c r="AC25" i="26"/>
  <c r="AC22" i="26"/>
  <c r="AC17" i="26"/>
  <c r="AC14" i="26"/>
  <c r="AC311" i="26"/>
  <c r="AC307" i="26"/>
  <c r="AC300" i="26"/>
  <c r="AB159" i="27"/>
  <c r="AB158" i="27"/>
  <c r="AB157" i="27"/>
  <c r="AB156" i="27"/>
  <c r="AB155" i="27"/>
  <c r="AB154" i="27"/>
  <c r="AB153" i="27"/>
  <c r="AB152" i="27"/>
  <c r="AB151" i="27"/>
  <c r="AB150" i="27"/>
  <c r="AB149" i="27"/>
  <c r="AB148" i="27"/>
  <c r="AB147" i="27"/>
  <c r="AB146" i="27"/>
  <c r="AB145" i="27"/>
  <c r="AB144" i="27"/>
  <c r="AB143" i="27"/>
  <c r="AB142" i="27"/>
  <c r="AB141" i="27"/>
  <c r="AB140" i="27"/>
  <c r="AB139" i="27"/>
  <c r="AB138" i="27"/>
  <c r="AB137" i="27"/>
  <c r="AB136" i="27"/>
  <c r="AB135" i="27"/>
  <c r="AB134" i="27"/>
  <c r="AB133" i="27"/>
  <c r="AB132" i="27"/>
  <c r="AB131" i="27"/>
  <c r="AB130" i="27"/>
  <c r="AB129" i="27"/>
  <c r="AB128" i="27"/>
  <c r="AB127" i="27"/>
  <c r="AB126" i="27"/>
  <c r="AB125" i="27"/>
  <c r="AB124" i="27"/>
  <c r="AB123" i="27"/>
  <c r="AB122" i="27"/>
  <c r="AB121" i="27"/>
  <c r="AB120" i="27"/>
  <c r="AB119" i="27"/>
  <c r="AB118" i="27"/>
  <c r="AB117" i="27"/>
  <c r="AB116" i="27"/>
  <c r="AB115" i="27"/>
  <c r="AB114" i="27"/>
  <c r="AB113" i="27"/>
  <c r="AB112" i="27"/>
  <c r="AB111" i="27"/>
  <c r="AB110" i="27"/>
  <c r="AB109" i="27"/>
  <c r="AB108" i="27"/>
  <c r="AB107" i="27"/>
  <c r="AB106" i="27"/>
  <c r="AB105" i="27"/>
  <c r="AB104" i="27"/>
  <c r="AB103" i="27"/>
  <c r="AB102" i="27"/>
  <c r="AB101" i="27"/>
  <c r="AB100" i="27"/>
  <c r="AB99" i="27"/>
  <c r="AB98" i="27"/>
  <c r="AB97" i="27"/>
  <c r="AB96" i="27"/>
  <c r="AB95" i="27"/>
  <c r="AB94" i="27"/>
  <c r="AB93" i="27"/>
  <c r="AB92" i="27"/>
  <c r="AB91" i="27"/>
  <c r="AB90" i="27"/>
  <c r="AB89" i="27"/>
  <c r="AB88" i="27"/>
  <c r="AB87" i="27"/>
  <c r="AB86" i="27"/>
  <c r="AB85" i="27"/>
  <c r="AB84" i="27"/>
  <c r="AB83" i="27"/>
  <c r="AB82" i="27"/>
  <c r="AB81" i="27"/>
  <c r="AB80" i="27"/>
  <c r="AB79" i="27"/>
  <c r="AB78" i="27"/>
  <c r="AB77" i="27"/>
  <c r="AB76" i="27"/>
  <c r="AB75" i="27"/>
  <c r="AB74" i="27"/>
  <c r="AB73" i="27"/>
  <c r="AB72" i="27"/>
  <c r="AB71" i="27"/>
  <c r="AB70" i="27"/>
  <c r="AB69" i="27"/>
  <c r="AB68" i="27"/>
  <c r="AB67" i="27"/>
  <c r="AB66" i="27"/>
  <c r="AB65" i="27"/>
  <c r="AB64" i="27"/>
  <c r="AB63" i="27"/>
  <c r="AB62" i="27"/>
  <c r="AB61" i="27"/>
  <c r="AB60" i="27"/>
  <c r="AB59" i="27"/>
  <c r="AB58" i="27"/>
  <c r="AB57" i="27"/>
  <c r="AB56" i="27"/>
  <c r="AB55" i="27"/>
  <c r="AB54" i="27"/>
  <c r="AB53" i="27"/>
  <c r="AB52" i="27"/>
  <c r="AB51" i="27"/>
  <c r="AB50" i="27"/>
  <c r="AB49" i="27"/>
  <c r="AB48" i="27"/>
  <c r="AB47" i="27"/>
  <c r="AB46" i="27"/>
  <c r="AB45" i="27"/>
  <c r="AB44" i="27"/>
  <c r="AB43" i="27"/>
  <c r="AB42" i="27"/>
  <c r="AB41" i="27"/>
  <c r="AB40" i="27"/>
  <c r="AB39" i="27"/>
  <c r="AB38" i="27"/>
  <c r="AB37" i="27"/>
  <c r="AB36" i="27"/>
  <c r="AB35" i="27"/>
  <c r="AB34" i="27"/>
  <c r="AB33" i="27"/>
  <c r="AB32" i="27"/>
  <c r="AB31" i="27"/>
  <c r="AB30" i="27"/>
  <c r="AB29" i="27"/>
  <c r="AB28" i="27"/>
  <c r="AB27" i="27"/>
  <c r="AB26" i="27"/>
  <c r="AB25" i="27"/>
  <c r="AB24" i="27"/>
  <c r="AB23" i="27"/>
  <c r="AB22" i="27"/>
  <c r="AB21" i="27"/>
  <c r="AB20" i="27"/>
  <c r="AB19" i="27"/>
  <c r="AB18" i="27"/>
  <c r="AB17" i="27"/>
  <c r="AB16" i="27"/>
  <c r="AB15" i="27"/>
  <c r="AB14" i="27"/>
  <c r="AB13" i="27"/>
  <c r="AB12" i="27"/>
  <c r="AC265" i="26"/>
  <c r="AC264" i="26"/>
  <c r="AC262" i="26"/>
  <c r="AC260" i="26"/>
  <c r="AC259" i="26"/>
  <c r="AC258" i="26"/>
  <c r="AC257" i="26"/>
  <c r="AC256" i="26"/>
  <c r="AC253" i="26"/>
  <c r="AC245" i="26"/>
  <c r="AC243" i="26"/>
  <c r="AC242" i="26"/>
  <c r="AC241" i="26"/>
  <c r="AC240" i="26"/>
  <c r="AC239" i="26"/>
  <c r="AC238" i="26"/>
  <c r="AC235" i="26"/>
  <c r="AC234" i="26"/>
  <c r="AC232" i="26"/>
  <c r="AC229" i="26"/>
  <c r="AC228" i="26"/>
  <c r="AC226" i="26"/>
  <c r="AC223" i="26"/>
  <c r="AC222" i="26"/>
  <c r="AC221" i="26"/>
  <c r="AC220" i="26"/>
  <c r="AC219" i="26"/>
  <c r="AC218" i="26"/>
  <c r="AC216" i="26"/>
  <c r="AC215" i="26"/>
  <c r="AC214" i="26"/>
  <c r="AC213" i="26"/>
  <c r="AC205" i="26"/>
  <c r="AC204" i="26"/>
  <c r="AC202" i="26"/>
  <c r="AC198" i="26"/>
  <c r="AC192" i="26"/>
  <c r="AC189" i="26"/>
  <c r="AC188" i="26"/>
  <c r="AC183" i="26"/>
  <c r="AC182" i="26"/>
  <c r="AC176" i="26"/>
  <c r="AC160" i="26"/>
  <c r="AC159" i="26"/>
  <c r="AC158" i="26"/>
  <c r="AC8" i="26"/>
  <c r="AC2" i="26"/>
  <c r="AC84" i="26"/>
  <c r="AC81" i="26"/>
  <c r="AC73" i="26"/>
  <c r="AC72" i="26"/>
  <c r="AC71" i="26"/>
  <c r="AC69" i="26"/>
  <c r="AC67" i="26"/>
  <c r="AC66" i="26"/>
  <c r="AC65" i="26"/>
  <c r="AC64" i="26"/>
  <c r="AC63" i="26"/>
  <c r="AC61" i="26"/>
  <c r="AC55" i="26"/>
  <c r="AC53" i="26"/>
  <c r="AC52" i="26"/>
  <c r="AC46" i="26"/>
  <c r="AC41" i="26"/>
  <c r="AC40" i="26"/>
  <c r="AC37" i="26"/>
  <c r="AC36" i="26"/>
  <c r="AC34" i="26"/>
  <c r="AC30" i="26"/>
  <c r="AC29" i="26"/>
  <c r="AC26" i="26"/>
  <c r="AC23" i="26"/>
  <c r="AC21" i="26"/>
  <c r="AC19" i="26"/>
  <c r="AC16" i="26"/>
  <c r="AC7" i="26"/>
  <c r="AC6" i="26"/>
  <c r="AC5" i="26"/>
  <c r="AC4" i="26"/>
  <c r="AC310" i="26"/>
  <c r="AC309" i="26"/>
  <c r="AC308" i="26"/>
  <c r="AC304" i="26"/>
  <c r="AC302" i="26"/>
  <c r="AC298" i="26"/>
  <c r="AC297" i="26"/>
  <c r="AC296" i="26"/>
  <c r="AC295" i="26"/>
  <c r="AC294" i="26"/>
  <c r="AC291" i="26"/>
  <c r="AC290" i="26"/>
  <c r="AC289" i="26"/>
  <c r="AC285" i="26"/>
  <c r="AC284" i="26"/>
  <c r="AC281" i="26"/>
  <c r="AC280" i="26"/>
  <c r="AC276" i="26"/>
  <c r="AC273" i="26"/>
  <c r="AC271" i="26"/>
  <c r="AC269" i="26"/>
  <c r="AC268" i="26"/>
  <c r="AC266" i="26"/>
  <c r="AC321" i="26"/>
  <c r="AC320" i="26"/>
  <c r="AC318" i="26"/>
  <c r="AC317" i="26"/>
  <c r="AC315" i="26"/>
  <c r="AC314" i="26"/>
  <c r="AC313" i="26"/>
  <c r="AC306" i="26"/>
  <c r="AC303" i="26"/>
  <c r="AC293" i="26"/>
  <c r="AC292" i="26"/>
  <c r="AC288" i="26"/>
  <c r="AC287" i="26"/>
  <c r="AC286" i="26"/>
  <c r="AC283" i="26"/>
  <c r="AC282" i="26"/>
  <c r="AC279" i="26"/>
  <c r="AC278" i="26"/>
  <c r="AC277" i="26"/>
  <c r="AC275" i="26"/>
  <c r="AC274" i="26"/>
  <c r="AC272" i="26"/>
  <c r="AC270" i="26"/>
  <c r="AC267" i="26"/>
  <c r="AC263" i="26"/>
  <c r="AC261" i="26"/>
  <c r="AC255" i="26"/>
  <c r="AC254" i="26"/>
  <c r="AC252" i="26"/>
  <c r="AC251" i="26"/>
  <c r="AC250" i="26"/>
  <c r="AC249" i="26"/>
  <c r="AC248" i="26"/>
  <c r="AC247" i="26"/>
  <c r="AC246" i="26"/>
  <c r="AC244" i="26"/>
  <c r="AC237" i="26"/>
  <c r="AC236" i="26"/>
  <c r="AC233" i="26"/>
  <c r="AC231" i="26"/>
  <c r="AC230" i="26"/>
  <c r="AC225" i="26"/>
  <c r="AC224" i="26"/>
  <c r="AC217" i="26"/>
  <c r="AC197" i="26"/>
  <c r="AC196" i="26"/>
  <c r="AC195" i="26"/>
  <c r="AC194" i="26"/>
  <c r="AC193" i="26"/>
  <c r="AC191" i="26"/>
  <c r="AC190" i="26"/>
  <c r="AC178" i="26"/>
  <c r="AC175" i="26"/>
  <c r="AC172" i="26"/>
  <c r="AC171" i="26"/>
  <c r="AC165" i="26"/>
  <c r="AC164" i="26"/>
  <c r="AC162" i="26"/>
  <c r="AC161" i="26"/>
  <c r="AC157" i="26"/>
  <c r="AC156" i="26"/>
  <c r="AC155" i="26"/>
  <c r="AC154" i="26"/>
  <c r="AC153" i="26"/>
  <c r="AC152" i="26"/>
  <c r="AC151" i="26"/>
  <c r="AC150" i="26"/>
  <c r="AC149" i="26"/>
  <c r="AC148" i="26"/>
  <c r="AC147" i="26"/>
  <c r="AC146" i="26"/>
  <c r="AC145" i="26"/>
  <c r="AC144" i="26"/>
  <c r="AC143" i="26"/>
  <c r="AC142" i="26"/>
  <c r="AC141" i="26"/>
  <c r="AC140" i="26"/>
  <c r="AC139" i="26"/>
  <c r="AC138" i="26"/>
  <c r="AC137" i="26"/>
  <c r="AC136" i="26"/>
  <c r="AC135" i="26"/>
  <c r="AC134" i="26"/>
  <c r="AC133" i="26"/>
  <c r="AC132" i="26"/>
  <c r="AC131" i="26"/>
  <c r="AC130" i="26"/>
  <c r="AC129" i="26"/>
  <c r="AC128" i="26"/>
  <c r="AC127" i="26"/>
  <c r="AC125" i="26"/>
  <c r="AC124" i="26"/>
  <c r="AC123" i="26"/>
  <c r="AC121" i="26"/>
  <c r="AC120" i="26"/>
  <c r="AC119" i="26"/>
  <c r="AC118" i="26"/>
  <c r="AC117" i="26"/>
  <c r="AC116" i="26"/>
  <c r="AC115" i="26"/>
  <c r="AC114" i="26"/>
  <c r="AC113" i="26"/>
  <c r="AC112" i="26"/>
  <c r="AC111" i="26"/>
  <c r="AC110" i="26"/>
  <c r="AC109" i="26"/>
  <c r="AC108" i="26"/>
  <c r="AC107" i="26"/>
  <c r="AC106" i="26"/>
  <c r="AC105" i="26"/>
  <c r="AC104" i="26"/>
  <c r="AC103" i="26"/>
  <c r="AC102" i="26"/>
  <c r="AC101" i="26"/>
  <c r="AC100" i="26"/>
  <c r="AC99" i="26"/>
  <c r="AC98" i="26"/>
  <c r="AC97" i="26"/>
  <c r="AC96" i="26"/>
  <c r="AC95" i="26"/>
  <c r="AC94" i="26"/>
  <c r="AC93" i="26"/>
  <c r="AC92" i="26"/>
  <c r="AC91" i="26"/>
  <c r="AC90" i="26"/>
  <c r="AC89" i="26"/>
  <c r="AC88" i="26"/>
  <c r="AC87" i="26"/>
  <c r="AC86" i="26"/>
  <c r="AC209" i="26"/>
  <c r="AC208" i="26"/>
  <c r="AC203" i="26"/>
  <c r="AC186" i="26"/>
  <c r="AC185" i="26"/>
  <c r="AC184" i="26"/>
  <c r="AC181" i="26"/>
  <c r="AC177" i="26"/>
  <c r="AC169" i="26"/>
  <c r="AC167" i="26"/>
  <c r="AC163" i="26"/>
  <c r="AC10" i="26"/>
  <c r="AC82" i="26"/>
  <c r="AC80" i="26"/>
  <c r="AC79" i="26"/>
  <c r="AC78" i="26"/>
  <c r="AC77" i="26"/>
  <c r="AC76" i="26"/>
  <c r="AC75" i="26"/>
  <c r="AC74" i="26"/>
  <c r="AC70" i="26"/>
  <c r="AC68" i="26"/>
  <c r="AC60" i="26"/>
  <c r="AC59" i="26"/>
  <c r="AC58" i="26"/>
  <c r="AC56" i="26"/>
  <c r="AC54" i="26"/>
  <c r="AC50" i="26"/>
  <c r="AC48" i="26"/>
  <c r="AC47" i="26"/>
  <c r="AC45" i="26"/>
  <c r="AC42" i="26"/>
  <c r="AC35" i="26"/>
  <c r="AC31" i="26"/>
  <c r="AC28" i="26"/>
  <c r="AC27" i="26"/>
  <c r="AC20" i="26"/>
  <c r="AC18" i="26"/>
  <c r="AC15" i="26"/>
  <c r="AC13" i="26"/>
  <c r="AC12" i="26"/>
  <c r="AC9" i="26"/>
  <c r="AC3" i="26"/>
  <c r="AC85" i="26"/>
  <c r="AC227" i="26"/>
  <c r="AC322" i="26"/>
  <c r="AC319" i="26"/>
  <c r="AC312" i="26"/>
  <c r="AC305" i="26"/>
  <c r="AC301" i="26"/>
  <c r="O4" i="16" l="1"/>
  <c r="P3" i="16"/>
  <c r="P4" i="16" l="1"/>
  <c r="Q3" i="16"/>
  <c r="R3" i="16" l="1"/>
  <c r="Q4" i="16"/>
  <c r="K1" i="16"/>
  <c r="R4" i="16" l="1"/>
  <c r="S3" i="16"/>
  <c r="T3" i="16" l="1"/>
  <c r="S4" i="16"/>
  <c r="T4" i="16" l="1"/>
  <c r="U3" i="16"/>
  <c r="V3" i="16" l="1"/>
  <c r="U4" i="16"/>
  <c r="O1" i="16"/>
  <c r="W3" i="16" l="1"/>
  <c r="V4" i="16"/>
  <c r="X3" i="16" l="1"/>
  <c r="W4" i="16"/>
  <c r="X4" i="16" l="1"/>
  <c r="Y3" i="16"/>
  <c r="Z3" i="16" l="1"/>
  <c r="Y4" i="16"/>
  <c r="S1" i="16"/>
  <c r="AA3" i="16" l="1"/>
  <c r="Z4" i="16"/>
  <c r="AB3" i="16" l="1"/>
  <c r="AA4" i="16"/>
  <c r="AC3" i="16" l="1"/>
  <c r="AB4" i="16"/>
  <c r="W1" i="16" l="1"/>
  <c r="AD3" i="16"/>
  <c r="AC4" i="16"/>
  <c r="AE3" i="16" l="1"/>
  <c r="AD4" i="16"/>
  <c r="AF3" i="16" l="1"/>
  <c r="AE4" i="16"/>
  <c r="AG3" i="16" l="1"/>
  <c r="AF4" i="16"/>
  <c r="AA1" i="16" l="1"/>
  <c r="AH3" i="16"/>
  <c r="AG4" i="16"/>
  <c r="AI3" i="16" l="1"/>
  <c r="AH4" i="16"/>
  <c r="AI4" i="16" l="1"/>
  <c r="AJ3" i="16"/>
  <c r="AK3" i="16" l="1"/>
  <c r="AJ4" i="16"/>
  <c r="AE1" i="16" l="1"/>
  <c r="AL3" i="16"/>
  <c r="AK4" i="16"/>
  <c r="AM3" i="16" l="1"/>
  <c r="AL4" i="16"/>
  <c r="AM4" i="16" l="1"/>
  <c r="AN3" i="16"/>
  <c r="AO3" i="16" l="1"/>
  <c r="AN4" i="16"/>
  <c r="AP3" i="16" l="1"/>
  <c r="AP4" i="16" s="1"/>
  <c r="AI1" i="16"/>
  <c r="AO4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01" authorId="0" shapeId="0" xr:uid="{00000000-0006-0000-1200-000001000000}">
      <text>
        <r>
          <rPr>
            <sz val="11"/>
            <color rgb="FF000000"/>
            <rFont val="Calibri"/>
          </rPr>
          <t>DO NOT ENTER ANY VALUE IN THIS SHEET AFTER THIS ROW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3" authorId="0" shapeId="0" xr:uid="{00000000-0006-0000-1600-000001000000}">
      <text>
        <r>
          <rPr>
            <sz val="11"/>
            <color rgb="FF000000"/>
            <rFont val="Calibri"/>
          </rPr>
          <t>Quantity pending to be issued to this project.</t>
        </r>
      </text>
    </comment>
  </commentList>
</comments>
</file>

<file path=xl/sharedStrings.xml><?xml version="1.0" encoding="utf-8"?>
<sst xmlns="http://schemas.openxmlformats.org/spreadsheetml/2006/main" count="20604" uniqueCount="2043">
  <si>
    <t>SUPPLIER</t>
  </si>
  <si>
    <t>UoM</t>
  </si>
  <si>
    <t>Robu / Vyom</t>
  </si>
  <si>
    <t>Number</t>
  </si>
  <si>
    <t xml:space="preserve">Robu </t>
  </si>
  <si>
    <t>Litre</t>
  </si>
  <si>
    <t>In-house</t>
  </si>
  <si>
    <t>Synergy</t>
  </si>
  <si>
    <t>Meter</t>
  </si>
  <si>
    <t>Roland</t>
  </si>
  <si>
    <t>Fasteners</t>
  </si>
  <si>
    <t>Hobbywing</t>
  </si>
  <si>
    <t>Naveen</t>
  </si>
  <si>
    <t>Grm</t>
  </si>
  <si>
    <t>Agarwal Aluminium</t>
  </si>
  <si>
    <t>NDP</t>
  </si>
  <si>
    <t>Seutes</t>
  </si>
  <si>
    <t>Vinod Rai</t>
  </si>
  <si>
    <t>ml</t>
  </si>
  <si>
    <t>Evelta</t>
  </si>
  <si>
    <t>Sheet</t>
  </si>
  <si>
    <t>Strips</t>
  </si>
  <si>
    <t>cm</t>
  </si>
  <si>
    <t>JLC</t>
  </si>
  <si>
    <t>Rajguru</t>
  </si>
  <si>
    <t>Cable Fort</t>
  </si>
  <si>
    <t>Dolphin Rubber</t>
  </si>
  <si>
    <t>In House</t>
  </si>
  <si>
    <t>Weipu</t>
  </si>
  <si>
    <t>Tanveer International</t>
  </si>
  <si>
    <t>Hi Tech</t>
  </si>
  <si>
    <t>Popular Pnuematic / Hydro Pnuematic</t>
  </si>
  <si>
    <t>Jain Wire Netting</t>
  </si>
  <si>
    <t>Balaji - PB Manufacturing</t>
  </si>
  <si>
    <t xml:space="preserve">Ali Irani - Kolkata </t>
  </si>
  <si>
    <t>Canner Connectors</t>
  </si>
  <si>
    <t>RR Innovations</t>
  </si>
  <si>
    <t>Janki Die</t>
  </si>
  <si>
    <t>BlueRobotics</t>
  </si>
  <si>
    <t>Dynamic Industrial Supplier</t>
  </si>
  <si>
    <t>ARB Accessories</t>
  </si>
  <si>
    <t>Himalaya Traders</t>
  </si>
  <si>
    <t>AliHussain Bharmal</t>
  </si>
  <si>
    <t>Bagnan</t>
  </si>
  <si>
    <t xml:space="preserve">PrathameshTechnology &amp; Industries </t>
  </si>
  <si>
    <t>Suzhou Volsun Electronics Technology</t>
  </si>
  <si>
    <t>Innovine Tech Marketing PVt. Ltd.</t>
  </si>
  <si>
    <t>Donor RC</t>
  </si>
  <si>
    <t>Leopard</t>
  </si>
  <si>
    <t>Local Market</t>
  </si>
  <si>
    <t>Elegant Enterprises</t>
  </si>
  <si>
    <t>Webel</t>
  </si>
  <si>
    <t>Commercial Engineering</t>
  </si>
  <si>
    <t>Local Market Kolkata</t>
  </si>
  <si>
    <t>Attitude Master Vizag</t>
  </si>
  <si>
    <t>Shenzen ISD Technology</t>
  </si>
  <si>
    <t>Robu 3D print</t>
  </si>
  <si>
    <t>Premier Electronics</t>
  </si>
  <si>
    <t>Marhash Toroid Rings</t>
  </si>
  <si>
    <t>Ampower India</t>
  </si>
  <si>
    <t>Svtherm Technologies</t>
  </si>
  <si>
    <t>Pan India Consultants</t>
  </si>
  <si>
    <t>Gadgets Deal</t>
  </si>
  <si>
    <t>CaseNfoam Toolfit</t>
  </si>
  <si>
    <t>Royal Tools &amp; Hardware</t>
  </si>
  <si>
    <t>Amazon</t>
  </si>
  <si>
    <t>Toolkit</t>
  </si>
  <si>
    <t>Ambica Industries</t>
  </si>
  <si>
    <t>D. B. Smelting</t>
  </si>
  <si>
    <t>Quartz Components</t>
  </si>
  <si>
    <t>Colum O to T should only Be Copied for Purchase Order</t>
  </si>
  <si>
    <t>Sl No.</t>
  </si>
  <si>
    <t>whether LifeBuoy?</t>
  </si>
  <si>
    <t>RAW MATERIAL NAME</t>
  </si>
  <si>
    <t>SAS Part Number</t>
  </si>
  <si>
    <t>OEM Part Number</t>
  </si>
  <si>
    <t>UNIT OF MEASURE</t>
  </si>
  <si>
    <t>Hull Preprocess Assy</t>
  </si>
  <si>
    <t>Jet unit Assy STBD</t>
  </si>
  <si>
    <t>Jet unit Assy PORT</t>
  </si>
  <si>
    <t>Jet unit Signal Cable Dest. Assy (CMD)</t>
  </si>
  <si>
    <t>Jet unit Signal Cable Orig. Assy (CMO)</t>
  </si>
  <si>
    <t xml:space="preserve">Signal Cable Assy </t>
  </si>
  <si>
    <t>Copper Tab Tinning Assy</t>
  </si>
  <si>
    <t>Battery Block Formation Assy</t>
  </si>
  <si>
    <t>Battery wiring STBD Assy</t>
  </si>
  <si>
    <t xml:space="preserve">Battery Wiring PORT Assy </t>
  </si>
  <si>
    <t>IP Remote Assy</t>
  </si>
  <si>
    <t>ElecBox Assy</t>
  </si>
  <si>
    <t>Motherboard Assy</t>
  </si>
  <si>
    <t>100v Buck PCB Assy</t>
  </si>
  <si>
    <t>Current Sensor Assy</t>
  </si>
  <si>
    <t>Signal PM Assy</t>
  </si>
  <si>
    <t>Charging PM Assy</t>
  </si>
  <si>
    <t>Bottom block Assy</t>
  </si>
  <si>
    <t>Flashing Light Assy PORT</t>
  </si>
  <si>
    <t>Flashing Light Assy STBD</t>
  </si>
  <si>
    <t>Kangaroo Power Wire PORT Assy</t>
  </si>
  <si>
    <t>Kangaroo Power Wire STBD Assy</t>
  </si>
  <si>
    <t>Kangaroo Box Preprocessing Assy</t>
  </si>
  <si>
    <t>Kangaroo box PORT Assy</t>
  </si>
  <si>
    <t>Kangaroo box STBD Assy</t>
  </si>
  <si>
    <t>Motor Mount Assy (V1.1 &amp; 5692)</t>
  </si>
  <si>
    <t>Jet body Assy
PORT</t>
  </si>
  <si>
    <t>Hardowood packing box</t>
  </si>
  <si>
    <t>Charging Cable Assy</t>
  </si>
  <si>
    <t>IP Remote Charging PM</t>
  </si>
  <si>
    <t>IP Remote Charging Cable Assy</t>
  </si>
  <si>
    <t>Charger PM Assy</t>
  </si>
  <si>
    <t>Charger power module Assy</t>
  </si>
  <si>
    <t>Charger Panel Assy</t>
  </si>
  <si>
    <t>ESC Assy</t>
  </si>
  <si>
    <t>Self Rightening Assy</t>
  </si>
  <si>
    <t>SAIFSEAS LIFE Final Assy (FG)</t>
  </si>
  <si>
    <t>A</t>
  </si>
  <si>
    <t>Transmitter with Receiver Module 2.4G0.9k</t>
  </si>
  <si>
    <t>RAD-TRR-QX71W915</t>
  </si>
  <si>
    <t>Robu-866205</t>
  </si>
  <si>
    <t xml:space="preserve">Receiver Module R9MM (R9MM will come July25)/R9Mini </t>
  </si>
  <si>
    <t>RAD-TRR-R9MI1W915</t>
  </si>
  <si>
    <t>Free Wheel Diode SMD M7</t>
  </si>
  <si>
    <t>SIC-DIO-M7-v100i1</t>
  </si>
  <si>
    <t>Robu-597541</t>
  </si>
  <si>
    <t>Schottky Diode SS310 100v1A</t>
  </si>
  <si>
    <t>SIC-DIO-SS310-v100i1</t>
  </si>
  <si>
    <t>Robu-R193145</t>
  </si>
  <si>
    <t>Voltage Regulator AMS1117 5.0v</t>
  </si>
  <si>
    <t>SIC-REG-AMS1117-5v</t>
  </si>
  <si>
    <t>Robu-162035</t>
  </si>
  <si>
    <t>GPS Module NEO-6M</t>
  </si>
  <si>
    <t>MOD-GNS-NEO6M</t>
  </si>
  <si>
    <t>Neo-6M</t>
  </si>
  <si>
    <t>GPS Module LC86L</t>
  </si>
  <si>
    <t>MOD-GNS-LC86L</t>
  </si>
  <si>
    <t>LC86L</t>
  </si>
  <si>
    <t>GPS Module Here3+</t>
  </si>
  <si>
    <t>Here3+</t>
  </si>
  <si>
    <t>GPS Module BX992 Trimble</t>
  </si>
  <si>
    <t>MOD-GNS-BX992</t>
  </si>
  <si>
    <t>BX992</t>
  </si>
  <si>
    <t>Bullet Connector Female 5.5mm</t>
  </si>
  <si>
    <t>CON-BUL-55F</t>
  </si>
  <si>
    <t>HV130</t>
  </si>
  <si>
    <t>Bullet Connector Male 4mm AMASS</t>
  </si>
  <si>
    <t>CON-BUL-4M</t>
  </si>
  <si>
    <t>Robu-239973</t>
  </si>
  <si>
    <t>Bullet Connector Female 4mm AMASS</t>
  </si>
  <si>
    <t>CON-BUL-4F</t>
  </si>
  <si>
    <t>Robu-R150111</t>
  </si>
  <si>
    <t>Bullet Connector Male 2mm AMASS</t>
  </si>
  <si>
    <t>CON-BUL-2M</t>
  </si>
  <si>
    <t>Robu-R150108</t>
  </si>
  <si>
    <t>Bullet Connector Female  2mm AMASS</t>
  </si>
  <si>
    <t>CON-BUL-2F</t>
  </si>
  <si>
    <t>Robu-R150107</t>
  </si>
  <si>
    <t>Bullet Connector Male 6mm XT-150 AMASS</t>
  </si>
  <si>
    <t>CON-BUL-6M</t>
  </si>
  <si>
    <t>Robu-239520</t>
  </si>
  <si>
    <t>Bullet Connector Female  6mm XT-150 AMASS</t>
  </si>
  <si>
    <t>CON-BUL-6F</t>
  </si>
  <si>
    <t>Robu-239593</t>
  </si>
  <si>
    <t>Bullet Connector Male 8mm AMASS</t>
  </si>
  <si>
    <t>CON-BUL-8M</t>
  </si>
  <si>
    <t>Robu-239739</t>
  </si>
  <si>
    <t>Bullet Connector Female 8mm AMASS</t>
  </si>
  <si>
    <t>CON-BUL-8F</t>
  </si>
  <si>
    <t>Robu-239757</t>
  </si>
  <si>
    <t>Cable - Ultra Flexible - Black 8AWG</t>
  </si>
  <si>
    <t>CAB-SIL-BLACK8AWG</t>
  </si>
  <si>
    <t>Robu-R151637</t>
  </si>
  <si>
    <t>Cable - Ultra Flexible - Red 8AWG</t>
  </si>
  <si>
    <t>CAB-SIL-RED8AWG</t>
  </si>
  <si>
    <t>Robu-R151638</t>
  </si>
  <si>
    <t>Cable - Ultra Flexible - Black 10AWG</t>
  </si>
  <si>
    <t>CAB-SIL-BLACK10AWG</t>
  </si>
  <si>
    <t>Cable - Ultra Flexible - Red 10AWG</t>
  </si>
  <si>
    <t>CAB-SIL-RED10AWG</t>
  </si>
  <si>
    <t>Cable - Ultra Flexible - Black 12AWG</t>
  </si>
  <si>
    <t>CAB-SIL-BLACK12AWG</t>
  </si>
  <si>
    <t>Robu-1824981</t>
  </si>
  <si>
    <t>Cable - Ultra Flexible - Red 12AWG</t>
  </si>
  <si>
    <t>CAB-SIL-RED12AWG</t>
  </si>
  <si>
    <t>Robu-1824982</t>
  </si>
  <si>
    <t>Cable - Ultra Flexible - Black 18 AWG</t>
  </si>
  <si>
    <t>CAB-SIL-BLACK18AWG</t>
  </si>
  <si>
    <t>Cable - Ultra Flexible - Red 18 AWG</t>
  </si>
  <si>
    <t>CAB-SIL-RED18AWG</t>
  </si>
  <si>
    <t>Cable - Ultra Flexible - Green 18 AWG</t>
  </si>
  <si>
    <t>CAB-SIL-GREEN18AWG</t>
  </si>
  <si>
    <t>Cable - Ultra Flexible - Black 20 AWG</t>
  </si>
  <si>
    <t>CAB-SIL-BLACK20AWG</t>
  </si>
  <si>
    <t>Robu-1824989</t>
  </si>
  <si>
    <t>Cable - Ultra Flexible - Green 20 AWG</t>
  </si>
  <si>
    <t>CAB-SIL-GREEN20AWG</t>
  </si>
  <si>
    <t>Cable - Ultra Flexible Red 20 AWG</t>
  </si>
  <si>
    <t>CAB-SIL-RED20AWG</t>
  </si>
  <si>
    <t>Robu-1824992</t>
  </si>
  <si>
    <t>Cable - Ultra Flexible Blue 20 AWG</t>
  </si>
  <si>
    <t>CAB-SIL-BLUE20AWG</t>
  </si>
  <si>
    <t>Robu-1824990</t>
  </si>
  <si>
    <t>Water flow Sensor YFS401</t>
  </si>
  <si>
    <t>SEN-WFL-YFS401v5</t>
  </si>
  <si>
    <t>YFS401</t>
  </si>
  <si>
    <t>Water Pump 550 Diaphragm</t>
  </si>
  <si>
    <t>ACT-PMP-DIA550</t>
  </si>
  <si>
    <t>550 DIAPHRAGM</t>
  </si>
  <si>
    <t>Battery Indicator - 1S Lipo</t>
  </si>
  <si>
    <t>IND-LIP-1S</t>
  </si>
  <si>
    <t>Battery Indicator - 2S Lipo</t>
  </si>
  <si>
    <t>IND-LIP-2S</t>
  </si>
  <si>
    <t>Lipo Indicator Casings</t>
  </si>
  <si>
    <t>IND-LIP-CASING</t>
  </si>
  <si>
    <t>Buck Converter Module  XL7015 50v</t>
  </si>
  <si>
    <t>MOD-BUK-XL7015v80i07</t>
  </si>
  <si>
    <t>XL7015</t>
  </si>
  <si>
    <t xml:space="preserve">Buck Coverter Module LM2596HVS </t>
  </si>
  <si>
    <t>MOD-BUK-LM2596HVSv48i2</t>
  </si>
  <si>
    <t>Robu-766328</t>
  </si>
  <si>
    <t xml:space="preserve">Buck Converter Module XL4005 5A </t>
  </si>
  <si>
    <t>MOD-BUK-XL4005v40i5</t>
  </si>
  <si>
    <t>XL4015</t>
  </si>
  <si>
    <t xml:space="preserve">Buck Converter Module XL4015 5A </t>
  </si>
  <si>
    <t>MOD-BUK-XL4015v40i5</t>
  </si>
  <si>
    <t>Robu-1510171</t>
  </si>
  <si>
    <t>Connector - AS150u Female AMASS</t>
  </si>
  <si>
    <t>CON-BTC-AS150uF</t>
  </si>
  <si>
    <t>Robu-1395034</t>
  </si>
  <si>
    <t xml:space="preserve">Connector - AS150u Male AMASS </t>
  </si>
  <si>
    <t>CON-BTC-AS150uM</t>
  </si>
  <si>
    <t>Robu-1432427</t>
  </si>
  <si>
    <t>Connector - XT90 Female AMASS</t>
  </si>
  <si>
    <t>CON-BTC-XT90F</t>
  </si>
  <si>
    <t>Robu-24729</t>
  </si>
  <si>
    <t>Connector - XT90 Male</t>
  </si>
  <si>
    <t>CON-BTC-XT90M</t>
  </si>
  <si>
    <t>Connector - XT30 Female AMASS</t>
  </si>
  <si>
    <t>CON-BTC-XT30F</t>
  </si>
  <si>
    <t>Robu-875060</t>
  </si>
  <si>
    <t>Connector - XT30 Male AMASS</t>
  </si>
  <si>
    <t>CON-BTC-XT30M</t>
  </si>
  <si>
    <t>Robu-875061</t>
  </si>
  <si>
    <t>Connector - XT60 Female AMASS</t>
  </si>
  <si>
    <t>CON-BTC-XT60F</t>
  </si>
  <si>
    <t>Connector - XT60 Male AMASS</t>
  </si>
  <si>
    <t>CON-BTC-XT60M</t>
  </si>
  <si>
    <t>Connector - MT30 Female</t>
  </si>
  <si>
    <t>CON-BTC-MT30F</t>
  </si>
  <si>
    <t xml:space="preserve">Converter AC/DC - 24v </t>
  </si>
  <si>
    <t>MOD-HLK-W20v24i08</t>
  </si>
  <si>
    <t>HLK-20M24</t>
  </si>
  <si>
    <t>Momentary Switch JCB</t>
  </si>
  <si>
    <t>SWI-PUS-MS16MM-PM-16MM</t>
  </si>
  <si>
    <t>Latching Power Switch JCB</t>
  </si>
  <si>
    <t>SWI-PUS-LS16MM-PM-16MM</t>
  </si>
  <si>
    <t>PCB for IFU</t>
  </si>
  <si>
    <t>PCB-IFU</t>
  </si>
  <si>
    <t>PCB for JCB</t>
  </si>
  <si>
    <t>PCB-AMCA</t>
  </si>
  <si>
    <t>PCB of STBD flash light</t>
  </si>
  <si>
    <t>PCB-STBD-FLASH</t>
  </si>
  <si>
    <t>PCB of PORT flash light</t>
  </si>
  <si>
    <t>PCB-PORT-FLASH</t>
  </si>
  <si>
    <t>PCB of A4 Motherboard/A42 Motherboard</t>
  </si>
  <si>
    <t>PCB-A4MEGA328P-MUR</t>
  </si>
  <si>
    <t>PCB of Current Sensor</t>
  </si>
  <si>
    <t>PCB-CUR-SENSOR</t>
  </si>
  <si>
    <t>PWB of Button -2</t>
  </si>
  <si>
    <t>PCB-QX7-BUTTON</t>
  </si>
  <si>
    <t>PWB for PC Inside Charger with XL4015 buck</t>
  </si>
  <si>
    <t>PCB-X16-XL4015-CHARGER</t>
  </si>
  <si>
    <t>PWB for Bathemetry Sensor</t>
  </si>
  <si>
    <t>PCB-BATHEMETRY</t>
  </si>
  <si>
    <t>General PCB 6x4</t>
  </si>
  <si>
    <t>PCB-GEN6x4-P2054</t>
  </si>
  <si>
    <t>General PCB 4X4</t>
  </si>
  <si>
    <t>PCB-GEN4x4-P2054</t>
  </si>
  <si>
    <t>PCB of ROHM Buck  on Murata Foot Print</t>
  </si>
  <si>
    <t>PCB of MP9486 on XL7015 FootPrint</t>
  </si>
  <si>
    <t>PCB-XL7015FOOT-MP9486</t>
  </si>
  <si>
    <t>AMCA Onboard Charging Circuit</t>
  </si>
  <si>
    <t>PCB-ONBOARD-CHARGING</t>
  </si>
  <si>
    <t>SBus Generator Circuit (Tailored Solution)</t>
  </si>
  <si>
    <t>PCB-SBUS-NANO</t>
  </si>
  <si>
    <t>WCS1700 CT Coil current Sensor</t>
  </si>
  <si>
    <t>SEN-CUR-WCS1700-CTi35</t>
  </si>
  <si>
    <t>21700 Cell Holder 1x3 21.2mm bore</t>
  </si>
  <si>
    <t>PWR-CELL-HOLDER-1x3-21700-21.2MM</t>
  </si>
  <si>
    <t>Lithium Ion Battery Block 6X3 with Samsung 50S 21700</t>
  </si>
  <si>
    <t>PWR-BLK-6x3-50S</t>
  </si>
  <si>
    <t>50S</t>
  </si>
  <si>
    <t>Lithium Ion Battery Block 6X3 with Samsung 40T 21700</t>
  </si>
  <si>
    <t>PWR-BLK-6x3-40T</t>
  </si>
  <si>
    <t>40T</t>
  </si>
  <si>
    <t>Lithium Ion Battery Block 6X3 with Molicel P42A 21700</t>
  </si>
  <si>
    <t>PWR-BLK-6x3-P42A</t>
  </si>
  <si>
    <t>P42A</t>
  </si>
  <si>
    <t>Lithium Ion Cell Samsung 21700 50S</t>
  </si>
  <si>
    <t>PWR-BAR-2170-50S</t>
  </si>
  <si>
    <t>Lithium Ion Cell Samsung 21700 40T</t>
  </si>
  <si>
    <t>PWR-BAR-2170-40T</t>
  </si>
  <si>
    <t>Lithium Ion Cell Molicell 21700 P42A</t>
  </si>
  <si>
    <t>PWR-BAR-2170-P42A</t>
  </si>
  <si>
    <t>Lithium Ion Cell 18650 LG-MJ1</t>
  </si>
  <si>
    <t>PWR-BAR-1865-MJ1</t>
  </si>
  <si>
    <t>Lithium Ion Cell Holder 18650 SMD</t>
  </si>
  <si>
    <t>PWR-CELL-HOLDER-SMD-18650</t>
  </si>
  <si>
    <t>Cable USB Data &amp; Charging Cable 1m</t>
  </si>
  <si>
    <t>CAB-USB-1i5M24AWG</t>
  </si>
  <si>
    <t>Jack - DC 5.5mm Panel Mount</t>
  </si>
  <si>
    <t>CON-MIS-DCJACK-PM-505MM</t>
  </si>
  <si>
    <t>Lead Paste</t>
  </si>
  <si>
    <t>SOL-PAS-6040-ROHS</t>
  </si>
  <si>
    <t>Lead Wire 22AWG</t>
  </si>
  <si>
    <t>SOL-WIR-6040-ROHS-22AWG</t>
  </si>
  <si>
    <t>grm</t>
  </si>
  <si>
    <t>Voltage Regulator 3.3v SOT-223-4</t>
  </si>
  <si>
    <t>SIC-REG-AMS1117-33v</t>
  </si>
  <si>
    <t>LD1117S33CTR</t>
  </si>
  <si>
    <t>Heat Sink Pad 2mm Thickness</t>
  </si>
  <si>
    <t>HET-PAD-SIL-2MM-1W</t>
  </si>
  <si>
    <t>MPGCS-020-150-1.0AA</t>
  </si>
  <si>
    <t>Heat Sink Pad 1mm Thickness</t>
  </si>
  <si>
    <t>HET-PAD-SIL-1MM-1W</t>
  </si>
  <si>
    <t>Comparator IC - LM358DT SMD</t>
  </si>
  <si>
    <t>SIC-COM-LM358DT</t>
  </si>
  <si>
    <t>LM358DT</t>
  </si>
  <si>
    <t>Capacitor 0.1uF 0805</t>
  </si>
  <si>
    <t>CAP-SMD-0805-100V10P-0D1uF</t>
  </si>
  <si>
    <t>0805B104K101CT</t>
  </si>
  <si>
    <t>Capacitor 0.01uF 0805</t>
  </si>
  <si>
    <t>CAP-SMD-0805-100V10P-0D01uF</t>
  </si>
  <si>
    <t>C0805C103K1RACTU</t>
  </si>
  <si>
    <t>LED 0805 SMD</t>
  </si>
  <si>
    <t>IND-SMD-2D2v-RED</t>
  </si>
  <si>
    <t>KPTD-2012LVSURCK</t>
  </si>
  <si>
    <t>SSR-SPDT - TS5A3157DBVR</t>
  </si>
  <si>
    <t>SIC-SSR-TS5A3157DBVR</t>
  </si>
  <si>
    <t>TS5A3157DBVR</t>
  </si>
  <si>
    <t>Tactile Switch for IFU four leg</t>
  </si>
  <si>
    <t>SWI-PUS-THT-4LEG</t>
  </si>
  <si>
    <t>KSR231G LFS</t>
  </si>
  <si>
    <t>LM2596HVS-ADJ Buck only IC</t>
  </si>
  <si>
    <t>SIC-BUK-LM2596HVS-ADJ-50v3A</t>
  </si>
  <si>
    <t>LM2596HVS-ADJ</t>
  </si>
  <si>
    <t>MP9486AGN-Z 100v Buck converter IC</t>
  </si>
  <si>
    <t>SIC-BUK-MP9486AGN-Z-100v1A</t>
  </si>
  <si>
    <t>MP9486AGN-Z</t>
  </si>
  <si>
    <t>12v Fixed Buck 18-75 In MultiCom Pro</t>
  </si>
  <si>
    <t>DCC-BUK-MPRB4812LD-30W-v12i2D5</t>
  </si>
  <si>
    <t>MPRB4812LD-30W</t>
  </si>
  <si>
    <t>5v Fixed Buck 18-75 In MultiCom Pro</t>
  </si>
  <si>
    <t>DCC-BUK-MPRB4812LD-30W-v5i6</t>
  </si>
  <si>
    <t>MPRB4805LD-30W</t>
  </si>
  <si>
    <t>1N4148 SMD</t>
  </si>
  <si>
    <t>SIC-DIO-1N4148-100V1A</t>
  </si>
  <si>
    <t>1N4148W-7-F</t>
  </si>
  <si>
    <t>18pF 0805 capacitor</t>
  </si>
  <si>
    <t>CAP-SMD-0805-50V5P-18pF</t>
  </si>
  <si>
    <t>MC0805N180J500CT</t>
  </si>
  <si>
    <t>10uF 0805 capacitor</t>
  </si>
  <si>
    <t>CAP-SMD-0805-16V10P-10uF</t>
  </si>
  <si>
    <t>10uF 10v Tantalum Capacitor Case A</t>
  </si>
  <si>
    <t>CAP-SMD-TANTA-10V10P-10UF</t>
  </si>
  <si>
    <t>T491A106K010AT</t>
  </si>
  <si>
    <t>1k 0805 Resistor</t>
  </si>
  <si>
    <t>RES-SMD-0805-125mW5P-1k</t>
  </si>
  <si>
    <t>ERA6AEB102V (to be modified)</t>
  </si>
  <si>
    <t>10k 0805 resistor</t>
  </si>
  <si>
    <t>RES-SMD-0805-125mW5P-10k</t>
  </si>
  <si>
    <t>ERA6AEB103V (to be modified)</t>
  </si>
  <si>
    <t>510K Resistor</t>
  </si>
  <si>
    <t>RES-SMD-0805-125mW5P-510k</t>
  </si>
  <si>
    <t>560K Resistor</t>
  </si>
  <si>
    <t>RES-SMD-0805-125mW5P-560k</t>
  </si>
  <si>
    <t>MCWR08X564 JTL (to be modified)</t>
  </si>
  <si>
    <t>330E 0805 Resistor</t>
  </si>
  <si>
    <t>RES-SMD-0805-125mW1P-330E</t>
  </si>
  <si>
    <t>MCWR08X3300FTL (to be modified)</t>
  </si>
  <si>
    <t xml:space="preserve">22E 3W 2512 SMD Resistor </t>
  </si>
  <si>
    <t>RES-SMD-0805-3W1P-22E</t>
  </si>
  <si>
    <t>352222RJT/CGS</t>
  </si>
  <si>
    <t>Murata 12v 4.5A buck</t>
  </si>
  <si>
    <t>UWS-12/4.5-Q48N-C/</t>
  </si>
  <si>
    <t>Murata 5v 10A buck</t>
  </si>
  <si>
    <t>UWS-5/10-Q48N-C/</t>
  </si>
  <si>
    <t xml:space="preserve">1 MOhm Multitrim Pot 3296 </t>
  </si>
  <si>
    <t>1K MultiTrikm Pot 3296 Resistor</t>
  </si>
  <si>
    <t>2K 3296 Resistor</t>
  </si>
  <si>
    <t>5 W 1 Ω Resistor</t>
  </si>
  <si>
    <t>5 W 5 Ω Resistor</t>
  </si>
  <si>
    <t>Capacitor Electrolytic 10uF 63v 2.54mm pitch</t>
  </si>
  <si>
    <t xml:space="preserve">Relay Power SPST 23A-24v </t>
  </si>
  <si>
    <t>REL-PWR-SPST-24v-V63i23</t>
  </si>
  <si>
    <t>G2RL-1A-E2-CV-HA DC24</t>
  </si>
  <si>
    <t>Fuse 500mA</t>
  </si>
  <si>
    <t>MCP3208 Analog to Digital Conv.</t>
  </si>
  <si>
    <t>SIC-ADC-MCP3208-5V8CH</t>
  </si>
  <si>
    <t>MCP3208-CI/SL</t>
  </si>
  <si>
    <t>33uH 3.5A SMD Inductor</t>
  </si>
  <si>
    <t>IDR-SMD-SPM7054-uH33i3.5</t>
  </si>
  <si>
    <t>SPM7054VC-330M-D</t>
  </si>
  <si>
    <t>LM61 Temperature Sensor</t>
  </si>
  <si>
    <t>SEN-TEM-LM61</t>
  </si>
  <si>
    <t>LM61BIZ/NOPB</t>
  </si>
  <si>
    <t>47k 0805 PANASONIC</t>
  </si>
  <si>
    <t>RES-SMD-0805-125mW5P-47k</t>
  </si>
  <si>
    <t>ERJ6GEYJ473V / MCWR08X4702FTL</t>
  </si>
  <si>
    <t>47k 0805 BOURNS</t>
  </si>
  <si>
    <t>47k 0805 MURATA</t>
  </si>
  <si>
    <t>20k 0805 PANASONIC</t>
  </si>
  <si>
    <t>RES-SMD-0805-125mW5P-20k</t>
  </si>
  <si>
    <t>ERJ-P06F2002V/</t>
  </si>
  <si>
    <t>20k 0805 Panasonic (no more manufactured)</t>
  </si>
  <si>
    <t>ERJ-PB6D2002V</t>
  </si>
  <si>
    <t>30k 0805 Yageo</t>
  </si>
  <si>
    <t>RES-SMD-0805-125mW5P-30k</t>
  </si>
  <si>
    <t>RT0805FRE0730KL-YAGEO</t>
  </si>
  <si>
    <t>470k 0805 PANASONIC</t>
  </si>
  <si>
    <t>RES-SMD-0805-500mW5P-470k</t>
  </si>
  <si>
    <t>ERJUP6F4703V</t>
  </si>
  <si>
    <t>470k 0805 BOURNS</t>
  </si>
  <si>
    <t>RES-SMD-0805-125mW5P-470k</t>
  </si>
  <si>
    <t>ERJUP6F4703V / MCWR08X4703FTL</t>
  </si>
  <si>
    <t>470k 0805 MURATA</t>
  </si>
  <si>
    <t>15K 0805 Commercial quality</t>
  </si>
  <si>
    <t>RES-SMD-0805-125mW5P-15k</t>
  </si>
  <si>
    <t>N/A</t>
  </si>
  <si>
    <t>1uF 0805 PANASONIC</t>
  </si>
  <si>
    <t>CAP-SMD-0805-25V10P-1uF</t>
  </si>
  <si>
    <t>GCM21BR71E105KA56L</t>
  </si>
  <si>
    <t>16MHz Crystal oscillator</t>
  </si>
  <si>
    <t>OSC-SMD-ABM3-16MHZ-18pF</t>
  </si>
  <si>
    <t>ABM3-16.000MHZ-B2-T</t>
  </si>
  <si>
    <t>Buffer IC ULN2004 SMA</t>
  </si>
  <si>
    <t>SIC-AMP-SMD-ULN2004D-50V05A7CH</t>
  </si>
  <si>
    <t>ULN2004D1013TR</t>
  </si>
  <si>
    <t>SSR AQW282SX</t>
  </si>
  <si>
    <t>SIC-SSR-AQW282SX-63vD35A-2CH</t>
  </si>
  <si>
    <t>AQW282SX</t>
  </si>
  <si>
    <t>Atmega328P Controller</t>
  </si>
  <si>
    <t>SIC-MPU-TQFP-ATMEGA328PAN</t>
  </si>
  <si>
    <t>ATMEGA328P-AN</t>
  </si>
  <si>
    <t>Power Relay 120A 12v Y7</t>
  </si>
  <si>
    <t>HE1AN-W-DC12V-Y7</t>
  </si>
  <si>
    <t>Power Relay 90A 12v Y6</t>
  </si>
  <si>
    <t>REL-PWR-SPST-12v-V63i90</t>
  </si>
  <si>
    <t>HE1AN-W-DC12V-Y6</t>
  </si>
  <si>
    <t>Relay SPST 5A-12v</t>
  </si>
  <si>
    <t>REL-SIG-SPST-12v-V63i5</t>
  </si>
  <si>
    <t>G5NB-1A-E-12DC</t>
  </si>
  <si>
    <t>Relay DPDT 1A-24v</t>
  </si>
  <si>
    <t>REL-SIG-DPDT-24v-V63i1</t>
  </si>
  <si>
    <t>G5V-2-H1-24VDC</t>
  </si>
  <si>
    <t>Relay SPST 5A-24v</t>
  </si>
  <si>
    <t>REL-SIG-SPST-24v-V63i5</t>
  </si>
  <si>
    <t>G5NB-1A-E-24VDC</t>
  </si>
  <si>
    <t>5v 3A Power adapter DC Plug Orange</t>
  </si>
  <si>
    <t>5v 3A Power adapter DC Plug Ordinary</t>
  </si>
  <si>
    <t>9v 2A Power adapter DC Plug Orange</t>
  </si>
  <si>
    <t>SD Card 32GB</t>
  </si>
  <si>
    <t>MOD-SDCARD-32GB-CLASS10A</t>
  </si>
  <si>
    <t>16pin IC base</t>
  </si>
  <si>
    <t>BlueTooth Module</t>
  </si>
  <si>
    <t>MOD-BLE-HC05</t>
  </si>
  <si>
    <t>HC-05</t>
  </si>
  <si>
    <t>22E Resistor</t>
  </si>
  <si>
    <t>RES-THT-20MM-2W10P-22E</t>
  </si>
  <si>
    <t>iMAx B3 Charger</t>
  </si>
  <si>
    <t>9v Piezo Electric Buzzer</t>
  </si>
  <si>
    <t>Female Bergstrip 40x1 2.54mm</t>
  </si>
  <si>
    <t>CON-BRG-40X1-F2.54MM</t>
  </si>
  <si>
    <t>Male Bergstrip 40x1 2.54mm</t>
  </si>
  <si>
    <t>CON-BRG-40X1-M2.54MM</t>
  </si>
  <si>
    <t>Male Bergstrip Right angle strip 40x1 2.54mm</t>
  </si>
  <si>
    <t>Male Bergstrip Right angle strip 40x2 2.54mm</t>
  </si>
  <si>
    <t>strips</t>
  </si>
  <si>
    <t>Female Bergstrip 40x1 2.0mm</t>
  </si>
  <si>
    <t>CON-BRG-40X1-F2MM</t>
  </si>
  <si>
    <t>Male Bergstrip 40x1 2.0mm</t>
  </si>
  <si>
    <t>CON-BRG-40X1-M2MM</t>
  </si>
  <si>
    <t>Conformal Coating</t>
  </si>
  <si>
    <t>EAC-CONFORMAL</t>
  </si>
  <si>
    <t>Conformal Coating Loctite 3900</t>
  </si>
  <si>
    <t>EAC-CONFORMAL-LOC3900</t>
  </si>
  <si>
    <t>Global Electronics</t>
  </si>
  <si>
    <t>Connector Male 3 pin 2510</t>
  </si>
  <si>
    <t>CON-RMC-M3</t>
  </si>
  <si>
    <t>Connector Male 5 pin 2510</t>
  </si>
  <si>
    <t>CON-RMC-M5</t>
  </si>
  <si>
    <t xml:space="preserve">5 pin Female 2510 Cable 15cm one sided </t>
  </si>
  <si>
    <t>CON-CABLE-RMC-M5-OPEN</t>
  </si>
  <si>
    <t>3 pin 3 yrd power cord</t>
  </si>
  <si>
    <t>2 pin JST-XH housing</t>
  </si>
  <si>
    <t>CON-JXH-HOS-F2</t>
  </si>
  <si>
    <t>3 pin JST-XH housing</t>
  </si>
  <si>
    <t>CON-JXH-HOS-F3</t>
  </si>
  <si>
    <t>Connector Housing 13 pin JST-XH</t>
  </si>
  <si>
    <t>CON-JXH-HOS-F13</t>
  </si>
  <si>
    <t>Connector Housing 15 pin JST-XH</t>
  </si>
  <si>
    <t>CON-JXH-HOS-F15</t>
  </si>
  <si>
    <t>Connector Male 2 pin JST-XH Top Entry</t>
  </si>
  <si>
    <t>CON-JXH-TOP-M2</t>
  </si>
  <si>
    <t>2 pin JST-XH male top entry RED</t>
  </si>
  <si>
    <t>2 pin JST-XH male side entry</t>
  </si>
  <si>
    <t>3 pin JST-XH male top entry</t>
  </si>
  <si>
    <t>CON-JXH-TOP-M3</t>
  </si>
  <si>
    <t>4 pin JST-XH housing</t>
  </si>
  <si>
    <t>4 pin JST-XH male top entry</t>
  </si>
  <si>
    <t>4 pin JST-XH male side entry</t>
  </si>
  <si>
    <t>5 pin JST-XH housing</t>
  </si>
  <si>
    <t>5 pin JST-XH male top entry</t>
  </si>
  <si>
    <t>6 pin JST-XH housing</t>
  </si>
  <si>
    <t>6 pin JST-XH male top entry</t>
  </si>
  <si>
    <t>2510 Crimping pins</t>
  </si>
  <si>
    <t>Connector Male 13 pin JST-XH Top Entry</t>
  </si>
  <si>
    <t>CON-JXH-TOP-M13</t>
  </si>
  <si>
    <t>Connector Male 15 pin JST-XH Top Entry</t>
  </si>
  <si>
    <t>CON-JXH-TOP-M15</t>
  </si>
  <si>
    <t>JST-XH Crimping pins</t>
  </si>
  <si>
    <t>JST-XH Crimping pins Gold Finger</t>
  </si>
  <si>
    <t>Cable Crimped JST-XH One Side Red 25cm 14/38 Wire</t>
  </si>
  <si>
    <t>CAB-CRI-2511RED25CM14/38</t>
  </si>
  <si>
    <t>Cable Crimped JST-XH One Side Green 25cm 14/38 wire</t>
  </si>
  <si>
    <t>CAB-CRI-2511GREEN25CM14/38</t>
  </si>
  <si>
    <t>Cable Crimped JST-XH One Side Black 25cm 14/38 wire</t>
  </si>
  <si>
    <t>CAB-CRI-2511BLACK25CM14/38</t>
  </si>
  <si>
    <t>Cable Crimped JST One Side Black 10cm</t>
  </si>
  <si>
    <t>CAB-CRI-2515BLACK10CM14/38</t>
  </si>
  <si>
    <t>Cable Crimped JST One Side Green 10cm</t>
  </si>
  <si>
    <t>CAB-CRI-2515GREEN10CM14/38</t>
  </si>
  <si>
    <t>Cable Crimped JST One Side Violet 10cm</t>
  </si>
  <si>
    <t>CAB-CRI-2515VOILET10CM14/38</t>
  </si>
  <si>
    <t>Cable Crimped JST One Side Yellow 10cm</t>
  </si>
  <si>
    <t>CAB-CRI-2515YELLOW10CM14/38</t>
  </si>
  <si>
    <t>Cable Crimped JST One Side Sky Blue 10cm</t>
  </si>
  <si>
    <t>CAB-CRI-2515SBLUE10CM14/38</t>
  </si>
  <si>
    <t>Cable Crimped JST One Side Pink 10cm</t>
  </si>
  <si>
    <t>CAB-CRI-2515PINK10CM14/38</t>
  </si>
  <si>
    <t>Cable Crimped JST One Side Orange 10cm</t>
  </si>
  <si>
    <t>CAB-CRI-2515ORANGE10CM14/38</t>
  </si>
  <si>
    <t>Cable Crimped JST One Side Dark Blue 10cm</t>
  </si>
  <si>
    <t>CAB-CRI-2515DBLUE10CM14/38</t>
  </si>
  <si>
    <t>Cable Crimped JST One Side Light Brown 10cm</t>
  </si>
  <si>
    <t>CAB-CRI-2515LBROWN10CM14/38</t>
  </si>
  <si>
    <t>Cable Crimped JST One Side Dark Brown 10cm</t>
  </si>
  <si>
    <t>CAB-CRI-2515DBROWN10CM14/38</t>
  </si>
  <si>
    <t>Cable Crimped JST One Side White with Red Strip 10cm</t>
  </si>
  <si>
    <t>CAB-CRI-2515WHITERED10CM14/38</t>
  </si>
  <si>
    <t>Cable Crimped JST One Side White with Black Strip 10cm</t>
  </si>
  <si>
    <t>CAB-CRI-2515WHITEBLACK10CM14/38</t>
  </si>
  <si>
    <t>Cable Crimped JST One Side White 10cm</t>
  </si>
  <si>
    <t>CAB-CRI-2515WHITE10CM14/38</t>
  </si>
  <si>
    <t>Cable Crimped JST One Side Red 10cm</t>
  </si>
  <si>
    <t>CAB-CRI-2515RED10CM14/38</t>
  </si>
  <si>
    <t>Cable Crimped JST One Side Light Grey 10cm</t>
  </si>
  <si>
    <t>CAB-CRI-2515LGREY10CM14/38</t>
  </si>
  <si>
    <t>Cable Crimped JST One Side Dark Grey 10cm</t>
  </si>
  <si>
    <t>CAB-CRI-2515DGREY10CM14/38</t>
  </si>
  <si>
    <t>Cable Crimped JST One Side Cyan 10cm</t>
  </si>
  <si>
    <t>CAB-CRI-2515CYAN10CM14/38</t>
  </si>
  <si>
    <t>Cable Crimped JST One Side Dark Parrot Green 10cm</t>
  </si>
  <si>
    <t>CAB-CRI-2515PGREEN10CM14/38</t>
  </si>
  <si>
    <t>Cable Balancing Microfit</t>
  </si>
  <si>
    <t>CAB-BAL-MFIT20CM20WGISDT</t>
  </si>
  <si>
    <t>Tactile switch for Reset Two Leg</t>
  </si>
  <si>
    <t>SWI-PUS-SMD-2LEG</t>
  </si>
  <si>
    <t xml:space="preserve">Antenna 915MHz </t>
  </si>
  <si>
    <t>RAD-ANT-OMPCH1W915</t>
  </si>
  <si>
    <t>Cable Extension Converter Ipex4 to SMA (for R9MM ipex4) 15cm</t>
  </si>
  <si>
    <t>CAB-CAX-SMAFtoIPEX11.13</t>
  </si>
  <si>
    <t>Robu: 1675004</t>
  </si>
  <si>
    <t>Cable Extension R9M Antenna - RP-SMA to Open 20cm</t>
  </si>
  <si>
    <t>CAB-CAX-RPSMAFtoOPEN1.13</t>
  </si>
  <si>
    <t>RP-SMA Female inline connector for RG174</t>
  </si>
  <si>
    <t>synergy</t>
  </si>
  <si>
    <t>RP-SMA Male inline connector for RG174</t>
  </si>
  <si>
    <t>RP-SMA Female inline connector for RG142</t>
  </si>
  <si>
    <t>RP-SMA Male inline connector for RG142</t>
  </si>
  <si>
    <t>SMA Female inline connector for RG174</t>
  </si>
  <si>
    <t>SMA Male inline connector for RG174</t>
  </si>
  <si>
    <t>SMA Female inline connector for RG142</t>
  </si>
  <si>
    <t>SMA Male connector inline for RG142</t>
  </si>
  <si>
    <t xml:space="preserve">RG174 Coaxial cable </t>
  </si>
  <si>
    <t xml:space="preserve">RG142 Coaxial cable </t>
  </si>
  <si>
    <t>25Core Wire 14/38</t>
  </si>
  <si>
    <t>20 Core Wire 14/38</t>
  </si>
  <si>
    <t>CAB-MCO-20C14/38LENChetan</t>
  </si>
  <si>
    <t>16 Core Wire 14/38</t>
  </si>
  <si>
    <t>CAB-MCO-16C14/38LENChetan</t>
  </si>
  <si>
    <t>12 Core Wire 14/38</t>
  </si>
  <si>
    <t>CAB-MCO-12C14/38LENChetan</t>
  </si>
  <si>
    <t>10 Core Wire 14/38</t>
  </si>
  <si>
    <t>CAB-MCO-10C14/38LENChetan</t>
  </si>
  <si>
    <t>8 Core Wire 14/38</t>
  </si>
  <si>
    <t>CAB-MCO-8C14/38LENChetan</t>
  </si>
  <si>
    <t>6 Core Wire 14/38</t>
  </si>
  <si>
    <t>CAB-MCO-6C14/38LENChetan</t>
  </si>
  <si>
    <t>Red 14/38 Wire</t>
  </si>
  <si>
    <t>CAB-SCO-1C14/38LENChetan-Red</t>
  </si>
  <si>
    <t>Black 14/38 Wire</t>
  </si>
  <si>
    <t>CAB-SCO-1C14/38LENChetan-Black</t>
  </si>
  <si>
    <t>Yellow 14/38 Wire</t>
  </si>
  <si>
    <t>CAB-SCO-1C14/38LENChetan-Yellow</t>
  </si>
  <si>
    <t>White 14/38 Wire</t>
  </si>
  <si>
    <t>CAB-SCO-1C14/38LENChetan-White</t>
  </si>
  <si>
    <t>Sky Blue 14/38 Wire</t>
  </si>
  <si>
    <t>CAB-SCO-1C14/38LENChetan-SkyBlue</t>
  </si>
  <si>
    <t>Dark Blue 14/38 Wire</t>
  </si>
  <si>
    <t>CAB-SCO-1C14/38LENChetan-DarkBlue</t>
  </si>
  <si>
    <t>Orange 14/38 Wire</t>
  </si>
  <si>
    <t>CAB-SCO-1C14/38LENChetan-Orange</t>
  </si>
  <si>
    <t>Green 14/38 Wire</t>
  </si>
  <si>
    <t>CAB-SCO-1C14/38LENChetan-Green</t>
  </si>
  <si>
    <t>Purple 14/38 Wire</t>
  </si>
  <si>
    <t>CAB-SCO-1C14/38LENChetan-Purple</t>
  </si>
  <si>
    <t>Brown 14/38 Wire</t>
  </si>
  <si>
    <t>CAB-SCO-1C14/38LENChetan-Brown</t>
  </si>
  <si>
    <t>D. Brown 14/38 Wire</t>
  </si>
  <si>
    <t>CAB-SCO-1C14/38LENChetan-DarkBrown</t>
  </si>
  <si>
    <t>Cyan 14/38 Wire</t>
  </si>
  <si>
    <t>CAB-SCO-1C14/38LENChetan-Cyan</t>
  </si>
  <si>
    <t>ParrotGreen 14/38 Wire</t>
  </si>
  <si>
    <t>CAB-SCO-1C14/38LENChetan-ParrotGreen</t>
  </si>
  <si>
    <t>Pink 14/38 Wire</t>
  </si>
  <si>
    <t>CAB-SCO-1C14/38LENChetan-Pink</t>
  </si>
  <si>
    <t>White Red 14/38 Wire</t>
  </si>
  <si>
    <t>CAB-SCO-1C14/38LENChetan-WhiteRed</t>
  </si>
  <si>
    <t>White Black 14/38 Wire</t>
  </si>
  <si>
    <t>CAB-SCO-1C14/38LENChetan-WhiteBlack</t>
  </si>
  <si>
    <t>Light Grey 14/38 Wire</t>
  </si>
  <si>
    <t>CAB-SCO-1C14/38LENChetan-Grey</t>
  </si>
  <si>
    <t>Dark Grey 14/38 Wire</t>
  </si>
  <si>
    <t>CAB-SCO-1C14/38LENChetan-DarkGrey</t>
  </si>
  <si>
    <t>Aft plate Acrylic for Template</t>
  </si>
  <si>
    <t>FAB-TEM-AFT-SSLIFE</t>
  </si>
  <si>
    <t>Battery Charger - Lithium 12S Lipo 1000Watt X16</t>
  </si>
  <si>
    <t>MOD-CHG-X16-220VAC-16Si20-2CH</t>
  </si>
  <si>
    <t>X16</t>
  </si>
  <si>
    <t>8S Lipo Charger ISDT Q8</t>
  </si>
  <si>
    <t>Battery Charger - Lithium 4S Lipo ISDT PD60</t>
  </si>
  <si>
    <t>MOD-CHG-PD60-V5i6-4Si6-1CH</t>
  </si>
  <si>
    <t>SaifSeasLIfe Hull 8kg Orange</t>
  </si>
  <si>
    <t>FAB-ROT-HULL-8KG-ORANGE</t>
  </si>
  <si>
    <t>JCB Body cum mounting frame</t>
  </si>
  <si>
    <t>SaifSeasLife Self Righting Structure</t>
  </si>
  <si>
    <t>FAB-ROT-SRSTRUCT-ORANGE</t>
  </si>
  <si>
    <t>SaifSeasLife Self Righting Pillow</t>
  </si>
  <si>
    <t>FAB-ROT-SRPILLOW-ORANGE</t>
  </si>
  <si>
    <t>Coupling Hood</t>
  </si>
  <si>
    <t>2mm FRP 60x70mm with 18 mm hole</t>
  </si>
  <si>
    <t>FAB-MCN-60x70-2mmFRP-18mmHole</t>
  </si>
  <si>
    <t>1mm FRP 55x65mm</t>
  </si>
  <si>
    <t>FAB-MCN-55x65-1mmFRP</t>
  </si>
  <si>
    <t>flow sensor Clamp</t>
  </si>
  <si>
    <t>Battery Clamp 6S 3P</t>
  </si>
  <si>
    <t>FAB-MCN-6S3P-CLAMP</t>
  </si>
  <si>
    <t>Electronic Box Top Lid</t>
  </si>
  <si>
    <t>FAB-IJM-ElecBox-TopLid</t>
  </si>
  <si>
    <t>Kangaroo Box</t>
  </si>
  <si>
    <t>FAB-IJM-Kangaroo-Box</t>
  </si>
  <si>
    <t>Kangaroo Lid Cover</t>
  </si>
  <si>
    <t>FAB-IJM-Kangaroo-TopLid</t>
  </si>
  <si>
    <t>Battery holding foam block Side (115×80×35)</t>
  </si>
  <si>
    <t>Battery holding foam block Upside (80×80×35)</t>
  </si>
  <si>
    <t>EPE Packing for Battery Clamping UP on jet plate (150×80×20)</t>
  </si>
  <si>
    <t>EPE-20mm-150x80</t>
  </si>
  <si>
    <t>EPE Packing for Battery Clamping B&amp;F on jet plate (80×80×10)</t>
  </si>
  <si>
    <t>EPE-10mm-80x80</t>
  </si>
  <si>
    <t>EPE Packing for Electronic Box Under (150x230x25 in mm)</t>
  </si>
  <si>
    <t>EPE-25mm-150x230</t>
  </si>
  <si>
    <t>EPE Packing for Electronic Box Above (125x40x25 in mm)</t>
  </si>
  <si>
    <t>EPE-30mm-150x80</t>
  </si>
  <si>
    <t>Cable Zip ties 100x3 MultiCompro</t>
  </si>
  <si>
    <t>COR-ZIP-100M3M-MULTICOMPRO</t>
  </si>
  <si>
    <t>Zip ties 200m</t>
  </si>
  <si>
    <t>Zip ties 250m Regular</t>
  </si>
  <si>
    <t>COR-ZIP-250M3M-COMM</t>
  </si>
  <si>
    <t>Zip ties 300m</t>
  </si>
  <si>
    <t>COR-ZIP-300M3M-COMM</t>
  </si>
  <si>
    <t>Ferrite Core</t>
  </si>
  <si>
    <t>EAC-TOR-CF199T1306C</t>
  </si>
  <si>
    <t>CF199T1306C</t>
  </si>
  <si>
    <t xml:space="preserve">Connector Circular PM Male SY21-15 Pin </t>
  </si>
  <si>
    <t>CON-CRC-SY21BY-PM-M15PL67</t>
  </si>
  <si>
    <t>SY2112/P15-1N</t>
  </si>
  <si>
    <t xml:space="preserve">Connector Circular CM Female SY21-15 Pin </t>
  </si>
  <si>
    <t>CON-CRC-SY21BY-CM-F15PL67</t>
  </si>
  <si>
    <t>SY2116/S15II-1N</t>
  </si>
  <si>
    <t>Connector Circular CM Metal Male WY20 - 15 Pin</t>
  </si>
  <si>
    <t>CON-CRC-WY20BY-PM-M15PL67</t>
  </si>
  <si>
    <t>Connector Circular PM Metal Female WY20 - 15 Pin</t>
  </si>
  <si>
    <t>CON-CRC-WY20BY-CM-F15PL67</t>
  </si>
  <si>
    <t>Connector SY21-15 pin panel mount(Female) OLD</t>
  </si>
  <si>
    <t>CON-CRC-SY21BY-PM-F15PL67</t>
  </si>
  <si>
    <t>SY2112/S15-1N</t>
  </si>
  <si>
    <t>Connector SY21-15 pin Cable Mount(Male) OLD</t>
  </si>
  <si>
    <t>CON-CRC-SY21BY-CM-M15PL67</t>
  </si>
  <si>
    <t>SY2116/P15II-1N</t>
  </si>
  <si>
    <t>Connector Circular CM Metal Male WY-28</t>
  </si>
  <si>
    <t>CON-CRC-WY28BY-CM-M26AL67-RA</t>
  </si>
  <si>
    <t>WY28J26TE1</t>
  </si>
  <si>
    <t>Connector Circular PM Metal Female WY-28</t>
  </si>
  <si>
    <t>CON-CRC-WY28BY-CM-F26AL67</t>
  </si>
  <si>
    <t>WY28K26ZM1</t>
  </si>
  <si>
    <t>Connector Circular Push Pull CM Male SA12 9pin</t>
  </si>
  <si>
    <t>CON-CRC-SA12PF-CM-M9AL67-ST</t>
  </si>
  <si>
    <t>SA1210/P9IB</t>
  </si>
  <si>
    <t>Connector Circular Push Pull PM Female SA12 9pin</t>
  </si>
  <si>
    <t>CON-CRC-SA12PF-PM-F9AL67-ST</t>
  </si>
  <si>
    <t>SA1212/S9B</t>
  </si>
  <si>
    <t>Connector Circular Push Pull CM Female SA12 9pin</t>
  </si>
  <si>
    <t>CON-CRC-SA12PF-CM-F9AL67-ST</t>
  </si>
  <si>
    <t>SA1211/S9IB</t>
  </si>
  <si>
    <t>WK20-15 IP68 CM Metal Connector Male</t>
  </si>
  <si>
    <t>WK20J15TE1I</t>
  </si>
  <si>
    <t>WK20-15 IP68 CM Metal Connector Female</t>
  </si>
  <si>
    <t>WK20K15TE1I</t>
  </si>
  <si>
    <t>WK20-15 IP68 PM Metal connector (Female)</t>
  </si>
  <si>
    <t>WK20K15ZM1</t>
  </si>
  <si>
    <t>WK20-15 IP68 PM Metal connector (Male)</t>
  </si>
  <si>
    <t>WK20J15ZM1</t>
  </si>
  <si>
    <t>Connector Circular Plug Clip Lock CM Female LP24 24-Pin</t>
  </si>
  <si>
    <t>CON-CRS-LP24PF-CM-F24PL67-ST</t>
  </si>
  <si>
    <t>LP24-J24PE-01-001</t>
  </si>
  <si>
    <t>Connector Circular Socket Clip Lock PM Male LP24 24 Pin</t>
  </si>
  <si>
    <t>CON-CRS-LP24PF-PM-M24PL67</t>
  </si>
  <si>
    <t>LP24-C24SX-03-401</t>
  </si>
  <si>
    <t>LP12 3 pin plug male clip lock CM</t>
  </si>
  <si>
    <t>CON-CRS-LP12PF-CM-M3PL67-ST</t>
  </si>
  <si>
    <t>LP-12- C03PE-02-001</t>
  </si>
  <si>
    <t>LP12 3 pin socket female clip lock PM</t>
  </si>
  <si>
    <t>CON-CRS-LP12PF-PM-F3PL67-ST</t>
  </si>
  <si>
    <t>LP-12- J03SX-02-101</t>
  </si>
  <si>
    <t>LP12 4 pin plug male clip lock CM</t>
  </si>
  <si>
    <t>CON-CRS-LP12PF-CM-M4PL67-ST</t>
  </si>
  <si>
    <t>LP-12-C04PE-02-001</t>
  </si>
  <si>
    <t>LP12 4 pin socket female clip lock PM</t>
  </si>
  <si>
    <t>CON-CRS-LP12PF-PM-F4PL67-ST</t>
  </si>
  <si>
    <t>LP-12-J04SX-03-001</t>
  </si>
  <si>
    <t>LP12 6 pin plug male clip lock CM</t>
  </si>
  <si>
    <t>CON-CRS-LP12PF-CM-M6PL67-ST</t>
  </si>
  <si>
    <t>LP-12-C06PE-02-001</t>
  </si>
  <si>
    <t>LP12 6 pin socket female clip lock CM</t>
  </si>
  <si>
    <t>CON-CRS-LP12PF-CM-F6PL67-ST</t>
  </si>
  <si>
    <t>LP-12-J06PP-03-001</t>
  </si>
  <si>
    <t>LP12 8 pin plug male clip lock CM</t>
  </si>
  <si>
    <t>CON-CRS-LP12PF-CM-M8PL67-ST</t>
  </si>
  <si>
    <t>LP-12-C08PE-02-001</t>
  </si>
  <si>
    <t>LP12 8 pin socket female clip lock PM</t>
  </si>
  <si>
    <t>CON-CRS-LP12PF-PM-F8PL67-ST</t>
  </si>
  <si>
    <t>LP-12-J08SX-03-001</t>
  </si>
  <si>
    <t>Water tank for JCB</t>
  </si>
  <si>
    <t xml:space="preserve">Leak Probe Sponge - BlueRobotics </t>
  </si>
  <si>
    <t>SEN-LEK-BLUEROBOTICS-PROB</t>
  </si>
  <si>
    <t>BR-100954</t>
  </si>
  <si>
    <t xml:space="preserve">Indicator Panel Mount - BlueRobotics </t>
  </si>
  <si>
    <t>IND-PAM-Al68-12V</t>
  </si>
  <si>
    <t>BR-100551-001</t>
  </si>
  <si>
    <t xml:space="preserve">Rotary Main Switch - BlueRobotics - IP68 </t>
  </si>
  <si>
    <t>SWI-ROT-BLUEROBOTICS-v63i5</t>
  </si>
  <si>
    <t>BR-100433</t>
  </si>
  <si>
    <t>LED SMD Red 2835 1W</t>
  </si>
  <si>
    <t>IND-SMD-W1LEG-RD</t>
  </si>
  <si>
    <t>1w 350mA Emitter Red</t>
  </si>
  <si>
    <t>LED SMD Green 2835 1W</t>
  </si>
  <si>
    <t>IND-SMD-W1LEG-GR</t>
  </si>
  <si>
    <t>1w 350mA Emitter Green</t>
  </si>
  <si>
    <t>Bolt Self Tap Screw No. 4 M4x6.5 Philips SS304 - Remote</t>
  </si>
  <si>
    <t>FAS-TAP-4No605MPH304SS</t>
  </si>
  <si>
    <t>M2x9.5 Selp tapping SS304 - Remote</t>
  </si>
  <si>
    <t>FAS-TAP-2No605MPH304SS</t>
  </si>
  <si>
    <t>Bolt M3x6 CSK Phillips - Flashing Lights (PCB)</t>
  </si>
  <si>
    <t>FAS-BLT-CSK-3M50M-PH-304SS</t>
  </si>
  <si>
    <t>M3x6 Allen Head</t>
  </si>
  <si>
    <t>FAS-BLT-ALN-3M6M-HX-304SS</t>
  </si>
  <si>
    <t>Bolt M3x8 CSK Phillips - Inlet Block Mesh</t>
  </si>
  <si>
    <t>FAS-BLT-CSK-3M8M-PH-304SS</t>
  </si>
  <si>
    <t>Bolt Button Head M3x8 SS 304 Flashing Lights</t>
  </si>
  <si>
    <t>FAS-BLT-BUT-3M8M-HX-304SS</t>
  </si>
  <si>
    <t>M3x12 CSK Phillips - Charger Panel</t>
  </si>
  <si>
    <t>FAS-BLT-CSK-3M12M-PH-304SS</t>
  </si>
  <si>
    <t>M3x12 Allen Head</t>
  </si>
  <si>
    <t>FAS-BLT-ALN-3M12M-HX-304SS</t>
  </si>
  <si>
    <t>Bolt M3x30 CSK Phillips SS 304 - ESC</t>
  </si>
  <si>
    <t>FAS-BLT-CSK-3M20M-PH-304SS</t>
  </si>
  <si>
    <t>M3x8 Allen Head</t>
  </si>
  <si>
    <t>FAS-BLT-ALN-3M8M-HX-304SS</t>
  </si>
  <si>
    <t>Washer Plain M3x10x1 SS 304 - Charger Panel</t>
  </si>
  <si>
    <t>FAS-WAS-PWS-3M10M1M-304SS</t>
  </si>
  <si>
    <t xml:space="preserve">M3x10 CSK </t>
  </si>
  <si>
    <t>Washer Spring  M3x8x1 SS 304</t>
  </si>
  <si>
    <t>FAS-WAS-SPWS-3M8M1M-304SS</t>
  </si>
  <si>
    <t>M3x5 Grub Screws</t>
  </si>
  <si>
    <t>FAS-GRB-3M5M-HX-304SS</t>
  </si>
  <si>
    <t>Bolt CSK Head M4x8 Phillips SS 304</t>
  </si>
  <si>
    <t>FAS-BLT-CSK-4M8M-PH-304SS</t>
  </si>
  <si>
    <t>Bolt CSK Head M4x8 Phillips GI</t>
  </si>
  <si>
    <t>FAS-BLT-CSK-4M8M-PH-GI</t>
  </si>
  <si>
    <t>M4 Hex Nut</t>
  </si>
  <si>
    <t>FAS-NUT-4M-HEX-SS304</t>
  </si>
  <si>
    <t>Bolt M2x15 Allen Head SS3042</t>
  </si>
  <si>
    <t>FAS-BLT-ALN-2M15M-HX-304SS</t>
  </si>
  <si>
    <t>M2x12 Allen Cap</t>
  </si>
  <si>
    <t>FAS-BLT-ALN-2M12M-HX-304SS</t>
  </si>
  <si>
    <t>Bolt CSK Head M4x10 Phillips SS 304</t>
  </si>
  <si>
    <t>FAS-BLT-CSK-4M10M-PH-304SS</t>
  </si>
  <si>
    <t>M4x20 CSK Phillips - Electronic Box top lid</t>
  </si>
  <si>
    <t>FAS-BLT-CSK-4M20M-PH-304SS</t>
  </si>
  <si>
    <t>M4x20 Plain Washer</t>
  </si>
  <si>
    <t>FAS-WAS-PWS-4M20M1M-304SS</t>
  </si>
  <si>
    <t>M4x20 Button Head</t>
  </si>
  <si>
    <t>FAS-BLT-BUT-4M20M-HX-304SS</t>
  </si>
  <si>
    <t>Bolt Allen Head M4x12 SS 304 - Motor Mount</t>
  </si>
  <si>
    <t>FAS-BLT-ALN-4M12M-HX-304SS</t>
  </si>
  <si>
    <t>Bolt Allen Head M4x16 SS 304 - Aft Plate</t>
  </si>
  <si>
    <t>FAS-BLT-ALN-4M16M-HX-304SS</t>
  </si>
  <si>
    <t>M4x16 CSK Philips</t>
  </si>
  <si>
    <t>M4x6 pan Combi - Jet Assy</t>
  </si>
  <si>
    <t>FAS-BLT-PAN-4M6M-PH-304SS</t>
  </si>
  <si>
    <t>M4x8 Pan Combi</t>
  </si>
  <si>
    <t>FAS-BLT-PAN-4M8M-PH-304SS</t>
  </si>
  <si>
    <t>M4x16 Pan Combi</t>
  </si>
  <si>
    <t>FAS-BLT-PAN-4M16M-PH-304SS</t>
  </si>
  <si>
    <t>M4x10 Allen head</t>
  </si>
  <si>
    <t>FAS-BLT-ALN-4M10M-HX-304SS</t>
  </si>
  <si>
    <t>M4x30 Allen head</t>
  </si>
  <si>
    <t>FAS-BLT-ALN-4M30M-HX-304SS</t>
  </si>
  <si>
    <t>M4x30 Button Head</t>
  </si>
  <si>
    <t>FAS-BLT-BUT-4M30M-HX-304SS</t>
  </si>
  <si>
    <t>M4X40 Allen head</t>
  </si>
  <si>
    <t>FAS-BLT-ALN-4M40M-HX-304SS</t>
  </si>
  <si>
    <t>M4x20 Pan Combi Washers GI for wooden box Padlock</t>
  </si>
  <si>
    <t>FAS-BLT-PANCOMBI-4M20M-GI</t>
  </si>
  <si>
    <t>M4x30 Pan Combi Washer GI for wooden Padlock</t>
  </si>
  <si>
    <t>FAS-BLT-PANCOMBI-4M30M-GI</t>
  </si>
  <si>
    <t>M4 Hex Nut GI</t>
  </si>
  <si>
    <t>FAS-NUT-4M-HEX-GI</t>
  </si>
  <si>
    <t>M4x12 plain washer GI for wooden box</t>
  </si>
  <si>
    <t>FAS-WAS-PWS-4M12M1M-GI</t>
  </si>
  <si>
    <t>M5x15 plain washer</t>
  </si>
  <si>
    <t>FAS-WAS-PWS-5M15M1M-304SS</t>
  </si>
  <si>
    <t>M5x15 Allen Head</t>
  </si>
  <si>
    <t>FAS-BLT-ALN-4M15M-HX-304SS</t>
  </si>
  <si>
    <t>M5x20 Allen Head</t>
  </si>
  <si>
    <t>FAS-BLT-ALN-4M20M-HX-304SS</t>
  </si>
  <si>
    <t>M5x20 Button Head</t>
  </si>
  <si>
    <t xml:space="preserve">M5x20 Pan Combi Washers GI for wooden box </t>
  </si>
  <si>
    <t>FAS-BLT-PANCOMBI-5M20M-GI</t>
  </si>
  <si>
    <t>M5x30 Pan Combi Washer GI for wooden for hinge only</t>
  </si>
  <si>
    <t>FAS-BLT-PANCOMBI-5M30M-GI</t>
  </si>
  <si>
    <t>M5 Hex Nut GI</t>
  </si>
  <si>
    <t>FAS-NUT-5M-HEX-GI</t>
  </si>
  <si>
    <t>Bolt Allen Head M4x20 SS 304 - Jet with hull assy</t>
  </si>
  <si>
    <t>M4X12 CSK Phillips SS 304 - Jets plate motor assy</t>
  </si>
  <si>
    <t>FAS-BLT-CSK-4M12M-PH-304SS</t>
  </si>
  <si>
    <t>M4x15 Pan Combi Washer</t>
  </si>
  <si>
    <t xml:space="preserve">Bolt Button Head M4x8 SS 304 </t>
  </si>
  <si>
    <t>FAS-BLT-BUT-4M8M-HX-304SS</t>
  </si>
  <si>
    <t>Bolt Button Head M4x12 SS 304 - Flashing Lights</t>
  </si>
  <si>
    <t>FAS-BLT-BUT-4M12M-HX-304SS</t>
  </si>
  <si>
    <t>Bolt Pan Head Combi M4x12 SS 304 - Inlet Block with hull assy</t>
  </si>
  <si>
    <t>FAS-BLT-PANCOMBI-4M12M-PH-304SS</t>
  </si>
  <si>
    <t>Plain Washer M4x12x1 SS 304 - Jet with hull, Inlet block</t>
  </si>
  <si>
    <t>FAS-WAS-PWS-4M12M1M-304SS</t>
  </si>
  <si>
    <t>Spring Washer M4x8x1 SS 304 - Aft Plate</t>
  </si>
  <si>
    <t>FAS-WAS-SWS-4M8M1M-304SS</t>
  </si>
  <si>
    <t>M4 Nylock Nut SS 304</t>
  </si>
  <si>
    <t>FAS-NUT-4M-NYL-304SS</t>
  </si>
  <si>
    <t>M3 Nylock</t>
  </si>
  <si>
    <t>FAS-NUT-4M-HEX-304SS</t>
  </si>
  <si>
    <t>Nut Square M4 SS 304 - Jet Assy</t>
  </si>
  <si>
    <t>FAS-NUT-4M-SQR-304SS</t>
  </si>
  <si>
    <t>Nut Square M3 SS 304 - Charger panel</t>
  </si>
  <si>
    <t>FAS-NUT-3M-SQR-304SS</t>
  </si>
  <si>
    <t>M3 Hex Nuts - Charger</t>
  </si>
  <si>
    <t>FAS-NUT-3M-HEX-SS304</t>
  </si>
  <si>
    <t>Grub Screw M4x5 SS 304 - Jet Assy</t>
  </si>
  <si>
    <t>FAS-GRB-4M5M-HX-304SS</t>
  </si>
  <si>
    <t>M5x10 Allen Head (AMCA)</t>
  </si>
  <si>
    <t>FAS-BLT-ALN-5M10M-HX-304SS</t>
  </si>
  <si>
    <t>Bolt Pan Torx Head M5x10 SS 304</t>
  </si>
  <si>
    <t>FAS-BLT-TRX-5M10M-T25-304SS</t>
  </si>
  <si>
    <t>Grub Screw M5x10 SS 304</t>
  </si>
  <si>
    <t>FAS-GRB-4M10M-HX-304SS</t>
  </si>
  <si>
    <t>Grub Screws M5x5 SS304</t>
  </si>
  <si>
    <t>M5x16 Allen Cap</t>
  </si>
  <si>
    <t>FAS-BLT-ALN-5M16M-HX-304SS</t>
  </si>
  <si>
    <t>M5x16 Button Head</t>
  </si>
  <si>
    <t>FAS-BLT-BUT-5M16M-HX-304SS</t>
  </si>
  <si>
    <t>M5x16 Plain washers</t>
  </si>
  <si>
    <t>M5x20 Allen Cap</t>
  </si>
  <si>
    <t>M5x50 CSK Philips</t>
  </si>
  <si>
    <t>FAS-BLT-CSK-5M50M-PH-304SS</t>
  </si>
  <si>
    <t>M5x50 Allen Head</t>
  </si>
  <si>
    <t>FAS-BLT-ALN-5M50M-HX-304SS</t>
  </si>
  <si>
    <t>M5 Square Nuts</t>
  </si>
  <si>
    <t>FAS-NUT-5M-SQR-304SS</t>
  </si>
  <si>
    <t>Bolt Allen Head M6x50 SS 304</t>
  </si>
  <si>
    <t>FAS-BLT-ALN-6M50M-HX-304SS</t>
  </si>
  <si>
    <t>M6x50 Button Head SS304</t>
  </si>
  <si>
    <t>Bolt Allen Head M6x150 SS 304 - SR Pillow &amp; Structure</t>
  </si>
  <si>
    <t>FAS-BLT-ALN-6M150M-HX-304SS</t>
  </si>
  <si>
    <t>Nut Nylock M6 SS 304 - SR Pillow &amp; Structure</t>
  </si>
  <si>
    <t>FAS-NUT-6M-NYL-304SS</t>
  </si>
  <si>
    <t>M6x16 Button Head</t>
  </si>
  <si>
    <t>FAS-BLT-BUT-6M16M-HX-304SS</t>
  </si>
  <si>
    <t>Washer Plain M6x15x1 SS 304 - SR Pillow &amp; Structure</t>
  </si>
  <si>
    <t>FAS-WAS-PWS-6M15M1M-304SS</t>
  </si>
  <si>
    <t>M6x20 Button head</t>
  </si>
  <si>
    <t>FAS-BLT-BUT-6M20M-HX-304SS</t>
  </si>
  <si>
    <t>M6x25 button head</t>
  </si>
  <si>
    <t>FAS-BLT-BUT-6M25M-HX-304SS</t>
  </si>
  <si>
    <t>Grub Screw M6x10 SS 304 - Coupling</t>
  </si>
  <si>
    <t>FAS-GRB-4M5M-HX-SS304</t>
  </si>
  <si>
    <t>Nut Dome M6 SS 304</t>
  </si>
  <si>
    <t>FAS-NUT-6M-DOM-304SS</t>
  </si>
  <si>
    <t>M6x12 Button Head</t>
  </si>
  <si>
    <t>FAS-BLT-BUT-6M12M-HX-304SS</t>
  </si>
  <si>
    <t>M6x30 Button Head</t>
  </si>
  <si>
    <t>FAS-BLT-BUT-6M30M-HX-304SS</t>
  </si>
  <si>
    <t>M6x30 Allen Head</t>
  </si>
  <si>
    <t>FAS-BLT-ALN-6M30MHX-304SS</t>
  </si>
  <si>
    <t>6mm Hex Nut</t>
  </si>
  <si>
    <t>FAS-NUT-6M-HEX-SS304</t>
  </si>
  <si>
    <t>Washer Plain M8x20x2 SS 304 - SR on hull Assy</t>
  </si>
  <si>
    <t>FAS-WAS-PWS-8M20M2M-304SS</t>
  </si>
  <si>
    <t>Bolt Allen Head M8x25 SS 304 - SR on hull Assy</t>
  </si>
  <si>
    <t>FAS-BLT-ALN-8M25MHX-304SS</t>
  </si>
  <si>
    <t>M8x25 GI Bolts</t>
  </si>
  <si>
    <t>M8x25 GI Nuts</t>
  </si>
  <si>
    <t>Bolt Button Head Torx M5X12 SS 304 - Kangaroo, Aft, Front Lid</t>
  </si>
  <si>
    <t>FAS-BLT-TRX-5M12M-T25-SS304</t>
  </si>
  <si>
    <t>Bolt CSK Phillips M5X12 SS 304 (Kangaroo Top Lid)</t>
  </si>
  <si>
    <t>FAS-BLT-CSK-5M12M-PH-304SS</t>
  </si>
  <si>
    <t>M5x12 x1.2 Plain Washers ( Kangaroo Installation)</t>
  </si>
  <si>
    <t>FAS-WAS-PWS-5M12M1.2M-304SS</t>
  </si>
  <si>
    <t>M5x25 Button Head</t>
  </si>
  <si>
    <t>FAS-BLT-BUT-5M25M-HX-304SS</t>
  </si>
  <si>
    <t>M5x25 Allen cap</t>
  </si>
  <si>
    <t>FAS-BLT-ALN-5M25MHX-304SS</t>
  </si>
  <si>
    <t>2" Cello Tape</t>
  </si>
  <si>
    <t>Copper Strips 3x2 Cells</t>
  </si>
  <si>
    <t>FAB-MCN-3S2P-CU-2170</t>
  </si>
  <si>
    <t>1" Kapton Tape</t>
  </si>
  <si>
    <t>65mm Paper Separator</t>
  </si>
  <si>
    <t>Barley ring for 21700 cylindrical cell</t>
  </si>
  <si>
    <t>1S BMS</t>
  </si>
  <si>
    <t>2S BMS</t>
  </si>
  <si>
    <t>3S BMS</t>
  </si>
  <si>
    <t>Soldering Lead Wire 6040 16AWG</t>
  </si>
  <si>
    <t>SOL-WIR-6040-ROHS-16AWG</t>
  </si>
  <si>
    <t>Soldering Flux</t>
  </si>
  <si>
    <t>SOL-FLX-AQUA-SOLDRON</t>
  </si>
  <si>
    <t>130x80x60 enclosure box</t>
  </si>
  <si>
    <t>Cable gland PG-7</t>
  </si>
  <si>
    <t>MAC-GLA-PG7-PL</t>
  </si>
  <si>
    <t>PG-9 Cable Gland(PG -11)</t>
  </si>
  <si>
    <t>PG-9 Cable Gland Metal</t>
  </si>
  <si>
    <t>PG-11 Cable Gland PVC</t>
  </si>
  <si>
    <t>PG-11 Cable Gland Metal</t>
  </si>
  <si>
    <t>Coupling Rotex14 with PUR-5 Spider Voilet</t>
  </si>
  <si>
    <t>FAB-MCN-ROT14-0D</t>
  </si>
  <si>
    <t>Coupling Rotex14 with PUR-5 Spider Voilet with D Cut</t>
  </si>
  <si>
    <t>SER-MCN-ROT14-8D7F</t>
  </si>
  <si>
    <t>PUR-5 Voilet Spiders</t>
  </si>
  <si>
    <t xml:space="preserve">Electronic Box - Shell </t>
  </si>
  <si>
    <t>FAB-IJM-EBX</t>
  </si>
  <si>
    <t>Electronic Box - Front Lid</t>
  </si>
  <si>
    <t>FAB-IJM-FLID-LIFE</t>
  </si>
  <si>
    <t xml:space="preserve">BPSPLB - Bottom Inlet Block </t>
  </si>
  <si>
    <t>FAB-IJM-BTM-BLOC-LIFE</t>
  </si>
  <si>
    <t>Remote - Packing Box with Foam</t>
  </si>
  <si>
    <t>STW-ET2612-QX7-FOAM</t>
  </si>
  <si>
    <t>ET2612</t>
  </si>
  <si>
    <t>Remote - Upper Shell Water Proof</t>
  </si>
  <si>
    <t>FAB-IJM-QX7-UPPERSHELL</t>
  </si>
  <si>
    <t>Remote - Lower Shell Water Proof</t>
  </si>
  <si>
    <t>FAB-IJM-QX7-LOWERSHELL</t>
  </si>
  <si>
    <t>Flashing Light - Upper Glass Shell</t>
  </si>
  <si>
    <t>FAB-IJM-FLSH-GLASS</t>
  </si>
  <si>
    <t>Flashing Light - Bottom Plate</t>
  </si>
  <si>
    <t>FAB-IJM-FLSH-PLATE</t>
  </si>
  <si>
    <t xml:space="preserve">Electronic Box - PU Gasket </t>
  </si>
  <si>
    <t>FAB-GSK-EBX</t>
  </si>
  <si>
    <t>PU Gasket Front Lid</t>
  </si>
  <si>
    <t>Grease</t>
  </si>
  <si>
    <t>Heatshrink Tube 6.4:1.6 Adhesive Lined Black</t>
  </si>
  <si>
    <t>SLN-STB-6.4M-4X-BK-ADH</t>
  </si>
  <si>
    <t>Heatshrink Tube 9.5mm Adhesive Lined Black</t>
  </si>
  <si>
    <t>SLN-STB-9.5M-3X-BK-ADH</t>
  </si>
  <si>
    <t>Heatshrink Tube 4:1 Adhesive Lined Black</t>
  </si>
  <si>
    <t>SLN-STB-4M-3X-BK-ADH</t>
  </si>
  <si>
    <t>HeatShrink Tube 3.2 mm Adhesive Lined Black</t>
  </si>
  <si>
    <t>SLN-STB-3M-3X-BK-ADH</t>
  </si>
  <si>
    <t>HeatShrink Tube 2:4:0:8 Adhesive Lined Black</t>
  </si>
  <si>
    <t>SLN-STB-2.4M-3X-BK-ADH</t>
  </si>
  <si>
    <t>HeatShrink Tube 12:3 Adhesive Lined Black</t>
  </si>
  <si>
    <t>SLN-STB-12M-4X-BK-ADH</t>
  </si>
  <si>
    <t>HeatShrink Tube 4.8/1.2 Adhesive Lined Black</t>
  </si>
  <si>
    <t>SLN-STB-4.8M-4X-BK-ADH</t>
  </si>
  <si>
    <t>HeatShrink Tube 1.5mm/1.6mm</t>
  </si>
  <si>
    <t>SLN-STB-1.6M-4X-BK</t>
  </si>
  <si>
    <t>HeatShrink Tube 2mm</t>
  </si>
  <si>
    <t>SLN-STB-2.0M-4X-BK</t>
  </si>
  <si>
    <t>HeatShrink Tube 100mm Black</t>
  </si>
  <si>
    <t>SLN-STB-100M-2X-BK</t>
  </si>
  <si>
    <t>HeatShrink Tube 30mm Black</t>
  </si>
  <si>
    <t>SLN-STB-30M-3X-BK</t>
  </si>
  <si>
    <t>Heat Shrink Sleeve 16mm Transparent</t>
  </si>
  <si>
    <t>SLN-STB-16M-2X-CL</t>
  </si>
  <si>
    <t>Heat Shrink Sleeve 12mm Transparent</t>
  </si>
  <si>
    <t>SLN-STB-12M-2X-CL</t>
  </si>
  <si>
    <t>Heat Shrink Sleeve 10mm Transparent</t>
  </si>
  <si>
    <t>SLN-STB-10M-2X-CL</t>
  </si>
  <si>
    <t xml:space="preserve"> </t>
  </si>
  <si>
    <t>HeatShrink Tube 25mm</t>
  </si>
  <si>
    <t>SLN-STB-25.0M-2X-BK</t>
  </si>
  <si>
    <t>HeatShrink Tube 125mm</t>
  </si>
  <si>
    <t>SLN-STB-125M-2X-BK</t>
  </si>
  <si>
    <t>Greasing Pump</t>
  </si>
  <si>
    <t>Heat Sink Paste</t>
  </si>
  <si>
    <t>HET-PAS-SIL-1W</t>
  </si>
  <si>
    <t>Sealant Teroson MS930</t>
  </si>
  <si>
    <t>SLN-SMP-MS930-400ML</t>
  </si>
  <si>
    <t>Sealant Silicon RTV 732</t>
  </si>
  <si>
    <t>SLN-RTV-732-VISCOUS-400ML</t>
  </si>
  <si>
    <t>Sealant Silicon RTV 734 Potting compound</t>
  </si>
  <si>
    <t>SLN-RTV-734-FLOWABLE-400ML</t>
  </si>
  <si>
    <t>Industrial RTV Silicon Sealant for Gasketting</t>
  </si>
  <si>
    <t>1/2" Masking Tape</t>
  </si>
  <si>
    <t>3/4" Masking Tape</t>
  </si>
  <si>
    <t>1" Masking Tape</t>
  </si>
  <si>
    <t>Masking Tape 2"</t>
  </si>
  <si>
    <t>PKG-MASK-2IN</t>
  </si>
  <si>
    <t>Masking Tape 10mm</t>
  </si>
  <si>
    <t>Masking Tape 20mm</t>
  </si>
  <si>
    <t>Duck Tape</t>
  </si>
  <si>
    <t>3M dual sided Tape</t>
  </si>
  <si>
    <t>number</t>
  </si>
  <si>
    <t>RR Tape</t>
  </si>
  <si>
    <t>MAC-ADH-TAPE-RR</t>
  </si>
  <si>
    <t>Staples pins</t>
  </si>
  <si>
    <t>Brass nozzle for water outlet from JCB</t>
  </si>
  <si>
    <t>JCB Battery Holders 3D Print</t>
  </si>
  <si>
    <t>SS Cooling Water Outlet nozzle</t>
  </si>
  <si>
    <t>SS Cooling Water Inlet nozzle</t>
  </si>
  <si>
    <t>Greasing nozzle</t>
  </si>
  <si>
    <t>Greasing Nipple M5</t>
  </si>
  <si>
    <t>Taha HAjee</t>
  </si>
  <si>
    <t>Nozzle on Jet</t>
  </si>
  <si>
    <t>I52 Jet Nozzles CW used on STBD side NEW</t>
  </si>
  <si>
    <t>I52 Jet Nozzles CCW used on PORT side OLD</t>
  </si>
  <si>
    <t>f</t>
  </si>
  <si>
    <t>I52 Jet Stator CW (STBD) NEW</t>
  </si>
  <si>
    <t>I52 Jet Stator CCW (PORT) OLD</t>
  </si>
  <si>
    <t xml:space="preserve">I52 Jet Impeller CW (STBD) NEW </t>
  </si>
  <si>
    <t>I52 Jet Impeller CCW (PORT) OLD</t>
  </si>
  <si>
    <t>I52 Impeller Shaft</t>
  </si>
  <si>
    <t>I52 Shaft with Teflon Bush 7mm</t>
  </si>
  <si>
    <t>Self Aligning Bearing IJK-108</t>
  </si>
  <si>
    <t>MAC-BEARING-IJK108</t>
  </si>
  <si>
    <t>Jet S52 - Aluminium Spacer No. 1 (0.9mm)</t>
  </si>
  <si>
    <t>FAB-MCN-S52-SPACER09</t>
  </si>
  <si>
    <t>Jet S52 - Aluminium Greasing Spacer</t>
  </si>
  <si>
    <t>FAB-MCN-S52-SPACERMID</t>
  </si>
  <si>
    <t>Jet S52 - Aluminium Spacer No. 2 (5.5mm)</t>
  </si>
  <si>
    <t>FAB-MCN-S52-SPACER5.5</t>
  </si>
  <si>
    <t>Oil Seal Jet 10-18-6</t>
  </si>
  <si>
    <t>MAC-OILSEAS-10-18-6</t>
  </si>
  <si>
    <t>Oil Seal Stator 7-16-5</t>
  </si>
  <si>
    <t>MAC-OILSEAS-7-16-5</t>
  </si>
  <si>
    <t>Jet S52 - Teflon Bush 7mm</t>
  </si>
  <si>
    <t>FAB-MCN-S52-TFLN-12M7M</t>
  </si>
  <si>
    <t>Jet I52 &amp; S52 - Teflon Bush 6mm</t>
  </si>
  <si>
    <t>FAB-MCN-S52-TFLN-12M6M</t>
  </si>
  <si>
    <t>Circlip Stator 17mm</t>
  </si>
  <si>
    <t>MAC-CIRCLIP-18MM-SS</t>
  </si>
  <si>
    <t>Circlip Jet 22mm</t>
  </si>
  <si>
    <t>MAC-CIRCLIP-22MM-SS</t>
  </si>
  <si>
    <t>Jet S52 - Water Jet Bare Body Aluminium Casting Ver1.0</t>
  </si>
  <si>
    <t>FAB-CST-S52-V1.0</t>
  </si>
  <si>
    <t>Jet I52 - Int. Water Jet Bare Body Aluminium Heat Sand Casting Ver1.0</t>
  </si>
  <si>
    <t>FAB-CST-INT-I52-V1.0</t>
  </si>
  <si>
    <t>Jet I52 - Int. Water Jet Bare Body Aluminium Heat Gravity Die Casting Ver1.1</t>
  </si>
  <si>
    <t>FAB-CST-INT-I52-V1.1</t>
  </si>
  <si>
    <t>Jet I52-Int. Water Jet Gravity Die Casting Mould</t>
  </si>
  <si>
    <t>CPTL-MLD-GDC-FAB-CST-INT-I52-V1.1</t>
  </si>
  <si>
    <t>Jet I52 - Int. Water Jet machined Aluminium Heat Sand Casting Ver1.0</t>
  </si>
  <si>
    <t>FAB-MCN-INT-I52-V1.0</t>
  </si>
  <si>
    <t>Jet I52 - Int. Water Jet machined Aluminium Heat Gravity Die Casting Ver1.1</t>
  </si>
  <si>
    <t>FAB-MCN-INT-I52-V1.1</t>
  </si>
  <si>
    <t>Jet I52- Int.Water Jet Machined Fixture Leak testing</t>
  </si>
  <si>
    <t>CPTL-FIX-LEK-FAB-MCN-INT-I52-V1.1</t>
  </si>
  <si>
    <t>Jet I52 - Int. Water Jet Machined Leak Test</t>
  </si>
  <si>
    <t>FAB-LEK-INT-I52-V1.1</t>
  </si>
  <si>
    <t>Jet I52-Int. Water Jet Machined Fixture Dimensional Check</t>
  </si>
  <si>
    <t>CPTL-FIX-DIMS-FAB-MCN-INT-I52-V1.1</t>
  </si>
  <si>
    <t>ESC - J52-5692-Mounting Plate on Motor Ver1.0</t>
  </si>
  <si>
    <t>FAB-MCN-ESC-S52-5692-PLATEM</t>
  </si>
  <si>
    <t>ESC - I52-5692-Mounting Plate on Motor Ver1.1</t>
  </si>
  <si>
    <t>FAB-MCN-ESC-I52-5692-PLATEM</t>
  </si>
  <si>
    <t>Jet S52 - Aluminium Mounting Plate Base Plate Ver1.0</t>
  </si>
  <si>
    <t>FAB-MCN-S52V1-PLATEM-V1.0</t>
  </si>
  <si>
    <t>Jet washers</t>
  </si>
  <si>
    <t>Jet I52 - FRP Mounting Base Plate Ver1.0</t>
  </si>
  <si>
    <t>FAB-MCN-I52V1-PLATEF-V1.0</t>
  </si>
  <si>
    <t xml:space="preserve">5692-S52 Motor Mount Heatblock TOP Ver1.0 </t>
  </si>
  <si>
    <t>FAB-MCN-5692HE-S52-TMOUNT-V1.0</t>
  </si>
  <si>
    <t>5692-I52 Motor Mount Heatblock TOP Ver1.1 Integrated Jet</t>
  </si>
  <si>
    <t>FAB-MCN-5692HE-I52-TMOUNT-V1.1</t>
  </si>
  <si>
    <t>5692-S52 Motor mount heatblock BOTTOM Ver1.0</t>
  </si>
  <si>
    <t>FAB-MCN-5692HE-S52-BMOUNT-V1.0</t>
  </si>
  <si>
    <t>5692-I52 Motor mount heatblock BOTTOM Ver1.1 Integrated Jet</t>
  </si>
  <si>
    <t>FAB-MCN-5692HE-I52-BMOUNT-V1.1</t>
  </si>
  <si>
    <t>5692-I52 Motor mount heatblock Top/Bottom Ver1.1 Integrated Dimensional Fixture</t>
  </si>
  <si>
    <t>CPTL-FIX-DIMS-FAB-MCN-5692HE-I52-T/BMOUNT-V1.1</t>
  </si>
  <si>
    <t>Jet-I52 Top Aluminium plate for heatpipes V1.1</t>
  </si>
  <si>
    <t>FAB-MCN-I52-TPLATE-V1.1</t>
  </si>
  <si>
    <t>4nos</t>
  </si>
  <si>
    <t>Jet-I52 Right side Aluminium plate for heatpipes V1.1</t>
  </si>
  <si>
    <t>FAB-MCN-I52-RPLATE-V1.1</t>
  </si>
  <si>
    <t>Jet-I52 Left side Aluminium plate for heatpipes V1.1</t>
  </si>
  <si>
    <t>FAB-MCN-I52-LPLATE-V1.1</t>
  </si>
  <si>
    <t>5692-I52 Side Aluminium plate for heatpipes V1.1</t>
  </si>
  <si>
    <t>FAB-MCN-5692HE-RLPLATE-V1.1</t>
  </si>
  <si>
    <t>18nos</t>
  </si>
  <si>
    <t>Reverse Buketing side plates</t>
  </si>
  <si>
    <t>Not Needed</t>
  </si>
  <si>
    <t>Aluminium Sheet 2mm thick 4ftx2ft</t>
  </si>
  <si>
    <t>Heat condensor/Jet Heat Sink</t>
  </si>
  <si>
    <t>Jet Heat Sink LHS 1 Thermosyphens (only for repair)</t>
  </si>
  <si>
    <t>Jet Heat Sink LHS 2 Thermosyphens (only for repair)</t>
  </si>
  <si>
    <t>Jet Heat Sink RHS 1Thermosyphens (only for repair)</t>
  </si>
  <si>
    <t>Jet Heat Sink RHS 2 Thermosyphens (only for repair)</t>
  </si>
  <si>
    <t>Jet S52 Copper HeatPipes (only for repair)</t>
  </si>
  <si>
    <t>Hot Glue stick 11mm</t>
  </si>
  <si>
    <t>nu`</t>
  </si>
  <si>
    <t>Copper heatpipes 230mm Straight for I52_5692</t>
  </si>
  <si>
    <t>FAB-MCN-CU-I52-5692-10MM230MM</t>
  </si>
  <si>
    <t>STBD Aft Plate Aluminium</t>
  </si>
  <si>
    <t>FAB-MCN-SAFT-SSLIFE-AL</t>
  </si>
  <si>
    <t>PORT Aft Plate Aluminium</t>
  </si>
  <si>
    <t>FAB-MCN-PAFT-SSLIFE-AL</t>
  </si>
  <si>
    <t>BPSPLB - Aft Plate - STBD IM</t>
  </si>
  <si>
    <t>FAB-IJM-SAFT-SSLIFE</t>
  </si>
  <si>
    <t>BPSPLB - Aft Plate - PORT IM</t>
  </si>
  <si>
    <t>FAB-IJM-PAFT-SSLIFE</t>
  </si>
  <si>
    <t>BPSPLB - Self Righting Pillow Caps 3D Printed</t>
  </si>
  <si>
    <t>FAB-3DP-PILCAP-SSLIFE</t>
  </si>
  <si>
    <t>3D printed bottom block caps</t>
  </si>
  <si>
    <t>Button spacer No. 1/1 3D Print</t>
  </si>
  <si>
    <t>Button Spacer No. 1/2 3D Print</t>
  </si>
  <si>
    <t>Button Spacer No. 2 3D Print</t>
  </si>
  <si>
    <t>Remote - Button No. 1 Pressure Bracket 3D Print</t>
  </si>
  <si>
    <t>FAB-3DP-QX7-PRES-BRAC</t>
  </si>
  <si>
    <t>Remote - Battery Holding Bracket 3D Print</t>
  </si>
  <si>
    <t>FAB-3DP-QX7-BAT-BRAC</t>
  </si>
  <si>
    <t>Craft Battery Holding Bracket 3D Print</t>
  </si>
  <si>
    <t>Remote - Straps Lanyard</t>
  </si>
  <si>
    <t>FAB-STC-QX7-STRAP</t>
  </si>
  <si>
    <t>Remote Strap Holder</t>
  </si>
  <si>
    <t>Joystick Screws</t>
  </si>
  <si>
    <t>LCD Screen</t>
  </si>
  <si>
    <t>Remote - Antenna clamp -1 3D Print</t>
  </si>
  <si>
    <t>FAB-3DP-QX7-ANT-CLMP1</t>
  </si>
  <si>
    <t>Remote - Antenna Clamp -2 3D Print</t>
  </si>
  <si>
    <t>FAB-3DP-QX7-ANT-CLMP2</t>
  </si>
  <si>
    <t>Remote - LCD Holder Bracket 3D Print</t>
  </si>
  <si>
    <t>FAB-3DP-QX7-LCD-HOLD</t>
  </si>
  <si>
    <t>Charger - Panel Pillar Spacer 3D Print</t>
  </si>
  <si>
    <t>FAB-3DP-X16-EXT-PILLER</t>
  </si>
  <si>
    <t>Remote - IFU - Rotary Knob Box 3D Print</t>
  </si>
  <si>
    <t>FAB-3DP-IFU-KNOB</t>
  </si>
  <si>
    <t>Remote - Rotary Encoder</t>
  </si>
  <si>
    <t>MOD-QX7-ENC</t>
  </si>
  <si>
    <t>Remote - IFU 3D Middle</t>
  </si>
  <si>
    <t>FAB-3DP-IFU-MID</t>
  </si>
  <si>
    <t>Remote - IFU Top</t>
  </si>
  <si>
    <t>FAB-3DP-IFU-TOP</t>
  </si>
  <si>
    <t>Remote - IFU Bottom</t>
  </si>
  <si>
    <t>FAB-3DP-IFU-BOTTOM</t>
  </si>
  <si>
    <t xml:space="preserve">Motor 4092 </t>
  </si>
  <si>
    <t>4092 cooling jackets</t>
  </si>
  <si>
    <t>Actuator - Motor 5692 495 KV</t>
  </si>
  <si>
    <t>ACT-MTR-5692KW3i5KV485LEO</t>
  </si>
  <si>
    <t>5962 495KV</t>
  </si>
  <si>
    <t>5692 motor cooling jacket</t>
  </si>
  <si>
    <t>Electronic Speed Controller - HV130 ESC</t>
  </si>
  <si>
    <t>MOD-ESC-HV130</t>
  </si>
  <si>
    <t>HV 130</t>
  </si>
  <si>
    <t>8 mm OD pneaumatic pipe</t>
  </si>
  <si>
    <t>12 to 8 right angled reducer with lock clips</t>
  </si>
  <si>
    <t>12 to 8 right angled lock clips</t>
  </si>
  <si>
    <t>12mm OD pneumatic pipe</t>
  </si>
  <si>
    <t>Remote - Polycarbonate Glass for LCD Screen on Remote</t>
  </si>
  <si>
    <t>FAB-QX7-IPREMOTE-GLASS</t>
  </si>
  <si>
    <t>55 No. Box for chraging cable &amp; Tool box</t>
  </si>
  <si>
    <t>22 No. Box for SR structure screws</t>
  </si>
  <si>
    <t xml:space="preserve">                                                                                 </t>
  </si>
  <si>
    <t>PTB-13 Taparia Storage Box</t>
  </si>
  <si>
    <t>BPSPLB - Bottom Mesh 120mm x 100mm, 5"x4"</t>
  </si>
  <si>
    <t>MAC-MESH-5x4M5</t>
  </si>
  <si>
    <t>Mesh with four sides brazing</t>
  </si>
  <si>
    <t>BPSPLB - Air Nozzle</t>
  </si>
  <si>
    <t>MAC-AIR-NOZZLE</t>
  </si>
  <si>
    <t>Acetone</t>
  </si>
  <si>
    <t>CHM-ACETONE</t>
  </si>
  <si>
    <t>Isopropyl Alcohol - IPA</t>
  </si>
  <si>
    <t>CHM-IPA</t>
  </si>
  <si>
    <t>Foam Gasket 40mm width 5mm thick</t>
  </si>
  <si>
    <t>Poly Urethane Foam (polyols)</t>
  </si>
  <si>
    <t>MAC-PUF-ISO&amp;POLYOL-40D30S</t>
  </si>
  <si>
    <t>Poly Urethane Foam (isocyanates)</t>
  </si>
  <si>
    <t>Silicon Hose 4mm x 8mm</t>
  </si>
  <si>
    <t>Silicon Hose 3mm x 6mm</t>
  </si>
  <si>
    <t>Remote - Silicon Water Proof Rubber Boot For Joystick</t>
  </si>
  <si>
    <t>SLN-BOOT-JOYSTICK</t>
  </si>
  <si>
    <t>Remote - Silicon Water Proof Button Cover No. 1</t>
  </si>
  <si>
    <t>SLN-BOOT-BUTTON1</t>
  </si>
  <si>
    <t>Remote - Silicon Water Proof Button Cover No. 2</t>
  </si>
  <si>
    <t>SLN-BOOT-BUTTON2</t>
  </si>
  <si>
    <t>Foam Gasket 25mm width 3mm thick</t>
  </si>
  <si>
    <t>Sealant - Thread Locker 242</t>
  </si>
  <si>
    <t>MAC-ADH-242-2MTO3M</t>
  </si>
  <si>
    <t>Loctite 242</t>
  </si>
  <si>
    <t>Thread locker 270</t>
  </si>
  <si>
    <t>Sealant - Thread Locker 290</t>
  </si>
  <si>
    <t>MAC-ADH-290-4MTO8M</t>
  </si>
  <si>
    <t>Loctite 290</t>
  </si>
  <si>
    <t>Thread locker primer SF 7649</t>
  </si>
  <si>
    <t>MAC-ADH-SF7649</t>
  </si>
  <si>
    <t>Loctite SF 7649</t>
  </si>
  <si>
    <t>Sealant - Instant Adhesive 407 for EPE sticking</t>
  </si>
  <si>
    <t>MAC-ADH-407-INSTA</t>
  </si>
  <si>
    <t>Sealant - O-Ring - For AFT Plate, Lenght 60cm Soft Sponge Rubber 6mm Square</t>
  </si>
  <si>
    <t>SLN-ORI-60C-6MSQ</t>
  </si>
  <si>
    <t>Sealant - O-Ring - For Kangaroo box and top cover lid 3mm round</t>
  </si>
  <si>
    <t>SLN-ORI-60C-3CYL</t>
  </si>
  <si>
    <t>Sticker - Star Board Hook Sticker</t>
  </si>
  <si>
    <t>STX-STBD-LIFTFHERE</t>
  </si>
  <si>
    <t>Sticker - Port Hook Sticker</t>
  </si>
  <si>
    <t>STX-PORT-LIFTFHERE</t>
  </si>
  <si>
    <t>Sticker - Star Board Hold Here Sticker</t>
  </si>
  <si>
    <t>STX-STBD-HOLDHERE</t>
  </si>
  <si>
    <t>Sticker - Port Hold Here Sticker</t>
  </si>
  <si>
    <t>STX-PORT-HOLDHERE</t>
  </si>
  <si>
    <t>Sticker - Charging Process on Charger</t>
  </si>
  <si>
    <t>Sticker - Wooden box Sticker</t>
  </si>
  <si>
    <t>STX-WOODENBOX</t>
  </si>
  <si>
    <t>Sticker - Saifseas 3D Dome Sticker</t>
  </si>
  <si>
    <t>Craft Cleaning Notify Sticker</t>
  </si>
  <si>
    <t>STX-CHR-CHARGEPROCESS</t>
  </si>
  <si>
    <t>Switch Stickers</t>
  </si>
  <si>
    <t>Small Saif Seas Sticker</t>
  </si>
  <si>
    <t>Ferrule 185 No.</t>
  </si>
  <si>
    <t>MAC-FERRULE-185No</t>
  </si>
  <si>
    <t>185 No.</t>
  </si>
  <si>
    <t>Bouyant Rope - Double Braided 8mm</t>
  </si>
  <si>
    <t>COR-ROPE-DBRAIDED-8MM</t>
  </si>
  <si>
    <t>8mm double braided</t>
  </si>
  <si>
    <t>Packing Wooden Hard Box</t>
  </si>
  <si>
    <t>STW-WOOD-46x35x18</t>
  </si>
  <si>
    <t>4mm Allen Key</t>
  </si>
  <si>
    <t>5mm Allen Key</t>
  </si>
  <si>
    <t>6mm Allen Key</t>
  </si>
  <si>
    <t>T Handle 6mm Yato</t>
  </si>
  <si>
    <t>TOL-THD-6MM</t>
  </si>
  <si>
    <t xml:space="preserve">10mm Spanner </t>
  </si>
  <si>
    <t>EPE sheet 20mm 48"x72"</t>
  </si>
  <si>
    <t>User Manual (Kangaroo)</t>
  </si>
  <si>
    <t>GAC-USERMANUAL</t>
  </si>
  <si>
    <t>Envelope for User Manual</t>
  </si>
  <si>
    <t>GAC-ENVELOPE</t>
  </si>
  <si>
    <t>Surgical Gloves</t>
  </si>
  <si>
    <t>Charger - X16 Extension Panel</t>
  </si>
  <si>
    <t>FAB-INJ-X16-EXT-PANEL</t>
  </si>
  <si>
    <t>Polish Bottle</t>
  </si>
  <si>
    <t>Shavison SMPS</t>
  </si>
  <si>
    <t>Wifi Adapter Microtik</t>
  </si>
  <si>
    <t>Wifi router</t>
  </si>
  <si>
    <t>Adapter 9.13V</t>
  </si>
  <si>
    <t>Adapter 5.19V</t>
  </si>
  <si>
    <t>Roast Flash Pro bottle</t>
  </si>
  <si>
    <t>Syringes 50ml</t>
  </si>
  <si>
    <t>Syringes 20ml</t>
  </si>
  <si>
    <t>Syringes - 10ml</t>
  </si>
  <si>
    <t>Syringes-3ml</t>
  </si>
  <si>
    <t>Syringes - 2ml</t>
  </si>
  <si>
    <t>WD 40</t>
  </si>
  <si>
    <t>CRC 5 - 56 power spray</t>
  </si>
  <si>
    <t>Matt Black Spray</t>
  </si>
  <si>
    <t>Black Spray</t>
  </si>
  <si>
    <t>Extrusion Clamps 40mm</t>
  </si>
  <si>
    <t>Extrusion Clamps30mm</t>
  </si>
  <si>
    <t>Extrusion Clamps 20mm</t>
  </si>
  <si>
    <t>NC Thinner</t>
  </si>
  <si>
    <t>Turpentrate Oil</t>
  </si>
  <si>
    <t>SW2 Spray</t>
  </si>
  <si>
    <t>Spot Check SKC - 1 (Cleaner/Remover)</t>
  </si>
  <si>
    <t>Teroson Gun</t>
  </si>
  <si>
    <t>M6 Thumbolts</t>
  </si>
  <si>
    <t>M4 Thumbolts</t>
  </si>
  <si>
    <t>Wave Radar SeaView</t>
  </si>
  <si>
    <t>Altimeter</t>
  </si>
  <si>
    <t>UDST800</t>
  </si>
  <si>
    <t>Heave Sensor (IMU) Ellipse2-A</t>
  </si>
  <si>
    <t>Rim Drive Thruster 5kW (Netherlands)</t>
  </si>
  <si>
    <t xml:space="preserve">Rim Drive Thruster </t>
  </si>
  <si>
    <t>Trmble GPS Antenna</t>
  </si>
  <si>
    <t>TNC-TNC Antenna Cable 5mtrs</t>
  </si>
  <si>
    <t>Radio 35W for GPS correction</t>
  </si>
  <si>
    <t>Veronte AutoPilot</t>
  </si>
  <si>
    <t>Grommet dual nozzle</t>
  </si>
  <si>
    <t>Grommet single nozzle</t>
  </si>
  <si>
    <t>Rectangular Hatches</t>
  </si>
  <si>
    <t>Circular Hatches</t>
  </si>
  <si>
    <t>Pixhawk Orange</t>
  </si>
  <si>
    <t>Omniscense Micro camera</t>
  </si>
  <si>
    <t>Speed Boat with Petrol Engine DLE Engine</t>
  </si>
  <si>
    <t>Hawk 2300 hull</t>
  </si>
  <si>
    <t>Hawk 2100 hull</t>
  </si>
  <si>
    <t>Hawk 1600 hull</t>
  </si>
  <si>
    <t>360 Degree Servo motor (MAYTECH)</t>
  </si>
  <si>
    <t>1.75mm 3D Printing Filament- Orange</t>
  </si>
  <si>
    <t>fuse 1amp</t>
  </si>
  <si>
    <t>fuse10amp</t>
  </si>
  <si>
    <t>Servo Motor  DS5160 SSG( 60KG)</t>
  </si>
  <si>
    <t>Servo Motor ST3215</t>
  </si>
  <si>
    <t>Servo Motor ES3005 30kg</t>
  </si>
  <si>
    <t>Pro Range OT6560 7.4V 60Kg Servo Motor</t>
  </si>
  <si>
    <t>4mtr 696</t>
  </si>
  <si>
    <t>Servo Motor  50Kg</t>
  </si>
  <si>
    <t>Servo Motor 35 Kg</t>
  </si>
  <si>
    <t>Servo Motor 45kg</t>
  </si>
  <si>
    <t>Servo Motor  MG995</t>
  </si>
  <si>
    <t>Servo Motor  MG945</t>
  </si>
  <si>
    <t>Servo Motor 150Kg</t>
  </si>
  <si>
    <t>4S BMS</t>
  </si>
  <si>
    <t>6S BMS</t>
  </si>
  <si>
    <t>Flex Kwik (Adhesive)</t>
  </si>
  <si>
    <t>Silica Gel Packet 10gms</t>
  </si>
  <si>
    <t>QC Sticker</t>
  </si>
  <si>
    <t>M4 turn Buckles</t>
  </si>
  <si>
    <t>Laser Toner Cartridge</t>
  </si>
  <si>
    <t>Thruster 11.2kgt</t>
  </si>
  <si>
    <t>Pressure guage</t>
  </si>
  <si>
    <t>Nut driver 10mm</t>
  </si>
  <si>
    <t>Antenna 4.9-5.9 GHz OMNI</t>
  </si>
  <si>
    <t>Antenna 4.9-5.9 GHz DIRECTIONAL</t>
  </si>
  <si>
    <t>Antenna 433-440 MHz</t>
  </si>
  <si>
    <t>Jet S130</t>
  </si>
  <si>
    <t>Jet S108</t>
  </si>
  <si>
    <t>Jet S78</t>
  </si>
  <si>
    <t>Jet S63</t>
  </si>
  <si>
    <t xml:space="preserve">Saif Seas Battery Box </t>
  </si>
  <si>
    <t>Charger 90-250v old</t>
  </si>
  <si>
    <t>Radiant Coolant</t>
  </si>
  <si>
    <t>Coolant (Bike)</t>
  </si>
  <si>
    <t>Water Finding Paste</t>
  </si>
  <si>
    <t>M4 Stud Rod</t>
  </si>
  <si>
    <t xml:space="preserve">weighing Machine </t>
  </si>
  <si>
    <t>Enclosure Box 280x190x130 IP67</t>
  </si>
  <si>
    <t>Enclosure Box 380x190x130 IP67</t>
  </si>
  <si>
    <t>Side scanner sonar 450SS</t>
  </si>
  <si>
    <t>15.6" TFT LCD, LED B 2000 Nits</t>
  </si>
  <si>
    <t>15.6" TFT LCD, LED backlight 1800 nits, FHD (1920x1080)</t>
  </si>
  <si>
    <t>Wooden Box handles</t>
  </si>
  <si>
    <t>Eyelid for cradle</t>
  </si>
  <si>
    <t>Paint remover</t>
  </si>
  <si>
    <t>Butane Cyclinder</t>
  </si>
  <si>
    <t>Padeyes</t>
  </si>
  <si>
    <t>ASSY-MCN-3S2P-CU-2170</t>
  </si>
  <si>
    <t>ASYE-MCH-IP7-FLSHM-ST</t>
  </si>
  <si>
    <t>ASYE-MCH-IP7-FLSHM-PT</t>
  </si>
  <si>
    <t>Jet body Assy PORT</t>
  </si>
  <si>
    <t>Jet body Assy STBD</t>
  </si>
  <si>
    <t>PO. No.</t>
  </si>
  <si>
    <t>Dated</t>
  </si>
  <si>
    <t>Vendor Name</t>
  </si>
  <si>
    <t>Brief Item Description</t>
  </si>
  <si>
    <t>Value</t>
  </si>
  <si>
    <t xml:space="preserve">PO#: SAS-PO-25-MARK180-1001                </t>
  </si>
  <si>
    <t>18.07.25</t>
  </si>
  <si>
    <t>SINO INDIA TRADING COMPANY</t>
  </si>
  <si>
    <t>ESC</t>
  </si>
  <si>
    <t xml:space="preserve">PO#: SAS-PO-25-MARK180-1002 </t>
  </si>
  <si>
    <t>21.07.2025</t>
  </si>
  <si>
    <t xml:space="preserve">DB Smelting </t>
  </si>
  <si>
    <t>Water Jets</t>
  </si>
  <si>
    <t>₹ 3037178.40</t>
  </si>
  <si>
    <t>PO#: SAS-PO-25-MARK180-1003</t>
  </si>
  <si>
    <t>Seutes Technologies</t>
  </si>
  <si>
    <t>Discrete Electoronic Components</t>
  </si>
  <si>
    <t>INR 478000.00+ 778</t>
  </si>
  <si>
    <t>PO#: SAS-PO-25-MARK180-1004</t>
  </si>
  <si>
    <t>Macfos Ltd.</t>
  </si>
  <si>
    <t>INR 132882.16</t>
  </si>
  <si>
    <t>PO#: SAS-PO-25-MARK180-1005</t>
  </si>
  <si>
    <t>Remote &amp; Receiver</t>
  </si>
  <si>
    <t>PO#: SAS-PO-25-MARK180-1006</t>
  </si>
  <si>
    <t>LEDs</t>
  </si>
  <si>
    <t>INR 18408.00</t>
  </si>
  <si>
    <t>PO#: SAS-PO-25-MARK180-1007</t>
  </si>
  <si>
    <t>30.07.2025</t>
  </si>
  <si>
    <t>Bottom Inlet block, Flashing light</t>
  </si>
  <si>
    <t>INR 46,232.4</t>
  </si>
  <si>
    <t>PO#: SAS-PO-25-MARK180-1008</t>
  </si>
  <si>
    <t>12.08.2025</t>
  </si>
  <si>
    <t xml:space="preserve">SVTherm </t>
  </si>
  <si>
    <t xml:space="preserve">heat Pipes </t>
  </si>
  <si>
    <t>INR 20,67,260</t>
  </si>
  <si>
    <t>PO#: SAS-PO-25-MARK180-1009</t>
  </si>
  <si>
    <t>23.08.2025</t>
  </si>
  <si>
    <t xml:space="preserve">Vinod rai </t>
  </si>
  <si>
    <t>hull, sr structure, sr pillow</t>
  </si>
  <si>
    <t>INR  21,19,221.00</t>
  </si>
  <si>
    <t>PO#: SAS-PO-25-MARK180-1010</t>
  </si>
  <si>
    <t xml:space="preserve">Ambica </t>
  </si>
  <si>
    <t>AFT plate in Aluminium</t>
  </si>
  <si>
    <t>INR 1,71,050.00</t>
  </si>
  <si>
    <t>PO#: SAS-PO-25-MARK180-1011</t>
  </si>
  <si>
    <t>29.08.2025</t>
  </si>
  <si>
    <t>Sanjay Techno Plast</t>
  </si>
  <si>
    <t>Mould Restoration</t>
  </si>
  <si>
    <t>INR 69,974.00</t>
  </si>
  <si>
    <t>PO#: SAS-PO-25-MARK180-1012</t>
  </si>
  <si>
    <t>02.09.2025</t>
  </si>
  <si>
    <t>INR 1,13,672.94</t>
  </si>
  <si>
    <t>PO#: SAS-PO-25-MARK180-1013</t>
  </si>
  <si>
    <t>04.09.2025</t>
  </si>
  <si>
    <t>Dynamic</t>
  </si>
  <si>
    <t>PO#: SAS-PO-25-MARK180-1014</t>
  </si>
  <si>
    <t>09.09.2025</t>
  </si>
  <si>
    <t>Coupling D slot</t>
  </si>
  <si>
    <t>INR 84,960.00</t>
  </si>
  <si>
    <t>PO#: SAS-PO-25-MARK180-1015</t>
  </si>
  <si>
    <t>10.09.2025</t>
  </si>
  <si>
    <t>Jet plate &amp; Heat Side Plate</t>
  </si>
  <si>
    <t>INR 2,83,200.00</t>
  </si>
  <si>
    <t>SUB-ASSEMBLY BILL OF MATERIAL SHEET</t>
  </si>
  <si>
    <t>SL NO</t>
  </si>
  <si>
    <t>SUB ASSEMBLY NAME</t>
  </si>
  <si>
    <t>UNITS</t>
  </si>
  <si>
    <t>RM USED</t>
  </si>
  <si>
    <t>RM AVAILABLE</t>
  </si>
  <si>
    <t>HOW MANY</t>
  </si>
  <si>
    <t>Jet Motor Assy</t>
  </si>
  <si>
    <t>Battery Clamp</t>
  </si>
  <si>
    <t>M4x25 Hex Head</t>
  </si>
  <si>
    <t>M4 Square Nut</t>
  </si>
  <si>
    <t>M4 Nyloc</t>
  </si>
  <si>
    <t>M4 Spring washer</t>
  </si>
  <si>
    <t>M4x12 plain washer</t>
  </si>
  <si>
    <t>M4x16 CSK Phillips</t>
  </si>
  <si>
    <t xml:space="preserve">M4x10 CSK Phillips </t>
  </si>
  <si>
    <t>M4x20 CSK Phillips</t>
  </si>
  <si>
    <t>Grub M6x10 SS (Coupling tightening)</t>
  </si>
  <si>
    <t>Rotex14 Coupling</t>
  </si>
  <si>
    <t>Teroson MS930</t>
  </si>
  <si>
    <t>Silicon hose pipe clip 7mm</t>
  </si>
  <si>
    <t>Water Jet pump Jet S52</t>
  </si>
  <si>
    <t>ESC Mounting Plate</t>
  </si>
  <si>
    <t>Jet S52 Mounting plate</t>
  </si>
  <si>
    <t>Motor Mount 5692</t>
  </si>
  <si>
    <t>Motor 5692 495 KV</t>
  </si>
  <si>
    <t>Motor Cooling Jacket 56mm x 50mm</t>
  </si>
  <si>
    <t>Thread locker 242/270/290</t>
  </si>
  <si>
    <t>Thread locker Activator</t>
  </si>
  <si>
    <t>STBD_ESC Assy</t>
  </si>
  <si>
    <t>5.5mm Female Bullet connector</t>
  </si>
  <si>
    <t>4mm Male Bullet connector</t>
  </si>
  <si>
    <t>4mm Female Bullet connector</t>
  </si>
  <si>
    <t>Black 12AWG</t>
  </si>
  <si>
    <t>Red 12AWG</t>
  </si>
  <si>
    <t>16AWG Lead</t>
  </si>
  <si>
    <t>Heatshrink Tube 9:3</t>
  </si>
  <si>
    <t>HeatShrink Tube 4.8/1.2</t>
  </si>
  <si>
    <t>HV130 ESC</t>
  </si>
  <si>
    <t>PORT_ESC Assy</t>
  </si>
  <si>
    <t>STBD Signal PM Assy</t>
  </si>
  <si>
    <t>15 pin JST-XH housing</t>
  </si>
  <si>
    <t>10cm one sided JST crimped Black</t>
  </si>
  <si>
    <t>10cm one sided JST crimped Green</t>
  </si>
  <si>
    <t>10cm one sided JST crimped Voilet</t>
  </si>
  <si>
    <t>10cm one sided JST crimped Yellow</t>
  </si>
  <si>
    <t>10cm one sided JST crimped Sky Blue</t>
  </si>
  <si>
    <t>10cm one sided JST crimped Pink</t>
  </si>
  <si>
    <t>10cm one sided JST crimped Orange</t>
  </si>
  <si>
    <t>10cm one sided JST crimped Dark Blue</t>
  </si>
  <si>
    <t>10cm one sided JST crimped Light Brown</t>
  </si>
  <si>
    <t>10cm one sided JST crimped Dark Brown</t>
  </si>
  <si>
    <t>10cm one sided JST crimped White with Red strip</t>
  </si>
  <si>
    <t>10cm one sided JST crimped White with black strip</t>
  </si>
  <si>
    <t>10cm one sided JST crimped White</t>
  </si>
  <si>
    <t>10cm one sided JST crimped Red</t>
  </si>
  <si>
    <t>SY21-15 pin panel mount</t>
  </si>
  <si>
    <t>Silicon RTV 734 Potting compound</t>
  </si>
  <si>
    <t>Lead wire 22AWG</t>
  </si>
  <si>
    <t>PORT Signal PM Assy</t>
  </si>
  <si>
    <t>10cm one sided JST crimped Dark Parrot Green</t>
  </si>
  <si>
    <t>STBD Signal CM Assy</t>
  </si>
  <si>
    <t>2mm male bullet connector</t>
  </si>
  <si>
    <t>2mm Female Bullet connector</t>
  </si>
  <si>
    <t>Soldering flux</t>
  </si>
  <si>
    <t>20Core Wire 14/38</t>
  </si>
  <si>
    <t>Red 14/38 wire</t>
  </si>
  <si>
    <t>SY21-15 pin Cable Mount</t>
  </si>
  <si>
    <t>BlueRobotics Leak</t>
  </si>
  <si>
    <t>HeatShrink Tube 4:1</t>
  </si>
  <si>
    <t>HeatShrink Tube 12:3</t>
  </si>
  <si>
    <t>HeatShrink Tube 3:1</t>
  </si>
  <si>
    <t>PORT Signal CM Assy</t>
  </si>
  <si>
    <t>Black 18 AWG</t>
  </si>
  <si>
    <t>Black 20 AWG</t>
  </si>
  <si>
    <t>Red 20 AWG</t>
  </si>
  <si>
    <t>13 pin JST-XH housing</t>
  </si>
  <si>
    <t>10cm one sided JST crimped Light Grey</t>
  </si>
  <si>
    <t>WY-28 Metal connector PM</t>
  </si>
  <si>
    <t>Heatshrink Tube 6.4:1.6</t>
  </si>
  <si>
    <t>Charger Box Assy</t>
  </si>
  <si>
    <t>24v AC/DC module</t>
  </si>
  <si>
    <t>25cm Black Microfit one side crimped wires</t>
  </si>
  <si>
    <t>25cm Green Microfit one side crimped wires</t>
  </si>
  <si>
    <t>25cm Violet Microfit one side crimped wires</t>
  </si>
  <si>
    <t>25cm Yellow Microfit one side crimped wires</t>
  </si>
  <si>
    <t>25cm Blue Microfit one side crimped wires</t>
  </si>
  <si>
    <t>25cm Pink Microfit one side crimped wires</t>
  </si>
  <si>
    <t>25cm L.Brown Microfit one side crimped wires</t>
  </si>
  <si>
    <t>25cm D.Brown Microfit one side crimped wires</t>
  </si>
  <si>
    <t>25cm White Microfit one side crimped wires</t>
  </si>
  <si>
    <t>25cm White-Red Microfit one side crimped wires</t>
  </si>
  <si>
    <t>25cm Red Microfit one side crimped wires</t>
  </si>
  <si>
    <t>25cm Dark Blue Microfit one side crimped wires</t>
  </si>
  <si>
    <t>25cm Orange Microfit one side crimped wires</t>
  </si>
  <si>
    <t>18pin Microfit housing</t>
  </si>
  <si>
    <t>12S Lipo Charger</t>
  </si>
  <si>
    <t>PG-7 Cable Gland</t>
  </si>
  <si>
    <t>PG-11 Cable Gland</t>
  </si>
  <si>
    <t>Red 18 AWG</t>
  </si>
  <si>
    <t>Charging CM Assy</t>
  </si>
  <si>
    <t>WY-28 Metal connector CM</t>
  </si>
  <si>
    <t>RPM Sensor Assy</t>
  </si>
  <si>
    <t>PWB of RPM Sensor</t>
  </si>
  <si>
    <t>LM358D SMD</t>
  </si>
  <si>
    <t>47k 0805</t>
  </si>
  <si>
    <t>470k 0805 Com grade</t>
  </si>
  <si>
    <t>0.1uF 0805</t>
  </si>
  <si>
    <t>0.01uF 0805</t>
  </si>
  <si>
    <t>PWB of Current Sensor</t>
  </si>
  <si>
    <t>WCS1700 current Sensor</t>
  </si>
  <si>
    <t>A21 MotherBoard Assy</t>
  </si>
  <si>
    <t>Receiver Module R9MM/R9MX/R9</t>
  </si>
  <si>
    <t>LM1117 5.0v</t>
  </si>
  <si>
    <t>LM1117 3.3v</t>
  </si>
  <si>
    <t>NEO-6M GPS</t>
  </si>
  <si>
    <t>6mm male bullet connector</t>
  </si>
  <si>
    <t>6mm female bullet connector</t>
  </si>
  <si>
    <t>Red 8AWG</t>
  </si>
  <si>
    <t>Buck converter XL7015 50v</t>
  </si>
  <si>
    <t>LM2596HW for PC</t>
  </si>
  <si>
    <t>PWB of Motherboard</t>
  </si>
  <si>
    <t>Lead paste</t>
  </si>
  <si>
    <t>SPST relay 5A-12v ANTI_S &amp; KILL</t>
  </si>
  <si>
    <t>Balancing 1A DPDT 24v Relay</t>
  </si>
  <si>
    <t>Balancing relay 5A/2A 24v SPST</t>
  </si>
  <si>
    <t>24AWG Soldering Wire</t>
  </si>
  <si>
    <t>12E 2W Resistor THT</t>
  </si>
  <si>
    <t>51k 0805 resistor</t>
  </si>
  <si>
    <t>2 pin JST-XH male top entry</t>
  </si>
  <si>
    <t>13 pin JST-XH male top entry</t>
  </si>
  <si>
    <t>15 pin JST-XH male top entry</t>
  </si>
  <si>
    <t>MCP3208</t>
  </si>
  <si>
    <t>23A 24v Power relay</t>
  </si>
  <si>
    <t>20k 0805 resistor PANASONIC</t>
  </si>
  <si>
    <t>16MHz Crystal Oscillator</t>
  </si>
  <si>
    <t>ULN2004 SMD</t>
  </si>
  <si>
    <t>Atmega328P-AU</t>
  </si>
  <si>
    <t>Power Relay 120A 12v</t>
  </si>
  <si>
    <t xml:space="preserve">Tactile switch </t>
  </si>
  <si>
    <t>Electronic Box Assy</t>
  </si>
  <si>
    <t>Ipex4 to SMA converter extension</t>
  </si>
  <si>
    <t>BlueRobotics Indicator</t>
  </si>
  <si>
    <t>M4x6 PCB mount screw Magnetic</t>
  </si>
  <si>
    <t>Electronic Box</t>
  </si>
  <si>
    <t>IM Front Lid</t>
  </si>
  <si>
    <t>Silicon RTV 732</t>
  </si>
  <si>
    <t>Power Switch Assy</t>
  </si>
  <si>
    <t>FL_STBD Elec</t>
  </si>
  <si>
    <t>PWB of STBD flash light</t>
  </si>
  <si>
    <t>Green 2835 SMD LED 1W</t>
  </si>
  <si>
    <t>FL_PORT Elec</t>
  </si>
  <si>
    <t>PWB of PORT flash light</t>
  </si>
  <si>
    <t>Red 2835 SMD LED 1W</t>
  </si>
  <si>
    <t>FL_STBD Mech</t>
  </si>
  <si>
    <t>M3x8 Button Head</t>
  </si>
  <si>
    <t>Flashing Light glass</t>
  </si>
  <si>
    <t>Flashing Light bottom plate</t>
  </si>
  <si>
    <t>Heatsink paste</t>
  </si>
  <si>
    <t>M4x12 Allen Head</t>
  </si>
  <si>
    <t>FL_PORT Mech</t>
  </si>
  <si>
    <t>Battery Block Assy</t>
  </si>
  <si>
    <t>Li-In 21700 Cells Molicel P42A/ Samsung-40T</t>
  </si>
  <si>
    <t>Copper Strips 3x2 cells</t>
  </si>
  <si>
    <t>70mm Paper Separator</t>
  </si>
  <si>
    <t>Barley paper for 21700 cylindrical cell</t>
  </si>
  <si>
    <t>STBD Battery Assy</t>
  </si>
  <si>
    <t>8mm male bullet connector</t>
  </si>
  <si>
    <t>Black 8AWG</t>
  </si>
  <si>
    <t>2mm FRP 60x70mm</t>
  </si>
  <si>
    <t>HeatShrink Tube 100mm</t>
  </si>
  <si>
    <t>PORT Battery Assy</t>
  </si>
  <si>
    <t>8mm female bullet connector</t>
  </si>
  <si>
    <t>STBD Unit Assy</t>
  </si>
  <si>
    <t>ESC Mounting Clamp</t>
  </si>
  <si>
    <t>3mm Silicon Rubber Gaskets (35mmx10mm)</t>
  </si>
  <si>
    <t>M4x16 Allen Head</t>
  </si>
  <si>
    <t>PORT Unit Assy</t>
  </si>
  <si>
    <t>SR Structure</t>
  </si>
  <si>
    <t>SR Pillow</t>
  </si>
  <si>
    <t>M6x50 Button head</t>
  </si>
  <si>
    <t>M6 Spring washer (SR structure clamping)</t>
  </si>
  <si>
    <t>M6x20 Plain washer (SR structure clamping)</t>
  </si>
  <si>
    <t>M6 Dome NUT SS (SR structure Clamping)</t>
  </si>
  <si>
    <t>3D printed SR Pillow Side Caps</t>
  </si>
  <si>
    <t>3D printed SR Pillow Middle Caps</t>
  </si>
  <si>
    <t>6mmx12mm Rubber Bush</t>
  </si>
  <si>
    <t>Instant Adhesive 407 for EPE sticking</t>
  </si>
  <si>
    <t>STBD SR Rubber Boot</t>
  </si>
  <si>
    <t>PORT SR Rubber Boot</t>
  </si>
  <si>
    <t xml:space="preserve">M6x150 Allen head </t>
  </si>
  <si>
    <t>M6 Nyloc Nut</t>
  </si>
  <si>
    <t>M6x12 Plain washer</t>
  </si>
  <si>
    <t>QX7 Transmitter with R9M</t>
  </si>
  <si>
    <t>25cm Red one side crimped wire</t>
  </si>
  <si>
    <t>25cm Green one side crimped wire</t>
  </si>
  <si>
    <t>25cm Black one side crimped wire</t>
  </si>
  <si>
    <t>R9M Antenna Extension wire RP-SMA to Open</t>
  </si>
  <si>
    <t>SA12 9pin PM Pushpull</t>
  </si>
  <si>
    <t>IP Remote Lower Shell</t>
  </si>
  <si>
    <t>IP Remote Upper Shell</t>
  </si>
  <si>
    <t>PU Gasket Remote Lower Shell</t>
  </si>
  <si>
    <t>Button Spacer No. 1</t>
  </si>
  <si>
    <t>Button Spacer No. 2</t>
  </si>
  <si>
    <t>Button No. 1 pressure bracket</t>
  </si>
  <si>
    <t>Remote Battery Holding Bracket</t>
  </si>
  <si>
    <t>Antenna clamp -1</t>
  </si>
  <si>
    <t>Antenna Clamp -2</t>
  </si>
  <si>
    <t>Cable Holder</t>
  </si>
  <si>
    <t>Remote Handle</t>
  </si>
  <si>
    <t>Polycarbonate Glass for Remote</t>
  </si>
  <si>
    <t>Joystick Water proof rubber</t>
  </si>
  <si>
    <t>Button Silicon Cover No. 1</t>
  </si>
  <si>
    <t>Button Silicon Cover No. 2</t>
  </si>
  <si>
    <t>Neck Strap Hook</t>
  </si>
  <si>
    <t>Neck Strap</t>
  </si>
  <si>
    <t>M2x12 Allen Head SS304</t>
  </si>
  <si>
    <t>32Gb SD Card</t>
  </si>
  <si>
    <t>USB Data &amp; Charging Cable 1m length</t>
  </si>
  <si>
    <t>5v 2A USB Adapter</t>
  </si>
  <si>
    <t>SA12 9pin CM Pushpull</t>
  </si>
  <si>
    <t>Rotary Knob Box 3D print</t>
  </si>
  <si>
    <t>AMCA Elec Assy</t>
  </si>
  <si>
    <t>1N4007 THT diode</t>
  </si>
  <si>
    <t>Water flow sensor</t>
  </si>
  <si>
    <t>Water pump</t>
  </si>
  <si>
    <t>3S Lipo indicator</t>
  </si>
  <si>
    <t>Latching Power switch JCB</t>
  </si>
  <si>
    <t>PWB for JCB</t>
  </si>
  <si>
    <t>3S, &gt;2Ah Li-Ion cell for JCB</t>
  </si>
  <si>
    <t>DC JAck Panel Mount</t>
  </si>
  <si>
    <t>ULN2003A THT</t>
  </si>
  <si>
    <t>8core Wire 14/38</t>
  </si>
  <si>
    <t>AMCA Mech Assy</t>
  </si>
  <si>
    <t>Water tank with clamp</t>
  </si>
  <si>
    <t>M5x10 Allen / M5x12</t>
  </si>
  <si>
    <t>12 to 8 reducer with lock clips</t>
  </si>
  <si>
    <t>Final Craft Assy</t>
  </si>
  <si>
    <t>M4x20 Allen Head</t>
  </si>
  <si>
    <t>M5x10 Torx</t>
  </si>
  <si>
    <t>Rope 8mm</t>
  </si>
  <si>
    <t>Ferrole</t>
  </si>
  <si>
    <t>Hook Sticker STBD</t>
  </si>
  <si>
    <t>Hook Stiker PORT</t>
  </si>
  <si>
    <t>Hold here sticker STBD</t>
  </si>
  <si>
    <t>Hold here sticker PORT</t>
  </si>
  <si>
    <t>915MHz Antenna</t>
  </si>
  <si>
    <t>M4x20 plain washer</t>
  </si>
  <si>
    <t>M4x12 Button head</t>
  </si>
  <si>
    <t>8kg Hull</t>
  </si>
  <si>
    <t>Bottom Block Assy</t>
  </si>
  <si>
    <t>IM Bottom Block</t>
  </si>
  <si>
    <t>Bottom Mesh (120mm x 100mm, 5"x4")</t>
  </si>
  <si>
    <t>M4x12 Pan Combi Screws</t>
  </si>
  <si>
    <t>M3x8 CSK Phillips</t>
  </si>
  <si>
    <t>M3x8 plain wahser</t>
  </si>
  <si>
    <t>STBD Aft Plate Assy</t>
  </si>
  <si>
    <t>STBD Aft Plate</t>
  </si>
  <si>
    <t>M8 Slim Locknut</t>
  </si>
  <si>
    <t>PORT Aft Plate Assy</t>
  </si>
  <si>
    <t>PORT Aft Plate</t>
  </si>
  <si>
    <t>Air nozzle</t>
  </si>
  <si>
    <t>R9MX Adapter</t>
  </si>
  <si>
    <t>PWB of R9MX adapter</t>
  </si>
  <si>
    <t>Final Packing</t>
  </si>
  <si>
    <t>66 No. Box for chraging cable &amp; Tool box</t>
  </si>
  <si>
    <t>10mm Nut Driver with 15mm Depth</t>
  </si>
  <si>
    <t>4mm T-Handle</t>
  </si>
  <si>
    <t>HardBox FRP/HDPE/CARTON/EPE</t>
  </si>
  <si>
    <t>User Manual</t>
  </si>
  <si>
    <t>2.5mm T handle</t>
  </si>
  <si>
    <t>Oring AFT plate</t>
  </si>
  <si>
    <t>IP68 Rotary main Switch</t>
  </si>
  <si>
    <t>MATERIAL REQUIREMENT PLANNING</t>
  </si>
  <si>
    <t>Proc Budget</t>
  </si>
  <si>
    <t>RAW MATERIAL</t>
  </si>
  <si>
    <t>PROJECTED</t>
  </si>
  <si>
    <t>PENDING</t>
  </si>
  <si>
    <t>IN STOCK</t>
  </si>
  <si>
    <t>ISSUED</t>
  </si>
  <si>
    <t>TO ORDER</t>
  </si>
  <si>
    <t>UNIT</t>
  </si>
  <si>
    <t>COST</t>
  </si>
  <si>
    <t>SUPPLIER - MATERIAL REQUIREMENT PLANNING</t>
  </si>
  <si>
    <t>ORDER VALUE</t>
  </si>
  <si>
    <t>COMPONENTS / SUB-ASSEMBLY</t>
  </si>
  <si>
    <t>MOVED TO SITE</t>
  </si>
  <si>
    <t>REQUIRED</t>
  </si>
  <si>
    <t>SERVICE PROVIDER</t>
  </si>
  <si>
    <t>PDF</t>
  </si>
  <si>
    <t>DXF</t>
  </si>
  <si>
    <t>SUPPLIER NOTES</t>
  </si>
  <si>
    <t>ITEMS FROM SUPPLIER</t>
  </si>
  <si>
    <t>STARTING INVENTORY</t>
  </si>
  <si>
    <t>AVAILABLE NOW</t>
  </si>
  <si>
    <t>PRICE</t>
  </si>
  <si>
    <t>POST PROCESSING?</t>
  </si>
  <si>
    <t>SERVICE</t>
  </si>
  <si>
    <t>PURCHASES</t>
  </si>
  <si>
    <t>SL</t>
  </si>
  <si>
    <t>SEMI FINISHED GOODS</t>
  </si>
  <si>
    <t>PART NUMBER</t>
  </si>
  <si>
    <t>PART NUMBER 2</t>
  </si>
  <si>
    <t>UoM 2</t>
  </si>
  <si>
    <t>COMBINE</t>
  </si>
  <si>
    <t>Sheet Name</t>
  </si>
  <si>
    <t>Description</t>
  </si>
  <si>
    <t>Details of the sheet / Data to be Filled</t>
  </si>
  <si>
    <t>Inventory Calculations</t>
  </si>
  <si>
    <t>Data</t>
  </si>
  <si>
    <t>Backend Default data</t>
  </si>
  <si>
    <t>List of Suppliers, Unit of Measurement names, Category, sub category names</t>
  </si>
  <si>
    <t>-</t>
  </si>
  <si>
    <t>RM</t>
  </si>
  <si>
    <t>Raw Material Log</t>
  </si>
  <si>
    <t>Names and other details of raw materials</t>
  </si>
  <si>
    <t>FG</t>
  </si>
  <si>
    <t>Finished Goods Log</t>
  </si>
  <si>
    <t>Names and other details of Finished Goods</t>
  </si>
  <si>
    <t>S-FG</t>
  </si>
  <si>
    <t>Semi-Finished Goods Log</t>
  </si>
  <si>
    <t>Names and other details of Semi-Finished Goods</t>
  </si>
  <si>
    <t>S-BOM</t>
  </si>
  <si>
    <t>Sub-Assembly Bill of Material Log</t>
  </si>
  <si>
    <t>Link all raw materials to semi finished assemblies (Sub assemblies)</t>
  </si>
  <si>
    <t>A-BOM</t>
  </si>
  <si>
    <t>Assembly Bill of Material Log</t>
  </si>
  <si>
    <t>Link all raw materials or semi finished assemblies to their finished goods (Final assemblies)</t>
  </si>
  <si>
    <t>PR-BOM</t>
  </si>
  <si>
    <t>Project Bill of Material</t>
  </si>
  <si>
    <t>Link all raw materials or final assemblies for a particular project</t>
  </si>
  <si>
    <t>Issue</t>
  </si>
  <si>
    <t>Issue Log</t>
  </si>
  <si>
    <t>List of all material / assemblies issued against a project (moved to site)</t>
  </si>
  <si>
    <t>Item quantity will get deducted from stock in hand</t>
  </si>
  <si>
    <t>GRN</t>
  </si>
  <si>
    <t>Goods Received Log</t>
  </si>
  <si>
    <t>List of all raw material received.</t>
  </si>
  <si>
    <t>Item quantity will get added to stock in hand</t>
  </si>
  <si>
    <t>PO</t>
  </si>
  <si>
    <t>Purchase Log</t>
  </si>
  <si>
    <t>List of all raw material ordered.</t>
  </si>
  <si>
    <t>Item quantity will get added to "Pending" column</t>
  </si>
  <si>
    <t>MRP</t>
  </si>
  <si>
    <t>Material Requirement Planning</t>
  </si>
  <si>
    <t>Report which lists all the raw material requirement after taking into consideration the stock in hand and pending orders.</t>
  </si>
  <si>
    <t>Projects</t>
  </si>
  <si>
    <t>Projects Log</t>
  </si>
  <si>
    <t>Names and other details of all projects</t>
  </si>
  <si>
    <t>Parts List</t>
  </si>
  <si>
    <t>Report to display parts required for a Final Assembly</t>
  </si>
  <si>
    <t>Project Parts List</t>
  </si>
  <si>
    <t>Report to display parts required for a particular Project</t>
  </si>
  <si>
    <t>S-Parts List</t>
  </si>
  <si>
    <t>Sub Assembly Parts List</t>
  </si>
  <si>
    <t>Report to display parts required for a Sub-Assembly</t>
  </si>
  <si>
    <t>Where Used</t>
  </si>
  <si>
    <t>Where is this raw material part is used?</t>
  </si>
  <si>
    <t>Shows a list of final assemblies and sub-assemblies where a particular raw material part is used.</t>
  </si>
  <si>
    <t>Inv</t>
  </si>
  <si>
    <t>Inventory Management Sheet</t>
  </si>
  <si>
    <t>ASSEMBLY BOM LIST (Query)</t>
  </si>
  <si>
    <t>PRODUCT</t>
  </si>
  <si>
    <t>Saif Seas Life - DSR</t>
  </si>
  <si>
    <t>TO BE ORDERED</t>
  </si>
  <si>
    <t>Charging Panel Mount Assy</t>
  </si>
  <si>
    <t>SUB-ASSEMBLY BOM LIST</t>
  </si>
  <si>
    <t>CAN MAKE?</t>
  </si>
  <si>
    <t>ORDER LOG</t>
  </si>
  <si>
    <t>PO DATE</t>
  </si>
  <si>
    <t>PO NUMBER</t>
  </si>
  <si>
    <t>QUANTITY</t>
  </si>
  <si>
    <t>REMAIN</t>
  </si>
  <si>
    <t>W202309081505486</t>
  </si>
  <si>
    <t>PO-83</t>
  </si>
  <si>
    <t>FINAL ASSEMBLY BILL OF MATERIAL SHEET</t>
  </si>
  <si>
    <t>FINAL ASSEMBLY NAME</t>
  </si>
  <si>
    <t>SUB ASSEMBLY / PART NAME</t>
  </si>
  <si>
    <t>NOTES</t>
  </si>
  <si>
    <t>MP, MM</t>
  </si>
  <si>
    <t>CS, SR</t>
  </si>
  <si>
    <t>PS, AM</t>
  </si>
  <si>
    <t>CS</t>
  </si>
  <si>
    <t>SR</t>
  </si>
  <si>
    <t>DY</t>
  </si>
  <si>
    <t>MP</t>
  </si>
  <si>
    <t>PS</t>
  </si>
  <si>
    <t>MM</t>
  </si>
  <si>
    <t>SK</t>
  </si>
  <si>
    <t>FINISHED GOODS NAME SHEET</t>
  </si>
  <si>
    <t>PRODUCT NAME</t>
  </si>
  <si>
    <t>PART #</t>
  </si>
  <si>
    <t>DESCRIPTION</t>
  </si>
  <si>
    <t>Excess stock</t>
  </si>
  <si>
    <t>Normal Stock</t>
  </si>
  <si>
    <t>30-10% Stock</t>
  </si>
  <si>
    <t>Below 10%</t>
  </si>
  <si>
    <t>LAST PURCHASE</t>
  </si>
  <si>
    <t>TODAY</t>
  </si>
  <si>
    <t>S.No.</t>
  </si>
  <si>
    <t>Item Code</t>
  </si>
  <si>
    <t>Avg monthly consumption</t>
  </si>
  <si>
    <t>Lead Time</t>
  </si>
  <si>
    <t>Safety Factor</t>
  </si>
  <si>
    <t>MAX Level</t>
  </si>
  <si>
    <t>Week 1</t>
  </si>
  <si>
    <t>Week 3</t>
  </si>
  <si>
    <t>Week 5</t>
  </si>
  <si>
    <t>Week 7</t>
  </si>
  <si>
    <t>Week 9</t>
  </si>
  <si>
    <t>Date</t>
  </si>
  <si>
    <t>Rate</t>
  </si>
  <si>
    <t>PUR</t>
  </si>
  <si>
    <t>Silicon hose pipe 4mm ID x 8mm OD</t>
  </si>
  <si>
    <t>0.1uF 0805 Capacitor</t>
  </si>
  <si>
    <t>100k 0805 resistor</t>
  </si>
  <si>
    <t>100x100x60 enclosure box</t>
  </si>
  <si>
    <t>10uF Tantalum Capacitor</t>
  </si>
  <si>
    <t>12S charger</t>
  </si>
  <si>
    <t>16MHz SMD oscillator</t>
  </si>
  <si>
    <t>1N4007 diode</t>
  </si>
  <si>
    <t>20 core 0.25 sq mm cable</t>
  </si>
  <si>
    <t>20mm Nylon spacer</t>
  </si>
  <si>
    <t>22Ohm 1W resistor</t>
  </si>
  <si>
    <t>2mm FRP 70x70mm</t>
  </si>
  <si>
    <t>2mm FRP 70x70mm with 18 mm hole</t>
  </si>
  <si>
    <t>2pin JST-XH housing</t>
  </si>
  <si>
    <t>2pin JST-XH side entry Male</t>
  </si>
  <si>
    <t>2pin JST-XH top entry Male</t>
  </si>
  <si>
    <t>3x6 plain washer</t>
  </si>
  <si>
    <t>5 mins Epoxy Araldite</t>
  </si>
  <si>
    <t>5mm Nylon Spacer</t>
  </si>
  <si>
    <t>6.8k 0805 resistor</t>
  </si>
  <si>
    <t>7pin JST-XH housing</t>
  </si>
  <si>
    <t>7pin JST-XH top entry Male</t>
  </si>
  <si>
    <t xml:space="preserve">915 Mhz Antenna </t>
  </si>
  <si>
    <t>9v piezo electric Buzzer</t>
  </si>
  <si>
    <t>AC/DC converter module</t>
  </si>
  <si>
    <t>Aft plate acrylic</t>
  </si>
  <si>
    <t>Aft plate aluminium</t>
  </si>
  <si>
    <t>AIO Board</t>
  </si>
  <si>
    <t>Antenna Extension Wire ipex4 to SMA female</t>
  </si>
  <si>
    <t>Atmega328p controller</t>
  </si>
  <si>
    <t>Balancing relay 1A/2A 24v (DPDT for protection circuit)</t>
  </si>
  <si>
    <t>Barley Paper</t>
  </si>
  <si>
    <t>Barley paper separator</t>
  </si>
  <si>
    <t>Battery for Transmitter</t>
  </si>
  <si>
    <t>Battery holding foam block no. 1</t>
  </si>
  <si>
    <t>Battery holding foam block no. 2</t>
  </si>
  <si>
    <t>Battery holding foam block no. 3</t>
  </si>
  <si>
    <t>BC547 transistor</t>
  </si>
  <si>
    <t>Black 16AWG</t>
  </si>
  <si>
    <t>Black 20 AWG/22AWG</t>
  </si>
  <si>
    <t xml:space="preserve">Black 8AWG </t>
  </si>
  <si>
    <t>BlueRobotics Switch</t>
  </si>
  <si>
    <t>BMP280</t>
  </si>
  <si>
    <t>Bottom Cover</t>
  </si>
  <si>
    <t>Bottom Mesh</t>
  </si>
  <si>
    <t>Buck converter LM2596 HW 40v</t>
  </si>
  <si>
    <t>Buck converter LM2596HV 50v</t>
  </si>
  <si>
    <t>Charger for Transmitter</t>
  </si>
  <si>
    <t>Cleaning Attachment box</t>
  </si>
  <si>
    <t>Cooling Water Inlet nozzle</t>
  </si>
  <si>
    <t>Cooling Water Outlet nozzle</t>
  </si>
  <si>
    <t>Coupling Cover Hood - Aluminium</t>
  </si>
  <si>
    <t>Crimping Pin JST-XH</t>
  </si>
  <si>
    <t>Current Sensor 150A</t>
  </si>
  <si>
    <t>EB-Front aluminum Lid</t>
  </si>
  <si>
    <t>ElecBox front clear lid</t>
  </si>
  <si>
    <t>Electronic box top lid 2mm FRP</t>
  </si>
  <si>
    <t>ESC (hobbyWing)</t>
  </si>
  <si>
    <t>Female bergstrip 40x1</t>
  </si>
  <si>
    <t>Flashing Light bottom plate machined</t>
  </si>
  <si>
    <t>Flashing Light Glass</t>
  </si>
  <si>
    <t>Frsky Stock temp sensor transducer</t>
  </si>
  <si>
    <t>GPS</t>
  </si>
  <si>
    <t>Green 2835 1W LED</t>
  </si>
  <si>
    <t>Grub M5x10 SS</t>
  </si>
  <si>
    <t>Grub M6x10 SS</t>
  </si>
  <si>
    <t>HC-05 Bluetooth</t>
  </si>
  <si>
    <t>HDPE hull</t>
  </si>
  <si>
    <t>Heat shrink 100mm</t>
  </si>
  <si>
    <t>HeatShrink Tube 1.5mm</t>
  </si>
  <si>
    <t>hose pipe clamp spring</t>
  </si>
  <si>
    <t xml:space="preserve">Jet 52  fixture plate frp 2mm </t>
  </si>
  <si>
    <t>Jet 52 fixture side plate SS/Lead 3 mm</t>
  </si>
  <si>
    <t>Jet 52 Mounting plate</t>
  </si>
  <si>
    <t>Lead</t>
  </si>
  <si>
    <t>Loctite 406/495 Instant Adhesive</t>
  </si>
  <si>
    <t>M3 Square Nut</t>
  </si>
  <si>
    <t>M3x10 CSK Phillips</t>
  </si>
  <si>
    <t>M3x6 Allen head</t>
  </si>
  <si>
    <t>M3x6 CSK Phillips</t>
  </si>
  <si>
    <t>M4 Lock nut</t>
  </si>
  <si>
    <t>M4x15 Allen Head</t>
  </si>
  <si>
    <t>M4x15 CSK Phillips</t>
  </si>
  <si>
    <t>M4x20 Allen head</t>
  </si>
  <si>
    <t>M4x25 Allen head</t>
  </si>
  <si>
    <t>M4x25 CSK Phillips</t>
  </si>
  <si>
    <t>M5x12 Torx</t>
  </si>
  <si>
    <t>M6 Dome NUT SS</t>
  </si>
  <si>
    <t>M6 Plain washer</t>
  </si>
  <si>
    <t>M6 Spring washer</t>
  </si>
  <si>
    <t>M6x45 Button head</t>
  </si>
  <si>
    <t>Male bergstrip 40x1</t>
  </si>
  <si>
    <t>MCP3208 DIP package</t>
  </si>
  <si>
    <t>Metal connector CM</t>
  </si>
  <si>
    <t>Metal connector PM</t>
  </si>
  <si>
    <t>Momentary switch</t>
  </si>
  <si>
    <t>Motor 4092 700 KV</t>
  </si>
  <si>
    <t>Motor Cooling Jacket 4082 40 x 50 or 40x68</t>
  </si>
  <si>
    <t>Motor Mount 4082/4092</t>
  </si>
  <si>
    <t>Motor- Jet Coupling Rotex 14</t>
  </si>
  <si>
    <t>Nozzle on Jet for greasing</t>
  </si>
  <si>
    <t>Nozzle on Jet for water</t>
  </si>
  <si>
    <t>P42A 21700 Molicell</t>
  </si>
  <si>
    <t>Packaging</t>
  </si>
  <si>
    <t>Poly Urethane Foam Boss can</t>
  </si>
  <si>
    <t>Power relay 12A 24v SPST (for protection circuit)</t>
  </si>
  <si>
    <t>PWB for PORT Light</t>
  </si>
  <si>
    <t>PWB for STBD Light</t>
  </si>
  <si>
    <t>Red 16AWG</t>
  </si>
  <si>
    <t>Red 2835 1W LED</t>
  </si>
  <si>
    <t xml:space="preserve">Red 8AWG </t>
  </si>
  <si>
    <t>RPM Frsky stock connector</t>
  </si>
  <si>
    <t>RPM Sensor</t>
  </si>
  <si>
    <t>RX Module</t>
  </si>
  <si>
    <t>SD Card for Transmitter</t>
  </si>
  <si>
    <t>Self rightening block</t>
  </si>
  <si>
    <t>Self rightening mounting fixture Aluminium</t>
  </si>
  <si>
    <t xml:space="preserve">Silicon Hose 4mm ID x 8mm OD </t>
  </si>
  <si>
    <t>Silicon hose pipe clip</t>
  </si>
  <si>
    <t>SPDS relay 5A-12v</t>
  </si>
  <si>
    <t>Thread locker 290</t>
  </si>
  <si>
    <t>Transmitter</t>
  </si>
  <si>
    <t>Tx Module</t>
  </si>
  <si>
    <t>ULN2003 SMD narrow package</t>
  </si>
  <si>
    <t>ULN2003A DIL THT</t>
  </si>
  <si>
    <t>Water flow sensor YFS401</t>
  </si>
  <si>
    <t>Water pump 550 Diaphragm</t>
  </si>
  <si>
    <t>Zip ties 100x2.5</t>
  </si>
  <si>
    <t xml:space="preserve">WHERE USED? Query </t>
  </si>
  <si>
    <t>COMPONENT</t>
  </si>
  <si>
    <t>AVAILABLE</t>
  </si>
  <si>
    <t>ASSEMBLY OR SUB ASSEMBLY</t>
  </si>
  <si>
    <t>GOODS RECEIVED SHEET</t>
  </si>
  <si>
    <t>RECEIVED DATE</t>
  </si>
  <si>
    <t>SUPPLIER NAME</t>
  </si>
  <si>
    <t>BILL NO</t>
  </si>
  <si>
    <t>SEMI-FINISHED GOODS NAME SHEET</t>
  </si>
  <si>
    <t xml:space="preserve">(Initiates the Sub Assemblies) </t>
  </si>
  <si>
    <t>SUB-ASSEMBLY NAME</t>
  </si>
  <si>
    <t>ISSUE REGISTER</t>
  </si>
  <si>
    <t>MOVEMENT DATE</t>
  </si>
  <si>
    <t>PROJECT</t>
  </si>
  <si>
    <t>PRODUCT OR RAW MATERIAL NAME</t>
  </si>
  <si>
    <t>30-6-2023</t>
  </si>
  <si>
    <t>Navy - DSR 99nons</t>
  </si>
  <si>
    <t>Delivered</t>
  </si>
  <si>
    <t>Jun23 Production</t>
  </si>
  <si>
    <t>Completed</t>
  </si>
  <si>
    <t>31-8-2023</t>
  </si>
  <si>
    <t>Aug23 Production</t>
  </si>
  <si>
    <t>30-9-2023</t>
  </si>
  <si>
    <t>Sep23 Production</t>
  </si>
  <si>
    <t>31-1-2024</t>
  </si>
  <si>
    <t>Dec23 Production</t>
  </si>
  <si>
    <t>Completed upto SS263 and SS271</t>
  </si>
  <si>
    <t>Jan23 Production</t>
  </si>
  <si>
    <t>SS260 &amp; SS261 to CoastGuard_Jan24</t>
  </si>
  <si>
    <t>Sl</t>
  </si>
  <si>
    <t>Project Name</t>
  </si>
  <si>
    <t>Project ID</t>
  </si>
  <si>
    <t>Handover Date</t>
  </si>
  <si>
    <t>Status</t>
  </si>
  <si>
    <t>Navy - DSR</t>
  </si>
  <si>
    <t>31.07.2022</t>
  </si>
  <si>
    <t>Jan22 Production</t>
  </si>
  <si>
    <t>31-01-2023</t>
  </si>
  <si>
    <t>30-04-2023</t>
  </si>
  <si>
    <t>30-06-2023</t>
  </si>
  <si>
    <t>31-08-2023</t>
  </si>
  <si>
    <t>30-09-2023</t>
  </si>
  <si>
    <t>31-12-2023</t>
  </si>
  <si>
    <t>31-1-2023</t>
  </si>
  <si>
    <t>PROJECT PARTS LIST</t>
  </si>
  <si>
    <t>PRODUCT / RAW MATERIAL</t>
  </si>
  <si>
    <t>REMAINING</t>
  </si>
  <si>
    <t>PROJECT REQUIREMENT LOG SHEET</t>
  </si>
  <si>
    <t>PROJECT / CUSTOMER</t>
  </si>
  <si>
    <t>May, June &amp; July completed with 10nos</t>
  </si>
  <si>
    <t>August (Completed)</t>
  </si>
  <si>
    <t>September (SS251  to SS260) Completed</t>
  </si>
  <si>
    <t>November &amp; December, assembly wise for 20 crafts</t>
  </si>
  <si>
    <t>Dec &amp; January combined to be 50 SS264 to SS300</t>
  </si>
  <si>
    <t>FINISHED GOODS</t>
  </si>
  <si>
    <t>SF</t>
  </si>
  <si>
    <t>DIRECT RAW MATERIAL</t>
  </si>
  <si>
    <t>RAW MATERIAL REQUIREMENT</t>
  </si>
  <si>
    <t>PROJECT REQUIREMENT</t>
  </si>
  <si>
    <t>QTY REQUIRED</t>
  </si>
  <si>
    <t>ASSEMBLY</t>
  </si>
  <si>
    <t/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</si>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</sst>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164" formatCode="_(&quot;$&quot;* #,##0.00_);_(&quot;$&quot;* \(#,##0.00\);_(&quot;$&quot;* &quot;-&quot;??_);_(@_)"/>
    <numFmt numFmtId="165" formatCode="[$₹]#,##0.00"/>
    <numFmt numFmtId="166" formatCode="_(&quot;₹&quot;* #,##0.00_);_(&quot;₹&quot;* \(#,##0.00\);_(&quot;₹&quot;* &quot;-&quot;??_);_(@_)"/>
    <numFmt numFmtId="167" formatCode="m\-d\-yy"/>
    <numFmt numFmtId="168" formatCode="mm\-dd\-yyyy"/>
    <numFmt numFmtId="169" formatCode="d&quot;-&quot;mmm&quot;-&quot;yyyy"/>
    <numFmt numFmtId="170" formatCode="mmmm"/>
    <numFmt numFmtId="171" formatCode="d"/>
    <numFmt numFmtId="172" formatCode="_([$₹-809]* #,###,##0.00_);_([$₹-809]* \(#,###,##0.00\);_([$₹-809]* &quot;-&quot;??_);_(@_)"/>
    <numFmt numFmtId="173" formatCode="m/d/yyyy"/>
    <numFmt numFmtId="174" formatCode="m\-d\-yyyy"/>
  </numFmts>
  <fonts count="38">
    <font>
      <sz val="11"/>
      <color rgb="FF000000"/>
      <name val="Calibri"/>
    </font>
    <font>
      <sz val="11"/>
      <name val="Calibri"/>
    </font>
    <font>
      <b/>
      <sz val="11"/>
      <color rgb="FF000000"/>
      <name val="Calibri"/>
    </font>
    <font>
      <b/>
      <sz val="12"/>
      <color rgb="FF000000"/>
      <name val="Roboto"/>
    </font>
    <font>
      <b/>
      <sz val="10"/>
      <color rgb="FF000000"/>
      <name val="Roboto"/>
    </font>
    <font>
      <sz val="10"/>
      <color rgb="FF000000"/>
      <name val="Roboto"/>
    </font>
    <font>
      <sz val="11"/>
      <name val="Calibri"/>
    </font>
    <font>
      <sz val="10"/>
      <name val="Roboto"/>
    </font>
    <font>
      <sz val="11"/>
      <color rgb="FF000000"/>
      <name val="Roboto"/>
    </font>
    <font>
      <sz val="11"/>
      <name val="Arial"/>
    </font>
    <font>
      <b/>
      <sz val="11"/>
      <name val="Calibri"/>
    </font>
    <font>
      <b/>
      <sz val="11"/>
      <name val="Calibri"/>
    </font>
    <font>
      <b/>
      <sz val="10"/>
      <color rgb="FF000000"/>
      <name val="Calibri"/>
    </font>
    <font>
      <sz val="10"/>
      <name val="Calibri"/>
    </font>
    <font>
      <sz val="10"/>
      <color rgb="FF000000"/>
      <name val="Calibri"/>
    </font>
    <font>
      <b/>
      <sz val="18"/>
      <color rgb="FF000000"/>
      <name val="Calibri"/>
    </font>
    <font>
      <b/>
      <sz val="12"/>
      <color rgb="FF000000"/>
      <name val="Calibri"/>
    </font>
    <font>
      <b/>
      <sz val="14"/>
      <color rgb="FF000000"/>
      <name val="Calibri"/>
    </font>
    <font>
      <sz val="11"/>
      <color rgb="FF1155CC"/>
      <name val="Calibri"/>
    </font>
    <font>
      <sz val="11"/>
      <name val="Calibri"/>
    </font>
    <font>
      <sz val="12"/>
      <color rgb="FF000000"/>
      <name val="Calibri"/>
    </font>
    <font>
      <sz val="11"/>
      <color rgb="FF000000"/>
      <name val="Calibri"/>
    </font>
    <font>
      <sz val="11"/>
      <color rgb="FF0000FF"/>
      <name val="Calibri"/>
    </font>
    <font>
      <sz val="11"/>
      <color rgb="FF000000"/>
      <name val="Calibri"/>
    </font>
    <font>
      <sz val="8"/>
      <color rgb="FF1F1F1F"/>
      <name val="&quot;Google Sans&quot;"/>
    </font>
    <font>
      <b/>
      <sz val="10"/>
      <name val="Roboto"/>
    </font>
    <font>
      <b/>
      <sz val="9"/>
      <color rgb="FFFFFFFF"/>
      <name val="Arial"/>
    </font>
    <font>
      <b/>
      <sz val="9"/>
      <name val="Arial"/>
    </font>
    <font>
      <b/>
      <sz val="6"/>
      <name val="Arial"/>
    </font>
    <font>
      <b/>
      <sz val="11"/>
      <name val="Arial"/>
    </font>
    <font>
      <b/>
      <sz val="8"/>
      <name val="Arial"/>
    </font>
    <font>
      <sz val="11"/>
      <name val="Arial"/>
    </font>
    <font>
      <sz val="8"/>
      <name val="Arial"/>
    </font>
    <font>
      <sz val="9"/>
      <name val="Arial"/>
    </font>
    <font>
      <sz val="9"/>
      <color rgb="FFFFFFFF"/>
      <name val="Arial"/>
    </font>
    <font>
      <b/>
      <sz val="11"/>
      <name val="Roboto"/>
    </font>
    <font>
      <sz val="11"/>
      <name val="Roboto"/>
    </font>
    <font>
      <sz val="11"/>
      <color rgb="FF000000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48EDED"/>
        <bgColor rgb="FF48EDED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E8E7FC"/>
        <bgColor rgb="FFE8E7FC"/>
      </patternFill>
    </fill>
    <fill>
      <patternFill patternType="solid">
        <fgColor rgb="FFC5E0B3"/>
        <bgColor rgb="FFC5E0B3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ED7D31"/>
        <bgColor rgb="FFED7D31"/>
      </patternFill>
    </fill>
    <fill>
      <patternFill patternType="solid">
        <fgColor rgb="FF00B050"/>
        <bgColor rgb="FF00B050"/>
      </patternFill>
    </fill>
    <fill>
      <patternFill patternType="solid">
        <fgColor rgb="FFFF9900"/>
        <bgColor rgb="FFFF9900"/>
      </patternFill>
    </fill>
    <fill>
      <patternFill patternType="solid">
        <fgColor rgb="FFEEF7E3"/>
        <bgColor rgb="FFEEF7E3"/>
      </patternFill>
    </fill>
    <fill>
      <patternFill patternType="solid">
        <fgColor rgb="FF660066"/>
        <bgColor rgb="FF660066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666666"/>
        <bgColor rgb="FF666666"/>
      </patternFill>
    </fill>
    <fill>
      <patternFill patternType="solid">
        <fgColor rgb="FF9900FF"/>
        <bgColor rgb="FF9900FF"/>
      </patternFill>
    </fill>
    <fill>
      <patternFill patternType="solid">
        <fgColor rgb="FF34A853"/>
        <bgColor rgb="FF34A853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6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vertical="center"/>
    </xf>
    <xf numFmtId="0" fontId="6" fillId="3" borderId="1" xfId="0" applyFont="1" applyFill="1" applyBorder="1"/>
    <xf numFmtId="0" fontId="8" fillId="7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center"/>
    </xf>
    <xf numFmtId="0" fontId="6" fillId="7" borderId="1" xfId="0" applyFont="1" applyFill="1" applyBorder="1"/>
    <xf numFmtId="0" fontId="0" fillId="7" borderId="1" xfId="0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7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7" fillId="7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10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11" fillId="3" borderId="0" xfId="0" applyFont="1" applyFill="1" applyAlignment="1">
      <alignment horizontal="center"/>
    </xf>
    <xf numFmtId="0" fontId="11" fillId="7" borderId="0" xfId="0" applyFont="1" applyFill="1" applyAlignment="1">
      <alignment horizontal="center"/>
    </xf>
    <xf numFmtId="0" fontId="10" fillId="3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164" fontId="1" fillId="0" borderId="1" xfId="0" applyNumberFormat="1" applyFont="1" applyBorder="1"/>
    <xf numFmtId="0" fontId="3" fillId="5" borderId="2" xfId="0" applyFont="1" applyFill="1" applyBorder="1" applyAlignment="1">
      <alignment horizontal="left" vertical="center"/>
    </xf>
    <xf numFmtId="0" fontId="12" fillId="5" borderId="3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2" fillId="5" borderId="0" xfId="0" applyFont="1" applyFill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6" fillId="0" borderId="1" xfId="0" applyFont="1" applyBorder="1" applyAlignment="1">
      <alignment wrapText="1"/>
    </xf>
    <xf numFmtId="2" fontId="6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2" fontId="14" fillId="8" borderId="1" xfId="0" applyNumberFormat="1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2" fontId="14" fillId="0" borderId="1" xfId="0" applyNumberFormat="1" applyFont="1" applyBorder="1" applyAlignment="1">
      <alignment horizontal="center" vertical="center"/>
    </xf>
    <xf numFmtId="0" fontId="16" fillId="9" borderId="3" xfId="0" applyFont="1" applyFill="1" applyBorder="1" applyAlignment="1">
      <alignment horizontal="center" vertical="center"/>
    </xf>
    <xf numFmtId="165" fontId="17" fillId="9" borderId="4" xfId="0" applyNumberFormat="1" applyFont="1" applyFill="1" applyBorder="1" applyAlignment="1">
      <alignment horizontal="right" vertical="center"/>
    </xf>
    <xf numFmtId="0" fontId="11" fillId="9" borderId="1" xfId="0" applyFont="1" applyFill="1" applyBorder="1" applyAlignment="1">
      <alignment horizontal="center" vertical="center"/>
    </xf>
    <xf numFmtId="0" fontId="1" fillId="10" borderId="1" xfId="0" applyFont="1" applyFill="1" applyBorder="1"/>
    <xf numFmtId="0" fontId="1" fillId="10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left" vertical="center"/>
    </xf>
    <xf numFmtId="0" fontId="16" fillId="2" borderId="1" xfId="0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66" fontId="16" fillId="13" borderId="1" xfId="0" applyNumberFormat="1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15" fillId="11" borderId="0" xfId="0" applyFont="1" applyFill="1" applyAlignment="1">
      <alignment horizontal="center" vertical="center"/>
    </xf>
    <xf numFmtId="0" fontId="20" fillId="1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15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" fillId="0" borderId="0" xfId="0" applyFont="1"/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1" fillId="5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left"/>
    </xf>
    <xf numFmtId="2" fontId="0" fillId="0" borderId="1" xfId="0" applyNumberFormat="1" applyBorder="1" applyAlignment="1">
      <alignment horizontal="center" vertical="center"/>
    </xf>
    <xf numFmtId="0" fontId="6" fillId="0" borderId="0" xfId="0" applyFont="1" applyAlignment="1">
      <alignment wrapText="1"/>
    </xf>
    <xf numFmtId="0" fontId="2" fillId="16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/>
    </xf>
    <xf numFmtId="167" fontId="1" fillId="0" borderId="1" xfId="0" applyNumberFormat="1" applyFont="1" applyBorder="1" applyAlignment="1">
      <alignment horizontal="center"/>
    </xf>
    <xf numFmtId="0" fontId="24" fillId="3" borderId="0" xfId="0" applyFont="1" applyFill="1"/>
    <xf numFmtId="168" fontId="1" fillId="0" borderId="1" xfId="0" applyNumberFormat="1" applyFont="1" applyBorder="1" applyAlignment="1">
      <alignment horizontal="center"/>
    </xf>
    <xf numFmtId="169" fontId="1" fillId="0" borderId="1" xfId="0" applyNumberFormat="1" applyFon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9" borderId="3" xfId="0" applyFont="1" applyFill="1" applyBorder="1" applyAlignment="1">
      <alignment horizontal="center"/>
    </xf>
    <xf numFmtId="0" fontId="4" fillId="9" borderId="4" xfId="0" applyFont="1" applyFill="1" applyBorder="1" applyAlignment="1">
      <alignment horizontal="center"/>
    </xf>
    <xf numFmtId="0" fontId="7" fillId="0" borderId="0" xfId="0" applyFont="1"/>
    <xf numFmtId="0" fontId="25" fillId="9" borderId="1" xfId="0" applyFont="1" applyFill="1" applyBorder="1" applyAlignment="1">
      <alignment horizontal="center"/>
    </xf>
    <xf numFmtId="0" fontId="25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7" fillId="3" borderId="1" xfId="0" applyFont="1" applyFill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10" borderId="1" xfId="0" applyFont="1" applyFill="1" applyBorder="1" applyAlignment="1">
      <alignment vertical="center"/>
    </xf>
    <xf numFmtId="0" fontId="7" fillId="17" borderId="1" xfId="0" applyFont="1" applyFill="1" applyBorder="1"/>
    <xf numFmtId="0" fontId="7" fillId="17" borderId="4" xfId="0" applyFont="1" applyFill="1" applyBorder="1"/>
    <xf numFmtId="0" fontId="7" fillId="17" borderId="4" xfId="0" applyFont="1" applyFill="1" applyBorder="1" applyAlignment="1">
      <alignment horizontal="center"/>
    </xf>
    <xf numFmtId="0" fontId="7" fillId="3" borderId="5" xfId="0" applyFont="1" applyFill="1" applyBorder="1"/>
    <xf numFmtId="0" fontId="7" fillId="3" borderId="5" xfId="0" applyFont="1" applyFill="1" applyBorder="1" applyAlignment="1">
      <alignment horizontal="center"/>
    </xf>
    <xf numFmtId="0" fontId="7" fillId="17" borderId="6" xfId="0" applyFont="1" applyFill="1" applyBorder="1"/>
    <xf numFmtId="0" fontId="7" fillId="17" borderId="5" xfId="0" applyFont="1" applyFill="1" applyBorder="1"/>
    <xf numFmtId="0" fontId="7" fillId="17" borderId="5" xfId="0" applyFont="1" applyFill="1" applyBorder="1" applyAlignment="1">
      <alignment horizontal="center"/>
    </xf>
    <xf numFmtId="0" fontId="7" fillId="3" borderId="6" xfId="0" applyFont="1" applyFill="1" applyBorder="1"/>
    <xf numFmtId="0" fontId="7" fillId="0" borderId="6" xfId="0" applyFont="1" applyBorder="1"/>
    <xf numFmtId="0" fontId="3" fillId="5" borderId="3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26" fillId="18" borderId="4" xfId="0" applyFont="1" applyFill="1" applyBorder="1" applyAlignment="1">
      <alignment horizontal="center" vertical="center"/>
    </xf>
    <xf numFmtId="0" fontId="26" fillId="19" borderId="4" xfId="0" applyFont="1" applyFill="1" applyBorder="1" applyAlignment="1">
      <alignment horizontal="center" vertical="center"/>
    </xf>
    <xf numFmtId="0" fontId="27" fillId="6" borderId="4" xfId="0" applyFont="1" applyFill="1" applyBorder="1" applyAlignment="1">
      <alignment horizontal="center" vertical="center"/>
    </xf>
    <xf numFmtId="0" fontId="26" fillId="20" borderId="4" xfId="0" applyFont="1" applyFill="1" applyBorder="1" applyAlignment="1">
      <alignment horizontal="center" vertical="center"/>
    </xf>
    <xf numFmtId="0" fontId="27" fillId="10" borderId="5" xfId="0" applyFont="1" applyFill="1" applyBorder="1" applyAlignment="1">
      <alignment horizontal="center" vertical="center"/>
    </xf>
    <xf numFmtId="14" fontId="28" fillId="3" borderId="0" xfId="0" applyNumberFormat="1" applyFont="1" applyFill="1" applyAlignment="1">
      <alignment horizontal="center" vertical="center" wrapText="1"/>
    </xf>
    <xf numFmtId="0" fontId="31" fillId="10" borderId="5" xfId="0" applyFont="1" applyFill="1" applyBorder="1" applyAlignment="1">
      <alignment vertical="center"/>
    </xf>
    <xf numFmtId="0" fontId="31" fillId="10" borderId="9" xfId="0" applyFont="1" applyFill="1" applyBorder="1" applyAlignment="1">
      <alignment vertical="center"/>
    </xf>
    <xf numFmtId="0" fontId="31" fillId="10" borderId="0" xfId="0" applyFont="1" applyFill="1" applyAlignment="1">
      <alignment vertical="center"/>
    </xf>
    <xf numFmtId="0" fontId="32" fillId="10" borderId="5" xfId="0" applyFont="1" applyFill="1" applyBorder="1" applyAlignment="1">
      <alignment horizontal="center" vertical="center"/>
    </xf>
    <xf numFmtId="171" fontId="32" fillId="10" borderId="9" xfId="0" applyNumberFormat="1" applyFont="1" applyFill="1" applyBorder="1" applyAlignment="1">
      <alignment horizontal="center" vertical="center"/>
    </xf>
    <xf numFmtId="171" fontId="32" fillId="10" borderId="0" xfId="0" applyNumberFormat="1" applyFont="1" applyFill="1" applyAlignment="1">
      <alignment horizontal="center" vertical="center"/>
    </xf>
    <xf numFmtId="1" fontId="31" fillId="21" borderId="9" xfId="0" applyNumberFormat="1" applyFont="1" applyFill="1" applyBorder="1" applyAlignment="1">
      <alignment vertical="center"/>
    </xf>
    <xf numFmtId="1" fontId="31" fillId="21" borderId="9" xfId="0" applyNumberFormat="1" applyFont="1" applyFill="1" applyBorder="1" applyAlignment="1">
      <alignment horizontal="center" vertical="center"/>
    </xf>
    <xf numFmtId="1" fontId="31" fillId="21" borderId="0" xfId="0" applyNumberFormat="1" applyFont="1" applyFill="1" applyAlignment="1">
      <alignment vertical="center"/>
    </xf>
    <xf numFmtId="0" fontId="31" fillId="0" borderId="6" xfId="0" applyFont="1" applyBorder="1" applyAlignment="1">
      <alignment vertical="center"/>
    </xf>
    <xf numFmtId="0" fontId="31" fillId="0" borderId="5" xfId="0" applyFont="1" applyBorder="1" applyAlignment="1">
      <alignment vertical="center"/>
    </xf>
    <xf numFmtId="0" fontId="31" fillId="0" borderId="7" xfId="0" applyFont="1" applyBorder="1" applyAlignment="1">
      <alignment vertical="center"/>
    </xf>
    <xf numFmtId="0" fontId="31" fillId="0" borderId="10" xfId="0" applyFont="1" applyBorder="1" applyAlignment="1">
      <alignment vertical="center"/>
    </xf>
    <xf numFmtId="0" fontId="31" fillId="0" borderId="11" xfId="0" applyFont="1" applyBorder="1" applyAlignment="1">
      <alignment vertical="center"/>
    </xf>
    <xf numFmtId="0" fontId="30" fillId="0" borderId="11" xfId="0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0" fontId="33" fillId="0" borderId="5" xfId="0" applyFont="1" applyBorder="1" applyAlignment="1">
      <alignment vertical="center"/>
    </xf>
    <xf numFmtId="4" fontId="32" fillId="0" borderId="5" xfId="0" applyNumberFormat="1" applyFont="1" applyBorder="1" applyAlignment="1">
      <alignment horizontal="center" vertical="center"/>
    </xf>
    <xf numFmtId="0" fontId="32" fillId="0" borderId="5" xfId="0" applyFont="1" applyBorder="1" applyAlignment="1">
      <alignment horizontal="center" vertical="center"/>
    </xf>
    <xf numFmtId="4" fontId="32" fillId="0" borderId="7" xfId="0" applyNumberFormat="1" applyFont="1" applyBorder="1" applyAlignment="1">
      <alignment horizontal="center" vertical="center"/>
    </xf>
    <xf numFmtId="0" fontId="32" fillId="0" borderId="7" xfId="0" applyFont="1" applyBorder="1" applyAlignment="1">
      <alignment vertical="center"/>
    </xf>
    <xf numFmtId="169" fontId="32" fillId="0" borderId="12" xfId="0" applyNumberFormat="1" applyFont="1" applyBorder="1" applyAlignment="1">
      <alignment horizontal="center" vertical="center"/>
    </xf>
    <xf numFmtId="172" fontId="32" fillId="0" borderId="12" xfId="0" applyNumberFormat="1" applyFont="1" applyBorder="1" applyAlignment="1">
      <alignment horizontal="right" vertical="center"/>
    </xf>
    <xf numFmtId="0" fontId="32" fillId="0" borderId="12" xfId="0" applyFont="1" applyBorder="1" applyAlignment="1">
      <alignment horizontal="center" vertical="center"/>
    </xf>
    <xf numFmtId="0" fontId="33" fillId="11" borderId="12" xfId="0" applyFont="1" applyFill="1" applyBorder="1" applyAlignment="1">
      <alignment horizontal="center" vertical="center"/>
    </xf>
    <xf numFmtId="0" fontId="33" fillId="22" borderId="12" xfId="0" applyFont="1" applyFill="1" applyBorder="1" applyAlignment="1">
      <alignment horizontal="center" vertical="center"/>
    </xf>
    <xf numFmtId="4" fontId="32" fillId="0" borderId="13" xfId="0" applyNumberFormat="1" applyFont="1" applyBorder="1" applyAlignment="1">
      <alignment horizontal="center" vertical="center"/>
    </xf>
    <xf numFmtId="0" fontId="34" fillId="20" borderId="12" xfId="0" applyFont="1" applyFill="1" applyBorder="1" applyAlignment="1">
      <alignment horizontal="center" vertical="center"/>
    </xf>
    <xf numFmtId="0" fontId="33" fillId="23" borderId="12" xfId="0" applyFont="1" applyFill="1" applyBorder="1" applyAlignment="1">
      <alignment horizontal="center" vertical="center"/>
    </xf>
    <xf numFmtId="0" fontId="33" fillId="6" borderId="12" xfId="0" applyFont="1" applyFill="1" applyBorder="1" applyAlignment="1">
      <alignment horizontal="center" vertical="center"/>
    </xf>
    <xf numFmtId="0" fontId="33" fillId="0" borderId="12" xfId="0" applyFont="1" applyBorder="1" applyAlignment="1">
      <alignment horizontal="center" vertical="center"/>
    </xf>
    <xf numFmtId="0" fontId="33" fillId="0" borderId="5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5" fillId="12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 wrapText="1"/>
    </xf>
    <xf numFmtId="0" fontId="25" fillId="9" borderId="1" xfId="0" applyFont="1" applyFill="1" applyBorder="1" applyAlignment="1">
      <alignment horizontal="center" vertical="center"/>
    </xf>
    <xf numFmtId="0" fontId="35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9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2" fontId="7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2" fontId="36" fillId="0" borderId="0" xfId="0" applyNumberFormat="1" applyFont="1" applyAlignment="1">
      <alignment horizontal="right" vertical="center"/>
    </xf>
    <xf numFmtId="0" fontId="36" fillId="0" borderId="1" xfId="0" applyFont="1" applyBorder="1" applyAlignment="1">
      <alignment horizontal="center" vertical="center"/>
    </xf>
    <xf numFmtId="173" fontId="11" fillId="2" borderId="1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right"/>
    </xf>
    <xf numFmtId="173" fontId="1" fillId="0" borderId="1" xfId="0" applyNumberFormat="1" applyFont="1" applyBorder="1" applyAlignment="1">
      <alignment horizontal="center"/>
    </xf>
    <xf numFmtId="174" fontId="1" fillId="0" borderId="1" xfId="0" applyNumberFormat="1" applyFont="1" applyBorder="1" applyAlignment="1">
      <alignment horizontal="center"/>
    </xf>
    <xf numFmtId="165" fontId="0" fillId="0" borderId="1" xfId="0" applyNumberFormat="1" applyBorder="1" applyAlignment="1">
      <alignment horizontal="right"/>
    </xf>
    <xf numFmtId="169" fontId="1" fillId="6" borderId="1" xfId="0" applyNumberFormat="1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/>
    <xf numFmtId="165" fontId="1" fillId="6" borderId="1" xfId="0" applyNumberFormat="1" applyFont="1" applyFill="1" applyBorder="1" applyAlignment="1">
      <alignment horizontal="right"/>
    </xf>
    <xf numFmtId="0" fontId="3" fillId="5" borderId="3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69" fontId="5" fillId="0" borderId="1" xfId="0" applyNumberFormat="1" applyFont="1" applyBorder="1" applyAlignment="1">
      <alignment horizontal="center"/>
    </xf>
    <xf numFmtId="169" fontId="7" fillId="0" borderId="1" xfId="0" applyNumberFormat="1" applyFont="1" applyBorder="1"/>
    <xf numFmtId="0" fontId="25" fillId="2" borderId="5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5" fillId="0" borderId="5" xfId="0" applyFont="1" applyBorder="1" applyAlignment="1">
      <alignment vertical="center"/>
    </xf>
    <xf numFmtId="0" fontId="25" fillId="0" borderId="1" xfId="0" applyFont="1" applyBorder="1" applyAlignment="1">
      <alignment vertical="center"/>
    </xf>
    <xf numFmtId="169" fontId="7" fillId="0" borderId="1" xfId="0" applyNumberFormat="1" applyFont="1" applyBorder="1" applyAlignment="1">
      <alignment vertical="center"/>
    </xf>
    <xf numFmtId="0" fontId="11" fillId="9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9" borderId="2" xfId="0" applyFont="1" applyFill="1" applyBorder="1" applyAlignment="1">
      <alignment horizontal="center"/>
    </xf>
    <xf numFmtId="0" fontId="4" fillId="9" borderId="0" xfId="0" applyFont="1" applyFill="1" applyAlignment="1">
      <alignment horizontal="center"/>
    </xf>
    <xf numFmtId="0" fontId="25" fillId="24" borderId="1" xfId="0" applyFont="1" applyFill="1" applyBorder="1" applyAlignment="1">
      <alignment horizontal="center"/>
    </xf>
    <xf numFmtId="0" fontId="25" fillId="24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12" fillId="2" borderId="0" xfId="0" applyFont="1" applyFill="1" applyAlignment="1">
      <alignment horizontal="center" vertical="center"/>
    </xf>
    <xf numFmtId="2" fontId="1" fillId="0" borderId="0" xfId="0" applyNumberFormat="1" applyFont="1"/>
    <xf numFmtId="0" fontId="4" fillId="25" borderId="14" xfId="0" applyFont="1" applyFill="1" applyBorder="1" applyAlignment="1">
      <alignment vertical="center" wrapText="1"/>
    </xf>
    <xf numFmtId="0" fontId="37" fillId="25" borderId="15" xfId="0" applyFont="1" applyFill="1" applyBorder="1" applyAlignment="1">
      <alignment horizontal="center" vertical="center" wrapText="1"/>
    </xf>
    <xf numFmtId="0" fontId="5" fillId="25" borderId="15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1" fillId="0" borderId="3" xfId="0" applyFont="1" applyBorder="1"/>
    <xf numFmtId="0" fontId="1" fillId="0" borderId="4" xfId="0" applyFont="1" applyBorder="1"/>
    <xf numFmtId="0" fontId="15" fillId="9" borderId="2" xfId="0" applyFont="1" applyFill="1" applyBorder="1" applyAlignment="1">
      <alignment horizontal="center" vertical="center"/>
    </xf>
    <xf numFmtId="0" fontId="15" fillId="11" borderId="2" xfId="0" applyFont="1" applyFill="1" applyBorder="1" applyAlignment="1">
      <alignment horizontal="center" vertical="center"/>
    </xf>
    <xf numFmtId="0" fontId="16" fillId="11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3" fillId="5" borderId="2" xfId="0" applyFont="1" applyFill="1" applyBorder="1" applyAlignment="1">
      <alignment horizontal="left" vertical="center"/>
    </xf>
    <xf numFmtId="170" fontId="27" fillId="10" borderId="3" xfId="0" applyNumberFormat="1" applyFont="1" applyFill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5" xfId="0" applyFont="1" applyBorder="1"/>
    <xf numFmtId="0" fontId="27" fillId="10" borderId="3" xfId="0" applyFont="1" applyFill="1" applyBorder="1" applyAlignment="1">
      <alignment horizontal="center" vertical="center"/>
    </xf>
    <xf numFmtId="0" fontId="29" fillId="0" borderId="8" xfId="0" applyFont="1" applyBorder="1" applyAlignment="1">
      <alignment vertical="center" wrapText="1"/>
    </xf>
    <xf numFmtId="0" fontId="1" fillId="0" borderId="8" xfId="0" applyFont="1" applyBorder="1"/>
    <xf numFmtId="0" fontId="1" fillId="0" borderId="6" xfId="0" applyFont="1" applyBorder="1"/>
    <xf numFmtId="0" fontId="29" fillId="0" borderId="9" xfId="0" applyFont="1" applyBorder="1" applyAlignment="1">
      <alignment vertical="center" wrapText="1"/>
    </xf>
    <xf numFmtId="0" fontId="1" fillId="0" borderId="9" xfId="0" applyFont="1" applyBorder="1"/>
    <xf numFmtId="0" fontId="29" fillId="0" borderId="9" xfId="0" applyFont="1" applyBorder="1" applyAlignment="1">
      <alignment horizontal="center" vertical="center" wrapText="1"/>
    </xf>
    <xf numFmtId="0" fontId="30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0" borderId="0" xfId="0"/>
    <xf numFmtId="0" fontId="31" fillId="10" borderId="0" xfId="0" applyFont="1" applyFill="1" applyAlignment="1">
      <alignment vertical="center"/>
    </xf>
    <xf numFmtId="0" fontId="27" fillId="10" borderId="0" xfId="0" applyFont="1" applyFill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169" fontId="3" fillId="5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115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ont>
        <b/>
      </font>
      <fill>
        <patternFill patternType="solid">
          <fgColor rgb="FFFCE8B2"/>
          <bgColor rgb="FFFCE8B2"/>
        </patternFill>
      </fill>
    </dxf>
    <dxf>
      <font>
        <b/>
        <color rgb="FF980000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4C7C3"/>
          <bgColor rgb="FFF4C7C3"/>
        </patternFill>
      </fill>
    </dxf>
    <dxf>
      <font>
        <b/>
      </font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ont>
        <b/>
      </font>
      <fill>
        <patternFill patternType="solid">
          <fgColor rgb="FFFCE8B2"/>
          <bgColor rgb="FFFCE8B2"/>
        </patternFill>
      </fill>
    </dxf>
    <dxf>
      <font>
        <b/>
        <color rgb="FF980000"/>
      </font>
      <fill>
        <patternFill patternType="none"/>
      </fill>
    </dxf>
    <dxf>
      <font>
        <b/>
      </font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ont>
        <b/>
      </font>
      <fill>
        <patternFill patternType="solid">
          <fgColor rgb="FFFCE8B2"/>
          <bgColor rgb="FFFCE8B2"/>
        </patternFill>
      </fill>
    </dxf>
    <dxf>
      <font>
        <b/>
        <color rgb="FF980000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</font>
      <fill>
        <patternFill patternType="solid">
          <fgColor rgb="FFF4C7C3"/>
          <bgColor rgb="FFF4C7C3"/>
        </patternFill>
      </fill>
    </dxf>
    <dxf>
      <font>
        <b/>
      </font>
      <fill>
        <patternFill patternType="solid">
          <fgColor rgb="FFFCE8B2"/>
          <bgColor rgb="FFFCE8B2"/>
        </patternFill>
      </fill>
    </dxf>
    <dxf>
      <font>
        <b/>
      </font>
      <fill>
        <patternFill patternType="solid">
          <fgColor rgb="FFF4C7C3"/>
          <bgColor rgb="FFF4C7C3"/>
        </patternFill>
      </fill>
    </dxf>
    <dxf>
      <font>
        <b/>
      </font>
      <fill>
        <patternFill patternType="solid">
          <fgColor rgb="FFFCE8B2"/>
          <bgColor rgb="FFFCE8B2"/>
        </patternFill>
      </fill>
    </dxf>
    <dxf>
      <font>
        <b/>
      </font>
      <fill>
        <patternFill patternType="solid">
          <fgColor rgb="FFF4C7C3"/>
          <bgColor rgb="FFF4C7C3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4C7C3"/>
          <bgColor rgb="FFF4C7C3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8">
    <tableStyle name="Data-style" pivot="0" count="3" xr9:uid="{00000000-0011-0000-FFFF-FFFF00000000}">
      <tableStyleElement type="headerRow" dxfId="114"/>
      <tableStyleElement type="firstRowStripe" dxfId="113"/>
      <tableStyleElement type="secondRowStripe" dxfId="112"/>
    </tableStyle>
    <tableStyle name="S-BOM-style" pivot="0" count="2" xr9:uid="{00000000-0011-0000-FFFF-FFFF01000000}">
      <tableStyleElement type="firstRowStripe" dxfId="111"/>
      <tableStyleElement type="secondRowStripe" dxfId="110"/>
    </tableStyle>
    <tableStyle name="Supplier MRP-style" pivot="0" count="3" xr9:uid="{00000000-0011-0000-FFFF-FFFF02000000}">
      <tableStyleElement type="headerRow" dxfId="109"/>
      <tableStyleElement type="firstRowStripe" dxfId="108"/>
      <tableStyleElement type="secondRowStripe" dxfId="107"/>
    </tableStyle>
    <tableStyle name="Supplier Items-style" pivot="0" count="3" xr9:uid="{00000000-0011-0000-FFFF-FFFF03000000}">
      <tableStyleElement type="headerRow" dxfId="106"/>
      <tableStyleElement type="firstRowStripe" dxfId="105"/>
      <tableStyleElement type="secondRowStripe" dxfId="104"/>
    </tableStyle>
    <tableStyle name="CombineSFG-style" pivot="0" count="3" xr9:uid="{00000000-0011-0000-FFFF-FFFF04000000}">
      <tableStyleElement type="headerRow" dxfId="103"/>
      <tableStyleElement type="firstRowStripe" dxfId="102"/>
      <tableStyleElement type="secondRowStripe" dxfId="101"/>
    </tableStyle>
    <tableStyle name="CombineFG-style" pivot="0" count="3" xr9:uid="{00000000-0011-0000-FFFF-FFFF05000000}">
      <tableStyleElement type="headerRow" dxfId="100"/>
      <tableStyleElement type="firstRowStripe" dxfId="99"/>
      <tableStyleElement type="secondRowStripe" dxfId="98"/>
    </tableStyle>
    <tableStyle name="Parts List-style" pivot="0" count="3" xr9:uid="{00000000-0011-0000-FFFF-FFFF06000000}">
      <tableStyleElement type="headerRow" dxfId="97"/>
      <tableStyleElement type="firstRowStripe" dxfId="96"/>
      <tableStyleElement type="secondRowStripe" dxfId="95"/>
    </tableStyle>
    <tableStyle name="S-Parts List-style" pivot="0" count="3" xr9:uid="{00000000-0011-0000-FFFF-FFFF07000000}">
      <tableStyleElement type="headerRow" dxfId="94"/>
      <tableStyleElement type="firstRowStripe" dxfId="93"/>
      <tableStyleElement type="secondRowStripe" dxfId="92"/>
    </tableStyle>
    <tableStyle name="PO-style" pivot="0" count="3" xr9:uid="{00000000-0011-0000-FFFF-FFFF08000000}">
      <tableStyleElement type="headerRow" dxfId="91"/>
      <tableStyleElement type="firstRowStripe" dxfId="90"/>
      <tableStyleElement type="secondRowStripe" dxfId="89"/>
    </tableStyle>
    <tableStyle name="A-BOM-style" pivot="0" count="2" xr9:uid="{00000000-0011-0000-FFFF-FFFF09000000}">
      <tableStyleElement type="firstRowStripe" dxfId="88"/>
      <tableStyleElement type="secondRowStripe" dxfId="87"/>
    </tableStyle>
    <tableStyle name="FG-style" pivot="0" count="2" xr9:uid="{00000000-0011-0000-FFFF-FFFF0A000000}">
      <tableStyleElement type="firstRowStripe" dxfId="86"/>
      <tableStyleElement type="secondRowStripe" dxfId="85"/>
    </tableStyle>
    <tableStyle name="Where Used-style" pivot="0" count="2" xr9:uid="{00000000-0011-0000-FFFF-FFFF0B000000}">
      <tableStyleElement type="firstRowStripe" dxfId="84"/>
      <tableStyleElement type="secondRowStripe" dxfId="83"/>
    </tableStyle>
    <tableStyle name="GRN-style" pivot="0" count="3" xr9:uid="{00000000-0011-0000-FFFF-FFFF0C000000}">
      <tableStyleElement type="headerRow" dxfId="82"/>
      <tableStyleElement type="firstRowStripe" dxfId="81"/>
      <tableStyleElement type="secondRowStripe" dxfId="80"/>
    </tableStyle>
    <tableStyle name="S-FG-style" pivot="0" count="2" xr9:uid="{00000000-0011-0000-FFFF-FFFF0D000000}">
      <tableStyleElement type="firstRowStripe" dxfId="79"/>
      <tableStyleElement type="secondRowStripe" dxfId="78"/>
    </tableStyle>
    <tableStyle name="Issue-style" pivot="0" count="3" xr9:uid="{00000000-0011-0000-FFFF-FFFF0E000000}">
      <tableStyleElement type="headerRow" dxfId="77"/>
      <tableStyleElement type="firstRowStripe" dxfId="76"/>
      <tableStyleElement type="secondRowStripe" dxfId="75"/>
    </tableStyle>
    <tableStyle name="Projects-style" pivot="0" count="3" xr9:uid="{00000000-0011-0000-FFFF-FFFF0F000000}">
      <tableStyleElement type="headerRow" dxfId="74"/>
      <tableStyleElement type="firstRowStripe" dxfId="73"/>
      <tableStyleElement type="secondRowStripe" dxfId="72"/>
    </tableStyle>
    <tableStyle name="Project Parts-style" pivot="0" count="3" xr9:uid="{00000000-0011-0000-FFFF-FFFF10000000}">
      <tableStyleElement type="headerRow" dxfId="71"/>
      <tableStyleElement type="firstRowStripe" dxfId="70"/>
      <tableStyleElement type="secondRowStripe" dxfId="69"/>
    </tableStyle>
    <tableStyle name="PR-BOM-style" pivot="0" count="2" xr9:uid="{00000000-0011-0000-FFFF-FFFF11000000}">
      <tableStyleElement type="firstRowStripe" dxfId="68"/>
      <tableStyleElement type="secondRowStripe" dxfId="6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3:I1013" headerRowCount="0">
  <tableColumns count="9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</tableColumns>
  <tableStyleInfo name="S-BOM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3:N994">
  <tableColumns count="14">
    <tableColumn id="1" xr3:uid="{00000000-0010-0000-0200-000001000000}" name="SL NO"/>
    <tableColumn id="2" xr3:uid="{00000000-0010-0000-0200-000002000000}" name="COMPONENTS / SUB-ASSEMBLY"/>
    <tableColumn id="3" xr3:uid="{00000000-0010-0000-0200-000003000000}" name="MOVED TO SITE"/>
    <tableColumn id="4" xr3:uid="{00000000-0010-0000-0200-000004000000}" name="REQUIRED"/>
    <tableColumn id="5" xr3:uid="{00000000-0010-0000-0200-000005000000}" name="PENDING"/>
    <tableColumn id="6" xr3:uid="{00000000-0010-0000-0200-000006000000}" name="IN STOCK"/>
    <tableColumn id="7" xr3:uid="{00000000-0010-0000-0200-000007000000}" name="TO ORDER"/>
    <tableColumn id="8" xr3:uid="{00000000-0010-0000-0200-000008000000}" name="UNIT"/>
    <tableColumn id="9" xr3:uid="{00000000-0010-0000-0200-000009000000}" name="COST"/>
    <tableColumn id="10" xr3:uid="{00000000-0010-0000-0200-00000A000000}" name="SUPPLIER"/>
    <tableColumn id="11" xr3:uid="{00000000-0010-0000-0200-00000B000000}" name="SERVICE PROVIDER"/>
    <tableColumn id="12" xr3:uid="{00000000-0010-0000-0200-00000C000000}" name="PDF"/>
    <tableColumn id="13" xr3:uid="{00000000-0010-0000-0200-00000D000000}" name="DXF"/>
    <tableColumn id="14" xr3:uid="{00000000-0010-0000-0200-00000E000000}" name="SUPPLIER NOTES"/>
  </tableColumns>
  <tableStyleInfo name="Supplier MRP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3:Z1496" headerRowCount="0">
  <tableColumns count="26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  <tableColumn id="10" xr3:uid="{00000000-0010-0000-0300-00000A000000}" name="Column10"/>
    <tableColumn id="11" xr3:uid="{00000000-0010-0000-0300-00000B000000}" name="Column11"/>
    <tableColumn id="12" xr3:uid="{00000000-0010-0000-0300-00000C000000}" name="Column12"/>
    <tableColumn id="13" xr3:uid="{00000000-0010-0000-0300-00000D000000}" name="Column13"/>
    <tableColumn id="14" xr3:uid="{00000000-0010-0000-0300-00000E000000}" name="Column14"/>
    <tableColumn id="15" xr3:uid="{00000000-0010-0000-0300-00000F000000}" name="Column15"/>
    <tableColumn id="16" xr3:uid="{00000000-0010-0000-0300-000010000000}" name="Column16"/>
    <tableColumn id="17" xr3:uid="{00000000-0010-0000-0300-000011000000}" name="Column17"/>
    <tableColumn id="18" xr3:uid="{00000000-0010-0000-0300-000012000000}" name="Column18"/>
    <tableColumn id="19" xr3:uid="{00000000-0010-0000-0300-000013000000}" name="Column19"/>
    <tableColumn id="20" xr3:uid="{00000000-0010-0000-0300-000014000000}" name="Column20"/>
    <tableColumn id="21" xr3:uid="{00000000-0010-0000-0300-000015000000}" name="Column21"/>
    <tableColumn id="22" xr3:uid="{00000000-0010-0000-0300-000016000000}" name="Column22"/>
    <tableColumn id="23" xr3:uid="{00000000-0010-0000-0300-000017000000}" name="Column23"/>
    <tableColumn id="24" xr3:uid="{00000000-0010-0000-0300-000018000000}" name="Column24"/>
    <tableColumn id="25" xr3:uid="{00000000-0010-0000-0300-000019000000}" name="Column25"/>
    <tableColumn id="26" xr3:uid="{00000000-0010-0000-0300-00001A000000}" name="Column26"/>
  </tableColumns>
  <tableStyleInfo name="Supplier Items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:G1999">
  <tableColumns count="7">
    <tableColumn id="1" xr3:uid="{00000000-0010-0000-0400-000001000000}" name="SL"/>
    <tableColumn id="2" xr3:uid="{00000000-0010-0000-0400-000002000000}" name="SEMI FINISHED GOODS"/>
    <tableColumn id="3" xr3:uid="{00000000-0010-0000-0400-000003000000}" name="PART NUMBER"/>
    <tableColumn id="4" xr3:uid="{00000000-0010-0000-0400-000004000000}" name="UoM"/>
    <tableColumn id="5" xr3:uid="{00000000-0010-0000-0400-000005000000}" name="RAW MATERIAL"/>
    <tableColumn id="6" xr3:uid="{00000000-0010-0000-0400-000006000000}" name="PART NUMBER 2"/>
    <tableColumn id="7" xr3:uid="{00000000-0010-0000-0400-000007000000}" name="UoM 2"/>
  </tableColumns>
  <tableStyleInfo name="CombineSFG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:G1999">
  <tableColumns count="7">
    <tableColumn id="1" xr3:uid="{00000000-0010-0000-0500-000001000000}" name="SL"/>
    <tableColumn id="2" xr3:uid="{00000000-0010-0000-0500-000002000000}" name="SEMI FINISHED GOODS"/>
    <tableColumn id="3" xr3:uid="{00000000-0010-0000-0500-000003000000}" name="PART NUMBER"/>
    <tableColumn id="4" xr3:uid="{00000000-0010-0000-0500-000004000000}" name="UoM"/>
    <tableColumn id="5" xr3:uid="{00000000-0010-0000-0500-000005000000}" name="RAW MATERIAL"/>
    <tableColumn id="6" xr3:uid="{00000000-0010-0000-0500-000006000000}" name="PART NUMBER 2"/>
    <tableColumn id="7" xr3:uid="{00000000-0010-0000-0500-000007000000}" name="UoM 2"/>
  </tableColumns>
  <tableStyleInfo name="CombineFG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3:J993" headerRowCount="0">
  <tableColumns count="10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/>
    <tableColumn id="6" xr3:uid="{00000000-0010-0000-0600-000006000000}" name="Column6"/>
    <tableColumn id="7" xr3:uid="{00000000-0010-0000-0600-000007000000}" name="Column7"/>
    <tableColumn id="8" xr3:uid="{00000000-0010-0000-0600-000008000000}" name="Column8"/>
    <tableColumn id="9" xr3:uid="{00000000-0010-0000-0600-000009000000}" name="Column9"/>
    <tableColumn id="10" xr3:uid="{00000000-0010-0000-0600-00000A000000}" name="Column10"/>
  </tableColumns>
  <tableStyleInfo name="Parts Lis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3:J994" headerRowCount="0">
  <tableColumns count="10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  <tableColumn id="5" xr3:uid="{00000000-0010-0000-0700-000005000000}" name="Column5"/>
    <tableColumn id="6" xr3:uid="{00000000-0010-0000-0700-000006000000}" name="Column6"/>
    <tableColumn id="7" xr3:uid="{00000000-0010-0000-0700-000007000000}" name="Column7"/>
    <tableColumn id="8" xr3:uid="{00000000-0010-0000-0700-000008000000}" name="Column8"/>
    <tableColumn id="9" xr3:uid="{00000000-0010-0000-0700-000009000000}" name="Column9"/>
    <tableColumn id="10" xr3:uid="{00000000-0010-0000-0700-00000A000000}" name="Column10"/>
  </tableColumns>
  <tableStyleInfo name="S-Parts Lis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2:E996">
  <tableColumns count="5">
    <tableColumn id="1" xr3:uid="{00000000-0010-0000-0800-000001000000}" name="PO DATE"/>
    <tableColumn id="2" xr3:uid="{00000000-0010-0000-0800-000002000000}" name="PO NUMBER"/>
    <tableColumn id="3" xr3:uid="{00000000-0010-0000-0800-000003000000}" name="Description"/>
    <tableColumn id="4" xr3:uid="{00000000-0010-0000-0800-000004000000}" name="QUANTITY"/>
    <tableColumn id="5" xr3:uid="{00000000-0010-0000-0800-000005000000}" name="REMAIN"/>
  </tableColumns>
  <tableStyleInfo name="PO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A3:F990" headerRowCount="0">
  <tableColumns count="6">
    <tableColumn id="1" xr3:uid="{00000000-0010-0000-0900-000001000000}" name="Column1"/>
    <tableColumn id="2" xr3:uid="{00000000-0010-0000-0900-000002000000}" name="Column2"/>
    <tableColumn id="3" xr3:uid="{00000000-0010-0000-0900-000003000000}" name="Column3"/>
    <tableColumn id="4" xr3:uid="{00000000-0010-0000-0900-000004000000}" name="Column4"/>
    <tableColumn id="5" xr3:uid="{00000000-0010-0000-0900-000005000000}" name="Column5"/>
    <tableColumn id="6" xr3:uid="{00000000-0010-0000-0900-000006000000}" name="Column6"/>
  </tableColumns>
  <tableStyleInfo name="A-BOM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A3:E1000" headerRowCount="0">
  <tableColumns count="5">
    <tableColumn id="1" xr3:uid="{00000000-0010-0000-0A00-000001000000}" name="Column1"/>
    <tableColumn id="2" xr3:uid="{00000000-0010-0000-0A00-000002000000}" name="Column2"/>
    <tableColumn id="3" xr3:uid="{00000000-0010-0000-0A00-000003000000}" name="Column3"/>
    <tableColumn id="4" xr3:uid="{00000000-0010-0000-0A00-000004000000}" name="Column4"/>
    <tableColumn id="5" xr3:uid="{00000000-0010-0000-0A00-000005000000}" name="Column5"/>
  </tableColumns>
  <tableStyleInfo name="FG-style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A5:E18931" headerRowCount="0">
  <tableColumns count="5">
    <tableColumn id="1" xr3:uid="{00000000-0010-0000-0B00-000001000000}" name="Column1"/>
    <tableColumn id="2" xr3:uid="{00000000-0010-0000-0B00-000002000000}" name="Column2"/>
    <tableColumn id="3" xr3:uid="{00000000-0010-0000-0B00-000003000000}" name="Column3"/>
    <tableColumn id="4" xr3:uid="{00000000-0010-0000-0B00-000004000000}" name="Column4"/>
    <tableColumn id="5" xr3:uid="{00000000-0010-0000-0B00-000005000000}" name="Column5"/>
  </tableColumns>
  <tableStyleInfo name="Where Used-style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A2:G936">
  <tableColumns count="7">
    <tableColumn id="1" xr3:uid="{00000000-0010-0000-0C00-000001000000}" name="RECEIVED DATE"/>
    <tableColumn id="2" xr3:uid="{00000000-0010-0000-0C00-000002000000}" name="SUPPLIER NAME"/>
    <tableColumn id="3" xr3:uid="{00000000-0010-0000-0C00-000003000000}" name="BILL NO"/>
    <tableColumn id="4" xr3:uid="{00000000-0010-0000-0C00-000004000000}" name="RAW MATERIAL"/>
    <tableColumn id="5" xr3:uid="{00000000-0010-0000-0C00-000005000000}" name="QUANTITY"/>
    <tableColumn id="6" xr3:uid="{00000000-0010-0000-0C00-000006000000}" name="COST"/>
    <tableColumn id="7" xr3:uid="{00000000-0010-0000-0C00-000007000000}" name="NOTES"/>
  </tableColumns>
  <tableStyleInfo name="GRN-style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A3:E1001" headerRowCount="0">
  <tableColumns count="5">
    <tableColumn id="1" xr3:uid="{00000000-0010-0000-0D00-000001000000}" name="Column1"/>
    <tableColumn id="2" xr3:uid="{00000000-0010-0000-0D00-000002000000}" name="Column2"/>
    <tableColumn id="3" xr3:uid="{00000000-0010-0000-0D00-000003000000}" name="Column3"/>
    <tableColumn id="4" xr3:uid="{00000000-0010-0000-0D00-000004000000}" name="Column4"/>
    <tableColumn id="5" xr3:uid="{00000000-0010-0000-0D00-000005000000}" name="Column5"/>
  </tableColumns>
  <tableStyleInfo name="S-FG-style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5" displayName="Table_15" ref="A2:E995">
  <tableColumns count="5">
    <tableColumn id="1" xr3:uid="{00000000-0010-0000-0E00-000001000000}" name="MOVEMENT DATE"/>
    <tableColumn id="2" xr3:uid="{00000000-0010-0000-0E00-000002000000}" name="PROJECT"/>
    <tableColumn id="3" xr3:uid="{00000000-0010-0000-0E00-000003000000}" name="PRODUCT OR RAW MATERIAL NAME"/>
    <tableColumn id="4" xr3:uid="{00000000-0010-0000-0E00-000004000000}" name="QUANTITY"/>
    <tableColumn id="5" xr3:uid="{00000000-0010-0000-0E00-000005000000}" name="NOTES"/>
  </tableColumns>
  <tableStyleInfo name="Issue-style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6" displayName="Table_16" ref="A1:E999">
  <tableColumns count="5">
    <tableColumn id="1" xr3:uid="{00000000-0010-0000-0F00-000001000000}" name="Sl"/>
    <tableColumn id="2" xr3:uid="{00000000-0010-0000-0F00-000002000000}" name="Project Name"/>
    <tableColumn id="3" xr3:uid="{00000000-0010-0000-0F00-000003000000}" name="Project ID"/>
    <tableColumn id="4" xr3:uid="{00000000-0010-0000-0F00-000004000000}" name="Handover Date"/>
    <tableColumn id="5" xr3:uid="{00000000-0010-0000-0F00-000005000000}" name="Status"/>
  </tableColumns>
  <tableStyleInfo name="Projects-style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17" displayName="Table_17" ref="A3:R994" headerRowCount="0">
  <tableColumns count="18">
    <tableColumn id="1" xr3:uid="{00000000-0010-0000-1000-000001000000}" name="Column1"/>
    <tableColumn id="2" xr3:uid="{00000000-0010-0000-1000-000002000000}" name="Column2"/>
    <tableColumn id="3" xr3:uid="{00000000-0010-0000-1000-000003000000}" name="Column3"/>
    <tableColumn id="4" xr3:uid="{00000000-0010-0000-1000-000004000000}" name="Column4"/>
    <tableColumn id="5" xr3:uid="{00000000-0010-0000-1000-000005000000}" name="Column5"/>
    <tableColumn id="6" xr3:uid="{00000000-0010-0000-1000-000006000000}" name="Column6"/>
    <tableColumn id="7" xr3:uid="{00000000-0010-0000-1000-000007000000}" name="Column7"/>
    <tableColumn id="8" xr3:uid="{00000000-0010-0000-1000-000008000000}" name="Column8"/>
    <tableColumn id="9" xr3:uid="{00000000-0010-0000-1000-000009000000}" name="Column9"/>
    <tableColumn id="10" xr3:uid="{00000000-0010-0000-1000-00000A000000}" name="Column10"/>
    <tableColumn id="11" xr3:uid="{00000000-0010-0000-1000-00000B000000}" name="Column11"/>
    <tableColumn id="12" xr3:uid="{00000000-0010-0000-1000-00000C000000}" name="Column12"/>
    <tableColumn id="13" xr3:uid="{00000000-0010-0000-1000-00000D000000}" name="Column13"/>
    <tableColumn id="14" xr3:uid="{00000000-0010-0000-1000-00000E000000}" name="Column14"/>
    <tableColumn id="15" xr3:uid="{00000000-0010-0000-1000-00000F000000}" name="Column15"/>
    <tableColumn id="16" xr3:uid="{00000000-0010-0000-1000-000010000000}" name="Column16"/>
    <tableColumn id="17" xr3:uid="{00000000-0010-0000-1000-000011000000}" name="Column17"/>
    <tableColumn id="18" xr3:uid="{00000000-0010-0000-1000-000012000000}" name="Column18"/>
  </tableColumns>
  <tableStyleInfo name="Project Parts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18" displayName="Table_18" ref="A3:G993" headerRowCount="0">
  <tableColumns count="7">
    <tableColumn id="1" xr3:uid="{00000000-0010-0000-1100-000001000000}" name="Column1"/>
    <tableColumn id="2" xr3:uid="{00000000-0010-0000-1100-000002000000}" name="Column2"/>
    <tableColumn id="3" xr3:uid="{00000000-0010-0000-1100-000003000000}" name="Column3"/>
    <tableColumn id="4" xr3:uid="{00000000-0010-0000-1100-000004000000}" name="Column4"/>
    <tableColumn id="5" xr3:uid="{00000000-0010-0000-1100-000005000000}" name="Column5"/>
    <tableColumn id="6" xr3:uid="{00000000-0010-0000-1100-000006000000}" name="Column6"/>
    <tableColumn id="7" xr3:uid="{00000000-0010-0000-1100-000007000000}" name="Column7"/>
  </tableColumns>
  <tableStyleInfo name="PR-BOM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1.v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2.v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26"/>
  <sheetViews>
    <sheetView showGridLines="0" workbookViewId="0">
      <pane xSplit="7" ySplit="3" topLeftCell="H718" activePane="bottomRight" state="frozen"/>
      <selection pane="topRight" activeCell="H1" sqref="H1"/>
      <selection pane="bottomLeft" activeCell="A4" sqref="A4"/>
      <selection pane="bottomRight" activeCell="E726" sqref="E726"/>
    </sheetView>
  </sheetViews>
  <sheetFormatPr defaultColWidth="14.453125" defaultRowHeight="15" customHeight="1"/>
  <cols>
    <col min="1" max="1" width="6.26953125" customWidth="1"/>
    <col min="2" max="2" width="7.26953125" customWidth="1"/>
    <col min="3" max="3" width="54.54296875" customWidth="1"/>
    <col min="4" max="4" width="28.54296875" customWidth="1"/>
    <col min="5" max="5" width="21.54296875" customWidth="1"/>
    <col min="6" max="6" width="12.7265625" customWidth="1"/>
    <col min="7" max="7" width="16" customWidth="1"/>
    <col min="8" max="8" width="8.453125" customWidth="1"/>
  </cols>
  <sheetData>
    <row r="1" spans="1:8" ht="19.5" customHeight="1">
      <c r="A1" s="3"/>
      <c r="B1" s="4"/>
      <c r="C1" s="239" t="s">
        <v>70</v>
      </c>
      <c r="D1" s="240"/>
      <c r="E1" s="241"/>
      <c r="F1" s="5">
        <v>34</v>
      </c>
      <c r="G1" s="6"/>
    </row>
    <row r="2" spans="1:8" ht="68.25" customHeight="1">
      <c r="A2" s="7" t="s">
        <v>71</v>
      </c>
      <c r="B2" s="7" t="s">
        <v>72</v>
      </c>
      <c r="C2" s="7" t="s">
        <v>73</v>
      </c>
      <c r="D2" s="7" t="s">
        <v>74</v>
      </c>
      <c r="E2" s="7" t="s">
        <v>75</v>
      </c>
      <c r="F2" s="7" t="s">
        <v>76</v>
      </c>
      <c r="G2" s="7" t="s">
        <v>0</v>
      </c>
      <c r="H2" s="8" t="s">
        <v>113</v>
      </c>
    </row>
    <row r="3" spans="1:8" ht="19.5" customHeight="1">
      <c r="A3" s="10"/>
      <c r="B3" s="8" t="s">
        <v>114</v>
      </c>
      <c r="C3" s="8"/>
      <c r="D3" s="8"/>
      <c r="E3" s="8"/>
      <c r="F3" s="8"/>
      <c r="G3" s="8"/>
      <c r="H3" s="9"/>
    </row>
    <row r="4" spans="1:8" ht="19.5" customHeight="1">
      <c r="A4" s="11">
        <f t="shared" ref="A4:A29" si="0">IF(C4&lt;&gt;"",COUNTA($C$4:C4),"")</f>
        <v>1</v>
      </c>
      <c r="B4" s="12" t="s">
        <v>114</v>
      </c>
      <c r="C4" s="13" t="s">
        <v>115</v>
      </c>
      <c r="D4" s="12" t="s">
        <v>116</v>
      </c>
      <c r="E4" s="12" t="s">
        <v>117</v>
      </c>
      <c r="F4" s="12" t="s">
        <v>3</v>
      </c>
      <c r="G4" s="14" t="s">
        <v>4</v>
      </c>
      <c r="H4" s="14"/>
    </row>
    <row r="5" spans="1:8" ht="19.5" customHeight="1">
      <c r="A5" s="15">
        <f t="shared" si="0"/>
        <v>2</v>
      </c>
      <c r="B5" s="16" t="s">
        <v>114</v>
      </c>
      <c r="C5" s="17" t="s">
        <v>118</v>
      </c>
      <c r="D5" s="16" t="s">
        <v>119</v>
      </c>
      <c r="E5" s="16" t="s">
        <v>117</v>
      </c>
      <c r="F5" s="16" t="s">
        <v>3</v>
      </c>
      <c r="G5" s="18" t="s">
        <v>4</v>
      </c>
      <c r="H5" s="18"/>
    </row>
    <row r="6" spans="1:8" ht="19.5" customHeight="1">
      <c r="A6" s="11">
        <f t="shared" si="0"/>
        <v>3</v>
      </c>
      <c r="B6" s="12" t="s">
        <v>114</v>
      </c>
      <c r="C6" s="13" t="s">
        <v>120</v>
      </c>
      <c r="D6" s="14" t="s">
        <v>121</v>
      </c>
      <c r="E6" s="12" t="s">
        <v>122</v>
      </c>
      <c r="F6" s="12" t="s">
        <v>3</v>
      </c>
      <c r="G6" s="14" t="s">
        <v>4</v>
      </c>
      <c r="H6" s="14"/>
    </row>
    <row r="7" spans="1:8" ht="19.5" customHeight="1">
      <c r="A7" s="15">
        <f t="shared" si="0"/>
        <v>4</v>
      </c>
      <c r="B7" s="16" t="s">
        <v>114</v>
      </c>
      <c r="C7" s="17" t="s">
        <v>123</v>
      </c>
      <c r="D7" s="18" t="s">
        <v>124</v>
      </c>
      <c r="E7" s="16" t="s">
        <v>125</v>
      </c>
      <c r="F7" s="16" t="s">
        <v>3</v>
      </c>
      <c r="G7" s="18" t="s">
        <v>4</v>
      </c>
      <c r="H7" s="18"/>
    </row>
    <row r="8" spans="1:8" ht="19.5" customHeight="1">
      <c r="A8" s="11">
        <f t="shared" si="0"/>
        <v>5</v>
      </c>
      <c r="B8" s="12" t="s">
        <v>114</v>
      </c>
      <c r="C8" s="13" t="s">
        <v>126</v>
      </c>
      <c r="D8" s="12" t="s">
        <v>127</v>
      </c>
      <c r="E8" s="12" t="s">
        <v>128</v>
      </c>
      <c r="F8" s="12" t="s">
        <v>3</v>
      </c>
      <c r="G8" s="14" t="s">
        <v>4</v>
      </c>
      <c r="H8" s="14"/>
    </row>
    <row r="9" spans="1:8" ht="19.5" customHeight="1">
      <c r="A9" s="15">
        <f t="shared" si="0"/>
        <v>6</v>
      </c>
      <c r="B9" s="16"/>
      <c r="C9" s="17" t="s">
        <v>129</v>
      </c>
      <c r="D9" s="16" t="s">
        <v>130</v>
      </c>
      <c r="E9" s="16" t="s">
        <v>131</v>
      </c>
      <c r="F9" s="16" t="s">
        <v>3</v>
      </c>
      <c r="G9" s="18" t="s">
        <v>9</v>
      </c>
      <c r="H9" s="18"/>
    </row>
    <row r="10" spans="1:8" ht="19.5" customHeight="1">
      <c r="A10" s="11">
        <f t="shared" si="0"/>
        <v>7</v>
      </c>
      <c r="B10" s="12" t="s">
        <v>114</v>
      </c>
      <c r="C10" s="13" t="s">
        <v>132</v>
      </c>
      <c r="D10" s="12" t="s">
        <v>133</v>
      </c>
      <c r="E10" s="12" t="s">
        <v>134</v>
      </c>
      <c r="F10" s="12" t="s">
        <v>3</v>
      </c>
      <c r="G10" s="14" t="s">
        <v>9</v>
      </c>
      <c r="H10" s="14"/>
    </row>
    <row r="11" spans="1:8" ht="19.5" customHeight="1">
      <c r="A11" s="15">
        <f t="shared" si="0"/>
        <v>8</v>
      </c>
      <c r="B11" s="16"/>
      <c r="C11" s="17" t="s">
        <v>135</v>
      </c>
      <c r="D11" s="16" t="s">
        <v>133</v>
      </c>
      <c r="E11" s="16" t="s">
        <v>136</v>
      </c>
      <c r="F11" s="16" t="s">
        <v>3</v>
      </c>
      <c r="G11" s="18" t="s">
        <v>62</v>
      </c>
      <c r="H11" s="18"/>
    </row>
    <row r="12" spans="1:8" ht="19.5" customHeight="1">
      <c r="A12" s="11">
        <f t="shared" si="0"/>
        <v>9</v>
      </c>
      <c r="B12" s="12"/>
      <c r="C12" s="13" t="s">
        <v>137</v>
      </c>
      <c r="D12" s="12" t="s">
        <v>138</v>
      </c>
      <c r="E12" s="14" t="s">
        <v>139</v>
      </c>
      <c r="F12" s="12" t="s">
        <v>3</v>
      </c>
      <c r="G12" s="14" t="s">
        <v>61</v>
      </c>
      <c r="H12" s="14"/>
    </row>
    <row r="13" spans="1:8" ht="20.25" customHeight="1">
      <c r="A13" s="15">
        <f t="shared" si="0"/>
        <v>10</v>
      </c>
      <c r="B13" s="16" t="s">
        <v>114</v>
      </c>
      <c r="C13" s="17" t="s">
        <v>140</v>
      </c>
      <c r="D13" s="16" t="s">
        <v>141</v>
      </c>
      <c r="E13" s="16" t="s">
        <v>142</v>
      </c>
      <c r="F13" s="16" t="s">
        <v>3</v>
      </c>
      <c r="G13" s="18" t="s">
        <v>11</v>
      </c>
      <c r="H13" s="18"/>
    </row>
    <row r="14" spans="1:8" ht="19.5" customHeight="1">
      <c r="A14" s="11">
        <f t="shared" si="0"/>
        <v>11</v>
      </c>
      <c r="B14" s="12" t="s">
        <v>114</v>
      </c>
      <c r="C14" s="13" t="s">
        <v>143</v>
      </c>
      <c r="D14" s="12" t="s">
        <v>144</v>
      </c>
      <c r="E14" s="12" t="s">
        <v>145</v>
      </c>
      <c r="F14" s="12" t="s">
        <v>3</v>
      </c>
      <c r="G14" s="14" t="s">
        <v>4</v>
      </c>
      <c r="H14" s="14"/>
    </row>
    <row r="15" spans="1:8" ht="19.5" customHeight="1">
      <c r="A15" s="15">
        <f t="shared" si="0"/>
        <v>12</v>
      </c>
      <c r="B15" s="16" t="s">
        <v>114</v>
      </c>
      <c r="C15" s="17" t="s">
        <v>146</v>
      </c>
      <c r="D15" s="16" t="s">
        <v>147</v>
      </c>
      <c r="E15" s="16" t="s">
        <v>148</v>
      </c>
      <c r="F15" s="16" t="s">
        <v>3</v>
      </c>
      <c r="G15" s="18" t="s">
        <v>4</v>
      </c>
      <c r="H15" s="18"/>
    </row>
    <row r="16" spans="1:8" ht="19.5" customHeight="1">
      <c r="A16" s="11">
        <f t="shared" si="0"/>
        <v>13</v>
      </c>
      <c r="B16" s="12" t="s">
        <v>114</v>
      </c>
      <c r="C16" s="13" t="s">
        <v>149</v>
      </c>
      <c r="D16" s="12" t="s">
        <v>150</v>
      </c>
      <c r="E16" s="12" t="s">
        <v>151</v>
      </c>
      <c r="F16" s="12" t="s">
        <v>3</v>
      </c>
      <c r="G16" s="14" t="s">
        <v>4</v>
      </c>
      <c r="H16" s="14"/>
    </row>
    <row r="17" spans="1:8" ht="19.5" customHeight="1">
      <c r="A17" s="15">
        <f t="shared" si="0"/>
        <v>14</v>
      </c>
      <c r="B17" s="16" t="s">
        <v>114</v>
      </c>
      <c r="C17" s="17" t="s">
        <v>152</v>
      </c>
      <c r="D17" s="16" t="s">
        <v>153</v>
      </c>
      <c r="E17" s="16" t="s">
        <v>154</v>
      </c>
      <c r="F17" s="16" t="s">
        <v>3</v>
      </c>
      <c r="G17" s="18" t="s">
        <v>4</v>
      </c>
      <c r="H17" s="18"/>
    </row>
    <row r="18" spans="1:8" ht="19.5" customHeight="1">
      <c r="A18" s="11">
        <f t="shared" si="0"/>
        <v>15</v>
      </c>
      <c r="B18" s="12" t="s">
        <v>114</v>
      </c>
      <c r="C18" s="13" t="s">
        <v>155</v>
      </c>
      <c r="D18" s="12" t="s">
        <v>156</v>
      </c>
      <c r="E18" s="14" t="s">
        <v>157</v>
      </c>
      <c r="F18" s="12" t="s">
        <v>3</v>
      </c>
      <c r="G18" s="14" t="s">
        <v>4</v>
      </c>
      <c r="H18" s="14"/>
    </row>
    <row r="19" spans="1:8" ht="19.5" customHeight="1">
      <c r="A19" s="15">
        <f t="shared" si="0"/>
        <v>16</v>
      </c>
      <c r="B19" s="16" t="s">
        <v>114</v>
      </c>
      <c r="C19" s="17" t="s">
        <v>158</v>
      </c>
      <c r="D19" s="16" t="s">
        <v>159</v>
      </c>
      <c r="E19" s="18" t="s">
        <v>160</v>
      </c>
      <c r="F19" s="16" t="s">
        <v>3</v>
      </c>
      <c r="G19" s="18" t="s">
        <v>4</v>
      </c>
      <c r="H19" s="18"/>
    </row>
    <row r="20" spans="1:8" ht="19.5" customHeight="1">
      <c r="A20" s="11">
        <f t="shared" si="0"/>
        <v>17</v>
      </c>
      <c r="B20" s="12" t="s">
        <v>114</v>
      </c>
      <c r="C20" s="13" t="s">
        <v>161</v>
      </c>
      <c r="D20" s="12" t="s">
        <v>162</v>
      </c>
      <c r="E20" s="14" t="s">
        <v>163</v>
      </c>
      <c r="F20" s="12" t="s">
        <v>3</v>
      </c>
      <c r="G20" s="14" t="s">
        <v>4</v>
      </c>
      <c r="H20" s="14"/>
    </row>
    <row r="21" spans="1:8" ht="19.5" customHeight="1">
      <c r="A21" s="15">
        <f t="shared" si="0"/>
        <v>18</v>
      </c>
      <c r="B21" s="16" t="s">
        <v>114</v>
      </c>
      <c r="C21" s="17" t="s">
        <v>164</v>
      </c>
      <c r="D21" s="16" t="s">
        <v>165</v>
      </c>
      <c r="E21" s="16" t="s">
        <v>166</v>
      </c>
      <c r="F21" s="16" t="s">
        <v>3</v>
      </c>
      <c r="G21" s="18" t="s">
        <v>4</v>
      </c>
      <c r="H21" s="18"/>
    </row>
    <row r="22" spans="1:8" ht="43.5" customHeight="1">
      <c r="A22" s="11">
        <f t="shared" si="0"/>
        <v>19</v>
      </c>
      <c r="B22" s="12" t="s">
        <v>114</v>
      </c>
      <c r="C22" s="13" t="s">
        <v>167</v>
      </c>
      <c r="D22" s="12" t="s">
        <v>168</v>
      </c>
      <c r="E22" s="12" t="s">
        <v>169</v>
      </c>
      <c r="F22" s="12" t="s">
        <v>8</v>
      </c>
      <c r="G22" s="14" t="s">
        <v>4</v>
      </c>
      <c r="H22" s="14"/>
    </row>
    <row r="23" spans="1:8" ht="41.25" customHeight="1">
      <c r="A23" s="11">
        <f t="shared" si="0"/>
        <v>20</v>
      </c>
      <c r="B23" s="12" t="s">
        <v>114</v>
      </c>
      <c r="C23" s="13" t="s">
        <v>170</v>
      </c>
      <c r="D23" s="12" t="s">
        <v>171</v>
      </c>
      <c r="E23" s="12" t="s">
        <v>172</v>
      </c>
      <c r="F23" s="12" t="s">
        <v>8</v>
      </c>
      <c r="G23" s="14" t="s">
        <v>4</v>
      </c>
      <c r="H23" s="18"/>
    </row>
    <row r="24" spans="1:8" ht="19.5" customHeight="1">
      <c r="A24" s="11">
        <f t="shared" si="0"/>
        <v>21</v>
      </c>
      <c r="B24" s="12" t="s">
        <v>114</v>
      </c>
      <c r="C24" s="13" t="s">
        <v>173</v>
      </c>
      <c r="D24" s="12" t="s">
        <v>174</v>
      </c>
      <c r="E24" s="12"/>
      <c r="F24" s="12" t="s">
        <v>8</v>
      </c>
      <c r="G24" s="14" t="s">
        <v>4</v>
      </c>
      <c r="H24" s="14"/>
    </row>
    <row r="25" spans="1:8" ht="43.5" customHeight="1">
      <c r="A25" s="11">
        <f t="shared" si="0"/>
        <v>22</v>
      </c>
      <c r="B25" s="12" t="s">
        <v>114</v>
      </c>
      <c r="C25" s="13" t="s">
        <v>175</v>
      </c>
      <c r="D25" s="12" t="s">
        <v>176</v>
      </c>
      <c r="E25" s="12"/>
      <c r="F25" s="12" t="s">
        <v>8</v>
      </c>
      <c r="G25" s="14" t="s">
        <v>4</v>
      </c>
      <c r="H25" s="18"/>
    </row>
    <row r="26" spans="1:8" ht="19.5" customHeight="1">
      <c r="A26" s="11">
        <f t="shared" si="0"/>
        <v>23</v>
      </c>
      <c r="B26" s="12" t="s">
        <v>114</v>
      </c>
      <c r="C26" s="13" t="s">
        <v>177</v>
      </c>
      <c r="D26" s="12" t="s">
        <v>178</v>
      </c>
      <c r="E26" s="12" t="s">
        <v>179</v>
      </c>
      <c r="F26" s="12" t="s">
        <v>8</v>
      </c>
      <c r="G26" s="14" t="s">
        <v>4</v>
      </c>
      <c r="H26" s="14"/>
    </row>
    <row r="27" spans="1:8" ht="19.5" customHeight="1">
      <c r="A27" s="11">
        <f t="shared" si="0"/>
        <v>24</v>
      </c>
      <c r="B27" s="12" t="s">
        <v>114</v>
      </c>
      <c r="C27" s="13" t="s">
        <v>180</v>
      </c>
      <c r="D27" s="12" t="s">
        <v>181</v>
      </c>
      <c r="E27" s="12" t="s">
        <v>182</v>
      </c>
      <c r="F27" s="12" t="s">
        <v>8</v>
      </c>
      <c r="G27" s="14" t="s">
        <v>4</v>
      </c>
      <c r="H27" s="18"/>
    </row>
    <row r="28" spans="1:8" ht="19.5" customHeight="1">
      <c r="A28" s="11">
        <f t="shared" si="0"/>
        <v>25</v>
      </c>
      <c r="B28" s="12" t="s">
        <v>114</v>
      </c>
      <c r="C28" s="13" t="s">
        <v>183</v>
      </c>
      <c r="D28" s="12" t="s">
        <v>184</v>
      </c>
      <c r="E28" s="12"/>
      <c r="F28" s="12" t="s">
        <v>8</v>
      </c>
      <c r="G28" s="14" t="s">
        <v>4</v>
      </c>
      <c r="H28" s="14"/>
    </row>
    <row r="29" spans="1:8" ht="19.5" customHeight="1">
      <c r="A29" s="11">
        <f t="shared" si="0"/>
        <v>26</v>
      </c>
      <c r="B29" s="12"/>
      <c r="C29" s="13" t="s">
        <v>185</v>
      </c>
      <c r="D29" s="12" t="s">
        <v>186</v>
      </c>
      <c r="E29" s="12"/>
      <c r="F29" s="12" t="s">
        <v>8</v>
      </c>
      <c r="G29" s="14" t="s">
        <v>4</v>
      </c>
      <c r="H29" s="18"/>
    </row>
    <row r="30" spans="1:8" ht="19.5" customHeight="1">
      <c r="A30" s="11"/>
      <c r="B30" s="12"/>
      <c r="C30" s="13" t="s">
        <v>187</v>
      </c>
      <c r="D30" s="12" t="s">
        <v>188</v>
      </c>
      <c r="E30" s="12"/>
      <c r="F30" s="12"/>
      <c r="G30" s="14"/>
      <c r="H30" s="14"/>
    </row>
    <row r="31" spans="1:8" ht="19.5" customHeight="1">
      <c r="A31" s="11">
        <f t="shared" ref="A31:A43" si="1">IF(C31&lt;&gt;"",COUNTA($C$4:C31),"")</f>
        <v>28</v>
      </c>
      <c r="B31" s="12" t="s">
        <v>114</v>
      </c>
      <c r="C31" s="13" t="s">
        <v>189</v>
      </c>
      <c r="D31" s="12" t="s">
        <v>190</v>
      </c>
      <c r="E31" s="12" t="s">
        <v>191</v>
      </c>
      <c r="F31" s="12" t="s">
        <v>8</v>
      </c>
      <c r="G31" s="14" t="s">
        <v>4</v>
      </c>
      <c r="H31" s="18"/>
    </row>
    <row r="32" spans="1:8" ht="19.5" customHeight="1">
      <c r="A32" s="11">
        <f t="shared" si="1"/>
        <v>29</v>
      </c>
      <c r="B32" s="12"/>
      <c r="C32" s="13" t="s">
        <v>192</v>
      </c>
      <c r="D32" s="12" t="s">
        <v>193</v>
      </c>
      <c r="E32" s="12"/>
      <c r="F32" s="12" t="s">
        <v>8</v>
      </c>
      <c r="G32" s="14" t="s">
        <v>4</v>
      </c>
      <c r="H32" s="14"/>
    </row>
    <row r="33" spans="1:8" ht="19.5" customHeight="1">
      <c r="A33" s="11">
        <f t="shared" si="1"/>
        <v>30</v>
      </c>
      <c r="B33" s="12" t="s">
        <v>114</v>
      </c>
      <c r="C33" s="13" t="s">
        <v>194</v>
      </c>
      <c r="D33" s="12" t="s">
        <v>195</v>
      </c>
      <c r="E33" s="12" t="s">
        <v>196</v>
      </c>
      <c r="F33" s="12" t="s">
        <v>8</v>
      </c>
      <c r="G33" s="14" t="s">
        <v>4</v>
      </c>
      <c r="H33" s="18"/>
    </row>
    <row r="34" spans="1:8" ht="19.5" customHeight="1">
      <c r="A34" s="11">
        <f t="shared" si="1"/>
        <v>31</v>
      </c>
      <c r="B34" s="12"/>
      <c r="C34" s="13" t="s">
        <v>197</v>
      </c>
      <c r="D34" s="12" t="s">
        <v>198</v>
      </c>
      <c r="E34" s="12" t="s">
        <v>199</v>
      </c>
      <c r="F34" s="12" t="s">
        <v>8</v>
      </c>
      <c r="G34" s="14" t="s">
        <v>4</v>
      </c>
      <c r="H34" s="14"/>
    </row>
    <row r="35" spans="1:8" ht="19.5" customHeight="1">
      <c r="A35" s="11">
        <f t="shared" si="1"/>
        <v>32</v>
      </c>
      <c r="B35" s="12"/>
      <c r="C35" s="13" t="s">
        <v>200</v>
      </c>
      <c r="D35" s="12" t="s">
        <v>201</v>
      </c>
      <c r="E35" s="14" t="s">
        <v>202</v>
      </c>
      <c r="F35" s="19" t="s">
        <v>3</v>
      </c>
      <c r="G35" s="14" t="s">
        <v>9</v>
      </c>
      <c r="H35" s="18"/>
    </row>
    <row r="36" spans="1:8" ht="19.5" customHeight="1">
      <c r="A36" s="11">
        <f t="shared" si="1"/>
        <v>33</v>
      </c>
      <c r="B36" s="12"/>
      <c r="C36" s="13" t="s">
        <v>203</v>
      </c>
      <c r="D36" s="12" t="s">
        <v>204</v>
      </c>
      <c r="E36" s="14" t="s">
        <v>205</v>
      </c>
      <c r="F36" s="19" t="s">
        <v>3</v>
      </c>
      <c r="G36" s="14" t="s">
        <v>4</v>
      </c>
      <c r="H36" s="14"/>
    </row>
    <row r="37" spans="1:8" ht="19.5" customHeight="1">
      <c r="A37" s="11">
        <f t="shared" si="1"/>
        <v>34</v>
      </c>
      <c r="B37" s="12"/>
      <c r="C37" s="13" t="s">
        <v>206</v>
      </c>
      <c r="D37" s="12" t="s">
        <v>207</v>
      </c>
      <c r="E37" s="12"/>
      <c r="F37" s="19" t="s">
        <v>3</v>
      </c>
      <c r="G37" s="14" t="s">
        <v>4</v>
      </c>
      <c r="H37" s="18"/>
    </row>
    <row r="38" spans="1:8" ht="19.5" customHeight="1">
      <c r="A38" s="11">
        <f t="shared" si="1"/>
        <v>35</v>
      </c>
      <c r="B38" s="12"/>
      <c r="C38" s="13" t="s">
        <v>208</v>
      </c>
      <c r="D38" s="12" t="s">
        <v>209</v>
      </c>
      <c r="E38" s="12"/>
      <c r="F38" s="12" t="s">
        <v>3</v>
      </c>
      <c r="G38" s="14" t="s">
        <v>4</v>
      </c>
      <c r="H38" s="14"/>
    </row>
    <row r="39" spans="1:8" ht="19.5" customHeight="1">
      <c r="A39" s="11">
        <f t="shared" si="1"/>
        <v>36</v>
      </c>
      <c r="B39" s="12"/>
      <c r="C39" s="13" t="s">
        <v>210</v>
      </c>
      <c r="D39" s="12" t="s">
        <v>211</v>
      </c>
      <c r="E39" s="12"/>
      <c r="F39" s="12" t="s">
        <v>3</v>
      </c>
      <c r="G39" s="14" t="s">
        <v>4</v>
      </c>
      <c r="H39" s="18"/>
    </row>
    <row r="40" spans="1:8" ht="19.5" customHeight="1">
      <c r="A40" s="11">
        <f t="shared" si="1"/>
        <v>37</v>
      </c>
      <c r="B40" s="12"/>
      <c r="C40" s="13" t="s">
        <v>212</v>
      </c>
      <c r="D40" s="12" t="s">
        <v>213</v>
      </c>
      <c r="E40" s="14" t="s">
        <v>214</v>
      </c>
      <c r="F40" s="12" t="s">
        <v>3</v>
      </c>
      <c r="G40" s="14" t="s">
        <v>4</v>
      </c>
      <c r="H40" s="14"/>
    </row>
    <row r="41" spans="1:8" ht="19.5" customHeight="1">
      <c r="A41" s="15">
        <f t="shared" si="1"/>
        <v>38</v>
      </c>
      <c r="B41" s="16" t="s">
        <v>114</v>
      </c>
      <c r="C41" s="17" t="s">
        <v>215</v>
      </c>
      <c r="D41" s="16" t="s">
        <v>216</v>
      </c>
      <c r="E41" s="18" t="s">
        <v>217</v>
      </c>
      <c r="F41" s="16" t="s">
        <v>3</v>
      </c>
      <c r="G41" s="18" t="s">
        <v>4</v>
      </c>
      <c r="H41" s="18"/>
    </row>
    <row r="42" spans="1:8" ht="19.5" customHeight="1">
      <c r="A42" s="11">
        <f t="shared" si="1"/>
        <v>39</v>
      </c>
      <c r="B42" s="12"/>
      <c r="C42" s="13" t="s">
        <v>218</v>
      </c>
      <c r="D42" s="12" t="s">
        <v>219</v>
      </c>
      <c r="E42" s="14" t="s">
        <v>220</v>
      </c>
      <c r="F42" s="12" t="s">
        <v>3</v>
      </c>
      <c r="G42" s="14" t="s">
        <v>4</v>
      </c>
      <c r="H42" s="14"/>
    </row>
    <row r="43" spans="1:8" ht="19.5" customHeight="1">
      <c r="A43" s="15">
        <f t="shared" si="1"/>
        <v>40</v>
      </c>
      <c r="B43" s="16" t="s">
        <v>114</v>
      </c>
      <c r="C43" s="17" t="s">
        <v>221</v>
      </c>
      <c r="D43" s="16" t="s">
        <v>222</v>
      </c>
      <c r="E43" s="16" t="s">
        <v>223</v>
      </c>
      <c r="F43" s="16" t="s">
        <v>3</v>
      </c>
      <c r="G43" s="18" t="s">
        <v>4</v>
      </c>
      <c r="H43" s="18"/>
    </row>
    <row r="44" spans="1:8" ht="19.5" customHeight="1">
      <c r="A44" s="20">
        <f>IF(C44&lt;&gt;"",COUNTA($D$4:D43),"")</f>
        <v>40</v>
      </c>
      <c r="B44" s="21"/>
      <c r="C44" s="22" t="s">
        <v>224</v>
      </c>
      <c r="D44" s="12" t="s">
        <v>225</v>
      </c>
      <c r="E44" s="12" t="s">
        <v>226</v>
      </c>
      <c r="F44" s="12" t="s">
        <v>3</v>
      </c>
      <c r="G44" s="14" t="s">
        <v>4</v>
      </c>
      <c r="H44" s="23"/>
    </row>
    <row r="45" spans="1:8" ht="19.5" customHeight="1">
      <c r="A45" s="24">
        <f>IF(C45&lt;&gt;"",COUNTA($D$4:D45),"")</f>
        <v>42</v>
      </c>
      <c r="B45" s="25"/>
      <c r="C45" s="26" t="s">
        <v>227</v>
      </c>
      <c r="D45" s="16" t="s">
        <v>228</v>
      </c>
      <c r="E45" s="16" t="s">
        <v>229</v>
      </c>
      <c r="F45" s="16" t="s">
        <v>3</v>
      </c>
      <c r="G45" s="18" t="s">
        <v>4</v>
      </c>
      <c r="H45" s="27"/>
    </row>
    <row r="46" spans="1:8" ht="19.5" customHeight="1">
      <c r="A46" s="11">
        <f t="shared" ref="A46:A157" si="2">IF(C46&lt;&gt;"",COUNTA($C$4:C46),"")</f>
        <v>43</v>
      </c>
      <c r="B46" s="12" t="s">
        <v>114</v>
      </c>
      <c r="C46" s="13" t="s">
        <v>230</v>
      </c>
      <c r="D46" s="12" t="s">
        <v>231</v>
      </c>
      <c r="E46" s="12" t="s">
        <v>232</v>
      </c>
      <c r="F46" s="12" t="s">
        <v>3</v>
      </c>
      <c r="G46" s="14" t="s">
        <v>4</v>
      </c>
      <c r="H46" s="14"/>
    </row>
    <row r="47" spans="1:8" ht="19.5" customHeight="1">
      <c r="A47" s="15">
        <f t="shared" si="2"/>
        <v>44</v>
      </c>
      <c r="B47" s="16"/>
      <c r="C47" s="17" t="s">
        <v>233</v>
      </c>
      <c r="D47" s="16" t="s">
        <v>234</v>
      </c>
      <c r="E47" s="16"/>
      <c r="F47" s="16" t="s">
        <v>3</v>
      </c>
      <c r="G47" s="18" t="s">
        <v>4</v>
      </c>
      <c r="H47" s="18"/>
    </row>
    <row r="48" spans="1:8" ht="19.5" customHeight="1">
      <c r="A48" s="11">
        <f t="shared" si="2"/>
        <v>45</v>
      </c>
      <c r="B48" s="12"/>
      <c r="C48" s="13" t="s">
        <v>235</v>
      </c>
      <c r="D48" s="12" t="s">
        <v>236</v>
      </c>
      <c r="E48" s="12" t="s">
        <v>237</v>
      </c>
      <c r="F48" s="12" t="s">
        <v>3</v>
      </c>
      <c r="G48" s="14" t="s">
        <v>4</v>
      </c>
      <c r="H48" s="14"/>
    </row>
    <row r="49" spans="1:8" ht="19.5" customHeight="1">
      <c r="A49" s="15">
        <f t="shared" si="2"/>
        <v>46</v>
      </c>
      <c r="B49" s="16"/>
      <c r="C49" s="17" t="s">
        <v>238</v>
      </c>
      <c r="D49" s="16" t="s">
        <v>239</v>
      </c>
      <c r="E49" s="16" t="s">
        <v>240</v>
      </c>
      <c r="F49" s="16" t="s">
        <v>3</v>
      </c>
      <c r="G49" s="18" t="s">
        <v>4</v>
      </c>
      <c r="H49" s="18"/>
    </row>
    <row r="50" spans="1:8" ht="19.5" customHeight="1">
      <c r="A50" s="11">
        <f t="shared" si="2"/>
        <v>47</v>
      </c>
      <c r="B50" s="12"/>
      <c r="C50" s="13" t="s">
        <v>241</v>
      </c>
      <c r="D50" s="12" t="s">
        <v>242</v>
      </c>
      <c r="E50" s="12"/>
      <c r="F50" s="12" t="s">
        <v>3</v>
      </c>
      <c r="G50" s="14" t="s">
        <v>4</v>
      </c>
      <c r="H50" s="14"/>
    </row>
    <row r="51" spans="1:8" ht="19.5" customHeight="1">
      <c r="A51" s="15">
        <f t="shared" si="2"/>
        <v>48</v>
      </c>
      <c r="B51" s="16"/>
      <c r="C51" s="17" t="s">
        <v>243</v>
      </c>
      <c r="D51" s="16" t="s">
        <v>244</v>
      </c>
      <c r="E51" s="16"/>
      <c r="F51" s="16" t="s">
        <v>3</v>
      </c>
      <c r="G51" s="18" t="s">
        <v>4</v>
      </c>
      <c r="H51" s="18"/>
    </row>
    <row r="52" spans="1:8" ht="19.5" customHeight="1">
      <c r="A52" s="11">
        <f t="shared" si="2"/>
        <v>49</v>
      </c>
      <c r="B52" s="12"/>
      <c r="C52" s="13" t="s">
        <v>245</v>
      </c>
      <c r="D52" s="12" t="s">
        <v>246</v>
      </c>
      <c r="E52" s="12"/>
      <c r="F52" s="12" t="s">
        <v>3</v>
      </c>
      <c r="G52" s="14" t="s">
        <v>4</v>
      </c>
      <c r="H52" s="14"/>
    </row>
    <row r="53" spans="1:8" ht="19.5" customHeight="1">
      <c r="A53" s="15">
        <f t="shared" si="2"/>
        <v>50</v>
      </c>
      <c r="B53" s="16" t="s">
        <v>114</v>
      </c>
      <c r="C53" s="17" t="s">
        <v>247</v>
      </c>
      <c r="D53" s="16" t="s">
        <v>248</v>
      </c>
      <c r="E53" s="18" t="s">
        <v>249</v>
      </c>
      <c r="F53" s="16" t="s">
        <v>3</v>
      </c>
      <c r="G53" s="18" t="s">
        <v>24</v>
      </c>
      <c r="H53" s="18"/>
    </row>
    <row r="54" spans="1:8" ht="19.5" customHeight="1">
      <c r="A54" s="11">
        <f t="shared" si="2"/>
        <v>51</v>
      </c>
      <c r="B54" s="12"/>
      <c r="C54" s="13" t="s">
        <v>250</v>
      </c>
      <c r="D54" s="12" t="s">
        <v>251</v>
      </c>
      <c r="E54" s="12"/>
      <c r="F54" s="12" t="s">
        <v>3</v>
      </c>
      <c r="G54" s="14" t="s">
        <v>36</v>
      </c>
      <c r="H54" s="14"/>
    </row>
    <row r="55" spans="1:8" ht="19.5" customHeight="1">
      <c r="A55" s="15">
        <f t="shared" si="2"/>
        <v>52</v>
      </c>
      <c r="B55" s="16"/>
      <c r="C55" s="17" t="s">
        <v>252</v>
      </c>
      <c r="D55" s="16" t="s">
        <v>253</v>
      </c>
      <c r="E55" s="16"/>
      <c r="F55" s="16" t="s">
        <v>3</v>
      </c>
      <c r="G55" s="18" t="s">
        <v>36</v>
      </c>
      <c r="H55" s="18"/>
    </row>
    <row r="56" spans="1:8" ht="19.5" customHeight="1">
      <c r="A56" s="11">
        <f t="shared" si="2"/>
        <v>53</v>
      </c>
      <c r="B56" s="12"/>
      <c r="C56" s="13" t="s">
        <v>254</v>
      </c>
      <c r="D56" s="12" t="s">
        <v>255</v>
      </c>
      <c r="E56" s="12"/>
      <c r="F56" s="12" t="s">
        <v>3</v>
      </c>
      <c r="G56" s="14" t="s">
        <v>23</v>
      </c>
      <c r="H56" s="14"/>
    </row>
    <row r="57" spans="1:8" ht="19.5" customHeight="1">
      <c r="A57" s="15">
        <f t="shared" si="2"/>
        <v>54</v>
      </c>
      <c r="B57" s="16"/>
      <c r="C57" s="17" t="s">
        <v>256</v>
      </c>
      <c r="D57" s="16" t="s">
        <v>257</v>
      </c>
      <c r="E57" s="16"/>
      <c r="F57" s="16" t="s">
        <v>3</v>
      </c>
      <c r="G57" s="18" t="s">
        <v>23</v>
      </c>
      <c r="H57" s="18"/>
    </row>
    <row r="58" spans="1:8" ht="19.5" customHeight="1">
      <c r="A58" s="11">
        <f t="shared" si="2"/>
        <v>55</v>
      </c>
      <c r="B58" s="12" t="s">
        <v>114</v>
      </c>
      <c r="C58" s="13" t="s">
        <v>258</v>
      </c>
      <c r="D58" s="12" t="s">
        <v>259</v>
      </c>
      <c r="E58" s="12"/>
      <c r="F58" s="12" t="s">
        <v>3</v>
      </c>
      <c r="G58" s="14" t="s">
        <v>23</v>
      </c>
      <c r="H58" s="14"/>
    </row>
    <row r="59" spans="1:8" ht="19.5" customHeight="1">
      <c r="A59" s="15">
        <f t="shared" si="2"/>
        <v>56</v>
      </c>
      <c r="B59" s="16" t="s">
        <v>114</v>
      </c>
      <c r="C59" s="17" t="s">
        <v>260</v>
      </c>
      <c r="D59" s="16" t="s">
        <v>261</v>
      </c>
      <c r="E59" s="16"/>
      <c r="F59" s="16" t="s">
        <v>3</v>
      </c>
      <c r="G59" s="18" t="s">
        <v>23</v>
      </c>
      <c r="H59" s="18"/>
    </row>
    <row r="60" spans="1:8" ht="43.5" customHeight="1">
      <c r="A60" s="11">
        <f t="shared" si="2"/>
        <v>57</v>
      </c>
      <c r="B60" s="12" t="s">
        <v>114</v>
      </c>
      <c r="C60" s="13" t="s">
        <v>262</v>
      </c>
      <c r="D60" s="12" t="s">
        <v>263</v>
      </c>
      <c r="E60" s="12"/>
      <c r="F60" s="12" t="s">
        <v>3</v>
      </c>
      <c r="G60" s="14" t="s">
        <v>23</v>
      </c>
      <c r="H60" s="14"/>
    </row>
    <row r="61" spans="1:8" ht="19.5" customHeight="1">
      <c r="A61" s="15">
        <f t="shared" si="2"/>
        <v>58</v>
      </c>
      <c r="B61" s="16" t="s">
        <v>114</v>
      </c>
      <c r="C61" s="17" t="s">
        <v>264</v>
      </c>
      <c r="D61" s="16" t="s">
        <v>265</v>
      </c>
      <c r="E61" s="16"/>
      <c r="F61" s="16" t="s">
        <v>3</v>
      </c>
      <c r="G61" s="18" t="s">
        <v>23</v>
      </c>
      <c r="H61" s="18"/>
    </row>
    <row r="62" spans="1:8" ht="19.5" customHeight="1">
      <c r="A62" s="11">
        <f t="shared" si="2"/>
        <v>59</v>
      </c>
      <c r="B62" s="12" t="s">
        <v>114</v>
      </c>
      <c r="C62" s="13" t="s">
        <v>266</v>
      </c>
      <c r="D62" s="12" t="s">
        <v>267</v>
      </c>
      <c r="E62" s="12"/>
      <c r="F62" s="12" t="s">
        <v>3</v>
      </c>
      <c r="G62" s="14" t="s">
        <v>23</v>
      </c>
      <c r="H62" s="14"/>
    </row>
    <row r="63" spans="1:8" ht="19.5" customHeight="1">
      <c r="A63" s="15">
        <f t="shared" si="2"/>
        <v>60</v>
      </c>
      <c r="B63" s="16" t="s">
        <v>114</v>
      </c>
      <c r="C63" s="17" t="s">
        <v>268</v>
      </c>
      <c r="D63" s="16" t="s">
        <v>269</v>
      </c>
      <c r="E63" s="16"/>
      <c r="F63" s="16" t="s">
        <v>3</v>
      </c>
      <c r="G63" s="18" t="s">
        <v>23</v>
      </c>
      <c r="H63" s="18"/>
    </row>
    <row r="64" spans="1:8" ht="19.5" customHeight="1">
      <c r="A64" s="11">
        <f t="shared" si="2"/>
        <v>61</v>
      </c>
      <c r="B64" s="12"/>
      <c r="C64" s="13" t="s">
        <v>270</v>
      </c>
      <c r="D64" s="12" t="s">
        <v>271</v>
      </c>
      <c r="E64" s="12"/>
      <c r="F64" s="12" t="s">
        <v>3</v>
      </c>
      <c r="G64" s="14" t="s">
        <v>23</v>
      </c>
      <c r="H64" s="14"/>
    </row>
    <row r="65" spans="1:8" ht="19.5" customHeight="1">
      <c r="A65" s="15">
        <f t="shared" si="2"/>
        <v>62</v>
      </c>
      <c r="B65" s="16"/>
      <c r="C65" s="17" t="s">
        <v>272</v>
      </c>
      <c r="D65" s="16" t="s">
        <v>273</v>
      </c>
      <c r="E65" s="16"/>
      <c r="F65" s="16" t="s">
        <v>3</v>
      </c>
      <c r="G65" s="18" t="s">
        <v>9</v>
      </c>
      <c r="H65" s="18"/>
    </row>
    <row r="66" spans="1:8" ht="19.5" customHeight="1">
      <c r="A66" s="11">
        <f t="shared" si="2"/>
        <v>63</v>
      </c>
      <c r="B66" s="12"/>
      <c r="C66" s="13" t="s">
        <v>274</v>
      </c>
      <c r="D66" s="12" t="s">
        <v>275</v>
      </c>
      <c r="E66" s="12"/>
      <c r="F66" s="12" t="s">
        <v>3</v>
      </c>
      <c r="G66" s="14" t="s">
        <v>9</v>
      </c>
      <c r="H66" s="14"/>
    </row>
    <row r="67" spans="1:8" ht="19.5" customHeight="1">
      <c r="A67" s="15">
        <f t="shared" si="2"/>
        <v>64</v>
      </c>
      <c r="B67" s="16"/>
      <c r="C67" s="17" t="s">
        <v>276</v>
      </c>
      <c r="D67" s="16"/>
      <c r="E67" s="16"/>
      <c r="F67" s="16" t="s">
        <v>3</v>
      </c>
      <c r="G67" s="18" t="s">
        <v>23</v>
      </c>
      <c r="H67" s="18"/>
    </row>
    <row r="68" spans="1:8" ht="19.5" customHeight="1">
      <c r="A68" s="11">
        <f t="shared" si="2"/>
        <v>65</v>
      </c>
      <c r="B68" s="12" t="s">
        <v>114</v>
      </c>
      <c r="C68" s="13" t="s">
        <v>277</v>
      </c>
      <c r="D68" s="12" t="s">
        <v>278</v>
      </c>
      <c r="E68" s="12"/>
      <c r="F68" s="12" t="s">
        <v>3</v>
      </c>
      <c r="G68" s="14" t="s">
        <v>23</v>
      </c>
      <c r="H68" s="14"/>
    </row>
    <row r="69" spans="1:8" ht="19.5" customHeight="1">
      <c r="A69" s="15">
        <f t="shared" si="2"/>
        <v>66</v>
      </c>
      <c r="B69" s="16"/>
      <c r="C69" s="17" t="s">
        <v>279</v>
      </c>
      <c r="D69" s="16" t="s">
        <v>280</v>
      </c>
      <c r="E69" s="16"/>
      <c r="F69" s="16" t="s">
        <v>3</v>
      </c>
      <c r="G69" s="18" t="s">
        <v>23</v>
      </c>
      <c r="H69" s="18"/>
    </row>
    <row r="70" spans="1:8" ht="19.5" customHeight="1">
      <c r="A70" s="11">
        <f t="shared" si="2"/>
        <v>67</v>
      </c>
      <c r="B70" s="12"/>
      <c r="C70" s="13" t="s">
        <v>281</v>
      </c>
      <c r="D70" s="12" t="s">
        <v>282</v>
      </c>
      <c r="E70" s="12"/>
      <c r="F70" s="12" t="s">
        <v>3</v>
      </c>
      <c r="G70" s="14" t="s">
        <v>23</v>
      </c>
      <c r="H70" s="14"/>
    </row>
    <row r="71" spans="1:8" ht="19.5" customHeight="1">
      <c r="A71" s="15">
        <f t="shared" si="2"/>
        <v>68</v>
      </c>
      <c r="B71" s="16" t="s">
        <v>114</v>
      </c>
      <c r="C71" s="17" t="s">
        <v>283</v>
      </c>
      <c r="D71" s="16" t="s">
        <v>284</v>
      </c>
      <c r="E71" s="16"/>
      <c r="F71" s="16" t="s">
        <v>3</v>
      </c>
      <c r="G71" s="18" t="s">
        <v>19</v>
      </c>
      <c r="H71" s="18"/>
    </row>
    <row r="72" spans="1:8" ht="19.5" customHeight="1">
      <c r="A72" s="11">
        <f t="shared" si="2"/>
        <v>69</v>
      </c>
      <c r="B72" s="12" t="s">
        <v>114</v>
      </c>
      <c r="C72" s="13" t="s">
        <v>285</v>
      </c>
      <c r="D72" s="12" t="s">
        <v>286</v>
      </c>
      <c r="E72" s="12"/>
      <c r="F72" s="12" t="s">
        <v>3</v>
      </c>
      <c r="G72" s="14" t="s">
        <v>69</v>
      </c>
      <c r="H72" s="14"/>
    </row>
    <row r="73" spans="1:8" ht="19.5" customHeight="1">
      <c r="A73" s="15">
        <f t="shared" si="2"/>
        <v>70</v>
      </c>
      <c r="B73" s="16" t="s">
        <v>114</v>
      </c>
      <c r="C73" s="17" t="s">
        <v>287</v>
      </c>
      <c r="D73" s="16" t="s">
        <v>288</v>
      </c>
      <c r="E73" s="16" t="s">
        <v>289</v>
      </c>
      <c r="F73" s="16" t="s">
        <v>3</v>
      </c>
      <c r="G73" s="18" t="s">
        <v>59</v>
      </c>
      <c r="H73" s="18"/>
    </row>
    <row r="74" spans="1:8" ht="19.5" customHeight="1">
      <c r="A74" s="11">
        <f t="shared" si="2"/>
        <v>71</v>
      </c>
      <c r="B74" s="12"/>
      <c r="C74" s="13" t="s">
        <v>290</v>
      </c>
      <c r="D74" s="12" t="s">
        <v>291</v>
      </c>
      <c r="E74" s="12" t="s">
        <v>292</v>
      </c>
      <c r="F74" s="12" t="s">
        <v>3</v>
      </c>
      <c r="G74" s="14" t="s">
        <v>59</v>
      </c>
      <c r="H74" s="14"/>
    </row>
    <row r="75" spans="1:8" ht="19.5" customHeight="1">
      <c r="A75" s="15">
        <f t="shared" si="2"/>
        <v>72</v>
      </c>
      <c r="B75" s="16"/>
      <c r="C75" s="17" t="s">
        <v>293</v>
      </c>
      <c r="D75" s="16" t="s">
        <v>294</v>
      </c>
      <c r="E75" s="16" t="s">
        <v>295</v>
      </c>
      <c r="F75" s="16" t="s">
        <v>3</v>
      </c>
      <c r="G75" s="18" t="s">
        <v>59</v>
      </c>
      <c r="H75" s="18"/>
    </row>
    <row r="76" spans="1:8" ht="19.5" customHeight="1">
      <c r="A76" s="11">
        <f t="shared" si="2"/>
        <v>73</v>
      </c>
      <c r="B76" s="12" t="s">
        <v>114</v>
      </c>
      <c r="C76" s="13" t="s">
        <v>296</v>
      </c>
      <c r="D76" s="12" t="s">
        <v>297</v>
      </c>
      <c r="E76" s="12"/>
      <c r="F76" s="12" t="s">
        <v>3</v>
      </c>
      <c r="G76" s="14" t="s">
        <v>59</v>
      </c>
      <c r="H76" s="14"/>
    </row>
    <row r="77" spans="1:8" ht="19.5" customHeight="1">
      <c r="A77" s="15">
        <f t="shared" si="2"/>
        <v>74</v>
      </c>
      <c r="B77" s="16"/>
      <c r="C77" s="17" t="s">
        <v>298</v>
      </c>
      <c r="D77" s="16" t="s">
        <v>299</v>
      </c>
      <c r="E77" s="16"/>
      <c r="F77" s="16" t="s">
        <v>3</v>
      </c>
      <c r="G77" s="18" t="s">
        <v>59</v>
      </c>
      <c r="H77" s="18"/>
    </row>
    <row r="78" spans="1:8" ht="19.5" customHeight="1">
      <c r="A78" s="11">
        <f t="shared" si="2"/>
        <v>75</v>
      </c>
      <c r="B78" s="12"/>
      <c r="C78" s="13" t="s">
        <v>300</v>
      </c>
      <c r="D78" s="12" t="s">
        <v>301</v>
      </c>
      <c r="E78" s="12"/>
      <c r="F78" s="12" t="s">
        <v>3</v>
      </c>
      <c r="G78" s="14" t="s">
        <v>59</v>
      </c>
      <c r="H78" s="14"/>
    </row>
    <row r="79" spans="1:8" ht="19.5" customHeight="1">
      <c r="A79" s="15">
        <f t="shared" si="2"/>
        <v>76</v>
      </c>
      <c r="B79" s="16"/>
      <c r="C79" s="17" t="s">
        <v>302</v>
      </c>
      <c r="D79" s="16" t="s">
        <v>303</v>
      </c>
      <c r="E79" s="16"/>
      <c r="F79" s="16" t="s">
        <v>3</v>
      </c>
      <c r="G79" s="18" t="s">
        <v>59</v>
      </c>
      <c r="H79" s="18"/>
    </row>
    <row r="80" spans="1:8" ht="19.5" customHeight="1">
      <c r="A80" s="11">
        <f t="shared" si="2"/>
        <v>77</v>
      </c>
      <c r="B80" s="12"/>
      <c r="C80" s="13" t="s">
        <v>304</v>
      </c>
      <c r="D80" s="12" t="s">
        <v>305</v>
      </c>
      <c r="E80" s="12"/>
      <c r="F80" s="12" t="s">
        <v>3</v>
      </c>
      <c r="G80" s="14" t="s">
        <v>4</v>
      </c>
      <c r="H80" s="14"/>
    </row>
    <row r="81" spans="1:8" ht="19.5" customHeight="1">
      <c r="A81" s="15">
        <f t="shared" si="2"/>
        <v>78</v>
      </c>
      <c r="B81" s="16"/>
      <c r="C81" s="17" t="s">
        <v>306</v>
      </c>
      <c r="D81" s="16" t="s">
        <v>307</v>
      </c>
      <c r="E81" s="16"/>
      <c r="F81" s="16" t="s">
        <v>3</v>
      </c>
      <c r="G81" s="18" t="s">
        <v>9</v>
      </c>
      <c r="H81" s="18"/>
    </row>
    <row r="82" spans="1:8" ht="19.5" customHeight="1">
      <c r="A82" s="11">
        <f t="shared" si="2"/>
        <v>79</v>
      </c>
      <c r="B82" s="12"/>
      <c r="C82" s="13" t="s">
        <v>308</v>
      </c>
      <c r="D82" s="12" t="s">
        <v>309</v>
      </c>
      <c r="E82" s="12"/>
      <c r="F82" s="12" t="s">
        <v>3</v>
      </c>
      <c r="G82" s="14" t="s">
        <v>9</v>
      </c>
      <c r="H82" s="14"/>
    </row>
    <row r="83" spans="1:8" ht="19.5" customHeight="1">
      <c r="A83" s="15">
        <f t="shared" si="2"/>
        <v>80</v>
      </c>
      <c r="B83" s="16" t="s">
        <v>114</v>
      </c>
      <c r="C83" s="17" t="s">
        <v>310</v>
      </c>
      <c r="D83" s="16" t="s">
        <v>311</v>
      </c>
      <c r="E83" s="16"/>
      <c r="F83" s="16" t="s">
        <v>13</v>
      </c>
      <c r="G83" s="18" t="s">
        <v>9</v>
      </c>
      <c r="H83" s="18"/>
    </row>
    <row r="84" spans="1:8" ht="19.5" customHeight="1">
      <c r="A84" s="11">
        <f t="shared" si="2"/>
        <v>81</v>
      </c>
      <c r="B84" s="12" t="s">
        <v>114</v>
      </c>
      <c r="C84" s="13" t="s">
        <v>312</v>
      </c>
      <c r="D84" s="12" t="s">
        <v>313</v>
      </c>
      <c r="E84" s="12"/>
      <c r="F84" s="12" t="s">
        <v>314</v>
      </c>
      <c r="G84" s="14" t="s">
        <v>9</v>
      </c>
      <c r="H84" s="14"/>
    </row>
    <row r="85" spans="1:8" ht="19.5" customHeight="1">
      <c r="A85" s="15">
        <f t="shared" si="2"/>
        <v>82</v>
      </c>
      <c r="B85" s="16" t="s">
        <v>114</v>
      </c>
      <c r="C85" s="17" t="s">
        <v>315</v>
      </c>
      <c r="D85" s="16" t="s">
        <v>316</v>
      </c>
      <c r="E85" s="16" t="s">
        <v>317</v>
      </c>
      <c r="F85" s="16" t="s">
        <v>3</v>
      </c>
      <c r="G85" s="18" t="s">
        <v>16</v>
      </c>
      <c r="H85" s="18"/>
    </row>
    <row r="86" spans="1:8" ht="19.5" customHeight="1">
      <c r="A86" s="11">
        <f t="shared" si="2"/>
        <v>83</v>
      </c>
      <c r="B86" s="12"/>
      <c r="C86" s="13" t="s">
        <v>318</v>
      </c>
      <c r="D86" s="12" t="s">
        <v>319</v>
      </c>
      <c r="E86" s="12" t="s">
        <v>320</v>
      </c>
      <c r="F86" s="12" t="s">
        <v>20</v>
      </c>
      <c r="G86" s="14" t="s">
        <v>16</v>
      </c>
      <c r="H86" s="14"/>
    </row>
    <row r="87" spans="1:8" ht="19.5" customHeight="1">
      <c r="A87" s="15">
        <f t="shared" si="2"/>
        <v>84</v>
      </c>
      <c r="B87" s="16" t="s">
        <v>114</v>
      </c>
      <c r="C87" s="17" t="s">
        <v>321</v>
      </c>
      <c r="D87" s="16" t="s">
        <v>322</v>
      </c>
      <c r="E87" s="16" t="s">
        <v>320</v>
      </c>
      <c r="F87" s="16" t="s">
        <v>20</v>
      </c>
      <c r="G87" s="18" t="s">
        <v>16</v>
      </c>
      <c r="H87" s="18"/>
    </row>
    <row r="88" spans="1:8" ht="19.5" customHeight="1">
      <c r="A88" s="11">
        <f t="shared" si="2"/>
        <v>85</v>
      </c>
      <c r="B88" s="12" t="s">
        <v>114</v>
      </c>
      <c r="C88" s="13" t="s">
        <v>323</v>
      </c>
      <c r="D88" s="12" t="s">
        <v>324</v>
      </c>
      <c r="E88" s="12" t="s">
        <v>325</v>
      </c>
      <c r="F88" s="12" t="s">
        <v>3</v>
      </c>
      <c r="G88" s="14" t="s">
        <v>16</v>
      </c>
      <c r="H88" s="14"/>
    </row>
    <row r="89" spans="1:8" ht="19.5" customHeight="1">
      <c r="A89" s="15">
        <f t="shared" si="2"/>
        <v>86</v>
      </c>
      <c r="B89" s="16" t="s">
        <v>114</v>
      </c>
      <c r="C89" s="17" t="s">
        <v>326</v>
      </c>
      <c r="D89" s="16" t="s">
        <v>327</v>
      </c>
      <c r="E89" s="16" t="s">
        <v>328</v>
      </c>
      <c r="F89" s="16" t="s">
        <v>3</v>
      </c>
      <c r="G89" s="18" t="s">
        <v>16</v>
      </c>
      <c r="H89" s="18"/>
    </row>
    <row r="90" spans="1:8" ht="19.5" customHeight="1">
      <c r="A90" s="11">
        <f t="shared" si="2"/>
        <v>87</v>
      </c>
      <c r="B90" s="12" t="s">
        <v>114</v>
      </c>
      <c r="C90" s="13" t="s">
        <v>329</v>
      </c>
      <c r="D90" s="12" t="s">
        <v>330</v>
      </c>
      <c r="E90" s="12" t="s">
        <v>331</v>
      </c>
      <c r="F90" s="12" t="s">
        <v>3</v>
      </c>
      <c r="G90" s="14" t="s">
        <v>16</v>
      </c>
      <c r="H90" s="14"/>
    </row>
    <row r="91" spans="1:8" ht="19.5" customHeight="1">
      <c r="A91" s="15">
        <f t="shared" si="2"/>
        <v>88</v>
      </c>
      <c r="B91" s="16" t="s">
        <v>114</v>
      </c>
      <c r="C91" s="26" t="s">
        <v>332</v>
      </c>
      <c r="D91" s="16" t="s">
        <v>333</v>
      </c>
      <c r="E91" s="16" t="s">
        <v>334</v>
      </c>
      <c r="F91" s="16" t="s">
        <v>3</v>
      </c>
      <c r="G91" s="18" t="s">
        <v>16</v>
      </c>
      <c r="H91" s="18"/>
    </row>
    <row r="92" spans="1:8" ht="19.5" customHeight="1">
      <c r="A92" s="11">
        <f t="shared" si="2"/>
        <v>89</v>
      </c>
      <c r="B92" s="12" t="s">
        <v>114</v>
      </c>
      <c r="C92" s="22" t="s">
        <v>335</v>
      </c>
      <c r="D92" s="12" t="s">
        <v>336</v>
      </c>
      <c r="E92" s="12" t="s">
        <v>337</v>
      </c>
      <c r="F92" s="12" t="s">
        <v>3</v>
      </c>
      <c r="G92" s="14" t="s">
        <v>16</v>
      </c>
      <c r="H92" s="14"/>
    </row>
    <row r="93" spans="1:8" ht="19.5" customHeight="1">
      <c r="A93" s="15">
        <f t="shared" si="2"/>
        <v>90</v>
      </c>
      <c r="B93" s="16"/>
      <c r="C93" s="26" t="s">
        <v>338</v>
      </c>
      <c r="D93" s="16" t="s">
        <v>339</v>
      </c>
      <c r="E93" s="16" t="s">
        <v>340</v>
      </c>
      <c r="F93" s="16" t="s">
        <v>3</v>
      </c>
      <c r="G93" s="18" t="s">
        <v>16</v>
      </c>
      <c r="H93" s="18"/>
    </row>
    <row r="94" spans="1:8" ht="19.5" customHeight="1">
      <c r="A94" s="11">
        <f t="shared" si="2"/>
        <v>91</v>
      </c>
      <c r="B94" s="12"/>
      <c r="C94" s="22" t="s">
        <v>341</v>
      </c>
      <c r="D94" s="12" t="s">
        <v>342</v>
      </c>
      <c r="E94" s="12" t="s">
        <v>343</v>
      </c>
      <c r="F94" s="12" t="s">
        <v>3</v>
      </c>
      <c r="G94" s="14" t="s">
        <v>16</v>
      </c>
      <c r="H94" s="14"/>
    </row>
    <row r="95" spans="1:8" ht="19.5" customHeight="1">
      <c r="A95" s="15">
        <f t="shared" si="2"/>
        <v>92</v>
      </c>
      <c r="B95" s="16" t="s">
        <v>114</v>
      </c>
      <c r="C95" s="26" t="s">
        <v>344</v>
      </c>
      <c r="D95" s="16" t="s">
        <v>345</v>
      </c>
      <c r="E95" s="16" t="s">
        <v>346</v>
      </c>
      <c r="F95" s="16" t="s">
        <v>3</v>
      </c>
      <c r="G95" s="18" t="s">
        <v>16</v>
      </c>
      <c r="H95" s="18"/>
    </row>
    <row r="96" spans="1:8" ht="19.5" customHeight="1">
      <c r="A96" s="11">
        <f t="shared" si="2"/>
        <v>93</v>
      </c>
      <c r="B96" s="12"/>
      <c r="C96" s="13" t="s">
        <v>347</v>
      </c>
      <c r="D96" s="12" t="s">
        <v>348</v>
      </c>
      <c r="E96" s="12" t="s">
        <v>349</v>
      </c>
      <c r="F96" s="12" t="s">
        <v>3</v>
      </c>
      <c r="G96" s="14" t="s">
        <v>16</v>
      </c>
      <c r="H96" s="14"/>
    </row>
    <row r="97" spans="1:8" ht="19.5" customHeight="1">
      <c r="A97" s="15">
        <f t="shared" si="2"/>
        <v>94</v>
      </c>
      <c r="B97" s="16"/>
      <c r="C97" s="17" t="s">
        <v>350</v>
      </c>
      <c r="D97" s="16" t="s">
        <v>351</v>
      </c>
      <c r="E97" s="16" t="s">
        <v>352</v>
      </c>
      <c r="F97" s="16" t="s">
        <v>3</v>
      </c>
      <c r="G97" s="18" t="s">
        <v>16</v>
      </c>
      <c r="H97" s="18"/>
    </row>
    <row r="98" spans="1:8" ht="19.5" customHeight="1">
      <c r="A98" s="11">
        <f t="shared" si="2"/>
        <v>95</v>
      </c>
      <c r="B98" s="12" t="s">
        <v>114</v>
      </c>
      <c r="C98" s="13" t="s">
        <v>353</v>
      </c>
      <c r="D98" s="12" t="s">
        <v>354</v>
      </c>
      <c r="E98" s="12" t="s">
        <v>355</v>
      </c>
      <c r="F98" s="12" t="s">
        <v>3</v>
      </c>
      <c r="G98" s="14" t="s">
        <v>16</v>
      </c>
      <c r="H98" s="14"/>
    </row>
    <row r="99" spans="1:8" ht="19.5" customHeight="1">
      <c r="A99" s="15">
        <f t="shared" si="2"/>
        <v>96</v>
      </c>
      <c r="B99" s="16" t="s">
        <v>114</v>
      </c>
      <c r="C99" s="17" t="s">
        <v>356</v>
      </c>
      <c r="D99" s="16" t="s">
        <v>357</v>
      </c>
      <c r="E99" s="16" t="s">
        <v>358</v>
      </c>
      <c r="F99" s="16" t="s">
        <v>3</v>
      </c>
      <c r="G99" s="18" t="s">
        <v>16</v>
      </c>
      <c r="H99" s="18"/>
    </row>
    <row r="100" spans="1:8" ht="19.5" customHeight="1">
      <c r="A100" s="11">
        <f t="shared" si="2"/>
        <v>97</v>
      </c>
      <c r="B100" s="12"/>
      <c r="C100" s="13" t="s">
        <v>359</v>
      </c>
      <c r="D100" s="12" t="s">
        <v>360</v>
      </c>
      <c r="E100" s="12"/>
      <c r="F100" s="12" t="s">
        <v>3</v>
      </c>
      <c r="G100" s="14" t="s">
        <v>16</v>
      </c>
      <c r="H100" s="14"/>
    </row>
    <row r="101" spans="1:8" ht="19.5" customHeight="1">
      <c r="A101" s="15">
        <f t="shared" si="2"/>
        <v>98</v>
      </c>
      <c r="B101" s="16" t="s">
        <v>114</v>
      </c>
      <c r="C101" s="17" t="s">
        <v>361</v>
      </c>
      <c r="D101" s="16" t="s">
        <v>362</v>
      </c>
      <c r="E101" s="16" t="s">
        <v>363</v>
      </c>
      <c r="F101" s="16" t="s">
        <v>3</v>
      </c>
      <c r="G101" s="18" t="s">
        <v>16</v>
      </c>
      <c r="H101" s="18"/>
    </row>
    <row r="102" spans="1:8" ht="19.5" customHeight="1">
      <c r="A102" s="11">
        <f t="shared" si="2"/>
        <v>99</v>
      </c>
      <c r="B102" s="12"/>
      <c r="C102" s="13" t="s">
        <v>364</v>
      </c>
      <c r="D102" s="12" t="s">
        <v>365</v>
      </c>
      <c r="E102" s="12" t="s">
        <v>366</v>
      </c>
      <c r="F102" s="12" t="s">
        <v>3</v>
      </c>
      <c r="G102" s="14" t="s">
        <v>16</v>
      </c>
      <c r="H102" s="14"/>
    </row>
    <row r="103" spans="1:8" ht="19.5" customHeight="1">
      <c r="A103" s="15">
        <f t="shared" si="2"/>
        <v>100</v>
      </c>
      <c r="B103" s="16" t="s">
        <v>114</v>
      </c>
      <c r="C103" s="17" t="s">
        <v>367</v>
      </c>
      <c r="D103" s="16" t="s">
        <v>368</v>
      </c>
      <c r="E103" s="16" t="s">
        <v>369</v>
      </c>
      <c r="F103" s="16" t="s">
        <v>3</v>
      </c>
      <c r="G103" s="18" t="s">
        <v>16</v>
      </c>
      <c r="H103" s="18"/>
    </row>
    <row r="104" spans="1:8" ht="19.5" customHeight="1">
      <c r="A104" s="11">
        <f t="shared" si="2"/>
        <v>101</v>
      </c>
      <c r="B104" s="12" t="s">
        <v>114</v>
      </c>
      <c r="C104" s="13" t="s">
        <v>370</v>
      </c>
      <c r="D104" s="12" t="s">
        <v>371</v>
      </c>
      <c r="E104" s="12"/>
      <c r="F104" s="12" t="s">
        <v>3</v>
      </c>
      <c r="G104" s="14" t="s">
        <v>4</v>
      </c>
      <c r="H104" s="14"/>
    </row>
    <row r="105" spans="1:8" ht="19.5" customHeight="1">
      <c r="A105" s="15">
        <f t="shared" si="2"/>
        <v>102</v>
      </c>
      <c r="B105" s="16"/>
      <c r="C105" s="17" t="s">
        <v>372</v>
      </c>
      <c r="D105" s="16" t="s">
        <v>373</v>
      </c>
      <c r="E105" s="16" t="s">
        <v>374</v>
      </c>
      <c r="F105" s="16" t="s">
        <v>3</v>
      </c>
      <c r="G105" s="18" t="s">
        <v>16</v>
      </c>
      <c r="H105" s="18"/>
    </row>
    <row r="106" spans="1:8" ht="19.5" customHeight="1">
      <c r="A106" s="11">
        <f t="shared" si="2"/>
        <v>103</v>
      </c>
      <c r="B106" s="12" t="s">
        <v>114</v>
      </c>
      <c r="C106" s="13" t="s">
        <v>375</v>
      </c>
      <c r="D106" s="12" t="s">
        <v>376</v>
      </c>
      <c r="E106" s="12" t="s">
        <v>377</v>
      </c>
      <c r="F106" s="12" t="s">
        <v>3</v>
      </c>
      <c r="G106" s="14" t="s">
        <v>16</v>
      </c>
      <c r="H106" s="14"/>
    </row>
    <row r="107" spans="1:8" ht="19.5" customHeight="1">
      <c r="A107" s="15">
        <f t="shared" si="2"/>
        <v>104</v>
      </c>
      <c r="B107" s="16" t="s">
        <v>114</v>
      </c>
      <c r="C107" s="17" t="s">
        <v>378</v>
      </c>
      <c r="D107" s="16" t="s">
        <v>379</v>
      </c>
      <c r="E107" s="16" t="s">
        <v>380</v>
      </c>
      <c r="F107" s="16" t="s">
        <v>3</v>
      </c>
      <c r="G107" s="18" t="s">
        <v>16</v>
      </c>
      <c r="H107" s="18"/>
    </row>
    <row r="108" spans="1:8" ht="19.5" customHeight="1">
      <c r="A108" s="11">
        <f t="shared" si="2"/>
        <v>105</v>
      </c>
      <c r="B108" s="12"/>
      <c r="C108" s="13" t="s">
        <v>381</v>
      </c>
      <c r="D108" s="12"/>
      <c r="E108" s="12" t="s">
        <v>382</v>
      </c>
      <c r="F108" s="12" t="s">
        <v>3</v>
      </c>
      <c r="G108" s="14" t="s">
        <v>16</v>
      </c>
      <c r="H108" s="14"/>
    </row>
    <row r="109" spans="1:8" ht="19.5" customHeight="1">
      <c r="A109" s="15">
        <f t="shared" si="2"/>
        <v>106</v>
      </c>
      <c r="B109" s="16"/>
      <c r="C109" s="17" t="s">
        <v>383</v>
      </c>
      <c r="D109" s="16"/>
      <c r="E109" s="16" t="s">
        <v>384</v>
      </c>
      <c r="F109" s="16" t="s">
        <v>3</v>
      </c>
      <c r="G109" s="18" t="s">
        <v>16</v>
      </c>
      <c r="H109" s="18"/>
    </row>
    <row r="110" spans="1:8" ht="19.5" customHeight="1">
      <c r="A110" s="11">
        <f t="shared" si="2"/>
        <v>107</v>
      </c>
      <c r="B110" s="12"/>
      <c r="C110" s="13" t="s">
        <v>385</v>
      </c>
      <c r="D110" s="12"/>
      <c r="E110" s="12"/>
      <c r="F110" s="12" t="s">
        <v>3</v>
      </c>
      <c r="G110" s="14" t="s">
        <v>9</v>
      </c>
      <c r="H110" s="14"/>
    </row>
    <row r="111" spans="1:8" ht="19.5" customHeight="1">
      <c r="A111" s="15">
        <f t="shared" si="2"/>
        <v>108</v>
      </c>
      <c r="B111" s="16"/>
      <c r="C111" s="17" t="s">
        <v>386</v>
      </c>
      <c r="D111" s="16"/>
      <c r="E111" s="16"/>
      <c r="F111" s="16" t="s">
        <v>3</v>
      </c>
      <c r="G111" s="18" t="s">
        <v>9</v>
      </c>
      <c r="H111" s="18"/>
    </row>
    <row r="112" spans="1:8" ht="19.5" customHeight="1">
      <c r="A112" s="11">
        <f t="shared" si="2"/>
        <v>109</v>
      </c>
      <c r="B112" s="12"/>
      <c r="C112" s="13" t="s">
        <v>387</v>
      </c>
      <c r="D112" s="12"/>
      <c r="E112" s="12"/>
      <c r="F112" s="12" t="s">
        <v>3</v>
      </c>
      <c r="G112" s="14" t="s">
        <v>9</v>
      </c>
      <c r="H112" s="14"/>
    </row>
    <row r="113" spans="1:8" ht="19.5" customHeight="1">
      <c r="A113" s="15">
        <f t="shared" si="2"/>
        <v>110</v>
      </c>
      <c r="B113" s="16"/>
      <c r="C113" s="17" t="s">
        <v>388</v>
      </c>
      <c r="D113" s="16"/>
      <c r="E113" s="16"/>
      <c r="F113" s="16" t="s">
        <v>3</v>
      </c>
      <c r="G113" s="18" t="s">
        <v>9</v>
      </c>
      <c r="H113" s="18"/>
    </row>
    <row r="114" spans="1:8" ht="19.5" customHeight="1">
      <c r="A114" s="11">
        <f t="shared" si="2"/>
        <v>111</v>
      </c>
      <c r="B114" s="12"/>
      <c r="C114" s="13" t="s">
        <v>389</v>
      </c>
      <c r="D114" s="12"/>
      <c r="E114" s="12"/>
      <c r="F114" s="12" t="s">
        <v>3</v>
      </c>
      <c r="G114" s="14" t="s">
        <v>9</v>
      </c>
      <c r="H114" s="14"/>
    </row>
    <row r="115" spans="1:8" ht="19.5" customHeight="1">
      <c r="A115" s="15">
        <f t="shared" si="2"/>
        <v>112</v>
      </c>
      <c r="B115" s="16" t="s">
        <v>114</v>
      </c>
      <c r="C115" s="17" t="s">
        <v>390</v>
      </c>
      <c r="D115" s="16"/>
      <c r="E115" s="16"/>
      <c r="F115" s="16" t="s">
        <v>3</v>
      </c>
      <c r="G115" s="18" t="s">
        <v>9</v>
      </c>
      <c r="H115" s="18"/>
    </row>
    <row r="116" spans="1:8" ht="19.5" customHeight="1">
      <c r="A116" s="11">
        <f t="shared" si="2"/>
        <v>113</v>
      </c>
      <c r="B116" s="12" t="s">
        <v>114</v>
      </c>
      <c r="C116" s="13" t="s">
        <v>391</v>
      </c>
      <c r="D116" s="12" t="s">
        <v>392</v>
      </c>
      <c r="E116" s="12" t="s">
        <v>393</v>
      </c>
      <c r="F116" s="12" t="s">
        <v>3</v>
      </c>
      <c r="G116" s="14" t="s">
        <v>9</v>
      </c>
      <c r="H116" s="14"/>
    </row>
    <row r="117" spans="1:8" ht="19.5" customHeight="1">
      <c r="A117" s="15">
        <f t="shared" si="2"/>
        <v>114</v>
      </c>
      <c r="B117" s="16"/>
      <c r="C117" s="17" t="s">
        <v>394</v>
      </c>
      <c r="D117" s="16"/>
      <c r="E117" s="16"/>
      <c r="F117" s="16" t="s">
        <v>3</v>
      </c>
      <c r="G117" s="18" t="s">
        <v>16</v>
      </c>
      <c r="H117" s="18"/>
    </row>
    <row r="118" spans="1:8" ht="19.5" customHeight="1">
      <c r="A118" s="11">
        <f t="shared" si="2"/>
        <v>115</v>
      </c>
      <c r="B118" s="12" t="s">
        <v>114</v>
      </c>
      <c r="C118" s="13" t="s">
        <v>395</v>
      </c>
      <c r="D118" s="12" t="s">
        <v>396</v>
      </c>
      <c r="E118" s="12" t="s">
        <v>397</v>
      </c>
      <c r="F118" s="12" t="s">
        <v>3</v>
      </c>
      <c r="G118" s="14" t="s">
        <v>16</v>
      </c>
      <c r="H118" s="14"/>
    </row>
    <row r="119" spans="1:8" ht="19.5" customHeight="1">
      <c r="A119" s="15">
        <f t="shared" si="2"/>
        <v>116</v>
      </c>
      <c r="B119" s="16" t="s">
        <v>114</v>
      </c>
      <c r="C119" s="17" t="s">
        <v>398</v>
      </c>
      <c r="D119" s="28" t="s">
        <v>399</v>
      </c>
      <c r="E119" s="29" t="s">
        <v>400</v>
      </c>
      <c r="F119" s="16" t="s">
        <v>3</v>
      </c>
      <c r="G119" s="18" t="s">
        <v>16</v>
      </c>
      <c r="H119" s="18"/>
    </row>
    <row r="120" spans="1:8" ht="19.5" customHeight="1">
      <c r="A120" s="11">
        <f t="shared" si="2"/>
        <v>117</v>
      </c>
      <c r="B120" s="12" t="s">
        <v>114</v>
      </c>
      <c r="C120" s="13" t="s">
        <v>401</v>
      </c>
      <c r="D120" s="12" t="s">
        <v>402</v>
      </c>
      <c r="E120" s="12" t="s">
        <v>403</v>
      </c>
      <c r="F120" s="12" t="s">
        <v>3</v>
      </c>
      <c r="G120" s="14" t="s">
        <v>16</v>
      </c>
      <c r="H120" s="14"/>
    </row>
    <row r="121" spans="1:8" ht="19.5" customHeight="1">
      <c r="A121" s="15">
        <f t="shared" si="2"/>
        <v>118</v>
      </c>
      <c r="B121" s="16" t="s">
        <v>114</v>
      </c>
      <c r="C121" s="17" t="s">
        <v>404</v>
      </c>
      <c r="D121" s="16" t="s">
        <v>405</v>
      </c>
      <c r="E121" s="16" t="s">
        <v>406</v>
      </c>
      <c r="F121" s="16" t="s">
        <v>3</v>
      </c>
      <c r="G121" s="18" t="s">
        <v>16</v>
      </c>
      <c r="H121" s="18"/>
    </row>
    <row r="122" spans="1:8" ht="19.5" customHeight="1">
      <c r="A122" s="11">
        <f t="shared" si="2"/>
        <v>119</v>
      </c>
      <c r="B122" s="12"/>
      <c r="C122" s="13" t="s">
        <v>407</v>
      </c>
      <c r="D122" s="12" t="s">
        <v>405</v>
      </c>
      <c r="E122" s="12" t="s">
        <v>406</v>
      </c>
      <c r="F122" s="12" t="s">
        <v>3</v>
      </c>
      <c r="G122" s="14" t="s">
        <v>16</v>
      </c>
      <c r="H122" s="14"/>
    </row>
    <row r="123" spans="1:8" ht="19.5" customHeight="1">
      <c r="A123" s="15">
        <f t="shared" si="2"/>
        <v>120</v>
      </c>
      <c r="B123" s="16"/>
      <c r="C123" s="17" t="s">
        <v>408</v>
      </c>
      <c r="D123" s="16" t="s">
        <v>405</v>
      </c>
      <c r="E123" s="16" t="s">
        <v>406</v>
      </c>
      <c r="F123" s="16" t="s">
        <v>3</v>
      </c>
      <c r="G123" s="18" t="s">
        <v>16</v>
      </c>
      <c r="H123" s="18"/>
    </row>
    <row r="124" spans="1:8" ht="19.5" customHeight="1">
      <c r="A124" s="11">
        <f t="shared" si="2"/>
        <v>121</v>
      </c>
      <c r="B124" s="12" t="s">
        <v>114</v>
      </c>
      <c r="C124" s="13" t="s">
        <v>409</v>
      </c>
      <c r="D124" s="12" t="s">
        <v>410</v>
      </c>
      <c r="E124" s="12" t="s">
        <v>411</v>
      </c>
      <c r="F124" s="12" t="s">
        <v>3</v>
      </c>
      <c r="G124" s="14" t="s">
        <v>16</v>
      </c>
      <c r="H124" s="14"/>
    </row>
    <row r="125" spans="1:8" ht="18.75" customHeight="1">
      <c r="A125" s="15">
        <f t="shared" si="2"/>
        <v>122</v>
      </c>
      <c r="B125" s="16"/>
      <c r="C125" s="17" t="s">
        <v>412</v>
      </c>
      <c r="D125" s="16" t="s">
        <v>410</v>
      </c>
      <c r="E125" s="16" t="s">
        <v>413</v>
      </c>
      <c r="F125" s="16" t="s">
        <v>3</v>
      </c>
      <c r="G125" s="18" t="s">
        <v>16</v>
      </c>
      <c r="H125" s="18"/>
    </row>
    <row r="126" spans="1:8" ht="18.75" customHeight="1">
      <c r="A126" s="11">
        <f t="shared" si="2"/>
        <v>123</v>
      </c>
      <c r="B126" s="12" t="s">
        <v>114</v>
      </c>
      <c r="C126" s="13" t="s">
        <v>414</v>
      </c>
      <c r="D126" s="12" t="s">
        <v>415</v>
      </c>
      <c r="E126" s="12" t="s">
        <v>416</v>
      </c>
      <c r="F126" s="12" t="s">
        <v>3</v>
      </c>
      <c r="G126" s="14" t="s">
        <v>4</v>
      </c>
      <c r="H126" s="14"/>
    </row>
    <row r="127" spans="1:8" ht="18.75" customHeight="1">
      <c r="A127" s="15">
        <f t="shared" si="2"/>
        <v>124</v>
      </c>
      <c r="B127" s="16" t="s">
        <v>114</v>
      </c>
      <c r="C127" s="17" t="s">
        <v>417</v>
      </c>
      <c r="D127" s="16" t="s">
        <v>418</v>
      </c>
      <c r="E127" s="16" t="s">
        <v>419</v>
      </c>
      <c r="F127" s="16" t="s">
        <v>3</v>
      </c>
      <c r="G127" s="18" t="s">
        <v>16</v>
      </c>
      <c r="H127" s="18"/>
    </row>
    <row r="128" spans="1:8" ht="19.5" customHeight="1">
      <c r="A128" s="11">
        <f t="shared" si="2"/>
        <v>125</v>
      </c>
      <c r="B128" s="12"/>
      <c r="C128" s="13" t="s">
        <v>420</v>
      </c>
      <c r="D128" s="12" t="s">
        <v>421</v>
      </c>
      <c r="E128" s="12" t="s">
        <v>422</v>
      </c>
      <c r="F128" s="12" t="s">
        <v>3</v>
      </c>
      <c r="G128" s="14" t="s">
        <v>16</v>
      </c>
      <c r="H128" s="14"/>
    </row>
    <row r="129" spans="1:8" ht="19.5" customHeight="1">
      <c r="A129" s="15">
        <f t="shared" si="2"/>
        <v>126</v>
      </c>
      <c r="B129" s="16"/>
      <c r="C129" s="17" t="s">
        <v>423</v>
      </c>
      <c r="D129" s="16" t="s">
        <v>421</v>
      </c>
      <c r="E129" s="16" t="s">
        <v>422</v>
      </c>
      <c r="F129" s="16" t="s">
        <v>3</v>
      </c>
      <c r="G129" s="18" t="s">
        <v>16</v>
      </c>
      <c r="H129" s="18"/>
    </row>
    <row r="130" spans="1:8" ht="19.5" customHeight="1">
      <c r="A130" s="11">
        <f t="shared" si="2"/>
        <v>127</v>
      </c>
      <c r="B130" s="12" t="s">
        <v>114</v>
      </c>
      <c r="C130" s="13" t="s">
        <v>424</v>
      </c>
      <c r="D130" s="12" t="s">
        <v>425</v>
      </c>
      <c r="E130" s="12" t="s">
        <v>426</v>
      </c>
      <c r="F130" s="12" t="s">
        <v>3</v>
      </c>
      <c r="G130" s="14" t="s">
        <v>9</v>
      </c>
      <c r="H130" s="14"/>
    </row>
    <row r="131" spans="1:8" ht="19.5" customHeight="1">
      <c r="A131" s="15">
        <f t="shared" si="2"/>
        <v>128</v>
      </c>
      <c r="B131" s="16" t="s">
        <v>114</v>
      </c>
      <c r="C131" s="17" t="s">
        <v>427</v>
      </c>
      <c r="D131" s="16" t="s">
        <v>428</v>
      </c>
      <c r="E131" s="16" t="s">
        <v>429</v>
      </c>
      <c r="F131" s="16" t="s">
        <v>3</v>
      </c>
      <c r="G131" s="18" t="s">
        <v>16</v>
      </c>
      <c r="H131" s="18"/>
    </row>
    <row r="132" spans="1:8" ht="19.5" customHeight="1">
      <c r="A132" s="11">
        <f t="shared" si="2"/>
        <v>129</v>
      </c>
      <c r="B132" s="12" t="s">
        <v>114</v>
      </c>
      <c r="C132" s="13" t="s">
        <v>430</v>
      </c>
      <c r="D132" s="12" t="s">
        <v>431</v>
      </c>
      <c r="E132" s="30" t="s">
        <v>432</v>
      </c>
      <c r="F132" s="12" t="s">
        <v>3</v>
      </c>
      <c r="G132" s="14" t="s">
        <v>16</v>
      </c>
      <c r="H132" s="14"/>
    </row>
    <row r="133" spans="1:8" ht="19.5" customHeight="1">
      <c r="A133" s="15">
        <f t="shared" si="2"/>
        <v>130</v>
      </c>
      <c r="B133" s="16" t="s">
        <v>114</v>
      </c>
      <c r="C133" s="17" t="s">
        <v>433</v>
      </c>
      <c r="D133" s="16" t="s">
        <v>434</v>
      </c>
      <c r="E133" s="16" t="s">
        <v>435</v>
      </c>
      <c r="F133" s="16" t="s">
        <v>3</v>
      </c>
      <c r="G133" s="18" t="s">
        <v>16</v>
      </c>
      <c r="H133" s="18"/>
    </row>
    <row r="134" spans="1:8" ht="19.5" customHeight="1">
      <c r="A134" s="11">
        <f t="shared" si="2"/>
        <v>131</v>
      </c>
      <c r="B134" s="12" t="s">
        <v>114</v>
      </c>
      <c r="C134" s="13" t="s">
        <v>436</v>
      </c>
      <c r="D134" s="12" t="s">
        <v>437</v>
      </c>
      <c r="E134" s="12" t="s">
        <v>438</v>
      </c>
      <c r="F134" s="12" t="s">
        <v>3</v>
      </c>
      <c r="G134" s="14" t="s">
        <v>16</v>
      </c>
      <c r="H134" s="14"/>
    </row>
    <row r="135" spans="1:8" ht="19.5" customHeight="1">
      <c r="A135" s="15">
        <f t="shared" si="2"/>
        <v>132</v>
      </c>
      <c r="B135" s="16" t="s">
        <v>114</v>
      </c>
      <c r="C135" s="17" t="s">
        <v>439</v>
      </c>
      <c r="D135" s="16" t="s">
        <v>440</v>
      </c>
      <c r="E135" s="16" t="s">
        <v>441</v>
      </c>
      <c r="F135" s="16" t="s">
        <v>3</v>
      </c>
      <c r="G135" s="18" t="s">
        <v>16</v>
      </c>
      <c r="H135" s="18"/>
    </row>
    <row r="136" spans="1:8" ht="19.5" customHeight="1">
      <c r="A136" s="11">
        <f t="shared" si="2"/>
        <v>133</v>
      </c>
      <c r="B136" s="12"/>
      <c r="C136" s="13" t="s">
        <v>442</v>
      </c>
      <c r="D136" s="12"/>
      <c r="E136" s="12" t="s">
        <v>443</v>
      </c>
      <c r="F136" s="12" t="s">
        <v>3</v>
      </c>
      <c r="G136" s="14" t="s">
        <v>16</v>
      </c>
      <c r="H136" s="14"/>
    </row>
    <row r="137" spans="1:8" ht="19.5" customHeight="1">
      <c r="A137" s="15">
        <f t="shared" si="2"/>
        <v>134</v>
      </c>
      <c r="B137" s="16" t="s">
        <v>114</v>
      </c>
      <c r="C137" s="17" t="s">
        <v>444</v>
      </c>
      <c r="D137" s="16" t="s">
        <v>445</v>
      </c>
      <c r="E137" s="16" t="s">
        <v>446</v>
      </c>
      <c r="F137" s="16" t="s">
        <v>3</v>
      </c>
      <c r="G137" s="18" t="s">
        <v>16</v>
      </c>
      <c r="H137" s="18"/>
    </row>
    <row r="138" spans="1:8" ht="19.5" customHeight="1">
      <c r="A138" s="11">
        <f t="shared" si="2"/>
        <v>135</v>
      </c>
      <c r="B138" s="12" t="s">
        <v>114</v>
      </c>
      <c r="C138" s="13" t="s">
        <v>447</v>
      </c>
      <c r="D138" s="12" t="s">
        <v>448</v>
      </c>
      <c r="E138" s="12" t="s">
        <v>449</v>
      </c>
      <c r="F138" s="12" t="s">
        <v>3</v>
      </c>
      <c r="G138" s="14" t="s">
        <v>9</v>
      </c>
      <c r="H138" s="14"/>
    </row>
    <row r="139" spans="1:8" ht="19.5" customHeight="1">
      <c r="A139" s="15">
        <f t="shared" si="2"/>
        <v>136</v>
      </c>
      <c r="B139" s="16" t="s">
        <v>114</v>
      </c>
      <c r="C139" s="17" t="s">
        <v>450</v>
      </c>
      <c r="D139" s="16" t="s">
        <v>451</v>
      </c>
      <c r="E139" s="16" t="s">
        <v>452</v>
      </c>
      <c r="F139" s="16" t="s">
        <v>3</v>
      </c>
      <c r="G139" s="18" t="s">
        <v>9</v>
      </c>
      <c r="H139" s="18"/>
    </row>
    <row r="140" spans="1:8" ht="19.5" customHeight="1">
      <c r="A140" s="11">
        <f t="shared" si="2"/>
        <v>137</v>
      </c>
      <c r="B140" s="12" t="s">
        <v>114</v>
      </c>
      <c r="C140" s="13" t="s">
        <v>453</v>
      </c>
      <c r="D140" s="12" t="s">
        <v>454</v>
      </c>
      <c r="E140" s="12" t="s">
        <v>455</v>
      </c>
      <c r="F140" s="12" t="s">
        <v>3</v>
      </c>
      <c r="G140" s="14" t="s">
        <v>9</v>
      </c>
      <c r="H140" s="14"/>
    </row>
    <row r="141" spans="1:8" ht="19.5" customHeight="1">
      <c r="A141" s="15">
        <f t="shared" si="2"/>
        <v>138</v>
      </c>
      <c r="B141" s="16"/>
      <c r="C141" s="17" t="s">
        <v>456</v>
      </c>
      <c r="D141" s="16"/>
      <c r="E141" s="16"/>
      <c r="F141" s="16" t="s">
        <v>3</v>
      </c>
      <c r="G141" s="18" t="s">
        <v>4</v>
      </c>
      <c r="H141" s="18"/>
    </row>
    <row r="142" spans="1:8" ht="19.5" customHeight="1">
      <c r="A142" s="11">
        <f t="shared" si="2"/>
        <v>139</v>
      </c>
      <c r="B142" s="12"/>
      <c r="C142" s="13" t="s">
        <v>457</v>
      </c>
      <c r="D142" s="12"/>
      <c r="E142" s="12"/>
      <c r="F142" s="12" t="s">
        <v>3</v>
      </c>
      <c r="G142" s="14" t="s">
        <v>4</v>
      </c>
      <c r="H142" s="14"/>
    </row>
    <row r="143" spans="1:8" ht="19.5" customHeight="1">
      <c r="A143" s="15">
        <f t="shared" si="2"/>
        <v>140</v>
      </c>
      <c r="B143" s="16"/>
      <c r="C143" s="17" t="s">
        <v>458</v>
      </c>
      <c r="D143" s="16"/>
      <c r="E143" s="16"/>
      <c r="F143" s="16" t="s">
        <v>3</v>
      </c>
      <c r="G143" s="18" t="s">
        <v>4</v>
      </c>
      <c r="H143" s="18"/>
    </row>
    <row r="144" spans="1:8" ht="19.5" customHeight="1">
      <c r="A144" s="11">
        <f t="shared" si="2"/>
        <v>141</v>
      </c>
      <c r="B144" s="12" t="s">
        <v>114</v>
      </c>
      <c r="C144" s="13" t="s">
        <v>459</v>
      </c>
      <c r="D144" s="12" t="s">
        <v>460</v>
      </c>
      <c r="E144" s="12"/>
      <c r="F144" s="12" t="s">
        <v>3</v>
      </c>
      <c r="G144" s="14" t="s">
        <v>9</v>
      </c>
      <c r="H144" s="14"/>
    </row>
    <row r="145" spans="1:8" ht="19.5" customHeight="1">
      <c r="A145" s="15">
        <f t="shared" si="2"/>
        <v>142</v>
      </c>
      <c r="B145" s="16"/>
      <c r="C145" s="17" t="s">
        <v>461</v>
      </c>
      <c r="D145" s="16"/>
      <c r="E145" s="16"/>
      <c r="F145" s="16" t="s">
        <v>3</v>
      </c>
      <c r="G145" s="18" t="s">
        <v>9</v>
      </c>
      <c r="H145" s="18"/>
    </row>
    <row r="146" spans="1:8" ht="19.5" customHeight="1">
      <c r="A146" s="11">
        <f t="shared" si="2"/>
        <v>143</v>
      </c>
      <c r="B146" s="12" t="s">
        <v>114</v>
      </c>
      <c r="C146" s="13" t="s">
        <v>462</v>
      </c>
      <c r="D146" s="12" t="s">
        <v>463</v>
      </c>
      <c r="E146" s="12" t="s">
        <v>464</v>
      </c>
      <c r="F146" s="12" t="s">
        <v>3</v>
      </c>
      <c r="G146" s="14" t="s">
        <v>9</v>
      </c>
      <c r="H146" s="14"/>
    </row>
    <row r="147" spans="1:8" ht="19.5" customHeight="1">
      <c r="A147" s="15">
        <f t="shared" si="2"/>
        <v>144</v>
      </c>
      <c r="B147" s="16"/>
      <c r="C147" s="17" t="s">
        <v>465</v>
      </c>
      <c r="D147" s="16" t="s">
        <v>466</v>
      </c>
      <c r="E147" s="16"/>
      <c r="F147" s="16" t="s">
        <v>3</v>
      </c>
      <c r="G147" s="18" t="s">
        <v>9</v>
      </c>
      <c r="H147" s="18"/>
    </row>
    <row r="148" spans="1:8" ht="19.5" customHeight="1">
      <c r="A148" s="11">
        <f t="shared" si="2"/>
        <v>145</v>
      </c>
      <c r="B148" s="12"/>
      <c r="C148" s="13" t="s">
        <v>467</v>
      </c>
      <c r="D148" s="12"/>
      <c r="E148" s="12"/>
      <c r="F148" s="12" t="s">
        <v>3</v>
      </c>
      <c r="G148" s="14" t="s">
        <v>4</v>
      </c>
      <c r="H148" s="14"/>
    </row>
    <row r="149" spans="1:8" ht="19.5" customHeight="1">
      <c r="A149" s="15">
        <f t="shared" si="2"/>
        <v>146</v>
      </c>
      <c r="B149" s="16"/>
      <c r="C149" s="17" t="s">
        <v>468</v>
      </c>
      <c r="D149" s="16"/>
      <c r="E149" s="16"/>
      <c r="F149" s="16" t="s">
        <v>3</v>
      </c>
      <c r="G149" s="18" t="s">
        <v>9</v>
      </c>
      <c r="H149" s="18"/>
    </row>
    <row r="150" spans="1:8" ht="19.5" customHeight="1">
      <c r="A150" s="11">
        <f t="shared" si="2"/>
        <v>147</v>
      </c>
      <c r="B150" s="12" t="s">
        <v>114</v>
      </c>
      <c r="C150" s="13" t="s">
        <v>469</v>
      </c>
      <c r="D150" s="12" t="s">
        <v>470</v>
      </c>
      <c r="E150" s="12"/>
      <c r="F150" s="12" t="s">
        <v>21</v>
      </c>
      <c r="G150" s="14" t="s">
        <v>9</v>
      </c>
      <c r="H150" s="14"/>
    </row>
    <row r="151" spans="1:8" ht="19.5" customHeight="1">
      <c r="A151" s="15">
        <f t="shared" si="2"/>
        <v>148</v>
      </c>
      <c r="B151" s="16" t="s">
        <v>114</v>
      </c>
      <c r="C151" s="17" t="s">
        <v>471</v>
      </c>
      <c r="D151" s="16" t="s">
        <v>472</v>
      </c>
      <c r="E151" s="16"/>
      <c r="F151" s="16" t="s">
        <v>21</v>
      </c>
      <c r="G151" s="18" t="s">
        <v>9</v>
      </c>
      <c r="H151" s="18"/>
    </row>
    <row r="152" spans="1:8" ht="19.5" customHeight="1">
      <c r="A152" s="11">
        <f t="shared" si="2"/>
        <v>149</v>
      </c>
      <c r="B152" s="12"/>
      <c r="C152" s="13" t="s">
        <v>473</v>
      </c>
      <c r="D152" s="12"/>
      <c r="E152" s="12"/>
      <c r="F152" s="12" t="s">
        <v>21</v>
      </c>
      <c r="G152" s="14" t="s">
        <v>9</v>
      </c>
      <c r="H152" s="14"/>
    </row>
    <row r="153" spans="1:8" ht="19.5" customHeight="1">
      <c r="A153" s="15">
        <f t="shared" si="2"/>
        <v>150</v>
      </c>
      <c r="B153" s="16"/>
      <c r="C153" s="17" t="s">
        <v>474</v>
      </c>
      <c r="D153" s="16"/>
      <c r="E153" s="16"/>
      <c r="F153" s="16" t="s">
        <v>475</v>
      </c>
      <c r="G153" s="18" t="s">
        <v>9</v>
      </c>
      <c r="H153" s="18"/>
    </row>
    <row r="154" spans="1:8" ht="19.5" customHeight="1">
      <c r="A154" s="11">
        <f t="shared" si="2"/>
        <v>151</v>
      </c>
      <c r="B154" s="12" t="s">
        <v>114</v>
      </c>
      <c r="C154" s="13" t="s">
        <v>476</v>
      </c>
      <c r="D154" s="12" t="s">
        <v>477</v>
      </c>
      <c r="E154" s="12"/>
      <c r="F154" s="12" t="s">
        <v>21</v>
      </c>
      <c r="G154" s="14" t="s">
        <v>9</v>
      </c>
      <c r="H154" s="14"/>
    </row>
    <row r="155" spans="1:8" ht="19.5" customHeight="1">
      <c r="A155" s="15">
        <f t="shared" si="2"/>
        <v>152</v>
      </c>
      <c r="B155" s="16" t="s">
        <v>114</v>
      </c>
      <c r="C155" s="17" t="s">
        <v>478</v>
      </c>
      <c r="D155" s="16" t="s">
        <v>479</v>
      </c>
      <c r="E155" s="16"/>
      <c r="F155" s="16" t="s">
        <v>21</v>
      </c>
      <c r="G155" s="18" t="s">
        <v>9</v>
      </c>
      <c r="H155" s="18"/>
    </row>
    <row r="156" spans="1:8" ht="19.5" customHeight="1">
      <c r="A156" s="11">
        <f t="shared" si="2"/>
        <v>153</v>
      </c>
      <c r="B156" s="12" t="s">
        <v>114</v>
      </c>
      <c r="C156" s="13" t="s">
        <v>480</v>
      </c>
      <c r="D156" s="12" t="s">
        <v>481</v>
      </c>
      <c r="E156" s="12"/>
      <c r="F156" s="12" t="s">
        <v>18</v>
      </c>
      <c r="G156" s="14" t="s">
        <v>9</v>
      </c>
      <c r="H156" s="14"/>
    </row>
    <row r="157" spans="1:8" ht="19.5" customHeight="1">
      <c r="A157" s="15">
        <f t="shared" si="2"/>
        <v>154</v>
      </c>
      <c r="B157" s="25" t="s">
        <v>114</v>
      </c>
      <c r="C157" s="26" t="s">
        <v>482</v>
      </c>
      <c r="D157" s="16" t="s">
        <v>483</v>
      </c>
      <c r="E157" s="26"/>
      <c r="F157" s="16" t="s">
        <v>18</v>
      </c>
      <c r="G157" s="18" t="s">
        <v>484</v>
      </c>
      <c r="H157" s="31"/>
    </row>
    <row r="158" spans="1:8" ht="19.5" customHeight="1">
      <c r="A158" s="20">
        <f>IF(C158&lt;&gt;"",COUNTA($D$4:D158),"")</f>
        <v>136</v>
      </c>
      <c r="B158" s="21" t="s">
        <v>114</v>
      </c>
      <c r="C158" s="13" t="s">
        <v>485</v>
      </c>
      <c r="D158" s="12" t="s">
        <v>486</v>
      </c>
      <c r="E158" s="12"/>
      <c r="F158" s="12" t="s">
        <v>3</v>
      </c>
      <c r="G158" s="14" t="s">
        <v>4</v>
      </c>
      <c r="H158" s="14"/>
    </row>
    <row r="159" spans="1:8" ht="19.5" customHeight="1">
      <c r="A159" s="15">
        <f t="shared" ref="A159:A305" si="3">IF(C159&lt;&gt;"",COUNTA($C$4:C159),"")</f>
        <v>156</v>
      </c>
      <c r="B159" s="16" t="s">
        <v>114</v>
      </c>
      <c r="C159" s="17" t="s">
        <v>487</v>
      </c>
      <c r="D159" s="16" t="s">
        <v>488</v>
      </c>
      <c r="E159" s="16"/>
      <c r="F159" s="16" t="s">
        <v>3</v>
      </c>
      <c r="G159" s="18" t="s">
        <v>9</v>
      </c>
      <c r="H159" s="18"/>
    </row>
    <row r="160" spans="1:8" ht="19.5" customHeight="1">
      <c r="A160" s="11">
        <f t="shared" si="3"/>
        <v>157</v>
      </c>
      <c r="B160" s="12"/>
      <c r="C160" s="13" t="s">
        <v>489</v>
      </c>
      <c r="D160" s="12" t="s">
        <v>490</v>
      </c>
      <c r="E160" s="12"/>
      <c r="F160" s="12" t="s">
        <v>3</v>
      </c>
      <c r="G160" s="14" t="s">
        <v>9</v>
      </c>
      <c r="H160" s="14"/>
    </row>
    <row r="161" spans="1:8" ht="19.5" customHeight="1">
      <c r="A161" s="15">
        <f t="shared" si="3"/>
        <v>158</v>
      </c>
      <c r="B161" s="16"/>
      <c r="C161" s="17" t="s">
        <v>491</v>
      </c>
      <c r="D161" s="16"/>
      <c r="E161" s="16"/>
      <c r="F161" s="16" t="s">
        <v>3</v>
      </c>
      <c r="G161" s="18" t="s">
        <v>9</v>
      </c>
      <c r="H161" s="18"/>
    </row>
    <row r="162" spans="1:8" ht="19.5" customHeight="1">
      <c r="A162" s="11">
        <f t="shared" si="3"/>
        <v>159</v>
      </c>
      <c r="B162" s="12" t="s">
        <v>114</v>
      </c>
      <c r="C162" s="13" t="s">
        <v>492</v>
      </c>
      <c r="D162" s="12" t="s">
        <v>493</v>
      </c>
      <c r="E162" s="12"/>
      <c r="F162" s="12" t="s">
        <v>3</v>
      </c>
      <c r="G162" s="14" t="s">
        <v>35</v>
      </c>
      <c r="H162" s="14"/>
    </row>
    <row r="163" spans="1:8" ht="19.5" customHeight="1">
      <c r="A163" s="15">
        <f t="shared" si="3"/>
        <v>160</v>
      </c>
      <c r="B163" s="16" t="s">
        <v>114</v>
      </c>
      <c r="C163" s="17" t="s">
        <v>494</v>
      </c>
      <c r="D163" s="16" t="s">
        <v>495</v>
      </c>
      <c r="E163" s="16"/>
      <c r="F163" s="16" t="s">
        <v>3</v>
      </c>
      <c r="G163" s="18" t="s">
        <v>35</v>
      </c>
      <c r="H163" s="18"/>
    </row>
    <row r="164" spans="1:8" ht="19.5" customHeight="1">
      <c r="A164" s="11">
        <f t="shared" si="3"/>
        <v>161</v>
      </c>
      <c r="B164" s="12" t="s">
        <v>114</v>
      </c>
      <c r="C164" s="13" t="s">
        <v>496</v>
      </c>
      <c r="D164" s="12" t="s">
        <v>497</v>
      </c>
      <c r="E164" s="12"/>
      <c r="F164" s="12" t="s">
        <v>3</v>
      </c>
      <c r="G164" s="14" t="s">
        <v>35</v>
      </c>
      <c r="H164" s="14"/>
    </row>
    <row r="165" spans="1:8" ht="19.5" customHeight="1">
      <c r="A165" s="15">
        <f t="shared" si="3"/>
        <v>162</v>
      </c>
      <c r="B165" s="16" t="s">
        <v>114</v>
      </c>
      <c r="C165" s="17" t="s">
        <v>498</v>
      </c>
      <c r="D165" s="16" t="s">
        <v>499</v>
      </c>
      <c r="E165" s="16"/>
      <c r="F165" s="16" t="s">
        <v>3</v>
      </c>
      <c r="G165" s="18" t="s">
        <v>35</v>
      </c>
      <c r="H165" s="18"/>
    </row>
    <row r="166" spans="1:8" ht="19.5" customHeight="1">
      <c r="A166" s="11">
        <f t="shared" si="3"/>
        <v>163</v>
      </c>
      <c r="B166" s="12" t="s">
        <v>114</v>
      </c>
      <c r="C166" s="13" t="s">
        <v>500</v>
      </c>
      <c r="D166" s="12" t="s">
        <v>501</v>
      </c>
      <c r="E166" s="12"/>
      <c r="F166" s="12" t="s">
        <v>3</v>
      </c>
      <c r="G166" s="14" t="s">
        <v>35</v>
      </c>
      <c r="H166" s="14"/>
    </row>
    <row r="167" spans="1:8" ht="19.5" customHeight="1">
      <c r="A167" s="15">
        <f t="shared" si="3"/>
        <v>164</v>
      </c>
      <c r="B167" s="16"/>
      <c r="C167" s="17" t="s">
        <v>502</v>
      </c>
      <c r="D167" s="16"/>
      <c r="E167" s="16"/>
      <c r="F167" s="16" t="s">
        <v>3</v>
      </c>
      <c r="G167" s="18" t="s">
        <v>35</v>
      </c>
      <c r="H167" s="18"/>
    </row>
    <row r="168" spans="1:8" ht="19.5" customHeight="1">
      <c r="A168" s="11">
        <f t="shared" si="3"/>
        <v>165</v>
      </c>
      <c r="B168" s="12"/>
      <c r="C168" s="13" t="s">
        <v>503</v>
      </c>
      <c r="D168" s="12"/>
      <c r="E168" s="12"/>
      <c r="F168" s="12" t="s">
        <v>3</v>
      </c>
      <c r="G168" s="14" t="s">
        <v>35</v>
      </c>
      <c r="H168" s="14"/>
    </row>
    <row r="169" spans="1:8" ht="19.5" customHeight="1">
      <c r="A169" s="15">
        <f t="shared" si="3"/>
        <v>166</v>
      </c>
      <c r="B169" s="16"/>
      <c r="C169" s="17" t="s">
        <v>504</v>
      </c>
      <c r="D169" s="16" t="s">
        <v>505</v>
      </c>
      <c r="E169" s="16"/>
      <c r="F169" s="16" t="s">
        <v>3</v>
      </c>
      <c r="G169" s="18" t="s">
        <v>35</v>
      </c>
      <c r="H169" s="18"/>
    </row>
    <row r="170" spans="1:8" ht="19.5" customHeight="1">
      <c r="A170" s="11">
        <f t="shared" si="3"/>
        <v>167</v>
      </c>
      <c r="B170" s="12"/>
      <c r="C170" s="13" t="s">
        <v>506</v>
      </c>
      <c r="D170" s="12"/>
      <c r="E170" s="12"/>
      <c r="F170" s="12" t="s">
        <v>3</v>
      </c>
      <c r="G170" s="14" t="s">
        <v>35</v>
      </c>
      <c r="H170" s="14"/>
    </row>
    <row r="171" spans="1:8" ht="19.5" customHeight="1">
      <c r="A171" s="15">
        <f t="shared" si="3"/>
        <v>168</v>
      </c>
      <c r="B171" s="16"/>
      <c r="C171" s="17" t="s">
        <v>507</v>
      </c>
      <c r="D171" s="16"/>
      <c r="E171" s="16"/>
      <c r="F171" s="16" t="s">
        <v>3</v>
      </c>
      <c r="G171" s="18" t="s">
        <v>35</v>
      </c>
      <c r="H171" s="18"/>
    </row>
    <row r="172" spans="1:8" ht="19.5" customHeight="1">
      <c r="A172" s="11">
        <f t="shared" si="3"/>
        <v>169</v>
      </c>
      <c r="B172" s="12"/>
      <c r="C172" s="13" t="s">
        <v>508</v>
      </c>
      <c r="D172" s="12"/>
      <c r="E172" s="12"/>
      <c r="F172" s="12" t="s">
        <v>3</v>
      </c>
      <c r="G172" s="14" t="s">
        <v>35</v>
      </c>
      <c r="H172" s="14"/>
    </row>
    <row r="173" spans="1:8" ht="19.5" customHeight="1">
      <c r="A173" s="15">
        <f t="shared" si="3"/>
        <v>170</v>
      </c>
      <c r="B173" s="16"/>
      <c r="C173" s="17" t="s">
        <v>509</v>
      </c>
      <c r="D173" s="16"/>
      <c r="E173" s="16"/>
      <c r="F173" s="16" t="s">
        <v>3</v>
      </c>
      <c r="G173" s="18" t="s">
        <v>35</v>
      </c>
      <c r="H173" s="18"/>
    </row>
    <row r="174" spans="1:8" ht="19.5" customHeight="1">
      <c r="A174" s="11">
        <f t="shared" si="3"/>
        <v>171</v>
      </c>
      <c r="B174" s="12"/>
      <c r="C174" s="13" t="s">
        <v>510</v>
      </c>
      <c r="D174" s="12"/>
      <c r="E174" s="12"/>
      <c r="F174" s="12" t="s">
        <v>3</v>
      </c>
      <c r="G174" s="14" t="s">
        <v>35</v>
      </c>
      <c r="H174" s="14"/>
    </row>
    <row r="175" spans="1:8" ht="19.5" customHeight="1">
      <c r="A175" s="15">
        <f t="shared" si="3"/>
        <v>172</v>
      </c>
      <c r="B175" s="16"/>
      <c r="C175" s="17" t="s">
        <v>511</v>
      </c>
      <c r="D175" s="16"/>
      <c r="E175" s="16"/>
      <c r="F175" s="16" t="s">
        <v>3</v>
      </c>
      <c r="G175" s="18" t="s">
        <v>35</v>
      </c>
      <c r="H175" s="18"/>
    </row>
    <row r="176" spans="1:8" ht="19.5" customHeight="1">
      <c r="A176" s="11">
        <f t="shared" si="3"/>
        <v>173</v>
      </c>
      <c r="B176" s="12"/>
      <c r="C176" s="13" t="s">
        <v>512</v>
      </c>
      <c r="D176" s="12"/>
      <c r="E176" s="12"/>
      <c r="F176" s="12" t="s">
        <v>3</v>
      </c>
      <c r="G176" s="14" t="s">
        <v>35</v>
      </c>
      <c r="H176" s="14"/>
    </row>
    <row r="177" spans="1:8" ht="19.5" customHeight="1">
      <c r="A177" s="15">
        <f t="shared" si="3"/>
        <v>174</v>
      </c>
      <c r="B177" s="16"/>
      <c r="C177" s="17" t="s">
        <v>513</v>
      </c>
      <c r="D177" s="16"/>
      <c r="E177" s="16"/>
      <c r="F177" s="16" t="s">
        <v>3</v>
      </c>
      <c r="G177" s="18" t="s">
        <v>35</v>
      </c>
      <c r="H177" s="18"/>
    </row>
    <row r="178" spans="1:8" ht="19.5" customHeight="1">
      <c r="A178" s="11">
        <f t="shared" si="3"/>
        <v>175</v>
      </c>
      <c r="B178" s="12" t="s">
        <v>114</v>
      </c>
      <c r="C178" s="13" t="s">
        <v>514</v>
      </c>
      <c r="D178" s="12" t="s">
        <v>515</v>
      </c>
      <c r="E178" s="12"/>
      <c r="F178" s="12" t="s">
        <v>3</v>
      </c>
      <c r="G178" s="14" t="s">
        <v>35</v>
      </c>
      <c r="H178" s="14"/>
    </row>
    <row r="179" spans="1:8" ht="19.5" customHeight="1">
      <c r="A179" s="15">
        <f t="shared" si="3"/>
        <v>176</v>
      </c>
      <c r="B179" s="16" t="s">
        <v>114</v>
      </c>
      <c r="C179" s="17" t="s">
        <v>516</v>
      </c>
      <c r="D179" s="16" t="s">
        <v>517</v>
      </c>
      <c r="E179" s="16"/>
      <c r="F179" s="16" t="s">
        <v>3</v>
      </c>
      <c r="G179" s="18" t="s">
        <v>35</v>
      </c>
      <c r="H179" s="18"/>
    </row>
    <row r="180" spans="1:8" ht="19.5" customHeight="1">
      <c r="A180" s="11">
        <f t="shared" si="3"/>
        <v>177</v>
      </c>
      <c r="B180" s="12"/>
      <c r="C180" s="13" t="s">
        <v>518</v>
      </c>
      <c r="D180" s="12"/>
      <c r="E180" s="12"/>
      <c r="F180" s="12" t="s">
        <v>3</v>
      </c>
      <c r="G180" s="14" t="s">
        <v>35</v>
      </c>
      <c r="H180" s="14"/>
    </row>
    <row r="181" spans="1:8" ht="19.5" customHeight="1">
      <c r="A181" s="15">
        <f t="shared" si="3"/>
        <v>178</v>
      </c>
      <c r="B181" s="16" t="s">
        <v>114</v>
      </c>
      <c r="C181" s="17" t="s">
        <v>519</v>
      </c>
      <c r="D181" s="16"/>
      <c r="E181" s="16"/>
      <c r="F181" s="16" t="s">
        <v>3</v>
      </c>
      <c r="G181" s="18" t="s">
        <v>35</v>
      </c>
      <c r="H181" s="18"/>
    </row>
    <row r="182" spans="1:8" ht="19.5" customHeight="1">
      <c r="A182" s="11">
        <f t="shared" si="3"/>
        <v>179</v>
      </c>
      <c r="B182" s="12" t="s">
        <v>114</v>
      </c>
      <c r="C182" s="13" t="s">
        <v>520</v>
      </c>
      <c r="D182" s="12" t="s">
        <v>521</v>
      </c>
      <c r="E182" s="12"/>
      <c r="F182" s="12" t="s">
        <v>3</v>
      </c>
      <c r="G182" s="14" t="s">
        <v>35</v>
      </c>
      <c r="H182" s="14"/>
    </row>
    <row r="183" spans="1:8" ht="19.5" customHeight="1">
      <c r="A183" s="15">
        <f t="shared" si="3"/>
        <v>180</v>
      </c>
      <c r="B183" s="16" t="s">
        <v>114</v>
      </c>
      <c r="C183" s="17" t="s">
        <v>522</v>
      </c>
      <c r="D183" s="16" t="s">
        <v>523</v>
      </c>
      <c r="E183" s="16"/>
      <c r="F183" s="16" t="s">
        <v>3</v>
      </c>
      <c r="G183" s="18" t="s">
        <v>35</v>
      </c>
      <c r="H183" s="18"/>
    </row>
    <row r="184" spans="1:8" ht="19.5" customHeight="1">
      <c r="A184" s="11">
        <f t="shared" si="3"/>
        <v>181</v>
      </c>
      <c r="B184" s="12" t="s">
        <v>114</v>
      </c>
      <c r="C184" s="13" t="s">
        <v>524</v>
      </c>
      <c r="D184" s="12" t="s">
        <v>525</v>
      </c>
      <c r="E184" s="12"/>
      <c r="F184" s="12" t="s">
        <v>3</v>
      </c>
      <c r="G184" s="14" t="s">
        <v>35</v>
      </c>
      <c r="H184" s="14"/>
    </row>
    <row r="185" spans="1:8" ht="19.5" customHeight="1">
      <c r="A185" s="15">
        <f t="shared" si="3"/>
        <v>182</v>
      </c>
      <c r="B185" s="16" t="s">
        <v>114</v>
      </c>
      <c r="C185" s="17" t="s">
        <v>526</v>
      </c>
      <c r="D185" s="16" t="s">
        <v>527</v>
      </c>
      <c r="E185" s="16"/>
      <c r="F185" s="16" t="s">
        <v>3</v>
      </c>
      <c r="G185" s="18" t="s">
        <v>35</v>
      </c>
      <c r="H185" s="18"/>
    </row>
    <row r="186" spans="1:8" ht="19.5" customHeight="1">
      <c r="A186" s="11">
        <f t="shared" si="3"/>
        <v>183</v>
      </c>
      <c r="B186" s="12" t="s">
        <v>114</v>
      </c>
      <c r="C186" s="13" t="s">
        <v>528</v>
      </c>
      <c r="D186" s="12" t="s">
        <v>529</v>
      </c>
      <c r="E186" s="12"/>
      <c r="F186" s="12" t="s">
        <v>3</v>
      </c>
      <c r="G186" s="14" t="s">
        <v>35</v>
      </c>
      <c r="H186" s="14"/>
    </row>
    <row r="187" spans="1:8" ht="19.5" customHeight="1">
      <c r="A187" s="15">
        <f t="shared" si="3"/>
        <v>184</v>
      </c>
      <c r="B187" s="16" t="s">
        <v>114</v>
      </c>
      <c r="C187" s="17" t="s">
        <v>530</v>
      </c>
      <c r="D187" s="16" t="s">
        <v>531</v>
      </c>
      <c r="E187" s="16"/>
      <c r="F187" s="16" t="s">
        <v>3</v>
      </c>
      <c r="G187" s="18" t="s">
        <v>35</v>
      </c>
      <c r="H187" s="18"/>
    </row>
    <row r="188" spans="1:8" ht="19.5" customHeight="1">
      <c r="A188" s="11">
        <f t="shared" si="3"/>
        <v>185</v>
      </c>
      <c r="B188" s="12" t="s">
        <v>114</v>
      </c>
      <c r="C188" s="13" t="s">
        <v>532</v>
      </c>
      <c r="D188" s="12" t="s">
        <v>533</v>
      </c>
      <c r="E188" s="12"/>
      <c r="F188" s="12" t="s">
        <v>3</v>
      </c>
      <c r="G188" s="14" t="s">
        <v>35</v>
      </c>
      <c r="H188" s="14"/>
    </row>
    <row r="189" spans="1:8" ht="19.5" customHeight="1">
      <c r="A189" s="15">
        <f t="shared" si="3"/>
        <v>186</v>
      </c>
      <c r="B189" s="16" t="s">
        <v>114</v>
      </c>
      <c r="C189" s="17" t="s">
        <v>534</v>
      </c>
      <c r="D189" s="16" t="s">
        <v>535</v>
      </c>
      <c r="E189" s="16"/>
      <c r="F189" s="16" t="s">
        <v>3</v>
      </c>
      <c r="G189" s="18" t="s">
        <v>35</v>
      </c>
      <c r="H189" s="18"/>
    </row>
    <row r="190" spans="1:8" ht="19.5" customHeight="1">
      <c r="A190" s="11">
        <f t="shared" si="3"/>
        <v>187</v>
      </c>
      <c r="B190" s="12" t="s">
        <v>114</v>
      </c>
      <c r="C190" s="13" t="s">
        <v>536</v>
      </c>
      <c r="D190" s="12" t="s">
        <v>537</v>
      </c>
      <c r="E190" s="12"/>
      <c r="F190" s="12" t="s">
        <v>3</v>
      </c>
      <c r="G190" s="14" t="s">
        <v>35</v>
      </c>
      <c r="H190" s="14"/>
    </row>
    <row r="191" spans="1:8" ht="19.5" customHeight="1">
      <c r="A191" s="15">
        <f t="shared" si="3"/>
        <v>188</v>
      </c>
      <c r="B191" s="16" t="s">
        <v>114</v>
      </c>
      <c r="C191" s="17" t="s">
        <v>538</v>
      </c>
      <c r="D191" s="16" t="s">
        <v>539</v>
      </c>
      <c r="E191" s="16"/>
      <c r="F191" s="16" t="s">
        <v>3</v>
      </c>
      <c r="G191" s="18" t="s">
        <v>35</v>
      </c>
      <c r="H191" s="18"/>
    </row>
    <row r="192" spans="1:8" ht="19.5" customHeight="1">
      <c r="A192" s="11">
        <f t="shared" si="3"/>
        <v>189</v>
      </c>
      <c r="B192" s="12" t="s">
        <v>114</v>
      </c>
      <c r="C192" s="13" t="s">
        <v>540</v>
      </c>
      <c r="D192" s="12" t="s">
        <v>541</v>
      </c>
      <c r="E192" s="12"/>
      <c r="F192" s="12" t="s">
        <v>3</v>
      </c>
      <c r="G192" s="14" t="s">
        <v>35</v>
      </c>
      <c r="H192" s="14"/>
    </row>
    <row r="193" spans="1:8" ht="19.5" customHeight="1">
      <c r="A193" s="15">
        <f t="shared" si="3"/>
        <v>190</v>
      </c>
      <c r="B193" s="16" t="s">
        <v>114</v>
      </c>
      <c r="C193" s="17" t="s">
        <v>542</v>
      </c>
      <c r="D193" s="16" t="s">
        <v>543</v>
      </c>
      <c r="E193" s="16"/>
      <c r="F193" s="16" t="s">
        <v>3</v>
      </c>
      <c r="G193" s="18" t="s">
        <v>35</v>
      </c>
      <c r="H193" s="18"/>
    </row>
    <row r="194" spans="1:8" ht="19.5" customHeight="1">
      <c r="A194" s="11">
        <f t="shared" si="3"/>
        <v>191</v>
      </c>
      <c r="B194" s="12" t="s">
        <v>114</v>
      </c>
      <c r="C194" s="13" t="s">
        <v>544</v>
      </c>
      <c r="D194" s="12" t="s">
        <v>545</v>
      </c>
      <c r="E194" s="12"/>
      <c r="F194" s="12" t="s">
        <v>3</v>
      </c>
      <c r="G194" s="14" t="s">
        <v>35</v>
      </c>
      <c r="H194" s="14"/>
    </row>
    <row r="195" spans="1:8" ht="19.5" customHeight="1">
      <c r="A195" s="15">
        <f t="shared" si="3"/>
        <v>192</v>
      </c>
      <c r="B195" s="16" t="s">
        <v>114</v>
      </c>
      <c r="C195" s="17" t="s">
        <v>546</v>
      </c>
      <c r="D195" s="16" t="s">
        <v>547</v>
      </c>
      <c r="E195" s="16"/>
      <c r="F195" s="16" t="s">
        <v>3</v>
      </c>
      <c r="G195" s="18" t="s">
        <v>35</v>
      </c>
      <c r="H195" s="18"/>
    </row>
    <row r="196" spans="1:8" ht="19.5" customHeight="1">
      <c r="A196" s="11">
        <f t="shared" si="3"/>
        <v>193</v>
      </c>
      <c r="B196" s="12" t="s">
        <v>114</v>
      </c>
      <c r="C196" s="13" t="s">
        <v>548</v>
      </c>
      <c r="D196" s="12" t="s">
        <v>549</v>
      </c>
      <c r="E196" s="12"/>
      <c r="F196" s="12" t="s">
        <v>3</v>
      </c>
      <c r="G196" s="14" t="s">
        <v>35</v>
      </c>
      <c r="H196" s="14"/>
    </row>
    <row r="197" spans="1:8" ht="19.5" customHeight="1">
      <c r="A197" s="15">
        <f t="shared" si="3"/>
        <v>194</v>
      </c>
      <c r="B197" s="16" t="s">
        <v>114</v>
      </c>
      <c r="C197" s="17" t="s">
        <v>550</v>
      </c>
      <c r="D197" s="16" t="s">
        <v>551</v>
      </c>
      <c r="E197" s="16"/>
      <c r="F197" s="16" t="s">
        <v>3</v>
      </c>
      <c r="G197" s="18" t="s">
        <v>35</v>
      </c>
      <c r="H197" s="18"/>
    </row>
    <row r="198" spans="1:8" ht="19.5" customHeight="1">
      <c r="A198" s="11">
        <f t="shared" si="3"/>
        <v>195</v>
      </c>
      <c r="B198" s="12" t="s">
        <v>114</v>
      </c>
      <c r="C198" s="13" t="s">
        <v>552</v>
      </c>
      <c r="D198" s="12" t="s">
        <v>553</v>
      </c>
      <c r="E198" s="12"/>
      <c r="F198" s="12" t="s">
        <v>3</v>
      </c>
      <c r="G198" s="14" t="s">
        <v>35</v>
      </c>
      <c r="H198" s="14"/>
    </row>
    <row r="199" spans="1:8" ht="19.5" customHeight="1">
      <c r="A199" s="15">
        <f t="shared" si="3"/>
        <v>196</v>
      </c>
      <c r="B199" s="16" t="s">
        <v>114</v>
      </c>
      <c r="C199" s="17" t="s">
        <v>554</v>
      </c>
      <c r="D199" s="16" t="s">
        <v>555</v>
      </c>
      <c r="E199" s="16"/>
      <c r="F199" s="16" t="s">
        <v>3</v>
      </c>
      <c r="G199" s="18" t="s">
        <v>35</v>
      </c>
      <c r="H199" s="18"/>
    </row>
    <row r="200" spans="1:8" ht="19.5" customHeight="1">
      <c r="A200" s="11">
        <f t="shared" si="3"/>
        <v>197</v>
      </c>
      <c r="B200" s="12" t="s">
        <v>114</v>
      </c>
      <c r="C200" s="13" t="s">
        <v>556</v>
      </c>
      <c r="D200" s="12" t="s">
        <v>557</v>
      </c>
      <c r="E200" s="12"/>
      <c r="F200" s="12" t="s">
        <v>3</v>
      </c>
      <c r="G200" s="14" t="s">
        <v>35</v>
      </c>
      <c r="H200" s="14"/>
    </row>
    <row r="201" spans="1:8" ht="19.5" customHeight="1">
      <c r="A201" s="15">
        <f t="shared" si="3"/>
        <v>198</v>
      </c>
      <c r="B201" s="16" t="s">
        <v>114</v>
      </c>
      <c r="C201" s="17" t="s">
        <v>558</v>
      </c>
      <c r="D201" s="16" t="s">
        <v>559</v>
      </c>
      <c r="E201" s="16"/>
      <c r="F201" s="16" t="s">
        <v>3</v>
      </c>
      <c r="G201" s="18" t="s">
        <v>35</v>
      </c>
      <c r="H201" s="18"/>
    </row>
    <row r="202" spans="1:8" ht="19.5" customHeight="1">
      <c r="A202" s="11">
        <f t="shared" si="3"/>
        <v>199</v>
      </c>
      <c r="B202" s="12" t="s">
        <v>114</v>
      </c>
      <c r="C202" s="13" t="s">
        <v>560</v>
      </c>
      <c r="D202" s="12" t="s">
        <v>561</v>
      </c>
      <c r="E202" s="12"/>
      <c r="F202" s="12" t="s">
        <v>3</v>
      </c>
      <c r="G202" s="14" t="s">
        <v>35</v>
      </c>
      <c r="H202" s="14"/>
    </row>
    <row r="203" spans="1:8" ht="19.5" customHeight="1">
      <c r="A203" s="15">
        <f t="shared" si="3"/>
        <v>200</v>
      </c>
      <c r="B203" s="16" t="s">
        <v>114</v>
      </c>
      <c r="C203" s="17" t="s">
        <v>562</v>
      </c>
      <c r="D203" s="16" t="s">
        <v>563</v>
      </c>
      <c r="E203" s="16"/>
      <c r="F203" s="16" t="s">
        <v>3</v>
      </c>
      <c r="G203" s="18" t="s">
        <v>55</v>
      </c>
      <c r="H203" s="18"/>
    </row>
    <row r="204" spans="1:8" ht="19.5" customHeight="1">
      <c r="A204" s="11">
        <f t="shared" si="3"/>
        <v>201</v>
      </c>
      <c r="B204" s="12" t="s">
        <v>114</v>
      </c>
      <c r="C204" s="13" t="s">
        <v>564</v>
      </c>
      <c r="D204" s="12" t="s">
        <v>565</v>
      </c>
      <c r="E204" s="12" t="s">
        <v>340</v>
      </c>
      <c r="F204" s="12" t="s">
        <v>3</v>
      </c>
      <c r="G204" s="14" t="s">
        <v>47</v>
      </c>
      <c r="H204" s="14"/>
    </row>
    <row r="205" spans="1:8" ht="19.5" customHeight="1">
      <c r="A205" s="15">
        <f t="shared" si="3"/>
        <v>202</v>
      </c>
      <c r="B205" s="16" t="s">
        <v>114</v>
      </c>
      <c r="C205" s="17" t="s">
        <v>566</v>
      </c>
      <c r="D205" s="16" t="s">
        <v>567</v>
      </c>
      <c r="E205" s="16"/>
      <c r="F205" s="16" t="s">
        <v>3</v>
      </c>
      <c r="G205" s="18" t="s">
        <v>7</v>
      </c>
      <c r="H205" s="18"/>
    </row>
    <row r="206" spans="1:8" ht="19.5" customHeight="1">
      <c r="A206" s="11">
        <f t="shared" si="3"/>
        <v>203</v>
      </c>
      <c r="B206" s="12" t="s">
        <v>114</v>
      </c>
      <c r="C206" s="13" t="s">
        <v>568</v>
      </c>
      <c r="D206" s="12" t="s">
        <v>569</v>
      </c>
      <c r="E206" s="12" t="s">
        <v>570</v>
      </c>
      <c r="F206" s="12" t="s">
        <v>3</v>
      </c>
      <c r="G206" s="14" t="s">
        <v>7</v>
      </c>
      <c r="H206" s="14"/>
    </row>
    <row r="207" spans="1:8" ht="19.5" customHeight="1">
      <c r="A207" s="15">
        <f t="shared" si="3"/>
        <v>204</v>
      </c>
      <c r="B207" s="16" t="s">
        <v>114</v>
      </c>
      <c r="C207" s="17" t="s">
        <v>571</v>
      </c>
      <c r="D207" s="16" t="s">
        <v>572</v>
      </c>
      <c r="E207" s="16"/>
      <c r="F207" s="16" t="s">
        <v>3</v>
      </c>
      <c r="G207" s="18" t="s">
        <v>7</v>
      </c>
      <c r="H207" s="18"/>
    </row>
    <row r="208" spans="1:8" ht="19.5" customHeight="1">
      <c r="A208" s="11">
        <f t="shared" si="3"/>
        <v>205</v>
      </c>
      <c r="B208" s="12"/>
      <c r="C208" s="22" t="s">
        <v>573</v>
      </c>
      <c r="D208" s="12"/>
      <c r="E208" s="12"/>
      <c r="F208" s="12" t="s">
        <v>3</v>
      </c>
      <c r="G208" s="11" t="s">
        <v>574</v>
      </c>
      <c r="H208" s="11"/>
    </row>
    <row r="209" spans="1:8" ht="19.5" customHeight="1">
      <c r="A209" s="15">
        <f t="shared" si="3"/>
        <v>206</v>
      </c>
      <c r="B209" s="16"/>
      <c r="C209" s="26" t="s">
        <v>575</v>
      </c>
      <c r="D209" s="16"/>
      <c r="E209" s="16"/>
      <c r="F209" s="16" t="s">
        <v>3</v>
      </c>
      <c r="G209" s="18" t="s">
        <v>7</v>
      </c>
      <c r="H209" s="18"/>
    </row>
    <row r="210" spans="1:8" ht="19.5" customHeight="1">
      <c r="A210" s="11">
        <f t="shared" si="3"/>
        <v>207</v>
      </c>
      <c r="B210" s="12"/>
      <c r="C210" s="22" t="s">
        <v>576</v>
      </c>
      <c r="D210" s="12"/>
      <c r="E210" s="12"/>
      <c r="F210" s="12" t="s">
        <v>3</v>
      </c>
      <c r="G210" s="14" t="s">
        <v>7</v>
      </c>
      <c r="H210" s="14"/>
    </row>
    <row r="211" spans="1:8" ht="19.5" customHeight="1">
      <c r="A211" s="15">
        <f t="shared" si="3"/>
        <v>208</v>
      </c>
      <c r="B211" s="16"/>
      <c r="C211" s="26" t="s">
        <v>577</v>
      </c>
      <c r="D211" s="16"/>
      <c r="E211" s="16"/>
      <c r="F211" s="16" t="s">
        <v>3</v>
      </c>
      <c r="G211" s="18" t="s">
        <v>7</v>
      </c>
      <c r="H211" s="18"/>
    </row>
    <row r="212" spans="1:8" ht="19.5" customHeight="1">
      <c r="A212" s="11">
        <f t="shared" si="3"/>
        <v>209</v>
      </c>
      <c r="B212" s="12"/>
      <c r="C212" s="22" t="s">
        <v>578</v>
      </c>
      <c r="D212" s="12"/>
      <c r="E212" s="12"/>
      <c r="F212" s="12" t="s">
        <v>3</v>
      </c>
      <c r="G212" s="14" t="s">
        <v>7</v>
      </c>
      <c r="H212" s="14"/>
    </row>
    <row r="213" spans="1:8" ht="19.5" customHeight="1">
      <c r="A213" s="15">
        <f t="shared" si="3"/>
        <v>210</v>
      </c>
      <c r="B213" s="16"/>
      <c r="C213" s="26" t="s">
        <v>579</v>
      </c>
      <c r="D213" s="16"/>
      <c r="E213" s="16"/>
      <c r="F213" s="16" t="s">
        <v>3</v>
      </c>
      <c r="G213" s="18" t="s">
        <v>7</v>
      </c>
      <c r="H213" s="18"/>
    </row>
    <row r="214" spans="1:8" ht="19.5" customHeight="1">
      <c r="A214" s="11">
        <f t="shared" si="3"/>
        <v>211</v>
      </c>
      <c r="B214" s="12"/>
      <c r="C214" s="22" t="s">
        <v>580</v>
      </c>
      <c r="D214" s="12"/>
      <c r="E214" s="12"/>
      <c r="F214" s="12" t="s">
        <v>3</v>
      </c>
      <c r="G214" s="14" t="s">
        <v>7</v>
      </c>
      <c r="H214" s="14"/>
    </row>
    <row r="215" spans="1:8" ht="19.5" customHeight="1">
      <c r="A215" s="15">
        <f t="shared" si="3"/>
        <v>212</v>
      </c>
      <c r="B215" s="16"/>
      <c r="C215" s="26" t="s">
        <v>581</v>
      </c>
      <c r="D215" s="16"/>
      <c r="E215" s="16"/>
      <c r="F215" s="16" t="s">
        <v>3</v>
      </c>
      <c r="G215" s="18" t="s">
        <v>7</v>
      </c>
      <c r="H215" s="18"/>
    </row>
    <row r="216" spans="1:8" ht="19.5" customHeight="1">
      <c r="A216" s="11">
        <f t="shared" si="3"/>
        <v>213</v>
      </c>
      <c r="B216" s="12"/>
      <c r="C216" s="22" t="s">
        <v>582</v>
      </c>
      <c r="D216" s="12"/>
      <c r="E216" s="12"/>
      <c r="F216" s="12" t="s">
        <v>8</v>
      </c>
      <c r="G216" s="14" t="s">
        <v>7</v>
      </c>
      <c r="H216" s="14"/>
    </row>
    <row r="217" spans="1:8" ht="19.5" customHeight="1">
      <c r="A217" s="15">
        <f t="shared" si="3"/>
        <v>214</v>
      </c>
      <c r="B217" s="16"/>
      <c r="C217" s="26" t="s">
        <v>583</v>
      </c>
      <c r="D217" s="16"/>
      <c r="E217" s="16"/>
      <c r="F217" s="16" t="s">
        <v>8</v>
      </c>
      <c r="G217" s="18" t="s">
        <v>7</v>
      </c>
      <c r="H217" s="18"/>
    </row>
    <row r="218" spans="1:8" ht="19.5" customHeight="1">
      <c r="A218" s="12">
        <f t="shared" si="3"/>
        <v>215</v>
      </c>
      <c r="B218" s="12"/>
      <c r="C218" s="13" t="s">
        <v>584</v>
      </c>
      <c r="D218" s="12"/>
      <c r="E218" s="12"/>
      <c r="F218" s="12" t="s">
        <v>8</v>
      </c>
      <c r="G218" s="12" t="s">
        <v>25</v>
      </c>
      <c r="H218" s="12"/>
    </row>
    <row r="219" spans="1:8" ht="19.5" customHeight="1">
      <c r="A219" s="16">
        <f t="shared" si="3"/>
        <v>216</v>
      </c>
      <c r="B219" s="16" t="s">
        <v>114</v>
      </c>
      <c r="C219" s="17" t="s">
        <v>585</v>
      </c>
      <c r="D219" s="16" t="s">
        <v>586</v>
      </c>
      <c r="E219" s="16"/>
      <c r="F219" s="16" t="s">
        <v>8</v>
      </c>
      <c r="G219" s="16" t="s">
        <v>25</v>
      </c>
      <c r="H219" s="16"/>
    </row>
    <row r="220" spans="1:8" ht="19.5" customHeight="1">
      <c r="A220" s="12">
        <f t="shared" si="3"/>
        <v>217</v>
      </c>
      <c r="B220" s="12"/>
      <c r="C220" s="13" t="s">
        <v>587</v>
      </c>
      <c r="D220" s="12" t="s">
        <v>588</v>
      </c>
      <c r="E220" s="12"/>
      <c r="F220" s="12" t="s">
        <v>8</v>
      </c>
      <c r="G220" s="12" t="s">
        <v>25</v>
      </c>
      <c r="H220" s="12"/>
    </row>
    <row r="221" spans="1:8" ht="19.5" customHeight="1">
      <c r="A221" s="16">
        <f t="shared" si="3"/>
        <v>218</v>
      </c>
      <c r="B221" s="16" t="s">
        <v>114</v>
      </c>
      <c r="C221" s="17" t="s">
        <v>589</v>
      </c>
      <c r="D221" s="16" t="s">
        <v>590</v>
      </c>
      <c r="E221" s="16"/>
      <c r="F221" s="16" t="s">
        <v>8</v>
      </c>
      <c r="G221" s="16" t="s">
        <v>25</v>
      </c>
      <c r="H221" s="16"/>
    </row>
    <row r="222" spans="1:8" ht="19.5" customHeight="1">
      <c r="A222" s="12">
        <f t="shared" si="3"/>
        <v>219</v>
      </c>
      <c r="B222" s="12"/>
      <c r="C222" s="13" t="s">
        <v>591</v>
      </c>
      <c r="D222" s="12" t="s">
        <v>592</v>
      </c>
      <c r="E222" s="12"/>
      <c r="F222" s="12" t="s">
        <v>8</v>
      </c>
      <c r="G222" s="12" t="s">
        <v>25</v>
      </c>
      <c r="H222" s="12"/>
    </row>
    <row r="223" spans="1:8" ht="19.5" customHeight="1">
      <c r="A223" s="16">
        <f t="shared" si="3"/>
        <v>220</v>
      </c>
      <c r="B223" s="16"/>
      <c r="C223" s="17" t="s">
        <v>593</v>
      </c>
      <c r="D223" s="16" t="s">
        <v>594</v>
      </c>
      <c r="E223" s="16"/>
      <c r="F223" s="16" t="s">
        <v>8</v>
      </c>
      <c r="G223" s="16" t="s">
        <v>25</v>
      </c>
      <c r="H223" s="16"/>
    </row>
    <row r="224" spans="1:8" ht="19.5" customHeight="1">
      <c r="A224" s="12">
        <f t="shared" si="3"/>
        <v>221</v>
      </c>
      <c r="B224" s="12" t="s">
        <v>114</v>
      </c>
      <c r="C224" s="13" t="s">
        <v>595</v>
      </c>
      <c r="D224" s="12" t="s">
        <v>596</v>
      </c>
      <c r="E224" s="12"/>
      <c r="F224" s="12" t="s">
        <v>8</v>
      </c>
      <c r="G224" s="12" t="s">
        <v>25</v>
      </c>
      <c r="H224" s="12"/>
    </row>
    <row r="225" spans="1:8" ht="19.5" customHeight="1">
      <c r="A225" s="15">
        <f t="shared" si="3"/>
        <v>222</v>
      </c>
      <c r="B225" s="16"/>
      <c r="C225" s="17" t="s">
        <v>597</v>
      </c>
      <c r="D225" s="16" t="s">
        <v>598</v>
      </c>
      <c r="E225" s="16"/>
      <c r="F225" s="16" t="s">
        <v>8</v>
      </c>
      <c r="G225" s="18" t="s">
        <v>25</v>
      </c>
      <c r="H225" s="18"/>
    </row>
    <row r="226" spans="1:8" ht="19.5" customHeight="1">
      <c r="A226" s="11">
        <f t="shared" si="3"/>
        <v>223</v>
      </c>
      <c r="B226" s="12"/>
      <c r="C226" s="13" t="s">
        <v>599</v>
      </c>
      <c r="D226" s="12" t="s">
        <v>600</v>
      </c>
      <c r="E226" s="12"/>
      <c r="F226" s="12" t="s">
        <v>8</v>
      </c>
      <c r="G226" s="14" t="s">
        <v>25</v>
      </c>
      <c r="H226" s="14"/>
    </row>
    <row r="227" spans="1:8" ht="19.5" customHeight="1">
      <c r="A227" s="15">
        <f t="shared" si="3"/>
        <v>224</v>
      </c>
      <c r="B227" s="16"/>
      <c r="C227" s="17" t="s">
        <v>601</v>
      </c>
      <c r="D227" s="16" t="s">
        <v>602</v>
      </c>
      <c r="E227" s="16"/>
      <c r="F227" s="16" t="s">
        <v>8</v>
      </c>
      <c r="G227" s="18" t="s">
        <v>25</v>
      </c>
      <c r="H227" s="18"/>
    </row>
    <row r="228" spans="1:8" ht="19.5" customHeight="1">
      <c r="A228" s="11">
        <f t="shared" si="3"/>
        <v>225</v>
      </c>
      <c r="B228" s="12"/>
      <c r="C228" s="13" t="s">
        <v>603</v>
      </c>
      <c r="D228" s="12" t="s">
        <v>604</v>
      </c>
      <c r="E228" s="12"/>
      <c r="F228" s="12" t="s">
        <v>8</v>
      </c>
      <c r="G228" s="14" t="s">
        <v>25</v>
      </c>
      <c r="H228" s="14"/>
    </row>
    <row r="229" spans="1:8" ht="19.5" customHeight="1">
      <c r="A229" s="15">
        <f t="shared" si="3"/>
        <v>226</v>
      </c>
      <c r="B229" s="16"/>
      <c r="C229" s="17" t="s">
        <v>605</v>
      </c>
      <c r="D229" s="16" t="s">
        <v>606</v>
      </c>
      <c r="E229" s="16"/>
      <c r="F229" s="16" t="s">
        <v>8</v>
      </c>
      <c r="G229" s="18" t="s">
        <v>25</v>
      </c>
      <c r="H229" s="18"/>
    </row>
    <row r="230" spans="1:8" ht="19.5" customHeight="1">
      <c r="A230" s="11">
        <f t="shared" si="3"/>
        <v>227</v>
      </c>
      <c r="B230" s="32"/>
      <c r="C230" s="33" t="s">
        <v>607</v>
      </c>
      <c r="D230" s="12" t="s">
        <v>608</v>
      </c>
      <c r="E230" s="32"/>
      <c r="F230" s="12" t="s">
        <v>8</v>
      </c>
      <c r="G230" s="14" t="s">
        <v>25</v>
      </c>
      <c r="H230" s="14"/>
    </row>
    <row r="231" spans="1:8" ht="19.5" customHeight="1">
      <c r="A231" s="15">
        <f t="shared" si="3"/>
        <v>228</v>
      </c>
      <c r="B231" s="16"/>
      <c r="C231" s="17" t="s">
        <v>609</v>
      </c>
      <c r="D231" s="16" t="s">
        <v>610</v>
      </c>
      <c r="E231" s="16"/>
      <c r="F231" s="16" t="s">
        <v>8</v>
      </c>
      <c r="G231" s="18" t="s">
        <v>25</v>
      </c>
      <c r="H231" s="18"/>
    </row>
    <row r="232" spans="1:8" ht="19.5" customHeight="1">
      <c r="A232" s="11">
        <f t="shared" si="3"/>
        <v>229</v>
      </c>
      <c r="B232" s="12"/>
      <c r="C232" s="13" t="s">
        <v>611</v>
      </c>
      <c r="D232" s="12" t="s">
        <v>612</v>
      </c>
      <c r="E232" s="12"/>
      <c r="F232" s="12" t="s">
        <v>8</v>
      </c>
      <c r="G232" s="14" t="s">
        <v>25</v>
      </c>
      <c r="H232" s="14"/>
    </row>
    <row r="233" spans="1:8" ht="19.5" customHeight="1">
      <c r="A233" s="15">
        <f t="shared" si="3"/>
        <v>230</v>
      </c>
      <c r="B233" s="16"/>
      <c r="C233" s="17" t="s">
        <v>613</v>
      </c>
      <c r="D233" s="16" t="s">
        <v>614</v>
      </c>
      <c r="E233" s="16"/>
      <c r="F233" s="16" t="s">
        <v>8</v>
      </c>
      <c r="G233" s="18" t="s">
        <v>25</v>
      </c>
      <c r="H233" s="18"/>
    </row>
    <row r="234" spans="1:8" ht="19.5" customHeight="1">
      <c r="A234" s="11">
        <f t="shared" si="3"/>
        <v>231</v>
      </c>
      <c r="B234" s="12"/>
      <c r="C234" s="13" t="s">
        <v>615</v>
      </c>
      <c r="D234" s="12" t="s">
        <v>616</v>
      </c>
      <c r="E234" s="12"/>
      <c r="F234" s="12" t="s">
        <v>8</v>
      </c>
      <c r="G234" s="14" t="s">
        <v>25</v>
      </c>
      <c r="H234" s="14"/>
    </row>
    <row r="235" spans="1:8" ht="19.5" customHeight="1">
      <c r="A235" s="15">
        <f t="shared" si="3"/>
        <v>232</v>
      </c>
      <c r="B235" s="16"/>
      <c r="C235" s="17" t="s">
        <v>617</v>
      </c>
      <c r="D235" s="16" t="s">
        <v>618</v>
      </c>
      <c r="E235" s="16"/>
      <c r="F235" s="16" t="s">
        <v>8</v>
      </c>
      <c r="G235" s="18" t="s">
        <v>25</v>
      </c>
      <c r="H235" s="18"/>
    </row>
    <row r="236" spans="1:8" ht="19.5" customHeight="1">
      <c r="A236" s="11">
        <f t="shared" si="3"/>
        <v>233</v>
      </c>
      <c r="B236" s="12"/>
      <c r="C236" s="13" t="s">
        <v>619</v>
      </c>
      <c r="D236" s="12" t="s">
        <v>620</v>
      </c>
      <c r="E236" s="12"/>
      <c r="F236" s="12" t="s">
        <v>8</v>
      </c>
      <c r="G236" s="14" t="s">
        <v>25</v>
      </c>
      <c r="H236" s="14"/>
    </row>
    <row r="237" spans="1:8" ht="19.5" customHeight="1">
      <c r="A237" s="15">
        <f t="shared" si="3"/>
        <v>234</v>
      </c>
      <c r="B237" s="16"/>
      <c r="C237" s="17" t="s">
        <v>621</v>
      </c>
      <c r="D237" s="16" t="s">
        <v>622</v>
      </c>
      <c r="E237" s="16"/>
      <c r="F237" s="16" t="s">
        <v>8</v>
      </c>
      <c r="G237" s="18" t="s">
        <v>25</v>
      </c>
      <c r="H237" s="18"/>
    </row>
    <row r="238" spans="1:8" ht="19.5" customHeight="1">
      <c r="A238" s="11">
        <f t="shared" si="3"/>
        <v>235</v>
      </c>
      <c r="B238" s="12"/>
      <c r="C238" s="13" t="s">
        <v>623</v>
      </c>
      <c r="D238" s="12" t="s">
        <v>624</v>
      </c>
      <c r="E238" s="12"/>
      <c r="F238" s="12" t="s">
        <v>8</v>
      </c>
      <c r="G238" s="14" t="s">
        <v>25</v>
      </c>
      <c r="H238" s="14"/>
    </row>
    <row r="239" spans="1:8" ht="19.5" customHeight="1">
      <c r="A239" s="15">
        <f t="shared" si="3"/>
        <v>236</v>
      </c>
      <c r="B239" s="16"/>
      <c r="C239" s="17" t="s">
        <v>625</v>
      </c>
      <c r="D239" s="16" t="s">
        <v>626</v>
      </c>
      <c r="E239" s="16"/>
      <c r="F239" s="16" t="s">
        <v>8</v>
      </c>
      <c r="G239" s="18" t="s">
        <v>25</v>
      </c>
      <c r="H239" s="18"/>
    </row>
    <row r="240" spans="1:8" ht="19.5" customHeight="1">
      <c r="A240" s="11">
        <f t="shared" si="3"/>
        <v>237</v>
      </c>
      <c r="B240" s="12"/>
      <c r="C240" s="13" t="s">
        <v>627</v>
      </c>
      <c r="D240" s="12" t="s">
        <v>628</v>
      </c>
      <c r="E240" s="12"/>
      <c r="F240" s="12" t="s">
        <v>8</v>
      </c>
      <c r="G240" s="14" t="s">
        <v>25</v>
      </c>
      <c r="H240" s="14"/>
    </row>
    <row r="241" spans="1:8" ht="19.5" customHeight="1">
      <c r="A241" s="15">
        <f t="shared" si="3"/>
        <v>238</v>
      </c>
      <c r="B241" s="16"/>
      <c r="C241" s="17" t="s">
        <v>629</v>
      </c>
      <c r="D241" s="16" t="s">
        <v>630</v>
      </c>
      <c r="E241" s="16"/>
      <c r="F241" s="16" t="s">
        <v>8</v>
      </c>
      <c r="G241" s="18" t="s">
        <v>25</v>
      </c>
      <c r="H241" s="18"/>
    </row>
    <row r="242" spans="1:8" ht="19.5" customHeight="1">
      <c r="A242" s="11">
        <f t="shared" si="3"/>
        <v>239</v>
      </c>
      <c r="B242" s="12"/>
      <c r="C242" s="13" t="s">
        <v>631</v>
      </c>
      <c r="D242" s="12" t="s">
        <v>632</v>
      </c>
      <c r="E242" s="12"/>
      <c r="F242" s="12" t="s">
        <v>8</v>
      </c>
      <c r="G242" s="14" t="s">
        <v>25</v>
      </c>
      <c r="H242" s="14"/>
    </row>
    <row r="243" spans="1:8" ht="19.5" customHeight="1">
      <c r="A243" s="15">
        <f t="shared" si="3"/>
        <v>240</v>
      </c>
      <c r="B243" s="16" t="s">
        <v>114</v>
      </c>
      <c r="C243" s="17" t="s">
        <v>633</v>
      </c>
      <c r="D243" s="16" t="s">
        <v>634</v>
      </c>
      <c r="E243" s="16"/>
      <c r="F243" s="16" t="s">
        <v>3</v>
      </c>
      <c r="G243" s="18" t="s">
        <v>34</v>
      </c>
      <c r="H243" s="18"/>
    </row>
    <row r="244" spans="1:8" ht="19.5" customHeight="1">
      <c r="A244" s="11">
        <f t="shared" si="3"/>
        <v>241</v>
      </c>
      <c r="B244" s="12" t="s">
        <v>114</v>
      </c>
      <c r="C244" s="13" t="s">
        <v>635</v>
      </c>
      <c r="D244" s="12" t="s">
        <v>636</v>
      </c>
      <c r="E244" s="12" t="s">
        <v>637</v>
      </c>
      <c r="F244" s="12" t="s">
        <v>3</v>
      </c>
      <c r="G244" s="14" t="s">
        <v>55</v>
      </c>
      <c r="H244" s="14"/>
    </row>
    <row r="245" spans="1:8" ht="19.5" customHeight="1">
      <c r="A245" s="15">
        <f t="shared" si="3"/>
        <v>242</v>
      </c>
      <c r="B245" s="16"/>
      <c r="C245" s="17" t="s">
        <v>638</v>
      </c>
      <c r="D245" s="16"/>
      <c r="E245" s="16"/>
      <c r="F245" s="16" t="s">
        <v>3</v>
      </c>
      <c r="G245" s="18" t="s">
        <v>4</v>
      </c>
      <c r="H245" s="18"/>
    </row>
    <row r="246" spans="1:8" ht="19.5" customHeight="1">
      <c r="A246" s="11">
        <f t="shared" si="3"/>
        <v>243</v>
      </c>
      <c r="B246" s="12"/>
      <c r="C246" s="13" t="s">
        <v>639</v>
      </c>
      <c r="D246" s="12" t="s">
        <v>640</v>
      </c>
      <c r="E246" s="12"/>
      <c r="F246" s="12" t="s">
        <v>3</v>
      </c>
      <c r="G246" s="14" t="s">
        <v>4</v>
      </c>
      <c r="H246" s="14"/>
    </row>
    <row r="247" spans="1:8" ht="19.5" customHeight="1">
      <c r="A247" s="15">
        <f t="shared" si="3"/>
        <v>244</v>
      </c>
      <c r="B247" s="16" t="s">
        <v>114</v>
      </c>
      <c r="C247" s="17" t="s">
        <v>641</v>
      </c>
      <c r="D247" s="16" t="s">
        <v>642</v>
      </c>
      <c r="E247" s="16"/>
      <c r="F247" s="16" t="s">
        <v>3</v>
      </c>
      <c r="G247" s="18" t="s">
        <v>17</v>
      </c>
      <c r="H247" s="18"/>
    </row>
    <row r="248" spans="1:8" ht="19.5" customHeight="1">
      <c r="A248" s="11">
        <f t="shared" si="3"/>
        <v>245</v>
      </c>
      <c r="B248" s="12"/>
      <c r="C248" s="13" t="s">
        <v>643</v>
      </c>
      <c r="D248" s="12"/>
      <c r="E248" s="12"/>
      <c r="F248" s="12" t="s">
        <v>3</v>
      </c>
      <c r="G248" s="14" t="s">
        <v>17</v>
      </c>
      <c r="H248" s="14"/>
    </row>
    <row r="249" spans="1:8" ht="19.5" customHeight="1">
      <c r="A249" s="15">
        <f t="shared" si="3"/>
        <v>246</v>
      </c>
      <c r="B249" s="16" t="s">
        <v>114</v>
      </c>
      <c r="C249" s="17" t="s">
        <v>644</v>
      </c>
      <c r="D249" s="16" t="s">
        <v>645</v>
      </c>
      <c r="E249" s="16"/>
      <c r="F249" s="16" t="s">
        <v>3</v>
      </c>
      <c r="G249" s="18" t="s">
        <v>17</v>
      </c>
      <c r="H249" s="18"/>
    </row>
    <row r="250" spans="1:8" ht="19.5" customHeight="1">
      <c r="A250" s="11">
        <f t="shared" si="3"/>
        <v>247</v>
      </c>
      <c r="B250" s="12" t="s">
        <v>114</v>
      </c>
      <c r="C250" s="13" t="s">
        <v>646</v>
      </c>
      <c r="D250" s="12" t="s">
        <v>647</v>
      </c>
      <c r="E250" s="12"/>
      <c r="F250" s="12" t="s">
        <v>3</v>
      </c>
      <c r="G250" s="14" t="s">
        <v>17</v>
      </c>
      <c r="H250" s="14"/>
    </row>
    <row r="251" spans="1:8" ht="19.5" customHeight="1">
      <c r="A251" s="15">
        <f t="shared" si="3"/>
        <v>248</v>
      </c>
      <c r="B251" s="16"/>
      <c r="C251" s="17" t="s">
        <v>648</v>
      </c>
      <c r="D251" s="16"/>
      <c r="E251" s="16"/>
      <c r="F251" s="16" t="s">
        <v>3</v>
      </c>
      <c r="G251" s="18" t="s">
        <v>14</v>
      </c>
      <c r="H251" s="18"/>
    </row>
    <row r="252" spans="1:8" ht="19.5" customHeight="1">
      <c r="A252" s="11">
        <f t="shared" si="3"/>
        <v>249</v>
      </c>
      <c r="B252" s="12" t="s">
        <v>114</v>
      </c>
      <c r="C252" s="13" t="s">
        <v>649</v>
      </c>
      <c r="D252" s="12" t="s">
        <v>650</v>
      </c>
      <c r="E252" s="12"/>
      <c r="F252" s="12" t="s">
        <v>3</v>
      </c>
      <c r="G252" s="14" t="s">
        <v>26</v>
      </c>
      <c r="H252" s="14"/>
    </row>
    <row r="253" spans="1:8" ht="19.5" customHeight="1">
      <c r="A253" s="15">
        <f t="shared" si="3"/>
        <v>250</v>
      </c>
      <c r="B253" s="16" t="s">
        <v>114</v>
      </c>
      <c r="C253" s="17" t="s">
        <v>651</v>
      </c>
      <c r="D253" s="16" t="s">
        <v>652</v>
      </c>
      <c r="E253" s="16"/>
      <c r="F253" s="16" t="s">
        <v>3</v>
      </c>
      <c r="G253" s="18" t="s">
        <v>26</v>
      </c>
      <c r="H253" s="18"/>
    </row>
    <row r="254" spans="1:8" ht="19.5" customHeight="1">
      <c r="A254" s="11">
        <f t="shared" si="3"/>
        <v>251</v>
      </c>
      <c r="B254" s="12"/>
      <c r="C254" s="13" t="s">
        <v>653</v>
      </c>
      <c r="D254" s="12"/>
      <c r="E254" s="12"/>
      <c r="F254" s="12" t="s">
        <v>3</v>
      </c>
      <c r="G254" s="14" t="s">
        <v>14</v>
      </c>
      <c r="H254" s="14"/>
    </row>
    <row r="255" spans="1:8" ht="19.5" customHeight="1">
      <c r="A255" s="15">
        <f t="shared" si="3"/>
        <v>252</v>
      </c>
      <c r="B255" s="16"/>
      <c r="C255" s="17" t="s">
        <v>654</v>
      </c>
      <c r="D255" s="16" t="s">
        <v>655</v>
      </c>
      <c r="E255" s="16"/>
      <c r="F255" s="16" t="s">
        <v>3</v>
      </c>
      <c r="G255" s="18" t="s">
        <v>14</v>
      </c>
      <c r="H255" s="18"/>
    </row>
    <row r="256" spans="1:8" ht="19.5" customHeight="1">
      <c r="A256" s="11">
        <f t="shared" si="3"/>
        <v>253</v>
      </c>
      <c r="B256" s="12" t="s">
        <v>114</v>
      </c>
      <c r="C256" s="13" t="s">
        <v>656</v>
      </c>
      <c r="D256" s="12" t="s">
        <v>657</v>
      </c>
      <c r="E256" s="12"/>
      <c r="F256" s="12" t="s">
        <v>3</v>
      </c>
      <c r="G256" s="14" t="s">
        <v>37</v>
      </c>
      <c r="H256" s="14"/>
    </row>
    <row r="257" spans="1:8" ht="20.25" customHeight="1">
      <c r="A257" s="15">
        <f t="shared" si="3"/>
        <v>254</v>
      </c>
      <c r="B257" s="16" t="s">
        <v>114</v>
      </c>
      <c r="C257" s="17" t="s">
        <v>658</v>
      </c>
      <c r="D257" s="16" t="s">
        <v>659</v>
      </c>
      <c r="E257" s="16"/>
      <c r="F257" s="16" t="s">
        <v>3</v>
      </c>
      <c r="G257" s="18" t="s">
        <v>17</v>
      </c>
      <c r="H257" s="18"/>
    </row>
    <row r="258" spans="1:8" ht="20.25" customHeight="1">
      <c r="A258" s="11">
        <f t="shared" si="3"/>
        <v>255</v>
      </c>
      <c r="B258" s="12" t="s">
        <v>114</v>
      </c>
      <c r="C258" s="13" t="s">
        <v>660</v>
      </c>
      <c r="D258" s="12" t="s">
        <v>661</v>
      </c>
      <c r="E258" s="12"/>
      <c r="F258" s="12" t="s">
        <v>3</v>
      </c>
      <c r="G258" s="14" t="s">
        <v>17</v>
      </c>
      <c r="H258" s="14">
        <v>2</v>
      </c>
    </row>
    <row r="259" spans="1:8" ht="19.5" customHeight="1">
      <c r="A259" s="15">
        <f t="shared" si="3"/>
        <v>256</v>
      </c>
      <c r="B259" s="16"/>
      <c r="C259" s="17" t="s">
        <v>662</v>
      </c>
      <c r="D259" s="16"/>
      <c r="E259" s="16"/>
      <c r="F259" s="16" t="s">
        <v>3</v>
      </c>
      <c r="G259" s="18" t="s">
        <v>6</v>
      </c>
      <c r="H259" s="18"/>
    </row>
    <row r="260" spans="1:8" ht="19.5" customHeight="1">
      <c r="A260" s="11">
        <f t="shared" si="3"/>
        <v>257</v>
      </c>
      <c r="B260" s="12"/>
      <c r="C260" s="13" t="s">
        <v>663</v>
      </c>
      <c r="D260" s="12"/>
      <c r="E260" s="12"/>
      <c r="F260" s="12" t="s">
        <v>3</v>
      </c>
      <c r="G260" s="14" t="s">
        <v>6</v>
      </c>
      <c r="H260" s="14"/>
    </row>
    <row r="261" spans="1:8" ht="19.5" customHeight="1">
      <c r="A261" s="15">
        <f t="shared" si="3"/>
        <v>258</v>
      </c>
      <c r="B261" s="16"/>
      <c r="C261" s="17" t="s">
        <v>664</v>
      </c>
      <c r="D261" s="16" t="s">
        <v>665</v>
      </c>
      <c r="E261" s="16"/>
      <c r="F261" s="16" t="s">
        <v>3</v>
      </c>
      <c r="G261" s="18" t="s">
        <v>6</v>
      </c>
      <c r="H261" s="18"/>
    </row>
    <row r="262" spans="1:8" ht="19.5" customHeight="1">
      <c r="A262" s="11">
        <f t="shared" si="3"/>
        <v>259</v>
      </c>
      <c r="B262" s="12"/>
      <c r="C262" s="13" t="s">
        <v>666</v>
      </c>
      <c r="D262" s="12" t="s">
        <v>667</v>
      </c>
      <c r="E262" s="12"/>
      <c r="F262" s="12" t="s">
        <v>3</v>
      </c>
      <c r="G262" s="14" t="s">
        <v>6</v>
      </c>
      <c r="H262" s="14"/>
    </row>
    <row r="263" spans="1:8" ht="19.5" customHeight="1">
      <c r="A263" s="15">
        <f t="shared" si="3"/>
        <v>260</v>
      </c>
      <c r="B263" s="16" t="s">
        <v>114</v>
      </c>
      <c r="C263" s="17" t="s">
        <v>668</v>
      </c>
      <c r="D263" s="16" t="s">
        <v>669</v>
      </c>
      <c r="E263" s="16"/>
      <c r="F263" s="16" t="s">
        <v>3</v>
      </c>
      <c r="G263" s="18" t="s">
        <v>6</v>
      </c>
      <c r="H263" s="18"/>
    </row>
    <row r="264" spans="1:8" ht="19.5" customHeight="1">
      <c r="A264" s="11">
        <f t="shared" si="3"/>
        <v>261</v>
      </c>
      <c r="B264" s="12" t="s">
        <v>114</v>
      </c>
      <c r="C264" s="13" t="s">
        <v>670</v>
      </c>
      <c r="D264" s="12" t="s">
        <v>671</v>
      </c>
      <c r="E264" s="12"/>
      <c r="F264" s="12" t="s">
        <v>3</v>
      </c>
      <c r="G264" s="14" t="s">
        <v>6</v>
      </c>
      <c r="H264" s="14"/>
    </row>
    <row r="265" spans="1:8" ht="19.5" customHeight="1">
      <c r="A265" s="15">
        <f t="shared" si="3"/>
        <v>262</v>
      </c>
      <c r="B265" s="16"/>
      <c r="C265" s="17" t="s">
        <v>672</v>
      </c>
      <c r="D265" s="16" t="s">
        <v>673</v>
      </c>
      <c r="E265" s="16"/>
      <c r="F265" s="16" t="s">
        <v>3</v>
      </c>
      <c r="G265" s="18" t="s">
        <v>16</v>
      </c>
      <c r="H265" s="18"/>
    </row>
    <row r="266" spans="1:8" ht="19.5" customHeight="1">
      <c r="A266" s="11">
        <f t="shared" si="3"/>
        <v>263</v>
      </c>
      <c r="B266" s="12"/>
      <c r="C266" s="13" t="s">
        <v>674</v>
      </c>
      <c r="D266" s="12"/>
      <c r="E266" s="12"/>
      <c r="F266" s="12" t="s">
        <v>3</v>
      </c>
      <c r="G266" s="14" t="s">
        <v>49</v>
      </c>
      <c r="H266" s="14"/>
    </row>
    <row r="267" spans="1:8" ht="19.5" customHeight="1">
      <c r="A267" s="15">
        <f t="shared" si="3"/>
        <v>264</v>
      </c>
      <c r="B267" s="16"/>
      <c r="C267" s="17" t="s">
        <v>675</v>
      </c>
      <c r="D267" s="16" t="s">
        <v>676</v>
      </c>
      <c r="E267" s="16"/>
      <c r="F267" s="16" t="s">
        <v>3</v>
      </c>
      <c r="G267" s="18" t="s">
        <v>49</v>
      </c>
      <c r="H267" s="18"/>
    </row>
    <row r="268" spans="1:8" ht="19.5" customHeight="1">
      <c r="A268" s="11">
        <f t="shared" si="3"/>
        <v>265</v>
      </c>
      <c r="B268" s="12"/>
      <c r="C268" s="13" t="s">
        <v>677</v>
      </c>
      <c r="D268" s="12" t="s">
        <v>678</v>
      </c>
      <c r="E268" s="12"/>
      <c r="F268" s="12" t="s">
        <v>3</v>
      </c>
      <c r="G268" s="14" t="s">
        <v>49</v>
      </c>
      <c r="H268" s="14"/>
    </row>
    <row r="269" spans="1:8" ht="19.5" customHeight="1">
      <c r="A269" s="15">
        <f t="shared" si="3"/>
        <v>266</v>
      </c>
      <c r="B269" s="16" t="s">
        <v>114</v>
      </c>
      <c r="C269" s="17" t="s">
        <v>679</v>
      </c>
      <c r="D269" s="16" t="s">
        <v>680</v>
      </c>
      <c r="E269" s="16" t="s">
        <v>681</v>
      </c>
      <c r="F269" s="16" t="s">
        <v>3</v>
      </c>
      <c r="G269" s="18" t="s">
        <v>58</v>
      </c>
      <c r="H269" s="18"/>
    </row>
    <row r="270" spans="1:8" ht="19.5" customHeight="1">
      <c r="A270" s="11">
        <f t="shared" si="3"/>
        <v>267</v>
      </c>
      <c r="B270" s="12" t="s">
        <v>114</v>
      </c>
      <c r="C270" s="13" t="s">
        <v>682</v>
      </c>
      <c r="D270" s="12" t="s">
        <v>683</v>
      </c>
      <c r="E270" s="12" t="s">
        <v>684</v>
      </c>
      <c r="F270" s="12" t="s">
        <v>3</v>
      </c>
      <c r="G270" s="14" t="s">
        <v>28</v>
      </c>
      <c r="H270" s="14"/>
    </row>
    <row r="271" spans="1:8" ht="19.5" customHeight="1">
      <c r="A271" s="15">
        <f t="shared" si="3"/>
        <v>268</v>
      </c>
      <c r="B271" s="16" t="s">
        <v>114</v>
      </c>
      <c r="C271" s="17" t="s">
        <v>685</v>
      </c>
      <c r="D271" s="16" t="s">
        <v>686</v>
      </c>
      <c r="E271" s="28" t="s">
        <v>687</v>
      </c>
      <c r="F271" s="16" t="s">
        <v>3</v>
      </c>
      <c r="G271" s="18" t="s">
        <v>28</v>
      </c>
      <c r="H271" s="18"/>
    </row>
    <row r="272" spans="1:8" ht="19.5" customHeight="1">
      <c r="A272" s="11">
        <f t="shared" si="3"/>
        <v>269</v>
      </c>
      <c r="B272" s="12"/>
      <c r="C272" s="22" t="s">
        <v>688</v>
      </c>
      <c r="D272" s="12" t="s">
        <v>689</v>
      </c>
      <c r="E272" s="34"/>
      <c r="F272" s="12" t="s">
        <v>3</v>
      </c>
      <c r="G272" s="14" t="s">
        <v>28</v>
      </c>
      <c r="H272" s="14"/>
    </row>
    <row r="273" spans="1:8" ht="19.5" customHeight="1">
      <c r="A273" s="15">
        <f t="shared" si="3"/>
        <v>270</v>
      </c>
      <c r="B273" s="16"/>
      <c r="C273" s="26" t="s">
        <v>690</v>
      </c>
      <c r="D273" s="16" t="s">
        <v>691</v>
      </c>
      <c r="E273" s="28"/>
      <c r="F273" s="16" t="s">
        <v>3</v>
      </c>
      <c r="G273" s="18" t="s">
        <v>28</v>
      </c>
      <c r="H273" s="18"/>
    </row>
    <row r="274" spans="1:8" ht="19.5" customHeight="1">
      <c r="A274" s="11">
        <f t="shared" si="3"/>
        <v>271</v>
      </c>
      <c r="B274" s="12"/>
      <c r="C274" s="13" t="s">
        <v>692</v>
      </c>
      <c r="D274" s="12" t="s">
        <v>693</v>
      </c>
      <c r="E274" s="34" t="s">
        <v>694</v>
      </c>
      <c r="F274" s="12" t="s">
        <v>3</v>
      </c>
      <c r="G274" s="14" t="s">
        <v>28</v>
      </c>
      <c r="H274" s="14"/>
    </row>
    <row r="275" spans="1:8" ht="19.5" customHeight="1">
      <c r="A275" s="15">
        <f t="shared" si="3"/>
        <v>272</v>
      </c>
      <c r="B275" s="16"/>
      <c r="C275" s="17" t="s">
        <v>695</v>
      </c>
      <c r="D275" s="16" t="s">
        <v>696</v>
      </c>
      <c r="E275" s="28" t="s">
        <v>697</v>
      </c>
      <c r="F275" s="16" t="s">
        <v>3</v>
      </c>
      <c r="G275" s="18" t="s">
        <v>28</v>
      </c>
      <c r="H275" s="18"/>
    </row>
    <row r="276" spans="1:8" ht="19.5" customHeight="1">
      <c r="A276" s="11">
        <f t="shared" si="3"/>
        <v>273</v>
      </c>
      <c r="B276" s="12" t="s">
        <v>114</v>
      </c>
      <c r="C276" s="13" t="s">
        <v>698</v>
      </c>
      <c r="D276" s="12" t="s">
        <v>699</v>
      </c>
      <c r="E276" s="12" t="s">
        <v>700</v>
      </c>
      <c r="F276" s="12" t="s">
        <v>3</v>
      </c>
      <c r="G276" s="14" t="s">
        <v>28</v>
      </c>
      <c r="H276" s="14"/>
    </row>
    <row r="277" spans="1:8" ht="19.5" customHeight="1">
      <c r="A277" s="15">
        <f t="shared" si="3"/>
        <v>274</v>
      </c>
      <c r="B277" s="16" t="s">
        <v>114</v>
      </c>
      <c r="C277" s="17" t="s">
        <v>701</v>
      </c>
      <c r="D277" s="16" t="s">
        <v>702</v>
      </c>
      <c r="E277" s="16" t="s">
        <v>703</v>
      </c>
      <c r="F277" s="16" t="s">
        <v>3</v>
      </c>
      <c r="G277" s="18" t="s">
        <v>28</v>
      </c>
      <c r="H277" s="18"/>
    </row>
    <row r="278" spans="1:8" ht="19.5" customHeight="1">
      <c r="A278" s="11">
        <f t="shared" si="3"/>
        <v>275</v>
      </c>
      <c r="B278" s="12" t="s">
        <v>114</v>
      </c>
      <c r="C278" s="13" t="s">
        <v>704</v>
      </c>
      <c r="D278" s="12" t="s">
        <v>705</v>
      </c>
      <c r="E278" s="12" t="s">
        <v>706</v>
      </c>
      <c r="F278" s="12" t="s">
        <v>3</v>
      </c>
      <c r="G278" s="14" t="s">
        <v>28</v>
      </c>
      <c r="H278" s="14"/>
    </row>
    <row r="279" spans="1:8" ht="19.5" customHeight="1">
      <c r="A279" s="15">
        <f t="shared" si="3"/>
        <v>276</v>
      </c>
      <c r="B279" s="16" t="s">
        <v>114</v>
      </c>
      <c r="C279" s="17" t="s">
        <v>707</v>
      </c>
      <c r="D279" s="16" t="s">
        <v>708</v>
      </c>
      <c r="E279" s="16" t="s">
        <v>709</v>
      </c>
      <c r="F279" s="16" t="s">
        <v>3</v>
      </c>
      <c r="G279" s="18" t="s">
        <v>28</v>
      </c>
      <c r="H279" s="18"/>
    </row>
    <row r="280" spans="1:8" ht="19.5" customHeight="1">
      <c r="A280" s="11">
        <f t="shared" si="3"/>
        <v>277</v>
      </c>
      <c r="B280" s="12" t="s">
        <v>114</v>
      </c>
      <c r="C280" s="13" t="s">
        <v>710</v>
      </c>
      <c r="D280" s="12" t="s">
        <v>711</v>
      </c>
      <c r="E280" s="12" t="s">
        <v>712</v>
      </c>
      <c r="F280" s="12" t="s">
        <v>3</v>
      </c>
      <c r="G280" s="14" t="s">
        <v>28</v>
      </c>
      <c r="H280" s="14"/>
    </row>
    <row r="281" spans="1:8" ht="19.5" customHeight="1">
      <c r="A281" s="15">
        <f t="shared" si="3"/>
        <v>278</v>
      </c>
      <c r="B281" s="16"/>
      <c r="C281" s="17" t="s">
        <v>713</v>
      </c>
      <c r="D281" s="16"/>
      <c r="E281" s="28" t="s">
        <v>714</v>
      </c>
      <c r="F281" s="16" t="s">
        <v>3</v>
      </c>
      <c r="G281" s="18" t="s">
        <v>28</v>
      </c>
      <c r="H281" s="18"/>
    </row>
    <row r="282" spans="1:8" ht="19.5" customHeight="1">
      <c r="A282" s="11">
        <f t="shared" si="3"/>
        <v>279</v>
      </c>
      <c r="B282" s="12"/>
      <c r="C282" s="13" t="s">
        <v>715</v>
      </c>
      <c r="D282" s="12"/>
      <c r="E282" s="34" t="s">
        <v>716</v>
      </c>
      <c r="F282" s="12" t="s">
        <v>3</v>
      </c>
      <c r="G282" s="14" t="s">
        <v>28</v>
      </c>
      <c r="H282" s="14"/>
    </row>
    <row r="283" spans="1:8" ht="19.5" customHeight="1">
      <c r="A283" s="15">
        <f t="shared" si="3"/>
        <v>280</v>
      </c>
      <c r="B283" s="16"/>
      <c r="C283" s="17" t="s">
        <v>717</v>
      </c>
      <c r="D283" s="16"/>
      <c r="E283" s="28" t="s">
        <v>718</v>
      </c>
      <c r="F283" s="16" t="s">
        <v>3</v>
      </c>
      <c r="G283" s="18" t="s">
        <v>28</v>
      </c>
      <c r="H283" s="18"/>
    </row>
    <row r="284" spans="1:8" ht="19.5" customHeight="1">
      <c r="A284" s="11">
        <f t="shared" si="3"/>
        <v>281</v>
      </c>
      <c r="B284" s="12"/>
      <c r="C284" s="13" t="s">
        <v>719</v>
      </c>
      <c r="D284" s="12"/>
      <c r="E284" s="34" t="s">
        <v>720</v>
      </c>
      <c r="F284" s="12" t="s">
        <v>3</v>
      </c>
      <c r="G284" s="14" t="s">
        <v>28</v>
      </c>
      <c r="H284" s="14"/>
    </row>
    <row r="285" spans="1:8" ht="19.5" customHeight="1">
      <c r="A285" s="15">
        <f t="shared" si="3"/>
        <v>282</v>
      </c>
      <c r="B285" s="16" t="s">
        <v>114</v>
      </c>
      <c r="C285" s="17" t="s">
        <v>721</v>
      </c>
      <c r="D285" s="16" t="s">
        <v>722</v>
      </c>
      <c r="E285" s="16" t="s">
        <v>723</v>
      </c>
      <c r="F285" s="16" t="s">
        <v>3</v>
      </c>
      <c r="G285" s="18" t="s">
        <v>19</v>
      </c>
      <c r="H285" s="18"/>
    </row>
    <row r="286" spans="1:8" ht="19.5" customHeight="1">
      <c r="A286" s="11">
        <f t="shared" si="3"/>
        <v>283</v>
      </c>
      <c r="B286" s="12" t="s">
        <v>114</v>
      </c>
      <c r="C286" s="13" t="s">
        <v>724</v>
      </c>
      <c r="D286" s="12" t="s">
        <v>725</v>
      </c>
      <c r="E286" s="12" t="s">
        <v>726</v>
      </c>
      <c r="F286" s="12" t="s">
        <v>3</v>
      </c>
      <c r="G286" s="14" t="s">
        <v>19</v>
      </c>
      <c r="H286" s="14"/>
    </row>
    <row r="287" spans="1:8" ht="19.5" customHeight="1">
      <c r="A287" s="15">
        <f t="shared" si="3"/>
        <v>284</v>
      </c>
      <c r="B287" s="16"/>
      <c r="C287" s="17" t="s">
        <v>727</v>
      </c>
      <c r="D287" s="16" t="s">
        <v>728</v>
      </c>
      <c r="E287" s="29" t="s">
        <v>729</v>
      </c>
      <c r="F287" s="16" t="s">
        <v>3</v>
      </c>
      <c r="G287" s="18" t="s">
        <v>19</v>
      </c>
      <c r="H287" s="18"/>
    </row>
    <row r="288" spans="1:8" ht="19.5" customHeight="1">
      <c r="A288" s="11">
        <f t="shared" si="3"/>
        <v>285</v>
      </c>
      <c r="B288" s="12"/>
      <c r="C288" s="13" t="s">
        <v>730</v>
      </c>
      <c r="D288" s="12" t="s">
        <v>731</v>
      </c>
      <c r="E288" s="32" t="s">
        <v>732</v>
      </c>
      <c r="F288" s="12" t="s">
        <v>3</v>
      </c>
      <c r="G288" s="14" t="s">
        <v>19</v>
      </c>
      <c r="H288" s="14"/>
    </row>
    <row r="289" spans="1:8" ht="19.5" customHeight="1">
      <c r="A289" s="15">
        <f t="shared" si="3"/>
        <v>286</v>
      </c>
      <c r="B289" s="16"/>
      <c r="C289" s="17" t="s">
        <v>733</v>
      </c>
      <c r="D289" s="16" t="s">
        <v>734</v>
      </c>
      <c r="E289" s="35" t="s">
        <v>735</v>
      </c>
      <c r="F289" s="16" t="s">
        <v>3</v>
      </c>
      <c r="G289" s="18" t="s">
        <v>19</v>
      </c>
      <c r="H289" s="18"/>
    </row>
    <row r="290" spans="1:8" ht="19.5" customHeight="1">
      <c r="A290" s="11">
        <f t="shared" si="3"/>
        <v>287</v>
      </c>
      <c r="B290" s="12"/>
      <c r="C290" s="13" t="s">
        <v>736</v>
      </c>
      <c r="D290" s="12" t="s">
        <v>737</v>
      </c>
      <c r="E290" s="32" t="s">
        <v>738</v>
      </c>
      <c r="F290" s="12" t="s">
        <v>3</v>
      </c>
      <c r="G290" s="14" t="s">
        <v>19</v>
      </c>
      <c r="H290" s="14"/>
    </row>
    <row r="291" spans="1:8" ht="19.5" customHeight="1">
      <c r="A291" s="15">
        <f t="shared" si="3"/>
        <v>288</v>
      </c>
      <c r="B291" s="16" t="s">
        <v>114</v>
      </c>
      <c r="C291" s="17" t="s">
        <v>739</v>
      </c>
      <c r="D291" s="16" t="s">
        <v>740</v>
      </c>
      <c r="E291" s="35" t="s">
        <v>741</v>
      </c>
      <c r="F291" s="16" t="s">
        <v>3</v>
      </c>
      <c r="G291" s="18" t="s">
        <v>19</v>
      </c>
      <c r="H291" s="18"/>
    </row>
    <row r="292" spans="1:8" ht="19.5" customHeight="1">
      <c r="A292" s="11">
        <f t="shared" si="3"/>
        <v>289</v>
      </c>
      <c r="B292" s="12" t="s">
        <v>114</v>
      </c>
      <c r="C292" s="13" t="s">
        <v>742</v>
      </c>
      <c r="D292" s="12" t="s">
        <v>743</v>
      </c>
      <c r="E292" s="32" t="s">
        <v>744</v>
      </c>
      <c r="F292" s="12" t="s">
        <v>3</v>
      </c>
      <c r="G292" s="14" t="s">
        <v>19</v>
      </c>
      <c r="H292" s="14"/>
    </row>
    <row r="293" spans="1:8" ht="19.5" customHeight="1">
      <c r="A293" s="15">
        <f t="shared" si="3"/>
        <v>290</v>
      </c>
      <c r="B293" s="16"/>
      <c r="C293" s="17" t="s">
        <v>745</v>
      </c>
      <c r="D293" s="16" t="s">
        <v>746</v>
      </c>
      <c r="E293" s="35" t="s">
        <v>747</v>
      </c>
      <c r="F293" s="16" t="s">
        <v>3</v>
      </c>
      <c r="G293" s="18" t="s">
        <v>19</v>
      </c>
      <c r="H293" s="18"/>
    </row>
    <row r="294" spans="1:8" ht="19.5" customHeight="1">
      <c r="A294" s="11">
        <f t="shared" si="3"/>
        <v>291</v>
      </c>
      <c r="B294" s="12"/>
      <c r="C294" s="13" t="s">
        <v>748</v>
      </c>
      <c r="D294" s="12" t="s">
        <v>749</v>
      </c>
      <c r="E294" s="32" t="s">
        <v>750</v>
      </c>
      <c r="F294" s="12" t="s">
        <v>3</v>
      </c>
      <c r="G294" s="14" t="s">
        <v>19</v>
      </c>
      <c r="H294" s="14"/>
    </row>
    <row r="295" spans="1:8" ht="19.5" customHeight="1">
      <c r="A295" s="15">
        <f t="shared" si="3"/>
        <v>292</v>
      </c>
      <c r="B295" s="16"/>
      <c r="C295" s="17" t="s">
        <v>751</v>
      </c>
      <c r="D295" s="16"/>
      <c r="E295" s="16"/>
      <c r="F295" s="16" t="s">
        <v>3</v>
      </c>
      <c r="G295" s="18" t="s">
        <v>29</v>
      </c>
      <c r="H295" s="18"/>
    </row>
    <row r="296" spans="1:8" ht="19.5" customHeight="1">
      <c r="A296" s="11">
        <f t="shared" si="3"/>
        <v>293</v>
      </c>
      <c r="B296" s="12" t="s">
        <v>114</v>
      </c>
      <c r="C296" s="13" t="s">
        <v>752</v>
      </c>
      <c r="D296" s="12" t="s">
        <v>753</v>
      </c>
      <c r="E296" s="12" t="s">
        <v>754</v>
      </c>
      <c r="F296" s="12" t="s">
        <v>3</v>
      </c>
      <c r="G296" s="36" t="s">
        <v>38</v>
      </c>
      <c r="H296" s="36"/>
    </row>
    <row r="297" spans="1:8" ht="19.5" customHeight="1">
      <c r="A297" s="15">
        <f t="shared" si="3"/>
        <v>294</v>
      </c>
      <c r="B297" s="16" t="s">
        <v>114</v>
      </c>
      <c r="C297" s="17" t="s">
        <v>755</v>
      </c>
      <c r="D297" s="16" t="s">
        <v>756</v>
      </c>
      <c r="E297" s="16" t="s">
        <v>757</v>
      </c>
      <c r="F297" s="16" t="s">
        <v>3</v>
      </c>
      <c r="G297" s="37" t="s">
        <v>38</v>
      </c>
      <c r="H297" s="37"/>
    </row>
    <row r="298" spans="1:8" ht="19.5" customHeight="1">
      <c r="A298" s="11">
        <f t="shared" si="3"/>
        <v>295</v>
      </c>
      <c r="B298" s="12" t="s">
        <v>114</v>
      </c>
      <c r="C298" s="13" t="s">
        <v>758</v>
      </c>
      <c r="D298" s="12" t="s">
        <v>759</v>
      </c>
      <c r="E298" s="12" t="s">
        <v>760</v>
      </c>
      <c r="F298" s="12" t="s">
        <v>3</v>
      </c>
      <c r="G298" s="36" t="s">
        <v>38</v>
      </c>
      <c r="H298" s="36"/>
    </row>
    <row r="299" spans="1:8" ht="19.5" customHeight="1">
      <c r="A299" s="15">
        <f t="shared" si="3"/>
        <v>296</v>
      </c>
      <c r="B299" s="16" t="s">
        <v>114</v>
      </c>
      <c r="C299" s="17" t="s">
        <v>761</v>
      </c>
      <c r="D299" s="16" t="s">
        <v>762</v>
      </c>
      <c r="E299" s="16" t="s">
        <v>763</v>
      </c>
      <c r="F299" s="16" t="s">
        <v>3</v>
      </c>
      <c r="G299" s="37" t="s">
        <v>57</v>
      </c>
      <c r="H299" s="37"/>
    </row>
    <row r="300" spans="1:8" ht="19.5" customHeight="1">
      <c r="A300" s="11">
        <f t="shared" si="3"/>
        <v>297</v>
      </c>
      <c r="B300" s="12" t="s">
        <v>114</v>
      </c>
      <c r="C300" s="13" t="s">
        <v>764</v>
      </c>
      <c r="D300" s="12" t="s">
        <v>765</v>
      </c>
      <c r="E300" s="12" t="s">
        <v>766</v>
      </c>
      <c r="F300" s="12" t="s">
        <v>3</v>
      </c>
      <c r="G300" s="36" t="s">
        <v>57</v>
      </c>
      <c r="H300" s="36"/>
    </row>
    <row r="301" spans="1:8" ht="19.5" customHeight="1">
      <c r="A301" s="15">
        <f t="shared" si="3"/>
        <v>298</v>
      </c>
      <c r="B301" s="28" t="s">
        <v>114</v>
      </c>
      <c r="C301" s="38" t="s">
        <v>767</v>
      </c>
      <c r="D301" s="28" t="s">
        <v>768</v>
      </c>
      <c r="E301" s="28"/>
      <c r="F301" s="16" t="s">
        <v>3</v>
      </c>
      <c r="G301" s="37" t="s">
        <v>39</v>
      </c>
      <c r="H301" s="37"/>
    </row>
    <row r="302" spans="1:8" ht="19.5" customHeight="1">
      <c r="A302" s="11">
        <f t="shared" si="3"/>
        <v>299</v>
      </c>
      <c r="B302" s="34" t="s">
        <v>114</v>
      </c>
      <c r="C302" s="39" t="s">
        <v>769</v>
      </c>
      <c r="D302" s="34" t="s">
        <v>770</v>
      </c>
      <c r="E302" s="34"/>
      <c r="F302" s="12" t="s">
        <v>3</v>
      </c>
      <c r="G302" s="36" t="s">
        <v>39</v>
      </c>
      <c r="H302" s="36"/>
    </row>
    <row r="303" spans="1:8" ht="19.5" customHeight="1">
      <c r="A303" s="15">
        <f t="shared" si="3"/>
        <v>300</v>
      </c>
      <c r="B303" s="28" t="s">
        <v>114</v>
      </c>
      <c r="C303" s="38" t="s">
        <v>771</v>
      </c>
      <c r="D303" s="28" t="s">
        <v>772</v>
      </c>
      <c r="E303" s="28"/>
      <c r="F303" s="16" t="s">
        <v>3</v>
      </c>
      <c r="G303" s="37" t="s">
        <v>39</v>
      </c>
      <c r="H303" s="37"/>
    </row>
    <row r="304" spans="1:8" ht="19.5" customHeight="1">
      <c r="A304" s="11">
        <f t="shared" si="3"/>
        <v>301</v>
      </c>
      <c r="B304" s="34"/>
      <c r="C304" s="39" t="s">
        <v>773</v>
      </c>
      <c r="D304" s="34" t="s">
        <v>774</v>
      </c>
      <c r="E304" s="34"/>
      <c r="F304" s="12" t="s">
        <v>3</v>
      </c>
      <c r="G304" s="36" t="s">
        <v>39</v>
      </c>
      <c r="H304" s="36"/>
    </row>
    <row r="305" spans="1:8" ht="19.5" customHeight="1">
      <c r="A305" s="15">
        <f t="shared" si="3"/>
        <v>302</v>
      </c>
      <c r="B305" s="28" t="s">
        <v>114</v>
      </c>
      <c r="C305" s="38" t="s">
        <v>775</v>
      </c>
      <c r="D305" s="28" t="s">
        <v>776</v>
      </c>
      <c r="E305" s="28"/>
      <c r="F305" s="40" t="s">
        <v>3</v>
      </c>
      <c r="G305" s="37" t="s">
        <v>39</v>
      </c>
      <c r="H305" s="37"/>
    </row>
    <row r="306" spans="1:8" ht="19.5" customHeight="1">
      <c r="A306" s="11"/>
      <c r="B306" s="12" t="s">
        <v>114</v>
      </c>
      <c r="C306" s="22" t="s">
        <v>777</v>
      </c>
      <c r="D306" s="12" t="s">
        <v>778</v>
      </c>
      <c r="E306" s="22"/>
      <c r="F306" s="12" t="s">
        <v>3</v>
      </c>
      <c r="G306" s="36" t="s">
        <v>39</v>
      </c>
      <c r="H306" s="41"/>
    </row>
    <row r="307" spans="1:8" ht="19.5" customHeight="1">
      <c r="A307" s="15">
        <f t="shared" ref="A307:A327" si="4">IF(C307&lt;&gt;"",COUNTA($C$4:C307),"")</f>
        <v>304</v>
      </c>
      <c r="B307" s="16"/>
      <c r="C307" s="17" t="s">
        <v>779</v>
      </c>
      <c r="D307" s="28" t="s">
        <v>780</v>
      </c>
      <c r="E307" s="16"/>
      <c r="F307" s="40" t="s">
        <v>3</v>
      </c>
      <c r="G307" s="37" t="s">
        <v>39</v>
      </c>
      <c r="H307" s="37"/>
    </row>
    <row r="308" spans="1:8" ht="19.5" customHeight="1">
      <c r="A308" s="11">
        <f t="shared" si="4"/>
        <v>305</v>
      </c>
      <c r="B308" s="34"/>
      <c r="C308" s="39" t="s">
        <v>781</v>
      </c>
      <c r="D308" s="34" t="s">
        <v>782</v>
      </c>
      <c r="E308" s="34"/>
      <c r="F308" s="19" t="s">
        <v>3</v>
      </c>
      <c r="G308" s="36" t="s">
        <v>39</v>
      </c>
      <c r="H308" s="36"/>
    </row>
    <row r="309" spans="1:8" ht="19.5" customHeight="1">
      <c r="A309" s="15">
        <f t="shared" si="4"/>
        <v>306</v>
      </c>
      <c r="B309" s="28" t="s">
        <v>114</v>
      </c>
      <c r="C309" s="26" t="s">
        <v>783</v>
      </c>
      <c r="D309" s="28" t="s">
        <v>784</v>
      </c>
      <c r="E309" s="28"/>
      <c r="F309" s="40" t="s">
        <v>3</v>
      </c>
      <c r="G309" s="37" t="s">
        <v>39</v>
      </c>
      <c r="H309" s="37"/>
    </row>
    <row r="310" spans="1:8" ht="19.5" customHeight="1">
      <c r="A310" s="11">
        <f t="shared" si="4"/>
        <v>307</v>
      </c>
      <c r="B310" s="12"/>
      <c r="C310" s="13" t="s">
        <v>785</v>
      </c>
      <c r="D310" s="34" t="s">
        <v>786</v>
      </c>
      <c r="E310" s="12"/>
      <c r="F310" s="12" t="s">
        <v>3</v>
      </c>
      <c r="G310" s="36" t="s">
        <v>39</v>
      </c>
      <c r="H310" s="36"/>
    </row>
    <row r="311" spans="1:8" ht="19.5" customHeight="1">
      <c r="A311" s="15">
        <f t="shared" si="4"/>
        <v>308</v>
      </c>
      <c r="B311" s="28" t="s">
        <v>114</v>
      </c>
      <c r="C311" s="38" t="s">
        <v>787</v>
      </c>
      <c r="D311" s="28" t="s">
        <v>788</v>
      </c>
      <c r="E311" s="28"/>
      <c r="F311" s="40" t="s">
        <v>3</v>
      </c>
      <c r="G311" s="37" t="s">
        <v>39</v>
      </c>
      <c r="H311" s="37"/>
    </row>
    <row r="312" spans="1:8" ht="19.5" customHeight="1">
      <c r="A312" s="11">
        <f t="shared" si="4"/>
        <v>309</v>
      </c>
      <c r="B312" s="34" t="s">
        <v>114</v>
      </c>
      <c r="C312" s="39" t="s">
        <v>789</v>
      </c>
      <c r="D312" s="34"/>
      <c r="E312" s="34"/>
      <c r="F312" s="19" t="s">
        <v>3</v>
      </c>
      <c r="G312" s="36" t="s">
        <v>39</v>
      </c>
      <c r="H312" s="36"/>
    </row>
    <row r="313" spans="1:8" ht="19.5" customHeight="1">
      <c r="A313" s="15">
        <f t="shared" si="4"/>
        <v>310</v>
      </c>
      <c r="B313" s="28" t="s">
        <v>114</v>
      </c>
      <c r="C313" s="38" t="s">
        <v>790</v>
      </c>
      <c r="D313" s="28" t="s">
        <v>791</v>
      </c>
      <c r="E313" s="28"/>
      <c r="F313" s="40" t="s">
        <v>3</v>
      </c>
      <c r="G313" s="37" t="s">
        <v>39</v>
      </c>
      <c r="H313" s="37">
        <v>12</v>
      </c>
    </row>
    <row r="314" spans="1:8" ht="19.5" customHeight="1">
      <c r="A314" s="11">
        <f t="shared" si="4"/>
        <v>311</v>
      </c>
      <c r="B314" s="34"/>
      <c r="C314" s="39" t="s">
        <v>792</v>
      </c>
      <c r="D314" s="34" t="s">
        <v>793</v>
      </c>
      <c r="E314" s="34"/>
      <c r="F314" s="19" t="s">
        <v>3</v>
      </c>
      <c r="G314" s="36" t="s">
        <v>39</v>
      </c>
      <c r="H314" s="36"/>
    </row>
    <row r="315" spans="1:8" ht="19.5" customHeight="1">
      <c r="A315" s="15">
        <f t="shared" si="4"/>
        <v>312</v>
      </c>
      <c r="B315" s="28" t="s">
        <v>114</v>
      </c>
      <c r="C315" s="38" t="s">
        <v>794</v>
      </c>
      <c r="D315" s="28" t="s">
        <v>795</v>
      </c>
      <c r="E315" s="28"/>
      <c r="F315" s="40" t="s">
        <v>3</v>
      </c>
      <c r="G315" s="37" t="s">
        <v>39</v>
      </c>
      <c r="H315" s="37"/>
    </row>
    <row r="316" spans="1:8" ht="19.5" customHeight="1">
      <c r="A316" s="11">
        <f t="shared" si="4"/>
        <v>313</v>
      </c>
      <c r="B316" s="34" t="s">
        <v>114</v>
      </c>
      <c r="C316" s="39" t="s">
        <v>796</v>
      </c>
      <c r="D316" s="34" t="s">
        <v>797</v>
      </c>
      <c r="E316" s="34"/>
      <c r="F316" s="19" t="s">
        <v>3</v>
      </c>
      <c r="G316" s="36" t="s">
        <v>39</v>
      </c>
      <c r="H316" s="36"/>
    </row>
    <row r="317" spans="1:8" ht="19.5" customHeight="1">
      <c r="A317" s="15">
        <f t="shared" si="4"/>
        <v>314</v>
      </c>
      <c r="B317" s="16"/>
      <c r="C317" s="17" t="s">
        <v>798</v>
      </c>
      <c r="D317" s="28" t="s">
        <v>799</v>
      </c>
      <c r="E317" s="16"/>
      <c r="F317" s="40" t="s">
        <v>3</v>
      </c>
      <c r="G317" s="37" t="s">
        <v>39</v>
      </c>
      <c r="H317" s="37"/>
    </row>
    <row r="318" spans="1:8" ht="19.5" customHeight="1">
      <c r="A318" s="11">
        <f t="shared" si="4"/>
        <v>315</v>
      </c>
      <c r="B318" s="12"/>
      <c r="C318" s="13" t="s">
        <v>800</v>
      </c>
      <c r="D318" s="34" t="s">
        <v>801</v>
      </c>
      <c r="E318" s="12"/>
      <c r="F318" s="19" t="s">
        <v>3</v>
      </c>
      <c r="G318" s="36" t="s">
        <v>39</v>
      </c>
      <c r="H318" s="36"/>
    </row>
    <row r="319" spans="1:8" ht="19.5" customHeight="1">
      <c r="A319" s="15">
        <f t="shared" si="4"/>
        <v>316</v>
      </c>
      <c r="B319" s="28" t="s">
        <v>114</v>
      </c>
      <c r="C319" s="38" t="s">
        <v>802</v>
      </c>
      <c r="D319" s="28" t="s">
        <v>803</v>
      </c>
      <c r="E319" s="28"/>
      <c r="F319" s="40" t="s">
        <v>3</v>
      </c>
      <c r="G319" s="37" t="s">
        <v>39</v>
      </c>
      <c r="H319" s="37"/>
    </row>
    <row r="320" spans="1:8" ht="19.5" customHeight="1">
      <c r="A320" s="11">
        <f t="shared" si="4"/>
        <v>317</v>
      </c>
      <c r="B320" s="34"/>
      <c r="C320" s="39" t="s">
        <v>804</v>
      </c>
      <c r="D320" s="34" t="s">
        <v>805</v>
      </c>
      <c r="E320" s="34"/>
      <c r="F320" s="19" t="s">
        <v>3</v>
      </c>
      <c r="G320" s="36" t="s">
        <v>39</v>
      </c>
      <c r="H320" s="36"/>
    </row>
    <row r="321" spans="1:8" ht="19.5" customHeight="1">
      <c r="A321" s="15">
        <f t="shared" si="4"/>
        <v>318</v>
      </c>
      <c r="B321" s="28" t="s">
        <v>114</v>
      </c>
      <c r="C321" s="38" t="s">
        <v>806</v>
      </c>
      <c r="D321" s="28" t="s">
        <v>807</v>
      </c>
      <c r="E321" s="28"/>
      <c r="F321" s="40" t="s">
        <v>3</v>
      </c>
      <c r="G321" s="37" t="s">
        <v>39</v>
      </c>
      <c r="H321" s="37"/>
    </row>
    <row r="322" spans="1:8" ht="19.5" customHeight="1">
      <c r="A322" s="11">
        <f t="shared" si="4"/>
        <v>319</v>
      </c>
      <c r="B322" s="34"/>
      <c r="C322" s="39" t="s">
        <v>808</v>
      </c>
      <c r="D322" s="34" t="s">
        <v>809</v>
      </c>
      <c r="E322" s="34"/>
      <c r="F322" s="19" t="s">
        <v>3</v>
      </c>
      <c r="G322" s="36" t="s">
        <v>39</v>
      </c>
      <c r="H322" s="36"/>
    </row>
    <row r="323" spans="1:8" ht="19.5" customHeight="1">
      <c r="A323" s="15">
        <f t="shared" si="4"/>
        <v>320</v>
      </c>
      <c r="B323" s="28"/>
      <c r="C323" s="38" t="s">
        <v>810</v>
      </c>
      <c r="D323" s="28" t="s">
        <v>811</v>
      </c>
      <c r="E323" s="28"/>
      <c r="F323" s="40" t="s">
        <v>3</v>
      </c>
      <c r="G323" s="37" t="s">
        <v>39</v>
      </c>
      <c r="H323" s="37"/>
    </row>
    <row r="324" spans="1:8" ht="19.5" customHeight="1">
      <c r="A324" s="11">
        <f t="shared" si="4"/>
        <v>321</v>
      </c>
      <c r="B324" s="34" t="s">
        <v>114</v>
      </c>
      <c r="C324" s="39" t="s">
        <v>812</v>
      </c>
      <c r="D324" s="34" t="s">
        <v>813</v>
      </c>
      <c r="E324" s="34"/>
      <c r="F324" s="19" t="s">
        <v>3</v>
      </c>
      <c r="G324" s="36" t="s">
        <v>39</v>
      </c>
      <c r="H324" s="36"/>
    </row>
    <row r="325" spans="1:8" ht="19.5" customHeight="1">
      <c r="A325" s="15">
        <f t="shared" si="4"/>
        <v>322</v>
      </c>
      <c r="B325" s="28" t="s">
        <v>114</v>
      </c>
      <c r="C325" s="38" t="s">
        <v>814</v>
      </c>
      <c r="D325" s="28" t="s">
        <v>815</v>
      </c>
      <c r="E325" s="28"/>
      <c r="F325" s="40" t="s">
        <v>3</v>
      </c>
      <c r="G325" s="37" t="s">
        <v>39</v>
      </c>
      <c r="H325" s="37"/>
    </row>
    <row r="326" spans="1:8" ht="19.5" customHeight="1">
      <c r="A326" s="11">
        <f t="shared" si="4"/>
        <v>323</v>
      </c>
      <c r="B326" s="34" t="s">
        <v>114</v>
      </c>
      <c r="C326" s="39" t="s">
        <v>816</v>
      </c>
      <c r="D326" s="34"/>
      <c r="E326" s="34"/>
      <c r="F326" s="19" t="s">
        <v>3</v>
      </c>
      <c r="G326" s="36" t="s">
        <v>39</v>
      </c>
      <c r="H326" s="36"/>
    </row>
    <row r="327" spans="1:8" ht="19.5" customHeight="1">
      <c r="A327" s="15">
        <f t="shared" si="4"/>
        <v>324</v>
      </c>
      <c r="B327" s="28"/>
      <c r="C327" s="38" t="s">
        <v>817</v>
      </c>
      <c r="D327" s="28" t="s">
        <v>818</v>
      </c>
      <c r="E327" s="28"/>
      <c r="F327" s="40" t="s">
        <v>3</v>
      </c>
      <c r="G327" s="37" t="s">
        <v>39</v>
      </c>
      <c r="H327" s="37"/>
    </row>
    <row r="328" spans="1:8" ht="19.5" customHeight="1">
      <c r="A328" s="23"/>
      <c r="B328" s="23"/>
      <c r="C328" s="39" t="s">
        <v>819</v>
      </c>
      <c r="D328" s="34" t="s">
        <v>820</v>
      </c>
      <c r="E328" s="22"/>
      <c r="F328" s="19" t="s">
        <v>3</v>
      </c>
      <c r="G328" s="36" t="s">
        <v>39</v>
      </c>
      <c r="H328" s="36"/>
    </row>
    <row r="329" spans="1:8" ht="19.5" customHeight="1">
      <c r="A329" s="15">
        <f t="shared" ref="A329:A346" si="5">IF(C329&lt;&gt;"",COUNTA($C$4:C329),"")</f>
        <v>326</v>
      </c>
      <c r="B329" s="16"/>
      <c r="C329" s="17" t="s">
        <v>821</v>
      </c>
      <c r="D329" s="28" t="s">
        <v>822</v>
      </c>
      <c r="E329" s="16"/>
      <c r="F329" s="40" t="s">
        <v>3</v>
      </c>
      <c r="G329" s="37" t="s">
        <v>39</v>
      </c>
      <c r="H329" s="37"/>
    </row>
    <row r="330" spans="1:8" ht="19.5" customHeight="1">
      <c r="A330" s="11">
        <f t="shared" si="5"/>
        <v>327</v>
      </c>
      <c r="B330" s="12"/>
      <c r="C330" s="13" t="s">
        <v>823</v>
      </c>
      <c r="D330" s="34" t="s">
        <v>824</v>
      </c>
      <c r="E330" s="12"/>
      <c r="F330" s="19" t="s">
        <v>3</v>
      </c>
      <c r="G330" s="36" t="s">
        <v>39</v>
      </c>
      <c r="H330" s="36"/>
    </row>
    <row r="331" spans="1:8" ht="19.5" customHeight="1">
      <c r="A331" s="15">
        <f t="shared" si="5"/>
        <v>328</v>
      </c>
      <c r="B331" s="16"/>
      <c r="C331" s="17" t="s">
        <v>825</v>
      </c>
      <c r="D331" s="28" t="s">
        <v>826</v>
      </c>
      <c r="E331" s="16"/>
      <c r="F331" s="40" t="s">
        <v>3</v>
      </c>
      <c r="G331" s="37" t="s">
        <v>39</v>
      </c>
      <c r="H331" s="37"/>
    </row>
    <row r="332" spans="1:8" ht="19.5" customHeight="1">
      <c r="A332" s="11">
        <f t="shared" si="5"/>
        <v>329</v>
      </c>
      <c r="B332" s="12"/>
      <c r="C332" s="13" t="s">
        <v>827</v>
      </c>
      <c r="D332" s="34" t="s">
        <v>828</v>
      </c>
      <c r="E332" s="12"/>
      <c r="F332" s="19" t="s">
        <v>3</v>
      </c>
      <c r="G332" s="36" t="s">
        <v>39</v>
      </c>
      <c r="H332" s="36"/>
    </row>
    <row r="333" spans="1:8" ht="19.5" customHeight="1">
      <c r="A333" s="15">
        <f t="shared" si="5"/>
        <v>330</v>
      </c>
      <c r="B333" s="16"/>
      <c r="C333" s="17" t="s">
        <v>829</v>
      </c>
      <c r="D333" s="28" t="s">
        <v>830</v>
      </c>
      <c r="E333" s="16"/>
      <c r="F333" s="40" t="s">
        <v>3</v>
      </c>
      <c r="G333" s="37" t="s">
        <v>39</v>
      </c>
      <c r="H333" s="37"/>
    </row>
    <row r="334" spans="1:8" ht="19.5" customHeight="1">
      <c r="A334" s="11">
        <f t="shared" si="5"/>
        <v>331</v>
      </c>
      <c r="B334" s="12" t="s">
        <v>114</v>
      </c>
      <c r="C334" s="39" t="s">
        <v>831</v>
      </c>
      <c r="D334" s="34" t="s">
        <v>832</v>
      </c>
      <c r="E334" s="34"/>
      <c r="F334" s="19" t="s">
        <v>3</v>
      </c>
      <c r="G334" s="36" t="s">
        <v>39</v>
      </c>
      <c r="H334" s="36"/>
    </row>
    <row r="335" spans="1:8" ht="19.5" customHeight="1">
      <c r="A335" s="15">
        <f t="shared" si="5"/>
        <v>332</v>
      </c>
      <c r="B335" s="16" t="s">
        <v>114</v>
      </c>
      <c r="C335" s="38" t="s">
        <v>833</v>
      </c>
      <c r="D335" s="28" t="s">
        <v>834</v>
      </c>
      <c r="E335" s="28"/>
      <c r="F335" s="40" t="s">
        <v>3</v>
      </c>
      <c r="G335" s="37" t="s">
        <v>39</v>
      </c>
      <c r="H335" s="37"/>
    </row>
    <row r="336" spans="1:8" ht="19.5" customHeight="1">
      <c r="A336" s="11">
        <f t="shared" si="5"/>
        <v>333</v>
      </c>
      <c r="B336" s="12" t="s">
        <v>114</v>
      </c>
      <c r="C336" s="13" t="s">
        <v>835</v>
      </c>
      <c r="D336" s="34" t="s">
        <v>836</v>
      </c>
      <c r="E336" s="12"/>
      <c r="F336" s="19" t="s">
        <v>3</v>
      </c>
      <c r="G336" s="36" t="s">
        <v>39</v>
      </c>
      <c r="H336" s="36"/>
    </row>
    <row r="337" spans="1:8" ht="19.5" customHeight="1">
      <c r="A337" s="15">
        <f t="shared" si="5"/>
        <v>334</v>
      </c>
      <c r="B337" s="16" t="s">
        <v>114</v>
      </c>
      <c r="C337" s="17" t="s">
        <v>837</v>
      </c>
      <c r="D337" s="28" t="s">
        <v>838</v>
      </c>
      <c r="E337" s="16"/>
      <c r="F337" s="40" t="s">
        <v>3</v>
      </c>
      <c r="G337" s="37" t="s">
        <v>39</v>
      </c>
      <c r="H337" s="37"/>
    </row>
    <row r="338" spans="1:8" ht="19.5" customHeight="1">
      <c r="A338" s="11">
        <f t="shared" si="5"/>
        <v>335</v>
      </c>
      <c r="B338" s="12"/>
      <c r="C338" s="13" t="s">
        <v>839</v>
      </c>
      <c r="D338" s="34" t="s">
        <v>840</v>
      </c>
      <c r="E338" s="12"/>
      <c r="F338" s="19" t="s">
        <v>3</v>
      </c>
      <c r="G338" s="36" t="s">
        <v>39</v>
      </c>
      <c r="H338" s="36"/>
    </row>
    <row r="339" spans="1:8" ht="19.5" customHeight="1">
      <c r="A339" s="15">
        <f t="shared" si="5"/>
        <v>336</v>
      </c>
      <c r="B339" s="28"/>
      <c r="C339" s="38" t="s">
        <v>841</v>
      </c>
      <c r="D339" s="28" t="s">
        <v>842</v>
      </c>
      <c r="E339" s="28"/>
      <c r="F339" s="40" t="s">
        <v>3</v>
      </c>
      <c r="G339" s="37" t="s">
        <v>39</v>
      </c>
      <c r="H339" s="37"/>
    </row>
    <row r="340" spans="1:8" ht="19.5" customHeight="1">
      <c r="A340" s="11">
        <f t="shared" si="5"/>
        <v>337</v>
      </c>
      <c r="B340" s="34"/>
      <c r="C340" s="39" t="s">
        <v>843</v>
      </c>
      <c r="D340" s="34" t="s">
        <v>844</v>
      </c>
      <c r="E340" s="34"/>
      <c r="F340" s="19" t="s">
        <v>3</v>
      </c>
      <c r="G340" s="36" t="s">
        <v>39</v>
      </c>
      <c r="H340" s="36"/>
    </row>
    <row r="341" spans="1:8" ht="19.5" customHeight="1">
      <c r="A341" s="15">
        <f t="shared" si="5"/>
        <v>338</v>
      </c>
      <c r="B341" s="28"/>
      <c r="C341" s="38" t="s">
        <v>845</v>
      </c>
      <c r="D341" s="28" t="s">
        <v>811</v>
      </c>
      <c r="E341" s="28"/>
      <c r="F341" s="40" t="s">
        <v>3</v>
      </c>
      <c r="G341" s="37" t="s">
        <v>39</v>
      </c>
      <c r="H341" s="37"/>
    </row>
    <row r="342" spans="1:8" ht="19.5" customHeight="1">
      <c r="A342" s="11">
        <f t="shared" si="5"/>
        <v>339</v>
      </c>
      <c r="B342" s="34" t="s">
        <v>114</v>
      </c>
      <c r="C342" s="39" t="s">
        <v>846</v>
      </c>
      <c r="D342" s="34" t="s">
        <v>847</v>
      </c>
      <c r="E342" s="34"/>
      <c r="F342" s="19" t="s">
        <v>3</v>
      </c>
      <c r="G342" s="36" t="s">
        <v>39</v>
      </c>
      <c r="H342" s="36"/>
    </row>
    <row r="343" spans="1:8" ht="19.5" customHeight="1">
      <c r="A343" s="15">
        <f t="shared" si="5"/>
        <v>340</v>
      </c>
      <c r="B343" s="28" t="s">
        <v>114</v>
      </c>
      <c r="C343" s="38" t="s">
        <v>848</v>
      </c>
      <c r="D343" s="28" t="s">
        <v>849</v>
      </c>
      <c r="E343" s="28"/>
      <c r="F343" s="40" t="s">
        <v>3</v>
      </c>
      <c r="G343" s="37" t="s">
        <v>39</v>
      </c>
      <c r="H343" s="37"/>
    </row>
    <row r="344" spans="1:8" ht="19.5" customHeight="1">
      <c r="A344" s="11">
        <f t="shared" si="5"/>
        <v>341</v>
      </c>
      <c r="B344" s="12" t="s">
        <v>114</v>
      </c>
      <c r="C344" s="13" t="s">
        <v>850</v>
      </c>
      <c r="D344" s="34" t="s">
        <v>851</v>
      </c>
      <c r="E344" s="12"/>
      <c r="F344" s="19" t="s">
        <v>3</v>
      </c>
      <c r="G344" s="36" t="s">
        <v>39</v>
      </c>
      <c r="H344" s="36"/>
    </row>
    <row r="345" spans="1:8" ht="19.5" customHeight="1">
      <c r="A345" s="15">
        <f t="shared" si="5"/>
        <v>342</v>
      </c>
      <c r="B345" s="28" t="s">
        <v>114</v>
      </c>
      <c r="C345" s="38" t="s">
        <v>852</v>
      </c>
      <c r="D345" s="28" t="s">
        <v>811</v>
      </c>
      <c r="E345" s="28"/>
      <c r="F345" s="40" t="s">
        <v>3</v>
      </c>
      <c r="G345" s="37" t="s">
        <v>39</v>
      </c>
      <c r="H345" s="37">
        <v>26</v>
      </c>
    </row>
    <row r="346" spans="1:8" ht="19.5" customHeight="1">
      <c r="A346" s="11">
        <f t="shared" si="5"/>
        <v>343</v>
      </c>
      <c r="B346" s="34" t="s">
        <v>114</v>
      </c>
      <c r="C346" s="39" t="s">
        <v>853</v>
      </c>
      <c r="D346" s="34" t="s">
        <v>854</v>
      </c>
      <c r="E346" s="34"/>
      <c r="F346" s="19" t="s">
        <v>3</v>
      </c>
      <c r="G346" s="36" t="s">
        <v>39</v>
      </c>
      <c r="H346" s="36"/>
    </row>
    <row r="347" spans="1:8" ht="19.5" customHeight="1">
      <c r="A347" s="15"/>
      <c r="B347" s="28"/>
      <c r="C347" s="38" t="s">
        <v>855</v>
      </c>
      <c r="D347" s="28"/>
      <c r="E347" s="28"/>
      <c r="F347" s="40" t="s">
        <v>3</v>
      </c>
      <c r="G347" s="37" t="s">
        <v>39</v>
      </c>
      <c r="H347" s="37"/>
    </row>
    <row r="348" spans="1:8" ht="19.5" customHeight="1">
      <c r="A348" s="11">
        <f t="shared" ref="A348:A370" si="6">IF(C348&lt;&gt;"",COUNTA($C$4:C348),"")</f>
        <v>345</v>
      </c>
      <c r="B348" s="34" t="s">
        <v>114</v>
      </c>
      <c r="C348" s="39" t="s">
        <v>856</v>
      </c>
      <c r="D348" s="34" t="s">
        <v>857</v>
      </c>
      <c r="E348" s="34"/>
      <c r="F348" s="19" t="s">
        <v>3</v>
      </c>
      <c r="G348" s="36" t="s">
        <v>39</v>
      </c>
      <c r="H348" s="36"/>
    </row>
    <row r="349" spans="1:8" ht="19.5" customHeight="1">
      <c r="A349" s="15">
        <f t="shared" si="6"/>
        <v>346</v>
      </c>
      <c r="B349" s="28" t="s">
        <v>114</v>
      </c>
      <c r="C349" s="38" t="s">
        <v>858</v>
      </c>
      <c r="D349" s="28" t="s">
        <v>859</v>
      </c>
      <c r="E349" s="28"/>
      <c r="F349" s="40" t="s">
        <v>3</v>
      </c>
      <c r="G349" s="37" t="s">
        <v>39</v>
      </c>
      <c r="H349" s="37"/>
    </row>
    <row r="350" spans="1:8" ht="19.5" customHeight="1">
      <c r="A350" s="11">
        <f t="shared" si="6"/>
        <v>347</v>
      </c>
      <c r="B350" s="34" t="s">
        <v>114</v>
      </c>
      <c r="C350" s="39" t="s">
        <v>860</v>
      </c>
      <c r="D350" s="34" t="s">
        <v>861</v>
      </c>
      <c r="E350" s="34"/>
      <c r="F350" s="19" t="s">
        <v>3</v>
      </c>
      <c r="G350" s="36" t="s">
        <v>39</v>
      </c>
      <c r="H350" s="36">
        <v>8</v>
      </c>
    </row>
    <row r="351" spans="1:8" ht="19.5" customHeight="1">
      <c r="A351" s="15">
        <f t="shared" si="6"/>
        <v>348</v>
      </c>
      <c r="B351" s="28" t="s">
        <v>114</v>
      </c>
      <c r="C351" s="38" t="s">
        <v>862</v>
      </c>
      <c r="D351" s="28" t="s">
        <v>863</v>
      </c>
      <c r="E351" s="28"/>
      <c r="F351" s="40" t="s">
        <v>3</v>
      </c>
      <c r="G351" s="37" t="s">
        <v>39</v>
      </c>
      <c r="H351" s="37">
        <v>14</v>
      </c>
    </row>
    <row r="352" spans="1:8" ht="19.5" customHeight="1">
      <c r="A352" s="11">
        <f t="shared" si="6"/>
        <v>349</v>
      </c>
      <c r="B352" s="34" t="s">
        <v>114</v>
      </c>
      <c r="C352" s="39" t="s">
        <v>864</v>
      </c>
      <c r="D352" s="34" t="s">
        <v>865</v>
      </c>
      <c r="E352" s="34"/>
      <c r="F352" s="19" t="s">
        <v>3</v>
      </c>
      <c r="G352" s="36" t="s">
        <v>39</v>
      </c>
      <c r="H352" s="36"/>
    </row>
    <row r="353" spans="1:8" ht="19.5" customHeight="1">
      <c r="A353" s="15">
        <f t="shared" si="6"/>
        <v>350</v>
      </c>
      <c r="B353" s="28"/>
      <c r="C353" s="38" t="s">
        <v>866</v>
      </c>
      <c r="D353" s="28" t="s">
        <v>867</v>
      </c>
      <c r="E353" s="28"/>
      <c r="F353" s="40" t="s">
        <v>3</v>
      </c>
      <c r="G353" s="37" t="s">
        <v>39</v>
      </c>
      <c r="H353" s="37"/>
    </row>
    <row r="354" spans="1:8" ht="19.5" customHeight="1">
      <c r="A354" s="11">
        <f t="shared" si="6"/>
        <v>351</v>
      </c>
      <c r="B354" s="34"/>
      <c r="C354" s="39" t="s">
        <v>868</v>
      </c>
      <c r="D354" s="34" t="s">
        <v>869</v>
      </c>
      <c r="E354" s="34"/>
      <c r="F354" s="19" t="s">
        <v>3</v>
      </c>
      <c r="G354" s="36" t="s">
        <v>39</v>
      </c>
      <c r="H354" s="36"/>
    </row>
    <row r="355" spans="1:8" ht="19.5" customHeight="1">
      <c r="A355" s="15">
        <f t="shared" si="6"/>
        <v>352</v>
      </c>
      <c r="B355" s="28" t="s">
        <v>114</v>
      </c>
      <c r="C355" s="38" t="s">
        <v>870</v>
      </c>
      <c r="D355" s="28" t="s">
        <v>871</v>
      </c>
      <c r="E355" s="28"/>
      <c r="F355" s="40" t="s">
        <v>3</v>
      </c>
      <c r="G355" s="37" t="s">
        <v>39</v>
      </c>
      <c r="H355" s="37"/>
    </row>
    <row r="356" spans="1:8" ht="19.5" customHeight="1">
      <c r="A356" s="11">
        <f t="shared" si="6"/>
        <v>353</v>
      </c>
      <c r="B356" s="34" t="s">
        <v>114</v>
      </c>
      <c r="C356" s="39" t="s">
        <v>872</v>
      </c>
      <c r="D356" s="34" t="s">
        <v>873</v>
      </c>
      <c r="E356" s="34"/>
      <c r="F356" s="19" t="s">
        <v>3</v>
      </c>
      <c r="G356" s="36" t="s">
        <v>39</v>
      </c>
      <c r="H356" s="36"/>
    </row>
    <row r="357" spans="1:8" ht="19.5" customHeight="1">
      <c r="A357" s="15">
        <f t="shared" si="6"/>
        <v>354</v>
      </c>
      <c r="B357" s="28" t="s">
        <v>114</v>
      </c>
      <c r="C357" s="38" t="s">
        <v>874</v>
      </c>
      <c r="D357" s="28" t="s">
        <v>875</v>
      </c>
      <c r="E357" s="28"/>
      <c r="F357" s="40" t="s">
        <v>3</v>
      </c>
      <c r="G357" s="37" t="s">
        <v>39</v>
      </c>
      <c r="H357" s="37"/>
    </row>
    <row r="358" spans="1:8" ht="19.5" customHeight="1">
      <c r="A358" s="11">
        <f t="shared" si="6"/>
        <v>355</v>
      </c>
      <c r="B358" s="34" t="s">
        <v>114</v>
      </c>
      <c r="C358" s="39" t="s">
        <v>876</v>
      </c>
      <c r="D358" s="34" t="s">
        <v>877</v>
      </c>
      <c r="E358" s="34"/>
      <c r="F358" s="19" t="s">
        <v>3</v>
      </c>
      <c r="G358" s="36" t="s">
        <v>39</v>
      </c>
      <c r="H358" s="36"/>
    </row>
    <row r="359" spans="1:8" ht="19.5" customHeight="1">
      <c r="A359" s="15">
        <f t="shared" si="6"/>
        <v>356</v>
      </c>
      <c r="B359" s="28"/>
      <c r="C359" s="38" t="s">
        <v>878</v>
      </c>
      <c r="D359" s="28" t="s">
        <v>879</v>
      </c>
      <c r="E359" s="28"/>
      <c r="F359" s="40" t="s">
        <v>3</v>
      </c>
      <c r="G359" s="37" t="s">
        <v>39</v>
      </c>
      <c r="H359" s="37"/>
    </row>
    <row r="360" spans="1:8" ht="19.5" customHeight="1">
      <c r="A360" s="11">
        <f t="shared" si="6"/>
        <v>357</v>
      </c>
      <c r="B360" s="34" t="s">
        <v>114</v>
      </c>
      <c r="C360" s="39" t="s">
        <v>880</v>
      </c>
      <c r="D360" s="34" t="s">
        <v>881</v>
      </c>
      <c r="E360" s="34"/>
      <c r="F360" s="19" t="s">
        <v>3</v>
      </c>
      <c r="G360" s="36" t="s">
        <v>39</v>
      </c>
      <c r="H360" s="36"/>
    </row>
    <row r="361" spans="1:8" ht="19.5" customHeight="1">
      <c r="A361" s="15">
        <f t="shared" si="6"/>
        <v>358</v>
      </c>
      <c r="B361" s="28"/>
      <c r="C361" s="38" t="s">
        <v>882</v>
      </c>
      <c r="D361" s="28" t="s">
        <v>883</v>
      </c>
      <c r="E361" s="28"/>
      <c r="F361" s="40" t="s">
        <v>3</v>
      </c>
      <c r="G361" s="37" t="s">
        <v>39</v>
      </c>
      <c r="H361" s="37"/>
    </row>
    <row r="362" spans="1:8" ht="19.5" customHeight="1">
      <c r="A362" s="11">
        <f t="shared" si="6"/>
        <v>359</v>
      </c>
      <c r="B362" s="34" t="s">
        <v>114</v>
      </c>
      <c r="C362" s="39" t="s">
        <v>884</v>
      </c>
      <c r="D362" s="34" t="s">
        <v>877</v>
      </c>
      <c r="E362" s="34"/>
      <c r="F362" s="19" t="s">
        <v>3</v>
      </c>
      <c r="G362" s="36" t="s">
        <v>39</v>
      </c>
      <c r="H362" s="36"/>
    </row>
    <row r="363" spans="1:8" ht="19.5" customHeight="1">
      <c r="A363" s="15">
        <f t="shared" si="6"/>
        <v>360</v>
      </c>
      <c r="B363" s="28"/>
      <c r="C363" s="38" t="s">
        <v>885</v>
      </c>
      <c r="D363" s="28" t="s">
        <v>886</v>
      </c>
      <c r="E363" s="28"/>
      <c r="F363" s="40" t="s">
        <v>3</v>
      </c>
      <c r="G363" s="37" t="s">
        <v>39</v>
      </c>
      <c r="H363" s="37"/>
    </row>
    <row r="364" spans="1:8" ht="19.5" customHeight="1">
      <c r="A364" s="11">
        <f t="shared" si="6"/>
        <v>361</v>
      </c>
      <c r="B364" s="34"/>
      <c r="C364" s="39" t="s">
        <v>887</v>
      </c>
      <c r="D364" s="34" t="s">
        <v>888</v>
      </c>
      <c r="E364" s="34"/>
      <c r="F364" s="19" t="s">
        <v>3</v>
      </c>
      <c r="G364" s="36" t="s">
        <v>39</v>
      </c>
      <c r="H364" s="36"/>
    </row>
    <row r="365" spans="1:8" ht="19.5" customHeight="1">
      <c r="A365" s="15">
        <f t="shared" si="6"/>
        <v>362</v>
      </c>
      <c r="B365" s="28"/>
      <c r="C365" s="38" t="s">
        <v>889</v>
      </c>
      <c r="D365" s="28"/>
      <c r="E365" s="28"/>
      <c r="F365" s="40" t="s">
        <v>3</v>
      </c>
      <c r="G365" s="37" t="s">
        <v>39</v>
      </c>
      <c r="H365" s="37"/>
    </row>
    <row r="366" spans="1:8" ht="19.5" customHeight="1">
      <c r="A366" s="11">
        <f t="shared" si="6"/>
        <v>363</v>
      </c>
      <c r="B366" s="34"/>
      <c r="C366" s="39" t="s">
        <v>890</v>
      </c>
      <c r="D366" s="34" t="s">
        <v>879</v>
      </c>
      <c r="E366" s="34"/>
      <c r="F366" s="19" t="s">
        <v>3</v>
      </c>
      <c r="G366" s="36" t="s">
        <v>39</v>
      </c>
      <c r="H366" s="36"/>
    </row>
    <row r="367" spans="1:8" ht="19.5" customHeight="1">
      <c r="A367" s="15">
        <f t="shared" si="6"/>
        <v>364</v>
      </c>
      <c r="B367" s="28"/>
      <c r="C367" s="38" t="s">
        <v>891</v>
      </c>
      <c r="D367" s="28" t="s">
        <v>892</v>
      </c>
      <c r="E367" s="28"/>
      <c r="F367" s="40" t="s">
        <v>3</v>
      </c>
      <c r="G367" s="37" t="s">
        <v>39</v>
      </c>
      <c r="H367" s="37"/>
    </row>
    <row r="368" spans="1:8" ht="19.5" customHeight="1">
      <c r="A368" s="11">
        <f t="shared" si="6"/>
        <v>365</v>
      </c>
      <c r="B368" s="34"/>
      <c r="C368" s="39" t="s">
        <v>893</v>
      </c>
      <c r="D368" s="34" t="s">
        <v>894</v>
      </c>
      <c r="E368" s="34"/>
      <c r="F368" s="19" t="s">
        <v>3</v>
      </c>
      <c r="G368" s="36" t="s">
        <v>39</v>
      </c>
      <c r="H368" s="36"/>
    </row>
    <row r="369" spans="1:8" ht="19.5" customHeight="1">
      <c r="A369" s="15">
        <f t="shared" si="6"/>
        <v>366</v>
      </c>
      <c r="B369" s="28"/>
      <c r="C369" s="38" t="s">
        <v>895</v>
      </c>
      <c r="D369" s="28" t="s">
        <v>896</v>
      </c>
      <c r="E369" s="28"/>
      <c r="F369" s="40" t="s">
        <v>3</v>
      </c>
      <c r="G369" s="37" t="s">
        <v>39</v>
      </c>
      <c r="H369" s="37"/>
    </row>
    <row r="370" spans="1:8" ht="19.5" customHeight="1">
      <c r="A370" s="11">
        <f t="shared" si="6"/>
        <v>367</v>
      </c>
      <c r="B370" s="34"/>
      <c r="C370" s="39" t="s">
        <v>897</v>
      </c>
      <c r="D370" s="34" t="s">
        <v>898</v>
      </c>
      <c r="E370" s="34"/>
      <c r="F370" s="19" t="s">
        <v>3</v>
      </c>
      <c r="G370" s="36" t="s">
        <v>39</v>
      </c>
      <c r="H370" s="36"/>
    </row>
    <row r="371" spans="1:8" ht="19.5" customHeight="1">
      <c r="A371" s="15"/>
      <c r="B371" s="28"/>
      <c r="C371" s="38" t="s">
        <v>899</v>
      </c>
      <c r="D371" s="28"/>
      <c r="E371" s="28"/>
      <c r="F371" s="40"/>
      <c r="G371" s="37" t="s">
        <v>39</v>
      </c>
      <c r="H371" s="37"/>
    </row>
    <row r="372" spans="1:8" ht="19.5" customHeight="1">
      <c r="A372" s="11">
        <f t="shared" ref="A372:A394" si="7">IF(C372&lt;&gt;"",COUNTA($C$4:C372),"")</f>
        <v>369</v>
      </c>
      <c r="B372" s="34" t="s">
        <v>114</v>
      </c>
      <c r="C372" s="39" t="s">
        <v>900</v>
      </c>
      <c r="D372" s="34" t="s">
        <v>901</v>
      </c>
      <c r="E372" s="34"/>
      <c r="F372" s="19" t="s">
        <v>3</v>
      </c>
      <c r="G372" s="36" t="s">
        <v>39</v>
      </c>
      <c r="H372" s="36"/>
    </row>
    <row r="373" spans="1:8" ht="19.5" customHeight="1">
      <c r="A373" s="15">
        <f t="shared" si="7"/>
        <v>370</v>
      </c>
      <c r="B373" s="28" t="s">
        <v>114</v>
      </c>
      <c r="C373" s="38" t="s">
        <v>902</v>
      </c>
      <c r="D373" s="28" t="s">
        <v>903</v>
      </c>
      <c r="E373" s="28"/>
      <c r="F373" s="40" t="s">
        <v>3</v>
      </c>
      <c r="G373" s="37" t="s">
        <v>39</v>
      </c>
      <c r="H373" s="37"/>
    </row>
    <row r="374" spans="1:8" ht="19.5" customHeight="1">
      <c r="A374" s="11">
        <f t="shared" si="7"/>
        <v>371</v>
      </c>
      <c r="B374" s="34"/>
      <c r="C374" s="39" t="s">
        <v>904</v>
      </c>
      <c r="D374" s="34" t="s">
        <v>905</v>
      </c>
      <c r="E374" s="34"/>
      <c r="F374" s="19" t="s">
        <v>3</v>
      </c>
      <c r="G374" s="36" t="s">
        <v>39</v>
      </c>
      <c r="H374" s="36"/>
    </row>
    <row r="375" spans="1:8" ht="19.5" customHeight="1">
      <c r="A375" s="15">
        <f t="shared" si="7"/>
        <v>372</v>
      </c>
      <c r="B375" s="28" t="s">
        <v>114</v>
      </c>
      <c r="C375" s="38" t="s">
        <v>906</v>
      </c>
      <c r="D375" s="28" t="s">
        <v>907</v>
      </c>
      <c r="E375" s="28"/>
      <c r="F375" s="40" t="s">
        <v>3</v>
      </c>
      <c r="G375" s="37" t="s">
        <v>39</v>
      </c>
      <c r="H375" s="37"/>
    </row>
    <row r="376" spans="1:8" ht="19.5" customHeight="1">
      <c r="A376" s="11">
        <f t="shared" si="7"/>
        <v>373</v>
      </c>
      <c r="B376" s="34"/>
      <c r="C376" s="39" t="s">
        <v>908</v>
      </c>
      <c r="D376" s="34" t="s">
        <v>909</v>
      </c>
      <c r="E376" s="34"/>
      <c r="F376" s="19" t="s">
        <v>3</v>
      </c>
      <c r="G376" s="36" t="s">
        <v>39</v>
      </c>
      <c r="H376" s="36"/>
    </row>
    <row r="377" spans="1:8" ht="19.5" customHeight="1">
      <c r="A377" s="15">
        <f t="shared" si="7"/>
        <v>374</v>
      </c>
      <c r="B377" s="28"/>
      <c r="C377" s="38" t="s">
        <v>910</v>
      </c>
      <c r="D377" s="28" t="s">
        <v>911</v>
      </c>
      <c r="E377" s="28"/>
      <c r="F377" s="40" t="s">
        <v>3</v>
      </c>
      <c r="G377" s="37" t="s">
        <v>39</v>
      </c>
      <c r="H377" s="37"/>
    </row>
    <row r="378" spans="1:8" ht="19.5" customHeight="1">
      <c r="A378" s="11">
        <f t="shared" si="7"/>
        <v>375</v>
      </c>
      <c r="B378" s="34" t="s">
        <v>114</v>
      </c>
      <c r="C378" s="39" t="s">
        <v>912</v>
      </c>
      <c r="D378" s="34" t="s">
        <v>913</v>
      </c>
      <c r="E378" s="34"/>
      <c r="F378" s="19" t="s">
        <v>3</v>
      </c>
      <c r="G378" s="36" t="s">
        <v>39</v>
      </c>
      <c r="H378" s="36"/>
    </row>
    <row r="379" spans="1:8" ht="19.5" customHeight="1">
      <c r="A379" s="15">
        <f t="shared" si="7"/>
        <v>376</v>
      </c>
      <c r="B379" s="28"/>
      <c r="C379" s="38" t="s">
        <v>914</v>
      </c>
      <c r="D379" s="28" t="s">
        <v>915</v>
      </c>
      <c r="E379" s="28"/>
      <c r="F379" s="40" t="s">
        <v>3</v>
      </c>
      <c r="G379" s="37" t="s">
        <v>39</v>
      </c>
      <c r="H379" s="37"/>
    </row>
    <row r="380" spans="1:8" ht="19.5" customHeight="1">
      <c r="A380" s="11">
        <f t="shared" si="7"/>
        <v>377</v>
      </c>
      <c r="B380" s="34"/>
      <c r="C380" s="39" t="s">
        <v>916</v>
      </c>
      <c r="D380" s="34" t="s">
        <v>917</v>
      </c>
      <c r="E380" s="34"/>
      <c r="F380" s="19" t="s">
        <v>3</v>
      </c>
      <c r="G380" s="36" t="s">
        <v>39</v>
      </c>
      <c r="H380" s="36"/>
    </row>
    <row r="381" spans="1:8" ht="19.5" customHeight="1">
      <c r="A381" s="15">
        <f t="shared" si="7"/>
        <v>378</v>
      </c>
      <c r="B381" s="28"/>
      <c r="C381" s="38" t="s">
        <v>918</v>
      </c>
      <c r="D381" s="28" t="s">
        <v>919</v>
      </c>
      <c r="E381" s="28"/>
      <c r="F381" s="40" t="s">
        <v>3</v>
      </c>
      <c r="G381" s="37" t="s">
        <v>39</v>
      </c>
      <c r="H381" s="37"/>
    </row>
    <row r="382" spans="1:8" ht="19.5" customHeight="1">
      <c r="A382" s="11">
        <f t="shared" si="7"/>
        <v>379</v>
      </c>
      <c r="B382" s="34"/>
      <c r="C382" s="39" t="s">
        <v>920</v>
      </c>
      <c r="D382" s="34" t="s">
        <v>921</v>
      </c>
      <c r="E382" s="34"/>
      <c r="F382" s="19" t="s">
        <v>3</v>
      </c>
      <c r="G382" s="36" t="s">
        <v>39</v>
      </c>
      <c r="H382" s="36"/>
    </row>
    <row r="383" spans="1:8" ht="19.5" customHeight="1">
      <c r="A383" s="15">
        <f t="shared" si="7"/>
        <v>380</v>
      </c>
      <c r="B383" s="28"/>
      <c r="C383" s="38" t="s">
        <v>922</v>
      </c>
      <c r="D383" s="28" t="s">
        <v>923</v>
      </c>
      <c r="E383" s="28"/>
      <c r="F383" s="40" t="s">
        <v>3</v>
      </c>
      <c r="G383" s="37" t="s">
        <v>39</v>
      </c>
      <c r="H383" s="37"/>
    </row>
    <row r="384" spans="1:8" ht="19.5" customHeight="1">
      <c r="A384" s="11">
        <f t="shared" si="7"/>
        <v>381</v>
      </c>
      <c r="B384" s="34" t="s">
        <v>114</v>
      </c>
      <c r="C384" s="39" t="s">
        <v>924</v>
      </c>
      <c r="D384" s="34" t="s">
        <v>925</v>
      </c>
      <c r="E384" s="34"/>
      <c r="F384" s="19" t="s">
        <v>3</v>
      </c>
      <c r="G384" s="36" t="s">
        <v>39</v>
      </c>
      <c r="H384" s="36"/>
    </row>
    <row r="385" spans="1:8" ht="19.5" customHeight="1">
      <c r="A385" s="15">
        <f t="shared" si="7"/>
        <v>382</v>
      </c>
      <c r="B385" s="28" t="s">
        <v>114</v>
      </c>
      <c r="C385" s="38" t="s">
        <v>926</v>
      </c>
      <c r="D385" s="28" t="s">
        <v>927</v>
      </c>
      <c r="E385" s="28"/>
      <c r="F385" s="40" t="s">
        <v>3</v>
      </c>
      <c r="G385" s="37" t="s">
        <v>39</v>
      </c>
      <c r="H385" s="37"/>
    </row>
    <row r="386" spans="1:8" ht="19.5" customHeight="1">
      <c r="A386" s="11">
        <f t="shared" si="7"/>
        <v>383</v>
      </c>
      <c r="B386" s="12"/>
      <c r="C386" s="13" t="s">
        <v>928</v>
      </c>
      <c r="D386" s="12"/>
      <c r="E386" s="12"/>
      <c r="F386" s="19" t="s">
        <v>3</v>
      </c>
      <c r="G386" s="36" t="s">
        <v>39</v>
      </c>
      <c r="H386" s="36"/>
    </row>
    <row r="387" spans="1:8" ht="19.5" customHeight="1">
      <c r="A387" s="15">
        <f t="shared" si="7"/>
        <v>384</v>
      </c>
      <c r="B387" s="16"/>
      <c r="C387" s="17" t="s">
        <v>929</v>
      </c>
      <c r="D387" s="16"/>
      <c r="E387" s="16"/>
      <c r="F387" s="40" t="s">
        <v>3</v>
      </c>
      <c r="G387" s="37" t="s">
        <v>39</v>
      </c>
      <c r="H387" s="37"/>
    </row>
    <row r="388" spans="1:8" ht="19.5" customHeight="1">
      <c r="A388" s="11">
        <f t="shared" si="7"/>
        <v>385</v>
      </c>
      <c r="B388" s="12" t="s">
        <v>114</v>
      </c>
      <c r="C388" s="13" t="s">
        <v>930</v>
      </c>
      <c r="D388" s="12" t="s">
        <v>931</v>
      </c>
      <c r="E388" s="12"/>
      <c r="F388" s="19" t="s">
        <v>3</v>
      </c>
      <c r="G388" s="36" t="s">
        <v>39</v>
      </c>
      <c r="H388" s="36">
        <v>44</v>
      </c>
    </row>
    <row r="389" spans="1:8" ht="19.5" customHeight="1">
      <c r="A389" s="15">
        <f t="shared" si="7"/>
        <v>386</v>
      </c>
      <c r="B389" s="16" t="s">
        <v>114</v>
      </c>
      <c r="C389" s="17" t="s">
        <v>932</v>
      </c>
      <c r="D389" s="28" t="s">
        <v>933</v>
      </c>
      <c r="E389" s="16"/>
      <c r="F389" s="40" t="s">
        <v>3</v>
      </c>
      <c r="G389" s="37" t="s">
        <v>39</v>
      </c>
      <c r="H389" s="37">
        <v>20</v>
      </c>
    </row>
    <row r="390" spans="1:8" ht="19.5" customHeight="1">
      <c r="A390" s="11">
        <f t="shared" si="7"/>
        <v>387</v>
      </c>
      <c r="B390" s="12" t="s">
        <v>114</v>
      </c>
      <c r="C390" s="13" t="s">
        <v>934</v>
      </c>
      <c r="D390" s="34" t="s">
        <v>935</v>
      </c>
      <c r="E390" s="12"/>
      <c r="F390" s="19" t="s">
        <v>3</v>
      </c>
      <c r="G390" s="36" t="s">
        <v>39</v>
      </c>
      <c r="H390" s="36">
        <v>20</v>
      </c>
    </row>
    <row r="391" spans="1:8" ht="19.5" customHeight="1">
      <c r="A391" s="15">
        <f t="shared" si="7"/>
        <v>388</v>
      </c>
      <c r="B391" s="16"/>
      <c r="C391" s="17" t="s">
        <v>936</v>
      </c>
      <c r="D391" s="28" t="s">
        <v>937</v>
      </c>
      <c r="E391" s="16"/>
      <c r="F391" s="40" t="s">
        <v>3</v>
      </c>
      <c r="G391" s="37" t="s">
        <v>39</v>
      </c>
      <c r="H391" s="37"/>
    </row>
    <row r="392" spans="1:8" ht="19.5" customHeight="1">
      <c r="A392" s="11">
        <f t="shared" si="7"/>
        <v>389</v>
      </c>
      <c r="B392" s="12"/>
      <c r="C392" s="13" t="s">
        <v>938</v>
      </c>
      <c r="D392" s="34" t="s">
        <v>939</v>
      </c>
      <c r="E392" s="12"/>
      <c r="F392" s="19" t="s">
        <v>3</v>
      </c>
      <c r="G392" s="36" t="s">
        <v>39</v>
      </c>
      <c r="H392" s="36"/>
    </row>
    <row r="393" spans="1:8" ht="19.5" customHeight="1">
      <c r="A393" s="15">
        <f t="shared" si="7"/>
        <v>390</v>
      </c>
      <c r="B393" s="16"/>
      <c r="C393" s="17" t="s">
        <v>940</v>
      </c>
      <c r="D393" s="16"/>
      <c r="E393" s="16"/>
      <c r="F393" s="40" t="s">
        <v>3</v>
      </c>
      <c r="G393" s="37" t="s">
        <v>49</v>
      </c>
      <c r="H393" s="37"/>
    </row>
    <row r="394" spans="1:8" ht="19.5" customHeight="1">
      <c r="A394" s="11">
        <f t="shared" si="7"/>
        <v>391</v>
      </c>
      <c r="B394" s="12" t="s">
        <v>114</v>
      </c>
      <c r="C394" s="13" t="s">
        <v>941</v>
      </c>
      <c r="D394" s="12" t="s">
        <v>942</v>
      </c>
      <c r="E394" s="12"/>
      <c r="F394" s="19" t="s">
        <v>3</v>
      </c>
      <c r="G394" s="19" t="s">
        <v>12</v>
      </c>
      <c r="H394" s="19"/>
    </row>
    <row r="395" spans="1:8" ht="19.5" customHeight="1">
      <c r="A395" s="11">
        <f t="shared" ref="A395:A577" si="8">IF(C395&lt;&gt;"",COUNTA($C$4:C395),"")</f>
        <v>392</v>
      </c>
      <c r="B395" s="12" t="s">
        <v>114</v>
      </c>
      <c r="C395" s="13" t="s">
        <v>943</v>
      </c>
      <c r="D395" s="12"/>
      <c r="E395" s="12"/>
      <c r="F395" s="12" t="s">
        <v>8</v>
      </c>
      <c r="G395" s="19" t="s">
        <v>40</v>
      </c>
      <c r="H395" s="19"/>
    </row>
    <row r="396" spans="1:8" ht="19.5" customHeight="1">
      <c r="A396" s="15">
        <f t="shared" si="8"/>
        <v>393</v>
      </c>
      <c r="B396" s="16" t="s">
        <v>114</v>
      </c>
      <c r="C396" s="17" t="s">
        <v>944</v>
      </c>
      <c r="D396" s="16"/>
      <c r="E396" s="16"/>
      <c r="F396" s="40" t="s">
        <v>22</v>
      </c>
      <c r="G396" s="40" t="s">
        <v>40</v>
      </c>
      <c r="H396" s="40"/>
    </row>
    <row r="397" spans="1:8" ht="19.5" customHeight="1">
      <c r="A397" s="11">
        <f t="shared" si="8"/>
        <v>394</v>
      </c>
      <c r="B397" s="12" t="s">
        <v>114</v>
      </c>
      <c r="C397" s="13" t="s">
        <v>945</v>
      </c>
      <c r="D397" s="12"/>
      <c r="E397" s="12"/>
      <c r="F397" s="19" t="s">
        <v>3</v>
      </c>
      <c r="G397" s="19" t="s">
        <v>40</v>
      </c>
      <c r="H397" s="19"/>
    </row>
    <row r="398" spans="1:8" ht="19.5" customHeight="1">
      <c r="A398" s="42">
        <f t="shared" si="8"/>
        <v>395</v>
      </c>
      <c r="B398" s="43"/>
      <c r="C398" s="44" t="s">
        <v>946</v>
      </c>
      <c r="D398" s="43"/>
      <c r="E398" s="43"/>
      <c r="F398" s="45" t="s">
        <v>3</v>
      </c>
      <c r="G398" s="45" t="s">
        <v>40</v>
      </c>
      <c r="H398" s="40"/>
    </row>
    <row r="399" spans="1:8" ht="19.5" customHeight="1">
      <c r="A399" s="42">
        <f t="shared" si="8"/>
        <v>396</v>
      </c>
      <c r="B399" s="43"/>
      <c r="C399" s="44" t="s">
        <v>947</v>
      </c>
      <c r="D399" s="43"/>
      <c r="E399" s="43"/>
      <c r="F399" s="45" t="s">
        <v>3</v>
      </c>
      <c r="G399" s="45" t="s">
        <v>40</v>
      </c>
      <c r="H399" s="19"/>
    </row>
    <row r="400" spans="1:8" ht="19.5" customHeight="1">
      <c r="A400" s="15">
        <f t="shared" si="8"/>
        <v>397</v>
      </c>
      <c r="B400" s="16"/>
      <c r="C400" s="17" t="s">
        <v>948</v>
      </c>
      <c r="D400" s="16"/>
      <c r="E400" s="16"/>
      <c r="F400" s="40" t="s">
        <v>3</v>
      </c>
      <c r="G400" s="40" t="s">
        <v>40</v>
      </c>
      <c r="H400" s="40"/>
    </row>
    <row r="401" spans="1:8" ht="19.5" customHeight="1">
      <c r="A401" s="11">
        <f t="shared" si="8"/>
        <v>398</v>
      </c>
      <c r="B401" s="12" t="s">
        <v>114</v>
      </c>
      <c r="C401" s="13" t="s">
        <v>949</v>
      </c>
      <c r="D401" s="12" t="s">
        <v>950</v>
      </c>
      <c r="E401" s="12"/>
      <c r="F401" s="12" t="s">
        <v>13</v>
      </c>
      <c r="G401" s="14" t="s">
        <v>40</v>
      </c>
      <c r="H401" s="14"/>
    </row>
    <row r="402" spans="1:8" ht="19.5" customHeight="1">
      <c r="A402" s="15">
        <f t="shared" si="8"/>
        <v>399</v>
      </c>
      <c r="B402" s="16" t="s">
        <v>114</v>
      </c>
      <c r="C402" s="17" t="s">
        <v>951</v>
      </c>
      <c r="D402" s="16" t="s">
        <v>952</v>
      </c>
      <c r="E402" s="16"/>
      <c r="F402" s="40" t="s">
        <v>18</v>
      </c>
      <c r="G402" s="40" t="s">
        <v>9</v>
      </c>
      <c r="H402" s="40"/>
    </row>
    <row r="403" spans="1:8" ht="19.5" customHeight="1">
      <c r="A403" s="42">
        <f t="shared" si="8"/>
        <v>400</v>
      </c>
      <c r="B403" s="43"/>
      <c r="C403" s="44" t="s">
        <v>953</v>
      </c>
      <c r="D403" s="43"/>
      <c r="E403" s="43"/>
      <c r="F403" s="45" t="s">
        <v>3</v>
      </c>
      <c r="G403" s="45" t="s">
        <v>15</v>
      </c>
      <c r="H403" s="19"/>
    </row>
    <row r="404" spans="1:8" ht="19.5" customHeight="1">
      <c r="A404" s="15">
        <f t="shared" si="8"/>
        <v>401</v>
      </c>
      <c r="B404" s="16" t="s">
        <v>114</v>
      </c>
      <c r="C404" s="17" t="s">
        <v>954</v>
      </c>
      <c r="D404" s="16" t="s">
        <v>955</v>
      </c>
      <c r="E404" s="16"/>
      <c r="F404" s="40" t="s">
        <v>3</v>
      </c>
      <c r="G404" s="40" t="s">
        <v>15</v>
      </c>
      <c r="H404" s="40"/>
    </row>
    <row r="405" spans="1:8" ht="19.5" customHeight="1">
      <c r="A405" s="11">
        <f t="shared" si="8"/>
        <v>402</v>
      </c>
      <c r="B405" s="12"/>
      <c r="C405" s="13" t="s">
        <v>956</v>
      </c>
      <c r="D405" s="12"/>
      <c r="E405" s="12"/>
      <c r="F405" s="19" t="s">
        <v>3</v>
      </c>
      <c r="G405" s="19" t="s">
        <v>15</v>
      </c>
      <c r="H405" s="19"/>
    </row>
    <row r="406" spans="1:8" ht="19.5" customHeight="1">
      <c r="A406" s="15">
        <f t="shared" si="8"/>
        <v>403</v>
      </c>
      <c r="B406" s="16"/>
      <c r="C406" s="17" t="s">
        <v>957</v>
      </c>
      <c r="D406" s="16"/>
      <c r="E406" s="16"/>
      <c r="F406" s="40"/>
      <c r="G406" s="40"/>
      <c r="H406" s="40"/>
    </row>
    <row r="407" spans="1:8" ht="19.5" customHeight="1">
      <c r="A407" s="11">
        <f t="shared" si="8"/>
        <v>404</v>
      </c>
      <c r="B407" s="12"/>
      <c r="C407" s="13" t="s">
        <v>958</v>
      </c>
      <c r="D407" s="12"/>
      <c r="E407" s="12"/>
      <c r="F407" s="19" t="s">
        <v>3</v>
      </c>
      <c r="G407" s="19" t="s">
        <v>15</v>
      </c>
      <c r="H407" s="19"/>
    </row>
    <row r="408" spans="1:8" ht="19.5" customHeight="1">
      <c r="A408" s="15">
        <f t="shared" si="8"/>
        <v>405</v>
      </c>
      <c r="B408" s="16"/>
      <c r="C408" s="17" t="s">
        <v>959</v>
      </c>
      <c r="D408" s="16"/>
      <c r="E408" s="16"/>
      <c r="F408" s="40" t="s">
        <v>3</v>
      </c>
      <c r="G408" s="40" t="s">
        <v>15</v>
      </c>
      <c r="H408" s="40"/>
    </row>
    <row r="409" spans="1:8" ht="19.5" customHeight="1">
      <c r="A409" s="11">
        <f t="shared" si="8"/>
        <v>406</v>
      </c>
      <c r="B409" s="12" t="s">
        <v>114</v>
      </c>
      <c r="C409" s="13" t="s">
        <v>960</v>
      </c>
      <c r="D409" s="12" t="s">
        <v>961</v>
      </c>
      <c r="E409" s="12"/>
      <c r="F409" s="19" t="s">
        <v>3</v>
      </c>
      <c r="G409" s="19" t="s">
        <v>41</v>
      </c>
      <c r="H409" s="19"/>
    </row>
    <row r="410" spans="1:8" ht="19.5" customHeight="1">
      <c r="A410" s="15">
        <f t="shared" si="8"/>
        <v>407</v>
      </c>
      <c r="B410" s="16" t="s">
        <v>114</v>
      </c>
      <c r="C410" s="17" t="s">
        <v>962</v>
      </c>
      <c r="D410" s="16" t="s">
        <v>963</v>
      </c>
      <c r="E410" s="16"/>
      <c r="F410" s="40" t="s">
        <v>3</v>
      </c>
      <c r="G410" s="40" t="s">
        <v>67</v>
      </c>
      <c r="H410" s="40"/>
    </row>
    <row r="411" spans="1:8" ht="19.5" customHeight="1">
      <c r="A411" s="11">
        <f t="shared" si="8"/>
        <v>408</v>
      </c>
      <c r="B411" s="12"/>
      <c r="C411" s="13" t="s">
        <v>964</v>
      </c>
      <c r="D411" s="12"/>
      <c r="E411" s="12"/>
      <c r="F411" s="19"/>
      <c r="G411" s="19"/>
      <c r="H411" s="19"/>
    </row>
    <row r="412" spans="1:8" ht="19.5" customHeight="1">
      <c r="A412" s="15">
        <f t="shared" si="8"/>
        <v>409</v>
      </c>
      <c r="B412" s="16" t="s">
        <v>114</v>
      </c>
      <c r="C412" s="17" t="s">
        <v>965</v>
      </c>
      <c r="D412" s="16" t="s">
        <v>966</v>
      </c>
      <c r="E412" s="16"/>
      <c r="F412" s="40" t="s">
        <v>3</v>
      </c>
      <c r="G412" s="40" t="s">
        <v>37</v>
      </c>
      <c r="H412" s="40"/>
    </row>
    <row r="413" spans="1:8" ht="19.5" customHeight="1">
      <c r="A413" s="11">
        <f t="shared" si="8"/>
        <v>410</v>
      </c>
      <c r="B413" s="12" t="s">
        <v>114</v>
      </c>
      <c r="C413" s="13" t="s">
        <v>967</v>
      </c>
      <c r="D413" s="12" t="s">
        <v>968</v>
      </c>
      <c r="E413" s="12"/>
      <c r="F413" s="19" t="s">
        <v>3</v>
      </c>
      <c r="G413" s="19" t="s">
        <v>37</v>
      </c>
      <c r="H413" s="19"/>
    </row>
    <row r="414" spans="1:8" ht="19.5" customHeight="1">
      <c r="A414" s="15">
        <f t="shared" si="8"/>
        <v>411</v>
      </c>
      <c r="B414" s="16" t="s">
        <v>114</v>
      </c>
      <c r="C414" s="17" t="s">
        <v>969</v>
      </c>
      <c r="D414" s="16" t="s">
        <v>970</v>
      </c>
      <c r="E414" s="16"/>
      <c r="F414" s="40" t="s">
        <v>3</v>
      </c>
      <c r="G414" s="40" t="s">
        <v>37</v>
      </c>
      <c r="H414" s="40"/>
    </row>
    <row r="415" spans="1:8" ht="19.5" customHeight="1">
      <c r="A415" s="11">
        <f t="shared" si="8"/>
        <v>412</v>
      </c>
      <c r="B415" s="12" t="s">
        <v>114</v>
      </c>
      <c r="C415" s="13" t="s">
        <v>971</v>
      </c>
      <c r="D415" s="12" t="s">
        <v>972</v>
      </c>
      <c r="E415" s="12" t="s">
        <v>973</v>
      </c>
      <c r="F415" s="19" t="s">
        <v>3</v>
      </c>
      <c r="G415" s="19" t="s">
        <v>63</v>
      </c>
      <c r="H415" s="19"/>
    </row>
    <row r="416" spans="1:8" ht="19.5" customHeight="1">
      <c r="A416" s="15">
        <f t="shared" si="8"/>
        <v>413</v>
      </c>
      <c r="B416" s="16" t="s">
        <v>114</v>
      </c>
      <c r="C416" s="17" t="s">
        <v>974</v>
      </c>
      <c r="D416" s="16" t="s">
        <v>975</v>
      </c>
      <c r="E416" s="16"/>
      <c r="F416" s="40" t="s">
        <v>3</v>
      </c>
      <c r="G416" s="40" t="s">
        <v>51</v>
      </c>
      <c r="H416" s="40"/>
    </row>
    <row r="417" spans="1:8" ht="19.5" customHeight="1">
      <c r="A417" s="11">
        <f t="shared" si="8"/>
        <v>414</v>
      </c>
      <c r="B417" s="12" t="s">
        <v>114</v>
      </c>
      <c r="C417" s="13" t="s">
        <v>976</v>
      </c>
      <c r="D417" s="12" t="s">
        <v>977</v>
      </c>
      <c r="E417" s="12"/>
      <c r="F417" s="19" t="s">
        <v>3</v>
      </c>
      <c r="G417" s="19" t="s">
        <v>51</v>
      </c>
      <c r="H417" s="19"/>
    </row>
    <row r="418" spans="1:8" ht="19.5" customHeight="1">
      <c r="A418" s="15">
        <f t="shared" si="8"/>
        <v>415</v>
      </c>
      <c r="B418" s="16" t="s">
        <v>114</v>
      </c>
      <c r="C418" s="17" t="s">
        <v>978</v>
      </c>
      <c r="D418" s="16" t="s">
        <v>979</v>
      </c>
      <c r="E418" s="16"/>
      <c r="F418" s="40" t="s">
        <v>3</v>
      </c>
      <c r="G418" s="40" t="s">
        <v>37</v>
      </c>
      <c r="H418" s="40"/>
    </row>
    <row r="419" spans="1:8" ht="19.5" customHeight="1">
      <c r="A419" s="11">
        <f t="shared" si="8"/>
        <v>416</v>
      </c>
      <c r="B419" s="12" t="s">
        <v>114</v>
      </c>
      <c r="C419" s="13" t="s">
        <v>980</v>
      </c>
      <c r="D419" s="12" t="s">
        <v>981</v>
      </c>
      <c r="E419" s="12"/>
      <c r="F419" s="19" t="s">
        <v>3</v>
      </c>
      <c r="G419" s="19" t="s">
        <v>37</v>
      </c>
      <c r="H419" s="19"/>
    </row>
    <row r="420" spans="1:8" ht="19.5" customHeight="1">
      <c r="A420" s="42">
        <f t="shared" si="8"/>
        <v>417</v>
      </c>
      <c r="B420" s="43"/>
      <c r="C420" s="44" t="s">
        <v>982</v>
      </c>
      <c r="D420" s="43" t="s">
        <v>983</v>
      </c>
      <c r="E420" s="43"/>
      <c r="F420" s="45" t="s">
        <v>3</v>
      </c>
      <c r="G420" s="45" t="s">
        <v>44</v>
      </c>
      <c r="H420" s="40"/>
    </row>
    <row r="421" spans="1:8" ht="19.5" customHeight="1">
      <c r="A421" s="42">
        <f t="shared" si="8"/>
        <v>418</v>
      </c>
      <c r="B421" s="43"/>
      <c r="C421" s="44" t="s">
        <v>984</v>
      </c>
      <c r="D421" s="43"/>
      <c r="E421" s="43"/>
      <c r="F421" s="45" t="s">
        <v>3</v>
      </c>
      <c r="G421" s="45" t="s">
        <v>44</v>
      </c>
      <c r="H421" s="19"/>
    </row>
    <row r="422" spans="1:8" ht="19.5" customHeight="1">
      <c r="A422" s="42">
        <f t="shared" si="8"/>
        <v>419</v>
      </c>
      <c r="B422" s="43" t="s">
        <v>114</v>
      </c>
      <c r="C422" s="44" t="s">
        <v>985</v>
      </c>
      <c r="D422" s="43"/>
      <c r="E422" s="43"/>
      <c r="F422" s="43" t="s">
        <v>13</v>
      </c>
      <c r="G422" s="46" t="s">
        <v>53</v>
      </c>
      <c r="H422" s="18"/>
    </row>
    <row r="423" spans="1:8" ht="19.5" customHeight="1">
      <c r="A423" s="11">
        <f t="shared" si="8"/>
        <v>420</v>
      </c>
      <c r="B423" s="12" t="s">
        <v>114</v>
      </c>
      <c r="C423" s="13" t="s">
        <v>986</v>
      </c>
      <c r="D423" s="12" t="s">
        <v>987</v>
      </c>
      <c r="E423" s="12"/>
      <c r="F423" s="19" t="s">
        <v>22</v>
      </c>
      <c r="G423" s="19" t="s">
        <v>45</v>
      </c>
      <c r="H423" s="19"/>
    </row>
    <row r="424" spans="1:8" ht="19.5" customHeight="1">
      <c r="A424" s="15">
        <f t="shared" si="8"/>
        <v>421</v>
      </c>
      <c r="B424" s="16" t="s">
        <v>114</v>
      </c>
      <c r="C424" s="17" t="s">
        <v>988</v>
      </c>
      <c r="D424" s="16" t="s">
        <v>989</v>
      </c>
      <c r="E424" s="16"/>
      <c r="F424" s="40" t="s">
        <v>22</v>
      </c>
      <c r="G424" s="40" t="s">
        <v>45</v>
      </c>
      <c r="H424" s="40"/>
    </row>
    <row r="425" spans="1:8" ht="19.5" customHeight="1">
      <c r="A425" s="11">
        <f t="shared" si="8"/>
        <v>422</v>
      </c>
      <c r="B425" s="12" t="s">
        <v>114</v>
      </c>
      <c r="C425" s="13" t="s">
        <v>990</v>
      </c>
      <c r="D425" s="12" t="s">
        <v>991</v>
      </c>
      <c r="E425" s="12"/>
      <c r="F425" s="19" t="s">
        <v>22</v>
      </c>
      <c r="G425" s="19" t="s">
        <v>45</v>
      </c>
      <c r="H425" s="19"/>
    </row>
    <row r="426" spans="1:8" ht="19.5" customHeight="1">
      <c r="A426" s="15">
        <f t="shared" si="8"/>
        <v>423</v>
      </c>
      <c r="B426" s="16" t="s">
        <v>114</v>
      </c>
      <c r="C426" s="17" t="s">
        <v>992</v>
      </c>
      <c r="D426" s="16" t="s">
        <v>993</v>
      </c>
      <c r="E426" s="16"/>
      <c r="F426" s="40" t="s">
        <v>22</v>
      </c>
      <c r="G426" s="40" t="s">
        <v>45</v>
      </c>
      <c r="H426" s="40"/>
    </row>
    <row r="427" spans="1:8" ht="19.5" customHeight="1">
      <c r="A427" s="11">
        <f t="shared" si="8"/>
        <v>424</v>
      </c>
      <c r="B427" s="12" t="s">
        <v>114</v>
      </c>
      <c r="C427" s="13" t="s">
        <v>994</v>
      </c>
      <c r="D427" s="12" t="s">
        <v>995</v>
      </c>
      <c r="E427" s="12"/>
      <c r="F427" s="19" t="s">
        <v>8</v>
      </c>
      <c r="G427" s="19" t="s">
        <v>45</v>
      </c>
      <c r="H427" s="19"/>
    </row>
    <row r="428" spans="1:8" ht="19.5" customHeight="1">
      <c r="A428" s="15">
        <f t="shared" si="8"/>
        <v>425</v>
      </c>
      <c r="B428" s="16" t="s">
        <v>114</v>
      </c>
      <c r="C428" s="17" t="s">
        <v>996</v>
      </c>
      <c r="D428" s="16" t="s">
        <v>997</v>
      </c>
      <c r="E428" s="16"/>
      <c r="F428" s="40" t="s">
        <v>22</v>
      </c>
      <c r="G428" s="40" t="s">
        <v>45</v>
      </c>
      <c r="H428" s="40"/>
    </row>
    <row r="429" spans="1:8" ht="19.5" customHeight="1">
      <c r="A429" s="11">
        <f t="shared" si="8"/>
        <v>426</v>
      </c>
      <c r="B429" s="12" t="s">
        <v>114</v>
      </c>
      <c r="C429" s="13" t="s">
        <v>998</v>
      </c>
      <c r="D429" s="12" t="s">
        <v>999</v>
      </c>
      <c r="E429" s="12"/>
      <c r="F429" s="19" t="s">
        <v>22</v>
      </c>
      <c r="G429" s="19" t="s">
        <v>45</v>
      </c>
      <c r="H429" s="19"/>
    </row>
    <row r="430" spans="1:8" ht="19.5" customHeight="1">
      <c r="A430" s="15">
        <f t="shared" si="8"/>
        <v>427</v>
      </c>
      <c r="B430" s="16" t="s">
        <v>114</v>
      </c>
      <c r="C430" s="17" t="s">
        <v>1000</v>
      </c>
      <c r="D430" s="16" t="s">
        <v>1001</v>
      </c>
      <c r="E430" s="16"/>
      <c r="F430" s="40" t="s">
        <v>22</v>
      </c>
      <c r="G430" s="40" t="s">
        <v>45</v>
      </c>
      <c r="H430" s="40"/>
    </row>
    <row r="431" spans="1:8" ht="19.5" customHeight="1">
      <c r="A431" s="11">
        <f t="shared" si="8"/>
        <v>428</v>
      </c>
      <c r="B431" s="12" t="s">
        <v>114</v>
      </c>
      <c r="C431" s="13" t="s">
        <v>1002</v>
      </c>
      <c r="D431" s="12" t="s">
        <v>1003</v>
      </c>
      <c r="E431" s="12"/>
      <c r="F431" s="19" t="s">
        <v>8</v>
      </c>
      <c r="G431" s="19" t="s">
        <v>4</v>
      </c>
      <c r="H431" s="19"/>
    </row>
    <row r="432" spans="1:8" ht="19.5" customHeight="1">
      <c r="A432" s="15">
        <f t="shared" si="8"/>
        <v>429</v>
      </c>
      <c r="B432" s="16" t="s">
        <v>114</v>
      </c>
      <c r="C432" s="17" t="s">
        <v>1004</v>
      </c>
      <c r="D432" s="16" t="s">
        <v>1005</v>
      </c>
      <c r="E432" s="16"/>
      <c r="F432" s="40" t="s">
        <v>8</v>
      </c>
      <c r="G432" s="40" t="s">
        <v>45</v>
      </c>
      <c r="H432" s="40"/>
    </row>
    <row r="433" spans="1:8" ht="19.5" customHeight="1">
      <c r="A433" s="11">
        <f t="shared" si="8"/>
        <v>430</v>
      </c>
      <c r="B433" s="12" t="s">
        <v>114</v>
      </c>
      <c r="C433" s="13" t="s">
        <v>1006</v>
      </c>
      <c r="D433" s="12" t="s">
        <v>1007</v>
      </c>
      <c r="E433" s="12"/>
      <c r="F433" s="19" t="s">
        <v>8</v>
      </c>
      <c r="G433" s="19" t="s">
        <v>45</v>
      </c>
      <c r="H433" s="19"/>
    </row>
    <row r="434" spans="1:8" ht="19.5" customHeight="1">
      <c r="A434" s="15">
        <f t="shared" si="8"/>
        <v>431</v>
      </c>
      <c r="B434" s="16" t="s">
        <v>114</v>
      </c>
      <c r="C434" s="17" t="s">
        <v>1008</v>
      </c>
      <c r="D434" s="16" t="s">
        <v>1009</v>
      </c>
      <c r="E434" s="16"/>
      <c r="F434" s="40" t="s">
        <v>8</v>
      </c>
      <c r="G434" s="40" t="s">
        <v>4</v>
      </c>
      <c r="H434" s="40"/>
    </row>
    <row r="435" spans="1:8" ht="19.5" customHeight="1">
      <c r="A435" s="11">
        <f t="shared" si="8"/>
        <v>432</v>
      </c>
      <c r="B435" s="12" t="s">
        <v>114</v>
      </c>
      <c r="C435" s="13" t="s">
        <v>1010</v>
      </c>
      <c r="D435" s="12" t="s">
        <v>1011</v>
      </c>
      <c r="E435" s="12"/>
      <c r="F435" s="19" t="s">
        <v>8</v>
      </c>
      <c r="G435" s="19" t="s">
        <v>4</v>
      </c>
      <c r="H435" s="19"/>
    </row>
    <row r="436" spans="1:8" ht="19.5" customHeight="1">
      <c r="A436" s="15">
        <f t="shared" si="8"/>
        <v>433</v>
      </c>
      <c r="B436" s="16" t="s">
        <v>114</v>
      </c>
      <c r="C436" s="17" t="s">
        <v>1012</v>
      </c>
      <c r="D436" s="16" t="s">
        <v>1013</v>
      </c>
      <c r="E436" s="16" t="s">
        <v>1014</v>
      </c>
      <c r="F436" s="40" t="s">
        <v>8</v>
      </c>
      <c r="G436" s="40" t="s">
        <v>4</v>
      </c>
      <c r="H436" s="40"/>
    </row>
    <row r="437" spans="1:8" ht="19.5" customHeight="1">
      <c r="A437" s="11">
        <f t="shared" si="8"/>
        <v>434</v>
      </c>
      <c r="B437" s="12" t="s">
        <v>114</v>
      </c>
      <c r="C437" s="13" t="s">
        <v>1015</v>
      </c>
      <c r="D437" s="12" t="s">
        <v>1016</v>
      </c>
      <c r="E437" s="12"/>
      <c r="F437" s="19" t="s">
        <v>8</v>
      </c>
      <c r="G437" s="19" t="s">
        <v>19</v>
      </c>
      <c r="H437" s="19">
        <v>0.2</v>
      </c>
    </row>
    <row r="438" spans="1:8" ht="19.5" customHeight="1">
      <c r="A438" s="15">
        <f t="shared" si="8"/>
        <v>435</v>
      </c>
      <c r="B438" s="16"/>
      <c r="C438" s="17" t="s">
        <v>1017</v>
      </c>
      <c r="D438" s="16" t="s">
        <v>1018</v>
      </c>
      <c r="E438" s="16"/>
      <c r="F438" s="40" t="s">
        <v>8</v>
      </c>
      <c r="G438" s="40" t="s">
        <v>52</v>
      </c>
      <c r="H438" s="40"/>
    </row>
    <row r="439" spans="1:8" ht="19.5" customHeight="1">
      <c r="A439" s="11">
        <f t="shared" si="8"/>
        <v>436</v>
      </c>
      <c r="B439" s="12"/>
      <c r="C439" s="13" t="s">
        <v>1019</v>
      </c>
      <c r="D439" s="12"/>
      <c r="E439" s="12"/>
      <c r="F439" s="19" t="s">
        <v>3</v>
      </c>
      <c r="G439" s="19"/>
      <c r="H439" s="19"/>
    </row>
    <row r="440" spans="1:8" ht="19.5" customHeight="1">
      <c r="A440" s="15">
        <f t="shared" si="8"/>
        <v>437</v>
      </c>
      <c r="B440" s="16" t="s">
        <v>114</v>
      </c>
      <c r="C440" s="17" t="s">
        <v>1020</v>
      </c>
      <c r="D440" s="16" t="s">
        <v>1021</v>
      </c>
      <c r="E440" s="16"/>
      <c r="F440" s="40" t="s">
        <v>13</v>
      </c>
      <c r="G440" s="40" t="s">
        <v>60</v>
      </c>
      <c r="H440" s="40"/>
    </row>
    <row r="441" spans="1:8" ht="19.5" customHeight="1">
      <c r="A441" s="11">
        <f t="shared" si="8"/>
        <v>438</v>
      </c>
      <c r="B441" s="12" t="s">
        <v>114</v>
      </c>
      <c r="C441" s="13" t="s">
        <v>1022</v>
      </c>
      <c r="D441" s="12" t="s">
        <v>1023</v>
      </c>
      <c r="E441" s="12"/>
      <c r="F441" s="19" t="s">
        <v>18</v>
      </c>
      <c r="G441" s="19" t="s">
        <v>46</v>
      </c>
      <c r="H441" s="19">
        <v>50</v>
      </c>
    </row>
    <row r="442" spans="1:8" ht="19.5" customHeight="1">
      <c r="A442" s="15">
        <f t="shared" si="8"/>
        <v>439</v>
      </c>
      <c r="B442" s="16" t="s">
        <v>114</v>
      </c>
      <c r="C442" s="17" t="s">
        <v>1024</v>
      </c>
      <c r="D442" s="16" t="s">
        <v>1025</v>
      </c>
      <c r="E442" s="16"/>
      <c r="F442" s="40" t="s">
        <v>18</v>
      </c>
      <c r="G442" s="40" t="s">
        <v>64</v>
      </c>
      <c r="H442" s="40">
        <v>10</v>
      </c>
    </row>
    <row r="443" spans="1:8" ht="19.5" customHeight="1">
      <c r="A443" s="11">
        <f t="shared" si="8"/>
        <v>440</v>
      </c>
      <c r="B443" s="12" t="s">
        <v>114</v>
      </c>
      <c r="C443" s="13" t="s">
        <v>1026</v>
      </c>
      <c r="D443" s="12" t="s">
        <v>1027</v>
      </c>
      <c r="E443" s="12"/>
      <c r="F443" s="19" t="s">
        <v>18</v>
      </c>
      <c r="G443" s="19" t="s">
        <v>64</v>
      </c>
      <c r="H443" s="19"/>
    </row>
    <row r="444" spans="1:8" ht="19.5" customHeight="1">
      <c r="A444" s="15">
        <f t="shared" si="8"/>
        <v>441</v>
      </c>
      <c r="B444" s="16" t="s">
        <v>114</v>
      </c>
      <c r="C444" s="17" t="s">
        <v>1028</v>
      </c>
      <c r="D444" s="16"/>
      <c r="E444" s="16"/>
      <c r="F444" s="40" t="s">
        <v>18</v>
      </c>
      <c r="G444" s="40" t="s">
        <v>64</v>
      </c>
      <c r="H444" s="40"/>
    </row>
    <row r="445" spans="1:8" ht="19.5" customHeight="1">
      <c r="A445" s="11">
        <f t="shared" si="8"/>
        <v>442</v>
      </c>
      <c r="B445" s="12"/>
      <c r="C445" s="13" t="s">
        <v>1029</v>
      </c>
      <c r="D445" s="12"/>
      <c r="E445" s="12"/>
      <c r="F445" s="19" t="s">
        <v>3</v>
      </c>
      <c r="G445" s="19"/>
      <c r="H445" s="19"/>
    </row>
    <row r="446" spans="1:8" ht="19.5" customHeight="1">
      <c r="A446" s="15">
        <f t="shared" si="8"/>
        <v>443</v>
      </c>
      <c r="B446" s="16"/>
      <c r="C446" s="17" t="s">
        <v>1030</v>
      </c>
      <c r="D446" s="16"/>
      <c r="E446" s="16"/>
      <c r="F446" s="40" t="s">
        <v>3</v>
      </c>
      <c r="G446" s="40"/>
      <c r="H446" s="40"/>
    </row>
    <row r="447" spans="1:8" ht="19.5" customHeight="1">
      <c r="A447" s="11">
        <f t="shared" si="8"/>
        <v>444</v>
      </c>
      <c r="B447" s="12"/>
      <c r="C447" s="13" t="s">
        <v>1031</v>
      </c>
      <c r="D447" s="12"/>
      <c r="E447" s="12"/>
      <c r="F447" s="19" t="s">
        <v>8</v>
      </c>
      <c r="G447" s="19" t="s">
        <v>30</v>
      </c>
      <c r="H447" s="19"/>
    </row>
    <row r="448" spans="1:8" ht="19.5" customHeight="1">
      <c r="A448" s="15">
        <f t="shared" si="8"/>
        <v>445</v>
      </c>
      <c r="B448" s="16" t="s">
        <v>114</v>
      </c>
      <c r="C448" s="17" t="s">
        <v>1032</v>
      </c>
      <c r="D448" s="16" t="s">
        <v>1033</v>
      </c>
      <c r="E448" s="16"/>
      <c r="F448" s="40" t="s">
        <v>8</v>
      </c>
      <c r="G448" s="40" t="s">
        <v>49</v>
      </c>
      <c r="H448" s="40"/>
    </row>
    <row r="449" spans="1:8" ht="19.5" customHeight="1">
      <c r="A449" s="11">
        <f t="shared" si="8"/>
        <v>446</v>
      </c>
      <c r="B449" s="12"/>
      <c r="C449" s="13" t="s">
        <v>1034</v>
      </c>
      <c r="D449" s="12"/>
      <c r="E449" s="12"/>
      <c r="F449" s="19"/>
      <c r="G449" s="19"/>
      <c r="H449" s="19"/>
    </row>
    <row r="450" spans="1:8" ht="19.5" customHeight="1">
      <c r="A450" s="15">
        <f t="shared" si="8"/>
        <v>447</v>
      </c>
      <c r="B450" s="16"/>
      <c r="C450" s="17" t="s">
        <v>1035</v>
      </c>
      <c r="D450" s="16"/>
      <c r="E450" s="16"/>
      <c r="F450" s="40"/>
      <c r="G450" s="40"/>
      <c r="H450" s="40"/>
    </row>
    <row r="451" spans="1:8" ht="19.5" customHeight="1">
      <c r="A451" s="11">
        <f t="shared" si="8"/>
        <v>448</v>
      </c>
      <c r="B451" s="12" t="s">
        <v>114</v>
      </c>
      <c r="C451" s="13" t="s">
        <v>1036</v>
      </c>
      <c r="D451" s="12"/>
      <c r="E451" s="12"/>
      <c r="F451" s="19" t="s">
        <v>3</v>
      </c>
      <c r="G451" s="19"/>
      <c r="H451" s="19"/>
    </row>
    <row r="452" spans="1:8" ht="19.5" customHeight="1">
      <c r="A452" s="15">
        <f t="shared" si="8"/>
        <v>449</v>
      </c>
      <c r="B452" s="16"/>
      <c r="C452" s="17" t="s">
        <v>1037</v>
      </c>
      <c r="D452" s="16"/>
      <c r="E452" s="16"/>
      <c r="F452" s="40" t="s">
        <v>1038</v>
      </c>
      <c r="G452" s="40"/>
      <c r="H452" s="40"/>
    </row>
    <row r="453" spans="1:8" ht="19.5" customHeight="1">
      <c r="A453" s="11">
        <f t="shared" si="8"/>
        <v>450</v>
      </c>
      <c r="B453" s="12" t="s">
        <v>114</v>
      </c>
      <c r="C453" s="13" t="s">
        <v>1039</v>
      </c>
      <c r="D453" s="12" t="s">
        <v>1040</v>
      </c>
      <c r="E453" s="12"/>
      <c r="F453" s="19" t="s">
        <v>8</v>
      </c>
      <c r="G453" s="19" t="s">
        <v>49</v>
      </c>
      <c r="H453" s="19"/>
    </row>
    <row r="454" spans="1:8" ht="19.5" customHeight="1">
      <c r="A454" s="15">
        <f t="shared" si="8"/>
        <v>451</v>
      </c>
      <c r="B454" s="16" t="s">
        <v>114</v>
      </c>
      <c r="C454" s="17" t="s">
        <v>1041</v>
      </c>
      <c r="D454" s="16"/>
      <c r="E454" s="16"/>
      <c r="F454" s="40" t="s">
        <v>3</v>
      </c>
      <c r="G454" s="40" t="s">
        <v>49</v>
      </c>
      <c r="H454" s="40"/>
    </row>
    <row r="455" spans="1:8" ht="19.5" customHeight="1">
      <c r="A455" s="11">
        <f t="shared" si="8"/>
        <v>452</v>
      </c>
      <c r="B455" s="12"/>
      <c r="C455" s="13" t="s">
        <v>1042</v>
      </c>
      <c r="D455" s="12"/>
      <c r="E455" s="12"/>
      <c r="F455" s="19" t="s">
        <v>3</v>
      </c>
      <c r="G455" s="19" t="s">
        <v>42</v>
      </c>
      <c r="H455" s="19"/>
    </row>
    <row r="456" spans="1:8" ht="19.5" customHeight="1">
      <c r="A456" s="15">
        <f t="shared" si="8"/>
        <v>453</v>
      </c>
      <c r="B456" s="16"/>
      <c r="C456" s="17" t="s">
        <v>1043</v>
      </c>
      <c r="D456" s="16"/>
      <c r="E456" s="16"/>
      <c r="F456" s="40"/>
      <c r="G456" s="40"/>
      <c r="H456" s="40"/>
    </row>
    <row r="457" spans="1:8" ht="19.5" customHeight="1">
      <c r="A457" s="11">
        <f t="shared" si="8"/>
        <v>454</v>
      </c>
      <c r="B457" s="12"/>
      <c r="C457" s="13" t="s">
        <v>1044</v>
      </c>
      <c r="D457" s="12"/>
      <c r="E457" s="12"/>
      <c r="F457" s="19" t="s">
        <v>3</v>
      </c>
      <c r="G457" s="19" t="s">
        <v>42</v>
      </c>
      <c r="H457" s="19"/>
    </row>
    <row r="458" spans="1:8" ht="19.5" customHeight="1">
      <c r="A458" s="15">
        <f t="shared" si="8"/>
        <v>455</v>
      </c>
      <c r="B458" s="16"/>
      <c r="C458" s="17" t="s">
        <v>1045</v>
      </c>
      <c r="D458" s="16"/>
      <c r="E458" s="16"/>
      <c r="F458" s="40" t="s">
        <v>3</v>
      </c>
      <c r="G458" s="40" t="s">
        <v>42</v>
      </c>
      <c r="H458" s="40"/>
    </row>
    <row r="459" spans="1:8" ht="19.5" customHeight="1">
      <c r="A459" s="11">
        <f t="shared" si="8"/>
        <v>456</v>
      </c>
      <c r="B459" s="12"/>
      <c r="C459" s="13" t="s">
        <v>1046</v>
      </c>
      <c r="D459" s="12"/>
      <c r="E459" s="12"/>
      <c r="F459" s="19" t="s">
        <v>3</v>
      </c>
      <c r="G459" s="19" t="s">
        <v>42</v>
      </c>
      <c r="H459" s="19"/>
    </row>
    <row r="460" spans="1:8" ht="19.5" customHeight="1">
      <c r="A460" s="15">
        <f t="shared" si="8"/>
        <v>457</v>
      </c>
      <c r="B460" s="16"/>
      <c r="C460" s="17" t="s">
        <v>1047</v>
      </c>
      <c r="D460" s="16"/>
      <c r="E460" s="16"/>
      <c r="F460" s="40" t="s">
        <v>3</v>
      </c>
      <c r="G460" s="40" t="s">
        <v>1048</v>
      </c>
      <c r="H460" s="40"/>
    </row>
    <row r="461" spans="1:8" ht="19.5" customHeight="1">
      <c r="A461" s="11">
        <f t="shared" si="8"/>
        <v>458</v>
      </c>
      <c r="B461" s="12"/>
      <c r="C461" s="13" t="s">
        <v>1049</v>
      </c>
      <c r="D461" s="12"/>
      <c r="E461" s="12"/>
      <c r="F461" s="19" t="s">
        <v>3</v>
      </c>
      <c r="G461" s="19" t="s">
        <v>42</v>
      </c>
      <c r="H461" s="19"/>
    </row>
    <row r="462" spans="1:8" ht="19.5" customHeight="1">
      <c r="A462" s="15">
        <f t="shared" si="8"/>
        <v>459</v>
      </c>
      <c r="B462" s="16" t="s">
        <v>114</v>
      </c>
      <c r="C462" s="26" t="s">
        <v>1050</v>
      </c>
      <c r="D462" s="16"/>
      <c r="E462" s="16"/>
      <c r="F462" s="40"/>
      <c r="G462" s="40" t="s">
        <v>43</v>
      </c>
      <c r="H462" s="40"/>
    </row>
    <row r="463" spans="1:8" ht="19.5" customHeight="1">
      <c r="A463" s="11">
        <f t="shared" si="8"/>
        <v>460</v>
      </c>
      <c r="B463" s="12" t="s">
        <v>114</v>
      </c>
      <c r="C463" s="22" t="s">
        <v>1051</v>
      </c>
      <c r="D463" s="12"/>
      <c r="E463" s="12" t="s">
        <v>1052</v>
      </c>
      <c r="F463" s="19"/>
      <c r="G463" s="19" t="s">
        <v>43</v>
      </c>
      <c r="H463" s="19"/>
    </row>
    <row r="464" spans="1:8" ht="19.5" customHeight="1">
      <c r="A464" s="15">
        <f t="shared" si="8"/>
        <v>461</v>
      </c>
      <c r="B464" s="16" t="s">
        <v>114</v>
      </c>
      <c r="C464" s="26" t="s">
        <v>1053</v>
      </c>
      <c r="D464" s="16"/>
      <c r="E464" s="16"/>
      <c r="F464" s="40"/>
      <c r="G464" s="40" t="s">
        <v>43</v>
      </c>
      <c r="H464" s="40"/>
    </row>
    <row r="465" spans="1:8" ht="19.5" customHeight="1">
      <c r="A465" s="11">
        <f t="shared" si="8"/>
        <v>462</v>
      </c>
      <c r="B465" s="12" t="s">
        <v>114</v>
      </c>
      <c r="C465" s="22" t="s">
        <v>1054</v>
      </c>
      <c r="D465" s="12"/>
      <c r="E465" s="12"/>
      <c r="F465" s="19"/>
      <c r="G465" s="19" t="s">
        <v>43</v>
      </c>
      <c r="H465" s="19"/>
    </row>
    <row r="466" spans="1:8" ht="19.5" customHeight="1">
      <c r="A466" s="15">
        <f t="shared" si="8"/>
        <v>463</v>
      </c>
      <c r="B466" s="16" t="s">
        <v>114</v>
      </c>
      <c r="C466" s="26" t="s">
        <v>1055</v>
      </c>
      <c r="D466" s="16"/>
      <c r="E466" s="16"/>
      <c r="F466" s="40"/>
      <c r="G466" s="40" t="s">
        <v>43</v>
      </c>
      <c r="H466" s="40"/>
    </row>
    <row r="467" spans="1:8" ht="19.5" customHeight="1">
      <c r="A467" s="11">
        <f t="shared" si="8"/>
        <v>464</v>
      </c>
      <c r="B467" s="12" t="s">
        <v>114</v>
      </c>
      <c r="C467" s="22" t="s">
        <v>1056</v>
      </c>
      <c r="D467" s="12"/>
      <c r="E467" s="12"/>
      <c r="F467" s="19"/>
      <c r="G467" s="19" t="s">
        <v>43</v>
      </c>
      <c r="H467" s="19"/>
    </row>
    <row r="468" spans="1:8" ht="19.5" customHeight="1">
      <c r="A468" s="15">
        <f t="shared" si="8"/>
        <v>465</v>
      </c>
      <c r="B468" s="16" t="s">
        <v>114</v>
      </c>
      <c r="C468" s="26" t="s">
        <v>1057</v>
      </c>
      <c r="D468" s="16"/>
      <c r="E468" s="16"/>
      <c r="F468" s="40"/>
      <c r="G468" s="40" t="s">
        <v>43</v>
      </c>
      <c r="H468" s="40"/>
    </row>
    <row r="469" spans="1:8" ht="19.5" customHeight="1">
      <c r="A469" s="11">
        <f t="shared" si="8"/>
        <v>466</v>
      </c>
      <c r="B469" s="12" t="s">
        <v>114</v>
      </c>
      <c r="C469" s="22" t="s">
        <v>1058</v>
      </c>
      <c r="D469" s="12"/>
      <c r="E469" s="12"/>
      <c r="F469" s="19"/>
      <c r="G469" s="19" t="s">
        <v>43</v>
      </c>
      <c r="H469" s="19"/>
    </row>
    <row r="470" spans="1:8" ht="19.5" customHeight="1">
      <c r="A470" s="15">
        <f t="shared" si="8"/>
        <v>467</v>
      </c>
      <c r="B470" s="16" t="s">
        <v>114</v>
      </c>
      <c r="C470" s="17" t="s">
        <v>1059</v>
      </c>
      <c r="D470" s="16" t="s">
        <v>1060</v>
      </c>
      <c r="E470" s="16"/>
      <c r="F470" s="40"/>
      <c r="G470" s="40" t="s">
        <v>53</v>
      </c>
      <c r="H470" s="40"/>
    </row>
    <row r="471" spans="1:8" ht="19.5" customHeight="1">
      <c r="A471" s="11">
        <f t="shared" si="8"/>
        <v>468</v>
      </c>
      <c r="B471" s="12" t="s">
        <v>114</v>
      </c>
      <c r="C471" s="13" t="s">
        <v>1061</v>
      </c>
      <c r="D471" s="12" t="s">
        <v>1062</v>
      </c>
      <c r="E471" s="12"/>
      <c r="F471" s="19"/>
      <c r="G471" s="19" t="s">
        <v>43</v>
      </c>
      <c r="H471" s="19"/>
    </row>
    <row r="472" spans="1:8" ht="19.5" customHeight="1">
      <c r="A472" s="15">
        <f t="shared" si="8"/>
        <v>469</v>
      </c>
      <c r="B472" s="16" t="s">
        <v>114</v>
      </c>
      <c r="C472" s="17" t="s">
        <v>1063</v>
      </c>
      <c r="D472" s="16" t="s">
        <v>1064</v>
      </c>
      <c r="E472" s="16"/>
      <c r="F472" s="40"/>
      <c r="G472" s="40" t="s">
        <v>43</v>
      </c>
      <c r="H472" s="40"/>
    </row>
    <row r="473" spans="1:8" ht="19.5" customHeight="1">
      <c r="A473" s="11">
        <f t="shared" si="8"/>
        <v>470</v>
      </c>
      <c r="B473" s="12" t="s">
        <v>114</v>
      </c>
      <c r="C473" s="13" t="s">
        <v>1065</v>
      </c>
      <c r="D473" s="12" t="s">
        <v>1066</v>
      </c>
      <c r="E473" s="12"/>
      <c r="F473" s="19"/>
      <c r="G473" s="19" t="s">
        <v>43</v>
      </c>
      <c r="H473" s="19"/>
    </row>
    <row r="474" spans="1:8" ht="19.5" customHeight="1">
      <c r="A474" s="15">
        <f t="shared" si="8"/>
        <v>471</v>
      </c>
      <c r="B474" s="16" t="s">
        <v>114</v>
      </c>
      <c r="C474" s="17" t="s">
        <v>1067</v>
      </c>
      <c r="D474" s="16" t="s">
        <v>1068</v>
      </c>
      <c r="E474" s="16"/>
      <c r="F474" s="40"/>
      <c r="G474" s="40" t="s">
        <v>53</v>
      </c>
      <c r="H474" s="40"/>
    </row>
    <row r="475" spans="1:8" ht="19.5" customHeight="1">
      <c r="A475" s="11">
        <f t="shared" si="8"/>
        <v>472</v>
      </c>
      <c r="B475" s="12" t="s">
        <v>114</v>
      </c>
      <c r="C475" s="13" t="s">
        <v>1069</v>
      </c>
      <c r="D475" s="12" t="s">
        <v>1070</v>
      </c>
      <c r="E475" s="12"/>
      <c r="F475" s="19"/>
      <c r="G475" s="19" t="s">
        <v>53</v>
      </c>
      <c r="H475" s="19"/>
    </row>
    <row r="476" spans="1:8" ht="19.5" customHeight="1">
      <c r="A476" s="15">
        <f t="shared" si="8"/>
        <v>473</v>
      </c>
      <c r="B476" s="16" t="s">
        <v>114</v>
      </c>
      <c r="C476" s="17" t="s">
        <v>1071</v>
      </c>
      <c r="D476" s="16" t="s">
        <v>1072</v>
      </c>
      <c r="E476" s="16"/>
      <c r="F476" s="40"/>
      <c r="G476" s="40" t="s">
        <v>43</v>
      </c>
      <c r="H476" s="40"/>
    </row>
    <row r="477" spans="1:8" ht="19.5" customHeight="1">
      <c r="A477" s="11">
        <f t="shared" si="8"/>
        <v>474</v>
      </c>
      <c r="B477" s="12" t="s">
        <v>114</v>
      </c>
      <c r="C477" s="13" t="s">
        <v>1073</v>
      </c>
      <c r="D477" s="12" t="s">
        <v>1074</v>
      </c>
      <c r="E477" s="12"/>
      <c r="F477" s="19"/>
      <c r="G477" s="19" t="s">
        <v>43</v>
      </c>
      <c r="H477" s="19"/>
    </row>
    <row r="478" spans="1:8" ht="19.5" customHeight="1">
      <c r="A478" s="15">
        <f t="shared" si="8"/>
        <v>475</v>
      </c>
      <c r="B478" s="16" t="s">
        <v>114</v>
      </c>
      <c r="C478" s="17" t="s">
        <v>1075</v>
      </c>
      <c r="D478" s="16" t="s">
        <v>1076</v>
      </c>
      <c r="E478" s="16"/>
      <c r="F478" s="40"/>
      <c r="G478" s="40" t="s">
        <v>53</v>
      </c>
      <c r="H478" s="40"/>
    </row>
    <row r="479" spans="1:8" ht="19.5" customHeight="1">
      <c r="A479" s="11">
        <f t="shared" si="8"/>
        <v>476</v>
      </c>
      <c r="B479" s="12" t="s">
        <v>114</v>
      </c>
      <c r="C479" s="13" t="s">
        <v>1077</v>
      </c>
      <c r="D479" s="12" t="s">
        <v>1078</v>
      </c>
      <c r="E479" s="12"/>
      <c r="F479" s="19"/>
      <c r="G479" s="19" t="s">
        <v>53</v>
      </c>
      <c r="H479" s="19"/>
    </row>
    <row r="480" spans="1:8" ht="19.5" customHeight="1">
      <c r="A480" s="15">
        <f t="shared" si="8"/>
        <v>477</v>
      </c>
      <c r="B480" s="16"/>
      <c r="C480" s="17" t="s">
        <v>1079</v>
      </c>
      <c r="D480" s="16" t="s">
        <v>1080</v>
      </c>
      <c r="E480" s="16"/>
      <c r="F480" s="40" t="s">
        <v>3</v>
      </c>
      <c r="G480" s="40" t="s">
        <v>43</v>
      </c>
      <c r="H480" s="40"/>
    </row>
    <row r="481" spans="1:8" ht="19.5" customHeight="1">
      <c r="A481" s="11">
        <f t="shared" si="8"/>
        <v>478</v>
      </c>
      <c r="B481" s="12"/>
      <c r="C481" s="13" t="s">
        <v>1081</v>
      </c>
      <c r="D481" s="12" t="s">
        <v>1082</v>
      </c>
      <c r="E481" s="12"/>
      <c r="F481" s="19"/>
      <c r="G481" s="19"/>
      <c r="H481" s="19"/>
    </row>
    <row r="482" spans="1:8" ht="19.5" customHeight="1">
      <c r="A482" s="15">
        <f t="shared" si="8"/>
        <v>479</v>
      </c>
      <c r="B482" s="16" t="s">
        <v>114</v>
      </c>
      <c r="C482" s="17" t="s">
        <v>1083</v>
      </c>
      <c r="D482" s="16" t="s">
        <v>1084</v>
      </c>
      <c r="E482" s="16"/>
      <c r="F482" s="40"/>
      <c r="G482" s="40"/>
      <c r="H482" s="40"/>
    </row>
    <row r="483" spans="1:8" ht="19.5" customHeight="1">
      <c r="A483" s="11">
        <f t="shared" si="8"/>
        <v>480</v>
      </c>
      <c r="B483" s="12"/>
      <c r="C483" s="13" t="s">
        <v>1085</v>
      </c>
      <c r="D483" s="12" t="s">
        <v>1086</v>
      </c>
      <c r="E483" s="12"/>
      <c r="F483" s="19"/>
      <c r="G483" s="19"/>
      <c r="H483" s="19"/>
    </row>
    <row r="484" spans="1:8" ht="19.5" customHeight="1">
      <c r="A484" s="15">
        <f t="shared" si="8"/>
        <v>481</v>
      </c>
      <c r="B484" s="16"/>
      <c r="C484" s="17" t="s">
        <v>1087</v>
      </c>
      <c r="D484" s="16" t="s">
        <v>1088</v>
      </c>
      <c r="E484" s="16"/>
      <c r="F484" s="40"/>
      <c r="G484" s="40"/>
      <c r="H484" s="40"/>
    </row>
    <row r="485" spans="1:8" ht="19.5" customHeight="1">
      <c r="A485" s="11">
        <f t="shared" si="8"/>
        <v>482</v>
      </c>
      <c r="B485" s="12" t="s">
        <v>114</v>
      </c>
      <c r="C485" s="13" t="s">
        <v>1089</v>
      </c>
      <c r="D485" s="12" t="s">
        <v>1090</v>
      </c>
      <c r="E485" s="12"/>
      <c r="F485" s="19"/>
      <c r="G485" s="19"/>
      <c r="H485" s="19"/>
    </row>
    <row r="486" spans="1:8" ht="19.5" customHeight="1">
      <c r="A486" s="15">
        <f t="shared" si="8"/>
        <v>483</v>
      </c>
      <c r="B486" s="16"/>
      <c r="C486" s="17" t="s">
        <v>1091</v>
      </c>
      <c r="D486" s="16" t="s">
        <v>1092</v>
      </c>
      <c r="E486" s="16"/>
      <c r="F486" s="40"/>
      <c r="G486" s="40"/>
      <c r="H486" s="40"/>
    </row>
    <row r="487" spans="1:8" ht="19.5" customHeight="1">
      <c r="A487" s="11">
        <f t="shared" si="8"/>
        <v>484</v>
      </c>
      <c r="B487" s="12"/>
      <c r="C487" s="13" t="s">
        <v>1093</v>
      </c>
      <c r="D487" s="12" t="s">
        <v>1094</v>
      </c>
      <c r="E487" s="12"/>
      <c r="F487" s="19"/>
      <c r="G487" s="19"/>
      <c r="H487" s="19"/>
    </row>
    <row r="488" spans="1:8" ht="19.5" customHeight="1">
      <c r="A488" s="15">
        <f t="shared" si="8"/>
        <v>485</v>
      </c>
      <c r="B488" s="16"/>
      <c r="C488" s="17" t="s">
        <v>1095</v>
      </c>
      <c r="D488" s="16" t="s">
        <v>1096</v>
      </c>
      <c r="E488" s="16"/>
      <c r="F488" s="40"/>
      <c r="G488" s="40"/>
      <c r="H488" s="40"/>
    </row>
    <row r="489" spans="1:8" ht="19.5" customHeight="1">
      <c r="A489" s="11">
        <f t="shared" si="8"/>
        <v>486</v>
      </c>
      <c r="B489" s="12"/>
      <c r="C489" s="13" t="s">
        <v>1097</v>
      </c>
      <c r="D489" s="12" t="s">
        <v>1098</v>
      </c>
      <c r="E489" s="12"/>
      <c r="F489" s="19" t="s">
        <v>3</v>
      </c>
      <c r="G489" s="19" t="s">
        <v>33</v>
      </c>
      <c r="H489" s="19"/>
    </row>
    <row r="490" spans="1:8" ht="19.5" customHeight="1">
      <c r="A490" s="15">
        <f t="shared" si="8"/>
        <v>487</v>
      </c>
      <c r="B490" s="16" t="s">
        <v>114</v>
      </c>
      <c r="C490" s="17" t="s">
        <v>1099</v>
      </c>
      <c r="D490" s="16" t="s">
        <v>1100</v>
      </c>
      <c r="E490" s="16"/>
      <c r="F490" s="40" t="s">
        <v>3</v>
      </c>
      <c r="G490" s="40" t="s">
        <v>68</v>
      </c>
      <c r="H490" s="40"/>
    </row>
    <row r="491" spans="1:8" ht="19.5" customHeight="1">
      <c r="A491" s="11">
        <f t="shared" si="8"/>
        <v>488</v>
      </c>
      <c r="B491" s="12"/>
      <c r="C491" s="13" t="s">
        <v>1101</v>
      </c>
      <c r="D491" s="12" t="s">
        <v>1102</v>
      </c>
      <c r="E491" s="12"/>
      <c r="F491" s="19" t="s">
        <v>3</v>
      </c>
      <c r="G491" s="19" t="s">
        <v>43</v>
      </c>
      <c r="H491" s="19"/>
    </row>
    <row r="492" spans="1:8" ht="19.5" customHeight="1">
      <c r="A492" s="15">
        <f t="shared" si="8"/>
        <v>489</v>
      </c>
      <c r="B492" s="16" t="s">
        <v>114</v>
      </c>
      <c r="C492" s="17" t="s">
        <v>1103</v>
      </c>
      <c r="D492" s="16"/>
      <c r="E492" s="16"/>
      <c r="F492" s="40" t="s">
        <v>3</v>
      </c>
      <c r="G492" s="40" t="s">
        <v>67</v>
      </c>
      <c r="H492" s="40"/>
    </row>
    <row r="493" spans="1:8" ht="19.5" customHeight="1">
      <c r="A493" s="11">
        <f t="shared" si="8"/>
        <v>490</v>
      </c>
      <c r="B493" s="12" t="s">
        <v>114</v>
      </c>
      <c r="C493" s="13" t="s">
        <v>1104</v>
      </c>
      <c r="D493" s="12" t="s">
        <v>1105</v>
      </c>
      <c r="E493" s="47"/>
      <c r="F493" s="47" t="s">
        <v>3</v>
      </c>
      <c r="G493" s="47" t="s">
        <v>67</v>
      </c>
      <c r="H493" s="48"/>
    </row>
    <row r="494" spans="1:8" ht="19.5" customHeight="1">
      <c r="A494" s="15">
        <f t="shared" si="8"/>
        <v>491</v>
      </c>
      <c r="B494" s="16"/>
      <c r="C494" s="17" t="s">
        <v>1106</v>
      </c>
      <c r="D494" s="16" t="s">
        <v>1107</v>
      </c>
      <c r="E494" s="16"/>
      <c r="F494" s="40" t="s">
        <v>3</v>
      </c>
      <c r="G494" s="40" t="s">
        <v>67</v>
      </c>
      <c r="H494" s="40"/>
    </row>
    <row r="495" spans="1:8" ht="19.5" customHeight="1">
      <c r="A495" s="11">
        <f t="shared" si="8"/>
        <v>492</v>
      </c>
      <c r="B495" s="12" t="s">
        <v>114</v>
      </c>
      <c r="C495" s="13" t="s">
        <v>1108</v>
      </c>
      <c r="D495" s="12" t="s">
        <v>1109</v>
      </c>
      <c r="E495" s="12"/>
      <c r="F495" s="19" t="s">
        <v>3</v>
      </c>
      <c r="G495" s="19" t="s">
        <v>68</v>
      </c>
      <c r="H495" s="19"/>
    </row>
    <row r="496" spans="1:8" ht="19.5" customHeight="1">
      <c r="A496" s="15">
        <f t="shared" si="8"/>
        <v>493</v>
      </c>
      <c r="B496" s="16"/>
      <c r="C496" s="17" t="s">
        <v>1110</v>
      </c>
      <c r="D496" s="16" t="s">
        <v>1111</v>
      </c>
      <c r="E496" s="16"/>
      <c r="F496" s="40" t="s">
        <v>3</v>
      </c>
      <c r="G496" s="40" t="s">
        <v>68</v>
      </c>
      <c r="H496" s="40"/>
    </row>
    <row r="497" spans="1:8" ht="19.5" customHeight="1">
      <c r="A497" s="11">
        <f t="shared" si="8"/>
        <v>494</v>
      </c>
      <c r="B497" s="12" t="s">
        <v>114</v>
      </c>
      <c r="C497" s="13" t="s">
        <v>1112</v>
      </c>
      <c r="D497" s="12" t="s">
        <v>1113</v>
      </c>
      <c r="E497" s="12"/>
      <c r="F497" s="19" t="s">
        <v>3</v>
      </c>
      <c r="G497" s="19" t="s">
        <v>68</v>
      </c>
      <c r="H497" s="19"/>
    </row>
    <row r="498" spans="1:8" ht="19.5" customHeight="1">
      <c r="A498" s="15">
        <f t="shared" si="8"/>
        <v>495</v>
      </c>
      <c r="B498" s="16"/>
      <c r="C498" s="17" t="s">
        <v>1114</v>
      </c>
      <c r="D498" s="16" t="s">
        <v>1115</v>
      </c>
      <c r="E498" s="16"/>
      <c r="F498" s="40" t="s">
        <v>3</v>
      </c>
      <c r="G498" s="40"/>
      <c r="H498" s="40"/>
    </row>
    <row r="499" spans="1:8" ht="19.5" customHeight="1">
      <c r="A499" s="11">
        <f t="shared" si="8"/>
        <v>496</v>
      </c>
      <c r="B499" s="12" t="s">
        <v>114</v>
      </c>
      <c r="C499" s="13" t="s">
        <v>1116</v>
      </c>
      <c r="D499" s="12" t="s">
        <v>1117</v>
      </c>
      <c r="E499" s="12" t="s">
        <v>1118</v>
      </c>
      <c r="F499" s="19" t="s">
        <v>3</v>
      </c>
      <c r="G499" s="19" t="s">
        <v>67</v>
      </c>
      <c r="H499" s="19"/>
    </row>
    <row r="500" spans="1:8" ht="19.5" customHeight="1">
      <c r="A500" s="15">
        <f t="shared" si="8"/>
        <v>497</v>
      </c>
      <c r="B500" s="16" t="s">
        <v>114</v>
      </c>
      <c r="C500" s="17" t="s">
        <v>1119</v>
      </c>
      <c r="D500" s="16" t="s">
        <v>1120</v>
      </c>
      <c r="E500" s="29" t="s">
        <v>1118</v>
      </c>
      <c r="F500" s="40" t="s">
        <v>3</v>
      </c>
      <c r="G500" s="40" t="s">
        <v>67</v>
      </c>
      <c r="H500" s="40"/>
    </row>
    <row r="501" spans="1:8" ht="19.5" customHeight="1">
      <c r="A501" s="11">
        <f t="shared" si="8"/>
        <v>498</v>
      </c>
      <c r="B501" s="12" t="s">
        <v>114</v>
      </c>
      <c r="C501" s="13" t="s">
        <v>1121</v>
      </c>
      <c r="D501" s="12" t="s">
        <v>1122</v>
      </c>
      <c r="E501" s="12" t="s">
        <v>1118</v>
      </c>
      <c r="F501" s="19" t="s">
        <v>3</v>
      </c>
      <c r="G501" s="19" t="s">
        <v>67</v>
      </c>
      <c r="H501" s="19"/>
    </row>
    <row r="502" spans="1:8" ht="19.5" customHeight="1">
      <c r="A502" s="15">
        <f t="shared" si="8"/>
        <v>499</v>
      </c>
      <c r="B502" s="16" t="s">
        <v>114</v>
      </c>
      <c r="C502" s="17" t="s">
        <v>1123</v>
      </c>
      <c r="D502" s="16" t="s">
        <v>1124</v>
      </c>
      <c r="E502" s="16" t="s">
        <v>1125</v>
      </c>
      <c r="F502" s="40" t="s">
        <v>3</v>
      </c>
      <c r="G502" s="40" t="s">
        <v>67</v>
      </c>
      <c r="H502" s="40"/>
    </row>
    <row r="503" spans="1:8" ht="19.5" customHeight="1">
      <c r="A503" s="11">
        <f t="shared" si="8"/>
        <v>500</v>
      </c>
      <c r="B503" s="12"/>
      <c r="C503" s="13" t="s">
        <v>1126</v>
      </c>
      <c r="D503" s="12" t="s">
        <v>1127</v>
      </c>
      <c r="E503" s="12"/>
      <c r="F503" s="19" t="s">
        <v>3</v>
      </c>
      <c r="G503" s="19"/>
      <c r="H503" s="19"/>
    </row>
    <row r="504" spans="1:8" ht="19.5" customHeight="1">
      <c r="A504" s="15">
        <f t="shared" si="8"/>
        <v>501</v>
      </c>
      <c r="B504" s="16"/>
      <c r="C504" s="17" t="s">
        <v>1128</v>
      </c>
      <c r="D504" s="16" t="s">
        <v>1127</v>
      </c>
      <c r="E504" s="16"/>
      <c r="F504" s="40" t="s">
        <v>3</v>
      </c>
      <c r="G504" s="40" t="s">
        <v>49</v>
      </c>
      <c r="H504" s="40"/>
    </row>
    <row r="505" spans="1:8" ht="19.5" customHeight="1">
      <c r="A505" s="11">
        <f t="shared" si="8"/>
        <v>502</v>
      </c>
      <c r="B505" s="12"/>
      <c r="C505" s="13" t="s">
        <v>1129</v>
      </c>
      <c r="D505" s="12" t="s">
        <v>1127</v>
      </c>
      <c r="E505" s="12"/>
      <c r="F505" s="19" t="s">
        <v>3</v>
      </c>
      <c r="G505" s="19" t="s">
        <v>43</v>
      </c>
      <c r="H505" s="19"/>
    </row>
    <row r="506" spans="1:8" ht="19.5" customHeight="1">
      <c r="A506" s="15">
        <f t="shared" si="8"/>
        <v>503</v>
      </c>
      <c r="B506" s="16"/>
      <c r="C506" s="17" t="s">
        <v>1130</v>
      </c>
      <c r="D506" s="16" t="s">
        <v>1127</v>
      </c>
      <c r="E506" s="16"/>
      <c r="F506" s="40" t="s">
        <v>3</v>
      </c>
      <c r="G506" s="40"/>
      <c r="H506" s="40"/>
    </row>
    <row r="507" spans="1:8" ht="19.5" customHeight="1">
      <c r="A507" s="11">
        <f t="shared" si="8"/>
        <v>504</v>
      </c>
      <c r="B507" s="12"/>
      <c r="C507" s="13" t="s">
        <v>1131</v>
      </c>
      <c r="D507" s="12" t="s">
        <v>1127</v>
      </c>
      <c r="E507" s="12"/>
      <c r="F507" s="19"/>
      <c r="G507" s="19"/>
      <c r="H507" s="19"/>
    </row>
    <row r="508" spans="1:8" ht="19.5" customHeight="1">
      <c r="A508" s="15">
        <f t="shared" si="8"/>
        <v>505</v>
      </c>
      <c r="B508" s="16"/>
      <c r="C508" s="17" t="s">
        <v>1132</v>
      </c>
      <c r="D508" s="16" t="s">
        <v>1127</v>
      </c>
      <c r="E508" s="16"/>
      <c r="F508" s="40" t="s">
        <v>3</v>
      </c>
      <c r="G508" s="40"/>
      <c r="H508" s="40"/>
    </row>
    <row r="509" spans="1:8" ht="19.5" customHeight="1">
      <c r="A509" s="11">
        <f t="shared" si="8"/>
        <v>506</v>
      </c>
      <c r="B509" s="12"/>
      <c r="C509" s="13" t="s">
        <v>1133</v>
      </c>
      <c r="D509" s="12" t="s">
        <v>1127</v>
      </c>
      <c r="E509" s="12"/>
      <c r="F509" s="19"/>
      <c r="G509" s="19"/>
      <c r="H509" s="19"/>
    </row>
    <row r="510" spans="1:8" ht="19.5" customHeight="1">
      <c r="A510" s="15">
        <f t="shared" si="8"/>
        <v>507</v>
      </c>
      <c r="B510" s="16"/>
      <c r="C510" s="17" t="s">
        <v>1134</v>
      </c>
      <c r="D510" s="16" t="s">
        <v>1127</v>
      </c>
      <c r="E510" s="16"/>
      <c r="F510" s="40"/>
      <c r="G510" s="40"/>
      <c r="H510" s="40"/>
    </row>
    <row r="511" spans="1:8" ht="19.5" customHeight="1">
      <c r="A511" s="11">
        <f t="shared" si="8"/>
        <v>508</v>
      </c>
      <c r="B511" s="12" t="s">
        <v>114</v>
      </c>
      <c r="C511" s="13" t="s">
        <v>1135</v>
      </c>
      <c r="D511" s="12" t="s">
        <v>1136</v>
      </c>
      <c r="E511" s="12"/>
      <c r="F511" s="19" t="s">
        <v>3</v>
      </c>
      <c r="G511" s="19" t="s">
        <v>49</v>
      </c>
      <c r="H511" s="19"/>
    </row>
    <row r="512" spans="1:8" ht="19.5" customHeight="1">
      <c r="A512" s="15">
        <f t="shared" si="8"/>
        <v>509</v>
      </c>
      <c r="B512" s="16" t="s">
        <v>114</v>
      </c>
      <c r="C512" s="17" t="s">
        <v>1137</v>
      </c>
      <c r="D512" s="16" t="s">
        <v>1138</v>
      </c>
      <c r="E512" s="16"/>
      <c r="F512" s="40" t="s">
        <v>3</v>
      </c>
      <c r="G512" s="40" t="s">
        <v>60</v>
      </c>
      <c r="H512" s="40"/>
    </row>
    <row r="513" spans="1:8" ht="19.5" customHeight="1">
      <c r="A513" s="11">
        <f t="shared" si="8"/>
        <v>510</v>
      </c>
      <c r="B513" s="12"/>
      <c r="C513" s="13" t="s">
        <v>1139</v>
      </c>
      <c r="D513" s="12" t="s">
        <v>1140</v>
      </c>
      <c r="E513" s="12"/>
      <c r="F513" s="19"/>
      <c r="G513" s="19"/>
      <c r="H513" s="19"/>
    </row>
    <row r="514" spans="1:8" ht="19.5" customHeight="1">
      <c r="A514" s="15">
        <f t="shared" si="8"/>
        <v>511</v>
      </c>
      <c r="B514" s="16"/>
      <c r="C514" s="17" t="s">
        <v>1141</v>
      </c>
      <c r="D514" s="16" t="s">
        <v>1142</v>
      </c>
      <c r="E514" s="16"/>
      <c r="F514" s="40"/>
      <c r="G514" s="40"/>
      <c r="H514" s="40"/>
    </row>
    <row r="515" spans="1:8" ht="19.5" customHeight="1">
      <c r="A515" s="11">
        <f t="shared" si="8"/>
        <v>512</v>
      </c>
      <c r="B515" s="12" t="s">
        <v>114</v>
      </c>
      <c r="C515" s="13" t="s">
        <v>1143</v>
      </c>
      <c r="D515" s="12" t="s">
        <v>1144</v>
      </c>
      <c r="E515" s="12"/>
      <c r="F515" s="19" t="s">
        <v>3</v>
      </c>
      <c r="G515" s="19" t="s">
        <v>17</v>
      </c>
      <c r="H515" s="19"/>
    </row>
    <row r="516" spans="1:8" ht="19.5" customHeight="1">
      <c r="A516" s="15">
        <f t="shared" si="8"/>
        <v>513</v>
      </c>
      <c r="B516" s="16" t="s">
        <v>114</v>
      </c>
      <c r="C516" s="17" t="s">
        <v>1145</v>
      </c>
      <c r="D516" s="16" t="s">
        <v>1146</v>
      </c>
      <c r="E516" s="16"/>
      <c r="F516" s="40" t="s">
        <v>3</v>
      </c>
      <c r="G516" s="40" t="s">
        <v>17</v>
      </c>
      <c r="H516" s="40"/>
    </row>
    <row r="517" spans="1:8" ht="19.5" customHeight="1">
      <c r="A517" s="11">
        <f t="shared" si="8"/>
        <v>514</v>
      </c>
      <c r="B517" s="12" t="s">
        <v>114</v>
      </c>
      <c r="C517" s="13" t="s">
        <v>1147</v>
      </c>
      <c r="D517" s="12" t="s">
        <v>1148</v>
      </c>
      <c r="E517" s="12"/>
      <c r="F517" s="19" t="s">
        <v>3</v>
      </c>
      <c r="G517" s="19" t="s">
        <v>6</v>
      </c>
      <c r="H517" s="19"/>
    </row>
    <row r="518" spans="1:8" ht="19.5" customHeight="1">
      <c r="A518" s="15">
        <f t="shared" si="8"/>
        <v>515</v>
      </c>
      <c r="B518" s="16"/>
      <c r="C518" s="17" t="s">
        <v>1149</v>
      </c>
      <c r="D518" s="16"/>
      <c r="E518" s="16"/>
      <c r="F518" s="40" t="s">
        <v>3</v>
      </c>
      <c r="G518" s="40" t="s">
        <v>56</v>
      </c>
      <c r="H518" s="40"/>
    </row>
    <row r="519" spans="1:8" ht="19.5" customHeight="1">
      <c r="A519" s="11">
        <f t="shared" si="8"/>
        <v>516</v>
      </c>
      <c r="B519" s="12" t="s">
        <v>114</v>
      </c>
      <c r="C519" s="13" t="s">
        <v>1150</v>
      </c>
      <c r="D519" s="12"/>
      <c r="E519" s="12"/>
      <c r="F519" s="19" t="s">
        <v>3</v>
      </c>
      <c r="G519" s="19" t="s">
        <v>6</v>
      </c>
      <c r="H519" s="19"/>
    </row>
    <row r="520" spans="1:8" ht="19.5" customHeight="1">
      <c r="A520" s="15">
        <f t="shared" si="8"/>
        <v>517</v>
      </c>
      <c r="B520" s="16" t="s">
        <v>114</v>
      </c>
      <c r="C520" s="17" t="s">
        <v>1151</v>
      </c>
      <c r="D520" s="16"/>
      <c r="E520" s="16"/>
      <c r="F520" s="40" t="s">
        <v>3</v>
      </c>
      <c r="G520" s="40" t="s">
        <v>6</v>
      </c>
      <c r="H520" s="40"/>
    </row>
    <row r="521" spans="1:8" ht="19.5" customHeight="1">
      <c r="A521" s="11">
        <f t="shared" si="8"/>
        <v>518</v>
      </c>
      <c r="B521" s="12" t="s">
        <v>114</v>
      </c>
      <c r="C521" s="13" t="s">
        <v>1152</v>
      </c>
      <c r="D521" s="12"/>
      <c r="E521" s="12"/>
      <c r="F521" s="19" t="s">
        <v>3</v>
      </c>
      <c r="G521" s="19" t="s">
        <v>6</v>
      </c>
      <c r="H521" s="19"/>
    </row>
    <row r="522" spans="1:8" ht="19.5" customHeight="1">
      <c r="A522" s="15">
        <f t="shared" si="8"/>
        <v>519</v>
      </c>
      <c r="B522" s="16" t="s">
        <v>114</v>
      </c>
      <c r="C522" s="17" t="s">
        <v>1153</v>
      </c>
      <c r="D522" s="16" t="s">
        <v>1154</v>
      </c>
      <c r="E522" s="16"/>
      <c r="F522" s="40" t="s">
        <v>3</v>
      </c>
      <c r="G522" s="40" t="s">
        <v>6</v>
      </c>
      <c r="H522" s="40"/>
    </row>
    <row r="523" spans="1:8" ht="19.5" customHeight="1">
      <c r="A523" s="11">
        <f t="shared" si="8"/>
        <v>520</v>
      </c>
      <c r="B523" s="12" t="s">
        <v>114</v>
      </c>
      <c r="C523" s="13" t="s">
        <v>1155</v>
      </c>
      <c r="D523" s="12" t="s">
        <v>1156</v>
      </c>
      <c r="E523" s="12"/>
      <c r="F523" s="19" t="s">
        <v>3</v>
      </c>
      <c r="G523" s="19" t="s">
        <v>6</v>
      </c>
      <c r="H523" s="19"/>
    </row>
    <row r="524" spans="1:8" ht="19.5" customHeight="1">
      <c r="A524" s="15">
        <f t="shared" si="8"/>
        <v>521</v>
      </c>
      <c r="B524" s="16" t="s">
        <v>114</v>
      </c>
      <c r="C524" s="17" t="s">
        <v>1157</v>
      </c>
      <c r="D524" s="16"/>
      <c r="E524" s="16"/>
      <c r="F524" s="40" t="s">
        <v>3</v>
      </c>
      <c r="G524" s="40" t="s">
        <v>27</v>
      </c>
      <c r="H524" s="40"/>
    </row>
    <row r="525" spans="1:8" ht="19.5" customHeight="1">
      <c r="A525" s="11">
        <f t="shared" si="8"/>
        <v>522</v>
      </c>
      <c r="B525" s="12" t="s">
        <v>114</v>
      </c>
      <c r="C525" s="13" t="s">
        <v>1158</v>
      </c>
      <c r="D525" s="12" t="s">
        <v>1159</v>
      </c>
      <c r="E525" s="12"/>
      <c r="F525" s="19" t="s">
        <v>3</v>
      </c>
      <c r="G525" s="19" t="s">
        <v>53</v>
      </c>
      <c r="H525" s="19"/>
    </row>
    <row r="526" spans="1:8" ht="19.5" customHeight="1">
      <c r="A526" s="15">
        <f t="shared" si="8"/>
        <v>523</v>
      </c>
      <c r="B526" s="16" t="s">
        <v>114</v>
      </c>
      <c r="C526" s="17" t="s">
        <v>1160</v>
      </c>
      <c r="D526" s="16"/>
      <c r="E526" s="16"/>
      <c r="F526" s="40" t="s">
        <v>3</v>
      </c>
      <c r="G526" s="40" t="s">
        <v>47</v>
      </c>
      <c r="H526" s="40"/>
    </row>
    <row r="527" spans="1:8" ht="19.5" customHeight="1">
      <c r="A527" s="11">
        <f t="shared" si="8"/>
        <v>524</v>
      </c>
      <c r="B527" s="12" t="s">
        <v>114</v>
      </c>
      <c r="C527" s="13" t="s">
        <v>1161</v>
      </c>
      <c r="D527" s="12"/>
      <c r="E527" s="12"/>
      <c r="F527" s="19" t="s">
        <v>3</v>
      </c>
      <c r="G527" s="19" t="s">
        <v>47</v>
      </c>
      <c r="H527" s="19"/>
    </row>
    <row r="528" spans="1:8" ht="19.5" customHeight="1">
      <c r="A528" s="15">
        <f t="shared" si="8"/>
        <v>525</v>
      </c>
      <c r="B528" s="16" t="s">
        <v>114</v>
      </c>
      <c r="C528" s="17" t="s">
        <v>1162</v>
      </c>
      <c r="D528" s="16"/>
      <c r="E528" s="16"/>
      <c r="F528" s="40" t="s">
        <v>3</v>
      </c>
      <c r="G528" s="40" t="s">
        <v>47</v>
      </c>
      <c r="H528" s="40"/>
    </row>
    <row r="529" spans="1:8" ht="19.5" customHeight="1">
      <c r="A529" s="11">
        <f t="shared" si="8"/>
        <v>526</v>
      </c>
      <c r="B529" s="12" t="s">
        <v>114</v>
      </c>
      <c r="C529" s="13" t="s">
        <v>1163</v>
      </c>
      <c r="D529" s="12" t="s">
        <v>1164</v>
      </c>
      <c r="E529" s="12"/>
      <c r="F529" s="19" t="s">
        <v>3</v>
      </c>
      <c r="G529" s="19" t="s">
        <v>6</v>
      </c>
      <c r="H529" s="19"/>
    </row>
    <row r="530" spans="1:8" ht="19.5" customHeight="1">
      <c r="A530" s="15">
        <f t="shared" si="8"/>
        <v>527</v>
      </c>
      <c r="B530" s="16" t="s">
        <v>114</v>
      </c>
      <c r="C530" s="17" t="s">
        <v>1165</v>
      </c>
      <c r="D530" s="16" t="s">
        <v>1166</v>
      </c>
      <c r="E530" s="16"/>
      <c r="F530" s="40" t="s">
        <v>3</v>
      </c>
      <c r="G530" s="40" t="s">
        <v>6</v>
      </c>
      <c r="H530" s="40"/>
    </row>
    <row r="531" spans="1:8" ht="19.5" customHeight="1">
      <c r="A531" s="11">
        <f t="shared" si="8"/>
        <v>528</v>
      </c>
      <c r="B531" s="12" t="s">
        <v>114</v>
      </c>
      <c r="C531" s="13" t="s">
        <v>1167</v>
      </c>
      <c r="D531" s="12" t="s">
        <v>1168</v>
      </c>
      <c r="E531" s="12"/>
      <c r="F531" s="19" t="s">
        <v>3</v>
      </c>
      <c r="G531" s="19" t="s">
        <v>27</v>
      </c>
      <c r="H531" s="19"/>
    </row>
    <row r="532" spans="1:8" ht="19.5" customHeight="1">
      <c r="A532" s="15">
        <f t="shared" si="8"/>
        <v>529</v>
      </c>
      <c r="B532" s="16" t="s">
        <v>114</v>
      </c>
      <c r="C532" s="17" t="s">
        <v>1169</v>
      </c>
      <c r="D532" s="16" t="s">
        <v>1170</v>
      </c>
      <c r="E532" s="16"/>
      <c r="F532" s="40" t="s">
        <v>3</v>
      </c>
      <c r="G532" s="40" t="s">
        <v>27</v>
      </c>
      <c r="H532" s="40"/>
    </row>
    <row r="533" spans="1:8" ht="19.5" customHeight="1">
      <c r="A533" s="11">
        <f t="shared" si="8"/>
        <v>530</v>
      </c>
      <c r="B533" s="12" t="s">
        <v>114</v>
      </c>
      <c r="C533" s="13" t="s">
        <v>1171</v>
      </c>
      <c r="D533" s="12" t="s">
        <v>1172</v>
      </c>
      <c r="E533" s="12"/>
      <c r="F533" s="19" t="s">
        <v>3</v>
      </c>
      <c r="G533" s="19" t="s">
        <v>56</v>
      </c>
      <c r="H533" s="19"/>
    </row>
    <row r="534" spans="1:8" ht="19.5" customHeight="1">
      <c r="A534" s="15">
        <f t="shared" si="8"/>
        <v>531</v>
      </c>
      <c r="B534" s="16" t="s">
        <v>114</v>
      </c>
      <c r="C534" s="17" t="s">
        <v>1173</v>
      </c>
      <c r="D534" s="16" t="s">
        <v>1174</v>
      </c>
      <c r="E534" s="16"/>
      <c r="F534" s="40" t="s">
        <v>3</v>
      </c>
      <c r="G534" s="40" t="s">
        <v>56</v>
      </c>
      <c r="H534" s="40"/>
    </row>
    <row r="535" spans="1:8" ht="19.5" customHeight="1">
      <c r="A535" s="11">
        <f t="shared" si="8"/>
        <v>532</v>
      </c>
      <c r="B535" s="12" t="s">
        <v>114</v>
      </c>
      <c r="C535" s="13" t="s">
        <v>1175</v>
      </c>
      <c r="D535" s="12" t="s">
        <v>1176</v>
      </c>
      <c r="E535" s="12"/>
      <c r="F535" s="19" t="s">
        <v>3</v>
      </c>
      <c r="G535" s="19" t="s">
        <v>56</v>
      </c>
      <c r="H535" s="19"/>
    </row>
    <row r="536" spans="1:8" ht="19.5" customHeight="1">
      <c r="A536" s="15">
        <f t="shared" si="8"/>
        <v>533</v>
      </c>
      <c r="B536" s="16" t="s">
        <v>114</v>
      </c>
      <c r="C536" s="17" t="s">
        <v>1177</v>
      </c>
      <c r="D536" s="16" t="s">
        <v>1178</v>
      </c>
      <c r="E536" s="16"/>
      <c r="F536" s="40" t="s">
        <v>3</v>
      </c>
      <c r="G536" s="40" t="s">
        <v>56</v>
      </c>
      <c r="H536" s="40"/>
    </row>
    <row r="537" spans="1:8" ht="19.5" customHeight="1">
      <c r="A537" s="11">
        <f t="shared" si="8"/>
        <v>534</v>
      </c>
      <c r="B537" s="12" t="s">
        <v>114</v>
      </c>
      <c r="C537" s="13" t="s">
        <v>1179</v>
      </c>
      <c r="D537" s="12" t="s">
        <v>1180</v>
      </c>
      <c r="E537" s="12"/>
      <c r="F537" s="19" t="s">
        <v>3</v>
      </c>
      <c r="G537" s="19" t="s">
        <v>56</v>
      </c>
      <c r="H537" s="19"/>
    </row>
    <row r="538" spans="1:8" ht="19.5" customHeight="1">
      <c r="A538" s="15">
        <f t="shared" si="8"/>
        <v>535</v>
      </c>
      <c r="B538" s="16"/>
      <c r="C538" s="17" t="s">
        <v>1181</v>
      </c>
      <c r="D538" s="16"/>
      <c r="E538" s="16"/>
      <c r="F538" s="40" t="s">
        <v>3</v>
      </c>
      <c r="G538" s="40"/>
      <c r="H538" s="40"/>
    </row>
    <row r="539" spans="1:8" ht="19.5" customHeight="1">
      <c r="A539" s="11">
        <f t="shared" si="8"/>
        <v>536</v>
      </c>
      <c r="B539" s="12"/>
      <c r="C539" s="13" t="s">
        <v>1182</v>
      </c>
      <c r="D539" s="12"/>
      <c r="E539" s="12"/>
      <c r="F539" s="19" t="s">
        <v>3</v>
      </c>
      <c r="G539" s="19"/>
      <c r="H539" s="19"/>
    </row>
    <row r="540" spans="1:8" ht="19.5" customHeight="1">
      <c r="A540" s="15">
        <f t="shared" si="8"/>
        <v>537</v>
      </c>
      <c r="B540" s="16" t="s">
        <v>114</v>
      </c>
      <c r="C540" s="17" t="s">
        <v>1183</v>
      </c>
      <c r="D540" s="16" t="s">
        <v>1184</v>
      </c>
      <c r="E540" s="16" t="s">
        <v>1185</v>
      </c>
      <c r="F540" s="40" t="s">
        <v>3</v>
      </c>
      <c r="G540" s="40" t="s">
        <v>48</v>
      </c>
      <c r="H540" s="40"/>
    </row>
    <row r="541" spans="1:8" ht="19.5" customHeight="1">
      <c r="A541" s="11">
        <f t="shared" si="8"/>
        <v>538</v>
      </c>
      <c r="B541" s="12"/>
      <c r="C541" s="13" t="s">
        <v>1186</v>
      </c>
      <c r="D541" s="12"/>
      <c r="E541" s="12"/>
      <c r="F541" s="19" t="s">
        <v>3</v>
      </c>
      <c r="G541" s="19"/>
      <c r="H541" s="19"/>
    </row>
    <row r="542" spans="1:8" ht="19.5" customHeight="1">
      <c r="A542" s="15">
        <f t="shared" si="8"/>
        <v>539</v>
      </c>
      <c r="B542" s="16" t="s">
        <v>114</v>
      </c>
      <c r="C542" s="17" t="s">
        <v>1187</v>
      </c>
      <c r="D542" s="16" t="s">
        <v>1188</v>
      </c>
      <c r="E542" s="16" t="s">
        <v>1189</v>
      </c>
      <c r="F542" s="40" t="s">
        <v>3</v>
      </c>
      <c r="G542" s="40" t="s">
        <v>11</v>
      </c>
      <c r="H542" s="40"/>
    </row>
    <row r="543" spans="1:8" ht="19.5" customHeight="1">
      <c r="A543" s="11">
        <f t="shared" si="8"/>
        <v>540</v>
      </c>
      <c r="B543" s="12"/>
      <c r="C543" s="13" t="s">
        <v>1190</v>
      </c>
      <c r="D543" s="12"/>
      <c r="E543" s="12"/>
      <c r="F543" s="19" t="s">
        <v>8</v>
      </c>
      <c r="G543" s="19" t="s">
        <v>31</v>
      </c>
      <c r="H543" s="19"/>
    </row>
    <row r="544" spans="1:8" ht="19.5" customHeight="1">
      <c r="A544" s="15">
        <f t="shared" si="8"/>
        <v>541</v>
      </c>
      <c r="B544" s="16"/>
      <c r="C544" s="17" t="s">
        <v>1191</v>
      </c>
      <c r="D544" s="16"/>
      <c r="E544" s="16"/>
      <c r="F544" s="40" t="s">
        <v>3</v>
      </c>
      <c r="G544" s="40" t="s">
        <v>31</v>
      </c>
      <c r="H544" s="40"/>
    </row>
    <row r="545" spans="1:8" ht="19.5" customHeight="1">
      <c r="A545" s="11">
        <f t="shared" si="8"/>
        <v>542</v>
      </c>
      <c r="B545" s="12"/>
      <c r="C545" s="13" t="s">
        <v>1192</v>
      </c>
      <c r="D545" s="12"/>
      <c r="E545" s="12"/>
      <c r="F545" s="19"/>
      <c r="G545" s="19"/>
      <c r="H545" s="19"/>
    </row>
    <row r="546" spans="1:8" ht="19.5" customHeight="1">
      <c r="A546" s="15">
        <f t="shared" si="8"/>
        <v>543</v>
      </c>
      <c r="B546" s="16"/>
      <c r="C546" s="17" t="s">
        <v>1193</v>
      </c>
      <c r="D546" s="16"/>
      <c r="E546" s="16"/>
      <c r="F546" s="40" t="s">
        <v>8</v>
      </c>
      <c r="G546" s="40" t="s">
        <v>31</v>
      </c>
      <c r="H546" s="40"/>
    </row>
    <row r="547" spans="1:8" ht="19.5" customHeight="1">
      <c r="A547" s="11">
        <f t="shared" si="8"/>
        <v>544</v>
      </c>
      <c r="B547" s="12" t="s">
        <v>114</v>
      </c>
      <c r="C547" s="13" t="s">
        <v>1194</v>
      </c>
      <c r="D547" s="12" t="s">
        <v>1195</v>
      </c>
      <c r="E547" s="12"/>
      <c r="F547" s="19" t="s">
        <v>3</v>
      </c>
      <c r="G547" s="19" t="s">
        <v>49</v>
      </c>
      <c r="H547" s="19"/>
    </row>
    <row r="548" spans="1:8" ht="19.5" customHeight="1">
      <c r="A548" s="15">
        <f t="shared" si="8"/>
        <v>545</v>
      </c>
      <c r="B548" s="16"/>
      <c r="C548" s="17" t="s">
        <v>1196</v>
      </c>
      <c r="D548" s="16"/>
      <c r="E548" s="16"/>
      <c r="F548" s="40" t="s">
        <v>3</v>
      </c>
      <c r="G548" s="40" t="s">
        <v>49</v>
      </c>
      <c r="H548" s="40"/>
    </row>
    <row r="549" spans="1:8" ht="19.5" customHeight="1">
      <c r="A549" s="11">
        <f t="shared" si="8"/>
        <v>546</v>
      </c>
      <c r="B549" s="12" t="s">
        <v>114</v>
      </c>
      <c r="C549" s="13" t="s">
        <v>1197</v>
      </c>
      <c r="D549" s="12"/>
      <c r="E549" s="12" t="s">
        <v>1198</v>
      </c>
      <c r="F549" s="19" t="s">
        <v>3</v>
      </c>
      <c r="G549" s="19" t="s">
        <v>49</v>
      </c>
      <c r="H549" s="19"/>
    </row>
    <row r="550" spans="1:8" ht="19.5" customHeight="1">
      <c r="A550" s="15">
        <f t="shared" si="8"/>
        <v>547</v>
      </c>
      <c r="B550" s="16" t="s">
        <v>114</v>
      </c>
      <c r="C550" s="17" t="s">
        <v>1199</v>
      </c>
      <c r="D550" s="16"/>
      <c r="E550" s="16"/>
      <c r="F550" s="40" t="s">
        <v>3</v>
      </c>
      <c r="G550" s="40" t="s">
        <v>49</v>
      </c>
      <c r="H550" s="40"/>
    </row>
    <row r="551" spans="1:8" ht="19.5" customHeight="1">
      <c r="A551" s="11">
        <f t="shared" si="8"/>
        <v>548</v>
      </c>
      <c r="B551" s="12" t="s">
        <v>114</v>
      </c>
      <c r="C551" s="13" t="s">
        <v>1200</v>
      </c>
      <c r="D551" s="12" t="s">
        <v>1201</v>
      </c>
      <c r="E551" s="12"/>
      <c r="F551" s="19" t="s">
        <v>8</v>
      </c>
      <c r="G551" s="19" t="s">
        <v>32</v>
      </c>
      <c r="H551" s="19"/>
    </row>
    <row r="552" spans="1:8" ht="19.5" customHeight="1">
      <c r="A552" s="15">
        <f t="shared" si="8"/>
        <v>549</v>
      </c>
      <c r="B552" s="16" t="s">
        <v>114</v>
      </c>
      <c r="C552" s="17" t="s">
        <v>1202</v>
      </c>
      <c r="D552" s="16"/>
      <c r="E552" s="16"/>
      <c r="F552" s="40"/>
      <c r="G552" s="40"/>
      <c r="H552" s="40"/>
    </row>
    <row r="553" spans="1:8" ht="19.5" customHeight="1">
      <c r="A553" s="11">
        <f t="shared" si="8"/>
        <v>550</v>
      </c>
      <c r="B553" s="12" t="s">
        <v>114</v>
      </c>
      <c r="C553" s="13" t="s">
        <v>1203</v>
      </c>
      <c r="D553" s="12" t="s">
        <v>1204</v>
      </c>
      <c r="E553" s="12"/>
      <c r="F553" s="19" t="s">
        <v>3</v>
      </c>
      <c r="G553" s="19" t="s">
        <v>49</v>
      </c>
      <c r="H553" s="19"/>
    </row>
    <row r="554" spans="1:8" ht="19.5" customHeight="1">
      <c r="A554" s="15">
        <f t="shared" si="8"/>
        <v>551</v>
      </c>
      <c r="B554" s="16" t="s">
        <v>114</v>
      </c>
      <c r="C554" s="17" t="s">
        <v>1205</v>
      </c>
      <c r="D554" s="16" t="s">
        <v>1206</v>
      </c>
      <c r="E554" s="16"/>
      <c r="F554" s="40" t="s">
        <v>18</v>
      </c>
      <c r="G554" s="40" t="s">
        <v>49</v>
      </c>
      <c r="H554" s="40"/>
    </row>
    <row r="555" spans="1:8" ht="19.5" customHeight="1">
      <c r="A555" s="11">
        <f t="shared" si="8"/>
        <v>552</v>
      </c>
      <c r="B555" s="12" t="s">
        <v>114</v>
      </c>
      <c r="C555" s="13" t="s">
        <v>1207</v>
      </c>
      <c r="D555" s="12" t="s">
        <v>1208</v>
      </c>
      <c r="E555" s="12"/>
      <c r="F555" s="19" t="s">
        <v>18</v>
      </c>
      <c r="G555" s="19" t="s">
        <v>49</v>
      </c>
      <c r="H555" s="19"/>
    </row>
    <row r="556" spans="1:8" ht="19.5" customHeight="1">
      <c r="A556" s="42">
        <f t="shared" si="8"/>
        <v>553</v>
      </c>
      <c r="B556" s="43"/>
      <c r="C556" s="44" t="s">
        <v>1209</v>
      </c>
      <c r="D556" s="43"/>
      <c r="E556" s="43"/>
      <c r="F556" s="45" t="s">
        <v>22</v>
      </c>
      <c r="G556" s="45"/>
      <c r="H556" s="40"/>
    </row>
    <row r="557" spans="1:8" ht="19.5" customHeight="1">
      <c r="A557" s="11">
        <f t="shared" si="8"/>
        <v>554</v>
      </c>
      <c r="B557" s="12" t="s">
        <v>114</v>
      </c>
      <c r="C557" s="13" t="s">
        <v>1210</v>
      </c>
      <c r="D557" s="12" t="s">
        <v>1211</v>
      </c>
      <c r="E557" s="12"/>
      <c r="F557" s="19" t="s">
        <v>5</v>
      </c>
      <c r="G557" s="19" t="s">
        <v>49</v>
      </c>
      <c r="H557" s="19"/>
    </row>
    <row r="558" spans="1:8" ht="19.5" customHeight="1">
      <c r="A558" s="15">
        <f t="shared" si="8"/>
        <v>555</v>
      </c>
      <c r="B558" s="16" t="s">
        <v>114</v>
      </c>
      <c r="C558" s="17" t="s">
        <v>1212</v>
      </c>
      <c r="D558" s="16"/>
      <c r="E558" s="16"/>
      <c r="F558" s="40"/>
      <c r="G558" s="40"/>
      <c r="H558" s="40"/>
    </row>
    <row r="559" spans="1:8" ht="19.5" customHeight="1">
      <c r="A559" s="11">
        <f t="shared" si="8"/>
        <v>556</v>
      </c>
      <c r="B559" s="12"/>
      <c r="C559" s="13" t="s">
        <v>1213</v>
      </c>
      <c r="D559" s="12"/>
      <c r="E559" s="12"/>
      <c r="F559" s="19" t="s">
        <v>8</v>
      </c>
      <c r="G559" s="19" t="s">
        <v>26</v>
      </c>
      <c r="H559" s="19"/>
    </row>
    <row r="560" spans="1:8" ht="19.5" customHeight="1">
      <c r="A560" s="15">
        <f t="shared" si="8"/>
        <v>557</v>
      </c>
      <c r="B560" s="16"/>
      <c r="C560" s="17" t="s">
        <v>1214</v>
      </c>
      <c r="D560" s="16"/>
      <c r="E560" s="16"/>
      <c r="F560" s="40" t="s">
        <v>8</v>
      </c>
      <c r="G560" s="40" t="s">
        <v>26</v>
      </c>
      <c r="H560" s="40"/>
    </row>
    <row r="561" spans="1:8" ht="19.5" customHeight="1">
      <c r="A561" s="11">
        <f t="shared" si="8"/>
        <v>558</v>
      </c>
      <c r="B561" s="12" t="s">
        <v>114</v>
      </c>
      <c r="C561" s="13" t="s">
        <v>1215</v>
      </c>
      <c r="D561" s="12" t="s">
        <v>1216</v>
      </c>
      <c r="E561" s="12"/>
      <c r="F561" s="19" t="s">
        <v>3</v>
      </c>
      <c r="G561" s="19" t="s">
        <v>34</v>
      </c>
      <c r="H561" s="19"/>
    </row>
    <row r="562" spans="1:8" ht="19.5" customHeight="1">
      <c r="A562" s="15">
        <f t="shared" si="8"/>
        <v>559</v>
      </c>
      <c r="B562" s="16" t="s">
        <v>114</v>
      </c>
      <c r="C562" s="17" t="s">
        <v>1217</v>
      </c>
      <c r="D562" s="16" t="s">
        <v>1218</v>
      </c>
      <c r="E562" s="16"/>
      <c r="F562" s="40" t="s">
        <v>3</v>
      </c>
      <c r="G562" s="40" t="s">
        <v>34</v>
      </c>
      <c r="H562" s="40"/>
    </row>
    <row r="563" spans="1:8" ht="19.5" customHeight="1">
      <c r="A563" s="11">
        <f t="shared" si="8"/>
        <v>560</v>
      </c>
      <c r="B563" s="12" t="s">
        <v>114</v>
      </c>
      <c r="C563" s="13" t="s">
        <v>1219</v>
      </c>
      <c r="D563" s="12" t="s">
        <v>1220</v>
      </c>
      <c r="E563" s="12"/>
      <c r="F563" s="19" t="s">
        <v>3</v>
      </c>
      <c r="G563" s="19" t="s">
        <v>34</v>
      </c>
      <c r="H563" s="19"/>
    </row>
    <row r="564" spans="1:8" ht="19.5" customHeight="1">
      <c r="A564" s="42">
        <f t="shared" si="8"/>
        <v>561</v>
      </c>
      <c r="B564" s="43"/>
      <c r="C564" s="44" t="s">
        <v>1221</v>
      </c>
      <c r="D564" s="43"/>
      <c r="E564" s="43"/>
      <c r="F564" s="45"/>
      <c r="G564" s="45"/>
      <c r="H564" s="40"/>
    </row>
    <row r="565" spans="1:8" ht="19.5" customHeight="1">
      <c r="A565" s="11">
        <f t="shared" si="8"/>
        <v>562</v>
      </c>
      <c r="B565" s="12" t="s">
        <v>114</v>
      </c>
      <c r="C565" s="13" t="s">
        <v>1222</v>
      </c>
      <c r="D565" s="12" t="s">
        <v>1223</v>
      </c>
      <c r="E565" s="12" t="s">
        <v>1224</v>
      </c>
      <c r="F565" s="19" t="s">
        <v>18</v>
      </c>
      <c r="G565" s="19" t="s">
        <v>50</v>
      </c>
      <c r="H565" s="19"/>
    </row>
    <row r="566" spans="1:8" ht="19.5" customHeight="1">
      <c r="A566" s="15">
        <f t="shared" si="8"/>
        <v>563</v>
      </c>
      <c r="B566" s="16"/>
      <c r="C566" s="17" t="s">
        <v>1225</v>
      </c>
      <c r="D566" s="16"/>
      <c r="E566" s="16"/>
      <c r="F566" s="40"/>
      <c r="G566" s="40"/>
      <c r="H566" s="40"/>
    </row>
    <row r="567" spans="1:8" ht="19.5" customHeight="1">
      <c r="A567" s="11">
        <f t="shared" si="8"/>
        <v>564</v>
      </c>
      <c r="B567" s="12" t="s">
        <v>114</v>
      </c>
      <c r="C567" s="13" t="s">
        <v>1226</v>
      </c>
      <c r="D567" s="12" t="s">
        <v>1227</v>
      </c>
      <c r="E567" s="12" t="s">
        <v>1228</v>
      </c>
      <c r="F567" s="19" t="s">
        <v>18</v>
      </c>
      <c r="G567" s="19" t="s">
        <v>50</v>
      </c>
      <c r="H567" s="19"/>
    </row>
    <row r="568" spans="1:8" ht="19.5" customHeight="1">
      <c r="A568" s="15">
        <f t="shared" si="8"/>
        <v>565</v>
      </c>
      <c r="B568" s="16" t="s">
        <v>114</v>
      </c>
      <c r="C568" s="17" t="s">
        <v>1229</v>
      </c>
      <c r="D568" s="16" t="s">
        <v>1230</v>
      </c>
      <c r="E568" s="16" t="s">
        <v>1231</v>
      </c>
      <c r="F568" s="40" t="s">
        <v>18</v>
      </c>
      <c r="G568" s="40" t="s">
        <v>50</v>
      </c>
      <c r="H568" s="40"/>
    </row>
    <row r="569" spans="1:8" ht="19.5" customHeight="1">
      <c r="A569" s="11">
        <f t="shared" si="8"/>
        <v>566</v>
      </c>
      <c r="B569" s="12" t="s">
        <v>114</v>
      </c>
      <c r="C569" s="13" t="s">
        <v>1232</v>
      </c>
      <c r="D569" s="12" t="s">
        <v>1233</v>
      </c>
      <c r="E569" s="12"/>
      <c r="F569" s="19"/>
      <c r="G569" s="19"/>
      <c r="H569" s="19"/>
    </row>
    <row r="570" spans="1:8" ht="19.5" customHeight="1">
      <c r="A570" s="15">
        <f t="shared" si="8"/>
        <v>567</v>
      </c>
      <c r="B570" s="16" t="s">
        <v>114</v>
      </c>
      <c r="C570" s="17" t="s">
        <v>1234</v>
      </c>
      <c r="D570" s="16" t="s">
        <v>1235</v>
      </c>
      <c r="E570" s="16"/>
      <c r="F570" s="40" t="s">
        <v>3</v>
      </c>
      <c r="G570" s="40" t="s">
        <v>34</v>
      </c>
      <c r="H570" s="40">
        <v>3</v>
      </c>
    </row>
    <row r="571" spans="1:8" ht="19.5" customHeight="1">
      <c r="A571" s="11">
        <f t="shared" si="8"/>
        <v>568</v>
      </c>
      <c r="B571" s="12" t="s">
        <v>114</v>
      </c>
      <c r="C571" s="13" t="s">
        <v>1236</v>
      </c>
      <c r="D571" s="12" t="s">
        <v>1237</v>
      </c>
      <c r="E571" s="12"/>
      <c r="F571" s="19" t="s">
        <v>3</v>
      </c>
      <c r="G571" s="19" t="s">
        <v>34</v>
      </c>
      <c r="H571" s="19">
        <v>2</v>
      </c>
    </row>
    <row r="572" spans="1:8" ht="19.5" customHeight="1">
      <c r="A572" s="15">
        <f t="shared" si="8"/>
        <v>569</v>
      </c>
      <c r="B572" s="16" t="s">
        <v>114</v>
      </c>
      <c r="C572" s="17" t="s">
        <v>1238</v>
      </c>
      <c r="D572" s="16" t="s">
        <v>1239</v>
      </c>
      <c r="E572" s="16"/>
      <c r="F572" s="40" t="s">
        <v>3</v>
      </c>
      <c r="G572" s="40" t="s">
        <v>54</v>
      </c>
      <c r="H572" s="40"/>
    </row>
    <row r="573" spans="1:8" ht="19.5" customHeight="1">
      <c r="A573" s="11">
        <f t="shared" si="8"/>
        <v>570</v>
      </c>
      <c r="B573" s="12" t="s">
        <v>114</v>
      </c>
      <c r="C573" s="13" t="s">
        <v>1240</v>
      </c>
      <c r="D573" s="12" t="s">
        <v>1241</v>
      </c>
      <c r="E573" s="12"/>
      <c r="F573" s="19" t="s">
        <v>3</v>
      </c>
      <c r="G573" s="19" t="s">
        <v>54</v>
      </c>
      <c r="H573" s="19"/>
    </row>
    <row r="574" spans="1:8" ht="19.5" customHeight="1">
      <c r="A574" s="15">
        <f t="shared" si="8"/>
        <v>571</v>
      </c>
      <c r="B574" s="16" t="s">
        <v>114</v>
      </c>
      <c r="C574" s="17" t="s">
        <v>1242</v>
      </c>
      <c r="D574" s="16" t="s">
        <v>1243</v>
      </c>
      <c r="E574" s="16"/>
      <c r="F574" s="40" t="s">
        <v>3</v>
      </c>
      <c r="G574" s="40" t="s">
        <v>54</v>
      </c>
      <c r="H574" s="40"/>
    </row>
    <row r="575" spans="1:8" ht="19.5" customHeight="1">
      <c r="A575" s="11">
        <f t="shared" si="8"/>
        <v>572</v>
      </c>
      <c r="B575" s="12" t="s">
        <v>114</v>
      </c>
      <c r="C575" s="13" t="s">
        <v>1244</v>
      </c>
      <c r="D575" s="12" t="s">
        <v>1245</v>
      </c>
      <c r="E575" s="12"/>
      <c r="F575" s="19" t="s">
        <v>3</v>
      </c>
      <c r="G575" s="19" t="s">
        <v>54</v>
      </c>
      <c r="H575" s="19"/>
    </row>
    <row r="576" spans="1:8" ht="19.5" customHeight="1">
      <c r="A576" s="15">
        <f t="shared" si="8"/>
        <v>573</v>
      </c>
      <c r="B576" s="16" t="s">
        <v>114</v>
      </c>
      <c r="C576" s="17" t="s">
        <v>1246</v>
      </c>
      <c r="D576" s="16" t="s">
        <v>1245</v>
      </c>
      <c r="E576" s="16"/>
      <c r="F576" s="40" t="s">
        <v>3</v>
      </c>
      <c r="G576" s="40"/>
      <c r="H576" s="40"/>
    </row>
    <row r="577" spans="1:8" ht="19.5" customHeight="1">
      <c r="A577" s="11">
        <f t="shared" si="8"/>
        <v>574</v>
      </c>
      <c r="B577" s="12" t="s">
        <v>114</v>
      </c>
      <c r="C577" s="13" t="s">
        <v>1247</v>
      </c>
      <c r="D577" s="12" t="s">
        <v>1248</v>
      </c>
      <c r="E577" s="12"/>
      <c r="F577" s="19" t="s">
        <v>3</v>
      </c>
      <c r="G577" s="19" t="s">
        <v>54</v>
      </c>
      <c r="H577" s="19"/>
    </row>
    <row r="578" spans="1:8" ht="19.5" customHeight="1">
      <c r="A578" s="15"/>
      <c r="B578" s="16"/>
      <c r="C578" s="17" t="s">
        <v>1249</v>
      </c>
      <c r="D578" s="16"/>
      <c r="E578" s="16"/>
      <c r="F578" s="40"/>
      <c r="G578" s="40"/>
      <c r="H578" s="40"/>
    </row>
    <row r="579" spans="1:8" ht="19.5" customHeight="1">
      <c r="A579" s="11">
        <f>IF(C579&lt;&gt;"",COUNTA($C$4:C579),"")</f>
        <v>576</v>
      </c>
      <c r="B579" s="12"/>
      <c r="C579" s="13" t="s">
        <v>1250</v>
      </c>
      <c r="D579" s="12" t="s">
        <v>1251</v>
      </c>
      <c r="E579" s="12"/>
      <c r="F579" s="19" t="s">
        <v>3</v>
      </c>
      <c r="G579" s="19" t="s">
        <v>54</v>
      </c>
      <c r="H579" s="19"/>
    </row>
    <row r="580" spans="1:8" ht="19.5" customHeight="1">
      <c r="A580" s="15"/>
      <c r="B580" s="15"/>
      <c r="C580" s="50" t="s">
        <v>1252</v>
      </c>
      <c r="D580" s="15"/>
      <c r="E580" s="15"/>
      <c r="F580" s="40"/>
      <c r="G580" s="40"/>
      <c r="H580" s="40"/>
    </row>
    <row r="581" spans="1:8" ht="19.5" customHeight="1">
      <c r="A581" s="11"/>
      <c r="B581" s="11"/>
      <c r="C581" s="51" t="s">
        <v>1253</v>
      </c>
      <c r="D581" s="11"/>
      <c r="E581" s="11"/>
      <c r="F581" s="19"/>
      <c r="G581" s="19"/>
      <c r="H581" s="19"/>
    </row>
    <row r="582" spans="1:8" ht="19.5" customHeight="1">
      <c r="A582" s="15">
        <f t="shared" ref="A582:A603" si="9">IF(C582&lt;&gt;"",COUNTA($C$4:C582),"")</f>
        <v>579</v>
      </c>
      <c r="B582" s="15" t="s">
        <v>114</v>
      </c>
      <c r="C582" s="50" t="s">
        <v>1254</v>
      </c>
      <c r="D582" s="15" t="s">
        <v>1255</v>
      </c>
      <c r="E582" s="15" t="s">
        <v>1256</v>
      </c>
      <c r="F582" s="40" t="s">
        <v>3</v>
      </c>
      <c r="G582" s="40" t="s">
        <v>52</v>
      </c>
      <c r="H582" s="40">
        <v>1</v>
      </c>
    </row>
    <row r="583" spans="1:8" ht="19.5" customHeight="1">
      <c r="A583" s="11">
        <f t="shared" si="9"/>
        <v>580</v>
      </c>
      <c r="B583" s="11" t="s">
        <v>114</v>
      </c>
      <c r="C583" s="51" t="s">
        <v>1257</v>
      </c>
      <c r="D583" s="11" t="s">
        <v>1258</v>
      </c>
      <c r="E583" s="34" t="s">
        <v>1259</v>
      </c>
      <c r="F583" s="19" t="s">
        <v>8</v>
      </c>
      <c r="G583" s="19" t="s">
        <v>53</v>
      </c>
      <c r="H583" s="19">
        <v>5</v>
      </c>
    </row>
    <row r="584" spans="1:8" ht="19.5" customHeight="1">
      <c r="A584" s="15">
        <f t="shared" si="9"/>
        <v>581</v>
      </c>
      <c r="B584" s="15" t="s">
        <v>114</v>
      </c>
      <c r="C584" s="50" t="s">
        <v>1260</v>
      </c>
      <c r="D584" s="15" t="s">
        <v>1261</v>
      </c>
      <c r="E584" s="15"/>
      <c r="F584" s="40" t="s">
        <v>3</v>
      </c>
      <c r="G584" s="40" t="s">
        <v>6</v>
      </c>
      <c r="H584" s="40"/>
    </row>
    <row r="585" spans="1:8" ht="19.5" customHeight="1">
      <c r="A585" s="11">
        <f t="shared" si="9"/>
        <v>582</v>
      </c>
      <c r="B585" s="11"/>
      <c r="C585" s="51" t="s">
        <v>1262</v>
      </c>
      <c r="D585" s="11"/>
      <c r="E585" s="11"/>
      <c r="F585" s="19"/>
      <c r="G585" s="19"/>
      <c r="H585" s="19"/>
    </row>
    <row r="586" spans="1:8" ht="19.5" customHeight="1">
      <c r="A586" s="15">
        <f t="shared" si="9"/>
        <v>583</v>
      </c>
      <c r="B586" s="15"/>
      <c r="C586" s="50" t="s">
        <v>1263</v>
      </c>
      <c r="D586" s="15"/>
      <c r="E586" s="15"/>
      <c r="F586" s="40"/>
      <c r="G586" s="40"/>
      <c r="H586" s="40"/>
    </row>
    <row r="587" spans="1:8" ht="19.5" customHeight="1">
      <c r="A587" s="11">
        <f t="shared" si="9"/>
        <v>584</v>
      </c>
      <c r="B587" s="11"/>
      <c r="C587" s="51" t="s">
        <v>1264</v>
      </c>
      <c r="D587" s="11"/>
      <c r="E587" s="11"/>
      <c r="F587" s="19" t="s">
        <v>3</v>
      </c>
      <c r="G587" s="19"/>
      <c r="H587" s="19"/>
    </row>
    <row r="588" spans="1:8" ht="19.5" customHeight="1">
      <c r="A588" s="15">
        <f t="shared" si="9"/>
        <v>585</v>
      </c>
      <c r="B588" s="15" t="s">
        <v>114</v>
      </c>
      <c r="C588" s="50" t="s">
        <v>1265</v>
      </c>
      <c r="D588" s="15" t="s">
        <v>1266</v>
      </c>
      <c r="E588" s="15"/>
      <c r="F588" s="40" t="s">
        <v>3</v>
      </c>
      <c r="G588" s="40" t="s">
        <v>66</v>
      </c>
      <c r="H588" s="40"/>
    </row>
    <row r="589" spans="1:8" ht="19.5" customHeight="1">
      <c r="A589" s="11">
        <f t="shared" si="9"/>
        <v>586</v>
      </c>
      <c r="B589" s="11"/>
      <c r="C589" s="51" t="s">
        <v>1267</v>
      </c>
      <c r="D589" s="11"/>
      <c r="E589" s="11"/>
      <c r="F589" s="19"/>
      <c r="G589" s="19"/>
      <c r="H589" s="19"/>
    </row>
    <row r="590" spans="1:8" ht="19.5" customHeight="1">
      <c r="A590" s="15">
        <f t="shared" si="9"/>
        <v>587</v>
      </c>
      <c r="B590" s="15"/>
      <c r="C590" s="50" t="s">
        <v>1268</v>
      </c>
      <c r="D590" s="15"/>
      <c r="E590" s="15"/>
      <c r="F590" s="40" t="s">
        <v>3</v>
      </c>
      <c r="G590" s="40"/>
      <c r="H590" s="40"/>
    </row>
    <row r="591" spans="1:8" ht="19.5" customHeight="1">
      <c r="A591" s="11">
        <f t="shared" si="9"/>
        <v>588</v>
      </c>
      <c r="B591" s="11" t="s">
        <v>114</v>
      </c>
      <c r="C591" s="51" t="s">
        <v>1269</v>
      </c>
      <c r="D591" s="11" t="s">
        <v>1270</v>
      </c>
      <c r="E591" s="11"/>
      <c r="F591" s="19" t="s">
        <v>3</v>
      </c>
      <c r="G591" s="19" t="s">
        <v>53</v>
      </c>
      <c r="H591" s="19"/>
    </row>
    <row r="592" spans="1:8" ht="19.5" customHeight="1">
      <c r="A592" s="15">
        <f t="shared" si="9"/>
        <v>589</v>
      </c>
      <c r="B592" s="15" t="s">
        <v>114</v>
      </c>
      <c r="C592" s="50" t="s">
        <v>1271</v>
      </c>
      <c r="D592" s="15" t="s">
        <v>1272</v>
      </c>
      <c r="E592" s="15"/>
      <c r="F592" s="40" t="s">
        <v>3</v>
      </c>
      <c r="G592" s="40" t="s">
        <v>49</v>
      </c>
      <c r="H592" s="40"/>
    </row>
    <row r="593" spans="1:8" ht="19.5" customHeight="1">
      <c r="A593" s="11">
        <f t="shared" si="9"/>
        <v>590</v>
      </c>
      <c r="B593" s="11" t="s">
        <v>114</v>
      </c>
      <c r="C593" s="51" t="s">
        <v>1273</v>
      </c>
      <c r="D593" s="11"/>
      <c r="E593" s="11"/>
      <c r="F593" s="19" t="s">
        <v>3</v>
      </c>
      <c r="G593" s="19" t="s">
        <v>49</v>
      </c>
      <c r="H593" s="19"/>
    </row>
    <row r="594" spans="1:8" ht="19.5" customHeight="1">
      <c r="A594" s="15">
        <f t="shared" si="9"/>
        <v>591</v>
      </c>
      <c r="B594" s="15" t="s">
        <v>114</v>
      </c>
      <c r="C594" s="50" t="s">
        <v>1274</v>
      </c>
      <c r="D594" s="15" t="s">
        <v>1275</v>
      </c>
      <c r="E594" s="15"/>
      <c r="F594" s="40" t="s">
        <v>3</v>
      </c>
      <c r="G594" s="40" t="s">
        <v>51</v>
      </c>
      <c r="H594" s="40"/>
    </row>
    <row r="595" spans="1:8" ht="19.5" customHeight="1">
      <c r="A595" s="11">
        <f t="shared" si="9"/>
        <v>592</v>
      </c>
      <c r="B595" s="11" t="s">
        <v>114</v>
      </c>
      <c r="C595" s="51" t="s">
        <v>1276</v>
      </c>
      <c r="D595" s="11"/>
      <c r="E595" s="11"/>
      <c r="F595" s="19" t="s">
        <v>18</v>
      </c>
      <c r="G595" s="19" t="s">
        <v>65</v>
      </c>
      <c r="H595" s="19"/>
    </row>
    <row r="596" spans="1:8" ht="19.5" customHeight="1">
      <c r="A596" s="15">
        <f t="shared" si="9"/>
        <v>593</v>
      </c>
      <c r="B596" s="16"/>
      <c r="C596" s="17" t="s">
        <v>1277</v>
      </c>
      <c r="D596" s="16"/>
      <c r="E596" s="16"/>
      <c r="F596" s="40"/>
      <c r="G596" s="40"/>
      <c r="H596" s="40"/>
    </row>
    <row r="597" spans="1:8" ht="19.5" customHeight="1">
      <c r="A597" s="11">
        <f t="shared" si="9"/>
        <v>594</v>
      </c>
      <c r="B597" s="12"/>
      <c r="C597" s="13" t="s">
        <v>1278</v>
      </c>
      <c r="D597" s="12"/>
      <c r="E597" s="12"/>
      <c r="F597" s="19"/>
      <c r="G597" s="19"/>
      <c r="H597" s="19"/>
    </row>
    <row r="598" spans="1:8" ht="19.5" customHeight="1">
      <c r="A598" s="15">
        <f t="shared" si="9"/>
        <v>595</v>
      </c>
      <c r="B598" s="16"/>
      <c r="C598" s="17" t="s">
        <v>1279</v>
      </c>
      <c r="D598" s="16"/>
      <c r="E598" s="16"/>
      <c r="F598" s="40"/>
      <c r="G598" s="40"/>
      <c r="H598" s="40"/>
    </row>
    <row r="599" spans="1:8" ht="19.5" customHeight="1">
      <c r="A599" s="11">
        <f t="shared" si="9"/>
        <v>596</v>
      </c>
      <c r="B599" s="12"/>
      <c r="C599" s="13" t="s">
        <v>1280</v>
      </c>
      <c r="D599" s="12"/>
      <c r="E599" s="12"/>
      <c r="F599" s="19"/>
      <c r="G599" s="19"/>
      <c r="H599" s="19"/>
    </row>
    <row r="600" spans="1:8" ht="19.5" customHeight="1">
      <c r="A600" s="15">
        <f t="shared" si="9"/>
        <v>597</v>
      </c>
      <c r="B600" s="16"/>
      <c r="C600" s="17" t="s">
        <v>1281</v>
      </c>
      <c r="D600" s="16"/>
      <c r="E600" s="16"/>
      <c r="F600" s="40"/>
      <c r="G600" s="40"/>
      <c r="H600" s="40"/>
    </row>
    <row r="601" spans="1:8" ht="19.5" customHeight="1">
      <c r="A601" s="11">
        <f t="shared" si="9"/>
        <v>598</v>
      </c>
      <c r="B601" s="12"/>
      <c r="C601" s="13" t="s">
        <v>1282</v>
      </c>
      <c r="D601" s="12"/>
      <c r="E601" s="12"/>
      <c r="F601" s="19"/>
      <c r="G601" s="19"/>
      <c r="H601" s="19"/>
    </row>
    <row r="602" spans="1:8" ht="19.5" customHeight="1">
      <c r="A602" s="15">
        <f t="shared" si="9"/>
        <v>599</v>
      </c>
      <c r="B602" s="16"/>
      <c r="C602" s="17" t="s">
        <v>1283</v>
      </c>
      <c r="D602" s="16"/>
      <c r="E602" s="16"/>
      <c r="F602" s="40"/>
      <c r="G602" s="40"/>
      <c r="H602" s="40"/>
    </row>
    <row r="603" spans="1:8" ht="19.5" customHeight="1">
      <c r="A603" s="11">
        <f t="shared" si="9"/>
        <v>600</v>
      </c>
      <c r="B603" s="12" t="s">
        <v>114</v>
      </c>
      <c r="C603" s="13" t="s">
        <v>1284</v>
      </c>
      <c r="D603" s="12"/>
      <c r="E603" s="12"/>
      <c r="F603" s="19" t="s">
        <v>3</v>
      </c>
      <c r="G603" s="19" t="s">
        <v>49</v>
      </c>
      <c r="H603" s="19"/>
    </row>
    <row r="604" spans="1:8" ht="19.5" customHeight="1">
      <c r="A604" s="15"/>
      <c r="B604" s="16"/>
      <c r="C604" s="17" t="s">
        <v>1285</v>
      </c>
      <c r="D604" s="16"/>
      <c r="E604" s="16"/>
      <c r="F604" s="40"/>
      <c r="G604" s="40"/>
      <c r="H604" s="40"/>
    </row>
    <row r="605" spans="1:8" ht="19.5" customHeight="1">
      <c r="A605" s="11"/>
      <c r="B605" s="12"/>
      <c r="C605" s="13" t="s">
        <v>1286</v>
      </c>
      <c r="D605" s="12"/>
      <c r="E605" s="12"/>
      <c r="F605" s="19"/>
      <c r="G605" s="19"/>
      <c r="H605" s="19"/>
    </row>
    <row r="606" spans="1:8" ht="19.5" customHeight="1">
      <c r="A606" s="15"/>
      <c r="B606" s="16"/>
      <c r="C606" s="17" t="s">
        <v>1287</v>
      </c>
      <c r="D606" s="16"/>
      <c r="E606" s="16"/>
      <c r="F606" s="40"/>
      <c r="G606" s="40"/>
      <c r="H606" s="40"/>
    </row>
    <row r="607" spans="1:8" ht="19.5" customHeight="1">
      <c r="A607" s="11">
        <f t="shared" ref="A607:A726" si="10">IF(C607&lt;&gt;"",COUNTA($C$4:C607),"")</f>
        <v>604</v>
      </c>
      <c r="B607" s="12"/>
      <c r="C607" s="13" t="s">
        <v>1288</v>
      </c>
      <c r="D607" s="12"/>
      <c r="E607" s="12"/>
      <c r="F607" s="19"/>
      <c r="G607" s="19"/>
      <c r="H607" s="19"/>
    </row>
    <row r="608" spans="1:8" ht="19.5" customHeight="1">
      <c r="A608" s="15">
        <f t="shared" si="10"/>
        <v>605</v>
      </c>
      <c r="B608" s="16"/>
      <c r="C608" s="17" t="s">
        <v>1289</v>
      </c>
      <c r="D608" s="16"/>
      <c r="E608" s="16"/>
      <c r="F608" s="40" t="s">
        <v>18</v>
      </c>
      <c r="G608" s="40"/>
      <c r="H608" s="40"/>
    </row>
    <row r="609" spans="1:8" ht="19.5" customHeight="1">
      <c r="A609" s="11">
        <f t="shared" si="10"/>
        <v>606</v>
      </c>
      <c r="B609" s="12"/>
      <c r="C609" s="13" t="s">
        <v>1290</v>
      </c>
      <c r="D609" s="12"/>
      <c r="E609" s="12"/>
      <c r="F609" s="19"/>
      <c r="G609" s="19"/>
      <c r="H609" s="19"/>
    </row>
    <row r="610" spans="1:8" ht="19.5" customHeight="1">
      <c r="A610" s="15">
        <f t="shared" si="10"/>
        <v>607</v>
      </c>
      <c r="B610" s="16"/>
      <c r="C610" s="17" t="s">
        <v>1291</v>
      </c>
      <c r="D610" s="16"/>
      <c r="E610" s="16"/>
      <c r="F610" s="40"/>
      <c r="G610" s="40"/>
      <c r="H610" s="40"/>
    </row>
    <row r="611" spans="1:8" ht="19.5" customHeight="1">
      <c r="A611" s="11">
        <f t="shared" si="10"/>
        <v>608</v>
      </c>
      <c r="B611" s="12"/>
      <c r="C611" s="13" t="s">
        <v>1292</v>
      </c>
      <c r="D611" s="12"/>
      <c r="E611" s="12"/>
      <c r="F611" s="19"/>
      <c r="G611" s="19"/>
      <c r="H611" s="19"/>
    </row>
    <row r="612" spans="1:8" ht="19.5" customHeight="1">
      <c r="A612" s="15">
        <f t="shared" si="10"/>
        <v>609</v>
      </c>
      <c r="B612" s="16"/>
      <c r="C612" s="17" t="s">
        <v>1293</v>
      </c>
      <c r="D612" s="16"/>
      <c r="E612" s="16"/>
      <c r="F612" s="40"/>
      <c r="G612" s="40"/>
      <c r="H612" s="40"/>
    </row>
    <row r="613" spans="1:8" ht="19.5" customHeight="1">
      <c r="A613" s="11">
        <f t="shared" si="10"/>
        <v>610</v>
      </c>
      <c r="B613" s="12"/>
      <c r="C613" s="13" t="s">
        <v>1294</v>
      </c>
      <c r="D613" s="12"/>
      <c r="E613" s="12"/>
      <c r="F613" s="19"/>
      <c r="G613" s="19"/>
      <c r="H613" s="19"/>
    </row>
    <row r="614" spans="1:8" ht="19.5" customHeight="1">
      <c r="A614" s="15">
        <f t="shared" si="10"/>
        <v>611</v>
      </c>
      <c r="B614" s="16"/>
      <c r="C614" s="17" t="s">
        <v>1295</v>
      </c>
      <c r="D614" s="16"/>
      <c r="E614" s="16"/>
      <c r="F614" s="40" t="s">
        <v>18</v>
      </c>
      <c r="G614" s="40"/>
      <c r="H614" s="40"/>
    </row>
    <row r="615" spans="1:8" ht="19.5" customHeight="1">
      <c r="A615" s="11">
        <f t="shared" si="10"/>
        <v>612</v>
      </c>
      <c r="B615" s="12"/>
      <c r="C615" s="13" t="s">
        <v>1296</v>
      </c>
      <c r="D615" s="12"/>
      <c r="E615" s="12"/>
      <c r="F615" s="19" t="s">
        <v>18</v>
      </c>
      <c r="G615" s="19"/>
      <c r="H615" s="19"/>
    </row>
    <row r="616" spans="1:8" ht="19.5" customHeight="1">
      <c r="A616" s="15">
        <f t="shared" si="10"/>
        <v>613</v>
      </c>
      <c r="B616" s="16"/>
      <c r="C616" s="17" t="s">
        <v>1297</v>
      </c>
      <c r="D616" s="16"/>
      <c r="E616" s="16"/>
      <c r="F616" s="40" t="s">
        <v>18</v>
      </c>
      <c r="G616" s="40"/>
      <c r="H616" s="40"/>
    </row>
    <row r="617" spans="1:8" ht="19.5" customHeight="1">
      <c r="A617" s="11">
        <f t="shared" si="10"/>
        <v>614</v>
      </c>
      <c r="B617" s="12"/>
      <c r="C617" s="13" t="s">
        <v>1298</v>
      </c>
      <c r="D617" s="12"/>
      <c r="E617" s="12"/>
      <c r="F617" s="19" t="s">
        <v>18</v>
      </c>
      <c r="G617" s="19"/>
      <c r="H617" s="19"/>
    </row>
    <row r="618" spans="1:8" ht="19.5" customHeight="1">
      <c r="A618" s="15">
        <f t="shared" si="10"/>
        <v>615</v>
      </c>
      <c r="B618" s="16"/>
      <c r="C618" s="17" t="s">
        <v>1299</v>
      </c>
      <c r="D618" s="16"/>
      <c r="E618" s="16"/>
      <c r="F618" s="40"/>
      <c r="G618" s="40"/>
      <c r="H618" s="40"/>
    </row>
    <row r="619" spans="1:8" ht="19.5" customHeight="1">
      <c r="A619" s="11">
        <f t="shared" si="10"/>
        <v>616</v>
      </c>
      <c r="B619" s="12"/>
      <c r="C619" s="13" t="s">
        <v>1300</v>
      </c>
      <c r="D619" s="12"/>
      <c r="E619" s="12"/>
      <c r="F619" s="19"/>
      <c r="G619" s="19"/>
      <c r="H619" s="19"/>
    </row>
    <row r="620" spans="1:8" ht="19.5" customHeight="1">
      <c r="A620" s="15">
        <f t="shared" si="10"/>
        <v>617</v>
      </c>
      <c r="B620" s="16"/>
      <c r="C620" s="17" t="s">
        <v>1301</v>
      </c>
      <c r="D620" s="16"/>
      <c r="E620" s="16"/>
      <c r="F620" s="40"/>
      <c r="G620" s="40"/>
      <c r="H620" s="40"/>
    </row>
    <row r="621" spans="1:8" ht="19.5" customHeight="1">
      <c r="A621" s="11">
        <f t="shared" si="10"/>
        <v>618</v>
      </c>
      <c r="B621" s="12"/>
      <c r="C621" s="13" t="s">
        <v>1302</v>
      </c>
      <c r="D621" s="12"/>
      <c r="E621" s="12"/>
      <c r="F621" s="19"/>
      <c r="G621" s="19"/>
      <c r="H621" s="19"/>
    </row>
    <row r="622" spans="1:8" ht="19.5" customHeight="1">
      <c r="A622" s="15">
        <f t="shared" si="10"/>
        <v>619</v>
      </c>
      <c r="B622" s="16"/>
      <c r="C622" s="17" t="s">
        <v>1303</v>
      </c>
      <c r="D622" s="16"/>
      <c r="E622" s="16"/>
      <c r="F622" s="40"/>
      <c r="G622" s="40"/>
      <c r="H622" s="40"/>
    </row>
    <row r="623" spans="1:8" ht="19.5" customHeight="1">
      <c r="A623" s="11">
        <f t="shared" si="10"/>
        <v>620</v>
      </c>
      <c r="B623" s="12"/>
      <c r="C623" s="13" t="s">
        <v>1304</v>
      </c>
      <c r="D623" s="12"/>
      <c r="E623" s="12"/>
      <c r="F623" s="19"/>
      <c r="G623" s="19"/>
      <c r="H623" s="19"/>
    </row>
    <row r="624" spans="1:8" ht="19.5" customHeight="1">
      <c r="A624" s="15">
        <f t="shared" si="10"/>
        <v>621</v>
      </c>
      <c r="B624" s="16"/>
      <c r="C624" s="17" t="s">
        <v>1305</v>
      </c>
      <c r="D624" s="16"/>
      <c r="E624" s="16"/>
      <c r="F624" s="40"/>
      <c r="G624" s="40"/>
      <c r="H624" s="40"/>
    </row>
    <row r="625" spans="1:8" ht="19.5" customHeight="1">
      <c r="A625" s="11">
        <f t="shared" si="10"/>
        <v>622</v>
      </c>
      <c r="B625" s="12"/>
      <c r="C625" s="13" t="s">
        <v>1306</v>
      </c>
      <c r="D625" s="12"/>
      <c r="E625" s="12"/>
      <c r="F625" s="19"/>
      <c r="G625" s="19"/>
      <c r="H625" s="19"/>
    </row>
    <row r="626" spans="1:8" ht="19.5" customHeight="1">
      <c r="A626" s="15">
        <f t="shared" si="10"/>
        <v>623</v>
      </c>
      <c r="B626" s="16"/>
      <c r="C626" s="17" t="s">
        <v>1307</v>
      </c>
      <c r="D626" s="16"/>
      <c r="E626" s="16"/>
      <c r="F626" s="40"/>
      <c r="G626" s="40"/>
      <c r="H626" s="40"/>
    </row>
    <row r="627" spans="1:8" ht="19.5" customHeight="1">
      <c r="A627" s="11">
        <f t="shared" si="10"/>
        <v>624</v>
      </c>
      <c r="B627" s="12"/>
      <c r="C627" s="13" t="s">
        <v>1308</v>
      </c>
      <c r="D627" s="12"/>
      <c r="E627" s="12"/>
      <c r="F627" s="19"/>
      <c r="G627" s="19"/>
      <c r="H627" s="19"/>
    </row>
    <row r="628" spans="1:8" ht="19.5" customHeight="1">
      <c r="A628" s="15">
        <f t="shared" si="10"/>
        <v>625</v>
      </c>
      <c r="B628" s="16"/>
      <c r="C628" s="17" t="s">
        <v>1309</v>
      </c>
      <c r="D628" s="16"/>
      <c r="E628" s="16"/>
      <c r="F628" s="40"/>
      <c r="G628" s="40"/>
      <c r="H628" s="40"/>
    </row>
    <row r="629" spans="1:8" ht="19.5" customHeight="1">
      <c r="A629" s="11">
        <f t="shared" si="10"/>
        <v>626</v>
      </c>
      <c r="B629" s="12"/>
      <c r="C629" s="13" t="s">
        <v>1310</v>
      </c>
      <c r="D629" s="12"/>
      <c r="E629" s="12"/>
      <c r="F629" s="19"/>
      <c r="G629" s="19"/>
      <c r="H629" s="19"/>
    </row>
    <row r="630" spans="1:8" ht="19.5" customHeight="1">
      <c r="A630" s="15">
        <f t="shared" si="10"/>
        <v>627</v>
      </c>
      <c r="B630" s="16"/>
      <c r="C630" s="17" t="s">
        <v>1311</v>
      </c>
      <c r="D630" s="16"/>
      <c r="E630" s="16"/>
      <c r="F630" s="40"/>
      <c r="G630" s="40"/>
      <c r="H630" s="40"/>
    </row>
    <row r="631" spans="1:8" ht="19.5" customHeight="1">
      <c r="A631" s="11">
        <f t="shared" si="10"/>
        <v>628</v>
      </c>
      <c r="B631" s="12"/>
      <c r="C631" s="13" t="s">
        <v>1312</v>
      </c>
      <c r="D631" s="12"/>
      <c r="E631" s="12"/>
      <c r="F631" s="19"/>
      <c r="G631" s="19"/>
      <c r="H631" s="19"/>
    </row>
    <row r="632" spans="1:8" ht="19.5" customHeight="1">
      <c r="A632" s="15">
        <f t="shared" si="10"/>
        <v>629</v>
      </c>
      <c r="B632" s="16"/>
      <c r="C632" s="17" t="s">
        <v>1313</v>
      </c>
      <c r="D632" s="16"/>
      <c r="E632" s="16"/>
      <c r="F632" s="40"/>
      <c r="G632" s="40"/>
      <c r="H632" s="40"/>
    </row>
    <row r="633" spans="1:8" ht="19.5" customHeight="1">
      <c r="A633" s="11">
        <f t="shared" si="10"/>
        <v>630</v>
      </c>
      <c r="B633" s="12"/>
      <c r="C633" s="13" t="s">
        <v>1314</v>
      </c>
      <c r="D633" s="12"/>
      <c r="E633" s="12"/>
      <c r="F633" s="19"/>
      <c r="G633" s="19"/>
      <c r="H633" s="19"/>
    </row>
    <row r="634" spans="1:8" ht="19.5" customHeight="1">
      <c r="A634" s="15">
        <f t="shared" si="10"/>
        <v>631</v>
      </c>
      <c r="B634" s="16"/>
      <c r="C634" s="17" t="s">
        <v>1315</v>
      </c>
      <c r="D634" s="16"/>
      <c r="E634" s="16"/>
      <c r="F634" s="40"/>
      <c r="G634" s="40"/>
      <c r="H634" s="40"/>
    </row>
    <row r="635" spans="1:8" ht="19.5" customHeight="1">
      <c r="A635" s="11">
        <f t="shared" si="10"/>
        <v>632</v>
      </c>
      <c r="B635" s="12"/>
      <c r="C635" s="13" t="s">
        <v>1316</v>
      </c>
      <c r="D635" s="12"/>
      <c r="E635" s="12"/>
      <c r="F635" s="19"/>
      <c r="G635" s="19"/>
      <c r="H635" s="19"/>
    </row>
    <row r="636" spans="1:8" ht="19.5" customHeight="1">
      <c r="A636" s="15">
        <f t="shared" si="10"/>
        <v>633</v>
      </c>
      <c r="B636" s="16"/>
      <c r="C636" s="17" t="s">
        <v>1317</v>
      </c>
      <c r="D636" s="16"/>
      <c r="E636" s="16"/>
      <c r="F636" s="40"/>
      <c r="G636" s="40"/>
      <c r="H636" s="40"/>
    </row>
    <row r="637" spans="1:8" ht="19.5" customHeight="1">
      <c r="A637" s="11">
        <f t="shared" si="10"/>
        <v>634</v>
      </c>
      <c r="B637" s="12"/>
      <c r="C637" s="13" t="s">
        <v>1318</v>
      </c>
      <c r="D637" s="12"/>
      <c r="E637" s="12"/>
      <c r="F637" s="19"/>
      <c r="G637" s="19"/>
      <c r="H637" s="19"/>
    </row>
    <row r="638" spans="1:8" ht="19.5" customHeight="1">
      <c r="A638" s="15">
        <f t="shared" si="10"/>
        <v>635</v>
      </c>
      <c r="B638" s="16"/>
      <c r="C638" s="17" t="s">
        <v>1319</v>
      </c>
      <c r="D638" s="16"/>
      <c r="E638" s="16"/>
      <c r="F638" s="40"/>
      <c r="G638" s="40"/>
      <c r="H638" s="40"/>
    </row>
    <row r="639" spans="1:8" ht="19.5" customHeight="1">
      <c r="A639" s="11">
        <f t="shared" si="10"/>
        <v>636</v>
      </c>
      <c r="B639" s="12"/>
      <c r="C639" s="13" t="s">
        <v>1320</v>
      </c>
      <c r="D639" s="12"/>
      <c r="E639" s="12"/>
      <c r="F639" s="19"/>
      <c r="G639" s="19"/>
      <c r="H639" s="19"/>
    </row>
    <row r="640" spans="1:8" ht="19.5" customHeight="1">
      <c r="A640" s="15">
        <f t="shared" si="10"/>
        <v>637</v>
      </c>
      <c r="B640" s="16"/>
      <c r="C640" s="17" t="s">
        <v>1321</v>
      </c>
      <c r="D640" s="16"/>
      <c r="E640" s="16"/>
      <c r="F640" s="40"/>
      <c r="G640" s="40"/>
      <c r="H640" s="40"/>
    </row>
    <row r="641" spans="1:8" ht="19.5" customHeight="1">
      <c r="A641" s="11">
        <f t="shared" si="10"/>
        <v>638</v>
      </c>
      <c r="B641" s="12"/>
      <c r="C641" s="13" t="s">
        <v>1322</v>
      </c>
      <c r="D641" s="12"/>
      <c r="E641" s="12"/>
      <c r="F641" s="19"/>
      <c r="G641" s="19"/>
      <c r="H641" s="19"/>
    </row>
    <row r="642" spans="1:8" ht="19.5" customHeight="1">
      <c r="A642" s="15">
        <f t="shared" si="10"/>
        <v>639</v>
      </c>
      <c r="B642" s="16"/>
      <c r="C642" s="17" t="s">
        <v>1323</v>
      </c>
      <c r="D642" s="16"/>
      <c r="E642" s="16"/>
      <c r="F642" s="40"/>
      <c r="G642" s="40"/>
      <c r="H642" s="40"/>
    </row>
    <row r="643" spans="1:8" ht="19.5" customHeight="1">
      <c r="A643" s="11">
        <f t="shared" si="10"/>
        <v>640</v>
      </c>
      <c r="B643" s="12"/>
      <c r="C643" s="13" t="s">
        <v>1324</v>
      </c>
      <c r="D643" s="12"/>
      <c r="E643" s="12"/>
      <c r="F643" s="19"/>
      <c r="G643" s="19"/>
      <c r="H643" s="19"/>
    </row>
    <row r="644" spans="1:8" ht="19.5" customHeight="1">
      <c r="A644" s="15">
        <f t="shared" si="10"/>
        <v>641</v>
      </c>
      <c r="B644" s="16"/>
      <c r="C644" s="17" t="s">
        <v>1325</v>
      </c>
      <c r="D644" s="16"/>
      <c r="E644" s="16"/>
      <c r="F644" s="40"/>
      <c r="G644" s="40"/>
      <c r="H644" s="40"/>
    </row>
    <row r="645" spans="1:8" ht="19.5" customHeight="1">
      <c r="A645" s="11">
        <f t="shared" si="10"/>
        <v>642</v>
      </c>
      <c r="B645" s="12"/>
      <c r="C645" s="13" t="s">
        <v>1326</v>
      </c>
      <c r="D645" s="12"/>
      <c r="E645" s="12"/>
      <c r="F645" s="19"/>
      <c r="G645" s="19"/>
      <c r="H645" s="19"/>
    </row>
    <row r="646" spans="1:8" ht="19.5" customHeight="1">
      <c r="A646" s="15">
        <f t="shared" si="10"/>
        <v>643</v>
      </c>
      <c r="B646" s="16"/>
      <c r="C646" s="17" t="s">
        <v>1327</v>
      </c>
      <c r="D646" s="16"/>
      <c r="E646" s="16"/>
      <c r="F646" s="40"/>
      <c r="G646" s="40"/>
      <c r="H646" s="40"/>
    </row>
    <row r="647" spans="1:8" ht="19.5" customHeight="1">
      <c r="A647" s="11">
        <f t="shared" si="10"/>
        <v>644</v>
      </c>
      <c r="B647" s="12"/>
      <c r="C647" s="13" t="s">
        <v>1328</v>
      </c>
      <c r="D647" s="12"/>
      <c r="E647" s="12"/>
      <c r="F647" s="19"/>
      <c r="G647" s="19"/>
      <c r="H647" s="19"/>
    </row>
    <row r="648" spans="1:8" ht="19.5" customHeight="1">
      <c r="A648" s="15">
        <f t="shared" si="10"/>
        <v>645</v>
      </c>
      <c r="B648" s="16"/>
      <c r="C648" s="17" t="s">
        <v>1329</v>
      </c>
      <c r="D648" s="16"/>
      <c r="E648" s="16" t="s">
        <v>1330</v>
      </c>
      <c r="F648" s="40"/>
      <c r="G648" s="40"/>
      <c r="H648" s="40"/>
    </row>
    <row r="649" spans="1:8" ht="19.5" customHeight="1">
      <c r="A649" s="11">
        <f t="shared" si="10"/>
        <v>646</v>
      </c>
      <c r="B649" s="12"/>
      <c r="C649" s="13" t="s">
        <v>1331</v>
      </c>
      <c r="D649" s="12"/>
      <c r="E649" s="12"/>
      <c r="F649" s="19"/>
      <c r="G649" s="19"/>
      <c r="H649" s="19"/>
    </row>
    <row r="650" spans="1:8" ht="19.5" customHeight="1">
      <c r="A650" s="15">
        <f t="shared" si="10"/>
        <v>647</v>
      </c>
      <c r="B650" s="16"/>
      <c r="C650" s="17" t="s">
        <v>1332</v>
      </c>
      <c r="D650" s="16"/>
      <c r="E650" s="16"/>
      <c r="F650" s="40"/>
      <c r="G650" s="40"/>
      <c r="H650" s="40"/>
    </row>
    <row r="651" spans="1:8" ht="19.5" customHeight="1">
      <c r="A651" s="11">
        <f t="shared" si="10"/>
        <v>648</v>
      </c>
      <c r="B651" s="12"/>
      <c r="C651" s="13" t="s">
        <v>1333</v>
      </c>
      <c r="D651" s="12"/>
      <c r="E651" s="12"/>
      <c r="F651" s="19"/>
      <c r="G651" s="19"/>
      <c r="H651" s="19"/>
    </row>
    <row r="652" spans="1:8" ht="19.5" customHeight="1">
      <c r="A652" s="15">
        <f t="shared" si="10"/>
        <v>649</v>
      </c>
      <c r="B652" s="16"/>
      <c r="C652" s="17" t="s">
        <v>1334</v>
      </c>
      <c r="D652" s="16"/>
      <c r="E652" s="16"/>
      <c r="F652" s="40"/>
      <c r="G652" s="40"/>
      <c r="H652" s="40"/>
    </row>
    <row r="653" spans="1:8" ht="19.5" customHeight="1">
      <c r="A653" s="11">
        <f t="shared" si="10"/>
        <v>650</v>
      </c>
      <c r="B653" s="23"/>
      <c r="C653" s="22" t="s">
        <v>1335</v>
      </c>
      <c r="D653" s="22"/>
      <c r="E653" s="22"/>
      <c r="F653" s="22"/>
      <c r="G653" s="22"/>
      <c r="H653" s="23"/>
    </row>
    <row r="654" spans="1:8" ht="19.5" customHeight="1">
      <c r="A654" s="15">
        <f t="shared" si="10"/>
        <v>651</v>
      </c>
      <c r="B654" s="16"/>
      <c r="C654" s="17" t="s">
        <v>1336</v>
      </c>
      <c r="D654" s="16"/>
      <c r="E654" s="16"/>
      <c r="F654" s="40"/>
      <c r="G654" s="40"/>
      <c r="H654" s="40"/>
    </row>
    <row r="655" spans="1:8" ht="19.5" customHeight="1">
      <c r="A655" s="11">
        <f t="shared" si="10"/>
        <v>652</v>
      </c>
      <c r="B655" s="12"/>
      <c r="C655" s="13" t="s">
        <v>1337</v>
      </c>
      <c r="D655" s="12"/>
      <c r="E655" s="12"/>
      <c r="F655" s="19"/>
      <c r="G655" s="19"/>
      <c r="H655" s="19"/>
    </row>
    <row r="656" spans="1:8" ht="19.5" customHeight="1">
      <c r="A656" s="15">
        <f t="shared" si="10"/>
        <v>653</v>
      </c>
      <c r="B656" s="16" t="s">
        <v>114</v>
      </c>
      <c r="C656" s="17" t="s">
        <v>1338</v>
      </c>
      <c r="D656" s="16"/>
      <c r="E656" s="16"/>
      <c r="F656" s="40" t="s">
        <v>3</v>
      </c>
      <c r="G656" s="40" t="s">
        <v>59</v>
      </c>
      <c r="H656" s="40"/>
    </row>
    <row r="657" spans="1:8" ht="19.5" customHeight="1">
      <c r="A657" s="11">
        <f t="shared" si="10"/>
        <v>654</v>
      </c>
      <c r="B657" s="12" t="s">
        <v>114</v>
      </c>
      <c r="C657" s="13" t="s">
        <v>1339</v>
      </c>
      <c r="D657" s="12"/>
      <c r="E657" s="12"/>
      <c r="F657" s="19"/>
      <c r="G657" s="19"/>
      <c r="H657" s="19"/>
    </row>
    <row r="658" spans="1:8" ht="19.5" customHeight="1">
      <c r="A658" s="15">
        <f t="shared" si="10"/>
        <v>655</v>
      </c>
      <c r="B658" s="16" t="s">
        <v>114</v>
      </c>
      <c r="C658" s="17" t="s">
        <v>1340</v>
      </c>
      <c r="D658" s="16"/>
      <c r="E658" s="16"/>
      <c r="F658" s="40" t="s">
        <v>3</v>
      </c>
      <c r="G658" s="40" t="s">
        <v>49</v>
      </c>
      <c r="H658" s="40"/>
    </row>
    <row r="659" spans="1:8" ht="19.5" customHeight="1">
      <c r="A659" s="11">
        <f t="shared" si="10"/>
        <v>656</v>
      </c>
      <c r="B659" s="12" t="s">
        <v>114</v>
      </c>
      <c r="C659" s="13" t="s">
        <v>1341</v>
      </c>
      <c r="D659" s="12"/>
      <c r="E659" s="12"/>
      <c r="F659" s="19" t="s">
        <v>3</v>
      </c>
      <c r="G659" s="19" t="s">
        <v>49</v>
      </c>
      <c r="H659" s="19"/>
    </row>
    <row r="660" spans="1:8" ht="19.5" customHeight="1">
      <c r="A660" s="15">
        <f t="shared" si="10"/>
        <v>657</v>
      </c>
      <c r="B660" s="16"/>
      <c r="C660" s="17" t="s">
        <v>1342</v>
      </c>
      <c r="D660" s="16"/>
      <c r="E660" s="16"/>
      <c r="F660" s="40"/>
      <c r="G660" s="40"/>
      <c r="H660" s="40"/>
    </row>
    <row r="661" spans="1:8" ht="19.5" customHeight="1">
      <c r="A661" s="11">
        <f t="shared" si="10"/>
        <v>658</v>
      </c>
      <c r="B661" s="12"/>
      <c r="C661" s="13" t="s">
        <v>1343</v>
      </c>
      <c r="D661" s="12"/>
      <c r="E661" s="12"/>
      <c r="F661" s="19"/>
      <c r="G661" s="19"/>
      <c r="H661" s="19"/>
    </row>
    <row r="662" spans="1:8" ht="19.5" customHeight="1">
      <c r="A662" s="15">
        <f t="shared" si="10"/>
        <v>659</v>
      </c>
      <c r="B662" s="16"/>
      <c r="C662" s="17" t="s">
        <v>1344</v>
      </c>
      <c r="D662" s="16"/>
      <c r="E662" s="16"/>
      <c r="F662" s="40"/>
      <c r="G662" s="40"/>
      <c r="H662" s="40"/>
    </row>
    <row r="663" spans="1:8" ht="19.5" customHeight="1">
      <c r="A663" s="11">
        <f t="shared" si="10"/>
        <v>660</v>
      </c>
      <c r="B663" s="12"/>
      <c r="C663" s="13" t="s">
        <v>1345</v>
      </c>
      <c r="D663" s="12"/>
      <c r="E663" s="12"/>
      <c r="F663" s="19"/>
      <c r="G663" s="19"/>
      <c r="H663" s="19"/>
    </row>
    <row r="664" spans="1:8" ht="19.5" customHeight="1">
      <c r="A664" s="15">
        <f t="shared" si="10"/>
        <v>661</v>
      </c>
      <c r="B664" s="16"/>
      <c r="C664" s="17" t="s">
        <v>1346</v>
      </c>
      <c r="D664" s="16"/>
      <c r="E664" s="16"/>
      <c r="F664" s="40"/>
      <c r="G664" s="40"/>
      <c r="H664" s="40"/>
    </row>
    <row r="665" spans="1:8" ht="19.5" customHeight="1">
      <c r="A665" s="11">
        <f t="shared" si="10"/>
        <v>662</v>
      </c>
      <c r="B665" s="12"/>
      <c r="C665" s="13" t="s">
        <v>1347</v>
      </c>
      <c r="D665" s="12"/>
      <c r="E665" s="12"/>
      <c r="F665" s="19"/>
      <c r="G665" s="19"/>
      <c r="H665" s="19"/>
    </row>
    <row r="666" spans="1:8" ht="19.5" customHeight="1">
      <c r="A666" s="15">
        <f t="shared" si="10"/>
        <v>663</v>
      </c>
      <c r="B666" s="16"/>
      <c r="C666" s="17" t="s">
        <v>1348</v>
      </c>
      <c r="D666" s="16"/>
      <c r="E666" s="16"/>
      <c r="F666" s="40"/>
      <c r="G666" s="40"/>
      <c r="H666" s="40"/>
    </row>
    <row r="667" spans="1:8" ht="19.5" customHeight="1">
      <c r="A667" s="11">
        <f t="shared" si="10"/>
        <v>664</v>
      </c>
      <c r="B667" s="12"/>
      <c r="C667" s="13" t="s">
        <v>1349</v>
      </c>
      <c r="D667" s="12"/>
      <c r="E667" s="12"/>
      <c r="F667" s="19"/>
      <c r="G667" s="19"/>
      <c r="H667" s="19"/>
    </row>
    <row r="668" spans="1:8" ht="19.5" customHeight="1">
      <c r="A668" s="15">
        <f t="shared" si="10"/>
        <v>665</v>
      </c>
      <c r="B668" s="16"/>
      <c r="C668" s="17" t="s">
        <v>1350</v>
      </c>
      <c r="D668" s="16"/>
      <c r="E668" s="16"/>
      <c r="F668" s="40"/>
      <c r="G668" s="40"/>
      <c r="H668" s="40"/>
    </row>
    <row r="669" spans="1:8" ht="19.5" customHeight="1">
      <c r="A669" s="11">
        <f t="shared" si="10"/>
        <v>666</v>
      </c>
      <c r="B669" s="12"/>
      <c r="C669" s="13" t="s">
        <v>1351</v>
      </c>
      <c r="D669" s="12"/>
      <c r="E669" s="12"/>
      <c r="F669" s="19"/>
      <c r="G669" s="19"/>
      <c r="H669" s="19"/>
    </row>
    <row r="670" spans="1:8" ht="19.5" customHeight="1">
      <c r="A670" s="15">
        <f t="shared" si="10"/>
        <v>667</v>
      </c>
      <c r="B670" s="16"/>
      <c r="C670" s="17" t="s">
        <v>1352</v>
      </c>
      <c r="D670" s="16"/>
      <c r="E670" s="16"/>
      <c r="F670" s="40"/>
      <c r="G670" s="40"/>
      <c r="H670" s="40"/>
    </row>
    <row r="671" spans="1:8" ht="19.5" customHeight="1">
      <c r="A671" s="11">
        <f t="shared" si="10"/>
        <v>668</v>
      </c>
      <c r="B671" s="12"/>
      <c r="C671" s="13" t="s">
        <v>1353</v>
      </c>
      <c r="D671" s="12"/>
      <c r="E671" s="12"/>
      <c r="F671" s="19"/>
      <c r="G671" s="19"/>
      <c r="H671" s="19"/>
    </row>
    <row r="672" spans="1:8" ht="19.5" customHeight="1">
      <c r="A672" s="15">
        <f t="shared" si="10"/>
        <v>669</v>
      </c>
      <c r="B672" s="16"/>
      <c r="C672" s="17" t="s">
        <v>1354</v>
      </c>
      <c r="D672" s="16"/>
      <c r="E672" s="16"/>
      <c r="F672" s="40"/>
      <c r="G672" s="40"/>
      <c r="H672" s="40"/>
    </row>
    <row r="673" spans="1:8" ht="19.5" customHeight="1">
      <c r="A673" s="11">
        <f t="shared" si="10"/>
        <v>670</v>
      </c>
      <c r="B673" s="12"/>
      <c r="C673" s="13" t="s">
        <v>1355</v>
      </c>
      <c r="D673" s="12"/>
      <c r="E673" s="12"/>
      <c r="F673" s="19"/>
      <c r="G673" s="19"/>
      <c r="H673" s="19"/>
    </row>
    <row r="674" spans="1:8" ht="19.5" customHeight="1">
      <c r="A674" s="15">
        <f t="shared" si="10"/>
        <v>671</v>
      </c>
      <c r="B674" s="16"/>
      <c r="C674" s="17" t="s">
        <v>1356</v>
      </c>
      <c r="D674" s="16"/>
      <c r="E674" s="16"/>
      <c r="F674" s="40" t="s">
        <v>18</v>
      </c>
      <c r="G674" s="40"/>
      <c r="H674" s="40"/>
    </row>
    <row r="675" spans="1:8" ht="19.5" customHeight="1">
      <c r="A675" s="11">
        <f t="shared" si="10"/>
        <v>672</v>
      </c>
      <c r="B675" s="12"/>
      <c r="C675" s="13" t="s">
        <v>1357</v>
      </c>
      <c r="D675" s="12"/>
      <c r="E675" s="12"/>
      <c r="F675" s="19" t="s">
        <v>18</v>
      </c>
      <c r="G675" s="19"/>
      <c r="H675" s="19"/>
    </row>
    <row r="676" spans="1:8" ht="19.5" customHeight="1">
      <c r="A676" s="15">
        <f t="shared" si="10"/>
        <v>673</v>
      </c>
      <c r="B676" s="16"/>
      <c r="C676" s="17" t="s">
        <v>1358</v>
      </c>
      <c r="D676" s="16"/>
      <c r="E676" s="16"/>
      <c r="F676" s="40" t="s">
        <v>314</v>
      </c>
      <c r="G676" s="40"/>
      <c r="H676" s="40"/>
    </row>
    <row r="677" spans="1:8" ht="19.5" customHeight="1">
      <c r="A677" s="11">
        <f t="shared" si="10"/>
        <v>674</v>
      </c>
      <c r="B677" s="12"/>
      <c r="C677" s="13" t="s">
        <v>1359</v>
      </c>
      <c r="D677" s="12"/>
      <c r="E677" s="12"/>
      <c r="F677" s="19"/>
      <c r="G677" s="19"/>
      <c r="H677" s="19"/>
    </row>
    <row r="678" spans="1:8" ht="19.5" customHeight="1">
      <c r="A678" s="15">
        <f t="shared" si="10"/>
        <v>675</v>
      </c>
      <c r="B678" s="16"/>
      <c r="C678" s="17" t="s">
        <v>1360</v>
      </c>
      <c r="D678" s="16"/>
      <c r="E678" s="16"/>
      <c r="F678" s="40" t="s">
        <v>3</v>
      </c>
      <c r="G678" s="40"/>
      <c r="H678" s="40"/>
    </row>
    <row r="679" spans="1:8" ht="19.5" customHeight="1">
      <c r="A679" s="11">
        <f t="shared" si="10"/>
        <v>676</v>
      </c>
      <c r="B679" s="12"/>
      <c r="C679" s="13" t="s">
        <v>1361</v>
      </c>
      <c r="D679" s="12"/>
      <c r="E679" s="12"/>
      <c r="F679" s="19" t="s">
        <v>3</v>
      </c>
      <c r="G679" s="19"/>
      <c r="H679" s="19"/>
    </row>
    <row r="680" spans="1:8" ht="19.5" customHeight="1">
      <c r="A680" s="15">
        <f t="shared" si="10"/>
        <v>677</v>
      </c>
      <c r="B680" s="16"/>
      <c r="C680" s="17" t="s">
        <v>1362</v>
      </c>
      <c r="D680" s="16"/>
      <c r="E680" s="16"/>
      <c r="F680" s="40" t="s">
        <v>3</v>
      </c>
      <c r="G680" s="40"/>
      <c r="H680" s="40"/>
    </row>
    <row r="681" spans="1:8" ht="19.5" customHeight="1">
      <c r="A681" s="11">
        <f t="shared" si="10"/>
        <v>678</v>
      </c>
      <c r="B681" s="12"/>
      <c r="C681" s="13" t="s">
        <v>1363</v>
      </c>
      <c r="D681" s="12"/>
      <c r="E681" s="12"/>
      <c r="F681" s="19" t="s">
        <v>3</v>
      </c>
      <c r="G681" s="19"/>
      <c r="H681" s="19"/>
    </row>
    <row r="682" spans="1:8" ht="19.5" customHeight="1">
      <c r="A682" s="15">
        <f t="shared" si="10"/>
        <v>679</v>
      </c>
      <c r="B682" s="16"/>
      <c r="C682" s="17" t="s">
        <v>1364</v>
      </c>
      <c r="D682" s="16"/>
      <c r="E682" s="16"/>
      <c r="F682" s="40" t="s">
        <v>3</v>
      </c>
      <c r="G682" s="40"/>
      <c r="H682" s="40"/>
    </row>
    <row r="683" spans="1:8" ht="19.5" customHeight="1">
      <c r="A683" s="11">
        <f t="shared" si="10"/>
        <v>680</v>
      </c>
      <c r="B683" s="12"/>
      <c r="C683" s="13" t="s">
        <v>1365</v>
      </c>
      <c r="D683" s="12"/>
      <c r="E683" s="12"/>
      <c r="F683" s="19" t="s">
        <v>3</v>
      </c>
      <c r="G683" s="19"/>
      <c r="H683" s="19"/>
    </row>
    <row r="684" spans="1:8" ht="19.5" customHeight="1">
      <c r="A684" s="15">
        <f t="shared" si="10"/>
        <v>681</v>
      </c>
      <c r="B684" s="16"/>
      <c r="C684" s="17" t="s">
        <v>1366</v>
      </c>
      <c r="D684" s="16"/>
      <c r="E684" s="16"/>
      <c r="F684" s="40" t="s">
        <v>3</v>
      </c>
      <c r="G684" s="40"/>
      <c r="H684" s="40"/>
    </row>
    <row r="685" spans="1:8" ht="19.5" customHeight="1">
      <c r="A685" s="11">
        <f t="shared" si="10"/>
        <v>682</v>
      </c>
      <c r="B685" s="12"/>
      <c r="C685" s="13" t="s">
        <v>1367</v>
      </c>
      <c r="D685" s="12"/>
      <c r="E685" s="12"/>
      <c r="F685" s="19" t="s">
        <v>3</v>
      </c>
      <c r="G685" s="19"/>
      <c r="H685" s="19"/>
    </row>
    <row r="686" spans="1:8" ht="19.5" customHeight="1">
      <c r="A686" s="15">
        <f t="shared" si="10"/>
        <v>683</v>
      </c>
      <c r="B686" s="16"/>
      <c r="C686" s="17" t="s">
        <v>1368</v>
      </c>
      <c r="D686" s="16"/>
      <c r="E686" s="16"/>
      <c r="F686" s="40" t="s">
        <v>18</v>
      </c>
      <c r="G686" s="40"/>
      <c r="H686" s="40"/>
    </row>
    <row r="687" spans="1:8" ht="19.5" customHeight="1">
      <c r="A687" s="11">
        <f t="shared" si="10"/>
        <v>684</v>
      </c>
      <c r="B687" s="12"/>
      <c r="C687" s="13" t="s">
        <v>1369</v>
      </c>
      <c r="D687" s="12"/>
      <c r="E687" s="12"/>
      <c r="F687" s="19" t="s">
        <v>314</v>
      </c>
      <c r="G687" s="19"/>
      <c r="H687" s="19"/>
    </row>
    <row r="688" spans="1:8" ht="19.5" customHeight="1">
      <c r="A688" s="15">
        <f t="shared" si="10"/>
        <v>685</v>
      </c>
      <c r="B688" s="16"/>
      <c r="C688" s="17" t="s">
        <v>1370</v>
      </c>
      <c r="D688" s="16"/>
      <c r="E688" s="16"/>
      <c r="F688" s="40"/>
      <c r="G688" s="40"/>
      <c r="H688" s="40"/>
    </row>
    <row r="689" spans="1:8" ht="19.5" customHeight="1">
      <c r="A689" s="15">
        <f t="shared" si="10"/>
        <v>686</v>
      </c>
      <c r="B689" s="52" t="s">
        <v>114</v>
      </c>
      <c r="C689" s="53" t="s">
        <v>77</v>
      </c>
      <c r="D689" s="16"/>
      <c r="E689" s="16">
        <v>1</v>
      </c>
      <c r="F689" s="40" t="s">
        <v>3</v>
      </c>
      <c r="G689" s="40" t="s">
        <v>27</v>
      </c>
      <c r="H689" s="40">
        <v>1</v>
      </c>
    </row>
    <row r="690" spans="1:8" ht="19.5" customHeight="1">
      <c r="A690" s="11">
        <f t="shared" si="10"/>
        <v>687</v>
      </c>
      <c r="B690" s="54" t="s">
        <v>114</v>
      </c>
      <c r="C690" s="55" t="s">
        <v>78</v>
      </c>
      <c r="D690" s="12"/>
      <c r="E690" s="12">
        <v>2</v>
      </c>
      <c r="F690" s="19" t="s">
        <v>3</v>
      </c>
      <c r="G690" s="19" t="s">
        <v>27</v>
      </c>
      <c r="H690" s="19">
        <v>1</v>
      </c>
    </row>
    <row r="691" spans="1:8" ht="19.5" customHeight="1">
      <c r="A691" s="15">
        <f t="shared" si="10"/>
        <v>688</v>
      </c>
      <c r="B691" s="52" t="s">
        <v>114</v>
      </c>
      <c r="C691" s="53" t="s">
        <v>79</v>
      </c>
      <c r="D691" s="16"/>
      <c r="E691" s="16">
        <v>3</v>
      </c>
      <c r="F691" s="40" t="s">
        <v>3</v>
      </c>
      <c r="G691" s="40" t="s">
        <v>27</v>
      </c>
      <c r="H691" s="40">
        <v>1</v>
      </c>
    </row>
    <row r="692" spans="1:8" ht="19.5" customHeight="1">
      <c r="A692" s="11">
        <f t="shared" si="10"/>
        <v>689</v>
      </c>
      <c r="B692" s="54" t="s">
        <v>114</v>
      </c>
      <c r="C692" s="55" t="s">
        <v>80</v>
      </c>
      <c r="D692" s="12"/>
      <c r="E692" s="12">
        <v>4</v>
      </c>
      <c r="F692" s="19" t="s">
        <v>3</v>
      </c>
      <c r="G692" s="19" t="s">
        <v>27</v>
      </c>
      <c r="H692" s="19"/>
    </row>
    <row r="693" spans="1:8" ht="19.5" customHeight="1">
      <c r="A693" s="15">
        <f t="shared" si="10"/>
        <v>690</v>
      </c>
      <c r="B693" s="52" t="s">
        <v>114</v>
      </c>
      <c r="C693" s="53" t="s">
        <v>81</v>
      </c>
      <c r="D693" s="16"/>
      <c r="E693" s="16">
        <v>5</v>
      </c>
      <c r="F693" s="40" t="s">
        <v>3</v>
      </c>
      <c r="G693" s="40" t="s">
        <v>27</v>
      </c>
      <c r="H693" s="40"/>
    </row>
    <row r="694" spans="1:8" ht="19.5" customHeight="1">
      <c r="A694" s="11">
        <f t="shared" si="10"/>
        <v>691</v>
      </c>
      <c r="B694" s="54" t="s">
        <v>114</v>
      </c>
      <c r="C694" s="55" t="s">
        <v>82</v>
      </c>
      <c r="D694" s="12"/>
      <c r="E694" s="12">
        <v>6</v>
      </c>
      <c r="F694" s="19" t="s">
        <v>3</v>
      </c>
      <c r="G694" s="19" t="s">
        <v>27</v>
      </c>
      <c r="H694" s="19"/>
    </row>
    <row r="695" spans="1:8" ht="19.5" customHeight="1">
      <c r="A695" s="15">
        <f t="shared" si="10"/>
        <v>692</v>
      </c>
      <c r="B695" s="52" t="s">
        <v>114</v>
      </c>
      <c r="C695" s="53" t="s">
        <v>83</v>
      </c>
      <c r="D695" s="16" t="s">
        <v>1371</v>
      </c>
      <c r="E695" s="16">
        <v>7</v>
      </c>
      <c r="F695" s="40" t="s">
        <v>3</v>
      </c>
      <c r="G695" s="40" t="s">
        <v>27</v>
      </c>
      <c r="H695" s="40"/>
    </row>
    <row r="696" spans="1:8" ht="19.5" customHeight="1">
      <c r="A696" s="11">
        <f t="shared" si="10"/>
        <v>693</v>
      </c>
      <c r="B696" s="54" t="s">
        <v>114</v>
      </c>
      <c r="C696" s="55" t="s">
        <v>84</v>
      </c>
      <c r="D696" s="12"/>
      <c r="E696" s="12">
        <v>8</v>
      </c>
      <c r="F696" s="19" t="s">
        <v>3</v>
      </c>
      <c r="G696" s="19" t="s">
        <v>27</v>
      </c>
      <c r="H696" s="19"/>
    </row>
    <row r="697" spans="1:8" ht="19.5" customHeight="1">
      <c r="A697" s="15">
        <f t="shared" si="10"/>
        <v>694</v>
      </c>
      <c r="B697" s="52" t="s">
        <v>114</v>
      </c>
      <c r="C697" s="53" t="s">
        <v>85</v>
      </c>
      <c r="D697" s="16"/>
      <c r="E697" s="16">
        <v>9</v>
      </c>
      <c r="F697" s="40" t="s">
        <v>3</v>
      </c>
      <c r="G697" s="40" t="s">
        <v>27</v>
      </c>
      <c r="H697" s="40">
        <v>1</v>
      </c>
    </row>
    <row r="698" spans="1:8" ht="19.5" customHeight="1">
      <c r="A698" s="11">
        <f t="shared" si="10"/>
        <v>695</v>
      </c>
      <c r="B698" s="54" t="s">
        <v>114</v>
      </c>
      <c r="C698" s="55" t="s">
        <v>86</v>
      </c>
      <c r="D698" s="12"/>
      <c r="E698" s="12">
        <v>10</v>
      </c>
      <c r="F698" s="19" t="s">
        <v>3</v>
      </c>
      <c r="G698" s="19" t="s">
        <v>27</v>
      </c>
      <c r="H698" s="19">
        <v>1</v>
      </c>
    </row>
    <row r="699" spans="1:8" ht="19.5" customHeight="1">
      <c r="A699" s="15">
        <f t="shared" si="10"/>
        <v>696</v>
      </c>
      <c r="B699" s="52" t="s">
        <v>114</v>
      </c>
      <c r="C699" s="53" t="s">
        <v>87</v>
      </c>
      <c r="D699" s="16"/>
      <c r="E699" s="16">
        <v>11</v>
      </c>
      <c r="F699" s="40" t="s">
        <v>3</v>
      </c>
      <c r="G699" s="40" t="s">
        <v>27</v>
      </c>
      <c r="H699" s="40">
        <v>1</v>
      </c>
    </row>
    <row r="700" spans="1:8" ht="19.5" customHeight="1">
      <c r="A700" s="11">
        <f t="shared" si="10"/>
        <v>697</v>
      </c>
      <c r="B700" s="54" t="s">
        <v>114</v>
      </c>
      <c r="C700" s="55" t="s">
        <v>88</v>
      </c>
      <c r="D700" s="12"/>
      <c r="E700" s="12">
        <v>12</v>
      </c>
      <c r="F700" s="19" t="s">
        <v>3</v>
      </c>
      <c r="G700" s="19" t="s">
        <v>27</v>
      </c>
      <c r="H700" s="19">
        <v>1</v>
      </c>
    </row>
    <row r="701" spans="1:8" ht="19.5" customHeight="1">
      <c r="A701" s="15">
        <f t="shared" si="10"/>
        <v>698</v>
      </c>
      <c r="B701" s="52" t="s">
        <v>114</v>
      </c>
      <c r="C701" s="53" t="s">
        <v>89</v>
      </c>
      <c r="D701" s="16"/>
      <c r="E701" s="16">
        <v>13</v>
      </c>
      <c r="F701" s="40" t="s">
        <v>3</v>
      </c>
      <c r="G701" s="40" t="s">
        <v>27</v>
      </c>
      <c r="H701" s="40"/>
    </row>
    <row r="702" spans="1:8" ht="19.5" customHeight="1">
      <c r="A702" s="11">
        <f t="shared" si="10"/>
        <v>699</v>
      </c>
      <c r="B702" s="54" t="s">
        <v>114</v>
      </c>
      <c r="C702" s="55" t="s">
        <v>90</v>
      </c>
      <c r="D702" s="12"/>
      <c r="E702" s="12">
        <v>14</v>
      </c>
      <c r="F702" s="19" t="s">
        <v>3</v>
      </c>
      <c r="G702" s="19" t="s">
        <v>27</v>
      </c>
      <c r="H702" s="19"/>
    </row>
    <row r="703" spans="1:8" ht="19.5" customHeight="1">
      <c r="A703" s="15">
        <f t="shared" si="10"/>
        <v>700</v>
      </c>
      <c r="B703" s="52" t="s">
        <v>114</v>
      </c>
      <c r="C703" s="53" t="s">
        <v>91</v>
      </c>
      <c r="D703" s="16"/>
      <c r="E703" s="16">
        <v>15</v>
      </c>
      <c r="F703" s="40" t="s">
        <v>3</v>
      </c>
      <c r="G703" s="40" t="s">
        <v>27</v>
      </c>
      <c r="H703" s="40"/>
    </row>
    <row r="704" spans="1:8" ht="19.5" customHeight="1">
      <c r="A704" s="11">
        <f t="shared" si="10"/>
        <v>701</v>
      </c>
      <c r="B704" s="54" t="s">
        <v>114</v>
      </c>
      <c r="C704" s="55" t="s">
        <v>92</v>
      </c>
      <c r="D704" s="12"/>
      <c r="E704" s="12">
        <v>16</v>
      </c>
      <c r="F704" s="19" t="s">
        <v>3</v>
      </c>
      <c r="G704" s="19" t="s">
        <v>27</v>
      </c>
      <c r="H704" s="19"/>
    </row>
    <row r="705" spans="1:8" ht="19.5" customHeight="1">
      <c r="A705" s="15">
        <f t="shared" si="10"/>
        <v>702</v>
      </c>
      <c r="B705" s="52" t="s">
        <v>114</v>
      </c>
      <c r="C705" s="53" t="s">
        <v>93</v>
      </c>
      <c r="D705" s="16" t="s">
        <v>1372</v>
      </c>
      <c r="E705" s="16">
        <v>17</v>
      </c>
      <c r="F705" s="40" t="s">
        <v>3</v>
      </c>
      <c r="G705" s="40" t="s">
        <v>27</v>
      </c>
      <c r="H705" s="40"/>
    </row>
    <row r="706" spans="1:8" ht="19.5" customHeight="1">
      <c r="A706" s="11">
        <f t="shared" si="10"/>
        <v>703</v>
      </c>
      <c r="B706" s="54" t="s">
        <v>114</v>
      </c>
      <c r="C706" s="55" t="s">
        <v>94</v>
      </c>
      <c r="D706" s="12" t="s">
        <v>1373</v>
      </c>
      <c r="E706" s="12">
        <v>18</v>
      </c>
      <c r="F706" s="19" t="s">
        <v>3</v>
      </c>
      <c r="G706" s="19" t="s">
        <v>27</v>
      </c>
      <c r="H706" s="19"/>
    </row>
    <row r="707" spans="1:8" ht="19.5" customHeight="1">
      <c r="A707" s="15">
        <f t="shared" si="10"/>
        <v>704</v>
      </c>
      <c r="B707" s="52" t="s">
        <v>114</v>
      </c>
      <c r="C707" s="53" t="s">
        <v>95</v>
      </c>
      <c r="D707" s="16"/>
      <c r="E707" s="16">
        <v>19</v>
      </c>
      <c r="F707" s="40" t="s">
        <v>3</v>
      </c>
      <c r="G707" s="40" t="s">
        <v>27</v>
      </c>
      <c r="H707" s="40"/>
    </row>
    <row r="708" spans="1:8" ht="19.5" customHeight="1">
      <c r="A708" s="11">
        <f t="shared" si="10"/>
        <v>705</v>
      </c>
      <c r="B708" s="54" t="s">
        <v>114</v>
      </c>
      <c r="C708" s="55" t="s">
        <v>96</v>
      </c>
      <c r="D708" s="12"/>
      <c r="E708" s="12">
        <v>20</v>
      </c>
      <c r="F708" s="19" t="s">
        <v>3</v>
      </c>
      <c r="G708" s="19" t="s">
        <v>27</v>
      </c>
      <c r="H708" s="19"/>
    </row>
    <row r="709" spans="1:8" ht="19.5" customHeight="1">
      <c r="A709" s="15">
        <f t="shared" si="10"/>
        <v>706</v>
      </c>
      <c r="B709" s="52" t="s">
        <v>114</v>
      </c>
      <c r="C709" s="53" t="s">
        <v>97</v>
      </c>
      <c r="D709" s="16"/>
      <c r="E709" s="16">
        <v>21</v>
      </c>
      <c r="F709" s="40" t="s">
        <v>3</v>
      </c>
      <c r="G709" s="40" t="s">
        <v>27</v>
      </c>
      <c r="H709" s="40"/>
    </row>
    <row r="710" spans="1:8" ht="19.5" customHeight="1">
      <c r="A710" s="11">
        <f t="shared" si="10"/>
        <v>707</v>
      </c>
      <c r="B710" s="54" t="s">
        <v>114</v>
      </c>
      <c r="C710" s="55" t="s">
        <v>98</v>
      </c>
      <c r="D710" s="12"/>
      <c r="E710" s="12">
        <v>22</v>
      </c>
      <c r="F710" s="19" t="s">
        <v>3</v>
      </c>
      <c r="G710" s="19" t="s">
        <v>27</v>
      </c>
      <c r="H710" s="19"/>
    </row>
    <row r="711" spans="1:8" ht="19.5" customHeight="1">
      <c r="A711" s="15">
        <f t="shared" si="10"/>
        <v>708</v>
      </c>
      <c r="B711" s="52" t="s">
        <v>114</v>
      </c>
      <c r="C711" s="53" t="s">
        <v>99</v>
      </c>
      <c r="D711" s="16"/>
      <c r="E711" s="16">
        <v>23</v>
      </c>
      <c r="F711" s="40" t="s">
        <v>3</v>
      </c>
      <c r="G711" s="40" t="s">
        <v>27</v>
      </c>
      <c r="H711" s="40"/>
    </row>
    <row r="712" spans="1:8" ht="19.5" customHeight="1">
      <c r="A712" s="11">
        <f t="shared" si="10"/>
        <v>709</v>
      </c>
      <c r="B712" s="54" t="s">
        <v>114</v>
      </c>
      <c r="C712" s="55" t="s">
        <v>100</v>
      </c>
      <c r="D712" s="12"/>
      <c r="E712" s="12">
        <v>24</v>
      </c>
      <c r="F712" s="19" t="s">
        <v>3</v>
      </c>
      <c r="G712" s="19" t="s">
        <v>27</v>
      </c>
      <c r="H712" s="19">
        <v>1</v>
      </c>
    </row>
    <row r="713" spans="1:8" ht="19.5" customHeight="1">
      <c r="A713" s="15">
        <f t="shared" si="10"/>
        <v>710</v>
      </c>
      <c r="B713" s="52" t="s">
        <v>114</v>
      </c>
      <c r="C713" s="53" t="s">
        <v>101</v>
      </c>
      <c r="D713" s="16"/>
      <c r="E713" s="16">
        <v>25</v>
      </c>
      <c r="F713" s="40" t="s">
        <v>3</v>
      </c>
      <c r="G713" s="40" t="s">
        <v>27</v>
      </c>
      <c r="H713" s="40">
        <v>1</v>
      </c>
    </row>
    <row r="714" spans="1:8" ht="19.5" customHeight="1">
      <c r="A714" s="11">
        <f t="shared" si="10"/>
        <v>711</v>
      </c>
      <c r="B714" s="56" t="s">
        <v>114</v>
      </c>
      <c r="C714" s="55" t="s">
        <v>102</v>
      </c>
      <c r="E714" s="12">
        <v>26</v>
      </c>
      <c r="F714" s="19" t="s">
        <v>3</v>
      </c>
      <c r="G714" s="19" t="s">
        <v>27</v>
      </c>
      <c r="H714" s="19"/>
    </row>
    <row r="715" spans="1:8" ht="19.5" customHeight="1">
      <c r="A715" s="15">
        <f t="shared" si="10"/>
        <v>712</v>
      </c>
      <c r="B715" s="57" t="s">
        <v>114</v>
      </c>
      <c r="C715" s="53" t="s">
        <v>1374</v>
      </c>
      <c r="E715" s="16">
        <v>27</v>
      </c>
      <c r="F715" s="40" t="s">
        <v>3</v>
      </c>
      <c r="G715" s="40" t="s">
        <v>27</v>
      </c>
      <c r="H715" s="40"/>
    </row>
    <row r="716" spans="1:8" ht="19.5" customHeight="1">
      <c r="A716" s="11">
        <f t="shared" si="10"/>
        <v>713</v>
      </c>
      <c r="B716" s="54" t="s">
        <v>114</v>
      </c>
      <c r="C716" s="55" t="s">
        <v>1375</v>
      </c>
      <c r="D716" s="12"/>
      <c r="E716" s="12">
        <v>28</v>
      </c>
      <c r="F716" s="19" t="s">
        <v>3</v>
      </c>
      <c r="G716" s="19" t="s">
        <v>27</v>
      </c>
      <c r="H716" s="19"/>
    </row>
    <row r="717" spans="1:8" ht="19.5" customHeight="1">
      <c r="A717" s="15">
        <f t="shared" si="10"/>
        <v>714</v>
      </c>
      <c r="B717" s="52" t="s">
        <v>114</v>
      </c>
      <c r="C717" s="53" t="s">
        <v>104</v>
      </c>
      <c r="E717" s="16">
        <v>29</v>
      </c>
      <c r="F717" s="40" t="s">
        <v>3</v>
      </c>
      <c r="G717" s="40" t="s">
        <v>27</v>
      </c>
      <c r="H717" s="40">
        <v>1</v>
      </c>
    </row>
    <row r="718" spans="1:8" ht="19.5" customHeight="1">
      <c r="A718" s="11">
        <f t="shared" si="10"/>
        <v>715</v>
      </c>
      <c r="B718" s="54" t="s">
        <v>114</v>
      </c>
      <c r="C718" s="55" t="s">
        <v>105</v>
      </c>
      <c r="E718" s="12">
        <v>30</v>
      </c>
      <c r="F718" s="19" t="s">
        <v>3</v>
      </c>
      <c r="G718" s="19" t="s">
        <v>27</v>
      </c>
      <c r="H718" s="19">
        <v>1</v>
      </c>
    </row>
    <row r="719" spans="1:8" ht="19.5" customHeight="1">
      <c r="A719" s="15">
        <f t="shared" si="10"/>
        <v>716</v>
      </c>
      <c r="B719" s="52" t="s">
        <v>114</v>
      </c>
      <c r="C719" s="53" t="s">
        <v>106</v>
      </c>
      <c r="E719" s="16">
        <v>31</v>
      </c>
      <c r="F719" s="40" t="s">
        <v>3</v>
      </c>
      <c r="G719" s="40" t="s">
        <v>27</v>
      </c>
      <c r="H719" s="40"/>
    </row>
    <row r="720" spans="1:8" ht="19.5" customHeight="1">
      <c r="A720" s="11">
        <f t="shared" si="10"/>
        <v>717</v>
      </c>
      <c r="B720" s="54" t="s">
        <v>114</v>
      </c>
      <c r="C720" s="55" t="s">
        <v>107</v>
      </c>
      <c r="D720" s="12"/>
      <c r="E720" s="12">
        <v>32</v>
      </c>
      <c r="F720" s="19" t="s">
        <v>3</v>
      </c>
      <c r="G720" s="19" t="s">
        <v>27</v>
      </c>
      <c r="H720" s="19">
        <v>1</v>
      </c>
    </row>
    <row r="721" spans="1:8" ht="19.5" customHeight="1">
      <c r="A721" s="15">
        <f t="shared" si="10"/>
        <v>718</v>
      </c>
      <c r="B721" s="52" t="s">
        <v>114</v>
      </c>
      <c r="C721" s="53" t="s">
        <v>108</v>
      </c>
      <c r="D721" s="16"/>
      <c r="E721" s="16">
        <v>33</v>
      </c>
      <c r="F721" s="40" t="s">
        <v>3</v>
      </c>
      <c r="G721" s="40" t="s">
        <v>27</v>
      </c>
      <c r="H721" s="40">
        <v>1</v>
      </c>
    </row>
    <row r="722" spans="1:8" ht="19.5" customHeight="1">
      <c r="A722" s="11">
        <f t="shared" si="10"/>
        <v>719</v>
      </c>
      <c r="B722" s="54" t="s">
        <v>114</v>
      </c>
      <c r="C722" s="55" t="s">
        <v>109</v>
      </c>
      <c r="D722" s="12"/>
      <c r="E722" s="12">
        <v>34</v>
      </c>
      <c r="F722" s="19" t="s">
        <v>3</v>
      </c>
      <c r="G722" s="19" t="s">
        <v>27</v>
      </c>
      <c r="H722" s="19"/>
    </row>
    <row r="723" spans="1:8" ht="19.5" customHeight="1">
      <c r="A723" s="15">
        <f t="shared" si="10"/>
        <v>720</v>
      </c>
      <c r="B723" s="52" t="s">
        <v>114</v>
      </c>
      <c r="C723" s="53" t="s">
        <v>110</v>
      </c>
      <c r="D723" s="16"/>
      <c r="E723" s="16">
        <v>35</v>
      </c>
      <c r="F723" s="40" t="s">
        <v>3</v>
      </c>
      <c r="G723" s="40" t="s">
        <v>27</v>
      </c>
      <c r="H723" s="40"/>
    </row>
    <row r="724" spans="1:8" ht="19.5" customHeight="1">
      <c r="A724" s="11">
        <f t="shared" si="10"/>
        <v>721</v>
      </c>
      <c r="B724" s="54" t="s">
        <v>114</v>
      </c>
      <c r="C724" s="58" t="s">
        <v>111</v>
      </c>
      <c r="D724" s="12"/>
      <c r="E724" s="12">
        <v>36</v>
      </c>
      <c r="F724" s="19" t="s">
        <v>3</v>
      </c>
      <c r="G724" s="19" t="s">
        <v>27</v>
      </c>
      <c r="H724" s="19"/>
    </row>
    <row r="725" spans="1:8" ht="19.5" customHeight="1">
      <c r="A725" s="15">
        <f t="shared" si="10"/>
        <v>722</v>
      </c>
      <c r="B725" s="52" t="s">
        <v>114</v>
      </c>
      <c r="C725" s="59" t="s">
        <v>112</v>
      </c>
      <c r="D725" s="16"/>
      <c r="E725" s="16">
        <v>37</v>
      </c>
      <c r="F725" s="40" t="s">
        <v>3</v>
      </c>
      <c r="G725" s="40" t="s">
        <v>27</v>
      </c>
      <c r="H725" s="40">
        <v>1</v>
      </c>
    </row>
    <row r="726" spans="1:8" ht="19.5" customHeight="1">
      <c r="A726" s="11">
        <f t="shared" si="10"/>
        <v>723</v>
      </c>
      <c r="B726" s="12"/>
      <c r="C726" s="60" t="s">
        <v>113</v>
      </c>
      <c r="D726" s="12"/>
      <c r="E726" s="12"/>
      <c r="F726" s="19"/>
      <c r="G726" s="19"/>
      <c r="H726" s="19"/>
    </row>
  </sheetData>
  <mergeCells count="1">
    <mergeCell ref="C1:E1"/>
  </mergeCells>
  <conditionalFormatting sqref="A1:B1">
    <cfRule type="notContainsBlanks" dxfId="66" priority="1">
      <formula>LEN(TRIM(A1))&gt;0</formula>
    </cfRule>
  </conditionalFormatting>
  <conditionalFormatting sqref="H3:H726">
    <cfRule type="notContainsBlanks" dxfId="65" priority="2">
      <formula>LEN(TRIM(H3))&gt;0</formula>
    </cfRule>
  </conditionalFormatting>
  <dataValidations count="1">
    <dataValidation type="list" allowBlank="1" sqref="G4:G207 G209:G394 F4:F394 F395:G492 F494:G794" xr:uid="{A73F6D17-E3CC-4B05-BEBA-9E9D5559D41C}">
      <formula1>#REF!</formula1>
    </dataValidation>
  </dataValidations>
  <pageMargins left="0.7" right="0.7" top="0.75" bottom="0.75" header="0" footer="0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D62C1-85D9-4154-8A10-5F36415FC809}">
  <dimension ref="A1:H8"/>
  <sheetViews>
    <sheetView workbookViewId="0">
      <selection activeCell="D15" sqref="D15"/>
    </sheetView>
  </sheetViews>
  <sheetFormatPr defaultRowHeight="14.5"/>
  <cols>
    <col min="3" max="3" width="46" bestFit="1" customWidth="1"/>
    <col min="4" max="4" width="28.08984375" bestFit="1" customWidth="1"/>
    <col min="6" max="6" width="8.08984375" bestFit="1" customWidth="1"/>
    <col min="7" max="7" width="28.54296875" bestFit="1" customWidth="1"/>
  </cols>
  <sheetData>
    <row r="1" spans="1:8" ht="39">
      <c r="A1" s="7" t="s">
        <v>71</v>
      </c>
      <c r="B1" s="7" t="s">
        <v>72</v>
      </c>
      <c r="C1" s="7" t="s">
        <v>73</v>
      </c>
      <c r="D1" s="7" t="s">
        <v>74</v>
      </c>
      <c r="E1" s="7" t="s">
        <v>75</v>
      </c>
      <c r="F1" s="7" t="s">
        <v>76</v>
      </c>
      <c r="G1" s="7" t="s">
        <v>0</v>
      </c>
      <c r="H1" s="8" t="s">
        <v>112</v>
      </c>
    </row>
    <row r="2" spans="1:8">
      <c r="A2" s="15">
        <v>246</v>
      </c>
      <c r="B2" s="16" t="s">
        <v>114</v>
      </c>
      <c r="C2" s="17" t="s">
        <v>644</v>
      </c>
      <c r="D2" s="16" t="s">
        <v>645</v>
      </c>
      <c r="E2" s="16"/>
      <c r="F2" s="16" t="s">
        <v>3</v>
      </c>
      <c r="G2" s="18" t="s">
        <v>17</v>
      </c>
      <c r="H2" s="18">
        <v>1</v>
      </c>
    </row>
    <row r="3" spans="1:8">
      <c r="A3" s="11">
        <v>247</v>
      </c>
      <c r="B3" s="12" t="s">
        <v>114</v>
      </c>
      <c r="C3" s="13" t="s">
        <v>646</v>
      </c>
      <c r="D3" s="12" t="s">
        <v>647</v>
      </c>
      <c r="E3" s="12"/>
      <c r="F3" s="12" t="s">
        <v>3</v>
      </c>
      <c r="G3" s="14" t="s">
        <v>17</v>
      </c>
      <c r="H3" s="14">
        <v>1</v>
      </c>
    </row>
    <row r="4" spans="1:8">
      <c r="A4" s="11">
        <v>369</v>
      </c>
      <c r="B4" s="34" t="s">
        <v>114</v>
      </c>
      <c r="C4" s="39" t="s">
        <v>900</v>
      </c>
      <c r="D4" s="34" t="s">
        <v>901</v>
      </c>
      <c r="E4" s="34"/>
      <c r="F4" s="19" t="s">
        <v>3</v>
      </c>
      <c r="G4" s="36" t="s">
        <v>39</v>
      </c>
      <c r="H4" s="36">
        <v>4</v>
      </c>
    </row>
    <row r="5" spans="1:8">
      <c r="A5" s="15">
        <v>370</v>
      </c>
      <c r="B5" s="28" t="s">
        <v>114</v>
      </c>
      <c r="C5" s="38" t="s">
        <v>902</v>
      </c>
      <c r="D5" s="28" t="s">
        <v>903</v>
      </c>
      <c r="E5" s="28"/>
      <c r="F5" s="40" t="s">
        <v>3</v>
      </c>
      <c r="G5" s="37" t="s">
        <v>39</v>
      </c>
      <c r="H5" s="37">
        <v>4</v>
      </c>
    </row>
    <row r="6" spans="1:8">
      <c r="A6" s="11">
        <v>438</v>
      </c>
      <c r="B6" s="12" t="s">
        <v>114</v>
      </c>
      <c r="C6" s="13" t="s">
        <v>1022</v>
      </c>
      <c r="D6" s="12" t="s">
        <v>1023</v>
      </c>
      <c r="E6" s="12"/>
      <c r="F6" s="19" t="s">
        <v>18</v>
      </c>
      <c r="G6" s="19" t="s">
        <v>46</v>
      </c>
      <c r="H6" s="19">
        <v>10</v>
      </c>
    </row>
    <row r="7" spans="1:8">
      <c r="A7" s="11">
        <v>450</v>
      </c>
      <c r="B7" s="12" t="s">
        <v>114</v>
      </c>
      <c r="C7" s="13" t="s">
        <v>1039</v>
      </c>
      <c r="D7" s="12" t="s">
        <v>1040</v>
      </c>
      <c r="E7" s="12"/>
      <c r="F7" s="19" t="s">
        <v>8</v>
      </c>
      <c r="G7" s="19" t="s">
        <v>49</v>
      </c>
      <c r="H7" s="19">
        <v>5</v>
      </c>
    </row>
    <row r="8" spans="1:8">
      <c r="A8" s="11">
        <v>514</v>
      </c>
      <c r="B8" s="12" t="s">
        <v>114</v>
      </c>
      <c r="C8" s="13" t="s">
        <v>1147</v>
      </c>
      <c r="D8" s="12" t="s">
        <v>1148</v>
      </c>
      <c r="E8" s="12"/>
      <c r="F8" s="19" t="s">
        <v>3</v>
      </c>
      <c r="G8" s="19" t="s">
        <v>6</v>
      </c>
      <c r="H8" s="19">
        <v>4</v>
      </c>
    </row>
  </sheetData>
  <conditionalFormatting sqref="H2:H8">
    <cfRule type="notContainsBlanks" dxfId="64" priority="1">
      <formula>LEN(TRIM(H2))&gt;0</formula>
    </cfRule>
  </conditionalFormatting>
  <dataValidations count="1">
    <dataValidation type="list" allowBlank="1" sqref="F2:G8" xr:uid="{A37A1533-5C4E-42BC-9EA1-CE437AD20530}">
      <formula1>#REF!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DB4D1-38B6-40E1-8480-93AB7A9C16DD}">
  <dimension ref="A1:H3"/>
  <sheetViews>
    <sheetView workbookViewId="0">
      <selection activeCell="C10" sqref="C10"/>
    </sheetView>
  </sheetViews>
  <sheetFormatPr defaultRowHeight="14.5"/>
  <cols>
    <col min="3" max="3" width="36.7265625" bestFit="1" customWidth="1"/>
    <col min="4" max="4" width="15.7265625" bestFit="1" customWidth="1"/>
    <col min="5" max="5" width="12.26953125" bestFit="1" customWidth="1"/>
    <col min="7" max="7" width="10" bestFit="1" customWidth="1"/>
  </cols>
  <sheetData>
    <row r="1" spans="1:8" ht="39">
      <c r="A1" s="7" t="s">
        <v>71</v>
      </c>
      <c r="B1" s="7" t="s">
        <v>72</v>
      </c>
      <c r="C1" s="7" t="s">
        <v>73</v>
      </c>
      <c r="D1" s="7" t="s">
        <v>74</v>
      </c>
      <c r="E1" s="7" t="s">
        <v>75</v>
      </c>
      <c r="F1" s="7" t="s">
        <v>76</v>
      </c>
      <c r="G1" s="7" t="s">
        <v>0</v>
      </c>
      <c r="H1" s="8" t="s">
        <v>111</v>
      </c>
    </row>
    <row r="2" spans="1:8">
      <c r="A2" s="15">
        <v>18</v>
      </c>
      <c r="B2" s="16" t="s">
        <v>114</v>
      </c>
      <c r="C2" s="17" t="s">
        <v>164</v>
      </c>
      <c r="D2" s="16" t="s">
        <v>165</v>
      </c>
      <c r="E2" s="16" t="s">
        <v>166</v>
      </c>
      <c r="F2" s="16" t="s">
        <v>3</v>
      </c>
      <c r="G2" s="18" t="s">
        <v>4</v>
      </c>
      <c r="H2" s="18">
        <v>3</v>
      </c>
    </row>
    <row r="3" spans="1:8">
      <c r="A3" s="15">
        <v>539</v>
      </c>
      <c r="B3" s="16" t="s">
        <v>114</v>
      </c>
      <c r="C3" s="17" t="s">
        <v>1187</v>
      </c>
      <c r="D3" s="16" t="s">
        <v>1188</v>
      </c>
      <c r="E3" s="16" t="s">
        <v>1189</v>
      </c>
      <c r="F3" s="40" t="s">
        <v>3</v>
      </c>
      <c r="G3" s="40" t="s">
        <v>11</v>
      </c>
      <c r="H3" s="40">
        <v>1</v>
      </c>
    </row>
  </sheetData>
  <conditionalFormatting sqref="H2:H3">
    <cfRule type="notContainsBlanks" dxfId="63" priority="1">
      <formula>LEN(TRIM(H2))&gt;0</formula>
    </cfRule>
  </conditionalFormatting>
  <dataValidations count="1">
    <dataValidation type="list" allowBlank="1" sqref="F2:G3" xr:uid="{C169CB34-8617-427A-A498-56AC94276DC1}">
      <formula1>#REF!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58A8A-5664-437F-A3CE-CC72B85965EF}">
  <dimension ref="A1:H8"/>
  <sheetViews>
    <sheetView workbookViewId="0">
      <selection activeCell="C12" sqref="C12"/>
    </sheetView>
  </sheetViews>
  <sheetFormatPr defaultRowHeight="14.5"/>
  <cols>
    <col min="3" max="3" width="41.453125" bestFit="1" customWidth="1"/>
    <col min="4" max="4" width="30.1796875" bestFit="1" customWidth="1"/>
    <col min="7" max="7" width="28.7265625" bestFit="1" customWidth="1"/>
  </cols>
  <sheetData>
    <row r="1" spans="1:8" ht="39">
      <c r="A1" s="7" t="s">
        <v>71</v>
      </c>
      <c r="B1" s="7" t="s">
        <v>72</v>
      </c>
      <c r="C1" s="7" t="s">
        <v>73</v>
      </c>
      <c r="D1" s="7" t="s">
        <v>74</v>
      </c>
      <c r="E1" s="7" t="s">
        <v>75</v>
      </c>
      <c r="F1" s="7" t="s">
        <v>76</v>
      </c>
      <c r="G1" s="7" t="s">
        <v>0</v>
      </c>
      <c r="H1" s="8" t="s">
        <v>110</v>
      </c>
    </row>
    <row r="2" spans="1:8">
      <c r="A2" s="16">
        <v>218</v>
      </c>
      <c r="B2" s="16" t="s">
        <v>114</v>
      </c>
      <c r="C2" s="17" t="s">
        <v>589</v>
      </c>
      <c r="D2" s="16" t="s">
        <v>590</v>
      </c>
      <c r="E2" s="16"/>
      <c r="F2" s="16" t="s">
        <v>8</v>
      </c>
      <c r="G2" s="16" t="s">
        <v>25</v>
      </c>
      <c r="H2" s="16">
        <v>0.2</v>
      </c>
    </row>
    <row r="3" spans="1:8">
      <c r="A3" s="15">
        <v>308</v>
      </c>
      <c r="B3" s="28" t="s">
        <v>114</v>
      </c>
      <c r="C3" s="38" t="s">
        <v>787</v>
      </c>
      <c r="D3" s="28" t="s">
        <v>788</v>
      </c>
      <c r="E3" s="28"/>
      <c r="F3" s="40" t="s">
        <v>3</v>
      </c>
      <c r="G3" s="37" t="s">
        <v>39</v>
      </c>
      <c r="H3" s="37">
        <v>4</v>
      </c>
    </row>
    <row r="4" spans="1:8">
      <c r="A4" s="11">
        <v>309</v>
      </c>
      <c r="B4" s="34" t="s">
        <v>114</v>
      </c>
      <c r="C4" s="39" t="s">
        <v>789</v>
      </c>
      <c r="D4" s="34"/>
      <c r="E4" s="34"/>
      <c r="F4" s="19" t="s">
        <v>3</v>
      </c>
      <c r="G4" s="36" t="s">
        <v>39</v>
      </c>
      <c r="H4" s="36">
        <v>16</v>
      </c>
    </row>
    <row r="5" spans="1:8">
      <c r="A5" s="11">
        <v>353</v>
      </c>
      <c r="B5" s="34" t="s">
        <v>114</v>
      </c>
      <c r="C5" s="39" t="s">
        <v>872</v>
      </c>
      <c r="D5" s="34" t="s">
        <v>873</v>
      </c>
      <c r="E5" s="34"/>
      <c r="F5" s="19" t="s">
        <v>3</v>
      </c>
      <c r="G5" s="36" t="s">
        <v>39</v>
      </c>
      <c r="H5" s="36">
        <v>4</v>
      </c>
    </row>
    <row r="6" spans="1:8">
      <c r="A6" s="15">
        <v>354</v>
      </c>
      <c r="B6" s="28" t="s">
        <v>114</v>
      </c>
      <c r="C6" s="38" t="s">
        <v>874</v>
      </c>
      <c r="D6" s="28" t="s">
        <v>875</v>
      </c>
      <c r="E6" s="28"/>
      <c r="F6" s="40" t="s">
        <v>3</v>
      </c>
      <c r="G6" s="37" t="s">
        <v>39</v>
      </c>
      <c r="H6" s="37">
        <v>12</v>
      </c>
    </row>
    <row r="7" spans="1:8">
      <c r="A7" s="11">
        <v>438</v>
      </c>
      <c r="B7" s="12" t="s">
        <v>114</v>
      </c>
      <c r="C7" s="13" t="s">
        <v>1022</v>
      </c>
      <c r="D7" s="12" t="s">
        <v>1023</v>
      </c>
      <c r="E7" s="12"/>
      <c r="F7" s="19" t="s">
        <v>18</v>
      </c>
      <c r="G7" s="19" t="s">
        <v>46</v>
      </c>
      <c r="H7" s="19">
        <v>5</v>
      </c>
    </row>
    <row r="8" spans="1:8">
      <c r="A8" s="15">
        <v>529</v>
      </c>
      <c r="B8" s="16" t="s">
        <v>114</v>
      </c>
      <c r="C8" s="17" t="s">
        <v>1169</v>
      </c>
      <c r="D8" s="16" t="s">
        <v>1170</v>
      </c>
      <c r="E8" s="16"/>
      <c r="F8" s="40" t="s">
        <v>3</v>
      </c>
      <c r="G8" s="40" t="s">
        <v>27</v>
      </c>
      <c r="H8" s="40">
        <v>2</v>
      </c>
    </row>
  </sheetData>
  <conditionalFormatting sqref="H2:H8">
    <cfRule type="notContainsBlanks" dxfId="62" priority="1">
      <formula>LEN(TRIM(H2))&gt;0</formula>
    </cfRule>
  </conditionalFormatting>
  <dataValidations count="1">
    <dataValidation type="list" allowBlank="1" sqref="F2:G8" xr:uid="{3FBE9904-0E67-4164-B560-C7C6039EAA26}">
      <formula1>#REF!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C752A-423B-405B-8078-01CA8EAF7FB5}">
  <dimension ref="A1:H6"/>
  <sheetViews>
    <sheetView workbookViewId="0">
      <selection activeCell="C9" sqref="C9"/>
    </sheetView>
  </sheetViews>
  <sheetFormatPr defaultRowHeight="14.5"/>
  <cols>
    <col min="3" max="3" width="40.453125" bestFit="1" customWidth="1"/>
    <col min="4" max="4" width="27.453125" bestFit="1" customWidth="1"/>
    <col min="5" max="5" width="13.453125" bestFit="1" customWidth="1"/>
    <col min="7" max="7" width="10" bestFit="1" customWidth="1"/>
  </cols>
  <sheetData>
    <row r="1" spans="1:8" ht="52">
      <c r="A1" s="7" t="s">
        <v>71</v>
      </c>
      <c r="B1" s="7" t="s">
        <v>72</v>
      </c>
      <c r="C1" s="7" t="s">
        <v>73</v>
      </c>
      <c r="D1" s="7" t="s">
        <v>74</v>
      </c>
      <c r="E1" s="7" t="s">
        <v>75</v>
      </c>
      <c r="F1" s="7" t="s">
        <v>76</v>
      </c>
      <c r="G1" s="7" t="s">
        <v>0</v>
      </c>
      <c r="H1" s="8" t="s">
        <v>109</v>
      </c>
    </row>
    <row r="2" spans="1:8">
      <c r="A2" s="10"/>
      <c r="B2" s="8" t="s">
        <v>114</v>
      </c>
      <c r="C2" s="8"/>
      <c r="D2" s="8"/>
      <c r="E2" s="8"/>
      <c r="F2" s="8"/>
      <c r="G2" s="8"/>
      <c r="H2" s="9">
        <v>34</v>
      </c>
    </row>
    <row r="3" spans="1:8">
      <c r="A3" s="15">
        <v>40</v>
      </c>
      <c r="B3" s="16" t="s">
        <v>114</v>
      </c>
      <c r="C3" s="17" t="s">
        <v>221</v>
      </c>
      <c r="D3" s="16" t="s">
        <v>222</v>
      </c>
      <c r="E3" s="16" t="s">
        <v>223</v>
      </c>
      <c r="F3" s="16" t="s">
        <v>3</v>
      </c>
      <c r="G3" s="18" t="s">
        <v>4</v>
      </c>
      <c r="H3" s="18">
        <v>1</v>
      </c>
    </row>
    <row r="4" spans="1:8">
      <c r="A4" s="15">
        <v>50</v>
      </c>
      <c r="B4" s="16" t="s">
        <v>114</v>
      </c>
      <c r="C4" s="17" t="s">
        <v>247</v>
      </c>
      <c r="D4" s="16" t="s">
        <v>248</v>
      </c>
      <c r="E4" s="18" t="s">
        <v>249</v>
      </c>
      <c r="F4" s="16" t="s">
        <v>3</v>
      </c>
      <c r="G4" s="18" t="s">
        <v>24</v>
      </c>
      <c r="H4" s="18">
        <v>1</v>
      </c>
    </row>
    <row r="5" spans="1:8">
      <c r="A5" s="15">
        <v>60</v>
      </c>
      <c r="B5" s="16" t="s">
        <v>114</v>
      </c>
      <c r="C5" s="17" t="s">
        <v>268</v>
      </c>
      <c r="D5" s="16" t="s">
        <v>269</v>
      </c>
      <c r="E5" s="16"/>
      <c r="F5" s="16" t="s">
        <v>3</v>
      </c>
      <c r="G5" s="18" t="s">
        <v>23</v>
      </c>
      <c r="H5" s="18">
        <v>1</v>
      </c>
    </row>
    <row r="6" spans="1:8">
      <c r="A6" s="12">
        <v>221</v>
      </c>
      <c r="B6" s="12" t="s">
        <v>114</v>
      </c>
      <c r="C6" s="13" t="s">
        <v>595</v>
      </c>
      <c r="D6" s="12" t="s">
        <v>596</v>
      </c>
      <c r="E6" s="12"/>
      <c r="F6" s="12" t="s">
        <v>8</v>
      </c>
      <c r="G6" s="12" t="s">
        <v>25</v>
      </c>
      <c r="H6" s="12">
        <v>0.2</v>
      </c>
    </row>
  </sheetData>
  <conditionalFormatting sqref="H2:H6">
    <cfRule type="notContainsBlanks" dxfId="61" priority="1">
      <formula>LEN(TRIM(H2))&gt;0</formula>
    </cfRule>
  </conditionalFormatting>
  <dataValidations count="1">
    <dataValidation type="list" allowBlank="1" sqref="F3:G6" xr:uid="{E8B8C95C-D4E2-4A57-A779-567C78268FFD}">
      <formula1>#REF!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A4E5-1FD9-4CEB-9946-C3180CE8D72D}">
  <dimension ref="A1:H9"/>
  <sheetViews>
    <sheetView workbookViewId="0">
      <selection activeCell="C13" sqref="C13"/>
    </sheetView>
  </sheetViews>
  <sheetFormatPr defaultRowHeight="14.5"/>
  <cols>
    <col min="3" max="3" width="51.453125" bestFit="1" customWidth="1"/>
    <col min="4" max="4" width="28.453125" bestFit="1" customWidth="1"/>
    <col min="5" max="5" width="17.7265625" bestFit="1" customWidth="1"/>
    <col min="7" max="7" width="16.81640625" customWidth="1"/>
  </cols>
  <sheetData>
    <row r="1" spans="1:8" ht="39">
      <c r="A1" s="7" t="s">
        <v>71</v>
      </c>
      <c r="B1" s="7" t="s">
        <v>72</v>
      </c>
      <c r="C1" s="7" t="s">
        <v>73</v>
      </c>
      <c r="D1" s="7" t="s">
        <v>74</v>
      </c>
      <c r="E1" s="7" t="s">
        <v>75</v>
      </c>
      <c r="F1" s="7" t="s">
        <v>76</v>
      </c>
      <c r="G1" s="7" t="s">
        <v>0</v>
      </c>
      <c r="H1" s="8" t="s">
        <v>108</v>
      </c>
    </row>
    <row r="2" spans="1:8">
      <c r="A2" s="10"/>
      <c r="B2" s="8" t="s">
        <v>114</v>
      </c>
      <c r="C2" s="8"/>
      <c r="D2" s="8"/>
      <c r="E2" s="8"/>
      <c r="F2" s="8"/>
      <c r="G2" s="8"/>
      <c r="H2" s="9">
        <v>33</v>
      </c>
    </row>
    <row r="3" spans="1:8">
      <c r="A3" s="11">
        <v>28</v>
      </c>
      <c r="B3" s="12" t="s">
        <v>114</v>
      </c>
      <c r="C3" s="13" t="s">
        <v>189</v>
      </c>
      <c r="D3" s="12" t="s">
        <v>190</v>
      </c>
      <c r="E3" s="12" t="s">
        <v>191</v>
      </c>
      <c r="F3" s="12" t="s">
        <v>8</v>
      </c>
      <c r="G3" s="14" t="s">
        <v>4</v>
      </c>
      <c r="H3" s="18">
        <v>0.3</v>
      </c>
    </row>
    <row r="4" spans="1:8">
      <c r="A4" s="11">
        <v>30</v>
      </c>
      <c r="B4" s="12" t="s">
        <v>114</v>
      </c>
      <c r="C4" s="13" t="s">
        <v>194</v>
      </c>
      <c r="D4" s="12" t="s">
        <v>195</v>
      </c>
      <c r="E4" s="12" t="s">
        <v>196</v>
      </c>
      <c r="F4" s="12" t="s">
        <v>8</v>
      </c>
      <c r="G4" s="14" t="s">
        <v>4</v>
      </c>
      <c r="H4" s="18">
        <v>0.3</v>
      </c>
    </row>
    <row r="5" spans="1:8">
      <c r="A5" s="11">
        <v>43</v>
      </c>
      <c r="B5" s="12" t="s">
        <v>114</v>
      </c>
      <c r="C5" s="13" t="s">
        <v>230</v>
      </c>
      <c r="D5" s="12" t="s">
        <v>231</v>
      </c>
      <c r="E5" s="12" t="s">
        <v>232</v>
      </c>
      <c r="F5" s="12" t="s">
        <v>3</v>
      </c>
      <c r="G5" s="14" t="s">
        <v>4</v>
      </c>
      <c r="H5" s="14">
        <v>1</v>
      </c>
    </row>
    <row r="6" spans="1:8">
      <c r="A6" s="11">
        <v>81</v>
      </c>
      <c r="B6" s="12" t="s">
        <v>114</v>
      </c>
      <c r="C6" s="13" t="s">
        <v>312</v>
      </c>
      <c r="D6" s="12" t="s">
        <v>313</v>
      </c>
      <c r="E6" s="12"/>
      <c r="F6" s="12" t="s">
        <v>314</v>
      </c>
      <c r="G6" s="14" t="s">
        <v>9</v>
      </c>
      <c r="H6" s="14">
        <v>5</v>
      </c>
    </row>
    <row r="7" spans="1:8" ht="29">
      <c r="A7" s="15">
        <v>200</v>
      </c>
      <c r="B7" s="16" t="s">
        <v>114</v>
      </c>
      <c r="C7" s="17" t="s">
        <v>562</v>
      </c>
      <c r="D7" s="16" t="s">
        <v>563</v>
      </c>
      <c r="E7" s="16"/>
      <c r="F7" s="16" t="s">
        <v>3</v>
      </c>
      <c r="G7" s="18" t="s">
        <v>55</v>
      </c>
      <c r="H7" s="18">
        <v>1</v>
      </c>
    </row>
    <row r="8" spans="1:8">
      <c r="A8" s="11">
        <v>283</v>
      </c>
      <c r="B8" s="12" t="s">
        <v>114</v>
      </c>
      <c r="C8" s="13" t="s">
        <v>724</v>
      </c>
      <c r="D8" s="12" t="s">
        <v>725</v>
      </c>
      <c r="E8" s="12" t="s">
        <v>726</v>
      </c>
      <c r="F8" s="12" t="s">
        <v>3</v>
      </c>
      <c r="G8" s="14" t="s">
        <v>19</v>
      </c>
      <c r="H8" s="14">
        <v>1</v>
      </c>
    </row>
    <row r="9" spans="1:8">
      <c r="A9" s="11">
        <v>428</v>
      </c>
      <c r="B9" s="12" t="s">
        <v>114</v>
      </c>
      <c r="C9" s="13" t="s">
        <v>1002</v>
      </c>
      <c r="D9" s="12" t="s">
        <v>1003</v>
      </c>
      <c r="E9" s="12"/>
      <c r="F9" s="19" t="s">
        <v>8</v>
      </c>
      <c r="G9" s="19" t="s">
        <v>4</v>
      </c>
      <c r="H9" s="19">
        <v>20</v>
      </c>
    </row>
  </sheetData>
  <conditionalFormatting sqref="H2:H9">
    <cfRule type="notContainsBlanks" dxfId="60" priority="1">
      <formula>LEN(TRIM(H2))&gt;0</formula>
    </cfRule>
  </conditionalFormatting>
  <dataValidations count="1">
    <dataValidation type="list" allowBlank="1" sqref="F3:G9" xr:uid="{5DD8A89A-2AB5-45C8-B08D-C404552834F9}">
      <formula1>#REF!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0B045-8D29-4FC5-958B-C08E714FBE24}">
  <dimension ref="A1:H4"/>
  <sheetViews>
    <sheetView workbookViewId="0">
      <selection activeCell="C11" sqref="C11"/>
    </sheetView>
  </sheetViews>
  <sheetFormatPr defaultRowHeight="14.5"/>
  <cols>
    <col min="3" max="3" width="44.1796875" bestFit="1" customWidth="1"/>
    <col min="4" max="4" width="30.81640625" bestFit="1" customWidth="1"/>
    <col min="5" max="5" width="12" bestFit="1" customWidth="1"/>
    <col min="7" max="7" width="33" bestFit="1" customWidth="1"/>
  </cols>
  <sheetData>
    <row r="1" spans="1:8" ht="65">
      <c r="A1" s="7" t="s">
        <v>71</v>
      </c>
      <c r="B1" s="7" t="s">
        <v>72</v>
      </c>
      <c r="C1" s="7" t="s">
        <v>73</v>
      </c>
      <c r="D1" s="7" t="s">
        <v>74</v>
      </c>
      <c r="E1" s="7" t="s">
        <v>75</v>
      </c>
      <c r="F1" s="7" t="s">
        <v>76</v>
      </c>
      <c r="G1" s="7" t="s">
        <v>0</v>
      </c>
      <c r="H1" s="8" t="s">
        <v>107</v>
      </c>
    </row>
    <row r="2" spans="1:8">
      <c r="A2" s="15">
        <v>78</v>
      </c>
      <c r="B2" s="16"/>
      <c r="C2" s="17" t="s">
        <v>306</v>
      </c>
      <c r="D2" s="16" t="s">
        <v>307</v>
      </c>
      <c r="E2" s="16"/>
      <c r="F2" s="16" t="s">
        <v>3</v>
      </c>
      <c r="G2" s="18" t="s">
        <v>9</v>
      </c>
      <c r="H2" s="18">
        <v>1</v>
      </c>
    </row>
    <row r="3" spans="1:8">
      <c r="A3" s="11">
        <v>275</v>
      </c>
      <c r="B3" s="12" t="s">
        <v>114</v>
      </c>
      <c r="C3" s="13" t="s">
        <v>704</v>
      </c>
      <c r="D3" s="12" t="s">
        <v>705</v>
      </c>
      <c r="E3" s="12" t="s">
        <v>706</v>
      </c>
      <c r="F3" s="12" t="s">
        <v>3</v>
      </c>
      <c r="G3" s="14" t="s">
        <v>28</v>
      </c>
      <c r="H3" s="14">
        <v>1</v>
      </c>
    </row>
    <row r="4" spans="1:8">
      <c r="A4" s="15">
        <v>427</v>
      </c>
      <c r="B4" s="16" t="s">
        <v>114</v>
      </c>
      <c r="C4" s="17" t="s">
        <v>1000</v>
      </c>
      <c r="D4" s="16" t="s">
        <v>1001</v>
      </c>
      <c r="E4" s="16"/>
      <c r="F4" s="40" t="s">
        <v>22</v>
      </c>
      <c r="G4" s="40" t="s">
        <v>45</v>
      </c>
      <c r="H4" s="40">
        <v>4</v>
      </c>
    </row>
  </sheetData>
  <conditionalFormatting sqref="H2:H4">
    <cfRule type="notContainsBlanks" dxfId="59" priority="1">
      <formula>LEN(TRIM(H2))&gt;0</formula>
    </cfRule>
  </conditionalFormatting>
  <dataValidations count="1">
    <dataValidation type="list" allowBlank="1" sqref="F2:G4" xr:uid="{874CB6BC-D5F0-46B9-B5CE-E59353D0E0F7}">
      <formula1>#REF!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EC9C3-B13D-4282-B375-6F0E946521C2}">
  <dimension ref="A1:H4"/>
  <sheetViews>
    <sheetView workbookViewId="0">
      <selection activeCell="C12" sqref="C12"/>
    </sheetView>
  </sheetViews>
  <sheetFormatPr defaultRowHeight="14.5"/>
  <cols>
    <col min="3" max="3" width="46.453125" bestFit="1" customWidth="1"/>
    <col min="4" max="4" width="30.1796875" bestFit="1" customWidth="1"/>
    <col min="5" max="5" width="11.26953125" bestFit="1" customWidth="1"/>
    <col min="7" max="7" width="33" bestFit="1" customWidth="1"/>
  </cols>
  <sheetData>
    <row r="1" spans="1:8" ht="52">
      <c r="A1" s="7" t="s">
        <v>71</v>
      </c>
      <c r="B1" s="7" t="s">
        <v>72</v>
      </c>
      <c r="C1" s="7" t="s">
        <v>73</v>
      </c>
      <c r="D1" s="7" t="s">
        <v>74</v>
      </c>
      <c r="E1" s="7" t="s">
        <v>75</v>
      </c>
      <c r="F1" s="7" t="s">
        <v>76</v>
      </c>
      <c r="G1" s="7" t="s">
        <v>0</v>
      </c>
      <c r="H1" s="8" t="s">
        <v>106</v>
      </c>
    </row>
    <row r="2" spans="1:8">
      <c r="A2" s="10"/>
      <c r="B2" s="8" t="s">
        <v>114</v>
      </c>
      <c r="C2" s="8"/>
      <c r="D2" s="8"/>
      <c r="E2" s="8"/>
      <c r="F2" s="8"/>
      <c r="G2" s="8"/>
      <c r="H2" s="9">
        <v>31</v>
      </c>
    </row>
    <row r="3" spans="1:8">
      <c r="A3" s="15">
        <v>276</v>
      </c>
      <c r="B3" s="16" t="s">
        <v>114</v>
      </c>
      <c r="C3" s="17" t="s">
        <v>707</v>
      </c>
      <c r="D3" s="16" t="s">
        <v>708</v>
      </c>
      <c r="E3" s="16" t="s">
        <v>709</v>
      </c>
      <c r="F3" s="16" t="s">
        <v>3</v>
      </c>
      <c r="G3" s="18" t="s">
        <v>28</v>
      </c>
      <c r="H3" s="18">
        <v>1</v>
      </c>
    </row>
    <row r="4" spans="1:8">
      <c r="A4" s="15">
        <v>427</v>
      </c>
      <c r="B4" s="16" t="s">
        <v>114</v>
      </c>
      <c r="C4" s="17" t="s">
        <v>1000</v>
      </c>
      <c r="D4" s="16" t="s">
        <v>1001</v>
      </c>
      <c r="E4" s="16"/>
      <c r="F4" s="40" t="s">
        <v>22</v>
      </c>
      <c r="G4" s="40" t="s">
        <v>45</v>
      </c>
      <c r="H4" s="40">
        <v>10</v>
      </c>
    </row>
  </sheetData>
  <conditionalFormatting sqref="H2:H4">
    <cfRule type="notContainsBlanks" dxfId="58" priority="1">
      <formula>LEN(TRIM(H2))&gt;0</formula>
    </cfRule>
  </conditionalFormatting>
  <dataValidations count="1">
    <dataValidation type="list" allowBlank="1" sqref="F3:G4" xr:uid="{20D36744-4E81-4D57-9A36-E8BD47ABB368}">
      <formula1>#REF!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91717-9469-4AB1-8F86-2A39E95408F0}">
  <dimension ref="A1:H5"/>
  <sheetViews>
    <sheetView workbookViewId="0">
      <selection activeCell="D11" sqref="D11"/>
    </sheetView>
  </sheetViews>
  <sheetFormatPr defaultRowHeight="14.5"/>
  <cols>
    <col min="3" max="3" width="51.81640625" bestFit="1" customWidth="1"/>
    <col min="4" max="4" width="32.81640625" bestFit="1" customWidth="1"/>
    <col min="5" max="5" width="17.26953125" bestFit="1" customWidth="1"/>
  </cols>
  <sheetData>
    <row r="1" spans="1:8" ht="39">
      <c r="A1" s="7" t="s">
        <v>71</v>
      </c>
      <c r="B1" s="7" t="s">
        <v>72</v>
      </c>
      <c r="C1" s="7" t="s">
        <v>73</v>
      </c>
      <c r="D1" s="7" t="s">
        <v>74</v>
      </c>
      <c r="E1" s="7" t="s">
        <v>75</v>
      </c>
      <c r="F1" s="7" t="s">
        <v>76</v>
      </c>
      <c r="G1" s="7" t="s">
        <v>0</v>
      </c>
      <c r="H1" s="8" t="s">
        <v>105</v>
      </c>
    </row>
    <row r="2" spans="1:8">
      <c r="A2" s="16">
        <v>216</v>
      </c>
      <c r="B2" s="16" t="s">
        <v>114</v>
      </c>
      <c r="C2" s="17" t="s">
        <v>585</v>
      </c>
      <c r="D2" s="16" t="s">
        <v>586</v>
      </c>
      <c r="E2" s="16"/>
      <c r="F2" s="16" t="s">
        <v>8</v>
      </c>
      <c r="G2" s="16" t="s">
        <v>25</v>
      </c>
      <c r="H2" s="16">
        <v>1.25</v>
      </c>
    </row>
    <row r="3" spans="1:8">
      <c r="A3" s="11">
        <v>273</v>
      </c>
      <c r="B3" s="12" t="s">
        <v>114</v>
      </c>
      <c r="C3" s="13" t="s">
        <v>698</v>
      </c>
      <c r="D3" s="12" t="s">
        <v>699</v>
      </c>
      <c r="E3" s="12" t="s">
        <v>700</v>
      </c>
      <c r="F3" s="12" t="s">
        <v>3</v>
      </c>
      <c r="G3" s="14" t="s">
        <v>28</v>
      </c>
      <c r="H3" s="14">
        <v>1</v>
      </c>
    </row>
    <row r="4" spans="1:8">
      <c r="A4" s="15">
        <v>282</v>
      </c>
      <c r="B4" s="16" t="s">
        <v>114</v>
      </c>
      <c r="C4" s="17" t="s">
        <v>721</v>
      </c>
      <c r="D4" s="16" t="s">
        <v>722</v>
      </c>
      <c r="E4" s="16" t="s">
        <v>723</v>
      </c>
      <c r="F4" s="16" t="s">
        <v>3</v>
      </c>
      <c r="G4" s="18" t="s">
        <v>19</v>
      </c>
      <c r="H4" s="18">
        <v>1</v>
      </c>
    </row>
    <row r="5" spans="1:8">
      <c r="A5" s="15">
        <v>427</v>
      </c>
      <c r="B5" s="16" t="s">
        <v>114</v>
      </c>
      <c r="C5" s="17" t="s">
        <v>1000</v>
      </c>
      <c r="D5" s="16" t="s">
        <v>1001</v>
      </c>
      <c r="E5" s="16"/>
      <c r="F5" s="40" t="s">
        <v>22</v>
      </c>
      <c r="G5" s="40" t="s">
        <v>45</v>
      </c>
      <c r="H5" s="40">
        <v>20</v>
      </c>
    </row>
  </sheetData>
  <conditionalFormatting sqref="H2:H5">
    <cfRule type="notContainsBlanks" dxfId="57" priority="1">
      <formula>LEN(TRIM(H2))&gt;0</formula>
    </cfRule>
  </conditionalFormatting>
  <dataValidations count="1">
    <dataValidation type="list" allowBlank="1" sqref="F2:G5" xr:uid="{1D62803F-D061-4E16-BC31-24B7C7A44708}">
      <formula1>#REF!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F2B73-0559-47E2-9259-7A64A1BF3DEB}">
  <dimension ref="A1:H16"/>
  <sheetViews>
    <sheetView workbookViewId="0">
      <selection activeCell="A2" sqref="A2:XFD2"/>
    </sheetView>
  </sheetViews>
  <sheetFormatPr defaultRowHeight="14.5"/>
  <cols>
    <col min="3" max="3" width="39.453125" bestFit="1" customWidth="1"/>
    <col min="4" max="4" width="24.54296875" bestFit="1" customWidth="1"/>
    <col min="7" max="7" width="26.81640625" bestFit="1" customWidth="1"/>
  </cols>
  <sheetData>
    <row r="1" spans="1:8" ht="39">
      <c r="A1" s="7" t="s">
        <v>71</v>
      </c>
      <c r="B1" s="7" t="s">
        <v>72</v>
      </c>
      <c r="C1" s="7" t="s">
        <v>73</v>
      </c>
      <c r="D1" s="7" t="s">
        <v>74</v>
      </c>
      <c r="E1" s="7" t="s">
        <v>75</v>
      </c>
      <c r="F1" s="7" t="s">
        <v>76</v>
      </c>
      <c r="G1" s="7" t="s">
        <v>0</v>
      </c>
      <c r="H1" s="8" t="s">
        <v>1375</v>
      </c>
    </row>
    <row r="2" spans="1:8">
      <c r="A2" s="11">
        <v>359</v>
      </c>
      <c r="B2" s="34" t="s">
        <v>114</v>
      </c>
      <c r="C2" s="39" t="s">
        <v>884</v>
      </c>
      <c r="D2" s="34" t="s">
        <v>877</v>
      </c>
      <c r="E2" s="34"/>
      <c r="F2" s="19" t="s">
        <v>3</v>
      </c>
      <c r="G2" s="36" t="s">
        <v>39</v>
      </c>
      <c r="H2" s="36">
        <v>2</v>
      </c>
    </row>
    <row r="3" spans="1:8">
      <c r="A3" s="15">
        <v>457</v>
      </c>
      <c r="B3" s="16"/>
      <c r="C3" s="17" t="s">
        <v>1047</v>
      </c>
      <c r="D3" s="16"/>
      <c r="E3" s="16"/>
      <c r="F3" s="40" t="s">
        <v>3</v>
      </c>
      <c r="G3" s="40" t="s">
        <v>1048</v>
      </c>
      <c r="H3" s="40">
        <v>2</v>
      </c>
    </row>
    <row r="4" spans="1:8">
      <c r="A4" s="15">
        <v>459</v>
      </c>
      <c r="B4" s="16" t="s">
        <v>114</v>
      </c>
      <c r="C4" s="26" t="s">
        <v>1050</v>
      </c>
      <c r="D4" s="16"/>
      <c r="E4" s="16"/>
      <c r="F4" s="40"/>
      <c r="G4" s="40" t="s">
        <v>43</v>
      </c>
      <c r="H4" s="40">
        <v>1</v>
      </c>
    </row>
    <row r="5" spans="1:8">
      <c r="A5" s="15">
        <v>461</v>
      </c>
      <c r="B5" s="16" t="s">
        <v>114</v>
      </c>
      <c r="C5" s="26" t="s">
        <v>1053</v>
      </c>
      <c r="D5" s="16"/>
      <c r="E5" s="16"/>
      <c r="F5" s="40"/>
      <c r="G5" s="40" t="s">
        <v>43</v>
      </c>
      <c r="H5" s="40">
        <v>1</v>
      </c>
    </row>
    <row r="6" spans="1:8">
      <c r="A6" s="15">
        <v>463</v>
      </c>
      <c r="B6" s="16" t="s">
        <v>114</v>
      </c>
      <c r="C6" s="26" t="s">
        <v>1055</v>
      </c>
      <c r="D6" s="16"/>
      <c r="E6" s="16"/>
      <c r="F6" s="40"/>
      <c r="G6" s="40" t="s">
        <v>43</v>
      </c>
      <c r="H6" s="40">
        <v>1</v>
      </c>
    </row>
    <row r="7" spans="1:8">
      <c r="A7" s="15">
        <v>465</v>
      </c>
      <c r="B7" s="16" t="s">
        <v>114</v>
      </c>
      <c r="C7" s="26" t="s">
        <v>1057</v>
      </c>
      <c r="D7" s="16"/>
      <c r="E7" s="16"/>
      <c r="F7" s="40"/>
      <c r="G7" s="40" t="s">
        <v>43</v>
      </c>
      <c r="H7" s="40">
        <v>1</v>
      </c>
    </row>
    <row r="8" spans="1:8">
      <c r="A8" s="11">
        <v>466</v>
      </c>
      <c r="B8" s="12" t="s">
        <v>114</v>
      </c>
      <c r="C8" s="22" t="s">
        <v>1058</v>
      </c>
      <c r="D8" s="12"/>
      <c r="E8" s="12"/>
      <c r="F8" s="19"/>
      <c r="G8" s="19" t="s">
        <v>43</v>
      </c>
      <c r="H8" s="19">
        <v>1</v>
      </c>
    </row>
    <row r="9" spans="1:8">
      <c r="A9" s="15">
        <v>467</v>
      </c>
      <c r="B9" s="16" t="s">
        <v>114</v>
      </c>
      <c r="C9" s="17" t="s">
        <v>1059</v>
      </c>
      <c r="D9" s="16" t="s">
        <v>1060</v>
      </c>
      <c r="E9" s="16"/>
      <c r="F9" s="40"/>
      <c r="G9" s="40" t="s">
        <v>53</v>
      </c>
      <c r="H9" s="40">
        <v>2</v>
      </c>
    </row>
    <row r="10" spans="1:8">
      <c r="A10" s="11">
        <v>468</v>
      </c>
      <c r="B10" s="12" t="s">
        <v>114</v>
      </c>
      <c r="C10" s="13" t="s">
        <v>1061</v>
      </c>
      <c r="D10" s="12" t="s">
        <v>1062</v>
      </c>
      <c r="E10" s="12"/>
      <c r="F10" s="19"/>
      <c r="G10" s="19" t="s">
        <v>43</v>
      </c>
      <c r="H10" s="19">
        <v>1</v>
      </c>
    </row>
    <row r="11" spans="1:8">
      <c r="A11" s="15">
        <v>469</v>
      </c>
      <c r="B11" s="16" t="s">
        <v>114</v>
      </c>
      <c r="C11" s="17" t="s">
        <v>1063</v>
      </c>
      <c r="D11" s="16" t="s">
        <v>1064</v>
      </c>
      <c r="E11" s="16"/>
      <c r="F11" s="40"/>
      <c r="G11" s="40" t="s">
        <v>43</v>
      </c>
      <c r="H11" s="40">
        <v>1</v>
      </c>
    </row>
    <row r="12" spans="1:8">
      <c r="A12" s="11">
        <v>470</v>
      </c>
      <c r="B12" s="12" t="s">
        <v>114</v>
      </c>
      <c r="C12" s="13" t="s">
        <v>1065</v>
      </c>
      <c r="D12" s="12" t="s">
        <v>1066</v>
      </c>
      <c r="E12" s="12"/>
      <c r="F12" s="19"/>
      <c r="G12" s="19" t="s">
        <v>43</v>
      </c>
      <c r="H12" s="19">
        <v>1</v>
      </c>
    </row>
    <row r="13" spans="1:8">
      <c r="A13" s="15">
        <v>471</v>
      </c>
      <c r="B13" s="16" t="s">
        <v>114</v>
      </c>
      <c r="C13" s="17" t="s">
        <v>1067</v>
      </c>
      <c r="D13" s="16" t="s">
        <v>1068</v>
      </c>
      <c r="E13" s="16"/>
      <c r="F13" s="40"/>
      <c r="G13" s="40" t="s">
        <v>53</v>
      </c>
      <c r="H13" s="40">
        <v>1</v>
      </c>
    </row>
    <row r="14" spans="1:8">
      <c r="A14" s="11">
        <v>472</v>
      </c>
      <c r="B14" s="12" t="s">
        <v>114</v>
      </c>
      <c r="C14" s="13" t="s">
        <v>1069</v>
      </c>
      <c r="D14" s="12" t="s">
        <v>1070</v>
      </c>
      <c r="E14" s="12"/>
      <c r="F14" s="19"/>
      <c r="G14" s="19" t="s">
        <v>53</v>
      </c>
      <c r="H14" s="19">
        <v>1</v>
      </c>
    </row>
    <row r="15" spans="1:8">
      <c r="A15" s="11">
        <v>476</v>
      </c>
      <c r="B15" s="12" t="s">
        <v>114</v>
      </c>
      <c r="C15" s="13" t="s">
        <v>1077</v>
      </c>
      <c r="D15" s="12" t="s">
        <v>1078</v>
      </c>
      <c r="E15" s="12"/>
      <c r="F15" s="19"/>
      <c r="G15" s="19" t="s">
        <v>53</v>
      </c>
      <c r="H15" s="19">
        <v>1</v>
      </c>
    </row>
    <row r="16" spans="1:8">
      <c r="A16" s="11">
        <v>656</v>
      </c>
      <c r="B16" s="12" t="s">
        <v>114</v>
      </c>
      <c r="C16" s="13" t="s">
        <v>1341</v>
      </c>
      <c r="D16" s="12"/>
      <c r="E16" s="12"/>
      <c r="F16" s="19" t="s">
        <v>3</v>
      </c>
      <c r="G16" s="19" t="s">
        <v>49</v>
      </c>
      <c r="H16" s="19">
        <v>1</v>
      </c>
    </row>
  </sheetData>
  <conditionalFormatting sqref="H2:H16">
    <cfRule type="notContainsBlanks" dxfId="56" priority="1">
      <formula>LEN(TRIM(H2))&gt;0</formula>
    </cfRule>
  </conditionalFormatting>
  <dataValidations count="1">
    <dataValidation type="list" allowBlank="1" sqref="F2:G16" xr:uid="{B6CA11F6-2CB6-4B4C-94DB-9CC1E3AC1FE0}">
      <formula1>#REF!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8073D-D19C-4D6F-9F3D-090098CA1619}">
  <dimension ref="A1:H16"/>
  <sheetViews>
    <sheetView workbookViewId="0">
      <selection activeCell="C11" sqref="C11"/>
    </sheetView>
  </sheetViews>
  <sheetFormatPr defaultRowHeight="14.5"/>
  <cols>
    <col min="3" max="3" width="40.1796875" bestFit="1" customWidth="1"/>
    <col min="4" max="4" width="24.54296875" bestFit="1" customWidth="1"/>
    <col min="7" max="7" width="26.81640625" bestFit="1" customWidth="1"/>
  </cols>
  <sheetData>
    <row r="1" spans="1:8" ht="39">
      <c r="A1" s="7" t="s">
        <v>71</v>
      </c>
      <c r="B1" s="7" t="s">
        <v>72</v>
      </c>
      <c r="C1" s="7" t="s">
        <v>73</v>
      </c>
      <c r="D1" s="7" t="s">
        <v>74</v>
      </c>
      <c r="E1" s="7" t="s">
        <v>75</v>
      </c>
      <c r="F1" s="7" t="s">
        <v>76</v>
      </c>
      <c r="G1" s="7" t="s">
        <v>0</v>
      </c>
      <c r="H1" s="8" t="s">
        <v>103</v>
      </c>
    </row>
    <row r="2" spans="1:8">
      <c r="A2" s="11">
        <v>359</v>
      </c>
      <c r="B2" s="34" t="s">
        <v>114</v>
      </c>
      <c r="C2" s="39" t="s">
        <v>884</v>
      </c>
      <c r="D2" s="34" t="s">
        <v>877</v>
      </c>
      <c r="E2" s="34"/>
      <c r="F2" s="19" t="s">
        <v>3</v>
      </c>
      <c r="G2" s="36" t="s">
        <v>39</v>
      </c>
      <c r="H2" s="36">
        <v>2</v>
      </c>
    </row>
    <row r="3" spans="1:8">
      <c r="A3" s="15">
        <v>457</v>
      </c>
      <c r="B3" s="16"/>
      <c r="C3" s="17" t="s">
        <v>1047</v>
      </c>
      <c r="D3" s="16"/>
      <c r="E3" s="16"/>
      <c r="F3" s="40" t="s">
        <v>3</v>
      </c>
      <c r="G3" s="40" t="s">
        <v>1048</v>
      </c>
      <c r="H3" s="40">
        <v>2</v>
      </c>
    </row>
    <row r="4" spans="1:8">
      <c r="A4" s="11">
        <v>460</v>
      </c>
      <c r="B4" s="12" t="s">
        <v>114</v>
      </c>
      <c r="C4" s="22" t="s">
        <v>1051</v>
      </c>
      <c r="D4" s="12"/>
      <c r="E4" s="12" t="s">
        <v>1052</v>
      </c>
      <c r="F4" s="19"/>
      <c r="G4" s="19" t="s">
        <v>43</v>
      </c>
      <c r="H4" s="19">
        <v>1</v>
      </c>
    </row>
    <row r="5" spans="1:8">
      <c r="A5" s="11">
        <v>462</v>
      </c>
      <c r="B5" s="12" t="s">
        <v>114</v>
      </c>
      <c r="C5" s="22" t="s">
        <v>1054</v>
      </c>
      <c r="D5" s="12"/>
      <c r="E5" s="12"/>
      <c r="F5" s="19"/>
      <c r="G5" s="19" t="s">
        <v>43</v>
      </c>
      <c r="H5" s="19">
        <v>1</v>
      </c>
    </row>
    <row r="6" spans="1:8">
      <c r="A6" s="11">
        <v>464</v>
      </c>
      <c r="B6" s="12" t="s">
        <v>114</v>
      </c>
      <c r="C6" s="22" t="s">
        <v>1056</v>
      </c>
      <c r="D6" s="12"/>
      <c r="E6" s="12"/>
      <c r="F6" s="19"/>
      <c r="G6" s="19" t="s">
        <v>43</v>
      </c>
      <c r="H6" s="19">
        <v>1</v>
      </c>
    </row>
    <row r="7" spans="1:8">
      <c r="A7" s="15">
        <v>465</v>
      </c>
      <c r="B7" s="16" t="s">
        <v>114</v>
      </c>
      <c r="C7" s="26" t="s">
        <v>1057</v>
      </c>
      <c r="D7" s="16"/>
      <c r="E7" s="16"/>
      <c r="F7" s="40"/>
      <c r="G7" s="40" t="s">
        <v>43</v>
      </c>
      <c r="H7" s="40">
        <v>1</v>
      </c>
    </row>
    <row r="8" spans="1:8">
      <c r="A8" s="11">
        <v>466</v>
      </c>
      <c r="B8" s="12" t="s">
        <v>114</v>
      </c>
      <c r="C8" s="22" t="s">
        <v>1058</v>
      </c>
      <c r="D8" s="12"/>
      <c r="E8" s="12"/>
      <c r="F8" s="19"/>
      <c r="G8" s="19" t="s">
        <v>43</v>
      </c>
      <c r="H8" s="19">
        <v>1</v>
      </c>
    </row>
    <row r="9" spans="1:8">
      <c r="A9" s="15">
        <v>467</v>
      </c>
      <c r="B9" s="16" t="s">
        <v>114</v>
      </c>
      <c r="C9" s="17" t="s">
        <v>1059</v>
      </c>
      <c r="D9" s="16" t="s">
        <v>1060</v>
      </c>
      <c r="E9" s="16"/>
      <c r="F9" s="40"/>
      <c r="G9" s="40" t="s">
        <v>53</v>
      </c>
      <c r="H9" s="40">
        <v>2</v>
      </c>
    </row>
    <row r="10" spans="1:8">
      <c r="A10" s="11">
        <v>468</v>
      </c>
      <c r="B10" s="12" t="s">
        <v>114</v>
      </c>
      <c r="C10" s="13" t="s">
        <v>1061</v>
      </c>
      <c r="D10" s="12" t="s">
        <v>1062</v>
      </c>
      <c r="E10" s="12"/>
      <c r="F10" s="19"/>
      <c r="G10" s="19" t="s">
        <v>43</v>
      </c>
      <c r="H10" s="19">
        <v>1</v>
      </c>
    </row>
    <row r="11" spans="1:8">
      <c r="A11" s="15">
        <v>469</v>
      </c>
      <c r="B11" s="16" t="s">
        <v>114</v>
      </c>
      <c r="C11" s="17" t="s">
        <v>1063</v>
      </c>
      <c r="D11" s="16" t="s">
        <v>1064</v>
      </c>
      <c r="E11" s="16"/>
      <c r="F11" s="40"/>
      <c r="G11" s="40" t="s">
        <v>43</v>
      </c>
      <c r="H11" s="40">
        <v>1</v>
      </c>
    </row>
    <row r="12" spans="1:8">
      <c r="A12" s="11">
        <v>470</v>
      </c>
      <c r="B12" s="12" t="s">
        <v>114</v>
      </c>
      <c r="C12" s="13" t="s">
        <v>1065</v>
      </c>
      <c r="D12" s="12" t="s">
        <v>1066</v>
      </c>
      <c r="E12" s="12"/>
      <c r="F12" s="19"/>
      <c r="G12" s="19" t="s">
        <v>43</v>
      </c>
      <c r="H12" s="19">
        <v>1</v>
      </c>
    </row>
    <row r="13" spans="1:8">
      <c r="A13" s="15">
        <v>471</v>
      </c>
      <c r="B13" s="16" t="s">
        <v>114</v>
      </c>
      <c r="C13" s="17" t="s">
        <v>1067</v>
      </c>
      <c r="D13" s="16" t="s">
        <v>1068</v>
      </c>
      <c r="E13" s="16"/>
      <c r="F13" s="40"/>
      <c r="G13" s="40" t="s">
        <v>53</v>
      </c>
      <c r="H13" s="40">
        <v>1</v>
      </c>
    </row>
    <row r="14" spans="1:8">
      <c r="A14" s="11">
        <v>472</v>
      </c>
      <c r="B14" s="12" t="s">
        <v>114</v>
      </c>
      <c r="C14" s="13" t="s">
        <v>1069</v>
      </c>
      <c r="D14" s="12" t="s">
        <v>1070</v>
      </c>
      <c r="E14" s="12"/>
      <c r="F14" s="19"/>
      <c r="G14" s="19" t="s">
        <v>53</v>
      </c>
      <c r="H14" s="19">
        <v>1</v>
      </c>
    </row>
    <row r="15" spans="1:8">
      <c r="A15" s="11">
        <v>476</v>
      </c>
      <c r="B15" s="12" t="s">
        <v>114</v>
      </c>
      <c r="C15" s="13" t="s">
        <v>1077</v>
      </c>
      <c r="D15" s="12" t="s">
        <v>1078</v>
      </c>
      <c r="E15" s="12"/>
      <c r="F15" s="19"/>
      <c r="G15" s="19" t="s">
        <v>53</v>
      </c>
      <c r="H15" s="19">
        <v>1</v>
      </c>
    </row>
    <row r="16" spans="1:8">
      <c r="A16" s="11">
        <v>656</v>
      </c>
      <c r="B16" s="12" t="s">
        <v>114</v>
      </c>
      <c r="C16" s="13" t="s">
        <v>1341</v>
      </c>
      <c r="D16" s="12"/>
      <c r="E16" s="12"/>
      <c r="F16" s="19" t="s">
        <v>3</v>
      </c>
      <c r="G16" s="19" t="s">
        <v>49</v>
      </c>
      <c r="H16" s="19">
        <v>1</v>
      </c>
    </row>
  </sheetData>
  <conditionalFormatting sqref="H2:H16">
    <cfRule type="notContainsBlanks" dxfId="55" priority="1">
      <formula>LEN(TRIM(H2))&gt;0</formula>
    </cfRule>
  </conditionalFormatting>
  <dataValidations count="1">
    <dataValidation type="list" allowBlank="1" sqref="F2:G16" xr:uid="{EB00FE97-3440-4CCF-A02D-09A00FF35652}">
      <formula1>#REF!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22624-434A-4B81-8803-431C9D5E1022}">
  <dimension ref="A1:H6"/>
  <sheetViews>
    <sheetView workbookViewId="0">
      <selection activeCell="D9" sqref="D9"/>
    </sheetView>
  </sheetViews>
  <sheetFormatPr defaultRowHeight="14.5"/>
  <cols>
    <col min="3" max="3" width="58.1796875" bestFit="1" customWidth="1"/>
    <col min="4" max="4" width="33.81640625" bestFit="1" customWidth="1"/>
    <col min="5" max="5" width="10.81640625" bestFit="1" customWidth="1"/>
  </cols>
  <sheetData>
    <row r="1" spans="1:8" ht="65">
      <c r="A1" s="7" t="s">
        <v>71</v>
      </c>
      <c r="B1" s="7" t="s">
        <v>72</v>
      </c>
      <c r="C1" s="7" t="s">
        <v>73</v>
      </c>
      <c r="D1" s="7" t="s">
        <v>74</v>
      </c>
      <c r="E1" s="7" t="s">
        <v>75</v>
      </c>
      <c r="F1" s="7" t="s">
        <v>76</v>
      </c>
      <c r="G1" s="7" t="s">
        <v>0</v>
      </c>
      <c r="H1" s="8" t="s">
        <v>102</v>
      </c>
    </row>
    <row r="2" spans="1:8">
      <c r="A2" s="11">
        <v>321</v>
      </c>
      <c r="B2" s="34" t="s">
        <v>114</v>
      </c>
      <c r="C2" s="39" t="s">
        <v>812</v>
      </c>
      <c r="D2" s="34" t="s">
        <v>813</v>
      </c>
      <c r="E2" s="34"/>
      <c r="F2" s="19" t="s">
        <v>3</v>
      </c>
      <c r="G2" s="36" t="s">
        <v>39</v>
      </c>
      <c r="H2" s="36">
        <v>6</v>
      </c>
    </row>
    <row r="3" spans="1:8">
      <c r="A3" s="15">
        <v>437</v>
      </c>
      <c r="B3" s="16" t="s">
        <v>114</v>
      </c>
      <c r="C3" s="17" t="s">
        <v>1020</v>
      </c>
      <c r="D3" s="16" t="s">
        <v>1021</v>
      </c>
      <c r="E3" s="16"/>
      <c r="F3" s="40" t="s">
        <v>13</v>
      </c>
      <c r="G3" s="40" t="s">
        <v>60</v>
      </c>
      <c r="H3" s="40">
        <v>5</v>
      </c>
    </row>
    <row r="4" spans="1:8">
      <c r="A4" s="11">
        <v>492</v>
      </c>
      <c r="B4" s="12" t="s">
        <v>114</v>
      </c>
      <c r="C4" s="13" t="s">
        <v>1108</v>
      </c>
      <c r="D4" s="12" t="s">
        <v>1109</v>
      </c>
      <c r="E4" s="12"/>
      <c r="F4" s="19" t="s">
        <v>3</v>
      </c>
      <c r="G4" s="19" t="s">
        <v>68</v>
      </c>
      <c r="H4" s="19">
        <v>1</v>
      </c>
    </row>
    <row r="5" spans="1:8">
      <c r="A5" s="11">
        <v>494</v>
      </c>
      <c r="B5" s="12" t="s">
        <v>114</v>
      </c>
      <c r="C5" s="13" t="s">
        <v>1112</v>
      </c>
      <c r="D5" s="12" t="s">
        <v>1113</v>
      </c>
      <c r="E5" s="12"/>
      <c r="F5" s="19" t="s">
        <v>3</v>
      </c>
      <c r="G5" s="19" t="s">
        <v>68</v>
      </c>
      <c r="H5" s="19">
        <v>1</v>
      </c>
    </row>
    <row r="6" spans="1:8">
      <c r="A6" s="15">
        <v>537</v>
      </c>
      <c r="B6" s="16" t="s">
        <v>114</v>
      </c>
      <c r="C6" s="17" t="s">
        <v>1183</v>
      </c>
      <c r="D6" s="16" t="s">
        <v>1184</v>
      </c>
      <c r="E6" s="16" t="s">
        <v>1185</v>
      </c>
      <c r="F6" s="40" t="s">
        <v>3</v>
      </c>
      <c r="G6" s="40" t="s">
        <v>48</v>
      </c>
      <c r="H6" s="40">
        <v>1</v>
      </c>
    </row>
  </sheetData>
  <conditionalFormatting sqref="H2:H6">
    <cfRule type="notContainsBlanks" dxfId="54" priority="1">
      <formula>LEN(TRIM(H2))&gt;0</formula>
    </cfRule>
  </conditionalFormatting>
  <dataValidations count="1">
    <dataValidation type="list" allowBlank="1" sqref="F2:G6" xr:uid="{DCA7EE6A-3C1F-4E54-B8E7-1B46F873CCF3}">
      <formula1>#REF!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9C033-AC24-47BE-8C7F-A8215E5DDCC6}">
  <dimension ref="A1:H4"/>
  <sheetViews>
    <sheetView workbookViewId="0">
      <selection activeCell="F8" sqref="F8"/>
    </sheetView>
  </sheetViews>
  <sheetFormatPr defaultRowHeight="14.5"/>
  <cols>
    <col min="1" max="1" width="5.81640625" bestFit="1" customWidth="1"/>
    <col min="3" max="3" width="9" bestFit="1" customWidth="1"/>
    <col min="4" max="4" width="8.453125" bestFit="1" customWidth="1"/>
    <col min="5" max="5" width="8.7265625" bestFit="1" customWidth="1"/>
    <col min="6" max="6" width="8.453125" bestFit="1" customWidth="1"/>
    <col min="7" max="7" width="8.26953125" customWidth="1"/>
  </cols>
  <sheetData>
    <row r="1" spans="1:8" ht="39">
      <c r="A1" s="7" t="s">
        <v>71</v>
      </c>
      <c r="B1" s="7" t="s">
        <v>72</v>
      </c>
      <c r="C1" s="7" t="s">
        <v>73</v>
      </c>
      <c r="D1" s="7" t="s">
        <v>74</v>
      </c>
      <c r="E1" s="7" t="s">
        <v>75</v>
      </c>
      <c r="F1" s="7" t="s">
        <v>76</v>
      </c>
      <c r="G1" s="7" t="s">
        <v>0</v>
      </c>
      <c r="H1" s="8" t="s">
        <v>101</v>
      </c>
    </row>
    <row r="2" spans="1:8" ht="39">
      <c r="A2" s="11">
        <v>691</v>
      </c>
      <c r="B2" s="54" t="s">
        <v>114</v>
      </c>
      <c r="C2" s="55" t="s">
        <v>82</v>
      </c>
      <c r="D2" s="12"/>
      <c r="E2" s="12">
        <v>6</v>
      </c>
      <c r="F2" s="19" t="s">
        <v>3</v>
      </c>
      <c r="G2" s="19" t="s">
        <v>27</v>
      </c>
      <c r="H2" s="19">
        <v>1</v>
      </c>
    </row>
    <row r="3" spans="1:8" ht="65">
      <c r="A3" s="11">
        <v>707</v>
      </c>
      <c r="B3" s="54" t="s">
        <v>114</v>
      </c>
      <c r="C3" s="55" t="s">
        <v>98</v>
      </c>
      <c r="D3" s="12"/>
      <c r="E3" s="12">
        <v>22</v>
      </c>
      <c r="F3" s="19" t="s">
        <v>3</v>
      </c>
      <c r="G3" s="19" t="s">
        <v>27</v>
      </c>
      <c r="H3" s="19">
        <v>1</v>
      </c>
    </row>
    <row r="4" spans="1:8" ht="65">
      <c r="A4" s="15">
        <v>708</v>
      </c>
      <c r="B4" s="52" t="s">
        <v>114</v>
      </c>
      <c r="C4" s="53" t="s">
        <v>99</v>
      </c>
      <c r="D4" s="16"/>
      <c r="E4" s="16">
        <v>23</v>
      </c>
      <c r="F4" s="40" t="s">
        <v>3</v>
      </c>
      <c r="G4" s="40" t="s">
        <v>27</v>
      </c>
      <c r="H4" s="40">
        <v>1</v>
      </c>
    </row>
  </sheetData>
  <conditionalFormatting sqref="H2:H4">
    <cfRule type="notContainsBlanks" dxfId="53" priority="1">
      <formula>LEN(TRIM(H2))&gt;0</formula>
    </cfRule>
  </conditionalFormatting>
  <dataValidations count="1">
    <dataValidation type="list" allowBlank="1" sqref="F2:G4" xr:uid="{BDFF15B5-C820-4329-B953-9C65992039FD}">
      <formula1>#REF!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097DE-C944-42DE-B579-A48726AC11A1}">
  <dimension ref="A1:H4"/>
  <sheetViews>
    <sheetView workbookViewId="0">
      <selection activeCell="C11" sqref="C11"/>
    </sheetView>
  </sheetViews>
  <sheetFormatPr defaultRowHeight="14.5"/>
  <cols>
    <col min="3" max="3" width="37.453125" customWidth="1"/>
  </cols>
  <sheetData>
    <row r="1" spans="1:8" ht="52">
      <c r="A1" s="7" t="s">
        <v>71</v>
      </c>
      <c r="B1" s="7" t="s">
        <v>72</v>
      </c>
      <c r="C1" s="7" t="s">
        <v>73</v>
      </c>
      <c r="D1" s="7" t="s">
        <v>74</v>
      </c>
      <c r="E1" s="7" t="s">
        <v>75</v>
      </c>
      <c r="F1" s="7" t="s">
        <v>76</v>
      </c>
      <c r="G1" s="7" t="s">
        <v>0</v>
      </c>
      <c r="H1" s="8" t="s">
        <v>100</v>
      </c>
    </row>
    <row r="2" spans="1:8">
      <c r="A2" s="11">
        <v>691</v>
      </c>
      <c r="B2" s="54" t="s">
        <v>114</v>
      </c>
      <c r="C2" s="55" t="s">
        <v>82</v>
      </c>
      <c r="D2" s="12"/>
      <c r="E2" s="12">
        <v>6</v>
      </c>
      <c r="F2" s="19" t="s">
        <v>3</v>
      </c>
      <c r="G2" s="19" t="s">
        <v>27</v>
      </c>
      <c r="H2" s="19">
        <v>1</v>
      </c>
    </row>
    <row r="3" spans="1:8">
      <c r="A3" s="15">
        <v>706</v>
      </c>
      <c r="B3" s="52" t="s">
        <v>114</v>
      </c>
      <c r="C3" s="53" t="s">
        <v>97</v>
      </c>
      <c r="D3" s="16"/>
      <c r="E3" s="16">
        <v>21</v>
      </c>
      <c r="F3" s="40" t="s">
        <v>3</v>
      </c>
      <c r="G3" s="40" t="s">
        <v>27</v>
      </c>
      <c r="H3" s="40">
        <v>1</v>
      </c>
    </row>
    <row r="4" spans="1:8">
      <c r="A4" s="15">
        <v>708</v>
      </c>
      <c r="B4" s="52" t="s">
        <v>114</v>
      </c>
      <c r="C4" s="53" t="s">
        <v>99</v>
      </c>
      <c r="D4" s="16"/>
      <c r="E4" s="16">
        <v>23</v>
      </c>
      <c r="F4" s="40" t="s">
        <v>3</v>
      </c>
      <c r="G4" s="40" t="s">
        <v>27</v>
      </c>
      <c r="H4" s="40">
        <v>1</v>
      </c>
    </row>
  </sheetData>
  <conditionalFormatting sqref="H2:H4">
    <cfRule type="notContainsBlanks" dxfId="52" priority="1">
      <formula>LEN(TRIM(H2))&gt;0</formula>
    </cfRule>
  </conditionalFormatting>
  <dataValidations count="1">
    <dataValidation type="list" allowBlank="1" sqref="F2:G4" xr:uid="{953CAD12-4F2F-445E-B9BC-B76F5C7CBC22}">
      <formula1>#REF!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F9FF8-CEA2-45FA-AE91-B71DE6095267}">
  <dimension ref="A1:H4"/>
  <sheetViews>
    <sheetView workbookViewId="0">
      <selection activeCell="D9" sqref="D9"/>
    </sheetView>
  </sheetViews>
  <sheetFormatPr defaultRowHeight="14.5"/>
  <cols>
    <col min="1" max="1" width="5.81640625" bestFit="1" customWidth="1"/>
    <col min="3" max="3" width="22.1796875" bestFit="1" customWidth="1"/>
    <col min="4" max="4" width="21.54296875" bestFit="1" customWidth="1"/>
    <col min="5" max="5" width="8.7265625" bestFit="1" customWidth="1"/>
    <col min="6" max="6" width="8.453125" bestFit="1" customWidth="1"/>
    <col min="7" max="7" width="11.54296875" customWidth="1"/>
  </cols>
  <sheetData>
    <row r="1" spans="1:8" ht="65">
      <c r="A1" s="7" t="s">
        <v>71</v>
      </c>
      <c r="B1" s="7" t="s">
        <v>72</v>
      </c>
      <c r="C1" s="7" t="s">
        <v>73</v>
      </c>
      <c r="D1" s="7" t="s">
        <v>74</v>
      </c>
      <c r="E1" s="7" t="s">
        <v>75</v>
      </c>
      <c r="F1" s="7" t="s">
        <v>76</v>
      </c>
      <c r="G1" s="7" t="s">
        <v>0</v>
      </c>
      <c r="H1" s="8" t="s">
        <v>99</v>
      </c>
    </row>
    <row r="2" spans="1:8">
      <c r="A2" s="15">
        <v>254</v>
      </c>
      <c r="B2" s="16" t="s">
        <v>114</v>
      </c>
      <c r="C2" s="17" t="s">
        <v>658</v>
      </c>
      <c r="D2" s="16" t="s">
        <v>659</v>
      </c>
      <c r="E2" s="16"/>
      <c r="F2" s="16" t="s">
        <v>3</v>
      </c>
      <c r="G2" s="18" t="s">
        <v>17</v>
      </c>
      <c r="H2" s="18">
        <v>1</v>
      </c>
    </row>
    <row r="3" spans="1:8">
      <c r="A3" s="15">
        <v>401</v>
      </c>
      <c r="B3" s="16" t="s">
        <v>114</v>
      </c>
      <c r="C3" s="17" t="s">
        <v>954</v>
      </c>
      <c r="D3" s="16" t="s">
        <v>955</v>
      </c>
      <c r="E3" s="16"/>
      <c r="F3" s="40" t="s">
        <v>3</v>
      </c>
      <c r="G3" s="40" t="s">
        <v>15</v>
      </c>
      <c r="H3" s="40">
        <v>2</v>
      </c>
    </row>
    <row r="4" spans="1:8">
      <c r="A4" s="15">
        <v>403</v>
      </c>
      <c r="B4" s="16"/>
      <c r="C4" s="17" t="s">
        <v>957</v>
      </c>
      <c r="D4" s="16"/>
      <c r="E4" s="16"/>
      <c r="F4" s="40"/>
      <c r="G4" s="40"/>
      <c r="H4" s="40">
        <v>1</v>
      </c>
    </row>
  </sheetData>
  <conditionalFormatting sqref="H2:H4">
    <cfRule type="notContainsBlanks" dxfId="51" priority="1">
      <formula>LEN(TRIM(H2))&gt;0</formula>
    </cfRule>
  </conditionalFormatting>
  <dataValidations count="1">
    <dataValidation type="list" allowBlank="1" sqref="F2:G4" xr:uid="{8C06B1AE-0ABE-4565-8097-BF255D9F457D}">
      <formula1>#REF!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67BB5-919F-4473-A5B9-E4F7833B708A}">
  <dimension ref="A1:H10"/>
  <sheetViews>
    <sheetView workbookViewId="0">
      <selection activeCell="E14" sqref="E14"/>
    </sheetView>
  </sheetViews>
  <sheetFormatPr defaultRowHeight="14.5"/>
  <cols>
    <col min="1" max="1" width="5.81640625" bestFit="1" customWidth="1"/>
    <col min="3" max="3" width="42.26953125" bestFit="1" customWidth="1"/>
    <col min="4" max="4" width="26.54296875" bestFit="1" customWidth="1"/>
    <col min="5" max="5" width="15.1796875" customWidth="1"/>
    <col min="6" max="6" width="8.453125" bestFit="1" customWidth="1"/>
    <col min="7" max="7" width="33" bestFit="1" customWidth="1"/>
  </cols>
  <sheetData>
    <row r="1" spans="1:8" ht="65">
      <c r="A1" s="7" t="s">
        <v>71</v>
      </c>
      <c r="B1" s="7" t="s">
        <v>72</v>
      </c>
      <c r="C1" s="7" t="s">
        <v>73</v>
      </c>
      <c r="D1" s="7" t="s">
        <v>74</v>
      </c>
      <c r="E1" s="7" t="s">
        <v>75</v>
      </c>
      <c r="F1" s="7" t="s">
        <v>76</v>
      </c>
      <c r="G1" s="7" t="s">
        <v>0</v>
      </c>
      <c r="H1" s="8" t="s">
        <v>98</v>
      </c>
    </row>
    <row r="2" spans="1:8">
      <c r="A2" s="11">
        <v>15</v>
      </c>
      <c r="B2" s="12" t="s">
        <v>114</v>
      </c>
      <c r="C2" s="13" t="s">
        <v>155</v>
      </c>
      <c r="D2" s="12" t="s">
        <v>156</v>
      </c>
      <c r="E2" s="14" t="s">
        <v>157</v>
      </c>
      <c r="F2" s="12" t="s">
        <v>3</v>
      </c>
      <c r="G2" s="14" t="s">
        <v>4</v>
      </c>
      <c r="H2" s="14">
        <v>1</v>
      </c>
    </row>
    <row r="3" spans="1:8">
      <c r="A3" s="15">
        <v>16</v>
      </c>
      <c r="B3" s="16" t="s">
        <v>114</v>
      </c>
      <c r="C3" s="17" t="s">
        <v>158</v>
      </c>
      <c r="D3" s="16" t="s">
        <v>159</v>
      </c>
      <c r="E3" s="18" t="s">
        <v>160</v>
      </c>
      <c r="F3" s="16" t="s">
        <v>3</v>
      </c>
      <c r="G3" s="18" t="s">
        <v>4</v>
      </c>
      <c r="H3" s="18">
        <v>2</v>
      </c>
    </row>
    <row r="4" spans="1:8">
      <c r="A4" s="11">
        <v>17</v>
      </c>
      <c r="B4" s="12" t="s">
        <v>114</v>
      </c>
      <c r="C4" s="13" t="s">
        <v>161</v>
      </c>
      <c r="D4" s="12" t="s">
        <v>162</v>
      </c>
      <c r="E4" s="14" t="s">
        <v>163</v>
      </c>
      <c r="F4" s="12" t="s">
        <v>3</v>
      </c>
      <c r="G4" s="14" t="s">
        <v>4</v>
      </c>
      <c r="H4" s="14">
        <v>1</v>
      </c>
    </row>
    <row r="5" spans="1:8">
      <c r="A5" s="11">
        <v>21</v>
      </c>
      <c r="B5" s="12" t="s">
        <v>114</v>
      </c>
      <c r="C5" s="13" t="s">
        <v>173</v>
      </c>
      <c r="D5" s="12" t="s">
        <v>174</v>
      </c>
      <c r="E5" s="12"/>
      <c r="F5" s="12" t="s">
        <v>8</v>
      </c>
      <c r="G5" s="14" t="s">
        <v>4</v>
      </c>
      <c r="H5" s="14">
        <v>0.65</v>
      </c>
    </row>
    <row r="6" spans="1:8">
      <c r="A6" s="11">
        <v>22</v>
      </c>
      <c r="B6" s="12" t="s">
        <v>114</v>
      </c>
      <c r="C6" s="13" t="s">
        <v>175</v>
      </c>
      <c r="D6" s="12" t="s">
        <v>176</v>
      </c>
      <c r="E6" s="12"/>
      <c r="F6" s="12" t="s">
        <v>8</v>
      </c>
      <c r="G6" s="14" t="s">
        <v>4</v>
      </c>
      <c r="H6" s="18">
        <v>0.7</v>
      </c>
    </row>
    <row r="7" spans="1:8">
      <c r="A7" s="11">
        <v>398</v>
      </c>
      <c r="B7" s="12" t="s">
        <v>114</v>
      </c>
      <c r="C7" s="13" t="s">
        <v>949</v>
      </c>
      <c r="D7" s="12" t="s">
        <v>950</v>
      </c>
      <c r="E7" s="12"/>
      <c r="F7" s="12" t="s">
        <v>13</v>
      </c>
      <c r="G7" s="14" t="s">
        <v>40</v>
      </c>
      <c r="H7" s="14">
        <v>5</v>
      </c>
    </row>
    <row r="8" spans="1:8">
      <c r="A8" s="11">
        <v>420</v>
      </c>
      <c r="B8" s="12" t="s">
        <v>114</v>
      </c>
      <c r="C8" s="13" t="s">
        <v>986</v>
      </c>
      <c r="D8" s="12" t="s">
        <v>987</v>
      </c>
      <c r="E8" s="12"/>
      <c r="F8" s="19" t="s">
        <v>22</v>
      </c>
      <c r="G8" s="19" t="s">
        <v>45</v>
      </c>
      <c r="H8" s="19">
        <v>7</v>
      </c>
    </row>
    <row r="9" spans="1:8">
      <c r="A9" s="15">
        <v>421</v>
      </c>
      <c r="B9" s="16" t="s">
        <v>114</v>
      </c>
      <c r="C9" s="17" t="s">
        <v>988</v>
      </c>
      <c r="D9" s="16" t="s">
        <v>989</v>
      </c>
      <c r="E9" s="16"/>
      <c r="F9" s="40" t="s">
        <v>22</v>
      </c>
      <c r="G9" s="40" t="s">
        <v>45</v>
      </c>
      <c r="H9" s="40">
        <v>3.5</v>
      </c>
    </row>
    <row r="10" spans="1:8">
      <c r="A10" s="11">
        <v>426</v>
      </c>
      <c r="B10" s="12" t="s">
        <v>114</v>
      </c>
      <c r="C10" s="13" t="s">
        <v>998</v>
      </c>
      <c r="D10" s="12" t="s">
        <v>999</v>
      </c>
      <c r="E10" s="12"/>
      <c r="F10" s="19" t="s">
        <v>22</v>
      </c>
      <c r="G10" s="19" t="s">
        <v>45</v>
      </c>
      <c r="H10" s="19">
        <v>3.5</v>
      </c>
    </row>
  </sheetData>
  <conditionalFormatting sqref="H2:H10">
    <cfRule type="notContainsBlanks" dxfId="50" priority="1">
      <formula>LEN(TRIM(H2))&gt;0</formula>
    </cfRule>
  </conditionalFormatting>
  <dataValidations count="1">
    <dataValidation type="list" allowBlank="1" sqref="F2:G10" xr:uid="{13ACDF3F-C2DC-4732-9191-3143BF5A6CBA}">
      <formula1>#REF!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ECAED-CFEB-42F2-AFC3-7E2B09CE9016}">
  <dimension ref="A1:H14"/>
  <sheetViews>
    <sheetView workbookViewId="0">
      <selection activeCell="A2" sqref="A2:XFD2"/>
    </sheetView>
  </sheetViews>
  <sheetFormatPr defaultRowHeight="14.5"/>
  <cols>
    <col min="1" max="1" width="5.81640625" bestFit="1" customWidth="1"/>
    <col min="3" max="3" width="42.26953125" bestFit="1" customWidth="1"/>
    <col min="4" max="4" width="26.54296875" bestFit="1" customWidth="1"/>
    <col min="5" max="5" width="13.54296875" bestFit="1" customWidth="1"/>
    <col min="6" max="6" width="8.453125" bestFit="1" customWidth="1"/>
    <col min="7" max="7" width="33" bestFit="1" customWidth="1"/>
  </cols>
  <sheetData>
    <row r="1" spans="1:8" ht="65">
      <c r="A1" s="7" t="s">
        <v>71</v>
      </c>
      <c r="B1" s="7" t="s">
        <v>72</v>
      </c>
      <c r="C1" s="7" t="s">
        <v>73</v>
      </c>
      <c r="D1" s="7" t="s">
        <v>74</v>
      </c>
      <c r="E1" s="7" t="s">
        <v>75</v>
      </c>
      <c r="F1" s="7" t="s">
        <v>76</v>
      </c>
      <c r="G1" s="7" t="s">
        <v>0</v>
      </c>
      <c r="H1" s="8" t="s">
        <v>97</v>
      </c>
    </row>
    <row r="2" spans="1:8">
      <c r="A2" s="15">
        <v>12</v>
      </c>
      <c r="B2" s="16" t="s">
        <v>114</v>
      </c>
      <c r="C2" s="17" t="s">
        <v>146</v>
      </c>
      <c r="D2" s="16" t="s">
        <v>147</v>
      </c>
      <c r="E2" s="16" t="s">
        <v>148</v>
      </c>
      <c r="F2" s="16" t="s">
        <v>3</v>
      </c>
      <c r="G2" s="18" t="s">
        <v>4</v>
      </c>
      <c r="H2" s="18">
        <v>2</v>
      </c>
    </row>
    <row r="3" spans="1:8">
      <c r="A3" s="15">
        <v>14</v>
      </c>
      <c r="B3" s="16" t="s">
        <v>114</v>
      </c>
      <c r="C3" s="17" t="s">
        <v>152</v>
      </c>
      <c r="D3" s="16" t="s">
        <v>153</v>
      </c>
      <c r="E3" s="16" t="s">
        <v>154</v>
      </c>
      <c r="F3" s="16" t="s">
        <v>3</v>
      </c>
      <c r="G3" s="18" t="s">
        <v>4</v>
      </c>
      <c r="H3" s="18">
        <v>1</v>
      </c>
    </row>
    <row r="4" spans="1:8">
      <c r="A4" s="11">
        <v>15</v>
      </c>
      <c r="B4" s="12" t="s">
        <v>114</v>
      </c>
      <c r="C4" s="13" t="s">
        <v>155</v>
      </c>
      <c r="D4" s="12" t="s">
        <v>156</v>
      </c>
      <c r="E4" s="14" t="s">
        <v>157</v>
      </c>
      <c r="F4" s="12" t="s">
        <v>3</v>
      </c>
      <c r="G4" s="14" t="s">
        <v>4</v>
      </c>
      <c r="H4" s="14">
        <v>1</v>
      </c>
    </row>
    <row r="5" spans="1:8">
      <c r="A5" s="15">
        <v>16</v>
      </c>
      <c r="B5" s="16" t="s">
        <v>114</v>
      </c>
      <c r="C5" s="17" t="s">
        <v>158</v>
      </c>
      <c r="D5" s="16" t="s">
        <v>159</v>
      </c>
      <c r="E5" s="18" t="s">
        <v>160</v>
      </c>
      <c r="F5" s="16" t="s">
        <v>3</v>
      </c>
      <c r="G5" s="18" t="s">
        <v>4</v>
      </c>
      <c r="H5" s="18">
        <v>1</v>
      </c>
    </row>
    <row r="6" spans="1:8">
      <c r="A6" s="15">
        <v>18</v>
      </c>
      <c r="B6" s="16" t="s">
        <v>114</v>
      </c>
      <c r="C6" s="17" t="s">
        <v>164</v>
      </c>
      <c r="D6" s="16" t="s">
        <v>165</v>
      </c>
      <c r="E6" s="16" t="s">
        <v>166</v>
      </c>
      <c r="F6" s="16" t="s">
        <v>3</v>
      </c>
      <c r="G6" s="18" t="s">
        <v>4</v>
      </c>
      <c r="H6" s="18">
        <v>1</v>
      </c>
    </row>
    <row r="7" spans="1:8">
      <c r="A7" s="11">
        <v>21</v>
      </c>
      <c r="B7" s="12" t="s">
        <v>114</v>
      </c>
      <c r="C7" s="13" t="s">
        <v>173</v>
      </c>
      <c r="D7" s="12" t="s">
        <v>174</v>
      </c>
      <c r="E7" s="12"/>
      <c r="F7" s="12" t="s">
        <v>8</v>
      </c>
      <c r="G7" s="14" t="s">
        <v>4</v>
      </c>
      <c r="H7" s="14">
        <v>0.63</v>
      </c>
    </row>
    <row r="8" spans="1:8">
      <c r="A8" s="11">
        <v>22</v>
      </c>
      <c r="B8" s="12" t="s">
        <v>114</v>
      </c>
      <c r="C8" s="13" t="s">
        <v>175</v>
      </c>
      <c r="D8" s="12" t="s">
        <v>176</v>
      </c>
      <c r="E8" s="12"/>
      <c r="F8" s="12" t="s">
        <v>8</v>
      </c>
      <c r="G8" s="14" t="s">
        <v>4</v>
      </c>
      <c r="H8" s="18">
        <v>0.65</v>
      </c>
    </row>
    <row r="9" spans="1:8">
      <c r="A9" s="11">
        <v>23</v>
      </c>
      <c r="B9" s="12" t="s">
        <v>114</v>
      </c>
      <c r="C9" s="13" t="s">
        <v>177</v>
      </c>
      <c r="D9" s="12" t="s">
        <v>178</v>
      </c>
      <c r="E9" s="12" t="s">
        <v>179</v>
      </c>
      <c r="F9" s="12" t="s">
        <v>8</v>
      </c>
      <c r="G9" s="14" t="s">
        <v>4</v>
      </c>
      <c r="H9" s="14">
        <v>0.05</v>
      </c>
    </row>
    <row r="10" spans="1:8">
      <c r="A10" s="11">
        <v>25</v>
      </c>
      <c r="B10" s="12" t="s">
        <v>114</v>
      </c>
      <c r="C10" s="13" t="s">
        <v>183</v>
      </c>
      <c r="D10" s="12" t="s">
        <v>184</v>
      </c>
      <c r="E10" s="12"/>
      <c r="F10" s="12" t="s">
        <v>8</v>
      </c>
      <c r="G10" s="14" t="s">
        <v>4</v>
      </c>
      <c r="H10" s="14">
        <v>0.25</v>
      </c>
    </row>
    <row r="11" spans="1:8">
      <c r="A11" s="11">
        <v>398</v>
      </c>
      <c r="B11" s="12" t="s">
        <v>114</v>
      </c>
      <c r="C11" s="13" t="s">
        <v>949</v>
      </c>
      <c r="D11" s="12" t="s">
        <v>950</v>
      </c>
      <c r="E11" s="12"/>
      <c r="F11" s="12" t="s">
        <v>13</v>
      </c>
      <c r="G11" s="14" t="s">
        <v>40</v>
      </c>
      <c r="H11" s="14">
        <v>10</v>
      </c>
    </row>
    <row r="12" spans="1:8">
      <c r="A12" s="11">
        <v>420</v>
      </c>
      <c r="B12" s="12" t="s">
        <v>114</v>
      </c>
      <c r="C12" s="13" t="s">
        <v>986</v>
      </c>
      <c r="D12" s="12" t="s">
        <v>987</v>
      </c>
      <c r="E12" s="12"/>
      <c r="F12" s="19" t="s">
        <v>22</v>
      </c>
      <c r="G12" s="19" t="s">
        <v>45</v>
      </c>
      <c r="H12" s="19">
        <v>8</v>
      </c>
    </row>
    <row r="13" spans="1:8">
      <c r="A13" s="15">
        <v>421</v>
      </c>
      <c r="B13" s="16" t="s">
        <v>114</v>
      </c>
      <c r="C13" s="17" t="s">
        <v>988</v>
      </c>
      <c r="D13" s="16" t="s">
        <v>989</v>
      </c>
      <c r="E13" s="16"/>
      <c r="F13" s="40" t="s">
        <v>22</v>
      </c>
      <c r="G13" s="40" t="s">
        <v>45</v>
      </c>
      <c r="H13" s="40">
        <v>7</v>
      </c>
    </row>
    <row r="14" spans="1:8">
      <c r="A14" s="15">
        <v>425</v>
      </c>
      <c r="B14" s="16" t="s">
        <v>114</v>
      </c>
      <c r="C14" s="17" t="s">
        <v>996</v>
      </c>
      <c r="D14" s="16" t="s">
        <v>997</v>
      </c>
      <c r="E14" s="16"/>
      <c r="F14" s="40" t="s">
        <v>22</v>
      </c>
      <c r="G14" s="40" t="s">
        <v>45</v>
      </c>
      <c r="H14" s="40">
        <v>3.5</v>
      </c>
    </row>
  </sheetData>
  <conditionalFormatting sqref="H2:H14">
    <cfRule type="notContainsBlanks" dxfId="49" priority="1">
      <formula>LEN(TRIM(H2))&gt;0</formula>
    </cfRule>
  </conditionalFormatting>
  <dataValidations count="1">
    <dataValidation type="list" allowBlank="1" sqref="F2:G14" xr:uid="{D45037F7-0B89-4020-B3F8-89202EEB6818}">
      <formula1>#REF!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6B7CC-1C2B-4DBE-B8E8-26D1B7D9FB26}">
  <dimension ref="A1:H10"/>
  <sheetViews>
    <sheetView workbookViewId="0">
      <selection activeCell="C13" sqref="C13"/>
    </sheetView>
  </sheetViews>
  <sheetFormatPr defaultRowHeight="14.5"/>
  <cols>
    <col min="3" max="3" width="41.26953125" bestFit="1" customWidth="1"/>
    <col min="4" max="4" width="27.7265625" bestFit="1" customWidth="1"/>
    <col min="5" max="5" width="23.26953125" bestFit="1" customWidth="1"/>
    <col min="6" max="6" width="8.453125" bestFit="1" customWidth="1"/>
    <col min="7" max="7" width="28.7265625" bestFit="1" customWidth="1"/>
  </cols>
  <sheetData>
    <row r="1" spans="1:8" ht="52">
      <c r="A1" s="7" t="s">
        <v>71</v>
      </c>
      <c r="B1" s="7" t="s">
        <v>72</v>
      </c>
      <c r="C1" s="7" t="s">
        <v>73</v>
      </c>
      <c r="D1" s="7" t="s">
        <v>74</v>
      </c>
      <c r="E1" s="7" t="s">
        <v>75</v>
      </c>
      <c r="F1" s="7" t="s">
        <v>76</v>
      </c>
      <c r="G1" s="7" t="s">
        <v>0</v>
      </c>
      <c r="H1" s="8" t="s">
        <v>96</v>
      </c>
    </row>
    <row r="2" spans="1:8">
      <c r="A2" s="11">
        <v>13</v>
      </c>
      <c r="B2" s="12" t="s">
        <v>114</v>
      </c>
      <c r="C2" s="13" t="s">
        <v>149</v>
      </c>
      <c r="D2" s="12" t="s">
        <v>150</v>
      </c>
      <c r="E2" s="12" t="s">
        <v>151</v>
      </c>
      <c r="F2" s="12" t="s">
        <v>3</v>
      </c>
      <c r="G2" s="14" t="s">
        <v>4</v>
      </c>
      <c r="H2" s="14">
        <v>1</v>
      </c>
    </row>
    <row r="3" spans="1:8">
      <c r="A3" s="11">
        <v>55</v>
      </c>
      <c r="B3" s="12" t="s">
        <v>114</v>
      </c>
      <c r="C3" s="13" t="s">
        <v>258</v>
      </c>
      <c r="D3" s="12" t="s">
        <v>259</v>
      </c>
      <c r="E3" s="12"/>
      <c r="F3" s="12" t="s">
        <v>3</v>
      </c>
      <c r="G3" s="14" t="s">
        <v>23</v>
      </c>
      <c r="H3" s="14">
        <v>1</v>
      </c>
    </row>
    <row r="4" spans="1:8">
      <c r="A4" s="11">
        <v>297</v>
      </c>
      <c r="B4" s="12" t="s">
        <v>114</v>
      </c>
      <c r="C4" s="13" t="s">
        <v>764</v>
      </c>
      <c r="D4" s="12" t="s">
        <v>765</v>
      </c>
      <c r="E4" s="12" t="s">
        <v>766</v>
      </c>
      <c r="F4" s="12" t="s">
        <v>3</v>
      </c>
      <c r="G4" s="36" t="s">
        <v>57</v>
      </c>
      <c r="H4" s="36">
        <v>4</v>
      </c>
    </row>
    <row r="5" spans="1:8">
      <c r="A5" s="11"/>
      <c r="B5" s="12" t="s">
        <v>114</v>
      </c>
      <c r="C5" s="22" t="s">
        <v>777</v>
      </c>
      <c r="D5" s="12" t="s">
        <v>778</v>
      </c>
      <c r="E5" s="22"/>
      <c r="F5" s="12" t="s">
        <v>3</v>
      </c>
      <c r="G5" s="36" t="s">
        <v>39</v>
      </c>
      <c r="H5" s="41">
        <v>6</v>
      </c>
    </row>
    <row r="6" spans="1:8">
      <c r="A6" s="11">
        <v>398</v>
      </c>
      <c r="B6" s="12" t="s">
        <v>114</v>
      </c>
      <c r="C6" s="13" t="s">
        <v>949</v>
      </c>
      <c r="D6" s="12" t="s">
        <v>950</v>
      </c>
      <c r="E6" s="12"/>
      <c r="F6" s="12" t="s">
        <v>13</v>
      </c>
      <c r="G6" s="14" t="s">
        <v>40</v>
      </c>
      <c r="H6" s="14">
        <v>1</v>
      </c>
    </row>
    <row r="7" spans="1:8">
      <c r="A7" s="15">
        <v>415</v>
      </c>
      <c r="B7" s="16" t="s">
        <v>114</v>
      </c>
      <c r="C7" s="17" t="s">
        <v>978</v>
      </c>
      <c r="D7" s="16" t="s">
        <v>979</v>
      </c>
      <c r="E7" s="16"/>
      <c r="F7" s="40" t="s">
        <v>3</v>
      </c>
      <c r="G7" s="40" t="s">
        <v>37</v>
      </c>
      <c r="H7" s="40">
        <v>1</v>
      </c>
    </row>
    <row r="8" spans="1:8">
      <c r="A8" s="11">
        <v>416</v>
      </c>
      <c r="B8" s="12" t="s">
        <v>114</v>
      </c>
      <c r="C8" s="13" t="s">
        <v>980</v>
      </c>
      <c r="D8" s="12" t="s">
        <v>981</v>
      </c>
      <c r="E8" s="12"/>
      <c r="F8" s="19" t="s">
        <v>3</v>
      </c>
      <c r="G8" s="19" t="s">
        <v>37</v>
      </c>
      <c r="H8" s="19">
        <v>1</v>
      </c>
    </row>
    <row r="9" spans="1:8">
      <c r="A9" s="15">
        <v>437</v>
      </c>
      <c r="B9" s="16" t="s">
        <v>114</v>
      </c>
      <c r="C9" s="17" t="s">
        <v>1020</v>
      </c>
      <c r="D9" s="16" t="s">
        <v>1021</v>
      </c>
      <c r="E9" s="16"/>
      <c r="F9" s="40" t="s">
        <v>13</v>
      </c>
      <c r="G9" s="40" t="s">
        <v>60</v>
      </c>
      <c r="H9" s="40">
        <v>2</v>
      </c>
    </row>
    <row r="10" spans="1:8">
      <c r="A10" s="11">
        <v>438</v>
      </c>
      <c r="B10" s="12" t="s">
        <v>114</v>
      </c>
      <c r="C10" s="13" t="s">
        <v>1022</v>
      </c>
      <c r="D10" s="12" t="s">
        <v>1023</v>
      </c>
      <c r="E10" s="12"/>
      <c r="F10" s="19" t="s">
        <v>18</v>
      </c>
      <c r="G10" s="19" t="s">
        <v>46</v>
      </c>
      <c r="H10" s="19">
        <v>3</v>
      </c>
    </row>
  </sheetData>
  <conditionalFormatting sqref="H2:H10">
    <cfRule type="notContainsBlanks" dxfId="48" priority="1">
      <formula>LEN(TRIM(H2))&gt;0</formula>
    </cfRule>
  </conditionalFormatting>
  <dataValidations count="1">
    <dataValidation type="list" allowBlank="1" sqref="F2:G10" xr:uid="{9060F0FC-0216-455B-B90D-96B8DFBB7118}">
      <formula1>#REF!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38913-3114-4B76-948A-1D1D64DC1CFB}">
  <dimension ref="A1:H10"/>
  <sheetViews>
    <sheetView workbookViewId="0">
      <selection activeCell="C13" sqref="C13"/>
    </sheetView>
  </sheetViews>
  <sheetFormatPr defaultRowHeight="14.5"/>
  <cols>
    <col min="1" max="1" width="5.81640625" bestFit="1" customWidth="1"/>
    <col min="3" max="3" width="41.26953125" bestFit="1" customWidth="1"/>
    <col min="4" max="4" width="27.7265625" bestFit="1" customWidth="1"/>
    <col min="5" max="5" width="21.1796875" bestFit="1" customWidth="1"/>
    <col min="6" max="6" width="8.453125" bestFit="1" customWidth="1"/>
    <col min="7" max="7" width="28.7265625" bestFit="1" customWidth="1"/>
  </cols>
  <sheetData>
    <row r="1" spans="1:8" ht="52">
      <c r="A1" s="7" t="s">
        <v>71</v>
      </c>
      <c r="B1" s="7" t="s">
        <v>72</v>
      </c>
      <c r="C1" s="7" t="s">
        <v>73</v>
      </c>
      <c r="D1" s="7" t="s">
        <v>74</v>
      </c>
      <c r="E1" s="7" t="s">
        <v>75</v>
      </c>
      <c r="F1" s="7" t="s">
        <v>76</v>
      </c>
      <c r="G1" s="7" t="s">
        <v>0</v>
      </c>
      <c r="H1" s="8" t="s">
        <v>95</v>
      </c>
    </row>
    <row r="2" spans="1:8">
      <c r="A2" s="11">
        <v>13</v>
      </c>
      <c r="B2" s="12" t="s">
        <v>114</v>
      </c>
      <c r="C2" s="13" t="s">
        <v>149</v>
      </c>
      <c r="D2" s="12" t="s">
        <v>150</v>
      </c>
      <c r="E2" s="12" t="s">
        <v>151</v>
      </c>
      <c r="F2" s="12" t="s">
        <v>3</v>
      </c>
      <c r="G2" s="14" t="s">
        <v>4</v>
      </c>
      <c r="H2" s="14">
        <v>1</v>
      </c>
    </row>
    <row r="3" spans="1:8">
      <c r="A3" s="15">
        <v>56</v>
      </c>
      <c r="B3" s="16" t="s">
        <v>114</v>
      </c>
      <c r="C3" s="17" t="s">
        <v>260</v>
      </c>
      <c r="D3" s="16" t="s">
        <v>261</v>
      </c>
      <c r="E3" s="16"/>
      <c r="F3" s="16" t="s">
        <v>3</v>
      </c>
      <c r="G3" s="18" t="s">
        <v>23</v>
      </c>
      <c r="H3" s="18">
        <v>1</v>
      </c>
    </row>
    <row r="4" spans="1:8">
      <c r="A4" s="15">
        <v>296</v>
      </c>
      <c r="B4" s="16" t="s">
        <v>114</v>
      </c>
      <c r="C4" s="17" t="s">
        <v>761</v>
      </c>
      <c r="D4" s="16" t="s">
        <v>762</v>
      </c>
      <c r="E4" s="16" t="s">
        <v>763</v>
      </c>
      <c r="F4" s="16" t="s">
        <v>3</v>
      </c>
      <c r="G4" s="37" t="s">
        <v>57</v>
      </c>
      <c r="H4" s="37">
        <v>6</v>
      </c>
    </row>
    <row r="5" spans="1:8">
      <c r="A5" s="11"/>
      <c r="B5" s="12" t="s">
        <v>114</v>
      </c>
      <c r="C5" s="22" t="s">
        <v>777</v>
      </c>
      <c r="D5" s="12" t="s">
        <v>778</v>
      </c>
      <c r="E5" s="22"/>
      <c r="F5" s="12" t="s">
        <v>3</v>
      </c>
      <c r="G5" s="36" t="s">
        <v>39</v>
      </c>
      <c r="H5" s="41">
        <v>6</v>
      </c>
    </row>
    <row r="6" spans="1:8">
      <c r="A6" s="11">
        <v>398</v>
      </c>
      <c r="B6" s="12" t="s">
        <v>114</v>
      </c>
      <c r="C6" s="13" t="s">
        <v>949</v>
      </c>
      <c r="D6" s="12" t="s">
        <v>950</v>
      </c>
      <c r="E6" s="12"/>
      <c r="F6" s="12" t="s">
        <v>13</v>
      </c>
      <c r="G6" s="14" t="s">
        <v>40</v>
      </c>
      <c r="H6" s="14">
        <v>1</v>
      </c>
    </row>
    <row r="7" spans="1:8">
      <c r="A7" s="15">
        <v>415</v>
      </c>
      <c r="B7" s="16" t="s">
        <v>114</v>
      </c>
      <c r="C7" s="17" t="s">
        <v>978</v>
      </c>
      <c r="D7" s="16" t="s">
        <v>979</v>
      </c>
      <c r="E7" s="16"/>
      <c r="F7" s="40" t="s">
        <v>3</v>
      </c>
      <c r="G7" s="40" t="s">
        <v>37</v>
      </c>
      <c r="H7" s="40">
        <v>1</v>
      </c>
    </row>
    <row r="8" spans="1:8">
      <c r="A8" s="11">
        <v>416</v>
      </c>
      <c r="B8" s="12" t="s">
        <v>114</v>
      </c>
      <c r="C8" s="13" t="s">
        <v>980</v>
      </c>
      <c r="D8" s="12" t="s">
        <v>981</v>
      </c>
      <c r="E8" s="12"/>
      <c r="F8" s="19" t="s">
        <v>3</v>
      </c>
      <c r="G8" s="19" t="s">
        <v>37</v>
      </c>
      <c r="H8" s="19">
        <v>1</v>
      </c>
    </row>
    <row r="9" spans="1:8">
      <c r="A9" s="15">
        <v>437</v>
      </c>
      <c r="B9" s="16" t="s">
        <v>114</v>
      </c>
      <c r="C9" s="17" t="s">
        <v>1020</v>
      </c>
      <c r="D9" s="16" t="s">
        <v>1021</v>
      </c>
      <c r="E9" s="16"/>
      <c r="F9" s="40" t="s">
        <v>13</v>
      </c>
      <c r="G9" s="40" t="s">
        <v>60</v>
      </c>
      <c r="H9" s="40">
        <v>2</v>
      </c>
    </row>
    <row r="10" spans="1:8">
      <c r="A10" s="11">
        <v>438</v>
      </c>
      <c r="B10" s="12" t="s">
        <v>114</v>
      </c>
      <c r="C10" s="13" t="s">
        <v>1022</v>
      </c>
      <c r="D10" s="12" t="s">
        <v>1023</v>
      </c>
      <c r="E10" s="12"/>
      <c r="F10" s="19" t="s">
        <v>18</v>
      </c>
      <c r="G10" s="19" t="s">
        <v>46</v>
      </c>
      <c r="H10" s="19">
        <v>3</v>
      </c>
    </row>
  </sheetData>
  <conditionalFormatting sqref="H2:H10">
    <cfRule type="notContainsBlanks" dxfId="47" priority="1">
      <formula>LEN(TRIM(H2))&gt;0</formula>
    </cfRule>
  </conditionalFormatting>
  <dataValidations count="1">
    <dataValidation type="list" allowBlank="1" sqref="F2:G10" xr:uid="{D0E7A63D-29DA-4A3D-B7DE-6D713AE75A0D}">
      <formula1>#REF!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B0289-D1DF-4C5F-AEF5-937B26C2B444}">
  <dimension ref="A1:H4"/>
  <sheetViews>
    <sheetView workbookViewId="0">
      <selection activeCell="C11" sqref="C11"/>
    </sheetView>
  </sheetViews>
  <sheetFormatPr defaultRowHeight="14.5"/>
  <cols>
    <col min="3" max="3" width="50.7265625" bestFit="1" customWidth="1"/>
    <col min="4" max="4" width="30.1796875" bestFit="1" customWidth="1"/>
    <col min="5" max="5" width="8.7265625" bestFit="1" customWidth="1"/>
    <col min="6" max="6" width="8.453125" bestFit="1" customWidth="1"/>
    <col min="7" max="7" width="26.81640625" bestFit="1" customWidth="1"/>
  </cols>
  <sheetData>
    <row r="1" spans="1:8" ht="39">
      <c r="A1" s="7" t="s">
        <v>71</v>
      </c>
      <c r="B1" s="7" t="s">
        <v>72</v>
      </c>
      <c r="C1" s="7" t="s">
        <v>73</v>
      </c>
      <c r="D1" s="7" t="s">
        <v>74</v>
      </c>
      <c r="E1" s="7" t="s">
        <v>75</v>
      </c>
      <c r="F1" s="7" t="s">
        <v>76</v>
      </c>
      <c r="G1" s="7" t="s">
        <v>0</v>
      </c>
      <c r="H1" s="8" t="s">
        <v>94</v>
      </c>
    </row>
    <row r="2" spans="1:8">
      <c r="A2" s="15">
        <v>302</v>
      </c>
      <c r="B2" s="28" t="s">
        <v>114</v>
      </c>
      <c r="C2" s="38" t="s">
        <v>775</v>
      </c>
      <c r="D2" s="28" t="s">
        <v>776</v>
      </c>
      <c r="E2" s="28"/>
      <c r="F2" s="40" t="s">
        <v>3</v>
      </c>
      <c r="G2" s="37" t="s">
        <v>39</v>
      </c>
      <c r="H2" s="37">
        <v>7</v>
      </c>
    </row>
    <row r="3" spans="1:8">
      <c r="A3" s="15">
        <v>348</v>
      </c>
      <c r="B3" s="28" t="s">
        <v>114</v>
      </c>
      <c r="C3" s="38" t="s">
        <v>862</v>
      </c>
      <c r="D3" s="28" t="s">
        <v>863</v>
      </c>
      <c r="E3" s="28"/>
      <c r="F3" s="40" t="s">
        <v>3</v>
      </c>
      <c r="G3" s="37" t="s">
        <v>39</v>
      </c>
      <c r="H3" s="37">
        <v>6</v>
      </c>
    </row>
    <row r="4" spans="1:8">
      <c r="A4" s="11">
        <v>548</v>
      </c>
      <c r="B4" s="12" t="s">
        <v>114</v>
      </c>
      <c r="C4" s="13" t="s">
        <v>1200</v>
      </c>
      <c r="D4" s="12" t="s">
        <v>1201</v>
      </c>
      <c r="E4" s="12"/>
      <c r="F4" s="19" t="s">
        <v>8</v>
      </c>
      <c r="G4" s="19" t="s">
        <v>32</v>
      </c>
      <c r="H4" s="19">
        <v>1</v>
      </c>
    </row>
  </sheetData>
  <conditionalFormatting sqref="H2:H4">
    <cfRule type="notContainsBlanks" dxfId="46" priority="1">
      <formula>LEN(TRIM(H2))&gt;0</formula>
    </cfRule>
  </conditionalFormatting>
  <dataValidations count="1">
    <dataValidation type="list" allowBlank="1" sqref="F2:G4" xr:uid="{7214D31F-2CA0-4313-90C8-73AFFAA929E1}">
      <formula1>#REF!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352D2-BC79-4F49-9D49-4597C09DCDA5}">
  <dimension ref="A1:H12"/>
  <sheetViews>
    <sheetView workbookViewId="0">
      <selection activeCell="C16" sqref="C16"/>
    </sheetView>
  </sheetViews>
  <sheetFormatPr defaultRowHeight="14.5"/>
  <cols>
    <col min="1" max="1" width="5.81640625" bestFit="1" customWidth="1"/>
    <col min="3" max="3" width="51.81640625" bestFit="1" customWidth="1"/>
    <col min="4" max="4" width="34.7265625" bestFit="1" customWidth="1"/>
    <col min="5" max="5" width="13.54296875" bestFit="1" customWidth="1"/>
    <col min="6" max="6" width="8.453125" bestFit="1" customWidth="1"/>
    <col min="7" max="7" width="33" bestFit="1" customWidth="1"/>
  </cols>
  <sheetData>
    <row r="1" spans="1:8" ht="39">
      <c r="A1" s="7" t="s">
        <v>71</v>
      </c>
      <c r="B1" s="7" t="s">
        <v>72</v>
      </c>
      <c r="C1" s="7" t="s">
        <v>73</v>
      </c>
      <c r="D1" s="7" t="s">
        <v>74</v>
      </c>
      <c r="E1" s="7" t="s">
        <v>75</v>
      </c>
      <c r="F1" s="7" t="s">
        <v>76</v>
      </c>
      <c r="G1" s="7" t="s">
        <v>0</v>
      </c>
      <c r="H1" s="8" t="s">
        <v>93</v>
      </c>
    </row>
    <row r="2" spans="1:8">
      <c r="A2" s="11">
        <v>13</v>
      </c>
      <c r="B2" s="12" t="s">
        <v>114</v>
      </c>
      <c r="C2" s="13" t="s">
        <v>149</v>
      </c>
      <c r="D2" s="12" t="s">
        <v>150</v>
      </c>
      <c r="E2" s="12" t="s">
        <v>151</v>
      </c>
      <c r="F2" s="12" t="s">
        <v>3</v>
      </c>
      <c r="G2" s="14" t="s">
        <v>4</v>
      </c>
      <c r="H2" s="14">
        <v>2</v>
      </c>
    </row>
    <row r="3" spans="1:8">
      <c r="A3" s="11">
        <v>28</v>
      </c>
      <c r="B3" s="12" t="s">
        <v>114</v>
      </c>
      <c r="C3" s="13" t="s">
        <v>189</v>
      </c>
      <c r="D3" s="12" t="s">
        <v>190</v>
      </c>
      <c r="E3" s="12" t="s">
        <v>191</v>
      </c>
      <c r="F3" s="12" t="s">
        <v>8</v>
      </c>
      <c r="G3" s="14" t="s">
        <v>4</v>
      </c>
      <c r="H3" s="18">
        <v>0.12</v>
      </c>
    </row>
    <row r="4" spans="1:8">
      <c r="A4" s="11">
        <v>30</v>
      </c>
      <c r="B4" s="12" t="s">
        <v>114</v>
      </c>
      <c r="C4" s="13" t="s">
        <v>194</v>
      </c>
      <c r="D4" s="12" t="s">
        <v>195</v>
      </c>
      <c r="E4" s="12" t="s">
        <v>196</v>
      </c>
      <c r="F4" s="12" t="s">
        <v>8</v>
      </c>
      <c r="G4" s="14" t="s">
        <v>4</v>
      </c>
      <c r="H4" s="18">
        <v>0.1</v>
      </c>
    </row>
    <row r="5" spans="1:8">
      <c r="A5" s="11">
        <v>81</v>
      </c>
      <c r="B5" s="12" t="s">
        <v>114</v>
      </c>
      <c r="C5" s="13" t="s">
        <v>312</v>
      </c>
      <c r="D5" s="12" t="s">
        <v>313</v>
      </c>
      <c r="E5" s="12"/>
      <c r="F5" s="12" t="s">
        <v>314</v>
      </c>
      <c r="G5" s="14" t="s">
        <v>9</v>
      </c>
      <c r="H5" s="14">
        <v>3</v>
      </c>
    </row>
    <row r="6" spans="1:8">
      <c r="A6" s="11">
        <v>161</v>
      </c>
      <c r="B6" s="12" t="s">
        <v>114</v>
      </c>
      <c r="C6" s="13" t="s">
        <v>496</v>
      </c>
      <c r="D6" s="12" t="s">
        <v>497</v>
      </c>
      <c r="E6" s="12"/>
      <c r="F6" s="12" t="s">
        <v>3</v>
      </c>
      <c r="G6" s="14" t="s">
        <v>35</v>
      </c>
      <c r="H6" s="14">
        <v>1</v>
      </c>
    </row>
    <row r="7" spans="1:8">
      <c r="A7" s="11">
        <v>193</v>
      </c>
      <c r="B7" s="12" t="s">
        <v>114</v>
      </c>
      <c r="C7" s="13" t="s">
        <v>548</v>
      </c>
      <c r="D7" s="12" t="s">
        <v>549</v>
      </c>
      <c r="E7" s="12"/>
      <c r="F7" s="12" t="s">
        <v>3</v>
      </c>
      <c r="G7" s="14" t="s">
        <v>35</v>
      </c>
      <c r="H7" s="14">
        <v>10</v>
      </c>
    </row>
    <row r="8" spans="1:8">
      <c r="A8" s="11">
        <v>195</v>
      </c>
      <c r="B8" s="12" t="s">
        <v>114</v>
      </c>
      <c r="C8" s="13" t="s">
        <v>552</v>
      </c>
      <c r="D8" s="12" t="s">
        <v>553</v>
      </c>
      <c r="E8" s="12"/>
      <c r="F8" s="12" t="s">
        <v>3</v>
      </c>
      <c r="G8" s="14" t="s">
        <v>35</v>
      </c>
      <c r="H8" s="14">
        <v>1</v>
      </c>
    </row>
    <row r="9" spans="1:8">
      <c r="A9" s="15">
        <v>198</v>
      </c>
      <c r="B9" s="16" t="s">
        <v>114</v>
      </c>
      <c r="C9" s="17" t="s">
        <v>558</v>
      </c>
      <c r="D9" s="16" t="s">
        <v>559</v>
      </c>
      <c r="E9" s="16"/>
      <c r="F9" s="16" t="s">
        <v>3</v>
      </c>
      <c r="G9" s="18" t="s">
        <v>35</v>
      </c>
      <c r="H9" s="18">
        <v>1</v>
      </c>
    </row>
    <row r="10" spans="1:8">
      <c r="A10" s="15">
        <v>423</v>
      </c>
      <c r="B10" s="16" t="s">
        <v>114</v>
      </c>
      <c r="C10" s="17" t="s">
        <v>992</v>
      </c>
      <c r="D10" s="16" t="s">
        <v>993</v>
      </c>
      <c r="E10" s="16"/>
      <c r="F10" s="40" t="s">
        <v>22</v>
      </c>
      <c r="G10" s="40" t="s">
        <v>45</v>
      </c>
      <c r="H10" s="40">
        <v>5</v>
      </c>
    </row>
    <row r="11" spans="1:8">
      <c r="A11" s="15">
        <v>427</v>
      </c>
      <c r="B11" s="16" t="s">
        <v>114</v>
      </c>
      <c r="C11" s="17" t="s">
        <v>1000</v>
      </c>
      <c r="D11" s="16" t="s">
        <v>1001</v>
      </c>
      <c r="E11" s="16"/>
      <c r="F11" s="40" t="s">
        <v>22</v>
      </c>
      <c r="G11" s="40" t="s">
        <v>45</v>
      </c>
      <c r="H11" s="40">
        <v>12</v>
      </c>
    </row>
    <row r="12" spans="1:8">
      <c r="A12" s="11">
        <v>428</v>
      </c>
      <c r="B12" s="12" t="s">
        <v>114</v>
      </c>
      <c r="C12" s="13" t="s">
        <v>1002</v>
      </c>
      <c r="D12" s="12" t="s">
        <v>1003</v>
      </c>
      <c r="E12" s="12"/>
      <c r="F12" s="19" t="s">
        <v>8</v>
      </c>
      <c r="G12" s="19" t="s">
        <v>4</v>
      </c>
      <c r="H12" s="19">
        <v>6</v>
      </c>
    </row>
  </sheetData>
  <conditionalFormatting sqref="H2:H12">
    <cfRule type="notContainsBlanks" dxfId="45" priority="1">
      <formula>LEN(TRIM(H2))&gt;0</formula>
    </cfRule>
  </conditionalFormatting>
  <dataValidations count="1">
    <dataValidation type="list" allowBlank="1" sqref="F2:G12" xr:uid="{21485A44-4494-43B2-B345-F2ED2D5926FC}">
      <formula1>#REF!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3B87-8D9A-4DCE-BCA3-E14BBD8B6AF9}">
  <dimension ref="A1:H19"/>
  <sheetViews>
    <sheetView workbookViewId="0">
      <selection activeCell="C7" sqref="C7"/>
    </sheetView>
  </sheetViews>
  <sheetFormatPr defaultRowHeight="14.5"/>
  <cols>
    <col min="1" max="1" width="5.81640625" bestFit="1" customWidth="1"/>
    <col min="2" max="2" width="9.1796875" bestFit="1" customWidth="1"/>
    <col min="3" max="3" width="51.81640625" bestFit="1" customWidth="1"/>
    <col min="4" max="4" width="34.7265625" bestFit="1" customWidth="1"/>
    <col min="5" max="5" width="14.26953125" bestFit="1" customWidth="1"/>
    <col min="6" max="6" width="8.453125" bestFit="1" customWidth="1"/>
    <col min="7" max="7" width="33" bestFit="1" customWidth="1"/>
  </cols>
  <sheetData>
    <row r="1" spans="1:8" ht="39">
      <c r="A1" s="7" t="s">
        <v>71</v>
      </c>
      <c r="B1" s="7" t="s">
        <v>72</v>
      </c>
      <c r="C1" s="7" t="s">
        <v>73</v>
      </c>
      <c r="D1" s="7" t="s">
        <v>74</v>
      </c>
      <c r="E1" s="7" t="s">
        <v>75</v>
      </c>
      <c r="F1" s="7" t="s">
        <v>76</v>
      </c>
      <c r="G1" s="7" t="s">
        <v>0</v>
      </c>
      <c r="H1" s="8" t="s">
        <v>92</v>
      </c>
    </row>
    <row r="2" spans="1:8">
      <c r="A2" s="11">
        <v>81</v>
      </c>
      <c r="B2" s="12" t="s">
        <v>114</v>
      </c>
      <c r="C2" s="13" t="s">
        <v>312</v>
      </c>
      <c r="D2" s="12" t="s">
        <v>313</v>
      </c>
      <c r="E2" s="12"/>
      <c r="F2" s="12" t="s">
        <v>314</v>
      </c>
      <c r="G2" s="14" t="s">
        <v>9</v>
      </c>
      <c r="H2" s="14">
        <v>5</v>
      </c>
    </row>
    <row r="3" spans="1:8">
      <c r="A3" s="15">
        <v>162</v>
      </c>
      <c r="B3" s="16" t="s">
        <v>114</v>
      </c>
      <c r="C3" s="17" t="s">
        <v>498</v>
      </c>
      <c r="D3" s="16" t="s">
        <v>499</v>
      </c>
      <c r="E3" s="16"/>
      <c r="F3" s="16" t="s">
        <v>3</v>
      </c>
      <c r="G3" s="18" t="s">
        <v>35</v>
      </c>
      <c r="H3" s="18">
        <v>1</v>
      </c>
    </row>
    <row r="4" spans="1:8">
      <c r="A4" s="15">
        <v>182</v>
      </c>
      <c r="B4" s="16" t="s">
        <v>114</v>
      </c>
      <c r="C4" s="17" t="s">
        <v>526</v>
      </c>
      <c r="D4" s="16" t="s">
        <v>527</v>
      </c>
      <c r="E4" s="16"/>
      <c r="F4" s="16" t="s">
        <v>3</v>
      </c>
      <c r="G4" s="18" t="s">
        <v>35</v>
      </c>
      <c r="H4" s="18">
        <v>1</v>
      </c>
    </row>
    <row r="5" spans="1:8">
      <c r="A5" s="11">
        <v>183</v>
      </c>
      <c r="B5" s="12" t="s">
        <v>114</v>
      </c>
      <c r="C5" s="13" t="s">
        <v>528</v>
      </c>
      <c r="D5" s="12" t="s">
        <v>529</v>
      </c>
      <c r="E5" s="12"/>
      <c r="F5" s="12" t="s">
        <v>3</v>
      </c>
      <c r="G5" s="14" t="s">
        <v>35</v>
      </c>
      <c r="H5" s="14">
        <v>1</v>
      </c>
    </row>
    <row r="6" spans="1:8">
      <c r="A6" s="15">
        <v>184</v>
      </c>
      <c r="B6" s="16" t="s">
        <v>114</v>
      </c>
      <c r="C6" s="17" t="s">
        <v>530</v>
      </c>
      <c r="D6" s="16" t="s">
        <v>531</v>
      </c>
      <c r="E6" s="16"/>
      <c r="F6" s="16" t="s">
        <v>3</v>
      </c>
      <c r="G6" s="18" t="s">
        <v>35</v>
      </c>
      <c r="H6" s="18">
        <v>1</v>
      </c>
    </row>
    <row r="7" spans="1:8">
      <c r="A7" s="11">
        <v>185</v>
      </c>
      <c r="B7" s="12" t="s">
        <v>114</v>
      </c>
      <c r="C7" s="13" t="s">
        <v>532</v>
      </c>
      <c r="D7" s="12" t="s">
        <v>533</v>
      </c>
      <c r="E7" s="12"/>
      <c r="F7" s="12" t="s">
        <v>3</v>
      </c>
      <c r="G7" s="14" t="s">
        <v>35</v>
      </c>
      <c r="H7" s="14">
        <v>1</v>
      </c>
    </row>
    <row r="8" spans="1:8">
      <c r="A8" s="15">
        <v>186</v>
      </c>
      <c r="B8" s="16" t="s">
        <v>114</v>
      </c>
      <c r="C8" s="17" t="s">
        <v>534</v>
      </c>
      <c r="D8" s="16" t="s">
        <v>535</v>
      </c>
      <c r="E8" s="16"/>
      <c r="F8" s="16" t="s">
        <v>3</v>
      </c>
      <c r="G8" s="18" t="s">
        <v>35</v>
      </c>
      <c r="H8" s="18">
        <v>1</v>
      </c>
    </row>
    <row r="9" spans="1:8">
      <c r="A9" s="11">
        <v>187</v>
      </c>
      <c r="B9" s="12" t="s">
        <v>114</v>
      </c>
      <c r="C9" s="13" t="s">
        <v>536</v>
      </c>
      <c r="D9" s="12" t="s">
        <v>537</v>
      </c>
      <c r="E9" s="12"/>
      <c r="F9" s="12" t="s">
        <v>3</v>
      </c>
      <c r="G9" s="14" t="s">
        <v>35</v>
      </c>
      <c r="H9" s="14">
        <v>1</v>
      </c>
    </row>
    <row r="10" spans="1:8">
      <c r="A10" s="15">
        <v>188</v>
      </c>
      <c r="B10" s="16" t="s">
        <v>114</v>
      </c>
      <c r="C10" s="17" t="s">
        <v>538</v>
      </c>
      <c r="D10" s="16" t="s">
        <v>539</v>
      </c>
      <c r="E10" s="16"/>
      <c r="F10" s="16" t="s">
        <v>3</v>
      </c>
      <c r="G10" s="18" t="s">
        <v>35</v>
      </c>
      <c r="H10" s="18">
        <v>1</v>
      </c>
    </row>
    <row r="11" spans="1:8">
      <c r="A11" s="15">
        <v>190</v>
      </c>
      <c r="B11" s="16" t="s">
        <v>114</v>
      </c>
      <c r="C11" s="17" t="s">
        <v>542</v>
      </c>
      <c r="D11" s="16" t="s">
        <v>543</v>
      </c>
      <c r="E11" s="16"/>
      <c r="F11" s="16" t="s">
        <v>3</v>
      </c>
      <c r="G11" s="18" t="s">
        <v>35</v>
      </c>
      <c r="H11" s="18">
        <v>1</v>
      </c>
    </row>
    <row r="12" spans="1:8">
      <c r="A12" s="15">
        <v>192</v>
      </c>
      <c r="B12" s="16" t="s">
        <v>114</v>
      </c>
      <c r="C12" s="17" t="s">
        <v>546</v>
      </c>
      <c r="D12" s="16" t="s">
        <v>547</v>
      </c>
      <c r="E12" s="16"/>
      <c r="F12" s="16" t="s">
        <v>3</v>
      </c>
      <c r="G12" s="18" t="s">
        <v>35</v>
      </c>
      <c r="H12" s="18">
        <v>1</v>
      </c>
    </row>
    <row r="13" spans="1:8">
      <c r="A13" s="11">
        <v>193</v>
      </c>
      <c r="B13" s="12" t="s">
        <v>114</v>
      </c>
      <c r="C13" s="13" t="s">
        <v>548</v>
      </c>
      <c r="D13" s="12" t="s">
        <v>549</v>
      </c>
      <c r="E13" s="12"/>
      <c r="F13" s="12" t="s">
        <v>3</v>
      </c>
      <c r="G13" s="14" t="s">
        <v>35</v>
      </c>
      <c r="H13" s="14">
        <v>1</v>
      </c>
    </row>
    <row r="14" spans="1:8">
      <c r="A14" s="15">
        <v>194</v>
      </c>
      <c r="B14" s="16" t="s">
        <v>114</v>
      </c>
      <c r="C14" s="17" t="s">
        <v>550</v>
      </c>
      <c r="D14" s="16" t="s">
        <v>551</v>
      </c>
      <c r="E14" s="16"/>
      <c r="F14" s="16" t="s">
        <v>3</v>
      </c>
      <c r="G14" s="18" t="s">
        <v>35</v>
      </c>
      <c r="H14" s="18">
        <v>1</v>
      </c>
    </row>
    <row r="15" spans="1:8">
      <c r="A15" s="11">
        <v>195</v>
      </c>
      <c r="B15" s="12" t="s">
        <v>114</v>
      </c>
      <c r="C15" s="13" t="s">
        <v>552</v>
      </c>
      <c r="D15" s="12" t="s">
        <v>553</v>
      </c>
      <c r="E15" s="12"/>
      <c r="F15" s="12" t="s">
        <v>3</v>
      </c>
      <c r="G15" s="14" t="s">
        <v>35</v>
      </c>
      <c r="H15" s="14">
        <v>1</v>
      </c>
    </row>
    <row r="16" spans="1:8">
      <c r="A16" s="11">
        <v>197</v>
      </c>
      <c r="B16" s="12" t="s">
        <v>114</v>
      </c>
      <c r="C16" s="13" t="s">
        <v>556</v>
      </c>
      <c r="D16" s="12" t="s">
        <v>557</v>
      </c>
      <c r="E16" s="12"/>
      <c r="F16" s="12" t="s">
        <v>3</v>
      </c>
      <c r="G16" s="14" t="s">
        <v>35</v>
      </c>
      <c r="H16" s="14">
        <v>2</v>
      </c>
    </row>
    <row r="17" spans="1:8">
      <c r="A17" s="15">
        <v>198</v>
      </c>
      <c r="B17" s="16" t="s">
        <v>114</v>
      </c>
      <c r="C17" s="17" t="s">
        <v>558</v>
      </c>
      <c r="D17" s="16" t="s">
        <v>559</v>
      </c>
      <c r="E17" s="16"/>
      <c r="F17" s="16" t="s">
        <v>3</v>
      </c>
      <c r="G17" s="18" t="s">
        <v>35</v>
      </c>
      <c r="H17" s="18">
        <v>1</v>
      </c>
    </row>
    <row r="18" spans="1:8">
      <c r="A18" s="11">
        <v>267</v>
      </c>
      <c r="B18" s="12" t="s">
        <v>114</v>
      </c>
      <c r="C18" s="13" t="s">
        <v>682</v>
      </c>
      <c r="D18" s="12" t="s">
        <v>683</v>
      </c>
      <c r="E18" s="12" t="s">
        <v>684</v>
      </c>
      <c r="F18" s="12" t="s">
        <v>3</v>
      </c>
      <c r="G18" s="14" t="s">
        <v>28</v>
      </c>
      <c r="H18" s="14">
        <v>1</v>
      </c>
    </row>
    <row r="19" spans="1:8">
      <c r="A19" s="15">
        <v>427</v>
      </c>
      <c r="B19" s="16" t="s">
        <v>114</v>
      </c>
      <c r="C19" s="17" t="s">
        <v>1000</v>
      </c>
      <c r="D19" s="16" t="s">
        <v>1001</v>
      </c>
      <c r="E19" s="16"/>
      <c r="F19" s="40" t="s">
        <v>22</v>
      </c>
      <c r="G19" s="40" t="s">
        <v>45</v>
      </c>
      <c r="H19" s="40">
        <v>15</v>
      </c>
    </row>
  </sheetData>
  <conditionalFormatting sqref="H2:H19">
    <cfRule type="notContainsBlanks" dxfId="44" priority="1">
      <formula>LEN(TRIM(H2))&gt;0</formula>
    </cfRule>
  </conditionalFormatting>
  <dataValidations count="1">
    <dataValidation type="list" allowBlank="1" sqref="F2:G19" xr:uid="{C680E8D1-1EA3-48E6-80A4-FAE033307966}">
      <formula1>#REF!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7FDE1-A653-4680-BF28-E653447FD66D}">
  <dimension ref="A1:H6"/>
  <sheetViews>
    <sheetView workbookViewId="0">
      <selection activeCell="C10" sqref="C10"/>
    </sheetView>
  </sheetViews>
  <sheetFormatPr defaultRowHeight="14.5"/>
  <cols>
    <col min="1" max="1" width="5.81640625" bestFit="1" customWidth="1"/>
    <col min="3" max="3" width="41.453125" bestFit="1" customWidth="1"/>
    <col min="4" max="4" width="28.81640625" bestFit="1" customWidth="1"/>
    <col min="5" max="5" width="15.54296875" bestFit="1" customWidth="1"/>
    <col min="6" max="6" width="8.453125" bestFit="1" customWidth="1"/>
    <col min="7" max="7" width="8.26953125" bestFit="1" customWidth="1"/>
  </cols>
  <sheetData>
    <row r="1" spans="1:8" ht="39">
      <c r="A1" s="7" t="s">
        <v>71</v>
      </c>
      <c r="B1" s="7" t="s">
        <v>72</v>
      </c>
      <c r="C1" s="7" t="s">
        <v>73</v>
      </c>
      <c r="D1" s="7" t="s">
        <v>74</v>
      </c>
      <c r="E1" s="7" t="s">
        <v>75</v>
      </c>
      <c r="F1" s="7" t="s">
        <v>76</v>
      </c>
      <c r="G1" s="7" t="s">
        <v>0</v>
      </c>
      <c r="H1" s="8" t="s">
        <v>91</v>
      </c>
    </row>
    <row r="2" spans="1:8">
      <c r="A2" s="15">
        <v>58</v>
      </c>
      <c r="B2" s="16" t="s">
        <v>114</v>
      </c>
      <c r="C2" s="17" t="s">
        <v>264</v>
      </c>
      <c r="D2" s="16" t="s">
        <v>265</v>
      </c>
      <c r="E2" s="16"/>
      <c r="F2" s="16" t="s">
        <v>3</v>
      </c>
      <c r="G2" s="18" t="s">
        <v>23</v>
      </c>
      <c r="H2" s="18">
        <v>1</v>
      </c>
    </row>
    <row r="3" spans="1:8">
      <c r="A3" s="15">
        <v>68</v>
      </c>
      <c r="B3" s="16" t="s">
        <v>114</v>
      </c>
      <c r="C3" s="17" t="s">
        <v>283</v>
      </c>
      <c r="D3" s="16" t="s">
        <v>284</v>
      </c>
      <c r="E3" s="16"/>
      <c r="F3" s="16" t="s">
        <v>3</v>
      </c>
      <c r="G3" s="18" t="s">
        <v>19</v>
      </c>
      <c r="H3" s="18">
        <v>2</v>
      </c>
    </row>
    <row r="4" spans="1:8">
      <c r="A4" s="15">
        <v>86</v>
      </c>
      <c r="B4" s="16" t="s">
        <v>114</v>
      </c>
      <c r="C4" s="17" t="s">
        <v>326</v>
      </c>
      <c r="D4" s="16" t="s">
        <v>327</v>
      </c>
      <c r="E4" s="16" t="s">
        <v>328</v>
      </c>
      <c r="F4" s="16" t="s">
        <v>3</v>
      </c>
      <c r="G4" s="18" t="s">
        <v>16</v>
      </c>
      <c r="H4" s="18">
        <v>2</v>
      </c>
    </row>
    <row r="5" spans="1:8">
      <c r="A5" s="11">
        <v>127</v>
      </c>
      <c r="B5" s="12" t="s">
        <v>114</v>
      </c>
      <c r="C5" s="13" t="s">
        <v>424</v>
      </c>
      <c r="D5" s="12" t="s">
        <v>425</v>
      </c>
      <c r="E5" s="12" t="s">
        <v>426</v>
      </c>
      <c r="F5" s="12" t="s">
        <v>3</v>
      </c>
      <c r="G5" s="14" t="s">
        <v>9</v>
      </c>
      <c r="H5" s="14">
        <v>2</v>
      </c>
    </row>
    <row r="6" spans="1:8">
      <c r="A6" s="11">
        <v>149</v>
      </c>
      <c r="B6" s="12"/>
      <c r="C6" s="13" t="s">
        <v>473</v>
      </c>
      <c r="D6" s="12"/>
      <c r="E6" s="12"/>
      <c r="F6" s="12" t="s">
        <v>21</v>
      </c>
      <c r="G6" s="14" t="s">
        <v>9</v>
      </c>
      <c r="H6" s="14">
        <v>0.2</v>
      </c>
    </row>
  </sheetData>
  <conditionalFormatting sqref="H2:H6">
    <cfRule type="notContainsBlanks" dxfId="43" priority="1">
      <formula>LEN(TRIM(H2))&gt;0</formula>
    </cfRule>
  </conditionalFormatting>
  <dataValidations count="1">
    <dataValidation type="list" allowBlank="1" sqref="F2:G6" xr:uid="{76B126AD-7A4C-4FC5-A1D7-72CC030F59C9}">
      <formula1>#REF!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C4819-7C0B-4F66-B585-8E48F48279FD}">
  <dimension ref="A1:H11"/>
  <sheetViews>
    <sheetView workbookViewId="0">
      <selection activeCell="C13" sqref="C13"/>
    </sheetView>
  </sheetViews>
  <sheetFormatPr defaultRowHeight="14.5"/>
  <cols>
    <col min="1" max="1" width="5.81640625" bestFit="1" customWidth="1"/>
    <col min="2" max="2" width="9.1796875" bestFit="1" customWidth="1"/>
    <col min="3" max="3" width="40.81640625" bestFit="1" customWidth="1"/>
    <col min="4" max="4" width="28.81640625" bestFit="1" customWidth="1"/>
    <col min="5" max="5" width="28.7265625" bestFit="1" customWidth="1"/>
    <col min="6" max="6" width="8.453125" bestFit="1" customWidth="1"/>
    <col min="7" max="7" width="8.26953125" bestFit="1" customWidth="1"/>
  </cols>
  <sheetData>
    <row r="1" spans="1:8" ht="39">
      <c r="A1" s="7" t="s">
        <v>71</v>
      </c>
      <c r="B1" s="7" t="s">
        <v>72</v>
      </c>
      <c r="C1" s="7" t="s">
        <v>73</v>
      </c>
      <c r="D1" s="7" t="s">
        <v>74</v>
      </c>
      <c r="E1" s="7" t="s">
        <v>75</v>
      </c>
      <c r="F1" s="7" t="s">
        <v>76</v>
      </c>
      <c r="G1" s="7" t="s">
        <v>0</v>
      </c>
      <c r="H1" s="8" t="s">
        <v>90</v>
      </c>
    </row>
    <row r="2" spans="1:8">
      <c r="A2" s="15">
        <v>4</v>
      </c>
      <c r="B2" s="16" t="s">
        <v>114</v>
      </c>
      <c r="C2" s="17" t="s">
        <v>123</v>
      </c>
      <c r="D2" s="18" t="s">
        <v>124</v>
      </c>
      <c r="E2" s="16" t="s">
        <v>125</v>
      </c>
      <c r="F2" s="16" t="s">
        <v>3</v>
      </c>
      <c r="G2" s="18" t="s">
        <v>4</v>
      </c>
      <c r="H2" s="18">
        <v>1</v>
      </c>
    </row>
    <row r="3" spans="1:8">
      <c r="A3" s="11">
        <v>65</v>
      </c>
      <c r="B3" s="12" t="s">
        <v>114</v>
      </c>
      <c r="C3" s="13" t="s">
        <v>277</v>
      </c>
      <c r="D3" s="12" t="s">
        <v>278</v>
      </c>
      <c r="E3" s="12"/>
      <c r="F3" s="12" t="s">
        <v>3</v>
      </c>
      <c r="G3" s="14" t="s">
        <v>23</v>
      </c>
      <c r="H3" s="14">
        <v>1</v>
      </c>
    </row>
    <row r="4" spans="1:8">
      <c r="A4" s="15">
        <v>80</v>
      </c>
      <c r="B4" s="16" t="s">
        <v>114</v>
      </c>
      <c r="C4" s="17" t="s">
        <v>310</v>
      </c>
      <c r="D4" s="16" t="s">
        <v>311</v>
      </c>
      <c r="E4" s="16"/>
      <c r="F4" s="16" t="s">
        <v>13</v>
      </c>
      <c r="G4" s="18" t="s">
        <v>9</v>
      </c>
      <c r="H4" s="18">
        <v>2</v>
      </c>
    </row>
    <row r="5" spans="1:8">
      <c r="A5" s="15">
        <v>86</v>
      </c>
      <c r="B5" s="16" t="s">
        <v>114</v>
      </c>
      <c r="C5" s="17" t="s">
        <v>326</v>
      </c>
      <c r="D5" s="16" t="s">
        <v>327</v>
      </c>
      <c r="E5" s="16" t="s">
        <v>328</v>
      </c>
      <c r="F5" s="16" t="s">
        <v>3</v>
      </c>
      <c r="G5" s="18" t="s">
        <v>16</v>
      </c>
      <c r="H5" s="18">
        <v>2</v>
      </c>
    </row>
    <row r="6" spans="1:8">
      <c r="A6" s="15">
        <v>92</v>
      </c>
      <c r="B6" s="16" t="s">
        <v>114</v>
      </c>
      <c r="C6" s="26" t="s">
        <v>344</v>
      </c>
      <c r="D6" s="16" t="s">
        <v>345</v>
      </c>
      <c r="E6" s="16" t="s">
        <v>346</v>
      </c>
      <c r="F6" s="16" t="s">
        <v>3</v>
      </c>
      <c r="G6" s="18" t="s">
        <v>16</v>
      </c>
      <c r="H6" s="18">
        <v>1</v>
      </c>
    </row>
    <row r="7" spans="1:8">
      <c r="A7" s="15">
        <v>100</v>
      </c>
      <c r="B7" s="16" t="s">
        <v>114</v>
      </c>
      <c r="C7" s="17" t="s">
        <v>367</v>
      </c>
      <c r="D7" s="16" t="s">
        <v>368</v>
      </c>
      <c r="E7" s="16" t="s">
        <v>369</v>
      </c>
      <c r="F7" s="16" t="s">
        <v>3</v>
      </c>
      <c r="G7" s="18" t="s">
        <v>16</v>
      </c>
      <c r="H7" s="18">
        <v>1</v>
      </c>
    </row>
    <row r="8" spans="1:8">
      <c r="A8" s="11">
        <v>101</v>
      </c>
      <c r="B8" s="12" t="s">
        <v>114</v>
      </c>
      <c r="C8" s="13" t="s">
        <v>370</v>
      </c>
      <c r="D8" s="12" t="s">
        <v>371</v>
      </c>
      <c r="E8" s="12"/>
      <c r="F8" s="12" t="s">
        <v>3</v>
      </c>
      <c r="G8" s="14" t="s">
        <v>4</v>
      </c>
      <c r="H8" s="14">
        <v>1</v>
      </c>
    </row>
    <row r="9" spans="1:8">
      <c r="A9" s="15">
        <v>112</v>
      </c>
      <c r="B9" s="16" t="s">
        <v>114</v>
      </c>
      <c r="C9" s="17" t="s">
        <v>390</v>
      </c>
      <c r="D9" s="16"/>
      <c r="E9" s="16"/>
      <c r="F9" s="16" t="s">
        <v>3</v>
      </c>
      <c r="G9" s="18" t="s">
        <v>9</v>
      </c>
      <c r="H9" s="18">
        <v>2</v>
      </c>
    </row>
    <row r="10" spans="1:8">
      <c r="A10" s="15">
        <v>116</v>
      </c>
      <c r="B10" s="16" t="s">
        <v>114</v>
      </c>
      <c r="C10" s="17" t="s">
        <v>398</v>
      </c>
      <c r="D10" s="28" t="s">
        <v>399</v>
      </c>
      <c r="E10" s="29" t="s">
        <v>400</v>
      </c>
      <c r="F10" s="16" t="s">
        <v>3</v>
      </c>
      <c r="G10" s="18" t="s">
        <v>16</v>
      </c>
      <c r="H10" s="18">
        <v>1</v>
      </c>
    </row>
    <row r="11" spans="1:8">
      <c r="A11" s="11">
        <v>123</v>
      </c>
      <c r="B11" s="12" t="s">
        <v>114</v>
      </c>
      <c r="C11" s="13" t="s">
        <v>414</v>
      </c>
      <c r="D11" s="12" t="s">
        <v>415</v>
      </c>
      <c r="E11" s="12" t="s">
        <v>416</v>
      </c>
      <c r="F11" s="12" t="s">
        <v>3</v>
      </c>
      <c r="G11" s="14" t="s">
        <v>4</v>
      </c>
      <c r="H11" s="14">
        <v>1</v>
      </c>
    </row>
  </sheetData>
  <conditionalFormatting sqref="H2:H11">
    <cfRule type="notContainsBlanks" dxfId="42" priority="1">
      <formula>LEN(TRIM(H2))&gt;0</formula>
    </cfRule>
  </conditionalFormatting>
  <dataValidations count="1">
    <dataValidation type="list" allowBlank="1" sqref="F2:G11" xr:uid="{9447FDC1-E724-4D0B-B56D-D0D3A378DC17}">
      <formula1>#REF!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06B89-AAE7-40CD-B756-9037826A6D8E}">
  <dimension ref="A1:H49"/>
  <sheetViews>
    <sheetView workbookViewId="0">
      <selection activeCell="C10" sqref="C10"/>
    </sheetView>
  </sheetViews>
  <sheetFormatPr defaultRowHeight="14.5"/>
  <cols>
    <col min="1" max="1" width="5.81640625" bestFit="1" customWidth="1"/>
    <col min="3" max="3" width="53.1796875" bestFit="1" customWidth="1"/>
    <col min="4" max="4" width="34.453125" bestFit="1" customWidth="1"/>
    <col min="5" max="5" width="32.54296875" bestFit="1" customWidth="1"/>
    <col min="6" max="6" width="8.453125" bestFit="1" customWidth="1"/>
    <col min="7" max="7" width="8.26953125" bestFit="1" customWidth="1"/>
  </cols>
  <sheetData>
    <row r="1" spans="1:8" ht="39">
      <c r="A1" s="7" t="s">
        <v>71</v>
      </c>
      <c r="B1" s="7" t="s">
        <v>72</v>
      </c>
      <c r="C1" s="7" t="s">
        <v>73</v>
      </c>
      <c r="D1" s="7" t="s">
        <v>74</v>
      </c>
      <c r="E1" s="7" t="s">
        <v>75</v>
      </c>
      <c r="F1" s="7" t="s">
        <v>76</v>
      </c>
      <c r="G1" s="7" t="s">
        <v>0</v>
      </c>
      <c r="H1" s="8" t="s">
        <v>89</v>
      </c>
    </row>
    <row r="2" spans="1:8">
      <c r="A2" s="15">
        <v>2</v>
      </c>
      <c r="B2" s="16" t="s">
        <v>114</v>
      </c>
      <c r="C2" s="17" t="s">
        <v>118</v>
      </c>
      <c r="D2" s="16" t="s">
        <v>119</v>
      </c>
      <c r="E2" s="16" t="s">
        <v>117</v>
      </c>
      <c r="F2" s="16" t="s">
        <v>3</v>
      </c>
      <c r="G2" s="18" t="s">
        <v>4</v>
      </c>
      <c r="H2" s="18">
        <v>1</v>
      </c>
    </row>
    <row r="3" spans="1:8">
      <c r="A3" s="11">
        <v>3</v>
      </c>
      <c r="B3" s="12" t="s">
        <v>114</v>
      </c>
      <c r="C3" s="13" t="s">
        <v>120</v>
      </c>
      <c r="D3" s="14" t="s">
        <v>121</v>
      </c>
      <c r="E3" s="12" t="s">
        <v>122</v>
      </c>
      <c r="F3" s="12" t="s">
        <v>3</v>
      </c>
      <c r="G3" s="14" t="s">
        <v>4</v>
      </c>
      <c r="H3" s="14">
        <v>7</v>
      </c>
    </row>
    <row r="4" spans="1:8">
      <c r="A4" s="11">
        <v>5</v>
      </c>
      <c r="B4" s="12" t="s">
        <v>114</v>
      </c>
      <c r="C4" s="13" t="s">
        <v>126</v>
      </c>
      <c r="D4" s="12" t="s">
        <v>127</v>
      </c>
      <c r="E4" s="12" t="s">
        <v>128</v>
      </c>
      <c r="F4" s="12" t="s">
        <v>3</v>
      </c>
      <c r="G4" s="14" t="s">
        <v>4</v>
      </c>
      <c r="H4" s="14">
        <v>3</v>
      </c>
    </row>
    <row r="5" spans="1:8">
      <c r="A5" s="11">
        <v>7</v>
      </c>
      <c r="B5" s="12" t="s">
        <v>114</v>
      </c>
      <c r="C5" s="13" t="s">
        <v>132</v>
      </c>
      <c r="D5" s="12" t="s">
        <v>133</v>
      </c>
      <c r="E5" s="12" t="s">
        <v>134</v>
      </c>
      <c r="F5" s="12" t="s">
        <v>3</v>
      </c>
      <c r="G5" s="14" t="s">
        <v>9</v>
      </c>
      <c r="H5" s="14">
        <v>1</v>
      </c>
    </row>
    <row r="6" spans="1:8">
      <c r="A6" s="15">
        <v>12</v>
      </c>
      <c r="B6" s="16" t="s">
        <v>114</v>
      </c>
      <c r="C6" s="17" t="s">
        <v>146</v>
      </c>
      <c r="D6" s="16" t="s">
        <v>147</v>
      </c>
      <c r="E6" s="16" t="s">
        <v>148</v>
      </c>
      <c r="F6" s="16" t="s">
        <v>3</v>
      </c>
      <c r="G6" s="18" t="s">
        <v>4</v>
      </c>
      <c r="H6" s="18">
        <v>2</v>
      </c>
    </row>
    <row r="7" spans="1:8">
      <c r="A7" s="15">
        <v>14</v>
      </c>
      <c r="B7" s="16" t="s">
        <v>114</v>
      </c>
      <c r="C7" s="17" t="s">
        <v>152</v>
      </c>
      <c r="D7" s="16" t="s">
        <v>153</v>
      </c>
      <c r="E7" s="16" t="s">
        <v>154</v>
      </c>
      <c r="F7" s="16" t="s">
        <v>3</v>
      </c>
      <c r="G7" s="18" t="s">
        <v>4</v>
      </c>
      <c r="H7" s="18">
        <v>1</v>
      </c>
    </row>
    <row r="8" spans="1:8">
      <c r="A8" s="15">
        <v>16</v>
      </c>
      <c r="B8" s="16" t="s">
        <v>114</v>
      </c>
      <c r="C8" s="17" t="s">
        <v>158</v>
      </c>
      <c r="D8" s="16" t="s">
        <v>159</v>
      </c>
      <c r="E8" s="18" t="s">
        <v>160</v>
      </c>
      <c r="F8" s="16" t="s">
        <v>3</v>
      </c>
      <c r="G8" s="18" t="s">
        <v>4</v>
      </c>
      <c r="H8" s="18">
        <v>1</v>
      </c>
    </row>
    <row r="9" spans="1:8">
      <c r="A9" s="15">
        <v>38</v>
      </c>
      <c r="B9" s="16" t="s">
        <v>114</v>
      </c>
      <c r="C9" s="17" t="s">
        <v>215</v>
      </c>
      <c r="D9" s="16" t="s">
        <v>216</v>
      </c>
      <c r="E9" s="18" t="s">
        <v>217</v>
      </c>
      <c r="F9" s="16" t="s">
        <v>3</v>
      </c>
      <c r="G9" s="18" t="s">
        <v>4</v>
      </c>
      <c r="H9" s="18">
        <v>1</v>
      </c>
    </row>
    <row r="10" spans="1:8">
      <c r="A10" s="11">
        <v>57</v>
      </c>
      <c r="B10" s="12" t="s">
        <v>114</v>
      </c>
      <c r="C10" s="13" t="s">
        <v>262</v>
      </c>
      <c r="D10" s="12" t="s">
        <v>263</v>
      </c>
      <c r="E10" s="12"/>
      <c r="F10" s="12" t="s">
        <v>3</v>
      </c>
      <c r="G10" s="14" t="s">
        <v>23</v>
      </c>
      <c r="H10" s="14">
        <v>1</v>
      </c>
    </row>
    <row r="11" spans="1:8">
      <c r="A11" s="15">
        <v>80</v>
      </c>
      <c r="B11" s="16" t="s">
        <v>114</v>
      </c>
      <c r="C11" s="17" t="s">
        <v>310</v>
      </c>
      <c r="D11" s="16" t="s">
        <v>311</v>
      </c>
      <c r="E11" s="16"/>
      <c r="F11" s="16" t="s">
        <v>13</v>
      </c>
      <c r="G11" s="18" t="s">
        <v>9</v>
      </c>
      <c r="H11" s="18">
        <v>2</v>
      </c>
    </row>
    <row r="12" spans="1:8">
      <c r="A12" s="11">
        <v>81</v>
      </c>
      <c r="B12" s="12" t="s">
        <v>114</v>
      </c>
      <c r="C12" s="13" t="s">
        <v>312</v>
      </c>
      <c r="D12" s="12" t="s">
        <v>313</v>
      </c>
      <c r="E12" s="12"/>
      <c r="F12" s="12" t="s">
        <v>314</v>
      </c>
      <c r="G12" s="14" t="s">
        <v>9</v>
      </c>
      <c r="H12" s="14">
        <v>5</v>
      </c>
    </row>
    <row r="13" spans="1:8">
      <c r="A13" s="15">
        <v>82</v>
      </c>
      <c r="B13" s="16" t="s">
        <v>114</v>
      </c>
      <c r="C13" s="17" t="s">
        <v>315</v>
      </c>
      <c r="D13" s="16" t="s">
        <v>316</v>
      </c>
      <c r="E13" s="16" t="s">
        <v>317</v>
      </c>
      <c r="F13" s="16" t="s">
        <v>3</v>
      </c>
      <c r="G13" s="18" t="s">
        <v>16</v>
      </c>
      <c r="H13" s="18">
        <v>2</v>
      </c>
    </row>
    <row r="14" spans="1:8">
      <c r="A14" s="11">
        <v>85</v>
      </c>
      <c r="B14" s="12" t="s">
        <v>114</v>
      </c>
      <c r="C14" s="13" t="s">
        <v>323</v>
      </c>
      <c r="D14" s="12" t="s">
        <v>324</v>
      </c>
      <c r="E14" s="12" t="s">
        <v>325</v>
      </c>
      <c r="F14" s="12" t="s">
        <v>3</v>
      </c>
      <c r="G14" s="14" t="s">
        <v>16</v>
      </c>
      <c r="H14" s="14">
        <v>1</v>
      </c>
    </row>
    <row r="15" spans="1:8">
      <c r="A15" s="15">
        <v>86</v>
      </c>
      <c r="B15" s="16" t="s">
        <v>114</v>
      </c>
      <c r="C15" s="17" t="s">
        <v>326</v>
      </c>
      <c r="D15" s="16" t="s">
        <v>327</v>
      </c>
      <c r="E15" s="16" t="s">
        <v>328</v>
      </c>
      <c r="F15" s="16" t="s">
        <v>3</v>
      </c>
      <c r="G15" s="18" t="s">
        <v>16</v>
      </c>
      <c r="H15" s="18">
        <v>4</v>
      </c>
    </row>
    <row r="16" spans="1:8">
      <c r="A16" s="15">
        <v>88</v>
      </c>
      <c r="B16" s="16" t="s">
        <v>114</v>
      </c>
      <c r="C16" s="26" t="s">
        <v>332</v>
      </c>
      <c r="D16" s="16" t="s">
        <v>333</v>
      </c>
      <c r="E16" s="16" t="s">
        <v>334</v>
      </c>
      <c r="F16" s="16" t="s">
        <v>3</v>
      </c>
      <c r="G16" s="18" t="s">
        <v>16</v>
      </c>
      <c r="H16" s="18">
        <v>1</v>
      </c>
    </row>
    <row r="17" spans="1:8">
      <c r="A17" s="11">
        <v>89</v>
      </c>
      <c r="B17" s="12" t="s">
        <v>114</v>
      </c>
      <c r="C17" s="22" t="s">
        <v>335</v>
      </c>
      <c r="D17" s="12" t="s">
        <v>336</v>
      </c>
      <c r="E17" s="12" t="s">
        <v>337</v>
      </c>
      <c r="F17" s="12" t="s">
        <v>3</v>
      </c>
      <c r="G17" s="14" t="s">
        <v>16</v>
      </c>
      <c r="H17" s="14">
        <v>1</v>
      </c>
    </row>
    <row r="18" spans="1:8">
      <c r="A18" s="11">
        <v>95</v>
      </c>
      <c r="B18" s="12" t="s">
        <v>114</v>
      </c>
      <c r="C18" s="13" t="s">
        <v>353</v>
      </c>
      <c r="D18" s="12" t="s">
        <v>354</v>
      </c>
      <c r="E18" s="12" t="s">
        <v>355</v>
      </c>
      <c r="F18" s="12" t="s">
        <v>3</v>
      </c>
      <c r="G18" s="14" t="s">
        <v>16</v>
      </c>
      <c r="H18" s="14">
        <v>4</v>
      </c>
    </row>
    <row r="19" spans="1:8">
      <c r="A19" s="15">
        <v>96</v>
      </c>
      <c r="B19" s="16" t="s">
        <v>114</v>
      </c>
      <c r="C19" s="17" t="s">
        <v>356</v>
      </c>
      <c r="D19" s="16" t="s">
        <v>357</v>
      </c>
      <c r="E19" s="16" t="s">
        <v>358</v>
      </c>
      <c r="F19" s="16" t="s">
        <v>3</v>
      </c>
      <c r="G19" s="18" t="s">
        <v>16</v>
      </c>
      <c r="H19" s="18">
        <v>4</v>
      </c>
    </row>
    <row r="20" spans="1:8">
      <c r="A20" s="15">
        <v>98</v>
      </c>
      <c r="B20" s="16" t="s">
        <v>114</v>
      </c>
      <c r="C20" s="17" t="s">
        <v>361</v>
      </c>
      <c r="D20" s="16" t="s">
        <v>362</v>
      </c>
      <c r="E20" s="16" t="s">
        <v>363</v>
      </c>
      <c r="F20" s="16" t="s">
        <v>3</v>
      </c>
      <c r="G20" s="18" t="s">
        <v>16</v>
      </c>
      <c r="H20" s="18">
        <v>6</v>
      </c>
    </row>
    <row r="21" spans="1:8">
      <c r="A21" s="11">
        <v>99</v>
      </c>
      <c r="B21" s="12"/>
      <c r="C21" s="13" t="s">
        <v>364</v>
      </c>
      <c r="D21" s="12" t="s">
        <v>365</v>
      </c>
      <c r="E21" s="12" t="s">
        <v>366</v>
      </c>
      <c r="F21" s="12" t="s">
        <v>3</v>
      </c>
      <c r="G21" s="14" t="s">
        <v>16</v>
      </c>
      <c r="H21" s="14">
        <v>1</v>
      </c>
    </row>
    <row r="22" spans="1:8">
      <c r="A22" s="15">
        <v>100</v>
      </c>
      <c r="B22" s="16" t="s">
        <v>114</v>
      </c>
      <c r="C22" s="17" t="s">
        <v>367</v>
      </c>
      <c r="D22" s="16" t="s">
        <v>368</v>
      </c>
      <c r="E22" s="16" t="s">
        <v>369</v>
      </c>
      <c r="F22" s="16" t="s">
        <v>3</v>
      </c>
      <c r="G22" s="18" t="s">
        <v>16</v>
      </c>
      <c r="H22" s="18">
        <v>1</v>
      </c>
    </row>
    <row r="23" spans="1:8">
      <c r="A23" s="11">
        <v>103</v>
      </c>
      <c r="B23" s="12" t="s">
        <v>114</v>
      </c>
      <c r="C23" s="13" t="s">
        <v>375</v>
      </c>
      <c r="D23" s="12" t="s">
        <v>376</v>
      </c>
      <c r="E23" s="12" t="s">
        <v>377</v>
      </c>
      <c r="F23" s="12" t="s">
        <v>3</v>
      </c>
      <c r="G23" s="14" t="s">
        <v>16</v>
      </c>
      <c r="H23" s="14">
        <v>12</v>
      </c>
    </row>
    <row r="24" spans="1:8">
      <c r="A24" s="15">
        <v>104</v>
      </c>
      <c r="B24" s="16" t="s">
        <v>114</v>
      </c>
      <c r="C24" s="17" t="s">
        <v>378</v>
      </c>
      <c r="D24" s="16" t="s">
        <v>379</v>
      </c>
      <c r="E24" s="16" t="s">
        <v>380</v>
      </c>
      <c r="F24" s="16" t="s">
        <v>3</v>
      </c>
      <c r="G24" s="18" t="s">
        <v>16</v>
      </c>
      <c r="H24" s="18">
        <v>2</v>
      </c>
    </row>
    <row r="25" spans="1:8">
      <c r="A25" s="11">
        <v>113</v>
      </c>
      <c r="B25" s="12" t="s">
        <v>114</v>
      </c>
      <c r="C25" s="13" t="s">
        <v>391</v>
      </c>
      <c r="D25" s="12" t="s">
        <v>392</v>
      </c>
      <c r="E25" s="12" t="s">
        <v>393</v>
      </c>
      <c r="F25" s="12" t="s">
        <v>3</v>
      </c>
      <c r="G25" s="14" t="s">
        <v>9</v>
      </c>
      <c r="H25" s="14">
        <v>1</v>
      </c>
    </row>
    <row r="26" spans="1:8">
      <c r="A26" s="11">
        <v>115</v>
      </c>
      <c r="B26" s="12" t="s">
        <v>114</v>
      </c>
      <c r="C26" s="13" t="s">
        <v>395</v>
      </c>
      <c r="D26" s="12" t="s">
        <v>396</v>
      </c>
      <c r="E26" s="12" t="s">
        <v>397</v>
      </c>
      <c r="F26" s="12" t="s">
        <v>3</v>
      </c>
      <c r="G26" s="14" t="s">
        <v>16</v>
      </c>
      <c r="H26" s="14">
        <v>2</v>
      </c>
    </row>
    <row r="27" spans="1:8">
      <c r="A27" s="15">
        <v>118</v>
      </c>
      <c r="B27" s="16" t="s">
        <v>114</v>
      </c>
      <c r="C27" s="17" t="s">
        <v>404</v>
      </c>
      <c r="D27" s="16" t="s">
        <v>405</v>
      </c>
      <c r="E27" s="16" t="s">
        <v>406</v>
      </c>
      <c r="F27" s="16" t="s">
        <v>3</v>
      </c>
      <c r="G27" s="18" t="s">
        <v>16</v>
      </c>
      <c r="H27" s="18">
        <v>8</v>
      </c>
    </row>
    <row r="28" spans="1:8">
      <c r="A28" s="11">
        <v>121</v>
      </c>
      <c r="B28" s="12" t="s">
        <v>114</v>
      </c>
      <c r="C28" s="13" t="s">
        <v>409</v>
      </c>
      <c r="D28" s="12" t="s">
        <v>410</v>
      </c>
      <c r="E28" s="12" t="s">
        <v>411</v>
      </c>
      <c r="F28" s="12" t="s">
        <v>3</v>
      </c>
      <c r="G28" s="14" t="s">
        <v>16</v>
      </c>
      <c r="H28" s="14">
        <v>12</v>
      </c>
    </row>
    <row r="29" spans="1:8">
      <c r="A29" s="15">
        <v>124</v>
      </c>
      <c r="B29" s="16" t="s">
        <v>114</v>
      </c>
      <c r="C29" s="17" t="s">
        <v>417</v>
      </c>
      <c r="D29" s="16" t="s">
        <v>418</v>
      </c>
      <c r="E29" s="16" t="s">
        <v>419</v>
      </c>
      <c r="F29" s="16" t="s">
        <v>3</v>
      </c>
      <c r="G29" s="18" t="s">
        <v>16</v>
      </c>
      <c r="H29" s="18">
        <v>16</v>
      </c>
    </row>
    <row r="30" spans="1:8">
      <c r="A30" s="15">
        <v>128</v>
      </c>
      <c r="B30" s="16" t="s">
        <v>114</v>
      </c>
      <c r="C30" s="17" t="s">
        <v>427</v>
      </c>
      <c r="D30" s="16" t="s">
        <v>428</v>
      </c>
      <c r="E30" s="16" t="s">
        <v>429</v>
      </c>
      <c r="F30" s="16" t="s">
        <v>3</v>
      </c>
      <c r="G30" s="18" t="s">
        <v>16</v>
      </c>
      <c r="H30" s="18">
        <v>12</v>
      </c>
    </row>
    <row r="31" spans="1:8">
      <c r="A31" s="11">
        <v>129</v>
      </c>
      <c r="B31" s="12" t="s">
        <v>114</v>
      </c>
      <c r="C31" s="13" t="s">
        <v>430</v>
      </c>
      <c r="D31" s="12" t="s">
        <v>431</v>
      </c>
      <c r="E31" s="30" t="s">
        <v>432</v>
      </c>
      <c r="F31" s="12" t="s">
        <v>3</v>
      </c>
      <c r="G31" s="14" t="s">
        <v>16</v>
      </c>
      <c r="H31" s="14">
        <v>2</v>
      </c>
    </row>
    <row r="32" spans="1:8">
      <c r="A32" s="15">
        <v>130</v>
      </c>
      <c r="B32" s="16" t="s">
        <v>114</v>
      </c>
      <c r="C32" s="17" t="s">
        <v>433</v>
      </c>
      <c r="D32" s="16" t="s">
        <v>434</v>
      </c>
      <c r="E32" s="16" t="s">
        <v>435</v>
      </c>
      <c r="F32" s="16" t="s">
        <v>3</v>
      </c>
      <c r="G32" s="18" t="s">
        <v>16</v>
      </c>
      <c r="H32" s="18">
        <v>1</v>
      </c>
    </row>
    <row r="33" spans="1:8">
      <c r="A33" s="11">
        <v>131</v>
      </c>
      <c r="B33" s="12" t="s">
        <v>114</v>
      </c>
      <c r="C33" s="13" t="s">
        <v>436</v>
      </c>
      <c r="D33" s="12" t="s">
        <v>437</v>
      </c>
      <c r="E33" s="12" t="s">
        <v>438</v>
      </c>
      <c r="F33" s="12" t="s">
        <v>3</v>
      </c>
      <c r="G33" s="14" t="s">
        <v>16</v>
      </c>
      <c r="H33" s="14">
        <v>6</v>
      </c>
    </row>
    <row r="34" spans="1:8">
      <c r="A34" s="15">
        <v>132</v>
      </c>
      <c r="B34" s="16" t="s">
        <v>114</v>
      </c>
      <c r="C34" s="17" t="s">
        <v>439</v>
      </c>
      <c r="D34" s="16" t="s">
        <v>440</v>
      </c>
      <c r="E34" s="16" t="s">
        <v>441</v>
      </c>
      <c r="F34" s="16" t="s">
        <v>3</v>
      </c>
      <c r="G34" s="18" t="s">
        <v>16</v>
      </c>
      <c r="H34" s="18">
        <v>2</v>
      </c>
    </row>
    <row r="35" spans="1:8">
      <c r="A35" s="15">
        <v>134</v>
      </c>
      <c r="B35" s="16" t="s">
        <v>114</v>
      </c>
      <c r="C35" s="17" t="s">
        <v>444</v>
      </c>
      <c r="D35" s="16" t="s">
        <v>445</v>
      </c>
      <c r="E35" s="16" t="s">
        <v>446</v>
      </c>
      <c r="F35" s="16" t="s">
        <v>3</v>
      </c>
      <c r="G35" s="18" t="s">
        <v>16</v>
      </c>
      <c r="H35" s="18">
        <v>1</v>
      </c>
    </row>
    <row r="36" spans="1:8">
      <c r="A36" s="11">
        <v>135</v>
      </c>
      <c r="B36" s="12" t="s">
        <v>114</v>
      </c>
      <c r="C36" s="13" t="s">
        <v>447</v>
      </c>
      <c r="D36" s="12" t="s">
        <v>448</v>
      </c>
      <c r="E36" s="12" t="s">
        <v>449</v>
      </c>
      <c r="F36" s="12" t="s">
        <v>3</v>
      </c>
      <c r="G36" s="14" t="s">
        <v>9</v>
      </c>
      <c r="H36" s="14">
        <v>2</v>
      </c>
    </row>
    <row r="37" spans="1:8">
      <c r="A37" s="15">
        <v>136</v>
      </c>
      <c r="B37" s="16" t="s">
        <v>114</v>
      </c>
      <c r="C37" s="17" t="s">
        <v>450</v>
      </c>
      <c r="D37" s="16" t="s">
        <v>451</v>
      </c>
      <c r="E37" s="16" t="s">
        <v>452</v>
      </c>
      <c r="F37" s="16" t="s">
        <v>3</v>
      </c>
      <c r="G37" s="18" t="s">
        <v>9</v>
      </c>
      <c r="H37" s="18">
        <v>5</v>
      </c>
    </row>
    <row r="38" spans="1:8">
      <c r="A38" s="11">
        <v>137</v>
      </c>
      <c r="B38" s="12" t="s">
        <v>114</v>
      </c>
      <c r="C38" s="13" t="s">
        <v>453</v>
      </c>
      <c r="D38" s="12" t="s">
        <v>454</v>
      </c>
      <c r="E38" s="12" t="s">
        <v>455</v>
      </c>
      <c r="F38" s="12" t="s">
        <v>3</v>
      </c>
      <c r="G38" s="14" t="s">
        <v>9</v>
      </c>
      <c r="H38" s="14">
        <v>1</v>
      </c>
    </row>
    <row r="39" spans="1:8">
      <c r="A39" s="11">
        <v>143</v>
      </c>
      <c r="B39" s="12" t="s">
        <v>114</v>
      </c>
      <c r="C39" s="13" t="s">
        <v>462</v>
      </c>
      <c r="D39" s="12" t="s">
        <v>463</v>
      </c>
      <c r="E39" s="12" t="s">
        <v>464</v>
      </c>
      <c r="F39" s="12" t="s">
        <v>3</v>
      </c>
      <c r="G39" s="14" t="s">
        <v>9</v>
      </c>
      <c r="H39" s="14">
        <v>1</v>
      </c>
    </row>
    <row r="40" spans="1:8">
      <c r="A40" s="15">
        <v>148</v>
      </c>
      <c r="B40" s="16" t="s">
        <v>114</v>
      </c>
      <c r="C40" s="17" t="s">
        <v>471</v>
      </c>
      <c r="D40" s="16" t="s">
        <v>472</v>
      </c>
      <c r="E40" s="16"/>
      <c r="F40" s="16" t="s">
        <v>21</v>
      </c>
      <c r="G40" s="18" t="s">
        <v>9</v>
      </c>
      <c r="H40" s="18">
        <v>0.2</v>
      </c>
    </row>
    <row r="41" spans="1:8">
      <c r="A41" s="11">
        <v>151</v>
      </c>
      <c r="B41" s="12" t="s">
        <v>114</v>
      </c>
      <c r="C41" s="13" t="s">
        <v>476</v>
      </c>
      <c r="D41" s="12" t="s">
        <v>477</v>
      </c>
      <c r="E41" s="12"/>
      <c r="F41" s="12" t="s">
        <v>21</v>
      </c>
      <c r="G41" s="14" t="s">
        <v>9</v>
      </c>
      <c r="H41" s="14">
        <v>0.2</v>
      </c>
    </row>
    <row r="42" spans="1:8">
      <c r="A42" s="15">
        <v>152</v>
      </c>
      <c r="B42" s="16" t="s">
        <v>114</v>
      </c>
      <c r="C42" s="17" t="s">
        <v>478</v>
      </c>
      <c r="D42" s="16" t="s">
        <v>479</v>
      </c>
      <c r="E42" s="16"/>
      <c r="F42" s="16" t="s">
        <v>21</v>
      </c>
      <c r="G42" s="18" t="s">
        <v>9</v>
      </c>
      <c r="H42" s="18">
        <v>0.2</v>
      </c>
    </row>
    <row r="43" spans="1:8">
      <c r="A43" s="20">
        <v>136</v>
      </c>
      <c r="B43" s="21" t="s">
        <v>114</v>
      </c>
      <c r="C43" s="13" t="s">
        <v>485</v>
      </c>
      <c r="D43" s="12" t="s">
        <v>486</v>
      </c>
      <c r="E43" s="12"/>
      <c r="F43" s="12" t="s">
        <v>3</v>
      </c>
      <c r="G43" s="14" t="s">
        <v>4</v>
      </c>
      <c r="H43" s="14">
        <v>3</v>
      </c>
    </row>
    <row r="44" spans="1:8">
      <c r="A44" s="15">
        <v>156</v>
      </c>
      <c r="B44" s="16" t="s">
        <v>114</v>
      </c>
      <c r="C44" s="17" t="s">
        <v>487</v>
      </c>
      <c r="D44" s="16" t="s">
        <v>488</v>
      </c>
      <c r="E44" s="16"/>
      <c r="F44" s="16" t="s">
        <v>3</v>
      </c>
      <c r="G44" s="18" t="s">
        <v>9</v>
      </c>
      <c r="H44" s="18">
        <v>2</v>
      </c>
    </row>
    <row r="45" spans="1:8" ht="43.5">
      <c r="A45" s="11">
        <v>163</v>
      </c>
      <c r="B45" s="12" t="s">
        <v>114</v>
      </c>
      <c r="C45" s="13" t="s">
        <v>500</v>
      </c>
      <c r="D45" s="12" t="s">
        <v>501</v>
      </c>
      <c r="E45" s="12"/>
      <c r="F45" s="12" t="s">
        <v>3</v>
      </c>
      <c r="G45" s="14" t="s">
        <v>35</v>
      </c>
      <c r="H45" s="14">
        <v>1</v>
      </c>
    </row>
    <row r="46" spans="1:8" ht="43.5">
      <c r="A46" s="11">
        <v>175</v>
      </c>
      <c r="B46" s="12" t="s">
        <v>114</v>
      </c>
      <c r="C46" s="13" t="s">
        <v>514</v>
      </c>
      <c r="D46" s="12" t="s">
        <v>515</v>
      </c>
      <c r="E46" s="12"/>
      <c r="F46" s="12" t="s">
        <v>3</v>
      </c>
      <c r="G46" s="14" t="s">
        <v>35</v>
      </c>
      <c r="H46" s="14">
        <v>1</v>
      </c>
    </row>
    <row r="47" spans="1:8" ht="43.5">
      <c r="A47" s="15">
        <v>176</v>
      </c>
      <c r="B47" s="16" t="s">
        <v>114</v>
      </c>
      <c r="C47" s="17" t="s">
        <v>516</v>
      </c>
      <c r="D47" s="16" t="s">
        <v>517</v>
      </c>
      <c r="E47" s="16"/>
      <c r="F47" s="16" t="s">
        <v>3</v>
      </c>
      <c r="G47" s="18" t="s">
        <v>35</v>
      </c>
      <c r="H47" s="18">
        <v>2</v>
      </c>
    </row>
    <row r="48" spans="1:8">
      <c r="A48" s="11">
        <v>699</v>
      </c>
      <c r="B48" s="54" t="s">
        <v>114</v>
      </c>
      <c r="C48" s="55" t="s">
        <v>90</v>
      </c>
      <c r="D48" s="12"/>
      <c r="E48" s="12">
        <v>14</v>
      </c>
      <c r="F48" s="19" t="s">
        <v>3</v>
      </c>
      <c r="G48" s="19" t="s">
        <v>27</v>
      </c>
      <c r="H48" s="19">
        <v>1</v>
      </c>
    </row>
    <row r="49" spans="1:8">
      <c r="A49" s="15">
        <v>700</v>
      </c>
      <c r="B49" s="52" t="s">
        <v>114</v>
      </c>
      <c r="C49" s="53" t="s">
        <v>91</v>
      </c>
      <c r="D49" s="16"/>
      <c r="E49" s="16">
        <v>15</v>
      </c>
      <c r="F49" s="40" t="s">
        <v>3</v>
      </c>
      <c r="G49" s="40" t="s">
        <v>27</v>
      </c>
      <c r="H49" s="40">
        <v>1</v>
      </c>
    </row>
  </sheetData>
  <conditionalFormatting sqref="H2:H49">
    <cfRule type="notContainsBlanks" dxfId="41" priority="1">
      <formula>LEN(TRIM(H2))&gt;0</formula>
    </cfRule>
  </conditionalFormatting>
  <dataValidations count="1">
    <dataValidation type="list" allowBlank="1" sqref="F2:G49" xr:uid="{C122D128-3002-47D1-9C74-3088D71AA10C}">
      <formula1>#REF!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78B73-62D0-4F01-B4B6-94E24F0A57B0}">
  <dimension ref="A1:H24"/>
  <sheetViews>
    <sheetView topLeftCell="A8" workbookViewId="0">
      <selection activeCell="C10" sqref="C10"/>
    </sheetView>
  </sheetViews>
  <sheetFormatPr defaultRowHeight="14.5"/>
  <cols>
    <col min="1" max="1" width="5.81640625" bestFit="1" customWidth="1"/>
    <col min="3" max="3" width="58.81640625" bestFit="1" customWidth="1"/>
    <col min="4" max="4" width="28.54296875" bestFit="1" customWidth="1"/>
    <col min="5" max="5" width="13.81640625" bestFit="1" customWidth="1"/>
    <col min="6" max="6" width="8.453125" bestFit="1" customWidth="1"/>
    <col min="7" max="7" width="33" bestFit="1" customWidth="1"/>
  </cols>
  <sheetData>
    <row r="1" spans="1:8" ht="39">
      <c r="A1" s="7" t="s">
        <v>71</v>
      </c>
      <c r="B1" s="7" t="s">
        <v>72</v>
      </c>
      <c r="C1" s="7" t="s">
        <v>73</v>
      </c>
      <c r="D1" s="7" t="s">
        <v>74</v>
      </c>
      <c r="E1" s="7" t="s">
        <v>75</v>
      </c>
      <c r="F1" s="7" t="s">
        <v>76</v>
      </c>
      <c r="G1" s="7" t="s">
        <v>0</v>
      </c>
      <c r="H1" s="8" t="s">
        <v>88</v>
      </c>
    </row>
    <row r="2" spans="1:8">
      <c r="A2" s="15">
        <v>2</v>
      </c>
      <c r="B2" s="16" t="s">
        <v>114</v>
      </c>
      <c r="C2" s="17" t="s">
        <v>118</v>
      </c>
      <c r="D2" s="16" t="s">
        <v>119</v>
      </c>
      <c r="E2" s="16" t="s">
        <v>117</v>
      </c>
      <c r="F2" s="16" t="s">
        <v>3</v>
      </c>
      <c r="G2" s="18" t="s">
        <v>4</v>
      </c>
      <c r="H2" s="18">
        <v>1</v>
      </c>
    </row>
    <row r="3" spans="1:8">
      <c r="A3" s="15">
        <v>12</v>
      </c>
      <c r="B3" s="16" t="s">
        <v>114</v>
      </c>
      <c r="C3" s="17" t="s">
        <v>146</v>
      </c>
      <c r="D3" s="16" t="s">
        <v>147</v>
      </c>
      <c r="E3" s="16" t="s">
        <v>148</v>
      </c>
      <c r="F3" s="16" t="s">
        <v>3</v>
      </c>
      <c r="G3" s="18" t="s">
        <v>4</v>
      </c>
      <c r="H3" s="18">
        <v>2</v>
      </c>
    </row>
    <row r="4" spans="1:8">
      <c r="A4" s="11">
        <v>13</v>
      </c>
      <c r="B4" s="12" t="s">
        <v>114</v>
      </c>
      <c r="C4" s="13" t="s">
        <v>149</v>
      </c>
      <c r="D4" s="12" t="s">
        <v>150</v>
      </c>
      <c r="E4" s="12" t="s">
        <v>151</v>
      </c>
      <c r="F4" s="12" t="s">
        <v>3</v>
      </c>
      <c r="G4" s="14" t="s">
        <v>4</v>
      </c>
      <c r="H4" s="14">
        <v>2</v>
      </c>
    </row>
    <row r="5" spans="1:8">
      <c r="A5" s="11">
        <v>15</v>
      </c>
      <c r="B5" s="12" t="s">
        <v>114</v>
      </c>
      <c r="C5" s="13" t="s">
        <v>155</v>
      </c>
      <c r="D5" s="12" t="s">
        <v>156</v>
      </c>
      <c r="E5" s="14" t="s">
        <v>157</v>
      </c>
      <c r="F5" s="12" t="s">
        <v>3</v>
      </c>
      <c r="G5" s="14" t="s">
        <v>4</v>
      </c>
      <c r="H5" s="14">
        <v>1</v>
      </c>
    </row>
    <row r="6" spans="1:8">
      <c r="A6" s="15">
        <v>16</v>
      </c>
      <c r="B6" s="16" t="s">
        <v>114</v>
      </c>
      <c r="C6" s="17" t="s">
        <v>158</v>
      </c>
      <c r="D6" s="16" t="s">
        <v>159</v>
      </c>
      <c r="E6" s="18" t="s">
        <v>160</v>
      </c>
      <c r="F6" s="16" t="s">
        <v>3</v>
      </c>
      <c r="G6" s="18" t="s">
        <v>4</v>
      </c>
      <c r="H6" s="18">
        <v>1</v>
      </c>
    </row>
    <row r="7" spans="1:8">
      <c r="A7" s="11">
        <v>22</v>
      </c>
      <c r="B7" s="12" t="s">
        <v>114</v>
      </c>
      <c r="C7" s="13" t="s">
        <v>175</v>
      </c>
      <c r="D7" s="12" t="s">
        <v>176</v>
      </c>
      <c r="E7" s="12"/>
      <c r="F7" s="12" t="s">
        <v>8</v>
      </c>
      <c r="G7" s="14" t="s">
        <v>4</v>
      </c>
      <c r="H7" s="18">
        <v>0.25</v>
      </c>
    </row>
    <row r="8" spans="1:8">
      <c r="A8" s="11">
        <v>24</v>
      </c>
      <c r="B8" s="12" t="s">
        <v>114</v>
      </c>
      <c r="C8" s="13" t="s">
        <v>180</v>
      </c>
      <c r="D8" s="12" t="s">
        <v>181</v>
      </c>
      <c r="E8" s="12" t="s">
        <v>182</v>
      </c>
      <c r="F8" s="12" t="s">
        <v>8</v>
      </c>
      <c r="G8" s="14" t="s">
        <v>4</v>
      </c>
      <c r="H8" s="18">
        <v>0.5</v>
      </c>
    </row>
    <row r="9" spans="1:8">
      <c r="A9" s="11">
        <v>153</v>
      </c>
      <c r="B9" s="12" t="s">
        <v>114</v>
      </c>
      <c r="C9" s="13" t="s">
        <v>480</v>
      </c>
      <c r="D9" s="12" t="s">
        <v>481</v>
      </c>
      <c r="E9" s="12"/>
      <c r="F9" s="12" t="s">
        <v>18</v>
      </c>
      <c r="G9" s="14" t="s">
        <v>9</v>
      </c>
      <c r="H9" s="14">
        <v>10</v>
      </c>
    </row>
    <row r="10" spans="1:8">
      <c r="A10" s="11">
        <v>203</v>
      </c>
      <c r="B10" s="12" t="s">
        <v>114</v>
      </c>
      <c r="C10" s="13" t="s">
        <v>568</v>
      </c>
      <c r="D10" s="12" t="s">
        <v>569</v>
      </c>
      <c r="E10" s="12" t="s">
        <v>570</v>
      </c>
      <c r="F10" s="12" t="s">
        <v>3</v>
      </c>
      <c r="G10" s="14" t="s">
        <v>7</v>
      </c>
      <c r="H10" s="14">
        <v>1</v>
      </c>
    </row>
    <row r="11" spans="1:8">
      <c r="A11" s="11">
        <v>253</v>
      </c>
      <c r="B11" s="12" t="s">
        <v>114</v>
      </c>
      <c r="C11" s="13" t="s">
        <v>656</v>
      </c>
      <c r="D11" s="12" t="s">
        <v>657</v>
      </c>
      <c r="E11" s="12"/>
      <c r="F11" s="12" t="s">
        <v>3</v>
      </c>
      <c r="G11" s="14" t="s">
        <v>37</v>
      </c>
      <c r="H11" s="14">
        <v>1</v>
      </c>
    </row>
    <row r="12" spans="1:8">
      <c r="A12" s="15">
        <v>294</v>
      </c>
      <c r="B12" s="16" t="s">
        <v>114</v>
      </c>
      <c r="C12" s="17" t="s">
        <v>755</v>
      </c>
      <c r="D12" s="16" t="s">
        <v>756</v>
      </c>
      <c r="E12" s="16" t="s">
        <v>757</v>
      </c>
      <c r="F12" s="16" t="s">
        <v>3</v>
      </c>
      <c r="G12" s="37" t="s">
        <v>38</v>
      </c>
      <c r="H12" s="37">
        <v>1</v>
      </c>
    </row>
    <row r="13" spans="1:8">
      <c r="A13" s="11">
        <v>295</v>
      </c>
      <c r="B13" s="12" t="s">
        <v>114</v>
      </c>
      <c r="C13" s="13" t="s">
        <v>758</v>
      </c>
      <c r="D13" s="12" t="s">
        <v>759</v>
      </c>
      <c r="E13" s="12" t="s">
        <v>760</v>
      </c>
      <c r="F13" s="12" t="s">
        <v>3</v>
      </c>
      <c r="G13" s="36" t="s">
        <v>38</v>
      </c>
      <c r="H13" s="36">
        <v>1</v>
      </c>
    </row>
    <row r="14" spans="1:8">
      <c r="A14" s="11">
        <v>313</v>
      </c>
      <c r="B14" s="34" t="s">
        <v>114</v>
      </c>
      <c r="C14" s="39" t="s">
        <v>796</v>
      </c>
      <c r="D14" s="34" t="s">
        <v>797</v>
      </c>
      <c r="E14" s="34"/>
      <c r="F14" s="19" t="s">
        <v>3</v>
      </c>
      <c r="G14" s="36" t="s">
        <v>39</v>
      </c>
      <c r="H14" s="36">
        <v>4</v>
      </c>
    </row>
    <row r="15" spans="1:8">
      <c r="A15" s="15">
        <v>318</v>
      </c>
      <c r="B15" s="28" t="s">
        <v>114</v>
      </c>
      <c r="C15" s="38" t="s">
        <v>806</v>
      </c>
      <c r="D15" s="28" t="s">
        <v>807</v>
      </c>
      <c r="E15" s="28"/>
      <c r="F15" s="40" t="s">
        <v>3</v>
      </c>
      <c r="G15" s="37" t="s">
        <v>39</v>
      </c>
      <c r="H15" s="37">
        <v>4</v>
      </c>
    </row>
    <row r="16" spans="1:8">
      <c r="A16" s="15">
        <v>401</v>
      </c>
      <c r="B16" s="16" t="s">
        <v>114</v>
      </c>
      <c r="C16" s="17" t="s">
        <v>954</v>
      </c>
      <c r="D16" s="16" t="s">
        <v>955</v>
      </c>
      <c r="E16" s="16"/>
      <c r="F16" s="40" t="s">
        <v>3</v>
      </c>
      <c r="G16" s="40" t="s">
        <v>15</v>
      </c>
      <c r="H16" s="40">
        <v>3</v>
      </c>
    </row>
    <row r="17" spans="1:8">
      <c r="A17" s="15">
        <v>409</v>
      </c>
      <c r="B17" s="16" t="s">
        <v>114</v>
      </c>
      <c r="C17" s="17" t="s">
        <v>965</v>
      </c>
      <c r="D17" s="16" t="s">
        <v>966</v>
      </c>
      <c r="E17" s="16"/>
      <c r="F17" s="40" t="s">
        <v>3</v>
      </c>
      <c r="G17" s="40" t="s">
        <v>37</v>
      </c>
      <c r="H17" s="40">
        <v>1</v>
      </c>
    </row>
    <row r="18" spans="1:8">
      <c r="A18" s="11">
        <v>410</v>
      </c>
      <c r="B18" s="12" t="s">
        <v>114</v>
      </c>
      <c r="C18" s="13" t="s">
        <v>967</v>
      </c>
      <c r="D18" s="12" t="s">
        <v>968</v>
      </c>
      <c r="E18" s="12"/>
      <c r="F18" s="19" t="s">
        <v>3</v>
      </c>
      <c r="G18" s="19" t="s">
        <v>37</v>
      </c>
      <c r="H18" s="19">
        <v>1</v>
      </c>
    </row>
    <row r="19" spans="1:8">
      <c r="A19" s="11">
        <v>426</v>
      </c>
      <c r="B19" s="12" t="s">
        <v>114</v>
      </c>
      <c r="C19" s="13" t="s">
        <v>998</v>
      </c>
      <c r="D19" s="12" t="s">
        <v>999</v>
      </c>
      <c r="E19" s="12"/>
      <c r="F19" s="19" t="s">
        <v>22</v>
      </c>
      <c r="G19" s="19" t="s">
        <v>45</v>
      </c>
      <c r="H19" s="19">
        <v>10</v>
      </c>
    </row>
    <row r="20" spans="1:8">
      <c r="A20" s="15">
        <v>655</v>
      </c>
      <c r="B20" s="16" t="s">
        <v>114</v>
      </c>
      <c r="C20" s="17" t="s">
        <v>1340</v>
      </c>
      <c r="D20" s="16"/>
      <c r="E20" s="16"/>
      <c r="F20" s="40" t="s">
        <v>3</v>
      </c>
      <c r="G20" s="40" t="s">
        <v>49</v>
      </c>
      <c r="H20" s="40">
        <v>1</v>
      </c>
    </row>
    <row r="21" spans="1:8">
      <c r="A21" s="11">
        <v>656</v>
      </c>
      <c r="B21" s="12" t="s">
        <v>114</v>
      </c>
      <c r="C21" s="13" t="s">
        <v>1341</v>
      </c>
      <c r="D21" s="12"/>
      <c r="E21" s="12"/>
      <c r="F21" s="19" t="s">
        <v>3</v>
      </c>
      <c r="G21" s="19" t="s">
        <v>49</v>
      </c>
      <c r="H21" s="19">
        <v>1</v>
      </c>
    </row>
    <row r="22" spans="1:8">
      <c r="A22" s="15">
        <v>698</v>
      </c>
      <c r="B22" s="52" t="s">
        <v>114</v>
      </c>
      <c r="C22" s="53" t="s">
        <v>89</v>
      </c>
      <c r="D22" s="16"/>
      <c r="E22" s="16">
        <v>13</v>
      </c>
      <c r="F22" s="40" t="s">
        <v>3</v>
      </c>
      <c r="G22" s="40" t="s">
        <v>27</v>
      </c>
      <c r="H22" s="40">
        <v>1</v>
      </c>
    </row>
    <row r="23" spans="1:8">
      <c r="A23" s="11">
        <v>701</v>
      </c>
      <c r="B23" s="54" t="s">
        <v>114</v>
      </c>
      <c r="C23" s="55" t="s">
        <v>92</v>
      </c>
      <c r="D23" s="12"/>
      <c r="E23" s="12">
        <v>16</v>
      </c>
      <c r="F23" s="19" t="s">
        <v>3</v>
      </c>
      <c r="G23" s="19" t="s">
        <v>27</v>
      </c>
      <c r="H23" s="19">
        <v>2</v>
      </c>
    </row>
    <row r="24" spans="1:8">
      <c r="A24" s="15">
        <v>702</v>
      </c>
      <c r="B24" s="52" t="s">
        <v>114</v>
      </c>
      <c r="C24" s="53" t="s">
        <v>93</v>
      </c>
      <c r="D24" s="16" t="s">
        <v>1372</v>
      </c>
      <c r="E24" s="16">
        <v>17</v>
      </c>
      <c r="F24" s="40" t="s">
        <v>3</v>
      </c>
      <c r="G24" s="40" t="s">
        <v>27</v>
      </c>
      <c r="H24" s="40">
        <v>1</v>
      </c>
    </row>
  </sheetData>
  <conditionalFormatting sqref="H2:H24">
    <cfRule type="notContainsBlanks" dxfId="40" priority="1">
      <formula>LEN(TRIM(H2))&gt;0</formula>
    </cfRule>
  </conditionalFormatting>
  <dataValidations count="1">
    <dataValidation type="list" allowBlank="1" sqref="F2:G24" xr:uid="{7D75447F-9951-4BFE-A9F4-0B486452DDE9}">
      <formula1>#REF!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D7DA0-D129-4221-B78A-A4CC35856A4C}">
  <dimension ref="A1:H39"/>
  <sheetViews>
    <sheetView topLeftCell="A20" workbookViewId="0">
      <selection activeCell="A2" sqref="A2:XFD2"/>
    </sheetView>
  </sheetViews>
  <sheetFormatPr defaultRowHeight="14.5"/>
  <cols>
    <col min="1" max="1" width="5.81640625" bestFit="1" customWidth="1"/>
    <col min="3" max="3" width="52" bestFit="1" customWidth="1"/>
    <col min="4" max="4" width="30.81640625" bestFit="1" customWidth="1"/>
    <col min="5" max="5" width="12.26953125" bestFit="1" customWidth="1"/>
    <col min="6" max="6" width="8.453125" bestFit="1" customWidth="1"/>
    <col min="7" max="7" width="28.7265625" bestFit="1" customWidth="1"/>
  </cols>
  <sheetData>
    <row r="1" spans="1:8" ht="39">
      <c r="A1" s="7" t="s">
        <v>71</v>
      </c>
      <c r="B1" s="7" t="s">
        <v>72</v>
      </c>
      <c r="C1" s="7" t="s">
        <v>73</v>
      </c>
      <c r="D1" s="7" t="s">
        <v>74</v>
      </c>
      <c r="E1" s="7" t="s">
        <v>75</v>
      </c>
      <c r="F1" s="7" t="s">
        <v>76</v>
      </c>
      <c r="G1" s="7" t="s">
        <v>0</v>
      </c>
      <c r="H1" s="8" t="s">
        <v>87</v>
      </c>
    </row>
    <row r="2" spans="1:8">
      <c r="A2" s="11">
        <v>1</v>
      </c>
      <c r="B2" s="12" t="s">
        <v>114</v>
      </c>
      <c r="C2" s="13" t="s">
        <v>115</v>
      </c>
      <c r="D2" s="12" t="s">
        <v>116</v>
      </c>
      <c r="E2" s="12" t="s">
        <v>117</v>
      </c>
      <c r="F2" s="12" t="s">
        <v>3</v>
      </c>
      <c r="G2" s="14" t="s">
        <v>4</v>
      </c>
      <c r="H2" s="14">
        <v>1</v>
      </c>
    </row>
    <row r="3" spans="1:8">
      <c r="A3" s="11">
        <v>59</v>
      </c>
      <c r="B3" s="12" t="s">
        <v>114</v>
      </c>
      <c r="C3" s="13" t="s">
        <v>266</v>
      </c>
      <c r="D3" s="12" t="s">
        <v>267</v>
      </c>
      <c r="E3" s="12"/>
      <c r="F3" s="12" t="s">
        <v>3</v>
      </c>
      <c r="G3" s="14" t="s">
        <v>23</v>
      </c>
      <c r="H3" s="14">
        <v>2</v>
      </c>
    </row>
    <row r="4" spans="1:8">
      <c r="A4" s="15">
        <v>70</v>
      </c>
      <c r="B4" s="16" t="s">
        <v>114</v>
      </c>
      <c r="C4" s="17" t="s">
        <v>287</v>
      </c>
      <c r="D4" s="16" t="s">
        <v>288</v>
      </c>
      <c r="E4" s="16" t="s">
        <v>289</v>
      </c>
      <c r="F4" s="16" t="s">
        <v>3</v>
      </c>
      <c r="G4" s="18" t="s">
        <v>59</v>
      </c>
      <c r="H4" s="18">
        <v>2</v>
      </c>
    </row>
    <row r="5" spans="1:8">
      <c r="A5" s="11">
        <v>73</v>
      </c>
      <c r="B5" s="12" t="s">
        <v>114</v>
      </c>
      <c r="C5" s="13" t="s">
        <v>296</v>
      </c>
      <c r="D5" s="12" t="s">
        <v>297</v>
      </c>
      <c r="E5" s="12"/>
      <c r="F5" s="12" t="s">
        <v>3</v>
      </c>
      <c r="G5" s="14" t="s">
        <v>59</v>
      </c>
      <c r="H5" s="14">
        <v>2</v>
      </c>
    </row>
    <row r="6" spans="1:8">
      <c r="A6" s="11">
        <v>81</v>
      </c>
      <c r="B6" s="12" t="s">
        <v>114</v>
      </c>
      <c r="C6" s="13" t="s">
        <v>312</v>
      </c>
      <c r="D6" s="12" t="s">
        <v>313</v>
      </c>
      <c r="E6" s="12"/>
      <c r="F6" s="12" t="s">
        <v>314</v>
      </c>
      <c r="G6" s="14" t="s">
        <v>9</v>
      </c>
      <c r="H6" s="14">
        <v>5</v>
      </c>
    </row>
    <row r="7" spans="1:8">
      <c r="A7" s="11">
        <v>141</v>
      </c>
      <c r="B7" s="12" t="s">
        <v>114</v>
      </c>
      <c r="C7" s="13" t="s">
        <v>459</v>
      </c>
      <c r="D7" s="12" t="s">
        <v>460</v>
      </c>
      <c r="E7" s="12"/>
      <c r="F7" s="12" t="s">
        <v>3</v>
      </c>
      <c r="G7" s="14" t="s">
        <v>9</v>
      </c>
      <c r="H7" s="14">
        <v>1</v>
      </c>
    </row>
    <row r="8" spans="1:8">
      <c r="A8" s="15">
        <v>160</v>
      </c>
      <c r="B8" s="16" t="s">
        <v>114</v>
      </c>
      <c r="C8" s="17" t="s">
        <v>494</v>
      </c>
      <c r="D8" s="16" t="s">
        <v>495</v>
      </c>
      <c r="E8" s="16"/>
      <c r="F8" s="16" t="s">
        <v>3</v>
      </c>
      <c r="G8" s="18" t="s">
        <v>35</v>
      </c>
      <c r="H8" s="18">
        <v>1</v>
      </c>
    </row>
    <row r="9" spans="1:8">
      <c r="A9" s="11">
        <v>179</v>
      </c>
      <c r="B9" s="12" t="s">
        <v>114</v>
      </c>
      <c r="C9" s="13" t="s">
        <v>520</v>
      </c>
      <c r="D9" s="12" t="s">
        <v>521</v>
      </c>
      <c r="E9" s="12"/>
      <c r="F9" s="12" t="s">
        <v>3</v>
      </c>
      <c r="G9" s="14" t="s">
        <v>35</v>
      </c>
      <c r="H9" s="14">
        <v>1</v>
      </c>
    </row>
    <row r="10" spans="1:8">
      <c r="A10" s="15">
        <v>180</v>
      </c>
      <c r="B10" s="16" t="s">
        <v>114</v>
      </c>
      <c r="C10" s="17" t="s">
        <v>522</v>
      </c>
      <c r="D10" s="16" t="s">
        <v>523</v>
      </c>
      <c r="E10" s="16"/>
      <c r="F10" s="16" t="s">
        <v>3</v>
      </c>
      <c r="G10" s="18" t="s">
        <v>35</v>
      </c>
      <c r="H10" s="18">
        <v>1</v>
      </c>
    </row>
    <row r="11" spans="1:8">
      <c r="A11" s="11">
        <v>181</v>
      </c>
      <c r="B11" s="12" t="s">
        <v>114</v>
      </c>
      <c r="C11" s="13" t="s">
        <v>524</v>
      </c>
      <c r="D11" s="12" t="s">
        <v>525</v>
      </c>
      <c r="E11" s="12"/>
      <c r="F11" s="12" t="s">
        <v>3</v>
      </c>
      <c r="G11" s="14" t="s">
        <v>35</v>
      </c>
      <c r="H11" s="14">
        <v>1</v>
      </c>
    </row>
    <row r="12" spans="1:8">
      <c r="A12" s="15">
        <v>204</v>
      </c>
      <c r="B12" s="16" t="s">
        <v>114</v>
      </c>
      <c r="C12" s="17" t="s">
        <v>571</v>
      </c>
      <c r="D12" s="16" t="s">
        <v>572</v>
      </c>
      <c r="E12" s="16"/>
      <c r="F12" s="16" t="s">
        <v>3</v>
      </c>
      <c r="G12" s="18" t="s">
        <v>7</v>
      </c>
      <c r="H12" s="18">
        <v>1</v>
      </c>
    </row>
    <row r="13" spans="1:8">
      <c r="A13" s="16">
        <v>218</v>
      </c>
      <c r="B13" s="16" t="s">
        <v>114</v>
      </c>
      <c r="C13" s="17" t="s">
        <v>589</v>
      </c>
      <c r="D13" s="16" t="s">
        <v>590</v>
      </c>
      <c r="E13" s="16"/>
      <c r="F13" s="16" t="s">
        <v>8</v>
      </c>
      <c r="G13" s="16" t="s">
        <v>25</v>
      </c>
      <c r="H13" s="16">
        <v>0.2</v>
      </c>
    </row>
    <row r="14" spans="1:8">
      <c r="A14" s="11">
        <v>275</v>
      </c>
      <c r="B14" s="12" t="s">
        <v>114</v>
      </c>
      <c r="C14" s="13" t="s">
        <v>704</v>
      </c>
      <c r="D14" s="12" t="s">
        <v>705</v>
      </c>
      <c r="E14" s="12" t="s">
        <v>706</v>
      </c>
      <c r="F14" s="12" t="s">
        <v>3</v>
      </c>
      <c r="G14" s="14" t="s">
        <v>28</v>
      </c>
      <c r="H14" s="14">
        <v>1</v>
      </c>
    </row>
    <row r="15" spans="1:8">
      <c r="A15" s="15">
        <v>276</v>
      </c>
      <c r="B15" s="16" t="s">
        <v>114</v>
      </c>
      <c r="C15" s="17" t="s">
        <v>707</v>
      </c>
      <c r="D15" s="16" t="s">
        <v>708</v>
      </c>
      <c r="E15" s="16" t="s">
        <v>709</v>
      </c>
      <c r="F15" s="16" t="s">
        <v>3</v>
      </c>
      <c r="G15" s="18" t="s">
        <v>28</v>
      </c>
      <c r="H15" s="18">
        <v>1</v>
      </c>
    </row>
    <row r="16" spans="1:8">
      <c r="A16" s="15">
        <v>298</v>
      </c>
      <c r="B16" s="28" t="s">
        <v>114</v>
      </c>
      <c r="C16" s="38" t="s">
        <v>767</v>
      </c>
      <c r="D16" s="28" t="s">
        <v>768</v>
      </c>
      <c r="E16" s="28"/>
      <c r="F16" s="16" t="s">
        <v>3</v>
      </c>
      <c r="G16" s="37" t="s">
        <v>39</v>
      </c>
      <c r="H16" s="37">
        <v>12</v>
      </c>
    </row>
    <row r="17" spans="1:8">
      <c r="A17" s="11">
        <v>299</v>
      </c>
      <c r="B17" s="34" t="s">
        <v>114</v>
      </c>
      <c r="C17" s="39" t="s">
        <v>769</v>
      </c>
      <c r="D17" s="34" t="s">
        <v>770</v>
      </c>
      <c r="E17" s="34"/>
      <c r="F17" s="12" t="s">
        <v>3</v>
      </c>
      <c r="G17" s="36" t="s">
        <v>39</v>
      </c>
      <c r="H17" s="36">
        <v>6</v>
      </c>
    </row>
    <row r="18" spans="1:8">
      <c r="A18" s="15">
        <v>316</v>
      </c>
      <c r="B18" s="28" t="s">
        <v>114</v>
      </c>
      <c r="C18" s="38" t="s">
        <v>802</v>
      </c>
      <c r="D18" s="28" t="s">
        <v>803</v>
      </c>
      <c r="E18" s="28"/>
      <c r="F18" s="40" t="s">
        <v>3</v>
      </c>
      <c r="G18" s="37" t="s">
        <v>39</v>
      </c>
      <c r="H18" s="37">
        <v>20</v>
      </c>
    </row>
    <row r="19" spans="1:8">
      <c r="A19" s="15">
        <v>413</v>
      </c>
      <c r="B19" s="16" t="s">
        <v>114</v>
      </c>
      <c r="C19" s="17" t="s">
        <v>974</v>
      </c>
      <c r="D19" s="16" t="s">
        <v>975</v>
      </c>
      <c r="E19" s="16"/>
      <c r="F19" s="40" t="s">
        <v>3</v>
      </c>
      <c r="G19" s="40" t="s">
        <v>51</v>
      </c>
      <c r="H19" s="40">
        <v>1</v>
      </c>
    </row>
    <row r="20" spans="1:8">
      <c r="A20" s="11">
        <v>414</v>
      </c>
      <c r="B20" s="12" t="s">
        <v>114</v>
      </c>
      <c r="C20" s="13" t="s">
        <v>976</v>
      </c>
      <c r="D20" s="12" t="s">
        <v>977</v>
      </c>
      <c r="E20" s="12"/>
      <c r="F20" s="19" t="s">
        <v>3</v>
      </c>
      <c r="G20" s="19" t="s">
        <v>51</v>
      </c>
      <c r="H20" s="19">
        <v>1</v>
      </c>
    </row>
    <row r="21" spans="1:8">
      <c r="A21" s="11">
        <v>438</v>
      </c>
      <c r="B21" s="12" t="s">
        <v>114</v>
      </c>
      <c r="C21" s="13" t="s">
        <v>1022</v>
      </c>
      <c r="D21" s="12" t="s">
        <v>1023</v>
      </c>
      <c r="E21" s="12"/>
      <c r="F21" s="19" t="s">
        <v>18</v>
      </c>
      <c r="G21" s="19" t="s">
        <v>46</v>
      </c>
      <c r="H21" s="19">
        <v>10</v>
      </c>
    </row>
    <row r="22" spans="1:8">
      <c r="A22" s="15">
        <v>441</v>
      </c>
      <c r="B22" s="16" t="s">
        <v>114</v>
      </c>
      <c r="C22" s="17" t="s">
        <v>1028</v>
      </c>
      <c r="D22" s="16"/>
      <c r="E22" s="16"/>
      <c r="F22" s="40" t="s">
        <v>18</v>
      </c>
      <c r="G22" s="40" t="s">
        <v>64</v>
      </c>
      <c r="H22" s="40">
        <v>7</v>
      </c>
    </row>
    <row r="23" spans="1:8">
      <c r="A23" s="11">
        <v>508</v>
      </c>
      <c r="B23" s="12" t="s">
        <v>114</v>
      </c>
      <c r="C23" s="13" t="s">
        <v>1135</v>
      </c>
      <c r="D23" s="12" t="s">
        <v>1136</v>
      </c>
      <c r="E23" s="12"/>
      <c r="F23" s="19" t="s">
        <v>3</v>
      </c>
      <c r="G23" s="19" t="s">
        <v>49</v>
      </c>
      <c r="H23" s="19">
        <v>0.1</v>
      </c>
    </row>
    <row r="24" spans="1:8">
      <c r="A24" s="11">
        <v>516</v>
      </c>
      <c r="B24" s="12" t="s">
        <v>114</v>
      </c>
      <c r="C24" s="13" t="s">
        <v>1150</v>
      </c>
      <c r="D24" s="12"/>
      <c r="E24" s="12"/>
      <c r="F24" s="19" t="s">
        <v>3</v>
      </c>
      <c r="G24" s="19" t="s">
        <v>6</v>
      </c>
      <c r="H24" s="19">
        <v>1</v>
      </c>
    </row>
    <row r="25" spans="1:8">
      <c r="A25" s="15">
        <v>517</v>
      </c>
      <c r="B25" s="16" t="s">
        <v>114</v>
      </c>
      <c r="C25" s="17" t="s">
        <v>1151</v>
      </c>
      <c r="D25" s="16"/>
      <c r="E25" s="16"/>
      <c r="F25" s="40" t="s">
        <v>3</v>
      </c>
      <c r="G25" s="40" t="s">
        <v>6</v>
      </c>
      <c r="H25" s="40">
        <v>1</v>
      </c>
    </row>
    <row r="26" spans="1:8">
      <c r="A26" s="11">
        <v>518</v>
      </c>
      <c r="B26" s="12" t="s">
        <v>114</v>
      </c>
      <c r="C26" s="13" t="s">
        <v>1152</v>
      </c>
      <c r="D26" s="12"/>
      <c r="E26" s="12"/>
      <c r="F26" s="19" t="s">
        <v>3</v>
      </c>
      <c r="G26" s="19" t="s">
        <v>6</v>
      </c>
      <c r="H26" s="19">
        <v>2</v>
      </c>
    </row>
    <row r="27" spans="1:8">
      <c r="A27" s="15">
        <v>519</v>
      </c>
      <c r="B27" s="16" t="s">
        <v>114</v>
      </c>
      <c r="C27" s="17" t="s">
        <v>1153</v>
      </c>
      <c r="D27" s="16" t="s">
        <v>1154</v>
      </c>
      <c r="E27" s="16"/>
      <c r="F27" s="40" t="s">
        <v>3</v>
      </c>
      <c r="G27" s="40" t="s">
        <v>6</v>
      </c>
      <c r="H27" s="40">
        <v>2</v>
      </c>
    </row>
    <row r="28" spans="1:8">
      <c r="A28" s="11">
        <v>520</v>
      </c>
      <c r="B28" s="12" t="s">
        <v>114</v>
      </c>
      <c r="C28" s="13" t="s">
        <v>1155</v>
      </c>
      <c r="D28" s="12" t="s">
        <v>1156</v>
      </c>
      <c r="E28" s="12"/>
      <c r="F28" s="19" t="s">
        <v>3</v>
      </c>
      <c r="G28" s="19" t="s">
        <v>6</v>
      </c>
      <c r="H28" s="19">
        <v>4</v>
      </c>
    </row>
    <row r="29" spans="1:8">
      <c r="A29" s="11">
        <v>522</v>
      </c>
      <c r="B29" s="12" t="s">
        <v>114</v>
      </c>
      <c r="C29" s="13" t="s">
        <v>1158</v>
      </c>
      <c r="D29" s="12" t="s">
        <v>1159</v>
      </c>
      <c r="E29" s="12"/>
      <c r="F29" s="19" t="s">
        <v>3</v>
      </c>
      <c r="G29" s="19" t="s">
        <v>53</v>
      </c>
      <c r="H29" s="19">
        <v>1</v>
      </c>
    </row>
    <row r="30" spans="1:8">
      <c r="A30" s="11">
        <v>526</v>
      </c>
      <c r="B30" s="12" t="s">
        <v>114</v>
      </c>
      <c r="C30" s="13" t="s">
        <v>1163</v>
      </c>
      <c r="D30" s="12" t="s">
        <v>1164</v>
      </c>
      <c r="E30" s="12"/>
      <c r="F30" s="19" t="s">
        <v>3</v>
      </c>
      <c r="G30" s="19" t="s">
        <v>6</v>
      </c>
      <c r="H30" s="19">
        <v>1</v>
      </c>
    </row>
    <row r="31" spans="1:8">
      <c r="A31" s="15">
        <v>527</v>
      </c>
      <c r="B31" s="16" t="s">
        <v>114</v>
      </c>
      <c r="C31" s="17" t="s">
        <v>1165</v>
      </c>
      <c r="D31" s="16" t="s">
        <v>1166</v>
      </c>
      <c r="E31" s="16"/>
      <c r="F31" s="40" t="s">
        <v>3</v>
      </c>
      <c r="G31" s="40" t="s">
        <v>6</v>
      </c>
      <c r="H31" s="40">
        <v>1</v>
      </c>
    </row>
    <row r="32" spans="1:8">
      <c r="A32" s="11">
        <v>528</v>
      </c>
      <c r="B32" s="12" t="s">
        <v>114</v>
      </c>
      <c r="C32" s="13" t="s">
        <v>1167</v>
      </c>
      <c r="D32" s="12" t="s">
        <v>1168</v>
      </c>
      <c r="E32" s="12"/>
      <c r="F32" s="19" t="s">
        <v>3</v>
      </c>
      <c r="G32" s="19" t="s">
        <v>27</v>
      </c>
      <c r="H32" s="19">
        <v>1</v>
      </c>
    </row>
    <row r="33" spans="1:8">
      <c r="A33" s="11">
        <v>544</v>
      </c>
      <c r="B33" s="12" t="s">
        <v>114</v>
      </c>
      <c r="C33" s="13" t="s">
        <v>1194</v>
      </c>
      <c r="D33" s="12" t="s">
        <v>1195</v>
      </c>
      <c r="E33" s="12"/>
      <c r="F33" s="19" t="s">
        <v>3</v>
      </c>
      <c r="G33" s="19" t="s">
        <v>49</v>
      </c>
      <c r="H33" s="19">
        <v>1</v>
      </c>
    </row>
    <row r="34" spans="1:8">
      <c r="A34" s="42">
        <v>553</v>
      </c>
      <c r="B34" s="43"/>
      <c r="C34" s="44" t="s">
        <v>1209</v>
      </c>
      <c r="D34" s="43"/>
      <c r="E34" s="43"/>
      <c r="F34" s="45" t="s">
        <v>22</v>
      </c>
      <c r="G34" s="45"/>
      <c r="H34" s="40">
        <v>2</v>
      </c>
    </row>
    <row r="35" spans="1:8">
      <c r="A35" s="11">
        <v>558</v>
      </c>
      <c r="B35" s="12" t="s">
        <v>114</v>
      </c>
      <c r="C35" s="13" t="s">
        <v>1215</v>
      </c>
      <c r="D35" s="12" t="s">
        <v>1216</v>
      </c>
      <c r="E35" s="12"/>
      <c r="F35" s="19" t="s">
        <v>3</v>
      </c>
      <c r="G35" s="19" t="s">
        <v>34</v>
      </c>
      <c r="H35" s="19">
        <v>2</v>
      </c>
    </row>
    <row r="36" spans="1:8">
      <c r="A36" s="15">
        <v>559</v>
      </c>
      <c r="B36" s="16" t="s">
        <v>114</v>
      </c>
      <c r="C36" s="17" t="s">
        <v>1217</v>
      </c>
      <c r="D36" s="16" t="s">
        <v>1218</v>
      </c>
      <c r="E36" s="16"/>
      <c r="F36" s="40" t="s">
        <v>3</v>
      </c>
      <c r="G36" s="40" t="s">
        <v>34</v>
      </c>
      <c r="H36" s="40">
        <v>2</v>
      </c>
    </row>
    <row r="37" spans="1:8">
      <c r="A37" s="11">
        <v>560</v>
      </c>
      <c r="B37" s="12" t="s">
        <v>114</v>
      </c>
      <c r="C37" s="13" t="s">
        <v>1219</v>
      </c>
      <c r="D37" s="12" t="s">
        <v>1220</v>
      </c>
      <c r="E37" s="12"/>
      <c r="F37" s="19" t="s">
        <v>3</v>
      </c>
      <c r="G37" s="19" t="s">
        <v>34</v>
      </c>
      <c r="H37" s="19">
        <v>2</v>
      </c>
    </row>
    <row r="38" spans="1:8">
      <c r="A38" s="42">
        <v>561</v>
      </c>
      <c r="B38" s="43"/>
      <c r="C38" s="44" t="s">
        <v>1221</v>
      </c>
      <c r="D38" s="43"/>
      <c r="E38" s="43"/>
      <c r="F38" s="45"/>
      <c r="G38" s="45"/>
      <c r="H38" s="40">
        <v>2</v>
      </c>
    </row>
    <row r="39" spans="1:8">
      <c r="A39" s="15">
        <v>716</v>
      </c>
      <c r="B39" s="52" t="s">
        <v>114</v>
      </c>
      <c r="C39" s="53" t="s">
        <v>106</v>
      </c>
      <c r="E39" s="16">
        <v>31</v>
      </c>
      <c r="F39" s="40" t="s">
        <v>3</v>
      </c>
      <c r="G39" s="40" t="s">
        <v>27</v>
      </c>
      <c r="H39" s="40">
        <v>1</v>
      </c>
    </row>
  </sheetData>
  <conditionalFormatting sqref="H2:H39">
    <cfRule type="notContainsBlanks" dxfId="39" priority="1">
      <formula>LEN(TRIM(H2))&gt;0</formula>
    </cfRule>
  </conditionalFormatting>
  <dataValidations count="1">
    <dataValidation type="list" allowBlank="1" sqref="F2:G39" xr:uid="{CDAEE1A1-7F68-470C-A461-779C02356610}">
      <formula1>#REF!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ABAE8-C18B-4637-A87E-0888317F7F43}">
  <dimension ref="A1:H12"/>
  <sheetViews>
    <sheetView workbookViewId="0">
      <selection activeCell="A2" sqref="A2:XFD2"/>
    </sheetView>
  </sheetViews>
  <sheetFormatPr defaultRowHeight="14.5"/>
  <cols>
    <col min="1" max="1" width="5.81640625" bestFit="1" customWidth="1"/>
    <col min="3" max="3" width="46.453125" bestFit="1" customWidth="1"/>
    <col min="4" max="4" width="30.1796875" bestFit="1" customWidth="1"/>
    <col min="5" max="5" width="14.453125" bestFit="1" customWidth="1"/>
    <col min="6" max="6" width="8.453125" bestFit="1" customWidth="1"/>
    <col min="7" max="7" width="33" bestFit="1" customWidth="1"/>
  </cols>
  <sheetData>
    <row r="1" spans="1:8" ht="52">
      <c r="A1" s="7" t="s">
        <v>71</v>
      </c>
      <c r="B1" s="7" t="s">
        <v>72</v>
      </c>
      <c r="C1" s="7" t="s">
        <v>73</v>
      </c>
      <c r="D1" s="7" t="s">
        <v>74</v>
      </c>
      <c r="E1" s="7" t="s">
        <v>75</v>
      </c>
      <c r="F1" s="7" t="s">
        <v>76</v>
      </c>
      <c r="G1" s="7" t="s">
        <v>0</v>
      </c>
      <c r="H1" s="8" t="s">
        <v>86</v>
      </c>
    </row>
    <row r="2" spans="1:8">
      <c r="A2" s="11">
        <v>15</v>
      </c>
      <c r="B2" s="12" t="s">
        <v>114</v>
      </c>
      <c r="C2" s="13" t="s">
        <v>155</v>
      </c>
      <c r="D2" s="12" t="s">
        <v>156</v>
      </c>
      <c r="E2" s="14" t="s">
        <v>157</v>
      </c>
      <c r="F2" s="12" t="s">
        <v>3</v>
      </c>
      <c r="G2" s="14" t="s">
        <v>4</v>
      </c>
      <c r="H2" s="14">
        <v>1</v>
      </c>
    </row>
    <row r="3" spans="1:8">
      <c r="A3" s="15">
        <v>16</v>
      </c>
      <c r="B3" s="16" t="s">
        <v>114</v>
      </c>
      <c r="C3" s="17" t="s">
        <v>158</v>
      </c>
      <c r="D3" s="16" t="s">
        <v>159</v>
      </c>
      <c r="E3" s="18" t="s">
        <v>160</v>
      </c>
      <c r="F3" s="16" t="s">
        <v>3</v>
      </c>
      <c r="G3" s="18" t="s">
        <v>4</v>
      </c>
      <c r="H3" s="18">
        <v>1</v>
      </c>
    </row>
    <row r="4" spans="1:8">
      <c r="A4" s="11">
        <v>21</v>
      </c>
      <c r="B4" s="12" t="s">
        <v>114</v>
      </c>
      <c r="C4" s="13" t="s">
        <v>173</v>
      </c>
      <c r="D4" s="12" t="s">
        <v>174</v>
      </c>
      <c r="E4" s="12"/>
      <c r="F4" s="12" t="s">
        <v>8</v>
      </c>
      <c r="G4" s="14" t="s">
        <v>4</v>
      </c>
      <c r="H4" s="14">
        <v>0.23</v>
      </c>
    </row>
    <row r="5" spans="1:8">
      <c r="A5" s="11">
        <v>22</v>
      </c>
      <c r="B5" s="12" t="s">
        <v>114</v>
      </c>
      <c r="C5" s="13" t="s">
        <v>175</v>
      </c>
      <c r="D5" s="12" t="s">
        <v>176</v>
      </c>
      <c r="E5" s="12"/>
      <c r="F5" s="12" t="s">
        <v>8</v>
      </c>
      <c r="G5" s="14" t="s">
        <v>4</v>
      </c>
      <c r="H5" s="18">
        <v>0.35</v>
      </c>
    </row>
    <row r="6" spans="1:8">
      <c r="A6" s="11">
        <v>117</v>
      </c>
      <c r="B6" s="12" t="s">
        <v>114</v>
      </c>
      <c r="C6" s="13" t="s">
        <v>401</v>
      </c>
      <c r="D6" s="12" t="s">
        <v>402</v>
      </c>
      <c r="E6" s="12" t="s">
        <v>403</v>
      </c>
      <c r="F6" s="12" t="s">
        <v>3</v>
      </c>
      <c r="G6" s="14" t="s">
        <v>16</v>
      </c>
      <c r="H6" s="14">
        <v>1</v>
      </c>
    </row>
    <row r="7" spans="1:8">
      <c r="A7" s="16">
        <v>218</v>
      </c>
      <c r="B7" s="16" t="s">
        <v>114</v>
      </c>
      <c r="C7" s="17" t="s">
        <v>589</v>
      </c>
      <c r="D7" s="16" t="s">
        <v>590</v>
      </c>
      <c r="E7" s="16"/>
      <c r="F7" s="16" t="s">
        <v>8</v>
      </c>
      <c r="G7" s="16" t="s">
        <v>25</v>
      </c>
      <c r="H7" s="16">
        <v>0.3</v>
      </c>
    </row>
    <row r="8" spans="1:8">
      <c r="A8" s="11">
        <v>277</v>
      </c>
      <c r="B8" s="12" t="s">
        <v>114</v>
      </c>
      <c r="C8" s="13" t="s">
        <v>710</v>
      </c>
      <c r="D8" s="12" t="s">
        <v>711</v>
      </c>
      <c r="E8" s="12" t="s">
        <v>712</v>
      </c>
      <c r="F8" s="12" t="s">
        <v>3</v>
      </c>
      <c r="G8" s="14" t="s">
        <v>28</v>
      </c>
      <c r="H8" s="14">
        <v>1</v>
      </c>
    </row>
    <row r="9" spans="1:8">
      <c r="A9" s="11">
        <v>398</v>
      </c>
      <c r="B9" s="12" t="s">
        <v>114</v>
      </c>
      <c r="C9" s="13" t="s">
        <v>949</v>
      </c>
      <c r="D9" s="12" t="s">
        <v>950</v>
      </c>
      <c r="E9" s="12"/>
      <c r="F9" s="12" t="s">
        <v>13</v>
      </c>
      <c r="G9" s="14" t="s">
        <v>40</v>
      </c>
      <c r="H9" s="14">
        <v>20</v>
      </c>
    </row>
    <row r="10" spans="1:8">
      <c r="A10" s="11">
        <v>420</v>
      </c>
      <c r="B10" s="12" t="s">
        <v>114</v>
      </c>
      <c r="C10" s="13" t="s">
        <v>986</v>
      </c>
      <c r="D10" s="12" t="s">
        <v>987</v>
      </c>
      <c r="E10" s="12"/>
      <c r="F10" s="19" t="s">
        <v>22</v>
      </c>
      <c r="G10" s="19" t="s">
        <v>45</v>
      </c>
      <c r="H10" s="19">
        <v>3.5</v>
      </c>
    </row>
    <row r="11" spans="1:8">
      <c r="A11" s="15">
        <v>421</v>
      </c>
      <c r="B11" s="16" t="s">
        <v>114</v>
      </c>
      <c r="C11" s="17" t="s">
        <v>988</v>
      </c>
      <c r="D11" s="16" t="s">
        <v>989</v>
      </c>
      <c r="E11" s="16"/>
      <c r="F11" s="40" t="s">
        <v>22</v>
      </c>
      <c r="G11" s="40" t="s">
        <v>45</v>
      </c>
      <c r="H11" s="40">
        <v>3.5</v>
      </c>
    </row>
    <row r="12" spans="1:8">
      <c r="A12" s="15">
        <v>427</v>
      </c>
      <c r="B12" s="16" t="s">
        <v>114</v>
      </c>
      <c r="C12" s="17" t="s">
        <v>1000</v>
      </c>
      <c r="D12" s="16" t="s">
        <v>1001</v>
      </c>
      <c r="E12" s="16"/>
      <c r="F12" s="40" t="s">
        <v>22</v>
      </c>
      <c r="G12" s="40" t="s">
        <v>45</v>
      </c>
      <c r="H12" s="40">
        <v>9</v>
      </c>
    </row>
  </sheetData>
  <conditionalFormatting sqref="H2:H12">
    <cfRule type="notContainsBlanks" dxfId="38" priority="1">
      <formula>LEN(TRIM(H2))&gt;0</formula>
    </cfRule>
  </conditionalFormatting>
  <dataValidations count="1">
    <dataValidation type="list" allowBlank="1" sqref="F2:G12" xr:uid="{A4B2ED67-48F0-453A-8E1C-B06070154B39}">
      <formula1>#REF!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7C68-5884-48B4-90D2-81D3F83D96B2}">
  <dimension ref="A1:H12"/>
  <sheetViews>
    <sheetView workbookViewId="0">
      <selection activeCell="D15" sqref="D15"/>
    </sheetView>
  </sheetViews>
  <sheetFormatPr defaultRowHeight="14.5"/>
  <cols>
    <col min="1" max="1" width="5.81640625" bestFit="1" customWidth="1"/>
    <col min="3" max="3" width="46.453125" bestFit="1" customWidth="1"/>
    <col min="4" max="4" width="30.1796875" bestFit="1" customWidth="1"/>
    <col min="5" max="5" width="14.453125" bestFit="1" customWidth="1"/>
    <col min="6" max="6" width="8.453125" bestFit="1" customWidth="1"/>
    <col min="7" max="7" width="33" bestFit="1" customWidth="1"/>
  </cols>
  <sheetData>
    <row r="1" spans="1:8" ht="52">
      <c r="A1" s="7" t="s">
        <v>71</v>
      </c>
      <c r="B1" s="7" t="s">
        <v>72</v>
      </c>
      <c r="C1" s="7" t="s">
        <v>73</v>
      </c>
      <c r="D1" s="7" t="s">
        <v>74</v>
      </c>
      <c r="E1" s="7" t="s">
        <v>75</v>
      </c>
      <c r="F1" s="7" t="s">
        <v>76</v>
      </c>
      <c r="G1" s="7" t="s">
        <v>0</v>
      </c>
      <c r="H1" s="8" t="s">
        <v>85</v>
      </c>
    </row>
    <row r="2" spans="1:8">
      <c r="A2" s="11">
        <v>15</v>
      </c>
      <c r="B2" s="12" t="s">
        <v>114</v>
      </c>
      <c r="C2" s="13" t="s">
        <v>155</v>
      </c>
      <c r="D2" s="12" t="s">
        <v>156</v>
      </c>
      <c r="E2" s="14" t="s">
        <v>157</v>
      </c>
      <c r="F2" s="12" t="s">
        <v>3</v>
      </c>
      <c r="G2" s="14" t="s">
        <v>4</v>
      </c>
      <c r="H2" s="14">
        <v>1</v>
      </c>
    </row>
    <row r="3" spans="1:8">
      <c r="A3" s="15">
        <v>16</v>
      </c>
      <c r="B3" s="16" t="s">
        <v>114</v>
      </c>
      <c r="C3" s="17" t="s">
        <v>158</v>
      </c>
      <c r="D3" s="16" t="s">
        <v>159</v>
      </c>
      <c r="E3" s="18" t="s">
        <v>160</v>
      </c>
      <c r="F3" s="16" t="s">
        <v>3</v>
      </c>
      <c r="G3" s="18" t="s">
        <v>4</v>
      </c>
      <c r="H3" s="18">
        <v>1</v>
      </c>
    </row>
    <row r="4" spans="1:8">
      <c r="A4" s="11">
        <v>21</v>
      </c>
      <c r="B4" s="12" t="s">
        <v>114</v>
      </c>
      <c r="C4" s="13" t="s">
        <v>173</v>
      </c>
      <c r="D4" s="12" t="s">
        <v>174</v>
      </c>
      <c r="E4" s="12"/>
      <c r="F4" s="12" t="s">
        <v>8</v>
      </c>
      <c r="G4" s="14" t="s">
        <v>4</v>
      </c>
      <c r="H4" s="14">
        <v>0.23</v>
      </c>
    </row>
    <row r="5" spans="1:8">
      <c r="A5" s="11">
        <v>22</v>
      </c>
      <c r="B5" s="12" t="s">
        <v>114</v>
      </c>
      <c r="C5" s="13" t="s">
        <v>175</v>
      </c>
      <c r="D5" s="12" t="s">
        <v>176</v>
      </c>
      <c r="E5" s="12"/>
      <c r="F5" s="12" t="s">
        <v>8</v>
      </c>
      <c r="G5" s="14" t="s">
        <v>4</v>
      </c>
      <c r="H5" s="18">
        <v>0.35</v>
      </c>
    </row>
    <row r="6" spans="1:8">
      <c r="A6" s="11">
        <v>117</v>
      </c>
      <c r="B6" s="12" t="s">
        <v>114</v>
      </c>
      <c r="C6" s="13" t="s">
        <v>401</v>
      </c>
      <c r="D6" s="12" t="s">
        <v>402</v>
      </c>
      <c r="E6" s="12" t="s">
        <v>403</v>
      </c>
      <c r="F6" s="12" t="s">
        <v>3</v>
      </c>
      <c r="G6" s="14" t="s">
        <v>16</v>
      </c>
      <c r="H6" s="14">
        <v>1</v>
      </c>
    </row>
    <row r="7" spans="1:8">
      <c r="A7" s="16">
        <v>218</v>
      </c>
      <c r="B7" s="16" t="s">
        <v>114</v>
      </c>
      <c r="C7" s="17" t="s">
        <v>589</v>
      </c>
      <c r="D7" s="16" t="s">
        <v>590</v>
      </c>
      <c r="E7" s="16"/>
      <c r="F7" s="16" t="s">
        <v>8</v>
      </c>
      <c r="G7" s="16" t="s">
        <v>25</v>
      </c>
      <c r="H7" s="16">
        <v>0.3</v>
      </c>
    </row>
    <row r="8" spans="1:8">
      <c r="A8" s="11">
        <v>277</v>
      </c>
      <c r="B8" s="12" t="s">
        <v>114</v>
      </c>
      <c r="C8" s="13" t="s">
        <v>710</v>
      </c>
      <c r="D8" s="12" t="s">
        <v>711</v>
      </c>
      <c r="E8" s="12" t="s">
        <v>712</v>
      </c>
      <c r="F8" s="12" t="s">
        <v>3</v>
      </c>
      <c r="G8" s="14" t="s">
        <v>28</v>
      </c>
      <c r="H8" s="14">
        <v>1</v>
      </c>
    </row>
    <row r="9" spans="1:8">
      <c r="A9" s="11">
        <v>398</v>
      </c>
      <c r="B9" s="12" t="s">
        <v>114</v>
      </c>
      <c r="C9" s="13" t="s">
        <v>949</v>
      </c>
      <c r="D9" s="12" t="s">
        <v>950</v>
      </c>
      <c r="E9" s="12"/>
      <c r="F9" s="12" t="s">
        <v>13</v>
      </c>
      <c r="G9" s="14" t="s">
        <v>40</v>
      </c>
      <c r="H9" s="14">
        <v>20</v>
      </c>
    </row>
    <row r="10" spans="1:8">
      <c r="A10" s="11">
        <v>420</v>
      </c>
      <c r="B10" s="12" t="s">
        <v>114</v>
      </c>
      <c r="C10" s="13" t="s">
        <v>986</v>
      </c>
      <c r="D10" s="12" t="s">
        <v>987</v>
      </c>
      <c r="E10" s="12"/>
      <c r="F10" s="19" t="s">
        <v>22</v>
      </c>
      <c r="G10" s="19" t="s">
        <v>45</v>
      </c>
      <c r="H10" s="19">
        <v>3.5</v>
      </c>
    </row>
    <row r="11" spans="1:8">
      <c r="A11" s="15">
        <v>421</v>
      </c>
      <c r="B11" s="16" t="s">
        <v>114</v>
      </c>
      <c r="C11" s="17" t="s">
        <v>988</v>
      </c>
      <c r="D11" s="16" t="s">
        <v>989</v>
      </c>
      <c r="E11" s="16"/>
      <c r="F11" s="40" t="s">
        <v>22</v>
      </c>
      <c r="G11" s="40" t="s">
        <v>45</v>
      </c>
      <c r="H11" s="40">
        <v>3.5</v>
      </c>
    </row>
    <row r="12" spans="1:8">
      <c r="A12" s="15">
        <v>427</v>
      </c>
      <c r="B12" s="16" t="s">
        <v>114</v>
      </c>
      <c r="C12" s="17" t="s">
        <v>1000</v>
      </c>
      <c r="D12" s="16" t="s">
        <v>1001</v>
      </c>
      <c r="E12" s="16"/>
      <c r="F12" s="40" t="s">
        <v>22</v>
      </c>
      <c r="G12" s="40" t="s">
        <v>45</v>
      </c>
      <c r="H12" s="40">
        <v>9</v>
      </c>
    </row>
  </sheetData>
  <conditionalFormatting sqref="H2:H12">
    <cfRule type="notContainsBlanks" dxfId="37" priority="1">
      <formula>LEN(TRIM(H2))&gt;0</formula>
    </cfRule>
  </conditionalFormatting>
  <dataValidations count="1">
    <dataValidation type="list" allowBlank="1" sqref="F2:G12" xr:uid="{380534F2-0392-43DC-9210-F18CF0FC9D9A}">
      <formula1>#REF!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D767A-2B34-4B90-B922-3B1F519E8684}">
  <dimension ref="A1:H8"/>
  <sheetViews>
    <sheetView workbookViewId="0">
      <selection activeCell="B11" sqref="B11"/>
    </sheetView>
  </sheetViews>
  <sheetFormatPr defaultRowHeight="14.5"/>
  <cols>
    <col min="1" max="1" width="5.81640625" bestFit="1" customWidth="1"/>
    <col min="3" max="3" width="32.7265625" bestFit="1" customWidth="1"/>
    <col min="4" max="4" width="35.453125" bestFit="1" customWidth="1"/>
    <col min="5" max="5" width="8.7265625" bestFit="1" customWidth="1"/>
    <col min="6" max="6" width="8.453125" bestFit="1" customWidth="1"/>
    <col min="7" max="7" width="15.1796875" bestFit="1" customWidth="1"/>
  </cols>
  <sheetData>
    <row r="1" spans="1:8" ht="52">
      <c r="A1" s="7" t="s">
        <v>71</v>
      </c>
      <c r="B1" s="7" t="s">
        <v>72</v>
      </c>
      <c r="C1" s="7" t="s">
        <v>73</v>
      </c>
      <c r="D1" s="7" t="s">
        <v>74</v>
      </c>
      <c r="E1" s="7" t="s">
        <v>75</v>
      </c>
      <c r="F1" s="7" t="s">
        <v>76</v>
      </c>
      <c r="G1" s="7" t="s">
        <v>0</v>
      </c>
      <c r="H1" s="8" t="s">
        <v>84</v>
      </c>
    </row>
    <row r="2" spans="1:8">
      <c r="A2" s="10"/>
      <c r="B2" s="8" t="s">
        <v>114</v>
      </c>
      <c r="C2" s="8"/>
      <c r="D2" s="8"/>
      <c r="E2" s="8"/>
      <c r="F2" s="8"/>
      <c r="G2" s="8"/>
      <c r="H2" s="9">
        <v>8</v>
      </c>
    </row>
    <row r="3" spans="1:8" ht="29">
      <c r="A3" s="11">
        <v>69</v>
      </c>
      <c r="B3" s="12" t="s">
        <v>114</v>
      </c>
      <c r="C3" s="13" t="s">
        <v>285</v>
      </c>
      <c r="D3" s="12" t="s">
        <v>286</v>
      </c>
      <c r="E3" s="12"/>
      <c r="F3" s="12" t="s">
        <v>3</v>
      </c>
      <c r="G3" s="14" t="s">
        <v>69</v>
      </c>
      <c r="H3" s="14">
        <v>12</v>
      </c>
    </row>
    <row r="4" spans="1:8">
      <c r="A4" s="11">
        <v>73</v>
      </c>
      <c r="B4" s="12" t="s">
        <v>114</v>
      </c>
      <c r="C4" s="13" t="s">
        <v>296</v>
      </c>
      <c r="D4" s="12" t="s">
        <v>297</v>
      </c>
      <c r="E4" s="12"/>
      <c r="F4" s="12" t="s">
        <v>3</v>
      </c>
      <c r="G4" s="14" t="s">
        <v>59</v>
      </c>
      <c r="H4" s="14">
        <v>18</v>
      </c>
    </row>
    <row r="5" spans="1:8">
      <c r="A5" s="15">
        <v>393</v>
      </c>
      <c r="B5" s="16" t="s">
        <v>114</v>
      </c>
      <c r="C5" s="17" t="s">
        <v>944</v>
      </c>
      <c r="D5" s="16"/>
      <c r="E5" s="16"/>
      <c r="F5" s="40" t="s">
        <v>22</v>
      </c>
      <c r="G5" s="40" t="s">
        <v>40</v>
      </c>
      <c r="H5" s="40">
        <v>35</v>
      </c>
    </row>
    <row r="6" spans="1:8">
      <c r="A6" s="11">
        <v>394</v>
      </c>
      <c r="B6" s="12" t="s">
        <v>114</v>
      </c>
      <c r="C6" s="13" t="s">
        <v>945</v>
      </c>
      <c r="D6" s="12"/>
      <c r="E6" s="12"/>
      <c r="F6" s="19" t="s">
        <v>3</v>
      </c>
      <c r="G6" s="19" t="s">
        <v>40</v>
      </c>
      <c r="H6" s="19">
        <v>18</v>
      </c>
    </row>
    <row r="7" spans="1:8" ht="15" thickBot="1">
      <c r="A7" s="11">
        <v>398</v>
      </c>
      <c r="B7" s="12" t="s">
        <v>114</v>
      </c>
      <c r="C7" s="13" t="s">
        <v>949</v>
      </c>
      <c r="D7" s="12" t="s">
        <v>950</v>
      </c>
      <c r="E7" s="12"/>
      <c r="F7" s="12" t="s">
        <v>13</v>
      </c>
      <c r="G7" s="14" t="s">
        <v>40</v>
      </c>
      <c r="H7" s="14">
        <v>10</v>
      </c>
    </row>
    <row r="8" spans="1:8" ht="15" thickBot="1">
      <c r="A8" s="11">
        <v>691</v>
      </c>
      <c r="B8" s="54" t="s">
        <v>114</v>
      </c>
      <c r="C8" s="236" t="s">
        <v>83</v>
      </c>
      <c r="D8" s="237" t="s">
        <v>1371</v>
      </c>
      <c r="E8" s="237">
        <v>7</v>
      </c>
      <c r="F8" s="238" t="s">
        <v>3</v>
      </c>
      <c r="G8" s="238" t="s">
        <v>27</v>
      </c>
      <c r="H8" s="19">
        <v>5</v>
      </c>
    </row>
  </sheetData>
  <conditionalFormatting sqref="H2:H8">
    <cfRule type="notContainsBlanks" dxfId="36" priority="1">
      <formula>LEN(TRIM(H2))&gt;0</formula>
    </cfRule>
  </conditionalFormatting>
  <dataValidations count="1">
    <dataValidation type="list" allowBlank="1" sqref="F3:G7" xr:uid="{221AA660-1514-497C-9963-0DA3DD783E0E}">
      <formula1>#REF!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3CC0A-1E86-4212-8119-7D88EED3CA90}">
  <dimension ref="A1:H3"/>
  <sheetViews>
    <sheetView workbookViewId="0">
      <selection activeCell="D8" sqref="D8"/>
    </sheetView>
  </sheetViews>
  <sheetFormatPr defaultRowHeight="14.5"/>
  <sheetData>
    <row r="1" spans="1:8" ht="52">
      <c r="A1" s="7" t="s">
        <v>71</v>
      </c>
      <c r="B1" s="7" t="s">
        <v>72</v>
      </c>
      <c r="C1" s="7" t="s">
        <v>73</v>
      </c>
      <c r="D1" s="7" t="s">
        <v>74</v>
      </c>
      <c r="E1" s="7" t="s">
        <v>75</v>
      </c>
      <c r="F1" s="7" t="s">
        <v>76</v>
      </c>
      <c r="G1" s="7" t="s">
        <v>0</v>
      </c>
      <c r="H1" s="8" t="s">
        <v>83</v>
      </c>
    </row>
    <row r="2" spans="1:8">
      <c r="A2" s="11">
        <v>391</v>
      </c>
      <c r="B2" s="12" t="s">
        <v>114</v>
      </c>
      <c r="C2" s="13" t="s">
        <v>941</v>
      </c>
      <c r="D2" s="12" t="s">
        <v>942</v>
      </c>
      <c r="E2" s="12"/>
      <c r="F2" s="19" t="s">
        <v>3</v>
      </c>
      <c r="G2" s="19" t="s">
        <v>12</v>
      </c>
      <c r="H2" s="19">
        <v>5</v>
      </c>
    </row>
    <row r="3" spans="1:8" ht="43.5">
      <c r="A3" s="11">
        <v>398</v>
      </c>
      <c r="B3" s="12" t="s">
        <v>114</v>
      </c>
      <c r="C3" s="13" t="s">
        <v>949</v>
      </c>
      <c r="D3" s="12" t="s">
        <v>950</v>
      </c>
      <c r="E3" s="12"/>
      <c r="F3" s="12" t="s">
        <v>13</v>
      </c>
      <c r="G3" s="14" t="s">
        <v>40</v>
      </c>
      <c r="H3" s="14">
        <v>20</v>
      </c>
    </row>
  </sheetData>
  <conditionalFormatting sqref="H2:H3">
    <cfRule type="notContainsBlanks" dxfId="35" priority="1">
      <formula>LEN(TRIM(H2))&gt;0</formula>
    </cfRule>
  </conditionalFormatting>
  <dataValidations count="1">
    <dataValidation type="list" allowBlank="1" sqref="F2:G3" xr:uid="{9A1114A9-522E-4F81-B4B9-CAB5BE8F2F3F}">
      <formula1>#REF!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792DC-167A-4E0C-880F-FDA6D0B54EE0}">
  <dimension ref="A1:H10"/>
  <sheetViews>
    <sheetView workbookViewId="0">
      <selection activeCell="C13" sqref="C13"/>
    </sheetView>
  </sheetViews>
  <sheetFormatPr defaultRowHeight="14.5"/>
  <cols>
    <col min="1" max="1" width="5.81640625" bestFit="1" customWidth="1"/>
    <col min="3" max="3" width="44.1796875" bestFit="1" customWidth="1"/>
    <col min="4" max="4" width="30.81640625" bestFit="1" customWidth="1"/>
    <col min="5" max="5" width="15.26953125" bestFit="1" customWidth="1"/>
    <col min="6" max="6" width="8.453125" bestFit="1" customWidth="1"/>
    <col min="7" max="7" width="33" bestFit="1" customWidth="1"/>
  </cols>
  <sheetData>
    <row r="1" spans="1:8" ht="39">
      <c r="A1" s="7" t="s">
        <v>71</v>
      </c>
      <c r="B1" s="7" t="s">
        <v>72</v>
      </c>
      <c r="C1" s="7" t="s">
        <v>73</v>
      </c>
      <c r="D1" s="7" t="s">
        <v>74</v>
      </c>
      <c r="E1" s="7" t="s">
        <v>75</v>
      </c>
      <c r="F1" s="7" t="s">
        <v>76</v>
      </c>
      <c r="G1" s="7" t="s">
        <v>0</v>
      </c>
      <c r="H1" s="8" t="s">
        <v>82</v>
      </c>
    </row>
    <row r="2" spans="1:8">
      <c r="A2" s="15">
        <v>14</v>
      </c>
      <c r="B2" s="16" t="s">
        <v>114</v>
      </c>
      <c r="C2" s="17" t="s">
        <v>152</v>
      </c>
      <c r="D2" s="16" t="s">
        <v>153</v>
      </c>
      <c r="E2" s="16" t="s">
        <v>154</v>
      </c>
      <c r="F2" s="16" t="s">
        <v>3</v>
      </c>
      <c r="G2" s="18" t="s">
        <v>4</v>
      </c>
      <c r="H2" s="18">
        <v>1</v>
      </c>
    </row>
    <row r="3" spans="1:8">
      <c r="A3" s="11">
        <v>81</v>
      </c>
      <c r="B3" s="12" t="s">
        <v>114</v>
      </c>
      <c r="C3" s="13" t="s">
        <v>312</v>
      </c>
      <c r="D3" s="12" t="s">
        <v>313</v>
      </c>
      <c r="E3" s="12"/>
      <c r="F3" s="12" t="s">
        <v>314</v>
      </c>
      <c r="G3" s="14" t="s">
        <v>9</v>
      </c>
      <c r="H3" s="14">
        <v>5</v>
      </c>
    </row>
    <row r="4" spans="1:8">
      <c r="A4" s="16">
        <v>218</v>
      </c>
      <c r="B4" s="16" t="s">
        <v>114</v>
      </c>
      <c r="C4" s="17" t="s">
        <v>589</v>
      </c>
      <c r="D4" s="16" t="s">
        <v>590</v>
      </c>
      <c r="E4" s="16"/>
      <c r="F4" s="16" t="s">
        <v>8</v>
      </c>
      <c r="G4" s="16" t="s">
        <v>25</v>
      </c>
      <c r="H4" s="16">
        <v>0.8</v>
      </c>
    </row>
    <row r="5" spans="1:8">
      <c r="A5" s="15">
        <v>268</v>
      </c>
      <c r="B5" s="16" t="s">
        <v>114</v>
      </c>
      <c r="C5" s="17" t="s">
        <v>685</v>
      </c>
      <c r="D5" s="16" t="s">
        <v>686</v>
      </c>
      <c r="E5" s="28" t="s">
        <v>687</v>
      </c>
      <c r="F5" s="16" t="s">
        <v>3</v>
      </c>
      <c r="G5" s="18" t="s">
        <v>28</v>
      </c>
      <c r="H5" s="18">
        <v>1</v>
      </c>
    </row>
    <row r="6" spans="1:8">
      <c r="A6" s="11">
        <v>275</v>
      </c>
      <c r="B6" s="12" t="s">
        <v>114</v>
      </c>
      <c r="C6" s="13" t="s">
        <v>704</v>
      </c>
      <c r="D6" s="12" t="s">
        <v>705</v>
      </c>
      <c r="E6" s="12" t="s">
        <v>706</v>
      </c>
      <c r="F6" s="12" t="s">
        <v>3</v>
      </c>
      <c r="G6" s="14" t="s">
        <v>28</v>
      </c>
      <c r="H6" s="14">
        <v>1</v>
      </c>
    </row>
    <row r="7" spans="1:8">
      <c r="A7" s="11">
        <v>293</v>
      </c>
      <c r="B7" s="12" t="s">
        <v>114</v>
      </c>
      <c r="C7" s="13" t="s">
        <v>752</v>
      </c>
      <c r="D7" s="12" t="s">
        <v>753</v>
      </c>
      <c r="E7" s="12" t="s">
        <v>754</v>
      </c>
      <c r="F7" s="12" t="s">
        <v>3</v>
      </c>
      <c r="G7" s="36" t="s">
        <v>38</v>
      </c>
      <c r="H7" s="36">
        <v>1</v>
      </c>
    </row>
    <row r="8" spans="1:8">
      <c r="A8" s="15">
        <v>423</v>
      </c>
      <c r="B8" s="16" t="s">
        <v>114</v>
      </c>
      <c r="C8" s="17" t="s">
        <v>992</v>
      </c>
      <c r="D8" s="16" t="s">
        <v>993</v>
      </c>
      <c r="E8" s="16"/>
      <c r="F8" s="40" t="s">
        <v>22</v>
      </c>
      <c r="G8" s="40" t="s">
        <v>45</v>
      </c>
      <c r="H8" s="40">
        <v>6</v>
      </c>
    </row>
    <row r="9" spans="1:8">
      <c r="A9" s="15">
        <v>427</v>
      </c>
      <c r="B9" s="16" t="s">
        <v>114</v>
      </c>
      <c r="C9" s="17" t="s">
        <v>1000</v>
      </c>
      <c r="D9" s="16" t="s">
        <v>1001</v>
      </c>
      <c r="E9" s="16"/>
      <c r="F9" s="40" t="s">
        <v>22</v>
      </c>
      <c r="G9" s="40" t="s">
        <v>45</v>
      </c>
      <c r="H9" s="40">
        <v>25</v>
      </c>
    </row>
    <row r="10" spans="1:8">
      <c r="A10" s="15">
        <v>690</v>
      </c>
      <c r="B10" s="52" t="s">
        <v>114</v>
      </c>
      <c r="C10" s="53" t="s">
        <v>81</v>
      </c>
      <c r="D10" s="16"/>
      <c r="E10" s="16">
        <v>5</v>
      </c>
      <c r="F10" s="40" t="s">
        <v>3</v>
      </c>
      <c r="G10" s="40" t="s">
        <v>27</v>
      </c>
      <c r="H10" s="40">
        <v>1</v>
      </c>
    </row>
  </sheetData>
  <conditionalFormatting sqref="H2:H10">
    <cfRule type="notContainsBlanks" dxfId="34" priority="1">
      <formula>LEN(TRIM(H2))&gt;0</formula>
    </cfRule>
  </conditionalFormatting>
  <dataValidations count="1">
    <dataValidation type="list" allowBlank="1" sqref="F2:G10" xr:uid="{72F08C04-1E4E-4199-B797-5CC1E7BD061B}">
      <formula1>#REF!</formula1>
    </dataValidation>
  </dataValidation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EA964-B85F-432F-A1B7-D57CCACF2CEE}">
  <dimension ref="A1:H5"/>
  <sheetViews>
    <sheetView workbookViewId="0">
      <selection activeCell="D10" sqref="D10"/>
    </sheetView>
  </sheetViews>
  <sheetFormatPr defaultRowHeight="14.5"/>
  <cols>
    <col min="1" max="1" width="5.81640625" bestFit="1" customWidth="1"/>
    <col min="2" max="2" width="9.1796875" bestFit="1" customWidth="1"/>
    <col min="3" max="3" width="34.26953125" bestFit="1" customWidth="1"/>
    <col min="4" max="4" width="29.453125" bestFit="1" customWidth="1"/>
    <col min="5" max="5" width="18.1796875" bestFit="1" customWidth="1"/>
    <col min="6" max="6" width="8.453125" bestFit="1" customWidth="1"/>
    <col min="7" max="7" width="33" bestFit="1" customWidth="1"/>
  </cols>
  <sheetData>
    <row r="1" spans="1:8" ht="78">
      <c r="A1" s="7" t="s">
        <v>71</v>
      </c>
      <c r="B1" s="7" t="s">
        <v>72</v>
      </c>
      <c r="C1" s="7" t="s">
        <v>73</v>
      </c>
      <c r="D1" s="7" t="s">
        <v>74</v>
      </c>
      <c r="E1" s="7" t="s">
        <v>75</v>
      </c>
      <c r="F1" s="7" t="s">
        <v>76</v>
      </c>
      <c r="G1" s="7" t="s">
        <v>0</v>
      </c>
      <c r="H1" s="8" t="s">
        <v>81</v>
      </c>
    </row>
    <row r="2" spans="1:8">
      <c r="A2" s="11">
        <v>81</v>
      </c>
      <c r="B2" s="12" t="s">
        <v>114</v>
      </c>
      <c r="C2" s="13" t="s">
        <v>312</v>
      </c>
      <c r="D2" s="12" t="s">
        <v>313</v>
      </c>
      <c r="E2" s="12"/>
      <c r="F2" s="12" t="s">
        <v>314</v>
      </c>
      <c r="G2" s="14" t="s">
        <v>9</v>
      </c>
      <c r="H2" s="14">
        <v>2</v>
      </c>
    </row>
    <row r="3" spans="1:8">
      <c r="A3" s="12">
        <v>221</v>
      </c>
      <c r="B3" s="12" t="s">
        <v>114</v>
      </c>
      <c r="C3" s="13" t="s">
        <v>595</v>
      </c>
      <c r="D3" s="12" t="s">
        <v>596</v>
      </c>
      <c r="E3" s="12"/>
      <c r="F3" s="12" t="s">
        <v>8</v>
      </c>
      <c r="G3" s="12" t="s">
        <v>25</v>
      </c>
      <c r="H3" s="12">
        <v>0.2</v>
      </c>
    </row>
    <row r="4" spans="1:8">
      <c r="A4" s="11">
        <v>289</v>
      </c>
      <c r="B4" s="12" t="s">
        <v>114</v>
      </c>
      <c r="C4" s="13" t="s">
        <v>742</v>
      </c>
      <c r="D4" s="12" t="s">
        <v>743</v>
      </c>
      <c r="E4" s="32" t="s">
        <v>744</v>
      </c>
      <c r="F4" s="12" t="s">
        <v>3</v>
      </c>
      <c r="G4" s="14" t="s">
        <v>19</v>
      </c>
      <c r="H4" s="14">
        <v>1</v>
      </c>
    </row>
    <row r="5" spans="1:8">
      <c r="A5" s="15">
        <v>427</v>
      </c>
      <c r="B5" s="16" t="s">
        <v>114</v>
      </c>
      <c r="C5" s="17" t="s">
        <v>1000</v>
      </c>
      <c r="D5" s="16" t="s">
        <v>1001</v>
      </c>
      <c r="E5" s="16"/>
      <c r="F5" s="40" t="s">
        <v>22</v>
      </c>
      <c r="G5" s="40" t="s">
        <v>45</v>
      </c>
      <c r="H5" s="40">
        <v>6</v>
      </c>
    </row>
  </sheetData>
  <conditionalFormatting sqref="H2:H5">
    <cfRule type="notContainsBlanks" dxfId="33" priority="1">
      <formula>LEN(TRIM(H2))&gt;0</formula>
    </cfRule>
  </conditionalFormatting>
  <dataValidations count="1">
    <dataValidation type="list" allowBlank="1" sqref="F2:G5" xr:uid="{70675CCB-AB1D-44CC-BBBA-F55FDF591AA2}">
      <formula1>#REF!</formula1>
    </dataValidation>
  </dataValidation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A4A1C-7690-43B1-8472-ADCAC9958D86}">
  <dimension ref="A1:H6"/>
  <sheetViews>
    <sheetView workbookViewId="0">
      <selection activeCell="C10" sqref="C10"/>
    </sheetView>
  </sheetViews>
  <sheetFormatPr defaultRowHeight="14.5"/>
  <cols>
    <col min="1" max="1" width="5.81640625" bestFit="1" customWidth="1"/>
    <col min="3" max="3" width="32" bestFit="1" customWidth="1"/>
    <col min="4" max="4" width="30.26953125" bestFit="1" customWidth="1"/>
    <col min="5" max="5" width="18.453125" bestFit="1" customWidth="1"/>
    <col min="6" max="6" width="8.453125" bestFit="1" customWidth="1"/>
    <col min="7" max="7" width="33" bestFit="1" customWidth="1"/>
    <col min="8" max="8" width="7" bestFit="1" customWidth="1"/>
  </cols>
  <sheetData>
    <row r="1" spans="1:8" ht="78">
      <c r="A1" s="7" t="s">
        <v>71</v>
      </c>
      <c r="B1" s="7" t="s">
        <v>72</v>
      </c>
      <c r="C1" s="7" t="s">
        <v>73</v>
      </c>
      <c r="D1" s="7" t="s">
        <v>74</v>
      </c>
      <c r="E1" s="7" t="s">
        <v>75</v>
      </c>
      <c r="F1" s="7" t="s">
        <v>76</v>
      </c>
      <c r="G1" s="7" t="s">
        <v>0</v>
      </c>
      <c r="H1" s="8" t="s">
        <v>80</v>
      </c>
    </row>
    <row r="2" spans="1:8">
      <c r="A2" s="11">
        <v>81</v>
      </c>
      <c r="B2" s="12" t="s">
        <v>114</v>
      </c>
      <c r="C2" s="13" t="s">
        <v>312</v>
      </c>
      <c r="D2" s="12" t="s">
        <v>313</v>
      </c>
      <c r="E2" s="12"/>
      <c r="F2" s="12" t="s">
        <v>314</v>
      </c>
      <c r="G2" s="14" t="s">
        <v>9</v>
      </c>
      <c r="H2" s="14">
        <v>2</v>
      </c>
    </row>
    <row r="3" spans="1:8">
      <c r="A3" s="12">
        <v>221</v>
      </c>
      <c r="B3" s="12" t="s">
        <v>114</v>
      </c>
      <c r="C3" s="13" t="s">
        <v>595</v>
      </c>
      <c r="D3" s="12" t="s">
        <v>596</v>
      </c>
      <c r="E3" s="12"/>
      <c r="F3" s="12" t="s">
        <v>8</v>
      </c>
      <c r="G3" s="12" t="s">
        <v>25</v>
      </c>
      <c r="H3" s="12">
        <v>0.65</v>
      </c>
    </row>
    <row r="4" spans="1:8">
      <c r="A4" s="15">
        <v>288</v>
      </c>
      <c r="B4" s="16" t="s">
        <v>114</v>
      </c>
      <c r="C4" s="17" t="s">
        <v>739</v>
      </c>
      <c r="D4" s="16" t="s">
        <v>740</v>
      </c>
      <c r="E4" s="35" t="s">
        <v>741</v>
      </c>
      <c r="F4" s="16" t="s">
        <v>3</v>
      </c>
      <c r="G4" s="18" t="s">
        <v>19</v>
      </c>
      <c r="H4" s="18">
        <v>1</v>
      </c>
    </row>
    <row r="5" spans="1:8">
      <c r="A5" s="11">
        <v>293</v>
      </c>
      <c r="B5" s="12" t="s">
        <v>114</v>
      </c>
      <c r="C5" s="13" t="s">
        <v>752</v>
      </c>
      <c r="D5" s="12" t="s">
        <v>753</v>
      </c>
      <c r="E5" s="12" t="s">
        <v>754</v>
      </c>
      <c r="F5" s="12" t="s">
        <v>3</v>
      </c>
      <c r="G5" s="36" t="s">
        <v>38</v>
      </c>
      <c r="H5" s="36">
        <v>1</v>
      </c>
    </row>
    <row r="6" spans="1:8">
      <c r="A6" s="15">
        <v>427</v>
      </c>
      <c r="B6" s="16" t="s">
        <v>114</v>
      </c>
      <c r="C6" s="17" t="s">
        <v>1000</v>
      </c>
      <c r="D6" s="16" t="s">
        <v>1001</v>
      </c>
      <c r="E6" s="16"/>
      <c r="F6" s="40" t="s">
        <v>22</v>
      </c>
      <c r="G6" s="40" t="s">
        <v>45</v>
      </c>
      <c r="H6" s="40">
        <v>6</v>
      </c>
    </row>
  </sheetData>
  <conditionalFormatting sqref="H2:H6">
    <cfRule type="notContainsBlanks" dxfId="32" priority="1">
      <formula>LEN(TRIM(H2))&gt;0</formula>
    </cfRule>
  </conditionalFormatting>
  <dataValidations count="1">
    <dataValidation type="list" allowBlank="1" sqref="F2:G6" xr:uid="{8EAEB056-71FF-4EAB-AD9F-9A1408372836}">
      <formula1>#REF!</formula1>
    </dataValidation>
  </dataValidation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33"/>
  <sheetViews>
    <sheetView workbookViewId="0"/>
  </sheetViews>
  <sheetFormatPr defaultColWidth="14.453125" defaultRowHeight="15" customHeight="1"/>
  <cols>
    <col min="1" max="1" width="36.1796875" customWidth="1"/>
    <col min="2" max="2" width="10.7265625" customWidth="1"/>
    <col min="3" max="3" width="28.26953125" customWidth="1"/>
    <col min="4" max="4" width="29.26953125" customWidth="1"/>
    <col min="5" max="5" width="16.81640625" customWidth="1"/>
  </cols>
  <sheetData>
    <row r="1" spans="1:5">
      <c r="A1" s="2" t="s">
        <v>1376</v>
      </c>
      <c r="B1" s="2" t="s">
        <v>1377</v>
      </c>
      <c r="C1" s="2" t="s">
        <v>1378</v>
      </c>
      <c r="D1" s="2" t="s">
        <v>1379</v>
      </c>
      <c r="E1" s="2" t="s">
        <v>1380</v>
      </c>
    </row>
    <row r="2" spans="1:5">
      <c r="A2" s="2" t="s">
        <v>1381</v>
      </c>
      <c r="B2" s="2" t="s">
        <v>1382</v>
      </c>
      <c r="C2" s="2" t="s">
        <v>1383</v>
      </c>
      <c r="D2" s="2" t="s">
        <v>1384</v>
      </c>
      <c r="E2" s="61">
        <v>8600</v>
      </c>
    </row>
    <row r="3" spans="1:5">
      <c r="A3" s="2" t="s">
        <v>1385</v>
      </c>
      <c r="B3" s="2" t="s">
        <v>1386</v>
      </c>
      <c r="C3" s="2" t="s">
        <v>1387</v>
      </c>
      <c r="D3" s="2" t="s">
        <v>1388</v>
      </c>
      <c r="E3" s="2" t="s">
        <v>1389</v>
      </c>
    </row>
    <row r="4" spans="1:5">
      <c r="A4" s="2" t="s">
        <v>1390</v>
      </c>
      <c r="B4" s="2" t="s">
        <v>1386</v>
      </c>
      <c r="C4" s="2" t="s">
        <v>1391</v>
      </c>
      <c r="D4" s="2" t="s">
        <v>1392</v>
      </c>
      <c r="E4" s="2" t="s">
        <v>1393</v>
      </c>
    </row>
    <row r="5" spans="1:5">
      <c r="A5" s="2" t="s">
        <v>1394</v>
      </c>
      <c r="B5" s="2" t="s">
        <v>1386</v>
      </c>
      <c r="C5" s="2" t="s">
        <v>1395</v>
      </c>
      <c r="D5" s="2" t="s">
        <v>1392</v>
      </c>
      <c r="E5" s="2" t="s">
        <v>1396</v>
      </c>
    </row>
    <row r="6" spans="1:5">
      <c r="A6" s="2" t="s">
        <v>1397</v>
      </c>
      <c r="B6" s="2" t="s">
        <v>1386</v>
      </c>
      <c r="C6" s="2" t="s">
        <v>1395</v>
      </c>
      <c r="D6" s="2" t="s">
        <v>1398</v>
      </c>
      <c r="E6" s="2"/>
    </row>
    <row r="7" spans="1:5">
      <c r="A7" s="2" t="s">
        <v>1399</v>
      </c>
      <c r="B7" s="2" t="s">
        <v>1386</v>
      </c>
      <c r="C7" s="2" t="s">
        <v>57</v>
      </c>
      <c r="D7" s="2" t="s">
        <v>1400</v>
      </c>
      <c r="E7" s="2" t="s">
        <v>1401</v>
      </c>
    </row>
    <row r="8" spans="1:5">
      <c r="A8" s="2" t="s">
        <v>1402</v>
      </c>
      <c r="B8" s="2" t="s">
        <v>1403</v>
      </c>
      <c r="C8" s="2" t="s">
        <v>37</v>
      </c>
      <c r="D8" s="2" t="s">
        <v>1404</v>
      </c>
      <c r="E8" s="2" t="s">
        <v>1405</v>
      </c>
    </row>
    <row r="9" spans="1:5">
      <c r="A9" s="2" t="s">
        <v>1406</v>
      </c>
      <c r="B9" s="2" t="s">
        <v>1407</v>
      </c>
      <c r="C9" s="2" t="s">
        <v>1408</v>
      </c>
      <c r="D9" s="2" t="s">
        <v>1409</v>
      </c>
      <c r="E9" s="2" t="s">
        <v>1410</v>
      </c>
    </row>
    <row r="10" spans="1:5">
      <c r="A10" s="2" t="s">
        <v>1411</v>
      </c>
      <c r="B10" s="2" t="s">
        <v>1412</v>
      </c>
      <c r="C10" s="2" t="s">
        <v>1413</v>
      </c>
      <c r="D10" s="2" t="s">
        <v>1414</v>
      </c>
      <c r="E10" s="2" t="s">
        <v>1415</v>
      </c>
    </row>
    <row r="11" spans="1:5">
      <c r="A11" s="2" t="s">
        <v>1416</v>
      </c>
      <c r="B11" s="2" t="s">
        <v>1412</v>
      </c>
      <c r="C11" s="2" t="s">
        <v>1417</v>
      </c>
      <c r="D11" s="2" t="s">
        <v>1418</v>
      </c>
      <c r="E11" s="2" t="s">
        <v>1419</v>
      </c>
    </row>
    <row r="12" spans="1:5">
      <c r="A12" s="2" t="s">
        <v>1420</v>
      </c>
      <c r="B12" s="2" t="s">
        <v>1421</v>
      </c>
      <c r="C12" s="2" t="s">
        <v>1422</v>
      </c>
      <c r="D12" s="2" t="s">
        <v>1423</v>
      </c>
      <c r="E12" s="2" t="s">
        <v>1424</v>
      </c>
    </row>
    <row r="13" spans="1:5">
      <c r="A13" s="2" t="s">
        <v>1425</v>
      </c>
      <c r="B13" s="2" t="s">
        <v>1426</v>
      </c>
      <c r="C13" s="2" t="s">
        <v>1422</v>
      </c>
      <c r="D13" s="2" t="s">
        <v>658</v>
      </c>
      <c r="E13" s="2" t="s">
        <v>1427</v>
      </c>
    </row>
    <row r="14" spans="1:5">
      <c r="A14" s="2" t="s">
        <v>1428</v>
      </c>
      <c r="B14" s="2" t="s">
        <v>1429</v>
      </c>
      <c r="C14" s="2" t="s">
        <v>1430</v>
      </c>
      <c r="D14" s="2" t="s">
        <v>10</v>
      </c>
      <c r="E14" s="2"/>
    </row>
    <row r="15" spans="1:5">
      <c r="A15" s="2" t="s">
        <v>1431</v>
      </c>
      <c r="B15" s="2" t="s">
        <v>1432</v>
      </c>
      <c r="C15" s="2" t="s">
        <v>1417</v>
      </c>
      <c r="D15" s="2" t="s">
        <v>1433</v>
      </c>
      <c r="E15" s="2" t="s">
        <v>1434</v>
      </c>
    </row>
    <row r="16" spans="1:5">
      <c r="A16" s="2" t="s">
        <v>1435</v>
      </c>
      <c r="B16" s="2" t="s">
        <v>1436</v>
      </c>
      <c r="C16" s="2" t="s">
        <v>1417</v>
      </c>
      <c r="D16" s="2" t="s">
        <v>1437</v>
      </c>
      <c r="E16" s="2" t="s">
        <v>1438</v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13"/>
  <sheetViews>
    <sheetView showGridLines="0" workbookViewId="0">
      <pane ySplit="2" topLeftCell="A3" activePane="bottomLeft" state="frozen"/>
      <selection pane="bottomLeft" activeCell="B4" sqref="B4"/>
    </sheetView>
  </sheetViews>
  <sheetFormatPr defaultColWidth="14.453125" defaultRowHeight="15" customHeight="1"/>
  <cols>
    <col min="1" max="1" width="6.7265625" customWidth="1"/>
    <col min="2" max="2" width="40.54296875" customWidth="1"/>
    <col min="3" max="3" width="59.1796875" customWidth="1"/>
    <col min="4" max="5" width="13.453125" customWidth="1"/>
    <col min="6" max="6" width="8.54296875" customWidth="1"/>
    <col min="7" max="7" width="12.81640625" customWidth="1"/>
    <col min="8" max="8" width="10.81640625" customWidth="1"/>
    <col min="9" max="9" width="3.7265625" customWidth="1"/>
  </cols>
  <sheetData>
    <row r="1" spans="1:9" ht="15.5">
      <c r="A1" s="62">
        <v>9</v>
      </c>
      <c r="B1" s="62" t="s">
        <v>1439</v>
      </c>
      <c r="C1" s="63"/>
      <c r="D1" s="63"/>
      <c r="E1" s="63"/>
      <c r="F1" s="63"/>
      <c r="G1" s="63"/>
      <c r="H1" s="64"/>
      <c r="I1" s="65"/>
    </row>
    <row r="2" spans="1:9" ht="14.5">
      <c r="A2" s="66" t="s">
        <v>1440</v>
      </c>
      <c r="B2" s="67" t="s">
        <v>1441</v>
      </c>
      <c r="C2" s="67" t="s">
        <v>73</v>
      </c>
      <c r="D2" s="67" t="s">
        <v>1442</v>
      </c>
      <c r="E2" s="68" t="s">
        <v>1</v>
      </c>
      <c r="F2" s="68" t="s">
        <v>1443</v>
      </c>
      <c r="G2" s="68" t="s">
        <v>1444</v>
      </c>
      <c r="H2" s="68" t="s">
        <v>1445</v>
      </c>
      <c r="I2" s="65"/>
    </row>
    <row r="3" spans="1:9" ht="14.5">
      <c r="A3" s="69">
        <f t="shared" ref="A3:A257" si="0">IF(B3="","",ROW()-2)</f>
        <v>1</v>
      </c>
      <c r="B3" s="70" t="s">
        <v>1446</v>
      </c>
      <c r="C3" s="71" t="s">
        <v>648</v>
      </c>
      <c r="D3" s="72">
        <v>1</v>
      </c>
      <c r="E3" s="73">
        <f>IF(B3="","",VLOOKUP(C3,RM!$C$4:$F1003,3,FALSE))</f>
        <v>0</v>
      </c>
      <c r="F3" s="74">
        <f>IF(B3="","",IFERROR(SUMIFS(Issue!$D$3:$D1013,Issue!$C$3:$C1013,'S-BOM'!$B3)*'S-BOM'!$D3,""))</f>
        <v>0</v>
      </c>
      <c r="G3" s="75" t="str">
        <f t="array" ref="G3">IFERROR(INDEX(#REF!,MATCH('S-BOM'!$C3,RM!$C$4:$C1003,0)),"")</f>
        <v/>
      </c>
      <c r="H3" s="75" t="str">
        <f t="shared" ref="H3:H257" si="1">IFERROR(IF(ROUNDDOWN(G3/D3,0)&lt;=0,0,ROUNDDOWN(G3/D3,0)),"")</f>
        <v/>
      </c>
      <c r="I3" s="76"/>
    </row>
    <row r="4" spans="1:9" ht="14.5">
      <c r="A4" s="69">
        <f t="shared" si="0"/>
        <v>2</v>
      </c>
      <c r="B4" s="70" t="s">
        <v>1446</v>
      </c>
      <c r="C4" s="71" t="s">
        <v>1447</v>
      </c>
      <c r="D4" s="72">
        <v>2</v>
      </c>
      <c r="E4" s="73" t="e">
        <f>IF(B4="","",VLOOKUP(C4,RM!$C$4:$F1003,3,FALSE))</f>
        <v>#N/A</v>
      </c>
      <c r="F4" s="74">
        <f>IF(B4="","",IFERROR(SUMIFS(Issue!$D$3:$D1013,Issue!$C$3:$C1013,'S-BOM'!$B4)*'S-BOM'!$D4,""))</f>
        <v>0</v>
      </c>
      <c r="G4" s="75" t="str">
        <f t="array" ref="G4">IFERROR(INDEX(#REF!,MATCH('S-BOM'!$C4,RM!$C$4:$C1003,0)),"")</f>
        <v/>
      </c>
      <c r="H4" s="75" t="str">
        <f t="shared" si="1"/>
        <v/>
      </c>
      <c r="I4" s="76"/>
    </row>
    <row r="5" spans="1:9" ht="14.5">
      <c r="A5" s="69">
        <f t="shared" si="0"/>
        <v>3</v>
      </c>
      <c r="B5" s="70" t="s">
        <v>1446</v>
      </c>
      <c r="C5" s="71" t="s">
        <v>1448</v>
      </c>
      <c r="D5" s="72">
        <v>4</v>
      </c>
      <c r="E5" s="73" t="e">
        <f>IF(B5="","",VLOOKUP(C5,RM!$C$4:$F1003,3,FALSE))</f>
        <v>#N/A</v>
      </c>
      <c r="F5" s="74">
        <f>IF(B5="","",IFERROR(SUMIFS(Issue!$D$3:$D1013,Issue!$C$3:$C1013,'S-BOM'!$B5)*'S-BOM'!$D5,""))</f>
        <v>0</v>
      </c>
      <c r="G5" s="75" t="str">
        <f t="array" ref="G5">IFERROR(INDEX(#REF!,MATCH('S-BOM'!$C5,RM!$C$4:$C1003,0)),"")</f>
        <v/>
      </c>
      <c r="H5" s="75" t="str">
        <f t="shared" si="1"/>
        <v/>
      </c>
      <c r="I5" s="76"/>
    </row>
    <row r="6" spans="1:9" ht="14.5">
      <c r="A6" s="69">
        <f t="shared" si="0"/>
        <v>4</v>
      </c>
      <c r="B6" s="70" t="s">
        <v>1446</v>
      </c>
      <c r="C6" s="71" t="s">
        <v>1449</v>
      </c>
      <c r="D6" s="72">
        <v>7</v>
      </c>
      <c r="E6" s="73" t="e">
        <f>IF(B6="","",VLOOKUP(C6,RM!$C$4:$F1003,3,FALSE))</f>
        <v>#N/A</v>
      </c>
      <c r="F6" s="74">
        <f>IF(B6="","",IFERROR(SUMIFS(Issue!$D$3:$D1013,Issue!$C$3:$C1013,'S-BOM'!$B6)*'S-BOM'!$D6,""))</f>
        <v>0</v>
      </c>
      <c r="G6" s="75" t="str">
        <f t="array" ref="G6">IFERROR(INDEX(#REF!,MATCH('S-BOM'!$C6,RM!$C$4:$C1003,0)),"")</f>
        <v/>
      </c>
      <c r="H6" s="75" t="str">
        <f t="shared" si="1"/>
        <v/>
      </c>
      <c r="I6" s="76"/>
    </row>
    <row r="7" spans="1:9" ht="14.5">
      <c r="A7" s="69">
        <f t="shared" si="0"/>
        <v>5</v>
      </c>
      <c r="B7" s="70" t="s">
        <v>1446</v>
      </c>
      <c r="C7" s="71" t="s">
        <v>1450</v>
      </c>
      <c r="D7" s="72">
        <v>16</v>
      </c>
      <c r="E7" s="73" t="e">
        <f>IF(B7="","",VLOOKUP(C7,RM!$C$4:$F1003,3,FALSE))</f>
        <v>#N/A</v>
      </c>
      <c r="F7" s="74">
        <f>IF(B7="","",IFERROR(SUMIFS(Issue!$D$3:$D1013,Issue!$C$3:$C1013,'S-BOM'!$B7)*'S-BOM'!$D7,""))</f>
        <v>0</v>
      </c>
      <c r="G7" s="75" t="str">
        <f t="array" ref="G7">IFERROR(INDEX(#REF!,MATCH('S-BOM'!$C7,RM!$C$4:$C1003,0)),"")</f>
        <v/>
      </c>
      <c r="H7" s="75" t="str">
        <f t="shared" si="1"/>
        <v/>
      </c>
      <c r="I7" s="76"/>
    </row>
    <row r="8" spans="1:9" ht="14.5">
      <c r="A8" s="69">
        <f t="shared" si="0"/>
        <v>6</v>
      </c>
      <c r="B8" s="70" t="s">
        <v>1446</v>
      </c>
      <c r="C8" s="71" t="s">
        <v>1451</v>
      </c>
      <c r="D8" s="72">
        <v>20</v>
      </c>
      <c r="E8" s="73" t="e">
        <f>IF(B8="","",VLOOKUP(C8,RM!$C$4:$F1003,3,FALSE))</f>
        <v>#N/A</v>
      </c>
      <c r="F8" s="74">
        <f>IF(B8="","",IFERROR(SUMIFS(Issue!$D$3:$D1013,Issue!$C$3:$C1013,'S-BOM'!$B8)*'S-BOM'!$D8,""))</f>
        <v>0</v>
      </c>
      <c r="G8" s="75" t="str">
        <f t="array" ref="G8">IFERROR(INDEX(#REF!,MATCH('S-BOM'!$C8,RM!$C$4:$C1003,0)),"")</f>
        <v/>
      </c>
      <c r="H8" s="75" t="str">
        <f t="shared" si="1"/>
        <v/>
      </c>
      <c r="I8" s="76"/>
    </row>
    <row r="9" spans="1:9" ht="14.5">
      <c r="A9" s="69">
        <f t="shared" si="0"/>
        <v>7</v>
      </c>
      <c r="B9" s="70" t="s">
        <v>1446</v>
      </c>
      <c r="C9" s="71" t="s">
        <v>1452</v>
      </c>
      <c r="D9" s="72">
        <v>24</v>
      </c>
      <c r="E9" s="73" t="e">
        <f>IF(B8="","",VLOOKUP(C9,RM!$C$4:$F1003,3,FALSE))</f>
        <v>#N/A</v>
      </c>
      <c r="F9" s="74">
        <f>IF(B8="","",IFERROR(SUMIFS(Issue!$D$3:$D1013,Issue!$C$3:$C1013,'S-BOM'!$B8)*'S-BOM'!$D9,""))</f>
        <v>0</v>
      </c>
      <c r="G9" s="75" t="str">
        <f t="array" ref="G9">IFERROR(INDEX(#REF!,MATCH('S-BOM'!$C9,RM!$C$4:$C1003,0)),"")</f>
        <v/>
      </c>
      <c r="H9" s="75" t="str">
        <f t="shared" si="1"/>
        <v/>
      </c>
      <c r="I9" s="76"/>
    </row>
    <row r="10" spans="1:9" ht="14.5">
      <c r="A10" s="69">
        <f t="shared" si="0"/>
        <v>8</v>
      </c>
      <c r="B10" s="70" t="s">
        <v>1446</v>
      </c>
      <c r="C10" s="71" t="s">
        <v>1453</v>
      </c>
      <c r="D10" s="72">
        <v>4</v>
      </c>
      <c r="E10" s="73" t="e">
        <f>IF(B10="","",VLOOKUP(C10,RM!$C$4:$F1003,3,FALSE))</f>
        <v>#N/A</v>
      </c>
      <c r="F10" s="74">
        <f>IF(B10="","",IFERROR(SUMIFS(Issue!$D$3:$D1013,Issue!$C$3:$C1013,'S-BOM'!$B10)*'S-BOM'!$D10,""))</f>
        <v>0</v>
      </c>
      <c r="G10" s="75" t="str">
        <f t="array" ref="G10">IFERROR(INDEX(#REF!,MATCH('S-BOM'!$C10,RM!$C$4:$C1003,0)),"")</f>
        <v/>
      </c>
      <c r="H10" s="75" t="str">
        <f t="shared" si="1"/>
        <v/>
      </c>
      <c r="I10" s="76"/>
    </row>
    <row r="11" spans="1:9" ht="14.5">
      <c r="A11" s="69">
        <f t="shared" si="0"/>
        <v>9</v>
      </c>
      <c r="B11" s="70" t="s">
        <v>1446</v>
      </c>
      <c r="C11" s="71" t="s">
        <v>1454</v>
      </c>
      <c r="D11" s="72">
        <v>0</v>
      </c>
      <c r="E11" s="73" t="e">
        <f>IF(B11="","",VLOOKUP(C11,RM!$C$4:$F1003,3,FALSE))</f>
        <v>#N/A</v>
      </c>
      <c r="F11" s="74">
        <f>IF(B11="","",IFERROR(SUMIFS(Issue!$D$3:$D1013,Issue!$C$3:$C1013,'S-BOM'!$B11)*'S-BOM'!$D11,""))</f>
        <v>0</v>
      </c>
      <c r="G11" s="75" t="str">
        <f t="array" ref="G11">IFERROR(INDEX(#REF!,MATCH('S-BOM'!$C11,RM!$C$4:$C1003,0)),"")</f>
        <v/>
      </c>
      <c r="H11" s="75" t="str">
        <f t="shared" si="1"/>
        <v/>
      </c>
      <c r="I11" s="76"/>
    </row>
    <row r="12" spans="1:9" ht="15.75" customHeight="1">
      <c r="A12" s="69">
        <f t="shared" si="0"/>
        <v>10</v>
      </c>
      <c r="B12" s="70" t="s">
        <v>1446</v>
      </c>
      <c r="C12" s="71" t="s">
        <v>1455</v>
      </c>
      <c r="D12" s="72">
        <v>8</v>
      </c>
      <c r="E12" s="73" t="e">
        <f>IF(B12="","",VLOOKUP(C12,RM!$C$4:$F1003,3,FALSE))</f>
        <v>#N/A</v>
      </c>
      <c r="F12" s="74">
        <f>IF(B12="","",IFERROR(SUMIFS(Issue!$D$3:$D1013,Issue!$C$3:$C1013,'S-BOM'!$B12)*'S-BOM'!$D12,""))</f>
        <v>0</v>
      </c>
      <c r="G12" s="75" t="str">
        <f t="array" ref="G12">IFERROR(INDEX(#REF!,MATCH('S-BOM'!$C12,RM!$C$4:$C1003,0)),"")</f>
        <v/>
      </c>
      <c r="H12" s="75" t="str">
        <f t="shared" si="1"/>
        <v/>
      </c>
      <c r="I12" s="76"/>
    </row>
    <row r="13" spans="1:9" ht="15.75" customHeight="1">
      <c r="A13" s="69">
        <f t="shared" si="0"/>
        <v>11</v>
      </c>
      <c r="B13" s="70" t="s">
        <v>1446</v>
      </c>
      <c r="C13" s="71" t="s">
        <v>1456</v>
      </c>
      <c r="D13" s="72">
        <v>2</v>
      </c>
      <c r="E13" s="73" t="e">
        <f>IF(B13="","",VLOOKUP(C13,RM!$C$4:$F1003,3,FALSE))</f>
        <v>#N/A</v>
      </c>
      <c r="F13" s="74">
        <f>IF(B13="","",IFERROR(SUMIFS(Issue!$D$3:$D1013,Issue!$C$3:$C1013,'S-BOM'!$B13)*'S-BOM'!$D13,""))</f>
        <v>0</v>
      </c>
      <c r="G13" s="75" t="str">
        <f t="array" ref="G13">IFERROR(INDEX(#REF!,MATCH('S-BOM'!$C13,RM!$C$4:$C1003,0)),"")</f>
        <v/>
      </c>
      <c r="H13" s="75" t="str">
        <f t="shared" si="1"/>
        <v/>
      </c>
      <c r="I13" s="76"/>
    </row>
    <row r="14" spans="1:9" ht="15.75" customHeight="1">
      <c r="A14" s="69">
        <f t="shared" si="0"/>
        <v>12</v>
      </c>
      <c r="B14" s="70" t="s">
        <v>1446</v>
      </c>
      <c r="C14" s="71" t="s">
        <v>1457</v>
      </c>
      <c r="D14" s="72">
        <v>1</v>
      </c>
      <c r="E14" s="73" t="e">
        <f>IF(B14="","",VLOOKUP(C14,RM!$C$4:$F1003,3,FALSE))</f>
        <v>#N/A</v>
      </c>
      <c r="F14" s="74">
        <f>IF(B14="","",IFERROR(SUMIFS(Issue!$D$3:$D1013,Issue!$C$3:$C1013,'S-BOM'!$B14)*'S-BOM'!$D14,""))</f>
        <v>0</v>
      </c>
      <c r="G14" s="75" t="str">
        <f t="array" ref="G14">IFERROR(INDEX(#REF!,MATCH('S-BOM'!$C14,RM!$C$4:$C1003,0)),"")</f>
        <v/>
      </c>
      <c r="H14" s="75" t="str">
        <f t="shared" si="1"/>
        <v/>
      </c>
      <c r="I14" s="76"/>
    </row>
    <row r="15" spans="1:9" ht="15.75" customHeight="1">
      <c r="A15" s="69">
        <f t="shared" si="0"/>
        <v>13</v>
      </c>
      <c r="B15" s="70" t="s">
        <v>1446</v>
      </c>
      <c r="C15" s="71" t="s">
        <v>1458</v>
      </c>
      <c r="D15" s="72">
        <v>15</v>
      </c>
      <c r="E15" s="73" t="e">
        <f>IF(B15="","",VLOOKUP(C15,RM!$C$4:$F1003,3,FALSE))</f>
        <v>#N/A</v>
      </c>
      <c r="F15" s="74">
        <f>IF(B15="","",IFERROR(SUMIFS(Issue!$D$3:$D1013,Issue!$C$3:$C1013,'S-BOM'!$B15)*'S-BOM'!$D15,""))</f>
        <v>0</v>
      </c>
      <c r="G15" s="75" t="str">
        <f t="array" ref="G15">IFERROR(INDEX(#REF!,MATCH('S-BOM'!$C15,RM!$C$4:$C1003,0)),"")</f>
        <v/>
      </c>
      <c r="H15" s="75" t="str">
        <f t="shared" si="1"/>
        <v/>
      </c>
      <c r="I15" s="76"/>
    </row>
    <row r="16" spans="1:9" ht="15.75" customHeight="1">
      <c r="A16" s="69">
        <f t="shared" si="0"/>
        <v>14</v>
      </c>
      <c r="B16" s="70" t="s">
        <v>1446</v>
      </c>
      <c r="C16" s="71" t="s">
        <v>1049</v>
      </c>
      <c r="D16" s="72">
        <v>1</v>
      </c>
      <c r="E16" s="73">
        <f>IF(B16="","",VLOOKUP(C16,RM!$C$4:$F1003,3,FALSE))</f>
        <v>0</v>
      </c>
      <c r="F16" s="74">
        <f>IF(B16="","",IFERROR(SUMIFS(Issue!$D$3:$D1013,Issue!$C$3:$C1013,'S-BOM'!$B16)*'S-BOM'!$D16,""))</f>
        <v>0</v>
      </c>
      <c r="G16" s="75" t="str">
        <f t="array" ref="G16">IFERROR(INDEX(#REF!,MATCH('S-BOM'!$C16,RM!$C$4:$C1003,0)),"")</f>
        <v/>
      </c>
      <c r="H16" s="75" t="str">
        <f t="shared" si="1"/>
        <v/>
      </c>
      <c r="I16" s="76"/>
    </row>
    <row r="17" spans="1:9" ht="15.75" customHeight="1">
      <c r="A17" s="69">
        <f t="shared" si="0"/>
        <v>15</v>
      </c>
      <c r="B17" s="70" t="s">
        <v>1446</v>
      </c>
      <c r="C17" s="71" t="s">
        <v>1459</v>
      </c>
      <c r="D17" s="72">
        <v>1</v>
      </c>
      <c r="E17" s="73" t="e">
        <f>IF(B17="","",VLOOKUP(C17,RM!$C$4:$F1003,3,FALSE))</f>
        <v>#N/A</v>
      </c>
      <c r="F17" s="74">
        <f>IF(B17="","",IFERROR(SUMIFS(Issue!$D$3:$D1013,Issue!$C$3:$C1013,'S-BOM'!$B17)*'S-BOM'!$D17,""))</f>
        <v>0</v>
      </c>
      <c r="G17" s="75" t="str">
        <f t="array" ref="G17">IFERROR(INDEX(#REF!,MATCH('S-BOM'!$C17,RM!$C$4:$C1003,0)),"")</f>
        <v/>
      </c>
      <c r="H17" s="75" t="str">
        <f t="shared" si="1"/>
        <v/>
      </c>
      <c r="I17" s="76"/>
    </row>
    <row r="18" spans="1:9" ht="15.75" customHeight="1">
      <c r="A18" s="69">
        <f t="shared" si="0"/>
        <v>16</v>
      </c>
      <c r="B18" s="70" t="s">
        <v>1446</v>
      </c>
      <c r="C18" s="71" t="s">
        <v>1460</v>
      </c>
      <c r="D18" s="72">
        <v>1</v>
      </c>
      <c r="E18" s="73" t="e">
        <f>IF(B18="","",VLOOKUP(C18,RM!$C$4:$F1003,3,FALSE))</f>
        <v>#N/A</v>
      </c>
      <c r="F18" s="74">
        <f>IF(B18="","",IFERROR(SUMIFS(Issue!$D$3:$D1013,Issue!$C$3:$C1013,'S-BOM'!$B18)*'S-BOM'!$D18,""))</f>
        <v>0</v>
      </c>
      <c r="G18" s="75" t="str">
        <f t="array" ref="G18">IFERROR(INDEX(#REF!,MATCH('S-BOM'!$C18,RM!$C$4:$C1003,0)),"")</f>
        <v/>
      </c>
      <c r="H18" s="75" t="str">
        <f t="shared" si="1"/>
        <v/>
      </c>
      <c r="I18" s="76"/>
    </row>
    <row r="19" spans="1:9" ht="15.75" customHeight="1">
      <c r="A19" s="69">
        <f t="shared" si="0"/>
        <v>17</v>
      </c>
      <c r="B19" s="70" t="s">
        <v>1446</v>
      </c>
      <c r="C19" s="71" t="s">
        <v>1461</v>
      </c>
      <c r="D19" s="72">
        <v>1</v>
      </c>
      <c r="E19" s="73" t="e">
        <f>IF(B19="","",VLOOKUP(C19,RM!$C$4:$F1003,3,FALSE))</f>
        <v>#N/A</v>
      </c>
      <c r="F19" s="74">
        <f>IF(B19="","",IFERROR(SUMIFS(Issue!$D$3:$D1013,Issue!$C$3:$C1013,'S-BOM'!$B19)*'S-BOM'!$D19,""))</f>
        <v>0</v>
      </c>
      <c r="G19" s="75" t="str">
        <f t="array" ref="G19">IFERROR(INDEX(#REF!,MATCH('S-BOM'!$C19,RM!$C$4:$C1003,0)),"")</f>
        <v/>
      </c>
      <c r="H19" s="75" t="str">
        <f t="shared" si="1"/>
        <v/>
      </c>
      <c r="I19" s="76"/>
    </row>
    <row r="20" spans="1:9" ht="15.75" customHeight="1">
      <c r="A20" s="69">
        <f t="shared" si="0"/>
        <v>18</v>
      </c>
      <c r="B20" s="70" t="s">
        <v>1446</v>
      </c>
      <c r="C20" s="71" t="s">
        <v>1462</v>
      </c>
      <c r="D20" s="72">
        <v>1</v>
      </c>
      <c r="E20" s="73" t="e">
        <f>IF(B20="","",VLOOKUP(C20,RM!$C$4:$F1003,3,FALSE))</f>
        <v>#N/A</v>
      </c>
      <c r="F20" s="74">
        <f>IF(B20="","",IFERROR(SUMIFS(Issue!$D$3:$D1013,Issue!$C$3:$C1013,'S-BOM'!$B20)*'S-BOM'!$D20,""))</f>
        <v>0</v>
      </c>
      <c r="G20" s="75" t="str">
        <f t="array" ref="G20">IFERROR(INDEX(#REF!,MATCH('S-BOM'!$C20,RM!$C$4:$C1003,0)),"")</f>
        <v/>
      </c>
      <c r="H20" s="75" t="str">
        <f t="shared" si="1"/>
        <v/>
      </c>
      <c r="I20" s="76"/>
    </row>
    <row r="21" spans="1:9" ht="15.75" customHeight="1">
      <c r="A21" s="69">
        <f t="shared" si="0"/>
        <v>19</v>
      </c>
      <c r="B21" s="70" t="s">
        <v>1446</v>
      </c>
      <c r="C21" s="71" t="s">
        <v>1463</v>
      </c>
      <c r="D21" s="72">
        <v>2</v>
      </c>
      <c r="E21" s="73" t="e">
        <f>IF(B21="","",VLOOKUP(C21,RM!$C$4:$F1003,3,FALSE))</f>
        <v>#N/A</v>
      </c>
      <c r="F21" s="74">
        <f>IF(B21="","",IFERROR(SUMIFS(Issue!$D$3:$D1013,Issue!$C$3:$C1013,'S-BOM'!$B21)*'S-BOM'!$D21,""))</f>
        <v>0</v>
      </c>
      <c r="G21" s="75" t="str">
        <f t="array" ref="G21">IFERROR(INDEX(#REF!,MATCH('S-BOM'!$C21,RM!$C$4:$C1003,0)),"")</f>
        <v/>
      </c>
      <c r="H21" s="75" t="str">
        <f t="shared" si="1"/>
        <v/>
      </c>
      <c r="I21" s="76"/>
    </row>
    <row r="22" spans="1:9" ht="15.75" customHeight="1">
      <c r="A22" s="69">
        <f t="shared" si="0"/>
        <v>20</v>
      </c>
      <c r="B22" s="70" t="s">
        <v>1446</v>
      </c>
      <c r="C22" s="71" t="s">
        <v>1464</v>
      </c>
      <c r="D22" s="72">
        <v>1</v>
      </c>
      <c r="E22" s="73" t="e">
        <f>IF(B22="","",VLOOKUP(C22,RM!$C$4:$F1003,3,FALSE))</f>
        <v>#N/A</v>
      </c>
      <c r="F22" s="74">
        <f>IF(B22="","",IFERROR(SUMIFS(Issue!$D$3:$D1013,Issue!$C$3:$C1013,'S-BOM'!$B22)*'S-BOM'!$D22,""))</f>
        <v>0</v>
      </c>
      <c r="G22" s="75" t="str">
        <f t="array" ref="G22">IFERROR(INDEX(#REF!,MATCH('S-BOM'!$C22,RM!$C$4:$C1003,0)),"")</f>
        <v/>
      </c>
      <c r="H22" s="75" t="str">
        <f t="shared" si="1"/>
        <v/>
      </c>
      <c r="I22" s="76"/>
    </row>
    <row r="23" spans="1:9" ht="15.75" customHeight="1">
      <c r="A23" s="69">
        <f t="shared" si="0"/>
        <v>21</v>
      </c>
      <c r="B23" s="70" t="s">
        <v>1446</v>
      </c>
      <c r="C23" s="71" t="s">
        <v>1465</v>
      </c>
      <c r="D23" s="72">
        <v>1</v>
      </c>
      <c r="E23" s="73" t="e">
        <f>IF(B23="","",VLOOKUP(C23,RM!$C$4:$F1003,3,FALSE))</f>
        <v>#N/A</v>
      </c>
      <c r="F23" s="74">
        <f>IF(B23="","",IFERROR(SUMIFS(Issue!$D$3:$D1013,Issue!$C$3:$C1013,'S-BOM'!$B23)*'S-BOM'!$D23,""))</f>
        <v>0</v>
      </c>
      <c r="G23" s="75" t="str">
        <f t="array" ref="G23">IFERROR(INDEX(#REF!,MATCH('S-BOM'!$C23,RM!$C$4:$C1003,0)),"")</f>
        <v/>
      </c>
      <c r="H23" s="75" t="str">
        <f t="shared" si="1"/>
        <v/>
      </c>
      <c r="I23" s="76"/>
    </row>
    <row r="24" spans="1:9" ht="15.75" customHeight="1">
      <c r="A24" s="69">
        <f t="shared" si="0"/>
        <v>22</v>
      </c>
      <c r="B24" s="70" t="s">
        <v>1446</v>
      </c>
      <c r="C24" s="71" t="s">
        <v>1213</v>
      </c>
      <c r="D24" s="72">
        <v>0.2</v>
      </c>
      <c r="E24" s="73">
        <f>IF(B24="","",VLOOKUP(C24,RM!$C$4:$F1003,3,FALSE))</f>
        <v>0</v>
      </c>
      <c r="F24" s="74">
        <f>IF(B24="","",IFERROR(SUMIFS(Issue!$D$3:$D1013,Issue!$C$3:$C1013,'S-BOM'!$B24)*'S-BOM'!$D24,""))</f>
        <v>0</v>
      </c>
      <c r="G24" s="75" t="str">
        <f t="array" ref="G24">IFERROR(INDEX(#REF!,MATCH('S-BOM'!$C24,RM!$C$4:$C1003,0)),"")</f>
        <v/>
      </c>
      <c r="H24" s="75" t="str">
        <f t="shared" si="1"/>
        <v/>
      </c>
      <c r="I24" s="76"/>
    </row>
    <row r="25" spans="1:9" ht="15.75" customHeight="1">
      <c r="A25" s="69">
        <f t="shared" si="0"/>
        <v>23</v>
      </c>
      <c r="B25" s="70" t="s">
        <v>1446</v>
      </c>
      <c r="C25" s="71" t="s">
        <v>1214</v>
      </c>
      <c r="D25" s="72">
        <v>0.75</v>
      </c>
      <c r="E25" s="73">
        <f>IF(B25="","",VLOOKUP(C25,RM!$C$4:$F1003,3,FALSE))</f>
        <v>0</v>
      </c>
      <c r="F25" s="74">
        <f>IF(B25="","",IFERROR(SUMIFS(Issue!$D$3:$D1013,Issue!$C$3:$C1013,'S-BOM'!$B25)*'S-BOM'!$D25,""))</f>
        <v>0</v>
      </c>
      <c r="G25" s="75" t="str">
        <f t="array" ref="G25">IFERROR(INDEX(#REF!,MATCH('S-BOM'!$C25,RM!$C$4:$C1003,0)),"")</f>
        <v/>
      </c>
      <c r="H25" s="75" t="str">
        <f t="shared" si="1"/>
        <v/>
      </c>
      <c r="I25" s="76"/>
    </row>
    <row r="26" spans="1:9" ht="15.75" customHeight="1">
      <c r="A26" s="69">
        <f t="shared" si="0"/>
        <v>24</v>
      </c>
      <c r="B26" s="70" t="s">
        <v>1446</v>
      </c>
      <c r="C26" s="71" t="s">
        <v>1466</v>
      </c>
      <c r="D26" s="72">
        <v>2</v>
      </c>
      <c r="E26" s="73" t="e">
        <f>IF(B26="","",VLOOKUP(C26,RM!$C$4:$F1003,3,FALSE))</f>
        <v>#N/A</v>
      </c>
      <c r="F26" s="74">
        <f>IF(B26="","",IFERROR(SUMIFS(Issue!$D$3:$D1013,Issue!$C$3:$C1013,'S-BOM'!$B26)*'S-BOM'!$D26,""))</f>
        <v>0</v>
      </c>
      <c r="G26" s="75" t="str">
        <f t="array" ref="G26">IFERROR(INDEX(#REF!,MATCH('S-BOM'!$C26,RM!$C$4:$C1003,0)),"")</f>
        <v/>
      </c>
      <c r="H26" s="75" t="str">
        <f t="shared" si="1"/>
        <v/>
      </c>
      <c r="I26" s="76"/>
    </row>
    <row r="27" spans="1:9" ht="15.75" customHeight="1">
      <c r="A27" s="69">
        <f t="shared" si="0"/>
        <v>25</v>
      </c>
      <c r="B27" s="70" t="s">
        <v>1446</v>
      </c>
      <c r="C27" s="71" t="s">
        <v>1467</v>
      </c>
      <c r="D27" s="72">
        <v>2</v>
      </c>
      <c r="E27" s="73" t="e">
        <f>IF(B27="","",VLOOKUP(C27,RM!$C$4:$F1003,3,FALSE))</f>
        <v>#N/A</v>
      </c>
      <c r="F27" s="74">
        <f>IF(B27="","",IFERROR(SUMIFS(Issue!$D$3:$D1013,Issue!$C$3:$C1013,'S-BOM'!$B27)*'S-BOM'!$D27,""))</f>
        <v>0</v>
      </c>
      <c r="G27" s="75" t="str">
        <f t="array" ref="G27">IFERROR(INDEX(#REF!,MATCH('S-BOM'!$C27,RM!$C$4:$C1003,0)),"")</f>
        <v/>
      </c>
      <c r="H27" s="75" t="str">
        <f t="shared" si="1"/>
        <v/>
      </c>
      <c r="I27" s="76"/>
    </row>
    <row r="28" spans="1:9" ht="15.75" customHeight="1">
      <c r="A28" s="69">
        <f t="shared" si="0"/>
        <v>26</v>
      </c>
      <c r="B28" s="70" t="s">
        <v>1468</v>
      </c>
      <c r="C28" s="71" t="s">
        <v>1469</v>
      </c>
      <c r="D28" s="72">
        <v>1</v>
      </c>
      <c r="E28" s="73" t="e">
        <f>IF(B28="","",VLOOKUP(C28,RM!$C$4:$F1003,3,FALSE))</f>
        <v>#N/A</v>
      </c>
      <c r="F28" s="74">
        <f>IF(B28="","",IFERROR(SUMIFS(Issue!$D$3:$D1013,Issue!$C$3:$C1013,'S-BOM'!$B28)*'S-BOM'!$D28,""))</f>
        <v>0</v>
      </c>
      <c r="G28" s="75" t="str">
        <f t="array" ref="G28">IFERROR(INDEX(#REF!,MATCH('S-BOM'!$C28,RM!$C$4:$C1003,0)),"")</f>
        <v/>
      </c>
      <c r="H28" s="75" t="str">
        <f t="shared" si="1"/>
        <v/>
      </c>
      <c r="I28" s="76"/>
    </row>
    <row r="29" spans="1:9" ht="15.75" customHeight="1">
      <c r="A29" s="69">
        <f t="shared" si="0"/>
        <v>27</v>
      </c>
      <c r="B29" s="70" t="s">
        <v>1468</v>
      </c>
      <c r="C29" s="71" t="s">
        <v>1470</v>
      </c>
      <c r="D29" s="72">
        <v>2</v>
      </c>
      <c r="E29" s="73" t="e">
        <f>IF(B29="","",VLOOKUP(C29,RM!$C$4:$F1003,3,FALSE))</f>
        <v>#N/A</v>
      </c>
      <c r="F29" s="74">
        <f>IF(B29="","",IFERROR(SUMIFS(Issue!$D$3:$D1013,Issue!$C$3:$C1013,'S-BOM'!$B29)*'S-BOM'!$D29,""))</f>
        <v>0</v>
      </c>
      <c r="G29" s="75" t="str">
        <f t="array" ref="G29">IFERROR(INDEX(#REF!,MATCH('S-BOM'!$C29,RM!$C$4:$C1003,0)),"")</f>
        <v/>
      </c>
      <c r="H29" s="75" t="str">
        <f t="shared" si="1"/>
        <v/>
      </c>
      <c r="I29" s="76"/>
    </row>
    <row r="30" spans="1:9" ht="15.75" customHeight="1">
      <c r="A30" s="69">
        <f t="shared" si="0"/>
        <v>28</v>
      </c>
      <c r="B30" s="70" t="s">
        <v>1468</v>
      </c>
      <c r="C30" s="71" t="s">
        <v>1471</v>
      </c>
      <c r="D30" s="72">
        <v>1</v>
      </c>
      <c r="E30" s="73" t="e">
        <f>IF(B30="","",VLOOKUP(C30,RM!$C$4:$F1003,3,FALSE))</f>
        <v>#N/A</v>
      </c>
      <c r="F30" s="74">
        <f>IF(B30="","",IFERROR(SUMIFS(Issue!$D$3:$D1013,Issue!$C$3:$C1013,'S-BOM'!$B30)*'S-BOM'!$D30,""))</f>
        <v>0</v>
      </c>
      <c r="G30" s="75" t="str">
        <f t="array" ref="G30">IFERROR(INDEX(#REF!,MATCH('S-BOM'!$C30,RM!$C$4:$C1003,0)),"")</f>
        <v/>
      </c>
      <c r="H30" s="75" t="str">
        <f t="shared" si="1"/>
        <v/>
      </c>
      <c r="I30" s="76"/>
    </row>
    <row r="31" spans="1:9" ht="15.75" customHeight="1">
      <c r="A31" s="69">
        <f t="shared" si="0"/>
        <v>29</v>
      </c>
      <c r="B31" s="70" t="s">
        <v>1468</v>
      </c>
      <c r="C31" s="71" t="s">
        <v>1472</v>
      </c>
      <c r="D31" s="72">
        <v>0.55000000000000004</v>
      </c>
      <c r="E31" s="73" t="e">
        <f>IF(B31="","",VLOOKUP(C31,RM!$C$4:$F1003,3,FALSE))</f>
        <v>#N/A</v>
      </c>
      <c r="F31" s="74">
        <f>IF(B31="","",IFERROR(SUMIFS(Issue!$D$3:$D1013,Issue!$C$3:$C1013,'S-BOM'!$B31)*'S-BOM'!$D31,""))</f>
        <v>0</v>
      </c>
      <c r="G31" s="75" t="str">
        <f t="array" ref="G31">IFERROR(INDEX(#REF!,MATCH('S-BOM'!$C31,RM!$C$4:$C1003,0)),"")</f>
        <v/>
      </c>
      <c r="H31" s="75" t="str">
        <f t="shared" si="1"/>
        <v/>
      </c>
      <c r="I31" s="76"/>
    </row>
    <row r="32" spans="1:9" ht="15.75" customHeight="1">
      <c r="A32" s="69">
        <f t="shared" si="0"/>
        <v>30</v>
      </c>
      <c r="B32" s="70" t="s">
        <v>1468</v>
      </c>
      <c r="C32" s="71" t="s">
        <v>1473</v>
      </c>
      <c r="D32" s="72">
        <v>0.55000000000000004</v>
      </c>
      <c r="E32" s="73" t="e">
        <f>IF(B32="","",VLOOKUP(C32,RM!$C$4:$F1003,3,FALSE))</f>
        <v>#N/A</v>
      </c>
      <c r="F32" s="74">
        <f>IF(B32="","",IFERROR(SUMIFS(Issue!$D$3:$D1013,Issue!$C$3:$C1013,'S-BOM'!$B32)*'S-BOM'!$D32,""))</f>
        <v>0</v>
      </c>
      <c r="G32" s="75" t="str">
        <f t="array" ref="G32">IFERROR(INDEX(#REF!,MATCH('S-BOM'!$C32,RM!$C$4:$C1003,0)),"")</f>
        <v/>
      </c>
      <c r="H32" s="75" t="str">
        <f t="shared" si="1"/>
        <v/>
      </c>
      <c r="I32" s="76"/>
    </row>
    <row r="33" spans="1:9" ht="15.75" customHeight="1">
      <c r="A33" s="69">
        <f t="shared" si="0"/>
        <v>31</v>
      </c>
      <c r="B33" s="70" t="s">
        <v>1468</v>
      </c>
      <c r="C33" s="71" t="s">
        <v>679</v>
      </c>
      <c r="D33" s="72">
        <v>1</v>
      </c>
      <c r="E33" s="73" t="str">
        <f>IF(B33="","",VLOOKUP(C33,RM!$C$4:$F1003,3,FALSE))</f>
        <v>CF199T1306C</v>
      </c>
      <c r="F33" s="74">
        <f>IF(B33="","",IFERROR(SUMIFS(Issue!$D$3:$D1013,Issue!$C$3:$C1013,'S-BOM'!$B33)*'S-BOM'!$D33,""))</f>
        <v>0</v>
      </c>
      <c r="G33" s="75" t="str">
        <f t="array" ref="G33">IFERROR(INDEX(#REF!,MATCH('S-BOM'!$C33,RM!$C$4:$C1003,0)),"")</f>
        <v/>
      </c>
      <c r="H33" s="75" t="str">
        <f t="shared" si="1"/>
        <v/>
      </c>
      <c r="I33" s="76"/>
    </row>
    <row r="34" spans="1:9" ht="15.75" customHeight="1">
      <c r="A34" s="69">
        <f t="shared" si="0"/>
        <v>32</v>
      </c>
      <c r="B34" s="70" t="s">
        <v>1468</v>
      </c>
      <c r="C34" s="71" t="s">
        <v>1474</v>
      </c>
      <c r="D34" s="72">
        <v>5</v>
      </c>
      <c r="E34" s="73" t="e">
        <f>IF(B34="","",VLOOKUP(C34,RM!$C$4:$F1003,3,FALSE))</f>
        <v>#N/A</v>
      </c>
      <c r="F34" s="74">
        <f>IF(B34="","",IFERROR(SUMIFS(Issue!$D$3:$D1013,Issue!$C$3:$C1013,'S-BOM'!$B34)*'S-BOM'!$D34,""))</f>
        <v>0</v>
      </c>
      <c r="G34" s="75" t="str">
        <f t="array" ref="G34">IFERROR(INDEX(#REF!,MATCH('S-BOM'!$C34,RM!$C$4:$C1003,0)),"")</f>
        <v/>
      </c>
      <c r="H34" s="75" t="str">
        <f t="shared" si="1"/>
        <v/>
      </c>
      <c r="I34" s="76"/>
    </row>
    <row r="35" spans="1:9" ht="15.75" customHeight="1">
      <c r="A35" s="69">
        <f t="shared" si="0"/>
        <v>33</v>
      </c>
      <c r="B35" s="70" t="s">
        <v>1468</v>
      </c>
      <c r="C35" s="71" t="s">
        <v>1475</v>
      </c>
      <c r="D35" s="72">
        <v>0.05</v>
      </c>
      <c r="E35" s="73" t="e">
        <f>IF(B35="","",VLOOKUP(C35,RM!$C$4:$F1003,3,FALSE))</f>
        <v>#N/A</v>
      </c>
      <c r="F35" s="74">
        <f>IF(B35="","",IFERROR(SUMIFS(Issue!$D$3:$D1013,Issue!$C$3:$C1013,'S-BOM'!$B35)*'S-BOM'!$D35,""))</f>
        <v>0</v>
      </c>
      <c r="G35" s="75" t="str">
        <f t="array" ref="G35">IFERROR(INDEX(#REF!,MATCH('S-BOM'!$C35,RM!$C$4:$C1003,0)),"")</f>
        <v/>
      </c>
      <c r="H35" s="75" t="str">
        <f t="shared" si="1"/>
        <v/>
      </c>
      <c r="I35" s="76"/>
    </row>
    <row r="36" spans="1:9" ht="15.75" customHeight="1">
      <c r="A36" s="69">
        <f t="shared" si="0"/>
        <v>34</v>
      </c>
      <c r="B36" s="70" t="s">
        <v>1468</v>
      </c>
      <c r="C36" s="71" t="s">
        <v>1476</v>
      </c>
      <c r="D36" s="72">
        <v>0.05</v>
      </c>
      <c r="E36" s="73" t="e">
        <f>IF(B36="","",VLOOKUP(C36,RM!$C$4:$F1003,3,FALSE))</f>
        <v>#N/A</v>
      </c>
      <c r="F36" s="74">
        <f>IF(B36="","",IFERROR(SUMIFS(Issue!$D$3:$D1013,Issue!$C$3:$C1013,'S-BOM'!$B36)*'S-BOM'!$D36,""))</f>
        <v>0</v>
      </c>
      <c r="G36" s="75" t="str">
        <f t="array" ref="G36">IFERROR(INDEX(#REF!,MATCH('S-BOM'!$C36,RM!$C$4:$C1003,0)),"")</f>
        <v/>
      </c>
      <c r="H36" s="75" t="str">
        <f t="shared" si="1"/>
        <v/>
      </c>
      <c r="I36" s="76"/>
    </row>
    <row r="37" spans="1:9" ht="15.75" customHeight="1">
      <c r="A37" s="69">
        <f t="shared" si="0"/>
        <v>35</v>
      </c>
      <c r="B37" s="70" t="s">
        <v>1468</v>
      </c>
      <c r="C37" s="71" t="s">
        <v>1477</v>
      </c>
      <c r="D37" s="72">
        <v>1</v>
      </c>
      <c r="E37" s="73" t="e">
        <f>IF(B37="","",VLOOKUP(C37,RM!$C$4:$F1003,3,FALSE))</f>
        <v>#N/A</v>
      </c>
      <c r="F37" s="74">
        <f>IF(B37="","",IFERROR(SUMIFS(Issue!$D$3:$D1013,Issue!$C$3:$C1013,'S-BOM'!$B37)*'S-BOM'!$D37,""))</f>
        <v>0</v>
      </c>
      <c r="G37" s="75" t="str">
        <f t="array" ref="G37">IFERROR(INDEX(#REF!,MATCH('S-BOM'!$C37,RM!$C$4:$C1003,0)),"")</f>
        <v/>
      </c>
      <c r="H37" s="75" t="str">
        <f t="shared" si="1"/>
        <v/>
      </c>
      <c r="I37" s="76"/>
    </row>
    <row r="38" spans="1:9" ht="15.75" customHeight="1">
      <c r="A38" s="69">
        <f t="shared" si="0"/>
        <v>36</v>
      </c>
      <c r="B38" s="70" t="s">
        <v>1478</v>
      </c>
      <c r="C38" s="71" t="s">
        <v>1469</v>
      </c>
      <c r="D38" s="72">
        <v>1</v>
      </c>
      <c r="E38" s="73" t="e">
        <f>IF(B38="","",VLOOKUP(C38,RM!$C$4:$F1003,3,FALSE))</f>
        <v>#N/A</v>
      </c>
      <c r="F38" s="74">
        <f>IF(B38="","",IFERROR(SUMIFS(Issue!$D$3:$D1013,Issue!$C$3:$C1013,'S-BOM'!$B38)*'S-BOM'!$D38,""))</f>
        <v>0</v>
      </c>
      <c r="G38" s="75" t="str">
        <f t="array" ref="G38">IFERROR(INDEX(#REF!,MATCH('S-BOM'!$C38,RM!$C$4:$C1003,0)),"")</f>
        <v/>
      </c>
      <c r="H38" s="75" t="str">
        <f t="shared" si="1"/>
        <v/>
      </c>
      <c r="I38" s="76"/>
    </row>
    <row r="39" spans="1:9" ht="15.75" customHeight="1">
      <c r="A39" s="69">
        <f t="shared" si="0"/>
        <v>37</v>
      </c>
      <c r="B39" s="70" t="s">
        <v>1478</v>
      </c>
      <c r="C39" s="71" t="s">
        <v>1470</v>
      </c>
      <c r="D39" s="72">
        <v>2</v>
      </c>
      <c r="E39" s="73" t="e">
        <f>IF(B39="","",VLOOKUP(C39,RM!$C$4:$F1003,3,FALSE))</f>
        <v>#N/A</v>
      </c>
      <c r="F39" s="74">
        <f>IF(B39="","",IFERROR(SUMIFS(Issue!$D$3:$D1013,Issue!$C$3:$C1013,'S-BOM'!$B39)*'S-BOM'!$D39,""))</f>
        <v>0</v>
      </c>
      <c r="G39" s="75" t="str">
        <f t="array" ref="G39">IFERROR(INDEX(#REF!,MATCH('S-BOM'!$C39,RM!$C$4:$C1003,0)),"")</f>
        <v/>
      </c>
      <c r="H39" s="75" t="str">
        <f t="shared" si="1"/>
        <v/>
      </c>
      <c r="I39" s="76"/>
    </row>
    <row r="40" spans="1:9" ht="15.75" customHeight="1">
      <c r="A40" s="69">
        <f t="shared" si="0"/>
        <v>38</v>
      </c>
      <c r="B40" s="70" t="s">
        <v>1478</v>
      </c>
      <c r="C40" s="71" t="s">
        <v>1471</v>
      </c>
      <c r="D40" s="72">
        <v>1</v>
      </c>
      <c r="E40" s="73" t="e">
        <f>IF(B40="","",VLOOKUP(C40,RM!$C$4:$F1003,3,FALSE))</f>
        <v>#N/A</v>
      </c>
      <c r="F40" s="74">
        <f>IF(B40="","",IFERROR(SUMIFS(Issue!$D$3:$D1013,Issue!$C$3:$C1013,'S-BOM'!$B40)*'S-BOM'!$D40,""))</f>
        <v>0</v>
      </c>
      <c r="G40" s="75" t="str">
        <f t="array" ref="G40">IFERROR(INDEX(#REF!,MATCH('S-BOM'!$C40,RM!$C$4:$C1003,0)),"")</f>
        <v/>
      </c>
      <c r="H40" s="75" t="str">
        <f t="shared" si="1"/>
        <v/>
      </c>
      <c r="I40" s="76"/>
    </row>
    <row r="41" spans="1:9" ht="15.75" customHeight="1">
      <c r="A41" s="69">
        <f t="shared" si="0"/>
        <v>39</v>
      </c>
      <c r="B41" s="70" t="s">
        <v>1478</v>
      </c>
      <c r="C41" s="71" t="s">
        <v>1473</v>
      </c>
      <c r="D41" s="72">
        <v>0.55000000000000004</v>
      </c>
      <c r="E41" s="73" t="e">
        <f>IF(B41="","",VLOOKUP(C41,RM!$C$4:$F1003,3,FALSE))</f>
        <v>#N/A</v>
      </c>
      <c r="F41" s="74">
        <f>IF(B41="","",IFERROR(SUMIFS(Issue!$D$3:$D1013,Issue!$C$3:$C1013,'S-BOM'!$B41)*'S-BOM'!$D41,""))</f>
        <v>0</v>
      </c>
      <c r="G41" s="75" t="str">
        <f t="array" ref="G41">IFERROR(INDEX(#REF!,MATCH('S-BOM'!$C41,RM!$C$4:$C1003,0)),"")</f>
        <v/>
      </c>
      <c r="H41" s="75" t="str">
        <f t="shared" si="1"/>
        <v/>
      </c>
      <c r="I41" s="76"/>
    </row>
    <row r="42" spans="1:9" ht="15.75" customHeight="1">
      <c r="A42" s="69">
        <f t="shared" si="0"/>
        <v>40</v>
      </c>
      <c r="B42" s="70" t="s">
        <v>1478</v>
      </c>
      <c r="C42" s="71" t="s">
        <v>679</v>
      </c>
      <c r="D42" s="72">
        <v>1</v>
      </c>
      <c r="E42" s="73" t="str">
        <f>IF(B42="","",VLOOKUP(C42,RM!$C$4:$F1003,3,FALSE))</f>
        <v>CF199T1306C</v>
      </c>
      <c r="F42" s="74">
        <f>IF(B42="","",IFERROR(SUMIFS(Issue!$D$3:$D1013,Issue!$C$3:$C1013,'S-BOM'!$B42)*'S-BOM'!$D42,""))</f>
        <v>0</v>
      </c>
      <c r="G42" s="75" t="str">
        <f t="array" ref="G42">IFERROR(INDEX(#REF!,MATCH('S-BOM'!$C42,RM!$C$4:$C1003,0)),"")</f>
        <v/>
      </c>
      <c r="H42" s="75" t="str">
        <f t="shared" si="1"/>
        <v/>
      </c>
      <c r="I42" s="76"/>
    </row>
    <row r="43" spans="1:9" ht="15.75" customHeight="1">
      <c r="A43" s="69">
        <f t="shared" si="0"/>
        <v>41</v>
      </c>
      <c r="B43" s="70" t="s">
        <v>1478</v>
      </c>
      <c r="C43" s="71" t="s">
        <v>1474</v>
      </c>
      <c r="D43" s="72">
        <v>5</v>
      </c>
      <c r="E43" s="73" t="e">
        <f>IF(B43="","",VLOOKUP(C43,RM!$C$4:$F1003,3,FALSE))</f>
        <v>#N/A</v>
      </c>
      <c r="F43" s="74">
        <f>IF(B43="","",IFERROR(SUMIFS(Issue!$D$3:$D1013,Issue!$C$3:$C1013,'S-BOM'!$B43)*'S-BOM'!$D43,""))</f>
        <v>0</v>
      </c>
      <c r="G43" s="75" t="str">
        <f t="array" ref="G43">IFERROR(INDEX(#REF!,MATCH('S-BOM'!$C43,RM!$C$4:$C1003,0)),"")</f>
        <v/>
      </c>
      <c r="H43" s="75" t="str">
        <f t="shared" si="1"/>
        <v/>
      </c>
      <c r="I43" s="76"/>
    </row>
    <row r="44" spans="1:9" ht="15.75" customHeight="1">
      <c r="A44" s="69">
        <f t="shared" si="0"/>
        <v>42</v>
      </c>
      <c r="B44" s="70" t="s">
        <v>1478</v>
      </c>
      <c r="C44" s="71" t="s">
        <v>1475</v>
      </c>
      <c r="D44" s="72">
        <v>0.05</v>
      </c>
      <c r="E44" s="73" t="e">
        <f>IF(B44="","",VLOOKUP(C44,RM!$C$4:$F1003,3,FALSE))</f>
        <v>#N/A</v>
      </c>
      <c r="F44" s="74">
        <f>IF(B44="","",IFERROR(SUMIFS(Issue!$D$3:$D1013,Issue!$C$3:$C1013,'S-BOM'!$B44)*'S-BOM'!$D44,""))</f>
        <v>0</v>
      </c>
      <c r="G44" s="75" t="str">
        <f t="array" ref="G44">IFERROR(INDEX(#REF!,MATCH('S-BOM'!$C44,RM!$C$4:$C1003,0)),"")</f>
        <v/>
      </c>
      <c r="H44" s="75" t="str">
        <f t="shared" si="1"/>
        <v/>
      </c>
      <c r="I44" s="76"/>
    </row>
    <row r="45" spans="1:9" ht="15.75" customHeight="1">
      <c r="A45" s="69">
        <f t="shared" si="0"/>
        <v>43</v>
      </c>
      <c r="B45" s="70" t="s">
        <v>1478</v>
      </c>
      <c r="C45" s="71" t="s">
        <v>1476</v>
      </c>
      <c r="D45" s="72">
        <v>0.05</v>
      </c>
      <c r="E45" s="73" t="e">
        <f>IF(B45="","",VLOOKUP(C45,RM!$C$4:$F1003,3,FALSE))</f>
        <v>#N/A</v>
      </c>
      <c r="F45" s="74">
        <f>IF(B45="","",IFERROR(SUMIFS(Issue!$D$3:$D1013,Issue!$C$3:$C1013,'S-BOM'!$B45)*'S-BOM'!$D45,""))</f>
        <v>0</v>
      </c>
      <c r="G45" s="75" t="str">
        <f t="array" ref="G45">IFERROR(INDEX(#REF!,MATCH('S-BOM'!$C45,RM!$C$4:$C1003,0)),"")</f>
        <v/>
      </c>
      <c r="H45" s="75" t="str">
        <f t="shared" si="1"/>
        <v/>
      </c>
      <c r="I45" s="76"/>
    </row>
    <row r="46" spans="1:9" ht="15.75" customHeight="1">
      <c r="A46" s="69">
        <f t="shared" si="0"/>
        <v>44</v>
      </c>
      <c r="B46" s="70" t="s">
        <v>1478</v>
      </c>
      <c r="C46" s="71" t="s">
        <v>1477</v>
      </c>
      <c r="D46" s="72">
        <v>1</v>
      </c>
      <c r="E46" s="73" t="e">
        <f>IF(B46="","",VLOOKUP(C46,RM!$C$4:$F1003,3,FALSE))</f>
        <v>#N/A</v>
      </c>
      <c r="F46" s="74">
        <f>IF(B46="","",IFERROR(SUMIFS(Issue!$D$3:$D1013,Issue!$C$3:$C1013,'S-BOM'!$B46)*'S-BOM'!$D46,""))</f>
        <v>0</v>
      </c>
      <c r="G46" s="75" t="str">
        <f t="array" ref="G46">IFERROR(INDEX(#REF!,MATCH('S-BOM'!$C46,RM!$C$4:$C1003,0)),"")</f>
        <v/>
      </c>
      <c r="H46" s="75" t="str">
        <f t="shared" si="1"/>
        <v/>
      </c>
      <c r="I46" s="76"/>
    </row>
    <row r="47" spans="1:9" ht="15.75" customHeight="1">
      <c r="A47" s="69">
        <f t="shared" si="0"/>
        <v>45</v>
      </c>
      <c r="B47" s="70" t="s">
        <v>1479</v>
      </c>
      <c r="C47" s="71" t="s">
        <v>1480</v>
      </c>
      <c r="D47" s="72">
        <v>1</v>
      </c>
      <c r="E47" s="73" t="e">
        <f>IF(B47="","",VLOOKUP(C47,RM!$C$4:$F1003,3,FALSE))</f>
        <v>#N/A</v>
      </c>
      <c r="F47" s="74">
        <f>IF(B47="","",IFERROR(SUMIFS(Issue!$D$3:$D1013,Issue!$C$3:$C1013,'S-BOM'!$B47)*'S-BOM'!$D47,""))</f>
        <v>0</v>
      </c>
      <c r="G47" s="75" t="str">
        <f t="array" ref="G47">IFERROR(INDEX(#REF!,MATCH('S-BOM'!$C47,RM!$C$4:$C1003,0)),"")</f>
        <v/>
      </c>
      <c r="H47" s="75" t="str">
        <f t="shared" si="1"/>
        <v/>
      </c>
      <c r="I47" s="76"/>
    </row>
    <row r="48" spans="1:9" ht="15.75" customHeight="1">
      <c r="A48" s="69">
        <f t="shared" si="0"/>
        <v>46</v>
      </c>
      <c r="B48" s="70" t="s">
        <v>1479</v>
      </c>
      <c r="C48" s="71" t="s">
        <v>1481</v>
      </c>
      <c r="D48" s="72">
        <v>1</v>
      </c>
      <c r="E48" s="73" t="e">
        <f>IF(B48="","",VLOOKUP(C48,RM!$C$4:$F1003,3,FALSE))</f>
        <v>#N/A</v>
      </c>
      <c r="F48" s="74">
        <f>IF(B48="","",IFERROR(SUMIFS(Issue!$D$3:$D1013,Issue!$C$3:$C1013,'S-BOM'!$B48)*'S-BOM'!$D48,""))</f>
        <v>0</v>
      </c>
      <c r="G48" s="75" t="str">
        <f t="array" ref="G48">IFERROR(INDEX(#REF!,MATCH('S-BOM'!$C48,RM!$C$4:$C1003,0)),"")</f>
        <v/>
      </c>
      <c r="H48" s="75" t="str">
        <f t="shared" si="1"/>
        <v/>
      </c>
      <c r="I48" s="76"/>
    </row>
    <row r="49" spans="1:9" ht="15.75" customHeight="1">
      <c r="A49" s="69">
        <f t="shared" si="0"/>
        <v>47</v>
      </c>
      <c r="B49" s="70" t="s">
        <v>1479</v>
      </c>
      <c r="C49" s="71" t="s">
        <v>1482</v>
      </c>
      <c r="D49" s="72">
        <v>1</v>
      </c>
      <c r="E49" s="73" t="e">
        <f>IF(B49="","",VLOOKUP(C49,RM!$C$4:$F1003,3,FALSE))</f>
        <v>#N/A</v>
      </c>
      <c r="F49" s="74">
        <f>IF(B49="","",IFERROR(SUMIFS(Issue!$D$3:$D1013,Issue!$C$3:$C1013,'S-BOM'!$B49)*'S-BOM'!$D49,""))</f>
        <v>0</v>
      </c>
      <c r="G49" s="75" t="str">
        <f t="array" ref="G49">IFERROR(INDEX(#REF!,MATCH('S-BOM'!$C49,RM!$C$4:$C1003,0)),"")</f>
        <v/>
      </c>
      <c r="H49" s="75" t="str">
        <f t="shared" si="1"/>
        <v/>
      </c>
      <c r="I49" s="76"/>
    </row>
    <row r="50" spans="1:9" ht="15.75" customHeight="1">
      <c r="A50" s="69">
        <f t="shared" si="0"/>
        <v>48</v>
      </c>
      <c r="B50" s="70" t="s">
        <v>1479</v>
      </c>
      <c r="C50" s="71" t="s">
        <v>1483</v>
      </c>
      <c r="D50" s="72">
        <v>1</v>
      </c>
      <c r="E50" s="73" t="e">
        <f>IF(B50="","",VLOOKUP(C50,RM!$C$4:$F1003,3,FALSE))</f>
        <v>#N/A</v>
      </c>
      <c r="F50" s="74">
        <f>IF(B50="","",IFERROR(SUMIFS(Issue!$D$3:$D1013,Issue!$C$3:$C1013,'S-BOM'!$B50)*'S-BOM'!$D50,""))</f>
        <v>0</v>
      </c>
      <c r="G50" s="75" t="str">
        <f t="array" ref="G50">IFERROR(INDEX(#REF!,MATCH('S-BOM'!$C50,RM!$C$4:$C1003,0)),"")</f>
        <v/>
      </c>
      <c r="H50" s="75" t="str">
        <f t="shared" si="1"/>
        <v/>
      </c>
      <c r="I50" s="76"/>
    </row>
    <row r="51" spans="1:9" ht="15.75" customHeight="1">
      <c r="A51" s="69">
        <f t="shared" si="0"/>
        <v>49</v>
      </c>
      <c r="B51" s="70" t="s">
        <v>1479</v>
      </c>
      <c r="C51" s="71" t="s">
        <v>1484</v>
      </c>
      <c r="D51" s="72">
        <v>1</v>
      </c>
      <c r="E51" s="73" t="e">
        <f>IF(B51="","",VLOOKUP(C51,RM!$C$4:$F1003,3,FALSE))</f>
        <v>#N/A</v>
      </c>
      <c r="F51" s="74">
        <f>IF(B51="","",IFERROR(SUMIFS(Issue!$D$3:$D1013,Issue!$C$3:$C1013,'S-BOM'!$B51)*'S-BOM'!$D51,""))</f>
        <v>0</v>
      </c>
      <c r="G51" s="75" t="str">
        <f t="array" ref="G51">IFERROR(INDEX(#REF!,MATCH('S-BOM'!$C51,RM!$C$4:$C1003,0)),"")</f>
        <v/>
      </c>
      <c r="H51" s="75" t="str">
        <f t="shared" si="1"/>
        <v/>
      </c>
      <c r="I51" s="76"/>
    </row>
    <row r="52" spans="1:9" ht="15.75" customHeight="1">
      <c r="A52" s="69">
        <f t="shared" si="0"/>
        <v>50</v>
      </c>
      <c r="B52" s="70" t="s">
        <v>1479</v>
      </c>
      <c r="C52" s="71" t="s">
        <v>1485</v>
      </c>
      <c r="D52" s="72">
        <v>1</v>
      </c>
      <c r="E52" s="73" t="e">
        <f>IF(B52="","",VLOOKUP(C52,RM!$C$4:$F1003,3,FALSE))</f>
        <v>#N/A</v>
      </c>
      <c r="F52" s="74">
        <f>IF(B52="","",IFERROR(SUMIFS(Issue!$D$3:$D1013,Issue!$C$3:$C1013,'S-BOM'!$B52)*'S-BOM'!$D52,""))</f>
        <v>0</v>
      </c>
      <c r="G52" s="75" t="str">
        <f t="array" ref="G52">IFERROR(INDEX(#REF!,MATCH('S-BOM'!$C52,RM!$C$4:$C1003,0)),"")</f>
        <v/>
      </c>
      <c r="H52" s="75" t="str">
        <f t="shared" si="1"/>
        <v/>
      </c>
      <c r="I52" s="76"/>
    </row>
    <row r="53" spans="1:9" ht="15.75" customHeight="1">
      <c r="A53" s="69">
        <f t="shared" si="0"/>
        <v>51</v>
      </c>
      <c r="B53" s="70" t="s">
        <v>1479</v>
      </c>
      <c r="C53" s="71" t="s">
        <v>1486</v>
      </c>
      <c r="D53" s="72">
        <v>1</v>
      </c>
      <c r="E53" s="73" t="e">
        <f>IF(B53="","",VLOOKUP(C53,RM!$C$4:$F1003,3,FALSE))</f>
        <v>#N/A</v>
      </c>
      <c r="F53" s="74">
        <f>IF(B53="","",IFERROR(SUMIFS(Issue!$D$3:$D1013,Issue!$C$3:$C1013,'S-BOM'!$B53)*'S-BOM'!$D53,""))</f>
        <v>0</v>
      </c>
      <c r="G53" s="75" t="str">
        <f t="array" ref="G53">IFERROR(INDEX(#REF!,MATCH('S-BOM'!$C53,RM!$C$4:$C1003,0)),"")</f>
        <v/>
      </c>
      <c r="H53" s="75" t="str">
        <f t="shared" si="1"/>
        <v/>
      </c>
      <c r="I53" s="76"/>
    </row>
    <row r="54" spans="1:9" ht="15.75" customHeight="1">
      <c r="A54" s="69">
        <f t="shared" si="0"/>
        <v>52</v>
      </c>
      <c r="B54" s="70" t="s">
        <v>1479</v>
      </c>
      <c r="C54" s="71" t="s">
        <v>1487</v>
      </c>
      <c r="D54" s="72">
        <v>1</v>
      </c>
      <c r="E54" s="73" t="e">
        <f>IF(B54="","",VLOOKUP(C54,RM!$C$4:$F1003,3,FALSE))</f>
        <v>#N/A</v>
      </c>
      <c r="F54" s="74">
        <f>IF(B54="","",IFERROR(SUMIFS(Issue!$D$3:$D1013,Issue!$C$3:$C1013,'S-BOM'!$B54)*'S-BOM'!$D54,""))</f>
        <v>0</v>
      </c>
      <c r="G54" s="75" t="str">
        <f t="array" ref="G54">IFERROR(INDEX(#REF!,MATCH('S-BOM'!$C54,RM!$C$4:$C1003,0)),"")</f>
        <v/>
      </c>
      <c r="H54" s="75" t="str">
        <f t="shared" si="1"/>
        <v/>
      </c>
      <c r="I54" s="76"/>
    </row>
    <row r="55" spans="1:9" ht="15.75" customHeight="1">
      <c r="A55" s="69">
        <f t="shared" si="0"/>
        <v>53</v>
      </c>
      <c r="B55" s="70" t="s">
        <v>1479</v>
      </c>
      <c r="C55" s="71" t="s">
        <v>1488</v>
      </c>
      <c r="D55" s="72">
        <v>1</v>
      </c>
      <c r="E55" s="73" t="e">
        <f>IF(B55="","",VLOOKUP(C55,RM!$C$4:$F1003,3,FALSE))</f>
        <v>#N/A</v>
      </c>
      <c r="F55" s="74">
        <f>IF(B55="","",IFERROR(SUMIFS(Issue!$D$3:$D1013,Issue!$C$3:$C1013,'S-BOM'!$B55)*'S-BOM'!$D55,""))</f>
        <v>0</v>
      </c>
      <c r="G55" s="75" t="str">
        <f t="array" ref="G55">IFERROR(INDEX(#REF!,MATCH('S-BOM'!$C55,RM!$C$4:$C1003,0)),"")</f>
        <v/>
      </c>
      <c r="H55" s="75" t="str">
        <f t="shared" si="1"/>
        <v/>
      </c>
      <c r="I55" s="76"/>
    </row>
    <row r="56" spans="1:9" ht="15.75" customHeight="1">
      <c r="A56" s="69">
        <f t="shared" si="0"/>
        <v>54</v>
      </c>
      <c r="B56" s="70" t="s">
        <v>1479</v>
      </c>
      <c r="C56" s="71" t="s">
        <v>1489</v>
      </c>
      <c r="D56" s="72">
        <v>1</v>
      </c>
      <c r="E56" s="73" t="e">
        <f>IF(B56="","",VLOOKUP(C56,RM!$C$4:$F1003,3,FALSE))</f>
        <v>#N/A</v>
      </c>
      <c r="F56" s="74">
        <f>IF(B56="","",IFERROR(SUMIFS(Issue!$D$3:$D1013,Issue!$C$3:$C1013,'S-BOM'!$B56)*'S-BOM'!$D56,""))</f>
        <v>0</v>
      </c>
      <c r="G56" s="75" t="str">
        <f t="array" ref="G56">IFERROR(INDEX(#REF!,MATCH('S-BOM'!$C56,RM!$C$4:$C1003,0)),"")</f>
        <v/>
      </c>
      <c r="H56" s="75" t="str">
        <f t="shared" si="1"/>
        <v/>
      </c>
      <c r="I56" s="76"/>
    </row>
    <row r="57" spans="1:9" ht="15.75" customHeight="1">
      <c r="A57" s="69">
        <f t="shared" si="0"/>
        <v>55</v>
      </c>
      <c r="B57" s="70" t="s">
        <v>1479</v>
      </c>
      <c r="C57" s="71" t="s">
        <v>1490</v>
      </c>
      <c r="D57" s="72">
        <v>1</v>
      </c>
      <c r="E57" s="73" t="e">
        <f>IF(B57="","",VLOOKUP(C57,RM!$C$4:$F1003,3,FALSE))</f>
        <v>#N/A</v>
      </c>
      <c r="F57" s="74">
        <f>IF(B57="","",IFERROR(SUMIFS(Issue!$D$3:$D1013,Issue!$C$3:$C1013,'S-BOM'!$B57)*'S-BOM'!$D57,""))</f>
        <v>0</v>
      </c>
      <c r="G57" s="75" t="str">
        <f t="array" ref="G57">IFERROR(INDEX(#REF!,MATCH('S-BOM'!$C57,RM!$C$4:$C1003,0)),"")</f>
        <v/>
      </c>
      <c r="H57" s="75" t="str">
        <f t="shared" si="1"/>
        <v/>
      </c>
      <c r="I57" s="76"/>
    </row>
    <row r="58" spans="1:9" ht="15.75" customHeight="1">
      <c r="A58" s="69">
        <f t="shared" si="0"/>
        <v>56</v>
      </c>
      <c r="B58" s="70" t="s">
        <v>1479</v>
      </c>
      <c r="C58" s="71" t="s">
        <v>1491</v>
      </c>
      <c r="D58" s="72">
        <v>1</v>
      </c>
      <c r="E58" s="73" t="e">
        <f>IF(B58="","",VLOOKUP(C58,RM!$C$4:$F1003,3,FALSE))</f>
        <v>#N/A</v>
      </c>
      <c r="F58" s="74">
        <f>IF(B58="","",IFERROR(SUMIFS(Issue!$D$3:$D1013,Issue!$C$3:$C1013,'S-BOM'!$B58)*'S-BOM'!$D58,""))</f>
        <v>0</v>
      </c>
      <c r="G58" s="75" t="str">
        <f t="array" ref="G58">IFERROR(INDEX(#REF!,MATCH('S-BOM'!$C58,RM!$C$4:$C1003,0)),"")</f>
        <v/>
      </c>
      <c r="H58" s="75" t="str">
        <f t="shared" si="1"/>
        <v/>
      </c>
      <c r="I58" s="76"/>
    </row>
    <row r="59" spans="1:9" ht="15.75" customHeight="1">
      <c r="A59" s="69">
        <f t="shared" si="0"/>
        <v>57</v>
      </c>
      <c r="B59" s="70" t="s">
        <v>1479</v>
      </c>
      <c r="C59" s="71" t="s">
        <v>1492</v>
      </c>
      <c r="D59" s="72">
        <v>1</v>
      </c>
      <c r="E59" s="73" t="e">
        <f>IF(B59="","",VLOOKUP(C59,RM!$C$4:$F1003,3,FALSE))</f>
        <v>#N/A</v>
      </c>
      <c r="F59" s="74">
        <f>IF(B59="","",IFERROR(SUMIFS(Issue!$D$3:$D1013,Issue!$C$3:$C1013,'S-BOM'!$B59)*'S-BOM'!$D59,""))</f>
        <v>0</v>
      </c>
      <c r="G59" s="75" t="str">
        <f t="array" ref="G59">IFERROR(INDEX(#REF!,MATCH('S-BOM'!$C59,RM!$C$4:$C1003,0)),"")</f>
        <v/>
      </c>
      <c r="H59" s="75" t="str">
        <f t="shared" si="1"/>
        <v/>
      </c>
      <c r="I59" s="76"/>
    </row>
    <row r="60" spans="1:9" ht="15.75" customHeight="1">
      <c r="A60" s="69">
        <f t="shared" si="0"/>
        <v>58</v>
      </c>
      <c r="B60" s="70" t="s">
        <v>1479</v>
      </c>
      <c r="C60" s="71" t="s">
        <v>1493</v>
      </c>
      <c r="D60" s="72">
        <v>1</v>
      </c>
      <c r="E60" s="73" t="e">
        <f>IF(B60="","",VLOOKUP(C60,RM!$C$4:$F1003,3,FALSE))</f>
        <v>#N/A</v>
      </c>
      <c r="F60" s="74">
        <f>IF(B60="","",IFERROR(SUMIFS(Issue!$D$3:$D1013,Issue!$C$3:$C1013,'S-BOM'!$B60)*'S-BOM'!$D60,""))</f>
        <v>0</v>
      </c>
      <c r="G60" s="75" t="str">
        <f t="array" ref="G60">IFERROR(INDEX(#REF!,MATCH('S-BOM'!$C60,RM!$C$4:$C1003,0)),"")</f>
        <v/>
      </c>
      <c r="H60" s="75" t="str">
        <f t="shared" si="1"/>
        <v/>
      </c>
      <c r="I60" s="76"/>
    </row>
    <row r="61" spans="1:9" ht="15.75" customHeight="1">
      <c r="A61" s="69">
        <f t="shared" si="0"/>
        <v>59</v>
      </c>
      <c r="B61" s="70" t="s">
        <v>1479</v>
      </c>
      <c r="C61" s="71" t="s">
        <v>1494</v>
      </c>
      <c r="D61" s="72">
        <v>1</v>
      </c>
      <c r="E61" s="73" t="e">
        <f>IF(B61="","",VLOOKUP(C61,RM!$C$4:$F1003,3,FALSE))</f>
        <v>#N/A</v>
      </c>
      <c r="F61" s="74">
        <f>IF(B61="","",IFERROR(SUMIFS(Issue!$D$3:$D1013,Issue!$C$3:$C1013,'S-BOM'!$B61)*'S-BOM'!$D61,""))</f>
        <v>0</v>
      </c>
      <c r="G61" s="75" t="str">
        <f t="array" ref="G61">IFERROR(INDEX(#REF!,MATCH('S-BOM'!$C61,RM!$C$4:$C1003,0)),"")</f>
        <v/>
      </c>
      <c r="H61" s="75" t="str">
        <f t="shared" si="1"/>
        <v/>
      </c>
      <c r="I61" s="76"/>
    </row>
    <row r="62" spans="1:9" ht="15.75" customHeight="1">
      <c r="A62" s="69">
        <f t="shared" si="0"/>
        <v>60</v>
      </c>
      <c r="B62" s="70" t="s">
        <v>1479</v>
      </c>
      <c r="C62" s="71" t="s">
        <v>1495</v>
      </c>
      <c r="D62" s="72">
        <v>1</v>
      </c>
      <c r="E62" s="73" t="e">
        <f>IF(B62="","",VLOOKUP(C62,RM!$C$4:$F1003,3,FALSE))</f>
        <v>#N/A</v>
      </c>
      <c r="F62" s="74">
        <f>IF(B62="","",IFERROR(SUMIFS(Issue!$D$3:$D1013,Issue!$C$3:$C1013,'S-BOM'!$B62)*'S-BOM'!$D62,""))</f>
        <v>0</v>
      </c>
      <c r="G62" s="75" t="str">
        <f t="array" ref="G62">IFERROR(INDEX(#REF!,MATCH('S-BOM'!$C62,RM!$C$4:$C1003,0)),"")</f>
        <v/>
      </c>
      <c r="H62" s="75" t="str">
        <f t="shared" si="1"/>
        <v/>
      </c>
      <c r="I62" s="76"/>
    </row>
    <row r="63" spans="1:9" ht="15.75" customHeight="1">
      <c r="A63" s="69">
        <f t="shared" si="0"/>
        <v>61</v>
      </c>
      <c r="B63" s="70" t="s">
        <v>1479</v>
      </c>
      <c r="C63" s="71" t="s">
        <v>1000</v>
      </c>
      <c r="D63" s="72">
        <v>0.15</v>
      </c>
      <c r="E63" s="73">
        <f>IF(B63="","",VLOOKUP(C63,RM!$C$4:$F1003,3,FALSE))</f>
        <v>0</v>
      </c>
      <c r="F63" s="74">
        <f>IF(B63="","",IFERROR(SUMIFS(Issue!$D$3:$D1013,Issue!$C$3:$C1013,'S-BOM'!$B63)*'S-BOM'!$D63,""))</f>
        <v>0</v>
      </c>
      <c r="G63" s="75" t="str">
        <f t="array" ref="G63">IFERROR(INDEX(#REF!,MATCH('S-BOM'!$C63,RM!$C$4:$C1003,0)),"")</f>
        <v/>
      </c>
      <c r="H63" s="75" t="str">
        <f t="shared" si="1"/>
        <v/>
      </c>
      <c r="I63" s="76"/>
    </row>
    <row r="64" spans="1:9" ht="15.75" customHeight="1">
      <c r="A64" s="69">
        <f t="shared" si="0"/>
        <v>62</v>
      </c>
      <c r="B64" s="70" t="s">
        <v>1479</v>
      </c>
      <c r="C64" s="71" t="s">
        <v>1458</v>
      </c>
      <c r="D64" s="72">
        <v>2</v>
      </c>
      <c r="E64" s="73" t="e">
        <f>IF(B64="","",VLOOKUP(C64,RM!$C$4:$F1003,3,FALSE))</f>
        <v>#N/A</v>
      </c>
      <c r="F64" s="74">
        <f>IF(B64="","",IFERROR(SUMIFS(Issue!$D$3:$D1013,Issue!$C$3:$C1013,'S-BOM'!$B64)*'S-BOM'!$D64,""))</f>
        <v>0</v>
      </c>
      <c r="G64" s="75" t="str">
        <f t="array" ref="G64">IFERROR(INDEX(#REF!,MATCH('S-BOM'!$C64,RM!$C$4:$C1003,0)),"")</f>
        <v/>
      </c>
      <c r="H64" s="75" t="str">
        <f t="shared" si="1"/>
        <v/>
      </c>
      <c r="I64" s="76"/>
    </row>
    <row r="65" spans="1:9" ht="15.75" customHeight="1">
      <c r="A65" s="69">
        <f t="shared" si="0"/>
        <v>63</v>
      </c>
      <c r="B65" s="70" t="s">
        <v>1479</v>
      </c>
      <c r="C65" s="71" t="s">
        <v>1496</v>
      </c>
      <c r="D65" s="72">
        <v>5</v>
      </c>
      <c r="E65" s="73" t="e">
        <f>IF(B65="","",VLOOKUP(C65,RM!$C$4:$F1003,3,FALSE))</f>
        <v>#N/A</v>
      </c>
      <c r="F65" s="74">
        <f>IF(B65="","",IFERROR(SUMIFS(Issue!$D$3:$D1013,Issue!$C$3:$C1013,'S-BOM'!$B65)*'S-BOM'!$D65,""))</f>
        <v>0</v>
      </c>
      <c r="G65" s="75" t="str">
        <f t="array" ref="G65">IFERROR(INDEX(#REF!,MATCH('S-BOM'!$C65,RM!$C$4:$C1003,0)),"")</f>
        <v/>
      </c>
      <c r="H65" s="75" t="str">
        <f t="shared" si="1"/>
        <v/>
      </c>
      <c r="I65" s="76"/>
    </row>
    <row r="66" spans="1:9" ht="15.75" customHeight="1">
      <c r="A66" s="69">
        <f t="shared" si="0"/>
        <v>64</v>
      </c>
      <c r="B66" s="70" t="s">
        <v>1479</v>
      </c>
      <c r="C66" s="71" t="s">
        <v>1497</v>
      </c>
      <c r="D66" s="72">
        <v>5</v>
      </c>
      <c r="E66" s="73">
        <f>IF(B66="","",VLOOKUP(C66,RM!$C$4:$F1003,3,FALSE))</f>
        <v>0</v>
      </c>
      <c r="F66" s="74">
        <f>IF(B66="","",IFERROR(SUMIFS(Issue!$D$3:$D1013,Issue!$C$3:$C1013,'S-BOM'!$B66)*'S-BOM'!$D66,""))</f>
        <v>0</v>
      </c>
      <c r="G66" s="75" t="str">
        <f t="array" ref="G66">IFERROR(INDEX(#REF!,MATCH('S-BOM'!$C66,RM!$C$4:$C1003,0)),"")</f>
        <v/>
      </c>
      <c r="H66" s="75" t="str">
        <f t="shared" si="1"/>
        <v/>
      </c>
      <c r="I66" s="76"/>
    </row>
    <row r="67" spans="1:9" ht="15.75" customHeight="1">
      <c r="A67" s="69">
        <f t="shared" si="0"/>
        <v>65</v>
      </c>
      <c r="B67" s="70" t="s">
        <v>1498</v>
      </c>
      <c r="C67" s="71" t="s">
        <v>1480</v>
      </c>
      <c r="D67" s="72">
        <v>1</v>
      </c>
      <c r="E67" s="73" t="e">
        <f>IF(B67="","",VLOOKUP(C67,RM!$C$4:$F1003,3,FALSE))</f>
        <v>#N/A</v>
      </c>
      <c r="F67" s="74">
        <f>IF(B67="","",IFERROR(SUMIFS(Issue!$D$3:$D1013,Issue!$C$3:$C1013,'S-BOM'!$B67)*'S-BOM'!$D67,""))</f>
        <v>0</v>
      </c>
      <c r="G67" s="75" t="str">
        <f t="array" ref="G67">IFERROR(INDEX(#REF!,MATCH('S-BOM'!$C67,RM!$C$4:$C1003,0)),"")</f>
        <v/>
      </c>
      <c r="H67" s="75" t="str">
        <f t="shared" si="1"/>
        <v/>
      </c>
      <c r="I67" s="76"/>
    </row>
    <row r="68" spans="1:9" ht="15.75" customHeight="1">
      <c r="A68" s="69">
        <f t="shared" si="0"/>
        <v>66</v>
      </c>
      <c r="B68" s="70" t="s">
        <v>1498</v>
      </c>
      <c r="C68" s="71" t="s">
        <v>1481</v>
      </c>
      <c r="D68" s="72">
        <v>1</v>
      </c>
      <c r="E68" s="73" t="e">
        <f>IF(B68="","",VLOOKUP(C68,RM!$C$4:$F1003,3,FALSE))</f>
        <v>#N/A</v>
      </c>
      <c r="F68" s="74">
        <f>IF(B68="","",IFERROR(SUMIFS(Issue!$D$3:$D1013,Issue!$C$3:$C1013,'S-BOM'!$B68)*'S-BOM'!$D68,""))</f>
        <v>0</v>
      </c>
      <c r="G68" s="75" t="str">
        <f t="array" ref="G68">IFERROR(INDEX(#REF!,MATCH('S-BOM'!$C68,RM!$C$4:$C1003,0)),"")</f>
        <v/>
      </c>
      <c r="H68" s="75" t="str">
        <f t="shared" si="1"/>
        <v/>
      </c>
      <c r="I68" s="76"/>
    </row>
    <row r="69" spans="1:9" ht="15.75" customHeight="1">
      <c r="A69" s="69">
        <f t="shared" si="0"/>
        <v>67</v>
      </c>
      <c r="B69" s="70" t="s">
        <v>1498</v>
      </c>
      <c r="C69" s="71" t="s">
        <v>1482</v>
      </c>
      <c r="D69" s="72">
        <v>1</v>
      </c>
      <c r="E69" s="73" t="e">
        <f>IF(B69="","",VLOOKUP(C69,RM!$C$4:$F1003,3,FALSE))</f>
        <v>#N/A</v>
      </c>
      <c r="F69" s="74">
        <f>IF(B69="","",IFERROR(SUMIFS(Issue!$D$3:$D1013,Issue!$C$3:$C1013,'S-BOM'!$B69)*'S-BOM'!$D69,""))</f>
        <v>0</v>
      </c>
      <c r="G69" s="75" t="str">
        <f t="array" ref="G69">IFERROR(INDEX(#REF!,MATCH('S-BOM'!$C69,RM!$C$4:$C1003,0)),"")</f>
        <v/>
      </c>
      <c r="H69" s="75" t="str">
        <f t="shared" si="1"/>
        <v/>
      </c>
      <c r="I69" s="76"/>
    </row>
    <row r="70" spans="1:9" ht="15.75" customHeight="1">
      <c r="A70" s="69">
        <f t="shared" si="0"/>
        <v>68</v>
      </c>
      <c r="B70" s="70" t="s">
        <v>1498</v>
      </c>
      <c r="C70" s="71" t="s">
        <v>1483</v>
      </c>
      <c r="D70" s="72">
        <v>1</v>
      </c>
      <c r="E70" s="73" t="e">
        <f>IF(B70="","",VLOOKUP(C70,RM!$C$4:$F1003,3,FALSE))</f>
        <v>#N/A</v>
      </c>
      <c r="F70" s="74">
        <f>IF(B70="","",IFERROR(SUMIFS(Issue!$D$3:$D1013,Issue!$C$3:$C1013,'S-BOM'!$B70)*'S-BOM'!$D70,""))</f>
        <v>0</v>
      </c>
      <c r="G70" s="75" t="str">
        <f t="array" ref="G70">IFERROR(INDEX(#REF!,MATCH('S-BOM'!$C70,RM!$C$4:$C1003,0)),"")</f>
        <v/>
      </c>
      <c r="H70" s="75" t="str">
        <f t="shared" si="1"/>
        <v/>
      </c>
      <c r="I70" s="76"/>
    </row>
    <row r="71" spans="1:9" ht="15.75" customHeight="1">
      <c r="A71" s="69">
        <f t="shared" si="0"/>
        <v>69</v>
      </c>
      <c r="B71" s="70" t="s">
        <v>1498</v>
      </c>
      <c r="C71" s="71" t="s">
        <v>1484</v>
      </c>
      <c r="D71" s="72">
        <v>1</v>
      </c>
      <c r="E71" s="73" t="e">
        <f>IF(B71="","",VLOOKUP(C71,RM!$C$4:$F1003,3,FALSE))</f>
        <v>#N/A</v>
      </c>
      <c r="F71" s="74">
        <f>IF(B71="","",IFERROR(SUMIFS(Issue!$D$3:$D1013,Issue!$C$3:$C1013,'S-BOM'!$B71)*'S-BOM'!$D71,""))</f>
        <v>0</v>
      </c>
      <c r="G71" s="75" t="str">
        <f t="array" ref="G71">IFERROR(INDEX(#REF!,MATCH('S-BOM'!$C71,RM!$C$4:$C1003,0)),"")</f>
        <v/>
      </c>
      <c r="H71" s="75" t="str">
        <f t="shared" si="1"/>
        <v/>
      </c>
      <c r="I71" s="76"/>
    </row>
    <row r="72" spans="1:9" ht="15.75" customHeight="1">
      <c r="A72" s="69">
        <f t="shared" si="0"/>
        <v>70</v>
      </c>
      <c r="B72" s="70" t="s">
        <v>1498</v>
      </c>
      <c r="C72" s="71" t="s">
        <v>1485</v>
      </c>
      <c r="D72" s="72">
        <v>1</v>
      </c>
      <c r="E72" s="73" t="e">
        <f>IF(B72="","",VLOOKUP(C72,RM!$C$4:$F1003,3,FALSE))</f>
        <v>#N/A</v>
      </c>
      <c r="F72" s="74">
        <f>IF(B72="","",IFERROR(SUMIFS(Issue!$D$3:$D1013,Issue!$C$3:$C1013,'S-BOM'!$B72)*'S-BOM'!$D72,""))</f>
        <v>0</v>
      </c>
      <c r="G72" s="75" t="str">
        <f t="array" ref="G72">IFERROR(INDEX(#REF!,MATCH('S-BOM'!$C72,RM!$C$4:$C1003,0)),"")</f>
        <v/>
      </c>
      <c r="H72" s="75" t="str">
        <f t="shared" si="1"/>
        <v/>
      </c>
      <c r="I72" s="76"/>
    </row>
    <row r="73" spans="1:9" ht="15.75" customHeight="1">
      <c r="A73" s="69">
        <f t="shared" si="0"/>
        <v>71</v>
      </c>
      <c r="B73" s="70" t="s">
        <v>1498</v>
      </c>
      <c r="C73" s="71" t="s">
        <v>1486</v>
      </c>
      <c r="D73" s="72">
        <v>1</v>
      </c>
      <c r="E73" s="73" t="e">
        <f>IF(B73="","",VLOOKUP(C73,RM!$C$4:$F1003,3,FALSE))</f>
        <v>#N/A</v>
      </c>
      <c r="F73" s="74">
        <f>IF(B73="","",IFERROR(SUMIFS(Issue!$D$3:$D1013,Issue!$C$3:$C1013,'S-BOM'!$B73)*'S-BOM'!$D73,""))</f>
        <v>0</v>
      </c>
      <c r="G73" s="75" t="str">
        <f t="array" ref="G73">IFERROR(INDEX(#REF!,MATCH('S-BOM'!$C73,RM!$C$4:$C1003,0)),"")</f>
        <v/>
      </c>
      <c r="H73" s="75" t="str">
        <f t="shared" si="1"/>
        <v/>
      </c>
      <c r="I73" s="76"/>
    </row>
    <row r="74" spans="1:9" ht="15.75" customHeight="1">
      <c r="A74" s="69">
        <f t="shared" si="0"/>
        <v>72</v>
      </c>
      <c r="B74" s="70" t="s">
        <v>1498</v>
      </c>
      <c r="C74" s="71" t="s">
        <v>1487</v>
      </c>
      <c r="D74" s="72">
        <v>1</v>
      </c>
      <c r="E74" s="73" t="e">
        <f>IF(B74="","",VLOOKUP(C74,RM!$C$4:$F1003,3,FALSE))</f>
        <v>#N/A</v>
      </c>
      <c r="F74" s="74">
        <f>IF(B74="","",IFERROR(SUMIFS(Issue!$D$3:$D1013,Issue!$C$3:$C1013,'S-BOM'!$B74)*'S-BOM'!$D74,""))</f>
        <v>0</v>
      </c>
      <c r="G74" s="75" t="str">
        <f t="array" ref="G74">IFERROR(INDEX(#REF!,MATCH('S-BOM'!$C74,RM!$C$4:$C1003,0)),"")</f>
        <v/>
      </c>
      <c r="H74" s="75" t="str">
        <f t="shared" si="1"/>
        <v/>
      </c>
      <c r="I74" s="76"/>
    </row>
    <row r="75" spans="1:9" ht="15.75" customHeight="1">
      <c r="A75" s="69">
        <f t="shared" si="0"/>
        <v>73</v>
      </c>
      <c r="B75" s="70" t="s">
        <v>1498</v>
      </c>
      <c r="C75" s="71" t="s">
        <v>1488</v>
      </c>
      <c r="D75" s="72">
        <v>1</v>
      </c>
      <c r="E75" s="73" t="e">
        <f>IF(B75="","",VLOOKUP(C75,RM!$C$4:$F1003,3,FALSE))</f>
        <v>#N/A</v>
      </c>
      <c r="F75" s="74">
        <f>IF(B75="","",IFERROR(SUMIFS(Issue!$D$3:$D1013,Issue!$C$3:$C1013,'S-BOM'!$B75)*'S-BOM'!$D75,""))</f>
        <v>0</v>
      </c>
      <c r="G75" s="75" t="str">
        <f t="array" ref="G75">IFERROR(INDEX(#REF!,MATCH('S-BOM'!$C75,RM!$C$4:$C1003,0)),"")</f>
        <v/>
      </c>
      <c r="H75" s="75" t="str">
        <f t="shared" si="1"/>
        <v/>
      </c>
      <c r="I75" s="76"/>
    </row>
    <row r="76" spans="1:9" ht="15.75" customHeight="1">
      <c r="A76" s="69">
        <f t="shared" si="0"/>
        <v>74</v>
      </c>
      <c r="B76" s="70" t="s">
        <v>1498</v>
      </c>
      <c r="C76" s="71" t="s">
        <v>1489</v>
      </c>
      <c r="D76" s="72">
        <v>1</v>
      </c>
      <c r="E76" s="73" t="e">
        <f>IF(B76="","",VLOOKUP(C76,RM!$C$4:$F1003,3,FALSE))</f>
        <v>#N/A</v>
      </c>
      <c r="F76" s="74">
        <f>IF(B76="","",IFERROR(SUMIFS(Issue!$D$3:$D1013,Issue!$C$3:$C1013,'S-BOM'!$B76)*'S-BOM'!$D76,""))</f>
        <v>0</v>
      </c>
      <c r="G76" s="75" t="str">
        <f t="array" ref="G76">IFERROR(INDEX(#REF!,MATCH('S-BOM'!$C76,RM!$C$4:$C1003,0)),"")</f>
        <v/>
      </c>
      <c r="H76" s="75" t="str">
        <f t="shared" si="1"/>
        <v/>
      </c>
      <c r="I76" s="76"/>
    </row>
    <row r="77" spans="1:9" ht="15.75" customHeight="1">
      <c r="A77" s="69">
        <f t="shared" si="0"/>
        <v>75</v>
      </c>
      <c r="B77" s="70" t="s">
        <v>1498</v>
      </c>
      <c r="C77" s="71" t="s">
        <v>1490</v>
      </c>
      <c r="D77" s="72">
        <v>1</v>
      </c>
      <c r="E77" s="73" t="e">
        <f>IF(B77="","",VLOOKUP(C77,RM!$C$4:$F1003,3,FALSE))</f>
        <v>#N/A</v>
      </c>
      <c r="F77" s="74">
        <f>IF(B77="","",IFERROR(SUMIFS(Issue!$D$3:$D1013,Issue!$C$3:$C1013,'S-BOM'!$B77)*'S-BOM'!$D77,""))</f>
        <v>0</v>
      </c>
      <c r="G77" s="75" t="str">
        <f t="array" ref="G77">IFERROR(INDEX(#REF!,MATCH('S-BOM'!$C77,RM!$C$4:$C1003,0)),"")</f>
        <v/>
      </c>
      <c r="H77" s="75" t="str">
        <f t="shared" si="1"/>
        <v/>
      </c>
      <c r="I77" s="76"/>
    </row>
    <row r="78" spans="1:9" ht="15.75" customHeight="1">
      <c r="A78" s="69">
        <f t="shared" si="0"/>
        <v>76</v>
      </c>
      <c r="B78" s="70" t="s">
        <v>1498</v>
      </c>
      <c r="C78" s="71" t="s">
        <v>1491</v>
      </c>
      <c r="D78" s="72">
        <v>1</v>
      </c>
      <c r="E78" s="73" t="e">
        <f>IF(B78="","",VLOOKUP(C78,RM!$C$4:$F1003,3,FALSE))</f>
        <v>#N/A</v>
      </c>
      <c r="F78" s="74">
        <f>IF(B78="","",IFERROR(SUMIFS(Issue!$D$3:$D1013,Issue!$C$3:$C1013,'S-BOM'!$B78)*'S-BOM'!$D78,""))</f>
        <v>0</v>
      </c>
      <c r="G78" s="75" t="str">
        <f t="array" ref="G78">IFERROR(INDEX(#REF!,MATCH('S-BOM'!$C78,RM!$C$4:$C1003,0)),"")</f>
        <v/>
      </c>
      <c r="H78" s="75" t="str">
        <f t="shared" si="1"/>
        <v/>
      </c>
      <c r="I78" s="76"/>
    </row>
    <row r="79" spans="1:9" ht="15.75" customHeight="1">
      <c r="A79" s="69">
        <f t="shared" si="0"/>
        <v>77</v>
      </c>
      <c r="B79" s="70" t="s">
        <v>1498</v>
      </c>
      <c r="C79" s="71" t="s">
        <v>1492</v>
      </c>
      <c r="D79" s="72">
        <v>1</v>
      </c>
      <c r="E79" s="73" t="e">
        <f>IF(B79="","",VLOOKUP(C79,RM!$C$4:$F1003,3,FALSE))</f>
        <v>#N/A</v>
      </c>
      <c r="F79" s="74">
        <f>IF(B79="","",IFERROR(SUMIFS(Issue!$D$3:$D1013,Issue!$C$3:$C1013,'S-BOM'!$B79)*'S-BOM'!$D79,""))</f>
        <v>0</v>
      </c>
      <c r="G79" s="75" t="str">
        <f t="array" ref="G79">IFERROR(INDEX(#REF!,MATCH('S-BOM'!$C79,RM!$C$4:$C1003,0)),"")</f>
        <v/>
      </c>
      <c r="H79" s="75" t="str">
        <f t="shared" si="1"/>
        <v/>
      </c>
      <c r="I79" s="76"/>
    </row>
    <row r="80" spans="1:9" ht="15.75" customHeight="1">
      <c r="A80" s="69">
        <f t="shared" si="0"/>
        <v>78</v>
      </c>
      <c r="B80" s="70" t="s">
        <v>1498</v>
      </c>
      <c r="C80" s="71" t="s">
        <v>1493</v>
      </c>
      <c r="D80" s="72">
        <v>1</v>
      </c>
      <c r="E80" s="73" t="e">
        <f>IF(B80="","",VLOOKUP(C80,RM!$C$4:$F1003,3,FALSE))</f>
        <v>#N/A</v>
      </c>
      <c r="F80" s="74">
        <f>IF(B80="","",IFERROR(SUMIFS(Issue!$D$3:$D1013,Issue!$C$3:$C1013,'S-BOM'!$B80)*'S-BOM'!$D80,""))</f>
        <v>0</v>
      </c>
      <c r="G80" s="75" t="str">
        <f t="array" ref="G80">IFERROR(INDEX(#REF!,MATCH('S-BOM'!$C80,RM!$C$4:$C1003,0)),"")</f>
        <v/>
      </c>
      <c r="H80" s="75" t="str">
        <f t="shared" si="1"/>
        <v/>
      </c>
      <c r="I80" s="76"/>
    </row>
    <row r="81" spans="1:9" ht="15.75" customHeight="1">
      <c r="A81" s="69">
        <f t="shared" si="0"/>
        <v>79</v>
      </c>
      <c r="B81" s="70" t="s">
        <v>1498</v>
      </c>
      <c r="C81" s="71" t="s">
        <v>1499</v>
      </c>
      <c r="D81" s="72">
        <v>1</v>
      </c>
      <c r="E81" s="73" t="e">
        <f>IF(B81="","",VLOOKUP(C81,RM!$C$4:$F1003,3,FALSE))</f>
        <v>#N/A</v>
      </c>
      <c r="F81" s="74">
        <f>IF(B81="","",IFERROR(SUMIFS(Issue!$D$3:$D1013,Issue!$C$3:$C1013,'S-BOM'!$B81)*'S-BOM'!$D81,""))</f>
        <v>0</v>
      </c>
      <c r="G81" s="75" t="str">
        <f t="array" ref="G81">IFERROR(INDEX(#REF!,MATCH('S-BOM'!$C81,RM!$C$4:$C1003,0)),"")</f>
        <v/>
      </c>
      <c r="H81" s="75" t="str">
        <f t="shared" si="1"/>
        <v/>
      </c>
      <c r="I81" s="76"/>
    </row>
    <row r="82" spans="1:9" ht="15.75" customHeight="1">
      <c r="A82" s="69">
        <f t="shared" si="0"/>
        <v>80</v>
      </c>
      <c r="B82" s="70" t="s">
        <v>1498</v>
      </c>
      <c r="C82" s="71" t="s">
        <v>1495</v>
      </c>
      <c r="D82" s="72">
        <v>1</v>
      </c>
      <c r="E82" s="73" t="e">
        <f>IF(B82="","",VLOOKUP(C82,RM!$C$4:$F1003,3,FALSE))</f>
        <v>#N/A</v>
      </c>
      <c r="F82" s="74">
        <f>IF(B82="","",IFERROR(SUMIFS(Issue!$D$3:$D1013,Issue!$C$3:$C1013,'S-BOM'!$B82)*'S-BOM'!$D82,""))</f>
        <v>0</v>
      </c>
      <c r="G82" s="75" t="str">
        <f t="array" ref="G82">IFERROR(INDEX(#REF!,MATCH('S-BOM'!$C82,RM!$C$4:$C1003,0)),"")</f>
        <v/>
      </c>
      <c r="H82" s="75" t="str">
        <f t="shared" si="1"/>
        <v/>
      </c>
      <c r="I82" s="76"/>
    </row>
    <row r="83" spans="1:9" ht="15.75" customHeight="1">
      <c r="A83" s="69">
        <f t="shared" si="0"/>
        <v>81</v>
      </c>
      <c r="B83" s="70" t="s">
        <v>1498</v>
      </c>
      <c r="C83" s="71" t="s">
        <v>1000</v>
      </c>
      <c r="D83" s="72">
        <v>0.15</v>
      </c>
      <c r="E83" s="73">
        <f>IF(B83="","",VLOOKUP(C83,RM!$C$4:$F1003,3,FALSE))</f>
        <v>0</v>
      </c>
      <c r="F83" s="74">
        <f>IF(B83="","",IFERROR(SUMIFS(Issue!$D$3:$D1013,Issue!$C$3:$C1013,'S-BOM'!$B83)*'S-BOM'!$D83,""))</f>
        <v>0</v>
      </c>
      <c r="G83" s="75" t="str">
        <f t="array" ref="G83">IFERROR(INDEX(#REF!,MATCH('S-BOM'!$C83,RM!$C$4:$C1003,0)),"")</f>
        <v/>
      </c>
      <c r="H83" s="75" t="str">
        <f t="shared" si="1"/>
        <v/>
      </c>
      <c r="I83" s="76"/>
    </row>
    <row r="84" spans="1:9" ht="15.75" customHeight="1">
      <c r="A84" s="69">
        <f t="shared" si="0"/>
        <v>82</v>
      </c>
      <c r="B84" s="70" t="s">
        <v>1498</v>
      </c>
      <c r="C84" s="71" t="s">
        <v>1458</v>
      </c>
      <c r="D84" s="72">
        <v>2</v>
      </c>
      <c r="E84" s="73" t="e">
        <f>IF(B84="","",VLOOKUP(C84,RM!$C$4:$F1003,3,FALSE))</f>
        <v>#N/A</v>
      </c>
      <c r="F84" s="74">
        <f>IF(B84="","",IFERROR(SUMIFS(Issue!$D$3:$D1013,Issue!$C$3:$C1013,'S-BOM'!$B84)*'S-BOM'!$D84,""))</f>
        <v>0</v>
      </c>
      <c r="G84" s="75" t="str">
        <f t="array" ref="G84">IFERROR(INDEX(#REF!,MATCH('S-BOM'!$C84,RM!$C$4:$C1003,0)),"")</f>
        <v/>
      </c>
      <c r="H84" s="75" t="str">
        <f t="shared" si="1"/>
        <v/>
      </c>
      <c r="I84" s="76"/>
    </row>
    <row r="85" spans="1:9" ht="15.75" customHeight="1">
      <c r="A85" s="69">
        <f t="shared" si="0"/>
        <v>83</v>
      </c>
      <c r="B85" s="70" t="s">
        <v>1498</v>
      </c>
      <c r="C85" s="71" t="s">
        <v>1496</v>
      </c>
      <c r="D85" s="72">
        <v>5</v>
      </c>
      <c r="E85" s="73" t="e">
        <f>IF(B85="","",VLOOKUP(C85,RM!$C$4:$F1003,3,FALSE))</f>
        <v>#N/A</v>
      </c>
      <c r="F85" s="74">
        <f>IF(B85="","",IFERROR(SUMIFS(Issue!$D$3:$D1013,Issue!$C$3:$C1013,'S-BOM'!$B85)*'S-BOM'!$D85,""))</f>
        <v>0</v>
      </c>
      <c r="G85" s="75" t="str">
        <f t="array" ref="G85">IFERROR(INDEX(#REF!,MATCH('S-BOM'!$C85,RM!$C$4:$C1003,0)),"")</f>
        <v/>
      </c>
      <c r="H85" s="75" t="str">
        <f t="shared" si="1"/>
        <v/>
      </c>
      <c r="I85" s="76"/>
    </row>
    <row r="86" spans="1:9" ht="15.75" customHeight="1">
      <c r="A86" s="69">
        <f t="shared" si="0"/>
        <v>84</v>
      </c>
      <c r="B86" s="70" t="s">
        <v>1498</v>
      </c>
      <c r="C86" s="71" t="s">
        <v>1497</v>
      </c>
      <c r="D86" s="72">
        <v>5</v>
      </c>
      <c r="E86" s="73">
        <f>IF(B86="","",VLOOKUP(C86,RM!$C$4:$F1003,3,FALSE))</f>
        <v>0</v>
      </c>
      <c r="F86" s="74">
        <f>IF(B86="","",IFERROR(SUMIFS(Issue!$D$3:$D1013,Issue!$C$3:$C1013,'S-BOM'!$B86)*'S-BOM'!$D86,""))</f>
        <v>0</v>
      </c>
      <c r="G86" s="75" t="str">
        <f t="array" ref="G86">IFERROR(INDEX(#REF!,MATCH('S-BOM'!$C86,RM!$C$4:$C1003,0)),"")</f>
        <v/>
      </c>
      <c r="H86" s="75" t="str">
        <f t="shared" si="1"/>
        <v/>
      </c>
      <c r="I86" s="76"/>
    </row>
    <row r="87" spans="1:9" ht="15.75" customHeight="1">
      <c r="A87" s="69">
        <f t="shared" si="0"/>
        <v>85</v>
      </c>
      <c r="B87" s="70" t="s">
        <v>1500</v>
      </c>
      <c r="C87" s="71" t="s">
        <v>1501</v>
      </c>
      <c r="D87" s="72">
        <v>0</v>
      </c>
      <c r="E87" s="73" t="e">
        <f>IF(B87="","",VLOOKUP(C87,RM!$C$4:$F1003,3,FALSE))</f>
        <v>#N/A</v>
      </c>
      <c r="F87" s="74">
        <f>IF(B87="","",IFERROR(SUMIFS(Issue!$D$3:$D1013,Issue!$C$3:$C1013,'S-BOM'!$B87)*'S-BOM'!$D87,""))</f>
        <v>0</v>
      </c>
      <c r="G87" s="75" t="str">
        <f t="array" ref="G87">IFERROR(INDEX(#REF!,MATCH('S-BOM'!$C87,RM!$C$4:$C1003,0)),"")</f>
        <v/>
      </c>
      <c r="H87" s="75" t="str">
        <f t="shared" si="1"/>
        <v/>
      </c>
      <c r="I87" s="76"/>
    </row>
    <row r="88" spans="1:9" ht="15.75" customHeight="1">
      <c r="A88" s="69">
        <f t="shared" si="0"/>
        <v>86</v>
      </c>
      <c r="B88" s="70" t="s">
        <v>1500</v>
      </c>
      <c r="C88" s="71" t="s">
        <v>1502</v>
      </c>
      <c r="D88" s="72">
        <v>0</v>
      </c>
      <c r="E88" s="73" t="e">
        <f>IF(B88="","",VLOOKUP(C88,RM!$C$4:$F1003,3,FALSE))</f>
        <v>#N/A</v>
      </c>
      <c r="F88" s="74">
        <f>IF(B88="","",IFERROR(SUMIFS(Issue!$D$3:$D1013,Issue!$C$3:$C1013,'S-BOM'!$B88)*'S-BOM'!$D88,""))</f>
        <v>0</v>
      </c>
      <c r="G88" s="75" t="str">
        <f t="array" ref="G88">IFERROR(INDEX(#REF!,MATCH('S-BOM'!$C88,RM!$C$4:$C1003,0)),"")</f>
        <v/>
      </c>
      <c r="H88" s="75" t="str">
        <f t="shared" si="1"/>
        <v/>
      </c>
      <c r="I88" s="76"/>
    </row>
    <row r="89" spans="1:9" ht="15.75" customHeight="1">
      <c r="A89" s="69">
        <f t="shared" si="0"/>
        <v>87</v>
      </c>
      <c r="B89" s="70" t="s">
        <v>1500</v>
      </c>
      <c r="C89" s="71" t="s">
        <v>1497</v>
      </c>
      <c r="D89" s="72">
        <v>5</v>
      </c>
      <c r="E89" s="73">
        <f>IF(B89="","",VLOOKUP(C89,RM!$C$4:$F1003,3,FALSE))</f>
        <v>0</v>
      </c>
      <c r="F89" s="74">
        <f>IF(B89="","",IFERROR(SUMIFS(Issue!$D$3:$D1013,Issue!$C$3:$C1013,'S-BOM'!$B89)*'S-BOM'!$D89,""))</f>
        <v>0</v>
      </c>
      <c r="G89" s="75" t="str">
        <f t="array" ref="G89">IFERROR(INDEX(#REF!,MATCH('S-BOM'!$C89,RM!$C$4:$C1003,0)),"")</f>
        <v/>
      </c>
      <c r="H89" s="75" t="str">
        <f t="shared" si="1"/>
        <v/>
      </c>
      <c r="I89" s="76"/>
    </row>
    <row r="90" spans="1:9" ht="15.75" customHeight="1">
      <c r="A90" s="69">
        <f t="shared" si="0"/>
        <v>88</v>
      </c>
      <c r="B90" s="70" t="s">
        <v>1500</v>
      </c>
      <c r="C90" s="71" t="s">
        <v>1503</v>
      </c>
      <c r="D90" s="72">
        <v>2</v>
      </c>
      <c r="E90" s="73">
        <f>IF(B90="","",VLOOKUP(C90,RM!$C$4:$F1003,3,FALSE))</f>
        <v>0</v>
      </c>
      <c r="F90" s="74">
        <f>IF(B90="","",IFERROR(SUMIFS(Issue!$D$3:$D1013,Issue!$C$3:$C1013,'S-BOM'!$B90)*'S-BOM'!$D90,""))</f>
        <v>0</v>
      </c>
      <c r="G90" s="75" t="str">
        <f t="array" ref="G90">IFERROR(INDEX(#REF!,MATCH('S-BOM'!$C90,RM!$C$4:$C1003,0)),"")</f>
        <v/>
      </c>
      <c r="H90" s="75" t="str">
        <f t="shared" si="1"/>
        <v/>
      </c>
      <c r="I90" s="76"/>
    </row>
    <row r="91" spans="1:9" ht="15.75" customHeight="1">
      <c r="A91" s="69">
        <f t="shared" si="0"/>
        <v>89</v>
      </c>
      <c r="B91" s="70" t="s">
        <v>1500</v>
      </c>
      <c r="C91" s="71" t="s">
        <v>401</v>
      </c>
      <c r="D91" s="72">
        <v>1</v>
      </c>
      <c r="E91" s="73" t="str">
        <f>IF(B91="","",VLOOKUP(C91,RM!$C$4:$F1003,3,FALSE))</f>
        <v>LM61BIZ/NOPB</v>
      </c>
      <c r="F91" s="74">
        <f>IF(B91="","",IFERROR(SUMIFS(Issue!$D$3:$D1013,Issue!$C$3:$C1013,'S-BOM'!$B91)*'S-BOM'!$D91,""))</f>
        <v>0</v>
      </c>
      <c r="G91" s="75" t="str">
        <f t="array" ref="G91">IFERROR(INDEX(#REF!,MATCH('S-BOM'!$C91,RM!$C$4:$C1003,0)),"")</f>
        <v/>
      </c>
      <c r="H91" s="75" t="str">
        <f t="shared" si="1"/>
        <v/>
      </c>
      <c r="I91" s="76"/>
    </row>
    <row r="92" spans="1:9" ht="15.75" customHeight="1">
      <c r="A92" s="69">
        <f t="shared" si="0"/>
        <v>90</v>
      </c>
      <c r="B92" s="70" t="s">
        <v>1500</v>
      </c>
      <c r="C92" s="71" t="s">
        <v>1504</v>
      </c>
      <c r="D92" s="72">
        <v>0.85</v>
      </c>
      <c r="E92" s="73" t="e">
        <f>IF(B92="","",VLOOKUP(C92,RM!$C$4:$F1003,3,FALSE))</f>
        <v>#N/A</v>
      </c>
      <c r="F92" s="74">
        <f>IF(B92="","",IFERROR(SUMIFS(Issue!$D$3:$D1013,Issue!$C$3:$C1013,'S-BOM'!$B92)*'S-BOM'!$D92,""))</f>
        <v>0</v>
      </c>
      <c r="G92" s="75" t="str">
        <f t="array" ref="G92">IFERROR(INDEX(#REF!,MATCH('S-BOM'!$C92,RM!$C$4:$C1003,0)),"")</f>
        <v/>
      </c>
      <c r="H92" s="75" t="str">
        <f t="shared" si="1"/>
        <v/>
      </c>
      <c r="I92" s="76"/>
    </row>
    <row r="93" spans="1:9" ht="15.75" customHeight="1">
      <c r="A93" s="69">
        <f t="shared" si="0"/>
        <v>91</v>
      </c>
      <c r="B93" s="70" t="s">
        <v>1500</v>
      </c>
      <c r="C93" s="71" t="s">
        <v>1505</v>
      </c>
      <c r="D93" s="72">
        <v>0.15</v>
      </c>
      <c r="E93" s="73">
        <f>IF(B93="","",VLOOKUP(C93,RM!$C$4:$F1003,3,FALSE))</f>
        <v>0</v>
      </c>
      <c r="F93" s="74">
        <f>IF(B93="","",IFERROR(SUMIFS(Issue!$D$3:$D1013,Issue!$C$3:$C1013,'S-BOM'!$B93)*'S-BOM'!$D93,""))</f>
        <v>0</v>
      </c>
      <c r="G93" s="75" t="str">
        <f t="array" ref="G93">IFERROR(INDEX(#REF!,MATCH('S-BOM'!$C93,RM!$C$4:$C1003,0)),"")</f>
        <v/>
      </c>
      <c r="H93" s="75" t="str">
        <f t="shared" si="1"/>
        <v/>
      </c>
      <c r="I93" s="76"/>
    </row>
    <row r="94" spans="1:9" ht="15.75" customHeight="1">
      <c r="A94" s="69">
        <f t="shared" si="0"/>
        <v>92</v>
      </c>
      <c r="B94" s="70" t="s">
        <v>1500</v>
      </c>
      <c r="C94" s="71" t="s">
        <v>1506</v>
      </c>
      <c r="D94" s="72">
        <v>1</v>
      </c>
      <c r="E94" s="73" t="e">
        <f>IF(B94="","",VLOOKUP(C94,RM!$C$4:$F1003,3,FALSE))</f>
        <v>#N/A</v>
      </c>
      <c r="F94" s="74">
        <f>IF(B94="","",IFERROR(SUMIFS(Issue!$D$3:$D1013,Issue!$C$3:$C1013,'S-BOM'!$B94)*'S-BOM'!$D94,""))</f>
        <v>0</v>
      </c>
      <c r="G94" s="75" t="str">
        <f t="array" ref="G94">IFERROR(INDEX(#REF!,MATCH('S-BOM'!$C94,RM!$C$4:$C1003,0)),"")</f>
        <v/>
      </c>
      <c r="H94" s="75" t="str">
        <f t="shared" si="1"/>
        <v/>
      </c>
      <c r="I94" s="76"/>
    </row>
    <row r="95" spans="1:9" ht="15.75" customHeight="1">
      <c r="A95" s="69">
        <f t="shared" si="0"/>
        <v>93</v>
      </c>
      <c r="B95" s="70" t="s">
        <v>1500</v>
      </c>
      <c r="C95" s="71" t="s">
        <v>1507</v>
      </c>
      <c r="D95" s="72">
        <v>1</v>
      </c>
      <c r="E95" s="73" t="e">
        <f>IF(B95="","",VLOOKUP(C95,RM!$C$4:$F1003,3,FALSE))</f>
        <v>#N/A</v>
      </c>
      <c r="F95" s="74">
        <f>IF(B95="","",IFERROR(SUMIFS(Issue!$D$3:$D1013,Issue!$C$3:$C1013,'S-BOM'!$B95)*'S-BOM'!$D95,""))</f>
        <v>0</v>
      </c>
      <c r="G95" s="75" t="str">
        <f t="array" ref="G95">IFERROR(INDEX(#REF!,MATCH('S-BOM'!$C95,RM!$C$4:$C1003,0)),"")</f>
        <v/>
      </c>
      <c r="H95" s="75" t="str">
        <f t="shared" si="1"/>
        <v/>
      </c>
      <c r="I95" s="76"/>
    </row>
    <row r="96" spans="1:9" ht="15.75" customHeight="1">
      <c r="A96" s="69">
        <f t="shared" si="0"/>
        <v>94</v>
      </c>
      <c r="B96" s="70" t="s">
        <v>1500</v>
      </c>
      <c r="C96" s="71" t="s">
        <v>1508</v>
      </c>
      <c r="D96" s="72">
        <v>0.05</v>
      </c>
      <c r="E96" s="73" t="e">
        <f>IF(B96="","",VLOOKUP(C96,RM!$C$4:$F1003,3,FALSE))</f>
        <v>#N/A</v>
      </c>
      <c r="F96" s="74">
        <f>IF(B96="","",IFERROR(SUMIFS(Issue!$D$3:$D1013,Issue!$C$3:$C1013,'S-BOM'!$B96)*'S-BOM'!$D96,""))</f>
        <v>0</v>
      </c>
      <c r="G96" s="75" t="str">
        <f t="array" ref="G96">IFERROR(INDEX(#REF!,MATCH('S-BOM'!$C96,RM!$C$4:$C1003,0)),"")</f>
        <v/>
      </c>
      <c r="H96" s="75" t="str">
        <f t="shared" si="1"/>
        <v/>
      </c>
      <c r="I96" s="76"/>
    </row>
    <row r="97" spans="1:9" ht="15.75" customHeight="1">
      <c r="A97" s="69">
        <f t="shared" si="0"/>
        <v>95</v>
      </c>
      <c r="B97" s="70" t="s">
        <v>1500</v>
      </c>
      <c r="C97" s="71" t="s">
        <v>1509</v>
      </c>
      <c r="D97" s="72">
        <v>0.1</v>
      </c>
      <c r="E97" s="73" t="e">
        <f>IF(B97="","",VLOOKUP(C97,RM!$C$4:$F1003,3,FALSE))</f>
        <v>#N/A</v>
      </c>
      <c r="F97" s="74">
        <f>IF(B97="","",IFERROR(SUMIFS(Issue!$D$3:$D1013,Issue!$C$3:$C1013,'S-BOM'!$B97)*'S-BOM'!$D97,""))</f>
        <v>0</v>
      </c>
      <c r="G97" s="75" t="str">
        <f t="array" ref="G97">IFERROR(INDEX(#REF!,MATCH('S-BOM'!$C97,RM!$C$4:$C1003,0)),"")</f>
        <v/>
      </c>
      <c r="H97" s="75" t="str">
        <f t="shared" si="1"/>
        <v/>
      </c>
      <c r="I97" s="76"/>
    </row>
    <row r="98" spans="1:9" ht="15.75" customHeight="1">
      <c r="A98" s="69">
        <f t="shared" si="0"/>
        <v>96</v>
      </c>
      <c r="B98" s="70" t="s">
        <v>1500</v>
      </c>
      <c r="C98" s="71" t="s">
        <v>1000</v>
      </c>
      <c r="D98" s="72">
        <v>0.15</v>
      </c>
      <c r="E98" s="73">
        <f>IF(B98="","",VLOOKUP(C98,RM!$C$4:$F1003,3,FALSE))</f>
        <v>0</v>
      </c>
      <c r="F98" s="74">
        <f>IF(B98="","",IFERROR(SUMIFS(Issue!$D$3:$D1013,Issue!$C$3:$C1013,'S-BOM'!$B98)*'S-BOM'!$D98,""))</f>
        <v>0</v>
      </c>
      <c r="G98" s="75" t="str">
        <f t="array" ref="G98">IFERROR(INDEX(#REF!,MATCH('S-BOM'!$C98,RM!$C$4:$C1003,0)),"")</f>
        <v/>
      </c>
      <c r="H98" s="75" t="str">
        <f t="shared" si="1"/>
        <v/>
      </c>
      <c r="I98" s="76"/>
    </row>
    <row r="99" spans="1:9" ht="15.75" customHeight="1">
      <c r="A99" s="69">
        <f t="shared" si="0"/>
        <v>97</v>
      </c>
      <c r="B99" s="70" t="s">
        <v>1500</v>
      </c>
      <c r="C99" s="71" t="s">
        <v>427</v>
      </c>
      <c r="D99" s="72">
        <v>1</v>
      </c>
      <c r="E99" s="73" t="str">
        <f>IF(B99="","",VLOOKUP(C99,RM!$C$4:$F1003,3,FALSE))</f>
        <v>GCM21BR71E105KA56L</v>
      </c>
      <c r="F99" s="74">
        <f>IF(B99="","",IFERROR(SUMIFS(Issue!$D$3:$D1013,Issue!$C$3:$C1013,'S-BOM'!$B99)*'S-BOM'!$D99,""))</f>
        <v>0</v>
      </c>
      <c r="G99" s="75" t="str">
        <f t="array" ref="G99">IFERROR(INDEX(#REF!,MATCH('S-BOM'!$C99,RM!$C$4:$C1003,0)),"")</f>
        <v/>
      </c>
      <c r="H99" s="75" t="str">
        <f t="shared" si="1"/>
        <v/>
      </c>
      <c r="I99" s="76"/>
    </row>
    <row r="100" spans="1:9" ht="15.75" customHeight="1">
      <c r="A100" s="69">
        <f t="shared" si="0"/>
        <v>98</v>
      </c>
      <c r="B100" s="70" t="s">
        <v>1500</v>
      </c>
      <c r="C100" s="71" t="s">
        <v>1510</v>
      </c>
      <c r="D100" s="72">
        <v>0.1</v>
      </c>
      <c r="E100" s="73" t="e">
        <f>IF(B100="","",VLOOKUP(C100,RM!$C$4:$F1003,3,FALSE))</f>
        <v>#N/A</v>
      </c>
      <c r="F100" s="74">
        <f>IF(B100="","",IFERROR(SUMIFS(Issue!$D$3:$D1013,Issue!$C$3:$C1013,'S-BOM'!$B100)*'S-BOM'!$D100,""))</f>
        <v>0</v>
      </c>
      <c r="G100" s="75" t="str">
        <f t="array" ref="G100">IFERROR(INDEX(#REF!,MATCH('S-BOM'!$C100,RM!$C$4:$C1003,0)),"")</f>
        <v/>
      </c>
      <c r="H100" s="75" t="str">
        <f t="shared" si="1"/>
        <v/>
      </c>
      <c r="I100" s="76"/>
    </row>
    <row r="101" spans="1:9" ht="15.75" customHeight="1">
      <c r="A101" s="69">
        <f t="shared" si="0"/>
        <v>99</v>
      </c>
      <c r="B101" s="70" t="s">
        <v>1500</v>
      </c>
      <c r="C101" s="71" t="s">
        <v>1496</v>
      </c>
      <c r="D101" s="72">
        <v>10</v>
      </c>
      <c r="E101" s="73" t="e">
        <f>IF(B101="","",VLOOKUP(C101,RM!$C$4:$F1003,3,FALSE))</f>
        <v>#N/A</v>
      </c>
      <c r="F101" s="74">
        <f>IF(B101="","",IFERROR(SUMIFS(Issue!$D$3:$D1013,Issue!$C$3:$C1013,'S-BOM'!$B101)*'S-BOM'!$D101,""))</f>
        <v>0</v>
      </c>
      <c r="G101" s="75" t="str">
        <f t="array" ref="G101">IFERROR(INDEX(#REF!,MATCH('S-BOM'!$C101,RM!$C$4:$C1003,0)),"")</f>
        <v/>
      </c>
      <c r="H101" s="75" t="str">
        <f t="shared" si="1"/>
        <v/>
      </c>
      <c r="I101" s="76"/>
    </row>
    <row r="102" spans="1:9" ht="15.75" customHeight="1">
      <c r="A102" s="69">
        <f t="shared" si="0"/>
        <v>100</v>
      </c>
      <c r="B102" s="70" t="s">
        <v>1511</v>
      </c>
      <c r="C102" s="71" t="s">
        <v>1501</v>
      </c>
      <c r="D102" s="72">
        <v>0</v>
      </c>
      <c r="E102" s="73" t="e">
        <f>IF(B102="","",VLOOKUP(C102,RM!$C$4:$F1003,3,FALSE))</f>
        <v>#N/A</v>
      </c>
      <c r="F102" s="74">
        <f>IF(B102="","",IFERROR(SUMIFS(Issue!$D$3:$D1013,Issue!$C$3:$C1013,'S-BOM'!$B102)*'S-BOM'!$D102,""))</f>
        <v>0</v>
      </c>
      <c r="G102" s="75" t="str">
        <f t="array" ref="G102">IFERROR(INDEX(#REF!,MATCH('S-BOM'!$C102,RM!$C$4:$C1003,0)),"")</f>
        <v/>
      </c>
      <c r="H102" s="75" t="str">
        <f t="shared" si="1"/>
        <v/>
      </c>
      <c r="I102" s="76"/>
    </row>
    <row r="103" spans="1:9" ht="15.75" customHeight="1">
      <c r="A103" s="69">
        <f t="shared" si="0"/>
        <v>101</v>
      </c>
      <c r="B103" s="70" t="s">
        <v>1511</v>
      </c>
      <c r="C103" s="71" t="s">
        <v>1502</v>
      </c>
      <c r="D103" s="72">
        <v>0</v>
      </c>
      <c r="E103" s="73" t="e">
        <f>IF(B103="","",VLOOKUP(C103,RM!$C$4:$F1003,3,FALSE))</f>
        <v>#N/A</v>
      </c>
      <c r="F103" s="74">
        <f>IF(B103="","",IFERROR(SUMIFS(Issue!$D$3:$D1013,Issue!$C$3:$C1013,'S-BOM'!$B103)*'S-BOM'!$D103,""))</f>
        <v>0</v>
      </c>
      <c r="G103" s="75" t="str">
        <f t="array" ref="G103">IFERROR(INDEX(#REF!,MATCH('S-BOM'!$C103,RM!$C$4:$C1003,0)),"")</f>
        <v/>
      </c>
      <c r="H103" s="75" t="str">
        <f t="shared" si="1"/>
        <v/>
      </c>
      <c r="I103" s="76"/>
    </row>
    <row r="104" spans="1:9" ht="15.75" customHeight="1">
      <c r="A104" s="69">
        <f t="shared" si="0"/>
        <v>102</v>
      </c>
      <c r="B104" s="70" t="s">
        <v>1511</v>
      </c>
      <c r="C104" s="71" t="s">
        <v>1497</v>
      </c>
      <c r="D104" s="72">
        <v>5</v>
      </c>
      <c r="E104" s="73">
        <f>IF(B104="","",VLOOKUP(C104,RM!$C$4:$F1003,3,FALSE))</f>
        <v>0</v>
      </c>
      <c r="F104" s="74">
        <f>IF(B104="","",IFERROR(SUMIFS(Issue!$D$3:$D1013,Issue!$C$3:$C1013,'S-BOM'!$B104)*'S-BOM'!$D104,""))</f>
        <v>0</v>
      </c>
      <c r="G104" s="75" t="str">
        <f t="array" ref="G104">IFERROR(INDEX(#REF!,MATCH('S-BOM'!$C104,RM!$C$4:$C1003,0)),"")</f>
        <v/>
      </c>
      <c r="H104" s="75" t="str">
        <f t="shared" si="1"/>
        <v/>
      </c>
      <c r="I104" s="76"/>
    </row>
    <row r="105" spans="1:9" ht="15.75" customHeight="1">
      <c r="A105" s="69">
        <f t="shared" si="0"/>
        <v>103</v>
      </c>
      <c r="B105" s="70" t="s">
        <v>1511</v>
      </c>
      <c r="C105" s="71" t="s">
        <v>1503</v>
      </c>
      <c r="D105" s="72">
        <v>2</v>
      </c>
      <c r="E105" s="73">
        <f>IF(B105="","",VLOOKUP(C105,RM!$C$4:$F1003,3,FALSE))</f>
        <v>0</v>
      </c>
      <c r="F105" s="74">
        <f>IF(B105="","",IFERROR(SUMIFS(Issue!$D$3:$D1013,Issue!$C$3:$C1013,'S-BOM'!$B105)*'S-BOM'!$D105,""))</f>
        <v>0</v>
      </c>
      <c r="G105" s="75" t="str">
        <f t="array" ref="G105">IFERROR(INDEX(#REF!,MATCH('S-BOM'!$C105,RM!$C$4:$C1003,0)),"")</f>
        <v/>
      </c>
      <c r="H105" s="75" t="str">
        <f t="shared" si="1"/>
        <v/>
      </c>
      <c r="I105" s="76"/>
    </row>
    <row r="106" spans="1:9" ht="15.75" customHeight="1">
      <c r="A106" s="69">
        <f t="shared" si="0"/>
        <v>104</v>
      </c>
      <c r="B106" s="70" t="s">
        <v>1511</v>
      </c>
      <c r="C106" s="71" t="s">
        <v>401</v>
      </c>
      <c r="D106" s="72">
        <v>1</v>
      </c>
      <c r="E106" s="73" t="str">
        <f>IF(B106="","",VLOOKUP(C106,RM!$C$4:$F1003,3,FALSE))</f>
        <v>LM61BIZ/NOPB</v>
      </c>
      <c r="F106" s="74">
        <f>IF(B106="","",IFERROR(SUMIFS(Issue!$D$3:$D1013,Issue!$C$3:$C1013,'S-BOM'!$B106)*'S-BOM'!$D106,""))</f>
        <v>0</v>
      </c>
      <c r="G106" s="75" t="str">
        <f t="array" ref="G106">IFERROR(INDEX(#REF!,MATCH('S-BOM'!$C106,RM!$C$4:$C1003,0)),"")</f>
        <v/>
      </c>
      <c r="H106" s="75" t="str">
        <f t="shared" si="1"/>
        <v/>
      </c>
      <c r="I106" s="76"/>
    </row>
    <row r="107" spans="1:9" ht="15.75" customHeight="1">
      <c r="A107" s="69">
        <f t="shared" si="0"/>
        <v>105</v>
      </c>
      <c r="B107" s="70" t="s">
        <v>1511</v>
      </c>
      <c r="C107" s="71" t="s">
        <v>1504</v>
      </c>
      <c r="D107" s="72">
        <v>0.85</v>
      </c>
      <c r="E107" s="73" t="e">
        <f>IF(B107="","",VLOOKUP(C107,RM!$C$4:$F1003,3,FALSE))</f>
        <v>#N/A</v>
      </c>
      <c r="F107" s="74">
        <f>IF(B107="","",IFERROR(SUMIFS(Issue!$D$3:$D1013,Issue!$C$3:$C1013,'S-BOM'!$B107)*'S-BOM'!$D107,""))</f>
        <v>0</v>
      </c>
      <c r="G107" s="75" t="str">
        <f t="array" ref="G107">IFERROR(INDEX(#REF!,MATCH('S-BOM'!$C107,RM!$C$4:$C1003,0)),"")</f>
        <v/>
      </c>
      <c r="H107" s="75" t="str">
        <f t="shared" si="1"/>
        <v/>
      </c>
      <c r="I107" s="76"/>
    </row>
    <row r="108" spans="1:9" ht="15.75" customHeight="1">
      <c r="A108" s="69">
        <f t="shared" si="0"/>
        <v>106</v>
      </c>
      <c r="B108" s="70" t="s">
        <v>1511</v>
      </c>
      <c r="C108" s="71" t="s">
        <v>599</v>
      </c>
      <c r="D108" s="72">
        <v>0.15</v>
      </c>
      <c r="E108" s="73">
        <f>IF(B108="","",VLOOKUP(C108,RM!$C$4:$F1003,3,FALSE))</f>
        <v>0</v>
      </c>
      <c r="F108" s="74">
        <f>IF(B108="","",IFERROR(SUMIFS(Issue!$D$3:$D1013,Issue!$C$3:$C1013,'S-BOM'!$B108)*'S-BOM'!$D108,""))</f>
        <v>0</v>
      </c>
      <c r="G108" s="75" t="str">
        <f t="array" ref="G108">IFERROR(INDEX(#REF!,MATCH('S-BOM'!$C108,RM!$C$4:$C1003,0)),"")</f>
        <v/>
      </c>
      <c r="H108" s="75" t="str">
        <f t="shared" si="1"/>
        <v/>
      </c>
      <c r="I108" s="76"/>
    </row>
    <row r="109" spans="1:9" ht="15.75" customHeight="1">
      <c r="A109" s="69">
        <f t="shared" si="0"/>
        <v>107</v>
      </c>
      <c r="B109" s="70" t="s">
        <v>1511</v>
      </c>
      <c r="C109" s="71" t="s">
        <v>1506</v>
      </c>
      <c r="D109" s="72">
        <v>1</v>
      </c>
      <c r="E109" s="73" t="e">
        <f>IF(B109="","",VLOOKUP(C109,RM!$C$4:$F1003,3,FALSE))</f>
        <v>#N/A</v>
      </c>
      <c r="F109" s="74">
        <f>IF(B109="","",IFERROR(SUMIFS(Issue!$D$3:$D1013,Issue!$C$3:$C1013,'S-BOM'!$B109)*'S-BOM'!$D109,""))</f>
        <v>0</v>
      </c>
      <c r="G109" s="75" t="str">
        <f t="array" ref="G109">IFERROR(INDEX(#REF!,MATCH('S-BOM'!$C109,RM!$C$4:$C1003,0)),"")</f>
        <v/>
      </c>
      <c r="H109" s="75" t="str">
        <f t="shared" si="1"/>
        <v/>
      </c>
      <c r="I109" s="76"/>
    </row>
    <row r="110" spans="1:9" ht="15.75" customHeight="1">
      <c r="A110" s="69">
        <f t="shared" si="0"/>
        <v>108</v>
      </c>
      <c r="B110" s="70" t="s">
        <v>1511</v>
      </c>
      <c r="C110" s="71" t="s">
        <v>1507</v>
      </c>
      <c r="D110" s="72">
        <v>1</v>
      </c>
      <c r="E110" s="73" t="e">
        <f>IF(B110="","",VLOOKUP(C110,RM!$C$4:$F1003,3,FALSE))</f>
        <v>#N/A</v>
      </c>
      <c r="F110" s="74">
        <f>IF(B110="","",IFERROR(SUMIFS(Issue!$D$3:$D1013,Issue!$C$3:$C1013,'S-BOM'!$B110)*'S-BOM'!$D110,""))</f>
        <v>0</v>
      </c>
      <c r="G110" s="75" t="str">
        <f t="array" ref="G110">IFERROR(INDEX(#REF!,MATCH('S-BOM'!$C110,RM!$C$4:$C1003,0)),"")</f>
        <v/>
      </c>
      <c r="H110" s="75" t="str">
        <f t="shared" si="1"/>
        <v/>
      </c>
      <c r="I110" s="76"/>
    </row>
    <row r="111" spans="1:9" ht="15.75" customHeight="1">
      <c r="A111" s="69">
        <f t="shared" si="0"/>
        <v>109</v>
      </c>
      <c r="B111" s="70" t="s">
        <v>1511</v>
      </c>
      <c r="C111" s="71" t="s">
        <v>1508</v>
      </c>
      <c r="D111" s="72">
        <v>0.05</v>
      </c>
      <c r="E111" s="73" t="e">
        <f>IF(B111="","",VLOOKUP(C111,RM!$C$4:$F1003,3,FALSE))</f>
        <v>#N/A</v>
      </c>
      <c r="F111" s="74">
        <f>IF(B111="","",IFERROR(SUMIFS(Issue!$D$3:$D1013,Issue!$C$3:$C1013,'S-BOM'!$B111)*'S-BOM'!$D111,""))</f>
        <v>0</v>
      </c>
      <c r="G111" s="75" t="str">
        <f t="array" ref="G111">IFERROR(INDEX(#REF!,MATCH('S-BOM'!$C111,RM!$C$4:$C1003,0)),"")</f>
        <v/>
      </c>
      <c r="H111" s="75" t="str">
        <f t="shared" si="1"/>
        <v/>
      </c>
      <c r="I111" s="76"/>
    </row>
    <row r="112" spans="1:9" ht="15.75" customHeight="1">
      <c r="A112" s="69">
        <f t="shared" si="0"/>
        <v>110</v>
      </c>
      <c r="B112" s="70" t="s">
        <v>1511</v>
      </c>
      <c r="C112" s="71" t="s">
        <v>1509</v>
      </c>
      <c r="D112" s="72">
        <v>0.1</v>
      </c>
      <c r="E112" s="73" t="e">
        <f>IF(B112="","",VLOOKUP(C112,RM!$C$4:$F1003,3,FALSE))</f>
        <v>#N/A</v>
      </c>
      <c r="F112" s="74">
        <f>IF(B112="","",IFERROR(SUMIFS(Issue!$D$3:$D1013,Issue!$C$3:$C1013,'S-BOM'!$B112)*'S-BOM'!$D112,""))</f>
        <v>0</v>
      </c>
      <c r="G112" s="75" t="str">
        <f t="array" ref="G112">IFERROR(INDEX(#REF!,MATCH('S-BOM'!$C112,RM!$C$4:$C1003,0)),"")</f>
        <v/>
      </c>
      <c r="H112" s="75" t="str">
        <f t="shared" si="1"/>
        <v/>
      </c>
      <c r="I112" s="76"/>
    </row>
    <row r="113" spans="1:9" ht="15.75" customHeight="1">
      <c r="A113" s="69">
        <f t="shared" si="0"/>
        <v>111</v>
      </c>
      <c r="B113" s="70" t="s">
        <v>1511</v>
      </c>
      <c r="C113" s="71" t="s">
        <v>1000</v>
      </c>
      <c r="D113" s="72">
        <v>0.15</v>
      </c>
      <c r="E113" s="73">
        <f>IF(B113="","",VLOOKUP(C113,RM!$C$4:$F1003,3,FALSE))</f>
        <v>0</v>
      </c>
      <c r="F113" s="74">
        <f>IF(B113="","",IFERROR(SUMIFS(Issue!$D$3:$D1013,Issue!$C$3:$C1013,'S-BOM'!$B113)*'S-BOM'!$D113,""))</f>
        <v>0</v>
      </c>
      <c r="G113" s="75" t="str">
        <f t="array" ref="G113">IFERROR(INDEX(#REF!,MATCH('S-BOM'!$C113,RM!$C$4:$C1003,0)),"")</f>
        <v/>
      </c>
      <c r="H113" s="75" t="str">
        <f t="shared" si="1"/>
        <v/>
      </c>
      <c r="I113" s="76"/>
    </row>
    <row r="114" spans="1:9" ht="15.75" customHeight="1">
      <c r="A114" s="69">
        <f t="shared" si="0"/>
        <v>112</v>
      </c>
      <c r="B114" s="70" t="s">
        <v>1511</v>
      </c>
      <c r="C114" s="71" t="s">
        <v>427</v>
      </c>
      <c r="D114" s="72">
        <v>1</v>
      </c>
      <c r="E114" s="73" t="str">
        <f>IF(B114="","",VLOOKUP(C114,RM!$C$4:$F1003,3,FALSE))</f>
        <v>GCM21BR71E105KA56L</v>
      </c>
      <c r="F114" s="74">
        <f>IF(B114="","",IFERROR(SUMIFS(Issue!$D$3:$D1013,Issue!$C$3:$C1013,'S-BOM'!$B114)*'S-BOM'!$D114,""))</f>
        <v>0</v>
      </c>
      <c r="G114" s="75" t="str">
        <f t="array" ref="G114">IFERROR(INDEX(#REF!,MATCH('S-BOM'!$C114,RM!$C$4:$C1003,0)),"")</f>
        <v/>
      </c>
      <c r="H114" s="75" t="str">
        <f t="shared" si="1"/>
        <v/>
      </c>
      <c r="I114" s="76"/>
    </row>
    <row r="115" spans="1:9" ht="15.75" customHeight="1">
      <c r="A115" s="69">
        <f t="shared" si="0"/>
        <v>113</v>
      </c>
      <c r="B115" s="70" t="s">
        <v>1511</v>
      </c>
      <c r="C115" s="71" t="s">
        <v>1510</v>
      </c>
      <c r="D115" s="72">
        <v>0.1</v>
      </c>
      <c r="E115" s="73" t="e">
        <f>IF(B115="","",VLOOKUP(C115,RM!$C$4:$F1003,3,FALSE))</f>
        <v>#N/A</v>
      </c>
      <c r="F115" s="74">
        <f>IF(B115="","",IFERROR(SUMIFS(Issue!$D$3:$D1013,Issue!$C$3:$C1013,'S-BOM'!$B115)*'S-BOM'!$D115,""))</f>
        <v>0</v>
      </c>
      <c r="G115" s="75" t="str">
        <f t="array" ref="G115">IFERROR(INDEX(#REF!,MATCH('S-BOM'!$C115,RM!$C$4:$C1003,0)),"")</f>
        <v/>
      </c>
      <c r="H115" s="75" t="str">
        <f t="shared" si="1"/>
        <v/>
      </c>
      <c r="I115" s="76"/>
    </row>
    <row r="116" spans="1:9" ht="15.75" customHeight="1">
      <c r="A116" s="69">
        <f t="shared" si="0"/>
        <v>114</v>
      </c>
      <c r="B116" s="70" t="s">
        <v>1511</v>
      </c>
      <c r="C116" s="71" t="s">
        <v>1496</v>
      </c>
      <c r="D116" s="72">
        <v>10</v>
      </c>
      <c r="E116" s="73" t="e">
        <f>IF(B116="","",VLOOKUP(C116,RM!$C$4:$F1003,3,FALSE))</f>
        <v>#N/A</v>
      </c>
      <c r="F116" s="74">
        <f>IF(B116="","",IFERROR(SUMIFS(Issue!$D$3:$D1013,Issue!$C$3:$C1013,'S-BOM'!$B116)*'S-BOM'!$D116,""))</f>
        <v>0</v>
      </c>
      <c r="G116" s="75" t="str">
        <f t="array" ref="G116">IFERROR(INDEX(#REF!,MATCH('S-BOM'!$C116,RM!$C$4:$C1003,0)),"")</f>
        <v/>
      </c>
      <c r="H116" s="75" t="str">
        <f t="shared" si="1"/>
        <v/>
      </c>
      <c r="I116" s="76"/>
    </row>
    <row r="117" spans="1:9" ht="15.75" customHeight="1">
      <c r="A117" s="69">
        <f t="shared" si="0"/>
        <v>115</v>
      </c>
      <c r="B117" s="70" t="s">
        <v>93</v>
      </c>
      <c r="C117" s="71" t="s">
        <v>1501</v>
      </c>
      <c r="D117" s="72">
        <v>1</v>
      </c>
      <c r="E117" s="73" t="e">
        <f>IF(B117="","",VLOOKUP(C117,RM!$C$4:$F1003,3,FALSE))</f>
        <v>#N/A</v>
      </c>
      <c r="F117" s="74">
        <f>IF(B117="","",IFERROR(SUMIFS(Issue!$D$3:$D1013,Issue!$C$3:$C1013,'S-BOM'!$B117)*'S-BOM'!$D117,""))</f>
        <v>0</v>
      </c>
      <c r="G117" s="75" t="str">
        <f t="array" ref="G117">IFERROR(INDEX(#REF!,MATCH('S-BOM'!$C117,RM!$C$4:$C1003,0)),"")</f>
        <v/>
      </c>
      <c r="H117" s="75" t="str">
        <f t="shared" si="1"/>
        <v/>
      </c>
      <c r="I117" s="76"/>
    </row>
    <row r="118" spans="1:9" ht="15.75" customHeight="1">
      <c r="A118" s="69">
        <f t="shared" si="0"/>
        <v>116</v>
      </c>
      <c r="B118" s="70" t="s">
        <v>93</v>
      </c>
      <c r="C118" s="71" t="s">
        <v>1512</v>
      </c>
      <c r="D118" s="72">
        <v>0.35</v>
      </c>
      <c r="E118" s="73" t="e">
        <f>IF(B118="","",VLOOKUP(C118,RM!$C$4:$F1003,3,FALSE))</f>
        <v>#N/A</v>
      </c>
      <c r="F118" s="74">
        <f>IF(B118="","",IFERROR(SUMIFS(Issue!$D$3:$D1013,Issue!$C$3:$C1013,'S-BOM'!$B118)*'S-BOM'!$D118,""))</f>
        <v>0</v>
      </c>
      <c r="G118" s="75" t="str">
        <f t="array" ref="G118">IFERROR(INDEX(#REF!,MATCH('S-BOM'!$C118,RM!$C$4:$C1003,0)),"")</f>
        <v/>
      </c>
      <c r="H118" s="75" t="str">
        <f t="shared" si="1"/>
        <v/>
      </c>
      <c r="I118" s="76"/>
    </row>
    <row r="119" spans="1:9" ht="15.75" customHeight="1">
      <c r="A119" s="69">
        <f t="shared" si="0"/>
        <v>117</v>
      </c>
      <c r="B119" s="70" t="s">
        <v>93</v>
      </c>
      <c r="C119" s="71" t="s">
        <v>1513</v>
      </c>
      <c r="D119" s="72">
        <v>0.3</v>
      </c>
      <c r="E119" s="73" t="e">
        <f>IF(B119="","",VLOOKUP(C119,RM!$C$4:$F1003,3,FALSE))</f>
        <v>#N/A</v>
      </c>
      <c r="F119" s="74">
        <f>IF(B119="","",IFERROR(SUMIFS(Issue!$D$3:$D1013,Issue!$C$3:$C1013,'S-BOM'!$B119)*'S-BOM'!$D119,""))</f>
        <v>0</v>
      </c>
      <c r="G119" s="75" t="str">
        <f t="array" ref="G119">IFERROR(INDEX(#REF!,MATCH('S-BOM'!$C119,RM!$C$4:$C1003,0)),"")</f>
        <v/>
      </c>
      <c r="H119" s="75" t="str">
        <f t="shared" si="1"/>
        <v/>
      </c>
      <c r="I119" s="76"/>
    </row>
    <row r="120" spans="1:9" ht="15.75" customHeight="1">
      <c r="A120" s="69">
        <f t="shared" si="0"/>
        <v>118</v>
      </c>
      <c r="B120" s="70" t="s">
        <v>93</v>
      </c>
      <c r="C120" s="71" t="s">
        <v>1514</v>
      </c>
      <c r="D120" s="72">
        <v>0.3</v>
      </c>
      <c r="E120" s="73" t="e">
        <f>IF(B120="","",VLOOKUP(C120,RM!$C$4:$F1003,3,FALSE))</f>
        <v>#N/A</v>
      </c>
      <c r="F120" s="74">
        <f>IF(B120="","",IFERROR(SUMIFS(Issue!$D$3:$D1013,Issue!$C$3:$C1013,'S-BOM'!$B120)*'S-BOM'!$D120,""))</f>
        <v>0</v>
      </c>
      <c r="G120" s="75" t="str">
        <f t="array" ref="G120">IFERROR(INDEX(#REF!,MATCH('S-BOM'!$C120,RM!$C$4:$C1003,0)),"")</f>
        <v/>
      </c>
      <c r="H120" s="75" t="str">
        <f t="shared" si="1"/>
        <v/>
      </c>
      <c r="I120" s="76"/>
    </row>
    <row r="121" spans="1:9" ht="15.75" customHeight="1">
      <c r="A121" s="69">
        <f t="shared" si="0"/>
        <v>119</v>
      </c>
      <c r="B121" s="70" t="s">
        <v>93</v>
      </c>
      <c r="C121" s="71" t="s">
        <v>1515</v>
      </c>
      <c r="D121" s="72">
        <v>1</v>
      </c>
      <c r="E121" s="73" t="e">
        <f>IF(B121="","",VLOOKUP(C121,RM!$C$4:$F1003,3,FALSE))</f>
        <v>#N/A</v>
      </c>
      <c r="F121" s="74">
        <f>IF(B121="","",IFERROR(SUMIFS(Issue!$D$3:$D1013,Issue!$C$3:$C1013,'S-BOM'!$B121)*'S-BOM'!$D121,""))</f>
        <v>0</v>
      </c>
      <c r="G121" s="75" t="str">
        <f t="array" ref="G121">IFERROR(INDEX(#REF!,MATCH('S-BOM'!$C121,RM!$C$4:$C1003,0)),"")</f>
        <v/>
      </c>
      <c r="H121" s="75" t="str">
        <f t="shared" si="1"/>
        <v/>
      </c>
      <c r="I121" s="76"/>
    </row>
    <row r="122" spans="1:9" ht="15.75" customHeight="1">
      <c r="A122" s="69">
        <f t="shared" si="0"/>
        <v>120</v>
      </c>
      <c r="B122" s="70" t="s">
        <v>93</v>
      </c>
      <c r="C122" s="71" t="s">
        <v>1482</v>
      </c>
      <c r="D122" s="72">
        <v>1</v>
      </c>
      <c r="E122" s="73" t="e">
        <f>IF(B122="","",VLOOKUP(C122,RM!$C$4:$F1003,3,FALSE))</f>
        <v>#N/A</v>
      </c>
      <c r="F122" s="74">
        <f>IF(B122="","",IFERROR(SUMIFS(Issue!$D$3:$D1013,Issue!$C$3:$C1013,'S-BOM'!$B122)*'S-BOM'!$D122,""))</f>
        <v>0</v>
      </c>
      <c r="G122" s="75" t="str">
        <f t="array" ref="G122">IFERROR(INDEX(#REF!,MATCH('S-BOM'!$C122,RM!$C$4:$C1003,0)),"")</f>
        <v/>
      </c>
      <c r="H122" s="75" t="str">
        <f t="shared" si="1"/>
        <v/>
      </c>
      <c r="I122" s="76"/>
    </row>
    <row r="123" spans="1:9" ht="15.75" customHeight="1">
      <c r="A123" s="69">
        <f t="shared" si="0"/>
        <v>121</v>
      </c>
      <c r="B123" s="70" t="s">
        <v>93</v>
      </c>
      <c r="C123" s="71" t="s">
        <v>1483</v>
      </c>
      <c r="D123" s="72">
        <v>1</v>
      </c>
      <c r="E123" s="73" t="e">
        <f>IF(B123="","",VLOOKUP(C123,RM!$C$4:$F1003,3,FALSE))</f>
        <v>#N/A</v>
      </c>
      <c r="F123" s="74">
        <f>IF(B123="","",IFERROR(SUMIFS(Issue!$D$3:$D1013,Issue!$C$3:$C1013,'S-BOM'!$B123)*'S-BOM'!$D123,""))</f>
        <v>0</v>
      </c>
      <c r="G123" s="75" t="str">
        <f t="array" ref="G123">IFERROR(INDEX(#REF!,MATCH('S-BOM'!$C123,RM!$C$4:$C1003,0)),"")</f>
        <v/>
      </c>
      <c r="H123" s="75" t="str">
        <f t="shared" si="1"/>
        <v/>
      </c>
      <c r="I123" s="76"/>
    </row>
    <row r="124" spans="1:9" ht="15.75" customHeight="1">
      <c r="A124" s="69">
        <f t="shared" si="0"/>
        <v>122</v>
      </c>
      <c r="B124" s="70" t="s">
        <v>93</v>
      </c>
      <c r="C124" s="71" t="s">
        <v>1484</v>
      </c>
      <c r="D124" s="72">
        <v>1</v>
      </c>
      <c r="E124" s="73" t="e">
        <f>IF(B124="","",VLOOKUP(C124,RM!$C$4:$F1003,3,FALSE))</f>
        <v>#N/A</v>
      </c>
      <c r="F124" s="74">
        <f>IF(B124="","",IFERROR(SUMIFS(Issue!$D$3:$D1013,Issue!$C$3:$C1013,'S-BOM'!$B124)*'S-BOM'!$D124,""))</f>
        <v>0</v>
      </c>
      <c r="G124" s="75" t="str">
        <f t="array" ref="G124">IFERROR(INDEX(#REF!,MATCH('S-BOM'!$C124,RM!$C$4:$C1003,0)),"")</f>
        <v/>
      </c>
      <c r="H124" s="75" t="str">
        <f t="shared" si="1"/>
        <v/>
      </c>
      <c r="I124" s="76"/>
    </row>
    <row r="125" spans="1:9" ht="15.75" customHeight="1">
      <c r="A125" s="69">
        <f t="shared" si="0"/>
        <v>123</v>
      </c>
      <c r="B125" s="70" t="s">
        <v>93</v>
      </c>
      <c r="C125" s="71" t="s">
        <v>1485</v>
      </c>
      <c r="D125" s="72">
        <v>1</v>
      </c>
      <c r="E125" s="73" t="e">
        <f>IF(B125="","",VLOOKUP(C125,RM!$C$4:$F1003,3,FALSE))</f>
        <v>#N/A</v>
      </c>
      <c r="F125" s="74">
        <f>IF(B125="","",IFERROR(SUMIFS(Issue!$D$3:$D1013,Issue!$C$3:$C1013,'S-BOM'!$B125)*'S-BOM'!$D125,""))</f>
        <v>0</v>
      </c>
      <c r="G125" s="75" t="str">
        <f t="array" ref="G125">IFERROR(INDEX(#REF!,MATCH('S-BOM'!$C125,RM!$C$4:$C1003,0)),"")</f>
        <v/>
      </c>
      <c r="H125" s="75" t="str">
        <f t="shared" si="1"/>
        <v/>
      </c>
      <c r="I125" s="76"/>
    </row>
    <row r="126" spans="1:9" ht="15.75" customHeight="1">
      <c r="A126" s="69">
        <f t="shared" si="0"/>
        <v>124</v>
      </c>
      <c r="B126" s="70" t="s">
        <v>93</v>
      </c>
      <c r="C126" s="71" t="s">
        <v>1486</v>
      </c>
      <c r="D126" s="72">
        <v>1</v>
      </c>
      <c r="E126" s="73" t="e">
        <f>IF(B126="","",VLOOKUP(C126,RM!$C$4:$F1003,3,FALSE))</f>
        <v>#N/A</v>
      </c>
      <c r="F126" s="74">
        <f>IF(B126="","",IFERROR(SUMIFS(Issue!$D$3:$D1013,Issue!$C$3:$C1013,'S-BOM'!$B126)*'S-BOM'!$D126,""))</f>
        <v>0</v>
      </c>
      <c r="G126" s="75" t="str">
        <f t="array" ref="G126">IFERROR(INDEX(#REF!,MATCH('S-BOM'!$C126,RM!$C$4:$C1003,0)),"")</f>
        <v/>
      </c>
      <c r="H126" s="75" t="str">
        <f t="shared" si="1"/>
        <v/>
      </c>
      <c r="I126" s="76"/>
    </row>
    <row r="127" spans="1:9" ht="15.75" customHeight="1">
      <c r="A127" s="69">
        <f t="shared" si="0"/>
        <v>125</v>
      </c>
      <c r="B127" s="70" t="s">
        <v>93</v>
      </c>
      <c r="C127" s="71" t="s">
        <v>1487</v>
      </c>
      <c r="D127" s="72">
        <v>1</v>
      </c>
      <c r="E127" s="73" t="e">
        <f>IF(B127="","",VLOOKUP(C127,RM!$C$4:$F1003,3,FALSE))</f>
        <v>#N/A</v>
      </c>
      <c r="F127" s="74">
        <f>IF(B127="","",IFERROR(SUMIFS(Issue!$D$3:$D1013,Issue!$C$3:$C1013,'S-BOM'!$B127)*'S-BOM'!$D127,""))</f>
        <v>0</v>
      </c>
      <c r="G127" s="75" t="str">
        <f t="array" ref="G127">IFERROR(INDEX(#REF!,MATCH('S-BOM'!$C127,RM!$C$4:$C1003,0)),"")</f>
        <v/>
      </c>
      <c r="H127" s="75" t="str">
        <f t="shared" si="1"/>
        <v/>
      </c>
      <c r="I127" s="76"/>
    </row>
    <row r="128" spans="1:9" ht="15.75" customHeight="1">
      <c r="A128" s="69">
        <f t="shared" si="0"/>
        <v>126</v>
      </c>
      <c r="B128" s="70" t="s">
        <v>93</v>
      </c>
      <c r="C128" s="71" t="s">
        <v>1488</v>
      </c>
      <c r="D128" s="72">
        <v>1</v>
      </c>
      <c r="E128" s="73" t="e">
        <f>IF(B128="","",VLOOKUP(C128,RM!$C$4:$F1003,3,FALSE))</f>
        <v>#N/A</v>
      </c>
      <c r="F128" s="74">
        <f>IF(B128="","",IFERROR(SUMIFS(Issue!$D$3:$D1013,Issue!$C$3:$C1013,'S-BOM'!$B128)*'S-BOM'!$D128,""))</f>
        <v>0</v>
      </c>
      <c r="G128" s="75" t="str">
        <f t="array" ref="G128">IFERROR(INDEX(#REF!,MATCH('S-BOM'!$C128,RM!$C$4:$C1003,0)),"")</f>
        <v/>
      </c>
      <c r="H128" s="75" t="str">
        <f t="shared" si="1"/>
        <v/>
      </c>
      <c r="I128" s="76"/>
    </row>
    <row r="129" spans="1:9" ht="15.75" customHeight="1">
      <c r="A129" s="69">
        <f t="shared" si="0"/>
        <v>127</v>
      </c>
      <c r="B129" s="70" t="s">
        <v>93</v>
      </c>
      <c r="C129" s="71" t="s">
        <v>1489</v>
      </c>
      <c r="D129" s="72">
        <v>1</v>
      </c>
      <c r="E129" s="73" t="e">
        <f>IF(B129="","",VLOOKUP(C129,RM!$C$4:$F1003,3,FALSE))</f>
        <v>#N/A</v>
      </c>
      <c r="F129" s="74">
        <f>IF(B129="","",IFERROR(SUMIFS(Issue!$D$3:$D1013,Issue!$C$3:$C1013,'S-BOM'!$B129)*'S-BOM'!$D129,""))</f>
        <v>0</v>
      </c>
      <c r="G129" s="75" t="str">
        <f t="array" ref="G129">IFERROR(INDEX(#REF!,MATCH('S-BOM'!$C129,RM!$C$4:$C1003,0)),"")</f>
        <v/>
      </c>
      <c r="H129" s="75" t="str">
        <f t="shared" si="1"/>
        <v/>
      </c>
      <c r="I129" s="76"/>
    </row>
    <row r="130" spans="1:9" ht="15.75" customHeight="1">
      <c r="A130" s="69">
        <f t="shared" si="0"/>
        <v>128</v>
      </c>
      <c r="B130" s="70" t="s">
        <v>93</v>
      </c>
      <c r="C130" s="71" t="s">
        <v>1490</v>
      </c>
      <c r="D130" s="72">
        <v>1</v>
      </c>
      <c r="E130" s="73" t="e">
        <f>IF(B130="","",VLOOKUP(C130,RM!$C$4:$F1003,3,FALSE))</f>
        <v>#N/A</v>
      </c>
      <c r="F130" s="74">
        <f>IF(B130="","",IFERROR(SUMIFS(Issue!$D$3:$D1013,Issue!$C$3:$C1013,'S-BOM'!$B130)*'S-BOM'!$D130,""))</f>
        <v>0</v>
      </c>
      <c r="G130" s="75" t="str">
        <f t="array" ref="G130">IFERROR(INDEX(#REF!,MATCH('S-BOM'!$C130,RM!$C$4:$C1003,0)),"")</f>
        <v/>
      </c>
      <c r="H130" s="75" t="str">
        <f t="shared" si="1"/>
        <v/>
      </c>
      <c r="I130" s="76"/>
    </row>
    <row r="131" spans="1:9" ht="15.75" customHeight="1">
      <c r="A131" s="69">
        <f t="shared" si="0"/>
        <v>129</v>
      </c>
      <c r="B131" s="70" t="s">
        <v>93</v>
      </c>
      <c r="C131" s="71" t="s">
        <v>1491</v>
      </c>
      <c r="D131" s="72">
        <v>1</v>
      </c>
      <c r="E131" s="73" t="e">
        <f>IF(B131="","",VLOOKUP(C131,RM!$C$4:$F1003,3,FALSE))</f>
        <v>#N/A</v>
      </c>
      <c r="F131" s="74">
        <f>IF(B131="","",IFERROR(SUMIFS(Issue!$D$3:$D1013,Issue!$C$3:$C1013,'S-BOM'!$B131)*'S-BOM'!$D131,""))</f>
        <v>0</v>
      </c>
      <c r="G131" s="75" t="str">
        <f t="array" ref="G131">IFERROR(INDEX(#REF!,MATCH('S-BOM'!$C131,RM!$C$4:$C1003,0)),"")</f>
        <v/>
      </c>
      <c r="H131" s="75" t="str">
        <f t="shared" si="1"/>
        <v/>
      </c>
      <c r="I131" s="76"/>
    </row>
    <row r="132" spans="1:9" ht="15.75" customHeight="1">
      <c r="A132" s="69">
        <f t="shared" si="0"/>
        <v>130</v>
      </c>
      <c r="B132" s="70" t="s">
        <v>93</v>
      </c>
      <c r="C132" s="71" t="s">
        <v>1492</v>
      </c>
      <c r="D132" s="72">
        <v>1</v>
      </c>
      <c r="E132" s="73" t="e">
        <f>IF(B132="","",VLOOKUP(C132,RM!$C$4:$F1003,3,FALSE))</f>
        <v>#N/A</v>
      </c>
      <c r="F132" s="74">
        <f>IF(B132="","",IFERROR(SUMIFS(Issue!$D$3:$D1013,Issue!$C$3:$C1013,'S-BOM'!$B132)*'S-BOM'!$D132,""))</f>
        <v>0</v>
      </c>
      <c r="G132" s="75" t="str">
        <f t="array" ref="G132">IFERROR(INDEX(#REF!,MATCH('S-BOM'!$C132,RM!$C$4:$C1003,0)),"")</f>
        <v/>
      </c>
      <c r="H132" s="75" t="str">
        <f t="shared" si="1"/>
        <v/>
      </c>
      <c r="I132" s="76"/>
    </row>
    <row r="133" spans="1:9" ht="15.75" customHeight="1">
      <c r="A133" s="69">
        <f t="shared" si="0"/>
        <v>131</v>
      </c>
      <c r="B133" s="70" t="s">
        <v>93</v>
      </c>
      <c r="C133" s="71" t="s">
        <v>1493</v>
      </c>
      <c r="D133" s="72">
        <v>1</v>
      </c>
      <c r="E133" s="73" t="e">
        <f>IF(B133="","",VLOOKUP(C133,RM!$C$4:$F1003,3,FALSE))</f>
        <v>#N/A</v>
      </c>
      <c r="F133" s="74">
        <f>IF(B133="","",IFERROR(SUMIFS(Issue!$D$3:$D1013,Issue!$C$3:$C1013,'S-BOM'!$B133)*'S-BOM'!$D133,""))</f>
        <v>0</v>
      </c>
      <c r="G133" s="75" t="str">
        <f t="array" ref="G133">IFERROR(INDEX(#REF!,MATCH('S-BOM'!$C133,RM!$C$4:$C1003,0)),"")</f>
        <v/>
      </c>
      <c r="H133" s="75" t="str">
        <f t="shared" si="1"/>
        <v/>
      </c>
      <c r="I133" s="76"/>
    </row>
    <row r="134" spans="1:9" ht="15.75" customHeight="1">
      <c r="A134" s="69">
        <f t="shared" si="0"/>
        <v>132</v>
      </c>
      <c r="B134" s="70" t="s">
        <v>93</v>
      </c>
      <c r="C134" s="71" t="s">
        <v>1516</v>
      </c>
      <c r="D134" s="72">
        <v>1</v>
      </c>
      <c r="E134" s="73" t="e">
        <f>IF(B134="","",VLOOKUP(C134,RM!$C$4:$F1003,3,FALSE))</f>
        <v>#N/A</v>
      </c>
      <c r="F134" s="74">
        <f>IF(B134="","",IFERROR(SUMIFS(Issue!$D$3:$D1013,Issue!$C$3:$C1013,'S-BOM'!$B134)*'S-BOM'!$D134,""))</f>
        <v>0</v>
      </c>
      <c r="G134" s="75" t="str">
        <f t="array" ref="G134">IFERROR(INDEX(#REF!,MATCH('S-BOM'!$C134,RM!$C$4:$C1003,0)),"")</f>
        <v/>
      </c>
      <c r="H134" s="75" t="str">
        <f t="shared" si="1"/>
        <v/>
      </c>
      <c r="I134" s="76"/>
    </row>
    <row r="135" spans="1:9" ht="15.75" customHeight="1">
      <c r="A135" s="69">
        <f t="shared" si="0"/>
        <v>133</v>
      </c>
      <c r="B135" s="70" t="s">
        <v>93</v>
      </c>
      <c r="C135" s="71" t="s">
        <v>1517</v>
      </c>
      <c r="D135" s="72">
        <v>1</v>
      </c>
      <c r="E135" s="73" t="e">
        <f>IF(B135="","",VLOOKUP(C135,RM!$C$4:$F1003,3,FALSE))</f>
        <v>#N/A</v>
      </c>
      <c r="F135" s="74">
        <f>IF(B135="","",IFERROR(SUMIFS(Issue!$D$3:$D1013,Issue!$C$3:$C1013,'S-BOM'!$B135)*'S-BOM'!$D135,""))</f>
        <v>0</v>
      </c>
      <c r="G135" s="75" t="str">
        <f t="array" ref="G135">IFERROR(INDEX(#REF!,MATCH('S-BOM'!$C135,RM!$C$4:$C1003,0)),"")</f>
        <v/>
      </c>
      <c r="H135" s="75" t="str">
        <f t="shared" si="1"/>
        <v/>
      </c>
      <c r="I135" s="76"/>
    </row>
    <row r="136" spans="1:9" ht="15.75" customHeight="1">
      <c r="A136" s="69">
        <f t="shared" si="0"/>
        <v>134</v>
      </c>
      <c r="B136" s="70" t="s">
        <v>93</v>
      </c>
      <c r="C136" s="71" t="s">
        <v>1518</v>
      </c>
      <c r="D136" s="72">
        <v>0.05</v>
      </c>
      <c r="E136" s="73" t="e">
        <f>IF(B136="","",VLOOKUP(C136,RM!$C$4:$F1003,3,FALSE))</f>
        <v>#N/A</v>
      </c>
      <c r="F136" s="74">
        <f>IF(B136="","",IFERROR(SUMIFS(Issue!$D$3:$D1013,Issue!$C$3:$C1013,'S-BOM'!$B136)*'S-BOM'!$D136,""))</f>
        <v>0</v>
      </c>
      <c r="G136" s="75" t="str">
        <f t="array" ref="G136">IFERROR(INDEX(#REF!,MATCH('S-BOM'!$C136,RM!$C$4:$C1003,0)),"")</f>
        <v/>
      </c>
      <c r="H136" s="75" t="str">
        <f t="shared" si="1"/>
        <v/>
      </c>
      <c r="I136" s="76"/>
    </row>
    <row r="137" spans="1:9" ht="15.75" customHeight="1">
      <c r="A137" s="69">
        <f t="shared" si="0"/>
        <v>135</v>
      </c>
      <c r="B137" s="70" t="s">
        <v>93</v>
      </c>
      <c r="C137" s="71" t="s">
        <v>1508</v>
      </c>
      <c r="D137" s="72">
        <v>0.06</v>
      </c>
      <c r="E137" s="73" t="e">
        <f>IF(B137="","",VLOOKUP(C137,RM!$C$4:$F1003,3,FALSE))</f>
        <v>#N/A</v>
      </c>
      <c r="F137" s="74">
        <f>IF(B137="","",IFERROR(SUMIFS(Issue!$D$3:$D1013,Issue!$C$3:$C1013,'S-BOM'!$B137)*'S-BOM'!$D137,""))</f>
        <v>0</v>
      </c>
      <c r="G137" s="75" t="str">
        <f t="array" ref="G137">IFERROR(INDEX(#REF!,MATCH('S-BOM'!$C137,RM!$C$4:$C1003,0)),"")</f>
        <v/>
      </c>
      <c r="H137" s="75" t="str">
        <f t="shared" si="1"/>
        <v/>
      </c>
      <c r="I137" s="76"/>
    </row>
    <row r="138" spans="1:9" ht="15.75" customHeight="1">
      <c r="A138" s="69">
        <f t="shared" si="0"/>
        <v>136</v>
      </c>
      <c r="B138" s="70" t="s">
        <v>93</v>
      </c>
      <c r="C138" s="71" t="s">
        <v>1000</v>
      </c>
      <c r="D138" s="72">
        <v>0.2</v>
      </c>
      <c r="E138" s="73">
        <f>IF(B138="","",VLOOKUP(C138,RM!$C$4:$F1003,3,FALSE))</f>
        <v>0</v>
      </c>
      <c r="F138" s="74">
        <f>IF(B138="","",IFERROR(SUMIFS(Issue!$D$3:$D1013,Issue!$C$3:$C1013,'S-BOM'!$B138)*'S-BOM'!$D138,""))</f>
        <v>0</v>
      </c>
      <c r="G138" s="75" t="str">
        <f t="array" ref="G138">IFERROR(INDEX(#REF!,MATCH('S-BOM'!$C138,RM!$C$4:$C1003,0)),"")</f>
        <v/>
      </c>
      <c r="H138" s="75" t="str">
        <f t="shared" si="1"/>
        <v/>
      </c>
      <c r="I138" s="76"/>
    </row>
    <row r="139" spans="1:9" ht="15.75" customHeight="1">
      <c r="A139" s="69">
        <f t="shared" si="0"/>
        <v>137</v>
      </c>
      <c r="B139" s="70" t="s">
        <v>93</v>
      </c>
      <c r="C139" s="71" t="s">
        <v>1458</v>
      </c>
      <c r="D139" s="72">
        <v>2</v>
      </c>
      <c r="E139" s="73" t="e">
        <f>IF(B139="","",VLOOKUP(C139,RM!$C$4:$F1003,3,FALSE))</f>
        <v>#N/A</v>
      </c>
      <c r="F139" s="74">
        <f>IF(B139="","",IFERROR(SUMIFS(Issue!$D$3:$D1013,Issue!$C$3:$C1013,'S-BOM'!$B139)*'S-BOM'!$D139,""))</f>
        <v>0</v>
      </c>
      <c r="G139" s="75" t="str">
        <f t="array" ref="G139">IFERROR(INDEX(#REF!,MATCH('S-BOM'!$C139,RM!$C$4:$C1003,0)),"")</f>
        <v/>
      </c>
      <c r="H139" s="75" t="str">
        <f t="shared" si="1"/>
        <v/>
      </c>
      <c r="I139" s="76"/>
    </row>
    <row r="140" spans="1:9" ht="15.75" customHeight="1">
      <c r="A140" s="69">
        <f t="shared" si="0"/>
        <v>138</v>
      </c>
      <c r="B140" s="70" t="s">
        <v>93</v>
      </c>
      <c r="C140" s="71" t="s">
        <v>1496</v>
      </c>
      <c r="D140" s="72">
        <v>10</v>
      </c>
      <c r="E140" s="73" t="e">
        <f>IF(B140="","",VLOOKUP(C140,RM!$C$4:$F1003,3,FALSE))</f>
        <v>#N/A</v>
      </c>
      <c r="F140" s="74">
        <f>IF(B140="","",IFERROR(SUMIFS(Issue!$D$3:$D1013,Issue!$C$3:$C1013,'S-BOM'!$B140)*'S-BOM'!$D140,""))</f>
        <v>0</v>
      </c>
      <c r="G140" s="75" t="str">
        <f t="array" ref="G140">IFERROR(INDEX(#REF!,MATCH('S-BOM'!$C140,RM!$C$4:$C1003,0)),"")</f>
        <v/>
      </c>
      <c r="H140" s="75" t="str">
        <f t="shared" si="1"/>
        <v/>
      </c>
      <c r="I140" s="76"/>
    </row>
    <row r="141" spans="1:9" ht="15.75" customHeight="1">
      <c r="A141" s="69">
        <f t="shared" si="0"/>
        <v>139</v>
      </c>
      <c r="B141" s="70" t="s">
        <v>1519</v>
      </c>
      <c r="C141" s="71" t="s">
        <v>1520</v>
      </c>
      <c r="D141" s="72">
        <v>1</v>
      </c>
      <c r="E141" s="73" t="e">
        <f>IF(B141="","",VLOOKUP(C141,RM!$C$4:$F1003,3,FALSE))</f>
        <v>#N/A</v>
      </c>
      <c r="F141" s="74">
        <f>IF(B141="","",IFERROR(SUMIFS(Issue!$D$3:$D1013,Issue!$C$3:$C1013,'S-BOM'!$B141)*'S-BOM'!$D141,""))</f>
        <v>0</v>
      </c>
      <c r="G141" s="75" t="str">
        <f t="array" ref="G141">IFERROR(INDEX(#REF!,MATCH('S-BOM'!$C141,RM!$C$4:$C1003,0)),"")</f>
        <v/>
      </c>
      <c r="H141" s="75" t="str">
        <f t="shared" si="1"/>
        <v/>
      </c>
      <c r="I141" s="76"/>
    </row>
    <row r="142" spans="1:9" ht="15.75" customHeight="1">
      <c r="A142" s="69">
        <f t="shared" si="0"/>
        <v>140</v>
      </c>
      <c r="B142" s="70" t="s">
        <v>1519</v>
      </c>
      <c r="C142" s="71" t="s">
        <v>1497</v>
      </c>
      <c r="D142" s="72">
        <v>10</v>
      </c>
      <c r="E142" s="73">
        <f>IF(B142="","",VLOOKUP(C142,RM!$C$4:$F1003,3,FALSE))</f>
        <v>0</v>
      </c>
      <c r="F142" s="74">
        <f>IF(B142="","",IFERROR(SUMIFS(Issue!$D$3:$D1013,Issue!$C$3:$C1013,'S-BOM'!$B142)*'S-BOM'!$D142,""))</f>
        <v>0</v>
      </c>
      <c r="G142" s="75" t="str">
        <f t="array" ref="G142">IFERROR(INDEX(#REF!,MATCH('S-BOM'!$C142,RM!$C$4:$C1003,0)),"")</f>
        <v/>
      </c>
      <c r="H142" s="75" t="str">
        <f t="shared" si="1"/>
        <v/>
      </c>
      <c r="I142" s="76"/>
    </row>
    <row r="143" spans="1:9" ht="15.75" customHeight="1">
      <c r="A143" s="69">
        <f t="shared" si="0"/>
        <v>141</v>
      </c>
      <c r="B143" s="70" t="s">
        <v>1519</v>
      </c>
      <c r="C143" s="71" t="s">
        <v>1503</v>
      </c>
      <c r="D143" s="72">
        <v>1</v>
      </c>
      <c r="E143" s="73">
        <f>IF(B143="","",VLOOKUP(C143,RM!$C$4:$F1003,3,FALSE))</f>
        <v>0</v>
      </c>
      <c r="F143" s="74">
        <f>IF(B143="","",IFERROR(SUMIFS(Issue!$D$3:$D1013,Issue!$C$3:$C1013,'S-BOM'!$B143)*'S-BOM'!$D143,""))</f>
        <v>0</v>
      </c>
      <c r="G143" s="75" t="str">
        <f t="array" ref="G143">IFERROR(INDEX(#REF!,MATCH('S-BOM'!$C143,RM!$C$4:$C1003,0)),"")</f>
        <v/>
      </c>
      <c r="H143" s="75" t="str">
        <f t="shared" si="1"/>
        <v/>
      </c>
      <c r="I143" s="76"/>
    </row>
    <row r="144" spans="1:9" ht="15.75" customHeight="1">
      <c r="A144" s="69">
        <f t="shared" si="0"/>
        <v>142</v>
      </c>
      <c r="B144" s="70" t="s">
        <v>1519</v>
      </c>
      <c r="C144" s="71" t="s">
        <v>491</v>
      </c>
      <c r="D144" s="72">
        <v>1</v>
      </c>
      <c r="E144" s="73">
        <f>IF(B144="","",VLOOKUP(C144,RM!$C$4:$F1003,3,FALSE))</f>
        <v>0</v>
      </c>
      <c r="F144" s="74">
        <f>IF(B144="","",IFERROR(SUMIFS(Issue!$D$3:$D1013,Issue!$C$3:$C1013,'S-BOM'!$B144)*'S-BOM'!$D144,""))</f>
        <v>0</v>
      </c>
      <c r="G144" s="75" t="str">
        <f t="array" ref="G144">IFERROR(INDEX(#REF!,MATCH('S-BOM'!$C144,RM!$C$4:$C1003,0)),"")</f>
        <v/>
      </c>
      <c r="H144" s="75" t="str">
        <f t="shared" si="1"/>
        <v/>
      </c>
      <c r="I144" s="76"/>
    </row>
    <row r="145" spans="1:9" ht="15.75" customHeight="1">
      <c r="A145" s="69">
        <f t="shared" si="0"/>
        <v>143</v>
      </c>
      <c r="B145" s="70" t="s">
        <v>1519</v>
      </c>
      <c r="C145" s="71" t="s">
        <v>1521</v>
      </c>
      <c r="D145" s="72">
        <v>1</v>
      </c>
      <c r="E145" s="73" t="e">
        <f>IF(B145="","",VLOOKUP(C145,RM!$C$4:$F1003,3,FALSE))</f>
        <v>#N/A</v>
      </c>
      <c r="F145" s="74">
        <f>IF(B145="","",IFERROR(SUMIFS(Issue!$D$3:$D1013,Issue!$C$3:$C1013,'S-BOM'!$B145)*'S-BOM'!$D145,""))</f>
        <v>0</v>
      </c>
      <c r="G145" s="75" t="str">
        <f t="array" ref="G145">IFERROR(INDEX(#REF!,MATCH('S-BOM'!$C145,RM!$C$4:$C1003,0)),"")</f>
        <v/>
      </c>
      <c r="H145" s="75" t="str">
        <f t="shared" si="1"/>
        <v/>
      </c>
      <c r="I145" s="76"/>
    </row>
    <row r="146" spans="1:9" ht="15.75" customHeight="1">
      <c r="A146" s="69">
        <f t="shared" si="0"/>
        <v>144</v>
      </c>
      <c r="B146" s="70" t="s">
        <v>1519</v>
      </c>
      <c r="C146" s="71" t="s">
        <v>1522</v>
      </c>
      <c r="D146" s="72">
        <v>1</v>
      </c>
      <c r="E146" s="73" t="e">
        <f>IF(B146="","",VLOOKUP(C146,RM!$C$4:$F1003,3,FALSE))</f>
        <v>#N/A</v>
      </c>
      <c r="F146" s="74">
        <f>IF(B146="","",IFERROR(SUMIFS(Issue!$D$3:$D1013,Issue!$C$3:$C1013,'S-BOM'!$B146)*'S-BOM'!$D146,""))</f>
        <v>0</v>
      </c>
      <c r="G146" s="75" t="str">
        <f t="array" ref="G146">IFERROR(INDEX(#REF!,MATCH('S-BOM'!$C146,RM!$C$4:$C1003,0)),"")</f>
        <v/>
      </c>
      <c r="H146" s="75" t="str">
        <f t="shared" si="1"/>
        <v/>
      </c>
      <c r="I146" s="76"/>
    </row>
    <row r="147" spans="1:9" ht="15.75" customHeight="1">
      <c r="A147" s="69">
        <f t="shared" si="0"/>
        <v>145</v>
      </c>
      <c r="B147" s="70" t="s">
        <v>1519</v>
      </c>
      <c r="C147" s="71" t="s">
        <v>1523</v>
      </c>
      <c r="D147" s="72">
        <v>1</v>
      </c>
      <c r="E147" s="73" t="e">
        <f>IF(B147="","",VLOOKUP(C147,RM!$C$4:$F1003,3,FALSE))</f>
        <v>#N/A</v>
      </c>
      <c r="F147" s="74">
        <f>IF(B147="","",IFERROR(SUMIFS(Issue!$D$3:$D1013,Issue!$C$3:$C1013,'S-BOM'!$B147)*'S-BOM'!$D147,""))</f>
        <v>0</v>
      </c>
      <c r="G147" s="75" t="str">
        <f t="array" ref="G147">IFERROR(INDEX(#REF!,MATCH('S-BOM'!$C147,RM!$C$4:$C1003,0)),"")</f>
        <v/>
      </c>
      <c r="H147" s="75" t="str">
        <f t="shared" si="1"/>
        <v/>
      </c>
      <c r="I147" s="76"/>
    </row>
    <row r="148" spans="1:9" ht="15.75" customHeight="1">
      <c r="A148" s="69">
        <f t="shared" si="0"/>
        <v>146</v>
      </c>
      <c r="B148" s="70" t="s">
        <v>1519</v>
      </c>
      <c r="C148" s="71" t="s">
        <v>1524</v>
      </c>
      <c r="D148" s="72">
        <v>1</v>
      </c>
      <c r="E148" s="73" t="e">
        <f>IF(B148="","",VLOOKUP(C148,RM!$C$4:$F1003,3,FALSE))</f>
        <v>#N/A</v>
      </c>
      <c r="F148" s="74">
        <f>IF(B148="","",IFERROR(SUMIFS(Issue!$D$3:$D1013,Issue!$C$3:$C1013,'S-BOM'!$B148)*'S-BOM'!$D148,""))</f>
        <v>0</v>
      </c>
      <c r="G148" s="75" t="str">
        <f t="array" ref="G148">IFERROR(INDEX(#REF!,MATCH('S-BOM'!$C148,RM!$C$4:$C1003,0)),"")</f>
        <v/>
      </c>
      <c r="H148" s="75" t="str">
        <f t="shared" si="1"/>
        <v/>
      </c>
      <c r="I148" s="76"/>
    </row>
    <row r="149" spans="1:9" ht="15.75" customHeight="1">
      <c r="A149" s="69">
        <f t="shared" si="0"/>
        <v>147</v>
      </c>
      <c r="B149" s="70" t="s">
        <v>1519</v>
      </c>
      <c r="C149" s="71" t="s">
        <v>1525</v>
      </c>
      <c r="D149" s="72">
        <v>1</v>
      </c>
      <c r="E149" s="73" t="e">
        <f>IF(B149="","",VLOOKUP(C149,RM!$C$4:$F1003,3,FALSE))</f>
        <v>#N/A</v>
      </c>
      <c r="F149" s="74">
        <f>IF(B149="","",IFERROR(SUMIFS(Issue!$D$3:$D1013,Issue!$C$3:$C1013,'S-BOM'!$B149)*'S-BOM'!$D149,""))</f>
        <v>0</v>
      </c>
      <c r="G149" s="75" t="str">
        <f t="array" ref="G149">IFERROR(INDEX(#REF!,MATCH('S-BOM'!$C149,RM!$C$4:$C1003,0)),"")</f>
        <v/>
      </c>
      <c r="H149" s="75" t="str">
        <f t="shared" si="1"/>
        <v/>
      </c>
      <c r="I149" s="76"/>
    </row>
    <row r="150" spans="1:9" ht="15.75" customHeight="1">
      <c r="A150" s="69">
        <f t="shared" si="0"/>
        <v>148</v>
      </c>
      <c r="B150" s="70" t="s">
        <v>1519</v>
      </c>
      <c r="C150" s="71" t="s">
        <v>1526</v>
      </c>
      <c r="D150" s="72">
        <v>1</v>
      </c>
      <c r="E150" s="73" t="e">
        <f>IF(B150="","",VLOOKUP(C150,RM!$C$4:$F1003,3,FALSE))</f>
        <v>#N/A</v>
      </c>
      <c r="F150" s="74">
        <f>IF(B150="","",IFERROR(SUMIFS(Issue!$D$3:$D1013,Issue!$C$3:$C1013,'S-BOM'!$B150)*'S-BOM'!$D150,""))</f>
        <v>0</v>
      </c>
      <c r="G150" s="75" t="str">
        <f t="array" ref="G150">IFERROR(INDEX(#REF!,MATCH('S-BOM'!$C150,RM!$C$4:$C1003,0)),"")</f>
        <v/>
      </c>
      <c r="H150" s="75" t="str">
        <f t="shared" si="1"/>
        <v/>
      </c>
      <c r="I150" s="76"/>
    </row>
    <row r="151" spans="1:9" ht="15.75" customHeight="1">
      <c r="A151" s="69">
        <f t="shared" si="0"/>
        <v>149</v>
      </c>
      <c r="B151" s="70" t="s">
        <v>1519</v>
      </c>
      <c r="C151" s="71" t="s">
        <v>1527</v>
      </c>
      <c r="D151" s="72">
        <v>1</v>
      </c>
      <c r="E151" s="73" t="e">
        <f>IF(B151="","",VLOOKUP(C151,RM!$C$4:$F1003,3,FALSE))</f>
        <v>#N/A</v>
      </c>
      <c r="F151" s="74">
        <f>IF(B151="","",IFERROR(SUMIFS(Issue!$D$3:$D1013,Issue!$C$3:$C1013,'S-BOM'!$B151)*'S-BOM'!$D151,""))</f>
        <v>0</v>
      </c>
      <c r="G151" s="75" t="str">
        <f t="array" ref="G151">IFERROR(INDEX(#REF!,MATCH('S-BOM'!$C151,RM!$C$4:$C1003,0)),"")</f>
        <v/>
      </c>
      <c r="H151" s="75" t="str">
        <f t="shared" si="1"/>
        <v/>
      </c>
      <c r="I151" s="76"/>
    </row>
    <row r="152" spans="1:9" ht="15.75" customHeight="1">
      <c r="A152" s="69">
        <f t="shared" si="0"/>
        <v>150</v>
      </c>
      <c r="B152" s="70" t="s">
        <v>1519</v>
      </c>
      <c r="C152" s="71" t="s">
        <v>1528</v>
      </c>
      <c r="D152" s="72">
        <v>1</v>
      </c>
      <c r="E152" s="73" t="e">
        <f>IF(B152="","",VLOOKUP(C152,RM!$C$4:$F1003,3,FALSE))</f>
        <v>#N/A</v>
      </c>
      <c r="F152" s="74">
        <f>IF(B152="","",IFERROR(SUMIFS(Issue!$D$3:$D1013,Issue!$C$3:$C1013,'S-BOM'!$B152)*'S-BOM'!$D152,""))</f>
        <v>0</v>
      </c>
      <c r="G152" s="75" t="str">
        <f t="array" ref="G152">IFERROR(INDEX(#REF!,MATCH('S-BOM'!$C152,RM!$C$4:$C1003,0)),"")</f>
        <v/>
      </c>
      <c r="H152" s="75" t="str">
        <f t="shared" si="1"/>
        <v/>
      </c>
      <c r="I152" s="76"/>
    </row>
    <row r="153" spans="1:9" ht="15.75" customHeight="1">
      <c r="A153" s="69">
        <f t="shared" si="0"/>
        <v>151</v>
      </c>
      <c r="B153" s="70" t="s">
        <v>1519</v>
      </c>
      <c r="C153" s="71" t="s">
        <v>1529</v>
      </c>
      <c r="D153" s="72">
        <v>1</v>
      </c>
      <c r="E153" s="73" t="e">
        <f>IF(B153="","",VLOOKUP(C153,RM!$C$4:$F1003,3,FALSE))</f>
        <v>#N/A</v>
      </c>
      <c r="F153" s="74">
        <f>IF(B153="","",IFERROR(SUMIFS(Issue!$D$3:$D1013,Issue!$C$3:$C1013,'S-BOM'!$B153)*'S-BOM'!$D153,""))</f>
        <v>0</v>
      </c>
      <c r="G153" s="75" t="str">
        <f t="array" ref="G153">IFERROR(INDEX(#REF!,MATCH('S-BOM'!$C153,RM!$C$4:$C1003,0)),"")</f>
        <v/>
      </c>
      <c r="H153" s="75" t="str">
        <f t="shared" si="1"/>
        <v/>
      </c>
      <c r="I153" s="76"/>
    </row>
    <row r="154" spans="1:9" ht="15.75" customHeight="1">
      <c r="A154" s="69">
        <f t="shared" si="0"/>
        <v>152</v>
      </c>
      <c r="B154" s="70" t="s">
        <v>1519</v>
      </c>
      <c r="C154" s="71" t="s">
        <v>1530</v>
      </c>
      <c r="D154" s="72">
        <v>1</v>
      </c>
      <c r="E154" s="73" t="e">
        <f>IF(B154="","",VLOOKUP(C154,RM!$C$4:$F1003,3,FALSE))</f>
        <v>#N/A</v>
      </c>
      <c r="F154" s="74">
        <f>IF(B154="","",IFERROR(SUMIFS(Issue!$D$3:$D1013,Issue!$C$3:$C1013,'S-BOM'!$B154)*'S-BOM'!$D154,""))</f>
        <v>0</v>
      </c>
      <c r="G154" s="75" t="str">
        <f t="array" ref="G154">IFERROR(INDEX(#REF!,MATCH('S-BOM'!$C154,RM!$C$4:$C1003,0)),"")</f>
        <v/>
      </c>
      <c r="H154" s="75" t="str">
        <f t="shared" si="1"/>
        <v/>
      </c>
      <c r="I154" s="76"/>
    </row>
    <row r="155" spans="1:9" ht="15.75" customHeight="1">
      <c r="A155" s="69">
        <f t="shared" si="0"/>
        <v>153</v>
      </c>
      <c r="B155" s="70" t="s">
        <v>1519</v>
      </c>
      <c r="C155" s="71" t="s">
        <v>1531</v>
      </c>
      <c r="D155" s="72">
        <v>1</v>
      </c>
      <c r="E155" s="73" t="e">
        <f>IF(B155="","",VLOOKUP(C155,RM!$C$4:$F1003,3,FALSE))</f>
        <v>#N/A</v>
      </c>
      <c r="F155" s="74">
        <f>IF(B155="","",IFERROR(SUMIFS(Issue!$D$3:$D1013,Issue!$C$3:$C1013,'S-BOM'!$B155)*'S-BOM'!$D155,""))</f>
        <v>0</v>
      </c>
      <c r="G155" s="75" t="str">
        <f t="array" ref="G155">IFERROR(INDEX(#REF!,MATCH('S-BOM'!$C155,RM!$C$4:$C1003,0)),"")</f>
        <v/>
      </c>
      <c r="H155" s="75" t="str">
        <f t="shared" si="1"/>
        <v/>
      </c>
      <c r="I155" s="76"/>
    </row>
    <row r="156" spans="1:9" ht="15.75" customHeight="1">
      <c r="A156" s="69">
        <f t="shared" si="0"/>
        <v>154</v>
      </c>
      <c r="B156" s="70" t="s">
        <v>1519</v>
      </c>
      <c r="C156" s="71" t="s">
        <v>1532</v>
      </c>
      <c r="D156" s="72">
        <v>1</v>
      </c>
      <c r="E156" s="73" t="e">
        <f>IF(B156="","",VLOOKUP(C156,RM!$C$4:$F1003,3,FALSE))</f>
        <v>#N/A</v>
      </c>
      <c r="F156" s="74">
        <f>IF(B156="","",IFERROR(SUMIFS(Issue!$D$3:$D1013,Issue!$C$3:$C1013,'S-BOM'!$B156)*'S-BOM'!$D156,""))</f>
        <v>0</v>
      </c>
      <c r="G156" s="75" t="str">
        <f t="array" ref="G156">IFERROR(INDEX(#REF!,MATCH('S-BOM'!$C156,RM!$C$4:$C1003,0)),"")</f>
        <v/>
      </c>
      <c r="H156" s="75" t="str">
        <f t="shared" si="1"/>
        <v/>
      </c>
      <c r="I156" s="76"/>
    </row>
    <row r="157" spans="1:9" ht="15.75" customHeight="1">
      <c r="A157" s="69">
        <f t="shared" si="0"/>
        <v>155</v>
      </c>
      <c r="B157" s="70" t="s">
        <v>1519</v>
      </c>
      <c r="C157" s="71" t="s">
        <v>1533</v>
      </c>
      <c r="D157" s="72">
        <v>1</v>
      </c>
      <c r="E157" s="73" t="e">
        <f>IF(B157="","",VLOOKUP(C157,RM!$C$4:$F1003,3,FALSE))</f>
        <v>#N/A</v>
      </c>
      <c r="F157" s="74">
        <f>IF(B157="","",IFERROR(SUMIFS(Issue!$D$3:$D1013,Issue!$C$3:$C1013,'S-BOM'!$B157)*'S-BOM'!$D157,""))</f>
        <v>0</v>
      </c>
      <c r="G157" s="75" t="str">
        <f t="array" ref="G157">IFERROR(INDEX(#REF!,MATCH('S-BOM'!$C157,RM!$C$4:$C1003,0)),"")</f>
        <v/>
      </c>
      <c r="H157" s="75" t="str">
        <f t="shared" si="1"/>
        <v/>
      </c>
      <c r="I157" s="76"/>
    </row>
    <row r="158" spans="1:9" ht="15.75" customHeight="1">
      <c r="A158" s="69">
        <f t="shared" si="0"/>
        <v>156</v>
      </c>
      <c r="B158" s="70" t="s">
        <v>1519</v>
      </c>
      <c r="C158" s="71" t="s">
        <v>1534</v>
      </c>
      <c r="D158" s="72">
        <v>1</v>
      </c>
      <c r="E158" s="73" t="e">
        <f>IF(B158="","",VLOOKUP(C158,RM!$C$4:$F1003,3,FALSE))</f>
        <v>#N/A</v>
      </c>
      <c r="F158" s="74">
        <f>IF(B158="","",IFERROR(SUMIFS(Issue!$D$3:$D1013,Issue!$C$3:$C1013,'S-BOM'!$B158)*'S-BOM'!$D158,""))</f>
        <v>0</v>
      </c>
      <c r="G158" s="75" t="str">
        <f t="array" ref="G158">IFERROR(INDEX(#REF!,MATCH('S-BOM'!$C158,RM!$C$4:$C1003,0)),"")</f>
        <v/>
      </c>
      <c r="H158" s="75" t="str">
        <f t="shared" si="1"/>
        <v/>
      </c>
      <c r="I158" s="76"/>
    </row>
    <row r="159" spans="1:9" ht="15.75" customHeight="1">
      <c r="A159" s="69">
        <f t="shared" si="0"/>
        <v>157</v>
      </c>
      <c r="B159" s="70" t="s">
        <v>1519</v>
      </c>
      <c r="C159" s="71" t="s">
        <v>1535</v>
      </c>
      <c r="D159" s="72">
        <v>1</v>
      </c>
      <c r="E159" s="73" t="e">
        <f>IF(B159="","",VLOOKUP(C159,RM!$C$4:$F1003,3,FALSE))</f>
        <v>#N/A</v>
      </c>
      <c r="F159" s="74">
        <f>IF(B159="","",IFERROR(SUMIFS(Issue!$D$3:$D1013,Issue!$C$3:$C1013,'S-BOM'!$B159)*'S-BOM'!$D159,""))</f>
        <v>0</v>
      </c>
      <c r="G159" s="75" t="str">
        <f t="array" ref="G159">IFERROR(INDEX(#REF!,MATCH('S-BOM'!$C159,RM!$C$4:$C1003,0)),"")</f>
        <v/>
      </c>
      <c r="H159" s="75" t="str">
        <f t="shared" si="1"/>
        <v/>
      </c>
      <c r="I159" s="76"/>
    </row>
    <row r="160" spans="1:9" ht="15.75" customHeight="1">
      <c r="A160" s="69">
        <f t="shared" si="0"/>
        <v>158</v>
      </c>
      <c r="B160" s="70" t="s">
        <v>1519</v>
      </c>
      <c r="C160" s="71" t="s">
        <v>953</v>
      </c>
      <c r="D160" s="72">
        <v>1</v>
      </c>
      <c r="E160" s="73">
        <f>IF(B160="","",VLOOKUP(C160,RM!$C$4:$F1003,3,FALSE))</f>
        <v>0</v>
      </c>
      <c r="F160" s="74">
        <f>IF(B160="","",IFERROR(SUMIFS(Issue!$D$3:$D1013,Issue!$C$3:$C1013,'S-BOM'!$B160)*'S-BOM'!$D160,""))</f>
        <v>0</v>
      </c>
      <c r="G160" s="75" t="str">
        <f t="array" ref="G160">IFERROR(INDEX(#REF!,MATCH('S-BOM'!$C160,RM!$C$4:$C1003,0)),"")</f>
        <v/>
      </c>
      <c r="H160" s="75" t="str">
        <f t="shared" si="1"/>
        <v/>
      </c>
      <c r="I160" s="76"/>
    </row>
    <row r="161" spans="1:9" ht="15.75" customHeight="1">
      <c r="A161" s="69">
        <f t="shared" si="0"/>
        <v>159</v>
      </c>
      <c r="B161" s="70" t="s">
        <v>1519</v>
      </c>
      <c r="C161" s="71" t="s">
        <v>1536</v>
      </c>
      <c r="D161" s="72">
        <v>2</v>
      </c>
      <c r="E161" s="73" t="e">
        <f>IF(B161="","",VLOOKUP(C161,RM!$C$4:$F1003,3,FALSE))</f>
        <v>#N/A</v>
      </c>
      <c r="F161" s="74">
        <f>IF(B161="","",IFERROR(SUMIFS(Issue!$D$3:$D1013,Issue!$C$3:$C1013,'S-BOM'!$B161)*'S-BOM'!$D161,""))</f>
        <v>0</v>
      </c>
      <c r="G161" s="75" t="str">
        <f t="array" ref="G161">IFERROR(INDEX(#REF!,MATCH('S-BOM'!$C161,RM!$C$4:$C1003,0)),"")</f>
        <v/>
      </c>
      <c r="H161" s="75" t="str">
        <f t="shared" si="1"/>
        <v/>
      </c>
      <c r="I161" s="76"/>
    </row>
    <row r="162" spans="1:9" ht="15.75" customHeight="1">
      <c r="A162" s="69">
        <f t="shared" si="0"/>
        <v>160</v>
      </c>
      <c r="B162" s="70" t="s">
        <v>1519</v>
      </c>
      <c r="C162" s="71" t="s">
        <v>1537</v>
      </c>
      <c r="D162" s="72">
        <v>2</v>
      </c>
      <c r="E162" s="73" t="e">
        <f>IF(B162="","",VLOOKUP(C162,RM!$C$4:$F1003,3,FALSE))</f>
        <v>#N/A</v>
      </c>
      <c r="F162" s="74">
        <f>IF(B162="","",IFERROR(SUMIFS(Issue!$D$3:$D1013,Issue!$C$3:$C1013,'S-BOM'!$B162)*'S-BOM'!$D162,""))</f>
        <v>0</v>
      </c>
      <c r="G162" s="75" t="str">
        <f t="array" ref="G162">IFERROR(INDEX(#REF!,MATCH('S-BOM'!$C162,RM!$C$4:$C1003,0)),"")</f>
        <v/>
      </c>
      <c r="H162" s="75" t="str">
        <f t="shared" si="1"/>
        <v/>
      </c>
      <c r="I162" s="76"/>
    </row>
    <row r="163" spans="1:9" ht="15.75" customHeight="1">
      <c r="A163" s="69">
        <f t="shared" si="0"/>
        <v>161</v>
      </c>
      <c r="B163" s="70" t="s">
        <v>1519</v>
      </c>
      <c r="C163" s="71" t="s">
        <v>1458</v>
      </c>
      <c r="D163" s="72">
        <v>10</v>
      </c>
      <c r="E163" s="73" t="e">
        <f>IF(B163="","",VLOOKUP(C163,RM!$C$4:$F1003,3,FALSE))</f>
        <v>#N/A</v>
      </c>
      <c r="F163" s="74">
        <f>IF(B163="","",IFERROR(SUMIFS(Issue!$D$3:$D1013,Issue!$C$3:$C1013,'S-BOM'!$B163)*'S-BOM'!$D163,""))</f>
        <v>0</v>
      </c>
      <c r="G163" s="75" t="str">
        <f t="array" ref="G163">IFERROR(INDEX(#REF!,MATCH('S-BOM'!$C163,RM!$C$4:$C1003,0)),"")</f>
        <v/>
      </c>
      <c r="H163" s="75" t="str">
        <f t="shared" si="1"/>
        <v/>
      </c>
      <c r="I163" s="76"/>
    </row>
    <row r="164" spans="1:9" ht="15.75" customHeight="1">
      <c r="A164" s="69">
        <f t="shared" si="0"/>
        <v>162</v>
      </c>
      <c r="B164" s="70" t="s">
        <v>1519</v>
      </c>
      <c r="C164" s="71" t="s">
        <v>1538</v>
      </c>
      <c r="D164" s="72">
        <v>0.25</v>
      </c>
      <c r="E164" s="73" t="e">
        <f>IF(B164="","",VLOOKUP(C164,RM!$C$4:$F1003,3,FALSE))</f>
        <v>#N/A</v>
      </c>
      <c r="F164" s="74">
        <f>IF(B164="","",IFERROR(SUMIFS(Issue!$D$3:$D1013,Issue!$C$3:$C1013,'S-BOM'!$B164)*'S-BOM'!$D164,""))</f>
        <v>0</v>
      </c>
      <c r="G164" s="75" t="str">
        <f t="array" ref="G164">IFERROR(INDEX(#REF!,MATCH('S-BOM'!$C164,RM!$C$4:$C1003,0)),"")</f>
        <v/>
      </c>
      <c r="H164" s="75" t="str">
        <f t="shared" si="1"/>
        <v/>
      </c>
      <c r="I164" s="76"/>
    </row>
    <row r="165" spans="1:9" ht="15.75" customHeight="1">
      <c r="A165" s="69">
        <f t="shared" si="0"/>
        <v>163</v>
      </c>
      <c r="B165" s="70" t="s">
        <v>1519</v>
      </c>
      <c r="C165" s="71" t="s">
        <v>1512</v>
      </c>
      <c r="D165" s="72">
        <v>0.25</v>
      </c>
      <c r="E165" s="73" t="e">
        <f>IF(B165="","",VLOOKUP(C165,RM!$C$4:$F1003,3,FALSE))</f>
        <v>#N/A</v>
      </c>
      <c r="F165" s="74">
        <f>IF(B165="","",IFERROR(SUMIFS(Issue!$D$3:$D1013,Issue!$C$3:$C1013,'S-BOM'!$B165)*'S-BOM'!$D165,""))</f>
        <v>0</v>
      </c>
      <c r="G165" s="75" t="str">
        <f t="array" ref="G165">IFERROR(INDEX(#REF!,MATCH('S-BOM'!$C165,RM!$C$4:$C1003,0)),"")</f>
        <v/>
      </c>
      <c r="H165" s="75" t="str">
        <f t="shared" si="1"/>
        <v/>
      </c>
      <c r="I165" s="76"/>
    </row>
    <row r="166" spans="1:9" ht="15.75" customHeight="1">
      <c r="A166" s="69">
        <f t="shared" si="0"/>
        <v>164</v>
      </c>
      <c r="B166" s="70" t="s">
        <v>1539</v>
      </c>
      <c r="C166" s="71" t="s">
        <v>1497</v>
      </c>
      <c r="D166" s="72">
        <v>10</v>
      </c>
      <c r="E166" s="73">
        <f>IF(B166="","",VLOOKUP(C166,RM!$C$4:$F1003,3,FALSE))</f>
        <v>0</v>
      </c>
      <c r="F166" s="74">
        <f>IF(B166="","",IFERROR(SUMIFS(Issue!$D$3:$D1013,Issue!$C$3:$C1013,'S-BOM'!$B166)*'S-BOM'!$D166,""))</f>
        <v>0</v>
      </c>
      <c r="G166" s="75" t="str">
        <f t="array" ref="G166">IFERROR(INDEX(#REF!,MATCH('S-BOM'!$C166,RM!$C$4:$C1003,0)),"")</f>
        <v/>
      </c>
      <c r="H166" s="75" t="str">
        <f t="shared" si="1"/>
        <v/>
      </c>
      <c r="I166" s="76"/>
    </row>
    <row r="167" spans="1:9" ht="15.75" customHeight="1">
      <c r="A167" s="69">
        <f t="shared" si="0"/>
        <v>165</v>
      </c>
      <c r="B167" s="70" t="s">
        <v>1539</v>
      </c>
      <c r="C167" s="71" t="s">
        <v>1503</v>
      </c>
      <c r="D167" s="72">
        <v>1</v>
      </c>
      <c r="E167" s="73">
        <f>IF(B167="","",VLOOKUP(C167,RM!$C$4:$F1003,3,FALSE))</f>
        <v>0</v>
      </c>
      <c r="F167" s="74">
        <f>IF(B167="","",IFERROR(SUMIFS(Issue!$D$3:$D1013,Issue!$C$3:$C1013,'S-BOM'!$B167)*'S-BOM'!$D167,""))</f>
        <v>0</v>
      </c>
      <c r="G167" s="75" t="str">
        <f t="array" ref="G167">IFERROR(INDEX(#REF!,MATCH('S-BOM'!$C167,RM!$C$4:$C1003,0)),"")</f>
        <v/>
      </c>
      <c r="H167" s="75" t="str">
        <f t="shared" si="1"/>
        <v/>
      </c>
      <c r="I167" s="76"/>
    </row>
    <row r="168" spans="1:9" ht="15.75" customHeight="1">
      <c r="A168" s="69">
        <f t="shared" si="0"/>
        <v>166</v>
      </c>
      <c r="B168" s="70" t="s">
        <v>1539</v>
      </c>
      <c r="C168" s="71" t="s">
        <v>1504</v>
      </c>
      <c r="D168" s="72">
        <v>1.5</v>
      </c>
      <c r="E168" s="73" t="e">
        <f>IF(B168="","",VLOOKUP(C168,RM!$C$4:$F1003,3,FALSE))</f>
        <v>#N/A</v>
      </c>
      <c r="F168" s="74">
        <f>IF(B168="","",IFERROR(SUMIFS(Issue!$D$3:$D1013,Issue!$C$3:$C1013,'S-BOM'!$B168)*'S-BOM'!$D168,""))</f>
        <v>0</v>
      </c>
      <c r="G168" s="75" t="str">
        <f t="array" ref="G168">IFERROR(INDEX(#REF!,MATCH('S-BOM'!$C168,RM!$C$4:$C1003,0)),"")</f>
        <v/>
      </c>
      <c r="H168" s="75" t="str">
        <f t="shared" si="1"/>
        <v/>
      </c>
      <c r="I168" s="76"/>
    </row>
    <row r="169" spans="1:9" ht="15.75" customHeight="1">
      <c r="A169" s="69">
        <f t="shared" si="0"/>
        <v>167</v>
      </c>
      <c r="B169" s="70" t="s">
        <v>1539</v>
      </c>
      <c r="C169" s="71" t="s">
        <v>1540</v>
      </c>
      <c r="D169" s="72">
        <v>1</v>
      </c>
      <c r="E169" s="73" t="e">
        <f>IF(B169="","",VLOOKUP(C169,RM!$C$4:$F1003,3,FALSE))</f>
        <v>#N/A</v>
      </c>
      <c r="F169" s="74">
        <f>IF(B169="","",IFERROR(SUMIFS(Issue!$D$3:$D1013,Issue!$C$3:$C1013,'S-BOM'!$B169)*'S-BOM'!$D169,""))</f>
        <v>0</v>
      </c>
      <c r="G169" s="75" t="str">
        <f t="array" ref="G169">IFERROR(INDEX(#REF!,MATCH('S-BOM'!$C169,RM!$C$4:$C1003,0)),"")</f>
        <v/>
      </c>
      <c r="H169" s="75" t="str">
        <f t="shared" si="1"/>
        <v/>
      </c>
      <c r="I169" s="76"/>
    </row>
    <row r="170" spans="1:9" ht="15.75" customHeight="1">
      <c r="A170" s="69">
        <f t="shared" si="0"/>
        <v>168</v>
      </c>
      <c r="B170" s="70" t="s">
        <v>1541</v>
      </c>
      <c r="C170" s="71" t="s">
        <v>1542</v>
      </c>
      <c r="D170" s="72">
        <v>1</v>
      </c>
      <c r="E170" s="73" t="e">
        <f>IF(B170="","",VLOOKUP(C170,RM!$C$4:$F1003,3,FALSE))</f>
        <v>#N/A</v>
      </c>
      <c r="F170" s="74">
        <f>IF(B170="","",IFERROR(SUMIFS(Issue!$D$3:$D1013,Issue!$C$3:$C1013,'S-BOM'!$B170)*'S-BOM'!$D170,""))</f>
        <v>0</v>
      </c>
      <c r="G170" s="75" t="str">
        <f t="array" ref="G170">IFERROR(INDEX(#REF!,MATCH('S-BOM'!$C170,RM!$C$4:$C1003,0)),"")</f>
        <v/>
      </c>
      <c r="H170" s="75" t="str">
        <f t="shared" si="1"/>
        <v/>
      </c>
      <c r="I170" s="76"/>
    </row>
    <row r="171" spans="1:9" ht="15.75" customHeight="1">
      <c r="A171" s="69">
        <f t="shared" si="0"/>
        <v>169</v>
      </c>
      <c r="B171" s="70" t="s">
        <v>1541</v>
      </c>
      <c r="C171" s="71" t="s">
        <v>1543</v>
      </c>
      <c r="D171" s="72">
        <v>1</v>
      </c>
      <c r="E171" s="73" t="e">
        <f>IF(B171="","",VLOOKUP(C171,RM!$C$4:$F1003,3,FALSE))</f>
        <v>#N/A</v>
      </c>
      <c r="F171" s="74">
        <f>IF(B171="","",IFERROR(SUMIFS(Issue!$D$3:$D1013,Issue!$C$3:$C1013,'S-BOM'!$B171)*'S-BOM'!$D171,""))</f>
        <v>0</v>
      </c>
      <c r="G171" s="75" t="str">
        <f t="array" ref="G171">IFERROR(INDEX(#REF!,MATCH('S-BOM'!$C171,RM!$C$4:$C1003,0)),"")</f>
        <v/>
      </c>
      <c r="H171" s="75" t="str">
        <f t="shared" si="1"/>
        <v/>
      </c>
      <c r="I171" s="76"/>
    </row>
    <row r="172" spans="1:9" ht="15.75" customHeight="1">
      <c r="A172" s="69">
        <f t="shared" si="0"/>
        <v>170</v>
      </c>
      <c r="B172" s="70" t="s">
        <v>1541</v>
      </c>
      <c r="C172" s="71" t="s">
        <v>1544</v>
      </c>
      <c r="D172" s="72">
        <v>8</v>
      </c>
      <c r="E172" s="73" t="e">
        <f>IF(B172="","",VLOOKUP(C172,RM!$C$4:$F1003,3,FALSE))</f>
        <v>#N/A</v>
      </c>
      <c r="F172" s="74">
        <f>IF(B172="","",IFERROR(SUMIFS(Issue!$D$3:$D1013,Issue!$C$3:$C1013,'S-BOM'!$B172)*'S-BOM'!$D172,""))</f>
        <v>0</v>
      </c>
      <c r="G172" s="75" t="str">
        <f t="array" ref="G172">IFERROR(INDEX(#REF!,MATCH('S-BOM'!$C172,RM!$C$4:$C1003,0)),"")</f>
        <v/>
      </c>
      <c r="H172" s="75" t="str">
        <f t="shared" si="1"/>
        <v/>
      </c>
      <c r="I172" s="76"/>
    </row>
    <row r="173" spans="1:9" ht="15.75" customHeight="1">
      <c r="A173" s="69">
        <f t="shared" si="0"/>
        <v>171</v>
      </c>
      <c r="B173" s="70" t="s">
        <v>1541</v>
      </c>
      <c r="C173" s="71" t="s">
        <v>1545</v>
      </c>
      <c r="D173" s="72">
        <v>4</v>
      </c>
      <c r="E173" s="73" t="e">
        <f>IF(B173="","",VLOOKUP(C173,RM!$C$4:$F1003,3,FALSE))</f>
        <v>#N/A</v>
      </c>
      <c r="F173" s="74">
        <f>IF(B173="","",IFERROR(SUMIFS(Issue!$D$3:$D1013,Issue!$C$3:$C1013,'S-BOM'!$B173)*'S-BOM'!$D173,""))</f>
        <v>0</v>
      </c>
      <c r="G173" s="75" t="str">
        <f t="array" ref="G173">IFERROR(INDEX(#REF!,MATCH('S-BOM'!$C173,RM!$C$4:$C1003,0)),"")</f>
        <v/>
      </c>
      <c r="H173" s="75" t="str">
        <f t="shared" si="1"/>
        <v/>
      </c>
      <c r="I173" s="76"/>
    </row>
    <row r="174" spans="1:9" ht="15.75" customHeight="1">
      <c r="A174" s="69">
        <f t="shared" si="0"/>
        <v>172</v>
      </c>
      <c r="B174" s="70" t="s">
        <v>1541</v>
      </c>
      <c r="C174" s="71" t="s">
        <v>1546</v>
      </c>
      <c r="D174" s="72">
        <v>2</v>
      </c>
      <c r="E174" s="73" t="e">
        <f>IF(B174="","",VLOOKUP(C174,RM!$C$4:$F1003,3,FALSE))</f>
        <v>#N/A</v>
      </c>
      <c r="F174" s="74">
        <f>IF(B174="","",IFERROR(SUMIFS(Issue!$D$3:$D1013,Issue!$C$3:$C1013,'S-BOM'!$B174)*'S-BOM'!$D174,""))</f>
        <v>0</v>
      </c>
      <c r="G174" s="75" t="str">
        <f t="array" ref="G174">IFERROR(INDEX(#REF!,MATCH('S-BOM'!$C174,RM!$C$4:$C1003,0)),"")</f>
        <v/>
      </c>
      <c r="H174" s="75" t="str">
        <f t="shared" si="1"/>
        <v/>
      </c>
      <c r="I174" s="76"/>
    </row>
    <row r="175" spans="1:9" ht="15.75" customHeight="1">
      <c r="A175" s="69">
        <f t="shared" si="0"/>
        <v>173</v>
      </c>
      <c r="B175" s="70" t="s">
        <v>1541</v>
      </c>
      <c r="C175" s="71" t="s">
        <v>1547</v>
      </c>
      <c r="D175" s="72">
        <v>2</v>
      </c>
      <c r="E175" s="73" t="e">
        <f>IF(B175="","",VLOOKUP(C175,RM!$C$4:$F1003,3,FALSE))</f>
        <v>#N/A</v>
      </c>
      <c r="F175" s="74">
        <f>IF(B175="","",IFERROR(SUMIFS(Issue!$D$3:$D1013,Issue!$C$3:$C1013,'S-BOM'!$B175)*'S-BOM'!$D175,""))</f>
        <v>0</v>
      </c>
      <c r="G175" s="75" t="str">
        <f t="array" ref="G175">IFERROR(INDEX(#REF!,MATCH('S-BOM'!$C175,RM!$C$4:$C1003,0)),"")</f>
        <v/>
      </c>
      <c r="H175" s="75" t="str">
        <f t="shared" si="1"/>
        <v/>
      </c>
      <c r="I175" s="76"/>
    </row>
    <row r="176" spans="1:9" ht="15.75" customHeight="1">
      <c r="A176" s="69">
        <f t="shared" si="0"/>
        <v>174</v>
      </c>
      <c r="B176" s="70" t="s">
        <v>1541</v>
      </c>
      <c r="C176" s="71" t="s">
        <v>332</v>
      </c>
      <c r="D176" s="72">
        <v>1</v>
      </c>
      <c r="E176" s="73" t="str">
        <f>IF(B176="","",VLOOKUP(C176,RM!$C$4:$F1003,3,FALSE))</f>
        <v>KPTD-2012LVSURCK</v>
      </c>
      <c r="F176" s="74">
        <f>IF(B176="","",IFERROR(SUMIFS(Issue!$D$3:$D1013,Issue!$C$3:$C1013,'S-BOM'!$B176)*'S-BOM'!$D176,""))</f>
        <v>0</v>
      </c>
      <c r="G176" s="75" t="str">
        <f t="array" ref="G176">IFERROR(INDEX(#REF!,MATCH('S-BOM'!$C176,RM!$C$4:$C1003,0)),"")</f>
        <v/>
      </c>
      <c r="H176" s="75" t="str">
        <f t="shared" si="1"/>
        <v/>
      </c>
      <c r="I176" s="76"/>
    </row>
    <row r="177" spans="1:9" ht="15.75" customHeight="1">
      <c r="A177" s="69">
        <f t="shared" si="0"/>
        <v>175</v>
      </c>
      <c r="B177" s="70" t="s">
        <v>1541</v>
      </c>
      <c r="C177" s="71" t="s">
        <v>353</v>
      </c>
      <c r="D177" s="72">
        <v>4</v>
      </c>
      <c r="E177" s="73" t="str">
        <f>IF(B177="","",VLOOKUP(C177,RM!$C$4:$F1003,3,FALSE))</f>
        <v>1N4148W-7-F</v>
      </c>
      <c r="F177" s="74">
        <f>IF(B177="","",IFERROR(SUMIFS(Issue!$D$3:$D1013,Issue!$C$3:$C1013,'S-BOM'!$B177)*'S-BOM'!$D177,""))</f>
        <v>0</v>
      </c>
      <c r="G177" s="75" t="str">
        <f t="array" ref="G177">IFERROR(INDEX(#REF!,MATCH('S-BOM'!$C177,RM!$C$4:$C1003,0)),"")</f>
        <v/>
      </c>
      <c r="H177" s="75" t="str">
        <f t="shared" si="1"/>
        <v/>
      </c>
      <c r="I177" s="76"/>
    </row>
    <row r="178" spans="1:9" ht="15.75" customHeight="1">
      <c r="A178" s="69">
        <f t="shared" si="0"/>
        <v>176</v>
      </c>
      <c r="B178" s="70" t="s">
        <v>1541</v>
      </c>
      <c r="C178" s="71" t="s">
        <v>503</v>
      </c>
      <c r="D178" s="72">
        <v>2</v>
      </c>
      <c r="E178" s="73">
        <f>IF(B178="","",VLOOKUP(C178,RM!$C$4:$F1003,3,FALSE))</f>
        <v>0</v>
      </c>
      <c r="F178" s="74">
        <f>IF(B178="","",IFERROR(SUMIFS(Issue!$D$3:$D1013,Issue!$C$3:$C1013,'S-BOM'!$B178)*'S-BOM'!$D178,""))</f>
        <v>0</v>
      </c>
      <c r="G178" s="75" t="str">
        <f t="array" ref="G178">IFERROR(INDEX(#REF!,MATCH('S-BOM'!$C178,RM!$C$4:$C1003,0)),"")</f>
        <v/>
      </c>
      <c r="H178" s="75" t="str">
        <f t="shared" si="1"/>
        <v/>
      </c>
      <c r="I178" s="76"/>
    </row>
    <row r="179" spans="1:9" ht="15.75" customHeight="1">
      <c r="A179" s="69">
        <f t="shared" si="0"/>
        <v>177</v>
      </c>
      <c r="B179" s="70" t="s">
        <v>91</v>
      </c>
      <c r="C179" s="71" t="s">
        <v>1548</v>
      </c>
      <c r="D179" s="72">
        <v>1</v>
      </c>
      <c r="E179" s="73" t="e">
        <f>IF(B179="","",VLOOKUP(C179,RM!$C$4:$F1003,3,FALSE))</f>
        <v>#N/A</v>
      </c>
      <c r="F179" s="74">
        <f>IF(B179="","",IFERROR(SUMIFS(Issue!$D$3:$D1013,Issue!$C$3:$C1013,'S-BOM'!$B179)*'S-BOM'!$D179,""))</f>
        <v>0</v>
      </c>
      <c r="G179" s="75" t="str">
        <f t="array" ref="G179">IFERROR(INDEX(#REF!,MATCH('S-BOM'!$C179,RM!$C$4:$C1003,0)),"")</f>
        <v/>
      </c>
      <c r="H179" s="75" t="str">
        <f t="shared" si="1"/>
        <v/>
      </c>
      <c r="I179" s="76"/>
    </row>
    <row r="180" spans="1:9" ht="15.75" customHeight="1">
      <c r="A180" s="69">
        <f t="shared" si="0"/>
        <v>178</v>
      </c>
      <c r="B180" s="70" t="s">
        <v>91</v>
      </c>
      <c r="C180" s="71" t="s">
        <v>1549</v>
      </c>
      <c r="D180" s="72">
        <v>2</v>
      </c>
      <c r="E180" s="73" t="e">
        <f>IF(B180="","",VLOOKUP(C180,RM!$C$4:$F1003,3,FALSE))</f>
        <v>#N/A</v>
      </c>
      <c r="F180" s="74">
        <f>IF(B180="","",IFERROR(SUMIFS(Issue!$D$3:$D1013,Issue!$C$3:$C1013,'S-BOM'!$B180)*'S-BOM'!$D180,""))</f>
        <v>0</v>
      </c>
      <c r="G180" s="75" t="str">
        <f t="array" ref="G180">IFERROR(INDEX(#REF!,MATCH('S-BOM'!$C180,RM!$C$4:$C1003,0)),"")</f>
        <v/>
      </c>
      <c r="H180" s="75" t="str">
        <f t="shared" si="1"/>
        <v/>
      </c>
      <c r="I180" s="76"/>
    </row>
    <row r="181" spans="1:9" ht="15.75" customHeight="1">
      <c r="A181" s="69">
        <f t="shared" si="0"/>
        <v>179</v>
      </c>
      <c r="B181" s="70" t="s">
        <v>91</v>
      </c>
      <c r="C181" s="71" t="s">
        <v>1546</v>
      </c>
      <c r="D181" s="72">
        <v>2</v>
      </c>
      <c r="E181" s="73" t="e">
        <f>IF(B181="","",VLOOKUP(C181,RM!$C$4:$F1003,3,FALSE))</f>
        <v>#N/A</v>
      </c>
      <c r="F181" s="74">
        <f>IF(B181="","",IFERROR(SUMIFS(Issue!$D$3:$D1013,Issue!$C$3:$C1013,'S-BOM'!$B181)*'S-BOM'!$D181,""))</f>
        <v>0</v>
      </c>
      <c r="G181" s="75" t="str">
        <f t="array" ref="G181">IFERROR(INDEX(#REF!,MATCH('S-BOM'!$C181,RM!$C$4:$C1003,0)),"")</f>
        <v/>
      </c>
      <c r="H181" s="75" t="str">
        <f t="shared" si="1"/>
        <v/>
      </c>
      <c r="I181" s="76"/>
    </row>
    <row r="182" spans="1:9" ht="15.75" customHeight="1">
      <c r="A182" s="69">
        <f t="shared" si="0"/>
        <v>180</v>
      </c>
      <c r="B182" s="70" t="s">
        <v>91</v>
      </c>
      <c r="C182" s="71" t="s">
        <v>508</v>
      </c>
      <c r="D182" s="72">
        <v>1</v>
      </c>
      <c r="E182" s="73">
        <f>IF(B182="","",VLOOKUP(C182,RM!$C$4:$F1003,3,FALSE))</f>
        <v>0</v>
      </c>
      <c r="F182" s="74">
        <f>IF(B182="","",IFERROR(SUMIFS(Issue!$D$3:$D1013,Issue!$C$3:$C1013,'S-BOM'!$B182)*'S-BOM'!$D182,""))</f>
        <v>0</v>
      </c>
      <c r="G182" s="75" t="str">
        <f t="array" ref="G182">IFERROR(INDEX(#REF!,MATCH('S-BOM'!$C182,RM!$C$4:$C1003,0)),"")</f>
        <v/>
      </c>
      <c r="H182" s="75" t="str">
        <f t="shared" si="1"/>
        <v/>
      </c>
      <c r="I182" s="76"/>
    </row>
    <row r="183" spans="1:9" ht="15.75" customHeight="1">
      <c r="A183" s="69">
        <f t="shared" si="0"/>
        <v>181</v>
      </c>
      <c r="B183" s="70" t="s">
        <v>1550</v>
      </c>
      <c r="C183" s="71" t="s">
        <v>1551</v>
      </c>
      <c r="D183" s="72">
        <v>1</v>
      </c>
      <c r="E183" s="73" t="e">
        <f>IF(B183="","",VLOOKUP(C183,RM!$C$4:$F1003,3,FALSE))</f>
        <v>#N/A</v>
      </c>
      <c r="F183" s="74">
        <f>IF(B183="","",IFERROR(SUMIFS(Issue!$D$3:$D1013,Issue!$C$3:$C1013,'S-BOM'!$B183)*'S-BOM'!$D183,""))</f>
        <v>0</v>
      </c>
      <c r="G183" s="75" t="str">
        <f t="array" ref="G183">IFERROR(INDEX(#REF!,MATCH('S-BOM'!$C183,RM!$C$4:$C1003,0)),"")</f>
        <v/>
      </c>
      <c r="H183" s="75" t="str">
        <f t="shared" si="1"/>
        <v/>
      </c>
      <c r="I183" s="76"/>
    </row>
    <row r="184" spans="1:9" ht="15.75" customHeight="1">
      <c r="A184" s="69">
        <f t="shared" si="0"/>
        <v>182</v>
      </c>
      <c r="B184" s="70" t="s">
        <v>1550</v>
      </c>
      <c r="C184" s="71" t="s">
        <v>120</v>
      </c>
      <c r="D184" s="72">
        <v>7</v>
      </c>
      <c r="E184" s="73" t="str">
        <f>IF(B184="","",VLOOKUP(C184,RM!$C$4:$F1003,3,FALSE))</f>
        <v>Robu-597541</v>
      </c>
      <c r="F184" s="74">
        <f>IF(B184="","",IFERROR(SUMIFS(Issue!$D$3:$D1013,Issue!$C$3:$C1013,'S-BOM'!$B184)*'S-BOM'!$D184,""))</f>
        <v>0</v>
      </c>
      <c r="G184" s="75" t="str">
        <f t="array" ref="G184">IFERROR(INDEX(#REF!,MATCH('S-BOM'!$C184,RM!$C$4:$C1003,0)),"")</f>
        <v/>
      </c>
      <c r="H184" s="75" t="str">
        <f t="shared" si="1"/>
        <v/>
      </c>
      <c r="I184" s="76"/>
    </row>
    <row r="185" spans="1:9" ht="15.75" customHeight="1">
      <c r="A185" s="69">
        <f t="shared" si="0"/>
        <v>183</v>
      </c>
      <c r="B185" s="70" t="s">
        <v>1550</v>
      </c>
      <c r="C185" s="71" t="s">
        <v>1552</v>
      </c>
      <c r="D185" s="72">
        <v>3</v>
      </c>
      <c r="E185" s="73" t="e">
        <f>IF(B185="","",VLOOKUP(C185,RM!$C$4:$F1003,3,FALSE))</f>
        <v>#N/A</v>
      </c>
      <c r="F185" s="74">
        <f>IF(B185="","",IFERROR(SUMIFS(Issue!$D$3:$D1013,Issue!$C$3:$C1013,'S-BOM'!$B185)*'S-BOM'!$D185,""))</f>
        <v>0</v>
      </c>
      <c r="G185" s="75" t="str">
        <f t="array" ref="G185">IFERROR(INDEX(#REF!,MATCH('S-BOM'!$C185,RM!$C$4:$C1003,0)),"")</f>
        <v/>
      </c>
      <c r="H185" s="75" t="str">
        <f t="shared" si="1"/>
        <v/>
      </c>
      <c r="I185" s="76"/>
    </row>
    <row r="186" spans="1:9" ht="15.75" customHeight="1">
      <c r="A186" s="69">
        <f t="shared" si="0"/>
        <v>184</v>
      </c>
      <c r="B186" s="70" t="s">
        <v>1550</v>
      </c>
      <c r="C186" s="71" t="s">
        <v>1553</v>
      </c>
      <c r="D186" s="72">
        <v>1</v>
      </c>
      <c r="E186" s="73" t="e">
        <f>IF(B186="","",VLOOKUP(C186,RM!$C$4:$F1003,3,FALSE))</f>
        <v>#N/A</v>
      </c>
      <c r="F186" s="74">
        <f>IF(B186="","",IFERROR(SUMIFS(Issue!$D$3:$D1013,Issue!$C$3:$C1013,'S-BOM'!$B186)*'S-BOM'!$D186,""))</f>
        <v>0</v>
      </c>
      <c r="G186" s="75" t="str">
        <f t="array" ref="G186">IFERROR(INDEX(#REF!,MATCH('S-BOM'!$C186,RM!$C$4:$C1003,0)),"")</f>
        <v/>
      </c>
      <c r="H186" s="75" t="str">
        <f t="shared" si="1"/>
        <v/>
      </c>
      <c r="I186" s="76"/>
    </row>
    <row r="187" spans="1:9" ht="15.75" customHeight="1">
      <c r="A187" s="69">
        <f t="shared" si="0"/>
        <v>185</v>
      </c>
      <c r="B187" s="70" t="s">
        <v>1550</v>
      </c>
      <c r="C187" s="71" t="s">
        <v>1554</v>
      </c>
      <c r="D187" s="72">
        <v>1</v>
      </c>
      <c r="E187" s="73" t="e">
        <f>IF(B187="","",VLOOKUP(C187,RM!$C$4:$F1003,3,FALSE))</f>
        <v>#N/A</v>
      </c>
      <c r="F187" s="74">
        <f>IF(B187="","",IFERROR(SUMIFS(Issue!$D$3:$D1013,Issue!$C$3:$C1013,'S-BOM'!$B187)*'S-BOM'!$D187,""))</f>
        <v>0</v>
      </c>
      <c r="G187" s="75" t="str">
        <f t="array" ref="G187">IFERROR(INDEX(#REF!,MATCH('S-BOM'!$C187,RM!$C$4:$C1003,0)),"")</f>
        <v/>
      </c>
      <c r="H187" s="75" t="str">
        <f t="shared" si="1"/>
        <v/>
      </c>
      <c r="I187" s="76"/>
    </row>
    <row r="188" spans="1:9" ht="15.75" customHeight="1">
      <c r="A188" s="69">
        <f t="shared" si="0"/>
        <v>186</v>
      </c>
      <c r="B188" s="70" t="s">
        <v>1550</v>
      </c>
      <c r="C188" s="71" t="s">
        <v>1470</v>
      </c>
      <c r="D188" s="72">
        <v>2</v>
      </c>
      <c r="E188" s="73" t="e">
        <f>IF(B188="","",VLOOKUP(C188,RM!$C$4:$F1003,3,FALSE))</f>
        <v>#N/A</v>
      </c>
      <c r="F188" s="74">
        <f>IF(B188="","",IFERROR(SUMIFS(Issue!$D$3:$D1013,Issue!$C$3:$C1013,'S-BOM'!$B188)*'S-BOM'!$D188,""))</f>
        <v>0</v>
      </c>
      <c r="G188" s="75" t="str">
        <f t="array" ref="G188">IFERROR(INDEX(#REF!,MATCH('S-BOM'!$C188,RM!$C$4:$C1003,0)),"")</f>
        <v/>
      </c>
      <c r="H188" s="75" t="str">
        <f t="shared" si="1"/>
        <v/>
      </c>
      <c r="I188" s="76"/>
    </row>
    <row r="189" spans="1:9" ht="15.75" customHeight="1">
      <c r="A189" s="69">
        <f t="shared" si="0"/>
        <v>187</v>
      </c>
      <c r="B189" s="70" t="s">
        <v>1550</v>
      </c>
      <c r="C189" s="71" t="s">
        <v>1471</v>
      </c>
      <c r="D189" s="72">
        <v>4</v>
      </c>
      <c r="E189" s="73" t="e">
        <f>IF(B189="","",VLOOKUP(C189,RM!$C$4:$F1003,3,FALSE))</f>
        <v>#N/A</v>
      </c>
      <c r="F189" s="74">
        <f>IF(B189="","",IFERROR(SUMIFS(Issue!$D$3:$D1013,Issue!$C$3:$C1013,'S-BOM'!$B189)*'S-BOM'!$D189,""))</f>
        <v>0</v>
      </c>
      <c r="G189" s="75" t="str">
        <f t="array" ref="G189">IFERROR(INDEX(#REF!,MATCH('S-BOM'!$C189,RM!$C$4:$C1003,0)),"")</f>
        <v/>
      </c>
      <c r="H189" s="75" t="str">
        <f t="shared" si="1"/>
        <v/>
      </c>
      <c r="I189" s="76"/>
    </row>
    <row r="190" spans="1:9" ht="15.75" customHeight="1">
      <c r="A190" s="69">
        <f t="shared" si="0"/>
        <v>188</v>
      </c>
      <c r="B190" s="70" t="s">
        <v>1550</v>
      </c>
      <c r="C190" s="71" t="s">
        <v>1501</v>
      </c>
      <c r="D190" s="72">
        <v>0</v>
      </c>
      <c r="E190" s="73" t="e">
        <f>IF(B190="","",VLOOKUP(C190,RM!$C$4:$F1003,3,FALSE))</f>
        <v>#N/A</v>
      </c>
      <c r="F190" s="74">
        <f>IF(B190="","",IFERROR(SUMIFS(Issue!$D$3:$D1013,Issue!$C$3:$C1013,'S-BOM'!$B190)*'S-BOM'!$D190,""))</f>
        <v>0</v>
      </c>
      <c r="G190" s="75" t="str">
        <f t="array" ref="G190">IFERROR(INDEX(#REF!,MATCH('S-BOM'!$C190,RM!$C$4:$C1003,0)),"")</f>
        <v/>
      </c>
      <c r="H190" s="75" t="str">
        <f t="shared" si="1"/>
        <v/>
      </c>
      <c r="I190" s="76"/>
    </row>
    <row r="191" spans="1:9" ht="15.75" customHeight="1">
      <c r="A191" s="69">
        <f t="shared" si="0"/>
        <v>189</v>
      </c>
      <c r="B191" s="70" t="s">
        <v>1550</v>
      </c>
      <c r="C191" s="71" t="s">
        <v>1502</v>
      </c>
      <c r="D191" s="72">
        <v>0</v>
      </c>
      <c r="E191" s="73" t="e">
        <f>IF(B191="","",VLOOKUP(C191,RM!$C$4:$F1003,3,FALSE))</f>
        <v>#N/A</v>
      </c>
      <c r="F191" s="74">
        <f>IF(B191="","",IFERROR(SUMIFS(Issue!$D$3:$D1013,Issue!$C$3:$C1013,'S-BOM'!$B191)*'S-BOM'!$D191,""))</f>
        <v>0</v>
      </c>
      <c r="G191" s="75" t="str">
        <f t="array" ref="G191">IFERROR(INDEX(#REF!,MATCH('S-BOM'!$C191,RM!$C$4:$C1003,0)),"")</f>
        <v/>
      </c>
      <c r="H191" s="75" t="str">
        <f t="shared" si="1"/>
        <v/>
      </c>
      <c r="I191" s="76"/>
    </row>
    <row r="192" spans="1:9" ht="15.75" customHeight="1">
      <c r="A192" s="69">
        <f t="shared" si="0"/>
        <v>190</v>
      </c>
      <c r="B192" s="70" t="s">
        <v>1550</v>
      </c>
      <c r="C192" s="71" t="s">
        <v>1555</v>
      </c>
      <c r="D192" s="72">
        <v>2</v>
      </c>
      <c r="E192" s="73" t="e">
        <f>IF(B192="","",VLOOKUP(C192,RM!$C$4:$F1003,3,FALSE))</f>
        <v>#N/A</v>
      </c>
      <c r="F192" s="74">
        <f>IF(B192="","",IFERROR(SUMIFS(Issue!$D$3:$D1013,Issue!$C$3:$C1013,'S-BOM'!$B192)*'S-BOM'!$D192,""))</f>
        <v>0</v>
      </c>
      <c r="G192" s="75" t="str">
        <f t="array" ref="G192">IFERROR(INDEX(#REF!,MATCH('S-BOM'!$C192,RM!$C$4:$C1003,0)),"")</f>
        <v/>
      </c>
      <c r="H192" s="75" t="str">
        <f t="shared" si="1"/>
        <v/>
      </c>
      <c r="I192" s="76"/>
    </row>
    <row r="193" spans="1:9" ht="15.75" customHeight="1">
      <c r="A193" s="69">
        <f t="shared" si="0"/>
        <v>191</v>
      </c>
      <c r="B193" s="70" t="s">
        <v>1550</v>
      </c>
      <c r="C193" s="71" t="s">
        <v>1556</v>
      </c>
      <c r="D193" s="72">
        <v>1</v>
      </c>
      <c r="E193" s="73" t="e">
        <f>IF(B193="","",VLOOKUP(C193,RM!$C$4:$F1003,3,FALSE))</f>
        <v>#N/A</v>
      </c>
      <c r="F193" s="74">
        <f>IF(B193="","",IFERROR(SUMIFS(Issue!$D$3:$D1013,Issue!$C$3:$C1013,'S-BOM'!$B193)*'S-BOM'!$D193,""))</f>
        <v>0</v>
      </c>
      <c r="G193" s="75" t="str">
        <f t="array" ref="G193">IFERROR(INDEX(#REF!,MATCH('S-BOM'!$C193,RM!$C$4:$C1003,0)),"")</f>
        <v/>
      </c>
      <c r="H193" s="75" t="str">
        <f t="shared" si="1"/>
        <v/>
      </c>
      <c r="I193" s="76"/>
    </row>
    <row r="194" spans="1:9" ht="15.75" customHeight="1">
      <c r="A194" s="69">
        <f t="shared" si="0"/>
        <v>192</v>
      </c>
      <c r="B194" s="70" t="s">
        <v>1550</v>
      </c>
      <c r="C194" s="71" t="s">
        <v>1557</v>
      </c>
      <c r="D194" s="72">
        <v>0.25</v>
      </c>
      <c r="E194" s="73" t="e">
        <f>IF(B194="","",VLOOKUP(C194,RM!$C$4:$F1003,3,FALSE))</f>
        <v>#N/A</v>
      </c>
      <c r="F194" s="74">
        <f>IF(B194="","",IFERROR(SUMIFS(Issue!$D$3:$D1013,Issue!$C$3:$C1013,'S-BOM'!$B194)*'S-BOM'!$D194,""))</f>
        <v>0</v>
      </c>
      <c r="G194" s="75" t="str">
        <f t="array" ref="G194">IFERROR(INDEX(#REF!,MATCH('S-BOM'!$C194,RM!$C$4:$C1003,0)),"")</f>
        <v/>
      </c>
      <c r="H194" s="75" t="str">
        <f t="shared" si="1"/>
        <v/>
      </c>
      <c r="I194" s="76"/>
    </row>
    <row r="195" spans="1:9" ht="15.75" customHeight="1">
      <c r="A195" s="69">
        <f t="shared" si="0"/>
        <v>193</v>
      </c>
      <c r="B195" s="70" t="s">
        <v>1550</v>
      </c>
      <c r="C195" s="71" t="s">
        <v>1473</v>
      </c>
      <c r="D195" s="72">
        <v>0.5</v>
      </c>
      <c r="E195" s="73" t="e">
        <f>IF(B195="","",VLOOKUP(C195,RM!$C$4:$F1003,3,FALSE))</f>
        <v>#N/A</v>
      </c>
      <c r="F195" s="74">
        <f>IF(B195="","",IFERROR(SUMIFS(Issue!$D$3:$D1013,Issue!$C$3:$C1013,'S-BOM'!$B195)*'S-BOM'!$D195,""))</f>
        <v>0</v>
      </c>
      <c r="G195" s="75" t="str">
        <f t="array" ref="G195">IFERROR(INDEX(#REF!,MATCH('S-BOM'!$C195,RM!$C$4:$C1003,0)),"")</f>
        <v/>
      </c>
      <c r="H195" s="75" t="str">
        <f t="shared" si="1"/>
        <v/>
      </c>
      <c r="I195" s="76"/>
    </row>
    <row r="196" spans="1:9" ht="15.75" customHeight="1">
      <c r="A196" s="69">
        <f t="shared" si="0"/>
        <v>194</v>
      </c>
      <c r="B196" s="70" t="s">
        <v>1550</v>
      </c>
      <c r="C196" s="71" t="s">
        <v>1538</v>
      </c>
      <c r="D196" s="72">
        <v>0.3</v>
      </c>
      <c r="E196" s="73" t="e">
        <f>IF(B196="","",VLOOKUP(C196,RM!$C$4:$F1003,3,FALSE))</f>
        <v>#N/A</v>
      </c>
      <c r="F196" s="74">
        <f>IF(B196="","",IFERROR(SUMIFS(Issue!$D$3:$D1013,Issue!$C$3:$C1013,'S-BOM'!$B196)*'S-BOM'!$D196,""))</f>
        <v>0</v>
      </c>
      <c r="G196" s="75" t="str">
        <f t="array" ref="G196">IFERROR(INDEX(#REF!,MATCH('S-BOM'!$C196,RM!$C$4:$C1003,0)),"")</f>
        <v/>
      </c>
      <c r="H196" s="75" t="str">
        <f t="shared" si="1"/>
        <v/>
      </c>
      <c r="I196" s="76"/>
    </row>
    <row r="197" spans="1:9" ht="15.75" customHeight="1">
      <c r="A197" s="69">
        <f t="shared" si="0"/>
        <v>195</v>
      </c>
      <c r="B197" s="70" t="s">
        <v>1550</v>
      </c>
      <c r="C197" s="71" t="s">
        <v>1558</v>
      </c>
      <c r="D197" s="72">
        <v>2</v>
      </c>
      <c r="E197" s="73" t="e">
        <f>IF(B197="","",VLOOKUP(C197,RM!$C$4:$F1003,3,FALSE))</f>
        <v>#N/A</v>
      </c>
      <c r="F197" s="74">
        <f>IF(B197="","",IFERROR(SUMIFS(Issue!$D$3:$D1013,Issue!$C$3:$C1013,'S-BOM'!$B197)*'S-BOM'!$D197,""))</f>
        <v>0</v>
      </c>
      <c r="G197" s="75" t="str">
        <f t="array" ref="G197">IFERROR(INDEX(#REF!,MATCH('S-BOM'!$C197,RM!$C$4:$C1003,0)),"")</f>
        <v/>
      </c>
      <c r="H197" s="75" t="str">
        <f t="shared" si="1"/>
        <v/>
      </c>
      <c r="I197" s="76"/>
    </row>
    <row r="198" spans="1:9" ht="15.75" customHeight="1">
      <c r="A198" s="69">
        <f t="shared" si="0"/>
        <v>196</v>
      </c>
      <c r="B198" s="70" t="s">
        <v>1550</v>
      </c>
      <c r="C198" s="71" t="s">
        <v>1559</v>
      </c>
      <c r="D198" s="72">
        <v>1</v>
      </c>
      <c r="E198" s="73" t="e">
        <f>IF(B198="","",VLOOKUP(C198,RM!$C$4:$F1003,3,FALSE))</f>
        <v>#N/A</v>
      </c>
      <c r="F198" s="74">
        <f>IF(B198="","",IFERROR(SUMIFS(Issue!$D$3:$D1013,Issue!$C$3:$C1013,'S-BOM'!$B198)*'S-BOM'!$D198,""))</f>
        <v>0</v>
      </c>
      <c r="G198" s="75" t="str">
        <f t="array" ref="G198">IFERROR(INDEX(#REF!,MATCH('S-BOM'!$C198,RM!$C$4:$C1003,0)),"")</f>
        <v/>
      </c>
      <c r="H198" s="75" t="str">
        <f t="shared" si="1"/>
        <v/>
      </c>
      <c r="I198" s="76"/>
    </row>
    <row r="199" spans="1:9" ht="15.75" customHeight="1">
      <c r="A199" s="69">
        <f t="shared" si="0"/>
        <v>197</v>
      </c>
      <c r="B199" s="70" t="s">
        <v>1550</v>
      </c>
      <c r="C199" s="71" t="s">
        <v>1560</v>
      </c>
      <c r="D199" s="72">
        <v>1</v>
      </c>
      <c r="E199" s="73" t="e">
        <f>IF(B199="","",VLOOKUP(C199,RM!$C$4:$F1003,3,FALSE))</f>
        <v>#N/A</v>
      </c>
      <c r="F199" s="74">
        <f>IF(B199="","",IFERROR(SUMIFS(Issue!$D$3:$D1013,Issue!$C$3:$C1013,'S-BOM'!$B199)*'S-BOM'!$D199,""))</f>
        <v>0</v>
      </c>
      <c r="G199" s="75" t="str">
        <f t="array" ref="G199">IFERROR(INDEX(#REF!,MATCH('S-BOM'!$C199,RM!$C$4:$C1003,0)),"")</f>
        <v/>
      </c>
      <c r="H199" s="75" t="str">
        <f t="shared" si="1"/>
        <v/>
      </c>
      <c r="I199" s="76"/>
    </row>
    <row r="200" spans="1:9" ht="15.75" customHeight="1">
      <c r="A200" s="69">
        <f t="shared" si="0"/>
        <v>198</v>
      </c>
      <c r="B200" s="70" t="s">
        <v>1550</v>
      </c>
      <c r="C200" s="71" t="s">
        <v>1561</v>
      </c>
      <c r="D200" s="72">
        <v>10</v>
      </c>
      <c r="E200" s="73">
        <f>IF(B200="","",VLOOKUP(C200,RM!$C$4:$F1003,3,FALSE))</f>
        <v>0</v>
      </c>
      <c r="F200" s="74">
        <f>IF(B200="","",IFERROR(SUMIFS(Issue!$D$3:$D1013,Issue!$C$3:$C1013,'S-BOM'!$B200)*'S-BOM'!$D200,""))</f>
        <v>0</v>
      </c>
      <c r="G200" s="75" t="str">
        <f t="array" ref="G200">IFERROR(INDEX(#REF!,MATCH('S-BOM'!$C200,RM!$C$4:$C1003,0)),"")</f>
        <v/>
      </c>
      <c r="H200" s="75" t="str">
        <f t="shared" si="1"/>
        <v/>
      </c>
      <c r="I200" s="76"/>
    </row>
    <row r="201" spans="1:9" ht="15.75" customHeight="1">
      <c r="A201" s="69">
        <f t="shared" si="0"/>
        <v>199</v>
      </c>
      <c r="B201" s="70" t="s">
        <v>1550</v>
      </c>
      <c r="C201" s="71" t="s">
        <v>1497</v>
      </c>
      <c r="D201" s="72">
        <v>10</v>
      </c>
      <c r="E201" s="73">
        <f>IF(B201="","",VLOOKUP(C201,RM!$C$4:$F1003,3,FALSE))</f>
        <v>0</v>
      </c>
      <c r="F201" s="74">
        <f>IF(B201="","",IFERROR(SUMIFS(Issue!$D$3:$D1013,Issue!$C$3:$C1013,'S-BOM'!$B201)*'S-BOM'!$D201,""))</f>
        <v>0</v>
      </c>
      <c r="G201" s="75" t="str">
        <f t="array" ref="G201">IFERROR(INDEX(#REF!,MATCH('S-BOM'!$C201,RM!$C$4:$C1003,0)),"")</f>
        <v/>
      </c>
      <c r="H201" s="75" t="str">
        <f t="shared" si="1"/>
        <v/>
      </c>
      <c r="I201" s="76"/>
    </row>
    <row r="202" spans="1:9" ht="15.75" customHeight="1">
      <c r="A202" s="69">
        <f t="shared" si="0"/>
        <v>200</v>
      </c>
      <c r="B202" s="70" t="s">
        <v>1550</v>
      </c>
      <c r="C202" s="71" t="s">
        <v>332</v>
      </c>
      <c r="D202" s="72">
        <v>1</v>
      </c>
      <c r="E202" s="73" t="str">
        <f>IF(B202="","",VLOOKUP(C202,RM!$C$4:$F1003,3,FALSE))</f>
        <v>KPTD-2012LVSURCK</v>
      </c>
      <c r="F202" s="74">
        <f>IF(B202="","",IFERROR(SUMIFS(Issue!$D$3:$D1013,Issue!$C$3:$C1013,'S-BOM'!$B202)*'S-BOM'!$D202,""))</f>
        <v>0</v>
      </c>
      <c r="G202" s="75" t="str">
        <f t="array" ref="G202">IFERROR(INDEX(#REF!,MATCH('S-BOM'!$C202,RM!$C$4:$C1003,0)),"")</f>
        <v/>
      </c>
      <c r="H202" s="75" t="str">
        <f t="shared" si="1"/>
        <v/>
      </c>
      <c r="I202" s="76"/>
    </row>
    <row r="203" spans="1:9" ht="15.75" customHeight="1">
      <c r="A203" s="69">
        <f t="shared" si="0"/>
        <v>201</v>
      </c>
      <c r="B203" s="70" t="s">
        <v>1550</v>
      </c>
      <c r="C203" s="71" t="s">
        <v>356</v>
      </c>
      <c r="D203" s="72">
        <v>4</v>
      </c>
      <c r="E203" s="73" t="str">
        <f>IF(B203="","",VLOOKUP(C203,RM!$C$4:$F1003,3,FALSE))</f>
        <v>MC0805N180J500CT</v>
      </c>
      <c r="F203" s="74">
        <f>IF(B203="","",IFERROR(SUMIFS(Issue!$D$3:$D1013,Issue!$C$3:$C1013,'S-BOM'!$B203)*'S-BOM'!$D203,""))</f>
        <v>0</v>
      </c>
      <c r="G203" s="75" t="str">
        <f t="array" ref="G203">IFERROR(INDEX(#REF!,MATCH('S-BOM'!$C203,RM!$C$4:$C1003,0)),"")</f>
        <v/>
      </c>
      <c r="H203" s="75" t="str">
        <f t="shared" si="1"/>
        <v/>
      </c>
      <c r="I203" s="76"/>
    </row>
    <row r="204" spans="1:9" ht="15.75" customHeight="1">
      <c r="A204" s="69">
        <f t="shared" si="0"/>
        <v>202</v>
      </c>
      <c r="B204" s="70" t="s">
        <v>1550</v>
      </c>
      <c r="C204" s="71" t="s">
        <v>361</v>
      </c>
      <c r="D204" s="72">
        <v>3</v>
      </c>
      <c r="E204" s="73" t="str">
        <f>IF(B204="","",VLOOKUP(C204,RM!$C$4:$F1003,3,FALSE))</f>
        <v>T491A106K010AT</v>
      </c>
      <c r="F204" s="74">
        <f>IF(B204="","",IFERROR(SUMIFS(Issue!$D$3:$D1013,Issue!$C$3:$C1013,'S-BOM'!$B204)*'S-BOM'!$D204,""))</f>
        <v>0</v>
      </c>
      <c r="G204" s="75" t="str">
        <f t="array" ref="G204">IFERROR(INDEX(#REF!,MATCH('S-BOM'!$C204,RM!$C$4:$C1003,0)),"")</f>
        <v/>
      </c>
      <c r="H204" s="75" t="str">
        <f t="shared" si="1"/>
        <v/>
      </c>
      <c r="I204" s="76"/>
    </row>
    <row r="205" spans="1:9" ht="15.75" customHeight="1">
      <c r="A205" s="69">
        <f t="shared" si="0"/>
        <v>203</v>
      </c>
      <c r="B205" s="70" t="s">
        <v>1550</v>
      </c>
      <c r="C205" s="71" t="s">
        <v>1562</v>
      </c>
      <c r="D205" s="72">
        <v>2</v>
      </c>
      <c r="E205" s="73" t="e">
        <f>IF(B205="","",VLOOKUP(C205,RM!$C$4:$F1003,3,FALSE))</f>
        <v>#N/A</v>
      </c>
      <c r="F205" s="74">
        <f>IF(B205="","",IFERROR(SUMIFS(Issue!$D$3:$D1013,Issue!$C$3:$C1013,'S-BOM'!$B205)*'S-BOM'!$D205,""))</f>
        <v>0</v>
      </c>
      <c r="G205" s="75" t="str">
        <f t="array" ref="G205">IFERROR(INDEX(#REF!,MATCH('S-BOM'!$C205,RM!$C$4:$C1003,0)),"")</f>
        <v/>
      </c>
      <c r="H205" s="75" t="str">
        <f t="shared" si="1"/>
        <v/>
      </c>
      <c r="I205" s="76"/>
    </row>
    <row r="206" spans="1:9" ht="15.75" customHeight="1">
      <c r="A206" s="69">
        <f t="shared" si="0"/>
        <v>204</v>
      </c>
      <c r="B206" s="70" t="s">
        <v>1550</v>
      </c>
      <c r="C206" s="71" t="s">
        <v>1563</v>
      </c>
      <c r="D206" s="72">
        <v>5</v>
      </c>
      <c r="E206" s="73" t="e">
        <f>IF(B206="","",VLOOKUP(C206,RM!$C$4:$F1003,3,FALSE))</f>
        <v>#N/A</v>
      </c>
      <c r="F206" s="74">
        <f>IF(B206="","",IFERROR(SUMIFS(Issue!$D$3:$D1013,Issue!$C$3:$C1013,'S-BOM'!$B206)*'S-BOM'!$D206,""))</f>
        <v>0</v>
      </c>
      <c r="G206" s="75" t="str">
        <f t="array" ref="G206">IFERROR(INDEX(#REF!,MATCH('S-BOM'!$C206,RM!$C$4:$C1003,0)),"")</f>
        <v/>
      </c>
      <c r="H206" s="75" t="str">
        <f t="shared" si="1"/>
        <v/>
      </c>
      <c r="I206" s="76"/>
    </row>
    <row r="207" spans="1:9" ht="15.75" customHeight="1">
      <c r="A207" s="69">
        <f t="shared" si="0"/>
        <v>205</v>
      </c>
      <c r="B207" s="70" t="s">
        <v>1550</v>
      </c>
      <c r="C207" s="71" t="s">
        <v>1564</v>
      </c>
      <c r="D207" s="72">
        <v>1</v>
      </c>
      <c r="E207" s="73" t="e">
        <f>IF(B207="","",VLOOKUP(C207,RM!$C$4:$F1003,3,FALSE))</f>
        <v>#N/A</v>
      </c>
      <c r="F207" s="74">
        <f>IF(B207="","",IFERROR(SUMIFS(Issue!$D$3:$D1013,Issue!$C$3:$C1013,'S-BOM'!$B207)*'S-BOM'!$D207,""))</f>
        <v>0</v>
      </c>
      <c r="G207" s="75" t="str">
        <f t="array" ref="G207">IFERROR(INDEX(#REF!,MATCH('S-BOM'!$C207,RM!$C$4:$C1003,0)),"")</f>
        <v/>
      </c>
      <c r="H207" s="75" t="str">
        <f t="shared" si="1"/>
        <v/>
      </c>
      <c r="I207" s="76"/>
    </row>
    <row r="208" spans="1:9" ht="15.75" customHeight="1">
      <c r="A208" s="69">
        <f t="shared" si="0"/>
        <v>206</v>
      </c>
      <c r="B208" s="70" t="s">
        <v>1550</v>
      </c>
      <c r="C208" s="71" t="s">
        <v>462</v>
      </c>
      <c r="D208" s="72">
        <v>1</v>
      </c>
      <c r="E208" s="73" t="str">
        <f>IF(B208="","",VLOOKUP(C208,RM!$C$4:$F1003,3,FALSE))</f>
        <v>HC-05</v>
      </c>
      <c r="F208" s="74">
        <f>IF(B208="","",IFERROR(SUMIFS(Issue!$D$3:$D1013,Issue!$C$3:$C1013,'S-BOM'!$B208)*'S-BOM'!$D208,""))</f>
        <v>0</v>
      </c>
      <c r="G208" s="75" t="str">
        <f t="array" ref="G208">IFERROR(INDEX(#REF!,MATCH('S-BOM'!$C208,RM!$C$4:$C1003,0)),"")</f>
        <v/>
      </c>
      <c r="H208" s="75" t="str">
        <f t="shared" si="1"/>
        <v/>
      </c>
      <c r="I208" s="76"/>
    </row>
    <row r="209" spans="1:9" ht="15.75" customHeight="1">
      <c r="A209" s="69">
        <f t="shared" si="0"/>
        <v>207</v>
      </c>
      <c r="B209" s="70" t="s">
        <v>1550</v>
      </c>
      <c r="C209" s="71" t="s">
        <v>1565</v>
      </c>
      <c r="D209" s="72">
        <v>10</v>
      </c>
      <c r="E209" s="73" t="e">
        <f>IF(B209="","",VLOOKUP(C209,RM!$C$4:$F1003,3,FALSE))</f>
        <v>#N/A</v>
      </c>
      <c r="F209" s="74">
        <f>IF(B209="","",IFERROR(SUMIFS(Issue!$D$3:$D1013,Issue!$C$3:$C1013,'S-BOM'!$B209)*'S-BOM'!$D209,""))</f>
        <v>0</v>
      </c>
      <c r="G209" s="75" t="str">
        <f t="array" ref="G209">IFERROR(INDEX(#REF!,MATCH('S-BOM'!$C209,RM!$C$4:$C1003,0)),"")</f>
        <v/>
      </c>
      <c r="H209" s="75" t="str">
        <f t="shared" si="1"/>
        <v/>
      </c>
      <c r="I209" s="76"/>
    </row>
    <row r="210" spans="1:9" ht="15.75" customHeight="1">
      <c r="A210" s="69">
        <f t="shared" si="0"/>
        <v>208</v>
      </c>
      <c r="B210" s="70" t="s">
        <v>1550</v>
      </c>
      <c r="C210" s="71" t="s">
        <v>1566</v>
      </c>
      <c r="D210" s="72">
        <v>1</v>
      </c>
      <c r="E210" s="73" t="e">
        <f>IF(B210="","",VLOOKUP(C210,RM!$C$4:$F1003,3,FALSE))</f>
        <v>#N/A</v>
      </c>
      <c r="F210" s="74">
        <f>IF(B210="","",IFERROR(SUMIFS(Issue!$D$3:$D1013,Issue!$C$3:$C1013,'S-BOM'!$B210)*'S-BOM'!$D210,""))</f>
        <v>0</v>
      </c>
      <c r="G210" s="75" t="str">
        <f t="array" ref="G210">IFERROR(INDEX(#REF!,MATCH('S-BOM'!$C210,RM!$C$4:$C1003,0)),"")</f>
        <v/>
      </c>
      <c r="H210" s="75" t="str">
        <f t="shared" si="1"/>
        <v/>
      </c>
      <c r="I210" s="76"/>
    </row>
    <row r="211" spans="1:9" ht="15.75" customHeight="1">
      <c r="A211" s="69">
        <f t="shared" si="0"/>
        <v>209</v>
      </c>
      <c r="B211" s="70" t="s">
        <v>1550</v>
      </c>
      <c r="C211" s="71" t="s">
        <v>364</v>
      </c>
      <c r="D211" s="72">
        <v>1</v>
      </c>
      <c r="E211" s="73" t="str">
        <f>IF(B211="","",VLOOKUP(C211,RM!$C$4:$F1003,3,FALSE))</f>
        <v>ERA6AEB102V (to be modified)</v>
      </c>
      <c r="F211" s="74">
        <f>IF(B211="","",IFERROR(SUMIFS(Issue!$D$3:$D1013,Issue!$C$3:$C1013,'S-BOM'!$B211)*'S-BOM'!$D211,""))</f>
        <v>0</v>
      </c>
      <c r="G211" s="75" t="str">
        <f t="array" ref="G211">IFERROR(INDEX(#REF!,MATCH('S-BOM'!$C211,RM!$C$4:$C1003,0)),"")</f>
        <v/>
      </c>
      <c r="H211" s="75" t="str">
        <f t="shared" si="1"/>
        <v/>
      </c>
      <c r="I211" s="76"/>
    </row>
    <row r="212" spans="1:9" ht="15.75" customHeight="1">
      <c r="A212" s="69">
        <f t="shared" si="0"/>
        <v>210</v>
      </c>
      <c r="B212" s="70" t="s">
        <v>1550</v>
      </c>
      <c r="C212" s="71" t="s">
        <v>1567</v>
      </c>
      <c r="D212" s="72">
        <v>2</v>
      </c>
      <c r="E212" s="73" t="e">
        <f>IF(B212="","",VLOOKUP(C212,RM!$C$4:$F1003,3,FALSE))</f>
        <v>#N/A</v>
      </c>
      <c r="F212" s="74">
        <f>IF(B212="","",IFERROR(SUMIFS(Issue!$D$3:$D1013,Issue!$C$3:$C1013,'S-BOM'!$B212)*'S-BOM'!$D212,""))</f>
        <v>0</v>
      </c>
      <c r="G212" s="75" t="str">
        <f t="array" ref="G212">IFERROR(INDEX(#REF!,MATCH('S-BOM'!$C212,RM!$C$4:$C1003,0)),"")</f>
        <v/>
      </c>
      <c r="H212" s="75" t="str">
        <f t="shared" si="1"/>
        <v/>
      </c>
      <c r="I212" s="76"/>
    </row>
    <row r="213" spans="1:9" ht="15.75" customHeight="1">
      <c r="A213" s="69">
        <f t="shared" si="0"/>
        <v>211</v>
      </c>
      <c r="B213" s="70" t="s">
        <v>1550</v>
      </c>
      <c r="C213" s="71" t="s">
        <v>367</v>
      </c>
      <c r="D213" s="72">
        <v>1</v>
      </c>
      <c r="E213" s="73" t="str">
        <f>IF(B213="","",VLOOKUP(C213,RM!$C$4:$F1003,3,FALSE))</f>
        <v>ERA6AEB103V (to be modified)</v>
      </c>
      <c r="F213" s="74">
        <f>IF(B213="","",IFERROR(SUMIFS(Issue!$D$3:$D1013,Issue!$C$3:$C1013,'S-BOM'!$B213)*'S-BOM'!$D213,""))</f>
        <v>0</v>
      </c>
      <c r="G213" s="75" t="str">
        <f t="array" ref="G213">IFERROR(INDEX(#REF!,MATCH('S-BOM'!$C213,RM!$C$4:$C1003,0)),"")</f>
        <v/>
      </c>
      <c r="H213" s="75" t="str">
        <f t="shared" si="1"/>
        <v/>
      </c>
      <c r="I213" s="76"/>
    </row>
    <row r="214" spans="1:9" ht="15.75" customHeight="1">
      <c r="A214" s="69">
        <f t="shared" si="0"/>
        <v>212</v>
      </c>
      <c r="B214" s="70" t="s">
        <v>1550</v>
      </c>
      <c r="C214" s="71" t="s">
        <v>375</v>
      </c>
      <c r="D214" s="72">
        <v>12</v>
      </c>
      <c r="E214" s="73" t="str">
        <f>IF(B214="","",VLOOKUP(C214,RM!$C$4:$F1003,3,FALSE))</f>
        <v>MCWR08X3300FTL (to be modified)</v>
      </c>
      <c r="F214" s="74">
        <f>IF(B214="","",IFERROR(SUMIFS(Issue!$D$3:$D1013,Issue!$C$3:$C1013,'S-BOM'!$B214)*'S-BOM'!$D214,""))</f>
        <v>0</v>
      </c>
      <c r="G214" s="75" t="str">
        <f t="array" ref="G214">IFERROR(INDEX(#REF!,MATCH('S-BOM'!$C214,RM!$C$4:$C1003,0)),"")</f>
        <v/>
      </c>
      <c r="H214" s="75" t="str">
        <f t="shared" si="1"/>
        <v/>
      </c>
      <c r="I214" s="76"/>
    </row>
    <row r="215" spans="1:9" ht="15.75" customHeight="1">
      <c r="A215" s="69">
        <f t="shared" si="0"/>
        <v>213</v>
      </c>
      <c r="B215" s="70" t="s">
        <v>1550</v>
      </c>
      <c r="C215" s="71" t="s">
        <v>469</v>
      </c>
      <c r="D215" s="72">
        <v>1</v>
      </c>
      <c r="E215" s="73">
        <f>IF(B215="","",VLOOKUP(C215,RM!$C$4:$F1003,3,FALSE))</f>
        <v>0</v>
      </c>
      <c r="F215" s="74">
        <f>IF(B215="","",IFERROR(SUMIFS(Issue!$D$3:$D1013,Issue!$C$3:$C1013,'S-BOM'!$B215)*'S-BOM'!$D215,""))</f>
        <v>0</v>
      </c>
      <c r="G215" s="75" t="str">
        <f t="array" ref="G215">IFERROR(INDEX(#REF!,MATCH('S-BOM'!$C215,RM!$C$4:$C1003,0)),"")</f>
        <v/>
      </c>
      <c r="H215" s="75" t="str">
        <f t="shared" si="1"/>
        <v/>
      </c>
      <c r="I215" s="76"/>
    </row>
    <row r="216" spans="1:9" ht="15.75" customHeight="1">
      <c r="A216" s="69">
        <f t="shared" si="0"/>
        <v>214</v>
      </c>
      <c r="B216" s="70" t="s">
        <v>1550</v>
      </c>
      <c r="C216" s="71" t="s">
        <v>471</v>
      </c>
      <c r="D216" s="72">
        <v>1</v>
      </c>
      <c r="E216" s="73">
        <f>IF(B216="","",VLOOKUP(C216,RM!$C$4:$F1003,3,FALSE))</f>
        <v>0</v>
      </c>
      <c r="F216" s="74">
        <f>IF(B216="","",IFERROR(SUMIFS(Issue!$D$3:$D1013,Issue!$C$3:$C1013,'S-BOM'!$B216)*'S-BOM'!$D216,""))</f>
        <v>0</v>
      </c>
      <c r="G216" s="75" t="str">
        <f t="array" ref="G216">IFERROR(INDEX(#REF!,MATCH('S-BOM'!$C216,RM!$C$4:$C1003,0)),"")</f>
        <v/>
      </c>
      <c r="H216" s="75" t="str">
        <f t="shared" si="1"/>
        <v/>
      </c>
      <c r="I216" s="76"/>
    </row>
    <row r="217" spans="1:9" ht="15.75" customHeight="1">
      <c r="A217" s="69">
        <f t="shared" si="0"/>
        <v>215</v>
      </c>
      <c r="B217" s="70" t="s">
        <v>1550</v>
      </c>
      <c r="C217" s="71" t="s">
        <v>480</v>
      </c>
      <c r="D217" s="72">
        <v>20</v>
      </c>
      <c r="E217" s="73">
        <f>IF(B217="","",VLOOKUP(C217,RM!$C$4:$F1003,3,FALSE))</f>
        <v>0</v>
      </c>
      <c r="F217" s="74">
        <f>IF(B217="","",IFERROR(SUMIFS(Issue!$D$3:$D1013,Issue!$C$3:$C1013,'S-BOM'!$B217)*'S-BOM'!$D217,""))</f>
        <v>0</v>
      </c>
      <c r="G217" s="75" t="str">
        <f t="array" ref="G217">IFERROR(INDEX(#REF!,MATCH('S-BOM'!$C217,RM!$C$4:$C1003,0)),"")</f>
        <v/>
      </c>
      <c r="H217" s="75" t="str">
        <f t="shared" si="1"/>
        <v/>
      </c>
      <c r="I217" s="76"/>
    </row>
    <row r="218" spans="1:9" ht="15.75" customHeight="1">
      <c r="A218" s="69">
        <f t="shared" si="0"/>
        <v>216</v>
      </c>
      <c r="B218" s="70" t="s">
        <v>1550</v>
      </c>
      <c r="C218" s="71" t="s">
        <v>1503</v>
      </c>
      <c r="D218" s="72">
        <v>5</v>
      </c>
      <c r="E218" s="73">
        <f>IF(B218="","",VLOOKUP(C218,RM!$C$4:$F1003,3,FALSE))</f>
        <v>0</v>
      </c>
      <c r="F218" s="74">
        <f>IF(B218="","",IFERROR(SUMIFS(Issue!$D$3:$D1013,Issue!$C$3:$C1013,'S-BOM'!$B218)*'S-BOM'!$D218,""))</f>
        <v>0</v>
      </c>
      <c r="G218" s="75" t="str">
        <f t="array" ref="G218">IFERROR(INDEX(#REF!,MATCH('S-BOM'!$C218,RM!$C$4:$C1003,0)),"")</f>
        <v/>
      </c>
      <c r="H218" s="75" t="str">
        <f t="shared" si="1"/>
        <v/>
      </c>
      <c r="I218" s="76"/>
    </row>
    <row r="219" spans="1:9" ht="15.75" customHeight="1">
      <c r="A219" s="69">
        <f t="shared" si="0"/>
        <v>217</v>
      </c>
      <c r="B219" s="70" t="s">
        <v>1550</v>
      </c>
      <c r="C219" s="71" t="s">
        <v>1568</v>
      </c>
      <c r="D219" s="72">
        <v>3</v>
      </c>
      <c r="E219" s="73" t="e">
        <f>IF(B219="","",VLOOKUP(C219,RM!$C$4:$F1003,3,FALSE))</f>
        <v>#N/A</v>
      </c>
      <c r="F219" s="74">
        <f>IF(B219="","",IFERROR(SUMIFS(Issue!$D$3:$D1013,Issue!$C$3:$C1013,'S-BOM'!$B219)*'S-BOM'!$D219,""))</f>
        <v>0</v>
      </c>
      <c r="G219" s="75" t="str">
        <f t="array" ref="G219">IFERROR(INDEX(#REF!,MATCH('S-BOM'!$C219,RM!$C$4:$C1003,0)),"")</f>
        <v/>
      </c>
      <c r="H219" s="75" t="str">
        <f t="shared" si="1"/>
        <v/>
      </c>
      <c r="I219" s="76"/>
    </row>
    <row r="220" spans="1:9" ht="15.75" customHeight="1">
      <c r="A220" s="69">
        <f t="shared" si="0"/>
        <v>218</v>
      </c>
      <c r="B220" s="70" t="s">
        <v>1550</v>
      </c>
      <c r="C220" s="71" t="s">
        <v>502</v>
      </c>
      <c r="D220" s="72">
        <v>1</v>
      </c>
      <c r="E220" s="73">
        <f>IF(B220="","",VLOOKUP(C220,RM!$C$4:$F1003,3,FALSE))</f>
        <v>0</v>
      </c>
      <c r="F220" s="74">
        <f>IF(B220="","",IFERROR(SUMIFS(Issue!$D$3:$D1013,Issue!$C$3:$C1013,'S-BOM'!$B220)*'S-BOM'!$D220,""))</f>
        <v>0</v>
      </c>
      <c r="G220" s="75" t="str">
        <f t="array" ref="G220">IFERROR(INDEX(#REF!,MATCH('S-BOM'!$C220,RM!$C$4:$C1003,0)),"")</f>
        <v/>
      </c>
      <c r="H220" s="75" t="str">
        <f t="shared" si="1"/>
        <v/>
      </c>
      <c r="I220" s="76"/>
    </row>
    <row r="221" spans="1:9" ht="15.75" customHeight="1">
      <c r="A221" s="69">
        <f t="shared" si="0"/>
        <v>219</v>
      </c>
      <c r="B221" s="70" t="s">
        <v>1550</v>
      </c>
      <c r="C221" s="70" t="s">
        <v>1569</v>
      </c>
      <c r="D221" s="77">
        <v>1</v>
      </c>
      <c r="E221" s="73" t="e">
        <f>IF(B221="","",VLOOKUP(C221,RM!$C$4:$F1003,3,FALSE))</f>
        <v>#N/A</v>
      </c>
      <c r="F221" s="74">
        <f>IF(B221="","",IFERROR(SUMIFS(Issue!$D$3:$D1013,Issue!$C$3:$C1013,'S-BOM'!$B221)*'S-BOM'!$D221,""))</f>
        <v>0</v>
      </c>
      <c r="G221" s="75" t="str">
        <f t="array" ref="G221">IFERROR(INDEX(#REF!,MATCH('S-BOM'!$C221,RM!$C$4:$C1003,0)),"")</f>
        <v/>
      </c>
      <c r="H221" s="75" t="str">
        <f t="shared" si="1"/>
        <v/>
      </c>
      <c r="I221" s="76"/>
    </row>
    <row r="222" spans="1:9" ht="15.75" customHeight="1">
      <c r="A222" s="69">
        <f t="shared" si="0"/>
        <v>220</v>
      </c>
      <c r="B222" s="70" t="s">
        <v>1550</v>
      </c>
      <c r="C222" s="70" t="s">
        <v>1570</v>
      </c>
      <c r="D222" s="77">
        <v>2</v>
      </c>
      <c r="E222" s="73" t="e">
        <f>IF(B222="","",VLOOKUP(C222,RM!$C$4:$F1003,3,FALSE))</f>
        <v>#N/A</v>
      </c>
      <c r="F222" s="74">
        <f>IF(B222="","",IFERROR(SUMIFS(Issue!$D$3:$D1013,Issue!$C$3:$C1013,'S-BOM'!$B222)*'S-BOM'!$D222,""))</f>
        <v>0</v>
      </c>
      <c r="G222" s="75" t="str">
        <f t="array" ref="G222">IFERROR(INDEX(#REF!,MATCH('S-BOM'!$C222,RM!$C$4:$C1003,0)),"")</f>
        <v/>
      </c>
      <c r="H222" s="75" t="str">
        <f t="shared" si="1"/>
        <v/>
      </c>
      <c r="I222" s="76"/>
    </row>
    <row r="223" spans="1:9" ht="15.75" customHeight="1">
      <c r="A223" s="69">
        <f t="shared" si="0"/>
        <v>221</v>
      </c>
      <c r="B223" s="70" t="s">
        <v>1550</v>
      </c>
      <c r="C223" s="70" t="s">
        <v>518</v>
      </c>
      <c r="D223" s="77">
        <v>10</v>
      </c>
      <c r="E223" s="73">
        <f>IF(B223="","",VLOOKUP(C223,RM!$C$4:$F1003,3,FALSE))</f>
        <v>0</v>
      </c>
      <c r="F223" s="74">
        <f>IF(B223="","",IFERROR(SUMIFS(Issue!$D$3:$D1013,Issue!$C$3:$C1013,'S-BOM'!$B223)*'S-BOM'!$D223,""))</f>
        <v>0</v>
      </c>
      <c r="G223" s="75" t="str">
        <f t="array" ref="G223">IFERROR(INDEX(#REF!,MATCH('S-BOM'!$C223,RM!$C$4:$C1003,0)),"")</f>
        <v/>
      </c>
      <c r="H223" s="75" t="str">
        <f t="shared" si="1"/>
        <v/>
      </c>
      <c r="I223" s="76"/>
    </row>
    <row r="224" spans="1:9" ht="15.75" customHeight="1">
      <c r="A224" s="69">
        <f t="shared" si="0"/>
        <v>222</v>
      </c>
      <c r="B224" s="70" t="s">
        <v>1550</v>
      </c>
      <c r="C224" s="70" t="s">
        <v>394</v>
      </c>
      <c r="D224" s="77">
        <v>1</v>
      </c>
      <c r="E224" s="73">
        <f>IF(B224="","",VLOOKUP(C224,RM!$C$4:$F1003,3,FALSE))</f>
        <v>0</v>
      </c>
      <c r="F224" s="74">
        <f>IF(B224="","",IFERROR(SUMIFS(Issue!$D$3:$D1013,Issue!$C$3:$C1013,'S-BOM'!$B224)*'S-BOM'!$D224,""))</f>
        <v>0</v>
      </c>
      <c r="G224" s="75" t="str">
        <f t="array" ref="G224">IFERROR(INDEX(#REF!,MATCH('S-BOM'!$C224,RM!$C$4:$C1003,0)),"")</f>
        <v/>
      </c>
      <c r="H224" s="75" t="str">
        <f t="shared" si="1"/>
        <v/>
      </c>
      <c r="I224" s="76"/>
    </row>
    <row r="225" spans="1:9" ht="15.75" customHeight="1">
      <c r="A225" s="69">
        <f t="shared" si="0"/>
        <v>223</v>
      </c>
      <c r="B225" s="70" t="s">
        <v>1550</v>
      </c>
      <c r="C225" s="70" t="s">
        <v>1571</v>
      </c>
      <c r="D225" s="77">
        <v>2</v>
      </c>
      <c r="E225" s="73" t="e">
        <f>IF(B225="","",VLOOKUP(C225,RM!$C$4:$F1003,3,FALSE))</f>
        <v>#N/A</v>
      </c>
      <c r="F225" s="74">
        <f>IF(B225="","",IFERROR(SUMIFS(Issue!$D$3:$D1013,Issue!$C$3:$C1013,'S-BOM'!$B225)*'S-BOM'!$D225,""))</f>
        <v>0</v>
      </c>
      <c r="G225" s="75" t="str">
        <f t="array" ref="G225">IFERROR(INDEX(#REF!,MATCH('S-BOM'!$C225,RM!$C$4:$C1003,0)),"")</f>
        <v/>
      </c>
      <c r="H225" s="75" t="str">
        <f t="shared" si="1"/>
        <v/>
      </c>
      <c r="I225" s="76"/>
    </row>
    <row r="226" spans="1:9" ht="15.75" customHeight="1">
      <c r="A226" s="69">
        <f t="shared" si="0"/>
        <v>224</v>
      </c>
      <c r="B226" s="70" t="s">
        <v>1550</v>
      </c>
      <c r="C226" s="70" t="s">
        <v>1572</v>
      </c>
      <c r="D226" s="77">
        <v>1</v>
      </c>
      <c r="E226" s="73" t="e">
        <f>IF(B226="","",VLOOKUP(C226,RM!$C$4:$F1003,3,FALSE))</f>
        <v>#N/A</v>
      </c>
      <c r="F226" s="74">
        <f>IF(B226="","",IFERROR(SUMIFS(Issue!$D$3:$D1013,Issue!$C$3:$C1013,'S-BOM'!$B226)*'S-BOM'!$D226,""))</f>
        <v>0</v>
      </c>
      <c r="G226" s="75" t="str">
        <f t="array" ref="G226">IFERROR(INDEX(#REF!,MATCH('S-BOM'!$C226,RM!$C$4:$C1003,0)),"")</f>
        <v/>
      </c>
      <c r="H226" s="75" t="str">
        <f t="shared" si="1"/>
        <v/>
      </c>
      <c r="I226" s="76"/>
    </row>
    <row r="227" spans="1:9" ht="15.75" customHeight="1">
      <c r="A227" s="69">
        <f t="shared" si="0"/>
        <v>225</v>
      </c>
      <c r="B227" s="70" t="s">
        <v>1550</v>
      </c>
      <c r="C227" s="70" t="s">
        <v>417</v>
      </c>
      <c r="D227" s="77">
        <v>12</v>
      </c>
      <c r="E227" s="73" t="str">
        <f>IF(B227="","",VLOOKUP(C227,RM!$C$4:$F1003,3,FALSE))</f>
        <v>ERJUP6F4703V</v>
      </c>
      <c r="F227" s="74">
        <f>IF(B227="","",IFERROR(SUMIFS(Issue!$D$3:$D1013,Issue!$C$3:$C1013,'S-BOM'!$B227)*'S-BOM'!$D227,""))</f>
        <v>0</v>
      </c>
      <c r="G227" s="75" t="str">
        <f t="array" ref="G227">IFERROR(INDEX(#REF!,MATCH('S-BOM'!$C227,RM!$C$4:$C1003,0)),"")</f>
        <v/>
      </c>
      <c r="H227" s="75" t="str">
        <f t="shared" si="1"/>
        <v/>
      </c>
      <c r="I227" s="76"/>
    </row>
    <row r="228" spans="1:9" ht="15.75" customHeight="1">
      <c r="A228" s="69">
        <f t="shared" si="0"/>
        <v>226</v>
      </c>
      <c r="B228" s="70" t="s">
        <v>1550</v>
      </c>
      <c r="C228" s="70" t="s">
        <v>1573</v>
      </c>
      <c r="D228" s="77">
        <v>12</v>
      </c>
      <c r="E228" s="73" t="e">
        <f>IF(B228="","",VLOOKUP(C228,RM!$C$4:$F1003,3,FALSE))</f>
        <v>#N/A</v>
      </c>
      <c r="F228" s="74">
        <f>IF(B228="","",IFERROR(SUMIFS(Issue!$D$3:$D1013,Issue!$C$3:$C1013,'S-BOM'!$B228)*'S-BOM'!$D228,""))</f>
        <v>0</v>
      </c>
      <c r="G228" s="75" t="str">
        <f t="array" ref="G228">IFERROR(INDEX(#REF!,MATCH('S-BOM'!$C228,RM!$C$4:$C1003,0)),"")</f>
        <v/>
      </c>
      <c r="H228" s="75" t="str">
        <f t="shared" si="1"/>
        <v/>
      </c>
      <c r="I228" s="76"/>
    </row>
    <row r="229" spans="1:9" ht="15.75" customHeight="1">
      <c r="A229" s="69">
        <f t="shared" si="0"/>
        <v>227</v>
      </c>
      <c r="B229" s="70" t="s">
        <v>1550</v>
      </c>
      <c r="C229" s="70" t="s">
        <v>427</v>
      </c>
      <c r="D229" s="77">
        <v>12</v>
      </c>
      <c r="E229" s="73" t="str">
        <f>IF(B229="","",VLOOKUP(C229,RM!$C$4:$F1003,3,FALSE))</f>
        <v>GCM21BR71E105KA56L</v>
      </c>
      <c r="F229" s="74">
        <f>IF(B229="","",IFERROR(SUMIFS(Issue!$D$3:$D1013,Issue!$C$3:$C1013,'S-BOM'!$B229)*'S-BOM'!$D229,""))</f>
        <v>0</v>
      </c>
      <c r="G229" s="75" t="str">
        <f t="array" ref="G229">IFERROR(INDEX(#REF!,MATCH('S-BOM'!$C229,RM!$C$4:$C1003,0)),"")</f>
        <v/>
      </c>
      <c r="H229" s="75" t="str">
        <f t="shared" si="1"/>
        <v/>
      </c>
      <c r="I229" s="76"/>
    </row>
    <row r="230" spans="1:9" ht="15.75" customHeight="1">
      <c r="A230" s="69">
        <f t="shared" si="0"/>
        <v>228</v>
      </c>
      <c r="B230" s="70" t="s">
        <v>1550</v>
      </c>
      <c r="C230" s="70" t="s">
        <v>1574</v>
      </c>
      <c r="D230" s="77">
        <v>2</v>
      </c>
      <c r="E230" s="73" t="str">
        <f>IF(B230="","",VLOOKUP(C230,RM!$C$4:$F1003,3,FALSE))</f>
        <v>ABM3-16.000MHZ-B2-T</v>
      </c>
      <c r="F230" s="74">
        <f>IF(B230="","",IFERROR(SUMIFS(Issue!$D$3:$D1013,Issue!$C$3:$C1013,'S-BOM'!$B230)*'S-BOM'!$D230,""))</f>
        <v>0</v>
      </c>
      <c r="G230" s="75" t="str">
        <f t="array" ref="G230">IFERROR(INDEX(#REF!,MATCH('S-BOM'!$C230,RM!$C$4:$C1003,0)),"")</f>
        <v/>
      </c>
      <c r="H230" s="75" t="str">
        <f t="shared" si="1"/>
        <v/>
      </c>
      <c r="I230" s="76"/>
    </row>
    <row r="231" spans="1:9" ht="15.75" customHeight="1">
      <c r="A231" s="69">
        <f t="shared" si="0"/>
        <v>229</v>
      </c>
      <c r="B231" s="70" t="s">
        <v>1550</v>
      </c>
      <c r="C231" s="70" t="s">
        <v>1575</v>
      </c>
      <c r="D231" s="77">
        <v>1</v>
      </c>
      <c r="E231" s="73" t="e">
        <f>IF(B231="","",VLOOKUP(C231,RM!$C$4:$F1003,3,FALSE))</f>
        <v>#N/A</v>
      </c>
      <c r="F231" s="74">
        <f>IF(B231="","",IFERROR(SUMIFS(Issue!$D$3:$D1013,Issue!$C$3:$C1013,'S-BOM'!$B231)*'S-BOM'!$D231,""))</f>
        <v>0</v>
      </c>
      <c r="G231" s="75" t="str">
        <f t="array" ref="G231">IFERROR(INDEX(#REF!,MATCH('S-BOM'!$C231,RM!$C$4:$C1003,0)),"")</f>
        <v/>
      </c>
      <c r="H231" s="75" t="str">
        <f t="shared" si="1"/>
        <v/>
      </c>
      <c r="I231" s="76"/>
    </row>
    <row r="232" spans="1:9" ht="15.75" customHeight="1">
      <c r="A232" s="69">
        <f t="shared" si="0"/>
        <v>230</v>
      </c>
      <c r="B232" s="70" t="s">
        <v>1550</v>
      </c>
      <c r="C232" s="70" t="s">
        <v>436</v>
      </c>
      <c r="D232" s="77">
        <v>6</v>
      </c>
      <c r="E232" s="73" t="str">
        <f>IF(B232="","",VLOOKUP(C232,RM!$C$4:$F1003,3,FALSE))</f>
        <v>AQW282SX</v>
      </c>
      <c r="F232" s="74">
        <f>IF(B232="","",IFERROR(SUMIFS(Issue!$D$3:$D1013,Issue!$C$3:$C1013,'S-BOM'!$B232)*'S-BOM'!$D232,""))</f>
        <v>0</v>
      </c>
      <c r="G232" s="75" t="str">
        <f t="array" ref="G232">IFERROR(INDEX(#REF!,MATCH('S-BOM'!$C232,RM!$C$4:$C1003,0)),"")</f>
        <v/>
      </c>
      <c r="H232" s="75" t="str">
        <f t="shared" si="1"/>
        <v/>
      </c>
      <c r="I232" s="76"/>
    </row>
    <row r="233" spans="1:9" ht="15.75" customHeight="1">
      <c r="A233" s="69">
        <f t="shared" si="0"/>
        <v>231</v>
      </c>
      <c r="B233" s="70" t="s">
        <v>1550</v>
      </c>
      <c r="C233" s="70" t="s">
        <v>1576</v>
      </c>
      <c r="D233" s="77">
        <v>2</v>
      </c>
      <c r="E233" s="73" t="e">
        <f>IF(B233="","",VLOOKUP(C233,RM!$C$4:$F1003,3,FALSE))</f>
        <v>#N/A</v>
      </c>
      <c r="F233" s="74">
        <f>IF(B233="","",IFERROR(SUMIFS(Issue!$D$3:$D1013,Issue!$C$3:$C1013,'S-BOM'!$B233)*'S-BOM'!$D233,""))</f>
        <v>0</v>
      </c>
      <c r="G233" s="75" t="str">
        <f t="array" ref="G233">IFERROR(INDEX(#REF!,MATCH('S-BOM'!$C233,RM!$C$4:$C1003,0)),"")</f>
        <v/>
      </c>
      <c r="H233" s="75" t="str">
        <f t="shared" si="1"/>
        <v/>
      </c>
      <c r="I233" s="76"/>
    </row>
    <row r="234" spans="1:9" ht="15.75" customHeight="1">
      <c r="A234" s="69">
        <f t="shared" si="0"/>
        <v>232</v>
      </c>
      <c r="B234" s="70" t="s">
        <v>1550</v>
      </c>
      <c r="C234" s="70" t="s">
        <v>1577</v>
      </c>
      <c r="D234" s="77">
        <v>1</v>
      </c>
      <c r="E234" s="73" t="e">
        <f>IF(B234="","",VLOOKUP(C234,RM!$C$4:$F1003,3,FALSE))</f>
        <v>#N/A</v>
      </c>
      <c r="F234" s="74">
        <f>IF(B234="","",IFERROR(SUMIFS(Issue!$D$3:$D1013,Issue!$C$3:$C1013,'S-BOM'!$B234)*'S-BOM'!$D234,""))</f>
        <v>0</v>
      </c>
      <c r="G234" s="75" t="str">
        <f t="array" ref="G234">IFERROR(INDEX(#REF!,MATCH('S-BOM'!$C234,RM!$C$4:$C1003,0)),"")</f>
        <v/>
      </c>
      <c r="H234" s="75" t="str">
        <f t="shared" si="1"/>
        <v/>
      </c>
      <c r="I234" s="76"/>
    </row>
    <row r="235" spans="1:9" ht="15.75" customHeight="1">
      <c r="A235" s="69">
        <f t="shared" si="0"/>
        <v>233</v>
      </c>
      <c r="B235" s="70" t="s">
        <v>1550</v>
      </c>
      <c r="C235" s="70" t="s">
        <v>1518</v>
      </c>
      <c r="D235" s="77">
        <v>0.2</v>
      </c>
      <c r="E235" s="73" t="e">
        <f>IF(B235="","",VLOOKUP(C235,RM!$C$4:$F1003,3,FALSE))</f>
        <v>#N/A</v>
      </c>
      <c r="F235" s="74">
        <f>IF(B235="","",IFERROR(SUMIFS(Issue!$D$3:$D1013,Issue!$C$3:$C1013,'S-BOM'!$B235)*'S-BOM'!$D235,""))</f>
        <v>0</v>
      </c>
      <c r="G235" s="75" t="str">
        <f t="array" ref="G235">IFERROR(INDEX(#REF!,MATCH('S-BOM'!$C235,RM!$C$4:$C1003,0)),"")</f>
        <v/>
      </c>
      <c r="H235" s="75" t="str">
        <f t="shared" si="1"/>
        <v/>
      </c>
      <c r="I235" s="76"/>
    </row>
    <row r="236" spans="1:9" ht="15.75" customHeight="1">
      <c r="A236" s="69">
        <f t="shared" si="0"/>
        <v>234</v>
      </c>
      <c r="B236" s="70" t="s">
        <v>1550</v>
      </c>
      <c r="C236" s="70" t="s">
        <v>1475</v>
      </c>
      <c r="D236" s="77">
        <v>0.1</v>
      </c>
      <c r="E236" s="73" t="e">
        <f>IF(B236="","",VLOOKUP(C236,RM!$C$4:$F1003,3,FALSE))</f>
        <v>#N/A</v>
      </c>
      <c r="F236" s="74">
        <f>IF(B236="","",IFERROR(SUMIFS(Issue!$D$3:$D1013,Issue!$C$3:$C1013,'S-BOM'!$B236)*'S-BOM'!$D236,""))</f>
        <v>0</v>
      </c>
      <c r="G236" s="75" t="str">
        <f t="array" ref="G236">IFERROR(INDEX(#REF!,MATCH('S-BOM'!$C236,RM!$C$4:$C1003,0)),"")</f>
        <v/>
      </c>
      <c r="H236" s="75" t="str">
        <f t="shared" si="1"/>
        <v/>
      </c>
      <c r="I236" s="76"/>
    </row>
    <row r="237" spans="1:9" ht="15.75" customHeight="1">
      <c r="A237" s="69">
        <f t="shared" si="0"/>
        <v>235</v>
      </c>
      <c r="B237" s="70" t="s">
        <v>1550</v>
      </c>
      <c r="C237" s="70" t="s">
        <v>91</v>
      </c>
      <c r="D237" s="77">
        <v>0</v>
      </c>
      <c r="E237" s="73">
        <f>IF(B237="","",VLOOKUP(C237,RM!$C$4:$F1003,3,FALSE))</f>
        <v>15</v>
      </c>
      <c r="F237" s="74">
        <f>IF(B237="","",IFERROR(SUMIFS(Issue!$D$3:$D1013,Issue!$C$3:$C1013,'S-BOM'!$B237)*'S-BOM'!$D237,""))</f>
        <v>0</v>
      </c>
      <c r="G237" s="75" t="str">
        <f t="array" ref="G237">IFERROR(INDEX(#REF!,MATCH('S-BOM'!$C237,RM!$C$4:$C1003,0)),"")</f>
        <v/>
      </c>
      <c r="H237" s="75" t="str">
        <f t="shared" si="1"/>
        <v/>
      </c>
      <c r="I237" s="76"/>
    </row>
    <row r="238" spans="1:9" ht="15.75" customHeight="1">
      <c r="A238" s="69">
        <f t="shared" si="0"/>
        <v>236</v>
      </c>
      <c r="B238" s="70" t="s">
        <v>1550</v>
      </c>
      <c r="C238" s="70" t="s">
        <v>1541</v>
      </c>
      <c r="D238" s="77">
        <v>0</v>
      </c>
      <c r="E238" s="73" t="e">
        <f>IF(B238="","",VLOOKUP(C238,RM!$C$4:$F1003,3,FALSE))</f>
        <v>#N/A</v>
      </c>
      <c r="F238" s="74">
        <f>IF(B238="","",IFERROR(SUMIFS(Issue!$D$3:$D1013,Issue!$C$3:$C1013,'S-BOM'!$B238)*'S-BOM'!$D238,""))</f>
        <v>0</v>
      </c>
      <c r="G238" s="75" t="str">
        <f t="array" ref="G238">IFERROR(INDEX(#REF!,MATCH('S-BOM'!$C238,RM!$C$4:$C1003,0)),"")</f>
        <v/>
      </c>
      <c r="H238" s="75" t="str">
        <f t="shared" si="1"/>
        <v/>
      </c>
      <c r="I238" s="76"/>
    </row>
    <row r="239" spans="1:9" ht="15.75" customHeight="1">
      <c r="A239" s="69">
        <f t="shared" si="0"/>
        <v>237</v>
      </c>
      <c r="B239" s="70" t="s">
        <v>1550</v>
      </c>
      <c r="C239" s="70" t="s">
        <v>1578</v>
      </c>
      <c r="D239" s="77">
        <v>1</v>
      </c>
      <c r="E239" s="73" t="e">
        <f>IF(B239="","",VLOOKUP(C239,RM!$C$4:$F1003,3,FALSE))</f>
        <v>#N/A</v>
      </c>
      <c r="F239" s="74">
        <f>IF(B239="","",IFERROR(SUMIFS(Issue!$D$3:$D1013,Issue!$C$3:$C1013,'S-BOM'!$B239)*'S-BOM'!$D239,""))</f>
        <v>0</v>
      </c>
      <c r="G239" s="75" t="str">
        <f t="array" ref="G239">IFERROR(INDEX(#REF!,MATCH('S-BOM'!$C239,RM!$C$4:$C1003,0)),"")</f>
        <v/>
      </c>
      <c r="H239" s="75" t="str">
        <f t="shared" si="1"/>
        <v/>
      </c>
      <c r="I239" s="76"/>
    </row>
    <row r="240" spans="1:9" ht="15.75" customHeight="1">
      <c r="A240" s="69">
        <f t="shared" si="0"/>
        <v>238</v>
      </c>
      <c r="B240" s="70" t="s">
        <v>1579</v>
      </c>
      <c r="C240" s="70" t="s">
        <v>1580</v>
      </c>
      <c r="D240" s="77">
        <v>1</v>
      </c>
      <c r="E240" s="73" t="e">
        <f>IF(B240="","",VLOOKUP(C240,RM!$C$4:$F1003,3,FALSE))</f>
        <v>#N/A</v>
      </c>
      <c r="F240" s="74">
        <f>IF(B240="","",IFERROR(SUMIFS(Issue!$D$3:$D1013,Issue!$C$3:$C1013,'S-BOM'!$B240)*'S-BOM'!$D240,""))</f>
        <v>0</v>
      </c>
      <c r="G240" s="75" t="str">
        <f t="array" ref="G240">IFERROR(INDEX(#REF!,MATCH('S-BOM'!$C240,RM!$C$4:$C1003,0)),"")</f>
        <v/>
      </c>
      <c r="H240" s="75" t="str">
        <f t="shared" si="1"/>
        <v/>
      </c>
      <c r="I240" s="76"/>
    </row>
    <row r="241" spans="1:9" ht="15.75" customHeight="1">
      <c r="A241" s="69">
        <f t="shared" si="0"/>
        <v>239</v>
      </c>
      <c r="B241" s="70" t="s">
        <v>1579</v>
      </c>
      <c r="C241" s="70" t="s">
        <v>656</v>
      </c>
      <c r="D241" s="77">
        <v>1</v>
      </c>
      <c r="E241" s="73">
        <f>IF(B241="","",VLOOKUP(C241,RM!$C$4:$F1003,3,FALSE))</f>
        <v>0</v>
      </c>
      <c r="F241" s="74">
        <f>IF(B241="","",IFERROR(SUMIFS(Issue!$D$3:$D1013,Issue!$C$3:$C1013,'S-BOM'!$B241)*'S-BOM'!$D241,""))</f>
        <v>0</v>
      </c>
      <c r="G241" s="75" t="str">
        <f t="array" ref="G241">IFERROR(INDEX(#REF!,MATCH('S-BOM'!$C241,RM!$C$4:$C1003,0)),"")</f>
        <v/>
      </c>
      <c r="H241" s="75" t="str">
        <f t="shared" si="1"/>
        <v/>
      </c>
      <c r="I241" s="76"/>
    </row>
    <row r="242" spans="1:9" ht="15.75" customHeight="1">
      <c r="A242" s="69">
        <f t="shared" si="0"/>
        <v>240</v>
      </c>
      <c r="B242" s="70" t="s">
        <v>1579</v>
      </c>
      <c r="C242" s="70" t="s">
        <v>1507</v>
      </c>
      <c r="D242" s="77">
        <v>1</v>
      </c>
      <c r="E242" s="73" t="e">
        <f>IF(B242="","",VLOOKUP(C242,RM!$C$4:$F1003,3,FALSE))</f>
        <v>#N/A</v>
      </c>
      <c r="F242" s="74">
        <f>IF(B242="","",IFERROR(SUMIFS(Issue!$D$3:$D1013,Issue!$C$3:$C1013,'S-BOM'!$B242)*'S-BOM'!$D242,""))</f>
        <v>0</v>
      </c>
      <c r="G242" s="75" t="str">
        <f t="array" ref="G242">IFERROR(INDEX(#REF!,MATCH('S-BOM'!$C242,RM!$C$4:$C1003,0)),"")</f>
        <v/>
      </c>
      <c r="H242" s="75" t="str">
        <f t="shared" si="1"/>
        <v/>
      </c>
      <c r="I242" s="76"/>
    </row>
    <row r="243" spans="1:9" ht="15.75" customHeight="1">
      <c r="A243" s="69">
        <f t="shared" si="0"/>
        <v>241</v>
      </c>
      <c r="B243" s="70" t="s">
        <v>1579</v>
      </c>
      <c r="C243" s="70" t="s">
        <v>1581</v>
      </c>
      <c r="D243" s="77">
        <v>1</v>
      </c>
      <c r="E243" s="73" t="e">
        <f>IF(B243="","",VLOOKUP(C243,RM!$C$4:$F1003,3,FALSE))</f>
        <v>#N/A</v>
      </c>
      <c r="F243" s="74">
        <f>IF(B243="","",IFERROR(SUMIFS(Issue!$D$3:$D1013,Issue!$C$3:$C1013,'S-BOM'!$B243)*'S-BOM'!$D243,""))</f>
        <v>0</v>
      </c>
      <c r="G243" s="75" t="str">
        <f t="array" ref="G243">IFERROR(INDEX(#REF!,MATCH('S-BOM'!$C243,RM!$C$4:$C1003,0)),"")</f>
        <v/>
      </c>
      <c r="H243" s="75" t="str">
        <f t="shared" si="1"/>
        <v/>
      </c>
      <c r="I243" s="76"/>
    </row>
    <row r="244" spans="1:9" ht="15.75" customHeight="1">
      <c r="A244" s="69">
        <f t="shared" si="0"/>
        <v>242</v>
      </c>
      <c r="B244" s="70" t="s">
        <v>1579</v>
      </c>
      <c r="C244" s="70" t="s">
        <v>1582</v>
      </c>
      <c r="D244" s="77">
        <v>5</v>
      </c>
      <c r="E244" s="73" t="e">
        <f>IF(B244="","",VLOOKUP(C244,RM!$C$4:$F1003,3,FALSE))</f>
        <v>#N/A</v>
      </c>
      <c r="F244" s="74">
        <f>IF(B244="","",IFERROR(SUMIFS(Issue!$D$3:$D1013,Issue!$C$3:$C1013,'S-BOM'!$B244)*'S-BOM'!$D244,""))</f>
        <v>0</v>
      </c>
      <c r="G244" s="75" t="str">
        <f t="array" ref="G244">IFERROR(INDEX(#REF!,MATCH('S-BOM'!$C244,RM!$C$4:$C1003,0)),"")</f>
        <v/>
      </c>
      <c r="H244" s="75" t="str">
        <f t="shared" si="1"/>
        <v/>
      </c>
      <c r="I244" s="76"/>
    </row>
    <row r="245" spans="1:9" ht="15.75" customHeight="1">
      <c r="A245" s="69">
        <f t="shared" si="0"/>
        <v>243</v>
      </c>
      <c r="B245" s="70" t="s">
        <v>1579</v>
      </c>
      <c r="C245" s="70" t="s">
        <v>1536</v>
      </c>
      <c r="D245" s="77">
        <v>3</v>
      </c>
      <c r="E245" s="73" t="e">
        <f>IF(B245="","",VLOOKUP(C245,RM!$C$4:$F1003,3,FALSE))</f>
        <v>#N/A</v>
      </c>
      <c r="F245" s="74">
        <f>IF(B245="","",IFERROR(SUMIFS(Issue!$D$3:$D1013,Issue!$C$3:$C1013,'S-BOM'!$B245)*'S-BOM'!$D245,""))</f>
        <v>0</v>
      </c>
      <c r="G245" s="75" t="str">
        <f t="array" ref="G245">IFERROR(INDEX(#REF!,MATCH('S-BOM'!$C245,RM!$C$4:$C1003,0)),"")</f>
        <v/>
      </c>
      <c r="H245" s="75" t="str">
        <f t="shared" si="1"/>
        <v/>
      </c>
      <c r="I245" s="76"/>
    </row>
    <row r="246" spans="1:9" ht="15.75" customHeight="1">
      <c r="A246" s="69">
        <f t="shared" si="0"/>
        <v>244</v>
      </c>
      <c r="B246" s="70" t="s">
        <v>1579</v>
      </c>
      <c r="C246" s="70" t="s">
        <v>1583</v>
      </c>
      <c r="D246" s="77">
        <v>1</v>
      </c>
      <c r="E246" s="73" t="e">
        <f>IF(B246="","",VLOOKUP(C246,RM!$C$4:$F1003,3,FALSE))</f>
        <v>#N/A</v>
      </c>
      <c r="F246" s="74">
        <f>IF(B246="","",IFERROR(SUMIFS(Issue!$D$3:$D1013,Issue!$C$3:$C1013,'S-BOM'!$B246)*'S-BOM'!$D246,""))</f>
        <v>0</v>
      </c>
      <c r="G246" s="75" t="str">
        <f t="array" ref="G246">IFERROR(INDEX(#REF!,MATCH('S-BOM'!$C246,RM!$C$4:$C1003,0)),"")</f>
        <v/>
      </c>
      <c r="H246" s="75" t="str">
        <f t="shared" si="1"/>
        <v/>
      </c>
      <c r="I246" s="76"/>
    </row>
    <row r="247" spans="1:9" ht="15.75" customHeight="1">
      <c r="A247" s="69">
        <f t="shared" si="0"/>
        <v>245</v>
      </c>
      <c r="B247" s="70" t="s">
        <v>1579</v>
      </c>
      <c r="C247" s="70" t="s">
        <v>1584</v>
      </c>
      <c r="D247" s="77">
        <v>1</v>
      </c>
      <c r="E247" s="73" t="e">
        <f>IF(B247="","",VLOOKUP(C247,RM!$C$4:$F1003,3,FALSE))</f>
        <v>#N/A</v>
      </c>
      <c r="F247" s="74">
        <f>IF(B247="","",IFERROR(SUMIFS(Issue!$D$3:$D1013,Issue!$C$3:$C1013,'S-BOM'!$B247)*'S-BOM'!$D247,""))</f>
        <v>0</v>
      </c>
      <c r="G247" s="75" t="str">
        <f t="array" ref="G247">IFERROR(INDEX(#REF!,MATCH('S-BOM'!$C247,RM!$C$4:$C1003,0)),"")</f>
        <v/>
      </c>
      <c r="H247" s="75" t="str">
        <f t="shared" si="1"/>
        <v/>
      </c>
      <c r="I247" s="76"/>
    </row>
    <row r="248" spans="1:9" ht="15.75" customHeight="1">
      <c r="A248" s="69">
        <f t="shared" si="0"/>
        <v>246</v>
      </c>
      <c r="B248" s="70" t="s">
        <v>1579</v>
      </c>
      <c r="C248" s="70" t="s">
        <v>1458</v>
      </c>
      <c r="D248" s="77">
        <v>10</v>
      </c>
      <c r="E248" s="73" t="e">
        <f>IF(B248="","",VLOOKUP(C248,RM!$C$4:$F1003,3,FALSE))</f>
        <v>#N/A</v>
      </c>
      <c r="F248" s="74">
        <f>IF(B248="","",IFERROR(SUMIFS(Issue!$D$3:$D1013,Issue!$C$3:$C1013,'S-BOM'!$B248)*'S-BOM'!$D248,""))</f>
        <v>0</v>
      </c>
      <c r="G248" s="75" t="str">
        <f t="array" ref="G248">IFERROR(INDEX(#REF!,MATCH('S-BOM'!$C248,RM!$C$4:$C1003,0)),"")</f>
        <v/>
      </c>
      <c r="H248" s="75" t="str">
        <f t="shared" si="1"/>
        <v/>
      </c>
      <c r="I248" s="76"/>
    </row>
    <row r="249" spans="1:9" ht="15.75" customHeight="1">
      <c r="A249" s="69">
        <f t="shared" si="0"/>
        <v>247</v>
      </c>
      <c r="B249" s="70" t="s">
        <v>1579</v>
      </c>
      <c r="C249" s="70" t="s">
        <v>1585</v>
      </c>
      <c r="D249" s="77">
        <v>20</v>
      </c>
      <c r="E249" s="73" t="e">
        <f>IF(B249="","",VLOOKUP(C249,RM!$C$4:$F1003,3,FALSE))</f>
        <v>#N/A</v>
      </c>
      <c r="F249" s="74">
        <f>IF(B249="","",IFERROR(SUMIFS(Issue!$D$3:$D1013,Issue!$C$3:$C1013,'S-BOM'!$B249)*'S-BOM'!$D249,""))</f>
        <v>0</v>
      </c>
      <c r="G249" s="75" t="str">
        <f t="array" ref="G249">IFERROR(INDEX(#REF!,MATCH('S-BOM'!$C249,RM!$C$4:$C1003,0)),"")</f>
        <v/>
      </c>
      <c r="H249" s="75" t="str">
        <f t="shared" si="1"/>
        <v/>
      </c>
      <c r="I249" s="76"/>
    </row>
    <row r="250" spans="1:9" ht="15.75" customHeight="1">
      <c r="A250" s="69">
        <f t="shared" si="0"/>
        <v>248</v>
      </c>
      <c r="B250" s="70" t="s">
        <v>1579</v>
      </c>
      <c r="C250" s="70" t="s">
        <v>1586</v>
      </c>
      <c r="D250" s="77">
        <v>0</v>
      </c>
      <c r="E250" s="73" t="e">
        <f>IF(B250="","",VLOOKUP(C250,RM!$C$4:$F1003,3,FALSE))</f>
        <v>#N/A</v>
      </c>
      <c r="F250" s="74">
        <f>IF(B250="","",IFERROR(SUMIFS(Issue!$D$3:$D1013,Issue!$C$3:$C1013,'S-BOM'!$B250)*'S-BOM'!$D250,""))</f>
        <v>0</v>
      </c>
      <c r="G250" s="75" t="str">
        <f t="array" ref="G250">IFERROR(INDEX(#REF!,MATCH('S-BOM'!$C250,RM!$C$4:$C1003,0)),"")</f>
        <v/>
      </c>
      <c r="H250" s="75" t="str">
        <f t="shared" si="1"/>
        <v/>
      </c>
      <c r="I250" s="76"/>
    </row>
    <row r="251" spans="1:9" ht="15.75" customHeight="1">
      <c r="A251" s="69">
        <f t="shared" si="0"/>
        <v>249</v>
      </c>
      <c r="B251" s="70" t="s">
        <v>1579</v>
      </c>
      <c r="C251" s="70" t="s">
        <v>1455</v>
      </c>
      <c r="D251" s="77">
        <v>4</v>
      </c>
      <c r="E251" s="73" t="e">
        <f>IF(B251="","",VLOOKUP(C251,RM!$C$4:$F1003,3,FALSE))</f>
        <v>#N/A</v>
      </c>
      <c r="F251" s="74">
        <f>IF(B251="","",IFERROR(SUMIFS(Issue!$D$3:$D1013,Issue!$C$3:$C1013,'S-BOM'!$B251)*'S-BOM'!$D251,""))</f>
        <v>0</v>
      </c>
      <c r="G251" s="75" t="str">
        <f t="array" ref="G251">IFERROR(INDEX(#REF!,MATCH('S-BOM'!$C251,RM!$C$4:$C1003,0)),"")</f>
        <v/>
      </c>
      <c r="H251" s="75" t="str">
        <f t="shared" si="1"/>
        <v/>
      </c>
      <c r="I251" s="76"/>
    </row>
    <row r="252" spans="1:9" ht="15.75" customHeight="1">
      <c r="A252" s="69">
        <f t="shared" si="0"/>
        <v>250</v>
      </c>
      <c r="B252" s="70" t="s">
        <v>1579</v>
      </c>
      <c r="C252" s="70" t="s">
        <v>1479</v>
      </c>
      <c r="D252" s="77">
        <v>0</v>
      </c>
      <c r="E252" s="73" t="e">
        <f>IF(B252="","",VLOOKUP(C252,RM!$C$4:$F1003,3,FALSE))</f>
        <v>#N/A</v>
      </c>
      <c r="F252" s="74">
        <f>IF(B252="","",IFERROR(SUMIFS(Issue!$D$3:$D1013,Issue!$C$3:$C1013,'S-BOM'!$B252)*'S-BOM'!$D252,""))</f>
        <v>0</v>
      </c>
      <c r="G252" s="75" t="str">
        <f t="array" ref="G252">IFERROR(INDEX(#REF!,MATCH('S-BOM'!$C252,RM!$C$4:$C1003,0)),"")</f>
        <v/>
      </c>
      <c r="H252" s="75" t="str">
        <f t="shared" si="1"/>
        <v/>
      </c>
      <c r="I252" s="76"/>
    </row>
    <row r="253" spans="1:9" ht="15.75" customHeight="1">
      <c r="A253" s="69">
        <f t="shared" si="0"/>
        <v>251</v>
      </c>
      <c r="B253" s="70" t="s">
        <v>1579</v>
      </c>
      <c r="C253" s="70" t="s">
        <v>1498</v>
      </c>
      <c r="D253" s="77">
        <v>0</v>
      </c>
      <c r="E253" s="73" t="e">
        <f>IF(B253="","",VLOOKUP(C253,RM!$C$4:$F1003,3,FALSE))</f>
        <v>#N/A</v>
      </c>
      <c r="F253" s="74">
        <f>IF(B253="","",IFERROR(SUMIFS(Issue!$D$3:$D1013,Issue!$C$3:$C1013,'S-BOM'!$B253)*'S-BOM'!$D253,""))</f>
        <v>0</v>
      </c>
      <c r="G253" s="75" t="str">
        <f t="array" ref="G253">IFERROR(INDEX(#REF!,MATCH('S-BOM'!$C253,RM!$C$4:$C1003,0)),"")</f>
        <v/>
      </c>
      <c r="H253" s="75" t="str">
        <f t="shared" si="1"/>
        <v/>
      </c>
      <c r="I253" s="76"/>
    </row>
    <row r="254" spans="1:9" ht="15.75" customHeight="1">
      <c r="A254" s="69">
        <f t="shared" si="0"/>
        <v>252</v>
      </c>
      <c r="B254" s="70" t="s">
        <v>1579</v>
      </c>
      <c r="C254" s="70" t="s">
        <v>91</v>
      </c>
      <c r="D254" s="77">
        <v>0</v>
      </c>
      <c r="E254" s="73">
        <f>IF(B254="","",VLOOKUP(C254,RM!$C$4:$F1003,3,FALSE))</f>
        <v>15</v>
      </c>
      <c r="F254" s="74">
        <f>IF(B254="","",IFERROR(SUMIFS(Issue!$D$3:$D1013,Issue!$C$3:$C1013,'S-BOM'!$B254)*'S-BOM'!$D254,""))</f>
        <v>0</v>
      </c>
      <c r="G254" s="75" t="str">
        <f t="array" ref="G254">IFERROR(INDEX(#REF!,MATCH('S-BOM'!$C254,RM!$C$4:$C1003,0)),"")</f>
        <v/>
      </c>
      <c r="H254" s="75" t="str">
        <f t="shared" si="1"/>
        <v/>
      </c>
      <c r="I254" s="76"/>
    </row>
    <row r="255" spans="1:9" ht="15.75" customHeight="1">
      <c r="A255" s="69">
        <f t="shared" si="0"/>
        <v>253</v>
      </c>
      <c r="B255" s="70" t="s">
        <v>1579</v>
      </c>
      <c r="C255" s="70" t="s">
        <v>1550</v>
      </c>
      <c r="D255" s="77">
        <v>0</v>
      </c>
      <c r="E255" s="73" t="e">
        <f>IF(B255="","",VLOOKUP(C255,RM!$C$4:$F1003,3,FALSE))</f>
        <v>#N/A</v>
      </c>
      <c r="F255" s="74">
        <f>IF(B255="","",IFERROR(SUMIFS(Issue!$D$3:$D1013,Issue!$C$3:$C1013,'S-BOM'!$B255)*'S-BOM'!$D255,""))</f>
        <v>0</v>
      </c>
      <c r="G255" s="75" t="str">
        <f t="array" ref="G255">IFERROR(INDEX(#REF!,MATCH('S-BOM'!$C255,RM!$C$4:$C1003,0)),"")</f>
        <v/>
      </c>
      <c r="H255" s="75" t="str">
        <f t="shared" si="1"/>
        <v/>
      </c>
      <c r="I255" s="76"/>
    </row>
    <row r="256" spans="1:9" ht="15.75" customHeight="1">
      <c r="A256" s="69">
        <f t="shared" si="0"/>
        <v>254</v>
      </c>
      <c r="B256" s="70" t="s">
        <v>1587</v>
      </c>
      <c r="C256" s="70" t="s">
        <v>1501</v>
      </c>
      <c r="D256" s="77">
        <v>2</v>
      </c>
      <c r="E256" s="73" t="e">
        <f>IF(B256="","",VLOOKUP(C256,RM!$C$4:$F1003,3,FALSE))</f>
        <v>#N/A</v>
      </c>
      <c r="F256" s="74">
        <f>IF(B256="","",IFERROR(SUMIFS(Issue!$D$3:$D1013,Issue!$C$3:$C1013,'S-BOM'!$B256)*'S-BOM'!$D256,""))</f>
        <v>0</v>
      </c>
      <c r="G256" s="75" t="str">
        <f t="array" ref="G256">IFERROR(INDEX(#REF!,MATCH('S-BOM'!$C256,RM!$C$4:$C1003,0)),"")</f>
        <v/>
      </c>
      <c r="H256" s="75" t="str">
        <f t="shared" si="1"/>
        <v/>
      </c>
      <c r="I256" s="76"/>
    </row>
    <row r="257" spans="1:9" ht="15.75" customHeight="1">
      <c r="A257" s="69">
        <f t="shared" si="0"/>
        <v>255</v>
      </c>
      <c r="B257" s="70" t="s">
        <v>1587</v>
      </c>
      <c r="C257" s="70" t="s">
        <v>1588</v>
      </c>
      <c r="D257" s="77">
        <v>1</v>
      </c>
      <c r="E257" s="73" t="e">
        <f>IF(B257="","",VLOOKUP(C257,RM!$C$4:$F1003,3,FALSE))</f>
        <v>#N/A</v>
      </c>
      <c r="F257" s="74">
        <f>IF(B257="","",IFERROR(SUMIFS(Issue!$D$3:$D1013,Issue!$C$3:$C1013,'S-BOM'!$B257)*'S-BOM'!$D257,""))</f>
        <v>0</v>
      </c>
      <c r="G257" s="75" t="str">
        <f t="array" ref="G257">IFERROR(INDEX(#REF!,MATCH('S-BOM'!$C257,RM!$C$4:$C1003,0)),"")</f>
        <v/>
      </c>
      <c r="H257" s="75" t="str">
        <f t="shared" si="1"/>
        <v/>
      </c>
      <c r="I257" s="76"/>
    </row>
    <row r="258" spans="1:9" ht="15.75" customHeight="1">
      <c r="A258" s="69">
        <f t="shared" ref="A258:A512" si="2">IF(B258="","",ROW()-2)</f>
        <v>256</v>
      </c>
      <c r="B258" s="70" t="s">
        <v>1587</v>
      </c>
      <c r="C258" s="70" t="s">
        <v>1505</v>
      </c>
      <c r="D258" s="77">
        <v>0.55000000000000004</v>
      </c>
      <c r="E258" s="73">
        <f>IF(B258="","",VLOOKUP(C258,RM!$C$4:$F1003,3,FALSE))</f>
        <v>0</v>
      </c>
      <c r="F258" s="74">
        <f>IF(B258="","",IFERROR(SUMIFS(Issue!$D$3:$D1013,Issue!$C$3:$C1013,'S-BOM'!$B258)*'S-BOM'!$D258,""))</f>
        <v>0</v>
      </c>
      <c r="G258" s="75" t="str">
        <f t="array" ref="G258">IFERROR(INDEX(#REF!,MATCH('S-BOM'!$C258,RM!$C$4:$C1003,0)),"")</f>
        <v/>
      </c>
      <c r="H258" s="75" t="str">
        <f t="shared" ref="H258:H512" si="3">IFERROR(IF(ROUNDDOWN(G258/D258,0)&lt;=0,0,ROUNDDOWN(G258/D258,0)),"")</f>
        <v/>
      </c>
      <c r="I258" s="76"/>
    </row>
    <row r="259" spans="1:9" ht="15.75" customHeight="1">
      <c r="A259" s="69">
        <f t="shared" si="2"/>
        <v>257</v>
      </c>
      <c r="B259" s="70" t="s">
        <v>1587</v>
      </c>
      <c r="C259" s="70" t="s">
        <v>599</v>
      </c>
      <c r="D259" s="77">
        <v>0.35</v>
      </c>
      <c r="E259" s="73">
        <f>IF(B259="","",VLOOKUP(C259,RM!$C$4:$F1003,3,FALSE))</f>
        <v>0</v>
      </c>
      <c r="F259" s="74">
        <f>IF(B259="","",IFERROR(SUMIFS(Issue!$D$3:$D1013,Issue!$C$3:$C1013,'S-BOM'!$B259)*'S-BOM'!$D259,""))</f>
        <v>0</v>
      </c>
      <c r="G259" s="75" t="str">
        <f t="array" ref="G259">IFERROR(INDEX(#REF!,MATCH('S-BOM'!$C259,RM!$C$4:$C1003,0)),"")</f>
        <v/>
      </c>
      <c r="H259" s="75" t="str">
        <f t="shared" si="3"/>
        <v/>
      </c>
      <c r="I259" s="76"/>
    </row>
    <row r="260" spans="1:9" ht="15.75" customHeight="1">
      <c r="A260" s="69">
        <f t="shared" si="2"/>
        <v>258</v>
      </c>
      <c r="B260" s="70" t="s">
        <v>1587</v>
      </c>
      <c r="C260" s="70" t="s">
        <v>1589</v>
      </c>
      <c r="D260" s="77">
        <v>4</v>
      </c>
      <c r="E260" s="73" t="e">
        <f>IF(B260="","",VLOOKUP(C260,RM!$C$4:$F1003,3,FALSE))</f>
        <v>#N/A</v>
      </c>
      <c r="F260" s="74">
        <f>IF(B260="","",IFERROR(SUMIFS(Issue!$D$3:$D1013,Issue!$C$3:$C1013,'S-BOM'!$B260)*'S-BOM'!$D260,""))</f>
        <v>0</v>
      </c>
      <c r="G260" s="75" t="str">
        <f t="array" ref="G260">IFERROR(INDEX(#REF!,MATCH('S-BOM'!$C260,RM!$C$4:$C1003,0)),"")</f>
        <v/>
      </c>
      <c r="H260" s="75" t="str">
        <f t="shared" si="3"/>
        <v/>
      </c>
      <c r="I260" s="76"/>
    </row>
    <row r="261" spans="1:9" ht="15.75" customHeight="1">
      <c r="A261" s="69">
        <f t="shared" si="2"/>
        <v>259</v>
      </c>
      <c r="B261" s="70" t="s">
        <v>1590</v>
      </c>
      <c r="C261" s="70" t="s">
        <v>1501</v>
      </c>
      <c r="D261" s="77">
        <v>1</v>
      </c>
      <c r="E261" s="73" t="e">
        <f>IF(B261="","",VLOOKUP(C261,RM!$C$4:$F1003,3,FALSE))</f>
        <v>#N/A</v>
      </c>
      <c r="F261" s="74">
        <f>IF(B261="","",IFERROR(SUMIFS(Issue!$D$3:$D1013,Issue!$C$3:$C1013,'S-BOM'!$B261)*'S-BOM'!$D261,""))</f>
        <v>0</v>
      </c>
      <c r="G261" s="75" t="str">
        <f t="array" ref="G261">IFERROR(INDEX(#REF!,MATCH('S-BOM'!$C261,RM!$C$4:$C1003,0)),"")</f>
        <v/>
      </c>
      <c r="H261" s="75" t="str">
        <f t="shared" si="3"/>
        <v/>
      </c>
      <c r="I261" s="76"/>
    </row>
    <row r="262" spans="1:9" ht="15.75" customHeight="1">
      <c r="A262" s="69">
        <f t="shared" si="2"/>
        <v>260</v>
      </c>
      <c r="B262" s="70" t="s">
        <v>1590</v>
      </c>
      <c r="C262" s="70" t="s">
        <v>1502</v>
      </c>
      <c r="D262" s="77">
        <v>1</v>
      </c>
      <c r="E262" s="73" t="e">
        <f>IF(B262="","",VLOOKUP(C262,RM!$C$4:$F1003,3,FALSE))</f>
        <v>#N/A</v>
      </c>
      <c r="F262" s="74">
        <f>IF(B262="","",IFERROR(SUMIFS(Issue!$D$3:$D1013,Issue!$C$3:$C1013,'S-BOM'!$B262)*'S-BOM'!$D262,""))</f>
        <v>0</v>
      </c>
      <c r="G262" s="75" t="str">
        <f t="array" ref="G262">IFERROR(INDEX(#REF!,MATCH('S-BOM'!$C262,RM!$C$4:$C1003,0)),"")</f>
        <v/>
      </c>
      <c r="H262" s="75" t="str">
        <f t="shared" si="3"/>
        <v/>
      </c>
      <c r="I262" s="76"/>
    </row>
    <row r="263" spans="1:9" ht="15.75" customHeight="1">
      <c r="A263" s="69">
        <f t="shared" si="2"/>
        <v>261</v>
      </c>
      <c r="B263" s="70" t="s">
        <v>1590</v>
      </c>
      <c r="C263" s="70" t="s">
        <v>1591</v>
      </c>
      <c r="D263" s="77">
        <v>1</v>
      </c>
      <c r="E263" s="73" t="e">
        <f>IF(B263="","",VLOOKUP(C263,RM!$C$4:$F1003,3,FALSE))</f>
        <v>#N/A</v>
      </c>
      <c r="F263" s="74">
        <f>IF(B263="","",IFERROR(SUMIFS(Issue!$D$3:$D1013,Issue!$C$3:$C1013,'S-BOM'!$B263)*'S-BOM'!$D263,""))</f>
        <v>0</v>
      </c>
      <c r="G263" s="75" t="str">
        <f t="array" ref="G263">IFERROR(INDEX(#REF!,MATCH('S-BOM'!$C263,RM!$C$4:$C1003,0)),"")</f>
        <v/>
      </c>
      <c r="H263" s="75" t="str">
        <f t="shared" si="3"/>
        <v/>
      </c>
      <c r="I263" s="76"/>
    </row>
    <row r="264" spans="1:9" ht="15.75" customHeight="1">
      <c r="A264" s="69">
        <f t="shared" si="2"/>
        <v>262</v>
      </c>
      <c r="B264" s="70" t="s">
        <v>1590</v>
      </c>
      <c r="C264" s="70" t="s">
        <v>1505</v>
      </c>
      <c r="D264" s="77">
        <v>0.35</v>
      </c>
      <c r="E264" s="73">
        <f>IF(B264="","",VLOOKUP(C264,RM!$C$4:$F1003,3,FALSE))</f>
        <v>0</v>
      </c>
      <c r="F264" s="74">
        <f>IF(B264="","",IFERROR(SUMIFS(Issue!$D$3:$D1013,Issue!$C$3:$C1013,'S-BOM'!$B264)*'S-BOM'!$D264,""))</f>
        <v>0</v>
      </c>
      <c r="G264" s="75" t="str">
        <f t="array" ref="G264">IFERROR(INDEX(#REF!,MATCH('S-BOM'!$C264,RM!$C$4:$C1003,0)),"")</f>
        <v/>
      </c>
      <c r="H264" s="75" t="str">
        <f t="shared" si="3"/>
        <v/>
      </c>
      <c r="I264" s="76"/>
    </row>
    <row r="265" spans="1:9" ht="15.75" customHeight="1">
      <c r="A265" s="69">
        <f t="shared" si="2"/>
        <v>263</v>
      </c>
      <c r="B265" s="70" t="s">
        <v>1590</v>
      </c>
      <c r="C265" s="70" t="s">
        <v>599</v>
      </c>
      <c r="D265" s="77">
        <v>0.55000000000000004</v>
      </c>
      <c r="E265" s="73">
        <f>IF(B265="","",VLOOKUP(C265,RM!$C$4:$F1003,3,FALSE))</f>
        <v>0</v>
      </c>
      <c r="F265" s="74">
        <f>IF(B265="","",IFERROR(SUMIFS(Issue!$D$3:$D1013,Issue!$C$3:$C1013,'S-BOM'!$B265)*'S-BOM'!$D265,""))</f>
        <v>0</v>
      </c>
      <c r="G265" s="75" t="str">
        <f t="array" ref="G265">IFERROR(INDEX(#REF!,MATCH('S-BOM'!$C265,RM!$C$4:$C1003,0)),"")</f>
        <v/>
      </c>
      <c r="H265" s="75" t="str">
        <f t="shared" si="3"/>
        <v/>
      </c>
      <c r="I265" s="76"/>
    </row>
    <row r="266" spans="1:9" ht="15.75" customHeight="1">
      <c r="A266" s="69">
        <f t="shared" si="2"/>
        <v>264</v>
      </c>
      <c r="B266" s="70" t="s">
        <v>1590</v>
      </c>
      <c r="C266" s="70" t="s">
        <v>1592</v>
      </c>
      <c r="D266" s="77">
        <v>6</v>
      </c>
      <c r="E266" s="73" t="e">
        <f>IF(B266="","",VLOOKUP(C266,RM!$C$4:$F1003,3,FALSE))</f>
        <v>#N/A</v>
      </c>
      <c r="F266" s="74">
        <f>IF(B266="","",IFERROR(SUMIFS(Issue!$D$3:$D1013,Issue!$C$3:$C1013,'S-BOM'!$B266)*'S-BOM'!$D266,""))</f>
        <v>0</v>
      </c>
      <c r="G266" s="75" t="str">
        <f t="array" ref="G266">IFERROR(INDEX(#REF!,MATCH('S-BOM'!$C266,RM!$C$4:$C1003,0)),"")</f>
        <v/>
      </c>
      <c r="H266" s="75" t="str">
        <f t="shared" si="3"/>
        <v/>
      </c>
      <c r="I266" s="76"/>
    </row>
    <row r="267" spans="1:9" ht="15.75" customHeight="1">
      <c r="A267" s="69">
        <f t="shared" si="2"/>
        <v>265</v>
      </c>
      <c r="B267" s="70" t="s">
        <v>1593</v>
      </c>
      <c r="C267" s="70" t="s">
        <v>1594</v>
      </c>
      <c r="D267" s="77">
        <v>6</v>
      </c>
      <c r="E267" s="73" t="e">
        <f>IF(B267="","",VLOOKUP(C267,RM!$C$4:$F1003,3,FALSE))</f>
        <v>#N/A</v>
      </c>
      <c r="F267" s="74">
        <f>IF(B267="","",IFERROR(SUMIFS(Issue!$D$3:$D1013,Issue!$C$3:$C1013,'S-BOM'!$B267)*'S-BOM'!$D267,""))</f>
        <v>0</v>
      </c>
      <c r="G267" s="75" t="str">
        <f t="array" ref="G267">IFERROR(INDEX(#REF!,MATCH('S-BOM'!$C267,RM!$C$4:$C1003,0)),"")</f>
        <v/>
      </c>
      <c r="H267" s="75" t="str">
        <f t="shared" si="3"/>
        <v/>
      </c>
      <c r="I267" s="76"/>
    </row>
    <row r="268" spans="1:9" ht="15.75" customHeight="1">
      <c r="A268" s="69">
        <f t="shared" si="2"/>
        <v>266</v>
      </c>
      <c r="B268" s="70" t="s">
        <v>1593</v>
      </c>
      <c r="C268" s="70" t="s">
        <v>1595</v>
      </c>
      <c r="D268" s="77">
        <v>1</v>
      </c>
      <c r="E268" s="73" t="e">
        <f>IF(B268="","",VLOOKUP(C268,RM!$C$4:$F1003,3,FALSE))</f>
        <v>#N/A</v>
      </c>
      <c r="F268" s="74">
        <f>IF(B268="","",IFERROR(SUMIFS(Issue!$D$3:$D1013,Issue!$C$3:$C1013,'S-BOM'!$B268)*'S-BOM'!$D268,""))</f>
        <v>0</v>
      </c>
      <c r="G268" s="75" t="str">
        <f t="array" ref="G268">IFERROR(INDEX(#REF!,MATCH('S-BOM'!$C268,RM!$C$4:$C1003,0)),"")</f>
        <v/>
      </c>
      <c r="H268" s="75" t="str">
        <f t="shared" si="3"/>
        <v/>
      </c>
      <c r="I268" s="76"/>
    </row>
    <row r="269" spans="1:9" ht="15.75" customHeight="1">
      <c r="A269" s="69">
        <f t="shared" si="2"/>
        <v>267</v>
      </c>
      <c r="B269" s="70" t="s">
        <v>1593</v>
      </c>
      <c r="C269" s="70" t="s">
        <v>1596</v>
      </c>
      <c r="D269" s="77">
        <v>1</v>
      </c>
      <c r="E269" s="73" t="e">
        <f>IF(B269="","",VLOOKUP(C269,RM!$C$4:$F1003,3,FALSE))</f>
        <v>#N/A</v>
      </c>
      <c r="F269" s="74">
        <f>IF(B269="","",IFERROR(SUMIFS(Issue!$D$3:$D1013,Issue!$C$3:$C1013,'S-BOM'!$B269)*'S-BOM'!$D269,""))</f>
        <v>0</v>
      </c>
      <c r="G269" s="75" t="str">
        <f t="array" ref="G269">IFERROR(INDEX(#REF!,MATCH('S-BOM'!$C269,RM!$C$4:$C1003,0)),"")</f>
        <v/>
      </c>
      <c r="H269" s="75" t="str">
        <f t="shared" si="3"/>
        <v/>
      </c>
      <c r="I269" s="76"/>
    </row>
    <row r="270" spans="1:9" ht="15.75" customHeight="1">
      <c r="A270" s="69">
        <f t="shared" si="2"/>
        <v>268</v>
      </c>
      <c r="B270" s="70" t="s">
        <v>1593</v>
      </c>
      <c r="C270" s="70" t="s">
        <v>1597</v>
      </c>
      <c r="D270" s="77">
        <v>5</v>
      </c>
      <c r="E270" s="73" t="e">
        <f>IF(B270="","",VLOOKUP(C270,RM!$C$4:$F1003,3,FALSE))</f>
        <v>#N/A</v>
      </c>
      <c r="F270" s="74">
        <f>IF(B270="","",IFERROR(SUMIFS(Issue!$D$3:$D1013,Issue!$C$3:$C1013,'S-BOM'!$B270)*'S-BOM'!$D270,""))</f>
        <v>0</v>
      </c>
      <c r="G270" s="75" t="str">
        <f t="array" ref="G270">IFERROR(INDEX(#REF!,MATCH('S-BOM'!$C270,RM!$C$4:$C1003,0)),"")</f>
        <v/>
      </c>
      <c r="H270" s="75" t="str">
        <f t="shared" si="3"/>
        <v/>
      </c>
      <c r="I270" s="76"/>
    </row>
    <row r="271" spans="1:9" ht="15.75" customHeight="1">
      <c r="A271" s="69">
        <f t="shared" si="2"/>
        <v>269</v>
      </c>
      <c r="B271" s="70" t="s">
        <v>1593</v>
      </c>
      <c r="C271" s="70" t="s">
        <v>773</v>
      </c>
      <c r="D271" s="77">
        <v>2</v>
      </c>
      <c r="E271" s="73">
        <f>IF(B271="","",VLOOKUP(C271,RM!$C$4:$F1003,3,FALSE))</f>
        <v>0</v>
      </c>
      <c r="F271" s="74">
        <f>IF(B271="","",IFERROR(SUMIFS(Issue!$D$3:$D1013,Issue!$C$3:$C1013,'S-BOM'!$B271)*'S-BOM'!$D271,""))</f>
        <v>0</v>
      </c>
      <c r="G271" s="75" t="str">
        <f t="array" ref="G271">IFERROR(INDEX(#REF!,MATCH('S-BOM'!$C271,RM!$C$4:$C1003,0)),"")</f>
        <v/>
      </c>
      <c r="H271" s="75" t="str">
        <f t="shared" si="3"/>
        <v/>
      </c>
      <c r="I271" s="76"/>
    </row>
    <row r="272" spans="1:9" ht="15.75" customHeight="1">
      <c r="A272" s="69">
        <f t="shared" si="2"/>
        <v>270</v>
      </c>
      <c r="B272" s="70" t="s">
        <v>1593</v>
      </c>
      <c r="C272" s="70" t="s">
        <v>1598</v>
      </c>
      <c r="D272" s="77">
        <v>2</v>
      </c>
      <c r="E272" s="73" t="e">
        <f>IF(B272="","",VLOOKUP(C272,RM!$C$4:$F1003,3,FALSE))</f>
        <v>#N/A</v>
      </c>
      <c r="F272" s="74">
        <f>IF(B272="","",IFERROR(SUMIFS(Issue!$D$3:$D1013,Issue!$C$3:$C1013,'S-BOM'!$B272)*'S-BOM'!$D272,""))</f>
        <v>0</v>
      </c>
      <c r="G272" s="75" t="str">
        <f t="array" ref="G272">IFERROR(INDEX(#REF!,MATCH('S-BOM'!$C272,RM!$C$4:$C1003,0)),"")</f>
        <v/>
      </c>
      <c r="H272" s="75" t="str">
        <f t="shared" si="3"/>
        <v/>
      </c>
      <c r="I272" s="76"/>
    </row>
    <row r="273" spans="1:9" ht="15.75" customHeight="1">
      <c r="A273" s="69">
        <f t="shared" si="2"/>
        <v>271</v>
      </c>
      <c r="B273" s="70" t="s">
        <v>1593</v>
      </c>
      <c r="C273" s="70" t="s">
        <v>1458</v>
      </c>
      <c r="D273" s="77">
        <v>5</v>
      </c>
      <c r="E273" s="73" t="e">
        <f>IF(B273="","",VLOOKUP(C273,RM!$C$4:$F1003,3,FALSE))</f>
        <v>#N/A</v>
      </c>
      <c r="F273" s="74">
        <f>IF(B273="","",IFERROR(SUMIFS(Issue!$D$3:$D1013,Issue!$C$3:$C1013,'S-BOM'!$B273)*'S-BOM'!$D273,""))</f>
        <v>0</v>
      </c>
      <c r="G273" s="75" t="str">
        <f t="array" ref="G273">IFERROR(INDEX(#REF!,MATCH('S-BOM'!$C273,RM!$C$4:$C1003,0)),"")</f>
        <v/>
      </c>
      <c r="H273" s="75" t="str">
        <f t="shared" si="3"/>
        <v/>
      </c>
      <c r="I273" s="76"/>
    </row>
    <row r="274" spans="1:9" ht="15.75" customHeight="1">
      <c r="A274" s="69">
        <f t="shared" si="2"/>
        <v>272</v>
      </c>
      <c r="B274" s="70" t="s">
        <v>1599</v>
      </c>
      <c r="C274" s="70" t="s">
        <v>1594</v>
      </c>
      <c r="D274" s="77">
        <v>6</v>
      </c>
      <c r="E274" s="73" t="e">
        <f>IF(B274="","",VLOOKUP(C274,RM!$C$4:$F1003,3,FALSE))</f>
        <v>#N/A</v>
      </c>
      <c r="F274" s="74">
        <f>IF(B274="","",IFERROR(SUMIFS(Issue!$D$3:$D1013,Issue!$C$3:$C1013,'S-BOM'!$B274)*'S-BOM'!$D274,""))</f>
        <v>0</v>
      </c>
      <c r="G274" s="75" t="str">
        <f t="array" ref="G274">IFERROR(INDEX(#REF!,MATCH('S-BOM'!$C274,RM!$C$4:$C1003,0)),"")</f>
        <v/>
      </c>
      <c r="H274" s="75" t="str">
        <f t="shared" si="3"/>
        <v/>
      </c>
      <c r="I274" s="76"/>
    </row>
    <row r="275" spans="1:9" ht="15.75" customHeight="1">
      <c r="A275" s="69">
        <f t="shared" si="2"/>
        <v>273</v>
      </c>
      <c r="B275" s="70" t="s">
        <v>1599</v>
      </c>
      <c r="C275" s="70" t="s">
        <v>1595</v>
      </c>
      <c r="D275" s="77">
        <v>1</v>
      </c>
      <c r="E275" s="73" t="e">
        <f>IF(B275="","",VLOOKUP(C275,RM!$C$4:$F1003,3,FALSE))</f>
        <v>#N/A</v>
      </c>
      <c r="F275" s="74">
        <f>IF(B275="","",IFERROR(SUMIFS(Issue!$D$3:$D1013,Issue!$C$3:$C1013,'S-BOM'!$B275)*'S-BOM'!$D275,""))</f>
        <v>0</v>
      </c>
      <c r="G275" s="75" t="str">
        <f t="array" ref="G275">IFERROR(INDEX(#REF!,MATCH('S-BOM'!$C275,RM!$C$4:$C1003,0)),"")</f>
        <v/>
      </c>
      <c r="H275" s="75" t="str">
        <f t="shared" si="3"/>
        <v/>
      </c>
      <c r="I275" s="76"/>
    </row>
    <row r="276" spans="1:9" ht="15.75" customHeight="1">
      <c r="A276" s="69">
        <f t="shared" si="2"/>
        <v>274</v>
      </c>
      <c r="B276" s="70" t="s">
        <v>1599</v>
      </c>
      <c r="C276" s="70" t="s">
        <v>1596</v>
      </c>
      <c r="D276" s="77">
        <v>1</v>
      </c>
      <c r="E276" s="73" t="e">
        <f>IF(B276="","",VLOOKUP(C276,RM!$C$4:$F1003,3,FALSE))</f>
        <v>#N/A</v>
      </c>
      <c r="F276" s="74">
        <f>IF(B276="","",IFERROR(SUMIFS(Issue!$D$3:$D1013,Issue!$C$3:$C1013,'S-BOM'!$B276)*'S-BOM'!$D276,""))</f>
        <v>0</v>
      </c>
      <c r="G276" s="75" t="str">
        <f t="array" ref="G276">IFERROR(INDEX(#REF!,MATCH('S-BOM'!$C276,RM!$C$4:$C1003,0)),"")</f>
        <v/>
      </c>
      <c r="H276" s="75" t="str">
        <f t="shared" si="3"/>
        <v/>
      </c>
      <c r="I276" s="76"/>
    </row>
    <row r="277" spans="1:9" ht="15.75" customHeight="1">
      <c r="A277" s="69">
        <f t="shared" si="2"/>
        <v>275</v>
      </c>
      <c r="B277" s="70" t="s">
        <v>1599</v>
      </c>
      <c r="C277" s="70" t="s">
        <v>1597</v>
      </c>
      <c r="D277" s="77">
        <v>5</v>
      </c>
      <c r="E277" s="73" t="e">
        <f>IF(B277="","",VLOOKUP(C277,RM!$C$4:$F1003,3,FALSE))</f>
        <v>#N/A</v>
      </c>
      <c r="F277" s="74">
        <f>IF(B277="","",IFERROR(SUMIFS(Issue!$D$3:$D1013,Issue!$C$3:$C1013,'S-BOM'!$B277)*'S-BOM'!$D277,""))</f>
        <v>0</v>
      </c>
      <c r="G277" s="75" t="str">
        <f t="array" ref="G277">IFERROR(INDEX(#REF!,MATCH('S-BOM'!$C277,RM!$C$4:$C1003,0)),"")</f>
        <v/>
      </c>
      <c r="H277" s="75" t="str">
        <f t="shared" si="3"/>
        <v/>
      </c>
      <c r="I277" s="76"/>
    </row>
    <row r="278" spans="1:9" ht="15.75" customHeight="1">
      <c r="A278" s="69">
        <f t="shared" si="2"/>
        <v>276</v>
      </c>
      <c r="B278" s="70" t="s">
        <v>1599</v>
      </c>
      <c r="C278" s="70" t="s">
        <v>773</v>
      </c>
      <c r="D278" s="77">
        <v>2</v>
      </c>
      <c r="E278" s="73">
        <f>IF(B278="","",VLOOKUP(C278,RM!$C$4:$F1003,3,FALSE))</f>
        <v>0</v>
      </c>
      <c r="F278" s="74">
        <f>IF(B278="","",IFERROR(SUMIFS(Issue!$D$3:$D1013,Issue!$C$3:$C1013,'S-BOM'!$B278)*'S-BOM'!$D278,""))</f>
        <v>0</v>
      </c>
      <c r="G278" s="75" t="str">
        <f t="array" ref="G278">IFERROR(INDEX(#REF!,MATCH('S-BOM'!$C278,RM!$C$4:$C1003,0)),"")</f>
        <v/>
      </c>
      <c r="H278" s="75" t="str">
        <f t="shared" si="3"/>
        <v/>
      </c>
      <c r="I278" s="76"/>
    </row>
    <row r="279" spans="1:9" ht="15.75" customHeight="1">
      <c r="A279" s="69">
        <f t="shared" si="2"/>
        <v>277</v>
      </c>
      <c r="B279" s="70" t="s">
        <v>1599</v>
      </c>
      <c r="C279" s="70" t="s">
        <v>1598</v>
      </c>
      <c r="D279" s="77">
        <v>2</v>
      </c>
      <c r="E279" s="73" t="e">
        <f>IF(B279="","",VLOOKUP(C279,RM!$C$4:$F1003,3,FALSE))</f>
        <v>#N/A</v>
      </c>
      <c r="F279" s="74">
        <f>IF(B279="","",IFERROR(SUMIFS(Issue!$D$3:$D1013,Issue!$C$3:$C1013,'S-BOM'!$B279)*'S-BOM'!$D279,""))</f>
        <v>0</v>
      </c>
      <c r="G279" s="75" t="str">
        <f t="array" ref="G279">IFERROR(INDEX(#REF!,MATCH('S-BOM'!$C279,RM!$C$4:$C1003,0)),"")</f>
        <v/>
      </c>
      <c r="H279" s="75" t="str">
        <f t="shared" si="3"/>
        <v/>
      </c>
      <c r="I279" s="76"/>
    </row>
    <row r="280" spans="1:9" ht="15.75" customHeight="1">
      <c r="A280" s="69">
        <f t="shared" si="2"/>
        <v>278</v>
      </c>
      <c r="B280" s="70" t="s">
        <v>1599</v>
      </c>
      <c r="C280" s="70" t="s">
        <v>1458</v>
      </c>
      <c r="D280" s="77">
        <v>5</v>
      </c>
      <c r="E280" s="73" t="e">
        <f>IF(B280="","",VLOOKUP(C280,RM!$C$4:$F1003,3,FALSE))</f>
        <v>#N/A</v>
      </c>
      <c r="F280" s="74">
        <f>IF(B280="","",IFERROR(SUMIFS(Issue!$D$3:$D1013,Issue!$C$3:$C1013,'S-BOM'!$B280)*'S-BOM'!$D280,""))</f>
        <v>0</v>
      </c>
      <c r="G280" s="75" t="str">
        <f t="array" ref="G280">IFERROR(INDEX(#REF!,MATCH('S-BOM'!$C280,RM!$C$4:$C1003,0)),"")</f>
        <v/>
      </c>
      <c r="H280" s="75" t="str">
        <f t="shared" si="3"/>
        <v/>
      </c>
      <c r="I280" s="76"/>
    </row>
    <row r="281" spans="1:9" ht="15.75" customHeight="1">
      <c r="A281" s="69">
        <f t="shared" si="2"/>
        <v>279</v>
      </c>
      <c r="B281" s="70" t="s">
        <v>1600</v>
      </c>
      <c r="C281" s="70" t="s">
        <v>1601</v>
      </c>
      <c r="D281" s="77">
        <v>18</v>
      </c>
      <c r="E281" s="73" t="e">
        <f>IF(B281="","",VLOOKUP(C281,RM!$C$4:$F1003,3,FALSE))</f>
        <v>#N/A</v>
      </c>
      <c r="F281" s="74">
        <f>IF(B281="","",IFERROR(SUMIFS(Issue!$D$3:$D1013,Issue!$C$3:$C1013,'S-BOM'!$B281)*'S-BOM'!$D281,""))</f>
        <v>0</v>
      </c>
      <c r="G281" s="75" t="str">
        <f t="array" ref="G281">IFERROR(INDEX(#REF!,MATCH('S-BOM'!$C281,RM!$C$4:$C1003,0)),"")</f>
        <v/>
      </c>
      <c r="H281" s="75" t="str">
        <f t="shared" si="3"/>
        <v/>
      </c>
      <c r="I281" s="76"/>
    </row>
    <row r="282" spans="1:9" ht="15.75" customHeight="1">
      <c r="A282" s="69">
        <f t="shared" si="2"/>
        <v>280</v>
      </c>
      <c r="B282" s="70" t="s">
        <v>1600</v>
      </c>
      <c r="C282" s="70" t="s">
        <v>1503</v>
      </c>
      <c r="D282" s="77">
        <v>5</v>
      </c>
      <c r="E282" s="73">
        <f>IF(B282="","",VLOOKUP(C282,RM!$C$4:$F1003,3,FALSE))</f>
        <v>0</v>
      </c>
      <c r="F282" s="74">
        <f>IF(B282="","",IFERROR(SUMIFS(Issue!$D$3:$D1013,Issue!$C$3:$C1013,'S-BOM'!$B282)*'S-BOM'!$D282,""))</f>
        <v>0</v>
      </c>
      <c r="G282" s="75" t="str">
        <f t="array" ref="G282">IFERROR(INDEX(#REF!,MATCH('S-BOM'!$C282,RM!$C$4:$C1003,0)),"")</f>
        <v/>
      </c>
      <c r="H282" s="75" t="str">
        <f t="shared" si="3"/>
        <v/>
      </c>
      <c r="I282" s="76"/>
    </row>
    <row r="283" spans="1:9" ht="15.75" customHeight="1">
      <c r="A283" s="69">
        <f t="shared" si="2"/>
        <v>281</v>
      </c>
      <c r="B283" s="70" t="s">
        <v>1600</v>
      </c>
      <c r="C283" s="70" t="s">
        <v>1602</v>
      </c>
      <c r="D283" s="77">
        <v>5</v>
      </c>
      <c r="E283" s="73">
        <f>IF(B283="","",VLOOKUP(C283,RM!$C$4:$F1003,3,FALSE))</f>
        <v>0</v>
      </c>
      <c r="F283" s="74">
        <f>IF(B283="","",IFERROR(SUMIFS(Issue!$D$3:$D1013,Issue!$C$3:$C1013,'S-BOM'!$B283)*'S-BOM'!$D283,""))</f>
        <v>0</v>
      </c>
      <c r="G283" s="75" t="str">
        <f t="array" ref="G283">IFERROR(INDEX(#REF!,MATCH('S-BOM'!$C283,RM!$C$4:$C1003,0)),"")</f>
        <v/>
      </c>
      <c r="H283" s="75" t="str">
        <f t="shared" si="3"/>
        <v/>
      </c>
      <c r="I283" s="76"/>
    </row>
    <row r="284" spans="1:9" ht="15.75" customHeight="1">
      <c r="A284" s="69">
        <f t="shared" si="2"/>
        <v>282</v>
      </c>
      <c r="B284" s="70" t="s">
        <v>1600</v>
      </c>
      <c r="C284" s="70" t="s">
        <v>1603</v>
      </c>
      <c r="D284" s="77">
        <v>2.5</v>
      </c>
      <c r="E284" s="73" t="e">
        <f>IF(B284="","",VLOOKUP(C284,RM!$C$4:$F1003,3,FALSE))</f>
        <v>#N/A</v>
      </c>
      <c r="F284" s="74">
        <f>IF(B284="","",IFERROR(SUMIFS(Issue!$D$3:$D1013,Issue!$C$3:$C1013,'S-BOM'!$B284)*'S-BOM'!$D284,""))</f>
        <v>0</v>
      </c>
      <c r="G284" s="75" t="str">
        <f t="array" ref="G284">IFERROR(INDEX(#REF!,MATCH('S-BOM'!$C284,RM!$C$4:$C1003,0)),"")</f>
        <v/>
      </c>
      <c r="H284" s="75" t="str">
        <f t="shared" si="3"/>
        <v/>
      </c>
      <c r="I284" s="76"/>
    </row>
    <row r="285" spans="1:9" ht="15.75" customHeight="1">
      <c r="A285" s="69">
        <f t="shared" si="2"/>
        <v>283</v>
      </c>
      <c r="B285" s="70" t="s">
        <v>1600</v>
      </c>
      <c r="C285" s="70" t="s">
        <v>1604</v>
      </c>
      <c r="D285" s="77">
        <v>18</v>
      </c>
      <c r="E285" s="73" t="e">
        <f>IF(B285="","",VLOOKUP(C285,RM!$C$4:$F1003,3,FALSE))</f>
        <v>#N/A</v>
      </c>
      <c r="F285" s="74">
        <f>IF(B285="","",IFERROR(SUMIFS(Issue!$D$3:$D1013,Issue!$C$3:$C1013,'S-BOM'!$B285)*'S-BOM'!$D285,""))</f>
        <v>0</v>
      </c>
      <c r="G285" s="75" t="str">
        <f t="array" ref="G285">IFERROR(INDEX(#REF!,MATCH('S-BOM'!$C285,RM!$C$4:$C1003,0)),"")</f>
        <v/>
      </c>
      <c r="H285" s="75" t="str">
        <f t="shared" si="3"/>
        <v/>
      </c>
      <c r="I285" s="76"/>
    </row>
    <row r="286" spans="1:9" ht="15.75" customHeight="1">
      <c r="A286" s="69">
        <f t="shared" si="2"/>
        <v>284</v>
      </c>
      <c r="B286" s="70" t="s">
        <v>1600</v>
      </c>
      <c r="C286" s="70" t="s">
        <v>1031</v>
      </c>
      <c r="D286" s="77">
        <v>0.5</v>
      </c>
      <c r="E286" s="73">
        <f>IF(B286="","",VLOOKUP(C286,RM!$C$4:$F1003,3,FALSE))</f>
        <v>0</v>
      </c>
      <c r="F286" s="74">
        <f>IF(B286="","",IFERROR(SUMIFS(Issue!$D$3:$D1013,Issue!$C$3:$C1013,'S-BOM'!$B286)*'S-BOM'!$D286,""))</f>
        <v>0</v>
      </c>
      <c r="G286" s="75" t="str">
        <f t="array" ref="G286">IFERROR(INDEX(#REF!,MATCH('S-BOM'!$C286,RM!$C$4:$C1003,0)),"")</f>
        <v/>
      </c>
      <c r="H286" s="75" t="str">
        <f t="shared" si="3"/>
        <v/>
      </c>
      <c r="I286" s="76"/>
    </row>
    <row r="287" spans="1:9" ht="15.75" customHeight="1">
      <c r="A287" s="69">
        <f t="shared" si="2"/>
        <v>285</v>
      </c>
      <c r="B287" s="70" t="s">
        <v>1605</v>
      </c>
      <c r="C287" s="70" t="s">
        <v>1556</v>
      </c>
      <c r="D287" s="77">
        <v>1</v>
      </c>
      <c r="E287" s="73" t="e">
        <f>IF(B287="","",VLOOKUP(C287,RM!$C$4:$F1003,3,FALSE))</f>
        <v>#N/A</v>
      </c>
      <c r="F287" s="74">
        <f>IF(B287="","",IFERROR(SUMIFS(Issue!$D$3:$D1013,Issue!$C$3:$C1013,'S-BOM'!$B287)*'S-BOM'!$D287,""))</f>
        <v>0</v>
      </c>
      <c r="G287" s="75" t="str">
        <f t="array" ref="G287">IFERROR(INDEX(#REF!,MATCH('S-BOM'!$C287,RM!$C$4:$C1003,0)),"")</f>
        <v/>
      </c>
      <c r="H287" s="75" t="str">
        <f t="shared" si="3"/>
        <v/>
      </c>
      <c r="I287" s="76"/>
    </row>
    <row r="288" spans="1:9" ht="15.75" customHeight="1">
      <c r="A288" s="69">
        <f t="shared" si="2"/>
        <v>286</v>
      </c>
      <c r="B288" s="70" t="s">
        <v>1605</v>
      </c>
      <c r="C288" s="70" t="s">
        <v>1606</v>
      </c>
      <c r="D288" s="77">
        <v>1</v>
      </c>
      <c r="E288" s="73" t="e">
        <f>IF(B288="","",VLOOKUP(C288,RM!$C$4:$F1003,3,FALSE))</f>
        <v>#N/A</v>
      </c>
      <c r="F288" s="74">
        <f>IF(B288="","",IFERROR(SUMIFS(Issue!$D$3:$D1013,Issue!$C$3:$C1013,'S-BOM'!$B288)*'S-BOM'!$D288,""))</f>
        <v>0</v>
      </c>
      <c r="G288" s="75" t="str">
        <f t="array" ref="G288">IFERROR(INDEX(#REF!,MATCH('S-BOM'!$C288,RM!$C$4:$C1003,0)),"")</f>
        <v/>
      </c>
      <c r="H288" s="75" t="str">
        <f t="shared" si="3"/>
        <v/>
      </c>
      <c r="I288" s="76"/>
    </row>
    <row r="289" spans="1:9" ht="15.75" customHeight="1">
      <c r="A289" s="69">
        <f t="shared" si="2"/>
        <v>287</v>
      </c>
      <c r="B289" s="70" t="s">
        <v>1605</v>
      </c>
      <c r="C289" s="70" t="s">
        <v>1607</v>
      </c>
      <c r="D289" s="77">
        <v>0.65</v>
      </c>
      <c r="E289" s="73" t="e">
        <f>IF(B289="","",VLOOKUP(C289,RM!$C$4:$F1003,3,FALSE))</f>
        <v>#N/A</v>
      </c>
      <c r="F289" s="74">
        <f>IF(B289="","",IFERROR(SUMIFS(Issue!$D$3:$D1013,Issue!$C$3:$C1013,'S-BOM'!$B289)*'S-BOM'!$D289,""))</f>
        <v>0</v>
      </c>
      <c r="G289" s="75" t="str">
        <f t="array" ref="G289">IFERROR(INDEX(#REF!,MATCH('S-BOM'!$C289,RM!$C$4:$C1003,0)),"")</f>
        <v/>
      </c>
      <c r="H289" s="75" t="str">
        <f t="shared" si="3"/>
        <v/>
      </c>
      <c r="I289" s="76"/>
    </row>
    <row r="290" spans="1:9" ht="15.75" customHeight="1">
      <c r="A290" s="69">
        <f t="shared" si="2"/>
        <v>288</v>
      </c>
      <c r="B290" s="70" t="s">
        <v>1605</v>
      </c>
      <c r="C290" s="70" t="s">
        <v>1557</v>
      </c>
      <c r="D290" s="77">
        <v>0.65</v>
      </c>
      <c r="E290" s="73" t="e">
        <f>IF(B290="","",VLOOKUP(C290,RM!$C$4:$F1003,3,FALSE))</f>
        <v>#N/A</v>
      </c>
      <c r="F290" s="74">
        <f>IF(B290="","",IFERROR(SUMIFS(Issue!$D$3:$D1013,Issue!$C$3:$C1013,'S-BOM'!$B290)*'S-BOM'!$D290,""))</f>
        <v>0</v>
      </c>
      <c r="G290" s="75" t="str">
        <f t="array" ref="G290">IFERROR(INDEX(#REF!,MATCH('S-BOM'!$C290,RM!$C$4:$C1003,0)),"")</f>
        <v/>
      </c>
      <c r="H290" s="75" t="str">
        <f t="shared" si="3"/>
        <v/>
      </c>
      <c r="I290" s="76"/>
    </row>
    <row r="291" spans="1:9" ht="15.75" customHeight="1">
      <c r="A291" s="69">
        <f t="shared" si="2"/>
        <v>289</v>
      </c>
      <c r="B291" s="70" t="s">
        <v>1605</v>
      </c>
      <c r="C291" s="70" t="s">
        <v>1503</v>
      </c>
      <c r="D291" s="77">
        <v>5</v>
      </c>
      <c r="E291" s="73">
        <f>IF(B291="","",VLOOKUP(C291,RM!$C$4:$F1003,3,FALSE))</f>
        <v>0</v>
      </c>
      <c r="F291" s="74">
        <f>IF(B291="","",IFERROR(SUMIFS(Issue!$D$3:$D1013,Issue!$C$3:$C1013,'S-BOM'!$B291)*'S-BOM'!$D291,""))</f>
        <v>0</v>
      </c>
      <c r="G291" s="75" t="str">
        <f t="array" ref="G291">IFERROR(INDEX(#REF!,MATCH('S-BOM'!$C291,RM!$C$4:$C1003,0)),"")</f>
        <v/>
      </c>
      <c r="H291" s="75" t="str">
        <f t="shared" si="3"/>
        <v/>
      </c>
      <c r="I291" s="76"/>
    </row>
    <row r="292" spans="1:9" ht="15.75" customHeight="1">
      <c r="A292" s="69">
        <f t="shared" si="2"/>
        <v>290</v>
      </c>
      <c r="B292" s="70" t="s">
        <v>1605</v>
      </c>
      <c r="C292" s="70" t="s">
        <v>1608</v>
      </c>
      <c r="D292" s="77">
        <v>1</v>
      </c>
      <c r="E292" s="73" t="e">
        <f>IF(B292="","",VLOOKUP(C292,RM!$C$4:$F1003,3,FALSE))</f>
        <v>#N/A</v>
      </c>
      <c r="F292" s="74">
        <f>IF(B292="","",IFERROR(SUMIFS(Issue!$D$3:$D1013,Issue!$C$3:$C1013,'S-BOM'!$B292)*'S-BOM'!$D292,""))</f>
        <v>0</v>
      </c>
      <c r="G292" s="75" t="str">
        <f t="array" ref="G292">IFERROR(INDEX(#REF!,MATCH('S-BOM'!$C292,RM!$C$4:$C1003,0)),"")</f>
        <v/>
      </c>
      <c r="H292" s="75" t="str">
        <f t="shared" si="3"/>
        <v/>
      </c>
      <c r="I292" s="76"/>
    </row>
    <row r="293" spans="1:9" ht="15.75" customHeight="1">
      <c r="A293" s="69">
        <f t="shared" si="2"/>
        <v>291</v>
      </c>
      <c r="B293" s="70" t="s">
        <v>1605</v>
      </c>
      <c r="C293" s="70" t="s">
        <v>649</v>
      </c>
      <c r="D293" s="77">
        <v>1</v>
      </c>
      <c r="E293" s="73">
        <f>IF(B293="","",VLOOKUP(C293,RM!$C$4:$F1003,3,FALSE))</f>
        <v>0</v>
      </c>
      <c r="F293" s="74">
        <f>IF(B293="","",IFERROR(SUMIFS(Issue!$D$3:$D1013,Issue!$C$3:$C1013,'S-BOM'!$B293)*'S-BOM'!$D293,""))</f>
        <v>0</v>
      </c>
      <c r="G293" s="75" t="str">
        <f t="array" ref="G293">IFERROR(INDEX(#REF!,MATCH('S-BOM'!$C293,RM!$C$4:$C1003,0)),"")</f>
        <v/>
      </c>
      <c r="H293" s="75" t="str">
        <f t="shared" si="3"/>
        <v/>
      </c>
      <c r="I293" s="76"/>
    </row>
    <row r="294" spans="1:9" ht="15.75" customHeight="1">
      <c r="A294" s="69">
        <f t="shared" si="2"/>
        <v>292</v>
      </c>
      <c r="B294" s="70" t="s">
        <v>1605</v>
      </c>
      <c r="C294" s="70" t="s">
        <v>1603</v>
      </c>
      <c r="D294" s="77">
        <v>0.5</v>
      </c>
      <c r="E294" s="73" t="e">
        <f>IF(B294="","",VLOOKUP(C294,RM!$C$4:$F1003,3,FALSE))</f>
        <v>#N/A</v>
      </c>
      <c r="F294" s="74">
        <f>IF(B294="","",IFERROR(SUMIFS(Issue!$D$3:$D1013,Issue!$C$3:$C1013,'S-BOM'!$B294)*'S-BOM'!$D294,""))</f>
        <v>0</v>
      </c>
      <c r="G294" s="75" t="str">
        <f t="array" ref="G294">IFERROR(INDEX(#REF!,MATCH('S-BOM'!$C294,RM!$C$4:$C1003,0)),"")</f>
        <v/>
      </c>
      <c r="H294" s="75" t="str">
        <f t="shared" si="3"/>
        <v/>
      </c>
      <c r="I294" s="76"/>
    </row>
    <row r="295" spans="1:9" ht="15.75" customHeight="1">
      <c r="A295" s="69">
        <f t="shared" si="2"/>
        <v>293</v>
      </c>
      <c r="B295" s="70" t="s">
        <v>1605</v>
      </c>
      <c r="C295" s="70" t="s">
        <v>1474</v>
      </c>
      <c r="D295" s="77">
        <v>30</v>
      </c>
      <c r="E295" s="73" t="e">
        <f>IF(B295="","",VLOOKUP(C295,RM!$C$4:$F1003,3,FALSE))</f>
        <v>#N/A</v>
      </c>
      <c r="F295" s="74">
        <f>IF(B295="","",IFERROR(SUMIFS(Issue!$D$3:$D1013,Issue!$C$3:$C1013,'S-BOM'!$B295)*'S-BOM'!$D295,""))</f>
        <v>0</v>
      </c>
      <c r="G295" s="75" t="str">
        <f t="array" ref="G295">IFERROR(INDEX(#REF!,MATCH('S-BOM'!$C295,RM!$C$4:$C1003,0)),"")</f>
        <v/>
      </c>
      <c r="H295" s="75" t="str">
        <f t="shared" si="3"/>
        <v/>
      </c>
      <c r="I295" s="76"/>
    </row>
    <row r="296" spans="1:9" ht="15.75" customHeight="1">
      <c r="A296" s="69">
        <f t="shared" si="2"/>
        <v>294</v>
      </c>
      <c r="B296" s="70" t="s">
        <v>1605</v>
      </c>
      <c r="C296" s="70" t="s">
        <v>1509</v>
      </c>
      <c r="D296" s="77">
        <v>0.06</v>
      </c>
      <c r="E296" s="73" t="e">
        <f>IF(B296="","",VLOOKUP(C296,RM!$C$4:$F1003,3,FALSE))</f>
        <v>#N/A</v>
      </c>
      <c r="F296" s="74">
        <f>IF(B296="","",IFERROR(SUMIFS(Issue!$D$3:$D1013,Issue!$C$3:$C1013,'S-BOM'!$B296)*'S-BOM'!$D296,""))</f>
        <v>0</v>
      </c>
      <c r="G296" s="75" t="str">
        <f t="array" ref="G296">IFERROR(INDEX(#REF!,MATCH('S-BOM'!$C296,RM!$C$4:$C1003,0)),"")</f>
        <v/>
      </c>
      <c r="H296" s="75" t="str">
        <f t="shared" si="3"/>
        <v/>
      </c>
      <c r="I296" s="76"/>
    </row>
    <row r="297" spans="1:9" ht="15.75" customHeight="1">
      <c r="A297" s="69">
        <f t="shared" si="2"/>
        <v>295</v>
      </c>
      <c r="B297" s="70" t="s">
        <v>1605</v>
      </c>
      <c r="C297" s="70" t="s">
        <v>1500</v>
      </c>
      <c r="D297" s="77">
        <v>1</v>
      </c>
      <c r="E297" s="73" t="e">
        <f>IF(B297="","",VLOOKUP(C297,RM!$C$4:$F1003,3,FALSE))</f>
        <v>#N/A</v>
      </c>
      <c r="F297" s="74">
        <f>IF(B297="","",IFERROR(SUMIFS(Issue!$D$3:$D1013,Issue!$C$3:$C1013,'S-BOM'!$B297)*'S-BOM'!$D297,""))</f>
        <v>0</v>
      </c>
      <c r="G297" s="75" t="str">
        <f t="array" ref="G297">IFERROR(INDEX(#REF!,MATCH('S-BOM'!$C297,RM!$C$4:$C1003,0)),"")</f>
        <v/>
      </c>
      <c r="H297" s="75" t="str">
        <f t="shared" si="3"/>
        <v/>
      </c>
      <c r="I297" s="76"/>
    </row>
    <row r="298" spans="1:9" ht="15.75" customHeight="1">
      <c r="A298" s="69">
        <f t="shared" si="2"/>
        <v>296</v>
      </c>
      <c r="B298" s="70" t="s">
        <v>1605</v>
      </c>
      <c r="C298" s="70" t="s">
        <v>1600</v>
      </c>
      <c r="D298" s="77">
        <v>0</v>
      </c>
      <c r="E298" s="73" t="e">
        <f>IF(B298="","",VLOOKUP(C298,RM!$C$4:$F1003,3,FALSE))</f>
        <v>#N/A</v>
      </c>
      <c r="F298" s="74">
        <f>IF(B298="","",IFERROR(SUMIFS(Issue!$D$3:$D1013,Issue!$C$3:$C1013,'S-BOM'!$B298)*'S-BOM'!$D298,""))</f>
        <v>0</v>
      </c>
      <c r="G298" s="75" t="str">
        <f t="array" ref="G298">IFERROR(INDEX(#REF!,MATCH('S-BOM'!$C298,RM!$C$4:$C1003,0)),"")</f>
        <v/>
      </c>
      <c r="H298" s="75" t="str">
        <f t="shared" si="3"/>
        <v/>
      </c>
      <c r="I298" s="76"/>
    </row>
    <row r="299" spans="1:9" ht="15.75" customHeight="1">
      <c r="A299" s="69">
        <f t="shared" si="2"/>
        <v>297</v>
      </c>
      <c r="B299" s="70" t="s">
        <v>1605</v>
      </c>
      <c r="C299" s="70" t="s">
        <v>1609</v>
      </c>
      <c r="D299" s="77">
        <v>0.17</v>
      </c>
      <c r="E299" s="73" t="e">
        <f>IF(B299="","",VLOOKUP(C299,RM!$C$4:$F1003,3,FALSE))</f>
        <v>#N/A</v>
      </c>
      <c r="F299" s="74">
        <f>IF(B299="","",IFERROR(SUMIFS(Issue!$D$3:$D1013,Issue!$C$3:$C1013,'S-BOM'!$B299)*'S-BOM'!$D299,""))</f>
        <v>0</v>
      </c>
      <c r="G299" s="75" t="str">
        <f t="array" ref="G299">IFERROR(INDEX(#REF!,MATCH('S-BOM'!$C299,RM!$C$4:$C1003,0)),"")</f>
        <v/>
      </c>
      <c r="H299" s="75" t="str">
        <f t="shared" si="3"/>
        <v/>
      </c>
      <c r="I299" s="76"/>
    </row>
    <row r="300" spans="1:9" ht="15.75" customHeight="1">
      <c r="A300" s="69">
        <f t="shared" si="2"/>
        <v>298</v>
      </c>
      <c r="B300" s="70" t="s">
        <v>1605</v>
      </c>
      <c r="C300" s="70" t="s">
        <v>1458</v>
      </c>
      <c r="D300" s="77">
        <v>20</v>
      </c>
      <c r="E300" s="73" t="e">
        <f>IF(B300="","",VLOOKUP(C300,RM!$C$4:$F1003,3,FALSE))</f>
        <v>#N/A</v>
      </c>
      <c r="F300" s="74">
        <f>IF(B300="","",IFERROR(SUMIFS(Issue!$D$3:$D1013,Issue!$C$3:$C1013,'S-BOM'!$B300)*'S-BOM'!$D300,""))</f>
        <v>0</v>
      </c>
      <c r="G300" s="75" t="str">
        <f t="array" ref="G300">IFERROR(INDEX(#REF!,MATCH('S-BOM'!$C300,RM!$C$4:$C1003,0)),"")</f>
        <v/>
      </c>
      <c r="H300" s="75" t="str">
        <f t="shared" si="3"/>
        <v/>
      </c>
      <c r="I300" s="76"/>
    </row>
    <row r="301" spans="1:9" ht="15.75" customHeight="1">
      <c r="A301" s="69">
        <f t="shared" si="2"/>
        <v>299</v>
      </c>
      <c r="B301" s="70" t="s">
        <v>1610</v>
      </c>
      <c r="C301" s="70" t="s">
        <v>1471</v>
      </c>
      <c r="D301" s="77">
        <v>2</v>
      </c>
      <c r="E301" s="73" t="e">
        <f>IF(B301="","",VLOOKUP(C301,RM!$C$4:$F1003,3,FALSE))</f>
        <v>#N/A</v>
      </c>
      <c r="F301" s="74">
        <f>IF(B301="","",IFERROR(SUMIFS(Issue!$D$3:$D1013,Issue!$C$3:$C1013,'S-BOM'!$B301)*'S-BOM'!$D301,""))</f>
        <v>0</v>
      </c>
      <c r="G301" s="75" t="str">
        <f t="array" ref="G301">IFERROR(INDEX(#REF!,MATCH('S-BOM'!$C301,RM!$C$4:$C1003,0)),"")</f>
        <v/>
      </c>
      <c r="H301" s="75" t="str">
        <f t="shared" si="3"/>
        <v/>
      </c>
      <c r="I301" s="76"/>
    </row>
    <row r="302" spans="1:9" ht="15.75" customHeight="1">
      <c r="A302" s="69">
        <f t="shared" si="2"/>
        <v>300</v>
      </c>
      <c r="B302" s="70" t="s">
        <v>1610</v>
      </c>
      <c r="C302" s="70" t="s">
        <v>1502</v>
      </c>
      <c r="D302" s="77">
        <v>1</v>
      </c>
      <c r="E302" s="73" t="e">
        <f>IF(B302="","",VLOOKUP(C302,RM!$C$4:$F1003,3,FALSE))</f>
        <v>#N/A</v>
      </c>
      <c r="F302" s="74">
        <f>IF(B302="","",IFERROR(SUMIFS(Issue!$D$3:$D1013,Issue!$C$3:$C1013,'S-BOM'!$B302)*'S-BOM'!$D302,""))</f>
        <v>0</v>
      </c>
      <c r="G302" s="75" t="str">
        <f t="array" ref="G302">IFERROR(INDEX(#REF!,MATCH('S-BOM'!$C302,RM!$C$4:$C1003,0)),"")</f>
        <v/>
      </c>
      <c r="H302" s="75" t="str">
        <f t="shared" si="3"/>
        <v/>
      </c>
      <c r="I302" s="76"/>
    </row>
    <row r="303" spans="1:9" ht="15.75" customHeight="1">
      <c r="A303" s="69">
        <f t="shared" si="2"/>
        <v>301</v>
      </c>
      <c r="B303" s="70" t="s">
        <v>1610</v>
      </c>
      <c r="C303" s="70" t="s">
        <v>1611</v>
      </c>
      <c r="D303" s="77">
        <v>1</v>
      </c>
      <c r="E303" s="73" t="e">
        <f>IF(B303="","",VLOOKUP(C303,RM!$C$4:$F1003,3,FALSE))</f>
        <v>#N/A</v>
      </c>
      <c r="F303" s="74">
        <f>IF(B303="","",IFERROR(SUMIFS(Issue!$D$3:$D1013,Issue!$C$3:$C1013,'S-BOM'!$B303)*'S-BOM'!$D303,""))</f>
        <v>0</v>
      </c>
      <c r="G303" s="75" t="str">
        <f t="array" ref="G303">IFERROR(INDEX(#REF!,MATCH('S-BOM'!$C303,RM!$C$4:$C1003,0)),"")</f>
        <v/>
      </c>
      <c r="H303" s="75" t="str">
        <f t="shared" si="3"/>
        <v/>
      </c>
      <c r="I303" s="76"/>
    </row>
    <row r="304" spans="1:9" ht="15.75" customHeight="1">
      <c r="A304" s="69">
        <f t="shared" si="2"/>
        <v>302</v>
      </c>
      <c r="B304" s="70" t="s">
        <v>1610</v>
      </c>
      <c r="C304" s="70" t="s">
        <v>1557</v>
      </c>
      <c r="D304" s="77">
        <v>0.65</v>
      </c>
      <c r="E304" s="73" t="e">
        <f>IF(B304="","",VLOOKUP(C304,RM!$C$4:$F1003,3,FALSE))</f>
        <v>#N/A</v>
      </c>
      <c r="F304" s="74">
        <f>IF(B304="","",IFERROR(SUMIFS(Issue!$D$3:$D1013,Issue!$C$3:$C1013,'S-BOM'!$B304)*'S-BOM'!$D304,""))</f>
        <v>0</v>
      </c>
      <c r="G304" s="75" t="str">
        <f t="array" ref="G304">IFERROR(INDEX(#REF!,MATCH('S-BOM'!$C304,RM!$C$4:$C1003,0)),"")</f>
        <v/>
      </c>
      <c r="H304" s="75" t="str">
        <f t="shared" si="3"/>
        <v/>
      </c>
      <c r="I304" s="76"/>
    </row>
    <row r="305" spans="1:9" ht="15.75" customHeight="1">
      <c r="A305" s="69">
        <f t="shared" si="2"/>
        <v>303</v>
      </c>
      <c r="B305" s="70" t="s">
        <v>1610</v>
      </c>
      <c r="C305" s="70" t="s">
        <v>1472</v>
      </c>
      <c r="D305" s="77">
        <v>0.8</v>
      </c>
      <c r="E305" s="73" t="e">
        <f>IF(B305="","",VLOOKUP(C305,RM!$C$4:$F1003,3,FALSE))</f>
        <v>#N/A</v>
      </c>
      <c r="F305" s="74">
        <f>IF(B305="","",IFERROR(SUMIFS(Issue!$D$3:$D1013,Issue!$C$3:$C1013,'S-BOM'!$B305)*'S-BOM'!$D305,""))</f>
        <v>0</v>
      </c>
      <c r="G305" s="75" t="str">
        <f t="array" ref="G305">IFERROR(INDEX(#REF!,MATCH('S-BOM'!$C305,RM!$C$4:$C1003,0)),"")</f>
        <v/>
      </c>
      <c r="H305" s="75" t="str">
        <f t="shared" si="3"/>
        <v/>
      </c>
      <c r="I305" s="76"/>
    </row>
    <row r="306" spans="1:9" ht="15.75" customHeight="1">
      <c r="A306" s="69">
        <f t="shared" si="2"/>
        <v>304</v>
      </c>
      <c r="B306" s="70" t="s">
        <v>1610</v>
      </c>
      <c r="C306" s="70" t="s">
        <v>1512</v>
      </c>
      <c r="D306" s="77">
        <v>0.55000000000000004</v>
      </c>
      <c r="E306" s="73" t="e">
        <f>IF(B306="","",VLOOKUP(C306,RM!$C$4:$F1003,3,FALSE))</f>
        <v>#N/A</v>
      </c>
      <c r="F306" s="74">
        <f>IF(B306="","",IFERROR(SUMIFS(Issue!$D$3:$D1013,Issue!$C$3:$C1013,'S-BOM'!$B306)*'S-BOM'!$D306,""))</f>
        <v>0</v>
      </c>
      <c r="G306" s="75" t="str">
        <f t="array" ref="G306">IFERROR(INDEX(#REF!,MATCH('S-BOM'!$C306,RM!$C$4:$C1003,0)),"")</f>
        <v/>
      </c>
      <c r="H306" s="75" t="str">
        <f t="shared" si="3"/>
        <v/>
      </c>
      <c r="I306" s="76"/>
    </row>
    <row r="307" spans="1:9" ht="15.75" customHeight="1">
      <c r="A307" s="69">
        <f t="shared" si="2"/>
        <v>305</v>
      </c>
      <c r="B307" s="70" t="s">
        <v>1610</v>
      </c>
      <c r="C307" s="70" t="s">
        <v>1503</v>
      </c>
      <c r="D307" s="77">
        <v>5</v>
      </c>
      <c r="E307" s="73">
        <f>IF(B307="","",VLOOKUP(C307,RM!$C$4:$F1003,3,FALSE))</f>
        <v>0</v>
      </c>
      <c r="F307" s="74">
        <f>IF(B307="","",IFERROR(SUMIFS(Issue!$D$3:$D1013,Issue!$C$3:$C1013,'S-BOM'!$B307)*'S-BOM'!$D307,""))</f>
        <v>0</v>
      </c>
      <c r="G307" s="75" t="str">
        <f t="array" ref="G307">IFERROR(INDEX(#REF!,MATCH('S-BOM'!$C307,RM!$C$4:$C1003,0)),"")</f>
        <v/>
      </c>
      <c r="H307" s="75" t="str">
        <f t="shared" si="3"/>
        <v/>
      </c>
      <c r="I307" s="76"/>
    </row>
    <row r="308" spans="1:9" ht="15.75" customHeight="1">
      <c r="A308" s="69">
        <f t="shared" si="2"/>
        <v>306</v>
      </c>
      <c r="B308" s="70" t="s">
        <v>1610</v>
      </c>
      <c r="C308" s="70" t="s">
        <v>1608</v>
      </c>
      <c r="D308" s="77">
        <v>1</v>
      </c>
      <c r="E308" s="73" t="e">
        <f>IF(B308="","",VLOOKUP(C308,RM!$C$4:$F1003,3,FALSE))</f>
        <v>#N/A</v>
      </c>
      <c r="F308" s="74">
        <f>IF(B308="","",IFERROR(SUMIFS(Issue!$D$3:$D1013,Issue!$C$3:$C1013,'S-BOM'!$B308)*'S-BOM'!$D308,""))</f>
        <v>0</v>
      </c>
      <c r="G308" s="75" t="str">
        <f t="array" ref="G308">IFERROR(INDEX(#REF!,MATCH('S-BOM'!$C308,RM!$C$4:$C1003,0)),"")</f>
        <v/>
      </c>
      <c r="H308" s="75" t="str">
        <f t="shared" si="3"/>
        <v/>
      </c>
      <c r="I308" s="76"/>
    </row>
    <row r="309" spans="1:9" ht="15.75" customHeight="1">
      <c r="A309" s="69">
        <f t="shared" si="2"/>
        <v>307</v>
      </c>
      <c r="B309" s="70" t="s">
        <v>1610</v>
      </c>
      <c r="C309" s="70" t="s">
        <v>649</v>
      </c>
      <c r="D309" s="77">
        <v>1</v>
      </c>
      <c r="E309" s="73">
        <f>IF(B309="","",VLOOKUP(C309,RM!$C$4:$F1003,3,FALSE))</f>
        <v>0</v>
      </c>
      <c r="F309" s="74">
        <f>IF(B309="","",IFERROR(SUMIFS(Issue!$D$3:$D1013,Issue!$C$3:$C1013,'S-BOM'!$B309)*'S-BOM'!$D309,""))</f>
        <v>0</v>
      </c>
      <c r="G309" s="75" t="str">
        <f t="array" ref="G309">IFERROR(INDEX(#REF!,MATCH('S-BOM'!$C309,RM!$C$4:$C1003,0)),"")</f>
        <v/>
      </c>
      <c r="H309" s="75" t="str">
        <f t="shared" si="3"/>
        <v/>
      </c>
      <c r="I309" s="76"/>
    </row>
    <row r="310" spans="1:9" ht="15.75" customHeight="1">
      <c r="A310" s="69">
        <f t="shared" si="2"/>
        <v>308</v>
      </c>
      <c r="B310" s="70" t="s">
        <v>1610</v>
      </c>
      <c r="C310" s="70" t="s">
        <v>1603</v>
      </c>
      <c r="D310" s="77">
        <v>0.5</v>
      </c>
      <c r="E310" s="73" t="e">
        <f>IF(B310="","",VLOOKUP(C310,RM!$C$4:$F1003,3,FALSE))</f>
        <v>#N/A</v>
      </c>
      <c r="F310" s="74">
        <f>IF(B310="","",IFERROR(SUMIFS(Issue!$D$3:$D1013,Issue!$C$3:$C1013,'S-BOM'!$B310)*'S-BOM'!$D310,""))</f>
        <v>0</v>
      </c>
      <c r="G310" s="75" t="str">
        <f t="array" ref="G310">IFERROR(INDEX(#REF!,MATCH('S-BOM'!$C310,RM!$C$4:$C1003,0)),"")</f>
        <v/>
      </c>
      <c r="H310" s="75" t="str">
        <f t="shared" si="3"/>
        <v/>
      </c>
      <c r="I310" s="76"/>
    </row>
    <row r="311" spans="1:9" ht="15.75" customHeight="1">
      <c r="A311" s="69">
        <f t="shared" si="2"/>
        <v>309</v>
      </c>
      <c r="B311" s="70" t="s">
        <v>1610</v>
      </c>
      <c r="C311" s="70" t="s">
        <v>1474</v>
      </c>
      <c r="D311" s="77">
        <v>30</v>
      </c>
      <c r="E311" s="73" t="e">
        <f>IF(B311="","",VLOOKUP(C311,RM!$C$4:$F1003,3,FALSE))</f>
        <v>#N/A</v>
      </c>
      <c r="F311" s="74">
        <f>IF(B311="","",IFERROR(SUMIFS(Issue!$D$3:$D1013,Issue!$C$3:$C1013,'S-BOM'!$B311)*'S-BOM'!$D311,""))</f>
        <v>0</v>
      </c>
      <c r="G311" s="75" t="str">
        <f t="array" ref="G311">IFERROR(INDEX(#REF!,MATCH('S-BOM'!$C311,RM!$C$4:$C1003,0)),"")</f>
        <v/>
      </c>
      <c r="H311" s="75" t="str">
        <f t="shared" si="3"/>
        <v/>
      </c>
      <c r="I311" s="76"/>
    </row>
    <row r="312" spans="1:9" ht="15.75" customHeight="1">
      <c r="A312" s="69">
        <f t="shared" si="2"/>
        <v>310</v>
      </c>
      <c r="B312" s="70" t="s">
        <v>1610</v>
      </c>
      <c r="C312" s="70" t="s">
        <v>1509</v>
      </c>
      <c r="D312" s="77">
        <v>0.03</v>
      </c>
      <c r="E312" s="73" t="e">
        <f>IF(B312="","",VLOOKUP(C312,RM!$C$4:$F1003,3,FALSE))</f>
        <v>#N/A</v>
      </c>
      <c r="F312" s="74">
        <f>IF(B312="","",IFERROR(SUMIFS(Issue!$D$3:$D1013,Issue!$C$3:$C1013,'S-BOM'!$B312)*'S-BOM'!$D312,""))</f>
        <v>0</v>
      </c>
      <c r="G312" s="75" t="str">
        <f t="array" ref="G312">IFERROR(INDEX(#REF!,MATCH('S-BOM'!$C312,RM!$C$4:$C1003,0)),"")</f>
        <v/>
      </c>
      <c r="H312" s="75" t="str">
        <f t="shared" si="3"/>
        <v/>
      </c>
      <c r="I312" s="76"/>
    </row>
    <row r="313" spans="1:9" ht="15.75" customHeight="1">
      <c r="A313" s="69">
        <f t="shared" si="2"/>
        <v>311</v>
      </c>
      <c r="B313" s="70" t="s">
        <v>1610</v>
      </c>
      <c r="C313" s="70" t="s">
        <v>1511</v>
      </c>
      <c r="D313" s="77">
        <v>0</v>
      </c>
      <c r="E313" s="73" t="e">
        <f>IF(B313="","",VLOOKUP(C313,RM!$C$4:$F1003,3,FALSE))</f>
        <v>#N/A</v>
      </c>
      <c r="F313" s="74">
        <f>IF(B313="","",IFERROR(SUMIFS(Issue!$D$3:$D1013,Issue!$C$3:$C1013,'S-BOM'!$B313)*'S-BOM'!$D313,""))</f>
        <v>0</v>
      </c>
      <c r="G313" s="75" t="str">
        <f t="array" ref="G313">IFERROR(INDEX(#REF!,MATCH('S-BOM'!$C313,RM!$C$4:$C1003,0)),"")</f>
        <v/>
      </c>
      <c r="H313" s="75" t="str">
        <f t="shared" si="3"/>
        <v/>
      </c>
      <c r="I313" s="76"/>
    </row>
    <row r="314" spans="1:9" ht="15.75" customHeight="1">
      <c r="A314" s="69">
        <f t="shared" si="2"/>
        <v>312</v>
      </c>
      <c r="B314" s="70" t="s">
        <v>1610</v>
      </c>
      <c r="C314" s="70" t="s">
        <v>1600</v>
      </c>
      <c r="D314" s="77">
        <v>0</v>
      </c>
      <c r="E314" s="73" t="e">
        <f>IF(B314="","",VLOOKUP(C314,RM!$C$4:$F1003,3,FALSE))</f>
        <v>#N/A</v>
      </c>
      <c r="F314" s="74">
        <f>IF(B314="","",IFERROR(SUMIFS(Issue!$D$3:$D1013,Issue!$C$3:$C1013,'S-BOM'!$B314)*'S-BOM'!$D314,""))</f>
        <v>0</v>
      </c>
      <c r="G314" s="75" t="str">
        <f t="array" ref="G314">IFERROR(INDEX(#REF!,MATCH('S-BOM'!$C314,RM!$C$4:$C1003,0)),"")</f>
        <v/>
      </c>
      <c r="H314" s="75" t="str">
        <f t="shared" si="3"/>
        <v/>
      </c>
      <c r="I314" s="76"/>
    </row>
    <row r="315" spans="1:9" ht="15.75" customHeight="1">
      <c r="A315" s="69">
        <f t="shared" si="2"/>
        <v>313</v>
      </c>
      <c r="B315" s="70" t="s">
        <v>1610</v>
      </c>
      <c r="C315" s="70" t="s">
        <v>1609</v>
      </c>
      <c r="D315" s="77">
        <v>0.17</v>
      </c>
      <c r="E315" s="73" t="e">
        <f>IF(B315="","",VLOOKUP(C315,RM!$C$4:$F1003,3,FALSE))</f>
        <v>#N/A</v>
      </c>
      <c r="F315" s="74">
        <f>IF(B315="","",IFERROR(SUMIFS(Issue!$D$3:$D1013,Issue!$C$3:$C1013,'S-BOM'!$B315)*'S-BOM'!$D315,""))</f>
        <v>0</v>
      </c>
      <c r="G315" s="75" t="str">
        <f t="array" ref="G315">IFERROR(INDEX(#REF!,MATCH('S-BOM'!$C315,RM!$C$4:$C1003,0)),"")</f>
        <v/>
      </c>
      <c r="H315" s="75" t="str">
        <f t="shared" si="3"/>
        <v/>
      </c>
      <c r="I315" s="76"/>
    </row>
    <row r="316" spans="1:9" ht="15.75" customHeight="1">
      <c r="A316" s="69">
        <f t="shared" si="2"/>
        <v>314</v>
      </c>
      <c r="B316" s="70" t="s">
        <v>1610</v>
      </c>
      <c r="C316" s="70" t="s">
        <v>1458</v>
      </c>
      <c r="D316" s="77">
        <v>20</v>
      </c>
      <c r="E316" s="73" t="e">
        <f>IF(B316="","",VLOOKUP(C316,RM!$C$4:$F1003,3,FALSE))</f>
        <v>#N/A</v>
      </c>
      <c r="F316" s="74">
        <f>IF(B316="","",IFERROR(SUMIFS(Issue!$D$3:$D1013,Issue!$C$3:$C1013,'S-BOM'!$B316)*'S-BOM'!$D316,""))</f>
        <v>0</v>
      </c>
      <c r="G316" s="75" t="str">
        <f t="array" ref="G316">IFERROR(INDEX(#REF!,MATCH('S-BOM'!$C316,RM!$C$4:$C1003,0)),"")</f>
        <v/>
      </c>
      <c r="H316" s="75" t="str">
        <f t="shared" si="3"/>
        <v/>
      </c>
      <c r="I316" s="76"/>
    </row>
    <row r="317" spans="1:9" ht="15.75" customHeight="1">
      <c r="A317" s="69">
        <f t="shared" si="2"/>
        <v>315</v>
      </c>
      <c r="B317" s="70" t="s">
        <v>1612</v>
      </c>
      <c r="C317" s="70" t="s">
        <v>1613</v>
      </c>
      <c r="D317" s="77">
        <v>1</v>
      </c>
      <c r="E317" s="73" t="e">
        <f>IF(B317="","",VLOOKUP(C317,RM!$C$4:$F1003,3,FALSE))</f>
        <v>#N/A</v>
      </c>
      <c r="F317" s="74">
        <f>IF(B317="","",IFERROR(SUMIFS(Issue!$D$3:$D1013,Issue!$C$3:$C1013,'S-BOM'!$B317)*'S-BOM'!$D317,""))</f>
        <v>0</v>
      </c>
      <c r="G317" s="75" t="str">
        <f t="array" ref="G317">IFERROR(INDEX(#REF!,MATCH('S-BOM'!$C317,RM!$C$4:$C1003,0)),"")</f>
        <v/>
      </c>
      <c r="H317" s="75" t="str">
        <f t="shared" si="3"/>
        <v/>
      </c>
      <c r="I317" s="76"/>
    </row>
    <row r="318" spans="1:9" ht="15.75" customHeight="1">
      <c r="A318" s="69">
        <f t="shared" si="2"/>
        <v>316</v>
      </c>
      <c r="B318" s="70" t="s">
        <v>1612</v>
      </c>
      <c r="C318" s="70" t="s">
        <v>1450</v>
      </c>
      <c r="D318" s="77">
        <v>4</v>
      </c>
      <c r="E318" s="73" t="e">
        <f>IF(B318="","",VLOOKUP(C318,RM!$C$4:$F1003,3,FALSE))</f>
        <v>#N/A</v>
      </c>
      <c r="F318" s="74">
        <f>IF(B318="","",IFERROR(SUMIFS(Issue!$D$3:$D1013,Issue!$C$3:$C1013,'S-BOM'!$B318)*'S-BOM'!$D318,""))</f>
        <v>0</v>
      </c>
      <c r="G318" s="75" t="str">
        <f t="array" ref="G318">IFERROR(INDEX(#REF!,MATCH('S-BOM'!$C318,RM!$C$4:$C1003,0)),"")</f>
        <v/>
      </c>
      <c r="H318" s="75" t="str">
        <f t="shared" si="3"/>
        <v/>
      </c>
      <c r="I318" s="76"/>
    </row>
    <row r="319" spans="1:9" ht="15.75" customHeight="1">
      <c r="A319" s="69">
        <f t="shared" si="2"/>
        <v>317</v>
      </c>
      <c r="B319" s="70" t="s">
        <v>1612</v>
      </c>
      <c r="C319" s="70" t="s">
        <v>1451</v>
      </c>
      <c r="D319" s="77">
        <v>4</v>
      </c>
      <c r="E319" s="73" t="e">
        <f>IF(B319="","",VLOOKUP(C319,RM!$C$4:$F1003,3,FALSE))</f>
        <v>#N/A</v>
      </c>
      <c r="F319" s="74">
        <f>IF(B319="","",IFERROR(SUMIFS(Issue!$D$3:$D1013,Issue!$C$3:$C1013,'S-BOM'!$B319)*'S-BOM'!$D319,""))</f>
        <v>0</v>
      </c>
      <c r="G319" s="75" t="str">
        <f t="array" ref="G319">IFERROR(INDEX(#REF!,MATCH('S-BOM'!$C319,RM!$C$4:$C1003,0)),"")</f>
        <v/>
      </c>
      <c r="H319" s="75" t="str">
        <f t="shared" si="3"/>
        <v/>
      </c>
      <c r="I319" s="76"/>
    </row>
    <row r="320" spans="1:9" ht="15.75" customHeight="1">
      <c r="A320" s="69">
        <f t="shared" si="2"/>
        <v>318</v>
      </c>
      <c r="B320" s="70" t="s">
        <v>1612</v>
      </c>
      <c r="C320" s="70" t="s">
        <v>1452</v>
      </c>
      <c r="D320" s="77">
        <v>4</v>
      </c>
      <c r="E320" s="73" t="e">
        <f>IF(B320="","",VLOOKUP(C320,RM!$C$4:$F1003,3,FALSE))</f>
        <v>#N/A</v>
      </c>
      <c r="F320" s="74">
        <f>IF(B320="","",IFERROR(SUMIFS(Issue!$D$3:$D1013,Issue!$C$3:$C1013,'S-BOM'!$B320)*'S-BOM'!$D320,""))</f>
        <v>0</v>
      </c>
      <c r="G320" s="75" t="str">
        <f t="array" ref="G320">IFERROR(INDEX(#REF!,MATCH('S-BOM'!$C320,RM!$C$4:$C1003,0)),"")</f>
        <v/>
      </c>
      <c r="H320" s="75" t="str">
        <f t="shared" si="3"/>
        <v/>
      </c>
      <c r="I320" s="76"/>
    </row>
    <row r="321" spans="1:9" ht="15.75" customHeight="1">
      <c r="A321" s="69">
        <f t="shared" si="2"/>
        <v>319</v>
      </c>
      <c r="B321" s="70" t="s">
        <v>1612</v>
      </c>
      <c r="C321" s="70" t="s">
        <v>1614</v>
      </c>
      <c r="D321" s="77">
        <v>1</v>
      </c>
      <c r="E321" s="73" t="e">
        <f>IF(B321="","",VLOOKUP(C321,RM!$C$4:$F1003,3,FALSE))</f>
        <v>#N/A</v>
      </c>
      <c r="F321" s="74">
        <f>IF(B321="","",IFERROR(SUMIFS(Issue!$D$3:$D1013,Issue!$C$3:$C1013,'S-BOM'!$B321)*'S-BOM'!$D321,""))</f>
        <v>0</v>
      </c>
      <c r="G321" s="75" t="str">
        <f t="array" ref="G321">IFERROR(INDEX(#REF!,MATCH('S-BOM'!$C321,RM!$C$4:$C1003,0)),"")</f>
        <v/>
      </c>
      <c r="H321" s="75" t="str">
        <f t="shared" si="3"/>
        <v/>
      </c>
      <c r="I321" s="76"/>
    </row>
    <row r="322" spans="1:9" ht="15.75" customHeight="1">
      <c r="A322" s="69">
        <f t="shared" si="2"/>
        <v>320</v>
      </c>
      <c r="B322" s="70" t="s">
        <v>1612</v>
      </c>
      <c r="C322" s="70" t="s">
        <v>1446</v>
      </c>
      <c r="D322" s="77">
        <v>0</v>
      </c>
      <c r="E322" s="73" t="e">
        <f>IF(B322="","",VLOOKUP(C322,RM!$C$4:$F1003,3,FALSE))</f>
        <v>#N/A</v>
      </c>
      <c r="F322" s="74">
        <f>IF(B322="","",IFERROR(SUMIFS(Issue!$D$3:$D1013,Issue!$C$3:$C1013,'S-BOM'!$B322)*'S-BOM'!$D322,""))</f>
        <v>0</v>
      </c>
      <c r="G322" s="75" t="str">
        <f t="array" ref="G322">IFERROR(INDEX(#REF!,MATCH('S-BOM'!$C322,RM!$C$4:$C1003,0)),"")</f>
        <v/>
      </c>
      <c r="H322" s="75" t="str">
        <f t="shared" si="3"/>
        <v/>
      </c>
      <c r="I322" s="76"/>
    </row>
    <row r="323" spans="1:9" ht="15.75" customHeight="1">
      <c r="A323" s="69">
        <f t="shared" si="2"/>
        <v>321</v>
      </c>
      <c r="B323" s="70" t="s">
        <v>1612</v>
      </c>
      <c r="C323" s="70" t="s">
        <v>1468</v>
      </c>
      <c r="D323" s="77">
        <v>0</v>
      </c>
      <c r="E323" s="73" t="e">
        <f>IF(B323="","",VLOOKUP(C323,RM!$C$4:$F1003,3,FALSE))</f>
        <v>#N/A</v>
      </c>
      <c r="F323" s="74">
        <f>IF(B323="","",IFERROR(SUMIFS(Issue!$D$3:$D1013,Issue!$C$3:$C1013,'S-BOM'!$B323)*'S-BOM'!$D323,""))</f>
        <v>0</v>
      </c>
      <c r="G323" s="75" t="str">
        <f t="array" ref="G323">IFERROR(INDEX(#REF!,MATCH('S-BOM'!$C323,RM!$C$4:$C1003,0)),"")</f>
        <v/>
      </c>
      <c r="H323" s="75" t="str">
        <f t="shared" si="3"/>
        <v/>
      </c>
      <c r="I323" s="76"/>
    </row>
    <row r="324" spans="1:9" ht="15.75" customHeight="1">
      <c r="A324" s="69">
        <f t="shared" si="2"/>
        <v>322</v>
      </c>
      <c r="B324" s="70" t="s">
        <v>1612</v>
      </c>
      <c r="C324" s="70" t="s">
        <v>1605</v>
      </c>
      <c r="D324" s="77">
        <v>0</v>
      </c>
      <c r="E324" s="73" t="e">
        <f>IF(B324="","",VLOOKUP(C324,RM!$C$4:$F1003,3,FALSE))</f>
        <v>#N/A</v>
      </c>
      <c r="F324" s="74">
        <f>IF(B324="","",IFERROR(SUMIFS(Issue!$D$3:$D1013,Issue!$C$3:$C1013,'S-BOM'!$B324)*'S-BOM'!$D324,""))</f>
        <v>0</v>
      </c>
      <c r="G324" s="75" t="str">
        <f t="array" ref="G324">IFERROR(INDEX(#REF!,MATCH('S-BOM'!$C324,RM!$C$4:$C1003,0)),"")</f>
        <v/>
      </c>
      <c r="H324" s="75" t="str">
        <f t="shared" si="3"/>
        <v/>
      </c>
      <c r="I324" s="76"/>
    </row>
    <row r="325" spans="1:9" ht="15.75" customHeight="1">
      <c r="A325" s="69">
        <f t="shared" si="2"/>
        <v>323</v>
      </c>
      <c r="B325" s="70" t="s">
        <v>1612</v>
      </c>
      <c r="C325" s="70" t="s">
        <v>1455</v>
      </c>
      <c r="D325" s="77">
        <v>2</v>
      </c>
      <c r="E325" s="73" t="e">
        <f>IF(B325="","",VLOOKUP(C325,RM!$C$4:$F1003,3,FALSE))</f>
        <v>#N/A</v>
      </c>
      <c r="F325" s="74">
        <f>IF(B325="","",IFERROR(SUMIFS(Issue!$D$3:$D1013,Issue!$C$3:$C1013,'S-BOM'!$B325)*'S-BOM'!$D325,""))</f>
        <v>0</v>
      </c>
      <c r="G325" s="75" t="str">
        <f t="array" ref="G325">IFERROR(INDEX(#REF!,MATCH('S-BOM'!$C325,RM!$C$4:$C1003,0)),"")</f>
        <v/>
      </c>
      <c r="H325" s="75" t="str">
        <f t="shared" si="3"/>
        <v/>
      </c>
      <c r="I325" s="76"/>
    </row>
    <row r="326" spans="1:9" ht="15.75" customHeight="1">
      <c r="A326" s="69">
        <f t="shared" si="2"/>
        <v>324</v>
      </c>
      <c r="B326" s="70" t="s">
        <v>1612</v>
      </c>
      <c r="C326" s="70" t="s">
        <v>1615</v>
      </c>
      <c r="D326" s="77">
        <v>2</v>
      </c>
      <c r="E326" s="73" t="e">
        <f>IF(B326="","",VLOOKUP(C326,RM!$C$4:$F1003,3,FALSE))</f>
        <v>#N/A</v>
      </c>
      <c r="F326" s="74">
        <f>IF(B326="","",IFERROR(SUMIFS(Issue!$D$3:$D1013,Issue!$C$3:$C1013,'S-BOM'!$B326)*'S-BOM'!$D326,""))</f>
        <v>0</v>
      </c>
      <c r="G326" s="75" t="str">
        <f t="array" ref="G326">IFERROR(INDEX(#REF!,MATCH('S-BOM'!$C326,RM!$C$4:$C1003,0)),"")</f>
        <v/>
      </c>
      <c r="H326" s="75" t="str">
        <f t="shared" si="3"/>
        <v/>
      </c>
      <c r="I326" s="76"/>
    </row>
    <row r="327" spans="1:9" ht="15.75" customHeight="1">
      <c r="A327" s="69">
        <f t="shared" si="2"/>
        <v>325</v>
      </c>
      <c r="B327" s="70" t="s">
        <v>1616</v>
      </c>
      <c r="C327" s="70" t="s">
        <v>1613</v>
      </c>
      <c r="D327" s="77">
        <v>1</v>
      </c>
      <c r="E327" s="73" t="e">
        <f>IF(B327="","",VLOOKUP(C327,RM!$C$4:$F1003,3,FALSE))</f>
        <v>#N/A</v>
      </c>
      <c r="F327" s="74">
        <f>IF(B327="","",IFERROR(SUMIFS(Issue!$D$3:$D1013,Issue!$C$3:$C1013,'S-BOM'!$B327)*'S-BOM'!$D327,""))</f>
        <v>0</v>
      </c>
      <c r="G327" s="75" t="str">
        <f t="array" ref="G327">IFERROR(INDEX(#REF!,MATCH('S-BOM'!$C327,RM!$C$4:$C1003,0)),"")</f>
        <v/>
      </c>
      <c r="H327" s="75" t="str">
        <f t="shared" si="3"/>
        <v/>
      </c>
      <c r="I327" s="76"/>
    </row>
    <row r="328" spans="1:9" ht="15.75" customHeight="1">
      <c r="A328" s="69">
        <f t="shared" si="2"/>
        <v>326</v>
      </c>
      <c r="B328" s="70" t="s">
        <v>1616</v>
      </c>
      <c r="C328" s="70" t="s">
        <v>1450</v>
      </c>
      <c r="D328" s="77">
        <v>4</v>
      </c>
      <c r="E328" s="73" t="e">
        <f>IF(B328="","",VLOOKUP(C328,RM!$C$4:$F1003,3,FALSE))</f>
        <v>#N/A</v>
      </c>
      <c r="F328" s="74">
        <f>IF(B328="","",IFERROR(SUMIFS(Issue!$D$3:$D1013,Issue!$C$3:$C1013,'S-BOM'!$B328)*'S-BOM'!$D328,""))</f>
        <v>0</v>
      </c>
      <c r="G328" s="75" t="str">
        <f t="array" ref="G328">IFERROR(INDEX(#REF!,MATCH('S-BOM'!$C328,RM!$C$4:$C1003,0)),"")</f>
        <v/>
      </c>
      <c r="H328" s="75" t="str">
        <f t="shared" si="3"/>
        <v/>
      </c>
      <c r="I328" s="76"/>
    </row>
    <row r="329" spans="1:9" ht="15.75" customHeight="1">
      <c r="A329" s="69">
        <f t="shared" si="2"/>
        <v>327</v>
      </c>
      <c r="B329" s="70" t="s">
        <v>1616</v>
      </c>
      <c r="C329" s="70" t="s">
        <v>1451</v>
      </c>
      <c r="D329" s="77">
        <v>4</v>
      </c>
      <c r="E329" s="73" t="e">
        <f>IF(B329="","",VLOOKUP(C329,RM!$C$4:$F1003,3,FALSE))</f>
        <v>#N/A</v>
      </c>
      <c r="F329" s="74">
        <f>IF(B329="","",IFERROR(SUMIFS(Issue!$D$3:$D1013,Issue!$C$3:$C1013,'S-BOM'!$B329)*'S-BOM'!$D329,""))</f>
        <v>0</v>
      </c>
      <c r="G329" s="75" t="str">
        <f t="array" ref="G329">IFERROR(INDEX(#REF!,MATCH('S-BOM'!$C329,RM!$C$4:$C1003,0)),"")</f>
        <v/>
      </c>
      <c r="H329" s="75" t="str">
        <f t="shared" si="3"/>
        <v/>
      </c>
      <c r="I329" s="76"/>
    </row>
    <row r="330" spans="1:9" ht="15.75" customHeight="1">
      <c r="A330" s="69">
        <f t="shared" si="2"/>
        <v>328</v>
      </c>
      <c r="B330" s="70" t="s">
        <v>1616</v>
      </c>
      <c r="C330" s="70" t="s">
        <v>1452</v>
      </c>
      <c r="D330" s="77">
        <v>4</v>
      </c>
      <c r="E330" s="73" t="e">
        <f>IF(B330="","",VLOOKUP(C330,RM!$C$4:$F1003,3,FALSE))</f>
        <v>#N/A</v>
      </c>
      <c r="F330" s="74">
        <f>IF(B330="","",IFERROR(SUMIFS(Issue!$D$3:$D1013,Issue!$C$3:$C1013,'S-BOM'!$B330)*'S-BOM'!$D330,""))</f>
        <v>0</v>
      </c>
      <c r="G330" s="75" t="str">
        <f t="array" ref="G330">IFERROR(INDEX(#REF!,MATCH('S-BOM'!$C330,RM!$C$4:$C1003,0)),"")</f>
        <v/>
      </c>
      <c r="H330" s="75" t="str">
        <f t="shared" si="3"/>
        <v/>
      </c>
      <c r="I330" s="76"/>
    </row>
    <row r="331" spans="1:9" ht="15.75" customHeight="1">
      <c r="A331" s="69">
        <f t="shared" si="2"/>
        <v>329</v>
      </c>
      <c r="B331" s="70" t="s">
        <v>1616</v>
      </c>
      <c r="C331" s="70" t="s">
        <v>1614</v>
      </c>
      <c r="D331" s="77">
        <v>1</v>
      </c>
      <c r="E331" s="73" t="e">
        <f>IF(B331="","",VLOOKUP(C331,RM!$C$4:$F1003,3,FALSE))</f>
        <v>#N/A</v>
      </c>
      <c r="F331" s="74">
        <f>IF(B331="","",IFERROR(SUMIFS(Issue!$D$3:$D1013,Issue!$C$3:$C1013,'S-BOM'!$B331)*'S-BOM'!$D331,""))</f>
        <v>0</v>
      </c>
      <c r="G331" s="75" t="str">
        <f t="array" ref="G331">IFERROR(INDEX(#REF!,MATCH('S-BOM'!$C331,RM!$C$4:$C1003,0)),"")</f>
        <v/>
      </c>
      <c r="H331" s="75" t="str">
        <f t="shared" si="3"/>
        <v/>
      </c>
      <c r="I331" s="76"/>
    </row>
    <row r="332" spans="1:9" ht="15.75" customHeight="1">
      <c r="A332" s="69">
        <f t="shared" si="2"/>
        <v>330</v>
      </c>
      <c r="B332" s="70" t="s">
        <v>1616</v>
      </c>
      <c r="C332" s="70" t="s">
        <v>1446</v>
      </c>
      <c r="D332" s="77">
        <v>0</v>
      </c>
      <c r="E332" s="73" t="e">
        <f>IF(B332="","",VLOOKUP(C332,RM!$C$4:$F1003,3,FALSE))</f>
        <v>#N/A</v>
      </c>
      <c r="F332" s="74">
        <f>IF(B332="","",IFERROR(SUMIFS(Issue!$D$3:$D1013,Issue!$C$3:$C1013,'S-BOM'!$B332)*'S-BOM'!$D332,""))</f>
        <v>0</v>
      </c>
      <c r="G332" s="75" t="str">
        <f t="array" ref="G332">IFERROR(INDEX(#REF!,MATCH('S-BOM'!$C332,RM!$C$4:$C1003,0)),"")</f>
        <v/>
      </c>
      <c r="H332" s="75" t="str">
        <f t="shared" si="3"/>
        <v/>
      </c>
      <c r="I332" s="76"/>
    </row>
    <row r="333" spans="1:9" ht="15.75" customHeight="1">
      <c r="A333" s="69">
        <f t="shared" si="2"/>
        <v>331</v>
      </c>
      <c r="B333" s="70" t="s">
        <v>1616</v>
      </c>
      <c r="C333" s="70" t="s">
        <v>1478</v>
      </c>
      <c r="D333" s="77">
        <v>0</v>
      </c>
      <c r="E333" s="73" t="e">
        <f>IF(B333="","",VLOOKUP(C333,RM!$C$4:$F1003,3,FALSE))</f>
        <v>#N/A</v>
      </c>
      <c r="F333" s="74">
        <f>IF(B333="","",IFERROR(SUMIFS(Issue!$D$3:$D1013,Issue!$C$3:$C1013,'S-BOM'!$B333)*'S-BOM'!$D333,""))</f>
        <v>0</v>
      </c>
      <c r="G333" s="75" t="str">
        <f t="array" ref="G333">IFERROR(INDEX(#REF!,MATCH('S-BOM'!$C333,RM!$C$4:$C1003,0)),"")</f>
        <v/>
      </c>
      <c r="H333" s="75" t="str">
        <f t="shared" si="3"/>
        <v/>
      </c>
      <c r="I333" s="76"/>
    </row>
    <row r="334" spans="1:9" ht="15.75" customHeight="1">
      <c r="A334" s="69">
        <f t="shared" si="2"/>
        <v>332</v>
      </c>
      <c r="B334" s="70" t="s">
        <v>1616</v>
      </c>
      <c r="C334" s="70" t="s">
        <v>1610</v>
      </c>
      <c r="D334" s="77">
        <v>0</v>
      </c>
      <c r="E334" s="73" t="e">
        <f>IF(B334="","",VLOOKUP(C334,RM!$C$4:$F1003,3,FALSE))</f>
        <v>#N/A</v>
      </c>
      <c r="F334" s="74">
        <f>IF(B334="","",IFERROR(SUMIFS(Issue!$D$3:$D1013,Issue!$C$3:$C1013,'S-BOM'!$B334)*'S-BOM'!$D334,""))</f>
        <v>0</v>
      </c>
      <c r="G334" s="75" t="str">
        <f t="array" ref="G334">IFERROR(INDEX(#REF!,MATCH('S-BOM'!$C334,RM!$C$4:$C1003,0)),"")</f>
        <v/>
      </c>
      <c r="H334" s="75" t="str">
        <f t="shared" si="3"/>
        <v/>
      </c>
      <c r="I334" s="76"/>
    </row>
    <row r="335" spans="1:9" ht="15.75" customHeight="1">
      <c r="A335" s="69">
        <f t="shared" si="2"/>
        <v>333</v>
      </c>
      <c r="B335" s="70" t="s">
        <v>1616</v>
      </c>
      <c r="C335" s="70" t="s">
        <v>1455</v>
      </c>
      <c r="D335" s="77">
        <v>2</v>
      </c>
      <c r="E335" s="73" t="e">
        <f>IF(B335="","",VLOOKUP(C335,RM!$C$4:$F1003,3,FALSE))</f>
        <v>#N/A</v>
      </c>
      <c r="F335" s="74">
        <f>IF(B335="","",IFERROR(SUMIFS(Issue!$D$3:$D1013,Issue!$C$3:$C1013,'S-BOM'!$B335)*'S-BOM'!$D335,""))</f>
        <v>0</v>
      </c>
      <c r="G335" s="75" t="str">
        <f t="array" ref="G335">IFERROR(INDEX(#REF!,MATCH('S-BOM'!$C335,RM!$C$4:$C1003,0)),"")</f>
        <v/>
      </c>
      <c r="H335" s="75" t="str">
        <f t="shared" si="3"/>
        <v/>
      </c>
      <c r="I335" s="76"/>
    </row>
    <row r="336" spans="1:9" ht="15.75" customHeight="1">
      <c r="A336" s="69">
        <f t="shared" si="2"/>
        <v>334</v>
      </c>
      <c r="B336" s="70" t="s">
        <v>112</v>
      </c>
      <c r="C336" s="70" t="s">
        <v>1617</v>
      </c>
      <c r="D336" s="77">
        <v>1</v>
      </c>
      <c r="E336" s="73" t="e">
        <f>IF(B336="","",VLOOKUP(C336,RM!$C$4:$F1003,3,FALSE))</f>
        <v>#N/A</v>
      </c>
      <c r="F336" s="74">
        <f>IF(B336="","",IFERROR(SUMIFS(Issue!$D$3:$D1013,Issue!$C$3:$C1013,'S-BOM'!$B336)*'S-BOM'!$D336,""))</f>
        <v>0</v>
      </c>
      <c r="G336" s="75" t="str">
        <f t="array" ref="G336">IFERROR(INDEX(#REF!,MATCH('S-BOM'!$C336,RM!$C$4:$C1003,0)),"")</f>
        <v/>
      </c>
      <c r="H336" s="75" t="str">
        <f t="shared" si="3"/>
        <v/>
      </c>
      <c r="I336" s="76"/>
    </row>
    <row r="337" spans="1:9" ht="15.75" customHeight="1">
      <c r="A337" s="69">
        <f t="shared" si="2"/>
        <v>335</v>
      </c>
      <c r="B337" s="70" t="s">
        <v>112</v>
      </c>
      <c r="C337" s="70" t="s">
        <v>1618</v>
      </c>
      <c r="D337" s="77">
        <v>1</v>
      </c>
      <c r="E337" s="73" t="e">
        <f>IF(B337="","",VLOOKUP(C337,RM!$C$4:$F1003,3,FALSE))</f>
        <v>#N/A</v>
      </c>
      <c r="F337" s="74">
        <f>IF(B337="","",IFERROR(SUMIFS(Issue!$D$3:$D1013,Issue!$C$3:$C1013,'S-BOM'!$B337)*'S-BOM'!$D337,""))</f>
        <v>0</v>
      </c>
      <c r="G337" s="75" t="str">
        <f t="array" ref="G337">IFERROR(INDEX(#REF!,MATCH('S-BOM'!$C337,RM!$C$4:$C1003,0)),"")</f>
        <v/>
      </c>
      <c r="H337" s="75" t="str">
        <f t="shared" si="3"/>
        <v/>
      </c>
      <c r="I337" s="76"/>
    </row>
    <row r="338" spans="1:9" ht="15.75" customHeight="1">
      <c r="A338" s="69">
        <f t="shared" si="2"/>
        <v>336</v>
      </c>
      <c r="B338" s="70" t="s">
        <v>112</v>
      </c>
      <c r="C338" s="70" t="s">
        <v>1619</v>
      </c>
      <c r="D338" s="77">
        <v>6</v>
      </c>
      <c r="E338" s="73" t="e">
        <f>IF(B338="","",VLOOKUP(C338,RM!$C$4:$F1003,3,FALSE))</f>
        <v>#N/A</v>
      </c>
      <c r="F338" s="74">
        <f>IF(B338="","",IFERROR(SUMIFS(Issue!$D$3:$D1013,Issue!$C$3:$C1013,'S-BOM'!$B338)*'S-BOM'!$D338,""))</f>
        <v>0</v>
      </c>
      <c r="G338" s="75" t="str">
        <f t="array" ref="G338">IFERROR(INDEX(#REF!,MATCH('S-BOM'!$C338,RM!$C$4:$C1003,0)),"")</f>
        <v/>
      </c>
      <c r="H338" s="75" t="str">
        <f t="shared" si="3"/>
        <v/>
      </c>
      <c r="I338" s="76"/>
    </row>
    <row r="339" spans="1:9" ht="15.75" customHeight="1">
      <c r="A339" s="69">
        <f t="shared" si="2"/>
        <v>337</v>
      </c>
      <c r="B339" s="70" t="s">
        <v>112</v>
      </c>
      <c r="C339" s="70" t="s">
        <v>1620</v>
      </c>
      <c r="D339" s="77">
        <v>6</v>
      </c>
      <c r="E339" s="73" t="e">
        <f>IF(B339="","",VLOOKUP(C339,RM!$C$4:$F1003,3,FALSE))</f>
        <v>#N/A</v>
      </c>
      <c r="F339" s="74">
        <f>IF(B339="","",IFERROR(SUMIFS(Issue!$D$3:$D1013,Issue!$C$3:$C1013,'S-BOM'!$B339)*'S-BOM'!$D339,""))</f>
        <v>0</v>
      </c>
      <c r="G339" s="75" t="str">
        <f t="array" ref="G339">IFERROR(INDEX(#REF!,MATCH('S-BOM'!$C339,RM!$C$4:$C1003,0)),"")</f>
        <v/>
      </c>
      <c r="H339" s="75" t="str">
        <f t="shared" si="3"/>
        <v/>
      </c>
      <c r="I339" s="76"/>
    </row>
    <row r="340" spans="1:9" ht="15.75" customHeight="1">
      <c r="A340" s="69">
        <f t="shared" si="2"/>
        <v>338</v>
      </c>
      <c r="B340" s="70" t="s">
        <v>112</v>
      </c>
      <c r="C340" s="70" t="s">
        <v>1621</v>
      </c>
      <c r="D340" s="77">
        <v>22</v>
      </c>
      <c r="E340" s="73" t="e">
        <f>IF(B340="","",VLOOKUP(C340,RM!$C$4:$F1003,3,FALSE))</f>
        <v>#N/A</v>
      </c>
      <c r="F340" s="74">
        <f>IF(B340="","",IFERROR(SUMIFS(Issue!$D$3:$D1013,Issue!$C$3:$C1013,'S-BOM'!$B340)*'S-BOM'!$D340,""))</f>
        <v>0</v>
      </c>
      <c r="G340" s="75" t="str">
        <f t="array" ref="G340">IFERROR(INDEX(#REF!,MATCH('S-BOM'!$C340,RM!$C$4:$C1003,0)),"")</f>
        <v/>
      </c>
      <c r="H340" s="75" t="str">
        <f t="shared" si="3"/>
        <v/>
      </c>
      <c r="I340" s="76"/>
    </row>
    <row r="341" spans="1:9" ht="15.75" customHeight="1">
      <c r="A341" s="69">
        <f t="shared" si="2"/>
        <v>339</v>
      </c>
      <c r="B341" s="70" t="s">
        <v>112</v>
      </c>
      <c r="C341" s="70" t="s">
        <v>1622</v>
      </c>
      <c r="D341" s="77">
        <v>6</v>
      </c>
      <c r="E341" s="73" t="e">
        <f>IF(B341="","",VLOOKUP(C341,RM!$C$4:$F1003,3,FALSE))</f>
        <v>#N/A</v>
      </c>
      <c r="F341" s="74">
        <f>IF(B341="","",IFERROR(SUMIFS(Issue!$D$3:$D1013,Issue!$C$3:$C1013,'S-BOM'!$B341)*'S-BOM'!$D341,""))</f>
        <v>0</v>
      </c>
      <c r="G341" s="75" t="str">
        <f t="array" ref="G341">IFERROR(INDEX(#REF!,MATCH('S-BOM'!$C341,RM!$C$4:$C1003,0)),"")</f>
        <v/>
      </c>
      <c r="H341" s="75" t="str">
        <f t="shared" si="3"/>
        <v/>
      </c>
      <c r="I341" s="76"/>
    </row>
    <row r="342" spans="1:9" ht="15.75" customHeight="1">
      <c r="A342" s="69">
        <f t="shared" si="2"/>
        <v>340</v>
      </c>
      <c r="B342" s="70" t="s">
        <v>112</v>
      </c>
      <c r="C342" s="70" t="s">
        <v>1458</v>
      </c>
      <c r="D342" s="77">
        <v>20</v>
      </c>
      <c r="E342" s="73" t="e">
        <f>IF(B342="","",VLOOKUP(C342,RM!$C$4:$F1003,3,FALSE))</f>
        <v>#N/A</v>
      </c>
      <c r="F342" s="74">
        <f>IF(B342="","",IFERROR(SUMIFS(Issue!$D$3:$D1013,Issue!$C$3:$C1013,'S-BOM'!$B342)*'S-BOM'!$D342,""))</f>
        <v>0</v>
      </c>
      <c r="G342" s="75" t="str">
        <f t="array" ref="G342">IFERROR(INDEX(#REF!,MATCH('S-BOM'!$C342,RM!$C$4:$C1003,0)),"")</f>
        <v/>
      </c>
      <c r="H342" s="75" t="str">
        <f t="shared" si="3"/>
        <v/>
      </c>
      <c r="I342" s="76"/>
    </row>
    <row r="343" spans="1:9" ht="15.75" customHeight="1">
      <c r="A343" s="69">
        <f t="shared" si="2"/>
        <v>341</v>
      </c>
      <c r="B343" s="70" t="s">
        <v>112</v>
      </c>
      <c r="C343" s="70" t="s">
        <v>1623</v>
      </c>
      <c r="D343" s="77">
        <v>4</v>
      </c>
      <c r="E343" s="73" t="e">
        <f>IF(B343="","",VLOOKUP(C343,RM!$C$4:$F1003,3,FALSE))</f>
        <v>#N/A</v>
      </c>
      <c r="F343" s="74">
        <f>IF(B343="","",IFERROR(SUMIFS(Issue!$D$3:$D1013,Issue!$C$3:$C1013,'S-BOM'!$B343)*'S-BOM'!$D343,""))</f>
        <v>0</v>
      </c>
      <c r="G343" s="75" t="str">
        <f t="array" ref="G343">IFERROR(INDEX(#REF!,MATCH('S-BOM'!$C343,RM!$C$4:$C1003,0)),"")</f>
        <v/>
      </c>
      <c r="H343" s="75" t="str">
        <f t="shared" si="3"/>
        <v/>
      </c>
      <c r="I343" s="76"/>
    </row>
    <row r="344" spans="1:9" ht="15.75" customHeight="1">
      <c r="A344" s="69">
        <f t="shared" si="2"/>
        <v>342</v>
      </c>
      <c r="B344" s="70" t="s">
        <v>112</v>
      </c>
      <c r="C344" s="70" t="s">
        <v>1624</v>
      </c>
      <c r="D344" s="77">
        <v>2</v>
      </c>
      <c r="E344" s="73" t="e">
        <f>IF(B344="","",VLOOKUP(C344,RM!$C$4:$F1003,3,FALSE))</f>
        <v>#N/A</v>
      </c>
      <c r="F344" s="74">
        <f>IF(B344="","",IFERROR(SUMIFS(Issue!$D$3:$D1013,Issue!$C$3:$C1013,'S-BOM'!$B344)*'S-BOM'!$D344,""))</f>
        <v>0</v>
      </c>
      <c r="G344" s="75" t="str">
        <f t="array" ref="G344">IFERROR(INDEX(#REF!,MATCH('S-BOM'!$C344,RM!$C$4:$C1003,0)),"")</f>
        <v/>
      </c>
      <c r="H344" s="75" t="str">
        <f t="shared" si="3"/>
        <v/>
      </c>
      <c r="I344" s="76"/>
    </row>
    <row r="345" spans="1:9" ht="15.75" customHeight="1">
      <c r="A345" s="69">
        <f t="shared" si="2"/>
        <v>343</v>
      </c>
      <c r="B345" s="70" t="s">
        <v>112</v>
      </c>
      <c r="C345" s="70" t="s">
        <v>1625</v>
      </c>
      <c r="D345" s="77">
        <v>0.15</v>
      </c>
      <c r="E345" s="73" t="e">
        <f>IF(B345="","",VLOOKUP(C345,RM!$C$4:$F1003,3,FALSE))</f>
        <v>#N/A</v>
      </c>
      <c r="F345" s="74">
        <f>IF(B345="","",IFERROR(SUMIFS(Issue!$D$3:$D1013,Issue!$C$3:$C1013,'S-BOM'!$B345)*'S-BOM'!$D345,""))</f>
        <v>0</v>
      </c>
      <c r="G345" s="75" t="str">
        <f t="array" ref="G345">IFERROR(INDEX(#REF!,MATCH('S-BOM'!$C345,RM!$C$4:$C1003,0)),"")</f>
        <v/>
      </c>
      <c r="H345" s="75" t="str">
        <f t="shared" si="3"/>
        <v/>
      </c>
      <c r="I345" s="76"/>
    </row>
    <row r="346" spans="1:9" ht="15.75" customHeight="1">
      <c r="A346" s="69">
        <f t="shared" si="2"/>
        <v>344</v>
      </c>
      <c r="B346" s="70" t="s">
        <v>112</v>
      </c>
      <c r="C346" s="70" t="s">
        <v>1466</v>
      </c>
      <c r="D346" s="77">
        <v>1</v>
      </c>
      <c r="E346" s="73" t="e">
        <f>IF(B346="","",VLOOKUP(C346,RM!$C$4:$F1003,3,FALSE))</f>
        <v>#N/A</v>
      </c>
      <c r="F346" s="74">
        <f>IF(B346="","",IFERROR(SUMIFS(Issue!$D$3:$D1013,Issue!$C$3:$C1013,'S-BOM'!$B346)*'S-BOM'!$D346,""))</f>
        <v>0</v>
      </c>
      <c r="G346" s="75" t="str">
        <f t="array" ref="G346">IFERROR(INDEX(#REF!,MATCH('S-BOM'!$C346,RM!$C$4:$C1003,0)),"")</f>
        <v/>
      </c>
      <c r="H346" s="75" t="str">
        <f t="shared" si="3"/>
        <v/>
      </c>
      <c r="I346" s="76"/>
    </row>
    <row r="347" spans="1:9" ht="15.75" customHeight="1">
      <c r="A347" s="69">
        <f t="shared" si="2"/>
        <v>345</v>
      </c>
      <c r="B347" s="70" t="s">
        <v>112</v>
      </c>
      <c r="C347" s="70" t="s">
        <v>1626</v>
      </c>
      <c r="D347" s="77">
        <v>5</v>
      </c>
      <c r="E347" s="73" t="e">
        <f>IF(B347="","",VLOOKUP(C347,RM!$C$4:$F1003,3,FALSE))</f>
        <v>#N/A</v>
      </c>
      <c r="F347" s="74">
        <f>IF(B347="","",IFERROR(SUMIFS(Issue!$D$3:$D1013,Issue!$C$3:$C1013,'S-BOM'!$B347)*'S-BOM'!$D347,""))</f>
        <v>0</v>
      </c>
      <c r="G347" s="75" t="str">
        <f t="array" ref="G347">IFERROR(INDEX(#REF!,MATCH('S-BOM'!$C347,RM!$C$4:$C1003,0)),"")</f>
        <v/>
      </c>
      <c r="H347" s="75" t="str">
        <f t="shared" si="3"/>
        <v/>
      </c>
      <c r="I347" s="76"/>
    </row>
    <row r="348" spans="1:9" ht="15.75" customHeight="1">
      <c r="A348" s="69">
        <f t="shared" si="2"/>
        <v>346</v>
      </c>
      <c r="B348" s="70" t="s">
        <v>112</v>
      </c>
      <c r="C348" s="70" t="s">
        <v>1627</v>
      </c>
      <c r="D348" s="77">
        <v>1</v>
      </c>
      <c r="E348" s="73" t="e">
        <f>IF(B348="","",VLOOKUP(C348,RM!$C$4:$F1003,3,FALSE))</f>
        <v>#N/A</v>
      </c>
      <c r="F348" s="74">
        <f>IF(B348="","",IFERROR(SUMIFS(Issue!$D$3:$D1013,Issue!$C$3:$C1013,'S-BOM'!$B348)*'S-BOM'!$D348,""))</f>
        <v>0</v>
      </c>
      <c r="G348" s="75" t="str">
        <f t="array" ref="G348">IFERROR(INDEX(#REF!,MATCH('S-BOM'!$C348,RM!$C$4:$C1003,0)),"")</f>
        <v/>
      </c>
      <c r="H348" s="75" t="str">
        <f t="shared" si="3"/>
        <v/>
      </c>
      <c r="I348" s="76"/>
    </row>
    <row r="349" spans="1:9" ht="15.75" customHeight="1">
      <c r="A349" s="69">
        <f t="shared" si="2"/>
        <v>347</v>
      </c>
      <c r="B349" s="70" t="s">
        <v>112</v>
      </c>
      <c r="C349" s="70" t="s">
        <v>1628</v>
      </c>
      <c r="D349" s="77">
        <v>1</v>
      </c>
      <c r="E349" s="73" t="e">
        <f>IF(B349="","",VLOOKUP(C349,RM!$C$4:$F1003,3,FALSE))</f>
        <v>#N/A</v>
      </c>
      <c r="F349" s="74">
        <f>IF(B349="","",IFERROR(SUMIFS(Issue!$D$3:$D1013,Issue!$C$3:$C1013,'S-BOM'!$B349)*'S-BOM'!$D349,""))</f>
        <v>0</v>
      </c>
      <c r="G349" s="75" t="str">
        <f t="array" ref="G349">IFERROR(INDEX(#REF!,MATCH('S-BOM'!$C349,RM!$C$4:$C1003,0)),"")</f>
        <v/>
      </c>
      <c r="H349" s="75" t="str">
        <f t="shared" si="3"/>
        <v/>
      </c>
      <c r="I349" s="76"/>
    </row>
    <row r="350" spans="1:9" ht="15.75" customHeight="1">
      <c r="A350" s="69">
        <f t="shared" si="2"/>
        <v>348</v>
      </c>
      <c r="B350" s="70" t="s">
        <v>112</v>
      </c>
      <c r="C350" s="70" t="s">
        <v>1629</v>
      </c>
      <c r="D350" s="77">
        <v>4</v>
      </c>
      <c r="E350" s="73" t="e">
        <f>IF(B350="","",VLOOKUP(C350,RM!$C$4:$F1003,3,FALSE))</f>
        <v>#N/A</v>
      </c>
      <c r="F350" s="74">
        <f>IF(B350="","",IFERROR(SUMIFS(Issue!$D$3:$D1013,Issue!$C$3:$C1013,'S-BOM'!$B350)*'S-BOM'!$D350,""))</f>
        <v>0</v>
      </c>
      <c r="G350" s="75" t="str">
        <f t="array" ref="G350">IFERROR(INDEX(#REF!,MATCH('S-BOM'!$C350,RM!$C$4:$C1003,0)),"")</f>
        <v/>
      </c>
      <c r="H350" s="75" t="str">
        <f t="shared" si="3"/>
        <v/>
      </c>
      <c r="I350" s="76"/>
    </row>
    <row r="351" spans="1:9" ht="15.75" customHeight="1">
      <c r="A351" s="69">
        <f t="shared" si="2"/>
        <v>349</v>
      </c>
      <c r="B351" s="70" t="s">
        <v>112</v>
      </c>
      <c r="C351" s="70" t="s">
        <v>1630</v>
      </c>
      <c r="D351" s="77">
        <v>4</v>
      </c>
      <c r="E351" s="73" t="e">
        <f>IF(B351="","",VLOOKUP(C351,RM!$C$4:$F1003,3,FALSE))</f>
        <v>#N/A</v>
      </c>
      <c r="F351" s="74">
        <f>IF(B351="","",IFERROR(SUMIFS(Issue!$D$3:$D1013,Issue!$C$3:$C1013,'S-BOM'!$B351)*'S-BOM'!$D351,""))</f>
        <v>0</v>
      </c>
      <c r="G351" s="75" t="str">
        <f t="array" ref="G351">IFERROR(INDEX(#REF!,MATCH('S-BOM'!$C351,RM!$C$4:$C1003,0)),"")</f>
        <v/>
      </c>
      <c r="H351" s="75" t="str">
        <f t="shared" si="3"/>
        <v/>
      </c>
      <c r="I351" s="76"/>
    </row>
    <row r="352" spans="1:9" ht="15.75" customHeight="1">
      <c r="A352" s="69">
        <f t="shared" si="2"/>
        <v>350</v>
      </c>
      <c r="B352" s="70" t="s">
        <v>112</v>
      </c>
      <c r="C352" s="70" t="s">
        <v>1631</v>
      </c>
      <c r="D352" s="77">
        <v>0</v>
      </c>
      <c r="E352" s="73" t="e">
        <f>IF(B352="","",VLOOKUP(C352,RM!$C$4:$F1003,3,FALSE))</f>
        <v>#N/A</v>
      </c>
      <c r="F352" s="74">
        <f>IF(B352="","",IFERROR(SUMIFS(Issue!$D$3:$D1013,Issue!$C$3:$C1013,'S-BOM'!$B352)*'S-BOM'!$D352,""))</f>
        <v>0</v>
      </c>
      <c r="G352" s="75" t="str">
        <f t="array" ref="G352">IFERROR(INDEX(#REF!,MATCH('S-BOM'!$C352,RM!$C$4:$C1003,0)),"")</f>
        <v/>
      </c>
      <c r="H352" s="75" t="str">
        <f t="shared" si="3"/>
        <v/>
      </c>
      <c r="I352" s="76"/>
    </row>
    <row r="353" spans="1:9" ht="15.75" customHeight="1">
      <c r="A353" s="69">
        <f t="shared" si="2"/>
        <v>351</v>
      </c>
      <c r="B353" s="70" t="s">
        <v>112</v>
      </c>
      <c r="C353" s="70" t="s">
        <v>1039</v>
      </c>
      <c r="D353" s="77">
        <v>2.6</v>
      </c>
      <c r="E353" s="73">
        <f>IF(B353="","",VLOOKUP(C353,RM!$C$4:$F1003,3,FALSE))</f>
        <v>0</v>
      </c>
      <c r="F353" s="74">
        <f>IF(B353="","",IFERROR(SUMIFS(Issue!$D$3:$D1013,Issue!$C$3:$C1013,'S-BOM'!$B353)*'S-BOM'!$D353,""))</f>
        <v>0</v>
      </c>
      <c r="G353" s="75" t="str">
        <f t="array" ref="G353">IFERROR(INDEX(#REF!,MATCH('S-BOM'!$C353,RM!$C$4:$C1003,0)),"")</f>
        <v/>
      </c>
      <c r="H353" s="75" t="str">
        <f t="shared" si="3"/>
        <v/>
      </c>
      <c r="I353" s="76"/>
    </row>
    <row r="354" spans="1:9" ht="15.75" customHeight="1">
      <c r="A354" s="69">
        <f t="shared" si="2"/>
        <v>352</v>
      </c>
      <c r="B354" s="70" t="s">
        <v>87</v>
      </c>
      <c r="C354" s="70" t="s">
        <v>1632</v>
      </c>
      <c r="D354" s="77">
        <v>1</v>
      </c>
      <c r="E354" s="73" t="e">
        <f>IF(B354="","",VLOOKUP(C354,RM!$C$4:$F1003,3,FALSE))</f>
        <v>#N/A</v>
      </c>
      <c r="F354" s="74">
        <f>IF(B354="","",IFERROR(SUMIFS(Issue!$D$3:$D1013,Issue!$C$3:$C1013,'S-BOM'!$B354)*'S-BOM'!$D354,""))</f>
        <v>0</v>
      </c>
      <c r="G354" s="75" t="str">
        <f t="array" ref="G354">IFERROR(INDEX(#REF!,MATCH('S-BOM'!$C354,RM!$C$4:$C1003,0)),"")</f>
        <v/>
      </c>
      <c r="H354" s="75" t="str">
        <f t="shared" si="3"/>
        <v/>
      </c>
      <c r="I354" s="76"/>
    </row>
    <row r="355" spans="1:9" ht="15.75" customHeight="1">
      <c r="A355" s="69">
        <f t="shared" si="2"/>
        <v>353</v>
      </c>
      <c r="B355" s="70" t="s">
        <v>87</v>
      </c>
      <c r="C355" s="70" t="s">
        <v>266</v>
      </c>
      <c r="D355" s="77">
        <v>2</v>
      </c>
      <c r="E355" s="73">
        <f>IF(B355="","",VLOOKUP(C355,RM!$C$4:$F1003,3,FALSE))</f>
        <v>0</v>
      </c>
      <c r="F355" s="74">
        <f>IF(B355="","",IFERROR(SUMIFS(Issue!$D$3:$D1013,Issue!$C$3:$C1013,'S-BOM'!$B355)*'S-BOM'!$D355,""))</f>
        <v>0</v>
      </c>
      <c r="G355" s="75" t="str">
        <f t="array" ref="G355">IFERROR(INDEX(#REF!,MATCH('S-BOM'!$C355,RM!$C$4:$C1003,0)),"")</f>
        <v/>
      </c>
      <c r="H355" s="75" t="str">
        <f t="shared" si="3"/>
        <v/>
      </c>
      <c r="I355" s="76"/>
    </row>
    <row r="356" spans="1:9" ht="15.75" customHeight="1">
      <c r="A356" s="69">
        <f t="shared" si="2"/>
        <v>354</v>
      </c>
      <c r="B356" s="70" t="s">
        <v>87</v>
      </c>
      <c r="C356" s="70" t="s">
        <v>1601</v>
      </c>
      <c r="D356" s="77">
        <v>2</v>
      </c>
      <c r="E356" s="73" t="e">
        <f>IF(B356="","",VLOOKUP(C356,RM!$C$4:$F1003,3,FALSE))</f>
        <v>#N/A</v>
      </c>
      <c r="F356" s="74">
        <f>IF(B356="","",IFERROR(SUMIFS(Issue!$D$3:$D1013,Issue!$C$3:$C1013,'S-BOM'!$B356)*'S-BOM'!$D356,""))</f>
        <v>0</v>
      </c>
      <c r="G356" s="75" t="str">
        <f t="array" ref="G356">IFERROR(INDEX(#REF!,MATCH('S-BOM'!$C356,RM!$C$4:$C1003,0)),"")</f>
        <v/>
      </c>
      <c r="H356" s="75" t="str">
        <f t="shared" si="3"/>
        <v/>
      </c>
      <c r="I356" s="76"/>
    </row>
    <row r="357" spans="1:9" ht="15.75" customHeight="1">
      <c r="A357" s="69">
        <f t="shared" si="2"/>
        <v>355</v>
      </c>
      <c r="B357" s="70" t="s">
        <v>87</v>
      </c>
      <c r="C357" s="70" t="s">
        <v>494</v>
      </c>
      <c r="D357" s="77">
        <v>1</v>
      </c>
      <c r="E357" s="73">
        <f>IF(B357="","",VLOOKUP(C357,RM!$C$4:$F1003,3,FALSE))</f>
        <v>0</v>
      </c>
      <c r="F357" s="74">
        <f>IF(B357="","",IFERROR(SUMIFS(Issue!$D$3:$D1013,Issue!$C$3:$C1013,'S-BOM'!$B357)*'S-BOM'!$D357,""))</f>
        <v>0</v>
      </c>
      <c r="G357" s="75" t="str">
        <f t="array" ref="G357">IFERROR(INDEX(#REF!,MATCH('S-BOM'!$C357,RM!$C$4:$C1003,0)),"")</f>
        <v/>
      </c>
      <c r="H357" s="75" t="str">
        <f t="shared" si="3"/>
        <v/>
      </c>
      <c r="I357" s="76"/>
    </row>
    <row r="358" spans="1:9" ht="15.75" customHeight="1">
      <c r="A358" s="69">
        <f t="shared" si="2"/>
        <v>356</v>
      </c>
      <c r="B358" s="70" t="s">
        <v>87</v>
      </c>
      <c r="C358" s="70" t="s">
        <v>1633</v>
      </c>
      <c r="D358" s="77">
        <v>1</v>
      </c>
      <c r="E358" s="73" t="e">
        <f>IF(B358="","",VLOOKUP(C358,RM!$C$4:$F1003,3,FALSE))</f>
        <v>#N/A</v>
      </c>
      <c r="F358" s="74">
        <f>IF(B358="","",IFERROR(SUMIFS(Issue!$D$3:$D1013,Issue!$C$3:$C1013,'S-BOM'!$B358)*'S-BOM'!$D358,""))</f>
        <v>0</v>
      </c>
      <c r="G358" s="75" t="str">
        <f t="array" ref="G358">IFERROR(INDEX(#REF!,MATCH('S-BOM'!$C358,RM!$C$4:$C1003,0)),"")</f>
        <v/>
      </c>
      <c r="H358" s="75" t="str">
        <f t="shared" si="3"/>
        <v/>
      </c>
      <c r="I358" s="76"/>
    </row>
    <row r="359" spans="1:9" ht="15.75" customHeight="1">
      <c r="A359" s="69">
        <f t="shared" si="2"/>
        <v>357</v>
      </c>
      <c r="B359" s="70" t="s">
        <v>87</v>
      </c>
      <c r="C359" s="70" t="s">
        <v>1634</v>
      </c>
      <c r="D359" s="77">
        <v>1</v>
      </c>
      <c r="E359" s="73" t="e">
        <f>IF(B359="","",VLOOKUP(C359,RM!$C$4:$F1003,3,FALSE))</f>
        <v>#N/A</v>
      </c>
      <c r="F359" s="74">
        <f>IF(B359="","",IFERROR(SUMIFS(Issue!$D$3:$D1013,Issue!$C$3:$C1013,'S-BOM'!$B359)*'S-BOM'!$D359,""))</f>
        <v>0</v>
      </c>
      <c r="G359" s="75" t="str">
        <f t="array" ref="G359">IFERROR(INDEX(#REF!,MATCH('S-BOM'!$C359,RM!$C$4:$C1003,0)),"")</f>
        <v/>
      </c>
      <c r="H359" s="75" t="str">
        <f t="shared" si="3"/>
        <v/>
      </c>
      <c r="I359" s="76"/>
    </row>
    <row r="360" spans="1:9" ht="15.75" customHeight="1">
      <c r="A360" s="69">
        <f t="shared" si="2"/>
        <v>358</v>
      </c>
      <c r="B360" s="70" t="s">
        <v>87</v>
      </c>
      <c r="C360" s="70" t="s">
        <v>1635</v>
      </c>
      <c r="D360" s="77">
        <v>1</v>
      </c>
      <c r="E360" s="73" t="e">
        <f>IF(B360="","",VLOOKUP(C360,RM!$C$4:$F1003,3,FALSE))</f>
        <v>#N/A</v>
      </c>
      <c r="F360" s="74">
        <f>IF(B360="","",IFERROR(SUMIFS(Issue!$D$3:$D1013,Issue!$C$3:$C1013,'S-BOM'!$B360)*'S-BOM'!$D360,""))</f>
        <v>0</v>
      </c>
      <c r="G360" s="75" t="str">
        <f t="array" ref="G360">IFERROR(INDEX(#REF!,MATCH('S-BOM'!$C360,RM!$C$4:$C1003,0)),"")</f>
        <v/>
      </c>
      <c r="H360" s="75" t="str">
        <f t="shared" si="3"/>
        <v/>
      </c>
      <c r="I360" s="76"/>
    </row>
    <row r="361" spans="1:9" ht="15.75" customHeight="1">
      <c r="A361" s="69">
        <f t="shared" si="2"/>
        <v>359</v>
      </c>
      <c r="B361" s="70" t="s">
        <v>87</v>
      </c>
      <c r="C361" s="70" t="s">
        <v>1578</v>
      </c>
      <c r="D361" s="77">
        <v>0</v>
      </c>
      <c r="E361" s="73" t="e">
        <f>IF(B361="","",VLOOKUP(C361,RM!$C$4:$F1003,3,FALSE))</f>
        <v>#N/A</v>
      </c>
      <c r="F361" s="74">
        <f>IF(B361="","",IFERROR(SUMIFS(Issue!$D$3:$D1013,Issue!$C$3:$C1013,'S-BOM'!$B361)*'S-BOM'!$D361,""))</f>
        <v>0</v>
      </c>
      <c r="G361" s="75" t="str">
        <f t="array" ref="G361">IFERROR(INDEX(#REF!,MATCH('S-BOM'!$C361,RM!$C$4:$C1003,0)),"")</f>
        <v/>
      </c>
      <c r="H361" s="75" t="str">
        <f t="shared" si="3"/>
        <v/>
      </c>
      <c r="I361" s="76"/>
    </row>
    <row r="362" spans="1:9" ht="15.75" customHeight="1">
      <c r="A362" s="69">
        <f t="shared" si="2"/>
        <v>360</v>
      </c>
      <c r="B362" s="70" t="s">
        <v>87</v>
      </c>
      <c r="C362" s="70" t="s">
        <v>1636</v>
      </c>
      <c r="D362" s="77">
        <v>1</v>
      </c>
      <c r="E362" s="73" t="e">
        <f>IF(B362="","",VLOOKUP(C362,RM!$C$4:$F1003,3,FALSE))</f>
        <v>#N/A</v>
      </c>
      <c r="F362" s="74">
        <f>IF(B362="","",IFERROR(SUMIFS(Issue!$D$3:$D1013,Issue!$C$3:$C1013,'S-BOM'!$B362)*'S-BOM'!$D362,""))</f>
        <v>0</v>
      </c>
      <c r="G362" s="75" t="str">
        <f t="array" ref="G362">IFERROR(INDEX(#REF!,MATCH('S-BOM'!$C362,RM!$C$4:$C1003,0)),"")</f>
        <v/>
      </c>
      <c r="H362" s="75" t="str">
        <f t="shared" si="3"/>
        <v/>
      </c>
      <c r="I362" s="76"/>
    </row>
    <row r="363" spans="1:9" ht="15.75" customHeight="1">
      <c r="A363" s="69">
        <f t="shared" si="2"/>
        <v>361</v>
      </c>
      <c r="B363" s="70" t="s">
        <v>87</v>
      </c>
      <c r="C363" s="70" t="s">
        <v>599</v>
      </c>
      <c r="D363" s="77">
        <v>0.2</v>
      </c>
      <c r="E363" s="73">
        <f>IF(B363="","",VLOOKUP(C363,RM!$C$4:$F1003,3,FALSE))</f>
        <v>0</v>
      </c>
      <c r="F363" s="74">
        <f>IF(B363="","",IFERROR(SUMIFS(Issue!$D$3:$D1013,Issue!$C$3:$C1013,'S-BOM'!$B363)*'S-BOM'!$D363,""))</f>
        <v>0</v>
      </c>
      <c r="G363" s="75" t="str">
        <f t="array" ref="G363">IFERROR(INDEX(#REF!,MATCH('S-BOM'!$C363,RM!$C$4:$C1003,0)),"")</f>
        <v/>
      </c>
      <c r="H363" s="75" t="str">
        <f t="shared" si="3"/>
        <v/>
      </c>
      <c r="I363" s="76"/>
    </row>
    <row r="364" spans="1:9" ht="15.75" customHeight="1">
      <c r="A364" s="69">
        <f t="shared" si="2"/>
        <v>362</v>
      </c>
      <c r="B364" s="70" t="s">
        <v>87</v>
      </c>
      <c r="C364" s="70" t="s">
        <v>603</v>
      </c>
      <c r="D364" s="77">
        <v>0.2</v>
      </c>
      <c r="E364" s="73">
        <f>IF(B364="","",VLOOKUP(C364,RM!$C$4:$F1003,3,FALSE))</f>
        <v>0</v>
      </c>
      <c r="F364" s="74">
        <f>IF(B364="","",IFERROR(SUMIFS(Issue!$D$3:$D1013,Issue!$C$3:$C1013,'S-BOM'!$B364)*'S-BOM'!$D364,""))</f>
        <v>0</v>
      </c>
      <c r="G364" s="75" t="str">
        <f t="array" ref="G364">IFERROR(INDEX(#REF!,MATCH('S-BOM'!$C364,RM!$C$4:$C1003,0)),"")</f>
        <v/>
      </c>
      <c r="H364" s="75" t="str">
        <f t="shared" si="3"/>
        <v/>
      </c>
      <c r="I364" s="76"/>
    </row>
    <row r="365" spans="1:9" ht="15.75" customHeight="1">
      <c r="A365" s="69">
        <f t="shared" si="2"/>
        <v>363</v>
      </c>
      <c r="B365" s="70" t="s">
        <v>87</v>
      </c>
      <c r="C365" s="70" t="s">
        <v>605</v>
      </c>
      <c r="D365" s="77">
        <v>0.2</v>
      </c>
      <c r="E365" s="73">
        <f>IF(B365="","",VLOOKUP(C365,RM!$C$4:$F1003,3,FALSE))</f>
        <v>0</v>
      </c>
      <c r="F365" s="74">
        <f>IF(B365="","",IFERROR(SUMIFS(Issue!$D$3:$D1013,Issue!$C$3:$C1013,'S-BOM'!$B365)*'S-BOM'!$D365,""))</f>
        <v>0</v>
      </c>
      <c r="G365" s="75" t="str">
        <f t="array" ref="G365">IFERROR(INDEX(#REF!,MATCH('S-BOM'!$C365,RM!$C$4:$C1003,0)),"")</f>
        <v/>
      </c>
      <c r="H365" s="75" t="str">
        <f t="shared" si="3"/>
        <v/>
      </c>
      <c r="I365" s="76"/>
    </row>
    <row r="366" spans="1:9" ht="15.75" customHeight="1">
      <c r="A366" s="69">
        <f t="shared" si="2"/>
        <v>364</v>
      </c>
      <c r="B366" s="70" t="s">
        <v>87</v>
      </c>
      <c r="C366" s="70" t="s">
        <v>1505</v>
      </c>
      <c r="D366" s="77">
        <v>0.2</v>
      </c>
      <c r="E366" s="73">
        <f>IF(B366="","",VLOOKUP(C366,RM!$C$4:$F1003,3,FALSE))</f>
        <v>0</v>
      </c>
      <c r="F366" s="74">
        <f>IF(B366="","",IFERROR(SUMIFS(Issue!$D$3:$D1013,Issue!$C$3:$C1013,'S-BOM'!$B366)*'S-BOM'!$D366,""))</f>
        <v>0</v>
      </c>
      <c r="G366" s="75" t="str">
        <f t="array" ref="G366">IFERROR(INDEX(#REF!,MATCH('S-BOM'!$C366,RM!$C$4:$C1003,0)),"")</f>
        <v/>
      </c>
      <c r="H366" s="75" t="str">
        <f t="shared" si="3"/>
        <v/>
      </c>
      <c r="I366" s="76"/>
    </row>
    <row r="367" spans="1:9" ht="15.75" customHeight="1">
      <c r="A367" s="69">
        <f t="shared" si="2"/>
        <v>365</v>
      </c>
      <c r="B367" s="70" t="s">
        <v>87</v>
      </c>
      <c r="C367" s="70" t="s">
        <v>601</v>
      </c>
      <c r="D367" s="77">
        <v>0.2</v>
      </c>
      <c r="E367" s="73">
        <f>IF(B367="","",VLOOKUP(C367,RM!$C$4:$F1003,3,FALSE))</f>
        <v>0</v>
      </c>
      <c r="F367" s="74">
        <f>IF(B367="","",IFERROR(SUMIFS(Issue!$D$3:$D1013,Issue!$C$3:$C1013,'S-BOM'!$B367)*'S-BOM'!$D367,""))</f>
        <v>0</v>
      </c>
      <c r="G367" s="75" t="str">
        <f t="array" ref="G367">IFERROR(INDEX(#REF!,MATCH('S-BOM'!$C367,RM!$C$4:$C1003,0)),"")</f>
        <v/>
      </c>
      <c r="H367" s="75" t="str">
        <f t="shared" si="3"/>
        <v/>
      </c>
      <c r="I367" s="76"/>
    </row>
    <row r="368" spans="1:9" ht="15.75" customHeight="1">
      <c r="A368" s="69">
        <f t="shared" si="2"/>
        <v>366</v>
      </c>
      <c r="B368" s="70" t="s">
        <v>87</v>
      </c>
      <c r="C368" s="70" t="s">
        <v>609</v>
      </c>
      <c r="D368" s="77">
        <v>0.2</v>
      </c>
      <c r="E368" s="73">
        <f>IF(B368="","",VLOOKUP(C368,RM!$C$4:$F1003,3,FALSE))</f>
        <v>0</v>
      </c>
      <c r="F368" s="74">
        <f>IF(B368="","",IFERROR(SUMIFS(Issue!$D$3:$D1013,Issue!$C$3:$C1013,'S-BOM'!$B368)*'S-BOM'!$D368,""))</f>
        <v>0</v>
      </c>
      <c r="G368" s="75" t="str">
        <f t="array" ref="G368">IFERROR(INDEX(#REF!,MATCH('S-BOM'!$C368,RM!$C$4:$C1003,0)),"")</f>
        <v/>
      </c>
      <c r="H368" s="75" t="str">
        <f t="shared" si="3"/>
        <v/>
      </c>
      <c r="I368" s="76"/>
    </row>
    <row r="369" spans="1:9" ht="15.75" customHeight="1">
      <c r="A369" s="69">
        <f t="shared" si="2"/>
        <v>367</v>
      </c>
      <c r="B369" s="70" t="s">
        <v>87</v>
      </c>
      <c r="C369" s="70" t="s">
        <v>611</v>
      </c>
      <c r="D369" s="77">
        <v>0.2</v>
      </c>
      <c r="E369" s="73">
        <f>IF(B369="","",VLOOKUP(C369,RM!$C$4:$F1003,3,FALSE))</f>
        <v>0</v>
      </c>
      <c r="F369" s="74">
        <f>IF(B369="","",IFERROR(SUMIFS(Issue!$D$3:$D1013,Issue!$C$3:$C1013,'S-BOM'!$B369)*'S-BOM'!$D369,""))</f>
        <v>0</v>
      </c>
      <c r="G369" s="75" t="str">
        <f t="array" ref="G369">IFERROR(INDEX(#REF!,MATCH('S-BOM'!$C369,RM!$C$4:$C1003,0)),"")</f>
        <v/>
      </c>
      <c r="H369" s="75" t="str">
        <f t="shared" si="3"/>
        <v/>
      </c>
      <c r="I369" s="76"/>
    </row>
    <row r="370" spans="1:9" ht="15.75" customHeight="1">
      <c r="A370" s="69">
        <f t="shared" si="2"/>
        <v>368</v>
      </c>
      <c r="B370" s="70" t="s">
        <v>87</v>
      </c>
      <c r="C370" s="70" t="s">
        <v>613</v>
      </c>
      <c r="D370" s="77">
        <v>0.2</v>
      </c>
      <c r="E370" s="73">
        <f>IF(B370="","",VLOOKUP(C370,RM!$C$4:$F1003,3,FALSE))</f>
        <v>0</v>
      </c>
      <c r="F370" s="74">
        <f>IF(B370="","",IFERROR(SUMIFS(Issue!$D$3:$D1013,Issue!$C$3:$C1013,'S-BOM'!$B370)*'S-BOM'!$D370,""))</f>
        <v>0</v>
      </c>
      <c r="G370" s="75" t="str">
        <f t="array" ref="G370">IFERROR(INDEX(#REF!,MATCH('S-BOM'!$C370,RM!$C$4:$C1003,0)),"")</f>
        <v/>
      </c>
      <c r="H370" s="75" t="str">
        <f t="shared" si="3"/>
        <v/>
      </c>
      <c r="I370" s="76"/>
    </row>
    <row r="371" spans="1:9" ht="15.75" customHeight="1">
      <c r="A371" s="69">
        <f t="shared" si="2"/>
        <v>369</v>
      </c>
      <c r="B371" s="70" t="s">
        <v>87</v>
      </c>
      <c r="C371" s="70" t="s">
        <v>615</v>
      </c>
      <c r="D371" s="77">
        <v>0.2</v>
      </c>
      <c r="E371" s="73">
        <f>IF(B371="","",VLOOKUP(C371,RM!$C$4:$F1003,3,FALSE))</f>
        <v>0</v>
      </c>
      <c r="F371" s="74">
        <f>IF(B371="","",IFERROR(SUMIFS(Issue!$D$3:$D1013,Issue!$C$3:$C1013,'S-BOM'!$B371)*'S-BOM'!$D371,""))</f>
        <v>0</v>
      </c>
      <c r="G371" s="75" t="str">
        <f t="array" ref="G371">IFERROR(INDEX(#REF!,MATCH('S-BOM'!$C371,RM!$C$4:$C1003,0)),"")</f>
        <v/>
      </c>
      <c r="H371" s="75" t="str">
        <f t="shared" si="3"/>
        <v/>
      </c>
      <c r="I371" s="76"/>
    </row>
    <row r="372" spans="1:9" ht="15.75" customHeight="1">
      <c r="A372" s="69">
        <f t="shared" si="2"/>
        <v>370</v>
      </c>
      <c r="B372" s="70" t="s">
        <v>87</v>
      </c>
      <c r="C372" s="70" t="s">
        <v>1637</v>
      </c>
      <c r="D372" s="77">
        <v>1</v>
      </c>
      <c r="E372" s="73" t="e">
        <f>IF(B372="","",VLOOKUP(C372,RM!$C$4:$F1003,3,FALSE))</f>
        <v>#N/A</v>
      </c>
      <c r="F372" s="74">
        <f>IF(B372="","",IFERROR(SUMIFS(Issue!$D$3:$D1013,Issue!$C$3:$C1013,'S-BOM'!$B372)*'S-BOM'!$D372,""))</f>
        <v>0</v>
      </c>
      <c r="G372" s="75" t="str">
        <f t="array" ref="G372">IFERROR(INDEX(#REF!,MATCH('S-BOM'!$C372,RM!$C$4:$C1003,0)),"")</f>
        <v/>
      </c>
      <c r="H372" s="75" t="str">
        <f t="shared" si="3"/>
        <v/>
      </c>
      <c r="I372" s="76"/>
    </row>
    <row r="373" spans="1:9" ht="15.75" customHeight="1">
      <c r="A373" s="69">
        <f t="shared" si="2"/>
        <v>371</v>
      </c>
      <c r="B373" s="70" t="s">
        <v>87</v>
      </c>
      <c r="C373" s="70" t="s">
        <v>1638</v>
      </c>
      <c r="D373" s="77">
        <v>1</v>
      </c>
      <c r="E373" s="73" t="e">
        <f>IF(B373="","",VLOOKUP(C373,RM!$C$4:$F1003,3,FALSE))</f>
        <v>#N/A</v>
      </c>
      <c r="F373" s="74">
        <f>IF(B373="","",IFERROR(SUMIFS(Issue!$D$3:$D1013,Issue!$C$3:$C1013,'S-BOM'!$B373)*'S-BOM'!$D373,""))</f>
        <v>0</v>
      </c>
      <c r="G373" s="75" t="str">
        <f t="array" ref="G373">IFERROR(INDEX(#REF!,MATCH('S-BOM'!$C373,RM!$C$4:$C1003,0)),"")</f>
        <v/>
      </c>
      <c r="H373" s="75" t="str">
        <f t="shared" si="3"/>
        <v/>
      </c>
      <c r="I373" s="76"/>
    </row>
    <row r="374" spans="1:9" ht="15.75" customHeight="1">
      <c r="A374" s="69">
        <f t="shared" si="2"/>
        <v>372</v>
      </c>
      <c r="B374" s="70" t="s">
        <v>87</v>
      </c>
      <c r="C374" s="70" t="s">
        <v>1639</v>
      </c>
      <c r="D374" s="77">
        <v>1</v>
      </c>
      <c r="E374" s="73" t="e">
        <f>IF(B374="","",VLOOKUP(C374,RM!$C$4:$F1003,3,FALSE))</f>
        <v>#N/A</v>
      </c>
      <c r="F374" s="74">
        <f>IF(B374="","",IFERROR(SUMIFS(Issue!$D$3:$D1013,Issue!$C$3:$C1013,'S-BOM'!$B374)*'S-BOM'!$D374,""))</f>
        <v>0</v>
      </c>
      <c r="G374" s="75" t="str">
        <f t="array" ref="G374">IFERROR(INDEX(#REF!,MATCH('S-BOM'!$C374,RM!$C$4:$C1003,0)),"")</f>
        <v/>
      </c>
      <c r="H374" s="75" t="str">
        <f t="shared" si="3"/>
        <v/>
      </c>
      <c r="I374" s="76"/>
    </row>
    <row r="375" spans="1:9" ht="15.75" customHeight="1">
      <c r="A375" s="69">
        <f t="shared" si="2"/>
        <v>373</v>
      </c>
      <c r="B375" s="70" t="s">
        <v>87</v>
      </c>
      <c r="C375" s="70" t="s">
        <v>1640</v>
      </c>
      <c r="D375" s="77">
        <v>1</v>
      </c>
      <c r="E375" s="73" t="e">
        <f>IF(B375="","",VLOOKUP(C375,RM!$C$4:$F1003,3,FALSE))</f>
        <v>#N/A</v>
      </c>
      <c r="F375" s="74">
        <f>IF(B375="","",IFERROR(SUMIFS(Issue!$D$3:$D1013,Issue!$C$3:$C1013,'S-BOM'!$B375)*'S-BOM'!$D375,""))</f>
        <v>0</v>
      </c>
      <c r="G375" s="75" t="str">
        <f t="array" ref="G375">IFERROR(INDEX(#REF!,MATCH('S-BOM'!$C375,RM!$C$4:$C1003,0)),"")</f>
        <v/>
      </c>
      <c r="H375" s="75" t="str">
        <f t="shared" si="3"/>
        <v/>
      </c>
      <c r="I375" s="76"/>
    </row>
    <row r="376" spans="1:9" ht="15.75" customHeight="1">
      <c r="A376" s="69">
        <f t="shared" si="2"/>
        <v>374</v>
      </c>
      <c r="B376" s="70" t="s">
        <v>87</v>
      </c>
      <c r="C376" s="70" t="s">
        <v>1458</v>
      </c>
      <c r="D376" s="77">
        <v>20</v>
      </c>
      <c r="E376" s="73" t="e">
        <f>IF(B376="","",VLOOKUP(C376,RM!$C$4:$F1003,3,FALSE))</f>
        <v>#N/A</v>
      </c>
      <c r="F376" s="74">
        <f>IF(B376="","",IFERROR(SUMIFS(Issue!$D$3:$D1013,Issue!$C$3:$C1013,'S-BOM'!$B376)*'S-BOM'!$D376,""))</f>
        <v>0</v>
      </c>
      <c r="G376" s="75" t="str">
        <f t="array" ref="G376">IFERROR(INDEX(#REF!,MATCH('S-BOM'!$C376,RM!$C$4:$C1003,0)),"")</f>
        <v/>
      </c>
      <c r="H376" s="75" t="str">
        <f t="shared" si="3"/>
        <v/>
      </c>
      <c r="I376" s="76"/>
    </row>
    <row r="377" spans="1:9" ht="15.75" customHeight="1">
      <c r="A377" s="69">
        <f t="shared" si="2"/>
        <v>375</v>
      </c>
      <c r="B377" s="70" t="s">
        <v>87</v>
      </c>
      <c r="C377" s="70" t="s">
        <v>1641</v>
      </c>
      <c r="D377" s="77">
        <v>2</v>
      </c>
      <c r="E377" s="73" t="e">
        <f>IF(B377="","",VLOOKUP(C377,RM!$C$4:$F1003,3,FALSE))</f>
        <v>#N/A</v>
      </c>
      <c r="F377" s="74">
        <f>IF(B377="","",IFERROR(SUMIFS(Issue!$D$3:$D1013,Issue!$C$3:$C1013,'S-BOM'!$B377)*'S-BOM'!$D377,""))</f>
        <v>0</v>
      </c>
      <c r="G377" s="75" t="str">
        <f t="array" ref="G377">IFERROR(INDEX(#REF!,MATCH('S-BOM'!$C377,RM!$C$4:$C1003,0)),"")</f>
        <v/>
      </c>
      <c r="H377" s="75" t="str">
        <f t="shared" si="3"/>
        <v/>
      </c>
      <c r="I377" s="76"/>
    </row>
    <row r="378" spans="1:9" ht="15.75" customHeight="1">
      <c r="A378" s="69">
        <f t="shared" si="2"/>
        <v>376</v>
      </c>
      <c r="B378" s="70" t="s">
        <v>87</v>
      </c>
      <c r="C378" s="70" t="s">
        <v>1642</v>
      </c>
      <c r="D378" s="77">
        <v>2</v>
      </c>
      <c r="E378" s="73" t="e">
        <f>IF(B378="","",VLOOKUP(C378,RM!$C$4:$F1003,3,FALSE))</f>
        <v>#N/A</v>
      </c>
      <c r="F378" s="74">
        <f>IF(B378="","",IFERROR(SUMIFS(Issue!$D$3:$D1013,Issue!$C$3:$C1013,'S-BOM'!$B378)*'S-BOM'!$D378,""))</f>
        <v>0</v>
      </c>
      <c r="G378" s="75" t="str">
        <f t="array" ref="G378">IFERROR(INDEX(#REF!,MATCH('S-BOM'!$C378,RM!$C$4:$C1003,0)),"")</f>
        <v/>
      </c>
      <c r="H378" s="75" t="str">
        <f t="shared" si="3"/>
        <v/>
      </c>
      <c r="I378" s="76"/>
    </row>
    <row r="379" spans="1:9" ht="15.75" customHeight="1">
      <c r="A379" s="69">
        <f t="shared" si="2"/>
        <v>377</v>
      </c>
      <c r="B379" s="70" t="s">
        <v>87</v>
      </c>
      <c r="C379" s="70" t="s">
        <v>1643</v>
      </c>
      <c r="D379" s="77">
        <v>2</v>
      </c>
      <c r="E379" s="73" t="e">
        <f>IF(B379="","",VLOOKUP(C379,RM!$C$4:$F1003,3,FALSE))</f>
        <v>#N/A</v>
      </c>
      <c r="F379" s="74">
        <f>IF(B379="","",IFERROR(SUMIFS(Issue!$D$3:$D1013,Issue!$C$3:$C1013,'S-BOM'!$B379)*'S-BOM'!$D379,""))</f>
        <v>0</v>
      </c>
      <c r="G379" s="75" t="str">
        <f t="array" ref="G379">IFERROR(INDEX(#REF!,MATCH('S-BOM'!$C379,RM!$C$4:$C1003,0)),"")</f>
        <v/>
      </c>
      <c r="H379" s="75" t="str">
        <f t="shared" si="3"/>
        <v/>
      </c>
      <c r="I379" s="76"/>
    </row>
    <row r="380" spans="1:9" ht="15.75" customHeight="1">
      <c r="A380" s="69">
        <f t="shared" si="2"/>
        <v>378</v>
      </c>
      <c r="B380" s="70" t="s">
        <v>87</v>
      </c>
      <c r="C380" s="70" t="s">
        <v>1644</v>
      </c>
      <c r="D380" s="77">
        <v>4</v>
      </c>
      <c r="E380" s="73" t="e">
        <f>IF(B380="","",VLOOKUP(C380,RM!$C$4:$F1003,3,FALSE))</f>
        <v>#N/A</v>
      </c>
      <c r="F380" s="74">
        <f>IF(B380="","",IFERROR(SUMIFS(Issue!$D$3:$D1013,Issue!$C$3:$C1013,'S-BOM'!$B380)*'S-BOM'!$D380,""))</f>
        <v>0</v>
      </c>
      <c r="G380" s="75" t="str">
        <f t="array" ref="G380">IFERROR(INDEX(#REF!,MATCH('S-BOM'!$C380,RM!$C$4:$C1003,0)),"")</f>
        <v/>
      </c>
      <c r="H380" s="75" t="str">
        <f t="shared" si="3"/>
        <v/>
      </c>
      <c r="I380" s="76"/>
    </row>
    <row r="381" spans="1:9" ht="15.75" customHeight="1">
      <c r="A381" s="69">
        <f t="shared" si="2"/>
        <v>379</v>
      </c>
      <c r="B381" s="70" t="s">
        <v>87</v>
      </c>
      <c r="C381" s="70" t="s">
        <v>1645</v>
      </c>
      <c r="D381" s="77">
        <v>1</v>
      </c>
      <c r="E381" s="73" t="e">
        <f>IF(B381="","",VLOOKUP(C381,RM!$C$4:$F1003,3,FALSE))</f>
        <v>#N/A</v>
      </c>
      <c r="F381" s="74">
        <f>IF(B381="","",IFERROR(SUMIFS(Issue!$D$3:$D1013,Issue!$C$3:$C1013,'S-BOM'!$B381)*'S-BOM'!$D381,""))</f>
        <v>0</v>
      </c>
      <c r="G381" s="75" t="str">
        <f t="array" ref="G381">IFERROR(INDEX(#REF!,MATCH('S-BOM'!$C381,RM!$C$4:$C1003,0)),"")</f>
        <v/>
      </c>
      <c r="H381" s="75" t="str">
        <f t="shared" si="3"/>
        <v/>
      </c>
      <c r="I381" s="76"/>
    </row>
    <row r="382" spans="1:9" ht="15.75" customHeight="1">
      <c r="A382" s="69">
        <f t="shared" si="2"/>
        <v>380</v>
      </c>
      <c r="B382" s="70" t="s">
        <v>87</v>
      </c>
      <c r="C382" s="70" t="s">
        <v>1646</v>
      </c>
      <c r="D382" s="77">
        <v>1</v>
      </c>
      <c r="E382" s="73" t="e">
        <f>IF(B382="","",VLOOKUP(C382,RM!$C$4:$F1003,3,FALSE))</f>
        <v>#N/A</v>
      </c>
      <c r="F382" s="74">
        <f>IF(B382="","",IFERROR(SUMIFS(Issue!$D$3:$D1013,Issue!$C$3:$C1013,'S-BOM'!$B382)*'S-BOM'!$D382,""))</f>
        <v>0</v>
      </c>
      <c r="G382" s="75" t="str">
        <f t="array" ref="G382">IFERROR(INDEX(#REF!,MATCH('S-BOM'!$C382,RM!$C$4:$C1003,0)),"")</f>
        <v/>
      </c>
      <c r="H382" s="75" t="str">
        <f t="shared" si="3"/>
        <v/>
      </c>
      <c r="I382" s="76"/>
    </row>
    <row r="383" spans="1:9" ht="15.75" customHeight="1">
      <c r="A383" s="69">
        <f t="shared" si="2"/>
        <v>381</v>
      </c>
      <c r="B383" s="70" t="s">
        <v>87</v>
      </c>
      <c r="C383" s="70" t="s">
        <v>1647</v>
      </c>
      <c r="D383" s="77">
        <v>2</v>
      </c>
      <c r="E383" s="73" t="e">
        <f>IF(B383="","",VLOOKUP(C383,RM!$C$4:$F1003,3,FALSE))</f>
        <v>#N/A</v>
      </c>
      <c r="F383" s="74">
        <f>IF(B383="","",IFERROR(SUMIFS(Issue!$D$3:$D1013,Issue!$C$3:$C1013,'S-BOM'!$B383)*'S-BOM'!$D383,""))</f>
        <v>0</v>
      </c>
      <c r="G383" s="75" t="str">
        <f t="array" ref="G383">IFERROR(INDEX(#REF!,MATCH('S-BOM'!$C383,RM!$C$4:$C1003,0)),"")</f>
        <v/>
      </c>
      <c r="H383" s="75" t="str">
        <f t="shared" si="3"/>
        <v/>
      </c>
      <c r="I383" s="76"/>
    </row>
    <row r="384" spans="1:9" ht="15.75" customHeight="1">
      <c r="A384" s="69">
        <f t="shared" si="2"/>
        <v>382</v>
      </c>
      <c r="B384" s="70" t="s">
        <v>87</v>
      </c>
      <c r="C384" s="70" t="s">
        <v>1648</v>
      </c>
      <c r="D384" s="77">
        <v>1</v>
      </c>
      <c r="E384" s="73" t="e">
        <f>IF(B384="","",VLOOKUP(C384,RM!$C$4:$F1003,3,FALSE))</f>
        <v>#N/A</v>
      </c>
      <c r="F384" s="74">
        <f>IF(B384="","",IFERROR(SUMIFS(Issue!$D$3:$D1013,Issue!$C$3:$C1013,'S-BOM'!$B384)*'S-BOM'!$D384,""))</f>
        <v>0</v>
      </c>
      <c r="G384" s="75" t="str">
        <f t="array" ref="G384">IFERROR(INDEX(#REF!,MATCH('S-BOM'!$C384,RM!$C$4:$C1003,0)),"")</f>
        <v/>
      </c>
      <c r="H384" s="75" t="str">
        <f t="shared" si="3"/>
        <v/>
      </c>
      <c r="I384" s="76"/>
    </row>
    <row r="385" spans="1:9" ht="15.75" customHeight="1">
      <c r="A385" s="69">
        <f t="shared" si="2"/>
        <v>383</v>
      </c>
      <c r="B385" s="70" t="s">
        <v>87</v>
      </c>
      <c r="C385" s="70" t="s">
        <v>1649</v>
      </c>
      <c r="D385" s="77">
        <v>1</v>
      </c>
      <c r="E385" s="73" t="e">
        <f>IF(B385="","",VLOOKUP(C385,RM!$C$4:$F1003,3,FALSE))</f>
        <v>#N/A</v>
      </c>
      <c r="F385" s="74">
        <f>IF(B385="","",IFERROR(SUMIFS(Issue!$D$3:$D1013,Issue!$C$3:$C1013,'S-BOM'!$B385)*'S-BOM'!$D385,""))</f>
        <v>0</v>
      </c>
      <c r="G385" s="75" t="str">
        <f t="array" ref="G385">IFERROR(INDEX(#REF!,MATCH('S-BOM'!$C385,RM!$C$4:$C1003,0)),"")</f>
        <v/>
      </c>
      <c r="H385" s="75" t="str">
        <f t="shared" si="3"/>
        <v/>
      </c>
      <c r="I385" s="76"/>
    </row>
    <row r="386" spans="1:9" ht="15.75" customHeight="1">
      <c r="A386" s="69">
        <f t="shared" si="2"/>
        <v>384</v>
      </c>
      <c r="B386" s="70" t="s">
        <v>87</v>
      </c>
      <c r="C386" s="70" t="s">
        <v>1650</v>
      </c>
      <c r="D386" s="77">
        <v>2</v>
      </c>
      <c r="E386" s="73" t="e">
        <f>IF(B386="","",VLOOKUP(C386,RM!$C$4:$F1003,3,FALSE))</f>
        <v>#N/A</v>
      </c>
      <c r="F386" s="74">
        <f>IF(B386="","",IFERROR(SUMIFS(Issue!$D$3:$D1013,Issue!$C$3:$C1013,'S-BOM'!$B386)*'S-BOM'!$D386,""))</f>
        <v>0</v>
      </c>
      <c r="G386" s="75" t="str">
        <f t="array" ref="G386">IFERROR(INDEX(#REF!,MATCH('S-BOM'!$C386,RM!$C$4:$C1003,0)),"")</f>
        <v/>
      </c>
      <c r="H386" s="75" t="str">
        <f t="shared" si="3"/>
        <v/>
      </c>
      <c r="I386" s="76"/>
    </row>
    <row r="387" spans="1:9" ht="15.75" customHeight="1">
      <c r="A387" s="69">
        <f t="shared" si="2"/>
        <v>385</v>
      </c>
      <c r="B387" s="70" t="s">
        <v>87</v>
      </c>
      <c r="C387" s="70" t="s">
        <v>1651</v>
      </c>
      <c r="D387" s="77">
        <v>2</v>
      </c>
      <c r="E387" s="73" t="e">
        <f>IF(B387="","",VLOOKUP(C387,RM!$C$4:$F1003,3,FALSE))</f>
        <v>#N/A</v>
      </c>
      <c r="F387" s="74">
        <f>IF(B387="","",IFERROR(SUMIFS(Issue!$D$3:$D1013,Issue!$C$3:$C1013,'S-BOM'!$B387)*'S-BOM'!$D387,""))</f>
        <v>0</v>
      </c>
      <c r="G387" s="75" t="str">
        <f t="array" ref="G387">IFERROR(INDEX(#REF!,MATCH('S-BOM'!$C387,RM!$C$4:$C1003,0)),"")</f>
        <v/>
      </c>
      <c r="H387" s="75" t="str">
        <f t="shared" si="3"/>
        <v/>
      </c>
      <c r="I387" s="76"/>
    </row>
    <row r="388" spans="1:9" ht="15.75" customHeight="1">
      <c r="A388" s="69">
        <f t="shared" si="2"/>
        <v>386</v>
      </c>
      <c r="B388" s="70" t="s">
        <v>87</v>
      </c>
      <c r="C388" s="70" t="s">
        <v>1652</v>
      </c>
      <c r="D388" s="77">
        <v>2</v>
      </c>
      <c r="E388" s="73" t="e">
        <f>IF(B388="","",VLOOKUP(C388,RM!$C$4:$F1003,3,FALSE))</f>
        <v>#N/A</v>
      </c>
      <c r="F388" s="74">
        <f>IF(B388="","",IFERROR(SUMIFS(Issue!$D$3:$D1013,Issue!$C$3:$C1013,'S-BOM'!$B388)*'S-BOM'!$D388,""))</f>
        <v>0</v>
      </c>
      <c r="G388" s="75" t="str">
        <f t="array" ref="G388">IFERROR(INDEX(#REF!,MATCH('S-BOM'!$C388,RM!$C$4:$C1003,0)),"")</f>
        <v/>
      </c>
      <c r="H388" s="75" t="str">
        <f t="shared" si="3"/>
        <v/>
      </c>
      <c r="I388" s="76"/>
    </row>
    <row r="389" spans="1:9" ht="15.75" customHeight="1">
      <c r="A389" s="69">
        <f t="shared" si="2"/>
        <v>387</v>
      </c>
      <c r="B389" s="70" t="s">
        <v>87</v>
      </c>
      <c r="C389" s="70" t="s">
        <v>1653</v>
      </c>
      <c r="D389" s="77">
        <v>1</v>
      </c>
      <c r="E389" s="73" t="e">
        <f>IF(B389="","",VLOOKUP(C389,RM!$C$4:$F1003,3,FALSE))</f>
        <v>#N/A</v>
      </c>
      <c r="F389" s="74">
        <f>IF(B389="","",IFERROR(SUMIFS(Issue!$D$3:$D1013,Issue!$C$3:$C1013,'S-BOM'!$B389)*'S-BOM'!$D389,""))</f>
        <v>0</v>
      </c>
      <c r="G389" s="75" t="str">
        <f t="array" ref="G389">IFERROR(INDEX(#REF!,MATCH('S-BOM'!$C389,RM!$C$4:$C1003,0)),"")</f>
        <v/>
      </c>
      <c r="H389" s="75" t="str">
        <f t="shared" si="3"/>
        <v/>
      </c>
      <c r="I389" s="76"/>
    </row>
    <row r="390" spans="1:9" ht="15.75" customHeight="1">
      <c r="A390" s="69">
        <f t="shared" si="2"/>
        <v>388</v>
      </c>
      <c r="B390" s="70" t="s">
        <v>87</v>
      </c>
      <c r="C390" s="70" t="s">
        <v>1654</v>
      </c>
      <c r="D390" s="77">
        <v>1</v>
      </c>
      <c r="E390" s="73" t="e">
        <f>IF(B390="","",VLOOKUP(C390,RM!$C$4:$F1003,3,FALSE))</f>
        <v>#N/A</v>
      </c>
      <c r="F390" s="74">
        <f>IF(B390="","",IFERROR(SUMIFS(Issue!$D$3:$D1013,Issue!$C$3:$C1013,'S-BOM'!$B390)*'S-BOM'!$D390,""))</f>
        <v>0</v>
      </c>
      <c r="G390" s="75" t="str">
        <f t="array" ref="G390">IFERROR(INDEX(#REF!,MATCH('S-BOM'!$C390,RM!$C$4:$C1003,0)),"")</f>
        <v/>
      </c>
      <c r="H390" s="75" t="str">
        <f t="shared" si="3"/>
        <v/>
      </c>
      <c r="I390" s="76"/>
    </row>
    <row r="391" spans="1:9" ht="15.75" customHeight="1">
      <c r="A391" s="69">
        <f t="shared" si="2"/>
        <v>389</v>
      </c>
      <c r="B391" s="70" t="s">
        <v>87</v>
      </c>
      <c r="C391" s="70" t="s">
        <v>1655</v>
      </c>
      <c r="D391" s="77">
        <v>20</v>
      </c>
      <c r="E391" s="73" t="e">
        <f>IF(B391="","",VLOOKUP(C391,RM!$C$4:$F1003,3,FALSE))</f>
        <v>#N/A</v>
      </c>
      <c r="F391" s="74">
        <f>IF(B391="","",IFERROR(SUMIFS(Issue!$D$3:$D1013,Issue!$C$3:$C1013,'S-BOM'!$B391)*'S-BOM'!$D391,""))</f>
        <v>0</v>
      </c>
      <c r="G391" s="75" t="str">
        <f t="array" ref="G391">IFERROR(INDEX(#REF!,MATCH('S-BOM'!$C391,RM!$C$4:$C1003,0)),"")</f>
        <v/>
      </c>
      <c r="H391" s="75" t="str">
        <f t="shared" si="3"/>
        <v/>
      </c>
      <c r="I391" s="76"/>
    </row>
    <row r="392" spans="1:9" ht="15.75" customHeight="1">
      <c r="A392" s="69">
        <f t="shared" si="2"/>
        <v>390</v>
      </c>
      <c r="B392" s="70" t="s">
        <v>87</v>
      </c>
      <c r="C392" s="70" t="s">
        <v>1656</v>
      </c>
      <c r="D392" s="77">
        <v>1</v>
      </c>
      <c r="E392" s="73" t="e">
        <f>IF(B392="","",VLOOKUP(C392,RM!$C$4:$F1003,3,FALSE))</f>
        <v>#N/A</v>
      </c>
      <c r="F392" s="74">
        <f>IF(B392="","",IFERROR(SUMIFS(Issue!$D$3:$D1013,Issue!$C$3:$C1013,'S-BOM'!$B392)*'S-BOM'!$D392,""))</f>
        <v>0</v>
      </c>
      <c r="G392" s="75" t="str">
        <f t="array" ref="G392">IFERROR(INDEX(#REF!,MATCH('S-BOM'!$C392,RM!$C$4:$C1003,0)),"")</f>
        <v/>
      </c>
      <c r="H392" s="75" t="str">
        <f t="shared" si="3"/>
        <v/>
      </c>
      <c r="I392" s="76"/>
    </row>
    <row r="393" spans="1:9" ht="15.75" customHeight="1">
      <c r="A393" s="69">
        <f t="shared" si="2"/>
        <v>391</v>
      </c>
      <c r="B393" s="70" t="s">
        <v>107</v>
      </c>
      <c r="C393" s="70" t="s">
        <v>1657</v>
      </c>
      <c r="D393" s="77">
        <v>1</v>
      </c>
      <c r="E393" s="73" t="e">
        <f>IF(B393="","",VLOOKUP(C393,RM!$C$4:$F1003,3,FALSE))</f>
        <v>#N/A</v>
      </c>
      <c r="F393" s="74">
        <f>IF(B393="","",IFERROR(SUMIFS(Issue!$D$3:$D1013,Issue!$C$3:$C1013,'S-BOM'!$B393)*'S-BOM'!$D393,""))</f>
        <v>0</v>
      </c>
      <c r="G393" s="75" t="str">
        <f t="array" ref="G393">IFERROR(INDEX(#REF!,MATCH('S-BOM'!$C393,RM!$C$4:$C1003,0)),"")</f>
        <v/>
      </c>
      <c r="H393" s="75" t="str">
        <f t="shared" si="3"/>
        <v/>
      </c>
      <c r="I393" s="76"/>
    </row>
    <row r="394" spans="1:9" ht="15.75" customHeight="1">
      <c r="A394" s="69">
        <f t="shared" si="2"/>
        <v>392</v>
      </c>
      <c r="B394" s="70" t="s">
        <v>107</v>
      </c>
      <c r="C394" s="70" t="s">
        <v>1658</v>
      </c>
      <c r="D394" s="77">
        <v>1</v>
      </c>
      <c r="E394" s="73" t="e">
        <f>IF(B394="","",VLOOKUP(C394,RM!$C$4:$F1003,3,FALSE))</f>
        <v>#N/A</v>
      </c>
      <c r="F394" s="74">
        <f>IF(B394="","",IFERROR(SUMIFS(Issue!$D$3:$D1013,Issue!$C$3:$C1013,'S-BOM'!$B394)*'S-BOM'!$D394,""))</f>
        <v>0</v>
      </c>
      <c r="G394" s="75" t="str">
        <f t="array" ref="G394">IFERROR(INDEX(#REF!,MATCH('S-BOM'!$C394,RM!$C$4:$C1003,0)),"")</f>
        <v/>
      </c>
      <c r="H394" s="75" t="str">
        <f t="shared" si="3"/>
        <v/>
      </c>
      <c r="I394" s="76"/>
    </row>
    <row r="395" spans="1:9" ht="15.75" customHeight="1">
      <c r="A395" s="69">
        <f t="shared" si="2"/>
        <v>393</v>
      </c>
      <c r="B395" s="70" t="s">
        <v>107</v>
      </c>
      <c r="C395" s="70" t="s">
        <v>1659</v>
      </c>
      <c r="D395" s="77">
        <v>1</v>
      </c>
      <c r="E395" s="73" t="e">
        <f>IF(B395="","",VLOOKUP(C395,RM!$C$4:$F1003,3,FALSE))</f>
        <v>#N/A</v>
      </c>
      <c r="F395" s="74">
        <f>IF(B395="","",IFERROR(SUMIFS(Issue!$D$3:$D1013,Issue!$C$3:$C1013,'S-BOM'!$B395)*'S-BOM'!$D395,""))</f>
        <v>0</v>
      </c>
      <c r="G395" s="75" t="str">
        <f t="array" ref="G395">IFERROR(INDEX(#REF!,MATCH('S-BOM'!$C395,RM!$C$4:$C1003,0)),"")</f>
        <v/>
      </c>
      <c r="H395" s="75" t="str">
        <f t="shared" si="3"/>
        <v/>
      </c>
      <c r="I395" s="76"/>
    </row>
    <row r="396" spans="1:9" ht="15.75" customHeight="1">
      <c r="A396" s="69">
        <f t="shared" si="2"/>
        <v>394</v>
      </c>
      <c r="B396" s="70" t="s">
        <v>107</v>
      </c>
      <c r="C396" s="70" t="s">
        <v>1660</v>
      </c>
      <c r="D396" s="77">
        <v>1</v>
      </c>
      <c r="E396" s="73" t="e">
        <f>IF(B396="","",VLOOKUP(C396,RM!$C$4:$F1003,3,FALSE))</f>
        <v>#N/A</v>
      </c>
      <c r="F396" s="74">
        <f>IF(B396="","",IFERROR(SUMIFS(Issue!$D$3:$D1013,Issue!$C$3:$C1013,'S-BOM'!$B396)*'S-BOM'!$D396,""))</f>
        <v>0</v>
      </c>
      <c r="G396" s="75" t="str">
        <f t="array" ref="G396">IFERROR(INDEX(#REF!,MATCH('S-BOM'!$C396,RM!$C$4:$C1003,0)),"")</f>
        <v/>
      </c>
      <c r="H396" s="75" t="str">
        <f t="shared" si="3"/>
        <v/>
      </c>
      <c r="I396" s="76"/>
    </row>
    <row r="397" spans="1:9" ht="15.75" customHeight="1">
      <c r="A397" s="69">
        <f t="shared" si="2"/>
        <v>395</v>
      </c>
      <c r="B397" s="70" t="s">
        <v>1661</v>
      </c>
      <c r="C397" s="70" t="s">
        <v>1662</v>
      </c>
      <c r="D397" s="77">
        <v>4</v>
      </c>
      <c r="E397" s="73" t="e">
        <f>IF(B397="","",VLOOKUP(C397,RM!$C$4:$F1003,3,FALSE))</f>
        <v>#N/A</v>
      </c>
      <c r="F397" s="74">
        <f>IF(B397="","",IFERROR(SUMIFS(Issue!$D$3:$D1013,Issue!$C$3:$C1013,'S-BOM'!$B397)*'S-BOM'!$D397,""))</f>
        <v>0</v>
      </c>
      <c r="G397" s="75" t="str">
        <f t="array" ref="G397">IFERROR(INDEX(#REF!,MATCH('S-BOM'!$C397,RM!$C$4:$C1003,0)),"")</f>
        <v/>
      </c>
      <c r="H397" s="75" t="str">
        <f t="shared" si="3"/>
        <v/>
      </c>
      <c r="I397" s="76"/>
    </row>
    <row r="398" spans="1:9" ht="15.75" customHeight="1">
      <c r="A398" s="69">
        <f t="shared" si="2"/>
        <v>396</v>
      </c>
      <c r="B398" s="70" t="s">
        <v>1661</v>
      </c>
      <c r="C398" s="70" t="s">
        <v>1663</v>
      </c>
      <c r="D398" s="77">
        <v>1</v>
      </c>
      <c r="E398" s="73" t="e">
        <f>IF(B398="","",VLOOKUP(C398,RM!$C$4:$F1003,3,FALSE))</f>
        <v>#N/A</v>
      </c>
      <c r="F398" s="74">
        <f>IF(B398="","",IFERROR(SUMIFS(Issue!$D$3:$D1013,Issue!$C$3:$C1013,'S-BOM'!$B398)*'S-BOM'!$D398,""))</f>
        <v>0</v>
      </c>
      <c r="G398" s="75" t="str">
        <f t="array" ref="G398">IFERROR(INDEX(#REF!,MATCH('S-BOM'!$C398,RM!$C$4:$C1003,0)),"")</f>
        <v/>
      </c>
      <c r="H398" s="75" t="str">
        <f t="shared" si="3"/>
        <v/>
      </c>
      <c r="I398" s="76"/>
    </row>
    <row r="399" spans="1:9" ht="15.75" customHeight="1">
      <c r="A399" s="69">
        <f t="shared" si="2"/>
        <v>397</v>
      </c>
      <c r="B399" s="70" t="s">
        <v>1661</v>
      </c>
      <c r="C399" s="70" t="s">
        <v>1664</v>
      </c>
      <c r="D399" s="77">
        <v>1</v>
      </c>
      <c r="E399" s="73" t="e">
        <f>IF(B399="","",VLOOKUP(C399,RM!$C$4:$F1003,3,FALSE))</f>
        <v>#N/A</v>
      </c>
      <c r="F399" s="74">
        <f>IF(B399="","",IFERROR(SUMIFS(Issue!$D$3:$D1013,Issue!$C$3:$C1013,'S-BOM'!$B399)*'S-BOM'!$D399,""))</f>
        <v>0</v>
      </c>
      <c r="G399" s="75" t="str">
        <f t="array" ref="G399">IFERROR(INDEX(#REF!,MATCH('S-BOM'!$C399,RM!$C$4:$C1003,0)),"")</f>
        <v/>
      </c>
      <c r="H399" s="75" t="str">
        <f t="shared" si="3"/>
        <v/>
      </c>
      <c r="I399" s="76"/>
    </row>
    <row r="400" spans="1:9" ht="15.75" customHeight="1">
      <c r="A400" s="69">
        <f t="shared" si="2"/>
        <v>398</v>
      </c>
      <c r="B400" s="70" t="s">
        <v>1661</v>
      </c>
      <c r="C400" s="70" t="s">
        <v>1665</v>
      </c>
      <c r="D400" s="77">
        <v>1</v>
      </c>
      <c r="E400" s="73" t="e">
        <f>IF(B400="","",VLOOKUP(C400,RM!$C$4:$F1003,3,FALSE))</f>
        <v>#N/A</v>
      </c>
      <c r="F400" s="74">
        <f>IF(B400="","",IFERROR(SUMIFS(Issue!$D$3:$D1013,Issue!$C$3:$C1013,'S-BOM'!$B400)*'S-BOM'!$D400,""))</f>
        <v>0</v>
      </c>
      <c r="G400" s="75" t="str">
        <f t="array" ref="G400">IFERROR(INDEX(#REF!,MATCH('S-BOM'!$C400,RM!$C$4:$C1003,0)),"")</f>
        <v/>
      </c>
      <c r="H400" s="75" t="str">
        <f t="shared" si="3"/>
        <v/>
      </c>
      <c r="I400" s="76"/>
    </row>
    <row r="401" spans="1:9" ht="15.75" customHeight="1">
      <c r="A401" s="69">
        <f t="shared" si="2"/>
        <v>399</v>
      </c>
      <c r="B401" s="70" t="s">
        <v>1661</v>
      </c>
      <c r="C401" s="70" t="s">
        <v>210</v>
      </c>
      <c r="D401" s="77">
        <v>1</v>
      </c>
      <c r="E401" s="73">
        <f>IF(B401="","",VLOOKUP(C401,RM!$C$4:$F1003,3,FALSE))</f>
        <v>0</v>
      </c>
      <c r="F401" s="74">
        <f>IF(B401="","",IFERROR(SUMIFS(Issue!$D$3:$D1013,Issue!$C$3:$C1013,'S-BOM'!$B401)*'S-BOM'!$D401,""))</f>
        <v>0</v>
      </c>
      <c r="G401" s="75" t="str">
        <f t="array" ref="G401">IFERROR(INDEX(#REF!,MATCH('S-BOM'!$C401,RM!$C$4:$C1003,0)),"")</f>
        <v/>
      </c>
      <c r="H401" s="75" t="str">
        <f t="shared" si="3"/>
        <v/>
      </c>
      <c r="I401" s="76"/>
    </row>
    <row r="402" spans="1:9" ht="15.75" customHeight="1">
      <c r="A402" s="69">
        <f t="shared" si="2"/>
        <v>400</v>
      </c>
      <c r="B402" s="70" t="s">
        <v>1661</v>
      </c>
      <c r="C402" s="70" t="s">
        <v>1559</v>
      </c>
      <c r="D402" s="77">
        <v>1</v>
      </c>
      <c r="E402" s="73" t="e">
        <f>IF(B402="","",VLOOKUP(C402,RM!$C$4:$F1003,3,FALSE))</f>
        <v>#N/A</v>
      </c>
      <c r="F402" s="74">
        <f>IF(B402="","",IFERROR(SUMIFS(Issue!$D$3:$D1013,Issue!$C$3:$C1013,'S-BOM'!$B402)*'S-BOM'!$D402,""))</f>
        <v>0</v>
      </c>
      <c r="G402" s="75" t="str">
        <f t="array" ref="G402">IFERROR(INDEX(#REF!,MATCH('S-BOM'!$C402,RM!$C$4:$C1003,0)),"")</f>
        <v/>
      </c>
      <c r="H402" s="75" t="str">
        <f t="shared" si="3"/>
        <v/>
      </c>
      <c r="I402" s="76"/>
    </row>
    <row r="403" spans="1:9" ht="15.75" customHeight="1">
      <c r="A403" s="69">
        <f t="shared" si="2"/>
        <v>401</v>
      </c>
      <c r="B403" s="70" t="s">
        <v>1661</v>
      </c>
      <c r="C403" s="70" t="s">
        <v>250</v>
      </c>
      <c r="D403" s="77">
        <v>1</v>
      </c>
      <c r="E403" s="73">
        <f>IF(B403="","",VLOOKUP(C403,RM!$C$4:$F1003,3,FALSE))</f>
        <v>0</v>
      </c>
      <c r="F403" s="74">
        <f>IF(B403="","",IFERROR(SUMIFS(Issue!$D$3:$D1013,Issue!$C$3:$C1013,'S-BOM'!$B403)*'S-BOM'!$D403,""))</f>
        <v>0</v>
      </c>
      <c r="G403" s="75" t="str">
        <f t="array" ref="G403">IFERROR(INDEX(#REF!,MATCH('S-BOM'!$C403,RM!$C$4:$C1003,0)),"")</f>
        <v/>
      </c>
      <c r="H403" s="75" t="str">
        <f t="shared" si="3"/>
        <v/>
      </c>
      <c r="I403" s="76"/>
    </row>
    <row r="404" spans="1:9" ht="15.75" customHeight="1">
      <c r="A404" s="69">
        <f t="shared" si="2"/>
        <v>402</v>
      </c>
      <c r="B404" s="70" t="s">
        <v>1661</v>
      </c>
      <c r="C404" s="70" t="s">
        <v>1666</v>
      </c>
      <c r="D404" s="77">
        <v>1</v>
      </c>
      <c r="E404" s="73">
        <f>IF(B404="","",VLOOKUP(C404,RM!$C$4:$F1003,3,FALSE))</f>
        <v>0</v>
      </c>
      <c r="F404" s="74">
        <f>IF(B404="","",IFERROR(SUMIFS(Issue!$D$3:$D1013,Issue!$C$3:$C1013,'S-BOM'!$B404)*'S-BOM'!$D404,""))</f>
        <v>0</v>
      </c>
      <c r="G404" s="75" t="str">
        <f t="array" ref="G404">IFERROR(INDEX(#REF!,MATCH('S-BOM'!$C404,RM!$C$4:$C1003,0)),"")</f>
        <v/>
      </c>
      <c r="H404" s="75" t="str">
        <f t="shared" si="3"/>
        <v/>
      </c>
      <c r="I404" s="76"/>
    </row>
    <row r="405" spans="1:9" ht="15.75" customHeight="1">
      <c r="A405" s="69">
        <f t="shared" si="2"/>
        <v>403</v>
      </c>
      <c r="B405" s="70" t="s">
        <v>1661</v>
      </c>
      <c r="C405" s="70" t="s">
        <v>1667</v>
      </c>
      <c r="D405" s="77">
        <v>1</v>
      </c>
      <c r="E405" s="73" t="e">
        <f>IF(B405="","",VLOOKUP(C405,RM!$C$4:$F1003,3,FALSE))</f>
        <v>#N/A</v>
      </c>
      <c r="F405" s="74">
        <f>IF(B405="","",IFERROR(SUMIFS(Issue!$D$3:$D1013,Issue!$C$3:$C1013,'S-BOM'!$B405)*'S-BOM'!$D405,""))</f>
        <v>0</v>
      </c>
      <c r="G405" s="75" t="str">
        <f t="array" ref="G405">IFERROR(INDEX(#REF!,MATCH('S-BOM'!$C405,RM!$C$4:$C1003,0)),"")</f>
        <v/>
      </c>
      <c r="H405" s="75" t="str">
        <f t="shared" si="3"/>
        <v/>
      </c>
      <c r="I405" s="76"/>
    </row>
    <row r="406" spans="1:9" ht="15.75" customHeight="1">
      <c r="A406" s="69">
        <f t="shared" si="2"/>
        <v>404</v>
      </c>
      <c r="B406" s="70" t="s">
        <v>1661</v>
      </c>
      <c r="C406" s="70" t="s">
        <v>1668</v>
      </c>
      <c r="D406" s="77">
        <v>3</v>
      </c>
      <c r="E406" s="73" t="e">
        <f>IF(B406="","",VLOOKUP(C406,RM!$C$4:$F1003,3,FALSE))</f>
        <v>#N/A</v>
      </c>
      <c r="F406" s="74">
        <f>IF(B406="","",IFERROR(SUMIFS(Issue!$D$3:$D1013,Issue!$C$3:$C1013,'S-BOM'!$B406)*'S-BOM'!$D406,""))</f>
        <v>0</v>
      </c>
      <c r="G406" s="75" t="str">
        <f t="array" ref="G406">IFERROR(INDEX(#REF!,MATCH('S-BOM'!$C406,RM!$C$4:$C1003,0)),"")</f>
        <v/>
      </c>
      <c r="H406" s="75" t="str">
        <f t="shared" si="3"/>
        <v/>
      </c>
      <c r="I406" s="76"/>
    </row>
    <row r="407" spans="1:9" ht="15.75" customHeight="1">
      <c r="A407" s="69">
        <f t="shared" si="2"/>
        <v>405</v>
      </c>
      <c r="B407" s="70" t="s">
        <v>1661</v>
      </c>
      <c r="C407" s="70" t="s">
        <v>1669</v>
      </c>
      <c r="D407" s="77">
        <v>1</v>
      </c>
      <c r="E407" s="73" t="e">
        <f>IF(B407="","",VLOOKUP(C407,RM!$C$4:$F1003,3,FALSE))</f>
        <v>#N/A</v>
      </c>
      <c r="F407" s="74">
        <f>IF(B407="","",IFERROR(SUMIFS(Issue!$D$3:$D1013,Issue!$C$3:$C1013,'S-BOM'!$B407)*'S-BOM'!$D407,""))</f>
        <v>0</v>
      </c>
      <c r="G407" s="75" t="str">
        <f t="array" ref="G407">IFERROR(INDEX(#REF!,MATCH('S-BOM'!$C407,RM!$C$4:$C1003,0)),"")</f>
        <v/>
      </c>
      <c r="H407" s="75" t="str">
        <f t="shared" si="3"/>
        <v/>
      </c>
      <c r="I407" s="76"/>
    </row>
    <row r="408" spans="1:9" ht="15.75" customHeight="1">
      <c r="A408" s="69">
        <f t="shared" si="2"/>
        <v>406</v>
      </c>
      <c r="B408" s="70" t="s">
        <v>1661</v>
      </c>
      <c r="C408" s="70" t="s">
        <v>1497</v>
      </c>
      <c r="D408" s="77">
        <v>5</v>
      </c>
      <c r="E408" s="73">
        <f>IF(B408="","",VLOOKUP(C408,RM!$C$4:$F1003,3,FALSE))</f>
        <v>0</v>
      </c>
      <c r="F408" s="74">
        <f>IF(B408="","",IFERROR(SUMIFS(Issue!$D$3:$D1013,Issue!$C$3:$C1013,'S-BOM'!$B408)*'S-BOM'!$D408,""))</f>
        <v>0</v>
      </c>
      <c r="G408" s="75" t="str">
        <f t="array" ref="G408">IFERROR(INDEX(#REF!,MATCH('S-BOM'!$C408,RM!$C$4:$C1003,0)),"")</f>
        <v/>
      </c>
      <c r="H408" s="75" t="str">
        <f t="shared" si="3"/>
        <v/>
      </c>
      <c r="I408" s="76"/>
    </row>
    <row r="409" spans="1:9" ht="15.75" customHeight="1">
      <c r="A409" s="69">
        <f t="shared" si="2"/>
        <v>407</v>
      </c>
      <c r="B409" s="70" t="s">
        <v>1661</v>
      </c>
      <c r="C409" s="70" t="s">
        <v>461</v>
      </c>
      <c r="D409" s="77">
        <v>1</v>
      </c>
      <c r="E409" s="73">
        <f>IF(B409="","",VLOOKUP(C409,RM!$C$4:$F1003,3,FALSE))</f>
        <v>0</v>
      </c>
      <c r="F409" s="74">
        <f>IF(B409="","",IFERROR(SUMIFS(Issue!$D$3:$D1013,Issue!$C$3:$C1013,'S-BOM'!$B409)*'S-BOM'!$D409,""))</f>
        <v>0</v>
      </c>
      <c r="G409" s="75" t="str">
        <f t="array" ref="G409">IFERROR(INDEX(#REF!,MATCH('S-BOM'!$C409,RM!$C$4:$C1003,0)),"")</f>
        <v/>
      </c>
      <c r="H409" s="75" t="str">
        <f t="shared" si="3"/>
        <v/>
      </c>
      <c r="I409" s="76"/>
    </row>
    <row r="410" spans="1:9" ht="15.75" customHeight="1">
      <c r="A410" s="69">
        <f t="shared" si="2"/>
        <v>408</v>
      </c>
      <c r="B410" s="70" t="s">
        <v>1661</v>
      </c>
      <c r="C410" s="70" t="s">
        <v>1670</v>
      </c>
      <c r="D410" s="77">
        <v>1</v>
      </c>
      <c r="E410" s="73" t="e">
        <f>IF(B410="","",VLOOKUP(C410,RM!$C$4:$F1003,3,FALSE))</f>
        <v>#N/A</v>
      </c>
      <c r="F410" s="74">
        <f>IF(B410="","",IFERROR(SUMIFS(Issue!$D$3:$D1013,Issue!$C$3:$C1013,'S-BOM'!$B410)*'S-BOM'!$D410,""))</f>
        <v>0</v>
      </c>
      <c r="G410" s="75" t="str">
        <f t="array" ref="G410">IFERROR(INDEX(#REF!,MATCH('S-BOM'!$C410,RM!$C$4:$C1003,0)),"")</f>
        <v/>
      </c>
      <c r="H410" s="75" t="str">
        <f t="shared" si="3"/>
        <v/>
      </c>
      <c r="I410" s="76"/>
    </row>
    <row r="411" spans="1:9" ht="15.75" customHeight="1">
      <c r="A411" s="69">
        <f t="shared" si="2"/>
        <v>409</v>
      </c>
      <c r="B411" s="70" t="s">
        <v>1661</v>
      </c>
      <c r="C411" s="70" t="s">
        <v>467</v>
      </c>
      <c r="D411" s="77">
        <v>1</v>
      </c>
      <c r="E411" s="73">
        <f>IF(B411="","",VLOOKUP(C411,RM!$C$4:$F1003,3,FALSE))</f>
        <v>0</v>
      </c>
      <c r="F411" s="74">
        <f>IF(B411="","",IFERROR(SUMIFS(Issue!$D$3:$D1013,Issue!$C$3:$C1013,'S-BOM'!$B411)*'S-BOM'!$D411,""))</f>
        <v>0</v>
      </c>
      <c r="G411" s="75" t="str">
        <f t="array" ref="G411">IFERROR(INDEX(#REF!,MATCH('S-BOM'!$C411,RM!$C$4:$C1003,0)),"")</f>
        <v/>
      </c>
      <c r="H411" s="75" t="str">
        <f t="shared" si="3"/>
        <v/>
      </c>
      <c r="I411" s="76"/>
    </row>
    <row r="412" spans="1:9" ht="15.75" customHeight="1">
      <c r="A412" s="69">
        <f t="shared" si="2"/>
        <v>410</v>
      </c>
      <c r="B412" s="70" t="s">
        <v>1661</v>
      </c>
      <c r="C412" s="70" t="s">
        <v>1671</v>
      </c>
      <c r="D412" s="77">
        <v>1</v>
      </c>
      <c r="E412" s="73" t="e">
        <f>IF(B412="","",VLOOKUP(C412,RM!$C$4:$F1003,3,FALSE))</f>
        <v>#N/A</v>
      </c>
      <c r="F412" s="74">
        <f>IF(B412="","",IFERROR(SUMIFS(Issue!$D$3:$D1013,Issue!$C$3:$C1013,'S-BOM'!$B412)*'S-BOM'!$D412,""))</f>
        <v>0</v>
      </c>
      <c r="G412" s="75" t="str">
        <f t="array" ref="G412">IFERROR(INDEX(#REF!,MATCH('S-BOM'!$C412,RM!$C$4:$C1003,0)),"")</f>
        <v/>
      </c>
      <c r="H412" s="75" t="str">
        <f t="shared" si="3"/>
        <v/>
      </c>
      <c r="I412" s="76"/>
    </row>
    <row r="413" spans="1:9" ht="15.75" customHeight="1">
      <c r="A413" s="69">
        <f t="shared" si="2"/>
        <v>411</v>
      </c>
      <c r="B413" s="70" t="s">
        <v>1661</v>
      </c>
      <c r="C413" s="70" t="s">
        <v>733</v>
      </c>
      <c r="D413" s="77">
        <v>1</v>
      </c>
      <c r="E413" s="73" t="str">
        <f>IF(B413="","",VLOOKUP(C413,RM!$C$4:$F1003,3,FALSE))</f>
        <v>LP-12-C04PE-02-001</v>
      </c>
      <c r="F413" s="74">
        <f>IF(B413="","",IFERROR(SUMIFS(Issue!$D$3:$D1013,Issue!$C$3:$C1013,'S-BOM'!$B413)*'S-BOM'!$D413,""))</f>
        <v>0</v>
      </c>
      <c r="G413" s="75" t="str">
        <f t="array" ref="G413">IFERROR(INDEX(#REF!,MATCH('S-BOM'!$C413,RM!$C$4:$C1003,0)),"")</f>
        <v/>
      </c>
      <c r="H413" s="75" t="str">
        <f t="shared" si="3"/>
        <v/>
      </c>
      <c r="I413" s="76"/>
    </row>
    <row r="414" spans="1:9" ht="15.75" customHeight="1">
      <c r="A414" s="69">
        <f t="shared" si="2"/>
        <v>412</v>
      </c>
      <c r="B414" s="70" t="s">
        <v>1661</v>
      </c>
      <c r="C414" s="70" t="s">
        <v>736</v>
      </c>
      <c r="D414" s="77">
        <v>1</v>
      </c>
      <c r="E414" s="73" t="str">
        <f>IF(B414="","",VLOOKUP(C414,RM!$C$4:$F1003,3,FALSE))</f>
        <v>LP-12-J04SX-03-001</v>
      </c>
      <c r="F414" s="74">
        <f>IF(B414="","",IFERROR(SUMIFS(Issue!$D$3:$D1013,Issue!$C$3:$C1013,'S-BOM'!$B414)*'S-BOM'!$D414,""))</f>
        <v>0</v>
      </c>
      <c r="G414" s="75" t="str">
        <f t="array" ref="G414">IFERROR(INDEX(#REF!,MATCH('S-BOM'!$C414,RM!$C$4:$C1003,0)),"")</f>
        <v/>
      </c>
      <c r="H414" s="75" t="str">
        <f t="shared" si="3"/>
        <v/>
      </c>
      <c r="I414" s="76"/>
    </row>
    <row r="415" spans="1:9" ht="15.75" customHeight="1">
      <c r="A415" s="69">
        <f t="shared" si="2"/>
        <v>413</v>
      </c>
      <c r="B415" s="70" t="s">
        <v>1661</v>
      </c>
      <c r="C415" s="70" t="s">
        <v>468</v>
      </c>
      <c r="D415" s="77">
        <v>1</v>
      </c>
      <c r="E415" s="73">
        <f>IF(B415="","",VLOOKUP(C415,RM!$C$4:$F1003,3,FALSE))</f>
        <v>0</v>
      </c>
      <c r="F415" s="74">
        <f>IF(B415="","",IFERROR(SUMIFS(Issue!$D$3:$D1013,Issue!$C$3:$C1013,'S-BOM'!$B415)*'S-BOM'!$D415,""))</f>
        <v>0</v>
      </c>
      <c r="G415" s="75" t="str">
        <f t="array" ref="G415">IFERROR(INDEX(#REF!,MATCH('S-BOM'!$C415,RM!$C$4:$C1003,0)),"")</f>
        <v/>
      </c>
      <c r="H415" s="75" t="str">
        <f t="shared" si="3"/>
        <v/>
      </c>
      <c r="I415" s="76"/>
    </row>
    <row r="416" spans="1:9" ht="15.75" customHeight="1">
      <c r="A416" s="69">
        <f t="shared" si="2"/>
        <v>414</v>
      </c>
      <c r="B416" s="70" t="s">
        <v>1661</v>
      </c>
      <c r="C416" s="70" t="s">
        <v>469</v>
      </c>
      <c r="D416" s="77">
        <v>1</v>
      </c>
      <c r="E416" s="73">
        <f>IF(B416="","",VLOOKUP(C416,RM!$C$4:$F1003,3,FALSE))</f>
        <v>0</v>
      </c>
      <c r="F416" s="74">
        <f>IF(B416="","",IFERROR(SUMIFS(Issue!$D$3:$D1013,Issue!$C$3:$C1013,'S-BOM'!$B416)*'S-BOM'!$D416,""))</f>
        <v>0</v>
      </c>
      <c r="G416" s="75" t="str">
        <f t="array" ref="G416">IFERROR(INDEX(#REF!,MATCH('S-BOM'!$C416,RM!$C$4:$C1003,0)),"")</f>
        <v/>
      </c>
      <c r="H416" s="75" t="str">
        <f t="shared" si="3"/>
        <v/>
      </c>
      <c r="I416" s="76"/>
    </row>
    <row r="417" spans="1:9" ht="15.75" customHeight="1">
      <c r="A417" s="69">
        <f t="shared" si="2"/>
        <v>415</v>
      </c>
      <c r="B417" s="70" t="s">
        <v>1661</v>
      </c>
      <c r="C417" s="70" t="s">
        <v>471</v>
      </c>
      <c r="D417" s="77">
        <v>1</v>
      </c>
      <c r="E417" s="73">
        <f>IF(B417="","",VLOOKUP(C417,RM!$C$4:$F1003,3,FALSE))</f>
        <v>0</v>
      </c>
      <c r="F417" s="74">
        <f>IF(B417="","",IFERROR(SUMIFS(Issue!$D$3:$D1013,Issue!$C$3:$C1013,'S-BOM'!$B417)*'S-BOM'!$D417,""))</f>
        <v>0</v>
      </c>
      <c r="G417" s="75" t="str">
        <f t="array" ref="G417">IFERROR(INDEX(#REF!,MATCH('S-BOM'!$C417,RM!$C$4:$C1003,0)),"")</f>
        <v/>
      </c>
      <c r="H417" s="75" t="str">
        <f t="shared" si="3"/>
        <v/>
      </c>
      <c r="I417" s="76"/>
    </row>
    <row r="418" spans="1:9" ht="15.75" customHeight="1">
      <c r="A418" s="69">
        <f t="shared" si="2"/>
        <v>416</v>
      </c>
      <c r="B418" s="70" t="s">
        <v>1661</v>
      </c>
      <c r="C418" s="70" t="s">
        <v>480</v>
      </c>
      <c r="D418" s="77">
        <v>10</v>
      </c>
      <c r="E418" s="73">
        <f>IF(B418="","",VLOOKUP(C418,RM!$C$4:$F1003,3,FALSE))</f>
        <v>0</v>
      </c>
      <c r="F418" s="74">
        <f>IF(B418="","",IFERROR(SUMIFS(Issue!$D$3:$D1013,Issue!$C$3:$C1013,'S-BOM'!$B418)*'S-BOM'!$D418,""))</f>
        <v>0</v>
      </c>
      <c r="G418" s="75" t="str">
        <f t="array" ref="G418">IFERROR(INDEX(#REF!,MATCH('S-BOM'!$C418,RM!$C$4:$C1003,0)),"")</f>
        <v/>
      </c>
      <c r="H418" s="75" t="str">
        <f t="shared" si="3"/>
        <v/>
      </c>
      <c r="I418" s="76"/>
    </row>
    <row r="419" spans="1:9" ht="15.75" customHeight="1">
      <c r="A419" s="69">
        <f t="shared" si="2"/>
        <v>417</v>
      </c>
      <c r="B419" s="70" t="s">
        <v>1661</v>
      </c>
      <c r="C419" s="70" t="s">
        <v>1503</v>
      </c>
      <c r="D419" s="77">
        <v>2</v>
      </c>
      <c r="E419" s="73">
        <f>IF(B419="","",VLOOKUP(C419,RM!$C$4:$F1003,3,FALSE))</f>
        <v>0</v>
      </c>
      <c r="F419" s="74">
        <f>IF(B419="","",IFERROR(SUMIFS(Issue!$D$3:$D1013,Issue!$C$3:$C1013,'S-BOM'!$B419)*'S-BOM'!$D419,""))</f>
        <v>0</v>
      </c>
      <c r="G419" s="75" t="str">
        <f t="array" ref="G419">IFERROR(INDEX(#REF!,MATCH('S-BOM'!$C419,RM!$C$4:$C1003,0)),"")</f>
        <v/>
      </c>
      <c r="H419" s="75" t="str">
        <f t="shared" si="3"/>
        <v/>
      </c>
      <c r="I419" s="76"/>
    </row>
    <row r="420" spans="1:9" ht="15.75" customHeight="1">
      <c r="A420" s="69">
        <f t="shared" si="2"/>
        <v>418</v>
      </c>
      <c r="B420" s="70" t="s">
        <v>1661</v>
      </c>
      <c r="C420" s="70" t="s">
        <v>492</v>
      </c>
      <c r="D420" s="77">
        <v>3</v>
      </c>
      <c r="E420" s="73">
        <f>IF(B420="","",VLOOKUP(C420,RM!$C$4:$F1003,3,FALSE))</f>
        <v>0</v>
      </c>
      <c r="F420" s="74">
        <f>IF(B420="","",IFERROR(SUMIFS(Issue!$D$3:$D1013,Issue!$C$3:$C1013,'S-BOM'!$B420)*'S-BOM'!$D420,""))</f>
        <v>0</v>
      </c>
      <c r="G420" s="75" t="str">
        <f t="array" ref="G420">IFERROR(INDEX(#REF!,MATCH('S-BOM'!$C420,RM!$C$4:$C1003,0)),"")</f>
        <v/>
      </c>
      <c r="H420" s="75" t="str">
        <f t="shared" si="3"/>
        <v/>
      </c>
      <c r="I420" s="76"/>
    </row>
    <row r="421" spans="1:9" ht="15.75" customHeight="1">
      <c r="A421" s="69">
        <f t="shared" si="2"/>
        <v>419</v>
      </c>
      <c r="B421" s="70" t="s">
        <v>1661</v>
      </c>
      <c r="C421" s="70" t="s">
        <v>1568</v>
      </c>
      <c r="D421" s="77">
        <v>3</v>
      </c>
      <c r="E421" s="73" t="e">
        <f>IF(B421="","",VLOOKUP(C421,RM!$C$4:$F1003,3,FALSE))</f>
        <v>#N/A</v>
      </c>
      <c r="F421" s="74">
        <f>IF(B421="","",IFERROR(SUMIFS(Issue!$D$3:$D1013,Issue!$C$3:$C1013,'S-BOM'!$B421)*'S-BOM'!$D421,""))</f>
        <v>0</v>
      </c>
      <c r="G421" s="75" t="str">
        <f t="array" ref="G421">IFERROR(INDEX(#REF!,MATCH('S-BOM'!$C421,RM!$C$4:$C1003,0)),"")</f>
        <v/>
      </c>
      <c r="H421" s="75" t="str">
        <f t="shared" si="3"/>
        <v/>
      </c>
      <c r="I421" s="76"/>
    </row>
    <row r="422" spans="1:9" ht="15.75" customHeight="1">
      <c r="A422" s="69">
        <f t="shared" si="2"/>
        <v>420</v>
      </c>
      <c r="B422" s="70" t="s">
        <v>1661</v>
      </c>
      <c r="C422" s="70" t="s">
        <v>504</v>
      </c>
      <c r="D422" s="77">
        <v>1</v>
      </c>
      <c r="E422" s="73">
        <f>IF(B422="","",VLOOKUP(C422,RM!$C$4:$F1003,3,FALSE))</f>
        <v>0</v>
      </c>
      <c r="F422" s="74">
        <f>IF(B422="","",IFERROR(SUMIFS(Issue!$D$3:$D1013,Issue!$C$3:$C1013,'S-BOM'!$B422)*'S-BOM'!$D422,""))</f>
        <v>0</v>
      </c>
      <c r="G422" s="75" t="str">
        <f t="array" ref="G422">IFERROR(INDEX(#REF!,MATCH('S-BOM'!$C422,RM!$C$4:$C1003,0)),"")</f>
        <v/>
      </c>
      <c r="H422" s="75" t="str">
        <f t="shared" si="3"/>
        <v/>
      </c>
      <c r="I422" s="76"/>
    </row>
    <row r="423" spans="1:9" ht="15.75" customHeight="1">
      <c r="A423" s="69">
        <f t="shared" si="2"/>
        <v>421</v>
      </c>
      <c r="B423" s="70" t="s">
        <v>1661</v>
      </c>
      <c r="C423" s="70" t="s">
        <v>1481</v>
      </c>
      <c r="D423" s="77">
        <v>2</v>
      </c>
      <c r="E423" s="73" t="e">
        <f>IF(B423="","",VLOOKUP(C423,RM!$C$4:$F1003,3,FALSE))</f>
        <v>#N/A</v>
      </c>
      <c r="F423" s="74">
        <f>IF(B423="","",IFERROR(SUMIFS(Issue!$D$3:$D1013,Issue!$C$3:$C1013,'S-BOM'!$B423)*'S-BOM'!$D423,""))</f>
        <v>0</v>
      </c>
      <c r="G423" s="75" t="str">
        <f t="array" ref="G423">IFERROR(INDEX(#REF!,MATCH('S-BOM'!$C423,RM!$C$4:$C1003,0)),"")</f>
        <v/>
      </c>
      <c r="H423" s="75" t="str">
        <f t="shared" si="3"/>
        <v/>
      </c>
      <c r="I423" s="76"/>
    </row>
    <row r="424" spans="1:9" ht="15.75" customHeight="1">
      <c r="A424" s="69">
        <f t="shared" si="2"/>
        <v>422</v>
      </c>
      <c r="B424" s="70" t="s">
        <v>1661</v>
      </c>
      <c r="C424" s="70" t="s">
        <v>1494</v>
      </c>
      <c r="D424" s="77">
        <v>2</v>
      </c>
      <c r="E424" s="73" t="e">
        <f>IF(B424="","",VLOOKUP(C424,RM!$C$4:$F1003,3,FALSE))</f>
        <v>#N/A</v>
      </c>
      <c r="F424" s="74">
        <f>IF(B424="","",IFERROR(SUMIFS(Issue!$D$3:$D1013,Issue!$C$3:$C1013,'S-BOM'!$B424)*'S-BOM'!$D424,""))</f>
        <v>0</v>
      </c>
      <c r="G424" s="75" t="str">
        <f t="array" ref="G424">IFERROR(INDEX(#REF!,MATCH('S-BOM'!$C424,RM!$C$4:$C1003,0)),"")</f>
        <v/>
      </c>
      <c r="H424" s="75" t="str">
        <f t="shared" si="3"/>
        <v/>
      </c>
      <c r="I424" s="76"/>
    </row>
    <row r="425" spans="1:9" ht="15.75" customHeight="1">
      <c r="A425" s="69">
        <f t="shared" si="2"/>
        <v>423</v>
      </c>
      <c r="B425" s="70" t="s">
        <v>1661</v>
      </c>
      <c r="C425" s="70" t="s">
        <v>1576</v>
      </c>
      <c r="D425" s="77">
        <v>1</v>
      </c>
      <c r="E425" s="73" t="e">
        <f>IF(B425="","",VLOOKUP(C425,RM!$C$4:$F1003,3,FALSE))</f>
        <v>#N/A</v>
      </c>
      <c r="F425" s="74">
        <f>IF(B425="","",IFERROR(SUMIFS(Issue!$D$3:$D1013,Issue!$C$3:$C1013,'S-BOM'!$B425)*'S-BOM'!$D425,""))</f>
        <v>0</v>
      </c>
      <c r="G425" s="75" t="str">
        <f t="array" ref="G425">IFERROR(INDEX(#REF!,MATCH('S-BOM'!$C425,RM!$C$4:$C1003,0)),"")</f>
        <v/>
      </c>
      <c r="H425" s="75" t="str">
        <f t="shared" si="3"/>
        <v/>
      </c>
      <c r="I425" s="76"/>
    </row>
    <row r="426" spans="1:9" ht="15.75" customHeight="1">
      <c r="A426" s="69">
        <f t="shared" si="2"/>
        <v>424</v>
      </c>
      <c r="B426" s="70" t="s">
        <v>1661</v>
      </c>
      <c r="C426" s="70" t="s">
        <v>1505</v>
      </c>
      <c r="D426" s="77">
        <v>2</v>
      </c>
      <c r="E426" s="73">
        <f>IF(B426="","",VLOOKUP(C426,RM!$C$4:$F1003,3,FALSE))</f>
        <v>0</v>
      </c>
      <c r="F426" s="74">
        <f>IF(B426="","",IFERROR(SUMIFS(Issue!$D$3:$D1013,Issue!$C$3:$C1013,'S-BOM'!$B426)*'S-BOM'!$D426,""))</f>
        <v>0</v>
      </c>
      <c r="G426" s="75" t="str">
        <f t="array" ref="G426">IFERROR(INDEX(#REF!,MATCH('S-BOM'!$C426,RM!$C$4:$C1003,0)),"")</f>
        <v/>
      </c>
      <c r="H426" s="75" t="str">
        <f t="shared" si="3"/>
        <v/>
      </c>
      <c r="I426" s="76"/>
    </row>
    <row r="427" spans="1:9" ht="15.75" customHeight="1">
      <c r="A427" s="69">
        <f t="shared" si="2"/>
        <v>425</v>
      </c>
      <c r="B427" s="70" t="s">
        <v>1661</v>
      </c>
      <c r="C427" s="70" t="s">
        <v>599</v>
      </c>
      <c r="D427" s="77">
        <v>2</v>
      </c>
      <c r="E427" s="73">
        <f>IF(B427="","",VLOOKUP(C427,RM!$C$4:$F1003,3,FALSE))</f>
        <v>0</v>
      </c>
      <c r="F427" s="74">
        <f>IF(B427="","",IFERROR(SUMIFS(Issue!$D$3:$D1013,Issue!$C$3:$C1013,'S-BOM'!$B427)*'S-BOM'!$D427,""))</f>
        <v>0</v>
      </c>
      <c r="G427" s="75" t="str">
        <f t="array" ref="G427">IFERROR(INDEX(#REF!,MATCH('S-BOM'!$C427,RM!$C$4:$C1003,0)),"")</f>
        <v/>
      </c>
      <c r="H427" s="75" t="str">
        <f t="shared" si="3"/>
        <v/>
      </c>
      <c r="I427" s="76"/>
    </row>
    <row r="428" spans="1:9" ht="15.75" customHeight="1">
      <c r="A428" s="69">
        <f t="shared" si="2"/>
        <v>426</v>
      </c>
      <c r="B428" s="70" t="s">
        <v>1661</v>
      </c>
      <c r="C428" s="70" t="s">
        <v>601</v>
      </c>
      <c r="D428" s="77">
        <v>2</v>
      </c>
      <c r="E428" s="73">
        <f>IF(B428="","",VLOOKUP(C428,RM!$C$4:$F1003,3,FALSE))</f>
        <v>0</v>
      </c>
      <c r="F428" s="74">
        <f>IF(B428="","",IFERROR(SUMIFS(Issue!$D$3:$D1013,Issue!$C$3:$C1013,'S-BOM'!$B428)*'S-BOM'!$D428,""))</f>
        <v>0</v>
      </c>
      <c r="G428" s="75" t="str">
        <f t="array" ref="G428">IFERROR(INDEX(#REF!,MATCH('S-BOM'!$C428,RM!$C$4:$C1003,0)),"")</f>
        <v/>
      </c>
      <c r="H428" s="75" t="str">
        <f t="shared" si="3"/>
        <v/>
      </c>
      <c r="I428" s="76"/>
    </row>
    <row r="429" spans="1:9" ht="15.75" customHeight="1">
      <c r="A429" s="69">
        <f t="shared" si="2"/>
        <v>427</v>
      </c>
      <c r="B429" s="70" t="s">
        <v>1661</v>
      </c>
      <c r="C429" s="70" t="s">
        <v>948</v>
      </c>
      <c r="D429" s="77">
        <v>1</v>
      </c>
      <c r="E429" s="73">
        <f>IF(B429="","",VLOOKUP(C429,RM!$C$4:$F1003,3,FALSE))</f>
        <v>0</v>
      </c>
      <c r="F429" s="74">
        <f>IF(B429="","",IFERROR(SUMIFS(Issue!$D$3:$D1013,Issue!$C$3:$C1013,'S-BOM'!$B429)*'S-BOM'!$D429,""))</f>
        <v>0</v>
      </c>
      <c r="G429" s="75" t="str">
        <f t="array" ref="G429">IFERROR(INDEX(#REF!,MATCH('S-BOM'!$C429,RM!$C$4:$C1003,0)),"")</f>
        <v/>
      </c>
      <c r="H429" s="75" t="str">
        <f t="shared" si="3"/>
        <v/>
      </c>
      <c r="I429" s="76"/>
    </row>
    <row r="430" spans="1:9" ht="15.75" customHeight="1">
      <c r="A430" s="69">
        <f t="shared" si="2"/>
        <v>428</v>
      </c>
      <c r="B430" s="70" t="s">
        <v>1661</v>
      </c>
      <c r="C430" s="70" t="s">
        <v>953</v>
      </c>
      <c r="D430" s="77">
        <v>1</v>
      </c>
      <c r="E430" s="73">
        <f>IF(B430="","",VLOOKUP(C430,RM!$C$4:$F1003,3,FALSE))</f>
        <v>0</v>
      </c>
      <c r="F430" s="74">
        <f>IF(B430="","",IFERROR(SUMIFS(Issue!$D$3:$D1013,Issue!$C$3:$C1013,'S-BOM'!$B430)*'S-BOM'!$D430,""))</f>
        <v>0</v>
      </c>
      <c r="G430" s="75" t="str">
        <f t="array" ref="G430">IFERROR(INDEX(#REF!,MATCH('S-BOM'!$C430,RM!$C$4:$C1003,0)),"")</f>
        <v/>
      </c>
      <c r="H430" s="75" t="str">
        <f t="shared" si="3"/>
        <v/>
      </c>
      <c r="I430" s="76"/>
    </row>
    <row r="431" spans="1:9" ht="15.75" customHeight="1">
      <c r="A431" s="69">
        <f t="shared" si="2"/>
        <v>429</v>
      </c>
      <c r="B431" s="70" t="s">
        <v>1661</v>
      </c>
      <c r="C431" s="70" t="s">
        <v>1501</v>
      </c>
      <c r="D431" s="77">
        <v>6</v>
      </c>
      <c r="E431" s="73" t="e">
        <f>IF(B431="","",VLOOKUP(C431,RM!$C$4:$F1003,3,FALSE))</f>
        <v>#N/A</v>
      </c>
      <c r="F431" s="74">
        <f>IF(B431="","",IFERROR(SUMIFS(Issue!$D$3:$D1013,Issue!$C$3:$C1013,'S-BOM'!$B431)*'S-BOM'!$D431,""))</f>
        <v>0</v>
      </c>
      <c r="G431" s="75" t="str">
        <f t="array" ref="G431">IFERROR(INDEX(#REF!,MATCH('S-BOM'!$C431,RM!$C$4:$C1003,0)),"")</f>
        <v/>
      </c>
      <c r="H431" s="75" t="str">
        <f t="shared" si="3"/>
        <v/>
      </c>
      <c r="I431" s="76"/>
    </row>
    <row r="432" spans="1:9" ht="15.75" customHeight="1">
      <c r="A432" s="69">
        <f t="shared" si="2"/>
        <v>430</v>
      </c>
      <c r="B432" s="70" t="s">
        <v>1661</v>
      </c>
      <c r="C432" s="70" t="s">
        <v>1502</v>
      </c>
      <c r="D432" s="77">
        <v>6</v>
      </c>
      <c r="E432" s="73" t="e">
        <f>IF(B432="","",VLOOKUP(C432,RM!$C$4:$F1003,3,FALSE))</f>
        <v>#N/A</v>
      </c>
      <c r="F432" s="74">
        <f>IF(B432="","",IFERROR(SUMIFS(Issue!$D$3:$D1013,Issue!$C$3:$C1013,'S-BOM'!$B432)*'S-BOM'!$D432,""))</f>
        <v>0</v>
      </c>
      <c r="G432" s="75" t="str">
        <f t="array" ref="G432">IFERROR(INDEX(#REF!,MATCH('S-BOM'!$C432,RM!$C$4:$C1003,0)),"")</f>
        <v/>
      </c>
      <c r="H432" s="75" t="str">
        <f t="shared" si="3"/>
        <v/>
      </c>
      <c r="I432" s="76"/>
    </row>
    <row r="433" spans="1:9" ht="15.75" customHeight="1">
      <c r="A433" s="69">
        <f t="shared" si="2"/>
        <v>431</v>
      </c>
      <c r="B433" s="70" t="s">
        <v>1661</v>
      </c>
      <c r="C433" s="70" t="s">
        <v>1510</v>
      </c>
      <c r="D433" s="77">
        <v>0.12</v>
      </c>
      <c r="E433" s="73" t="e">
        <f>IF(B433="","",VLOOKUP(C433,RM!$C$4:$F1003,3,FALSE))</f>
        <v>#N/A</v>
      </c>
      <c r="F433" s="74">
        <f>IF(B433="","",IFERROR(SUMIFS(Issue!$D$3:$D1013,Issue!$C$3:$C1013,'S-BOM'!$B433)*'S-BOM'!$D433,""))</f>
        <v>0</v>
      </c>
      <c r="G433" s="75" t="str">
        <f t="array" ref="G433">IFERROR(INDEX(#REF!,MATCH('S-BOM'!$C433,RM!$C$4:$C1003,0)),"")</f>
        <v/>
      </c>
      <c r="H433" s="75" t="str">
        <f t="shared" si="3"/>
        <v/>
      </c>
      <c r="I433" s="76"/>
    </row>
    <row r="434" spans="1:9" ht="15.75" customHeight="1">
      <c r="A434" s="69">
        <f t="shared" si="2"/>
        <v>432</v>
      </c>
      <c r="B434" s="70" t="s">
        <v>1661</v>
      </c>
      <c r="C434" s="70" t="s">
        <v>1458</v>
      </c>
      <c r="D434" s="77">
        <v>10</v>
      </c>
      <c r="E434" s="73" t="e">
        <f>IF(B434="","",VLOOKUP(C434,RM!$C$4:$F1003,3,FALSE))</f>
        <v>#N/A</v>
      </c>
      <c r="F434" s="74">
        <f>IF(B434="","",IFERROR(SUMIFS(Issue!$D$3:$D1013,Issue!$C$3:$C1013,'S-BOM'!$B434)*'S-BOM'!$D434,""))</f>
        <v>0</v>
      </c>
      <c r="G434" s="75" t="str">
        <f t="array" ref="G434">IFERROR(INDEX(#REF!,MATCH('S-BOM'!$C434,RM!$C$4:$C1003,0)),"")</f>
        <v/>
      </c>
      <c r="H434" s="75" t="str">
        <f t="shared" si="3"/>
        <v/>
      </c>
      <c r="I434" s="76"/>
    </row>
    <row r="435" spans="1:9" ht="15.75" customHeight="1">
      <c r="A435" s="69">
        <f t="shared" si="2"/>
        <v>433</v>
      </c>
      <c r="B435" s="70" t="s">
        <v>1672</v>
      </c>
      <c r="C435" s="70" t="s">
        <v>643</v>
      </c>
      <c r="D435" s="77">
        <v>1</v>
      </c>
      <c r="E435" s="73">
        <f>IF(B435="","",VLOOKUP(C435,RM!$C$4:$F1003,3,FALSE))</f>
        <v>0</v>
      </c>
      <c r="F435" s="74">
        <f>IF(B435="","",IFERROR(SUMIFS(Issue!$D$3:$D1013,Issue!$C$3:$C1013,'S-BOM'!$B435)*'S-BOM'!$D435,""))</f>
        <v>0</v>
      </c>
      <c r="G435" s="75" t="str">
        <f t="array" ref="G435">IFERROR(INDEX(#REF!,MATCH('S-BOM'!$C435,RM!$C$4:$C1003,0)),"")</f>
        <v/>
      </c>
      <c r="H435" s="75" t="str">
        <f t="shared" si="3"/>
        <v/>
      </c>
      <c r="I435" s="76"/>
    </row>
    <row r="436" spans="1:9" ht="15.75" customHeight="1">
      <c r="A436" s="69">
        <f t="shared" si="2"/>
        <v>434</v>
      </c>
      <c r="B436" s="70" t="s">
        <v>1672</v>
      </c>
      <c r="C436" s="70" t="s">
        <v>653</v>
      </c>
      <c r="D436" s="77">
        <v>2</v>
      </c>
      <c r="E436" s="73">
        <f>IF(B436="","",VLOOKUP(C436,RM!$C$4:$F1003,3,FALSE))</f>
        <v>0</v>
      </c>
      <c r="F436" s="74">
        <f>IF(B436="","",IFERROR(SUMIFS(Issue!$D$3:$D1013,Issue!$C$3:$C1013,'S-BOM'!$B436)*'S-BOM'!$D436,""))</f>
        <v>0</v>
      </c>
      <c r="G436" s="75" t="str">
        <f t="array" ref="G436">IFERROR(INDEX(#REF!,MATCH('S-BOM'!$C436,RM!$C$4:$C1003,0)),"")</f>
        <v/>
      </c>
      <c r="H436" s="75" t="str">
        <f t="shared" si="3"/>
        <v/>
      </c>
      <c r="I436" s="76"/>
    </row>
    <row r="437" spans="1:9" ht="15.75" customHeight="1">
      <c r="A437" s="69">
        <f t="shared" si="2"/>
        <v>435</v>
      </c>
      <c r="B437" s="70" t="s">
        <v>1672</v>
      </c>
      <c r="C437" s="70" t="s">
        <v>1673</v>
      </c>
      <c r="D437" s="77">
        <v>1</v>
      </c>
      <c r="E437" s="73" t="e">
        <f>IF(B437="","",VLOOKUP(C437,RM!$C$4:$F1003,3,FALSE))</f>
        <v>#N/A</v>
      </c>
      <c r="F437" s="74">
        <f>IF(B437="","",IFERROR(SUMIFS(Issue!$D$3:$D1013,Issue!$C$3:$C1013,'S-BOM'!$B437)*'S-BOM'!$D437,""))</f>
        <v>0</v>
      </c>
      <c r="G437" s="75" t="str">
        <f t="array" ref="G437">IFERROR(INDEX(#REF!,MATCH('S-BOM'!$C437,RM!$C$4:$C1003,0)),"")</f>
        <v/>
      </c>
      <c r="H437" s="75" t="str">
        <f t="shared" si="3"/>
        <v/>
      </c>
      <c r="I437" s="76"/>
    </row>
    <row r="438" spans="1:9" ht="15.75" customHeight="1">
      <c r="A438" s="69">
        <f t="shared" si="2"/>
        <v>436</v>
      </c>
      <c r="B438" s="70" t="s">
        <v>1672</v>
      </c>
      <c r="C438" s="70" t="s">
        <v>1674</v>
      </c>
      <c r="D438" s="77">
        <v>10</v>
      </c>
      <c r="E438" s="73" t="e">
        <f>IF(B438="","",VLOOKUP(C438,RM!$C$4:$F1003,3,FALSE))</f>
        <v>#N/A</v>
      </c>
      <c r="F438" s="74">
        <f>IF(B438="","",IFERROR(SUMIFS(Issue!$D$3:$D1013,Issue!$C$3:$C1013,'S-BOM'!$B438)*'S-BOM'!$D438,""))</f>
        <v>0</v>
      </c>
      <c r="G438" s="75" t="str">
        <f t="array" ref="G438">IFERROR(INDEX(#REF!,MATCH('S-BOM'!$C438,RM!$C$4:$C1003,0)),"")</f>
        <v/>
      </c>
      <c r="H438" s="75" t="str">
        <f t="shared" si="3"/>
        <v/>
      </c>
      <c r="I438" s="76"/>
    </row>
    <row r="439" spans="1:9" ht="15.75" customHeight="1">
      <c r="A439" s="69">
        <f t="shared" si="2"/>
        <v>437</v>
      </c>
      <c r="B439" s="70" t="s">
        <v>1672</v>
      </c>
      <c r="C439" s="70" t="s">
        <v>1598</v>
      </c>
      <c r="D439" s="77">
        <v>4</v>
      </c>
      <c r="E439" s="73" t="e">
        <f>IF(B439="","",VLOOKUP(C439,RM!$C$4:$F1003,3,FALSE))</f>
        <v>#N/A</v>
      </c>
      <c r="F439" s="74">
        <f>IF(B439="","",IFERROR(SUMIFS(Issue!$D$3:$D1013,Issue!$C$3:$C1013,'S-BOM'!$B439)*'S-BOM'!$D439,""))</f>
        <v>0</v>
      </c>
      <c r="G439" s="75" t="str">
        <f t="array" ref="G439">IFERROR(INDEX(#REF!,MATCH('S-BOM'!$C439,RM!$C$4:$C1003,0)),"")</f>
        <v/>
      </c>
      <c r="H439" s="75" t="str">
        <f t="shared" si="3"/>
        <v/>
      </c>
      <c r="I439" s="76"/>
    </row>
    <row r="440" spans="1:9" ht="15.75" customHeight="1">
      <c r="A440" s="69">
        <f t="shared" si="2"/>
        <v>438</v>
      </c>
      <c r="B440" s="70" t="s">
        <v>1672</v>
      </c>
      <c r="C440" s="70" t="s">
        <v>1615</v>
      </c>
      <c r="D440" s="77">
        <v>6</v>
      </c>
      <c r="E440" s="73" t="e">
        <f>IF(B440="","",VLOOKUP(C440,RM!$C$4:$F1003,3,FALSE))</f>
        <v>#N/A</v>
      </c>
      <c r="F440" s="74">
        <f>IF(B440="","",IFERROR(SUMIFS(Issue!$D$3:$D1013,Issue!$C$3:$C1013,'S-BOM'!$B440)*'S-BOM'!$D440,""))</f>
        <v>0</v>
      </c>
      <c r="G440" s="75" t="str">
        <f t="array" ref="G440">IFERROR(INDEX(#REF!,MATCH('S-BOM'!$C440,RM!$C$4:$C1003,0)),"")</f>
        <v/>
      </c>
      <c r="H440" s="75" t="str">
        <f t="shared" si="3"/>
        <v/>
      </c>
      <c r="I440" s="76"/>
    </row>
    <row r="441" spans="1:9" ht="15.75" customHeight="1">
      <c r="A441" s="69">
        <f t="shared" si="2"/>
        <v>439</v>
      </c>
      <c r="B441" s="70" t="s">
        <v>1672</v>
      </c>
      <c r="C441" s="70" t="s">
        <v>1450</v>
      </c>
      <c r="D441" s="77">
        <v>10</v>
      </c>
      <c r="E441" s="73" t="e">
        <f>IF(B441="","",VLOOKUP(C441,RM!$C$4:$F1003,3,FALSE))</f>
        <v>#N/A</v>
      </c>
      <c r="F441" s="74">
        <f>IF(B441="","",IFERROR(SUMIFS(Issue!$D$3:$D1013,Issue!$C$3:$C1013,'S-BOM'!$B441)*'S-BOM'!$D441,""))</f>
        <v>0</v>
      </c>
      <c r="G441" s="75" t="str">
        <f t="array" ref="G441">IFERROR(INDEX(#REF!,MATCH('S-BOM'!$C441,RM!$C$4:$C1003,0)),"")</f>
        <v/>
      </c>
      <c r="H441" s="75" t="str">
        <f t="shared" si="3"/>
        <v/>
      </c>
      <c r="I441" s="76"/>
    </row>
    <row r="442" spans="1:9" ht="15.75" customHeight="1">
      <c r="A442" s="69">
        <f t="shared" si="2"/>
        <v>440</v>
      </c>
      <c r="B442" s="70" t="s">
        <v>1672</v>
      </c>
      <c r="C442" s="70" t="s">
        <v>1451</v>
      </c>
      <c r="D442" s="77">
        <v>10</v>
      </c>
      <c r="E442" s="73" t="e">
        <f>IF(B442="","",VLOOKUP(C442,RM!$C$4:$F1003,3,FALSE))</f>
        <v>#N/A</v>
      </c>
      <c r="F442" s="74">
        <f>IF(B442="","",IFERROR(SUMIFS(Issue!$D$3:$D1013,Issue!$C$3:$C1013,'S-BOM'!$B442)*'S-BOM'!$D442,""))</f>
        <v>0</v>
      </c>
      <c r="G442" s="75" t="str">
        <f t="array" ref="G442">IFERROR(INDEX(#REF!,MATCH('S-BOM'!$C442,RM!$C$4:$C1003,0)),"")</f>
        <v/>
      </c>
      <c r="H442" s="75" t="str">
        <f t="shared" si="3"/>
        <v/>
      </c>
      <c r="I442" s="76"/>
    </row>
    <row r="443" spans="1:9" ht="15.75" customHeight="1">
      <c r="A443" s="69">
        <f t="shared" si="2"/>
        <v>441</v>
      </c>
      <c r="B443" s="70" t="s">
        <v>1672</v>
      </c>
      <c r="C443" s="70" t="s">
        <v>1452</v>
      </c>
      <c r="D443" s="77">
        <v>14</v>
      </c>
      <c r="E443" s="73" t="e">
        <f>IF(B443="","",VLOOKUP(C443,RM!$C$4:$F1003,3,FALSE))</f>
        <v>#N/A</v>
      </c>
      <c r="F443" s="74">
        <f>IF(B443="","",IFERROR(SUMIFS(Issue!$D$3:$D1013,Issue!$C$3:$C1013,'S-BOM'!$B443)*'S-BOM'!$D443,""))</f>
        <v>0</v>
      </c>
      <c r="G443" s="75" t="str">
        <f t="array" ref="G443">IFERROR(INDEX(#REF!,MATCH('S-BOM'!$C443,RM!$C$4:$C1003,0)),"")</f>
        <v/>
      </c>
      <c r="H443" s="75" t="str">
        <f t="shared" si="3"/>
        <v/>
      </c>
      <c r="I443" s="76"/>
    </row>
    <row r="444" spans="1:9" ht="15.75" customHeight="1">
      <c r="A444" s="69">
        <f t="shared" si="2"/>
        <v>442</v>
      </c>
      <c r="B444" s="70" t="s">
        <v>1672</v>
      </c>
      <c r="C444" s="70" t="s">
        <v>1042</v>
      </c>
      <c r="D444" s="77">
        <v>1</v>
      </c>
      <c r="E444" s="73">
        <f>IF(B444="","",VLOOKUP(C444,RM!$C$4:$F1003,3,FALSE))</f>
        <v>0</v>
      </c>
      <c r="F444" s="74">
        <f>IF(B444="","",IFERROR(SUMIFS(Issue!$D$3:$D1013,Issue!$C$3:$C1013,'S-BOM'!$B444)*'S-BOM'!$D444,""))</f>
        <v>0</v>
      </c>
      <c r="G444" s="75" t="str">
        <f t="array" ref="G444">IFERROR(INDEX(#REF!,MATCH('S-BOM'!$C444,RM!$C$4:$C1003,0)),"")</f>
        <v/>
      </c>
      <c r="H444" s="75" t="str">
        <f t="shared" si="3"/>
        <v/>
      </c>
      <c r="I444" s="76"/>
    </row>
    <row r="445" spans="1:9" ht="15.75" customHeight="1">
      <c r="A445" s="69">
        <f t="shared" si="2"/>
        <v>443</v>
      </c>
      <c r="B445" s="70" t="s">
        <v>1672</v>
      </c>
      <c r="C445" s="70" t="s">
        <v>1190</v>
      </c>
      <c r="D445" s="77">
        <v>0.5</v>
      </c>
      <c r="E445" s="73">
        <f>IF(B445="","",VLOOKUP(C445,RM!$C$4:$F1003,3,FALSE))</f>
        <v>0</v>
      </c>
      <c r="F445" s="74">
        <f>IF(B445="","",IFERROR(SUMIFS(Issue!$D$3:$D1013,Issue!$C$3:$C1013,'S-BOM'!$B445)*'S-BOM'!$D445,""))</f>
        <v>0</v>
      </c>
      <c r="G445" s="75" t="str">
        <f t="array" ref="G445">IFERROR(INDEX(#REF!,MATCH('S-BOM'!$C445,RM!$C$4:$C1003,0)),"")</f>
        <v/>
      </c>
      <c r="H445" s="75" t="str">
        <f t="shared" si="3"/>
        <v/>
      </c>
      <c r="I445" s="76"/>
    </row>
    <row r="446" spans="1:9" ht="15.75" customHeight="1">
      <c r="A446" s="69">
        <f t="shared" si="2"/>
        <v>444</v>
      </c>
      <c r="B446" s="70" t="s">
        <v>1672</v>
      </c>
      <c r="C446" s="70" t="s">
        <v>1675</v>
      </c>
      <c r="D446" s="77">
        <v>2</v>
      </c>
      <c r="E446" s="73" t="e">
        <f>IF(B446="","",VLOOKUP(C446,RM!$C$4:$F1003,3,FALSE))</f>
        <v>#N/A</v>
      </c>
      <c r="F446" s="74">
        <f>IF(B446="","",IFERROR(SUMIFS(Issue!$D$3:$D1013,Issue!$C$3:$C1013,'S-BOM'!$B446)*'S-BOM'!$D446,""))</f>
        <v>0</v>
      </c>
      <c r="G446" s="75" t="str">
        <f t="array" ref="G446">IFERROR(INDEX(#REF!,MATCH('S-BOM'!$C446,RM!$C$4:$C1003,0)),"")</f>
        <v/>
      </c>
      <c r="H446" s="75" t="str">
        <f t="shared" si="3"/>
        <v/>
      </c>
      <c r="I446" s="76"/>
    </row>
    <row r="447" spans="1:9" ht="15.75" customHeight="1">
      <c r="A447" s="69">
        <f t="shared" si="2"/>
        <v>445</v>
      </c>
      <c r="B447" s="70" t="s">
        <v>1672</v>
      </c>
      <c r="C447" s="70" t="s">
        <v>1193</v>
      </c>
      <c r="D447" s="77">
        <v>0.1</v>
      </c>
      <c r="E447" s="73">
        <f>IF(B447="","",VLOOKUP(C447,RM!$C$4:$F1003,3,FALSE))</f>
        <v>0</v>
      </c>
      <c r="F447" s="74">
        <f>IF(B447="","",IFERROR(SUMIFS(Issue!$D$3:$D1013,Issue!$C$3:$C1013,'S-BOM'!$B447)*'S-BOM'!$D447,""))</f>
        <v>0</v>
      </c>
      <c r="G447" s="75" t="str">
        <f t="array" ref="G447">IFERROR(INDEX(#REF!,MATCH('S-BOM'!$C447,RM!$C$4:$C1003,0)),"")</f>
        <v/>
      </c>
      <c r="H447" s="75" t="str">
        <f t="shared" si="3"/>
        <v/>
      </c>
      <c r="I447" s="76"/>
    </row>
    <row r="448" spans="1:9" ht="15.75" customHeight="1">
      <c r="A448" s="69">
        <f t="shared" si="2"/>
        <v>446</v>
      </c>
      <c r="B448" s="70" t="s">
        <v>1672</v>
      </c>
      <c r="C448" s="70" t="s">
        <v>1214</v>
      </c>
      <c r="D448" s="77">
        <v>1</v>
      </c>
      <c r="E448" s="73">
        <f>IF(B448="","",VLOOKUP(C448,RM!$C$4:$F1003,3,FALSE))</f>
        <v>0</v>
      </c>
      <c r="F448" s="74">
        <f>IF(B448="","",IFERROR(SUMIFS(Issue!$D$3:$D1013,Issue!$C$3:$C1013,'S-BOM'!$B448)*'S-BOM'!$D448,""))</f>
        <v>0</v>
      </c>
      <c r="G448" s="75" t="str">
        <f t="array" ref="G448">IFERROR(INDEX(#REF!,MATCH('S-BOM'!$C448,RM!$C$4:$C1003,0)),"")</f>
        <v/>
      </c>
      <c r="H448" s="75" t="str">
        <f t="shared" si="3"/>
        <v/>
      </c>
      <c r="I448" s="76"/>
    </row>
    <row r="449" spans="1:9" ht="15.75" customHeight="1">
      <c r="A449" s="69">
        <f t="shared" si="2"/>
        <v>447</v>
      </c>
      <c r="B449" s="70" t="s">
        <v>1676</v>
      </c>
      <c r="C449" s="70" t="s">
        <v>1677</v>
      </c>
      <c r="D449" s="77">
        <v>14</v>
      </c>
      <c r="E449" s="73" t="e">
        <f>IF(B449="","",VLOOKUP(C449,RM!$C$4:$F1003,3,FALSE))</f>
        <v>#N/A</v>
      </c>
      <c r="F449" s="74">
        <f>IF(B449="","",IFERROR(SUMIFS(Issue!$D$3:$D1013,Issue!$C$3:$C1013,'S-BOM'!$B449)*'S-BOM'!$D449,""))</f>
        <v>0</v>
      </c>
      <c r="G449" s="75" t="str">
        <f t="array" ref="G449">IFERROR(INDEX(#REF!,MATCH('S-BOM'!$C449,RM!$C$4:$C1003,0)),"")</f>
        <v/>
      </c>
      <c r="H449" s="75" t="str">
        <f t="shared" si="3"/>
        <v/>
      </c>
      <c r="I449" s="76"/>
    </row>
    <row r="450" spans="1:9" ht="15.75" customHeight="1">
      <c r="A450" s="69">
        <f t="shared" si="2"/>
        <v>448</v>
      </c>
      <c r="B450" s="70" t="s">
        <v>1676</v>
      </c>
      <c r="C450" s="70" t="s">
        <v>1678</v>
      </c>
      <c r="D450" s="77">
        <v>28</v>
      </c>
      <c r="E450" s="73" t="e">
        <f>IF(B450="","",VLOOKUP(C450,RM!$C$4:$F1003,3,FALSE))</f>
        <v>#N/A</v>
      </c>
      <c r="F450" s="74">
        <f>IF(B450="","",IFERROR(SUMIFS(Issue!$D$3:$D1013,Issue!$C$3:$C1013,'S-BOM'!$B450)*'S-BOM'!$D450,""))</f>
        <v>0</v>
      </c>
      <c r="G450" s="75" t="str">
        <f t="array" ref="G450">IFERROR(INDEX(#REF!,MATCH('S-BOM'!$C450,RM!$C$4:$C1003,0)),"")</f>
        <v/>
      </c>
      <c r="H450" s="75" t="str">
        <f t="shared" si="3"/>
        <v/>
      </c>
      <c r="I450" s="76"/>
    </row>
    <row r="451" spans="1:9" ht="15.75" customHeight="1">
      <c r="A451" s="69">
        <f t="shared" si="2"/>
        <v>449</v>
      </c>
      <c r="B451" s="70" t="s">
        <v>1676</v>
      </c>
      <c r="C451" s="70" t="s">
        <v>1458</v>
      </c>
      <c r="D451" s="77">
        <v>50</v>
      </c>
      <c r="E451" s="73" t="e">
        <f>IF(B451="","",VLOOKUP(C451,RM!$C$4:$F1003,3,FALSE))</f>
        <v>#N/A</v>
      </c>
      <c r="F451" s="74">
        <f>IF(B451="","",IFERROR(SUMIFS(Issue!$D$3:$D1013,Issue!$C$3:$C1013,'S-BOM'!$B451)*'S-BOM'!$D451,""))</f>
        <v>0</v>
      </c>
      <c r="G451" s="75" t="str">
        <f t="array" ref="G451">IFERROR(INDEX(#REF!,MATCH('S-BOM'!$C451,RM!$C$4:$C1003,0)),"")</f>
        <v/>
      </c>
      <c r="H451" s="75" t="str">
        <f t="shared" si="3"/>
        <v/>
      </c>
      <c r="I451" s="76"/>
    </row>
    <row r="452" spans="1:9" ht="15.75" customHeight="1">
      <c r="A452" s="69">
        <f t="shared" si="2"/>
        <v>450</v>
      </c>
      <c r="B452" s="70" t="s">
        <v>1676</v>
      </c>
      <c r="C452" s="70" t="s">
        <v>1679</v>
      </c>
      <c r="D452" s="77">
        <v>4.5</v>
      </c>
      <c r="E452" s="73" t="e">
        <f>IF(B452="","",VLOOKUP(C452,RM!$C$4:$F1003,3,FALSE))</f>
        <v>#N/A</v>
      </c>
      <c r="F452" s="74">
        <f>IF(B452="","",IFERROR(SUMIFS(Issue!$D$3:$D1013,Issue!$C$3:$C1013,'S-BOM'!$B452)*'S-BOM'!$D452,""))</f>
        <v>0</v>
      </c>
      <c r="G452" s="75" t="str">
        <f t="array" ref="G452">IFERROR(INDEX(#REF!,MATCH('S-BOM'!$C452,RM!$C$4:$C1003,0)),"")</f>
        <v/>
      </c>
      <c r="H452" s="75" t="str">
        <f t="shared" si="3"/>
        <v/>
      </c>
      <c r="I452" s="76"/>
    </row>
    <row r="453" spans="1:9" ht="15.75" customHeight="1">
      <c r="A453" s="69">
        <f t="shared" si="2"/>
        <v>451</v>
      </c>
      <c r="B453" s="70" t="s">
        <v>1676</v>
      </c>
      <c r="C453" s="70" t="s">
        <v>1680</v>
      </c>
      <c r="D453" s="77">
        <v>1</v>
      </c>
      <c r="E453" s="73" t="e">
        <f>IF(B453="","",VLOOKUP(C453,RM!$C$4:$F1003,3,FALSE))</f>
        <v>#N/A</v>
      </c>
      <c r="F453" s="74">
        <f>IF(B453="","",IFERROR(SUMIFS(Issue!$D$3:$D1013,Issue!$C$3:$C1013,'S-BOM'!$B453)*'S-BOM'!$D453,""))</f>
        <v>0</v>
      </c>
      <c r="G453" s="75" t="str">
        <f t="array" ref="G453">IFERROR(INDEX(#REF!,MATCH('S-BOM'!$C453,RM!$C$4:$C1003,0)),"")</f>
        <v/>
      </c>
      <c r="H453" s="75" t="str">
        <f t="shared" si="3"/>
        <v/>
      </c>
      <c r="I453" s="76"/>
    </row>
    <row r="454" spans="1:9" ht="15.75" customHeight="1">
      <c r="A454" s="69">
        <f t="shared" si="2"/>
        <v>452</v>
      </c>
      <c r="B454" s="70" t="s">
        <v>1676</v>
      </c>
      <c r="C454" s="70" t="s">
        <v>1681</v>
      </c>
      <c r="D454" s="77">
        <v>1</v>
      </c>
      <c r="E454" s="73" t="e">
        <f>IF(B454="","",VLOOKUP(C454,RM!$C$4:$F1003,3,FALSE))</f>
        <v>#N/A</v>
      </c>
      <c r="F454" s="74">
        <f>IF(B454="","",IFERROR(SUMIFS(Issue!$D$3:$D1013,Issue!$C$3:$C1013,'S-BOM'!$B454)*'S-BOM'!$D454,""))</f>
        <v>0</v>
      </c>
      <c r="G454" s="75" t="str">
        <f t="array" ref="G454">IFERROR(INDEX(#REF!,MATCH('S-BOM'!$C454,RM!$C$4:$C1003,0)),"")</f>
        <v/>
      </c>
      <c r="H454" s="75" t="str">
        <f t="shared" si="3"/>
        <v/>
      </c>
      <c r="I454" s="76"/>
    </row>
    <row r="455" spans="1:9" ht="15.75" customHeight="1">
      <c r="A455" s="69">
        <f t="shared" si="2"/>
        <v>453</v>
      </c>
      <c r="B455" s="70" t="s">
        <v>1676</v>
      </c>
      <c r="C455" s="70" t="s">
        <v>1682</v>
      </c>
      <c r="D455" s="77">
        <v>1</v>
      </c>
      <c r="E455" s="73" t="e">
        <f>IF(B455="","",VLOOKUP(C455,RM!$C$4:$F1003,3,FALSE))</f>
        <v>#N/A</v>
      </c>
      <c r="F455" s="74">
        <f>IF(B455="","",IFERROR(SUMIFS(Issue!$D$3:$D1013,Issue!$C$3:$C1013,'S-BOM'!$B455)*'S-BOM'!$D455,""))</f>
        <v>0</v>
      </c>
      <c r="G455" s="75" t="str">
        <f t="array" ref="G455">IFERROR(INDEX(#REF!,MATCH('S-BOM'!$C455,RM!$C$4:$C1003,0)),"")</f>
        <v/>
      </c>
      <c r="H455" s="75" t="str">
        <f t="shared" si="3"/>
        <v/>
      </c>
      <c r="I455" s="76"/>
    </row>
    <row r="456" spans="1:9" ht="15.75" customHeight="1">
      <c r="A456" s="69">
        <f t="shared" si="2"/>
        <v>454</v>
      </c>
      <c r="B456" s="70" t="s">
        <v>1676</v>
      </c>
      <c r="C456" s="70" t="s">
        <v>1683</v>
      </c>
      <c r="D456" s="77">
        <v>1</v>
      </c>
      <c r="E456" s="73" t="e">
        <f>IF(B456="","",VLOOKUP(C456,RM!$C$4:$F1003,3,FALSE))</f>
        <v>#N/A</v>
      </c>
      <c r="F456" s="74">
        <f>IF(B456="","",IFERROR(SUMIFS(Issue!$D$3:$D1013,Issue!$C$3:$C1013,'S-BOM'!$B456)*'S-BOM'!$D456,""))</f>
        <v>0</v>
      </c>
      <c r="G456" s="75" t="str">
        <f t="array" ref="G456">IFERROR(INDEX(#REF!,MATCH('S-BOM'!$C456,RM!$C$4:$C1003,0)),"")</f>
        <v/>
      </c>
      <c r="H456" s="75" t="str">
        <f t="shared" si="3"/>
        <v/>
      </c>
      <c r="I456" s="76"/>
    </row>
    <row r="457" spans="1:9" ht="15.75" customHeight="1">
      <c r="A457" s="69">
        <f t="shared" si="2"/>
        <v>455</v>
      </c>
      <c r="B457" s="70" t="s">
        <v>1676</v>
      </c>
      <c r="C457" s="70" t="s">
        <v>1684</v>
      </c>
      <c r="D457" s="77">
        <v>1</v>
      </c>
      <c r="E457" s="73" t="e">
        <f>IF(B457="","",VLOOKUP(C457,RM!$C$4:$F1003,3,FALSE))</f>
        <v>#N/A</v>
      </c>
      <c r="F457" s="74">
        <f>IF(B457="","",IFERROR(SUMIFS(Issue!$D$3:$D1013,Issue!$C$3:$C1013,'S-BOM'!$B457)*'S-BOM'!$D457,""))</f>
        <v>0</v>
      </c>
      <c r="G457" s="75" t="str">
        <f t="array" ref="G457">IFERROR(INDEX(#REF!,MATCH('S-BOM'!$C457,RM!$C$4:$C1003,0)),"")</f>
        <v/>
      </c>
      <c r="H457" s="75" t="str">
        <f t="shared" si="3"/>
        <v/>
      </c>
      <c r="I457" s="76"/>
    </row>
    <row r="458" spans="1:9" ht="15.75" customHeight="1">
      <c r="A458" s="69">
        <f t="shared" si="2"/>
        <v>456</v>
      </c>
      <c r="B458" s="70" t="s">
        <v>1676</v>
      </c>
      <c r="C458" s="70" t="s">
        <v>1452</v>
      </c>
      <c r="D458" s="77">
        <v>8</v>
      </c>
      <c r="E458" s="73" t="e">
        <f>IF(B458="","",VLOOKUP(C458,RM!$C$4:$F1003,3,FALSE))</f>
        <v>#N/A</v>
      </c>
      <c r="F458" s="74">
        <f>IF(B458="","",IFERROR(SUMIFS(Issue!$D$3:$D1013,Issue!$C$3:$C1013,'S-BOM'!$B458)*'S-BOM'!$D458,""))</f>
        <v>0</v>
      </c>
      <c r="G458" s="75" t="str">
        <f t="array" ref="G458">IFERROR(INDEX(#REF!,MATCH('S-BOM'!$C458,RM!$C$4:$C1003,0)),"")</f>
        <v/>
      </c>
      <c r="H458" s="75" t="str">
        <f t="shared" si="3"/>
        <v/>
      </c>
      <c r="I458" s="76"/>
    </row>
    <row r="459" spans="1:9" ht="15.75" customHeight="1">
      <c r="A459" s="69">
        <f t="shared" si="2"/>
        <v>457</v>
      </c>
      <c r="B459" s="70" t="s">
        <v>1676</v>
      </c>
      <c r="C459" s="70" t="s">
        <v>1685</v>
      </c>
      <c r="D459" s="77">
        <v>1</v>
      </c>
      <c r="E459" s="73" t="e">
        <f>IF(B459="","",VLOOKUP(C459,RM!$C$4:$F1003,3,FALSE))</f>
        <v>#N/A</v>
      </c>
      <c r="F459" s="74">
        <f>IF(B459="","",IFERROR(SUMIFS(Issue!$D$3:$D1013,Issue!$C$3:$C1013,'S-BOM'!$B459)*'S-BOM'!$D459,""))</f>
        <v>0</v>
      </c>
      <c r="G459" s="75" t="str">
        <f t="array" ref="G459">IFERROR(INDEX(#REF!,MATCH('S-BOM'!$C459,RM!$C$4:$C1003,0)),"")</f>
        <v/>
      </c>
      <c r="H459" s="75" t="str">
        <f t="shared" si="3"/>
        <v/>
      </c>
      <c r="I459" s="76"/>
    </row>
    <row r="460" spans="1:9" ht="15.75" customHeight="1">
      <c r="A460" s="69">
        <f t="shared" si="2"/>
        <v>458</v>
      </c>
      <c r="B460" s="70" t="s">
        <v>1676</v>
      </c>
      <c r="C460" s="70" t="s">
        <v>1686</v>
      </c>
      <c r="D460" s="77">
        <v>6</v>
      </c>
      <c r="E460" s="73">
        <f>IF(B460="","",VLOOKUP(C460,RM!$C$4:$F1003,3,FALSE))</f>
        <v>0</v>
      </c>
      <c r="F460" s="74">
        <f>IF(B460="","",IFERROR(SUMIFS(Issue!$D$3:$D1013,Issue!$C$3:$C1013,'S-BOM'!$B460)*'S-BOM'!$D460,""))</f>
        <v>0</v>
      </c>
      <c r="G460" s="75" t="str">
        <f t="array" ref="G460">IFERROR(INDEX(#REF!,MATCH('S-BOM'!$C460,RM!$C$4:$C1003,0)),"")</f>
        <v/>
      </c>
      <c r="H460" s="75" t="str">
        <f t="shared" si="3"/>
        <v/>
      </c>
      <c r="I460" s="76"/>
    </row>
    <row r="461" spans="1:9" ht="15.75" customHeight="1">
      <c r="A461" s="69">
        <f t="shared" si="2"/>
        <v>459</v>
      </c>
      <c r="B461" s="70" t="s">
        <v>1676</v>
      </c>
      <c r="C461" s="70" t="s">
        <v>1687</v>
      </c>
      <c r="D461" s="77">
        <v>4</v>
      </c>
      <c r="E461" s="73" t="e">
        <f>IF(B461="","",VLOOKUP(C461,RM!$C$4:$F1003,3,FALSE))</f>
        <v>#N/A</v>
      </c>
      <c r="F461" s="74">
        <f>IF(B461="","",IFERROR(SUMIFS(Issue!$D$3:$D1013,Issue!$C$3:$C1013,'S-BOM'!$B461)*'S-BOM'!$D461,""))</f>
        <v>0</v>
      </c>
      <c r="G461" s="75" t="str">
        <f t="array" ref="G461">IFERROR(INDEX(#REF!,MATCH('S-BOM'!$C461,RM!$C$4:$C1003,0)),"")</f>
        <v/>
      </c>
      <c r="H461" s="75" t="str">
        <f t="shared" si="3"/>
        <v/>
      </c>
      <c r="I461" s="76"/>
    </row>
    <row r="462" spans="1:9" ht="15.75" customHeight="1">
      <c r="A462" s="69">
        <f t="shared" si="2"/>
        <v>460</v>
      </c>
      <c r="B462" s="70" t="s">
        <v>1676</v>
      </c>
      <c r="C462" s="70" t="s">
        <v>1688</v>
      </c>
      <c r="D462" s="77">
        <v>1</v>
      </c>
      <c r="E462" s="73" t="e">
        <f>IF(B462="","",VLOOKUP(C462,RM!$C$4:$F1003,3,FALSE))</f>
        <v>#N/A</v>
      </c>
      <c r="F462" s="74">
        <f>IF(B462="","",IFERROR(SUMIFS(Issue!$D$3:$D1013,Issue!$C$3:$C1013,'S-BOM'!$B462)*'S-BOM'!$D462,""))</f>
        <v>0</v>
      </c>
      <c r="G462" s="75" t="str">
        <f t="array" ref="G462">IFERROR(INDEX(#REF!,MATCH('S-BOM'!$C462,RM!$C$4:$C1003,0)),"")</f>
        <v/>
      </c>
      <c r="H462" s="75" t="str">
        <f t="shared" si="3"/>
        <v/>
      </c>
      <c r="I462" s="76"/>
    </row>
    <row r="463" spans="1:9" ht="15.75" customHeight="1">
      <c r="A463" s="69">
        <f t="shared" si="2"/>
        <v>461</v>
      </c>
      <c r="B463" s="70" t="s">
        <v>1689</v>
      </c>
      <c r="C463" s="70" t="s">
        <v>1690</v>
      </c>
      <c r="D463" s="77">
        <v>2</v>
      </c>
      <c r="E463" s="73" t="e">
        <f>IF(B463="","",VLOOKUP(C463,RM!$C$4:$F1003,3,FALSE))</f>
        <v>#N/A</v>
      </c>
      <c r="F463" s="74">
        <f>IF(B463="","",IFERROR(SUMIFS(Issue!$D$3:$D1013,Issue!$C$3:$C1013,'S-BOM'!$B463)*'S-BOM'!$D463,""))</f>
        <v>0</v>
      </c>
      <c r="G463" s="75" t="str">
        <f t="array" ref="G463">IFERROR(INDEX(#REF!,MATCH('S-BOM'!$C463,RM!$C$4:$C1003,0)),"")</f>
        <v/>
      </c>
      <c r="H463" s="75" t="str">
        <f t="shared" si="3"/>
        <v/>
      </c>
      <c r="I463" s="76"/>
    </row>
    <row r="464" spans="1:9" ht="15.75" customHeight="1">
      <c r="A464" s="69">
        <f t="shared" si="2"/>
        <v>462</v>
      </c>
      <c r="B464" s="70" t="s">
        <v>1689</v>
      </c>
      <c r="C464" s="70" t="s">
        <v>1691</v>
      </c>
      <c r="D464" s="77">
        <v>2</v>
      </c>
      <c r="E464" s="73" t="e">
        <f>IF(B464="","",VLOOKUP(C464,RM!$C$4:$F1003,3,FALSE))</f>
        <v>#N/A</v>
      </c>
      <c r="F464" s="74">
        <f>IF(B464="","",IFERROR(SUMIFS(Issue!$D$3:$D1013,Issue!$C$3:$C1013,'S-BOM'!$B464)*'S-BOM'!$D464,""))</f>
        <v>0</v>
      </c>
      <c r="G464" s="75" t="str">
        <f t="array" ref="G464">IFERROR(INDEX(#REF!,MATCH('S-BOM'!$C464,RM!$C$4:$C1003,0)),"")</f>
        <v/>
      </c>
      <c r="H464" s="75" t="str">
        <f t="shared" si="3"/>
        <v/>
      </c>
      <c r="I464" s="76"/>
    </row>
    <row r="465" spans="1:9" ht="15.75" customHeight="1">
      <c r="A465" s="69">
        <f t="shared" si="2"/>
        <v>463</v>
      </c>
      <c r="B465" s="70" t="s">
        <v>1689</v>
      </c>
      <c r="C465" s="70" t="s">
        <v>1692</v>
      </c>
      <c r="D465" s="77">
        <v>8</v>
      </c>
      <c r="E465" s="73" t="e">
        <f>IF(B465="","",VLOOKUP(C465,RM!$C$4:$F1003,3,FALSE))</f>
        <v>#N/A</v>
      </c>
      <c r="F465" s="74">
        <f>IF(B465="","",IFERROR(SUMIFS(Issue!$D$3:$D1013,Issue!$C$3:$C1013,'S-BOM'!$B465)*'S-BOM'!$D465,""))</f>
        <v>0</v>
      </c>
      <c r="G465" s="75" t="str">
        <f t="array" ref="G465">IFERROR(INDEX(#REF!,MATCH('S-BOM'!$C465,RM!$C$4:$C1003,0)),"")</f>
        <v/>
      </c>
      <c r="H465" s="75" t="str">
        <f t="shared" si="3"/>
        <v/>
      </c>
      <c r="I465" s="76"/>
    </row>
    <row r="466" spans="1:9" ht="15.75" customHeight="1">
      <c r="A466" s="69">
        <f t="shared" si="2"/>
        <v>464</v>
      </c>
      <c r="B466" s="70" t="s">
        <v>1689</v>
      </c>
      <c r="C466" s="70" t="s">
        <v>1693</v>
      </c>
      <c r="D466" s="77">
        <v>14</v>
      </c>
      <c r="E466" s="73" t="e">
        <f>IF(B466="","",VLOOKUP(C466,RM!$C$4:$F1003,3,FALSE))</f>
        <v>#N/A</v>
      </c>
      <c r="F466" s="74">
        <f>IF(B466="","",IFERROR(SUMIFS(Issue!$D$3:$D1013,Issue!$C$3:$C1013,'S-BOM'!$B466)*'S-BOM'!$D466,""))</f>
        <v>0</v>
      </c>
      <c r="G466" s="75" t="str">
        <f t="array" ref="G466">IFERROR(INDEX(#REF!,MATCH('S-BOM'!$C466,RM!$C$4:$C1003,0)),"")</f>
        <v/>
      </c>
      <c r="H466" s="75" t="str">
        <f t="shared" si="3"/>
        <v/>
      </c>
      <c r="I466" s="76"/>
    </row>
    <row r="467" spans="1:9" ht="15.75" customHeight="1">
      <c r="A467" s="69">
        <f t="shared" si="2"/>
        <v>465</v>
      </c>
      <c r="B467" s="70" t="s">
        <v>1689</v>
      </c>
      <c r="C467" s="70" t="s">
        <v>1694</v>
      </c>
      <c r="D467" s="77">
        <v>2.5</v>
      </c>
      <c r="E467" s="73" t="e">
        <f>IF(B467="","",VLOOKUP(C467,RM!$C$4:$F1003,3,FALSE))</f>
        <v>#N/A</v>
      </c>
      <c r="F467" s="74">
        <f>IF(B467="","",IFERROR(SUMIFS(Issue!$D$3:$D1013,Issue!$C$3:$C1013,'S-BOM'!$B467)*'S-BOM'!$D467,""))</f>
        <v>0</v>
      </c>
      <c r="G467" s="75" t="str">
        <f t="array" ref="G467">IFERROR(INDEX(#REF!,MATCH('S-BOM'!$C467,RM!$C$4:$C1003,0)),"")</f>
        <v/>
      </c>
      <c r="H467" s="75" t="str">
        <f t="shared" si="3"/>
        <v/>
      </c>
      <c r="I467" s="76"/>
    </row>
    <row r="468" spans="1:9" ht="15.75" customHeight="1">
      <c r="A468" s="69">
        <f t="shared" si="2"/>
        <v>466</v>
      </c>
      <c r="B468" s="70" t="s">
        <v>1695</v>
      </c>
      <c r="C468" s="70" t="s">
        <v>1696</v>
      </c>
      <c r="D468" s="77">
        <v>1</v>
      </c>
      <c r="E468" s="73" t="e">
        <f>IF(B468="","",VLOOKUP(C468,RM!$C$4:$F1003,3,FALSE))</f>
        <v>#N/A</v>
      </c>
      <c r="F468" s="74">
        <f>IF(B468="","",IFERROR(SUMIFS(Issue!$D$3:$D1013,Issue!$C$3:$C1013,'S-BOM'!$B468)*'S-BOM'!$D468,""))</f>
        <v>0</v>
      </c>
      <c r="G468" s="75" t="str">
        <f t="array" ref="G468">IFERROR(INDEX(#REF!,MATCH('S-BOM'!$C468,RM!$C$4:$C1003,0)),"")</f>
        <v/>
      </c>
      <c r="H468" s="75" t="str">
        <f t="shared" si="3"/>
        <v/>
      </c>
      <c r="I468" s="76"/>
    </row>
    <row r="469" spans="1:9" ht="15.75" customHeight="1">
      <c r="A469" s="69">
        <f t="shared" si="2"/>
        <v>467</v>
      </c>
      <c r="B469" s="70" t="s">
        <v>1695</v>
      </c>
      <c r="C469" s="70" t="s">
        <v>1045</v>
      </c>
      <c r="D469" s="77">
        <v>1</v>
      </c>
      <c r="E469" s="73">
        <f>IF(B469="","",VLOOKUP(C469,RM!$C$4:$F1003,3,FALSE))</f>
        <v>0</v>
      </c>
      <c r="F469" s="74">
        <f>IF(B469="","",IFERROR(SUMIFS(Issue!$D$3:$D1013,Issue!$C$3:$C1013,'S-BOM'!$B469)*'S-BOM'!$D469,""))</f>
        <v>0</v>
      </c>
      <c r="G469" s="75" t="str">
        <f t="array" ref="G469">IFERROR(INDEX(#REF!,MATCH('S-BOM'!$C469,RM!$C$4:$C1003,0)),"")</f>
        <v/>
      </c>
      <c r="H469" s="75" t="str">
        <f t="shared" si="3"/>
        <v/>
      </c>
      <c r="I469" s="76"/>
    </row>
    <row r="470" spans="1:9" ht="15.75" customHeight="1">
      <c r="A470" s="69">
        <f t="shared" si="2"/>
        <v>468</v>
      </c>
      <c r="B470" s="70" t="s">
        <v>1695</v>
      </c>
      <c r="C470" s="70" t="s">
        <v>1044</v>
      </c>
      <c r="D470" s="77">
        <v>1</v>
      </c>
      <c r="E470" s="73">
        <f>IF(B470="","",VLOOKUP(C470,RM!$C$4:$F1003,3,FALSE))</f>
        <v>0</v>
      </c>
      <c r="F470" s="74">
        <f>IF(B470="","",IFERROR(SUMIFS(Issue!$D$3:$D1013,Issue!$C$3:$C1013,'S-BOM'!$B470)*'S-BOM'!$D470,""))</f>
        <v>0</v>
      </c>
      <c r="G470" s="75" t="str">
        <f t="array" ref="G470">IFERROR(INDEX(#REF!,MATCH('S-BOM'!$C470,RM!$C$4:$C1003,0)),"")</f>
        <v/>
      </c>
      <c r="H470" s="75" t="str">
        <f t="shared" si="3"/>
        <v/>
      </c>
      <c r="I470" s="76"/>
    </row>
    <row r="471" spans="1:9" ht="15.75" customHeight="1">
      <c r="A471" s="69">
        <f t="shared" si="2"/>
        <v>469</v>
      </c>
      <c r="B471" s="70" t="s">
        <v>1695</v>
      </c>
      <c r="C471" s="70" t="s">
        <v>1046</v>
      </c>
      <c r="D471" s="77">
        <v>1</v>
      </c>
      <c r="E471" s="73">
        <f>IF(B471="","",VLOOKUP(C471,RM!$C$4:$F1003,3,FALSE))</f>
        <v>0</v>
      </c>
      <c r="F471" s="74">
        <f>IF(B471="","",IFERROR(SUMIFS(Issue!$D$3:$D1013,Issue!$C$3:$C1013,'S-BOM'!$B471)*'S-BOM'!$D471,""))</f>
        <v>0</v>
      </c>
      <c r="G471" s="75" t="str">
        <f t="array" ref="G471">IFERROR(INDEX(#REF!,MATCH('S-BOM'!$C471,RM!$C$4:$C1003,0)),"")</f>
        <v/>
      </c>
      <c r="H471" s="75" t="str">
        <f t="shared" si="3"/>
        <v/>
      </c>
      <c r="I471" s="76"/>
    </row>
    <row r="472" spans="1:9" ht="15.75" customHeight="1">
      <c r="A472" s="69">
        <f t="shared" si="2"/>
        <v>470</v>
      </c>
      <c r="B472" s="70" t="s">
        <v>1695</v>
      </c>
      <c r="C472" s="70" t="s">
        <v>1697</v>
      </c>
      <c r="D472" s="77">
        <v>3</v>
      </c>
      <c r="E472" s="73" t="e">
        <f>IF(B472="","",VLOOKUP(C472,RM!$C$4:$F1003,3,FALSE))</f>
        <v>#N/A</v>
      </c>
      <c r="F472" s="74">
        <f>IF(B472="","",IFERROR(SUMIFS(Issue!$D$3:$D1013,Issue!$C$3:$C1013,'S-BOM'!$B472)*'S-BOM'!$D472,""))</f>
        <v>0</v>
      </c>
      <c r="G472" s="75" t="str">
        <f t="array" ref="G472">IFERROR(INDEX(#REF!,MATCH('S-BOM'!$C472,RM!$C$4:$C1003,0)),"")</f>
        <v/>
      </c>
      <c r="H472" s="75" t="str">
        <f t="shared" si="3"/>
        <v/>
      </c>
      <c r="I472" s="76"/>
    </row>
    <row r="473" spans="1:9" ht="15.75" customHeight="1">
      <c r="A473" s="69">
        <f t="shared" si="2"/>
        <v>471</v>
      </c>
      <c r="B473" s="70" t="s">
        <v>1698</v>
      </c>
      <c r="C473" s="70" t="s">
        <v>1699</v>
      </c>
      <c r="D473" s="77">
        <v>1</v>
      </c>
      <c r="E473" s="73" t="e">
        <f>IF(B473="","",VLOOKUP(C473,RM!$C$4:$F1003,3,FALSE))</f>
        <v>#N/A</v>
      </c>
      <c r="F473" s="74">
        <f>IF(B473="","",IFERROR(SUMIFS(Issue!$D$3:$D1013,Issue!$C$3:$C1013,'S-BOM'!$B473)*'S-BOM'!$D473,""))</f>
        <v>0</v>
      </c>
      <c r="G473" s="75" t="str">
        <f t="array" ref="G473">IFERROR(INDEX(#REF!,MATCH('S-BOM'!$C473,RM!$C$4:$C1003,0)),"")</f>
        <v/>
      </c>
      <c r="H473" s="75" t="str">
        <f t="shared" si="3"/>
        <v/>
      </c>
      <c r="I473" s="76"/>
    </row>
    <row r="474" spans="1:9" ht="15.75" customHeight="1">
      <c r="A474" s="69">
        <f t="shared" si="2"/>
        <v>472</v>
      </c>
      <c r="B474" s="70" t="s">
        <v>1698</v>
      </c>
      <c r="C474" s="70" t="s">
        <v>1045</v>
      </c>
      <c r="D474" s="77">
        <v>1</v>
      </c>
      <c r="E474" s="73">
        <f>IF(B474="","",VLOOKUP(C474,RM!$C$4:$F1003,3,FALSE))</f>
        <v>0</v>
      </c>
      <c r="F474" s="74">
        <f>IF(B474="","",IFERROR(SUMIFS(Issue!$D$3:$D1013,Issue!$C$3:$C1013,'S-BOM'!$B474)*'S-BOM'!$D474,""))</f>
        <v>0</v>
      </c>
      <c r="G474" s="75" t="str">
        <f t="array" ref="G474">IFERROR(INDEX(#REF!,MATCH('S-BOM'!$C474,RM!$C$4:$C1003,0)),"")</f>
        <v/>
      </c>
      <c r="H474" s="75" t="str">
        <f t="shared" si="3"/>
        <v/>
      </c>
      <c r="I474" s="76"/>
    </row>
    <row r="475" spans="1:9" ht="15.75" customHeight="1">
      <c r="A475" s="69">
        <f t="shared" si="2"/>
        <v>473</v>
      </c>
      <c r="B475" s="70" t="s">
        <v>1698</v>
      </c>
      <c r="C475" s="70" t="s">
        <v>1044</v>
      </c>
      <c r="D475" s="77">
        <v>1</v>
      </c>
      <c r="E475" s="73">
        <f>IF(B475="","",VLOOKUP(C475,RM!$C$4:$F1003,3,FALSE))</f>
        <v>0</v>
      </c>
      <c r="F475" s="74">
        <f>IF(B475="","",IFERROR(SUMIFS(Issue!$D$3:$D1013,Issue!$C$3:$C1013,'S-BOM'!$B475)*'S-BOM'!$D475,""))</f>
        <v>0</v>
      </c>
      <c r="G475" s="75" t="str">
        <f t="array" ref="G475">IFERROR(INDEX(#REF!,MATCH('S-BOM'!$C475,RM!$C$4:$C1003,0)),"")</f>
        <v/>
      </c>
      <c r="H475" s="75" t="str">
        <f t="shared" si="3"/>
        <v/>
      </c>
      <c r="I475" s="76"/>
    </row>
    <row r="476" spans="1:9" ht="15.75" customHeight="1">
      <c r="A476" s="69">
        <f t="shared" si="2"/>
        <v>474</v>
      </c>
      <c r="B476" s="70" t="s">
        <v>1698</v>
      </c>
      <c r="C476" s="70" t="s">
        <v>1046</v>
      </c>
      <c r="D476" s="77">
        <v>1</v>
      </c>
      <c r="E476" s="73">
        <f>IF(B476="","",VLOOKUP(C476,RM!$C$4:$F1003,3,FALSE))</f>
        <v>0</v>
      </c>
      <c r="F476" s="74">
        <f>IF(B476="","",IFERROR(SUMIFS(Issue!$D$3:$D1013,Issue!$C$3:$C1013,'S-BOM'!$B476)*'S-BOM'!$D476,""))</f>
        <v>0</v>
      </c>
      <c r="G476" s="75" t="str">
        <f t="array" ref="G476">IFERROR(INDEX(#REF!,MATCH('S-BOM'!$C476,RM!$C$4:$C1003,0)),"")</f>
        <v/>
      </c>
      <c r="H476" s="75" t="str">
        <f t="shared" si="3"/>
        <v/>
      </c>
      <c r="I476" s="76"/>
    </row>
    <row r="477" spans="1:9" ht="15.75" customHeight="1">
      <c r="A477" s="69">
        <f t="shared" si="2"/>
        <v>475</v>
      </c>
      <c r="B477" s="70" t="s">
        <v>1698</v>
      </c>
      <c r="C477" s="70" t="s">
        <v>1700</v>
      </c>
      <c r="D477" s="77">
        <v>1</v>
      </c>
      <c r="E477" s="73" t="e">
        <f>IF(B477="","",VLOOKUP(C477,RM!$C$4:$F1003,3,FALSE))</f>
        <v>#N/A</v>
      </c>
      <c r="F477" s="74">
        <f>IF(B477="","",IFERROR(SUMIFS(Issue!$D$3:$D1013,Issue!$C$3:$C1013,'S-BOM'!$B477)*'S-BOM'!$D477,""))</f>
        <v>0</v>
      </c>
      <c r="G477" s="75" t="str">
        <f t="array" ref="G477">IFERROR(INDEX(#REF!,MATCH('S-BOM'!$C477,RM!$C$4:$C1003,0)),"")</f>
        <v/>
      </c>
      <c r="H477" s="75" t="str">
        <f t="shared" si="3"/>
        <v/>
      </c>
      <c r="I477" s="76"/>
    </row>
    <row r="478" spans="1:9" ht="15.75" customHeight="1">
      <c r="A478" s="69">
        <f t="shared" si="2"/>
        <v>476</v>
      </c>
      <c r="B478" s="70" t="s">
        <v>1698</v>
      </c>
      <c r="C478" s="70" t="s">
        <v>1697</v>
      </c>
      <c r="D478" s="77">
        <v>3</v>
      </c>
      <c r="E478" s="73" t="e">
        <f>IF(B478="","",VLOOKUP(C478,RM!$C$4:$F1003,3,FALSE))</f>
        <v>#N/A</v>
      </c>
      <c r="F478" s="74">
        <f>IF(B478="","",IFERROR(SUMIFS(Issue!$D$3:$D1013,Issue!$C$3:$C1013,'S-BOM'!$B478)*'S-BOM'!$D478,""))</f>
        <v>0</v>
      </c>
      <c r="G478" s="75" t="str">
        <f t="array" ref="G478">IFERROR(INDEX(#REF!,MATCH('S-BOM'!$C478,RM!$C$4:$C1003,0)),"")</f>
        <v/>
      </c>
      <c r="H478" s="75" t="str">
        <f t="shared" si="3"/>
        <v/>
      </c>
      <c r="I478" s="76"/>
    </row>
    <row r="479" spans="1:9" ht="15.75" customHeight="1">
      <c r="A479" s="69">
        <f t="shared" si="2"/>
        <v>477</v>
      </c>
      <c r="B479" s="70" t="s">
        <v>1701</v>
      </c>
      <c r="C479" s="70" t="s">
        <v>1702</v>
      </c>
      <c r="D479" s="77">
        <v>1</v>
      </c>
      <c r="E479" s="73" t="e">
        <f>IF(B479="","",VLOOKUP(C479,RM!$C$4:$F1003,3,FALSE))</f>
        <v>#N/A</v>
      </c>
      <c r="F479" s="74">
        <f>IF(B479="","",IFERROR(SUMIFS(Issue!$D$3:$D1013,Issue!$C$3:$C1013,'S-BOM'!$B479)*'S-BOM'!$D479,""))</f>
        <v>0</v>
      </c>
      <c r="G479" s="75" t="str">
        <f t="array" ref="G479">IFERROR(INDEX(#REF!,MATCH('S-BOM'!$C479,RM!$C$4:$C1003,0)),"")</f>
        <v/>
      </c>
      <c r="H479" s="75" t="str">
        <f t="shared" si="3"/>
        <v/>
      </c>
      <c r="I479" s="76"/>
    </row>
    <row r="480" spans="1:9" ht="15.75" customHeight="1">
      <c r="A480" s="69">
        <f t="shared" si="2"/>
        <v>478</v>
      </c>
      <c r="B480" s="70" t="s">
        <v>1701</v>
      </c>
      <c r="C480" s="70" t="s">
        <v>476</v>
      </c>
      <c r="D480" s="77">
        <v>0.25</v>
      </c>
      <c r="E480" s="73">
        <f>IF(B480="","",VLOOKUP(C480,RM!$C$4:$F1003,3,FALSE))</f>
        <v>0</v>
      </c>
      <c r="F480" s="74">
        <f>IF(B480="","",IFERROR(SUMIFS(Issue!$D$3:$D1013,Issue!$C$3:$C1013,'S-BOM'!$B480)*'S-BOM'!$D480,""))</f>
        <v>0</v>
      </c>
      <c r="G480" s="75" t="str">
        <f t="array" ref="G480">IFERROR(INDEX(#REF!,MATCH('S-BOM'!$C480,RM!$C$4:$C1003,0)),"")</f>
        <v/>
      </c>
      <c r="H480" s="75" t="str">
        <f t="shared" si="3"/>
        <v/>
      </c>
      <c r="I480" s="76"/>
    </row>
    <row r="481" spans="1:9" ht="15.75" customHeight="1">
      <c r="A481" s="69">
        <f t="shared" si="2"/>
        <v>479</v>
      </c>
      <c r="B481" s="70" t="s">
        <v>1701</v>
      </c>
      <c r="C481" s="70" t="s">
        <v>478</v>
      </c>
      <c r="D481" s="77">
        <v>0.25</v>
      </c>
      <c r="E481" s="73">
        <f>IF(B481="","",VLOOKUP(C481,RM!$C$4:$F1003,3,FALSE))</f>
        <v>0</v>
      </c>
      <c r="F481" s="74">
        <f>IF(B481="","",IFERROR(SUMIFS(Issue!$D$3:$D1013,Issue!$C$3:$C1013,'S-BOM'!$B481)*'S-BOM'!$D481,""))</f>
        <v>0</v>
      </c>
      <c r="G481" s="75" t="str">
        <f t="array" ref="G481">IFERROR(INDEX(#REF!,MATCH('S-BOM'!$C481,RM!$C$4:$C1003,0)),"")</f>
        <v/>
      </c>
      <c r="H481" s="75" t="str">
        <f t="shared" si="3"/>
        <v/>
      </c>
      <c r="I481" s="76"/>
    </row>
    <row r="482" spans="1:9" ht="15.75" customHeight="1">
      <c r="A482" s="69">
        <f t="shared" si="2"/>
        <v>480</v>
      </c>
      <c r="B482" s="70" t="s">
        <v>1701</v>
      </c>
      <c r="C482" s="70" t="s">
        <v>1497</v>
      </c>
      <c r="D482" s="77">
        <v>2</v>
      </c>
      <c r="E482" s="73">
        <f>IF(B482="","",VLOOKUP(C482,RM!$C$4:$F1003,3,FALSE))</f>
        <v>0</v>
      </c>
      <c r="F482" s="74">
        <f>IF(B482="","",IFERROR(SUMIFS(Issue!$D$3:$D1013,Issue!$C$3:$C1013,'S-BOM'!$B482)*'S-BOM'!$D482,""))</f>
        <v>0</v>
      </c>
      <c r="G482" s="75" t="str">
        <f t="array" ref="G482">IFERROR(INDEX(#REF!,MATCH('S-BOM'!$C482,RM!$C$4:$C1003,0)),"")</f>
        <v/>
      </c>
      <c r="H482" s="75" t="str">
        <f t="shared" si="3"/>
        <v/>
      </c>
      <c r="I482" s="76"/>
    </row>
    <row r="483" spans="1:9" ht="15.75" customHeight="1">
      <c r="A483" s="69">
        <f t="shared" si="2"/>
        <v>481</v>
      </c>
      <c r="B483" s="70" t="s">
        <v>1701</v>
      </c>
      <c r="C483" s="70" t="s">
        <v>1552</v>
      </c>
      <c r="D483" s="77">
        <v>1</v>
      </c>
      <c r="E483" s="73" t="e">
        <f>IF(B483="","",VLOOKUP(C483,RM!$C$4:$F1003,3,FALSE))</f>
        <v>#N/A</v>
      </c>
      <c r="F483" s="74">
        <f>IF(B483="","",IFERROR(SUMIFS(Issue!$D$3:$D1013,Issue!$C$3:$C1013,'S-BOM'!$B483)*'S-BOM'!$D483,""))</f>
        <v>0</v>
      </c>
      <c r="G483" s="75" t="str">
        <f t="array" ref="G483">IFERROR(INDEX(#REF!,MATCH('S-BOM'!$C483,RM!$C$4:$C1003,0)),"")</f>
        <v/>
      </c>
      <c r="H483" s="75" t="str">
        <f t="shared" si="3"/>
        <v/>
      </c>
      <c r="I483" s="76"/>
    </row>
    <row r="484" spans="1:9" ht="15.75" customHeight="1">
      <c r="A484" s="69">
        <f t="shared" si="2"/>
        <v>482</v>
      </c>
      <c r="B484" s="70" t="s">
        <v>1701</v>
      </c>
      <c r="C484" s="70" t="s">
        <v>361</v>
      </c>
      <c r="D484" s="77">
        <v>1</v>
      </c>
      <c r="E484" s="73" t="str">
        <f>IF(B484="","",VLOOKUP(C484,RM!$C$4:$F1003,3,FALSE))</f>
        <v>T491A106K010AT</v>
      </c>
      <c r="F484" s="74">
        <f>IF(B484="","",IFERROR(SUMIFS(Issue!$D$3:$D1013,Issue!$C$3:$C1013,'S-BOM'!$B484)*'S-BOM'!$D484,""))</f>
        <v>0</v>
      </c>
      <c r="G484" s="75" t="str">
        <f t="array" ref="G484">IFERROR(INDEX(#REF!,MATCH('S-BOM'!$C484,RM!$C$4:$C1003,0)),"")</f>
        <v/>
      </c>
      <c r="H484" s="75" t="str">
        <f t="shared" si="3"/>
        <v/>
      </c>
      <c r="I484" s="76"/>
    </row>
    <row r="485" spans="1:9" ht="15.75" customHeight="1">
      <c r="A485" s="69">
        <f t="shared" si="2"/>
        <v>483</v>
      </c>
      <c r="B485" s="70" t="s">
        <v>1703</v>
      </c>
      <c r="C485" s="70" t="s">
        <v>1704</v>
      </c>
      <c r="D485" s="77">
        <v>1</v>
      </c>
      <c r="E485" s="73" t="e">
        <f>IF(B485="","",VLOOKUP(C485,RM!$C$4:$F1003,3,FALSE))</f>
        <v>#N/A</v>
      </c>
      <c r="F485" s="74">
        <f>IF(B485="","",IFERROR(SUMIFS(Issue!$D$3:$D1013,Issue!$C$3:$C1013,'S-BOM'!$B485)*'S-BOM'!$D485,""))</f>
        <v>0</v>
      </c>
      <c r="G485" s="75" t="str">
        <f t="array" ref="G485">IFERROR(INDEX(#REF!,MATCH('S-BOM'!$C485,RM!$C$4:$C1003,0)),"")</f>
        <v/>
      </c>
      <c r="H485" s="75" t="str">
        <f t="shared" si="3"/>
        <v/>
      </c>
      <c r="I485" s="76"/>
    </row>
    <row r="486" spans="1:9" ht="15.75" customHeight="1">
      <c r="A486" s="69">
        <f t="shared" si="2"/>
        <v>484</v>
      </c>
      <c r="B486" s="70" t="s">
        <v>1703</v>
      </c>
      <c r="C486" s="70" t="s">
        <v>1197</v>
      </c>
      <c r="D486" s="77">
        <v>1</v>
      </c>
      <c r="E486" s="73" t="str">
        <f>IF(B486="","",VLOOKUP(C486,RM!$C$4:$F1003,3,FALSE))</f>
        <v xml:space="preserve">                                                                                 </v>
      </c>
      <c r="F486" s="74">
        <f>IF(B486="","",IFERROR(SUMIFS(Issue!$D$3:$D1013,Issue!$C$3:$C1013,'S-BOM'!$B486)*'S-BOM'!$D486,""))</f>
        <v>0</v>
      </c>
      <c r="G486" s="75" t="str">
        <f t="array" ref="G486">IFERROR(INDEX(#REF!,MATCH('S-BOM'!$C486,RM!$C$4:$C1003,0)),"")</f>
        <v/>
      </c>
      <c r="H486" s="75" t="str">
        <f t="shared" si="3"/>
        <v/>
      </c>
      <c r="I486" s="76"/>
    </row>
    <row r="487" spans="1:9" ht="15.75" customHeight="1">
      <c r="A487" s="69">
        <f t="shared" si="2"/>
        <v>485</v>
      </c>
      <c r="B487" s="70" t="s">
        <v>1703</v>
      </c>
      <c r="C487" s="70" t="s">
        <v>1705</v>
      </c>
      <c r="D487" s="77">
        <v>1</v>
      </c>
      <c r="E487" s="73" t="e">
        <f>IF(B487="","",VLOOKUP(C487,RM!$C$4:$F1003,3,FALSE))</f>
        <v>#N/A</v>
      </c>
      <c r="F487" s="74">
        <f>IF(B487="","",IFERROR(SUMIFS(Issue!$D$3:$D1013,Issue!$C$3:$C1013,'S-BOM'!$B487)*'S-BOM'!$D487,""))</f>
        <v>0</v>
      </c>
      <c r="G487" s="75" t="str">
        <f t="array" ref="G487">IFERROR(INDEX(#REF!,MATCH('S-BOM'!$C487,RM!$C$4:$C1003,0)),"")</f>
        <v/>
      </c>
      <c r="H487" s="75" t="str">
        <f t="shared" si="3"/>
        <v/>
      </c>
      <c r="I487" s="76"/>
    </row>
    <row r="488" spans="1:9" ht="15.75" customHeight="1">
      <c r="A488" s="69">
        <f t="shared" si="2"/>
        <v>486</v>
      </c>
      <c r="B488" s="70" t="s">
        <v>1703</v>
      </c>
      <c r="C488" s="70" t="s">
        <v>1706</v>
      </c>
      <c r="D488" s="77">
        <v>1</v>
      </c>
      <c r="E488" s="73" t="e">
        <f>IF(B488="","",VLOOKUP(C488,RM!$C$4:$F1003,3,FALSE))</f>
        <v>#N/A</v>
      </c>
      <c r="F488" s="74">
        <f>IF(B488="","",IFERROR(SUMIFS(Issue!$D$3:$D1013,Issue!$C$3:$C1013,'S-BOM'!$B488)*'S-BOM'!$D488,""))</f>
        <v>0</v>
      </c>
      <c r="G488" s="75" t="str">
        <f t="array" ref="G488">IFERROR(INDEX(#REF!,MATCH('S-BOM'!$C488,RM!$C$4:$C1003,0)),"")</f>
        <v/>
      </c>
      <c r="H488" s="75" t="str">
        <f t="shared" si="3"/>
        <v/>
      </c>
      <c r="I488" s="76"/>
    </row>
    <row r="489" spans="1:9" ht="15.75" customHeight="1">
      <c r="A489" s="69">
        <f t="shared" si="2"/>
        <v>487</v>
      </c>
      <c r="B489" s="70" t="s">
        <v>1703</v>
      </c>
      <c r="C489" s="70" t="s">
        <v>1019</v>
      </c>
      <c r="D489" s="77">
        <v>1</v>
      </c>
      <c r="E489" s="73">
        <f>IF(B489="","",VLOOKUP(C489,RM!$C$4:$F1003,3,FALSE))</f>
        <v>0</v>
      </c>
      <c r="F489" s="74">
        <f>IF(B489="","",IFERROR(SUMIFS(Issue!$D$3:$D1013,Issue!$C$3:$C1013,'S-BOM'!$B489)*'S-BOM'!$D489,""))</f>
        <v>0</v>
      </c>
      <c r="G489" s="75" t="str">
        <f t="array" ref="G489">IFERROR(INDEX(#REF!,MATCH('S-BOM'!$C489,RM!$C$4:$C1003,0)),"")</f>
        <v/>
      </c>
      <c r="H489" s="75" t="str">
        <f t="shared" si="3"/>
        <v/>
      </c>
      <c r="I489" s="76"/>
    </row>
    <row r="490" spans="1:9" ht="15.75" customHeight="1">
      <c r="A490" s="69">
        <f t="shared" si="2"/>
        <v>488</v>
      </c>
      <c r="B490" s="70" t="s">
        <v>1703</v>
      </c>
      <c r="C490" s="70" t="s">
        <v>985</v>
      </c>
      <c r="D490" s="77">
        <v>180</v>
      </c>
      <c r="E490" s="73">
        <f>IF(B490="","",VLOOKUP(C490,RM!$C$4:$F1003,3,FALSE))</f>
        <v>0</v>
      </c>
      <c r="F490" s="74">
        <f>IF(B490="","",IFERROR(SUMIFS(Issue!$D$3:$D1013,Issue!$C$3:$C1013,'S-BOM'!$B490)*'S-BOM'!$D490,""))</f>
        <v>0</v>
      </c>
      <c r="G490" s="75" t="str">
        <f t="array" ref="G490">IFERROR(INDEX(#REF!,MATCH('S-BOM'!$C490,RM!$C$4:$C1003,0)),"")</f>
        <v/>
      </c>
      <c r="H490" s="75" t="str">
        <f t="shared" si="3"/>
        <v/>
      </c>
      <c r="I490" s="76"/>
    </row>
    <row r="491" spans="1:9" ht="15.75" customHeight="1">
      <c r="A491" s="69">
        <f t="shared" si="2"/>
        <v>489</v>
      </c>
      <c r="B491" s="70" t="s">
        <v>1703</v>
      </c>
      <c r="C491" s="70" t="s">
        <v>1268</v>
      </c>
      <c r="D491" s="77">
        <v>1</v>
      </c>
      <c r="E491" s="73">
        <f>IF(B491="","",VLOOKUP(C491,RM!$C$4:$F1003,3,FALSE))</f>
        <v>0</v>
      </c>
      <c r="F491" s="74">
        <f>IF(B491="","",IFERROR(SUMIFS(Issue!$D$3:$D1013,Issue!$C$3:$C1013,'S-BOM'!$B491)*'S-BOM'!$D491,""))</f>
        <v>0</v>
      </c>
      <c r="G491" s="75" t="str">
        <f t="array" ref="G491">IFERROR(INDEX(#REF!,MATCH('S-BOM'!$C491,RM!$C$4:$C1003,0)),"")</f>
        <v/>
      </c>
      <c r="H491" s="75" t="str">
        <f t="shared" si="3"/>
        <v/>
      </c>
      <c r="I491" s="76"/>
    </row>
    <row r="492" spans="1:9" ht="15.75" customHeight="1">
      <c r="A492" s="69">
        <f t="shared" si="2"/>
        <v>490</v>
      </c>
      <c r="B492" s="70" t="s">
        <v>1703</v>
      </c>
      <c r="C492" s="70" t="s">
        <v>1707</v>
      </c>
      <c r="D492" s="77">
        <v>1</v>
      </c>
      <c r="E492" s="73" t="e">
        <f>IF(B492="","",VLOOKUP(C492,RM!$C$4:$F1003,3,FALSE))</f>
        <v>#N/A</v>
      </c>
      <c r="F492" s="74">
        <f>IF(B492="","",IFERROR(SUMIFS(Issue!$D$3:$D1013,Issue!$C$3:$C1013,'S-BOM'!$B492)*'S-BOM'!$D492,""))</f>
        <v>0</v>
      </c>
      <c r="G492" s="75" t="str">
        <f t="array" ref="G492">IFERROR(INDEX(#REF!,MATCH('S-BOM'!$C492,RM!$C$4:$C1003,0)),"")</f>
        <v/>
      </c>
      <c r="H492" s="75" t="str">
        <f t="shared" si="3"/>
        <v/>
      </c>
      <c r="I492" s="76"/>
    </row>
    <row r="493" spans="1:9" ht="15.75" customHeight="1">
      <c r="A493" s="69">
        <f t="shared" si="2"/>
        <v>491</v>
      </c>
      <c r="B493" s="70" t="s">
        <v>1703</v>
      </c>
      <c r="C493" s="70" t="s">
        <v>1708</v>
      </c>
      <c r="D493" s="77">
        <v>1</v>
      </c>
      <c r="E493" s="73" t="e">
        <f>IF(B493="","",VLOOKUP(C493,RM!$C$4:$F1003,3,FALSE))</f>
        <v>#N/A</v>
      </c>
      <c r="F493" s="74">
        <f>IF(B493="","",IFERROR(SUMIFS(Issue!$D$3:$D1013,Issue!$C$3:$C1013,'S-BOM'!$B493)*'S-BOM'!$D493,""))</f>
        <v>0</v>
      </c>
      <c r="G493" s="75" t="str">
        <f t="array" ref="G493">IFERROR(INDEX(#REF!,MATCH('S-BOM'!$C493,RM!$C$4:$C1003,0)),"")</f>
        <v/>
      </c>
      <c r="H493" s="75" t="str">
        <f t="shared" si="3"/>
        <v/>
      </c>
      <c r="I493" s="76"/>
    </row>
    <row r="494" spans="1:9" ht="15.75" customHeight="1">
      <c r="A494" s="69">
        <f t="shared" si="2"/>
        <v>492</v>
      </c>
      <c r="B494" s="70" t="s">
        <v>1703</v>
      </c>
      <c r="C494" s="70" t="s">
        <v>1271</v>
      </c>
      <c r="D494" s="77">
        <v>1</v>
      </c>
      <c r="E494" s="73">
        <f>IF(B494="","",VLOOKUP(C494,RM!$C$4:$F1003,3,FALSE))</f>
        <v>0</v>
      </c>
      <c r="F494" s="74">
        <f>IF(B494="","",IFERROR(SUMIFS(Issue!$D$3:$D1013,Issue!$C$3:$C1013,'S-BOM'!$B494)*'S-BOM'!$D494,""))</f>
        <v>0</v>
      </c>
      <c r="G494" s="75" t="str">
        <f t="array" ref="G494">IFERROR(INDEX(#REF!,MATCH('S-BOM'!$C494,RM!$C$4:$C1003,0)),"")</f>
        <v/>
      </c>
      <c r="H494" s="75" t="str">
        <f t="shared" si="3"/>
        <v/>
      </c>
      <c r="I494" s="76"/>
    </row>
    <row r="495" spans="1:9" ht="15.75" customHeight="1">
      <c r="A495" s="69">
        <f t="shared" si="2"/>
        <v>493</v>
      </c>
      <c r="B495" s="70" t="s">
        <v>1703</v>
      </c>
      <c r="C495" s="70" t="s">
        <v>1709</v>
      </c>
      <c r="D495" s="77">
        <v>1</v>
      </c>
      <c r="E495" s="73" t="e">
        <f>IF(B495="","",VLOOKUP(C495,RM!$C$4:$F1003,3,FALSE))</f>
        <v>#N/A</v>
      </c>
      <c r="F495" s="74">
        <f>IF(B495="","",IFERROR(SUMIFS(Issue!$D$3:$D1013,Issue!$C$3:$C1013,'S-BOM'!$B495)*'S-BOM'!$D495,""))</f>
        <v>0</v>
      </c>
      <c r="G495" s="75" t="str">
        <f t="array" ref="G495">IFERROR(INDEX(#REF!,MATCH('S-BOM'!$C495,RM!$C$4:$C1003,0)),"")</f>
        <v/>
      </c>
      <c r="H495" s="75" t="str">
        <f t="shared" si="3"/>
        <v/>
      </c>
      <c r="I495" s="76"/>
    </row>
    <row r="496" spans="1:9" ht="15.75" customHeight="1">
      <c r="A496" s="69">
        <f t="shared" si="2"/>
        <v>494</v>
      </c>
      <c r="B496" s="70" t="s">
        <v>1703</v>
      </c>
      <c r="C496" s="70" t="s">
        <v>1710</v>
      </c>
      <c r="D496" s="77">
        <v>2</v>
      </c>
      <c r="E496" s="73" t="e">
        <f>IF(B496="","",VLOOKUP(C496,RM!$C$4:$F1003,3,FALSE))</f>
        <v>#N/A</v>
      </c>
      <c r="F496" s="74">
        <f>IF(B496="","",IFERROR(SUMIFS(Issue!$D$3:$D1013,Issue!$C$3:$C1013,'S-BOM'!$B496)*'S-BOM'!$D496,""))</f>
        <v>0</v>
      </c>
      <c r="G496" s="75" t="str">
        <f t="array" ref="G496">IFERROR(INDEX(#REF!,MATCH('S-BOM'!$C496,RM!$C$4:$C1003,0)),"")</f>
        <v/>
      </c>
      <c r="H496" s="75" t="str">
        <f t="shared" si="3"/>
        <v/>
      </c>
      <c r="I496" s="76"/>
    </row>
    <row r="497" spans="1:9" ht="15.75" customHeight="1">
      <c r="A497" s="69">
        <f t="shared" si="2"/>
        <v>495</v>
      </c>
      <c r="B497" s="70" t="s">
        <v>1586</v>
      </c>
      <c r="C497" s="70" t="s">
        <v>1711</v>
      </c>
      <c r="D497" s="77">
        <v>1</v>
      </c>
      <c r="E497" s="73" t="e">
        <f>IF(B497="","",VLOOKUP(C497,RM!$C$4:$F1003,3,FALSE))</f>
        <v>#N/A</v>
      </c>
      <c r="F497" s="74">
        <f>IF(B497="","",IFERROR(SUMIFS(Issue!$D$3:$D1013,Issue!$C$3:$C1013,'S-BOM'!$B497)*'S-BOM'!$D497,""))</f>
        <v>0</v>
      </c>
      <c r="G497" s="75" t="str">
        <f t="array" ref="G497">IFERROR(INDEX(#REF!,MATCH('S-BOM'!$C497,RM!$C$4:$C1003,0)),"")</f>
        <v/>
      </c>
      <c r="H497" s="75" t="str">
        <f t="shared" si="3"/>
        <v/>
      </c>
      <c r="I497" s="76"/>
    </row>
    <row r="498" spans="1:9" ht="15.75" customHeight="1">
      <c r="A498" s="69">
        <f t="shared" si="2"/>
        <v>496</v>
      </c>
      <c r="B498" s="70" t="s">
        <v>1586</v>
      </c>
      <c r="C498" s="70" t="s">
        <v>1493</v>
      </c>
      <c r="D498" s="77">
        <v>2</v>
      </c>
      <c r="E498" s="73" t="e">
        <f>IF(B498="","",VLOOKUP(C498,RM!$C$4:$F1003,3,FALSE))</f>
        <v>#N/A</v>
      </c>
      <c r="F498" s="74">
        <f>IF(B498="","",IFERROR(SUMIFS(Issue!$D$3:$D1013,Issue!$C$3:$C1013,'S-BOM'!$B498)*'S-BOM'!$D498,""))</f>
        <v>0</v>
      </c>
      <c r="G498" s="75" t="str">
        <f t="array" ref="G498">IFERROR(INDEX(#REF!,MATCH('S-BOM'!$C498,RM!$C$4:$C1003,0)),"")</f>
        <v/>
      </c>
      <c r="H498" s="75" t="str">
        <f t="shared" si="3"/>
        <v/>
      </c>
      <c r="I498" s="76"/>
    </row>
    <row r="499" spans="1:9" ht="15.75" customHeight="1">
      <c r="A499" s="69">
        <f t="shared" si="2"/>
        <v>497</v>
      </c>
      <c r="B499" s="70" t="s">
        <v>1586</v>
      </c>
      <c r="C499" s="70" t="s">
        <v>492</v>
      </c>
      <c r="D499" s="77">
        <v>1</v>
      </c>
      <c r="E499" s="73">
        <f>IF(B499="","",VLOOKUP(C499,RM!$C$4:$F1003,3,FALSE))</f>
        <v>0</v>
      </c>
      <c r="F499" s="74">
        <f>IF(B499="","",IFERROR(SUMIFS(Issue!$D$3:$D1013,Issue!$C$3:$C1013,'S-BOM'!$B499)*'S-BOM'!$D499,""))</f>
        <v>0</v>
      </c>
      <c r="G499" s="75" t="str">
        <f t="array" ref="G499">IFERROR(INDEX(#REF!,MATCH('S-BOM'!$C499,RM!$C$4:$C1003,0)),"")</f>
        <v/>
      </c>
      <c r="H499" s="75" t="str">
        <f t="shared" si="3"/>
        <v/>
      </c>
      <c r="I499" s="76"/>
    </row>
    <row r="500" spans="1:9" ht="15.75" customHeight="1">
      <c r="A500" s="69" t="str">
        <f t="shared" si="2"/>
        <v/>
      </c>
      <c r="B500" s="70"/>
      <c r="C500" s="70"/>
      <c r="D500" s="77"/>
      <c r="E500" s="73" t="str">
        <f>IF(B500="","",VLOOKUP(C500,RM!$C$4:$F1003,3,FALSE))</f>
        <v/>
      </c>
      <c r="F500" s="74" t="str">
        <f>IF(B500="","",IFERROR(SUMIFS(Issue!$D$3:$D1013,Issue!$C$3:$C1013,'S-BOM'!$B500)*'S-BOM'!$D500,""))</f>
        <v/>
      </c>
      <c r="G500" s="75" t="str">
        <f t="array" ref="G500">IFERROR(INDEX(#REF!,MATCH('S-BOM'!$C500,RM!$C$4:$C1003,0)),"")</f>
        <v/>
      </c>
      <c r="H500" s="75" t="str">
        <f t="shared" si="3"/>
        <v/>
      </c>
      <c r="I500" s="76"/>
    </row>
    <row r="501" spans="1:9" ht="15.75" customHeight="1">
      <c r="A501" s="69" t="str">
        <f t="shared" si="2"/>
        <v/>
      </c>
      <c r="B501" s="70"/>
      <c r="C501" s="70"/>
      <c r="D501" s="77"/>
      <c r="E501" s="73" t="str">
        <f>IF(B501="","",VLOOKUP(C501,RM!$C$4:$F1003,3,FALSE))</f>
        <v/>
      </c>
      <c r="F501" s="74" t="str">
        <f>IF(B501="","",IFERROR(SUMIFS(Issue!$D$3:$D1013,Issue!$C$3:$C1013,'S-BOM'!$B501)*'S-BOM'!$D501,""))</f>
        <v/>
      </c>
      <c r="G501" s="75" t="str">
        <f t="array" ref="G501">IFERROR(INDEX(#REF!,MATCH('S-BOM'!$C501,RM!$C$4:$C1003,0)),"")</f>
        <v/>
      </c>
      <c r="H501" s="75" t="str">
        <f t="shared" si="3"/>
        <v/>
      </c>
      <c r="I501" s="76"/>
    </row>
    <row r="502" spans="1:9" ht="15.75" customHeight="1">
      <c r="A502" s="69" t="str">
        <f t="shared" si="2"/>
        <v/>
      </c>
      <c r="B502" s="70"/>
      <c r="C502" s="70"/>
      <c r="D502" s="77"/>
      <c r="E502" s="73" t="str">
        <f>IF(B502="","",VLOOKUP(C502,RM!$C$4:$F1003,3,FALSE))</f>
        <v/>
      </c>
      <c r="F502" s="74" t="str">
        <f>IF(B502="","",IFERROR(SUMIFS(Issue!$D$3:$D1013,Issue!$C$3:$C1013,'S-BOM'!$B502)*'S-BOM'!$D502,""))</f>
        <v/>
      </c>
      <c r="G502" s="75" t="str">
        <f t="array" ref="G502">IFERROR(INDEX(#REF!,MATCH('S-BOM'!$C502,RM!$C$4:$C1003,0)),"")</f>
        <v/>
      </c>
      <c r="H502" s="75" t="str">
        <f t="shared" si="3"/>
        <v/>
      </c>
      <c r="I502" s="76"/>
    </row>
    <row r="503" spans="1:9" ht="15.75" customHeight="1">
      <c r="A503" s="69" t="str">
        <f t="shared" si="2"/>
        <v/>
      </c>
      <c r="B503" s="70"/>
      <c r="C503" s="70"/>
      <c r="D503" s="77"/>
      <c r="E503" s="73" t="str">
        <f>IF(B503="","",VLOOKUP(C503,RM!$C$4:$F1003,3,FALSE))</f>
        <v/>
      </c>
      <c r="F503" s="74" t="str">
        <f>IF(B503="","",IFERROR(SUMIFS(Issue!$D$3:$D1013,Issue!$C$3:$C1013,'S-BOM'!$B503)*'S-BOM'!$D503,""))</f>
        <v/>
      </c>
      <c r="G503" s="75" t="str">
        <f t="array" ref="G503">IFERROR(INDEX(#REF!,MATCH('S-BOM'!$C503,RM!$C$4:$C1003,0)),"")</f>
        <v/>
      </c>
      <c r="H503" s="75" t="str">
        <f t="shared" si="3"/>
        <v/>
      </c>
      <c r="I503" s="76"/>
    </row>
    <row r="504" spans="1:9" ht="15.75" customHeight="1">
      <c r="A504" s="69" t="str">
        <f t="shared" si="2"/>
        <v/>
      </c>
      <c r="B504" s="70"/>
      <c r="C504" s="70"/>
      <c r="D504" s="77"/>
      <c r="E504" s="73" t="str">
        <f>IF(B504="","",VLOOKUP(C504,RM!$C$4:$F1003,3,FALSE))</f>
        <v/>
      </c>
      <c r="F504" s="74" t="str">
        <f>IF(B504="","",IFERROR(SUMIFS(Issue!$D$3:$D1013,Issue!$C$3:$C1013,'S-BOM'!$B504)*'S-BOM'!$D504,""))</f>
        <v/>
      </c>
      <c r="G504" s="75" t="str">
        <f t="array" ref="G504">IFERROR(INDEX(#REF!,MATCH('S-BOM'!$C504,RM!$C$4:$C1003,0)),"")</f>
        <v/>
      </c>
      <c r="H504" s="75" t="str">
        <f t="shared" si="3"/>
        <v/>
      </c>
      <c r="I504" s="76"/>
    </row>
    <row r="505" spans="1:9" ht="15.75" customHeight="1">
      <c r="A505" s="69" t="str">
        <f t="shared" si="2"/>
        <v/>
      </c>
      <c r="B505" s="70"/>
      <c r="C505" s="70"/>
      <c r="D505" s="77"/>
      <c r="E505" s="73" t="str">
        <f>IF(B505="","",VLOOKUP(C505,RM!$C$4:$F1003,3,FALSE))</f>
        <v/>
      </c>
      <c r="F505" s="74" t="str">
        <f>IF(B505="","",IFERROR(SUMIFS(Issue!$D$3:$D1013,Issue!$C$3:$C1013,'S-BOM'!$B505)*'S-BOM'!$D505,""))</f>
        <v/>
      </c>
      <c r="G505" s="75" t="str">
        <f t="array" ref="G505">IFERROR(INDEX(#REF!,MATCH('S-BOM'!$C505,RM!$C$4:$C1003,0)),"")</f>
        <v/>
      </c>
      <c r="H505" s="75" t="str">
        <f t="shared" si="3"/>
        <v/>
      </c>
      <c r="I505" s="76"/>
    </row>
    <row r="506" spans="1:9" ht="15.75" customHeight="1">
      <c r="A506" s="69" t="str">
        <f t="shared" si="2"/>
        <v/>
      </c>
      <c r="B506" s="70"/>
      <c r="C506" s="70"/>
      <c r="D506" s="77"/>
      <c r="E506" s="73" t="str">
        <f>IF(B506="","",VLOOKUP(C506,RM!$C$4:$F1003,3,FALSE))</f>
        <v/>
      </c>
      <c r="F506" s="74" t="str">
        <f>IF(B506="","",IFERROR(SUMIFS(Issue!$D$3:$D1013,Issue!$C$3:$C1013,'S-BOM'!$B506)*'S-BOM'!$D506,""))</f>
        <v/>
      </c>
      <c r="G506" s="75" t="str">
        <f t="array" ref="G506">IFERROR(INDEX(#REF!,MATCH('S-BOM'!$C506,RM!$C$4:$C1003,0)),"")</f>
        <v/>
      </c>
      <c r="H506" s="75" t="str">
        <f t="shared" si="3"/>
        <v/>
      </c>
      <c r="I506" s="76"/>
    </row>
    <row r="507" spans="1:9" ht="15.75" customHeight="1">
      <c r="A507" s="69" t="str">
        <f t="shared" si="2"/>
        <v/>
      </c>
      <c r="B507" s="70"/>
      <c r="C507" s="70"/>
      <c r="D507" s="77"/>
      <c r="E507" s="73" t="str">
        <f>IF(B507="","",VLOOKUP(C507,RM!$C$4:$F1003,3,FALSE))</f>
        <v/>
      </c>
      <c r="F507" s="74" t="str">
        <f>IF(B507="","",IFERROR(SUMIFS(Issue!$D$3:$D1013,Issue!$C$3:$C1013,'S-BOM'!$B507)*'S-BOM'!$D507,""))</f>
        <v/>
      </c>
      <c r="G507" s="75" t="str">
        <f t="array" ref="G507">IFERROR(INDEX(#REF!,MATCH('S-BOM'!$C507,RM!$C$4:$C1003,0)),"")</f>
        <v/>
      </c>
      <c r="H507" s="75" t="str">
        <f t="shared" si="3"/>
        <v/>
      </c>
      <c r="I507" s="76"/>
    </row>
    <row r="508" spans="1:9" ht="15.75" customHeight="1">
      <c r="A508" s="69" t="str">
        <f t="shared" si="2"/>
        <v/>
      </c>
      <c r="B508" s="70"/>
      <c r="C508" s="70"/>
      <c r="D508" s="77"/>
      <c r="E508" s="73" t="str">
        <f>IF(B508="","",VLOOKUP(C508,RM!$C$4:$F1003,3,FALSE))</f>
        <v/>
      </c>
      <c r="F508" s="74" t="str">
        <f>IF(B508="","",IFERROR(SUMIFS(Issue!$D$3:$D1013,Issue!$C$3:$C1013,'S-BOM'!$B508)*'S-BOM'!$D508,""))</f>
        <v/>
      </c>
      <c r="G508" s="75" t="str">
        <f t="array" ref="G508">IFERROR(INDEX(#REF!,MATCH('S-BOM'!$C508,RM!$C$4:$C1003,0)),"")</f>
        <v/>
      </c>
      <c r="H508" s="75" t="str">
        <f t="shared" si="3"/>
        <v/>
      </c>
      <c r="I508" s="76"/>
    </row>
    <row r="509" spans="1:9" ht="15.75" customHeight="1">
      <c r="A509" s="69" t="str">
        <f t="shared" si="2"/>
        <v/>
      </c>
      <c r="B509" s="70"/>
      <c r="C509" s="70"/>
      <c r="D509" s="77"/>
      <c r="E509" s="73" t="str">
        <f>IF(B509="","",VLOOKUP(C509,RM!$C$4:$F1003,3,FALSE))</f>
        <v/>
      </c>
      <c r="F509" s="74" t="str">
        <f>IF(B509="","",IFERROR(SUMIFS(Issue!$D$3:$D1013,Issue!$C$3:$C1013,'S-BOM'!$B509)*'S-BOM'!$D509,""))</f>
        <v/>
      </c>
      <c r="G509" s="75" t="str">
        <f t="array" ref="G509">IFERROR(INDEX(#REF!,MATCH('S-BOM'!$C509,RM!$C$4:$C1003,0)),"")</f>
        <v/>
      </c>
      <c r="H509" s="75" t="str">
        <f t="shared" si="3"/>
        <v/>
      </c>
      <c r="I509" s="76"/>
    </row>
    <row r="510" spans="1:9" ht="15.75" customHeight="1">
      <c r="A510" s="69" t="str">
        <f t="shared" si="2"/>
        <v/>
      </c>
      <c r="B510" s="70"/>
      <c r="C510" s="70"/>
      <c r="D510" s="77"/>
      <c r="E510" s="73" t="str">
        <f>IF(B510="","",VLOOKUP(C510,RM!$C$4:$F1003,3,FALSE))</f>
        <v/>
      </c>
      <c r="F510" s="74" t="str">
        <f>IF(B510="","",IFERROR(SUMIFS(Issue!$D$3:$D1013,Issue!$C$3:$C1013,'S-BOM'!$B510)*'S-BOM'!$D510,""))</f>
        <v/>
      </c>
      <c r="G510" s="75" t="str">
        <f t="array" ref="G510">IFERROR(INDEX(#REF!,MATCH('S-BOM'!$C510,RM!$C$4:$C1003,0)),"")</f>
        <v/>
      </c>
      <c r="H510" s="75" t="str">
        <f t="shared" si="3"/>
        <v/>
      </c>
      <c r="I510" s="76"/>
    </row>
    <row r="511" spans="1:9" ht="15.75" customHeight="1">
      <c r="A511" s="69" t="str">
        <f t="shared" si="2"/>
        <v/>
      </c>
      <c r="B511" s="70"/>
      <c r="C511" s="70"/>
      <c r="D511" s="77"/>
      <c r="E511" s="73" t="str">
        <f>IF(B511="","",VLOOKUP(C511,RM!$C$4:$F1003,3,FALSE))</f>
        <v/>
      </c>
      <c r="F511" s="74" t="str">
        <f>IF(B511="","",IFERROR(SUMIFS(Issue!$D$3:$D1013,Issue!$C$3:$C1013,'S-BOM'!$B511)*'S-BOM'!$D511,""))</f>
        <v/>
      </c>
      <c r="G511" s="75" t="str">
        <f t="array" ref="G511">IFERROR(INDEX(#REF!,MATCH('S-BOM'!$C511,RM!$C$4:$C1003,0)),"")</f>
        <v/>
      </c>
      <c r="H511" s="75" t="str">
        <f t="shared" si="3"/>
        <v/>
      </c>
      <c r="I511" s="76"/>
    </row>
    <row r="512" spans="1:9" ht="15.75" customHeight="1">
      <c r="A512" s="69" t="str">
        <f t="shared" si="2"/>
        <v/>
      </c>
      <c r="B512" s="70"/>
      <c r="C512" s="70"/>
      <c r="D512" s="77"/>
      <c r="E512" s="73" t="str">
        <f>IF(B512="","",VLOOKUP(C512,RM!$C$4:$F1003,3,FALSE))</f>
        <v/>
      </c>
      <c r="F512" s="74" t="str">
        <f>IF(B512="","",IFERROR(SUMIFS(Issue!$D$3:$D1013,Issue!$C$3:$C1013,'S-BOM'!$B512)*'S-BOM'!$D512,""))</f>
        <v/>
      </c>
      <c r="G512" s="75" t="str">
        <f t="array" ref="G512">IFERROR(INDEX(#REF!,MATCH('S-BOM'!$C512,RM!$C$4:$C1003,0)),"")</f>
        <v/>
      </c>
      <c r="H512" s="75" t="str">
        <f t="shared" si="3"/>
        <v/>
      </c>
      <c r="I512" s="76"/>
    </row>
    <row r="513" spans="1:9" ht="15.75" customHeight="1">
      <c r="A513" s="69" t="str">
        <f t="shared" ref="A513:A767" si="4">IF(B513="","",ROW()-2)</f>
        <v/>
      </c>
      <c r="B513" s="70"/>
      <c r="C513" s="70"/>
      <c r="D513" s="77"/>
      <c r="E513" s="73" t="str">
        <f>IF(B513="","",VLOOKUP(C513,RM!$C$4:$F1003,3,FALSE))</f>
        <v/>
      </c>
      <c r="F513" s="74" t="str">
        <f>IF(B513="","",IFERROR(SUMIFS(Issue!$D$3:$D1013,Issue!$C$3:$C1013,'S-BOM'!$B513)*'S-BOM'!$D513,""))</f>
        <v/>
      </c>
      <c r="G513" s="75" t="str">
        <f t="array" ref="G513">IFERROR(INDEX(#REF!,MATCH('S-BOM'!$C513,RM!$C$4:$C1003,0)),"")</f>
        <v/>
      </c>
      <c r="H513" s="75" t="str">
        <f t="shared" ref="H513:H767" si="5">IFERROR(IF(ROUNDDOWN(G513/D513,0)&lt;=0,0,ROUNDDOWN(G513/D513,0)),"")</f>
        <v/>
      </c>
      <c r="I513" s="76"/>
    </row>
    <row r="514" spans="1:9" ht="15.75" customHeight="1">
      <c r="A514" s="69" t="str">
        <f t="shared" si="4"/>
        <v/>
      </c>
      <c r="B514" s="70"/>
      <c r="C514" s="70"/>
      <c r="D514" s="77"/>
      <c r="E514" s="73" t="str">
        <f>IF(B514="","",VLOOKUP(C514,RM!$C$4:$F1003,3,FALSE))</f>
        <v/>
      </c>
      <c r="F514" s="74" t="str">
        <f>IF(B514="","",IFERROR(SUMIFS(Issue!$D$3:$D1013,Issue!$C$3:$C1013,'S-BOM'!$B514)*'S-BOM'!$D514,""))</f>
        <v/>
      </c>
      <c r="G514" s="75" t="str">
        <f t="array" ref="G514">IFERROR(INDEX(#REF!,MATCH('S-BOM'!$C514,RM!$C$4:$C1003,0)),"")</f>
        <v/>
      </c>
      <c r="H514" s="75" t="str">
        <f t="shared" si="5"/>
        <v/>
      </c>
      <c r="I514" s="76"/>
    </row>
    <row r="515" spans="1:9" ht="15.75" customHeight="1">
      <c r="A515" s="69" t="str">
        <f t="shared" si="4"/>
        <v/>
      </c>
      <c r="B515" s="70"/>
      <c r="C515" s="70"/>
      <c r="D515" s="77"/>
      <c r="E515" s="73" t="str">
        <f>IF(B515="","",VLOOKUP(C515,RM!$C$4:$F1003,3,FALSE))</f>
        <v/>
      </c>
      <c r="F515" s="74" t="str">
        <f>IF(B515="","",IFERROR(SUMIFS(Issue!$D$3:$D1013,Issue!$C$3:$C1013,'S-BOM'!$B515)*'S-BOM'!$D515,""))</f>
        <v/>
      </c>
      <c r="G515" s="75" t="str">
        <f t="array" ref="G515">IFERROR(INDEX(#REF!,MATCH('S-BOM'!$C515,RM!$C$4:$C1003,0)),"")</f>
        <v/>
      </c>
      <c r="H515" s="75" t="str">
        <f t="shared" si="5"/>
        <v/>
      </c>
      <c r="I515" s="76"/>
    </row>
    <row r="516" spans="1:9" ht="15.75" customHeight="1">
      <c r="A516" s="69" t="str">
        <f t="shared" si="4"/>
        <v/>
      </c>
      <c r="B516" s="70"/>
      <c r="C516" s="70"/>
      <c r="D516" s="77"/>
      <c r="E516" s="73" t="str">
        <f>IF(B516="","",VLOOKUP(C516,RM!$C$4:$F1003,3,FALSE))</f>
        <v/>
      </c>
      <c r="F516" s="74" t="str">
        <f>IF(B516="","",IFERROR(SUMIFS(Issue!$D$3:$D1013,Issue!$C$3:$C1013,'S-BOM'!$B516)*'S-BOM'!$D516,""))</f>
        <v/>
      </c>
      <c r="G516" s="75" t="str">
        <f t="array" ref="G516">IFERROR(INDEX(#REF!,MATCH('S-BOM'!$C516,RM!$C$4:$C1003,0)),"")</f>
        <v/>
      </c>
      <c r="H516" s="75" t="str">
        <f t="shared" si="5"/>
        <v/>
      </c>
      <c r="I516" s="76"/>
    </row>
    <row r="517" spans="1:9" ht="15.75" customHeight="1">
      <c r="A517" s="69" t="str">
        <f t="shared" si="4"/>
        <v/>
      </c>
      <c r="B517" s="70"/>
      <c r="C517" s="70"/>
      <c r="D517" s="77"/>
      <c r="E517" s="73" t="str">
        <f>IF(B517="","",VLOOKUP(C517,RM!$C$4:$F1003,3,FALSE))</f>
        <v/>
      </c>
      <c r="F517" s="74" t="str">
        <f>IF(B517="","",IFERROR(SUMIFS(Issue!$D$3:$D1013,Issue!$C$3:$C1013,'S-BOM'!$B517)*'S-BOM'!$D517,""))</f>
        <v/>
      </c>
      <c r="G517" s="75" t="str">
        <f t="array" ref="G517">IFERROR(INDEX(#REF!,MATCH('S-BOM'!$C517,RM!$C$4:$C1003,0)),"")</f>
        <v/>
      </c>
      <c r="H517" s="75" t="str">
        <f t="shared" si="5"/>
        <v/>
      </c>
      <c r="I517" s="76"/>
    </row>
    <row r="518" spans="1:9" ht="15.75" customHeight="1">
      <c r="A518" s="69" t="str">
        <f t="shared" si="4"/>
        <v/>
      </c>
      <c r="B518" s="70"/>
      <c r="C518" s="70"/>
      <c r="D518" s="77"/>
      <c r="E518" s="73" t="str">
        <f>IF(B518="","",VLOOKUP(C518,RM!$C$4:$F1003,3,FALSE))</f>
        <v/>
      </c>
      <c r="F518" s="74" t="str">
        <f>IF(B518="","",IFERROR(SUMIFS(Issue!$D$3:$D1013,Issue!$C$3:$C1013,'S-BOM'!$B518)*'S-BOM'!$D518,""))</f>
        <v/>
      </c>
      <c r="G518" s="75" t="str">
        <f t="array" ref="G518">IFERROR(INDEX(#REF!,MATCH('S-BOM'!$C518,RM!$C$4:$C1003,0)),"")</f>
        <v/>
      </c>
      <c r="H518" s="75" t="str">
        <f t="shared" si="5"/>
        <v/>
      </c>
      <c r="I518" s="76"/>
    </row>
    <row r="519" spans="1:9" ht="15.75" customHeight="1">
      <c r="A519" s="69" t="str">
        <f t="shared" si="4"/>
        <v/>
      </c>
      <c r="B519" s="70"/>
      <c r="C519" s="70"/>
      <c r="D519" s="77"/>
      <c r="E519" s="73" t="str">
        <f>IF(B519="","",VLOOKUP(C519,RM!$C$4:$F1003,3,FALSE))</f>
        <v/>
      </c>
      <c r="F519" s="74" t="str">
        <f>IF(B519="","",IFERROR(SUMIFS(Issue!$D$3:$D1013,Issue!$C$3:$C1013,'S-BOM'!$B519)*'S-BOM'!$D519,""))</f>
        <v/>
      </c>
      <c r="G519" s="75" t="str">
        <f t="array" ref="G519">IFERROR(INDEX(#REF!,MATCH('S-BOM'!$C519,RM!$C$4:$C1003,0)),"")</f>
        <v/>
      </c>
      <c r="H519" s="75" t="str">
        <f t="shared" si="5"/>
        <v/>
      </c>
      <c r="I519" s="76"/>
    </row>
    <row r="520" spans="1:9" ht="15.75" customHeight="1">
      <c r="A520" s="69" t="str">
        <f t="shared" si="4"/>
        <v/>
      </c>
      <c r="B520" s="70"/>
      <c r="C520" s="70"/>
      <c r="D520" s="77"/>
      <c r="E520" s="73" t="str">
        <f>IF(B520="","",VLOOKUP(C520,RM!$C$4:$F1003,3,FALSE))</f>
        <v/>
      </c>
      <c r="F520" s="74" t="str">
        <f>IF(B520="","",IFERROR(SUMIFS(Issue!$D$3:$D1013,Issue!$C$3:$C1013,'S-BOM'!$B520)*'S-BOM'!$D520,""))</f>
        <v/>
      </c>
      <c r="G520" s="75" t="str">
        <f t="array" ref="G520">IFERROR(INDEX(#REF!,MATCH('S-BOM'!$C520,RM!$C$4:$C1003,0)),"")</f>
        <v/>
      </c>
      <c r="H520" s="75" t="str">
        <f t="shared" si="5"/>
        <v/>
      </c>
      <c r="I520" s="76"/>
    </row>
    <row r="521" spans="1:9" ht="15.75" customHeight="1">
      <c r="A521" s="69" t="str">
        <f t="shared" si="4"/>
        <v/>
      </c>
      <c r="B521" s="70"/>
      <c r="C521" s="70"/>
      <c r="D521" s="77"/>
      <c r="E521" s="73" t="str">
        <f>IF(B521="","",VLOOKUP(C521,RM!$C$4:$F1003,3,FALSE))</f>
        <v/>
      </c>
      <c r="F521" s="74" t="str">
        <f>IF(B521="","",IFERROR(SUMIFS(Issue!$D$3:$D1013,Issue!$C$3:$C1013,'S-BOM'!$B521)*'S-BOM'!$D521,""))</f>
        <v/>
      </c>
      <c r="G521" s="75" t="str">
        <f t="array" ref="G521">IFERROR(INDEX(#REF!,MATCH('S-BOM'!$C521,RM!$C$4:$C1003,0)),"")</f>
        <v/>
      </c>
      <c r="H521" s="75" t="str">
        <f t="shared" si="5"/>
        <v/>
      </c>
      <c r="I521" s="76"/>
    </row>
    <row r="522" spans="1:9" ht="15.75" customHeight="1">
      <c r="A522" s="69" t="str">
        <f t="shared" si="4"/>
        <v/>
      </c>
      <c r="B522" s="70"/>
      <c r="C522" s="70"/>
      <c r="D522" s="77"/>
      <c r="E522" s="73" t="str">
        <f>IF(B522="","",VLOOKUP(C522,RM!$C$4:$F1003,3,FALSE))</f>
        <v/>
      </c>
      <c r="F522" s="74" t="str">
        <f>IF(B522="","",IFERROR(SUMIFS(Issue!$D$3:$D1013,Issue!$C$3:$C1013,'S-BOM'!$B522)*'S-BOM'!$D522,""))</f>
        <v/>
      </c>
      <c r="G522" s="75" t="str">
        <f t="array" ref="G522">IFERROR(INDEX(#REF!,MATCH('S-BOM'!$C522,RM!$C$4:$C1003,0)),"")</f>
        <v/>
      </c>
      <c r="H522" s="75" t="str">
        <f t="shared" si="5"/>
        <v/>
      </c>
      <c r="I522" s="76"/>
    </row>
    <row r="523" spans="1:9" ht="15.75" customHeight="1">
      <c r="A523" s="69" t="str">
        <f t="shared" si="4"/>
        <v/>
      </c>
      <c r="B523" s="70"/>
      <c r="C523" s="70"/>
      <c r="D523" s="77"/>
      <c r="E523" s="73" t="str">
        <f>IF(B523="","",VLOOKUP(C523,RM!$C$4:$F1003,3,FALSE))</f>
        <v/>
      </c>
      <c r="F523" s="74" t="str">
        <f>IF(B523="","",IFERROR(SUMIFS(Issue!$D$3:$D1013,Issue!$C$3:$C1013,'S-BOM'!$B523)*'S-BOM'!$D523,""))</f>
        <v/>
      </c>
      <c r="G523" s="75" t="str">
        <f t="array" ref="G523">IFERROR(INDEX(#REF!,MATCH('S-BOM'!$C523,RM!$C$4:$C1003,0)),"")</f>
        <v/>
      </c>
      <c r="H523" s="75" t="str">
        <f t="shared" si="5"/>
        <v/>
      </c>
      <c r="I523" s="76"/>
    </row>
    <row r="524" spans="1:9" ht="15.75" customHeight="1">
      <c r="A524" s="69" t="str">
        <f t="shared" si="4"/>
        <v/>
      </c>
      <c r="B524" s="70"/>
      <c r="C524" s="70"/>
      <c r="D524" s="77"/>
      <c r="E524" s="73" t="str">
        <f>IF(B524="","",VLOOKUP(C524,RM!$C$4:$F1003,3,FALSE))</f>
        <v/>
      </c>
      <c r="F524" s="74" t="str">
        <f>IF(B524="","",IFERROR(SUMIFS(Issue!$D$3:$D1013,Issue!$C$3:$C1013,'S-BOM'!$B524)*'S-BOM'!$D524,""))</f>
        <v/>
      </c>
      <c r="G524" s="75" t="str">
        <f t="array" ref="G524">IFERROR(INDEX(#REF!,MATCH('S-BOM'!$C524,RM!$C$4:$C1003,0)),"")</f>
        <v/>
      </c>
      <c r="H524" s="75" t="str">
        <f t="shared" si="5"/>
        <v/>
      </c>
      <c r="I524" s="76"/>
    </row>
    <row r="525" spans="1:9" ht="15.75" customHeight="1">
      <c r="A525" s="69" t="str">
        <f t="shared" si="4"/>
        <v/>
      </c>
      <c r="B525" s="70"/>
      <c r="C525" s="70"/>
      <c r="D525" s="77"/>
      <c r="E525" s="73" t="str">
        <f>IF(B525="","",VLOOKUP(C525,RM!$C$4:$F1003,3,FALSE))</f>
        <v/>
      </c>
      <c r="F525" s="74" t="str">
        <f>IF(B525="","",IFERROR(SUMIFS(Issue!$D$3:$D1013,Issue!$C$3:$C1013,'S-BOM'!$B525)*'S-BOM'!$D525,""))</f>
        <v/>
      </c>
      <c r="G525" s="75" t="str">
        <f t="array" ref="G525">IFERROR(INDEX(#REF!,MATCH('S-BOM'!$C525,RM!$C$4:$C1003,0)),"")</f>
        <v/>
      </c>
      <c r="H525" s="75" t="str">
        <f t="shared" si="5"/>
        <v/>
      </c>
      <c r="I525" s="76"/>
    </row>
    <row r="526" spans="1:9" ht="15.75" customHeight="1">
      <c r="A526" s="69" t="str">
        <f t="shared" si="4"/>
        <v/>
      </c>
      <c r="B526" s="70"/>
      <c r="C526" s="70"/>
      <c r="D526" s="77"/>
      <c r="E526" s="73" t="str">
        <f>IF(B526="","",VLOOKUP(C526,RM!$C$4:$F1003,3,FALSE))</f>
        <v/>
      </c>
      <c r="F526" s="74" t="str">
        <f>IF(B526="","",IFERROR(SUMIFS(Issue!$D$3:$D1013,Issue!$C$3:$C1013,'S-BOM'!$B526)*'S-BOM'!$D526,""))</f>
        <v/>
      </c>
      <c r="G526" s="75" t="str">
        <f t="array" ref="G526">IFERROR(INDEX(#REF!,MATCH('S-BOM'!$C526,RM!$C$4:$C1003,0)),"")</f>
        <v/>
      </c>
      <c r="H526" s="75" t="str">
        <f t="shared" si="5"/>
        <v/>
      </c>
      <c r="I526" s="76"/>
    </row>
    <row r="527" spans="1:9" ht="15.75" customHeight="1">
      <c r="A527" s="69" t="str">
        <f t="shared" si="4"/>
        <v/>
      </c>
      <c r="B527" s="70"/>
      <c r="C527" s="70"/>
      <c r="D527" s="77"/>
      <c r="E527" s="73" t="str">
        <f>IF(B527="","",VLOOKUP(C527,RM!$C$4:$F1003,3,FALSE))</f>
        <v/>
      </c>
      <c r="F527" s="74" t="str">
        <f>IF(B527="","",IFERROR(SUMIFS(Issue!$D$3:$D1013,Issue!$C$3:$C1013,'S-BOM'!$B527)*'S-BOM'!$D527,""))</f>
        <v/>
      </c>
      <c r="G527" s="75" t="str">
        <f t="array" ref="G527">IFERROR(INDEX(#REF!,MATCH('S-BOM'!$C527,RM!$C$4:$C1003,0)),"")</f>
        <v/>
      </c>
      <c r="H527" s="75" t="str">
        <f t="shared" si="5"/>
        <v/>
      </c>
      <c r="I527" s="76"/>
    </row>
    <row r="528" spans="1:9" ht="15.75" customHeight="1">
      <c r="A528" s="69" t="str">
        <f t="shared" si="4"/>
        <v/>
      </c>
      <c r="B528" s="70"/>
      <c r="C528" s="70"/>
      <c r="D528" s="77"/>
      <c r="E528" s="73" t="str">
        <f>IF(B528="","",VLOOKUP(C528,RM!$C$4:$F1003,3,FALSE))</f>
        <v/>
      </c>
      <c r="F528" s="74" t="str">
        <f>IF(B528="","",IFERROR(SUMIFS(Issue!$D$3:$D1013,Issue!$C$3:$C1013,'S-BOM'!$B528)*'S-BOM'!$D528,""))</f>
        <v/>
      </c>
      <c r="G528" s="75" t="str">
        <f t="array" ref="G528">IFERROR(INDEX(#REF!,MATCH('S-BOM'!$C528,RM!$C$4:$C1003,0)),"")</f>
        <v/>
      </c>
      <c r="H528" s="75" t="str">
        <f t="shared" si="5"/>
        <v/>
      </c>
      <c r="I528" s="76"/>
    </row>
    <row r="529" spans="1:9" ht="15.75" customHeight="1">
      <c r="A529" s="69" t="str">
        <f t="shared" si="4"/>
        <v/>
      </c>
      <c r="B529" s="70"/>
      <c r="C529" s="70"/>
      <c r="D529" s="77"/>
      <c r="E529" s="73" t="str">
        <f>IF(B529="","",VLOOKUP(C529,RM!$C$4:$F1003,3,FALSE))</f>
        <v/>
      </c>
      <c r="F529" s="74" t="str">
        <f>IF(B529="","",IFERROR(SUMIFS(Issue!$D$3:$D1013,Issue!$C$3:$C1013,'S-BOM'!$B529)*'S-BOM'!$D529,""))</f>
        <v/>
      </c>
      <c r="G529" s="75" t="str">
        <f t="array" ref="G529">IFERROR(INDEX(#REF!,MATCH('S-BOM'!$C529,RM!$C$4:$C1003,0)),"")</f>
        <v/>
      </c>
      <c r="H529" s="75" t="str">
        <f t="shared" si="5"/>
        <v/>
      </c>
      <c r="I529" s="76"/>
    </row>
    <row r="530" spans="1:9" ht="15.75" customHeight="1">
      <c r="A530" s="69" t="str">
        <f t="shared" si="4"/>
        <v/>
      </c>
      <c r="B530" s="70"/>
      <c r="C530" s="70"/>
      <c r="D530" s="77"/>
      <c r="E530" s="73" t="str">
        <f>IF(B530="","",VLOOKUP(C530,RM!$C$4:$F1003,3,FALSE))</f>
        <v/>
      </c>
      <c r="F530" s="74" t="str">
        <f>IF(B530="","",IFERROR(SUMIFS(Issue!$D$3:$D1013,Issue!$C$3:$C1013,'S-BOM'!$B530)*'S-BOM'!$D530,""))</f>
        <v/>
      </c>
      <c r="G530" s="75" t="str">
        <f t="array" ref="G530">IFERROR(INDEX(#REF!,MATCH('S-BOM'!$C530,RM!$C$4:$C1003,0)),"")</f>
        <v/>
      </c>
      <c r="H530" s="75" t="str">
        <f t="shared" si="5"/>
        <v/>
      </c>
      <c r="I530" s="76"/>
    </row>
    <row r="531" spans="1:9" ht="15.75" customHeight="1">
      <c r="A531" s="69" t="str">
        <f t="shared" si="4"/>
        <v/>
      </c>
      <c r="B531" s="70"/>
      <c r="C531" s="70"/>
      <c r="D531" s="77"/>
      <c r="E531" s="73" t="str">
        <f>IF(B531="","",VLOOKUP(C531,RM!$C$4:$F1003,3,FALSE))</f>
        <v/>
      </c>
      <c r="F531" s="74" t="str">
        <f>IF(B531="","",IFERROR(SUMIFS(Issue!$D$3:$D1013,Issue!$C$3:$C1013,'S-BOM'!$B531)*'S-BOM'!$D531,""))</f>
        <v/>
      </c>
      <c r="G531" s="75" t="str">
        <f t="array" ref="G531">IFERROR(INDEX(#REF!,MATCH('S-BOM'!$C531,RM!$C$4:$C1003,0)),"")</f>
        <v/>
      </c>
      <c r="H531" s="75" t="str">
        <f t="shared" si="5"/>
        <v/>
      </c>
      <c r="I531" s="76"/>
    </row>
    <row r="532" spans="1:9" ht="15.75" customHeight="1">
      <c r="A532" s="69" t="str">
        <f t="shared" si="4"/>
        <v/>
      </c>
      <c r="B532" s="70"/>
      <c r="C532" s="70"/>
      <c r="D532" s="77"/>
      <c r="E532" s="73" t="str">
        <f>IF(B532="","",VLOOKUP(C532,RM!$C$4:$F1003,3,FALSE))</f>
        <v/>
      </c>
      <c r="F532" s="74" t="str">
        <f>IF(B532="","",IFERROR(SUMIFS(Issue!$D$3:$D1013,Issue!$C$3:$C1013,'S-BOM'!$B532)*'S-BOM'!$D532,""))</f>
        <v/>
      </c>
      <c r="G532" s="75" t="str">
        <f t="array" ref="G532">IFERROR(INDEX(#REF!,MATCH('S-BOM'!$C532,RM!$C$4:$C1003,0)),"")</f>
        <v/>
      </c>
      <c r="H532" s="75" t="str">
        <f t="shared" si="5"/>
        <v/>
      </c>
      <c r="I532" s="76"/>
    </row>
    <row r="533" spans="1:9" ht="15.75" customHeight="1">
      <c r="A533" s="69" t="str">
        <f t="shared" si="4"/>
        <v/>
      </c>
      <c r="B533" s="70"/>
      <c r="C533" s="70"/>
      <c r="D533" s="77"/>
      <c r="E533" s="73" t="str">
        <f>IF(B533="","",VLOOKUP(C533,RM!$C$4:$F1003,3,FALSE))</f>
        <v/>
      </c>
      <c r="F533" s="74" t="str">
        <f>IF(B533="","",IFERROR(SUMIFS(Issue!$D$3:$D1013,Issue!$C$3:$C1013,'S-BOM'!$B533)*'S-BOM'!$D533,""))</f>
        <v/>
      </c>
      <c r="G533" s="75" t="str">
        <f t="array" ref="G533">IFERROR(INDEX(#REF!,MATCH('S-BOM'!$C533,RM!$C$4:$C1003,0)),"")</f>
        <v/>
      </c>
      <c r="H533" s="75" t="str">
        <f t="shared" si="5"/>
        <v/>
      </c>
      <c r="I533" s="76"/>
    </row>
    <row r="534" spans="1:9" ht="15.75" customHeight="1">
      <c r="A534" s="69" t="str">
        <f t="shared" si="4"/>
        <v/>
      </c>
      <c r="B534" s="70"/>
      <c r="C534" s="70"/>
      <c r="D534" s="77"/>
      <c r="E534" s="73" t="str">
        <f>IF(B534="","",VLOOKUP(C534,RM!$C$4:$F1003,3,FALSE))</f>
        <v/>
      </c>
      <c r="F534" s="74" t="str">
        <f>IF(B534="","",IFERROR(SUMIFS(Issue!$D$3:$D1013,Issue!$C$3:$C1013,'S-BOM'!$B534)*'S-BOM'!$D534,""))</f>
        <v/>
      </c>
      <c r="G534" s="75" t="str">
        <f t="array" ref="G534">IFERROR(INDEX(#REF!,MATCH('S-BOM'!$C534,RM!$C$4:$C1003,0)),"")</f>
        <v/>
      </c>
      <c r="H534" s="75" t="str">
        <f t="shared" si="5"/>
        <v/>
      </c>
      <c r="I534" s="76"/>
    </row>
    <row r="535" spans="1:9" ht="15.75" customHeight="1">
      <c r="A535" s="69" t="str">
        <f t="shared" si="4"/>
        <v/>
      </c>
      <c r="B535" s="70"/>
      <c r="C535" s="70"/>
      <c r="D535" s="77"/>
      <c r="E535" s="73" t="str">
        <f>IF(B535="","",VLOOKUP(C535,RM!$C$4:$F1003,3,FALSE))</f>
        <v/>
      </c>
      <c r="F535" s="74" t="str">
        <f>IF(B535="","",IFERROR(SUMIFS(Issue!$D$3:$D1013,Issue!$C$3:$C1013,'S-BOM'!$B535)*'S-BOM'!$D535,""))</f>
        <v/>
      </c>
      <c r="G535" s="75" t="str">
        <f t="array" ref="G535">IFERROR(INDEX(#REF!,MATCH('S-BOM'!$C535,RM!$C$4:$C1003,0)),"")</f>
        <v/>
      </c>
      <c r="H535" s="75" t="str">
        <f t="shared" si="5"/>
        <v/>
      </c>
      <c r="I535" s="76"/>
    </row>
    <row r="536" spans="1:9" ht="15.75" customHeight="1">
      <c r="A536" s="69" t="str">
        <f t="shared" si="4"/>
        <v/>
      </c>
      <c r="B536" s="70"/>
      <c r="C536" s="70"/>
      <c r="D536" s="77"/>
      <c r="E536" s="73" t="str">
        <f>IF(B536="","",VLOOKUP(C536,RM!$C$4:$F1003,3,FALSE))</f>
        <v/>
      </c>
      <c r="F536" s="74" t="str">
        <f>IF(B536="","",IFERROR(SUMIFS(Issue!$D$3:$D1013,Issue!$C$3:$C1013,'S-BOM'!$B536)*'S-BOM'!$D536,""))</f>
        <v/>
      </c>
      <c r="G536" s="75" t="str">
        <f t="array" ref="G536">IFERROR(INDEX(#REF!,MATCH('S-BOM'!$C536,RM!$C$4:$C1003,0)),"")</f>
        <v/>
      </c>
      <c r="H536" s="75" t="str">
        <f t="shared" si="5"/>
        <v/>
      </c>
      <c r="I536" s="76"/>
    </row>
    <row r="537" spans="1:9" ht="15.75" customHeight="1">
      <c r="A537" s="69" t="str">
        <f t="shared" si="4"/>
        <v/>
      </c>
      <c r="B537" s="70"/>
      <c r="C537" s="70"/>
      <c r="D537" s="77"/>
      <c r="E537" s="73" t="str">
        <f>IF(B537="","",VLOOKUP(C537,RM!$C$4:$F1003,3,FALSE))</f>
        <v/>
      </c>
      <c r="F537" s="74" t="str">
        <f>IF(B537="","",IFERROR(SUMIFS(Issue!$D$3:$D1013,Issue!$C$3:$C1013,'S-BOM'!$B537)*'S-BOM'!$D537,""))</f>
        <v/>
      </c>
      <c r="G537" s="75" t="str">
        <f t="array" ref="G537">IFERROR(INDEX(#REF!,MATCH('S-BOM'!$C537,RM!$C$4:$C1003,0)),"")</f>
        <v/>
      </c>
      <c r="H537" s="75" t="str">
        <f t="shared" si="5"/>
        <v/>
      </c>
      <c r="I537" s="76"/>
    </row>
    <row r="538" spans="1:9" ht="15.75" customHeight="1">
      <c r="A538" s="69" t="str">
        <f t="shared" si="4"/>
        <v/>
      </c>
      <c r="B538" s="70"/>
      <c r="C538" s="70"/>
      <c r="D538" s="77"/>
      <c r="E538" s="73" t="str">
        <f>IF(B538="","",VLOOKUP(C538,RM!$C$4:$F1003,3,FALSE))</f>
        <v/>
      </c>
      <c r="F538" s="74" t="str">
        <f>IF(B538="","",IFERROR(SUMIFS(Issue!$D$3:$D1013,Issue!$C$3:$C1013,'S-BOM'!$B538)*'S-BOM'!$D538,""))</f>
        <v/>
      </c>
      <c r="G538" s="75" t="str">
        <f t="array" ref="G538">IFERROR(INDEX(#REF!,MATCH('S-BOM'!$C538,RM!$C$4:$C1003,0)),"")</f>
        <v/>
      </c>
      <c r="H538" s="75" t="str">
        <f t="shared" si="5"/>
        <v/>
      </c>
      <c r="I538" s="76"/>
    </row>
    <row r="539" spans="1:9" ht="15.75" customHeight="1">
      <c r="A539" s="69" t="str">
        <f t="shared" si="4"/>
        <v/>
      </c>
      <c r="B539" s="70"/>
      <c r="C539" s="70"/>
      <c r="D539" s="77"/>
      <c r="E539" s="73" t="str">
        <f>IF(B539="","",VLOOKUP(C539,RM!$C$4:$F1003,3,FALSE))</f>
        <v/>
      </c>
      <c r="F539" s="74" t="str">
        <f>IF(B539="","",IFERROR(SUMIFS(Issue!$D$3:$D1013,Issue!$C$3:$C1013,'S-BOM'!$B539)*'S-BOM'!$D539,""))</f>
        <v/>
      </c>
      <c r="G539" s="75" t="str">
        <f t="array" ref="G539">IFERROR(INDEX(#REF!,MATCH('S-BOM'!$C539,RM!$C$4:$C1003,0)),"")</f>
        <v/>
      </c>
      <c r="H539" s="75" t="str">
        <f t="shared" si="5"/>
        <v/>
      </c>
      <c r="I539" s="76"/>
    </row>
    <row r="540" spans="1:9" ht="15.75" customHeight="1">
      <c r="A540" s="69" t="str">
        <f t="shared" si="4"/>
        <v/>
      </c>
      <c r="B540" s="70"/>
      <c r="C540" s="70"/>
      <c r="D540" s="77"/>
      <c r="E540" s="73" t="str">
        <f>IF(B540="","",VLOOKUP(C540,RM!$C$4:$F1003,3,FALSE))</f>
        <v/>
      </c>
      <c r="F540" s="74" t="str">
        <f>IF(B540="","",IFERROR(SUMIFS(Issue!$D$3:$D1013,Issue!$C$3:$C1013,'S-BOM'!$B540)*'S-BOM'!$D540,""))</f>
        <v/>
      </c>
      <c r="G540" s="75" t="str">
        <f t="array" ref="G540">IFERROR(INDEX(#REF!,MATCH('S-BOM'!$C540,RM!$C$4:$C1003,0)),"")</f>
        <v/>
      </c>
      <c r="H540" s="75" t="str">
        <f t="shared" si="5"/>
        <v/>
      </c>
      <c r="I540" s="76"/>
    </row>
    <row r="541" spans="1:9" ht="15.75" customHeight="1">
      <c r="A541" s="69" t="str">
        <f t="shared" si="4"/>
        <v/>
      </c>
      <c r="B541" s="70"/>
      <c r="C541" s="70"/>
      <c r="D541" s="77"/>
      <c r="E541" s="73" t="str">
        <f>IF(B541="","",VLOOKUP(C541,RM!$C$4:$F1003,3,FALSE))</f>
        <v/>
      </c>
      <c r="F541" s="74" t="str">
        <f>IF(B541="","",IFERROR(SUMIFS(Issue!$D$3:$D1013,Issue!$C$3:$C1013,'S-BOM'!$B541)*'S-BOM'!$D541,""))</f>
        <v/>
      </c>
      <c r="G541" s="75" t="str">
        <f t="array" ref="G541">IFERROR(INDEX(#REF!,MATCH('S-BOM'!$C541,RM!$C$4:$C1003,0)),"")</f>
        <v/>
      </c>
      <c r="H541" s="75" t="str">
        <f t="shared" si="5"/>
        <v/>
      </c>
      <c r="I541" s="76"/>
    </row>
    <row r="542" spans="1:9" ht="15.75" customHeight="1">
      <c r="A542" s="69" t="str">
        <f t="shared" si="4"/>
        <v/>
      </c>
      <c r="B542" s="70"/>
      <c r="C542" s="70"/>
      <c r="D542" s="77"/>
      <c r="E542" s="73" t="str">
        <f>IF(B542="","",VLOOKUP(C542,RM!$C$4:$F1003,3,FALSE))</f>
        <v/>
      </c>
      <c r="F542" s="74" t="str">
        <f>IF(B542="","",IFERROR(SUMIFS(Issue!$D$3:$D1013,Issue!$C$3:$C1013,'S-BOM'!$B542)*'S-BOM'!$D542,""))</f>
        <v/>
      </c>
      <c r="G542" s="75" t="str">
        <f t="array" ref="G542">IFERROR(INDEX(#REF!,MATCH('S-BOM'!$C542,RM!$C$4:$C1003,0)),"")</f>
        <v/>
      </c>
      <c r="H542" s="75" t="str">
        <f t="shared" si="5"/>
        <v/>
      </c>
      <c r="I542" s="76"/>
    </row>
    <row r="543" spans="1:9" ht="15.75" customHeight="1">
      <c r="A543" s="69" t="str">
        <f t="shared" si="4"/>
        <v/>
      </c>
      <c r="B543" s="70"/>
      <c r="C543" s="70"/>
      <c r="D543" s="77"/>
      <c r="E543" s="73" t="str">
        <f>IF(B543="","",VLOOKUP(C543,RM!$C$4:$F1003,3,FALSE))</f>
        <v/>
      </c>
      <c r="F543" s="74" t="str">
        <f>IF(B543="","",IFERROR(SUMIFS(Issue!$D$3:$D1013,Issue!$C$3:$C1013,'S-BOM'!$B543)*'S-BOM'!$D543,""))</f>
        <v/>
      </c>
      <c r="G543" s="75" t="str">
        <f t="array" ref="G543">IFERROR(INDEX(#REF!,MATCH('S-BOM'!$C543,RM!$C$4:$C1003,0)),"")</f>
        <v/>
      </c>
      <c r="H543" s="75" t="str">
        <f t="shared" si="5"/>
        <v/>
      </c>
      <c r="I543" s="76"/>
    </row>
    <row r="544" spans="1:9" ht="15.75" customHeight="1">
      <c r="A544" s="69" t="str">
        <f t="shared" si="4"/>
        <v/>
      </c>
      <c r="B544" s="70"/>
      <c r="C544" s="70"/>
      <c r="D544" s="77"/>
      <c r="E544" s="73" t="str">
        <f>IF(B544="","",VLOOKUP(C544,RM!$C$4:$F1003,3,FALSE))</f>
        <v/>
      </c>
      <c r="F544" s="74" t="str">
        <f>IF(B544="","",IFERROR(SUMIFS(Issue!$D$3:$D1013,Issue!$C$3:$C1013,'S-BOM'!$B544)*'S-BOM'!$D544,""))</f>
        <v/>
      </c>
      <c r="G544" s="75" t="str">
        <f t="array" ref="G544">IFERROR(INDEX(#REF!,MATCH('S-BOM'!$C544,RM!$C$4:$C1003,0)),"")</f>
        <v/>
      </c>
      <c r="H544" s="75" t="str">
        <f t="shared" si="5"/>
        <v/>
      </c>
      <c r="I544" s="76"/>
    </row>
    <row r="545" spans="1:9" ht="15.75" customHeight="1">
      <c r="A545" s="69" t="str">
        <f t="shared" si="4"/>
        <v/>
      </c>
      <c r="B545" s="70"/>
      <c r="C545" s="70"/>
      <c r="D545" s="77"/>
      <c r="E545" s="73" t="str">
        <f>IF(B545="","",VLOOKUP(C545,RM!$C$4:$F1003,3,FALSE))</f>
        <v/>
      </c>
      <c r="F545" s="74" t="str">
        <f>IF(B545="","",IFERROR(SUMIFS(Issue!$D$3:$D1013,Issue!$C$3:$C1013,'S-BOM'!$B545)*'S-BOM'!$D545,""))</f>
        <v/>
      </c>
      <c r="G545" s="75" t="str">
        <f t="array" ref="G545">IFERROR(INDEX(#REF!,MATCH('S-BOM'!$C545,RM!$C$4:$C1003,0)),"")</f>
        <v/>
      </c>
      <c r="H545" s="75" t="str">
        <f t="shared" si="5"/>
        <v/>
      </c>
      <c r="I545" s="76"/>
    </row>
    <row r="546" spans="1:9" ht="15.75" customHeight="1">
      <c r="A546" s="69" t="str">
        <f t="shared" si="4"/>
        <v/>
      </c>
      <c r="B546" s="70"/>
      <c r="C546" s="70"/>
      <c r="D546" s="77"/>
      <c r="E546" s="73" t="str">
        <f>IF(B546="","",VLOOKUP(C546,RM!$C$4:$F1003,3,FALSE))</f>
        <v/>
      </c>
      <c r="F546" s="74" t="str">
        <f>IF(B546="","",IFERROR(SUMIFS(Issue!$D$3:$D1013,Issue!$C$3:$C1013,'S-BOM'!$B546)*'S-BOM'!$D546,""))</f>
        <v/>
      </c>
      <c r="G546" s="75" t="str">
        <f t="array" ref="G546">IFERROR(INDEX(#REF!,MATCH('S-BOM'!$C546,RM!$C$4:$C1003,0)),"")</f>
        <v/>
      </c>
      <c r="H546" s="75" t="str">
        <f t="shared" si="5"/>
        <v/>
      </c>
      <c r="I546" s="76"/>
    </row>
    <row r="547" spans="1:9" ht="15.75" customHeight="1">
      <c r="A547" s="69" t="str">
        <f t="shared" si="4"/>
        <v/>
      </c>
      <c r="B547" s="70"/>
      <c r="C547" s="70"/>
      <c r="D547" s="77"/>
      <c r="E547" s="73" t="str">
        <f>IF(B547="","",VLOOKUP(C547,RM!$C$4:$F1003,3,FALSE))</f>
        <v/>
      </c>
      <c r="F547" s="74" t="str">
        <f>IF(B547="","",IFERROR(SUMIFS(Issue!$D$3:$D1013,Issue!$C$3:$C1013,'S-BOM'!$B547)*'S-BOM'!$D547,""))</f>
        <v/>
      </c>
      <c r="G547" s="75" t="str">
        <f t="array" ref="G547">IFERROR(INDEX(#REF!,MATCH('S-BOM'!$C547,RM!$C$4:$C1003,0)),"")</f>
        <v/>
      </c>
      <c r="H547" s="75" t="str">
        <f t="shared" si="5"/>
        <v/>
      </c>
      <c r="I547" s="76"/>
    </row>
    <row r="548" spans="1:9" ht="15.75" customHeight="1">
      <c r="A548" s="69" t="str">
        <f t="shared" si="4"/>
        <v/>
      </c>
      <c r="B548" s="70"/>
      <c r="C548" s="70"/>
      <c r="D548" s="77"/>
      <c r="E548" s="73" t="str">
        <f>IF(B548="","",VLOOKUP(C548,RM!$C$4:$F1003,3,FALSE))</f>
        <v/>
      </c>
      <c r="F548" s="74" t="str">
        <f>IF(B548="","",IFERROR(SUMIFS(Issue!$D$3:$D1013,Issue!$C$3:$C1013,'S-BOM'!$B548)*'S-BOM'!$D548,""))</f>
        <v/>
      </c>
      <c r="G548" s="75" t="str">
        <f t="array" ref="G548">IFERROR(INDEX(#REF!,MATCH('S-BOM'!$C548,RM!$C$4:$C1003,0)),"")</f>
        <v/>
      </c>
      <c r="H548" s="75" t="str">
        <f t="shared" si="5"/>
        <v/>
      </c>
      <c r="I548" s="76"/>
    </row>
    <row r="549" spans="1:9" ht="15.75" customHeight="1">
      <c r="A549" s="69" t="str">
        <f t="shared" si="4"/>
        <v/>
      </c>
      <c r="B549" s="70"/>
      <c r="C549" s="70"/>
      <c r="D549" s="77"/>
      <c r="E549" s="73" t="str">
        <f>IF(B549="","",VLOOKUP(C549,RM!$C$4:$F1003,3,FALSE))</f>
        <v/>
      </c>
      <c r="F549" s="74" t="str">
        <f>IF(B549="","",IFERROR(SUMIFS(Issue!$D$3:$D1013,Issue!$C$3:$C1013,'S-BOM'!$B549)*'S-BOM'!$D549,""))</f>
        <v/>
      </c>
      <c r="G549" s="75" t="str">
        <f t="array" ref="G549">IFERROR(INDEX(#REF!,MATCH('S-BOM'!$C549,RM!$C$4:$C1003,0)),"")</f>
        <v/>
      </c>
      <c r="H549" s="75" t="str">
        <f t="shared" si="5"/>
        <v/>
      </c>
      <c r="I549" s="76"/>
    </row>
    <row r="550" spans="1:9" ht="15.75" customHeight="1">
      <c r="A550" s="69" t="str">
        <f t="shared" si="4"/>
        <v/>
      </c>
      <c r="B550" s="70"/>
      <c r="C550" s="70"/>
      <c r="D550" s="77"/>
      <c r="E550" s="73" t="str">
        <f>IF(B550="","",VLOOKUP(C550,RM!$C$4:$F1003,3,FALSE))</f>
        <v/>
      </c>
      <c r="F550" s="74" t="str">
        <f>IF(B550="","",IFERROR(SUMIFS(Issue!$D$3:$D1013,Issue!$C$3:$C1013,'S-BOM'!$B550)*'S-BOM'!$D550,""))</f>
        <v/>
      </c>
      <c r="G550" s="75" t="str">
        <f t="array" ref="G550">IFERROR(INDEX(#REF!,MATCH('S-BOM'!$C550,RM!$C$4:$C1003,0)),"")</f>
        <v/>
      </c>
      <c r="H550" s="75" t="str">
        <f t="shared" si="5"/>
        <v/>
      </c>
      <c r="I550" s="76"/>
    </row>
    <row r="551" spans="1:9" ht="15.75" customHeight="1">
      <c r="A551" s="69" t="str">
        <f t="shared" si="4"/>
        <v/>
      </c>
      <c r="B551" s="70"/>
      <c r="C551" s="70"/>
      <c r="D551" s="77"/>
      <c r="E551" s="73" t="str">
        <f>IF(B551="","",VLOOKUP(C551,RM!$C$4:$F1003,3,FALSE))</f>
        <v/>
      </c>
      <c r="F551" s="74" t="str">
        <f>IF(B551="","",IFERROR(SUMIFS(Issue!$D$3:$D1013,Issue!$C$3:$C1013,'S-BOM'!$B551)*'S-BOM'!$D551,""))</f>
        <v/>
      </c>
      <c r="G551" s="75" t="str">
        <f t="array" ref="G551">IFERROR(INDEX(#REF!,MATCH('S-BOM'!$C551,RM!$C$4:$C1003,0)),"")</f>
        <v/>
      </c>
      <c r="H551" s="75" t="str">
        <f t="shared" si="5"/>
        <v/>
      </c>
      <c r="I551" s="76"/>
    </row>
    <row r="552" spans="1:9" ht="15.75" customHeight="1">
      <c r="A552" s="69" t="str">
        <f t="shared" si="4"/>
        <v/>
      </c>
      <c r="B552" s="70"/>
      <c r="C552" s="70"/>
      <c r="D552" s="77"/>
      <c r="E552" s="73" t="str">
        <f>IF(B552="","",VLOOKUP(C552,RM!$C$4:$F1003,3,FALSE))</f>
        <v/>
      </c>
      <c r="F552" s="74" t="str">
        <f>IF(B552="","",IFERROR(SUMIFS(Issue!$D$3:$D1013,Issue!$C$3:$C1013,'S-BOM'!$B552)*'S-BOM'!$D552,""))</f>
        <v/>
      </c>
      <c r="G552" s="75" t="str">
        <f t="array" ref="G552">IFERROR(INDEX(#REF!,MATCH('S-BOM'!$C552,RM!$C$4:$C1003,0)),"")</f>
        <v/>
      </c>
      <c r="H552" s="75" t="str">
        <f t="shared" si="5"/>
        <v/>
      </c>
      <c r="I552" s="76"/>
    </row>
    <row r="553" spans="1:9" ht="15.75" customHeight="1">
      <c r="A553" s="69" t="str">
        <f t="shared" si="4"/>
        <v/>
      </c>
      <c r="B553" s="70"/>
      <c r="C553" s="70"/>
      <c r="D553" s="77"/>
      <c r="E553" s="73" t="str">
        <f>IF(B553="","",VLOOKUP(C553,RM!$C$4:$F1003,3,FALSE))</f>
        <v/>
      </c>
      <c r="F553" s="74" t="str">
        <f>IF(B553="","",IFERROR(SUMIFS(Issue!$D$3:$D1013,Issue!$C$3:$C1013,'S-BOM'!$B553)*'S-BOM'!$D553,""))</f>
        <v/>
      </c>
      <c r="G553" s="75" t="str">
        <f t="array" ref="G553">IFERROR(INDEX(#REF!,MATCH('S-BOM'!$C553,RM!$C$4:$C1003,0)),"")</f>
        <v/>
      </c>
      <c r="H553" s="75" t="str">
        <f t="shared" si="5"/>
        <v/>
      </c>
      <c r="I553" s="76"/>
    </row>
    <row r="554" spans="1:9" ht="15.75" customHeight="1">
      <c r="A554" s="69" t="str">
        <f t="shared" si="4"/>
        <v/>
      </c>
      <c r="B554" s="70"/>
      <c r="C554" s="70"/>
      <c r="D554" s="77"/>
      <c r="E554" s="73" t="str">
        <f>IF(B554="","",VLOOKUP(C554,RM!$C$4:$F1003,3,FALSE))</f>
        <v/>
      </c>
      <c r="F554" s="74" t="str">
        <f>IF(B554="","",IFERROR(SUMIFS(Issue!$D$3:$D1013,Issue!$C$3:$C1013,'S-BOM'!$B554)*'S-BOM'!$D554,""))</f>
        <v/>
      </c>
      <c r="G554" s="75" t="str">
        <f t="array" ref="G554">IFERROR(INDEX(#REF!,MATCH('S-BOM'!$C554,RM!$C$4:$C1003,0)),"")</f>
        <v/>
      </c>
      <c r="H554" s="75" t="str">
        <f t="shared" si="5"/>
        <v/>
      </c>
      <c r="I554" s="76"/>
    </row>
    <row r="555" spans="1:9" ht="15.75" customHeight="1">
      <c r="A555" s="69" t="str">
        <f t="shared" si="4"/>
        <v/>
      </c>
      <c r="B555" s="70"/>
      <c r="C555" s="70"/>
      <c r="D555" s="77"/>
      <c r="E555" s="73" t="str">
        <f>IF(B555="","",VLOOKUP(C555,RM!$C$4:$F1003,3,FALSE))</f>
        <v/>
      </c>
      <c r="F555" s="74" t="str">
        <f>IF(B555="","",IFERROR(SUMIFS(Issue!$D$3:$D1013,Issue!$C$3:$C1013,'S-BOM'!$B555)*'S-BOM'!$D555,""))</f>
        <v/>
      </c>
      <c r="G555" s="75" t="str">
        <f t="array" ref="G555">IFERROR(INDEX(#REF!,MATCH('S-BOM'!$C555,RM!$C$4:$C1003,0)),"")</f>
        <v/>
      </c>
      <c r="H555" s="75" t="str">
        <f t="shared" si="5"/>
        <v/>
      </c>
      <c r="I555" s="76"/>
    </row>
    <row r="556" spans="1:9" ht="15.75" customHeight="1">
      <c r="A556" s="69" t="str">
        <f t="shared" si="4"/>
        <v/>
      </c>
      <c r="B556" s="70"/>
      <c r="C556" s="70"/>
      <c r="D556" s="77"/>
      <c r="E556" s="73" t="str">
        <f>IF(B556="","",VLOOKUP(C556,RM!$C$4:$F1003,3,FALSE))</f>
        <v/>
      </c>
      <c r="F556" s="74" t="str">
        <f>IF(B556="","",IFERROR(SUMIFS(Issue!$D$3:$D1013,Issue!$C$3:$C1013,'S-BOM'!$B556)*'S-BOM'!$D556,""))</f>
        <v/>
      </c>
      <c r="G556" s="75" t="str">
        <f t="array" ref="G556">IFERROR(INDEX(#REF!,MATCH('S-BOM'!$C556,RM!$C$4:$C1003,0)),"")</f>
        <v/>
      </c>
      <c r="H556" s="75" t="str">
        <f t="shared" si="5"/>
        <v/>
      </c>
      <c r="I556" s="76"/>
    </row>
    <row r="557" spans="1:9" ht="15.75" customHeight="1">
      <c r="A557" s="69" t="str">
        <f t="shared" si="4"/>
        <v/>
      </c>
      <c r="B557" s="70"/>
      <c r="C557" s="70"/>
      <c r="D557" s="77"/>
      <c r="E557" s="73" t="str">
        <f>IF(B557="","",VLOOKUP(C557,RM!$C$4:$F1003,3,FALSE))</f>
        <v/>
      </c>
      <c r="F557" s="74" t="str">
        <f>IF(B557="","",IFERROR(SUMIFS(Issue!$D$3:$D1013,Issue!$C$3:$C1013,'S-BOM'!$B557)*'S-BOM'!$D557,""))</f>
        <v/>
      </c>
      <c r="G557" s="75" t="str">
        <f t="array" ref="G557">IFERROR(INDEX(#REF!,MATCH('S-BOM'!$C557,RM!$C$4:$C1003,0)),"")</f>
        <v/>
      </c>
      <c r="H557" s="75" t="str">
        <f t="shared" si="5"/>
        <v/>
      </c>
      <c r="I557" s="76"/>
    </row>
    <row r="558" spans="1:9" ht="15.75" customHeight="1">
      <c r="A558" s="69" t="str">
        <f t="shared" si="4"/>
        <v/>
      </c>
      <c r="B558" s="70"/>
      <c r="C558" s="70"/>
      <c r="D558" s="77"/>
      <c r="E558" s="73" t="str">
        <f>IF(B558="","",VLOOKUP(C558,RM!$C$4:$F1003,3,FALSE))</f>
        <v/>
      </c>
      <c r="F558" s="74" t="str">
        <f>IF(B558="","",IFERROR(SUMIFS(Issue!$D$3:$D1013,Issue!$C$3:$C1013,'S-BOM'!$B558)*'S-BOM'!$D558,""))</f>
        <v/>
      </c>
      <c r="G558" s="75" t="str">
        <f t="array" ref="G558">IFERROR(INDEX(#REF!,MATCH('S-BOM'!$C558,RM!$C$4:$C1003,0)),"")</f>
        <v/>
      </c>
      <c r="H558" s="75" t="str">
        <f t="shared" si="5"/>
        <v/>
      </c>
      <c r="I558" s="76"/>
    </row>
    <row r="559" spans="1:9" ht="15.75" customHeight="1">
      <c r="A559" s="69" t="str">
        <f t="shared" si="4"/>
        <v/>
      </c>
      <c r="B559" s="70"/>
      <c r="C559" s="70"/>
      <c r="D559" s="77"/>
      <c r="E559" s="73" t="str">
        <f>IF(B559="","",VLOOKUP(C559,RM!$C$4:$F1003,3,FALSE))</f>
        <v/>
      </c>
      <c r="F559" s="74" t="str">
        <f>IF(B559="","",IFERROR(SUMIFS(Issue!$D$3:$D1013,Issue!$C$3:$C1013,'S-BOM'!$B559)*'S-BOM'!$D559,""))</f>
        <v/>
      </c>
      <c r="G559" s="75" t="str">
        <f t="array" ref="G559">IFERROR(INDEX(#REF!,MATCH('S-BOM'!$C559,RM!$C$4:$C1003,0)),"")</f>
        <v/>
      </c>
      <c r="H559" s="75" t="str">
        <f t="shared" si="5"/>
        <v/>
      </c>
      <c r="I559" s="76"/>
    </row>
    <row r="560" spans="1:9" ht="15.75" customHeight="1">
      <c r="A560" s="69" t="str">
        <f t="shared" si="4"/>
        <v/>
      </c>
      <c r="B560" s="70"/>
      <c r="C560" s="70"/>
      <c r="D560" s="77"/>
      <c r="E560" s="73" t="str">
        <f>IF(B560="","",VLOOKUP(C560,RM!$C$4:$F1003,3,FALSE))</f>
        <v/>
      </c>
      <c r="F560" s="74" t="str">
        <f>IF(B560="","",IFERROR(SUMIFS(Issue!$D$3:$D1013,Issue!$C$3:$C1013,'S-BOM'!$B560)*'S-BOM'!$D560,""))</f>
        <v/>
      </c>
      <c r="G560" s="75" t="str">
        <f t="array" ref="G560">IFERROR(INDEX(#REF!,MATCH('S-BOM'!$C560,RM!$C$4:$C1003,0)),"")</f>
        <v/>
      </c>
      <c r="H560" s="75" t="str">
        <f t="shared" si="5"/>
        <v/>
      </c>
      <c r="I560" s="76"/>
    </row>
    <row r="561" spans="1:9" ht="15.75" customHeight="1">
      <c r="A561" s="69" t="str">
        <f t="shared" si="4"/>
        <v/>
      </c>
      <c r="B561" s="70"/>
      <c r="C561" s="70"/>
      <c r="D561" s="77"/>
      <c r="E561" s="73" t="str">
        <f>IF(B561="","",VLOOKUP(C561,RM!$C$4:$F1003,3,FALSE))</f>
        <v/>
      </c>
      <c r="F561" s="74" t="str">
        <f>IF(B561="","",IFERROR(SUMIFS(Issue!$D$3:$D1013,Issue!$C$3:$C1013,'S-BOM'!$B561)*'S-BOM'!$D561,""))</f>
        <v/>
      </c>
      <c r="G561" s="75" t="str">
        <f t="array" ref="G561">IFERROR(INDEX(#REF!,MATCH('S-BOM'!$C561,RM!$C$4:$C1003,0)),"")</f>
        <v/>
      </c>
      <c r="H561" s="75" t="str">
        <f t="shared" si="5"/>
        <v/>
      </c>
      <c r="I561" s="76"/>
    </row>
    <row r="562" spans="1:9" ht="15.75" customHeight="1">
      <c r="A562" s="69" t="str">
        <f t="shared" si="4"/>
        <v/>
      </c>
      <c r="B562" s="70"/>
      <c r="C562" s="70"/>
      <c r="D562" s="77"/>
      <c r="E562" s="73" t="str">
        <f>IF(B562="","",VLOOKUP(C562,RM!$C$4:$F1003,3,FALSE))</f>
        <v/>
      </c>
      <c r="F562" s="74" t="str">
        <f>IF(B562="","",IFERROR(SUMIFS(Issue!$D$3:$D1013,Issue!$C$3:$C1013,'S-BOM'!$B562)*'S-BOM'!$D562,""))</f>
        <v/>
      </c>
      <c r="G562" s="75" t="str">
        <f t="array" ref="G562">IFERROR(INDEX(#REF!,MATCH('S-BOM'!$C562,RM!$C$4:$C1003,0)),"")</f>
        <v/>
      </c>
      <c r="H562" s="75" t="str">
        <f t="shared" si="5"/>
        <v/>
      </c>
      <c r="I562" s="76"/>
    </row>
    <row r="563" spans="1:9" ht="15.75" customHeight="1">
      <c r="A563" s="69" t="str">
        <f t="shared" si="4"/>
        <v/>
      </c>
      <c r="B563" s="70"/>
      <c r="C563" s="70"/>
      <c r="D563" s="77"/>
      <c r="E563" s="73" t="str">
        <f>IF(B563="","",VLOOKUP(C563,RM!$C$4:$F1003,3,FALSE))</f>
        <v/>
      </c>
      <c r="F563" s="74" t="str">
        <f>IF(B563="","",IFERROR(SUMIFS(Issue!$D$3:$D1013,Issue!$C$3:$C1013,'S-BOM'!$B563)*'S-BOM'!$D563,""))</f>
        <v/>
      </c>
      <c r="G563" s="75" t="str">
        <f t="array" ref="G563">IFERROR(INDEX(#REF!,MATCH('S-BOM'!$C563,RM!$C$4:$C1003,0)),"")</f>
        <v/>
      </c>
      <c r="H563" s="75" t="str">
        <f t="shared" si="5"/>
        <v/>
      </c>
      <c r="I563" s="76"/>
    </row>
    <row r="564" spans="1:9" ht="15.75" customHeight="1">
      <c r="A564" s="69" t="str">
        <f t="shared" si="4"/>
        <v/>
      </c>
      <c r="B564" s="70"/>
      <c r="C564" s="70"/>
      <c r="D564" s="77"/>
      <c r="E564" s="73" t="str">
        <f>IF(B564="","",VLOOKUP(C564,RM!$C$4:$F1003,3,FALSE))</f>
        <v/>
      </c>
      <c r="F564" s="74" t="str">
        <f>IF(B564="","",IFERROR(SUMIFS(Issue!$D$3:$D1013,Issue!$C$3:$C1013,'S-BOM'!$B564)*'S-BOM'!$D564,""))</f>
        <v/>
      </c>
      <c r="G564" s="75" t="str">
        <f t="array" ref="G564">IFERROR(INDEX(#REF!,MATCH('S-BOM'!$C564,RM!$C$4:$C1003,0)),"")</f>
        <v/>
      </c>
      <c r="H564" s="75" t="str">
        <f t="shared" si="5"/>
        <v/>
      </c>
      <c r="I564" s="76"/>
    </row>
    <row r="565" spans="1:9" ht="15.75" customHeight="1">
      <c r="A565" s="69" t="str">
        <f t="shared" si="4"/>
        <v/>
      </c>
      <c r="B565" s="70"/>
      <c r="C565" s="70"/>
      <c r="D565" s="77"/>
      <c r="E565" s="73" t="str">
        <f>IF(B565="","",VLOOKUP(C565,RM!$C$4:$F1003,3,FALSE))</f>
        <v/>
      </c>
      <c r="F565" s="74" t="str">
        <f>IF(B565="","",IFERROR(SUMIFS(Issue!$D$3:$D1013,Issue!$C$3:$C1013,'S-BOM'!$B565)*'S-BOM'!$D565,""))</f>
        <v/>
      </c>
      <c r="G565" s="75" t="str">
        <f t="array" ref="G565">IFERROR(INDEX(#REF!,MATCH('S-BOM'!$C565,RM!$C$4:$C1003,0)),"")</f>
        <v/>
      </c>
      <c r="H565" s="75" t="str">
        <f t="shared" si="5"/>
        <v/>
      </c>
      <c r="I565" s="76"/>
    </row>
    <row r="566" spans="1:9" ht="15.75" customHeight="1">
      <c r="A566" s="69" t="str">
        <f t="shared" si="4"/>
        <v/>
      </c>
      <c r="B566" s="70"/>
      <c r="C566" s="70"/>
      <c r="D566" s="77"/>
      <c r="E566" s="73" t="str">
        <f>IF(B566="","",VLOOKUP(C566,RM!$C$4:$F1003,3,FALSE))</f>
        <v/>
      </c>
      <c r="F566" s="74" t="str">
        <f>IF(B566="","",IFERROR(SUMIFS(Issue!$D$3:$D1013,Issue!$C$3:$C1013,'S-BOM'!$B566)*'S-BOM'!$D566,""))</f>
        <v/>
      </c>
      <c r="G566" s="75" t="str">
        <f t="array" ref="G566">IFERROR(INDEX(#REF!,MATCH('S-BOM'!$C566,RM!$C$4:$C1003,0)),"")</f>
        <v/>
      </c>
      <c r="H566" s="75" t="str">
        <f t="shared" si="5"/>
        <v/>
      </c>
      <c r="I566" s="76"/>
    </row>
    <row r="567" spans="1:9" ht="15.75" customHeight="1">
      <c r="A567" s="69" t="str">
        <f t="shared" si="4"/>
        <v/>
      </c>
      <c r="B567" s="70"/>
      <c r="C567" s="70"/>
      <c r="D567" s="77"/>
      <c r="E567" s="73" t="str">
        <f>IF(B567="","",VLOOKUP(C567,RM!$C$4:$F1003,3,FALSE))</f>
        <v/>
      </c>
      <c r="F567" s="74" t="str">
        <f>IF(B567="","",IFERROR(SUMIFS(Issue!$D$3:$D1013,Issue!$C$3:$C1013,'S-BOM'!$B567)*'S-BOM'!$D567,""))</f>
        <v/>
      </c>
      <c r="G567" s="75" t="str">
        <f t="array" ref="G567">IFERROR(INDEX(#REF!,MATCH('S-BOM'!$C567,RM!$C$4:$C1003,0)),"")</f>
        <v/>
      </c>
      <c r="H567" s="75" t="str">
        <f t="shared" si="5"/>
        <v/>
      </c>
      <c r="I567" s="76"/>
    </row>
    <row r="568" spans="1:9" ht="15.75" customHeight="1">
      <c r="A568" s="69" t="str">
        <f t="shared" si="4"/>
        <v/>
      </c>
      <c r="B568" s="70"/>
      <c r="C568" s="70"/>
      <c r="D568" s="77"/>
      <c r="E568" s="73" t="str">
        <f>IF(B568="","",VLOOKUP(C568,RM!$C$4:$F1003,3,FALSE))</f>
        <v/>
      </c>
      <c r="F568" s="74" t="str">
        <f>IF(B568="","",IFERROR(SUMIFS(Issue!$D$3:$D1013,Issue!$C$3:$C1013,'S-BOM'!$B568)*'S-BOM'!$D568,""))</f>
        <v/>
      </c>
      <c r="G568" s="75" t="str">
        <f t="array" ref="G568">IFERROR(INDEX(#REF!,MATCH('S-BOM'!$C568,RM!$C$4:$C1003,0)),"")</f>
        <v/>
      </c>
      <c r="H568" s="75" t="str">
        <f t="shared" si="5"/>
        <v/>
      </c>
      <c r="I568" s="76"/>
    </row>
    <row r="569" spans="1:9" ht="15.75" customHeight="1">
      <c r="A569" s="69" t="str">
        <f t="shared" si="4"/>
        <v/>
      </c>
      <c r="B569" s="70"/>
      <c r="C569" s="70"/>
      <c r="D569" s="77"/>
      <c r="E569" s="73" t="str">
        <f>IF(B569="","",VLOOKUP(C569,RM!$C$4:$F1003,3,FALSE))</f>
        <v/>
      </c>
      <c r="F569" s="74" t="str">
        <f>IF(B569="","",IFERROR(SUMIFS(Issue!$D$3:$D1013,Issue!$C$3:$C1013,'S-BOM'!$B569)*'S-BOM'!$D569,""))</f>
        <v/>
      </c>
      <c r="G569" s="75" t="str">
        <f t="array" ref="G569">IFERROR(INDEX(#REF!,MATCH('S-BOM'!$C569,RM!$C$4:$C1003,0)),"")</f>
        <v/>
      </c>
      <c r="H569" s="75" t="str">
        <f t="shared" si="5"/>
        <v/>
      </c>
      <c r="I569" s="76"/>
    </row>
    <row r="570" spans="1:9" ht="15.75" customHeight="1">
      <c r="A570" s="69" t="str">
        <f t="shared" si="4"/>
        <v/>
      </c>
      <c r="B570" s="70"/>
      <c r="C570" s="70"/>
      <c r="D570" s="77"/>
      <c r="E570" s="73" t="str">
        <f>IF(B570="","",VLOOKUP(C570,RM!$C$4:$F1003,3,FALSE))</f>
        <v/>
      </c>
      <c r="F570" s="74" t="str">
        <f>IF(B570="","",IFERROR(SUMIFS(Issue!$D$3:$D1013,Issue!$C$3:$C1013,'S-BOM'!$B570)*'S-BOM'!$D570,""))</f>
        <v/>
      </c>
      <c r="G570" s="75" t="str">
        <f t="array" ref="G570">IFERROR(INDEX(#REF!,MATCH('S-BOM'!$C570,RM!$C$4:$C1003,0)),"")</f>
        <v/>
      </c>
      <c r="H570" s="75" t="str">
        <f t="shared" si="5"/>
        <v/>
      </c>
      <c r="I570" s="76"/>
    </row>
    <row r="571" spans="1:9" ht="15.75" customHeight="1">
      <c r="A571" s="69" t="str">
        <f t="shared" si="4"/>
        <v/>
      </c>
      <c r="B571" s="70"/>
      <c r="C571" s="70"/>
      <c r="D571" s="77"/>
      <c r="E571" s="73" t="str">
        <f>IF(B571="","",VLOOKUP(C571,RM!$C$4:$F1003,3,FALSE))</f>
        <v/>
      </c>
      <c r="F571" s="74" t="str">
        <f>IF(B571="","",IFERROR(SUMIFS(Issue!$D$3:$D1013,Issue!$C$3:$C1013,'S-BOM'!$B571)*'S-BOM'!$D571,""))</f>
        <v/>
      </c>
      <c r="G571" s="75" t="str">
        <f t="array" ref="G571">IFERROR(INDEX(#REF!,MATCH('S-BOM'!$C571,RM!$C$4:$C1003,0)),"")</f>
        <v/>
      </c>
      <c r="H571" s="75" t="str">
        <f t="shared" si="5"/>
        <v/>
      </c>
      <c r="I571" s="76"/>
    </row>
    <row r="572" spans="1:9" ht="15.75" customHeight="1">
      <c r="A572" s="69" t="str">
        <f t="shared" si="4"/>
        <v/>
      </c>
      <c r="B572" s="70"/>
      <c r="C572" s="70"/>
      <c r="D572" s="77"/>
      <c r="E572" s="73" t="str">
        <f>IF(B572="","",VLOOKUP(C572,RM!$C$4:$F1003,3,FALSE))</f>
        <v/>
      </c>
      <c r="F572" s="74" t="str">
        <f>IF(B572="","",IFERROR(SUMIFS(Issue!$D$3:$D1013,Issue!$C$3:$C1013,'S-BOM'!$B572)*'S-BOM'!$D572,""))</f>
        <v/>
      </c>
      <c r="G572" s="75" t="str">
        <f t="array" ref="G572">IFERROR(INDEX(#REF!,MATCH('S-BOM'!$C572,RM!$C$4:$C1003,0)),"")</f>
        <v/>
      </c>
      <c r="H572" s="75" t="str">
        <f t="shared" si="5"/>
        <v/>
      </c>
      <c r="I572" s="76"/>
    </row>
    <row r="573" spans="1:9" ht="15.75" customHeight="1">
      <c r="A573" s="69" t="str">
        <f t="shared" si="4"/>
        <v/>
      </c>
      <c r="B573" s="70"/>
      <c r="C573" s="70"/>
      <c r="D573" s="77"/>
      <c r="E573" s="73" t="str">
        <f>IF(B573="","",VLOOKUP(C573,RM!$C$4:$F1003,3,FALSE))</f>
        <v/>
      </c>
      <c r="F573" s="74" t="str">
        <f>IF(B573="","",IFERROR(SUMIFS(Issue!$D$3:$D1013,Issue!$C$3:$C1013,'S-BOM'!$B573)*'S-BOM'!$D573,""))</f>
        <v/>
      </c>
      <c r="G573" s="75" t="str">
        <f t="array" ref="G573">IFERROR(INDEX(#REF!,MATCH('S-BOM'!$C573,RM!$C$4:$C1003,0)),"")</f>
        <v/>
      </c>
      <c r="H573" s="75" t="str">
        <f t="shared" si="5"/>
        <v/>
      </c>
      <c r="I573" s="76"/>
    </row>
    <row r="574" spans="1:9" ht="15.75" customHeight="1">
      <c r="A574" s="69" t="str">
        <f t="shared" si="4"/>
        <v/>
      </c>
      <c r="B574" s="70"/>
      <c r="C574" s="70"/>
      <c r="D574" s="77"/>
      <c r="E574" s="73" t="str">
        <f>IF(B574="","",VLOOKUP(C574,RM!$C$4:$F1003,3,FALSE))</f>
        <v/>
      </c>
      <c r="F574" s="74" t="str">
        <f>IF(B574="","",IFERROR(SUMIFS(Issue!$D$3:$D1013,Issue!$C$3:$C1013,'S-BOM'!$B574)*'S-BOM'!$D574,""))</f>
        <v/>
      </c>
      <c r="G574" s="75" t="str">
        <f t="array" ref="G574">IFERROR(INDEX(#REF!,MATCH('S-BOM'!$C574,RM!$C$4:$C1003,0)),"")</f>
        <v/>
      </c>
      <c r="H574" s="75" t="str">
        <f t="shared" si="5"/>
        <v/>
      </c>
      <c r="I574" s="76"/>
    </row>
    <row r="575" spans="1:9" ht="15.75" customHeight="1">
      <c r="A575" s="69" t="str">
        <f t="shared" si="4"/>
        <v/>
      </c>
      <c r="B575" s="70"/>
      <c r="C575" s="70"/>
      <c r="D575" s="77"/>
      <c r="E575" s="73" t="str">
        <f>IF(B575="","",VLOOKUP(C575,RM!$C$4:$F1003,3,FALSE))</f>
        <v/>
      </c>
      <c r="F575" s="74" t="str">
        <f>IF(B575="","",IFERROR(SUMIFS(Issue!$D$3:$D1013,Issue!$C$3:$C1013,'S-BOM'!$B575)*'S-BOM'!$D575,""))</f>
        <v/>
      </c>
      <c r="G575" s="75" t="str">
        <f t="array" ref="G575">IFERROR(INDEX(#REF!,MATCH('S-BOM'!$C575,RM!$C$4:$C1003,0)),"")</f>
        <v/>
      </c>
      <c r="H575" s="75" t="str">
        <f t="shared" si="5"/>
        <v/>
      </c>
      <c r="I575" s="76"/>
    </row>
    <row r="576" spans="1:9" ht="15.75" customHeight="1">
      <c r="A576" s="69" t="str">
        <f t="shared" si="4"/>
        <v/>
      </c>
      <c r="B576" s="70"/>
      <c r="C576" s="70"/>
      <c r="D576" s="77"/>
      <c r="E576" s="73" t="str">
        <f>IF(B576="","",VLOOKUP(C576,RM!$C$4:$F1003,3,FALSE))</f>
        <v/>
      </c>
      <c r="F576" s="74" t="str">
        <f>IF(B576="","",IFERROR(SUMIFS(Issue!$D$3:$D1013,Issue!$C$3:$C1013,'S-BOM'!$B576)*'S-BOM'!$D576,""))</f>
        <v/>
      </c>
      <c r="G576" s="75" t="str">
        <f t="array" ref="G576">IFERROR(INDEX(#REF!,MATCH('S-BOM'!$C576,RM!$C$4:$C1003,0)),"")</f>
        <v/>
      </c>
      <c r="H576" s="75" t="str">
        <f t="shared" si="5"/>
        <v/>
      </c>
      <c r="I576" s="76"/>
    </row>
    <row r="577" spans="1:9" ht="15.75" customHeight="1">
      <c r="A577" s="69" t="str">
        <f t="shared" si="4"/>
        <v/>
      </c>
      <c r="B577" s="70"/>
      <c r="C577" s="70"/>
      <c r="D577" s="77"/>
      <c r="E577" s="73" t="str">
        <f>IF(B577="","",VLOOKUP(C577,RM!$C$4:$F1003,3,FALSE))</f>
        <v/>
      </c>
      <c r="F577" s="74" t="str">
        <f>IF(B577="","",IFERROR(SUMIFS(Issue!$D$3:$D1013,Issue!$C$3:$C1013,'S-BOM'!$B577)*'S-BOM'!$D577,""))</f>
        <v/>
      </c>
      <c r="G577" s="75" t="str">
        <f t="array" ref="G577">IFERROR(INDEX(#REF!,MATCH('S-BOM'!$C577,RM!$C$4:$C1003,0)),"")</f>
        <v/>
      </c>
      <c r="H577" s="75" t="str">
        <f t="shared" si="5"/>
        <v/>
      </c>
      <c r="I577" s="76"/>
    </row>
    <row r="578" spans="1:9" ht="15.75" customHeight="1">
      <c r="A578" s="69" t="str">
        <f t="shared" si="4"/>
        <v/>
      </c>
      <c r="B578" s="70"/>
      <c r="C578" s="70"/>
      <c r="D578" s="77"/>
      <c r="E578" s="73" t="str">
        <f>IF(B578="","",VLOOKUP(C578,RM!$C$4:$F1003,3,FALSE))</f>
        <v/>
      </c>
      <c r="F578" s="74" t="str">
        <f>IF(B578="","",IFERROR(SUMIFS(Issue!$D$3:$D1013,Issue!$C$3:$C1013,'S-BOM'!$B578)*'S-BOM'!$D578,""))</f>
        <v/>
      </c>
      <c r="G578" s="75" t="str">
        <f t="array" ref="G578">IFERROR(INDEX(#REF!,MATCH('S-BOM'!$C578,RM!$C$4:$C1003,0)),"")</f>
        <v/>
      </c>
      <c r="H578" s="75" t="str">
        <f t="shared" si="5"/>
        <v/>
      </c>
      <c r="I578" s="76"/>
    </row>
    <row r="579" spans="1:9" ht="15.75" customHeight="1">
      <c r="A579" s="69" t="str">
        <f t="shared" si="4"/>
        <v/>
      </c>
      <c r="B579" s="70"/>
      <c r="C579" s="70"/>
      <c r="D579" s="77"/>
      <c r="E579" s="73" t="str">
        <f>IF(B579="","",VLOOKUP(C579,RM!$C$4:$F1003,3,FALSE))</f>
        <v/>
      </c>
      <c r="F579" s="74" t="str">
        <f>IF(B579="","",IFERROR(SUMIFS(Issue!$D$3:$D1013,Issue!$C$3:$C1013,'S-BOM'!$B579)*'S-BOM'!$D579,""))</f>
        <v/>
      </c>
      <c r="G579" s="75" t="str">
        <f t="array" ref="G579">IFERROR(INDEX(#REF!,MATCH('S-BOM'!$C579,RM!$C$4:$C1003,0)),"")</f>
        <v/>
      </c>
      <c r="H579" s="75" t="str">
        <f t="shared" si="5"/>
        <v/>
      </c>
      <c r="I579" s="76"/>
    </row>
    <row r="580" spans="1:9" ht="15.75" customHeight="1">
      <c r="A580" s="69" t="str">
        <f t="shared" si="4"/>
        <v/>
      </c>
      <c r="B580" s="70"/>
      <c r="C580" s="70"/>
      <c r="D580" s="77"/>
      <c r="E580" s="73" t="str">
        <f>IF(B580="","",VLOOKUP(C580,RM!$C$4:$F1003,3,FALSE))</f>
        <v/>
      </c>
      <c r="F580" s="74" t="str">
        <f>IF(B580="","",IFERROR(SUMIFS(Issue!$D$3:$D1013,Issue!$C$3:$C1013,'S-BOM'!$B580)*'S-BOM'!$D580,""))</f>
        <v/>
      </c>
      <c r="G580" s="75" t="str">
        <f t="array" ref="G580">IFERROR(INDEX(#REF!,MATCH('S-BOM'!$C580,RM!$C$4:$C1003,0)),"")</f>
        <v/>
      </c>
      <c r="H580" s="75" t="str">
        <f t="shared" si="5"/>
        <v/>
      </c>
      <c r="I580" s="76"/>
    </row>
    <row r="581" spans="1:9" ht="15.75" customHeight="1">
      <c r="A581" s="69" t="str">
        <f t="shared" si="4"/>
        <v/>
      </c>
      <c r="B581" s="70"/>
      <c r="C581" s="70"/>
      <c r="D581" s="77"/>
      <c r="E581" s="73" t="str">
        <f>IF(B581="","",VLOOKUP(C581,RM!$C$4:$F1003,3,FALSE))</f>
        <v/>
      </c>
      <c r="F581" s="74" t="str">
        <f>IF(B581="","",IFERROR(SUMIFS(Issue!$D$3:$D1013,Issue!$C$3:$C1013,'S-BOM'!$B581)*'S-BOM'!$D581,""))</f>
        <v/>
      </c>
      <c r="G581" s="75" t="str">
        <f t="array" ref="G581">IFERROR(INDEX(#REF!,MATCH('S-BOM'!$C581,RM!$C$4:$C1003,0)),"")</f>
        <v/>
      </c>
      <c r="H581" s="75" t="str">
        <f t="shared" si="5"/>
        <v/>
      </c>
      <c r="I581" s="76"/>
    </row>
    <row r="582" spans="1:9" ht="15.75" customHeight="1">
      <c r="A582" s="69" t="str">
        <f t="shared" si="4"/>
        <v/>
      </c>
      <c r="B582" s="70"/>
      <c r="C582" s="70"/>
      <c r="D582" s="77"/>
      <c r="E582" s="73" t="str">
        <f>IF(B582="","",VLOOKUP(C582,RM!$C$4:$F1003,3,FALSE))</f>
        <v/>
      </c>
      <c r="F582" s="74" t="str">
        <f>IF(B582="","",IFERROR(SUMIFS(Issue!$D$3:$D1013,Issue!$C$3:$C1013,'S-BOM'!$B582)*'S-BOM'!$D582,""))</f>
        <v/>
      </c>
      <c r="G582" s="75" t="str">
        <f t="array" ref="G582">IFERROR(INDEX(#REF!,MATCH('S-BOM'!$C582,RM!$C$4:$C1003,0)),"")</f>
        <v/>
      </c>
      <c r="H582" s="75" t="str">
        <f t="shared" si="5"/>
        <v/>
      </c>
      <c r="I582" s="76"/>
    </row>
    <row r="583" spans="1:9" ht="15.75" customHeight="1">
      <c r="A583" s="69" t="str">
        <f t="shared" si="4"/>
        <v/>
      </c>
      <c r="B583" s="70"/>
      <c r="C583" s="70"/>
      <c r="D583" s="77"/>
      <c r="E583" s="73" t="str">
        <f>IF(B583="","",VLOOKUP(C583,RM!$C$4:$F1003,3,FALSE))</f>
        <v/>
      </c>
      <c r="F583" s="74" t="str">
        <f>IF(B583="","",IFERROR(SUMIFS(Issue!$D$3:$D1013,Issue!$C$3:$C1013,'S-BOM'!$B583)*'S-BOM'!$D583,""))</f>
        <v/>
      </c>
      <c r="G583" s="75" t="str">
        <f t="array" ref="G583">IFERROR(INDEX(#REF!,MATCH('S-BOM'!$C583,RM!$C$4:$C1003,0)),"")</f>
        <v/>
      </c>
      <c r="H583" s="75" t="str">
        <f t="shared" si="5"/>
        <v/>
      </c>
      <c r="I583" s="76"/>
    </row>
    <row r="584" spans="1:9" ht="15.75" customHeight="1">
      <c r="A584" s="69" t="str">
        <f t="shared" si="4"/>
        <v/>
      </c>
      <c r="B584" s="70"/>
      <c r="C584" s="70"/>
      <c r="D584" s="77"/>
      <c r="E584" s="73" t="str">
        <f>IF(B584="","",VLOOKUP(C584,RM!$C$4:$F1003,3,FALSE))</f>
        <v/>
      </c>
      <c r="F584" s="74" t="str">
        <f>IF(B584="","",IFERROR(SUMIFS(Issue!$D$3:$D1013,Issue!$C$3:$C1013,'S-BOM'!$B584)*'S-BOM'!$D584,""))</f>
        <v/>
      </c>
      <c r="G584" s="75" t="str">
        <f t="array" ref="G584">IFERROR(INDEX(#REF!,MATCH('S-BOM'!$C584,RM!$C$4:$C1003,0)),"")</f>
        <v/>
      </c>
      <c r="H584" s="75" t="str">
        <f t="shared" si="5"/>
        <v/>
      </c>
      <c r="I584" s="76"/>
    </row>
    <row r="585" spans="1:9" ht="15.75" customHeight="1">
      <c r="A585" s="69" t="str">
        <f t="shared" si="4"/>
        <v/>
      </c>
      <c r="B585" s="70"/>
      <c r="C585" s="70"/>
      <c r="D585" s="77"/>
      <c r="E585" s="73" t="str">
        <f>IF(B585="","",VLOOKUP(C585,RM!$C$4:$F1003,3,FALSE))</f>
        <v/>
      </c>
      <c r="F585" s="74" t="str">
        <f>IF(B585="","",IFERROR(SUMIFS(Issue!$D$3:$D1013,Issue!$C$3:$C1013,'S-BOM'!$B585)*'S-BOM'!$D585,""))</f>
        <v/>
      </c>
      <c r="G585" s="75" t="str">
        <f t="array" ref="G585">IFERROR(INDEX(#REF!,MATCH('S-BOM'!$C585,RM!$C$4:$C1003,0)),"")</f>
        <v/>
      </c>
      <c r="H585" s="75" t="str">
        <f t="shared" si="5"/>
        <v/>
      </c>
      <c r="I585" s="76"/>
    </row>
    <row r="586" spans="1:9" ht="15.75" customHeight="1">
      <c r="A586" s="69" t="str">
        <f t="shared" si="4"/>
        <v/>
      </c>
      <c r="B586" s="70"/>
      <c r="C586" s="70"/>
      <c r="D586" s="77"/>
      <c r="E586" s="73" t="str">
        <f>IF(B586="","",VLOOKUP(C586,RM!$C$4:$F1003,3,FALSE))</f>
        <v/>
      </c>
      <c r="F586" s="74" t="str">
        <f>IF(B586="","",IFERROR(SUMIFS(Issue!$D$3:$D1013,Issue!$C$3:$C1013,'S-BOM'!$B586)*'S-BOM'!$D586,""))</f>
        <v/>
      </c>
      <c r="G586" s="75" t="str">
        <f t="array" ref="G586">IFERROR(INDEX(#REF!,MATCH('S-BOM'!$C586,RM!$C$4:$C1003,0)),"")</f>
        <v/>
      </c>
      <c r="H586" s="75" t="str">
        <f t="shared" si="5"/>
        <v/>
      </c>
      <c r="I586" s="76"/>
    </row>
    <row r="587" spans="1:9" ht="15.75" customHeight="1">
      <c r="A587" s="69" t="str">
        <f t="shared" si="4"/>
        <v/>
      </c>
      <c r="B587" s="70"/>
      <c r="C587" s="70"/>
      <c r="D587" s="77"/>
      <c r="E587" s="73" t="str">
        <f>IF(B587="","",VLOOKUP(C587,RM!$C$4:$F1003,3,FALSE))</f>
        <v/>
      </c>
      <c r="F587" s="74" t="str">
        <f>IF(B587="","",IFERROR(SUMIFS(Issue!$D$3:$D1013,Issue!$C$3:$C1013,'S-BOM'!$B587)*'S-BOM'!$D587,""))</f>
        <v/>
      </c>
      <c r="G587" s="75" t="str">
        <f t="array" ref="G587">IFERROR(INDEX(#REF!,MATCH('S-BOM'!$C587,RM!$C$4:$C1003,0)),"")</f>
        <v/>
      </c>
      <c r="H587" s="75" t="str">
        <f t="shared" si="5"/>
        <v/>
      </c>
      <c r="I587" s="76"/>
    </row>
    <row r="588" spans="1:9" ht="15.75" customHeight="1">
      <c r="A588" s="69" t="str">
        <f t="shared" si="4"/>
        <v/>
      </c>
      <c r="B588" s="70"/>
      <c r="C588" s="70"/>
      <c r="D588" s="77"/>
      <c r="E588" s="73" t="str">
        <f>IF(B588="","",VLOOKUP(C588,RM!$C$4:$F1003,3,FALSE))</f>
        <v/>
      </c>
      <c r="F588" s="74" t="str">
        <f>IF(B588="","",IFERROR(SUMIFS(Issue!$D$3:$D1013,Issue!$C$3:$C1013,'S-BOM'!$B588)*'S-BOM'!$D588,""))</f>
        <v/>
      </c>
      <c r="G588" s="75" t="str">
        <f t="array" ref="G588">IFERROR(INDEX(#REF!,MATCH('S-BOM'!$C588,RM!$C$4:$C1003,0)),"")</f>
        <v/>
      </c>
      <c r="H588" s="75" t="str">
        <f t="shared" si="5"/>
        <v/>
      </c>
      <c r="I588" s="76"/>
    </row>
    <row r="589" spans="1:9" ht="15.75" customHeight="1">
      <c r="A589" s="69" t="str">
        <f t="shared" si="4"/>
        <v/>
      </c>
      <c r="B589" s="70"/>
      <c r="C589" s="70"/>
      <c r="D589" s="77"/>
      <c r="E589" s="73" t="str">
        <f>IF(B589="","",VLOOKUP(C589,RM!$C$4:$F1003,3,FALSE))</f>
        <v/>
      </c>
      <c r="F589" s="74" t="str">
        <f>IF(B589="","",IFERROR(SUMIFS(Issue!$D$3:$D1013,Issue!$C$3:$C1013,'S-BOM'!$B589)*'S-BOM'!$D589,""))</f>
        <v/>
      </c>
      <c r="G589" s="75" t="str">
        <f t="array" ref="G589">IFERROR(INDEX(#REF!,MATCH('S-BOM'!$C589,RM!$C$4:$C1003,0)),"")</f>
        <v/>
      </c>
      <c r="H589" s="75" t="str">
        <f t="shared" si="5"/>
        <v/>
      </c>
      <c r="I589" s="76"/>
    </row>
    <row r="590" spans="1:9" ht="15.75" customHeight="1">
      <c r="A590" s="69" t="str">
        <f t="shared" si="4"/>
        <v/>
      </c>
      <c r="B590" s="70"/>
      <c r="C590" s="70"/>
      <c r="D590" s="77"/>
      <c r="E590" s="73" t="str">
        <f>IF(B590="","",VLOOKUP(C590,RM!$C$4:$F1003,3,FALSE))</f>
        <v/>
      </c>
      <c r="F590" s="74" t="str">
        <f>IF(B590="","",IFERROR(SUMIFS(Issue!$D$3:$D1013,Issue!$C$3:$C1013,'S-BOM'!$B590)*'S-BOM'!$D590,""))</f>
        <v/>
      </c>
      <c r="G590" s="75" t="str">
        <f t="array" ref="G590">IFERROR(INDEX(#REF!,MATCH('S-BOM'!$C590,RM!$C$4:$C1003,0)),"")</f>
        <v/>
      </c>
      <c r="H590" s="75" t="str">
        <f t="shared" si="5"/>
        <v/>
      </c>
      <c r="I590" s="76"/>
    </row>
    <row r="591" spans="1:9" ht="15.75" customHeight="1">
      <c r="A591" s="69" t="str">
        <f t="shared" si="4"/>
        <v/>
      </c>
      <c r="B591" s="70"/>
      <c r="C591" s="70"/>
      <c r="D591" s="77"/>
      <c r="E591" s="73" t="str">
        <f>IF(B591="","",VLOOKUP(C591,RM!$C$4:$F1003,3,FALSE))</f>
        <v/>
      </c>
      <c r="F591" s="74" t="str">
        <f>IF(B591="","",IFERROR(SUMIFS(Issue!$D$3:$D1013,Issue!$C$3:$C1013,'S-BOM'!$B591)*'S-BOM'!$D591,""))</f>
        <v/>
      </c>
      <c r="G591" s="75" t="str">
        <f t="array" ref="G591">IFERROR(INDEX(#REF!,MATCH('S-BOM'!$C591,RM!$C$4:$C1003,0)),"")</f>
        <v/>
      </c>
      <c r="H591" s="75" t="str">
        <f t="shared" si="5"/>
        <v/>
      </c>
      <c r="I591" s="76"/>
    </row>
    <row r="592" spans="1:9" ht="15.75" customHeight="1">
      <c r="A592" s="69" t="str">
        <f t="shared" si="4"/>
        <v/>
      </c>
      <c r="B592" s="70"/>
      <c r="C592" s="70"/>
      <c r="D592" s="77"/>
      <c r="E592" s="73" t="str">
        <f>IF(B592="","",VLOOKUP(C592,RM!$C$4:$F1003,3,FALSE))</f>
        <v/>
      </c>
      <c r="F592" s="74" t="str">
        <f>IF(B592="","",IFERROR(SUMIFS(Issue!$D$3:$D1013,Issue!$C$3:$C1013,'S-BOM'!$B592)*'S-BOM'!$D592,""))</f>
        <v/>
      </c>
      <c r="G592" s="75" t="str">
        <f t="array" ref="G592">IFERROR(INDEX(#REF!,MATCH('S-BOM'!$C592,RM!$C$4:$C1003,0)),"")</f>
        <v/>
      </c>
      <c r="H592" s="75" t="str">
        <f t="shared" si="5"/>
        <v/>
      </c>
      <c r="I592" s="76"/>
    </row>
    <row r="593" spans="1:9" ht="15.75" customHeight="1">
      <c r="A593" s="69" t="str">
        <f t="shared" si="4"/>
        <v/>
      </c>
      <c r="B593" s="70"/>
      <c r="C593" s="70"/>
      <c r="D593" s="77"/>
      <c r="E593" s="73" t="str">
        <f>IF(B593="","",VLOOKUP(C593,RM!$C$4:$F1003,3,FALSE))</f>
        <v/>
      </c>
      <c r="F593" s="74" t="str">
        <f>IF(B593="","",IFERROR(SUMIFS(Issue!$D$3:$D1013,Issue!$C$3:$C1013,'S-BOM'!$B593)*'S-BOM'!$D593,""))</f>
        <v/>
      </c>
      <c r="G593" s="75" t="str">
        <f t="array" ref="G593">IFERROR(INDEX(#REF!,MATCH('S-BOM'!$C593,RM!$C$4:$C1003,0)),"")</f>
        <v/>
      </c>
      <c r="H593" s="75" t="str">
        <f t="shared" si="5"/>
        <v/>
      </c>
      <c r="I593" s="76"/>
    </row>
    <row r="594" spans="1:9" ht="15.75" customHeight="1">
      <c r="A594" s="69" t="str">
        <f t="shared" si="4"/>
        <v/>
      </c>
      <c r="B594" s="70"/>
      <c r="C594" s="70"/>
      <c r="D594" s="77"/>
      <c r="E594" s="73" t="str">
        <f>IF(B594="","",VLOOKUP(C594,RM!$C$4:$F1003,3,FALSE))</f>
        <v/>
      </c>
      <c r="F594" s="74" t="str">
        <f>IF(B594="","",IFERROR(SUMIFS(Issue!$D$3:$D1013,Issue!$C$3:$C1013,'S-BOM'!$B594)*'S-BOM'!$D594,""))</f>
        <v/>
      </c>
      <c r="G594" s="75" t="str">
        <f t="array" ref="G594">IFERROR(INDEX(#REF!,MATCH('S-BOM'!$C594,RM!$C$4:$C1003,0)),"")</f>
        <v/>
      </c>
      <c r="H594" s="75" t="str">
        <f t="shared" si="5"/>
        <v/>
      </c>
      <c r="I594" s="76"/>
    </row>
    <row r="595" spans="1:9" ht="15.75" customHeight="1">
      <c r="A595" s="69" t="str">
        <f t="shared" si="4"/>
        <v/>
      </c>
      <c r="B595" s="70"/>
      <c r="C595" s="70"/>
      <c r="D595" s="77"/>
      <c r="E595" s="73" t="str">
        <f>IF(B595="","",VLOOKUP(C595,RM!$C$4:$F1003,3,FALSE))</f>
        <v/>
      </c>
      <c r="F595" s="74" t="str">
        <f>IF(B595="","",IFERROR(SUMIFS(Issue!$D$3:$D1013,Issue!$C$3:$C1013,'S-BOM'!$B595)*'S-BOM'!$D595,""))</f>
        <v/>
      </c>
      <c r="G595" s="75" t="str">
        <f t="array" ref="G595">IFERROR(INDEX(#REF!,MATCH('S-BOM'!$C595,RM!$C$4:$C1003,0)),"")</f>
        <v/>
      </c>
      <c r="H595" s="75" t="str">
        <f t="shared" si="5"/>
        <v/>
      </c>
      <c r="I595" s="76"/>
    </row>
    <row r="596" spans="1:9" ht="15.75" customHeight="1">
      <c r="A596" s="69" t="str">
        <f t="shared" si="4"/>
        <v/>
      </c>
      <c r="B596" s="70"/>
      <c r="C596" s="70"/>
      <c r="D596" s="77"/>
      <c r="E596" s="73" t="str">
        <f>IF(B596="","",VLOOKUP(C596,RM!$C$4:$F1003,3,FALSE))</f>
        <v/>
      </c>
      <c r="F596" s="74" t="str">
        <f>IF(B596="","",IFERROR(SUMIFS(Issue!$D$3:$D1013,Issue!$C$3:$C1013,'S-BOM'!$B596)*'S-BOM'!$D596,""))</f>
        <v/>
      </c>
      <c r="G596" s="75" t="str">
        <f t="array" ref="G596">IFERROR(INDEX(#REF!,MATCH('S-BOM'!$C596,RM!$C$4:$C1003,0)),"")</f>
        <v/>
      </c>
      <c r="H596" s="75" t="str">
        <f t="shared" si="5"/>
        <v/>
      </c>
      <c r="I596" s="76"/>
    </row>
    <row r="597" spans="1:9" ht="15.75" customHeight="1">
      <c r="A597" s="69" t="str">
        <f t="shared" si="4"/>
        <v/>
      </c>
      <c r="B597" s="70"/>
      <c r="C597" s="70"/>
      <c r="D597" s="77"/>
      <c r="E597" s="73" t="str">
        <f>IF(B597="","",VLOOKUP(C597,RM!$C$4:$F1003,3,FALSE))</f>
        <v/>
      </c>
      <c r="F597" s="74" t="str">
        <f>IF(B597="","",IFERROR(SUMIFS(Issue!$D$3:$D1013,Issue!$C$3:$C1013,'S-BOM'!$B597)*'S-BOM'!$D597,""))</f>
        <v/>
      </c>
      <c r="G597" s="75" t="str">
        <f t="array" ref="G597">IFERROR(INDEX(#REF!,MATCH('S-BOM'!$C597,RM!$C$4:$C1003,0)),"")</f>
        <v/>
      </c>
      <c r="H597" s="75" t="str">
        <f t="shared" si="5"/>
        <v/>
      </c>
      <c r="I597" s="76"/>
    </row>
    <row r="598" spans="1:9" ht="15.75" customHeight="1">
      <c r="A598" s="69" t="str">
        <f t="shared" si="4"/>
        <v/>
      </c>
      <c r="B598" s="70"/>
      <c r="C598" s="70"/>
      <c r="D598" s="77"/>
      <c r="E598" s="73" t="str">
        <f>IF(B598="","",VLOOKUP(C598,RM!$C$4:$F1003,3,FALSE))</f>
        <v/>
      </c>
      <c r="F598" s="74" t="str">
        <f>IF(B598="","",IFERROR(SUMIFS(Issue!$D$3:$D1013,Issue!$C$3:$C1013,'S-BOM'!$B598)*'S-BOM'!$D598,""))</f>
        <v/>
      </c>
      <c r="G598" s="75" t="str">
        <f t="array" ref="G598">IFERROR(INDEX(#REF!,MATCH('S-BOM'!$C598,RM!$C$4:$C1003,0)),"")</f>
        <v/>
      </c>
      <c r="H598" s="75" t="str">
        <f t="shared" si="5"/>
        <v/>
      </c>
      <c r="I598" s="76"/>
    </row>
    <row r="599" spans="1:9" ht="15.75" customHeight="1">
      <c r="A599" s="69" t="str">
        <f t="shared" si="4"/>
        <v/>
      </c>
      <c r="B599" s="70"/>
      <c r="C599" s="70"/>
      <c r="D599" s="77"/>
      <c r="E599" s="73" t="str">
        <f>IF(B599="","",VLOOKUP(C599,RM!$C$4:$F1003,3,FALSE))</f>
        <v/>
      </c>
      <c r="F599" s="74" t="str">
        <f>IF(B599="","",IFERROR(SUMIFS(Issue!$D$3:$D1013,Issue!$C$3:$C1013,'S-BOM'!$B599)*'S-BOM'!$D599,""))</f>
        <v/>
      </c>
      <c r="G599" s="75" t="str">
        <f t="array" ref="G599">IFERROR(INDEX(#REF!,MATCH('S-BOM'!$C599,RM!$C$4:$C1003,0)),"")</f>
        <v/>
      </c>
      <c r="H599" s="75" t="str">
        <f t="shared" si="5"/>
        <v/>
      </c>
      <c r="I599" s="76"/>
    </row>
    <row r="600" spans="1:9" ht="15.75" customHeight="1">
      <c r="A600" s="69" t="str">
        <f t="shared" si="4"/>
        <v/>
      </c>
      <c r="B600" s="70"/>
      <c r="C600" s="70"/>
      <c r="D600" s="77"/>
      <c r="E600" s="73" t="str">
        <f>IF(B600="","",VLOOKUP(C600,RM!$C$4:$F1003,3,FALSE))</f>
        <v/>
      </c>
      <c r="F600" s="74" t="str">
        <f>IF(B600="","",IFERROR(SUMIFS(Issue!$D$3:$D1013,Issue!$C$3:$C1013,'S-BOM'!$B600)*'S-BOM'!$D600,""))</f>
        <v/>
      </c>
      <c r="G600" s="75" t="str">
        <f t="array" ref="G600">IFERROR(INDEX(#REF!,MATCH('S-BOM'!$C600,RM!$C$4:$C1003,0)),"")</f>
        <v/>
      </c>
      <c r="H600" s="75" t="str">
        <f t="shared" si="5"/>
        <v/>
      </c>
      <c r="I600" s="76"/>
    </row>
    <row r="601" spans="1:9" ht="15.75" customHeight="1">
      <c r="A601" s="69" t="str">
        <f t="shared" si="4"/>
        <v/>
      </c>
      <c r="B601" s="70"/>
      <c r="C601" s="70"/>
      <c r="D601" s="77"/>
      <c r="E601" s="73" t="str">
        <f>IF(B601="","",VLOOKUP(C601,RM!$C$4:$F1003,3,FALSE))</f>
        <v/>
      </c>
      <c r="F601" s="74" t="str">
        <f>IF(B601="","",IFERROR(SUMIFS(Issue!$D$3:$D1013,Issue!$C$3:$C1013,'S-BOM'!$B601)*'S-BOM'!$D601,""))</f>
        <v/>
      </c>
      <c r="G601" s="75" t="str">
        <f t="array" ref="G601">IFERROR(INDEX(#REF!,MATCH('S-BOM'!$C601,RM!$C$4:$C1003,0)),"")</f>
        <v/>
      </c>
      <c r="H601" s="75" t="str">
        <f t="shared" si="5"/>
        <v/>
      </c>
      <c r="I601" s="76"/>
    </row>
    <row r="602" spans="1:9" ht="15.75" customHeight="1">
      <c r="A602" s="69" t="str">
        <f t="shared" si="4"/>
        <v/>
      </c>
      <c r="B602" s="70"/>
      <c r="C602" s="70"/>
      <c r="D602" s="77"/>
      <c r="E602" s="73" t="str">
        <f>IF(B602="","",VLOOKUP(C602,RM!$C$4:$F1003,3,FALSE))</f>
        <v/>
      </c>
      <c r="F602" s="74" t="str">
        <f>IF(B602="","",IFERROR(SUMIFS(Issue!$D$3:$D1013,Issue!$C$3:$C1013,'S-BOM'!$B602)*'S-BOM'!$D602,""))</f>
        <v/>
      </c>
      <c r="G602" s="75" t="str">
        <f t="array" ref="G602">IFERROR(INDEX(#REF!,MATCH('S-BOM'!$C602,RM!$C$4:$C1003,0)),"")</f>
        <v/>
      </c>
      <c r="H602" s="75" t="str">
        <f t="shared" si="5"/>
        <v/>
      </c>
      <c r="I602" s="76"/>
    </row>
    <row r="603" spans="1:9" ht="15.75" customHeight="1">
      <c r="A603" s="69" t="str">
        <f t="shared" si="4"/>
        <v/>
      </c>
      <c r="B603" s="70"/>
      <c r="C603" s="70"/>
      <c r="D603" s="77"/>
      <c r="E603" s="73" t="str">
        <f>IF(B603="","",VLOOKUP(C603,RM!$C$4:$F1003,3,FALSE))</f>
        <v/>
      </c>
      <c r="F603" s="74" t="str">
        <f>IF(B603="","",IFERROR(SUMIFS(Issue!$D$3:$D1013,Issue!$C$3:$C1013,'S-BOM'!$B603)*'S-BOM'!$D603,""))</f>
        <v/>
      </c>
      <c r="G603" s="75" t="str">
        <f t="array" ref="G603">IFERROR(INDEX(#REF!,MATCH('S-BOM'!$C603,RM!$C$4:$C1003,0)),"")</f>
        <v/>
      </c>
      <c r="H603" s="75" t="str">
        <f t="shared" si="5"/>
        <v/>
      </c>
      <c r="I603" s="76"/>
    </row>
    <row r="604" spans="1:9" ht="15.75" customHeight="1">
      <c r="A604" s="69" t="str">
        <f t="shared" si="4"/>
        <v/>
      </c>
      <c r="B604" s="70"/>
      <c r="C604" s="70"/>
      <c r="D604" s="77"/>
      <c r="E604" s="73" t="str">
        <f>IF(B604="","",VLOOKUP(C604,RM!$C$4:$F1003,3,FALSE))</f>
        <v/>
      </c>
      <c r="F604" s="74" t="str">
        <f>IF(B604="","",IFERROR(SUMIFS(Issue!$D$3:$D1013,Issue!$C$3:$C1013,'S-BOM'!$B604)*'S-BOM'!$D604,""))</f>
        <v/>
      </c>
      <c r="G604" s="75" t="str">
        <f t="array" ref="G604">IFERROR(INDEX(#REF!,MATCH('S-BOM'!$C604,RM!$C$4:$C1003,0)),"")</f>
        <v/>
      </c>
      <c r="H604" s="75" t="str">
        <f t="shared" si="5"/>
        <v/>
      </c>
      <c r="I604" s="76"/>
    </row>
    <row r="605" spans="1:9" ht="15.75" customHeight="1">
      <c r="A605" s="69" t="str">
        <f t="shared" si="4"/>
        <v/>
      </c>
      <c r="B605" s="70"/>
      <c r="C605" s="70"/>
      <c r="D605" s="77"/>
      <c r="E605" s="73" t="str">
        <f>IF(B605="","",VLOOKUP(C605,RM!$C$4:$F1003,3,FALSE))</f>
        <v/>
      </c>
      <c r="F605" s="74" t="str">
        <f>IF(B605="","",IFERROR(SUMIFS(Issue!$D$3:$D1013,Issue!$C$3:$C1013,'S-BOM'!$B605)*'S-BOM'!$D605,""))</f>
        <v/>
      </c>
      <c r="G605" s="75" t="str">
        <f t="array" ref="G605">IFERROR(INDEX(#REF!,MATCH('S-BOM'!$C605,RM!$C$4:$C1003,0)),"")</f>
        <v/>
      </c>
      <c r="H605" s="75" t="str">
        <f t="shared" si="5"/>
        <v/>
      </c>
      <c r="I605" s="76"/>
    </row>
    <row r="606" spans="1:9" ht="15.75" customHeight="1">
      <c r="A606" s="69" t="str">
        <f t="shared" si="4"/>
        <v/>
      </c>
      <c r="B606" s="70"/>
      <c r="C606" s="70"/>
      <c r="D606" s="77"/>
      <c r="E606" s="73" t="str">
        <f>IF(B606="","",VLOOKUP(C606,RM!$C$4:$F1003,3,FALSE))</f>
        <v/>
      </c>
      <c r="F606" s="74" t="str">
        <f>IF(B606="","",IFERROR(SUMIFS(Issue!$D$3:$D1013,Issue!$C$3:$C1013,'S-BOM'!$B606)*'S-BOM'!$D606,""))</f>
        <v/>
      </c>
      <c r="G606" s="75" t="str">
        <f t="array" ref="G606">IFERROR(INDEX(#REF!,MATCH('S-BOM'!$C606,RM!$C$4:$C1003,0)),"")</f>
        <v/>
      </c>
      <c r="H606" s="75" t="str">
        <f t="shared" si="5"/>
        <v/>
      </c>
      <c r="I606" s="76"/>
    </row>
    <row r="607" spans="1:9" ht="15.75" customHeight="1">
      <c r="A607" s="69" t="str">
        <f t="shared" si="4"/>
        <v/>
      </c>
      <c r="B607" s="70"/>
      <c r="C607" s="70"/>
      <c r="D607" s="77"/>
      <c r="E607" s="73" t="str">
        <f>IF(B607="","",VLOOKUP(C607,RM!$C$4:$F1003,3,FALSE))</f>
        <v/>
      </c>
      <c r="F607" s="74" t="str">
        <f>IF(B607="","",IFERROR(SUMIFS(Issue!$D$3:$D1013,Issue!$C$3:$C1013,'S-BOM'!$B607)*'S-BOM'!$D607,""))</f>
        <v/>
      </c>
      <c r="G607" s="75" t="str">
        <f t="array" ref="G607">IFERROR(INDEX(#REF!,MATCH('S-BOM'!$C607,RM!$C$4:$C1003,0)),"")</f>
        <v/>
      </c>
      <c r="H607" s="75" t="str">
        <f t="shared" si="5"/>
        <v/>
      </c>
      <c r="I607" s="76"/>
    </row>
    <row r="608" spans="1:9" ht="15.75" customHeight="1">
      <c r="A608" s="69" t="str">
        <f t="shared" si="4"/>
        <v/>
      </c>
      <c r="B608" s="70"/>
      <c r="C608" s="70"/>
      <c r="D608" s="77"/>
      <c r="E608" s="73" t="str">
        <f>IF(B608="","",VLOOKUP(C608,RM!$C$4:$F1003,3,FALSE))</f>
        <v/>
      </c>
      <c r="F608" s="74" t="str">
        <f>IF(B608="","",IFERROR(SUMIFS(Issue!$D$3:$D1013,Issue!$C$3:$C1013,'S-BOM'!$B608)*'S-BOM'!$D608,""))</f>
        <v/>
      </c>
      <c r="G608" s="75" t="str">
        <f t="array" ref="G608">IFERROR(INDEX(#REF!,MATCH('S-BOM'!$C608,RM!$C$4:$C1003,0)),"")</f>
        <v/>
      </c>
      <c r="H608" s="75" t="str">
        <f t="shared" si="5"/>
        <v/>
      </c>
      <c r="I608" s="76"/>
    </row>
    <row r="609" spans="1:9" ht="15.75" customHeight="1">
      <c r="A609" s="69" t="str">
        <f t="shared" si="4"/>
        <v/>
      </c>
      <c r="B609" s="70"/>
      <c r="C609" s="70"/>
      <c r="D609" s="77"/>
      <c r="E609" s="73" t="str">
        <f>IF(B609="","",VLOOKUP(C609,RM!$C$4:$F1003,3,FALSE))</f>
        <v/>
      </c>
      <c r="F609" s="74" t="str">
        <f>IF(B609="","",IFERROR(SUMIFS(Issue!$D$3:$D1013,Issue!$C$3:$C1013,'S-BOM'!$B609)*'S-BOM'!$D609,""))</f>
        <v/>
      </c>
      <c r="G609" s="75" t="str">
        <f t="array" ref="G609">IFERROR(INDEX(#REF!,MATCH('S-BOM'!$C609,RM!$C$4:$C1003,0)),"")</f>
        <v/>
      </c>
      <c r="H609" s="75" t="str">
        <f t="shared" si="5"/>
        <v/>
      </c>
      <c r="I609" s="76"/>
    </row>
    <row r="610" spans="1:9" ht="15.75" customHeight="1">
      <c r="A610" s="69" t="str">
        <f t="shared" si="4"/>
        <v/>
      </c>
      <c r="B610" s="70"/>
      <c r="C610" s="70"/>
      <c r="D610" s="77"/>
      <c r="E610" s="73" t="str">
        <f>IF(B610="","",VLOOKUP(C610,RM!$C$4:$F1003,3,FALSE))</f>
        <v/>
      </c>
      <c r="F610" s="74" t="str">
        <f>IF(B610="","",IFERROR(SUMIFS(Issue!$D$3:$D1013,Issue!$C$3:$C1013,'S-BOM'!$B610)*'S-BOM'!$D610,""))</f>
        <v/>
      </c>
      <c r="G610" s="75" t="str">
        <f t="array" ref="G610">IFERROR(INDEX(#REF!,MATCH('S-BOM'!$C610,RM!$C$4:$C1003,0)),"")</f>
        <v/>
      </c>
      <c r="H610" s="75" t="str">
        <f t="shared" si="5"/>
        <v/>
      </c>
      <c r="I610" s="76"/>
    </row>
    <row r="611" spans="1:9" ht="15.75" customHeight="1">
      <c r="A611" s="69" t="str">
        <f t="shared" si="4"/>
        <v/>
      </c>
      <c r="B611" s="70"/>
      <c r="C611" s="70"/>
      <c r="D611" s="77"/>
      <c r="E611" s="73" t="str">
        <f>IF(B611="","",VLOOKUP(C611,RM!$C$4:$F1003,3,FALSE))</f>
        <v/>
      </c>
      <c r="F611" s="74" t="str">
        <f>IF(B611="","",IFERROR(SUMIFS(Issue!$D$3:$D1013,Issue!$C$3:$C1013,'S-BOM'!$B611)*'S-BOM'!$D611,""))</f>
        <v/>
      </c>
      <c r="G611" s="75" t="str">
        <f t="array" ref="G611">IFERROR(INDEX(#REF!,MATCH('S-BOM'!$C611,RM!$C$4:$C1003,0)),"")</f>
        <v/>
      </c>
      <c r="H611" s="75" t="str">
        <f t="shared" si="5"/>
        <v/>
      </c>
      <c r="I611" s="76"/>
    </row>
    <row r="612" spans="1:9" ht="15.75" customHeight="1">
      <c r="A612" s="69" t="str">
        <f t="shared" si="4"/>
        <v/>
      </c>
      <c r="B612" s="70"/>
      <c r="C612" s="70"/>
      <c r="D612" s="77"/>
      <c r="E612" s="73" t="str">
        <f>IF(B612="","",VLOOKUP(C612,RM!$C$4:$F1003,3,FALSE))</f>
        <v/>
      </c>
      <c r="F612" s="74" t="str">
        <f>IF(B612="","",IFERROR(SUMIFS(Issue!$D$3:$D1013,Issue!$C$3:$C1013,'S-BOM'!$B612)*'S-BOM'!$D612,""))</f>
        <v/>
      </c>
      <c r="G612" s="75" t="str">
        <f t="array" ref="G612">IFERROR(INDEX(#REF!,MATCH('S-BOM'!$C612,RM!$C$4:$C1003,0)),"")</f>
        <v/>
      </c>
      <c r="H612" s="75" t="str">
        <f t="shared" si="5"/>
        <v/>
      </c>
      <c r="I612" s="76"/>
    </row>
    <row r="613" spans="1:9" ht="15.75" customHeight="1">
      <c r="A613" s="69" t="str">
        <f t="shared" si="4"/>
        <v/>
      </c>
      <c r="B613" s="70"/>
      <c r="C613" s="70"/>
      <c r="D613" s="77"/>
      <c r="E613" s="73" t="str">
        <f>IF(B613="","",VLOOKUP(C613,RM!$C$4:$F1003,3,FALSE))</f>
        <v/>
      </c>
      <c r="F613" s="74" t="str">
        <f>IF(B613="","",IFERROR(SUMIFS(Issue!$D$3:$D1013,Issue!$C$3:$C1013,'S-BOM'!$B613)*'S-BOM'!$D613,""))</f>
        <v/>
      </c>
      <c r="G613" s="75" t="str">
        <f t="array" ref="G613">IFERROR(INDEX(#REF!,MATCH('S-BOM'!$C613,RM!$C$4:$C1003,0)),"")</f>
        <v/>
      </c>
      <c r="H613" s="75" t="str">
        <f t="shared" si="5"/>
        <v/>
      </c>
      <c r="I613" s="76"/>
    </row>
    <row r="614" spans="1:9" ht="15.75" customHeight="1">
      <c r="A614" s="69" t="str">
        <f t="shared" si="4"/>
        <v/>
      </c>
      <c r="B614" s="70"/>
      <c r="C614" s="70"/>
      <c r="D614" s="77"/>
      <c r="E614" s="73" t="str">
        <f>IF(B614="","",VLOOKUP(C614,RM!$C$4:$F1003,3,FALSE))</f>
        <v/>
      </c>
      <c r="F614" s="74" t="str">
        <f>IF(B614="","",IFERROR(SUMIFS(Issue!$D$3:$D1013,Issue!$C$3:$C1013,'S-BOM'!$B614)*'S-BOM'!$D614,""))</f>
        <v/>
      </c>
      <c r="G614" s="75" t="str">
        <f t="array" ref="G614">IFERROR(INDEX(#REF!,MATCH('S-BOM'!$C614,RM!$C$4:$C1003,0)),"")</f>
        <v/>
      </c>
      <c r="H614" s="75" t="str">
        <f t="shared" si="5"/>
        <v/>
      </c>
      <c r="I614" s="76"/>
    </row>
    <row r="615" spans="1:9" ht="15.75" customHeight="1">
      <c r="A615" s="69" t="str">
        <f t="shared" si="4"/>
        <v/>
      </c>
      <c r="B615" s="70"/>
      <c r="C615" s="70"/>
      <c r="D615" s="77"/>
      <c r="E615" s="73" t="str">
        <f>IF(B615="","",VLOOKUP(C615,RM!$C$4:$F1003,3,FALSE))</f>
        <v/>
      </c>
      <c r="F615" s="74" t="str">
        <f>IF(B615="","",IFERROR(SUMIFS(Issue!$D$3:$D1013,Issue!$C$3:$C1013,'S-BOM'!$B615)*'S-BOM'!$D615,""))</f>
        <v/>
      </c>
      <c r="G615" s="75" t="str">
        <f t="array" ref="G615">IFERROR(INDEX(#REF!,MATCH('S-BOM'!$C615,RM!$C$4:$C1003,0)),"")</f>
        <v/>
      </c>
      <c r="H615" s="75" t="str">
        <f t="shared" si="5"/>
        <v/>
      </c>
      <c r="I615" s="76"/>
    </row>
    <row r="616" spans="1:9" ht="15.75" customHeight="1">
      <c r="A616" s="69" t="str">
        <f t="shared" si="4"/>
        <v/>
      </c>
      <c r="B616" s="70"/>
      <c r="C616" s="70"/>
      <c r="D616" s="77"/>
      <c r="E616" s="73" t="str">
        <f>IF(B616="","",VLOOKUP(C616,RM!$C$4:$F1003,3,FALSE))</f>
        <v/>
      </c>
      <c r="F616" s="74" t="str">
        <f>IF(B616="","",IFERROR(SUMIFS(Issue!$D$3:$D1013,Issue!$C$3:$C1013,'S-BOM'!$B616)*'S-BOM'!$D616,""))</f>
        <v/>
      </c>
      <c r="G616" s="75" t="str">
        <f t="array" ref="G616">IFERROR(INDEX(#REF!,MATCH('S-BOM'!$C616,RM!$C$4:$C1003,0)),"")</f>
        <v/>
      </c>
      <c r="H616" s="75" t="str">
        <f t="shared" si="5"/>
        <v/>
      </c>
      <c r="I616" s="76"/>
    </row>
    <row r="617" spans="1:9" ht="15.75" customHeight="1">
      <c r="A617" s="69" t="str">
        <f t="shared" si="4"/>
        <v/>
      </c>
      <c r="B617" s="70"/>
      <c r="C617" s="70"/>
      <c r="D617" s="77"/>
      <c r="E617" s="73" t="str">
        <f>IF(B617="","",VLOOKUP(C617,RM!$C$4:$F1003,3,FALSE))</f>
        <v/>
      </c>
      <c r="F617" s="74" t="str">
        <f>IF(B617="","",IFERROR(SUMIFS(Issue!$D$3:$D1013,Issue!$C$3:$C1013,'S-BOM'!$B617)*'S-BOM'!$D617,""))</f>
        <v/>
      </c>
      <c r="G617" s="75" t="str">
        <f t="array" ref="G617">IFERROR(INDEX(#REF!,MATCH('S-BOM'!$C617,RM!$C$4:$C1003,0)),"")</f>
        <v/>
      </c>
      <c r="H617" s="75" t="str">
        <f t="shared" si="5"/>
        <v/>
      </c>
      <c r="I617" s="76"/>
    </row>
    <row r="618" spans="1:9" ht="15.75" customHeight="1">
      <c r="A618" s="69" t="str">
        <f t="shared" si="4"/>
        <v/>
      </c>
      <c r="B618" s="70"/>
      <c r="C618" s="70"/>
      <c r="D618" s="77"/>
      <c r="E618" s="73" t="str">
        <f>IF(B618="","",VLOOKUP(C618,RM!$C$4:$F1003,3,FALSE))</f>
        <v/>
      </c>
      <c r="F618" s="74" t="str">
        <f>IF(B618="","",IFERROR(SUMIFS(Issue!$D$3:$D1013,Issue!$C$3:$C1013,'S-BOM'!$B618)*'S-BOM'!$D618,""))</f>
        <v/>
      </c>
      <c r="G618" s="75" t="str">
        <f t="array" ref="G618">IFERROR(INDEX(#REF!,MATCH('S-BOM'!$C618,RM!$C$4:$C1003,0)),"")</f>
        <v/>
      </c>
      <c r="H618" s="75" t="str">
        <f t="shared" si="5"/>
        <v/>
      </c>
      <c r="I618" s="76"/>
    </row>
    <row r="619" spans="1:9" ht="15.75" customHeight="1">
      <c r="A619" s="69" t="str">
        <f t="shared" si="4"/>
        <v/>
      </c>
      <c r="B619" s="70"/>
      <c r="C619" s="70"/>
      <c r="D619" s="77"/>
      <c r="E619" s="73" t="str">
        <f>IF(B619="","",VLOOKUP(C619,RM!$C$4:$F1003,3,FALSE))</f>
        <v/>
      </c>
      <c r="F619" s="74" t="str">
        <f>IF(B619="","",IFERROR(SUMIFS(Issue!$D$3:$D1013,Issue!$C$3:$C1013,'S-BOM'!$B619)*'S-BOM'!$D619,""))</f>
        <v/>
      </c>
      <c r="G619" s="75" t="str">
        <f t="array" ref="G619">IFERROR(INDEX(#REF!,MATCH('S-BOM'!$C619,RM!$C$4:$C1003,0)),"")</f>
        <v/>
      </c>
      <c r="H619" s="75" t="str">
        <f t="shared" si="5"/>
        <v/>
      </c>
      <c r="I619" s="76"/>
    </row>
    <row r="620" spans="1:9" ht="15.75" customHeight="1">
      <c r="A620" s="69" t="str">
        <f t="shared" si="4"/>
        <v/>
      </c>
      <c r="B620" s="70"/>
      <c r="C620" s="70"/>
      <c r="D620" s="77"/>
      <c r="E620" s="73" t="str">
        <f>IF(B620="","",VLOOKUP(C620,RM!$C$4:$F1003,3,FALSE))</f>
        <v/>
      </c>
      <c r="F620" s="74" t="str">
        <f>IF(B620="","",IFERROR(SUMIFS(Issue!$D$3:$D1013,Issue!$C$3:$C1013,'S-BOM'!$B620)*'S-BOM'!$D620,""))</f>
        <v/>
      </c>
      <c r="G620" s="75" t="str">
        <f t="array" ref="G620">IFERROR(INDEX(#REF!,MATCH('S-BOM'!$C620,RM!$C$4:$C1003,0)),"")</f>
        <v/>
      </c>
      <c r="H620" s="75" t="str">
        <f t="shared" si="5"/>
        <v/>
      </c>
      <c r="I620" s="76"/>
    </row>
    <row r="621" spans="1:9" ht="15.75" customHeight="1">
      <c r="A621" s="69" t="str">
        <f t="shared" si="4"/>
        <v/>
      </c>
      <c r="B621" s="70"/>
      <c r="C621" s="70"/>
      <c r="D621" s="77"/>
      <c r="E621" s="73" t="str">
        <f>IF(B621="","",VLOOKUP(C621,RM!$C$4:$F1003,3,FALSE))</f>
        <v/>
      </c>
      <c r="F621" s="74" t="str">
        <f>IF(B621="","",IFERROR(SUMIFS(Issue!$D$3:$D1013,Issue!$C$3:$C1013,'S-BOM'!$B621)*'S-BOM'!$D621,""))</f>
        <v/>
      </c>
      <c r="G621" s="75" t="str">
        <f t="array" ref="G621">IFERROR(INDEX(#REF!,MATCH('S-BOM'!$C621,RM!$C$4:$C1003,0)),"")</f>
        <v/>
      </c>
      <c r="H621" s="75" t="str">
        <f t="shared" si="5"/>
        <v/>
      </c>
      <c r="I621" s="76"/>
    </row>
    <row r="622" spans="1:9" ht="15.75" customHeight="1">
      <c r="A622" s="69" t="str">
        <f t="shared" si="4"/>
        <v/>
      </c>
      <c r="B622" s="70"/>
      <c r="C622" s="70"/>
      <c r="D622" s="77"/>
      <c r="E622" s="73" t="str">
        <f>IF(B622="","",VLOOKUP(C622,RM!$C$4:$F1003,3,FALSE))</f>
        <v/>
      </c>
      <c r="F622" s="74" t="str">
        <f>IF(B622="","",IFERROR(SUMIFS(Issue!$D$3:$D1013,Issue!$C$3:$C1013,'S-BOM'!$B622)*'S-BOM'!$D622,""))</f>
        <v/>
      </c>
      <c r="G622" s="75" t="str">
        <f t="array" ref="G622">IFERROR(INDEX(#REF!,MATCH('S-BOM'!$C622,RM!$C$4:$C1003,0)),"")</f>
        <v/>
      </c>
      <c r="H622" s="75" t="str">
        <f t="shared" si="5"/>
        <v/>
      </c>
      <c r="I622" s="76"/>
    </row>
    <row r="623" spans="1:9" ht="15.75" customHeight="1">
      <c r="A623" s="69" t="str">
        <f t="shared" si="4"/>
        <v/>
      </c>
      <c r="B623" s="70"/>
      <c r="C623" s="70"/>
      <c r="D623" s="77"/>
      <c r="E623" s="73" t="str">
        <f>IF(B623="","",VLOOKUP(C623,RM!$C$4:$F1003,3,FALSE))</f>
        <v/>
      </c>
      <c r="F623" s="74" t="str">
        <f>IF(B623="","",IFERROR(SUMIFS(Issue!$D$3:$D1013,Issue!$C$3:$C1013,'S-BOM'!$B623)*'S-BOM'!$D623,""))</f>
        <v/>
      </c>
      <c r="G623" s="75" t="str">
        <f t="array" ref="G623">IFERROR(INDEX(#REF!,MATCH('S-BOM'!$C623,RM!$C$4:$C1003,0)),"")</f>
        <v/>
      </c>
      <c r="H623" s="75" t="str">
        <f t="shared" si="5"/>
        <v/>
      </c>
      <c r="I623" s="76"/>
    </row>
    <row r="624" spans="1:9" ht="15.75" customHeight="1">
      <c r="A624" s="69" t="str">
        <f t="shared" si="4"/>
        <v/>
      </c>
      <c r="B624" s="70"/>
      <c r="C624" s="70"/>
      <c r="D624" s="77"/>
      <c r="E624" s="73" t="str">
        <f>IF(B624="","",VLOOKUP(C624,RM!$C$4:$F1003,3,FALSE))</f>
        <v/>
      </c>
      <c r="F624" s="74" t="str">
        <f>IF(B624="","",IFERROR(SUMIFS(Issue!$D$3:$D1013,Issue!$C$3:$C1013,'S-BOM'!$B624)*'S-BOM'!$D624,""))</f>
        <v/>
      </c>
      <c r="G624" s="75" t="str">
        <f t="array" ref="G624">IFERROR(INDEX(#REF!,MATCH('S-BOM'!$C624,RM!$C$4:$C1003,0)),"")</f>
        <v/>
      </c>
      <c r="H624" s="75" t="str">
        <f t="shared" si="5"/>
        <v/>
      </c>
      <c r="I624" s="76"/>
    </row>
    <row r="625" spans="1:9" ht="15.75" customHeight="1">
      <c r="A625" s="69" t="str">
        <f t="shared" si="4"/>
        <v/>
      </c>
      <c r="B625" s="70"/>
      <c r="C625" s="70"/>
      <c r="D625" s="77"/>
      <c r="E625" s="73" t="str">
        <f>IF(B625="","",VLOOKUP(C625,RM!$C$4:$F1003,3,FALSE))</f>
        <v/>
      </c>
      <c r="F625" s="74" t="str">
        <f>IF(B625="","",IFERROR(SUMIFS(Issue!$D$3:$D1013,Issue!$C$3:$C1013,'S-BOM'!$B625)*'S-BOM'!$D625,""))</f>
        <v/>
      </c>
      <c r="G625" s="75" t="str">
        <f t="array" ref="G625">IFERROR(INDEX(#REF!,MATCH('S-BOM'!$C625,RM!$C$4:$C1003,0)),"")</f>
        <v/>
      </c>
      <c r="H625" s="75" t="str">
        <f t="shared" si="5"/>
        <v/>
      </c>
      <c r="I625" s="76"/>
    </row>
    <row r="626" spans="1:9" ht="15.75" customHeight="1">
      <c r="A626" s="69" t="str">
        <f t="shared" si="4"/>
        <v/>
      </c>
      <c r="B626" s="70"/>
      <c r="C626" s="70"/>
      <c r="D626" s="77"/>
      <c r="E626" s="73" t="str">
        <f>IF(B626="","",VLOOKUP(C626,RM!$C$4:$F1003,3,FALSE))</f>
        <v/>
      </c>
      <c r="F626" s="74" t="str">
        <f>IF(B626="","",IFERROR(SUMIFS(Issue!$D$3:$D1013,Issue!$C$3:$C1013,'S-BOM'!$B626)*'S-BOM'!$D626,""))</f>
        <v/>
      </c>
      <c r="G626" s="75" t="str">
        <f t="array" ref="G626">IFERROR(INDEX(#REF!,MATCH('S-BOM'!$C626,RM!$C$4:$C1003,0)),"")</f>
        <v/>
      </c>
      <c r="H626" s="75" t="str">
        <f t="shared" si="5"/>
        <v/>
      </c>
      <c r="I626" s="76"/>
    </row>
    <row r="627" spans="1:9" ht="15.75" customHeight="1">
      <c r="A627" s="69" t="str">
        <f t="shared" si="4"/>
        <v/>
      </c>
      <c r="B627" s="70"/>
      <c r="C627" s="70"/>
      <c r="D627" s="77"/>
      <c r="E627" s="73" t="str">
        <f>IF(B627="","",VLOOKUP(C627,RM!$C$4:$F1003,3,FALSE))</f>
        <v/>
      </c>
      <c r="F627" s="74" t="str">
        <f>IF(B627="","",IFERROR(SUMIFS(Issue!$D$3:$D1013,Issue!$C$3:$C1013,'S-BOM'!$B627)*'S-BOM'!$D627,""))</f>
        <v/>
      </c>
      <c r="G627" s="75" t="str">
        <f t="array" ref="G627">IFERROR(INDEX(#REF!,MATCH('S-BOM'!$C627,RM!$C$4:$C1003,0)),"")</f>
        <v/>
      </c>
      <c r="H627" s="75" t="str">
        <f t="shared" si="5"/>
        <v/>
      </c>
      <c r="I627" s="76"/>
    </row>
    <row r="628" spans="1:9" ht="15.75" customHeight="1">
      <c r="A628" s="69" t="str">
        <f t="shared" si="4"/>
        <v/>
      </c>
      <c r="B628" s="70"/>
      <c r="C628" s="70"/>
      <c r="D628" s="77"/>
      <c r="E628" s="73" t="str">
        <f>IF(B628="","",VLOOKUP(C628,RM!$C$4:$F1003,3,FALSE))</f>
        <v/>
      </c>
      <c r="F628" s="74" t="str">
        <f>IF(B628="","",IFERROR(SUMIFS(Issue!$D$3:$D1013,Issue!$C$3:$C1013,'S-BOM'!$B628)*'S-BOM'!$D628,""))</f>
        <v/>
      </c>
      <c r="G628" s="75" t="str">
        <f t="array" ref="G628">IFERROR(INDEX(#REF!,MATCH('S-BOM'!$C628,RM!$C$4:$C1003,0)),"")</f>
        <v/>
      </c>
      <c r="H628" s="75" t="str">
        <f t="shared" si="5"/>
        <v/>
      </c>
      <c r="I628" s="76"/>
    </row>
    <row r="629" spans="1:9" ht="15.75" customHeight="1">
      <c r="A629" s="69" t="str">
        <f t="shared" si="4"/>
        <v/>
      </c>
      <c r="B629" s="70"/>
      <c r="C629" s="70"/>
      <c r="D629" s="77"/>
      <c r="E629" s="73" t="str">
        <f>IF(B629="","",VLOOKUP(C629,RM!$C$4:$F1003,3,FALSE))</f>
        <v/>
      </c>
      <c r="F629" s="74" t="str">
        <f>IF(B629="","",IFERROR(SUMIFS(Issue!$D$3:$D1013,Issue!$C$3:$C1013,'S-BOM'!$B629)*'S-BOM'!$D629,""))</f>
        <v/>
      </c>
      <c r="G629" s="75" t="str">
        <f t="array" ref="G629">IFERROR(INDEX(#REF!,MATCH('S-BOM'!$C629,RM!$C$4:$C1003,0)),"")</f>
        <v/>
      </c>
      <c r="H629" s="75" t="str">
        <f t="shared" si="5"/>
        <v/>
      </c>
      <c r="I629" s="76"/>
    </row>
    <row r="630" spans="1:9" ht="15.75" customHeight="1">
      <c r="A630" s="69" t="str">
        <f t="shared" si="4"/>
        <v/>
      </c>
      <c r="B630" s="70"/>
      <c r="C630" s="70"/>
      <c r="D630" s="77"/>
      <c r="E630" s="73" t="str">
        <f>IF(B630="","",VLOOKUP(C630,RM!$C$4:$F1003,3,FALSE))</f>
        <v/>
      </c>
      <c r="F630" s="74" t="str">
        <f>IF(B630="","",IFERROR(SUMIFS(Issue!$D$3:$D1013,Issue!$C$3:$C1013,'S-BOM'!$B630)*'S-BOM'!$D630,""))</f>
        <v/>
      </c>
      <c r="G630" s="75" t="str">
        <f t="array" ref="G630">IFERROR(INDEX(#REF!,MATCH('S-BOM'!$C630,RM!$C$4:$C1003,0)),"")</f>
        <v/>
      </c>
      <c r="H630" s="75" t="str">
        <f t="shared" si="5"/>
        <v/>
      </c>
      <c r="I630" s="76"/>
    </row>
    <row r="631" spans="1:9" ht="15.75" customHeight="1">
      <c r="A631" s="69" t="str">
        <f t="shared" si="4"/>
        <v/>
      </c>
      <c r="B631" s="70"/>
      <c r="C631" s="70"/>
      <c r="D631" s="77"/>
      <c r="E631" s="73" t="str">
        <f>IF(B631="","",VLOOKUP(C631,RM!$C$4:$F1003,3,FALSE))</f>
        <v/>
      </c>
      <c r="F631" s="74" t="str">
        <f>IF(B631="","",IFERROR(SUMIFS(Issue!$D$3:$D1013,Issue!$C$3:$C1013,'S-BOM'!$B631)*'S-BOM'!$D631,""))</f>
        <v/>
      </c>
      <c r="G631" s="75" t="str">
        <f t="array" ref="G631">IFERROR(INDEX(#REF!,MATCH('S-BOM'!$C631,RM!$C$4:$C1003,0)),"")</f>
        <v/>
      </c>
      <c r="H631" s="75" t="str">
        <f t="shared" si="5"/>
        <v/>
      </c>
      <c r="I631" s="76"/>
    </row>
    <row r="632" spans="1:9" ht="15.75" customHeight="1">
      <c r="A632" s="69" t="str">
        <f t="shared" si="4"/>
        <v/>
      </c>
      <c r="B632" s="70"/>
      <c r="C632" s="70"/>
      <c r="D632" s="77"/>
      <c r="E632" s="73" t="str">
        <f>IF(B632="","",VLOOKUP(C632,RM!$C$4:$F1003,3,FALSE))</f>
        <v/>
      </c>
      <c r="F632" s="74" t="str">
        <f>IF(B632="","",IFERROR(SUMIFS(Issue!$D$3:$D1013,Issue!$C$3:$C1013,'S-BOM'!$B632)*'S-BOM'!$D632,""))</f>
        <v/>
      </c>
      <c r="G632" s="75" t="str">
        <f t="array" ref="G632">IFERROR(INDEX(#REF!,MATCH('S-BOM'!$C632,RM!$C$4:$C1003,0)),"")</f>
        <v/>
      </c>
      <c r="H632" s="75" t="str">
        <f t="shared" si="5"/>
        <v/>
      </c>
      <c r="I632" s="76"/>
    </row>
    <row r="633" spans="1:9" ht="15.75" customHeight="1">
      <c r="A633" s="69" t="str">
        <f t="shared" si="4"/>
        <v/>
      </c>
      <c r="B633" s="70"/>
      <c r="C633" s="70"/>
      <c r="D633" s="77"/>
      <c r="E633" s="73" t="str">
        <f>IF(B633="","",VLOOKUP(C633,RM!$C$4:$F1003,3,FALSE))</f>
        <v/>
      </c>
      <c r="F633" s="74" t="str">
        <f>IF(B633="","",IFERROR(SUMIFS(Issue!$D$3:$D1013,Issue!$C$3:$C1013,'S-BOM'!$B633)*'S-BOM'!$D633,""))</f>
        <v/>
      </c>
      <c r="G633" s="75" t="str">
        <f t="array" ref="G633">IFERROR(INDEX(#REF!,MATCH('S-BOM'!$C633,RM!$C$4:$C1003,0)),"")</f>
        <v/>
      </c>
      <c r="H633" s="75" t="str">
        <f t="shared" si="5"/>
        <v/>
      </c>
      <c r="I633" s="76"/>
    </row>
    <row r="634" spans="1:9" ht="15.75" customHeight="1">
      <c r="A634" s="69" t="str">
        <f t="shared" si="4"/>
        <v/>
      </c>
      <c r="B634" s="70"/>
      <c r="C634" s="70"/>
      <c r="D634" s="77"/>
      <c r="E634" s="73" t="str">
        <f>IF(B634="","",VLOOKUP(C634,RM!$C$4:$F1003,3,FALSE))</f>
        <v/>
      </c>
      <c r="F634" s="74" t="str">
        <f>IF(B634="","",IFERROR(SUMIFS(Issue!$D$3:$D1013,Issue!$C$3:$C1013,'S-BOM'!$B634)*'S-BOM'!$D634,""))</f>
        <v/>
      </c>
      <c r="G634" s="75" t="str">
        <f t="array" ref="G634">IFERROR(INDEX(#REF!,MATCH('S-BOM'!$C634,RM!$C$4:$C1003,0)),"")</f>
        <v/>
      </c>
      <c r="H634" s="75" t="str">
        <f t="shared" si="5"/>
        <v/>
      </c>
      <c r="I634" s="76"/>
    </row>
    <row r="635" spans="1:9" ht="15.75" customHeight="1">
      <c r="A635" s="69" t="str">
        <f t="shared" si="4"/>
        <v/>
      </c>
      <c r="B635" s="70"/>
      <c r="C635" s="70"/>
      <c r="D635" s="77"/>
      <c r="E635" s="73" t="str">
        <f>IF(B635="","",VLOOKUP(C635,RM!$C$4:$F1003,3,FALSE))</f>
        <v/>
      </c>
      <c r="F635" s="74" t="str">
        <f>IF(B635="","",IFERROR(SUMIFS(Issue!$D$3:$D1013,Issue!$C$3:$C1013,'S-BOM'!$B635)*'S-BOM'!$D635,""))</f>
        <v/>
      </c>
      <c r="G635" s="75" t="str">
        <f t="array" ref="G635">IFERROR(INDEX(#REF!,MATCH('S-BOM'!$C635,RM!$C$4:$C1003,0)),"")</f>
        <v/>
      </c>
      <c r="H635" s="75" t="str">
        <f t="shared" si="5"/>
        <v/>
      </c>
      <c r="I635" s="76"/>
    </row>
    <row r="636" spans="1:9" ht="15.75" customHeight="1">
      <c r="A636" s="69" t="str">
        <f t="shared" si="4"/>
        <v/>
      </c>
      <c r="B636" s="70"/>
      <c r="C636" s="70"/>
      <c r="D636" s="77"/>
      <c r="E636" s="73" t="str">
        <f>IF(B636="","",VLOOKUP(C636,RM!$C$4:$F1003,3,FALSE))</f>
        <v/>
      </c>
      <c r="F636" s="74" t="str">
        <f>IF(B636="","",IFERROR(SUMIFS(Issue!$D$3:$D1013,Issue!$C$3:$C1013,'S-BOM'!$B636)*'S-BOM'!$D636,""))</f>
        <v/>
      </c>
      <c r="G636" s="75" t="str">
        <f t="array" ref="G636">IFERROR(INDEX(#REF!,MATCH('S-BOM'!$C636,RM!$C$4:$C1003,0)),"")</f>
        <v/>
      </c>
      <c r="H636" s="75" t="str">
        <f t="shared" si="5"/>
        <v/>
      </c>
      <c r="I636" s="76"/>
    </row>
    <row r="637" spans="1:9" ht="15.75" customHeight="1">
      <c r="A637" s="69" t="str">
        <f t="shared" si="4"/>
        <v/>
      </c>
      <c r="B637" s="70"/>
      <c r="C637" s="70"/>
      <c r="D637" s="77"/>
      <c r="E637" s="73" t="str">
        <f>IF(B637="","",VLOOKUP(C637,RM!$C$4:$F1003,3,FALSE))</f>
        <v/>
      </c>
      <c r="F637" s="74" t="str">
        <f>IF(B637="","",IFERROR(SUMIFS(Issue!$D$3:$D1013,Issue!$C$3:$C1013,'S-BOM'!$B637)*'S-BOM'!$D637,""))</f>
        <v/>
      </c>
      <c r="G637" s="75" t="str">
        <f t="array" ref="G637">IFERROR(INDEX(#REF!,MATCH('S-BOM'!$C637,RM!$C$4:$C1003,0)),"")</f>
        <v/>
      </c>
      <c r="H637" s="75" t="str">
        <f t="shared" si="5"/>
        <v/>
      </c>
      <c r="I637" s="76"/>
    </row>
    <row r="638" spans="1:9" ht="15.75" customHeight="1">
      <c r="A638" s="69" t="str">
        <f t="shared" si="4"/>
        <v/>
      </c>
      <c r="B638" s="70"/>
      <c r="C638" s="70"/>
      <c r="D638" s="77"/>
      <c r="E638" s="73" t="str">
        <f>IF(B638="","",VLOOKUP(C638,RM!$C$4:$F1003,3,FALSE))</f>
        <v/>
      </c>
      <c r="F638" s="74" t="str">
        <f>IF(B638="","",IFERROR(SUMIFS(Issue!$D$3:$D1013,Issue!$C$3:$C1013,'S-BOM'!$B638)*'S-BOM'!$D638,""))</f>
        <v/>
      </c>
      <c r="G638" s="75" t="str">
        <f t="array" ref="G638">IFERROR(INDEX(#REF!,MATCH('S-BOM'!$C638,RM!$C$4:$C1003,0)),"")</f>
        <v/>
      </c>
      <c r="H638" s="75" t="str">
        <f t="shared" si="5"/>
        <v/>
      </c>
      <c r="I638" s="76"/>
    </row>
    <row r="639" spans="1:9" ht="15.75" customHeight="1">
      <c r="A639" s="69" t="str">
        <f t="shared" si="4"/>
        <v/>
      </c>
      <c r="B639" s="70"/>
      <c r="C639" s="70"/>
      <c r="D639" s="77"/>
      <c r="E639" s="73" t="str">
        <f>IF(B639="","",VLOOKUP(C639,RM!$C$4:$F1003,3,FALSE))</f>
        <v/>
      </c>
      <c r="F639" s="74" t="str">
        <f>IF(B639="","",IFERROR(SUMIFS(Issue!$D$3:$D1013,Issue!$C$3:$C1013,'S-BOM'!$B639)*'S-BOM'!$D639,""))</f>
        <v/>
      </c>
      <c r="G639" s="75" t="str">
        <f t="array" ref="G639">IFERROR(INDEX(#REF!,MATCH('S-BOM'!$C639,RM!$C$4:$C1003,0)),"")</f>
        <v/>
      </c>
      <c r="H639" s="75" t="str">
        <f t="shared" si="5"/>
        <v/>
      </c>
      <c r="I639" s="76"/>
    </row>
    <row r="640" spans="1:9" ht="15.75" customHeight="1">
      <c r="A640" s="69" t="str">
        <f t="shared" si="4"/>
        <v/>
      </c>
      <c r="B640" s="70"/>
      <c r="C640" s="70"/>
      <c r="D640" s="77"/>
      <c r="E640" s="73" t="str">
        <f>IF(B640="","",VLOOKUP(C640,RM!$C$4:$F1003,3,FALSE))</f>
        <v/>
      </c>
      <c r="F640" s="74" t="str">
        <f>IF(B640="","",IFERROR(SUMIFS(Issue!$D$3:$D1013,Issue!$C$3:$C1013,'S-BOM'!$B640)*'S-BOM'!$D640,""))</f>
        <v/>
      </c>
      <c r="G640" s="75" t="str">
        <f t="array" ref="G640">IFERROR(INDEX(#REF!,MATCH('S-BOM'!$C640,RM!$C$4:$C1003,0)),"")</f>
        <v/>
      </c>
      <c r="H640" s="75" t="str">
        <f t="shared" si="5"/>
        <v/>
      </c>
      <c r="I640" s="76"/>
    </row>
    <row r="641" spans="1:9" ht="15.75" customHeight="1">
      <c r="A641" s="69" t="str">
        <f t="shared" si="4"/>
        <v/>
      </c>
      <c r="B641" s="70"/>
      <c r="C641" s="70"/>
      <c r="D641" s="77"/>
      <c r="E641" s="73" t="str">
        <f>IF(B641="","",VLOOKUP(C641,RM!$C$4:$F1003,3,FALSE))</f>
        <v/>
      </c>
      <c r="F641" s="74" t="str">
        <f>IF(B641="","",IFERROR(SUMIFS(Issue!$D$3:$D1013,Issue!$C$3:$C1013,'S-BOM'!$B641)*'S-BOM'!$D641,""))</f>
        <v/>
      </c>
      <c r="G641" s="75" t="str">
        <f t="array" ref="G641">IFERROR(INDEX(#REF!,MATCH('S-BOM'!$C641,RM!$C$4:$C1003,0)),"")</f>
        <v/>
      </c>
      <c r="H641" s="75" t="str">
        <f t="shared" si="5"/>
        <v/>
      </c>
      <c r="I641" s="76"/>
    </row>
    <row r="642" spans="1:9" ht="15.75" customHeight="1">
      <c r="A642" s="69" t="str">
        <f t="shared" si="4"/>
        <v/>
      </c>
      <c r="B642" s="70"/>
      <c r="C642" s="70"/>
      <c r="D642" s="77"/>
      <c r="E642" s="73" t="str">
        <f>IF(B642="","",VLOOKUP(C642,RM!$C$4:$F1003,3,FALSE))</f>
        <v/>
      </c>
      <c r="F642" s="74" t="str">
        <f>IF(B642="","",IFERROR(SUMIFS(Issue!$D$3:$D1013,Issue!$C$3:$C1013,'S-BOM'!$B642)*'S-BOM'!$D642,""))</f>
        <v/>
      </c>
      <c r="G642" s="75" t="str">
        <f t="array" ref="G642">IFERROR(INDEX(#REF!,MATCH('S-BOM'!$C642,RM!$C$4:$C1003,0)),"")</f>
        <v/>
      </c>
      <c r="H642" s="75" t="str">
        <f t="shared" si="5"/>
        <v/>
      </c>
      <c r="I642" s="76"/>
    </row>
    <row r="643" spans="1:9" ht="15.75" customHeight="1">
      <c r="A643" s="69" t="str">
        <f t="shared" si="4"/>
        <v/>
      </c>
      <c r="B643" s="70"/>
      <c r="C643" s="70"/>
      <c r="D643" s="77"/>
      <c r="E643" s="73" t="str">
        <f>IF(B643="","",VLOOKUP(C643,RM!$C$4:$F1003,3,FALSE))</f>
        <v/>
      </c>
      <c r="F643" s="74" t="str">
        <f>IF(B643="","",IFERROR(SUMIFS(Issue!$D$3:$D1013,Issue!$C$3:$C1013,'S-BOM'!$B643)*'S-BOM'!$D643,""))</f>
        <v/>
      </c>
      <c r="G643" s="75" t="str">
        <f t="array" ref="G643">IFERROR(INDEX(#REF!,MATCH('S-BOM'!$C643,RM!$C$4:$C1003,0)),"")</f>
        <v/>
      </c>
      <c r="H643" s="75" t="str">
        <f t="shared" si="5"/>
        <v/>
      </c>
      <c r="I643" s="76"/>
    </row>
    <row r="644" spans="1:9" ht="15.75" customHeight="1">
      <c r="A644" s="69" t="str">
        <f t="shared" si="4"/>
        <v/>
      </c>
      <c r="B644" s="70"/>
      <c r="C644" s="70"/>
      <c r="D644" s="77"/>
      <c r="E644" s="73" t="str">
        <f>IF(B644="","",VLOOKUP(C644,RM!$C$4:$F1003,3,FALSE))</f>
        <v/>
      </c>
      <c r="F644" s="74" t="str">
        <f>IF(B644="","",IFERROR(SUMIFS(Issue!$D$3:$D1013,Issue!$C$3:$C1013,'S-BOM'!$B644)*'S-BOM'!$D644,""))</f>
        <v/>
      </c>
      <c r="G644" s="75" t="str">
        <f t="array" ref="G644">IFERROR(INDEX(#REF!,MATCH('S-BOM'!$C644,RM!$C$4:$C1003,0)),"")</f>
        <v/>
      </c>
      <c r="H644" s="75" t="str">
        <f t="shared" si="5"/>
        <v/>
      </c>
      <c r="I644" s="76"/>
    </row>
    <row r="645" spans="1:9" ht="15.75" customHeight="1">
      <c r="A645" s="69" t="str">
        <f t="shared" si="4"/>
        <v/>
      </c>
      <c r="B645" s="70"/>
      <c r="C645" s="70"/>
      <c r="D645" s="77"/>
      <c r="E645" s="73" t="str">
        <f>IF(B645="","",VLOOKUP(C645,RM!$C$4:$F1003,3,FALSE))</f>
        <v/>
      </c>
      <c r="F645" s="74" t="str">
        <f>IF(B645="","",IFERROR(SUMIFS(Issue!$D$3:$D1013,Issue!$C$3:$C1013,'S-BOM'!$B645)*'S-BOM'!$D645,""))</f>
        <v/>
      </c>
      <c r="G645" s="75" t="str">
        <f t="array" ref="G645">IFERROR(INDEX(#REF!,MATCH('S-BOM'!$C645,RM!$C$4:$C1003,0)),"")</f>
        <v/>
      </c>
      <c r="H645" s="75" t="str">
        <f t="shared" si="5"/>
        <v/>
      </c>
      <c r="I645" s="76"/>
    </row>
    <row r="646" spans="1:9" ht="15.75" customHeight="1">
      <c r="A646" s="69" t="str">
        <f t="shared" si="4"/>
        <v/>
      </c>
      <c r="B646" s="70"/>
      <c r="C646" s="70"/>
      <c r="D646" s="77"/>
      <c r="E646" s="73" t="str">
        <f>IF(B646="","",VLOOKUP(C646,RM!$C$4:$F1003,3,FALSE))</f>
        <v/>
      </c>
      <c r="F646" s="74" t="str">
        <f>IF(B646="","",IFERROR(SUMIFS(Issue!$D$3:$D1013,Issue!$C$3:$C1013,'S-BOM'!$B646)*'S-BOM'!$D646,""))</f>
        <v/>
      </c>
      <c r="G646" s="75" t="str">
        <f t="array" ref="G646">IFERROR(INDEX(#REF!,MATCH('S-BOM'!$C646,RM!$C$4:$C1003,0)),"")</f>
        <v/>
      </c>
      <c r="H646" s="75" t="str">
        <f t="shared" si="5"/>
        <v/>
      </c>
      <c r="I646" s="76"/>
    </row>
    <row r="647" spans="1:9" ht="15.75" customHeight="1">
      <c r="A647" s="69" t="str">
        <f t="shared" si="4"/>
        <v/>
      </c>
      <c r="B647" s="70"/>
      <c r="C647" s="70"/>
      <c r="D647" s="77"/>
      <c r="E647" s="73" t="str">
        <f>IF(B647="","",VLOOKUP(C647,RM!$C$4:$F1003,3,FALSE))</f>
        <v/>
      </c>
      <c r="F647" s="74" t="str">
        <f>IF(B647="","",IFERROR(SUMIFS(Issue!$D$3:$D1013,Issue!$C$3:$C1013,'S-BOM'!$B647)*'S-BOM'!$D647,""))</f>
        <v/>
      </c>
      <c r="G647" s="75" t="str">
        <f t="array" ref="G647">IFERROR(INDEX(#REF!,MATCH('S-BOM'!$C647,RM!$C$4:$C1003,0)),"")</f>
        <v/>
      </c>
      <c r="H647" s="75" t="str">
        <f t="shared" si="5"/>
        <v/>
      </c>
      <c r="I647" s="76"/>
    </row>
    <row r="648" spans="1:9" ht="15.75" customHeight="1">
      <c r="A648" s="69" t="str">
        <f t="shared" si="4"/>
        <v/>
      </c>
      <c r="B648" s="70"/>
      <c r="C648" s="70"/>
      <c r="D648" s="77"/>
      <c r="E648" s="73" t="str">
        <f>IF(B648="","",VLOOKUP(C648,RM!$C$4:$F1003,3,FALSE))</f>
        <v/>
      </c>
      <c r="F648" s="74" t="str">
        <f>IF(B648="","",IFERROR(SUMIFS(Issue!$D$3:$D1013,Issue!$C$3:$C1013,'S-BOM'!$B648)*'S-BOM'!$D648,""))</f>
        <v/>
      </c>
      <c r="G648" s="75" t="str">
        <f t="array" ref="G648">IFERROR(INDEX(#REF!,MATCH('S-BOM'!$C648,RM!$C$4:$C1003,0)),"")</f>
        <v/>
      </c>
      <c r="H648" s="75" t="str">
        <f t="shared" si="5"/>
        <v/>
      </c>
      <c r="I648" s="76"/>
    </row>
    <row r="649" spans="1:9" ht="15.75" customHeight="1">
      <c r="A649" s="69" t="str">
        <f t="shared" si="4"/>
        <v/>
      </c>
      <c r="B649" s="70"/>
      <c r="C649" s="70"/>
      <c r="D649" s="77"/>
      <c r="E649" s="73" t="str">
        <f>IF(B649="","",VLOOKUP(C649,RM!$C$4:$F1003,3,FALSE))</f>
        <v/>
      </c>
      <c r="F649" s="74" t="str">
        <f>IF(B649="","",IFERROR(SUMIFS(Issue!$D$3:$D1013,Issue!$C$3:$C1013,'S-BOM'!$B649)*'S-BOM'!$D649,""))</f>
        <v/>
      </c>
      <c r="G649" s="75" t="str">
        <f t="array" ref="G649">IFERROR(INDEX(#REF!,MATCH('S-BOM'!$C649,RM!$C$4:$C1003,0)),"")</f>
        <v/>
      </c>
      <c r="H649" s="75" t="str">
        <f t="shared" si="5"/>
        <v/>
      </c>
      <c r="I649" s="76"/>
    </row>
    <row r="650" spans="1:9" ht="15.75" customHeight="1">
      <c r="A650" s="69" t="str">
        <f t="shared" si="4"/>
        <v/>
      </c>
      <c r="B650" s="70"/>
      <c r="C650" s="70"/>
      <c r="D650" s="77"/>
      <c r="E650" s="73" t="str">
        <f>IF(B650="","",VLOOKUP(C650,RM!$C$4:$F1003,3,FALSE))</f>
        <v/>
      </c>
      <c r="F650" s="74" t="str">
        <f>IF(B650="","",IFERROR(SUMIFS(Issue!$D$3:$D1013,Issue!$C$3:$C1013,'S-BOM'!$B650)*'S-BOM'!$D650,""))</f>
        <v/>
      </c>
      <c r="G650" s="75" t="str">
        <f t="array" ref="G650">IFERROR(INDEX(#REF!,MATCH('S-BOM'!$C650,RM!$C$4:$C1003,0)),"")</f>
        <v/>
      </c>
      <c r="H650" s="75" t="str">
        <f t="shared" si="5"/>
        <v/>
      </c>
      <c r="I650" s="76"/>
    </row>
    <row r="651" spans="1:9" ht="15.75" customHeight="1">
      <c r="A651" s="69" t="str">
        <f t="shared" si="4"/>
        <v/>
      </c>
      <c r="B651" s="70"/>
      <c r="C651" s="70"/>
      <c r="D651" s="77"/>
      <c r="E651" s="73" t="str">
        <f>IF(B651="","",VLOOKUP(C651,RM!$C$4:$F1003,3,FALSE))</f>
        <v/>
      </c>
      <c r="F651" s="74" t="str">
        <f>IF(B651="","",IFERROR(SUMIFS(Issue!$D$3:$D1013,Issue!$C$3:$C1013,'S-BOM'!$B651)*'S-BOM'!$D651,""))</f>
        <v/>
      </c>
      <c r="G651" s="75" t="str">
        <f t="array" ref="G651">IFERROR(INDEX(#REF!,MATCH('S-BOM'!$C651,RM!$C$4:$C1003,0)),"")</f>
        <v/>
      </c>
      <c r="H651" s="75" t="str">
        <f t="shared" si="5"/>
        <v/>
      </c>
      <c r="I651" s="76"/>
    </row>
    <row r="652" spans="1:9" ht="15.75" customHeight="1">
      <c r="A652" s="69" t="str">
        <f t="shared" si="4"/>
        <v/>
      </c>
      <c r="B652" s="70"/>
      <c r="C652" s="70"/>
      <c r="D652" s="77"/>
      <c r="E652" s="73" t="str">
        <f>IF(B652="","",VLOOKUP(C652,RM!$C$4:$F1003,3,FALSE))</f>
        <v/>
      </c>
      <c r="F652" s="74" t="str">
        <f>IF(B652="","",IFERROR(SUMIFS(Issue!$D$3:$D1013,Issue!$C$3:$C1013,'S-BOM'!$B652)*'S-BOM'!$D652,""))</f>
        <v/>
      </c>
      <c r="G652" s="75" t="str">
        <f t="array" ref="G652">IFERROR(INDEX(#REF!,MATCH('S-BOM'!$C652,RM!$C$4:$C1003,0)),"")</f>
        <v/>
      </c>
      <c r="H652" s="75" t="str">
        <f t="shared" si="5"/>
        <v/>
      </c>
      <c r="I652" s="76"/>
    </row>
    <row r="653" spans="1:9" ht="15.75" customHeight="1">
      <c r="A653" s="69" t="str">
        <f t="shared" si="4"/>
        <v/>
      </c>
      <c r="B653" s="70"/>
      <c r="C653" s="70"/>
      <c r="D653" s="77"/>
      <c r="E653" s="73" t="str">
        <f>IF(B653="","",VLOOKUP(C653,RM!$C$4:$F1003,3,FALSE))</f>
        <v/>
      </c>
      <c r="F653" s="74" t="str">
        <f>IF(B653="","",IFERROR(SUMIFS(Issue!$D$3:$D1013,Issue!$C$3:$C1013,'S-BOM'!$B653)*'S-BOM'!$D653,""))</f>
        <v/>
      </c>
      <c r="G653" s="75" t="str">
        <f t="array" ref="G653">IFERROR(INDEX(#REF!,MATCH('S-BOM'!$C653,RM!$C$4:$C1003,0)),"")</f>
        <v/>
      </c>
      <c r="H653" s="75" t="str">
        <f t="shared" si="5"/>
        <v/>
      </c>
      <c r="I653" s="76"/>
    </row>
    <row r="654" spans="1:9" ht="15.75" customHeight="1">
      <c r="A654" s="69" t="str">
        <f t="shared" si="4"/>
        <v/>
      </c>
      <c r="B654" s="70"/>
      <c r="C654" s="70"/>
      <c r="D654" s="77"/>
      <c r="E654" s="73" t="str">
        <f>IF(B654="","",VLOOKUP(C654,RM!$C$4:$F1003,3,FALSE))</f>
        <v/>
      </c>
      <c r="F654" s="74" t="str">
        <f>IF(B654="","",IFERROR(SUMIFS(Issue!$D$3:$D1013,Issue!$C$3:$C1013,'S-BOM'!$B654)*'S-BOM'!$D654,""))</f>
        <v/>
      </c>
      <c r="G654" s="75" t="str">
        <f t="array" ref="G654">IFERROR(INDEX(#REF!,MATCH('S-BOM'!$C654,RM!$C$4:$C1003,0)),"")</f>
        <v/>
      </c>
      <c r="H654" s="75" t="str">
        <f t="shared" si="5"/>
        <v/>
      </c>
      <c r="I654" s="76"/>
    </row>
    <row r="655" spans="1:9" ht="15.75" customHeight="1">
      <c r="A655" s="69" t="str">
        <f t="shared" si="4"/>
        <v/>
      </c>
      <c r="B655" s="70"/>
      <c r="C655" s="70"/>
      <c r="D655" s="77"/>
      <c r="E655" s="73" t="str">
        <f>IF(B655="","",VLOOKUP(C655,RM!$C$4:$F1003,3,FALSE))</f>
        <v/>
      </c>
      <c r="F655" s="74" t="str">
        <f>IF(B655="","",IFERROR(SUMIFS(Issue!$D$3:$D1013,Issue!$C$3:$C1013,'S-BOM'!$B655)*'S-BOM'!$D655,""))</f>
        <v/>
      </c>
      <c r="G655" s="75" t="str">
        <f t="array" ref="G655">IFERROR(INDEX(#REF!,MATCH('S-BOM'!$C655,RM!$C$4:$C1003,0)),"")</f>
        <v/>
      </c>
      <c r="H655" s="75" t="str">
        <f t="shared" si="5"/>
        <v/>
      </c>
      <c r="I655" s="76"/>
    </row>
    <row r="656" spans="1:9" ht="15.75" customHeight="1">
      <c r="A656" s="69" t="str">
        <f t="shared" si="4"/>
        <v/>
      </c>
      <c r="B656" s="70"/>
      <c r="C656" s="70"/>
      <c r="D656" s="77"/>
      <c r="E656" s="73" t="str">
        <f>IF(B656="","",VLOOKUP(C656,RM!$C$4:$F1003,3,FALSE))</f>
        <v/>
      </c>
      <c r="F656" s="74" t="str">
        <f>IF(B656="","",IFERROR(SUMIFS(Issue!$D$3:$D1013,Issue!$C$3:$C1013,'S-BOM'!$B656)*'S-BOM'!$D656,""))</f>
        <v/>
      </c>
      <c r="G656" s="75" t="str">
        <f t="array" ref="G656">IFERROR(INDEX(#REF!,MATCH('S-BOM'!$C656,RM!$C$4:$C1003,0)),"")</f>
        <v/>
      </c>
      <c r="H656" s="75" t="str">
        <f t="shared" si="5"/>
        <v/>
      </c>
      <c r="I656" s="76"/>
    </row>
    <row r="657" spans="1:9" ht="15.75" customHeight="1">
      <c r="A657" s="69" t="str">
        <f t="shared" si="4"/>
        <v/>
      </c>
      <c r="B657" s="70"/>
      <c r="C657" s="70"/>
      <c r="D657" s="77"/>
      <c r="E657" s="73" t="str">
        <f>IF(B657="","",VLOOKUP(C657,RM!$C$4:$F1003,3,FALSE))</f>
        <v/>
      </c>
      <c r="F657" s="74" t="str">
        <f>IF(B657="","",IFERROR(SUMIFS(Issue!$D$3:$D1013,Issue!$C$3:$C1013,'S-BOM'!$B657)*'S-BOM'!$D657,""))</f>
        <v/>
      </c>
      <c r="G657" s="75" t="str">
        <f t="array" ref="G657">IFERROR(INDEX(#REF!,MATCH('S-BOM'!$C657,RM!$C$4:$C1003,0)),"")</f>
        <v/>
      </c>
      <c r="H657" s="75" t="str">
        <f t="shared" si="5"/>
        <v/>
      </c>
      <c r="I657" s="76"/>
    </row>
    <row r="658" spans="1:9" ht="15.75" customHeight="1">
      <c r="A658" s="69" t="str">
        <f t="shared" si="4"/>
        <v/>
      </c>
      <c r="B658" s="70"/>
      <c r="C658" s="70"/>
      <c r="D658" s="77"/>
      <c r="E658" s="73" t="str">
        <f>IF(B658="","",VLOOKUP(C658,RM!$C$4:$F1003,3,FALSE))</f>
        <v/>
      </c>
      <c r="F658" s="74" t="str">
        <f>IF(B658="","",IFERROR(SUMIFS(Issue!$D$3:$D1013,Issue!$C$3:$C1013,'S-BOM'!$B658)*'S-BOM'!$D658,""))</f>
        <v/>
      </c>
      <c r="G658" s="75" t="str">
        <f t="array" ref="G658">IFERROR(INDEX(#REF!,MATCH('S-BOM'!$C658,RM!$C$4:$C1003,0)),"")</f>
        <v/>
      </c>
      <c r="H658" s="75" t="str">
        <f t="shared" si="5"/>
        <v/>
      </c>
      <c r="I658" s="76"/>
    </row>
    <row r="659" spans="1:9" ht="15.75" customHeight="1">
      <c r="A659" s="69" t="str">
        <f t="shared" si="4"/>
        <v/>
      </c>
      <c r="B659" s="70"/>
      <c r="C659" s="70"/>
      <c r="D659" s="77"/>
      <c r="E659" s="73" t="str">
        <f>IF(B659="","",VLOOKUP(C659,RM!$C$4:$F1003,3,FALSE))</f>
        <v/>
      </c>
      <c r="F659" s="74" t="str">
        <f>IF(B659="","",IFERROR(SUMIFS(Issue!$D$3:$D1013,Issue!$C$3:$C1013,'S-BOM'!$B659)*'S-BOM'!$D659,""))</f>
        <v/>
      </c>
      <c r="G659" s="75" t="str">
        <f t="array" ref="G659">IFERROR(INDEX(#REF!,MATCH('S-BOM'!$C659,RM!$C$4:$C1003,0)),"")</f>
        <v/>
      </c>
      <c r="H659" s="75" t="str">
        <f t="shared" si="5"/>
        <v/>
      </c>
      <c r="I659" s="76"/>
    </row>
    <row r="660" spans="1:9" ht="15.75" customHeight="1">
      <c r="A660" s="69" t="str">
        <f t="shared" si="4"/>
        <v/>
      </c>
      <c r="B660" s="70"/>
      <c r="C660" s="70"/>
      <c r="D660" s="77"/>
      <c r="E660" s="73" t="str">
        <f>IF(B660="","",VLOOKUP(C660,RM!$C$4:$F1003,3,FALSE))</f>
        <v/>
      </c>
      <c r="F660" s="74" t="str">
        <f>IF(B660="","",IFERROR(SUMIFS(Issue!$D$3:$D1013,Issue!$C$3:$C1013,'S-BOM'!$B660)*'S-BOM'!$D660,""))</f>
        <v/>
      </c>
      <c r="G660" s="75" t="str">
        <f t="array" ref="G660">IFERROR(INDEX(#REF!,MATCH('S-BOM'!$C660,RM!$C$4:$C1003,0)),"")</f>
        <v/>
      </c>
      <c r="H660" s="75" t="str">
        <f t="shared" si="5"/>
        <v/>
      </c>
      <c r="I660" s="76"/>
    </row>
    <row r="661" spans="1:9" ht="15.75" customHeight="1">
      <c r="A661" s="69" t="str">
        <f t="shared" si="4"/>
        <v/>
      </c>
      <c r="B661" s="70"/>
      <c r="C661" s="70"/>
      <c r="D661" s="77"/>
      <c r="E661" s="73" t="str">
        <f>IF(B661="","",VLOOKUP(C661,RM!$C$4:$F1003,3,FALSE))</f>
        <v/>
      </c>
      <c r="F661" s="74" t="str">
        <f>IF(B661="","",IFERROR(SUMIFS(Issue!$D$3:$D1013,Issue!$C$3:$C1013,'S-BOM'!$B661)*'S-BOM'!$D661,""))</f>
        <v/>
      </c>
      <c r="G661" s="75" t="str">
        <f t="array" ref="G661">IFERROR(INDEX(#REF!,MATCH('S-BOM'!$C661,RM!$C$4:$C1003,0)),"")</f>
        <v/>
      </c>
      <c r="H661" s="75" t="str">
        <f t="shared" si="5"/>
        <v/>
      </c>
      <c r="I661" s="76"/>
    </row>
    <row r="662" spans="1:9" ht="15.75" customHeight="1">
      <c r="A662" s="69" t="str">
        <f t="shared" si="4"/>
        <v/>
      </c>
      <c r="B662" s="70"/>
      <c r="C662" s="70"/>
      <c r="D662" s="77"/>
      <c r="E662" s="73" t="str">
        <f>IF(B662="","",VLOOKUP(C662,RM!$C$4:$F1003,3,FALSE))</f>
        <v/>
      </c>
      <c r="F662" s="74" t="str">
        <f>IF(B662="","",IFERROR(SUMIFS(Issue!$D$3:$D1013,Issue!$C$3:$C1013,'S-BOM'!$B662)*'S-BOM'!$D662,""))</f>
        <v/>
      </c>
      <c r="G662" s="75" t="str">
        <f t="array" ref="G662">IFERROR(INDEX(#REF!,MATCH('S-BOM'!$C662,RM!$C$4:$C1003,0)),"")</f>
        <v/>
      </c>
      <c r="H662" s="75" t="str">
        <f t="shared" si="5"/>
        <v/>
      </c>
      <c r="I662" s="76"/>
    </row>
    <row r="663" spans="1:9" ht="15.75" customHeight="1">
      <c r="A663" s="69" t="str">
        <f t="shared" si="4"/>
        <v/>
      </c>
      <c r="B663" s="70"/>
      <c r="C663" s="70"/>
      <c r="D663" s="77"/>
      <c r="E663" s="73" t="str">
        <f>IF(B663="","",VLOOKUP(C663,RM!$C$4:$F1003,3,FALSE))</f>
        <v/>
      </c>
      <c r="F663" s="74" t="str">
        <f>IF(B663="","",IFERROR(SUMIFS(Issue!$D$3:$D1013,Issue!$C$3:$C1013,'S-BOM'!$B663)*'S-BOM'!$D663,""))</f>
        <v/>
      </c>
      <c r="G663" s="75" t="str">
        <f t="array" ref="G663">IFERROR(INDEX(#REF!,MATCH('S-BOM'!$C663,RM!$C$4:$C1003,0)),"")</f>
        <v/>
      </c>
      <c r="H663" s="75" t="str">
        <f t="shared" si="5"/>
        <v/>
      </c>
      <c r="I663" s="76"/>
    </row>
    <row r="664" spans="1:9" ht="15.75" customHeight="1">
      <c r="A664" s="69" t="str">
        <f t="shared" si="4"/>
        <v/>
      </c>
      <c r="B664" s="70"/>
      <c r="C664" s="70"/>
      <c r="D664" s="77"/>
      <c r="E664" s="73" t="str">
        <f>IF(B664="","",VLOOKUP(C664,RM!$C$4:$F1003,3,FALSE))</f>
        <v/>
      </c>
      <c r="F664" s="74" t="str">
        <f>IF(B664="","",IFERROR(SUMIFS(Issue!$D$3:$D1013,Issue!$C$3:$C1013,'S-BOM'!$B664)*'S-BOM'!$D664,""))</f>
        <v/>
      </c>
      <c r="G664" s="75" t="str">
        <f t="array" ref="G664">IFERROR(INDEX(#REF!,MATCH('S-BOM'!$C664,RM!$C$4:$C1003,0)),"")</f>
        <v/>
      </c>
      <c r="H664" s="75" t="str">
        <f t="shared" si="5"/>
        <v/>
      </c>
      <c r="I664" s="76"/>
    </row>
    <row r="665" spans="1:9" ht="15.75" customHeight="1">
      <c r="A665" s="69" t="str">
        <f t="shared" si="4"/>
        <v/>
      </c>
      <c r="B665" s="70"/>
      <c r="C665" s="70"/>
      <c r="D665" s="77"/>
      <c r="E665" s="73" t="str">
        <f>IF(B665="","",VLOOKUP(C665,RM!$C$4:$F1003,3,FALSE))</f>
        <v/>
      </c>
      <c r="F665" s="74" t="str">
        <f>IF(B665="","",IFERROR(SUMIFS(Issue!$D$3:$D1013,Issue!$C$3:$C1013,'S-BOM'!$B665)*'S-BOM'!$D665,""))</f>
        <v/>
      </c>
      <c r="G665" s="75" t="str">
        <f t="array" ref="G665">IFERROR(INDEX(#REF!,MATCH('S-BOM'!$C665,RM!$C$4:$C1003,0)),"")</f>
        <v/>
      </c>
      <c r="H665" s="75" t="str">
        <f t="shared" si="5"/>
        <v/>
      </c>
      <c r="I665" s="76"/>
    </row>
    <row r="666" spans="1:9" ht="15.75" customHeight="1">
      <c r="A666" s="69" t="str">
        <f t="shared" si="4"/>
        <v/>
      </c>
      <c r="B666" s="70"/>
      <c r="C666" s="70"/>
      <c r="D666" s="77"/>
      <c r="E666" s="73" t="str">
        <f>IF(B666="","",VLOOKUP(C666,RM!$C$4:$F1003,3,FALSE))</f>
        <v/>
      </c>
      <c r="F666" s="74" t="str">
        <f>IF(B666="","",IFERROR(SUMIFS(Issue!$D$3:$D1013,Issue!$C$3:$C1013,'S-BOM'!$B666)*'S-BOM'!$D666,""))</f>
        <v/>
      </c>
      <c r="G666" s="75" t="str">
        <f t="array" ref="G666">IFERROR(INDEX(#REF!,MATCH('S-BOM'!$C666,RM!$C$4:$C1003,0)),"")</f>
        <v/>
      </c>
      <c r="H666" s="75" t="str">
        <f t="shared" si="5"/>
        <v/>
      </c>
      <c r="I666" s="76"/>
    </row>
    <row r="667" spans="1:9" ht="15.75" customHeight="1">
      <c r="A667" s="69" t="str">
        <f t="shared" si="4"/>
        <v/>
      </c>
      <c r="B667" s="70"/>
      <c r="C667" s="70"/>
      <c r="D667" s="77"/>
      <c r="E667" s="73" t="str">
        <f>IF(B667="","",VLOOKUP(C667,RM!$C$4:$F1003,3,FALSE))</f>
        <v/>
      </c>
      <c r="F667" s="74" t="str">
        <f>IF(B667="","",IFERROR(SUMIFS(Issue!$D$3:$D1013,Issue!$C$3:$C1013,'S-BOM'!$B667)*'S-BOM'!$D667,""))</f>
        <v/>
      </c>
      <c r="G667" s="75" t="str">
        <f t="array" ref="G667">IFERROR(INDEX(#REF!,MATCH('S-BOM'!$C667,RM!$C$4:$C1003,0)),"")</f>
        <v/>
      </c>
      <c r="H667" s="75" t="str">
        <f t="shared" si="5"/>
        <v/>
      </c>
      <c r="I667" s="76"/>
    </row>
    <row r="668" spans="1:9" ht="15.75" customHeight="1">
      <c r="A668" s="69" t="str">
        <f t="shared" si="4"/>
        <v/>
      </c>
      <c r="B668" s="70"/>
      <c r="C668" s="70"/>
      <c r="D668" s="77"/>
      <c r="E668" s="73" t="str">
        <f>IF(B668="","",VLOOKUP(C668,RM!$C$4:$F1003,3,FALSE))</f>
        <v/>
      </c>
      <c r="F668" s="74" t="str">
        <f>IF(B668="","",IFERROR(SUMIFS(Issue!$D$3:$D1013,Issue!$C$3:$C1013,'S-BOM'!$B668)*'S-BOM'!$D668,""))</f>
        <v/>
      </c>
      <c r="G668" s="75" t="str">
        <f t="array" ref="G668">IFERROR(INDEX(#REF!,MATCH('S-BOM'!$C668,RM!$C$4:$C1003,0)),"")</f>
        <v/>
      </c>
      <c r="H668" s="75" t="str">
        <f t="shared" si="5"/>
        <v/>
      </c>
      <c r="I668" s="76"/>
    </row>
    <row r="669" spans="1:9" ht="15.75" customHeight="1">
      <c r="A669" s="69" t="str">
        <f t="shared" si="4"/>
        <v/>
      </c>
      <c r="B669" s="70"/>
      <c r="C669" s="70"/>
      <c r="D669" s="77"/>
      <c r="E669" s="73" t="str">
        <f>IF(B669="","",VLOOKUP(C669,RM!$C$4:$F1003,3,FALSE))</f>
        <v/>
      </c>
      <c r="F669" s="74" t="str">
        <f>IF(B669="","",IFERROR(SUMIFS(Issue!$D$3:$D1013,Issue!$C$3:$C1013,'S-BOM'!$B669)*'S-BOM'!$D669,""))</f>
        <v/>
      </c>
      <c r="G669" s="75" t="str">
        <f t="array" ref="G669">IFERROR(INDEX(#REF!,MATCH('S-BOM'!$C669,RM!$C$4:$C1003,0)),"")</f>
        <v/>
      </c>
      <c r="H669" s="75" t="str">
        <f t="shared" si="5"/>
        <v/>
      </c>
      <c r="I669" s="76"/>
    </row>
    <row r="670" spans="1:9" ht="15.75" customHeight="1">
      <c r="A670" s="69" t="str">
        <f t="shared" si="4"/>
        <v/>
      </c>
      <c r="B670" s="70"/>
      <c r="C670" s="70"/>
      <c r="D670" s="77"/>
      <c r="E670" s="73" t="str">
        <f>IF(B670="","",VLOOKUP(C670,RM!$C$4:$F1003,3,FALSE))</f>
        <v/>
      </c>
      <c r="F670" s="74" t="str">
        <f>IF(B670="","",IFERROR(SUMIFS(Issue!$D$3:$D1013,Issue!$C$3:$C1013,'S-BOM'!$B670)*'S-BOM'!$D670,""))</f>
        <v/>
      </c>
      <c r="G670" s="75" t="str">
        <f t="array" ref="G670">IFERROR(INDEX(#REF!,MATCH('S-BOM'!$C670,RM!$C$4:$C1003,0)),"")</f>
        <v/>
      </c>
      <c r="H670" s="75" t="str">
        <f t="shared" si="5"/>
        <v/>
      </c>
      <c r="I670" s="76"/>
    </row>
    <row r="671" spans="1:9" ht="15.75" customHeight="1">
      <c r="A671" s="69" t="str">
        <f t="shared" si="4"/>
        <v/>
      </c>
      <c r="B671" s="70"/>
      <c r="C671" s="70"/>
      <c r="D671" s="77"/>
      <c r="E671" s="73" t="str">
        <f>IF(B671="","",VLOOKUP(C671,RM!$C$4:$F1003,3,FALSE))</f>
        <v/>
      </c>
      <c r="F671" s="74" t="str">
        <f>IF(B671="","",IFERROR(SUMIFS(Issue!$D$3:$D1013,Issue!$C$3:$C1013,'S-BOM'!$B671)*'S-BOM'!$D671,""))</f>
        <v/>
      </c>
      <c r="G671" s="75" t="str">
        <f t="array" ref="G671">IFERROR(INDEX(#REF!,MATCH('S-BOM'!$C671,RM!$C$4:$C1003,0)),"")</f>
        <v/>
      </c>
      <c r="H671" s="75" t="str">
        <f t="shared" si="5"/>
        <v/>
      </c>
      <c r="I671" s="76"/>
    </row>
    <row r="672" spans="1:9" ht="15.75" customHeight="1">
      <c r="A672" s="69" t="str">
        <f t="shared" si="4"/>
        <v/>
      </c>
      <c r="B672" s="70"/>
      <c r="C672" s="70"/>
      <c r="D672" s="77"/>
      <c r="E672" s="73" t="str">
        <f>IF(B672="","",VLOOKUP(C672,RM!$C$4:$F1003,3,FALSE))</f>
        <v/>
      </c>
      <c r="F672" s="74" t="str">
        <f>IF(B672="","",IFERROR(SUMIFS(Issue!$D$3:$D1013,Issue!$C$3:$C1013,'S-BOM'!$B672)*'S-BOM'!$D672,""))</f>
        <v/>
      </c>
      <c r="G672" s="75" t="str">
        <f t="array" ref="G672">IFERROR(INDEX(#REF!,MATCH('S-BOM'!$C672,RM!$C$4:$C1003,0)),"")</f>
        <v/>
      </c>
      <c r="H672" s="75" t="str">
        <f t="shared" si="5"/>
        <v/>
      </c>
      <c r="I672" s="76"/>
    </row>
    <row r="673" spans="1:9" ht="15.75" customHeight="1">
      <c r="A673" s="69" t="str">
        <f t="shared" si="4"/>
        <v/>
      </c>
      <c r="B673" s="70"/>
      <c r="C673" s="70"/>
      <c r="D673" s="77"/>
      <c r="E673" s="73" t="str">
        <f>IF(B673="","",VLOOKUP(C673,RM!$C$4:$F1003,3,FALSE))</f>
        <v/>
      </c>
      <c r="F673" s="74" t="str">
        <f>IF(B673="","",IFERROR(SUMIFS(Issue!$D$3:$D1013,Issue!$C$3:$C1013,'S-BOM'!$B673)*'S-BOM'!$D673,""))</f>
        <v/>
      </c>
      <c r="G673" s="75" t="str">
        <f t="array" ref="G673">IFERROR(INDEX(#REF!,MATCH('S-BOM'!$C673,RM!$C$4:$C1003,0)),"")</f>
        <v/>
      </c>
      <c r="H673" s="75" t="str">
        <f t="shared" si="5"/>
        <v/>
      </c>
      <c r="I673" s="76"/>
    </row>
    <row r="674" spans="1:9" ht="15.75" customHeight="1">
      <c r="A674" s="69" t="str">
        <f t="shared" si="4"/>
        <v/>
      </c>
      <c r="B674" s="70"/>
      <c r="C674" s="70"/>
      <c r="D674" s="77"/>
      <c r="E674" s="73" t="str">
        <f>IF(B674="","",VLOOKUP(C674,RM!$C$4:$F1003,3,FALSE))</f>
        <v/>
      </c>
      <c r="F674" s="74" t="str">
        <f>IF(B674="","",IFERROR(SUMIFS(Issue!$D$3:$D1013,Issue!$C$3:$C1013,'S-BOM'!$B674)*'S-BOM'!$D674,""))</f>
        <v/>
      </c>
      <c r="G674" s="75" t="str">
        <f t="array" ref="G674">IFERROR(INDEX(#REF!,MATCH('S-BOM'!$C674,RM!$C$4:$C1003,0)),"")</f>
        <v/>
      </c>
      <c r="H674" s="75" t="str">
        <f t="shared" si="5"/>
        <v/>
      </c>
      <c r="I674" s="76"/>
    </row>
    <row r="675" spans="1:9" ht="15.75" customHeight="1">
      <c r="A675" s="69" t="str">
        <f t="shared" si="4"/>
        <v/>
      </c>
      <c r="B675" s="70"/>
      <c r="C675" s="70"/>
      <c r="D675" s="77"/>
      <c r="E675" s="73" t="str">
        <f>IF(B675="","",VLOOKUP(C675,RM!$C$4:$F1003,3,FALSE))</f>
        <v/>
      </c>
      <c r="F675" s="74" t="str">
        <f>IF(B675="","",IFERROR(SUMIFS(Issue!$D$3:$D1013,Issue!$C$3:$C1013,'S-BOM'!$B675)*'S-BOM'!$D675,""))</f>
        <v/>
      </c>
      <c r="G675" s="75" t="str">
        <f t="array" ref="G675">IFERROR(INDEX(#REF!,MATCH('S-BOM'!$C675,RM!$C$4:$C1003,0)),"")</f>
        <v/>
      </c>
      <c r="H675" s="75" t="str">
        <f t="shared" si="5"/>
        <v/>
      </c>
      <c r="I675" s="76"/>
    </row>
    <row r="676" spans="1:9" ht="15.75" customHeight="1">
      <c r="A676" s="69" t="str">
        <f t="shared" si="4"/>
        <v/>
      </c>
      <c r="B676" s="70"/>
      <c r="C676" s="70"/>
      <c r="D676" s="77"/>
      <c r="E676" s="73" t="str">
        <f>IF(B676="","",VLOOKUP(C676,RM!$C$4:$F1003,3,FALSE))</f>
        <v/>
      </c>
      <c r="F676" s="74" t="str">
        <f>IF(B676="","",IFERROR(SUMIFS(Issue!$D$3:$D1013,Issue!$C$3:$C1013,'S-BOM'!$B676)*'S-BOM'!$D676,""))</f>
        <v/>
      </c>
      <c r="G676" s="75" t="str">
        <f t="array" ref="G676">IFERROR(INDEX(#REF!,MATCH('S-BOM'!$C676,RM!$C$4:$C1003,0)),"")</f>
        <v/>
      </c>
      <c r="H676" s="75" t="str">
        <f t="shared" si="5"/>
        <v/>
      </c>
      <c r="I676" s="76"/>
    </row>
    <row r="677" spans="1:9" ht="15.75" customHeight="1">
      <c r="A677" s="69" t="str">
        <f t="shared" si="4"/>
        <v/>
      </c>
      <c r="B677" s="70"/>
      <c r="C677" s="70"/>
      <c r="D677" s="77"/>
      <c r="E677" s="73" t="str">
        <f>IF(B677="","",VLOOKUP(C677,RM!$C$4:$F1003,3,FALSE))</f>
        <v/>
      </c>
      <c r="F677" s="74" t="str">
        <f>IF(B677="","",IFERROR(SUMIFS(Issue!$D$3:$D1013,Issue!$C$3:$C1013,'S-BOM'!$B677)*'S-BOM'!$D677,""))</f>
        <v/>
      </c>
      <c r="G677" s="75" t="str">
        <f t="array" ref="G677">IFERROR(INDEX(#REF!,MATCH('S-BOM'!$C677,RM!$C$4:$C1003,0)),"")</f>
        <v/>
      </c>
      <c r="H677" s="75" t="str">
        <f t="shared" si="5"/>
        <v/>
      </c>
      <c r="I677" s="76"/>
    </row>
    <row r="678" spans="1:9" ht="15.75" customHeight="1">
      <c r="A678" s="69" t="str">
        <f t="shared" si="4"/>
        <v/>
      </c>
      <c r="B678" s="70"/>
      <c r="C678" s="70"/>
      <c r="D678" s="77"/>
      <c r="E678" s="73" t="str">
        <f>IF(B678="","",VLOOKUP(C678,RM!$C$4:$F1003,3,FALSE))</f>
        <v/>
      </c>
      <c r="F678" s="74" t="str">
        <f>IF(B678="","",IFERROR(SUMIFS(Issue!$D$3:$D1013,Issue!$C$3:$C1013,'S-BOM'!$B678)*'S-BOM'!$D678,""))</f>
        <v/>
      </c>
      <c r="G678" s="75" t="str">
        <f t="array" ref="G678">IFERROR(INDEX(#REF!,MATCH('S-BOM'!$C678,RM!$C$4:$C1003,0)),"")</f>
        <v/>
      </c>
      <c r="H678" s="75" t="str">
        <f t="shared" si="5"/>
        <v/>
      </c>
      <c r="I678" s="76"/>
    </row>
    <row r="679" spans="1:9" ht="15.75" customHeight="1">
      <c r="A679" s="69" t="str">
        <f t="shared" si="4"/>
        <v/>
      </c>
      <c r="B679" s="70"/>
      <c r="C679" s="70"/>
      <c r="D679" s="77"/>
      <c r="E679" s="73" t="str">
        <f>IF(B679="","",VLOOKUP(C679,RM!$C$4:$F1003,3,FALSE))</f>
        <v/>
      </c>
      <c r="F679" s="74" t="str">
        <f>IF(B679="","",IFERROR(SUMIFS(Issue!$D$3:$D1013,Issue!$C$3:$C1013,'S-BOM'!$B679)*'S-BOM'!$D679,""))</f>
        <v/>
      </c>
      <c r="G679" s="75" t="str">
        <f t="array" ref="G679">IFERROR(INDEX(#REF!,MATCH('S-BOM'!$C679,RM!$C$4:$C1003,0)),"")</f>
        <v/>
      </c>
      <c r="H679" s="75" t="str">
        <f t="shared" si="5"/>
        <v/>
      </c>
      <c r="I679" s="76"/>
    </row>
    <row r="680" spans="1:9" ht="15.75" customHeight="1">
      <c r="A680" s="69" t="str">
        <f t="shared" si="4"/>
        <v/>
      </c>
      <c r="B680" s="70"/>
      <c r="C680" s="70"/>
      <c r="D680" s="77"/>
      <c r="E680" s="73" t="str">
        <f>IF(B680="","",VLOOKUP(C680,RM!$C$4:$F1003,3,FALSE))</f>
        <v/>
      </c>
      <c r="F680" s="74" t="str">
        <f>IF(B680="","",IFERROR(SUMIFS(Issue!$D$3:$D1013,Issue!$C$3:$C1013,'S-BOM'!$B680)*'S-BOM'!$D680,""))</f>
        <v/>
      </c>
      <c r="G680" s="75" t="str">
        <f t="array" ref="G680">IFERROR(INDEX(#REF!,MATCH('S-BOM'!$C680,RM!$C$4:$C1003,0)),"")</f>
        <v/>
      </c>
      <c r="H680" s="75" t="str">
        <f t="shared" si="5"/>
        <v/>
      </c>
      <c r="I680" s="76"/>
    </row>
    <row r="681" spans="1:9" ht="15.75" customHeight="1">
      <c r="A681" s="69" t="str">
        <f t="shared" si="4"/>
        <v/>
      </c>
      <c r="B681" s="70"/>
      <c r="C681" s="70"/>
      <c r="D681" s="77"/>
      <c r="E681" s="73" t="str">
        <f>IF(B681="","",VLOOKUP(C681,RM!$C$4:$F1003,3,FALSE))</f>
        <v/>
      </c>
      <c r="F681" s="74" t="str">
        <f>IF(B681="","",IFERROR(SUMIFS(Issue!$D$3:$D1013,Issue!$C$3:$C1013,'S-BOM'!$B681)*'S-BOM'!$D681,""))</f>
        <v/>
      </c>
      <c r="G681" s="75" t="str">
        <f t="array" ref="G681">IFERROR(INDEX(#REF!,MATCH('S-BOM'!$C681,RM!$C$4:$C1003,0)),"")</f>
        <v/>
      </c>
      <c r="H681" s="75" t="str">
        <f t="shared" si="5"/>
        <v/>
      </c>
      <c r="I681" s="76"/>
    </row>
    <row r="682" spans="1:9" ht="15.75" customHeight="1">
      <c r="A682" s="69" t="str">
        <f t="shared" si="4"/>
        <v/>
      </c>
      <c r="B682" s="70"/>
      <c r="C682" s="70"/>
      <c r="D682" s="77"/>
      <c r="E682" s="73" t="str">
        <f>IF(B682="","",VLOOKUP(C682,RM!$C$4:$F1003,3,FALSE))</f>
        <v/>
      </c>
      <c r="F682" s="74" t="str">
        <f>IF(B682="","",IFERROR(SUMIFS(Issue!$D$3:$D1013,Issue!$C$3:$C1013,'S-BOM'!$B682)*'S-BOM'!$D682,""))</f>
        <v/>
      </c>
      <c r="G682" s="75" t="str">
        <f t="array" ref="G682">IFERROR(INDEX(#REF!,MATCH('S-BOM'!$C682,RM!$C$4:$C1003,0)),"")</f>
        <v/>
      </c>
      <c r="H682" s="75" t="str">
        <f t="shared" si="5"/>
        <v/>
      </c>
      <c r="I682" s="76"/>
    </row>
    <row r="683" spans="1:9" ht="15.75" customHeight="1">
      <c r="A683" s="69" t="str">
        <f t="shared" si="4"/>
        <v/>
      </c>
      <c r="B683" s="70"/>
      <c r="C683" s="70"/>
      <c r="D683" s="77"/>
      <c r="E683" s="73" t="str">
        <f>IF(B683="","",VLOOKUP(C683,RM!$C$4:$F1003,3,FALSE))</f>
        <v/>
      </c>
      <c r="F683" s="74" t="str">
        <f>IF(B683="","",IFERROR(SUMIFS(Issue!$D$3:$D1013,Issue!$C$3:$C1013,'S-BOM'!$B683)*'S-BOM'!$D683,""))</f>
        <v/>
      </c>
      <c r="G683" s="75" t="str">
        <f t="array" ref="G683">IFERROR(INDEX(#REF!,MATCH('S-BOM'!$C683,RM!$C$4:$C1003,0)),"")</f>
        <v/>
      </c>
      <c r="H683" s="75" t="str">
        <f t="shared" si="5"/>
        <v/>
      </c>
      <c r="I683" s="76"/>
    </row>
    <row r="684" spans="1:9" ht="15.75" customHeight="1">
      <c r="A684" s="69" t="str">
        <f t="shared" si="4"/>
        <v/>
      </c>
      <c r="B684" s="70"/>
      <c r="C684" s="70"/>
      <c r="D684" s="77"/>
      <c r="E684" s="73" t="str">
        <f>IF(B684="","",VLOOKUP(C684,RM!$C$4:$F1003,3,FALSE))</f>
        <v/>
      </c>
      <c r="F684" s="74" t="str">
        <f>IF(B684="","",IFERROR(SUMIFS(Issue!$D$3:$D1013,Issue!$C$3:$C1013,'S-BOM'!$B684)*'S-BOM'!$D684,""))</f>
        <v/>
      </c>
      <c r="G684" s="75" t="str">
        <f t="array" ref="G684">IFERROR(INDEX(#REF!,MATCH('S-BOM'!$C684,RM!$C$4:$C1003,0)),"")</f>
        <v/>
      </c>
      <c r="H684" s="75" t="str">
        <f t="shared" si="5"/>
        <v/>
      </c>
      <c r="I684" s="76"/>
    </row>
    <row r="685" spans="1:9" ht="15.75" customHeight="1">
      <c r="A685" s="69" t="str">
        <f t="shared" si="4"/>
        <v/>
      </c>
      <c r="B685" s="70"/>
      <c r="C685" s="70"/>
      <c r="D685" s="77"/>
      <c r="E685" s="73" t="str">
        <f>IF(B685="","",VLOOKUP(C685,RM!$C$4:$F1003,3,FALSE))</f>
        <v/>
      </c>
      <c r="F685" s="74" t="str">
        <f>IF(B685="","",IFERROR(SUMIFS(Issue!$D$3:$D1013,Issue!$C$3:$C1013,'S-BOM'!$B685)*'S-BOM'!$D685,""))</f>
        <v/>
      </c>
      <c r="G685" s="75" t="str">
        <f t="array" ref="G685">IFERROR(INDEX(#REF!,MATCH('S-BOM'!$C685,RM!$C$4:$C1003,0)),"")</f>
        <v/>
      </c>
      <c r="H685" s="75" t="str">
        <f t="shared" si="5"/>
        <v/>
      </c>
      <c r="I685" s="76"/>
    </row>
    <row r="686" spans="1:9" ht="15.75" customHeight="1">
      <c r="A686" s="69" t="str">
        <f t="shared" si="4"/>
        <v/>
      </c>
      <c r="B686" s="70"/>
      <c r="C686" s="70"/>
      <c r="D686" s="77"/>
      <c r="E686" s="73" t="str">
        <f>IF(B686="","",VLOOKUP(C686,RM!$C$4:$F1003,3,FALSE))</f>
        <v/>
      </c>
      <c r="F686" s="74" t="str">
        <f>IF(B686="","",IFERROR(SUMIFS(Issue!$D$3:$D1013,Issue!$C$3:$C1013,'S-BOM'!$B686)*'S-BOM'!$D686,""))</f>
        <v/>
      </c>
      <c r="G686" s="75" t="str">
        <f t="array" ref="G686">IFERROR(INDEX(#REF!,MATCH('S-BOM'!$C686,RM!$C$4:$C1003,0)),"")</f>
        <v/>
      </c>
      <c r="H686" s="75" t="str">
        <f t="shared" si="5"/>
        <v/>
      </c>
      <c r="I686" s="76"/>
    </row>
    <row r="687" spans="1:9" ht="15.75" customHeight="1">
      <c r="A687" s="69" t="str">
        <f t="shared" si="4"/>
        <v/>
      </c>
      <c r="B687" s="70"/>
      <c r="C687" s="70"/>
      <c r="D687" s="77"/>
      <c r="E687" s="73" t="str">
        <f>IF(B687="","",VLOOKUP(C687,RM!$C$4:$F1003,3,FALSE))</f>
        <v/>
      </c>
      <c r="F687" s="74" t="str">
        <f>IF(B687="","",IFERROR(SUMIFS(Issue!$D$3:$D1013,Issue!$C$3:$C1013,'S-BOM'!$B687)*'S-BOM'!$D687,""))</f>
        <v/>
      </c>
      <c r="G687" s="75" t="str">
        <f t="array" ref="G687">IFERROR(INDEX(#REF!,MATCH('S-BOM'!$C687,RM!$C$4:$C1003,0)),"")</f>
        <v/>
      </c>
      <c r="H687" s="75" t="str">
        <f t="shared" si="5"/>
        <v/>
      </c>
      <c r="I687" s="76"/>
    </row>
    <row r="688" spans="1:9" ht="15.75" customHeight="1">
      <c r="A688" s="69" t="str">
        <f t="shared" si="4"/>
        <v/>
      </c>
      <c r="B688" s="70"/>
      <c r="C688" s="70"/>
      <c r="D688" s="77"/>
      <c r="E688" s="73" t="str">
        <f>IF(B688="","",VLOOKUP(C688,RM!$C$4:$F1003,3,FALSE))</f>
        <v/>
      </c>
      <c r="F688" s="74" t="str">
        <f>IF(B688="","",IFERROR(SUMIFS(Issue!$D$3:$D1013,Issue!$C$3:$C1013,'S-BOM'!$B688)*'S-BOM'!$D688,""))</f>
        <v/>
      </c>
      <c r="G688" s="75" t="str">
        <f t="array" ref="G688">IFERROR(INDEX(#REF!,MATCH('S-BOM'!$C688,RM!$C$4:$C1003,0)),"")</f>
        <v/>
      </c>
      <c r="H688" s="75" t="str">
        <f t="shared" si="5"/>
        <v/>
      </c>
      <c r="I688" s="76"/>
    </row>
    <row r="689" spans="1:9" ht="15.75" customHeight="1">
      <c r="A689" s="69" t="str">
        <f t="shared" si="4"/>
        <v/>
      </c>
      <c r="B689" s="70"/>
      <c r="C689" s="70"/>
      <c r="D689" s="77"/>
      <c r="E689" s="73" t="str">
        <f>IF(B689="","",VLOOKUP(C689,RM!$C$4:$F1003,3,FALSE))</f>
        <v/>
      </c>
      <c r="F689" s="74" t="str">
        <f>IF(B689="","",IFERROR(SUMIFS(Issue!$D$3:$D1013,Issue!$C$3:$C1013,'S-BOM'!$B689)*'S-BOM'!$D689,""))</f>
        <v/>
      </c>
      <c r="G689" s="75" t="str">
        <f t="array" ref="G689">IFERROR(INDEX(#REF!,MATCH('S-BOM'!$C689,RM!$C$4:$C1003,0)),"")</f>
        <v/>
      </c>
      <c r="H689" s="75" t="str">
        <f t="shared" si="5"/>
        <v/>
      </c>
      <c r="I689" s="76"/>
    </row>
    <row r="690" spans="1:9" ht="15.75" customHeight="1">
      <c r="A690" s="69" t="str">
        <f t="shared" si="4"/>
        <v/>
      </c>
      <c r="B690" s="70"/>
      <c r="C690" s="70"/>
      <c r="D690" s="77"/>
      <c r="E690" s="73" t="str">
        <f>IF(B690="","",VLOOKUP(C690,RM!$C$4:$F1003,3,FALSE))</f>
        <v/>
      </c>
      <c r="F690" s="74" t="str">
        <f>IF(B690="","",IFERROR(SUMIFS(Issue!$D$3:$D1013,Issue!$C$3:$C1013,'S-BOM'!$B690)*'S-BOM'!$D690,""))</f>
        <v/>
      </c>
      <c r="G690" s="75" t="str">
        <f t="array" ref="G690">IFERROR(INDEX(#REF!,MATCH('S-BOM'!$C690,RM!$C$4:$C1003,0)),"")</f>
        <v/>
      </c>
      <c r="H690" s="75" t="str">
        <f t="shared" si="5"/>
        <v/>
      </c>
      <c r="I690" s="76"/>
    </row>
    <row r="691" spans="1:9" ht="15.75" customHeight="1">
      <c r="A691" s="69" t="str">
        <f t="shared" si="4"/>
        <v/>
      </c>
      <c r="B691" s="70"/>
      <c r="C691" s="70"/>
      <c r="D691" s="77"/>
      <c r="E691" s="73" t="str">
        <f>IF(B691="","",VLOOKUP(C691,RM!$C$4:$F1003,3,FALSE))</f>
        <v/>
      </c>
      <c r="F691" s="74" t="str">
        <f>IF(B691="","",IFERROR(SUMIFS(Issue!$D$3:$D1013,Issue!$C$3:$C1013,'S-BOM'!$B691)*'S-BOM'!$D691,""))</f>
        <v/>
      </c>
      <c r="G691" s="75" t="str">
        <f t="array" ref="G691">IFERROR(INDEX(#REF!,MATCH('S-BOM'!$C691,RM!$C$4:$C1003,0)),"")</f>
        <v/>
      </c>
      <c r="H691" s="75" t="str">
        <f t="shared" si="5"/>
        <v/>
      </c>
      <c r="I691" s="76"/>
    </row>
    <row r="692" spans="1:9" ht="15.75" customHeight="1">
      <c r="A692" s="69" t="str">
        <f t="shared" si="4"/>
        <v/>
      </c>
      <c r="B692" s="70"/>
      <c r="C692" s="70"/>
      <c r="D692" s="77"/>
      <c r="E692" s="73" t="str">
        <f>IF(B692="","",VLOOKUP(C692,RM!$C$4:$F1003,3,FALSE))</f>
        <v/>
      </c>
      <c r="F692" s="74" t="str">
        <f>IF(B692="","",IFERROR(SUMIFS(Issue!$D$3:$D1013,Issue!$C$3:$C1013,'S-BOM'!$B692)*'S-BOM'!$D692,""))</f>
        <v/>
      </c>
      <c r="G692" s="75" t="str">
        <f t="array" ref="G692">IFERROR(INDEX(#REF!,MATCH('S-BOM'!$C692,RM!$C$4:$C1003,0)),"")</f>
        <v/>
      </c>
      <c r="H692" s="75" t="str">
        <f t="shared" si="5"/>
        <v/>
      </c>
      <c r="I692" s="76"/>
    </row>
    <row r="693" spans="1:9" ht="15.75" customHeight="1">
      <c r="A693" s="69" t="str">
        <f t="shared" si="4"/>
        <v/>
      </c>
      <c r="B693" s="70"/>
      <c r="C693" s="70"/>
      <c r="D693" s="77"/>
      <c r="E693" s="73" t="str">
        <f>IF(B693="","",VLOOKUP(C693,RM!$C$4:$F1003,3,FALSE))</f>
        <v/>
      </c>
      <c r="F693" s="74" t="str">
        <f>IF(B693="","",IFERROR(SUMIFS(Issue!$D$3:$D1013,Issue!$C$3:$C1013,'S-BOM'!$B693)*'S-BOM'!$D693,""))</f>
        <v/>
      </c>
      <c r="G693" s="75" t="str">
        <f t="array" ref="G693">IFERROR(INDEX(#REF!,MATCH('S-BOM'!$C693,RM!$C$4:$C1003,0)),"")</f>
        <v/>
      </c>
      <c r="H693" s="75" t="str">
        <f t="shared" si="5"/>
        <v/>
      </c>
      <c r="I693" s="76"/>
    </row>
    <row r="694" spans="1:9" ht="15.75" customHeight="1">
      <c r="A694" s="69" t="str">
        <f t="shared" si="4"/>
        <v/>
      </c>
      <c r="B694" s="70"/>
      <c r="C694" s="70"/>
      <c r="D694" s="77"/>
      <c r="E694" s="73" t="str">
        <f>IF(B694="","",VLOOKUP(C694,RM!$C$4:$F1003,3,FALSE))</f>
        <v/>
      </c>
      <c r="F694" s="74" t="str">
        <f>IF(B694="","",IFERROR(SUMIFS(Issue!$D$3:$D1013,Issue!$C$3:$C1013,'S-BOM'!$B694)*'S-BOM'!$D694,""))</f>
        <v/>
      </c>
      <c r="G694" s="75" t="str">
        <f t="array" ref="G694">IFERROR(INDEX(#REF!,MATCH('S-BOM'!$C694,RM!$C$4:$C1003,0)),"")</f>
        <v/>
      </c>
      <c r="H694" s="75" t="str">
        <f t="shared" si="5"/>
        <v/>
      </c>
      <c r="I694" s="76"/>
    </row>
    <row r="695" spans="1:9" ht="15.75" customHeight="1">
      <c r="A695" s="69" t="str">
        <f t="shared" si="4"/>
        <v/>
      </c>
      <c r="B695" s="70"/>
      <c r="C695" s="70"/>
      <c r="D695" s="77"/>
      <c r="E695" s="73" t="str">
        <f>IF(B695="","",VLOOKUP(C695,RM!$C$4:$F1003,3,FALSE))</f>
        <v/>
      </c>
      <c r="F695" s="74" t="str">
        <f>IF(B695="","",IFERROR(SUMIFS(Issue!$D$3:$D1013,Issue!$C$3:$C1013,'S-BOM'!$B695)*'S-BOM'!$D695,""))</f>
        <v/>
      </c>
      <c r="G695" s="75" t="str">
        <f t="array" ref="G695">IFERROR(INDEX(#REF!,MATCH('S-BOM'!$C695,RM!$C$4:$C1003,0)),"")</f>
        <v/>
      </c>
      <c r="H695" s="75" t="str">
        <f t="shared" si="5"/>
        <v/>
      </c>
      <c r="I695" s="76"/>
    </row>
    <row r="696" spans="1:9" ht="15.75" customHeight="1">
      <c r="A696" s="69" t="str">
        <f t="shared" si="4"/>
        <v/>
      </c>
      <c r="B696" s="70"/>
      <c r="C696" s="70"/>
      <c r="D696" s="77"/>
      <c r="E696" s="73" t="str">
        <f>IF(B696="","",VLOOKUP(C696,RM!$C$4:$F1003,3,FALSE))</f>
        <v/>
      </c>
      <c r="F696" s="74" t="str">
        <f>IF(B696="","",IFERROR(SUMIFS(Issue!$D$3:$D1013,Issue!$C$3:$C1013,'S-BOM'!$B696)*'S-BOM'!$D696,""))</f>
        <v/>
      </c>
      <c r="G696" s="75" t="str">
        <f t="array" ref="G696">IFERROR(INDEX(#REF!,MATCH('S-BOM'!$C696,RM!$C$4:$C1003,0)),"")</f>
        <v/>
      </c>
      <c r="H696" s="75" t="str">
        <f t="shared" si="5"/>
        <v/>
      </c>
      <c r="I696" s="76"/>
    </row>
    <row r="697" spans="1:9" ht="15.75" customHeight="1">
      <c r="A697" s="69" t="str">
        <f t="shared" si="4"/>
        <v/>
      </c>
      <c r="B697" s="70"/>
      <c r="C697" s="70"/>
      <c r="D697" s="77"/>
      <c r="E697" s="73" t="str">
        <f>IF(B697="","",VLOOKUP(C697,RM!$C$4:$F1003,3,FALSE))</f>
        <v/>
      </c>
      <c r="F697" s="74" t="str">
        <f>IF(B697="","",IFERROR(SUMIFS(Issue!$D$3:$D1013,Issue!$C$3:$C1013,'S-BOM'!$B697)*'S-BOM'!$D697,""))</f>
        <v/>
      </c>
      <c r="G697" s="75" t="str">
        <f t="array" ref="G697">IFERROR(INDEX(#REF!,MATCH('S-BOM'!$C697,RM!$C$4:$C1003,0)),"")</f>
        <v/>
      </c>
      <c r="H697" s="75" t="str">
        <f t="shared" si="5"/>
        <v/>
      </c>
      <c r="I697" s="76"/>
    </row>
    <row r="698" spans="1:9" ht="15.75" customHeight="1">
      <c r="A698" s="69" t="str">
        <f t="shared" si="4"/>
        <v/>
      </c>
      <c r="B698" s="70"/>
      <c r="C698" s="70"/>
      <c r="D698" s="77"/>
      <c r="E698" s="73" t="str">
        <f>IF(B698="","",VLOOKUP(C698,RM!$C$4:$F1003,3,FALSE))</f>
        <v/>
      </c>
      <c r="F698" s="74" t="str">
        <f>IF(B698="","",IFERROR(SUMIFS(Issue!$D$3:$D1013,Issue!$C$3:$C1013,'S-BOM'!$B698)*'S-BOM'!$D698,""))</f>
        <v/>
      </c>
      <c r="G698" s="75" t="str">
        <f t="array" ref="G698">IFERROR(INDEX(#REF!,MATCH('S-BOM'!$C698,RM!$C$4:$C1003,0)),"")</f>
        <v/>
      </c>
      <c r="H698" s="75" t="str">
        <f t="shared" si="5"/>
        <v/>
      </c>
      <c r="I698" s="76"/>
    </row>
    <row r="699" spans="1:9" ht="15.75" customHeight="1">
      <c r="A699" s="69" t="str">
        <f t="shared" si="4"/>
        <v/>
      </c>
      <c r="B699" s="70"/>
      <c r="C699" s="70"/>
      <c r="D699" s="77"/>
      <c r="E699" s="73" t="str">
        <f>IF(B699="","",VLOOKUP(C699,RM!$C$4:$F1003,3,FALSE))</f>
        <v/>
      </c>
      <c r="F699" s="74" t="str">
        <f>IF(B699="","",IFERROR(SUMIFS(Issue!$D$3:$D1013,Issue!$C$3:$C1013,'S-BOM'!$B699)*'S-BOM'!$D699,""))</f>
        <v/>
      </c>
      <c r="G699" s="75" t="str">
        <f t="array" ref="G699">IFERROR(INDEX(#REF!,MATCH('S-BOM'!$C699,RM!$C$4:$C1003,0)),"")</f>
        <v/>
      </c>
      <c r="H699" s="75" t="str">
        <f t="shared" si="5"/>
        <v/>
      </c>
      <c r="I699" s="76"/>
    </row>
    <row r="700" spans="1:9" ht="15.75" customHeight="1">
      <c r="A700" s="69" t="str">
        <f t="shared" si="4"/>
        <v/>
      </c>
      <c r="B700" s="70"/>
      <c r="C700" s="70"/>
      <c r="D700" s="77"/>
      <c r="E700" s="73" t="str">
        <f>IF(B700="","",VLOOKUP(C700,RM!$C$4:$F1003,3,FALSE))</f>
        <v/>
      </c>
      <c r="F700" s="74" t="str">
        <f>IF(B700="","",IFERROR(SUMIFS(Issue!$D$3:$D1013,Issue!$C$3:$C1013,'S-BOM'!$B700)*'S-BOM'!$D700,""))</f>
        <v/>
      </c>
      <c r="G700" s="75" t="str">
        <f t="array" ref="G700">IFERROR(INDEX(#REF!,MATCH('S-BOM'!$C700,RM!$C$4:$C1003,0)),"")</f>
        <v/>
      </c>
      <c r="H700" s="75" t="str">
        <f t="shared" si="5"/>
        <v/>
      </c>
      <c r="I700" s="76"/>
    </row>
    <row r="701" spans="1:9" ht="15.75" customHeight="1">
      <c r="A701" s="69" t="str">
        <f t="shared" si="4"/>
        <v/>
      </c>
      <c r="B701" s="70"/>
      <c r="C701" s="70"/>
      <c r="D701" s="77"/>
      <c r="E701" s="73" t="str">
        <f>IF(B701="","",VLOOKUP(C701,RM!$C$4:$F1003,3,FALSE))</f>
        <v/>
      </c>
      <c r="F701" s="74" t="str">
        <f>IF(B701="","",IFERROR(SUMIFS(Issue!$D$3:$D1013,Issue!$C$3:$C1013,'S-BOM'!$B701)*'S-BOM'!$D701,""))</f>
        <v/>
      </c>
      <c r="G701" s="75" t="str">
        <f t="array" ref="G701">IFERROR(INDEX(#REF!,MATCH('S-BOM'!$C701,RM!$C$4:$C1003,0)),"")</f>
        <v/>
      </c>
      <c r="H701" s="75" t="str">
        <f t="shared" si="5"/>
        <v/>
      </c>
      <c r="I701" s="76"/>
    </row>
    <row r="702" spans="1:9" ht="15.75" customHeight="1">
      <c r="A702" s="69" t="str">
        <f t="shared" si="4"/>
        <v/>
      </c>
      <c r="B702" s="70"/>
      <c r="C702" s="70"/>
      <c r="D702" s="77"/>
      <c r="E702" s="73" t="str">
        <f>IF(B702="","",VLOOKUP(C702,RM!$C$4:$F1003,3,FALSE))</f>
        <v/>
      </c>
      <c r="F702" s="74" t="str">
        <f>IF(B702="","",IFERROR(SUMIFS(Issue!$D$3:$D1013,Issue!$C$3:$C1013,'S-BOM'!$B702)*'S-BOM'!$D702,""))</f>
        <v/>
      </c>
      <c r="G702" s="75" t="str">
        <f t="array" ref="G702">IFERROR(INDEX(#REF!,MATCH('S-BOM'!$C702,RM!$C$4:$C1003,0)),"")</f>
        <v/>
      </c>
      <c r="H702" s="75" t="str">
        <f t="shared" si="5"/>
        <v/>
      </c>
      <c r="I702" s="76"/>
    </row>
    <row r="703" spans="1:9" ht="15.75" customHeight="1">
      <c r="A703" s="69" t="str">
        <f t="shared" si="4"/>
        <v/>
      </c>
      <c r="B703" s="70"/>
      <c r="C703" s="70"/>
      <c r="D703" s="77"/>
      <c r="E703" s="73" t="str">
        <f>IF(B703="","",VLOOKUP(C703,RM!$C$4:$F1003,3,FALSE))</f>
        <v/>
      </c>
      <c r="F703" s="74" t="str">
        <f>IF(B703="","",IFERROR(SUMIFS(Issue!$D$3:$D1013,Issue!$C$3:$C1013,'S-BOM'!$B703)*'S-BOM'!$D703,""))</f>
        <v/>
      </c>
      <c r="G703" s="75" t="str">
        <f t="array" ref="G703">IFERROR(INDEX(#REF!,MATCH('S-BOM'!$C703,RM!$C$4:$C1003,0)),"")</f>
        <v/>
      </c>
      <c r="H703" s="75" t="str">
        <f t="shared" si="5"/>
        <v/>
      </c>
      <c r="I703" s="76"/>
    </row>
    <row r="704" spans="1:9" ht="15.75" customHeight="1">
      <c r="A704" s="69" t="str">
        <f t="shared" si="4"/>
        <v/>
      </c>
      <c r="B704" s="70"/>
      <c r="C704" s="70"/>
      <c r="D704" s="77"/>
      <c r="E704" s="73" t="str">
        <f>IF(B704="","",VLOOKUP(C704,RM!$C$4:$F1003,3,FALSE))</f>
        <v/>
      </c>
      <c r="F704" s="74" t="str">
        <f>IF(B704="","",IFERROR(SUMIFS(Issue!$D$3:$D1013,Issue!$C$3:$C1013,'S-BOM'!$B704)*'S-BOM'!$D704,""))</f>
        <v/>
      </c>
      <c r="G704" s="75" t="str">
        <f t="array" ref="G704">IFERROR(INDEX(#REF!,MATCH('S-BOM'!$C704,RM!$C$4:$C1003,0)),"")</f>
        <v/>
      </c>
      <c r="H704" s="75" t="str">
        <f t="shared" si="5"/>
        <v/>
      </c>
      <c r="I704" s="76"/>
    </row>
    <row r="705" spans="1:9" ht="15.75" customHeight="1">
      <c r="A705" s="69" t="str">
        <f t="shared" si="4"/>
        <v/>
      </c>
      <c r="B705" s="70"/>
      <c r="C705" s="70"/>
      <c r="D705" s="77"/>
      <c r="E705" s="73" t="str">
        <f>IF(B705="","",VLOOKUP(C705,RM!$C$4:$F1003,3,FALSE))</f>
        <v/>
      </c>
      <c r="F705" s="74" t="str">
        <f>IF(B705="","",IFERROR(SUMIFS(Issue!$D$3:$D1013,Issue!$C$3:$C1013,'S-BOM'!$B705)*'S-BOM'!$D705,""))</f>
        <v/>
      </c>
      <c r="G705" s="75" t="str">
        <f t="array" ref="G705">IFERROR(INDEX(#REF!,MATCH('S-BOM'!$C705,RM!$C$4:$C1003,0)),"")</f>
        <v/>
      </c>
      <c r="H705" s="75" t="str">
        <f t="shared" si="5"/>
        <v/>
      </c>
      <c r="I705" s="76"/>
    </row>
    <row r="706" spans="1:9" ht="15.75" customHeight="1">
      <c r="A706" s="69" t="str">
        <f t="shared" si="4"/>
        <v/>
      </c>
      <c r="B706" s="70"/>
      <c r="C706" s="70"/>
      <c r="D706" s="77"/>
      <c r="E706" s="73" t="str">
        <f>IF(B706="","",VLOOKUP(C706,RM!$C$4:$F1003,3,FALSE))</f>
        <v/>
      </c>
      <c r="F706" s="74" t="str">
        <f>IF(B706="","",IFERROR(SUMIFS(Issue!$D$3:$D1013,Issue!$C$3:$C1013,'S-BOM'!$B706)*'S-BOM'!$D706,""))</f>
        <v/>
      </c>
      <c r="G706" s="75" t="str">
        <f t="array" ref="G706">IFERROR(INDEX(#REF!,MATCH('S-BOM'!$C706,RM!$C$4:$C1003,0)),"")</f>
        <v/>
      </c>
      <c r="H706" s="75" t="str">
        <f t="shared" si="5"/>
        <v/>
      </c>
      <c r="I706" s="76"/>
    </row>
    <row r="707" spans="1:9" ht="15.75" customHeight="1">
      <c r="A707" s="69" t="str">
        <f t="shared" si="4"/>
        <v/>
      </c>
      <c r="B707" s="70"/>
      <c r="C707" s="70"/>
      <c r="D707" s="77"/>
      <c r="E707" s="73" t="str">
        <f>IF(B707="","",VLOOKUP(C707,RM!$C$4:$F1003,3,FALSE))</f>
        <v/>
      </c>
      <c r="F707" s="74" t="str">
        <f>IF(B707="","",IFERROR(SUMIFS(Issue!$D$3:$D1013,Issue!$C$3:$C1013,'S-BOM'!$B707)*'S-BOM'!$D707,""))</f>
        <v/>
      </c>
      <c r="G707" s="75" t="str">
        <f t="array" ref="G707">IFERROR(INDEX(#REF!,MATCH('S-BOM'!$C707,RM!$C$4:$C1003,0)),"")</f>
        <v/>
      </c>
      <c r="H707" s="75" t="str">
        <f t="shared" si="5"/>
        <v/>
      </c>
      <c r="I707" s="76"/>
    </row>
    <row r="708" spans="1:9" ht="15.75" customHeight="1">
      <c r="A708" s="69" t="str">
        <f t="shared" si="4"/>
        <v/>
      </c>
      <c r="B708" s="70"/>
      <c r="C708" s="70"/>
      <c r="D708" s="77"/>
      <c r="E708" s="73" t="str">
        <f>IF(B708="","",VLOOKUP(C708,RM!$C$4:$F1003,3,FALSE))</f>
        <v/>
      </c>
      <c r="F708" s="74" t="str">
        <f>IF(B708="","",IFERROR(SUMIFS(Issue!$D$3:$D1013,Issue!$C$3:$C1013,'S-BOM'!$B708)*'S-BOM'!$D708,""))</f>
        <v/>
      </c>
      <c r="G708" s="75" t="str">
        <f t="array" ref="G708">IFERROR(INDEX(#REF!,MATCH('S-BOM'!$C708,RM!$C$4:$C1003,0)),"")</f>
        <v/>
      </c>
      <c r="H708" s="75" t="str">
        <f t="shared" si="5"/>
        <v/>
      </c>
      <c r="I708" s="76"/>
    </row>
    <row r="709" spans="1:9" ht="15.75" customHeight="1">
      <c r="A709" s="69" t="str">
        <f t="shared" si="4"/>
        <v/>
      </c>
      <c r="B709" s="70"/>
      <c r="C709" s="70"/>
      <c r="D709" s="77"/>
      <c r="E709" s="73" t="str">
        <f>IF(B709="","",VLOOKUP(C709,RM!$C$4:$F1003,3,FALSE))</f>
        <v/>
      </c>
      <c r="F709" s="74" t="str">
        <f>IF(B709="","",IFERROR(SUMIFS(Issue!$D$3:$D1013,Issue!$C$3:$C1013,'S-BOM'!$B709)*'S-BOM'!$D709,""))</f>
        <v/>
      </c>
      <c r="G709" s="75" t="str">
        <f t="array" ref="G709">IFERROR(INDEX(#REF!,MATCH('S-BOM'!$C709,RM!$C$4:$C1003,0)),"")</f>
        <v/>
      </c>
      <c r="H709" s="75" t="str">
        <f t="shared" si="5"/>
        <v/>
      </c>
      <c r="I709" s="76"/>
    </row>
    <row r="710" spans="1:9" ht="15.75" customHeight="1">
      <c r="A710" s="69" t="str">
        <f t="shared" si="4"/>
        <v/>
      </c>
      <c r="B710" s="70"/>
      <c r="C710" s="70"/>
      <c r="D710" s="77"/>
      <c r="E710" s="73" t="str">
        <f>IF(B710="","",VLOOKUP(C710,RM!$C$4:$F1003,3,FALSE))</f>
        <v/>
      </c>
      <c r="F710" s="74" t="str">
        <f>IF(B710="","",IFERROR(SUMIFS(Issue!$D$3:$D1013,Issue!$C$3:$C1013,'S-BOM'!$B710)*'S-BOM'!$D710,""))</f>
        <v/>
      </c>
      <c r="G710" s="75" t="str">
        <f t="array" ref="G710">IFERROR(INDEX(#REF!,MATCH('S-BOM'!$C710,RM!$C$4:$C1003,0)),"")</f>
        <v/>
      </c>
      <c r="H710" s="75" t="str">
        <f t="shared" si="5"/>
        <v/>
      </c>
      <c r="I710" s="76"/>
    </row>
    <row r="711" spans="1:9" ht="15.75" customHeight="1">
      <c r="A711" s="69" t="str">
        <f t="shared" si="4"/>
        <v/>
      </c>
      <c r="B711" s="70"/>
      <c r="C711" s="70"/>
      <c r="D711" s="77"/>
      <c r="E711" s="73" t="str">
        <f>IF(B711="","",VLOOKUP(C711,RM!$C$4:$F1003,3,FALSE))</f>
        <v/>
      </c>
      <c r="F711" s="74" t="str">
        <f>IF(B711="","",IFERROR(SUMIFS(Issue!$D$3:$D1013,Issue!$C$3:$C1013,'S-BOM'!$B711)*'S-BOM'!$D711,""))</f>
        <v/>
      </c>
      <c r="G711" s="75" t="str">
        <f t="array" ref="G711">IFERROR(INDEX(#REF!,MATCH('S-BOM'!$C711,RM!$C$4:$C1003,0)),"")</f>
        <v/>
      </c>
      <c r="H711" s="75" t="str">
        <f t="shared" si="5"/>
        <v/>
      </c>
      <c r="I711" s="76"/>
    </row>
    <row r="712" spans="1:9" ht="15.75" customHeight="1">
      <c r="A712" s="69" t="str">
        <f t="shared" si="4"/>
        <v/>
      </c>
      <c r="B712" s="70"/>
      <c r="C712" s="70"/>
      <c r="D712" s="77"/>
      <c r="E712" s="73" t="str">
        <f>IF(B712="","",VLOOKUP(C712,RM!$C$4:$F1003,3,FALSE))</f>
        <v/>
      </c>
      <c r="F712" s="74" t="str">
        <f>IF(B712="","",IFERROR(SUMIFS(Issue!$D$3:$D1013,Issue!$C$3:$C1013,'S-BOM'!$B712)*'S-BOM'!$D712,""))</f>
        <v/>
      </c>
      <c r="G712" s="75" t="str">
        <f t="array" ref="G712">IFERROR(INDEX(#REF!,MATCH('S-BOM'!$C712,RM!$C$4:$C1003,0)),"")</f>
        <v/>
      </c>
      <c r="H712" s="75" t="str">
        <f t="shared" si="5"/>
        <v/>
      </c>
      <c r="I712" s="76"/>
    </row>
    <row r="713" spans="1:9" ht="15.75" customHeight="1">
      <c r="A713" s="69" t="str">
        <f t="shared" si="4"/>
        <v/>
      </c>
      <c r="B713" s="70"/>
      <c r="C713" s="70"/>
      <c r="D713" s="77"/>
      <c r="E713" s="73" t="str">
        <f>IF(B713="","",VLOOKUP(C713,RM!$C$4:$F1003,3,FALSE))</f>
        <v/>
      </c>
      <c r="F713" s="74" t="str">
        <f>IF(B713="","",IFERROR(SUMIFS(Issue!$D$3:$D1013,Issue!$C$3:$C1013,'S-BOM'!$B713)*'S-BOM'!$D713,""))</f>
        <v/>
      </c>
      <c r="G713" s="75" t="str">
        <f t="array" ref="G713">IFERROR(INDEX(#REF!,MATCH('S-BOM'!$C713,RM!$C$4:$C1003,0)),"")</f>
        <v/>
      </c>
      <c r="H713" s="75" t="str">
        <f t="shared" si="5"/>
        <v/>
      </c>
      <c r="I713" s="76"/>
    </row>
    <row r="714" spans="1:9" ht="15.75" customHeight="1">
      <c r="A714" s="69" t="str">
        <f t="shared" si="4"/>
        <v/>
      </c>
      <c r="B714" s="70"/>
      <c r="C714" s="70"/>
      <c r="D714" s="77"/>
      <c r="E714" s="73" t="str">
        <f>IF(B714="","",VLOOKUP(C714,RM!$C$4:$F1003,3,FALSE))</f>
        <v/>
      </c>
      <c r="F714" s="74" t="str">
        <f>IF(B714="","",IFERROR(SUMIFS(Issue!$D$3:$D1013,Issue!$C$3:$C1013,'S-BOM'!$B714)*'S-BOM'!$D714,""))</f>
        <v/>
      </c>
      <c r="G714" s="75" t="str">
        <f t="array" ref="G714">IFERROR(INDEX(#REF!,MATCH('S-BOM'!$C714,RM!$C$4:$C1003,0)),"")</f>
        <v/>
      </c>
      <c r="H714" s="75" t="str">
        <f t="shared" si="5"/>
        <v/>
      </c>
      <c r="I714" s="76"/>
    </row>
    <row r="715" spans="1:9" ht="15.75" customHeight="1">
      <c r="A715" s="69" t="str">
        <f t="shared" si="4"/>
        <v/>
      </c>
      <c r="B715" s="70"/>
      <c r="C715" s="70"/>
      <c r="D715" s="77"/>
      <c r="E715" s="73" t="str">
        <f>IF(B715="","",VLOOKUP(C715,RM!$C$4:$F1003,3,FALSE))</f>
        <v/>
      </c>
      <c r="F715" s="74" t="str">
        <f>IF(B715="","",IFERROR(SUMIFS(Issue!$D$3:$D1013,Issue!$C$3:$C1013,'S-BOM'!$B715)*'S-BOM'!$D715,""))</f>
        <v/>
      </c>
      <c r="G715" s="75" t="str">
        <f t="array" ref="G715">IFERROR(INDEX(#REF!,MATCH('S-BOM'!$C715,RM!$C$4:$C1003,0)),"")</f>
        <v/>
      </c>
      <c r="H715" s="75" t="str">
        <f t="shared" si="5"/>
        <v/>
      </c>
      <c r="I715" s="76"/>
    </row>
    <row r="716" spans="1:9" ht="15.75" customHeight="1">
      <c r="A716" s="69" t="str">
        <f t="shared" si="4"/>
        <v/>
      </c>
      <c r="B716" s="70"/>
      <c r="C716" s="70"/>
      <c r="D716" s="77"/>
      <c r="E716" s="73" t="str">
        <f>IF(B716="","",VLOOKUP(C716,RM!$C$4:$F1003,3,FALSE))</f>
        <v/>
      </c>
      <c r="F716" s="74" t="str">
        <f>IF(B716="","",IFERROR(SUMIFS(Issue!$D$3:$D1013,Issue!$C$3:$C1013,'S-BOM'!$B716)*'S-BOM'!$D716,""))</f>
        <v/>
      </c>
      <c r="G716" s="75" t="str">
        <f t="array" ref="G716">IFERROR(INDEX(#REF!,MATCH('S-BOM'!$C716,RM!$C$4:$C1003,0)),"")</f>
        <v/>
      </c>
      <c r="H716" s="75" t="str">
        <f t="shared" si="5"/>
        <v/>
      </c>
      <c r="I716" s="76"/>
    </row>
    <row r="717" spans="1:9" ht="15.75" customHeight="1">
      <c r="A717" s="69" t="str">
        <f t="shared" si="4"/>
        <v/>
      </c>
      <c r="B717" s="70"/>
      <c r="C717" s="70"/>
      <c r="D717" s="77"/>
      <c r="E717" s="73" t="str">
        <f>IF(B717="","",VLOOKUP(C717,RM!$C$4:$F1003,3,FALSE))</f>
        <v/>
      </c>
      <c r="F717" s="74" t="str">
        <f>IF(B717="","",IFERROR(SUMIFS(Issue!$D$3:$D1013,Issue!$C$3:$C1013,'S-BOM'!$B717)*'S-BOM'!$D717,""))</f>
        <v/>
      </c>
      <c r="G717" s="75" t="str">
        <f t="array" ref="G717">IFERROR(INDEX(#REF!,MATCH('S-BOM'!$C717,RM!$C$4:$C1003,0)),"")</f>
        <v/>
      </c>
      <c r="H717" s="75" t="str">
        <f t="shared" si="5"/>
        <v/>
      </c>
      <c r="I717" s="76"/>
    </row>
    <row r="718" spans="1:9" ht="15.75" customHeight="1">
      <c r="A718" s="69" t="str">
        <f t="shared" si="4"/>
        <v/>
      </c>
      <c r="B718" s="70"/>
      <c r="C718" s="70"/>
      <c r="D718" s="77"/>
      <c r="E718" s="73" t="str">
        <f>IF(B718="","",VLOOKUP(C718,RM!$C$4:$F1003,3,FALSE))</f>
        <v/>
      </c>
      <c r="F718" s="74" t="str">
        <f>IF(B718="","",IFERROR(SUMIFS(Issue!$D$3:$D1013,Issue!$C$3:$C1013,'S-BOM'!$B718)*'S-BOM'!$D718,""))</f>
        <v/>
      </c>
      <c r="G718" s="75" t="str">
        <f t="array" ref="G718">IFERROR(INDEX(#REF!,MATCH('S-BOM'!$C718,RM!$C$4:$C1003,0)),"")</f>
        <v/>
      </c>
      <c r="H718" s="75" t="str">
        <f t="shared" si="5"/>
        <v/>
      </c>
      <c r="I718" s="76"/>
    </row>
    <row r="719" spans="1:9" ht="15.75" customHeight="1">
      <c r="A719" s="69" t="str">
        <f t="shared" si="4"/>
        <v/>
      </c>
      <c r="B719" s="70"/>
      <c r="C719" s="70"/>
      <c r="D719" s="77"/>
      <c r="E719" s="73" t="str">
        <f>IF(B719="","",VLOOKUP(C719,RM!$C$4:$F1003,3,FALSE))</f>
        <v/>
      </c>
      <c r="F719" s="74" t="str">
        <f>IF(B719="","",IFERROR(SUMIFS(Issue!$D$3:$D1013,Issue!$C$3:$C1013,'S-BOM'!$B719)*'S-BOM'!$D719,""))</f>
        <v/>
      </c>
      <c r="G719" s="75" t="str">
        <f t="array" ref="G719">IFERROR(INDEX(#REF!,MATCH('S-BOM'!$C719,RM!$C$4:$C1003,0)),"")</f>
        <v/>
      </c>
      <c r="H719" s="75" t="str">
        <f t="shared" si="5"/>
        <v/>
      </c>
      <c r="I719" s="76"/>
    </row>
    <row r="720" spans="1:9" ht="15.75" customHeight="1">
      <c r="A720" s="69" t="str">
        <f t="shared" si="4"/>
        <v/>
      </c>
      <c r="B720" s="70"/>
      <c r="C720" s="70"/>
      <c r="D720" s="77"/>
      <c r="E720" s="73" t="str">
        <f>IF(B720="","",VLOOKUP(C720,RM!$C$4:$F1003,3,FALSE))</f>
        <v/>
      </c>
      <c r="F720" s="74" t="str">
        <f>IF(B720="","",IFERROR(SUMIFS(Issue!$D$3:$D1013,Issue!$C$3:$C1013,'S-BOM'!$B720)*'S-BOM'!$D720,""))</f>
        <v/>
      </c>
      <c r="G720" s="75" t="str">
        <f t="array" ref="G720">IFERROR(INDEX(#REF!,MATCH('S-BOM'!$C720,RM!$C$4:$C1003,0)),"")</f>
        <v/>
      </c>
      <c r="H720" s="75" t="str">
        <f t="shared" si="5"/>
        <v/>
      </c>
      <c r="I720" s="76"/>
    </row>
    <row r="721" spans="1:9" ht="15.75" customHeight="1">
      <c r="A721" s="69" t="str">
        <f t="shared" si="4"/>
        <v/>
      </c>
      <c r="B721" s="70"/>
      <c r="C721" s="70"/>
      <c r="D721" s="77"/>
      <c r="E721" s="73" t="str">
        <f>IF(B721="","",VLOOKUP(C721,RM!$C$4:$F1003,3,FALSE))</f>
        <v/>
      </c>
      <c r="F721" s="74" t="str">
        <f>IF(B721="","",IFERROR(SUMIFS(Issue!$D$3:$D1013,Issue!$C$3:$C1013,'S-BOM'!$B721)*'S-BOM'!$D721,""))</f>
        <v/>
      </c>
      <c r="G721" s="75" t="str">
        <f t="array" ref="G721">IFERROR(INDEX(#REF!,MATCH('S-BOM'!$C721,RM!$C$4:$C1003,0)),"")</f>
        <v/>
      </c>
      <c r="H721" s="75" t="str">
        <f t="shared" si="5"/>
        <v/>
      </c>
      <c r="I721" s="76"/>
    </row>
    <row r="722" spans="1:9" ht="15.75" customHeight="1">
      <c r="A722" s="69" t="str">
        <f t="shared" si="4"/>
        <v/>
      </c>
      <c r="B722" s="70"/>
      <c r="C722" s="70"/>
      <c r="D722" s="77"/>
      <c r="E722" s="73" t="str">
        <f>IF(B722="","",VLOOKUP(C722,RM!$C$4:$F1003,3,FALSE))</f>
        <v/>
      </c>
      <c r="F722" s="74" t="str">
        <f>IF(B722="","",IFERROR(SUMIFS(Issue!$D$3:$D1013,Issue!$C$3:$C1013,'S-BOM'!$B722)*'S-BOM'!$D722,""))</f>
        <v/>
      </c>
      <c r="G722" s="75" t="str">
        <f t="array" ref="G722">IFERROR(INDEX(#REF!,MATCH('S-BOM'!$C722,RM!$C$4:$C1003,0)),"")</f>
        <v/>
      </c>
      <c r="H722" s="75" t="str">
        <f t="shared" si="5"/>
        <v/>
      </c>
      <c r="I722" s="76"/>
    </row>
    <row r="723" spans="1:9" ht="15.75" customHeight="1">
      <c r="A723" s="69" t="str">
        <f t="shared" si="4"/>
        <v/>
      </c>
      <c r="B723" s="70"/>
      <c r="C723" s="70"/>
      <c r="D723" s="77"/>
      <c r="E723" s="73" t="str">
        <f>IF(B723="","",VLOOKUP(C723,RM!$C$4:$F1003,3,FALSE))</f>
        <v/>
      </c>
      <c r="F723" s="74" t="str">
        <f>IF(B723="","",IFERROR(SUMIFS(Issue!$D$3:$D1013,Issue!$C$3:$C1013,'S-BOM'!$B723)*'S-BOM'!$D723,""))</f>
        <v/>
      </c>
      <c r="G723" s="75" t="str">
        <f t="array" ref="G723">IFERROR(INDEX(#REF!,MATCH('S-BOM'!$C723,RM!$C$4:$C1003,0)),"")</f>
        <v/>
      </c>
      <c r="H723" s="75" t="str">
        <f t="shared" si="5"/>
        <v/>
      </c>
      <c r="I723" s="76"/>
    </row>
    <row r="724" spans="1:9" ht="15.75" customHeight="1">
      <c r="A724" s="69" t="str">
        <f t="shared" si="4"/>
        <v/>
      </c>
      <c r="B724" s="70"/>
      <c r="C724" s="70"/>
      <c r="D724" s="77"/>
      <c r="E724" s="73" t="str">
        <f>IF(B724="","",VLOOKUP(C724,RM!$C$4:$F1003,3,FALSE))</f>
        <v/>
      </c>
      <c r="F724" s="74" t="str">
        <f>IF(B724="","",IFERROR(SUMIFS(Issue!$D$3:$D1013,Issue!$C$3:$C1013,'S-BOM'!$B724)*'S-BOM'!$D724,""))</f>
        <v/>
      </c>
      <c r="G724" s="75" t="str">
        <f t="array" ref="G724">IFERROR(INDEX(#REF!,MATCH('S-BOM'!$C724,RM!$C$4:$C1003,0)),"")</f>
        <v/>
      </c>
      <c r="H724" s="75" t="str">
        <f t="shared" si="5"/>
        <v/>
      </c>
      <c r="I724" s="76"/>
    </row>
    <row r="725" spans="1:9" ht="15.75" customHeight="1">
      <c r="A725" s="69" t="str">
        <f t="shared" si="4"/>
        <v/>
      </c>
      <c r="B725" s="70"/>
      <c r="C725" s="70"/>
      <c r="D725" s="77"/>
      <c r="E725" s="73" t="str">
        <f>IF(B725="","",VLOOKUP(C725,RM!$C$4:$F1003,3,FALSE))</f>
        <v/>
      </c>
      <c r="F725" s="74" t="str">
        <f>IF(B725="","",IFERROR(SUMIFS(Issue!$D$3:$D1013,Issue!$C$3:$C1013,'S-BOM'!$B725)*'S-BOM'!$D725,""))</f>
        <v/>
      </c>
      <c r="G725" s="75" t="str">
        <f t="array" ref="G725">IFERROR(INDEX(#REF!,MATCH('S-BOM'!$C725,RM!$C$4:$C1003,0)),"")</f>
        <v/>
      </c>
      <c r="H725" s="75" t="str">
        <f t="shared" si="5"/>
        <v/>
      </c>
      <c r="I725" s="76"/>
    </row>
    <row r="726" spans="1:9" ht="15.75" customHeight="1">
      <c r="A726" s="69" t="str">
        <f t="shared" si="4"/>
        <v/>
      </c>
      <c r="B726" s="70"/>
      <c r="C726" s="70"/>
      <c r="D726" s="77"/>
      <c r="E726" s="73" t="str">
        <f>IF(B726="","",VLOOKUP(C726,RM!$C$4:$F1003,3,FALSE))</f>
        <v/>
      </c>
      <c r="F726" s="74" t="str">
        <f>IF(B726="","",IFERROR(SUMIFS(Issue!$D$3:$D1013,Issue!$C$3:$C1013,'S-BOM'!$B726)*'S-BOM'!$D726,""))</f>
        <v/>
      </c>
      <c r="G726" s="75" t="str">
        <f t="array" ref="G726">IFERROR(INDEX(#REF!,MATCH('S-BOM'!$C726,RM!$C$4:$C1003,0)),"")</f>
        <v/>
      </c>
      <c r="H726" s="75" t="str">
        <f t="shared" si="5"/>
        <v/>
      </c>
      <c r="I726" s="76"/>
    </row>
    <row r="727" spans="1:9" ht="15.75" customHeight="1">
      <c r="A727" s="69" t="str">
        <f t="shared" si="4"/>
        <v/>
      </c>
      <c r="B727" s="70"/>
      <c r="C727" s="70"/>
      <c r="D727" s="77"/>
      <c r="E727" s="73" t="str">
        <f>IF(B727="","",VLOOKUP(C727,RM!$C$4:$F1003,3,FALSE))</f>
        <v/>
      </c>
      <c r="F727" s="74" t="str">
        <f>IF(B727="","",IFERROR(SUMIFS(Issue!$D$3:$D1013,Issue!$C$3:$C1013,'S-BOM'!$B727)*'S-BOM'!$D727,""))</f>
        <v/>
      </c>
      <c r="G727" s="75" t="str">
        <f t="array" ref="G727">IFERROR(INDEX(#REF!,MATCH('S-BOM'!$C727,RM!$C$4:$C1003,0)),"")</f>
        <v/>
      </c>
      <c r="H727" s="75" t="str">
        <f t="shared" si="5"/>
        <v/>
      </c>
      <c r="I727" s="76"/>
    </row>
    <row r="728" spans="1:9" ht="15.75" customHeight="1">
      <c r="A728" s="69" t="str">
        <f t="shared" si="4"/>
        <v/>
      </c>
      <c r="B728" s="70"/>
      <c r="C728" s="70"/>
      <c r="D728" s="77"/>
      <c r="E728" s="73" t="str">
        <f>IF(B728="","",VLOOKUP(C728,RM!$C$4:$F1003,3,FALSE))</f>
        <v/>
      </c>
      <c r="F728" s="74" t="str">
        <f>IF(B728="","",IFERROR(SUMIFS(Issue!$D$3:$D1013,Issue!$C$3:$C1013,'S-BOM'!$B728)*'S-BOM'!$D728,""))</f>
        <v/>
      </c>
      <c r="G728" s="75" t="str">
        <f t="array" ref="G728">IFERROR(INDEX(#REF!,MATCH('S-BOM'!$C728,RM!$C$4:$C1003,0)),"")</f>
        <v/>
      </c>
      <c r="H728" s="75" t="str">
        <f t="shared" si="5"/>
        <v/>
      </c>
      <c r="I728" s="76"/>
    </row>
    <row r="729" spans="1:9" ht="15.75" customHeight="1">
      <c r="A729" s="69" t="str">
        <f t="shared" si="4"/>
        <v/>
      </c>
      <c r="B729" s="70"/>
      <c r="C729" s="70"/>
      <c r="D729" s="77"/>
      <c r="E729" s="73" t="str">
        <f>IF(B729="","",VLOOKUP(C729,RM!$C$4:$F1003,3,FALSE))</f>
        <v/>
      </c>
      <c r="F729" s="74" t="str">
        <f>IF(B729="","",IFERROR(SUMIFS(Issue!$D$3:$D1013,Issue!$C$3:$C1013,'S-BOM'!$B729)*'S-BOM'!$D729,""))</f>
        <v/>
      </c>
      <c r="G729" s="75" t="str">
        <f t="array" ref="G729">IFERROR(INDEX(#REF!,MATCH('S-BOM'!$C729,RM!$C$4:$C1003,0)),"")</f>
        <v/>
      </c>
      <c r="H729" s="75" t="str">
        <f t="shared" si="5"/>
        <v/>
      </c>
      <c r="I729" s="76"/>
    </row>
    <row r="730" spans="1:9" ht="15.75" customHeight="1">
      <c r="A730" s="69" t="str">
        <f t="shared" si="4"/>
        <v/>
      </c>
      <c r="B730" s="70"/>
      <c r="C730" s="70"/>
      <c r="D730" s="77"/>
      <c r="E730" s="73" t="str">
        <f>IF(B730="","",VLOOKUP(C730,RM!$C$4:$F1003,3,FALSE))</f>
        <v/>
      </c>
      <c r="F730" s="74" t="str">
        <f>IF(B730="","",IFERROR(SUMIFS(Issue!$D$3:$D1013,Issue!$C$3:$C1013,'S-BOM'!$B730)*'S-BOM'!$D730,""))</f>
        <v/>
      </c>
      <c r="G730" s="75" t="str">
        <f t="array" ref="G730">IFERROR(INDEX(#REF!,MATCH('S-BOM'!$C730,RM!$C$4:$C1003,0)),"")</f>
        <v/>
      </c>
      <c r="H730" s="75" t="str">
        <f t="shared" si="5"/>
        <v/>
      </c>
      <c r="I730" s="76"/>
    </row>
    <row r="731" spans="1:9" ht="15.75" customHeight="1">
      <c r="A731" s="69" t="str">
        <f t="shared" si="4"/>
        <v/>
      </c>
      <c r="B731" s="70"/>
      <c r="C731" s="70"/>
      <c r="D731" s="77"/>
      <c r="E731" s="73" t="str">
        <f>IF(B731="","",VLOOKUP(C731,RM!$C$4:$F1003,3,FALSE))</f>
        <v/>
      </c>
      <c r="F731" s="74" t="str">
        <f>IF(B731="","",IFERROR(SUMIFS(Issue!$D$3:$D1013,Issue!$C$3:$C1013,'S-BOM'!$B731)*'S-BOM'!$D731,""))</f>
        <v/>
      </c>
      <c r="G731" s="75" t="str">
        <f t="array" ref="G731">IFERROR(INDEX(#REF!,MATCH('S-BOM'!$C731,RM!$C$4:$C1003,0)),"")</f>
        <v/>
      </c>
      <c r="H731" s="75" t="str">
        <f t="shared" si="5"/>
        <v/>
      </c>
      <c r="I731" s="76"/>
    </row>
    <row r="732" spans="1:9" ht="15.75" customHeight="1">
      <c r="A732" s="69" t="str">
        <f t="shared" si="4"/>
        <v/>
      </c>
      <c r="B732" s="70"/>
      <c r="C732" s="70"/>
      <c r="D732" s="77"/>
      <c r="E732" s="73" t="str">
        <f>IF(B732="","",VLOOKUP(C732,RM!$C$4:$F1003,3,FALSE))</f>
        <v/>
      </c>
      <c r="F732" s="74" t="str">
        <f>IF(B732="","",IFERROR(SUMIFS(Issue!$D$3:$D1013,Issue!$C$3:$C1013,'S-BOM'!$B732)*'S-BOM'!$D732,""))</f>
        <v/>
      </c>
      <c r="G732" s="75" t="str">
        <f t="array" ref="G732">IFERROR(INDEX(#REF!,MATCH('S-BOM'!$C732,RM!$C$4:$C1003,0)),"")</f>
        <v/>
      </c>
      <c r="H732" s="75" t="str">
        <f t="shared" si="5"/>
        <v/>
      </c>
      <c r="I732" s="76"/>
    </row>
    <row r="733" spans="1:9" ht="15.75" customHeight="1">
      <c r="A733" s="69" t="str">
        <f t="shared" si="4"/>
        <v/>
      </c>
      <c r="B733" s="70"/>
      <c r="C733" s="70"/>
      <c r="D733" s="77"/>
      <c r="E733" s="73" t="str">
        <f>IF(B733="","",VLOOKUP(C733,RM!$C$4:$F1003,3,FALSE))</f>
        <v/>
      </c>
      <c r="F733" s="74" t="str">
        <f>IF(B733="","",IFERROR(SUMIFS(Issue!$D$3:$D1013,Issue!$C$3:$C1013,'S-BOM'!$B733)*'S-BOM'!$D733,""))</f>
        <v/>
      </c>
      <c r="G733" s="75" t="str">
        <f t="array" ref="G733">IFERROR(INDEX(#REF!,MATCH('S-BOM'!$C733,RM!$C$4:$C1003,0)),"")</f>
        <v/>
      </c>
      <c r="H733" s="75" t="str">
        <f t="shared" si="5"/>
        <v/>
      </c>
      <c r="I733" s="76"/>
    </row>
    <row r="734" spans="1:9" ht="15.75" customHeight="1">
      <c r="A734" s="69" t="str">
        <f t="shared" si="4"/>
        <v/>
      </c>
      <c r="B734" s="70"/>
      <c r="C734" s="70"/>
      <c r="D734" s="77"/>
      <c r="E734" s="73" t="str">
        <f>IF(B734="","",VLOOKUP(C734,RM!$C$4:$F1003,3,FALSE))</f>
        <v/>
      </c>
      <c r="F734" s="74" t="str">
        <f>IF(B734="","",IFERROR(SUMIFS(Issue!$D$3:$D1013,Issue!$C$3:$C1013,'S-BOM'!$B734)*'S-BOM'!$D734,""))</f>
        <v/>
      </c>
      <c r="G734" s="75" t="str">
        <f t="array" ref="G734">IFERROR(INDEX(#REF!,MATCH('S-BOM'!$C734,RM!$C$4:$C1003,0)),"")</f>
        <v/>
      </c>
      <c r="H734" s="75" t="str">
        <f t="shared" si="5"/>
        <v/>
      </c>
      <c r="I734" s="76"/>
    </row>
    <row r="735" spans="1:9" ht="15.75" customHeight="1">
      <c r="A735" s="69" t="str">
        <f t="shared" si="4"/>
        <v/>
      </c>
      <c r="B735" s="70"/>
      <c r="C735" s="70"/>
      <c r="D735" s="77"/>
      <c r="E735" s="73" t="str">
        <f>IF(B735="","",VLOOKUP(C735,RM!$C$4:$F1003,3,FALSE))</f>
        <v/>
      </c>
      <c r="F735" s="74" t="str">
        <f>IF(B735="","",IFERROR(SUMIFS(Issue!$D$3:$D1013,Issue!$C$3:$C1013,'S-BOM'!$B735)*'S-BOM'!$D735,""))</f>
        <v/>
      </c>
      <c r="G735" s="75" t="str">
        <f t="array" ref="G735">IFERROR(INDEX(#REF!,MATCH('S-BOM'!$C735,RM!$C$4:$C1003,0)),"")</f>
        <v/>
      </c>
      <c r="H735" s="75" t="str">
        <f t="shared" si="5"/>
        <v/>
      </c>
      <c r="I735" s="76"/>
    </row>
    <row r="736" spans="1:9" ht="15.75" customHeight="1">
      <c r="A736" s="69" t="str">
        <f t="shared" si="4"/>
        <v/>
      </c>
      <c r="B736" s="70"/>
      <c r="C736" s="70"/>
      <c r="D736" s="77"/>
      <c r="E736" s="73" t="str">
        <f>IF(B736="","",VLOOKUP(C736,RM!$C$4:$F1003,3,FALSE))</f>
        <v/>
      </c>
      <c r="F736" s="74" t="str">
        <f>IF(B736="","",IFERROR(SUMIFS(Issue!$D$3:$D1013,Issue!$C$3:$C1013,'S-BOM'!$B736)*'S-BOM'!$D736,""))</f>
        <v/>
      </c>
      <c r="G736" s="75" t="str">
        <f t="array" ref="G736">IFERROR(INDEX(#REF!,MATCH('S-BOM'!$C736,RM!$C$4:$C1003,0)),"")</f>
        <v/>
      </c>
      <c r="H736" s="75" t="str">
        <f t="shared" si="5"/>
        <v/>
      </c>
      <c r="I736" s="76"/>
    </row>
    <row r="737" spans="1:9" ht="15.75" customHeight="1">
      <c r="A737" s="69" t="str">
        <f t="shared" si="4"/>
        <v/>
      </c>
      <c r="B737" s="70"/>
      <c r="C737" s="70"/>
      <c r="D737" s="77"/>
      <c r="E737" s="73" t="str">
        <f>IF(B737="","",VLOOKUP(C737,RM!$C$4:$F1003,3,FALSE))</f>
        <v/>
      </c>
      <c r="F737" s="74" t="str">
        <f>IF(B737="","",IFERROR(SUMIFS(Issue!$D$3:$D1013,Issue!$C$3:$C1013,'S-BOM'!$B737)*'S-BOM'!$D737,""))</f>
        <v/>
      </c>
      <c r="G737" s="75" t="str">
        <f t="array" ref="G737">IFERROR(INDEX(#REF!,MATCH('S-BOM'!$C737,RM!$C$4:$C1003,0)),"")</f>
        <v/>
      </c>
      <c r="H737" s="75" t="str">
        <f t="shared" si="5"/>
        <v/>
      </c>
      <c r="I737" s="76"/>
    </row>
    <row r="738" spans="1:9" ht="15.75" customHeight="1">
      <c r="A738" s="69" t="str">
        <f t="shared" si="4"/>
        <v/>
      </c>
      <c r="B738" s="70"/>
      <c r="C738" s="70"/>
      <c r="D738" s="77"/>
      <c r="E738" s="73" t="str">
        <f>IF(B738="","",VLOOKUP(C738,RM!$C$4:$F1003,3,FALSE))</f>
        <v/>
      </c>
      <c r="F738" s="74" t="str">
        <f>IF(B738="","",IFERROR(SUMIFS(Issue!$D$3:$D1013,Issue!$C$3:$C1013,'S-BOM'!$B738)*'S-BOM'!$D738,""))</f>
        <v/>
      </c>
      <c r="G738" s="75" t="str">
        <f t="array" ref="G738">IFERROR(INDEX(#REF!,MATCH('S-BOM'!$C738,RM!$C$4:$C1003,0)),"")</f>
        <v/>
      </c>
      <c r="H738" s="75" t="str">
        <f t="shared" si="5"/>
        <v/>
      </c>
      <c r="I738" s="76"/>
    </row>
    <row r="739" spans="1:9" ht="15.75" customHeight="1">
      <c r="A739" s="69" t="str">
        <f t="shared" si="4"/>
        <v/>
      </c>
      <c r="B739" s="70"/>
      <c r="C739" s="70"/>
      <c r="D739" s="77"/>
      <c r="E739" s="73" t="str">
        <f>IF(B739="","",VLOOKUP(C739,RM!$C$4:$F1003,3,FALSE))</f>
        <v/>
      </c>
      <c r="F739" s="74" t="str">
        <f>IF(B739="","",IFERROR(SUMIFS(Issue!$D$3:$D1013,Issue!$C$3:$C1013,'S-BOM'!$B739)*'S-BOM'!$D739,""))</f>
        <v/>
      </c>
      <c r="G739" s="75" t="str">
        <f t="array" ref="G739">IFERROR(INDEX(#REF!,MATCH('S-BOM'!$C739,RM!$C$4:$C1003,0)),"")</f>
        <v/>
      </c>
      <c r="H739" s="75" t="str">
        <f t="shared" si="5"/>
        <v/>
      </c>
      <c r="I739" s="76"/>
    </row>
    <row r="740" spans="1:9" ht="15.75" customHeight="1">
      <c r="A740" s="69" t="str">
        <f t="shared" si="4"/>
        <v/>
      </c>
      <c r="B740" s="70"/>
      <c r="C740" s="70"/>
      <c r="D740" s="77"/>
      <c r="E740" s="73" t="str">
        <f>IF(B740="","",VLOOKUP(C740,RM!$C$4:$F1003,3,FALSE))</f>
        <v/>
      </c>
      <c r="F740" s="74" t="str">
        <f>IF(B740="","",IFERROR(SUMIFS(Issue!$D$3:$D1013,Issue!$C$3:$C1013,'S-BOM'!$B740)*'S-BOM'!$D740,""))</f>
        <v/>
      </c>
      <c r="G740" s="75" t="str">
        <f t="array" ref="G740">IFERROR(INDEX(#REF!,MATCH('S-BOM'!$C740,RM!$C$4:$C1003,0)),"")</f>
        <v/>
      </c>
      <c r="H740" s="75" t="str">
        <f t="shared" si="5"/>
        <v/>
      </c>
      <c r="I740" s="76"/>
    </row>
    <row r="741" spans="1:9" ht="15.75" customHeight="1">
      <c r="A741" s="69" t="str">
        <f t="shared" si="4"/>
        <v/>
      </c>
      <c r="B741" s="70"/>
      <c r="C741" s="70"/>
      <c r="D741" s="77"/>
      <c r="E741" s="73" t="str">
        <f>IF(B741="","",VLOOKUP(C741,RM!$C$4:$F1003,3,FALSE))</f>
        <v/>
      </c>
      <c r="F741" s="74" t="str">
        <f>IF(B741="","",IFERROR(SUMIFS(Issue!$D$3:$D1013,Issue!$C$3:$C1013,'S-BOM'!$B741)*'S-BOM'!$D741,""))</f>
        <v/>
      </c>
      <c r="G741" s="75" t="str">
        <f t="array" ref="G741">IFERROR(INDEX(#REF!,MATCH('S-BOM'!$C741,RM!$C$4:$C1003,0)),"")</f>
        <v/>
      </c>
      <c r="H741" s="75" t="str">
        <f t="shared" si="5"/>
        <v/>
      </c>
      <c r="I741" s="76"/>
    </row>
    <row r="742" spans="1:9" ht="15.75" customHeight="1">
      <c r="A742" s="69" t="str">
        <f t="shared" si="4"/>
        <v/>
      </c>
      <c r="B742" s="70"/>
      <c r="C742" s="70"/>
      <c r="D742" s="77"/>
      <c r="E742" s="73" t="str">
        <f>IF(B742="","",VLOOKUP(C742,RM!$C$4:$F1003,3,FALSE))</f>
        <v/>
      </c>
      <c r="F742" s="74" t="str">
        <f>IF(B742="","",IFERROR(SUMIFS(Issue!$D$3:$D1013,Issue!$C$3:$C1013,'S-BOM'!$B742)*'S-BOM'!$D742,""))</f>
        <v/>
      </c>
      <c r="G742" s="75" t="str">
        <f t="array" ref="G742">IFERROR(INDEX(#REF!,MATCH('S-BOM'!$C742,RM!$C$4:$C1003,0)),"")</f>
        <v/>
      </c>
      <c r="H742" s="75" t="str">
        <f t="shared" si="5"/>
        <v/>
      </c>
      <c r="I742" s="76"/>
    </row>
    <row r="743" spans="1:9" ht="15.75" customHeight="1">
      <c r="A743" s="69" t="str">
        <f t="shared" si="4"/>
        <v/>
      </c>
      <c r="B743" s="70"/>
      <c r="C743" s="70"/>
      <c r="D743" s="77"/>
      <c r="E743" s="73" t="str">
        <f>IF(B743="","",VLOOKUP(C743,RM!$C$4:$F1003,3,FALSE))</f>
        <v/>
      </c>
      <c r="F743" s="74" t="str">
        <f>IF(B743="","",IFERROR(SUMIFS(Issue!$D$3:$D1013,Issue!$C$3:$C1013,'S-BOM'!$B743)*'S-BOM'!$D743,""))</f>
        <v/>
      </c>
      <c r="G743" s="75" t="str">
        <f t="array" ref="G743">IFERROR(INDEX(#REF!,MATCH('S-BOM'!$C743,RM!$C$4:$C1003,0)),"")</f>
        <v/>
      </c>
      <c r="H743" s="75" t="str">
        <f t="shared" si="5"/>
        <v/>
      </c>
      <c r="I743" s="76"/>
    </row>
    <row r="744" spans="1:9" ht="15.75" customHeight="1">
      <c r="A744" s="69" t="str">
        <f t="shared" si="4"/>
        <v/>
      </c>
      <c r="B744" s="70"/>
      <c r="C744" s="70"/>
      <c r="D744" s="77"/>
      <c r="E744" s="73" t="str">
        <f>IF(B744="","",VLOOKUP(C744,RM!$C$4:$F1003,3,FALSE))</f>
        <v/>
      </c>
      <c r="F744" s="74" t="str">
        <f>IF(B744="","",IFERROR(SUMIFS(Issue!$D$3:$D1013,Issue!$C$3:$C1013,'S-BOM'!$B744)*'S-BOM'!$D744,""))</f>
        <v/>
      </c>
      <c r="G744" s="75" t="str">
        <f t="array" ref="G744">IFERROR(INDEX(#REF!,MATCH('S-BOM'!$C744,RM!$C$4:$C1003,0)),"")</f>
        <v/>
      </c>
      <c r="H744" s="75" t="str">
        <f t="shared" si="5"/>
        <v/>
      </c>
      <c r="I744" s="76"/>
    </row>
    <row r="745" spans="1:9" ht="15.75" customHeight="1">
      <c r="A745" s="69" t="str">
        <f t="shared" si="4"/>
        <v/>
      </c>
      <c r="B745" s="70"/>
      <c r="C745" s="70"/>
      <c r="D745" s="77"/>
      <c r="E745" s="73" t="str">
        <f>IF(B745="","",VLOOKUP(C745,RM!$C$4:$F1003,3,FALSE))</f>
        <v/>
      </c>
      <c r="F745" s="74" t="str">
        <f>IF(B745="","",IFERROR(SUMIFS(Issue!$D$3:$D1013,Issue!$C$3:$C1013,'S-BOM'!$B745)*'S-BOM'!$D745,""))</f>
        <v/>
      </c>
      <c r="G745" s="75" t="str">
        <f t="array" ref="G745">IFERROR(INDEX(#REF!,MATCH('S-BOM'!$C745,RM!$C$4:$C1003,0)),"")</f>
        <v/>
      </c>
      <c r="H745" s="75" t="str">
        <f t="shared" si="5"/>
        <v/>
      </c>
      <c r="I745" s="76"/>
    </row>
    <row r="746" spans="1:9" ht="15.75" customHeight="1">
      <c r="A746" s="69" t="str">
        <f t="shared" si="4"/>
        <v/>
      </c>
      <c r="B746" s="70"/>
      <c r="C746" s="70"/>
      <c r="D746" s="77"/>
      <c r="E746" s="73" t="str">
        <f>IF(B746="","",VLOOKUP(C746,RM!$C$4:$F1003,3,FALSE))</f>
        <v/>
      </c>
      <c r="F746" s="74" t="str">
        <f>IF(B746="","",IFERROR(SUMIFS(Issue!$D$3:$D1013,Issue!$C$3:$C1013,'S-BOM'!$B746)*'S-BOM'!$D746,""))</f>
        <v/>
      </c>
      <c r="G746" s="75" t="str">
        <f t="array" ref="G746">IFERROR(INDEX(#REF!,MATCH('S-BOM'!$C746,RM!$C$4:$C1003,0)),"")</f>
        <v/>
      </c>
      <c r="H746" s="75" t="str">
        <f t="shared" si="5"/>
        <v/>
      </c>
      <c r="I746" s="76"/>
    </row>
    <row r="747" spans="1:9" ht="15.75" customHeight="1">
      <c r="A747" s="69" t="str">
        <f t="shared" si="4"/>
        <v/>
      </c>
      <c r="B747" s="70"/>
      <c r="C747" s="70"/>
      <c r="D747" s="77"/>
      <c r="E747" s="73" t="str">
        <f>IF(B747="","",VLOOKUP(C747,RM!$C$4:$F1003,3,FALSE))</f>
        <v/>
      </c>
      <c r="F747" s="74" t="str">
        <f>IF(B747="","",IFERROR(SUMIFS(Issue!$D$3:$D1013,Issue!$C$3:$C1013,'S-BOM'!$B747)*'S-BOM'!$D747,""))</f>
        <v/>
      </c>
      <c r="G747" s="75" t="str">
        <f t="array" ref="G747">IFERROR(INDEX(#REF!,MATCH('S-BOM'!$C747,RM!$C$4:$C1003,0)),"")</f>
        <v/>
      </c>
      <c r="H747" s="75" t="str">
        <f t="shared" si="5"/>
        <v/>
      </c>
      <c r="I747" s="76"/>
    </row>
    <row r="748" spans="1:9" ht="15.75" customHeight="1">
      <c r="A748" s="69" t="str">
        <f t="shared" si="4"/>
        <v/>
      </c>
      <c r="B748" s="70"/>
      <c r="C748" s="70"/>
      <c r="D748" s="77"/>
      <c r="E748" s="73" t="str">
        <f>IF(B748="","",VLOOKUP(C748,RM!$C$4:$F1003,3,FALSE))</f>
        <v/>
      </c>
      <c r="F748" s="74" t="str">
        <f>IF(B748="","",IFERROR(SUMIFS(Issue!$D$3:$D1013,Issue!$C$3:$C1013,'S-BOM'!$B748)*'S-BOM'!$D748,""))</f>
        <v/>
      </c>
      <c r="G748" s="75" t="str">
        <f t="array" ref="G748">IFERROR(INDEX(#REF!,MATCH('S-BOM'!$C748,RM!$C$4:$C1003,0)),"")</f>
        <v/>
      </c>
      <c r="H748" s="75" t="str">
        <f t="shared" si="5"/>
        <v/>
      </c>
      <c r="I748" s="76"/>
    </row>
    <row r="749" spans="1:9" ht="15.75" customHeight="1">
      <c r="A749" s="69" t="str">
        <f t="shared" si="4"/>
        <v/>
      </c>
      <c r="B749" s="70"/>
      <c r="C749" s="70"/>
      <c r="D749" s="77"/>
      <c r="E749" s="73" t="str">
        <f>IF(B749="","",VLOOKUP(C749,RM!$C$4:$F1003,3,FALSE))</f>
        <v/>
      </c>
      <c r="F749" s="74" t="str">
        <f>IF(B749="","",IFERROR(SUMIFS(Issue!$D$3:$D1013,Issue!$C$3:$C1013,'S-BOM'!$B749)*'S-BOM'!$D749,""))</f>
        <v/>
      </c>
      <c r="G749" s="75" t="str">
        <f t="array" ref="G749">IFERROR(INDEX(#REF!,MATCH('S-BOM'!$C749,RM!$C$4:$C1003,0)),"")</f>
        <v/>
      </c>
      <c r="H749" s="75" t="str">
        <f t="shared" si="5"/>
        <v/>
      </c>
      <c r="I749" s="76"/>
    </row>
    <row r="750" spans="1:9" ht="15.75" customHeight="1">
      <c r="A750" s="69" t="str">
        <f t="shared" si="4"/>
        <v/>
      </c>
      <c r="B750" s="70"/>
      <c r="C750" s="70"/>
      <c r="D750" s="77"/>
      <c r="E750" s="73" t="str">
        <f>IF(B750="","",VLOOKUP(C750,RM!$C$4:$F1003,3,FALSE))</f>
        <v/>
      </c>
      <c r="F750" s="74" t="str">
        <f>IF(B750="","",IFERROR(SUMIFS(Issue!$D$3:$D1013,Issue!$C$3:$C1013,'S-BOM'!$B750)*'S-BOM'!$D750,""))</f>
        <v/>
      </c>
      <c r="G750" s="75" t="str">
        <f t="array" ref="G750">IFERROR(INDEX(#REF!,MATCH('S-BOM'!$C750,RM!$C$4:$C1003,0)),"")</f>
        <v/>
      </c>
      <c r="H750" s="75" t="str">
        <f t="shared" si="5"/>
        <v/>
      </c>
      <c r="I750" s="76"/>
    </row>
    <row r="751" spans="1:9" ht="15.75" customHeight="1">
      <c r="A751" s="69" t="str">
        <f t="shared" si="4"/>
        <v/>
      </c>
      <c r="B751" s="70"/>
      <c r="C751" s="70"/>
      <c r="D751" s="77"/>
      <c r="E751" s="73" t="str">
        <f>IF(B751="","",VLOOKUP(C751,RM!$C$4:$F1003,3,FALSE))</f>
        <v/>
      </c>
      <c r="F751" s="74" t="str">
        <f>IF(B751="","",IFERROR(SUMIFS(Issue!$D$3:$D1013,Issue!$C$3:$C1013,'S-BOM'!$B751)*'S-BOM'!$D751,""))</f>
        <v/>
      </c>
      <c r="G751" s="75" t="str">
        <f t="array" ref="G751">IFERROR(INDEX(#REF!,MATCH('S-BOM'!$C751,RM!$C$4:$C1003,0)),"")</f>
        <v/>
      </c>
      <c r="H751" s="75" t="str">
        <f t="shared" si="5"/>
        <v/>
      </c>
      <c r="I751" s="76"/>
    </row>
    <row r="752" spans="1:9" ht="15.75" customHeight="1">
      <c r="A752" s="69" t="str">
        <f t="shared" si="4"/>
        <v/>
      </c>
      <c r="B752" s="70"/>
      <c r="C752" s="70"/>
      <c r="D752" s="77"/>
      <c r="E752" s="73" t="str">
        <f>IF(B752="","",VLOOKUP(C752,RM!$C$4:$F1003,3,FALSE))</f>
        <v/>
      </c>
      <c r="F752" s="74" t="str">
        <f>IF(B752="","",IFERROR(SUMIFS(Issue!$D$3:$D1013,Issue!$C$3:$C1013,'S-BOM'!$B752)*'S-BOM'!$D752,""))</f>
        <v/>
      </c>
      <c r="G752" s="75" t="str">
        <f t="array" ref="G752">IFERROR(INDEX(#REF!,MATCH('S-BOM'!$C752,RM!$C$4:$C1003,0)),"")</f>
        <v/>
      </c>
      <c r="H752" s="75" t="str">
        <f t="shared" si="5"/>
        <v/>
      </c>
      <c r="I752" s="76"/>
    </row>
    <row r="753" spans="1:9" ht="15.75" customHeight="1">
      <c r="A753" s="69" t="str">
        <f t="shared" si="4"/>
        <v/>
      </c>
      <c r="B753" s="70"/>
      <c r="C753" s="70"/>
      <c r="D753" s="77"/>
      <c r="E753" s="73" t="str">
        <f>IF(B753="","",VLOOKUP(C753,RM!$C$4:$F1003,3,FALSE))</f>
        <v/>
      </c>
      <c r="F753" s="74" t="str">
        <f>IF(B753="","",IFERROR(SUMIFS(Issue!$D$3:$D1013,Issue!$C$3:$C1013,'S-BOM'!$B753)*'S-BOM'!$D753,""))</f>
        <v/>
      </c>
      <c r="G753" s="75" t="str">
        <f t="array" ref="G753">IFERROR(INDEX(#REF!,MATCH('S-BOM'!$C753,RM!$C$4:$C1003,0)),"")</f>
        <v/>
      </c>
      <c r="H753" s="75" t="str">
        <f t="shared" si="5"/>
        <v/>
      </c>
      <c r="I753" s="76"/>
    </row>
    <row r="754" spans="1:9" ht="15.75" customHeight="1">
      <c r="A754" s="69" t="str">
        <f t="shared" si="4"/>
        <v/>
      </c>
      <c r="B754" s="70"/>
      <c r="C754" s="70"/>
      <c r="D754" s="77"/>
      <c r="E754" s="73" t="str">
        <f>IF(B754="","",VLOOKUP(C754,RM!$C$4:$F1003,3,FALSE))</f>
        <v/>
      </c>
      <c r="F754" s="74" t="str">
        <f>IF(B754="","",IFERROR(SUMIFS(Issue!$D$3:$D1013,Issue!$C$3:$C1013,'S-BOM'!$B754)*'S-BOM'!$D754,""))</f>
        <v/>
      </c>
      <c r="G754" s="75" t="str">
        <f t="array" ref="G754">IFERROR(INDEX(#REF!,MATCH('S-BOM'!$C754,RM!$C$4:$C1003,0)),"")</f>
        <v/>
      </c>
      <c r="H754" s="75" t="str">
        <f t="shared" si="5"/>
        <v/>
      </c>
      <c r="I754" s="76"/>
    </row>
    <row r="755" spans="1:9" ht="15.75" customHeight="1">
      <c r="A755" s="69" t="str">
        <f t="shared" si="4"/>
        <v/>
      </c>
      <c r="B755" s="70"/>
      <c r="C755" s="70"/>
      <c r="D755" s="77"/>
      <c r="E755" s="73" t="str">
        <f>IF(B755="","",VLOOKUP(C755,RM!$C$4:$F1003,3,FALSE))</f>
        <v/>
      </c>
      <c r="F755" s="74" t="str">
        <f>IF(B755="","",IFERROR(SUMIFS(Issue!$D$3:$D1013,Issue!$C$3:$C1013,'S-BOM'!$B755)*'S-BOM'!$D755,""))</f>
        <v/>
      </c>
      <c r="G755" s="75" t="str">
        <f t="array" ref="G755">IFERROR(INDEX(#REF!,MATCH('S-BOM'!$C755,RM!$C$4:$C1003,0)),"")</f>
        <v/>
      </c>
      <c r="H755" s="75" t="str">
        <f t="shared" si="5"/>
        <v/>
      </c>
      <c r="I755" s="76"/>
    </row>
    <row r="756" spans="1:9" ht="15.75" customHeight="1">
      <c r="A756" s="69" t="str">
        <f t="shared" si="4"/>
        <v/>
      </c>
      <c r="B756" s="70"/>
      <c r="C756" s="70"/>
      <c r="D756" s="77"/>
      <c r="E756" s="73" t="str">
        <f>IF(B756="","",VLOOKUP(C756,RM!$C$4:$F1003,3,FALSE))</f>
        <v/>
      </c>
      <c r="F756" s="74" t="str">
        <f>IF(B756="","",IFERROR(SUMIFS(Issue!$D$3:$D1013,Issue!$C$3:$C1013,'S-BOM'!$B756)*'S-BOM'!$D756,""))</f>
        <v/>
      </c>
      <c r="G756" s="75" t="str">
        <f t="array" ref="G756">IFERROR(INDEX(#REF!,MATCH('S-BOM'!$C756,RM!$C$4:$C1003,0)),"")</f>
        <v/>
      </c>
      <c r="H756" s="75" t="str">
        <f t="shared" si="5"/>
        <v/>
      </c>
      <c r="I756" s="76"/>
    </row>
    <row r="757" spans="1:9" ht="15.75" customHeight="1">
      <c r="A757" s="69" t="str">
        <f t="shared" si="4"/>
        <v/>
      </c>
      <c r="B757" s="70"/>
      <c r="C757" s="70"/>
      <c r="D757" s="77"/>
      <c r="E757" s="73" t="str">
        <f>IF(B757="","",VLOOKUP(C757,RM!$C$4:$F1003,3,FALSE))</f>
        <v/>
      </c>
      <c r="F757" s="74" t="str">
        <f>IF(B757="","",IFERROR(SUMIFS(Issue!$D$3:$D1013,Issue!$C$3:$C1013,'S-BOM'!$B757)*'S-BOM'!$D757,""))</f>
        <v/>
      </c>
      <c r="G757" s="75" t="str">
        <f t="array" ref="G757">IFERROR(INDEX(#REF!,MATCH('S-BOM'!$C757,RM!$C$4:$C1003,0)),"")</f>
        <v/>
      </c>
      <c r="H757" s="75" t="str">
        <f t="shared" si="5"/>
        <v/>
      </c>
      <c r="I757" s="76"/>
    </row>
    <row r="758" spans="1:9" ht="15.75" customHeight="1">
      <c r="A758" s="69" t="str">
        <f t="shared" si="4"/>
        <v/>
      </c>
      <c r="B758" s="70"/>
      <c r="C758" s="70"/>
      <c r="D758" s="77"/>
      <c r="E758" s="73" t="str">
        <f>IF(B758="","",VLOOKUP(C758,RM!$C$4:$F1003,3,FALSE))</f>
        <v/>
      </c>
      <c r="F758" s="74" t="str">
        <f>IF(B758="","",IFERROR(SUMIFS(Issue!$D$3:$D1013,Issue!$C$3:$C1013,'S-BOM'!$B758)*'S-BOM'!$D758,""))</f>
        <v/>
      </c>
      <c r="G758" s="75" t="str">
        <f t="array" ref="G758">IFERROR(INDEX(#REF!,MATCH('S-BOM'!$C758,RM!$C$4:$C1003,0)),"")</f>
        <v/>
      </c>
      <c r="H758" s="75" t="str">
        <f t="shared" si="5"/>
        <v/>
      </c>
      <c r="I758" s="76"/>
    </row>
    <row r="759" spans="1:9" ht="15.75" customHeight="1">
      <c r="A759" s="69" t="str">
        <f t="shared" si="4"/>
        <v/>
      </c>
      <c r="B759" s="70"/>
      <c r="C759" s="70"/>
      <c r="D759" s="77"/>
      <c r="E759" s="73" t="str">
        <f>IF(B759="","",VLOOKUP(C759,RM!$C$4:$F1003,3,FALSE))</f>
        <v/>
      </c>
      <c r="F759" s="74" t="str">
        <f>IF(B759="","",IFERROR(SUMIFS(Issue!$D$3:$D1013,Issue!$C$3:$C1013,'S-BOM'!$B759)*'S-BOM'!$D759,""))</f>
        <v/>
      </c>
      <c r="G759" s="75" t="str">
        <f t="array" ref="G759">IFERROR(INDEX(#REF!,MATCH('S-BOM'!$C759,RM!$C$4:$C1003,0)),"")</f>
        <v/>
      </c>
      <c r="H759" s="75" t="str">
        <f t="shared" si="5"/>
        <v/>
      </c>
      <c r="I759" s="76"/>
    </row>
    <row r="760" spans="1:9" ht="15.75" customHeight="1">
      <c r="A760" s="69" t="str">
        <f t="shared" si="4"/>
        <v/>
      </c>
      <c r="B760" s="70"/>
      <c r="C760" s="70"/>
      <c r="D760" s="77"/>
      <c r="E760" s="73" t="str">
        <f>IF(B760="","",VLOOKUP(C760,RM!$C$4:$F1003,3,FALSE))</f>
        <v/>
      </c>
      <c r="F760" s="74" t="str">
        <f>IF(B760="","",IFERROR(SUMIFS(Issue!$D$3:$D1013,Issue!$C$3:$C1013,'S-BOM'!$B760)*'S-BOM'!$D760,""))</f>
        <v/>
      </c>
      <c r="G760" s="75" t="str">
        <f t="array" ref="G760">IFERROR(INDEX(#REF!,MATCH('S-BOM'!$C760,RM!$C$4:$C1003,0)),"")</f>
        <v/>
      </c>
      <c r="H760" s="75" t="str">
        <f t="shared" si="5"/>
        <v/>
      </c>
      <c r="I760" s="76"/>
    </row>
    <row r="761" spans="1:9" ht="15.75" customHeight="1">
      <c r="A761" s="69" t="str">
        <f t="shared" si="4"/>
        <v/>
      </c>
      <c r="B761" s="70"/>
      <c r="C761" s="70"/>
      <c r="D761" s="77"/>
      <c r="E761" s="73" t="str">
        <f>IF(B761="","",VLOOKUP(C761,RM!$C$4:$F1003,3,FALSE))</f>
        <v/>
      </c>
      <c r="F761" s="74" t="str">
        <f>IF(B761="","",IFERROR(SUMIFS(Issue!$D$3:$D1013,Issue!$C$3:$C1013,'S-BOM'!$B761)*'S-BOM'!$D761,""))</f>
        <v/>
      </c>
      <c r="G761" s="75" t="str">
        <f t="array" ref="G761">IFERROR(INDEX(#REF!,MATCH('S-BOM'!$C761,RM!$C$4:$C1003,0)),"")</f>
        <v/>
      </c>
      <c r="H761" s="75" t="str">
        <f t="shared" si="5"/>
        <v/>
      </c>
      <c r="I761" s="76"/>
    </row>
    <row r="762" spans="1:9" ht="15.75" customHeight="1">
      <c r="A762" s="69" t="str">
        <f t="shared" si="4"/>
        <v/>
      </c>
      <c r="B762" s="70"/>
      <c r="C762" s="70"/>
      <c r="D762" s="77"/>
      <c r="E762" s="73" t="str">
        <f>IF(B762="","",VLOOKUP(C762,RM!$C$4:$F1003,3,FALSE))</f>
        <v/>
      </c>
      <c r="F762" s="74" t="str">
        <f>IF(B762="","",IFERROR(SUMIFS(Issue!$D$3:$D1013,Issue!$C$3:$C1013,'S-BOM'!$B762)*'S-BOM'!$D762,""))</f>
        <v/>
      </c>
      <c r="G762" s="75" t="str">
        <f t="array" ref="G762">IFERROR(INDEX(#REF!,MATCH('S-BOM'!$C762,RM!$C$4:$C1003,0)),"")</f>
        <v/>
      </c>
      <c r="H762" s="75" t="str">
        <f t="shared" si="5"/>
        <v/>
      </c>
      <c r="I762" s="76"/>
    </row>
    <row r="763" spans="1:9" ht="15.75" customHeight="1">
      <c r="A763" s="69" t="str">
        <f t="shared" si="4"/>
        <v/>
      </c>
      <c r="B763" s="70"/>
      <c r="C763" s="70"/>
      <c r="D763" s="77"/>
      <c r="E763" s="73" t="str">
        <f>IF(B763="","",VLOOKUP(C763,RM!$C$4:$F1003,3,FALSE))</f>
        <v/>
      </c>
      <c r="F763" s="74" t="str">
        <f>IF(B763="","",IFERROR(SUMIFS(Issue!$D$3:$D1013,Issue!$C$3:$C1013,'S-BOM'!$B763)*'S-BOM'!$D763,""))</f>
        <v/>
      </c>
      <c r="G763" s="75" t="str">
        <f t="array" ref="G763">IFERROR(INDEX(#REF!,MATCH('S-BOM'!$C763,RM!$C$4:$C1003,0)),"")</f>
        <v/>
      </c>
      <c r="H763" s="75" t="str">
        <f t="shared" si="5"/>
        <v/>
      </c>
      <c r="I763" s="76"/>
    </row>
    <row r="764" spans="1:9" ht="15.75" customHeight="1">
      <c r="A764" s="69" t="str">
        <f t="shared" si="4"/>
        <v/>
      </c>
      <c r="B764" s="70"/>
      <c r="C764" s="70"/>
      <c r="D764" s="77"/>
      <c r="E764" s="73" t="str">
        <f>IF(B764="","",VLOOKUP(C764,RM!$C$4:$F1003,3,FALSE))</f>
        <v/>
      </c>
      <c r="F764" s="74" t="str">
        <f>IF(B764="","",IFERROR(SUMIFS(Issue!$D$3:$D1013,Issue!$C$3:$C1013,'S-BOM'!$B764)*'S-BOM'!$D764,""))</f>
        <v/>
      </c>
      <c r="G764" s="75" t="str">
        <f t="array" ref="G764">IFERROR(INDEX(#REF!,MATCH('S-BOM'!$C764,RM!$C$4:$C1003,0)),"")</f>
        <v/>
      </c>
      <c r="H764" s="75" t="str">
        <f t="shared" si="5"/>
        <v/>
      </c>
      <c r="I764" s="76"/>
    </row>
    <row r="765" spans="1:9" ht="15.75" customHeight="1">
      <c r="A765" s="69" t="str">
        <f t="shared" si="4"/>
        <v/>
      </c>
      <c r="B765" s="70"/>
      <c r="C765" s="70"/>
      <c r="D765" s="77"/>
      <c r="E765" s="73" t="str">
        <f>IF(B765="","",VLOOKUP(C765,RM!$C$4:$F1003,3,FALSE))</f>
        <v/>
      </c>
      <c r="F765" s="74" t="str">
        <f>IF(B765="","",IFERROR(SUMIFS(Issue!$D$3:$D1013,Issue!$C$3:$C1013,'S-BOM'!$B765)*'S-BOM'!$D765,""))</f>
        <v/>
      </c>
      <c r="G765" s="75" t="str">
        <f t="array" ref="G765">IFERROR(INDEX(#REF!,MATCH('S-BOM'!$C765,RM!$C$4:$C1003,0)),"")</f>
        <v/>
      </c>
      <c r="H765" s="75" t="str">
        <f t="shared" si="5"/>
        <v/>
      </c>
      <c r="I765" s="76"/>
    </row>
    <row r="766" spans="1:9" ht="15.75" customHeight="1">
      <c r="A766" s="69" t="str">
        <f t="shared" si="4"/>
        <v/>
      </c>
      <c r="B766" s="70"/>
      <c r="C766" s="70"/>
      <c r="D766" s="77"/>
      <c r="E766" s="73" t="str">
        <f>IF(B766="","",VLOOKUP(C766,RM!$C$4:$F1003,3,FALSE))</f>
        <v/>
      </c>
      <c r="F766" s="74" t="str">
        <f>IF(B766="","",IFERROR(SUMIFS(Issue!$D$3:$D1013,Issue!$C$3:$C1013,'S-BOM'!$B766)*'S-BOM'!$D766,""))</f>
        <v/>
      </c>
      <c r="G766" s="75" t="str">
        <f t="array" ref="G766">IFERROR(INDEX(#REF!,MATCH('S-BOM'!$C766,RM!$C$4:$C1003,0)),"")</f>
        <v/>
      </c>
      <c r="H766" s="75" t="str">
        <f t="shared" si="5"/>
        <v/>
      </c>
      <c r="I766" s="76"/>
    </row>
    <row r="767" spans="1:9" ht="15.75" customHeight="1">
      <c r="A767" s="69" t="str">
        <f t="shared" si="4"/>
        <v/>
      </c>
      <c r="B767" s="70"/>
      <c r="C767" s="70"/>
      <c r="D767" s="77"/>
      <c r="E767" s="73" t="str">
        <f>IF(B767="","",VLOOKUP(C767,RM!$C$4:$F1003,3,FALSE))</f>
        <v/>
      </c>
      <c r="F767" s="74" t="str">
        <f>IF(B767="","",IFERROR(SUMIFS(Issue!$D$3:$D1013,Issue!$C$3:$C1013,'S-BOM'!$B767)*'S-BOM'!$D767,""))</f>
        <v/>
      </c>
      <c r="G767" s="75" t="str">
        <f t="array" ref="G767">IFERROR(INDEX(#REF!,MATCH('S-BOM'!$C767,RM!$C$4:$C1003,0)),"")</f>
        <v/>
      </c>
      <c r="H767" s="75" t="str">
        <f t="shared" si="5"/>
        <v/>
      </c>
      <c r="I767" s="76"/>
    </row>
    <row r="768" spans="1:9" ht="15.75" customHeight="1">
      <c r="A768" s="69" t="str">
        <f t="shared" ref="A768:A1012" si="6">IF(B768="","",ROW()-2)</f>
        <v/>
      </c>
      <c r="B768" s="70"/>
      <c r="C768" s="70"/>
      <c r="D768" s="77"/>
      <c r="E768" s="73" t="str">
        <f>IF(B768="","",VLOOKUP(C768,RM!$C$4:$F1003,3,FALSE))</f>
        <v/>
      </c>
      <c r="F768" s="74" t="str">
        <f>IF(B768="","",IFERROR(SUMIFS(Issue!$D$3:$D1013,Issue!$C$3:$C1013,'S-BOM'!$B768)*'S-BOM'!$D768,""))</f>
        <v/>
      </c>
      <c r="G768" s="75" t="str">
        <f t="array" ref="G768">IFERROR(INDEX(#REF!,MATCH('S-BOM'!$C768,RM!$C$4:$C1003,0)),"")</f>
        <v/>
      </c>
      <c r="H768" s="75" t="str">
        <f t="shared" ref="H768:H971" si="7">IFERROR(IF(ROUNDDOWN(G768/D768,0)&lt;=0,0,ROUNDDOWN(G768/D768,0)),"")</f>
        <v/>
      </c>
      <c r="I768" s="76"/>
    </row>
    <row r="769" spans="1:9" ht="15.75" customHeight="1">
      <c r="A769" s="69" t="str">
        <f t="shared" si="6"/>
        <v/>
      </c>
      <c r="B769" s="70"/>
      <c r="C769" s="70"/>
      <c r="D769" s="77"/>
      <c r="E769" s="73" t="str">
        <f>IF(B769="","",VLOOKUP(C769,RM!$C$4:$F1003,3,FALSE))</f>
        <v/>
      </c>
      <c r="F769" s="74" t="str">
        <f>IF(B769="","",IFERROR(SUMIFS(Issue!$D$3:$D1013,Issue!$C$3:$C1013,'S-BOM'!$B769)*'S-BOM'!$D769,""))</f>
        <v/>
      </c>
      <c r="G769" s="75" t="str">
        <f t="array" ref="G769">IFERROR(INDEX(#REF!,MATCH('S-BOM'!$C769,RM!$C$4:$C1003,0)),"")</f>
        <v/>
      </c>
      <c r="H769" s="75" t="str">
        <f t="shared" si="7"/>
        <v/>
      </c>
      <c r="I769" s="76"/>
    </row>
    <row r="770" spans="1:9" ht="15.75" customHeight="1">
      <c r="A770" s="69" t="str">
        <f t="shared" si="6"/>
        <v/>
      </c>
      <c r="B770" s="70"/>
      <c r="C770" s="70"/>
      <c r="D770" s="77"/>
      <c r="E770" s="73" t="str">
        <f>IF(B770="","",VLOOKUP(C770,RM!$C$4:$F1003,3,FALSE))</f>
        <v/>
      </c>
      <c r="F770" s="74" t="str">
        <f>IF(B770="","",IFERROR(SUMIFS(Issue!$D$3:$D1013,Issue!$C$3:$C1013,'S-BOM'!$B770)*'S-BOM'!$D770,""))</f>
        <v/>
      </c>
      <c r="G770" s="75" t="str">
        <f t="array" ref="G770">IFERROR(INDEX(#REF!,MATCH('S-BOM'!$C770,RM!$C$4:$C1003,0)),"")</f>
        <v/>
      </c>
      <c r="H770" s="75" t="str">
        <f t="shared" si="7"/>
        <v/>
      </c>
      <c r="I770" s="76"/>
    </row>
    <row r="771" spans="1:9" ht="15.75" customHeight="1">
      <c r="A771" s="69" t="str">
        <f t="shared" si="6"/>
        <v/>
      </c>
      <c r="B771" s="70"/>
      <c r="C771" s="70"/>
      <c r="D771" s="77"/>
      <c r="E771" s="73" t="str">
        <f>IF(B771="","",VLOOKUP(C771,RM!$C$4:$F1003,3,FALSE))</f>
        <v/>
      </c>
      <c r="F771" s="74" t="str">
        <f>IF(B771="","",IFERROR(SUMIFS(Issue!$D$3:$D1013,Issue!$C$3:$C1013,'S-BOM'!$B771)*'S-BOM'!$D771,""))</f>
        <v/>
      </c>
      <c r="G771" s="75" t="str">
        <f t="array" ref="G771">IFERROR(INDEX(#REF!,MATCH('S-BOM'!$C771,RM!$C$4:$C1003,0)),"")</f>
        <v/>
      </c>
      <c r="H771" s="75" t="str">
        <f t="shared" si="7"/>
        <v/>
      </c>
      <c r="I771" s="76"/>
    </row>
    <row r="772" spans="1:9" ht="15.75" customHeight="1">
      <c r="A772" s="69" t="str">
        <f t="shared" si="6"/>
        <v/>
      </c>
      <c r="B772" s="70"/>
      <c r="C772" s="70"/>
      <c r="D772" s="77"/>
      <c r="E772" s="73" t="str">
        <f>IF(B772="","",VLOOKUP(C772,RM!$C$4:$F1003,3,FALSE))</f>
        <v/>
      </c>
      <c r="F772" s="74" t="str">
        <f>IF(B772="","",IFERROR(SUMIFS(Issue!$D$3:$D1013,Issue!$C$3:$C1013,'S-BOM'!$B772)*'S-BOM'!$D772,""))</f>
        <v/>
      </c>
      <c r="G772" s="75" t="str">
        <f t="array" ref="G772">IFERROR(INDEX(#REF!,MATCH('S-BOM'!$C772,RM!$C$4:$C1003,0)),"")</f>
        <v/>
      </c>
      <c r="H772" s="75" t="str">
        <f t="shared" si="7"/>
        <v/>
      </c>
      <c r="I772" s="76"/>
    </row>
    <row r="773" spans="1:9" ht="15.75" customHeight="1">
      <c r="A773" s="69" t="str">
        <f t="shared" si="6"/>
        <v/>
      </c>
      <c r="B773" s="70"/>
      <c r="C773" s="70"/>
      <c r="D773" s="77"/>
      <c r="E773" s="73" t="str">
        <f>IF(B773="","",VLOOKUP(C773,RM!$C$4:$F1003,3,FALSE))</f>
        <v/>
      </c>
      <c r="F773" s="74" t="str">
        <f>IF(B773="","",IFERROR(SUMIFS(Issue!$D$3:$D1013,Issue!$C$3:$C1013,'S-BOM'!$B773)*'S-BOM'!$D773,""))</f>
        <v/>
      </c>
      <c r="G773" s="75" t="str">
        <f t="array" ref="G773">IFERROR(INDEX(#REF!,MATCH('S-BOM'!$C773,RM!$C$4:$C1003,0)),"")</f>
        <v/>
      </c>
      <c r="H773" s="75" t="str">
        <f t="shared" si="7"/>
        <v/>
      </c>
      <c r="I773" s="76"/>
    </row>
    <row r="774" spans="1:9" ht="15.75" customHeight="1">
      <c r="A774" s="69" t="str">
        <f t="shared" si="6"/>
        <v/>
      </c>
      <c r="B774" s="70"/>
      <c r="C774" s="70"/>
      <c r="D774" s="77"/>
      <c r="E774" s="73" t="str">
        <f>IF(B774="","",VLOOKUP(C774,RM!$C$4:$F1003,3,FALSE))</f>
        <v/>
      </c>
      <c r="F774" s="74" t="str">
        <f>IF(B774="","",IFERROR(SUMIFS(Issue!$D$3:$D1013,Issue!$C$3:$C1013,'S-BOM'!$B774)*'S-BOM'!$D774,""))</f>
        <v/>
      </c>
      <c r="G774" s="75" t="str">
        <f t="array" ref="G774">IFERROR(INDEX(#REF!,MATCH('S-BOM'!$C774,RM!$C$4:$C1003,0)),"")</f>
        <v/>
      </c>
      <c r="H774" s="75" t="str">
        <f t="shared" si="7"/>
        <v/>
      </c>
      <c r="I774" s="76"/>
    </row>
    <row r="775" spans="1:9" ht="15.75" customHeight="1">
      <c r="A775" s="69" t="str">
        <f t="shared" si="6"/>
        <v/>
      </c>
      <c r="B775" s="70"/>
      <c r="C775" s="70"/>
      <c r="D775" s="77"/>
      <c r="E775" s="73" t="str">
        <f>IF(B775="","",VLOOKUP(C775,RM!$C$4:$F1003,3,FALSE))</f>
        <v/>
      </c>
      <c r="F775" s="74" t="str">
        <f>IF(B775="","",IFERROR(SUMIFS(Issue!$D$3:$D1013,Issue!$C$3:$C1013,'S-BOM'!$B775)*'S-BOM'!$D775,""))</f>
        <v/>
      </c>
      <c r="G775" s="75" t="str">
        <f t="array" ref="G775">IFERROR(INDEX(#REF!,MATCH('S-BOM'!$C775,RM!$C$4:$C1003,0)),"")</f>
        <v/>
      </c>
      <c r="H775" s="75" t="str">
        <f t="shared" si="7"/>
        <v/>
      </c>
      <c r="I775" s="76"/>
    </row>
    <row r="776" spans="1:9" ht="15.75" customHeight="1">
      <c r="A776" s="69" t="str">
        <f t="shared" si="6"/>
        <v/>
      </c>
      <c r="B776" s="70"/>
      <c r="C776" s="70"/>
      <c r="D776" s="77"/>
      <c r="E776" s="73" t="str">
        <f>IF(B776="","",VLOOKUP(C776,RM!$C$4:$F1003,3,FALSE))</f>
        <v/>
      </c>
      <c r="F776" s="74" t="str">
        <f>IF(B776="","",IFERROR(SUMIFS(Issue!$D$3:$D1013,Issue!$C$3:$C1013,'S-BOM'!$B776)*'S-BOM'!$D776,""))</f>
        <v/>
      </c>
      <c r="G776" s="75" t="str">
        <f t="array" ref="G776">IFERROR(INDEX(#REF!,MATCH('S-BOM'!$C776,RM!$C$4:$C1003,0)),"")</f>
        <v/>
      </c>
      <c r="H776" s="75" t="str">
        <f t="shared" si="7"/>
        <v/>
      </c>
      <c r="I776" s="76"/>
    </row>
    <row r="777" spans="1:9" ht="15.75" customHeight="1">
      <c r="A777" s="69" t="str">
        <f t="shared" si="6"/>
        <v/>
      </c>
      <c r="B777" s="70"/>
      <c r="C777" s="70"/>
      <c r="D777" s="77"/>
      <c r="E777" s="73" t="str">
        <f>IF(B777="","",VLOOKUP(C777,RM!$C$4:$F1003,3,FALSE))</f>
        <v/>
      </c>
      <c r="F777" s="74" t="str">
        <f>IF(B777="","",IFERROR(SUMIFS(Issue!$D$3:$D1013,Issue!$C$3:$C1013,'S-BOM'!$B777)*'S-BOM'!$D777,""))</f>
        <v/>
      </c>
      <c r="G777" s="75" t="str">
        <f t="array" ref="G777">IFERROR(INDEX(#REF!,MATCH('S-BOM'!$C777,RM!$C$4:$C1003,0)),"")</f>
        <v/>
      </c>
      <c r="H777" s="75" t="str">
        <f t="shared" si="7"/>
        <v/>
      </c>
      <c r="I777" s="76"/>
    </row>
    <row r="778" spans="1:9" ht="15.75" customHeight="1">
      <c r="A778" s="69" t="str">
        <f t="shared" si="6"/>
        <v/>
      </c>
      <c r="B778" s="70"/>
      <c r="C778" s="70"/>
      <c r="D778" s="77"/>
      <c r="E778" s="73" t="str">
        <f>IF(B778="","",VLOOKUP(C778,RM!$C$4:$F1003,3,FALSE))</f>
        <v/>
      </c>
      <c r="F778" s="74" t="str">
        <f>IF(B778="","",IFERROR(SUMIFS(Issue!$D$3:$D1013,Issue!$C$3:$C1013,'S-BOM'!$B778)*'S-BOM'!$D778,""))</f>
        <v/>
      </c>
      <c r="G778" s="75" t="str">
        <f t="array" ref="G778">IFERROR(INDEX(#REF!,MATCH('S-BOM'!$C778,RM!$C$4:$C1003,0)),"")</f>
        <v/>
      </c>
      <c r="H778" s="75" t="str">
        <f t="shared" si="7"/>
        <v/>
      </c>
      <c r="I778" s="76"/>
    </row>
    <row r="779" spans="1:9" ht="15.75" customHeight="1">
      <c r="A779" s="69" t="str">
        <f t="shared" si="6"/>
        <v/>
      </c>
      <c r="B779" s="70"/>
      <c r="C779" s="70"/>
      <c r="D779" s="77"/>
      <c r="E779" s="73" t="str">
        <f>IF(B779="","",VLOOKUP(C779,RM!$C$4:$F1003,3,FALSE))</f>
        <v/>
      </c>
      <c r="F779" s="74" t="str">
        <f>IF(B779="","",IFERROR(SUMIFS(Issue!$D$3:$D1013,Issue!$C$3:$C1013,'S-BOM'!$B779)*'S-BOM'!$D779,""))</f>
        <v/>
      </c>
      <c r="G779" s="75" t="str">
        <f t="array" ref="G779">IFERROR(INDEX(#REF!,MATCH('S-BOM'!$C779,RM!$C$4:$C1003,0)),"")</f>
        <v/>
      </c>
      <c r="H779" s="75" t="str">
        <f t="shared" si="7"/>
        <v/>
      </c>
      <c r="I779" s="76"/>
    </row>
    <row r="780" spans="1:9" ht="15.75" customHeight="1">
      <c r="A780" s="69" t="str">
        <f t="shared" si="6"/>
        <v/>
      </c>
      <c r="B780" s="70"/>
      <c r="C780" s="70"/>
      <c r="D780" s="77"/>
      <c r="E780" s="73" t="str">
        <f>IF(B780="","",VLOOKUP(C780,RM!$C$4:$F1003,3,FALSE))</f>
        <v/>
      </c>
      <c r="F780" s="74" t="str">
        <f>IF(B780="","",IFERROR(SUMIFS(Issue!$D$3:$D1013,Issue!$C$3:$C1013,'S-BOM'!$B780)*'S-BOM'!$D780,""))</f>
        <v/>
      </c>
      <c r="G780" s="75" t="str">
        <f t="array" ref="G780">IFERROR(INDEX(#REF!,MATCH('S-BOM'!$C780,RM!$C$4:$C1003,0)),"")</f>
        <v/>
      </c>
      <c r="H780" s="75" t="str">
        <f t="shared" si="7"/>
        <v/>
      </c>
      <c r="I780" s="76"/>
    </row>
    <row r="781" spans="1:9" ht="15.75" customHeight="1">
      <c r="A781" s="69" t="str">
        <f t="shared" si="6"/>
        <v/>
      </c>
      <c r="B781" s="70"/>
      <c r="C781" s="70"/>
      <c r="D781" s="77"/>
      <c r="E781" s="73" t="str">
        <f>IF(B781="","",VLOOKUP(C781,RM!$C$4:$F1003,3,FALSE))</f>
        <v/>
      </c>
      <c r="F781" s="74" t="str">
        <f>IF(B781="","",IFERROR(SUMIFS(Issue!$D$3:$D1013,Issue!$C$3:$C1013,'S-BOM'!$B781)*'S-BOM'!$D781,""))</f>
        <v/>
      </c>
      <c r="G781" s="75" t="str">
        <f t="array" ref="G781">IFERROR(INDEX(#REF!,MATCH('S-BOM'!$C781,RM!$C$4:$C1003,0)),"")</f>
        <v/>
      </c>
      <c r="H781" s="75" t="str">
        <f t="shared" si="7"/>
        <v/>
      </c>
      <c r="I781" s="76"/>
    </row>
    <row r="782" spans="1:9" ht="15.75" customHeight="1">
      <c r="A782" s="69" t="str">
        <f t="shared" si="6"/>
        <v/>
      </c>
      <c r="B782" s="70"/>
      <c r="C782" s="70"/>
      <c r="D782" s="77"/>
      <c r="E782" s="73" t="str">
        <f>IF(B782="","",VLOOKUP(C782,RM!$C$4:$F1003,3,FALSE))</f>
        <v/>
      </c>
      <c r="F782" s="74" t="str">
        <f>IF(B782="","",IFERROR(SUMIFS(Issue!$D$3:$D1013,Issue!$C$3:$C1013,'S-BOM'!$B782)*'S-BOM'!$D782,""))</f>
        <v/>
      </c>
      <c r="G782" s="75" t="str">
        <f t="array" ref="G782">IFERROR(INDEX(#REF!,MATCH('S-BOM'!$C782,RM!$C$4:$C1003,0)),"")</f>
        <v/>
      </c>
      <c r="H782" s="75" t="str">
        <f t="shared" si="7"/>
        <v/>
      </c>
      <c r="I782" s="76"/>
    </row>
    <row r="783" spans="1:9" ht="15.75" customHeight="1">
      <c r="A783" s="69" t="str">
        <f t="shared" si="6"/>
        <v/>
      </c>
      <c r="B783" s="70"/>
      <c r="C783" s="70"/>
      <c r="D783" s="77"/>
      <c r="E783" s="73" t="str">
        <f>IF(B783="","",VLOOKUP(C783,RM!$C$4:$F1003,3,FALSE))</f>
        <v/>
      </c>
      <c r="F783" s="74" t="str">
        <f>IF(B783="","",IFERROR(SUMIFS(Issue!$D$3:$D1013,Issue!$C$3:$C1013,'S-BOM'!$B783)*'S-BOM'!$D783,""))</f>
        <v/>
      </c>
      <c r="G783" s="75" t="str">
        <f t="array" ref="G783">IFERROR(INDEX(#REF!,MATCH('S-BOM'!$C783,RM!$C$4:$C1003,0)),"")</f>
        <v/>
      </c>
      <c r="H783" s="75" t="str">
        <f t="shared" si="7"/>
        <v/>
      </c>
      <c r="I783" s="76"/>
    </row>
    <row r="784" spans="1:9" ht="15.75" customHeight="1">
      <c r="A784" s="69" t="str">
        <f t="shared" si="6"/>
        <v/>
      </c>
      <c r="B784" s="70"/>
      <c r="C784" s="70"/>
      <c r="D784" s="77"/>
      <c r="E784" s="73" t="str">
        <f>IF(B784="","",VLOOKUP(C784,RM!$C$4:$F1003,3,FALSE))</f>
        <v/>
      </c>
      <c r="F784" s="74" t="str">
        <f>IF(B784="","",IFERROR(SUMIFS(Issue!$D$3:$D1013,Issue!$C$3:$C1013,'S-BOM'!$B784)*'S-BOM'!$D784,""))</f>
        <v/>
      </c>
      <c r="G784" s="75" t="str">
        <f t="array" ref="G784">IFERROR(INDEX(#REF!,MATCH('S-BOM'!$C784,RM!$C$4:$C1003,0)),"")</f>
        <v/>
      </c>
      <c r="H784" s="75" t="str">
        <f t="shared" si="7"/>
        <v/>
      </c>
      <c r="I784" s="76"/>
    </row>
    <row r="785" spans="1:9" ht="15.75" customHeight="1">
      <c r="A785" s="69" t="str">
        <f t="shared" si="6"/>
        <v/>
      </c>
      <c r="B785" s="70"/>
      <c r="C785" s="70"/>
      <c r="D785" s="77"/>
      <c r="E785" s="73" t="str">
        <f>IF(B785="","",VLOOKUP(C785,RM!$C$4:$F1003,3,FALSE))</f>
        <v/>
      </c>
      <c r="F785" s="74" t="str">
        <f>IF(B785="","",IFERROR(SUMIFS(Issue!$D$3:$D1013,Issue!$C$3:$C1013,'S-BOM'!$B785)*'S-BOM'!$D785,""))</f>
        <v/>
      </c>
      <c r="G785" s="75" t="str">
        <f t="array" ref="G785">IFERROR(INDEX(#REF!,MATCH('S-BOM'!$C785,RM!$C$4:$C1003,0)),"")</f>
        <v/>
      </c>
      <c r="H785" s="75" t="str">
        <f t="shared" si="7"/>
        <v/>
      </c>
      <c r="I785" s="76"/>
    </row>
    <row r="786" spans="1:9" ht="15.75" customHeight="1">
      <c r="A786" s="69" t="str">
        <f t="shared" si="6"/>
        <v/>
      </c>
      <c r="B786" s="70"/>
      <c r="C786" s="70"/>
      <c r="D786" s="77"/>
      <c r="E786" s="73" t="str">
        <f>IF(B786="","",VLOOKUP(C786,RM!$C$4:$F1003,3,FALSE))</f>
        <v/>
      </c>
      <c r="F786" s="74" t="str">
        <f>IF(B786="","",IFERROR(SUMIFS(Issue!$D$3:$D1013,Issue!$C$3:$C1013,'S-BOM'!$B786)*'S-BOM'!$D786,""))</f>
        <v/>
      </c>
      <c r="G786" s="75" t="str">
        <f t="array" ref="G786">IFERROR(INDEX(#REF!,MATCH('S-BOM'!$C786,RM!$C$4:$C1003,0)),"")</f>
        <v/>
      </c>
      <c r="H786" s="75" t="str">
        <f t="shared" si="7"/>
        <v/>
      </c>
      <c r="I786" s="76"/>
    </row>
    <row r="787" spans="1:9" ht="15.75" customHeight="1">
      <c r="A787" s="69" t="str">
        <f t="shared" si="6"/>
        <v/>
      </c>
      <c r="B787" s="70"/>
      <c r="C787" s="70"/>
      <c r="D787" s="77"/>
      <c r="E787" s="73" t="str">
        <f>IF(B787="","",VLOOKUP(C787,RM!$C$4:$F1003,3,FALSE))</f>
        <v/>
      </c>
      <c r="F787" s="74" t="str">
        <f>IF(B787="","",IFERROR(SUMIFS(Issue!$D$3:$D1013,Issue!$C$3:$C1013,'S-BOM'!$B787)*'S-BOM'!$D787,""))</f>
        <v/>
      </c>
      <c r="G787" s="75" t="str">
        <f t="array" ref="G787">IFERROR(INDEX(#REF!,MATCH('S-BOM'!$C787,RM!$C$4:$C1003,0)),"")</f>
        <v/>
      </c>
      <c r="H787" s="75" t="str">
        <f t="shared" si="7"/>
        <v/>
      </c>
      <c r="I787" s="76"/>
    </row>
    <row r="788" spans="1:9" ht="15.75" customHeight="1">
      <c r="A788" s="69" t="str">
        <f t="shared" si="6"/>
        <v/>
      </c>
      <c r="B788" s="70"/>
      <c r="C788" s="70"/>
      <c r="D788" s="77"/>
      <c r="E788" s="73" t="str">
        <f>IF(B788="","",VLOOKUP(C788,RM!$C$4:$F1003,3,FALSE))</f>
        <v/>
      </c>
      <c r="F788" s="74" t="str">
        <f>IF(B788="","",IFERROR(SUMIFS(Issue!$D$3:$D1013,Issue!$C$3:$C1013,'S-BOM'!$B788)*'S-BOM'!$D788,""))</f>
        <v/>
      </c>
      <c r="G788" s="75" t="str">
        <f t="array" ref="G788">IFERROR(INDEX(#REF!,MATCH('S-BOM'!$C788,RM!$C$4:$C1003,0)),"")</f>
        <v/>
      </c>
      <c r="H788" s="75" t="str">
        <f t="shared" si="7"/>
        <v/>
      </c>
      <c r="I788" s="76"/>
    </row>
    <row r="789" spans="1:9" ht="15.75" customHeight="1">
      <c r="A789" s="69" t="str">
        <f t="shared" si="6"/>
        <v/>
      </c>
      <c r="B789" s="70"/>
      <c r="C789" s="70"/>
      <c r="D789" s="77"/>
      <c r="E789" s="73" t="str">
        <f>IF(B789="","",VLOOKUP(C789,RM!$C$4:$F1003,3,FALSE))</f>
        <v/>
      </c>
      <c r="F789" s="74" t="str">
        <f>IF(B789="","",IFERROR(SUMIFS(Issue!$D$3:$D1013,Issue!$C$3:$C1013,'S-BOM'!$B789)*'S-BOM'!$D789,""))</f>
        <v/>
      </c>
      <c r="G789" s="75" t="str">
        <f t="array" ref="G789">IFERROR(INDEX(#REF!,MATCH('S-BOM'!$C789,RM!$C$4:$C1003,0)),"")</f>
        <v/>
      </c>
      <c r="H789" s="75" t="str">
        <f t="shared" si="7"/>
        <v/>
      </c>
      <c r="I789" s="76"/>
    </row>
    <row r="790" spans="1:9" ht="15.75" customHeight="1">
      <c r="A790" s="69" t="str">
        <f t="shared" si="6"/>
        <v/>
      </c>
      <c r="B790" s="70"/>
      <c r="C790" s="70"/>
      <c r="D790" s="77"/>
      <c r="E790" s="73" t="str">
        <f>IF(B790="","",VLOOKUP(C790,RM!$C$4:$F1003,3,FALSE))</f>
        <v/>
      </c>
      <c r="F790" s="74" t="str">
        <f>IF(B790="","",IFERROR(SUMIFS(Issue!$D$3:$D1013,Issue!$C$3:$C1013,'S-BOM'!$B790)*'S-BOM'!$D790,""))</f>
        <v/>
      </c>
      <c r="G790" s="75" t="str">
        <f t="array" ref="G790">IFERROR(INDEX(#REF!,MATCH('S-BOM'!$C790,RM!$C$4:$C1003,0)),"")</f>
        <v/>
      </c>
      <c r="H790" s="75" t="str">
        <f t="shared" si="7"/>
        <v/>
      </c>
      <c r="I790" s="76"/>
    </row>
    <row r="791" spans="1:9" ht="15.75" customHeight="1">
      <c r="A791" s="69" t="str">
        <f t="shared" si="6"/>
        <v/>
      </c>
      <c r="B791" s="70"/>
      <c r="C791" s="70"/>
      <c r="D791" s="77"/>
      <c r="E791" s="73" t="str">
        <f>IF(B791="","",VLOOKUP(C791,RM!$C$4:$F1003,3,FALSE))</f>
        <v/>
      </c>
      <c r="F791" s="74" t="str">
        <f>IF(B791="","",IFERROR(SUMIFS(Issue!$D$3:$D1013,Issue!$C$3:$C1013,'S-BOM'!$B791)*'S-BOM'!$D791,""))</f>
        <v/>
      </c>
      <c r="G791" s="75" t="str">
        <f t="array" ref="G791">IFERROR(INDEX(#REF!,MATCH('S-BOM'!$C791,RM!$C$4:$C1003,0)),"")</f>
        <v/>
      </c>
      <c r="H791" s="75" t="str">
        <f t="shared" si="7"/>
        <v/>
      </c>
      <c r="I791" s="76"/>
    </row>
    <row r="792" spans="1:9" ht="15.75" customHeight="1">
      <c r="A792" s="69" t="str">
        <f t="shared" si="6"/>
        <v/>
      </c>
      <c r="B792" s="70"/>
      <c r="C792" s="70"/>
      <c r="D792" s="77"/>
      <c r="E792" s="73" t="str">
        <f>IF(B792="","",VLOOKUP(C792,RM!$C$4:$F1003,3,FALSE))</f>
        <v/>
      </c>
      <c r="F792" s="74" t="str">
        <f>IF(B792="","",IFERROR(SUMIFS(Issue!$D$3:$D1013,Issue!$C$3:$C1013,'S-BOM'!$B792)*'S-BOM'!$D792,""))</f>
        <v/>
      </c>
      <c r="G792" s="75" t="str">
        <f t="array" ref="G792">IFERROR(INDEX(#REF!,MATCH('S-BOM'!$C792,RM!$C$4:$C1003,0)),"")</f>
        <v/>
      </c>
      <c r="H792" s="75" t="str">
        <f t="shared" si="7"/>
        <v/>
      </c>
      <c r="I792" s="76"/>
    </row>
    <row r="793" spans="1:9" ht="15.75" customHeight="1">
      <c r="A793" s="69" t="str">
        <f t="shared" si="6"/>
        <v/>
      </c>
      <c r="B793" s="70"/>
      <c r="C793" s="70"/>
      <c r="D793" s="77"/>
      <c r="E793" s="73" t="str">
        <f>IF(B793="","",VLOOKUP(C793,RM!$C$4:$F1003,3,FALSE))</f>
        <v/>
      </c>
      <c r="F793" s="74" t="str">
        <f>IF(B793="","",IFERROR(SUMIFS(Issue!$D$3:$D1013,Issue!$C$3:$C1013,'S-BOM'!$B793)*'S-BOM'!$D793,""))</f>
        <v/>
      </c>
      <c r="G793" s="75" t="str">
        <f t="array" ref="G793">IFERROR(INDEX(#REF!,MATCH('S-BOM'!$C793,RM!$C$4:$C1003,0)),"")</f>
        <v/>
      </c>
      <c r="H793" s="75" t="str">
        <f t="shared" si="7"/>
        <v/>
      </c>
      <c r="I793" s="76"/>
    </row>
    <row r="794" spans="1:9" ht="15.75" customHeight="1">
      <c r="A794" s="69" t="str">
        <f t="shared" si="6"/>
        <v/>
      </c>
      <c r="B794" s="70"/>
      <c r="C794" s="70"/>
      <c r="D794" s="77"/>
      <c r="E794" s="73" t="str">
        <f>IF(B794="","",VLOOKUP(C794,RM!$C$4:$F1003,3,FALSE))</f>
        <v/>
      </c>
      <c r="F794" s="74" t="str">
        <f>IF(B794="","",IFERROR(SUMIFS(Issue!$D$3:$D1013,Issue!$C$3:$C1013,'S-BOM'!$B794)*'S-BOM'!$D794,""))</f>
        <v/>
      </c>
      <c r="G794" s="75" t="str">
        <f t="array" ref="G794">IFERROR(INDEX(#REF!,MATCH('S-BOM'!$C794,RM!$C$4:$C1003,0)),"")</f>
        <v/>
      </c>
      <c r="H794" s="75" t="str">
        <f t="shared" si="7"/>
        <v/>
      </c>
      <c r="I794" s="76"/>
    </row>
    <row r="795" spans="1:9" ht="15.75" customHeight="1">
      <c r="A795" s="69" t="str">
        <f t="shared" si="6"/>
        <v/>
      </c>
      <c r="B795" s="70"/>
      <c r="C795" s="70"/>
      <c r="D795" s="77"/>
      <c r="E795" s="73" t="str">
        <f>IF(B795="","",VLOOKUP(C795,RM!$C$4:$F1003,3,FALSE))</f>
        <v/>
      </c>
      <c r="F795" s="74" t="str">
        <f>IF(B795="","",IFERROR(SUMIFS(Issue!$D$3:$D1013,Issue!$C$3:$C1013,'S-BOM'!$B795)*'S-BOM'!$D795,""))</f>
        <v/>
      </c>
      <c r="G795" s="75" t="str">
        <f t="array" ref="G795">IFERROR(INDEX(#REF!,MATCH('S-BOM'!$C795,RM!$C$4:$C1003,0)),"")</f>
        <v/>
      </c>
      <c r="H795" s="75" t="str">
        <f t="shared" si="7"/>
        <v/>
      </c>
      <c r="I795" s="76"/>
    </row>
    <row r="796" spans="1:9" ht="15.75" customHeight="1">
      <c r="A796" s="69" t="str">
        <f t="shared" si="6"/>
        <v/>
      </c>
      <c r="B796" s="70"/>
      <c r="C796" s="70"/>
      <c r="D796" s="77"/>
      <c r="E796" s="73" t="str">
        <f>IF(B796="","",VLOOKUP(C796,RM!$C$4:$F1003,3,FALSE))</f>
        <v/>
      </c>
      <c r="F796" s="74" t="str">
        <f>IF(B796="","",IFERROR(SUMIFS(Issue!$D$3:$D1013,Issue!$C$3:$C1013,'S-BOM'!$B796)*'S-BOM'!$D796,""))</f>
        <v/>
      </c>
      <c r="G796" s="75" t="str">
        <f t="array" ref="G796">IFERROR(INDEX(#REF!,MATCH('S-BOM'!$C796,RM!$C$4:$C1003,0)),"")</f>
        <v/>
      </c>
      <c r="H796" s="75" t="str">
        <f t="shared" si="7"/>
        <v/>
      </c>
      <c r="I796" s="76"/>
    </row>
    <row r="797" spans="1:9" ht="15.75" customHeight="1">
      <c r="A797" s="69" t="str">
        <f t="shared" si="6"/>
        <v/>
      </c>
      <c r="B797" s="70"/>
      <c r="C797" s="70"/>
      <c r="D797" s="77"/>
      <c r="E797" s="73" t="str">
        <f>IF(B797="","",VLOOKUP(C797,RM!$C$4:$F1003,3,FALSE))</f>
        <v/>
      </c>
      <c r="F797" s="74" t="str">
        <f>IF(B797="","",IFERROR(SUMIFS(Issue!$D$3:$D1013,Issue!$C$3:$C1013,'S-BOM'!$B797)*'S-BOM'!$D797,""))</f>
        <v/>
      </c>
      <c r="G797" s="75" t="str">
        <f t="array" ref="G797">IFERROR(INDEX(#REF!,MATCH('S-BOM'!$C797,RM!$C$4:$C1003,0)),"")</f>
        <v/>
      </c>
      <c r="H797" s="75" t="str">
        <f t="shared" si="7"/>
        <v/>
      </c>
      <c r="I797" s="76"/>
    </row>
    <row r="798" spans="1:9" ht="15.75" customHeight="1">
      <c r="A798" s="69" t="str">
        <f t="shared" si="6"/>
        <v/>
      </c>
      <c r="B798" s="70"/>
      <c r="C798" s="70"/>
      <c r="D798" s="77"/>
      <c r="E798" s="73" t="str">
        <f>IF(B798="","",VLOOKUP(C798,RM!$C$4:$F1003,3,FALSE))</f>
        <v/>
      </c>
      <c r="F798" s="74" t="str">
        <f>IF(B798="","",IFERROR(SUMIFS(Issue!$D$3:$D1013,Issue!$C$3:$C1013,'S-BOM'!$B798)*'S-BOM'!$D798,""))</f>
        <v/>
      </c>
      <c r="G798" s="75" t="str">
        <f t="array" ref="G798">IFERROR(INDEX(#REF!,MATCH('S-BOM'!$C798,RM!$C$4:$C1003,0)),"")</f>
        <v/>
      </c>
      <c r="H798" s="75" t="str">
        <f t="shared" si="7"/>
        <v/>
      </c>
      <c r="I798" s="76"/>
    </row>
    <row r="799" spans="1:9" ht="15.75" customHeight="1">
      <c r="A799" s="69" t="str">
        <f t="shared" si="6"/>
        <v/>
      </c>
      <c r="B799" s="70"/>
      <c r="C799" s="70"/>
      <c r="D799" s="77"/>
      <c r="E799" s="73" t="str">
        <f>IF(B799="","",VLOOKUP(C799,RM!$C$4:$F1003,3,FALSE))</f>
        <v/>
      </c>
      <c r="F799" s="74" t="str">
        <f>IF(B799="","",IFERROR(SUMIFS(Issue!$D$3:$D1013,Issue!$C$3:$C1013,'S-BOM'!$B799)*'S-BOM'!$D799,""))</f>
        <v/>
      </c>
      <c r="G799" s="75" t="str">
        <f t="array" ref="G799">IFERROR(INDEX(#REF!,MATCH('S-BOM'!$C799,RM!$C$4:$C1003,0)),"")</f>
        <v/>
      </c>
      <c r="H799" s="75" t="str">
        <f t="shared" si="7"/>
        <v/>
      </c>
      <c r="I799" s="76"/>
    </row>
    <row r="800" spans="1:9" ht="15.75" customHeight="1">
      <c r="A800" s="69" t="str">
        <f t="shared" si="6"/>
        <v/>
      </c>
      <c r="B800" s="70"/>
      <c r="C800" s="70"/>
      <c r="D800" s="77"/>
      <c r="E800" s="73" t="str">
        <f>IF(B800="","",VLOOKUP(C800,RM!$C$4:$F1003,3,FALSE))</f>
        <v/>
      </c>
      <c r="F800" s="74" t="str">
        <f>IF(B800="","",IFERROR(SUMIFS(Issue!$D$3:$D1013,Issue!$C$3:$C1013,'S-BOM'!$B800)*'S-BOM'!$D800,""))</f>
        <v/>
      </c>
      <c r="G800" s="75" t="str">
        <f t="array" ref="G800">IFERROR(INDEX(#REF!,MATCH('S-BOM'!$C800,RM!$C$4:$C1003,0)),"")</f>
        <v/>
      </c>
      <c r="H800" s="75" t="str">
        <f t="shared" si="7"/>
        <v/>
      </c>
      <c r="I800" s="76"/>
    </row>
    <row r="801" spans="1:9" ht="15.75" customHeight="1">
      <c r="A801" s="69" t="str">
        <f t="shared" si="6"/>
        <v/>
      </c>
      <c r="B801" s="70"/>
      <c r="C801" s="70"/>
      <c r="D801" s="77"/>
      <c r="E801" s="73" t="str">
        <f>IF(B801="","",VLOOKUP(C801,RM!$C$4:$F1003,3,FALSE))</f>
        <v/>
      </c>
      <c r="F801" s="74" t="str">
        <f>IF(B801="","",IFERROR(SUMIFS(Issue!$D$3:$D1013,Issue!$C$3:$C1013,'S-BOM'!$B801)*'S-BOM'!$D801,""))</f>
        <v/>
      </c>
      <c r="G801" s="75" t="str">
        <f t="array" ref="G801">IFERROR(INDEX(#REF!,MATCH('S-BOM'!$C801,RM!$C$4:$C1003,0)),"")</f>
        <v/>
      </c>
      <c r="H801" s="75" t="str">
        <f t="shared" si="7"/>
        <v/>
      </c>
      <c r="I801" s="76"/>
    </row>
    <row r="802" spans="1:9" ht="15.75" customHeight="1">
      <c r="A802" s="69" t="str">
        <f t="shared" si="6"/>
        <v/>
      </c>
      <c r="B802" s="70"/>
      <c r="C802" s="70"/>
      <c r="D802" s="77"/>
      <c r="E802" s="73" t="str">
        <f>IF(B802="","",VLOOKUP(C802,RM!$C$4:$F1003,3,FALSE))</f>
        <v/>
      </c>
      <c r="F802" s="74" t="str">
        <f>IF(B802="","",IFERROR(SUMIFS(Issue!$D$3:$D1013,Issue!$C$3:$C1013,'S-BOM'!$B802)*'S-BOM'!$D802,""))</f>
        <v/>
      </c>
      <c r="G802" s="75" t="str">
        <f t="array" ref="G802">IFERROR(INDEX(#REF!,MATCH('S-BOM'!$C802,RM!$C$4:$C1003,0)),"")</f>
        <v/>
      </c>
      <c r="H802" s="75" t="str">
        <f t="shared" si="7"/>
        <v/>
      </c>
      <c r="I802" s="76"/>
    </row>
    <row r="803" spans="1:9" ht="15.75" customHeight="1">
      <c r="A803" s="69" t="str">
        <f t="shared" si="6"/>
        <v/>
      </c>
      <c r="B803" s="70"/>
      <c r="C803" s="70"/>
      <c r="D803" s="77"/>
      <c r="E803" s="73" t="str">
        <f>IF(B803="","",VLOOKUP(C803,RM!$C$4:$F1003,3,FALSE))</f>
        <v/>
      </c>
      <c r="F803" s="74" t="str">
        <f>IF(B803="","",IFERROR(SUMIFS(Issue!$D$3:$D1013,Issue!$C$3:$C1013,'S-BOM'!$B803)*'S-BOM'!$D803,""))</f>
        <v/>
      </c>
      <c r="G803" s="75" t="str">
        <f t="array" ref="G803">IFERROR(INDEX(#REF!,MATCH('S-BOM'!$C803,RM!$C$4:$C1003,0)),"")</f>
        <v/>
      </c>
      <c r="H803" s="75" t="str">
        <f t="shared" si="7"/>
        <v/>
      </c>
      <c r="I803" s="76"/>
    </row>
    <row r="804" spans="1:9" ht="15.75" customHeight="1">
      <c r="A804" s="69" t="str">
        <f t="shared" si="6"/>
        <v/>
      </c>
      <c r="B804" s="70"/>
      <c r="C804" s="70"/>
      <c r="D804" s="77"/>
      <c r="E804" s="73" t="str">
        <f>IF(B804="","",VLOOKUP(C804,RM!$C$4:$F1003,3,FALSE))</f>
        <v/>
      </c>
      <c r="F804" s="74" t="str">
        <f>IF(B804="","",IFERROR(SUMIFS(Issue!$D$3:$D1013,Issue!$C$3:$C1013,'S-BOM'!$B804)*'S-BOM'!$D804,""))</f>
        <v/>
      </c>
      <c r="G804" s="75" t="str">
        <f t="array" ref="G804">IFERROR(INDEX(#REF!,MATCH('S-BOM'!$C804,RM!$C$4:$C1003,0)),"")</f>
        <v/>
      </c>
      <c r="H804" s="75" t="str">
        <f t="shared" si="7"/>
        <v/>
      </c>
      <c r="I804" s="76"/>
    </row>
    <row r="805" spans="1:9" ht="15.75" customHeight="1">
      <c r="A805" s="69" t="str">
        <f t="shared" si="6"/>
        <v/>
      </c>
      <c r="B805" s="70"/>
      <c r="C805" s="70"/>
      <c r="D805" s="77"/>
      <c r="E805" s="73" t="str">
        <f>IF(B805="","",VLOOKUP(C805,RM!$C$4:$F1003,3,FALSE))</f>
        <v/>
      </c>
      <c r="F805" s="74" t="str">
        <f>IF(B805="","",IFERROR(SUMIFS(Issue!$D$3:$D1013,Issue!$C$3:$C1013,'S-BOM'!$B805)*'S-BOM'!$D805,""))</f>
        <v/>
      </c>
      <c r="G805" s="75" t="str">
        <f t="array" ref="G805">IFERROR(INDEX(#REF!,MATCH('S-BOM'!$C805,RM!$C$4:$C1003,0)),"")</f>
        <v/>
      </c>
      <c r="H805" s="75" t="str">
        <f t="shared" si="7"/>
        <v/>
      </c>
      <c r="I805" s="76"/>
    </row>
    <row r="806" spans="1:9" ht="15.75" customHeight="1">
      <c r="A806" s="69" t="str">
        <f t="shared" si="6"/>
        <v/>
      </c>
      <c r="B806" s="70"/>
      <c r="C806" s="70"/>
      <c r="D806" s="77"/>
      <c r="E806" s="73" t="str">
        <f>IF(B806="","",VLOOKUP(C806,RM!$C$4:$F1003,3,FALSE))</f>
        <v/>
      </c>
      <c r="F806" s="74" t="str">
        <f>IF(B806="","",IFERROR(SUMIFS(Issue!$D$3:$D1013,Issue!$C$3:$C1013,'S-BOM'!$B806)*'S-BOM'!$D806,""))</f>
        <v/>
      </c>
      <c r="G806" s="75" t="str">
        <f t="array" ref="G806">IFERROR(INDEX(#REF!,MATCH('S-BOM'!$C806,RM!$C$4:$C1003,0)),"")</f>
        <v/>
      </c>
      <c r="H806" s="75" t="str">
        <f t="shared" si="7"/>
        <v/>
      </c>
      <c r="I806" s="76"/>
    </row>
    <row r="807" spans="1:9" ht="15.75" customHeight="1">
      <c r="A807" s="69" t="str">
        <f t="shared" si="6"/>
        <v/>
      </c>
      <c r="B807" s="70"/>
      <c r="C807" s="70"/>
      <c r="D807" s="77"/>
      <c r="E807" s="73" t="str">
        <f>IF(B807="","",VLOOKUP(C807,RM!$C$4:$F1003,3,FALSE))</f>
        <v/>
      </c>
      <c r="F807" s="74" t="str">
        <f>IF(B807="","",IFERROR(SUMIFS(Issue!$D$3:$D1013,Issue!$C$3:$C1013,'S-BOM'!$B807)*'S-BOM'!$D807,""))</f>
        <v/>
      </c>
      <c r="G807" s="75" t="str">
        <f t="array" ref="G807">IFERROR(INDEX(#REF!,MATCH('S-BOM'!$C807,RM!$C$4:$C1003,0)),"")</f>
        <v/>
      </c>
      <c r="H807" s="75" t="str">
        <f t="shared" si="7"/>
        <v/>
      </c>
      <c r="I807" s="76"/>
    </row>
    <row r="808" spans="1:9" ht="15.75" customHeight="1">
      <c r="A808" s="69" t="str">
        <f t="shared" si="6"/>
        <v/>
      </c>
      <c r="B808" s="70"/>
      <c r="C808" s="70"/>
      <c r="D808" s="77"/>
      <c r="E808" s="73" t="str">
        <f>IF(B808="","",VLOOKUP(C808,RM!$C$4:$F1003,3,FALSE))</f>
        <v/>
      </c>
      <c r="F808" s="74" t="str">
        <f>IF(B808="","",IFERROR(SUMIFS(Issue!$D$3:$D1013,Issue!$C$3:$C1013,'S-BOM'!$B808)*'S-BOM'!$D808,""))</f>
        <v/>
      </c>
      <c r="G808" s="75" t="str">
        <f t="array" ref="G808">IFERROR(INDEX(#REF!,MATCH('S-BOM'!$C808,RM!$C$4:$C1003,0)),"")</f>
        <v/>
      </c>
      <c r="H808" s="75" t="str">
        <f t="shared" si="7"/>
        <v/>
      </c>
      <c r="I808" s="76"/>
    </row>
    <row r="809" spans="1:9" ht="15.75" customHeight="1">
      <c r="A809" s="69" t="str">
        <f t="shared" si="6"/>
        <v/>
      </c>
      <c r="B809" s="70"/>
      <c r="C809" s="70"/>
      <c r="D809" s="77"/>
      <c r="E809" s="73" t="str">
        <f>IF(B809="","",VLOOKUP(C809,RM!$C$4:$F1003,3,FALSE))</f>
        <v/>
      </c>
      <c r="F809" s="74" t="str">
        <f>IF(B809="","",IFERROR(SUMIFS(Issue!$D$3:$D1013,Issue!$C$3:$C1013,'S-BOM'!$B809)*'S-BOM'!$D809,""))</f>
        <v/>
      </c>
      <c r="G809" s="75" t="str">
        <f t="array" ref="G809">IFERROR(INDEX(#REF!,MATCH('S-BOM'!$C809,RM!$C$4:$C1003,0)),"")</f>
        <v/>
      </c>
      <c r="H809" s="75" t="str">
        <f t="shared" si="7"/>
        <v/>
      </c>
      <c r="I809" s="76"/>
    </row>
    <row r="810" spans="1:9" ht="15.75" customHeight="1">
      <c r="A810" s="69" t="str">
        <f t="shared" si="6"/>
        <v/>
      </c>
      <c r="B810" s="70"/>
      <c r="C810" s="70"/>
      <c r="D810" s="77"/>
      <c r="E810" s="73" t="str">
        <f>IF(B810="","",VLOOKUP(C810,RM!$C$4:$F1003,3,FALSE))</f>
        <v/>
      </c>
      <c r="F810" s="74" t="str">
        <f>IF(B810="","",IFERROR(SUMIFS(Issue!$D$3:$D1013,Issue!$C$3:$C1013,'S-BOM'!$B810)*'S-BOM'!$D810,""))</f>
        <v/>
      </c>
      <c r="G810" s="75" t="str">
        <f t="array" ref="G810">IFERROR(INDEX(#REF!,MATCH('S-BOM'!$C810,RM!$C$4:$C1003,0)),"")</f>
        <v/>
      </c>
      <c r="H810" s="75" t="str">
        <f t="shared" si="7"/>
        <v/>
      </c>
      <c r="I810" s="76"/>
    </row>
    <row r="811" spans="1:9" ht="15.75" customHeight="1">
      <c r="A811" s="69" t="str">
        <f t="shared" si="6"/>
        <v/>
      </c>
      <c r="B811" s="70"/>
      <c r="C811" s="70"/>
      <c r="D811" s="77"/>
      <c r="E811" s="73" t="str">
        <f>IF(B811="","",VLOOKUP(C811,RM!$C$4:$F1003,3,FALSE))</f>
        <v/>
      </c>
      <c r="F811" s="74" t="str">
        <f>IF(B811="","",IFERROR(SUMIFS(Issue!$D$3:$D1013,Issue!$C$3:$C1013,'S-BOM'!$B811)*'S-BOM'!$D811,""))</f>
        <v/>
      </c>
      <c r="G811" s="75" t="str">
        <f t="array" ref="G811">IFERROR(INDEX(#REF!,MATCH('S-BOM'!$C811,RM!$C$4:$C1003,0)),"")</f>
        <v/>
      </c>
      <c r="H811" s="75" t="str">
        <f t="shared" si="7"/>
        <v/>
      </c>
      <c r="I811" s="76"/>
    </row>
    <row r="812" spans="1:9" ht="15.75" customHeight="1">
      <c r="A812" s="69" t="str">
        <f t="shared" si="6"/>
        <v/>
      </c>
      <c r="B812" s="70"/>
      <c r="C812" s="70"/>
      <c r="D812" s="77"/>
      <c r="E812" s="73" t="str">
        <f>IF(B812="","",VLOOKUP(C812,RM!$C$4:$F1003,3,FALSE))</f>
        <v/>
      </c>
      <c r="F812" s="74" t="str">
        <f>IF(B812="","",IFERROR(SUMIFS(Issue!$D$3:$D1013,Issue!$C$3:$C1013,'S-BOM'!$B812)*'S-BOM'!$D812,""))</f>
        <v/>
      </c>
      <c r="G812" s="75" t="str">
        <f t="array" ref="G812">IFERROR(INDEX(#REF!,MATCH('S-BOM'!$C812,RM!$C$4:$C1003,0)),"")</f>
        <v/>
      </c>
      <c r="H812" s="75" t="str">
        <f t="shared" si="7"/>
        <v/>
      </c>
      <c r="I812" s="76"/>
    </row>
    <row r="813" spans="1:9" ht="15.75" customHeight="1">
      <c r="A813" s="69" t="str">
        <f t="shared" si="6"/>
        <v/>
      </c>
      <c r="B813" s="70"/>
      <c r="C813" s="70"/>
      <c r="D813" s="77"/>
      <c r="E813" s="73" t="str">
        <f>IF(B813="","",VLOOKUP(C813,RM!$C$4:$F1003,3,FALSE))</f>
        <v/>
      </c>
      <c r="F813" s="74" t="str">
        <f>IF(B813="","",IFERROR(SUMIFS(Issue!$D$3:$D1013,Issue!$C$3:$C1013,'S-BOM'!$B813)*'S-BOM'!$D813,""))</f>
        <v/>
      </c>
      <c r="G813" s="75" t="str">
        <f t="array" ref="G813">IFERROR(INDEX(#REF!,MATCH('S-BOM'!$C813,RM!$C$4:$C1003,0)),"")</f>
        <v/>
      </c>
      <c r="H813" s="75" t="str">
        <f t="shared" si="7"/>
        <v/>
      </c>
      <c r="I813" s="76"/>
    </row>
    <row r="814" spans="1:9" ht="15.75" customHeight="1">
      <c r="A814" s="69" t="str">
        <f t="shared" si="6"/>
        <v/>
      </c>
      <c r="B814" s="70"/>
      <c r="C814" s="70"/>
      <c r="D814" s="77"/>
      <c r="E814" s="73" t="str">
        <f>IF(B814="","",VLOOKUP(C814,RM!$C$4:$F1003,3,FALSE))</f>
        <v/>
      </c>
      <c r="F814" s="74" t="str">
        <f>IF(B814="","",IFERROR(SUMIFS(Issue!$D$3:$D1013,Issue!$C$3:$C1013,'S-BOM'!$B814)*'S-BOM'!$D814,""))</f>
        <v/>
      </c>
      <c r="G814" s="75" t="str">
        <f t="array" ref="G814">IFERROR(INDEX(#REF!,MATCH('S-BOM'!$C814,RM!$C$4:$C1003,0)),"")</f>
        <v/>
      </c>
      <c r="H814" s="75" t="str">
        <f t="shared" si="7"/>
        <v/>
      </c>
      <c r="I814" s="76"/>
    </row>
    <row r="815" spans="1:9" ht="15.75" customHeight="1">
      <c r="A815" s="69" t="str">
        <f t="shared" si="6"/>
        <v/>
      </c>
      <c r="B815" s="70"/>
      <c r="C815" s="70"/>
      <c r="D815" s="77"/>
      <c r="E815" s="73" t="str">
        <f>IF(B815="","",VLOOKUP(C815,RM!$C$4:$F1003,3,FALSE))</f>
        <v/>
      </c>
      <c r="F815" s="74" t="str">
        <f>IF(B815="","",IFERROR(SUMIFS(Issue!$D$3:$D1013,Issue!$C$3:$C1013,'S-BOM'!$B815)*'S-BOM'!$D815,""))</f>
        <v/>
      </c>
      <c r="G815" s="75" t="str">
        <f t="array" ref="G815">IFERROR(INDEX(#REF!,MATCH('S-BOM'!$C815,RM!$C$4:$C1003,0)),"")</f>
        <v/>
      </c>
      <c r="H815" s="75" t="str">
        <f t="shared" si="7"/>
        <v/>
      </c>
      <c r="I815" s="76"/>
    </row>
    <row r="816" spans="1:9" ht="15.75" customHeight="1">
      <c r="A816" s="69" t="str">
        <f t="shared" si="6"/>
        <v/>
      </c>
      <c r="B816" s="70"/>
      <c r="C816" s="70"/>
      <c r="D816" s="77"/>
      <c r="E816" s="73" t="str">
        <f>IF(B816="","",VLOOKUP(C816,RM!$C$4:$F1003,3,FALSE))</f>
        <v/>
      </c>
      <c r="F816" s="74" t="str">
        <f>IF(B816="","",IFERROR(SUMIFS(Issue!$D$3:$D1013,Issue!$C$3:$C1013,'S-BOM'!$B816)*'S-BOM'!$D816,""))</f>
        <v/>
      </c>
      <c r="G816" s="75" t="str">
        <f t="array" ref="G816">IFERROR(INDEX(#REF!,MATCH('S-BOM'!$C816,RM!$C$4:$C1003,0)),"")</f>
        <v/>
      </c>
      <c r="H816" s="75" t="str">
        <f t="shared" si="7"/>
        <v/>
      </c>
      <c r="I816" s="76"/>
    </row>
    <row r="817" spans="1:9" ht="15.75" customHeight="1">
      <c r="A817" s="69" t="str">
        <f t="shared" si="6"/>
        <v/>
      </c>
      <c r="B817" s="70"/>
      <c r="C817" s="70"/>
      <c r="D817" s="77"/>
      <c r="E817" s="73" t="str">
        <f>IF(B817="","",VLOOKUP(C817,RM!$C$4:$F1003,3,FALSE))</f>
        <v/>
      </c>
      <c r="F817" s="74" t="str">
        <f>IF(B817="","",IFERROR(SUMIFS(Issue!$D$3:$D1013,Issue!$C$3:$C1013,'S-BOM'!$B817)*'S-BOM'!$D817,""))</f>
        <v/>
      </c>
      <c r="G817" s="75" t="str">
        <f t="array" ref="G817">IFERROR(INDEX(#REF!,MATCH('S-BOM'!$C817,RM!$C$4:$C1003,0)),"")</f>
        <v/>
      </c>
      <c r="H817" s="75" t="str">
        <f t="shared" si="7"/>
        <v/>
      </c>
      <c r="I817" s="76"/>
    </row>
    <row r="818" spans="1:9" ht="15.75" customHeight="1">
      <c r="A818" s="69" t="str">
        <f t="shared" si="6"/>
        <v/>
      </c>
      <c r="B818" s="70"/>
      <c r="C818" s="70"/>
      <c r="D818" s="77"/>
      <c r="E818" s="73" t="str">
        <f>IF(B818="","",VLOOKUP(C818,RM!$C$4:$F1003,3,FALSE))</f>
        <v/>
      </c>
      <c r="F818" s="74" t="str">
        <f>IF(B818="","",IFERROR(SUMIFS(Issue!$D$3:$D1013,Issue!$C$3:$C1013,'S-BOM'!$B818)*'S-BOM'!$D818,""))</f>
        <v/>
      </c>
      <c r="G818" s="75" t="str">
        <f t="array" ref="G818">IFERROR(INDEX(#REF!,MATCH('S-BOM'!$C818,RM!$C$4:$C1003,0)),"")</f>
        <v/>
      </c>
      <c r="H818" s="75" t="str">
        <f t="shared" si="7"/>
        <v/>
      </c>
      <c r="I818" s="76"/>
    </row>
    <row r="819" spans="1:9" ht="15.75" customHeight="1">
      <c r="A819" s="69" t="str">
        <f t="shared" si="6"/>
        <v/>
      </c>
      <c r="B819" s="70"/>
      <c r="C819" s="70"/>
      <c r="D819" s="77"/>
      <c r="E819" s="73" t="str">
        <f>IF(B819="","",VLOOKUP(C819,RM!$C$4:$F1003,3,FALSE))</f>
        <v/>
      </c>
      <c r="F819" s="74" t="str">
        <f>IF(B819="","",IFERROR(SUMIFS(Issue!$D$3:$D1013,Issue!$C$3:$C1013,'S-BOM'!$B819)*'S-BOM'!$D819,""))</f>
        <v/>
      </c>
      <c r="G819" s="75" t="str">
        <f t="array" ref="G819">IFERROR(INDEX(#REF!,MATCH('S-BOM'!$C819,RM!$C$4:$C1003,0)),"")</f>
        <v/>
      </c>
      <c r="H819" s="75" t="str">
        <f t="shared" si="7"/>
        <v/>
      </c>
      <c r="I819" s="76"/>
    </row>
    <row r="820" spans="1:9" ht="15.75" customHeight="1">
      <c r="A820" s="69" t="str">
        <f t="shared" si="6"/>
        <v/>
      </c>
      <c r="B820" s="70"/>
      <c r="C820" s="70"/>
      <c r="D820" s="77"/>
      <c r="E820" s="73" t="str">
        <f>IF(B820="","",VLOOKUP(C820,RM!$C$4:$F1003,3,FALSE))</f>
        <v/>
      </c>
      <c r="F820" s="74" t="str">
        <f>IF(B820="","",IFERROR(SUMIFS(Issue!$D$3:$D1013,Issue!$C$3:$C1013,'S-BOM'!$B820)*'S-BOM'!$D820,""))</f>
        <v/>
      </c>
      <c r="G820" s="75" t="str">
        <f t="array" ref="G820">IFERROR(INDEX(#REF!,MATCH('S-BOM'!$C820,RM!$C$4:$C1003,0)),"")</f>
        <v/>
      </c>
      <c r="H820" s="75" t="str">
        <f t="shared" si="7"/>
        <v/>
      </c>
      <c r="I820" s="76"/>
    </row>
    <row r="821" spans="1:9" ht="15.75" customHeight="1">
      <c r="A821" s="69" t="str">
        <f t="shared" si="6"/>
        <v/>
      </c>
      <c r="B821" s="70"/>
      <c r="C821" s="70"/>
      <c r="D821" s="77"/>
      <c r="E821" s="73" t="str">
        <f>IF(B821="","",VLOOKUP(C821,RM!$C$4:$F1003,3,FALSE))</f>
        <v/>
      </c>
      <c r="F821" s="74" t="str">
        <f>IF(B821="","",IFERROR(SUMIFS(Issue!$D$3:$D1013,Issue!$C$3:$C1013,'S-BOM'!$B821)*'S-BOM'!$D821,""))</f>
        <v/>
      </c>
      <c r="G821" s="75" t="str">
        <f t="array" ref="G821">IFERROR(INDEX(#REF!,MATCH('S-BOM'!$C821,RM!$C$4:$C1003,0)),"")</f>
        <v/>
      </c>
      <c r="H821" s="75" t="str">
        <f t="shared" si="7"/>
        <v/>
      </c>
      <c r="I821" s="76"/>
    </row>
    <row r="822" spans="1:9" ht="15.75" customHeight="1">
      <c r="A822" s="69" t="str">
        <f t="shared" si="6"/>
        <v/>
      </c>
      <c r="B822" s="70"/>
      <c r="C822" s="70"/>
      <c r="D822" s="77"/>
      <c r="E822" s="73" t="str">
        <f>IF(B822="","",VLOOKUP(C822,RM!$C$4:$F1003,3,FALSE))</f>
        <v/>
      </c>
      <c r="F822" s="74" t="str">
        <f>IF(B822="","",IFERROR(SUMIFS(Issue!$D$3:$D1013,Issue!$C$3:$C1013,'S-BOM'!$B822)*'S-BOM'!$D822,""))</f>
        <v/>
      </c>
      <c r="G822" s="75" t="str">
        <f t="array" ref="G822">IFERROR(INDEX(#REF!,MATCH('S-BOM'!$C822,RM!$C$4:$C1003,0)),"")</f>
        <v/>
      </c>
      <c r="H822" s="75" t="str">
        <f t="shared" si="7"/>
        <v/>
      </c>
      <c r="I822" s="76"/>
    </row>
    <row r="823" spans="1:9" ht="15.75" customHeight="1">
      <c r="A823" s="69" t="str">
        <f t="shared" si="6"/>
        <v/>
      </c>
      <c r="B823" s="70"/>
      <c r="C823" s="70"/>
      <c r="D823" s="77"/>
      <c r="E823" s="73" t="str">
        <f>IF(B823="","",VLOOKUP(C823,RM!$C$4:$F1003,3,FALSE))</f>
        <v/>
      </c>
      <c r="F823" s="74" t="str">
        <f>IF(B823="","",IFERROR(SUMIFS(Issue!$D$3:$D1013,Issue!$C$3:$C1013,'S-BOM'!$B823)*'S-BOM'!$D823,""))</f>
        <v/>
      </c>
      <c r="G823" s="75" t="str">
        <f t="array" ref="G823">IFERROR(INDEX(#REF!,MATCH('S-BOM'!$C823,RM!$C$4:$C1003,0)),"")</f>
        <v/>
      </c>
      <c r="H823" s="75" t="str">
        <f t="shared" si="7"/>
        <v/>
      </c>
      <c r="I823" s="76"/>
    </row>
    <row r="824" spans="1:9" ht="15.75" customHeight="1">
      <c r="A824" s="69" t="str">
        <f t="shared" si="6"/>
        <v/>
      </c>
      <c r="B824" s="70"/>
      <c r="C824" s="70"/>
      <c r="D824" s="77"/>
      <c r="E824" s="73" t="str">
        <f>IF(B824="","",VLOOKUP(C824,RM!$C$4:$F1003,3,FALSE))</f>
        <v/>
      </c>
      <c r="F824" s="74" t="str">
        <f>IF(B824="","",IFERROR(SUMIFS(Issue!$D$3:$D1013,Issue!$C$3:$C1013,'S-BOM'!$B824)*'S-BOM'!$D824,""))</f>
        <v/>
      </c>
      <c r="G824" s="75" t="str">
        <f t="array" ref="G824">IFERROR(INDEX(#REF!,MATCH('S-BOM'!$C824,RM!$C$4:$C1003,0)),"")</f>
        <v/>
      </c>
      <c r="H824" s="75" t="str">
        <f t="shared" si="7"/>
        <v/>
      </c>
      <c r="I824" s="76"/>
    </row>
    <row r="825" spans="1:9" ht="15.75" customHeight="1">
      <c r="A825" s="69" t="str">
        <f t="shared" si="6"/>
        <v/>
      </c>
      <c r="B825" s="70"/>
      <c r="C825" s="70"/>
      <c r="D825" s="77"/>
      <c r="E825" s="73" t="str">
        <f>IF(B825="","",VLOOKUP(C825,RM!$C$4:$F1003,3,FALSE))</f>
        <v/>
      </c>
      <c r="F825" s="74" t="str">
        <f>IF(B825="","",IFERROR(SUMIFS(Issue!$D$3:$D1013,Issue!$C$3:$C1013,'S-BOM'!$B825)*'S-BOM'!$D825,""))</f>
        <v/>
      </c>
      <c r="G825" s="75" t="str">
        <f t="array" ref="G825">IFERROR(INDEX(#REF!,MATCH('S-BOM'!$C825,RM!$C$4:$C1003,0)),"")</f>
        <v/>
      </c>
      <c r="H825" s="75" t="str">
        <f t="shared" si="7"/>
        <v/>
      </c>
      <c r="I825" s="76"/>
    </row>
    <row r="826" spans="1:9" ht="15.75" customHeight="1">
      <c r="A826" s="69" t="str">
        <f t="shared" si="6"/>
        <v/>
      </c>
      <c r="B826" s="70"/>
      <c r="C826" s="70"/>
      <c r="D826" s="77"/>
      <c r="E826" s="73" t="str">
        <f>IF(B826="","",VLOOKUP(C826,RM!$C$4:$F1003,3,FALSE))</f>
        <v/>
      </c>
      <c r="F826" s="74" t="str">
        <f>IF(B826="","",IFERROR(SUMIFS(Issue!$D$3:$D1013,Issue!$C$3:$C1013,'S-BOM'!$B826)*'S-BOM'!$D826,""))</f>
        <v/>
      </c>
      <c r="G826" s="75" t="str">
        <f t="array" ref="G826">IFERROR(INDEX(#REF!,MATCH('S-BOM'!$C826,RM!$C$4:$C1003,0)),"")</f>
        <v/>
      </c>
      <c r="H826" s="75" t="str">
        <f t="shared" si="7"/>
        <v/>
      </c>
      <c r="I826" s="76"/>
    </row>
    <row r="827" spans="1:9" ht="15.75" customHeight="1">
      <c r="A827" s="69" t="str">
        <f t="shared" si="6"/>
        <v/>
      </c>
      <c r="B827" s="70"/>
      <c r="C827" s="70"/>
      <c r="D827" s="77"/>
      <c r="E827" s="73" t="str">
        <f>IF(B827="","",VLOOKUP(C827,RM!$C$4:$F1003,3,FALSE))</f>
        <v/>
      </c>
      <c r="F827" s="74" t="str">
        <f>IF(B827="","",IFERROR(SUMIFS(Issue!$D$3:$D1013,Issue!$C$3:$C1013,'S-BOM'!$B827)*'S-BOM'!$D827,""))</f>
        <v/>
      </c>
      <c r="G827" s="75" t="str">
        <f t="array" ref="G827">IFERROR(INDEX(#REF!,MATCH('S-BOM'!$C827,RM!$C$4:$C1003,0)),"")</f>
        <v/>
      </c>
      <c r="H827" s="75" t="str">
        <f t="shared" si="7"/>
        <v/>
      </c>
      <c r="I827" s="76"/>
    </row>
    <row r="828" spans="1:9" ht="15.75" customHeight="1">
      <c r="A828" s="69" t="str">
        <f t="shared" si="6"/>
        <v/>
      </c>
      <c r="B828" s="70"/>
      <c r="C828" s="70"/>
      <c r="D828" s="77"/>
      <c r="E828" s="73" t="str">
        <f>IF(B828="","",VLOOKUP(C828,RM!$C$4:$F1003,3,FALSE))</f>
        <v/>
      </c>
      <c r="F828" s="74" t="str">
        <f>IF(B828="","",IFERROR(SUMIFS(Issue!$D$3:$D1013,Issue!$C$3:$C1013,'S-BOM'!$B828)*'S-BOM'!$D828,""))</f>
        <v/>
      </c>
      <c r="G828" s="75" t="str">
        <f t="array" ref="G828">IFERROR(INDEX(#REF!,MATCH('S-BOM'!$C828,RM!$C$4:$C1003,0)),"")</f>
        <v/>
      </c>
      <c r="H828" s="75" t="str">
        <f t="shared" si="7"/>
        <v/>
      </c>
      <c r="I828" s="76"/>
    </row>
    <row r="829" spans="1:9" ht="15.75" customHeight="1">
      <c r="A829" s="69" t="str">
        <f t="shared" si="6"/>
        <v/>
      </c>
      <c r="B829" s="70"/>
      <c r="C829" s="70"/>
      <c r="D829" s="77"/>
      <c r="E829" s="73" t="str">
        <f>IF(B829="","",VLOOKUP(C829,RM!$C$4:$F1003,3,FALSE))</f>
        <v/>
      </c>
      <c r="F829" s="74" t="str">
        <f>IF(B829="","",IFERROR(SUMIFS(Issue!$D$3:$D1013,Issue!$C$3:$C1013,'S-BOM'!$B829)*'S-BOM'!$D829,""))</f>
        <v/>
      </c>
      <c r="G829" s="75" t="str">
        <f t="array" ref="G829">IFERROR(INDEX(#REF!,MATCH('S-BOM'!$C829,RM!$C$4:$C1003,0)),"")</f>
        <v/>
      </c>
      <c r="H829" s="75" t="str">
        <f t="shared" si="7"/>
        <v/>
      </c>
      <c r="I829" s="76"/>
    </row>
    <row r="830" spans="1:9" ht="15.75" customHeight="1">
      <c r="A830" s="69" t="str">
        <f t="shared" si="6"/>
        <v/>
      </c>
      <c r="B830" s="70"/>
      <c r="C830" s="70"/>
      <c r="D830" s="77"/>
      <c r="E830" s="73" t="str">
        <f>IF(B830="","",VLOOKUP(C830,RM!$C$4:$F1003,3,FALSE))</f>
        <v/>
      </c>
      <c r="F830" s="74" t="str">
        <f>IF(B830="","",IFERROR(SUMIFS(Issue!$D$3:$D1013,Issue!$C$3:$C1013,'S-BOM'!$B830)*'S-BOM'!$D830,""))</f>
        <v/>
      </c>
      <c r="G830" s="75" t="str">
        <f t="array" ref="G830">IFERROR(INDEX(#REF!,MATCH('S-BOM'!$C830,RM!$C$4:$C1003,0)),"")</f>
        <v/>
      </c>
      <c r="H830" s="75" t="str">
        <f t="shared" si="7"/>
        <v/>
      </c>
      <c r="I830" s="76"/>
    </row>
    <row r="831" spans="1:9" ht="15.75" customHeight="1">
      <c r="A831" s="69" t="str">
        <f t="shared" si="6"/>
        <v/>
      </c>
      <c r="B831" s="70"/>
      <c r="C831" s="70"/>
      <c r="D831" s="77"/>
      <c r="E831" s="73" t="str">
        <f>IF(B831="","",VLOOKUP(C831,RM!$C$4:$F1003,3,FALSE))</f>
        <v/>
      </c>
      <c r="F831" s="74" t="str">
        <f>IF(B831="","",IFERROR(SUMIFS(Issue!$D$3:$D1013,Issue!$C$3:$C1013,'S-BOM'!$B831)*'S-BOM'!$D831,""))</f>
        <v/>
      </c>
      <c r="G831" s="75" t="str">
        <f t="array" ref="G831">IFERROR(INDEX(#REF!,MATCH('S-BOM'!$C831,RM!$C$4:$C1003,0)),"")</f>
        <v/>
      </c>
      <c r="H831" s="75" t="str">
        <f t="shared" si="7"/>
        <v/>
      </c>
      <c r="I831" s="76"/>
    </row>
    <row r="832" spans="1:9" ht="15.75" customHeight="1">
      <c r="A832" s="69" t="str">
        <f t="shared" si="6"/>
        <v/>
      </c>
      <c r="B832" s="70"/>
      <c r="C832" s="70"/>
      <c r="D832" s="77"/>
      <c r="E832" s="73" t="str">
        <f>IF(B832="","",VLOOKUP(C832,RM!$C$4:$F1003,3,FALSE))</f>
        <v/>
      </c>
      <c r="F832" s="74" t="str">
        <f>IF(B832="","",IFERROR(SUMIFS(Issue!$D$3:$D1013,Issue!$C$3:$C1013,'S-BOM'!$B832)*'S-BOM'!$D832,""))</f>
        <v/>
      </c>
      <c r="G832" s="75" t="str">
        <f t="array" ref="G832">IFERROR(INDEX(#REF!,MATCH('S-BOM'!$C832,RM!$C$4:$C1003,0)),"")</f>
        <v/>
      </c>
      <c r="H832" s="75" t="str">
        <f t="shared" si="7"/>
        <v/>
      </c>
      <c r="I832" s="76"/>
    </row>
    <row r="833" spans="1:9" ht="15.75" customHeight="1">
      <c r="A833" s="69" t="str">
        <f t="shared" si="6"/>
        <v/>
      </c>
      <c r="B833" s="70"/>
      <c r="C833" s="70"/>
      <c r="D833" s="77"/>
      <c r="E833" s="73" t="str">
        <f>IF(B833="","",VLOOKUP(C833,RM!$C$4:$F1003,3,FALSE))</f>
        <v/>
      </c>
      <c r="F833" s="74" t="str">
        <f>IF(B833="","",IFERROR(SUMIFS(Issue!$D$3:$D1013,Issue!$C$3:$C1013,'S-BOM'!$B833)*'S-BOM'!$D833,""))</f>
        <v/>
      </c>
      <c r="G833" s="75" t="str">
        <f t="array" ref="G833">IFERROR(INDEX(#REF!,MATCH('S-BOM'!$C833,RM!$C$4:$C1003,0)),"")</f>
        <v/>
      </c>
      <c r="H833" s="75" t="str">
        <f t="shared" si="7"/>
        <v/>
      </c>
      <c r="I833" s="76"/>
    </row>
    <row r="834" spans="1:9" ht="15.75" customHeight="1">
      <c r="A834" s="69" t="str">
        <f t="shared" si="6"/>
        <v/>
      </c>
      <c r="B834" s="70"/>
      <c r="C834" s="70"/>
      <c r="D834" s="77"/>
      <c r="E834" s="73" t="str">
        <f>IF(B834="","",VLOOKUP(C834,RM!$C$4:$F1003,3,FALSE))</f>
        <v/>
      </c>
      <c r="F834" s="74" t="str">
        <f>IF(B834="","",IFERROR(SUMIFS(Issue!$D$3:$D1013,Issue!$C$3:$C1013,'S-BOM'!$B834)*'S-BOM'!$D834,""))</f>
        <v/>
      </c>
      <c r="G834" s="75" t="str">
        <f t="array" ref="G834">IFERROR(INDEX(#REF!,MATCH('S-BOM'!$C834,RM!$C$4:$C1003,0)),"")</f>
        <v/>
      </c>
      <c r="H834" s="75" t="str">
        <f t="shared" si="7"/>
        <v/>
      </c>
      <c r="I834" s="76"/>
    </row>
    <row r="835" spans="1:9" ht="15.75" customHeight="1">
      <c r="A835" s="69" t="str">
        <f t="shared" si="6"/>
        <v/>
      </c>
      <c r="B835" s="70"/>
      <c r="C835" s="70"/>
      <c r="D835" s="77"/>
      <c r="E835" s="73" t="str">
        <f>IF(B835="","",VLOOKUP(C835,RM!$C$4:$F1003,3,FALSE))</f>
        <v/>
      </c>
      <c r="F835" s="74" t="str">
        <f>IF(B835="","",IFERROR(SUMIFS(Issue!$D$3:$D1013,Issue!$C$3:$C1013,'S-BOM'!$B835)*'S-BOM'!$D835,""))</f>
        <v/>
      </c>
      <c r="G835" s="75" t="str">
        <f t="array" ref="G835">IFERROR(INDEX(#REF!,MATCH('S-BOM'!$C835,RM!$C$4:$C1003,0)),"")</f>
        <v/>
      </c>
      <c r="H835" s="75" t="str">
        <f t="shared" si="7"/>
        <v/>
      </c>
      <c r="I835" s="76"/>
    </row>
    <row r="836" spans="1:9" ht="15.75" customHeight="1">
      <c r="A836" s="69" t="str">
        <f t="shared" si="6"/>
        <v/>
      </c>
      <c r="B836" s="70"/>
      <c r="C836" s="70"/>
      <c r="D836" s="77"/>
      <c r="E836" s="73" t="str">
        <f>IF(B836="","",VLOOKUP(C836,RM!$C$4:$F1003,3,FALSE))</f>
        <v/>
      </c>
      <c r="F836" s="74" t="str">
        <f>IF(B836="","",IFERROR(SUMIFS(Issue!$D$3:$D1013,Issue!$C$3:$C1013,'S-BOM'!$B836)*'S-BOM'!$D836,""))</f>
        <v/>
      </c>
      <c r="G836" s="75" t="str">
        <f t="array" ref="G836">IFERROR(INDEX(#REF!,MATCH('S-BOM'!$C836,RM!$C$4:$C1003,0)),"")</f>
        <v/>
      </c>
      <c r="H836" s="75" t="str">
        <f t="shared" si="7"/>
        <v/>
      </c>
      <c r="I836" s="76"/>
    </row>
    <row r="837" spans="1:9" ht="15.75" customHeight="1">
      <c r="A837" s="69" t="str">
        <f t="shared" si="6"/>
        <v/>
      </c>
      <c r="B837" s="70"/>
      <c r="C837" s="70"/>
      <c r="D837" s="77"/>
      <c r="E837" s="73" t="str">
        <f>IF(B837="","",VLOOKUP(C837,RM!$C$4:$F1003,3,FALSE))</f>
        <v/>
      </c>
      <c r="F837" s="74" t="str">
        <f>IF(B837="","",IFERROR(SUMIFS(Issue!$D$3:$D1013,Issue!$C$3:$C1013,'S-BOM'!$B837)*'S-BOM'!$D837,""))</f>
        <v/>
      </c>
      <c r="G837" s="75" t="str">
        <f t="array" ref="G837">IFERROR(INDEX(#REF!,MATCH('S-BOM'!$C837,RM!$C$4:$C1003,0)),"")</f>
        <v/>
      </c>
      <c r="H837" s="75" t="str">
        <f t="shared" si="7"/>
        <v/>
      </c>
      <c r="I837" s="76"/>
    </row>
    <row r="838" spans="1:9" ht="15.75" customHeight="1">
      <c r="A838" s="69" t="str">
        <f t="shared" si="6"/>
        <v/>
      </c>
      <c r="B838" s="70"/>
      <c r="C838" s="70"/>
      <c r="D838" s="77"/>
      <c r="E838" s="73" t="str">
        <f>IF(B838="","",VLOOKUP(C838,RM!$C$4:$F1003,3,FALSE))</f>
        <v/>
      </c>
      <c r="F838" s="74" t="str">
        <f>IF(B838="","",IFERROR(SUMIFS(Issue!$D$3:$D1013,Issue!$C$3:$C1013,'S-BOM'!$B838)*'S-BOM'!$D838,""))</f>
        <v/>
      </c>
      <c r="G838" s="75" t="str">
        <f t="array" ref="G838">IFERROR(INDEX(#REF!,MATCH('S-BOM'!$C838,RM!$C$4:$C1003,0)),"")</f>
        <v/>
      </c>
      <c r="H838" s="75" t="str">
        <f t="shared" si="7"/>
        <v/>
      </c>
      <c r="I838" s="76"/>
    </row>
    <row r="839" spans="1:9" ht="15.75" customHeight="1">
      <c r="A839" s="69" t="str">
        <f t="shared" si="6"/>
        <v/>
      </c>
      <c r="B839" s="70"/>
      <c r="C839" s="70"/>
      <c r="D839" s="77"/>
      <c r="E839" s="73" t="str">
        <f>IF(B839="","",VLOOKUP(C839,RM!$C$4:$F1003,3,FALSE))</f>
        <v/>
      </c>
      <c r="F839" s="74" t="str">
        <f>IF(B839="","",IFERROR(SUMIFS(Issue!$D$3:$D1013,Issue!$C$3:$C1013,'S-BOM'!$B839)*'S-BOM'!$D839,""))</f>
        <v/>
      </c>
      <c r="G839" s="75" t="str">
        <f t="array" ref="G839">IFERROR(INDEX(#REF!,MATCH('S-BOM'!$C839,RM!$C$4:$C1003,0)),"")</f>
        <v/>
      </c>
      <c r="H839" s="75" t="str">
        <f t="shared" si="7"/>
        <v/>
      </c>
      <c r="I839" s="76"/>
    </row>
    <row r="840" spans="1:9" ht="15.75" customHeight="1">
      <c r="A840" s="69" t="str">
        <f t="shared" si="6"/>
        <v/>
      </c>
      <c r="B840" s="70"/>
      <c r="C840" s="70"/>
      <c r="D840" s="77"/>
      <c r="E840" s="73" t="str">
        <f>IF(B840="","",VLOOKUP(C840,RM!$C$4:$F1003,3,FALSE))</f>
        <v/>
      </c>
      <c r="F840" s="74" t="str">
        <f>IF(B840="","",IFERROR(SUMIFS(Issue!$D$3:$D1013,Issue!$C$3:$C1013,'S-BOM'!$B840)*'S-BOM'!$D840,""))</f>
        <v/>
      </c>
      <c r="G840" s="75" t="str">
        <f t="array" ref="G840">IFERROR(INDEX(#REF!,MATCH('S-BOM'!$C840,RM!$C$4:$C1003,0)),"")</f>
        <v/>
      </c>
      <c r="H840" s="75" t="str">
        <f t="shared" si="7"/>
        <v/>
      </c>
      <c r="I840" s="76"/>
    </row>
    <row r="841" spans="1:9" ht="15.75" customHeight="1">
      <c r="A841" s="69" t="str">
        <f t="shared" si="6"/>
        <v/>
      </c>
      <c r="B841" s="70"/>
      <c r="C841" s="70"/>
      <c r="D841" s="77"/>
      <c r="E841" s="73" t="str">
        <f>IF(B841="","",VLOOKUP(C841,RM!$C$4:$F1003,3,FALSE))</f>
        <v/>
      </c>
      <c r="F841" s="74" t="str">
        <f>IF(B841="","",IFERROR(SUMIFS(Issue!$D$3:$D1013,Issue!$C$3:$C1013,'S-BOM'!$B841)*'S-BOM'!$D841,""))</f>
        <v/>
      </c>
      <c r="G841" s="75" t="str">
        <f t="array" ref="G841">IFERROR(INDEX(#REF!,MATCH('S-BOM'!$C841,RM!$C$4:$C1003,0)),"")</f>
        <v/>
      </c>
      <c r="H841" s="75" t="str">
        <f t="shared" si="7"/>
        <v/>
      </c>
      <c r="I841" s="76"/>
    </row>
    <row r="842" spans="1:9" ht="15.75" customHeight="1">
      <c r="A842" s="69" t="str">
        <f t="shared" si="6"/>
        <v/>
      </c>
      <c r="B842" s="70"/>
      <c r="C842" s="70"/>
      <c r="D842" s="77"/>
      <c r="E842" s="73" t="str">
        <f>IF(B842="","",VLOOKUP(C842,RM!$C$4:$F1003,3,FALSE))</f>
        <v/>
      </c>
      <c r="F842" s="74" t="str">
        <f>IF(B842="","",IFERROR(SUMIFS(Issue!$D$3:$D1013,Issue!$C$3:$C1013,'S-BOM'!$B842)*'S-BOM'!$D842,""))</f>
        <v/>
      </c>
      <c r="G842" s="75" t="str">
        <f t="array" ref="G842">IFERROR(INDEX(#REF!,MATCH('S-BOM'!$C842,RM!$C$4:$C1003,0)),"")</f>
        <v/>
      </c>
      <c r="H842" s="75" t="str">
        <f t="shared" si="7"/>
        <v/>
      </c>
      <c r="I842" s="76"/>
    </row>
    <row r="843" spans="1:9" ht="15.75" customHeight="1">
      <c r="A843" s="69" t="str">
        <f t="shared" si="6"/>
        <v/>
      </c>
      <c r="B843" s="70"/>
      <c r="C843" s="70"/>
      <c r="D843" s="77"/>
      <c r="E843" s="73" t="str">
        <f>IF(B843="","",VLOOKUP(C843,RM!$C$4:$F1003,3,FALSE))</f>
        <v/>
      </c>
      <c r="F843" s="74" t="str">
        <f>IF(B843="","",IFERROR(SUMIFS(Issue!$D$3:$D1013,Issue!$C$3:$C1013,'S-BOM'!$B843)*'S-BOM'!$D843,""))</f>
        <v/>
      </c>
      <c r="G843" s="75" t="str">
        <f t="array" ref="G843">IFERROR(INDEX(#REF!,MATCH('S-BOM'!$C843,RM!$C$4:$C1003,0)),"")</f>
        <v/>
      </c>
      <c r="H843" s="75" t="str">
        <f t="shared" si="7"/>
        <v/>
      </c>
      <c r="I843" s="76"/>
    </row>
    <row r="844" spans="1:9" ht="15.75" customHeight="1">
      <c r="A844" s="69" t="str">
        <f t="shared" si="6"/>
        <v/>
      </c>
      <c r="B844" s="70"/>
      <c r="C844" s="70"/>
      <c r="D844" s="77"/>
      <c r="E844" s="73" t="str">
        <f>IF(B844="","",VLOOKUP(C844,RM!$C$4:$F1003,3,FALSE))</f>
        <v/>
      </c>
      <c r="F844" s="74" t="str">
        <f>IF(B844="","",IFERROR(SUMIFS(Issue!$D$3:$D1013,Issue!$C$3:$C1013,'S-BOM'!$B844)*'S-BOM'!$D844,""))</f>
        <v/>
      </c>
      <c r="G844" s="75" t="str">
        <f t="array" ref="G844">IFERROR(INDEX(#REF!,MATCH('S-BOM'!$C844,RM!$C$4:$C1003,0)),"")</f>
        <v/>
      </c>
      <c r="H844" s="75" t="str">
        <f t="shared" si="7"/>
        <v/>
      </c>
      <c r="I844" s="76"/>
    </row>
    <row r="845" spans="1:9" ht="15.75" customHeight="1">
      <c r="A845" s="69" t="str">
        <f t="shared" si="6"/>
        <v/>
      </c>
      <c r="B845" s="70"/>
      <c r="C845" s="70"/>
      <c r="D845" s="77"/>
      <c r="E845" s="73" t="str">
        <f>IF(B845="","",VLOOKUP(C845,RM!$C$4:$F1003,3,FALSE))</f>
        <v/>
      </c>
      <c r="F845" s="74" t="str">
        <f>IF(B845="","",IFERROR(SUMIFS(Issue!$D$3:$D1013,Issue!$C$3:$C1013,'S-BOM'!$B845)*'S-BOM'!$D845,""))</f>
        <v/>
      </c>
      <c r="G845" s="75" t="str">
        <f t="array" ref="G845">IFERROR(INDEX(#REF!,MATCH('S-BOM'!$C845,RM!$C$4:$C1003,0)),"")</f>
        <v/>
      </c>
      <c r="H845" s="75" t="str">
        <f t="shared" si="7"/>
        <v/>
      </c>
      <c r="I845" s="76"/>
    </row>
    <row r="846" spans="1:9" ht="15.75" customHeight="1">
      <c r="A846" s="69" t="str">
        <f t="shared" si="6"/>
        <v/>
      </c>
      <c r="B846" s="70"/>
      <c r="C846" s="70"/>
      <c r="D846" s="77"/>
      <c r="E846" s="73" t="str">
        <f>IF(B846="","",VLOOKUP(C846,RM!$C$4:$F1003,3,FALSE))</f>
        <v/>
      </c>
      <c r="F846" s="74" t="str">
        <f>IF(B846="","",IFERROR(SUMIFS(Issue!$D$3:$D1013,Issue!$C$3:$C1013,'S-BOM'!$B846)*'S-BOM'!$D846,""))</f>
        <v/>
      </c>
      <c r="G846" s="75" t="str">
        <f t="array" ref="G846">IFERROR(INDEX(#REF!,MATCH('S-BOM'!$C846,RM!$C$4:$C1003,0)),"")</f>
        <v/>
      </c>
      <c r="H846" s="75" t="str">
        <f t="shared" si="7"/>
        <v/>
      </c>
      <c r="I846" s="76"/>
    </row>
    <row r="847" spans="1:9" ht="15.75" customHeight="1">
      <c r="A847" s="69" t="str">
        <f t="shared" si="6"/>
        <v/>
      </c>
      <c r="B847" s="70"/>
      <c r="C847" s="70"/>
      <c r="D847" s="77"/>
      <c r="E847" s="73" t="str">
        <f>IF(B847="","",VLOOKUP(C847,RM!$C$4:$F1003,3,FALSE))</f>
        <v/>
      </c>
      <c r="F847" s="74" t="str">
        <f>IF(B847="","",IFERROR(SUMIFS(Issue!$D$3:$D1013,Issue!$C$3:$C1013,'S-BOM'!$B847)*'S-BOM'!$D847,""))</f>
        <v/>
      </c>
      <c r="G847" s="75" t="str">
        <f t="array" ref="G847">IFERROR(INDEX(#REF!,MATCH('S-BOM'!$C847,RM!$C$4:$C1003,0)),"")</f>
        <v/>
      </c>
      <c r="H847" s="75" t="str">
        <f t="shared" si="7"/>
        <v/>
      </c>
      <c r="I847" s="76"/>
    </row>
    <row r="848" spans="1:9" ht="15.75" customHeight="1">
      <c r="A848" s="69" t="str">
        <f t="shared" si="6"/>
        <v/>
      </c>
      <c r="B848" s="70"/>
      <c r="C848" s="70"/>
      <c r="D848" s="77"/>
      <c r="E848" s="73" t="str">
        <f>IF(B848="","",VLOOKUP(C848,RM!$C$4:$F1003,3,FALSE))</f>
        <v/>
      </c>
      <c r="F848" s="74" t="str">
        <f>IF(B848="","",IFERROR(SUMIFS(Issue!$D$3:$D1013,Issue!$C$3:$C1013,'S-BOM'!$B848)*'S-BOM'!$D848,""))</f>
        <v/>
      </c>
      <c r="G848" s="75" t="str">
        <f t="array" ref="G848">IFERROR(INDEX(#REF!,MATCH('S-BOM'!$C848,RM!$C$4:$C1003,0)),"")</f>
        <v/>
      </c>
      <c r="H848" s="75" t="str">
        <f t="shared" si="7"/>
        <v/>
      </c>
      <c r="I848" s="76"/>
    </row>
    <row r="849" spans="1:9" ht="15.75" customHeight="1">
      <c r="A849" s="69" t="str">
        <f t="shared" si="6"/>
        <v/>
      </c>
      <c r="B849" s="70"/>
      <c r="C849" s="70"/>
      <c r="D849" s="77"/>
      <c r="E849" s="73" t="str">
        <f>IF(B849="","",VLOOKUP(C849,RM!$C$4:$F1003,3,FALSE))</f>
        <v/>
      </c>
      <c r="F849" s="74" t="str">
        <f>IF(B849="","",IFERROR(SUMIFS(Issue!$D$3:$D1013,Issue!$C$3:$C1013,'S-BOM'!$B849)*'S-BOM'!$D849,""))</f>
        <v/>
      </c>
      <c r="G849" s="75" t="str">
        <f t="array" ref="G849">IFERROR(INDEX(#REF!,MATCH('S-BOM'!$C849,RM!$C$4:$C1003,0)),"")</f>
        <v/>
      </c>
      <c r="H849" s="75" t="str">
        <f t="shared" si="7"/>
        <v/>
      </c>
      <c r="I849" s="76"/>
    </row>
    <row r="850" spans="1:9" ht="15.75" customHeight="1">
      <c r="A850" s="69" t="str">
        <f t="shared" si="6"/>
        <v/>
      </c>
      <c r="B850" s="70"/>
      <c r="C850" s="70"/>
      <c r="D850" s="77"/>
      <c r="E850" s="73" t="str">
        <f>IF(B850="","",VLOOKUP(C850,RM!$C$4:$F1003,3,FALSE))</f>
        <v/>
      </c>
      <c r="F850" s="74" t="str">
        <f>IF(B850="","",IFERROR(SUMIFS(Issue!$D$3:$D1013,Issue!$C$3:$C1013,'S-BOM'!$B850)*'S-BOM'!$D850,""))</f>
        <v/>
      </c>
      <c r="G850" s="75" t="str">
        <f t="array" ref="G850">IFERROR(INDEX(#REF!,MATCH('S-BOM'!$C850,RM!$C$4:$C1003,0)),"")</f>
        <v/>
      </c>
      <c r="H850" s="75" t="str">
        <f t="shared" si="7"/>
        <v/>
      </c>
      <c r="I850" s="76"/>
    </row>
    <row r="851" spans="1:9" ht="15.75" customHeight="1">
      <c r="A851" s="69" t="str">
        <f t="shared" si="6"/>
        <v/>
      </c>
      <c r="B851" s="70"/>
      <c r="C851" s="70"/>
      <c r="D851" s="77"/>
      <c r="E851" s="73" t="str">
        <f>IF(B851="","",VLOOKUP(C851,RM!$C$4:$F1003,3,FALSE))</f>
        <v/>
      </c>
      <c r="F851" s="74" t="str">
        <f>IF(B851="","",IFERROR(SUMIFS(Issue!$D$3:$D1013,Issue!$C$3:$C1013,'S-BOM'!$B851)*'S-BOM'!$D851,""))</f>
        <v/>
      </c>
      <c r="G851" s="75" t="str">
        <f t="array" ref="G851">IFERROR(INDEX(#REF!,MATCH('S-BOM'!$C851,RM!$C$4:$C1003,0)),"")</f>
        <v/>
      </c>
      <c r="H851" s="75" t="str">
        <f t="shared" si="7"/>
        <v/>
      </c>
      <c r="I851" s="76"/>
    </row>
    <row r="852" spans="1:9" ht="15.75" customHeight="1">
      <c r="A852" s="69" t="str">
        <f t="shared" si="6"/>
        <v/>
      </c>
      <c r="B852" s="70"/>
      <c r="C852" s="70"/>
      <c r="D852" s="77"/>
      <c r="E852" s="73" t="str">
        <f>IF(B852="","",VLOOKUP(C852,RM!$C$4:$F1003,3,FALSE))</f>
        <v/>
      </c>
      <c r="F852" s="74" t="str">
        <f>IF(B852="","",IFERROR(SUMIFS(Issue!$D$3:$D1013,Issue!$C$3:$C1013,'S-BOM'!$B852)*'S-BOM'!$D852,""))</f>
        <v/>
      </c>
      <c r="G852" s="75" t="str">
        <f t="array" ref="G852">IFERROR(INDEX(#REF!,MATCH('S-BOM'!$C852,RM!$C$4:$C1003,0)),"")</f>
        <v/>
      </c>
      <c r="H852" s="75" t="str">
        <f t="shared" si="7"/>
        <v/>
      </c>
      <c r="I852" s="76"/>
    </row>
    <row r="853" spans="1:9" ht="15.75" customHeight="1">
      <c r="A853" s="69" t="str">
        <f t="shared" si="6"/>
        <v/>
      </c>
      <c r="B853" s="70"/>
      <c r="C853" s="70"/>
      <c r="D853" s="77"/>
      <c r="E853" s="73" t="str">
        <f>IF(B853="","",VLOOKUP(C853,RM!$C$4:$F1003,3,FALSE))</f>
        <v/>
      </c>
      <c r="F853" s="74" t="str">
        <f>IF(B853="","",IFERROR(SUMIFS(Issue!$D$3:$D1013,Issue!$C$3:$C1013,'S-BOM'!$B853)*'S-BOM'!$D853,""))</f>
        <v/>
      </c>
      <c r="G853" s="75" t="str">
        <f t="array" ref="G853">IFERROR(INDEX(#REF!,MATCH('S-BOM'!$C853,RM!$C$4:$C1003,0)),"")</f>
        <v/>
      </c>
      <c r="H853" s="75" t="str">
        <f t="shared" si="7"/>
        <v/>
      </c>
      <c r="I853" s="76"/>
    </row>
    <row r="854" spans="1:9" ht="15.75" customHeight="1">
      <c r="A854" s="69" t="str">
        <f t="shared" si="6"/>
        <v/>
      </c>
      <c r="B854" s="70"/>
      <c r="C854" s="70"/>
      <c r="D854" s="77"/>
      <c r="E854" s="73" t="str">
        <f>IF(B854="","",VLOOKUP(C854,RM!$C$4:$F1003,3,FALSE))</f>
        <v/>
      </c>
      <c r="F854" s="74" t="str">
        <f>IF(B854="","",IFERROR(SUMIFS(Issue!$D$3:$D1013,Issue!$C$3:$C1013,'S-BOM'!$B854)*'S-BOM'!$D854,""))</f>
        <v/>
      </c>
      <c r="G854" s="75" t="str">
        <f t="array" ref="G854">IFERROR(INDEX(#REF!,MATCH('S-BOM'!$C854,RM!$C$4:$C1003,0)),"")</f>
        <v/>
      </c>
      <c r="H854" s="75" t="str">
        <f t="shared" si="7"/>
        <v/>
      </c>
      <c r="I854" s="76"/>
    </row>
    <row r="855" spans="1:9" ht="15.75" customHeight="1">
      <c r="A855" s="69" t="str">
        <f t="shared" si="6"/>
        <v/>
      </c>
      <c r="B855" s="70"/>
      <c r="C855" s="70"/>
      <c r="D855" s="77"/>
      <c r="E855" s="73" t="str">
        <f>IF(B855="","",VLOOKUP(C855,RM!$C$4:$F1003,3,FALSE))</f>
        <v/>
      </c>
      <c r="F855" s="74" t="str">
        <f>IF(B855="","",IFERROR(SUMIFS(Issue!$D$3:$D1013,Issue!$C$3:$C1013,'S-BOM'!$B855)*'S-BOM'!$D855,""))</f>
        <v/>
      </c>
      <c r="G855" s="75" t="str">
        <f t="array" ref="G855">IFERROR(INDEX(#REF!,MATCH('S-BOM'!$C855,RM!$C$4:$C1003,0)),"")</f>
        <v/>
      </c>
      <c r="H855" s="75" t="str">
        <f t="shared" si="7"/>
        <v/>
      </c>
      <c r="I855" s="76"/>
    </row>
    <row r="856" spans="1:9" ht="15.75" customHeight="1">
      <c r="A856" s="69" t="str">
        <f t="shared" si="6"/>
        <v/>
      </c>
      <c r="B856" s="70"/>
      <c r="C856" s="70"/>
      <c r="D856" s="77"/>
      <c r="E856" s="73" t="str">
        <f>IF(B856="","",VLOOKUP(C856,RM!$C$4:$F1003,3,FALSE))</f>
        <v/>
      </c>
      <c r="F856" s="74" t="str">
        <f>IF(B856="","",IFERROR(SUMIFS(Issue!$D$3:$D1013,Issue!$C$3:$C1013,'S-BOM'!$B856)*'S-BOM'!$D856,""))</f>
        <v/>
      </c>
      <c r="G856" s="75" t="str">
        <f t="array" ref="G856">IFERROR(INDEX(#REF!,MATCH('S-BOM'!$C856,RM!$C$4:$C1003,0)),"")</f>
        <v/>
      </c>
      <c r="H856" s="75" t="str">
        <f t="shared" si="7"/>
        <v/>
      </c>
      <c r="I856" s="76"/>
    </row>
    <row r="857" spans="1:9" ht="15.75" customHeight="1">
      <c r="A857" s="69" t="str">
        <f t="shared" si="6"/>
        <v/>
      </c>
      <c r="B857" s="70"/>
      <c r="C857" s="70"/>
      <c r="D857" s="77"/>
      <c r="E857" s="73" t="str">
        <f>IF(B857="","",VLOOKUP(C857,RM!$C$4:$F1003,3,FALSE))</f>
        <v/>
      </c>
      <c r="F857" s="74" t="str">
        <f>IF(B857="","",IFERROR(SUMIFS(Issue!$D$3:$D1013,Issue!$C$3:$C1013,'S-BOM'!$B857)*'S-BOM'!$D857,""))</f>
        <v/>
      </c>
      <c r="G857" s="75" t="str">
        <f t="array" ref="G857">IFERROR(INDEX(#REF!,MATCH('S-BOM'!$C857,RM!$C$4:$C1003,0)),"")</f>
        <v/>
      </c>
      <c r="H857" s="75" t="str">
        <f t="shared" si="7"/>
        <v/>
      </c>
      <c r="I857" s="76"/>
    </row>
    <row r="858" spans="1:9" ht="15.75" customHeight="1">
      <c r="A858" s="69" t="str">
        <f t="shared" si="6"/>
        <v/>
      </c>
      <c r="B858" s="70"/>
      <c r="C858" s="70"/>
      <c r="D858" s="77"/>
      <c r="E858" s="73" t="str">
        <f>IF(B858="","",VLOOKUP(C858,RM!$C$4:$F1003,3,FALSE))</f>
        <v/>
      </c>
      <c r="F858" s="74" t="str">
        <f>IF(B858="","",IFERROR(SUMIFS(Issue!$D$3:$D1013,Issue!$C$3:$C1013,'S-BOM'!$B858)*'S-BOM'!$D858,""))</f>
        <v/>
      </c>
      <c r="G858" s="75" t="str">
        <f t="array" ref="G858">IFERROR(INDEX(#REF!,MATCH('S-BOM'!$C858,RM!$C$4:$C1003,0)),"")</f>
        <v/>
      </c>
      <c r="H858" s="75" t="str">
        <f t="shared" si="7"/>
        <v/>
      </c>
      <c r="I858" s="76"/>
    </row>
    <row r="859" spans="1:9" ht="15.75" customHeight="1">
      <c r="A859" s="69" t="str">
        <f t="shared" si="6"/>
        <v/>
      </c>
      <c r="B859" s="70"/>
      <c r="C859" s="70"/>
      <c r="D859" s="77"/>
      <c r="E859" s="73" t="str">
        <f>IF(B859="","",VLOOKUP(C859,RM!$C$4:$F1003,3,FALSE))</f>
        <v/>
      </c>
      <c r="F859" s="74" t="str">
        <f>IF(B859="","",IFERROR(SUMIFS(Issue!$D$3:$D1013,Issue!$C$3:$C1013,'S-BOM'!$B859)*'S-BOM'!$D859,""))</f>
        <v/>
      </c>
      <c r="G859" s="75" t="str">
        <f t="array" ref="G859">IFERROR(INDEX(#REF!,MATCH('S-BOM'!$C859,RM!$C$4:$C1003,0)),"")</f>
        <v/>
      </c>
      <c r="H859" s="75" t="str">
        <f t="shared" si="7"/>
        <v/>
      </c>
      <c r="I859" s="76"/>
    </row>
    <row r="860" spans="1:9" ht="15.75" customHeight="1">
      <c r="A860" s="69" t="str">
        <f t="shared" si="6"/>
        <v/>
      </c>
      <c r="B860" s="70"/>
      <c r="C860" s="70"/>
      <c r="D860" s="77"/>
      <c r="E860" s="73" t="str">
        <f>IF(B860="","",VLOOKUP(C860,RM!$C$4:$F1003,3,FALSE))</f>
        <v/>
      </c>
      <c r="F860" s="74" t="str">
        <f>IF(B860="","",IFERROR(SUMIFS(Issue!$D$3:$D1013,Issue!$C$3:$C1013,'S-BOM'!$B860)*'S-BOM'!$D860,""))</f>
        <v/>
      </c>
      <c r="G860" s="75" t="str">
        <f t="array" ref="G860">IFERROR(INDEX(#REF!,MATCH('S-BOM'!$C860,RM!$C$4:$C1003,0)),"")</f>
        <v/>
      </c>
      <c r="H860" s="75" t="str">
        <f t="shared" si="7"/>
        <v/>
      </c>
      <c r="I860" s="76"/>
    </row>
    <row r="861" spans="1:9" ht="15.75" customHeight="1">
      <c r="A861" s="69" t="str">
        <f t="shared" si="6"/>
        <v/>
      </c>
      <c r="B861" s="70"/>
      <c r="C861" s="70"/>
      <c r="D861" s="77"/>
      <c r="E861" s="73" t="str">
        <f>IF(B861="","",VLOOKUP(C861,RM!$C$4:$F1003,3,FALSE))</f>
        <v/>
      </c>
      <c r="F861" s="74" t="str">
        <f>IF(B861="","",IFERROR(SUMIFS(Issue!$D$3:$D1013,Issue!$C$3:$C1013,'S-BOM'!$B861)*'S-BOM'!$D861,""))</f>
        <v/>
      </c>
      <c r="G861" s="75" t="str">
        <f t="array" ref="G861">IFERROR(INDEX(#REF!,MATCH('S-BOM'!$C861,RM!$C$4:$C1003,0)),"")</f>
        <v/>
      </c>
      <c r="H861" s="75" t="str">
        <f t="shared" si="7"/>
        <v/>
      </c>
      <c r="I861" s="76"/>
    </row>
    <row r="862" spans="1:9" ht="15.75" customHeight="1">
      <c r="A862" s="69" t="str">
        <f t="shared" si="6"/>
        <v/>
      </c>
      <c r="B862" s="70"/>
      <c r="C862" s="70"/>
      <c r="D862" s="77"/>
      <c r="E862" s="73" t="str">
        <f>IF(B862="","",VLOOKUP(C862,RM!$C$4:$F1003,3,FALSE))</f>
        <v/>
      </c>
      <c r="F862" s="74" t="str">
        <f>IF(B862="","",IFERROR(SUMIFS(Issue!$D$3:$D1013,Issue!$C$3:$C1013,'S-BOM'!$B862)*'S-BOM'!$D862,""))</f>
        <v/>
      </c>
      <c r="G862" s="75" t="str">
        <f t="array" ref="G862">IFERROR(INDEX(#REF!,MATCH('S-BOM'!$C862,RM!$C$4:$C1003,0)),"")</f>
        <v/>
      </c>
      <c r="H862" s="75" t="str">
        <f t="shared" si="7"/>
        <v/>
      </c>
      <c r="I862" s="76"/>
    </row>
    <row r="863" spans="1:9" ht="15.75" customHeight="1">
      <c r="A863" s="69" t="str">
        <f t="shared" si="6"/>
        <v/>
      </c>
      <c r="B863" s="70"/>
      <c r="C863" s="70"/>
      <c r="D863" s="77"/>
      <c r="E863" s="73" t="str">
        <f>IF(B863="","",VLOOKUP(C863,RM!$C$4:$F1003,3,FALSE))</f>
        <v/>
      </c>
      <c r="F863" s="74" t="str">
        <f>IF(B863="","",IFERROR(SUMIFS(Issue!$D$3:$D1013,Issue!$C$3:$C1013,'S-BOM'!$B863)*'S-BOM'!$D863,""))</f>
        <v/>
      </c>
      <c r="G863" s="75" t="str">
        <f t="array" ref="G863">IFERROR(INDEX(#REF!,MATCH('S-BOM'!$C863,RM!$C$4:$C1003,0)),"")</f>
        <v/>
      </c>
      <c r="H863" s="75" t="str">
        <f t="shared" si="7"/>
        <v/>
      </c>
      <c r="I863" s="76"/>
    </row>
    <row r="864" spans="1:9" ht="15.75" customHeight="1">
      <c r="A864" s="69" t="str">
        <f t="shared" si="6"/>
        <v/>
      </c>
      <c r="B864" s="70"/>
      <c r="C864" s="70"/>
      <c r="D864" s="77"/>
      <c r="E864" s="73" t="str">
        <f>IF(B864="","",VLOOKUP(C864,RM!$C$4:$F1003,3,FALSE))</f>
        <v/>
      </c>
      <c r="F864" s="74" t="str">
        <f>IF(B864="","",IFERROR(SUMIFS(Issue!$D$3:$D1013,Issue!$C$3:$C1013,'S-BOM'!$B864)*'S-BOM'!$D864,""))</f>
        <v/>
      </c>
      <c r="G864" s="75" t="str">
        <f t="array" ref="G864">IFERROR(INDEX(#REF!,MATCH('S-BOM'!$C864,RM!$C$4:$C1003,0)),"")</f>
        <v/>
      </c>
      <c r="H864" s="75" t="str">
        <f t="shared" si="7"/>
        <v/>
      </c>
      <c r="I864" s="76"/>
    </row>
    <row r="865" spans="1:9" ht="15.75" customHeight="1">
      <c r="A865" s="69" t="str">
        <f t="shared" si="6"/>
        <v/>
      </c>
      <c r="B865" s="70"/>
      <c r="C865" s="70"/>
      <c r="D865" s="77"/>
      <c r="E865" s="73" t="str">
        <f>IF(B865="","",VLOOKUP(C865,RM!$C$4:$F1003,3,FALSE))</f>
        <v/>
      </c>
      <c r="F865" s="74" t="str">
        <f>IF(B865="","",IFERROR(SUMIFS(Issue!$D$3:$D1013,Issue!$C$3:$C1013,'S-BOM'!$B865)*'S-BOM'!$D865,""))</f>
        <v/>
      </c>
      <c r="G865" s="75" t="str">
        <f t="array" ref="G865">IFERROR(INDEX(#REF!,MATCH('S-BOM'!$C865,RM!$C$4:$C1003,0)),"")</f>
        <v/>
      </c>
      <c r="H865" s="75" t="str">
        <f t="shared" si="7"/>
        <v/>
      </c>
      <c r="I865" s="76"/>
    </row>
    <row r="866" spans="1:9" ht="15.75" customHeight="1">
      <c r="A866" s="69" t="str">
        <f t="shared" si="6"/>
        <v/>
      </c>
      <c r="B866" s="70"/>
      <c r="C866" s="70"/>
      <c r="D866" s="77"/>
      <c r="E866" s="73" t="str">
        <f>IF(B866="","",VLOOKUP(C866,RM!$C$4:$F1003,3,FALSE))</f>
        <v/>
      </c>
      <c r="F866" s="74" t="str">
        <f>IF(B866="","",IFERROR(SUMIFS(Issue!$D$3:$D1013,Issue!$C$3:$C1013,'S-BOM'!$B866)*'S-BOM'!$D866,""))</f>
        <v/>
      </c>
      <c r="G866" s="75" t="str">
        <f t="array" ref="G866">IFERROR(INDEX(#REF!,MATCH('S-BOM'!$C866,RM!$C$4:$C1003,0)),"")</f>
        <v/>
      </c>
      <c r="H866" s="75" t="str">
        <f t="shared" si="7"/>
        <v/>
      </c>
      <c r="I866" s="76"/>
    </row>
    <row r="867" spans="1:9" ht="15.75" customHeight="1">
      <c r="A867" s="69" t="str">
        <f t="shared" si="6"/>
        <v/>
      </c>
      <c r="B867" s="70"/>
      <c r="C867" s="70"/>
      <c r="D867" s="77"/>
      <c r="E867" s="73" t="str">
        <f>IF(B867="","",VLOOKUP(C867,RM!$C$4:$F1003,3,FALSE))</f>
        <v/>
      </c>
      <c r="F867" s="74" t="str">
        <f>IF(B867="","",IFERROR(SUMIFS(Issue!$D$3:$D1013,Issue!$C$3:$C1013,'S-BOM'!$B867)*'S-BOM'!$D867,""))</f>
        <v/>
      </c>
      <c r="G867" s="75" t="str">
        <f t="array" ref="G867">IFERROR(INDEX(#REF!,MATCH('S-BOM'!$C867,RM!$C$4:$C1003,0)),"")</f>
        <v/>
      </c>
      <c r="H867" s="75" t="str">
        <f t="shared" si="7"/>
        <v/>
      </c>
      <c r="I867" s="76"/>
    </row>
    <row r="868" spans="1:9" ht="15.75" customHeight="1">
      <c r="A868" s="69" t="str">
        <f t="shared" si="6"/>
        <v/>
      </c>
      <c r="B868" s="70"/>
      <c r="C868" s="70"/>
      <c r="D868" s="77"/>
      <c r="E868" s="73" t="str">
        <f>IF(B868="","",VLOOKUP(C868,RM!$C$4:$F1003,3,FALSE))</f>
        <v/>
      </c>
      <c r="F868" s="74" t="str">
        <f>IF(B868="","",IFERROR(SUMIFS(Issue!$D$3:$D1013,Issue!$C$3:$C1013,'S-BOM'!$B868)*'S-BOM'!$D868,""))</f>
        <v/>
      </c>
      <c r="G868" s="75" t="str">
        <f t="array" ref="G868">IFERROR(INDEX(#REF!,MATCH('S-BOM'!$C868,RM!$C$4:$C1003,0)),"")</f>
        <v/>
      </c>
      <c r="H868" s="75" t="str">
        <f t="shared" si="7"/>
        <v/>
      </c>
      <c r="I868" s="76"/>
    </row>
    <row r="869" spans="1:9" ht="15.75" customHeight="1">
      <c r="A869" s="69" t="str">
        <f t="shared" si="6"/>
        <v/>
      </c>
      <c r="B869" s="70"/>
      <c r="C869" s="70"/>
      <c r="D869" s="77"/>
      <c r="E869" s="73" t="str">
        <f>IF(B869="","",VLOOKUP(C869,RM!$C$4:$F1003,3,FALSE))</f>
        <v/>
      </c>
      <c r="F869" s="74" t="str">
        <f>IF(B869="","",IFERROR(SUMIFS(Issue!$D$3:$D1013,Issue!$C$3:$C1013,'S-BOM'!$B869)*'S-BOM'!$D869,""))</f>
        <v/>
      </c>
      <c r="G869" s="75" t="str">
        <f t="array" ref="G869">IFERROR(INDEX(#REF!,MATCH('S-BOM'!$C869,RM!$C$4:$C1003,0)),"")</f>
        <v/>
      </c>
      <c r="H869" s="75" t="str">
        <f t="shared" si="7"/>
        <v/>
      </c>
      <c r="I869" s="76"/>
    </row>
    <row r="870" spans="1:9" ht="15.75" customHeight="1">
      <c r="A870" s="69" t="str">
        <f t="shared" si="6"/>
        <v/>
      </c>
      <c r="B870" s="70"/>
      <c r="C870" s="70"/>
      <c r="D870" s="77"/>
      <c r="E870" s="73" t="str">
        <f>IF(B870="","",VLOOKUP(C870,RM!$C$4:$F1003,3,FALSE))</f>
        <v/>
      </c>
      <c r="F870" s="74" t="str">
        <f>IF(B870="","",IFERROR(SUMIFS(Issue!$D$3:$D1013,Issue!$C$3:$C1013,'S-BOM'!$B870)*'S-BOM'!$D870,""))</f>
        <v/>
      </c>
      <c r="G870" s="75" t="str">
        <f t="array" ref="G870">IFERROR(INDEX(#REF!,MATCH('S-BOM'!$C870,RM!$C$4:$C1003,0)),"")</f>
        <v/>
      </c>
      <c r="H870" s="75" t="str">
        <f t="shared" si="7"/>
        <v/>
      </c>
      <c r="I870" s="76"/>
    </row>
    <row r="871" spans="1:9" ht="15.75" customHeight="1">
      <c r="A871" s="69" t="str">
        <f t="shared" si="6"/>
        <v/>
      </c>
      <c r="B871" s="70"/>
      <c r="C871" s="70"/>
      <c r="D871" s="77"/>
      <c r="E871" s="73" t="str">
        <f>IF(B871="","",VLOOKUP(C871,RM!$C$4:$F1003,3,FALSE))</f>
        <v/>
      </c>
      <c r="F871" s="74" t="str">
        <f>IF(B871="","",IFERROR(SUMIFS(Issue!$D$3:$D1013,Issue!$C$3:$C1013,'S-BOM'!$B871)*'S-BOM'!$D871,""))</f>
        <v/>
      </c>
      <c r="G871" s="75" t="str">
        <f t="array" ref="G871">IFERROR(INDEX(#REF!,MATCH('S-BOM'!$C871,RM!$C$4:$C1003,0)),"")</f>
        <v/>
      </c>
      <c r="H871" s="75" t="str">
        <f t="shared" si="7"/>
        <v/>
      </c>
      <c r="I871" s="76"/>
    </row>
    <row r="872" spans="1:9" ht="15.75" customHeight="1">
      <c r="A872" s="69" t="str">
        <f t="shared" si="6"/>
        <v/>
      </c>
      <c r="B872" s="70"/>
      <c r="C872" s="70"/>
      <c r="D872" s="77"/>
      <c r="E872" s="73" t="str">
        <f>IF(B872="","",VLOOKUP(C872,RM!$C$4:$F1003,3,FALSE))</f>
        <v/>
      </c>
      <c r="F872" s="74" t="str">
        <f>IF(B872="","",IFERROR(SUMIFS(Issue!$D$3:$D1013,Issue!$C$3:$C1013,'S-BOM'!$B872)*'S-BOM'!$D872,""))</f>
        <v/>
      </c>
      <c r="G872" s="75" t="str">
        <f t="array" ref="G872">IFERROR(INDEX(#REF!,MATCH('S-BOM'!$C872,RM!$C$4:$C1003,0)),"")</f>
        <v/>
      </c>
      <c r="H872" s="75" t="str">
        <f t="shared" si="7"/>
        <v/>
      </c>
      <c r="I872" s="76"/>
    </row>
    <row r="873" spans="1:9" ht="15.75" customHeight="1">
      <c r="A873" s="69" t="str">
        <f t="shared" si="6"/>
        <v/>
      </c>
      <c r="B873" s="70"/>
      <c r="C873" s="70"/>
      <c r="D873" s="77"/>
      <c r="E873" s="73" t="str">
        <f>IF(B873="","",VLOOKUP(C873,RM!$C$4:$F1003,3,FALSE))</f>
        <v/>
      </c>
      <c r="F873" s="74" t="str">
        <f>IF(B873="","",IFERROR(SUMIFS(Issue!$D$3:$D1013,Issue!$C$3:$C1013,'S-BOM'!$B873)*'S-BOM'!$D873,""))</f>
        <v/>
      </c>
      <c r="G873" s="75" t="str">
        <f t="array" ref="G873">IFERROR(INDEX(#REF!,MATCH('S-BOM'!$C873,RM!$C$4:$C1003,0)),"")</f>
        <v/>
      </c>
      <c r="H873" s="75" t="str">
        <f t="shared" si="7"/>
        <v/>
      </c>
      <c r="I873" s="76"/>
    </row>
    <row r="874" spans="1:9" ht="15.75" customHeight="1">
      <c r="A874" s="69" t="str">
        <f t="shared" si="6"/>
        <v/>
      </c>
      <c r="B874" s="70"/>
      <c r="C874" s="70"/>
      <c r="D874" s="77"/>
      <c r="E874" s="73" t="str">
        <f>IF(B874="","",VLOOKUP(C874,RM!$C$4:$F1003,3,FALSE))</f>
        <v/>
      </c>
      <c r="F874" s="74" t="str">
        <f>IF(B874="","",IFERROR(SUMIFS(Issue!$D$3:$D1013,Issue!$C$3:$C1013,'S-BOM'!$B874)*'S-BOM'!$D874,""))</f>
        <v/>
      </c>
      <c r="G874" s="75" t="str">
        <f t="array" ref="G874">IFERROR(INDEX(#REF!,MATCH('S-BOM'!$C874,RM!$C$4:$C1003,0)),"")</f>
        <v/>
      </c>
      <c r="H874" s="75" t="str">
        <f t="shared" si="7"/>
        <v/>
      </c>
      <c r="I874" s="76"/>
    </row>
    <row r="875" spans="1:9" ht="15.75" customHeight="1">
      <c r="A875" s="69" t="str">
        <f t="shared" si="6"/>
        <v/>
      </c>
      <c r="B875" s="70"/>
      <c r="C875" s="70"/>
      <c r="D875" s="77"/>
      <c r="E875" s="73" t="str">
        <f>IF(B875="","",VLOOKUP(C875,RM!$C$4:$F1003,3,FALSE))</f>
        <v/>
      </c>
      <c r="F875" s="74" t="str">
        <f>IF(B875="","",IFERROR(SUMIFS(Issue!$D$3:$D1013,Issue!$C$3:$C1013,'S-BOM'!$B875)*'S-BOM'!$D875,""))</f>
        <v/>
      </c>
      <c r="G875" s="75" t="str">
        <f t="array" ref="G875">IFERROR(INDEX(#REF!,MATCH('S-BOM'!$C875,RM!$C$4:$C1003,0)),"")</f>
        <v/>
      </c>
      <c r="H875" s="75" t="str">
        <f t="shared" si="7"/>
        <v/>
      </c>
      <c r="I875" s="76"/>
    </row>
    <row r="876" spans="1:9" ht="15.75" customHeight="1">
      <c r="A876" s="69" t="str">
        <f t="shared" si="6"/>
        <v/>
      </c>
      <c r="B876" s="70"/>
      <c r="C876" s="70"/>
      <c r="D876" s="77"/>
      <c r="E876" s="73" t="str">
        <f>IF(B876="","",VLOOKUP(C876,RM!$C$4:$F1003,3,FALSE))</f>
        <v/>
      </c>
      <c r="F876" s="74" t="str">
        <f>IF(B876="","",IFERROR(SUMIFS(Issue!$D$3:$D1013,Issue!$C$3:$C1013,'S-BOM'!$B876)*'S-BOM'!$D876,""))</f>
        <v/>
      </c>
      <c r="G876" s="75" t="str">
        <f t="array" ref="G876">IFERROR(INDEX(#REF!,MATCH('S-BOM'!$C876,RM!$C$4:$C1003,0)),"")</f>
        <v/>
      </c>
      <c r="H876" s="75" t="str">
        <f t="shared" si="7"/>
        <v/>
      </c>
      <c r="I876" s="76"/>
    </row>
    <row r="877" spans="1:9" ht="15.75" customHeight="1">
      <c r="A877" s="69" t="str">
        <f t="shared" si="6"/>
        <v/>
      </c>
      <c r="B877" s="70"/>
      <c r="C877" s="70"/>
      <c r="D877" s="77"/>
      <c r="E877" s="73" t="str">
        <f>IF(B877="","",VLOOKUP(C877,RM!$C$4:$F1003,3,FALSE))</f>
        <v/>
      </c>
      <c r="F877" s="74" t="str">
        <f>IF(B877="","",IFERROR(SUMIFS(Issue!$D$3:$D1013,Issue!$C$3:$C1013,'S-BOM'!$B877)*'S-BOM'!$D877,""))</f>
        <v/>
      </c>
      <c r="G877" s="75" t="str">
        <f t="array" ref="G877">IFERROR(INDEX(#REF!,MATCH('S-BOM'!$C877,RM!$C$4:$C1003,0)),"")</f>
        <v/>
      </c>
      <c r="H877" s="75" t="str">
        <f t="shared" si="7"/>
        <v/>
      </c>
      <c r="I877" s="76"/>
    </row>
    <row r="878" spans="1:9" ht="15.75" customHeight="1">
      <c r="A878" s="69" t="str">
        <f t="shared" si="6"/>
        <v/>
      </c>
      <c r="B878" s="70"/>
      <c r="C878" s="70"/>
      <c r="D878" s="77"/>
      <c r="E878" s="73" t="str">
        <f>IF(B878="","",VLOOKUP(C878,RM!$C$4:$F1003,3,FALSE))</f>
        <v/>
      </c>
      <c r="F878" s="74" t="str">
        <f>IF(B878="","",IFERROR(SUMIFS(Issue!$D$3:$D1013,Issue!$C$3:$C1013,'S-BOM'!$B878)*'S-BOM'!$D878,""))</f>
        <v/>
      </c>
      <c r="G878" s="75" t="str">
        <f t="array" ref="G878">IFERROR(INDEX(#REF!,MATCH('S-BOM'!$C878,RM!$C$4:$C1003,0)),"")</f>
        <v/>
      </c>
      <c r="H878" s="75" t="str">
        <f t="shared" si="7"/>
        <v/>
      </c>
      <c r="I878" s="76"/>
    </row>
    <row r="879" spans="1:9" ht="15.75" customHeight="1">
      <c r="A879" s="69" t="str">
        <f t="shared" si="6"/>
        <v/>
      </c>
      <c r="B879" s="70"/>
      <c r="C879" s="70"/>
      <c r="D879" s="77"/>
      <c r="E879" s="73" t="str">
        <f>IF(B879="","",VLOOKUP(C879,RM!$C$4:$F1003,3,FALSE))</f>
        <v/>
      </c>
      <c r="F879" s="74" t="str">
        <f>IF(B879="","",IFERROR(SUMIFS(Issue!$D$3:$D1013,Issue!$C$3:$C1013,'S-BOM'!$B879)*'S-BOM'!$D879,""))</f>
        <v/>
      </c>
      <c r="G879" s="75" t="str">
        <f t="array" ref="G879">IFERROR(INDEX(#REF!,MATCH('S-BOM'!$C879,RM!$C$4:$C1003,0)),"")</f>
        <v/>
      </c>
      <c r="H879" s="75" t="str">
        <f t="shared" si="7"/>
        <v/>
      </c>
      <c r="I879" s="76"/>
    </row>
    <row r="880" spans="1:9" ht="15.75" customHeight="1">
      <c r="A880" s="69" t="str">
        <f t="shared" si="6"/>
        <v/>
      </c>
      <c r="B880" s="70"/>
      <c r="C880" s="70"/>
      <c r="D880" s="77"/>
      <c r="E880" s="73" t="str">
        <f>IF(B880="","",VLOOKUP(C880,RM!$C$4:$F1003,3,FALSE))</f>
        <v/>
      </c>
      <c r="F880" s="74" t="str">
        <f>IF(B880="","",IFERROR(SUMIFS(Issue!$D$3:$D1013,Issue!$C$3:$C1013,'S-BOM'!$B880)*'S-BOM'!$D880,""))</f>
        <v/>
      </c>
      <c r="G880" s="75" t="str">
        <f t="array" ref="G880">IFERROR(INDEX(#REF!,MATCH('S-BOM'!$C880,RM!$C$4:$C1003,0)),"")</f>
        <v/>
      </c>
      <c r="H880" s="75" t="str">
        <f t="shared" si="7"/>
        <v/>
      </c>
      <c r="I880" s="76"/>
    </row>
    <row r="881" spans="1:9" ht="15.75" customHeight="1">
      <c r="A881" s="69" t="str">
        <f t="shared" si="6"/>
        <v/>
      </c>
      <c r="B881" s="70"/>
      <c r="C881" s="70"/>
      <c r="D881" s="77"/>
      <c r="E881" s="73" t="str">
        <f>IF(B881="","",VLOOKUP(C881,RM!$C$4:$F1003,3,FALSE))</f>
        <v/>
      </c>
      <c r="F881" s="74" t="str">
        <f>IF(B881="","",IFERROR(SUMIFS(Issue!$D$3:$D1013,Issue!$C$3:$C1013,'S-BOM'!$B881)*'S-BOM'!$D881,""))</f>
        <v/>
      </c>
      <c r="G881" s="75" t="str">
        <f t="array" ref="G881">IFERROR(INDEX(#REF!,MATCH('S-BOM'!$C881,RM!$C$4:$C1003,0)),"")</f>
        <v/>
      </c>
      <c r="H881" s="75" t="str">
        <f t="shared" si="7"/>
        <v/>
      </c>
      <c r="I881" s="76"/>
    </row>
    <row r="882" spans="1:9" ht="15.75" customHeight="1">
      <c r="A882" s="69" t="str">
        <f t="shared" si="6"/>
        <v/>
      </c>
      <c r="B882" s="70"/>
      <c r="C882" s="70"/>
      <c r="D882" s="77"/>
      <c r="E882" s="73" t="str">
        <f>IF(B882="","",VLOOKUP(C882,RM!$C$4:$F1003,3,FALSE))</f>
        <v/>
      </c>
      <c r="F882" s="74" t="str">
        <f>IF(B882="","",IFERROR(SUMIFS(Issue!$D$3:$D1013,Issue!$C$3:$C1013,'S-BOM'!$B882)*'S-BOM'!$D882,""))</f>
        <v/>
      </c>
      <c r="G882" s="75" t="str">
        <f t="array" ref="G882">IFERROR(INDEX(#REF!,MATCH('S-BOM'!$C882,RM!$C$4:$C1003,0)),"")</f>
        <v/>
      </c>
      <c r="H882" s="75" t="str">
        <f t="shared" si="7"/>
        <v/>
      </c>
      <c r="I882" s="76"/>
    </row>
    <row r="883" spans="1:9" ht="15.75" customHeight="1">
      <c r="A883" s="69" t="str">
        <f t="shared" si="6"/>
        <v/>
      </c>
      <c r="B883" s="70"/>
      <c r="C883" s="70"/>
      <c r="D883" s="77"/>
      <c r="E883" s="73" t="str">
        <f>IF(B883="","",VLOOKUP(C883,RM!$C$4:$F1003,3,FALSE))</f>
        <v/>
      </c>
      <c r="F883" s="74" t="str">
        <f>IF(B883="","",IFERROR(SUMIFS(Issue!$D$3:$D1013,Issue!$C$3:$C1013,'S-BOM'!$B883)*'S-BOM'!$D883,""))</f>
        <v/>
      </c>
      <c r="G883" s="75" t="str">
        <f t="array" ref="G883">IFERROR(INDEX(#REF!,MATCH('S-BOM'!$C883,RM!$C$4:$C1003,0)),"")</f>
        <v/>
      </c>
      <c r="H883" s="75" t="str">
        <f t="shared" si="7"/>
        <v/>
      </c>
      <c r="I883" s="76"/>
    </row>
    <row r="884" spans="1:9" ht="15.75" customHeight="1">
      <c r="A884" s="69" t="str">
        <f t="shared" si="6"/>
        <v/>
      </c>
      <c r="B884" s="70"/>
      <c r="C884" s="70"/>
      <c r="D884" s="77"/>
      <c r="E884" s="73" t="str">
        <f>IF(B884="","",VLOOKUP(C884,RM!$C$4:$F1003,3,FALSE))</f>
        <v/>
      </c>
      <c r="F884" s="74" t="str">
        <f>IF(B884="","",IFERROR(SUMIFS(Issue!$D$3:$D1013,Issue!$C$3:$C1013,'S-BOM'!$B884)*'S-BOM'!$D884,""))</f>
        <v/>
      </c>
      <c r="G884" s="75" t="str">
        <f t="array" ref="G884">IFERROR(INDEX(#REF!,MATCH('S-BOM'!$C884,RM!$C$4:$C1003,0)),"")</f>
        <v/>
      </c>
      <c r="H884" s="75" t="str">
        <f t="shared" si="7"/>
        <v/>
      </c>
      <c r="I884" s="76"/>
    </row>
    <row r="885" spans="1:9" ht="15.75" customHeight="1">
      <c r="A885" s="69" t="str">
        <f t="shared" si="6"/>
        <v/>
      </c>
      <c r="B885" s="70"/>
      <c r="C885" s="70"/>
      <c r="D885" s="77"/>
      <c r="E885" s="73" t="str">
        <f>IF(B885="","",VLOOKUP(C885,RM!$C$4:$F1003,3,FALSE))</f>
        <v/>
      </c>
      <c r="F885" s="74" t="str">
        <f>IF(B885="","",IFERROR(SUMIFS(Issue!$D$3:$D1013,Issue!$C$3:$C1013,'S-BOM'!$B885)*'S-BOM'!$D885,""))</f>
        <v/>
      </c>
      <c r="G885" s="75" t="str">
        <f t="array" ref="G885">IFERROR(INDEX(#REF!,MATCH('S-BOM'!$C885,RM!$C$4:$C1003,0)),"")</f>
        <v/>
      </c>
      <c r="H885" s="75" t="str">
        <f t="shared" si="7"/>
        <v/>
      </c>
      <c r="I885" s="76"/>
    </row>
    <row r="886" spans="1:9" ht="15.75" customHeight="1">
      <c r="A886" s="69" t="str">
        <f t="shared" si="6"/>
        <v/>
      </c>
      <c r="B886" s="70"/>
      <c r="C886" s="70"/>
      <c r="D886" s="77"/>
      <c r="E886" s="73" t="str">
        <f>IF(B886="","",VLOOKUP(C886,RM!$C$4:$F1003,3,FALSE))</f>
        <v/>
      </c>
      <c r="F886" s="74" t="str">
        <f>IF(B886="","",IFERROR(SUMIFS(Issue!$D$3:$D1013,Issue!$C$3:$C1013,'S-BOM'!$B886)*'S-BOM'!$D886,""))</f>
        <v/>
      </c>
      <c r="G886" s="75" t="str">
        <f t="array" ref="G886">IFERROR(INDEX(#REF!,MATCH('S-BOM'!$C886,RM!$C$4:$C1003,0)),"")</f>
        <v/>
      </c>
      <c r="H886" s="75" t="str">
        <f t="shared" si="7"/>
        <v/>
      </c>
      <c r="I886" s="76"/>
    </row>
    <row r="887" spans="1:9" ht="15.75" customHeight="1">
      <c r="A887" s="69" t="str">
        <f t="shared" si="6"/>
        <v/>
      </c>
      <c r="B887" s="70"/>
      <c r="C887" s="70"/>
      <c r="D887" s="77"/>
      <c r="E887" s="73" t="str">
        <f>IF(B887="","",VLOOKUP(C887,RM!$C$4:$F1003,3,FALSE))</f>
        <v/>
      </c>
      <c r="F887" s="74" t="str">
        <f>IF(B887="","",IFERROR(SUMIFS(Issue!$D$3:$D1013,Issue!$C$3:$C1013,'S-BOM'!$B887)*'S-BOM'!$D887,""))</f>
        <v/>
      </c>
      <c r="G887" s="75" t="str">
        <f t="array" ref="G887">IFERROR(INDEX(#REF!,MATCH('S-BOM'!$C887,RM!$C$4:$C1003,0)),"")</f>
        <v/>
      </c>
      <c r="H887" s="75" t="str">
        <f t="shared" si="7"/>
        <v/>
      </c>
      <c r="I887" s="76"/>
    </row>
    <row r="888" spans="1:9" ht="15.75" customHeight="1">
      <c r="A888" s="69" t="str">
        <f t="shared" si="6"/>
        <v/>
      </c>
      <c r="B888" s="70"/>
      <c r="C888" s="70"/>
      <c r="D888" s="77"/>
      <c r="E888" s="73" t="str">
        <f>IF(B888="","",VLOOKUP(C888,RM!$C$4:$F1003,3,FALSE))</f>
        <v/>
      </c>
      <c r="F888" s="74" t="str">
        <f>IF(B888="","",IFERROR(SUMIFS(Issue!$D$3:$D1013,Issue!$C$3:$C1013,'S-BOM'!$B888)*'S-BOM'!$D888,""))</f>
        <v/>
      </c>
      <c r="G888" s="75" t="str">
        <f t="array" ref="G888">IFERROR(INDEX(#REF!,MATCH('S-BOM'!$C888,RM!$C$4:$C1003,0)),"")</f>
        <v/>
      </c>
      <c r="H888" s="75" t="str">
        <f t="shared" si="7"/>
        <v/>
      </c>
      <c r="I888" s="76"/>
    </row>
    <row r="889" spans="1:9" ht="15.75" customHeight="1">
      <c r="A889" s="69" t="str">
        <f t="shared" si="6"/>
        <v/>
      </c>
      <c r="B889" s="70"/>
      <c r="C889" s="70"/>
      <c r="D889" s="77"/>
      <c r="E889" s="73" t="str">
        <f>IF(B889="","",VLOOKUP(C889,RM!$C$4:$F1003,3,FALSE))</f>
        <v/>
      </c>
      <c r="F889" s="74" t="str">
        <f>IF(B889="","",IFERROR(SUMIFS(Issue!$D$3:$D1013,Issue!$C$3:$C1013,'S-BOM'!$B889)*'S-BOM'!$D889,""))</f>
        <v/>
      </c>
      <c r="G889" s="75" t="str">
        <f t="array" ref="G889">IFERROR(INDEX(#REF!,MATCH('S-BOM'!$C889,RM!$C$4:$C1003,0)),"")</f>
        <v/>
      </c>
      <c r="H889" s="75" t="str">
        <f t="shared" si="7"/>
        <v/>
      </c>
      <c r="I889" s="76"/>
    </row>
    <row r="890" spans="1:9" ht="15.75" customHeight="1">
      <c r="A890" s="69" t="str">
        <f t="shared" si="6"/>
        <v/>
      </c>
      <c r="B890" s="70"/>
      <c r="C890" s="70"/>
      <c r="D890" s="77"/>
      <c r="E890" s="73" t="str">
        <f>IF(B890="","",VLOOKUP(C890,RM!$C$4:$F1003,3,FALSE))</f>
        <v/>
      </c>
      <c r="F890" s="74" t="str">
        <f>IF(B890="","",IFERROR(SUMIFS(Issue!$D$3:$D1013,Issue!$C$3:$C1013,'S-BOM'!$B890)*'S-BOM'!$D890,""))</f>
        <v/>
      </c>
      <c r="G890" s="75" t="str">
        <f t="array" ref="G890">IFERROR(INDEX(#REF!,MATCH('S-BOM'!$C890,RM!$C$4:$C1003,0)),"")</f>
        <v/>
      </c>
      <c r="H890" s="75" t="str">
        <f t="shared" si="7"/>
        <v/>
      </c>
      <c r="I890" s="76"/>
    </row>
    <row r="891" spans="1:9" ht="15.75" customHeight="1">
      <c r="A891" s="69" t="str">
        <f t="shared" si="6"/>
        <v/>
      </c>
      <c r="B891" s="70"/>
      <c r="C891" s="70"/>
      <c r="D891" s="77"/>
      <c r="E891" s="73" t="str">
        <f>IF(B891="","",VLOOKUP(C891,RM!$C$4:$F1003,3,FALSE))</f>
        <v/>
      </c>
      <c r="F891" s="74" t="str">
        <f>IF(B891="","",IFERROR(SUMIFS(Issue!$D$3:$D1013,Issue!$C$3:$C1013,'S-BOM'!$B891)*'S-BOM'!$D891,""))</f>
        <v/>
      </c>
      <c r="G891" s="75" t="str">
        <f t="array" ref="G891">IFERROR(INDEX(#REF!,MATCH('S-BOM'!$C891,RM!$C$4:$C1003,0)),"")</f>
        <v/>
      </c>
      <c r="H891" s="75" t="str">
        <f t="shared" si="7"/>
        <v/>
      </c>
      <c r="I891" s="76"/>
    </row>
    <row r="892" spans="1:9" ht="15.75" customHeight="1">
      <c r="A892" s="69" t="str">
        <f t="shared" si="6"/>
        <v/>
      </c>
      <c r="B892" s="70"/>
      <c r="C892" s="70"/>
      <c r="D892" s="77"/>
      <c r="E892" s="73" t="str">
        <f>IF(B892="","",VLOOKUP(C892,RM!$C$4:$F1003,3,FALSE))</f>
        <v/>
      </c>
      <c r="F892" s="74" t="str">
        <f>IF(B892="","",IFERROR(SUMIFS(Issue!$D$3:$D1013,Issue!$C$3:$C1013,'S-BOM'!$B892)*'S-BOM'!$D892,""))</f>
        <v/>
      </c>
      <c r="G892" s="75" t="str">
        <f t="array" ref="G892">IFERROR(INDEX(#REF!,MATCH('S-BOM'!$C892,RM!$C$4:$C1003,0)),"")</f>
        <v/>
      </c>
      <c r="H892" s="75" t="str">
        <f t="shared" si="7"/>
        <v/>
      </c>
      <c r="I892" s="76"/>
    </row>
    <row r="893" spans="1:9" ht="15.75" customHeight="1">
      <c r="A893" s="69" t="str">
        <f t="shared" si="6"/>
        <v/>
      </c>
      <c r="B893" s="70"/>
      <c r="C893" s="70"/>
      <c r="D893" s="77"/>
      <c r="E893" s="73" t="str">
        <f>IF(B893="","",VLOOKUP(C893,RM!$C$4:$F1003,3,FALSE))</f>
        <v/>
      </c>
      <c r="F893" s="74" t="str">
        <f>IF(B893="","",IFERROR(SUMIFS(Issue!$D$3:$D1013,Issue!$C$3:$C1013,'S-BOM'!$B893)*'S-BOM'!$D893,""))</f>
        <v/>
      </c>
      <c r="G893" s="75" t="str">
        <f t="array" ref="G893">IFERROR(INDEX(#REF!,MATCH('S-BOM'!$C893,RM!$C$4:$C1003,0)),"")</f>
        <v/>
      </c>
      <c r="H893" s="75" t="str">
        <f t="shared" si="7"/>
        <v/>
      </c>
      <c r="I893" s="76"/>
    </row>
    <row r="894" spans="1:9" ht="15.75" customHeight="1">
      <c r="A894" s="69" t="str">
        <f t="shared" si="6"/>
        <v/>
      </c>
      <c r="B894" s="70"/>
      <c r="C894" s="70"/>
      <c r="D894" s="77"/>
      <c r="E894" s="73" t="str">
        <f>IF(B894="","",VLOOKUP(C894,RM!$C$4:$F1003,3,FALSE))</f>
        <v/>
      </c>
      <c r="F894" s="74" t="str">
        <f>IF(B894="","",IFERROR(SUMIFS(Issue!$D$3:$D1013,Issue!$C$3:$C1013,'S-BOM'!$B894)*'S-BOM'!$D894,""))</f>
        <v/>
      </c>
      <c r="G894" s="75" t="str">
        <f t="array" ref="G894">IFERROR(INDEX(#REF!,MATCH('S-BOM'!$C894,RM!$C$4:$C1003,0)),"")</f>
        <v/>
      </c>
      <c r="H894" s="75" t="str">
        <f t="shared" si="7"/>
        <v/>
      </c>
      <c r="I894" s="76"/>
    </row>
    <row r="895" spans="1:9" ht="15.75" customHeight="1">
      <c r="A895" s="69" t="str">
        <f t="shared" si="6"/>
        <v/>
      </c>
      <c r="B895" s="70"/>
      <c r="C895" s="70"/>
      <c r="D895" s="77"/>
      <c r="E895" s="73" t="str">
        <f>IF(B895="","",VLOOKUP(C895,RM!$C$4:$F1003,3,FALSE))</f>
        <v/>
      </c>
      <c r="F895" s="74" t="str">
        <f>IF(B895="","",IFERROR(SUMIFS(Issue!$D$3:$D1013,Issue!$C$3:$C1013,'S-BOM'!$B895)*'S-BOM'!$D895,""))</f>
        <v/>
      </c>
      <c r="G895" s="75" t="str">
        <f t="array" ref="G895">IFERROR(INDEX(#REF!,MATCH('S-BOM'!$C895,RM!$C$4:$C1003,0)),"")</f>
        <v/>
      </c>
      <c r="H895" s="75" t="str">
        <f t="shared" si="7"/>
        <v/>
      </c>
      <c r="I895" s="76"/>
    </row>
    <row r="896" spans="1:9" ht="15.75" customHeight="1">
      <c r="A896" s="69" t="str">
        <f t="shared" si="6"/>
        <v/>
      </c>
      <c r="B896" s="70"/>
      <c r="C896" s="70"/>
      <c r="D896" s="77"/>
      <c r="E896" s="73" t="str">
        <f>IF(B896="","",VLOOKUP(C896,RM!$C$4:$F1003,3,FALSE))</f>
        <v/>
      </c>
      <c r="F896" s="74" t="str">
        <f>IF(B896="","",IFERROR(SUMIFS(Issue!$D$3:$D1013,Issue!$C$3:$C1013,'S-BOM'!$B896)*'S-BOM'!$D896,""))</f>
        <v/>
      </c>
      <c r="G896" s="75" t="str">
        <f t="array" ref="G896">IFERROR(INDEX(#REF!,MATCH('S-BOM'!$C896,RM!$C$4:$C1003,0)),"")</f>
        <v/>
      </c>
      <c r="H896" s="75" t="str">
        <f t="shared" si="7"/>
        <v/>
      </c>
      <c r="I896" s="76"/>
    </row>
    <row r="897" spans="1:9" ht="15.75" customHeight="1">
      <c r="A897" s="69" t="str">
        <f t="shared" si="6"/>
        <v/>
      </c>
      <c r="B897" s="70"/>
      <c r="C897" s="70"/>
      <c r="D897" s="77"/>
      <c r="E897" s="73" t="str">
        <f>IF(B897="","",VLOOKUP(C897,RM!$C$4:$F1003,3,FALSE))</f>
        <v/>
      </c>
      <c r="F897" s="74" t="str">
        <f>IF(B897="","",IFERROR(SUMIFS(Issue!$D$3:$D1013,Issue!$C$3:$C1013,'S-BOM'!$B897)*'S-BOM'!$D897,""))</f>
        <v/>
      </c>
      <c r="G897" s="75" t="str">
        <f t="array" ref="G897">IFERROR(INDEX(#REF!,MATCH('S-BOM'!$C897,RM!$C$4:$C1003,0)),"")</f>
        <v/>
      </c>
      <c r="H897" s="75" t="str">
        <f t="shared" si="7"/>
        <v/>
      </c>
      <c r="I897" s="76"/>
    </row>
    <row r="898" spans="1:9" ht="15.75" customHeight="1">
      <c r="A898" s="69" t="str">
        <f t="shared" si="6"/>
        <v/>
      </c>
      <c r="B898" s="70"/>
      <c r="C898" s="70"/>
      <c r="D898" s="77"/>
      <c r="E898" s="73" t="str">
        <f>IF(B898="","",VLOOKUP(C898,RM!$C$4:$F1003,3,FALSE))</f>
        <v/>
      </c>
      <c r="F898" s="74" t="str">
        <f>IF(B898="","",IFERROR(SUMIFS(Issue!$D$3:$D1013,Issue!$C$3:$C1013,'S-BOM'!$B898)*'S-BOM'!$D898,""))</f>
        <v/>
      </c>
      <c r="G898" s="75" t="str">
        <f t="array" ref="G898">IFERROR(INDEX(#REF!,MATCH('S-BOM'!$C898,RM!$C$4:$C1003,0)),"")</f>
        <v/>
      </c>
      <c r="H898" s="75" t="str">
        <f t="shared" si="7"/>
        <v/>
      </c>
      <c r="I898" s="76"/>
    </row>
    <row r="899" spans="1:9" ht="15.75" customHeight="1">
      <c r="A899" s="69" t="str">
        <f t="shared" si="6"/>
        <v/>
      </c>
      <c r="B899" s="70"/>
      <c r="C899" s="70"/>
      <c r="D899" s="77"/>
      <c r="E899" s="73" t="str">
        <f>IF(B899="","",VLOOKUP(C899,RM!$C$4:$F1003,3,FALSE))</f>
        <v/>
      </c>
      <c r="F899" s="74" t="str">
        <f>IF(B899="","",IFERROR(SUMIFS(Issue!$D$3:$D1013,Issue!$C$3:$C1013,'S-BOM'!$B899)*'S-BOM'!$D899,""))</f>
        <v/>
      </c>
      <c r="G899" s="75" t="str">
        <f t="array" ref="G899">IFERROR(INDEX(#REF!,MATCH('S-BOM'!$C899,RM!$C$4:$C1003,0)),"")</f>
        <v/>
      </c>
      <c r="H899" s="75" t="str">
        <f t="shared" si="7"/>
        <v/>
      </c>
      <c r="I899" s="76"/>
    </row>
    <row r="900" spans="1:9" ht="15.75" customHeight="1">
      <c r="A900" s="69" t="str">
        <f t="shared" si="6"/>
        <v/>
      </c>
      <c r="B900" s="70"/>
      <c r="C900" s="70"/>
      <c r="D900" s="77"/>
      <c r="E900" s="73" t="str">
        <f>IF(B900="","",VLOOKUP(C900,RM!$C$4:$F1003,3,FALSE))</f>
        <v/>
      </c>
      <c r="F900" s="74" t="str">
        <f>IF(B900="","",IFERROR(SUMIFS(Issue!$D$3:$D1013,Issue!$C$3:$C1013,'S-BOM'!$B900)*'S-BOM'!$D900,""))</f>
        <v/>
      </c>
      <c r="G900" s="75" t="str">
        <f t="array" ref="G900">IFERROR(INDEX(#REF!,MATCH('S-BOM'!$C900,RM!$C$4:$C1003,0)),"")</f>
        <v/>
      </c>
      <c r="H900" s="75" t="str">
        <f t="shared" si="7"/>
        <v/>
      </c>
      <c r="I900" s="76"/>
    </row>
    <row r="901" spans="1:9" ht="15.75" customHeight="1">
      <c r="A901" s="69" t="str">
        <f t="shared" si="6"/>
        <v/>
      </c>
      <c r="B901" s="70"/>
      <c r="C901" s="70"/>
      <c r="D901" s="77"/>
      <c r="E901" s="73" t="str">
        <f>IF(B901="","",VLOOKUP(C901,RM!$C$4:$F1003,3,FALSE))</f>
        <v/>
      </c>
      <c r="F901" s="74" t="str">
        <f>IF(B901="","",IFERROR(SUMIFS(Issue!$D$3:$D1013,Issue!$C$3:$C1013,'S-BOM'!$B901)*'S-BOM'!$D901,""))</f>
        <v/>
      </c>
      <c r="G901" s="75" t="str">
        <f t="array" ref="G901">IFERROR(INDEX(#REF!,MATCH('S-BOM'!$C901,RM!$C$4:$C1003,0)),"")</f>
        <v/>
      </c>
      <c r="H901" s="75" t="str">
        <f t="shared" si="7"/>
        <v/>
      </c>
      <c r="I901" s="76"/>
    </row>
    <row r="902" spans="1:9" ht="15.75" customHeight="1">
      <c r="A902" s="69" t="str">
        <f t="shared" si="6"/>
        <v/>
      </c>
      <c r="B902" s="70"/>
      <c r="C902" s="70"/>
      <c r="D902" s="77"/>
      <c r="E902" s="73" t="str">
        <f>IF(B902="","",VLOOKUP(C902,RM!$C$4:$F1003,3,FALSE))</f>
        <v/>
      </c>
      <c r="F902" s="74" t="str">
        <f>IF(B902="","",IFERROR(SUMIFS(Issue!$D$3:$D1013,Issue!$C$3:$C1013,'S-BOM'!$B902)*'S-BOM'!$D902,""))</f>
        <v/>
      </c>
      <c r="G902" s="75" t="str">
        <f t="array" ref="G902">IFERROR(INDEX(#REF!,MATCH('S-BOM'!$C902,RM!$C$4:$C1003,0)),"")</f>
        <v/>
      </c>
      <c r="H902" s="75" t="str">
        <f t="shared" si="7"/>
        <v/>
      </c>
      <c r="I902" s="76"/>
    </row>
    <row r="903" spans="1:9" ht="15.75" customHeight="1">
      <c r="A903" s="69" t="str">
        <f t="shared" si="6"/>
        <v/>
      </c>
      <c r="B903" s="70"/>
      <c r="C903" s="70"/>
      <c r="D903" s="77"/>
      <c r="E903" s="73" t="str">
        <f>IF(B903="","",VLOOKUP(C903,RM!$C$4:$F1003,3,FALSE))</f>
        <v/>
      </c>
      <c r="F903" s="74" t="str">
        <f>IF(B903="","",IFERROR(SUMIFS(Issue!$D$3:$D1013,Issue!$C$3:$C1013,'S-BOM'!$B903)*'S-BOM'!$D903,""))</f>
        <v/>
      </c>
      <c r="G903" s="75" t="str">
        <f t="array" ref="G903">IFERROR(INDEX(#REF!,MATCH('S-BOM'!$C903,RM!$C$4:$C1003,0)),"")</f>
        <v/>
      </c>
      <c r="H903" s="75" t="str">
        <f t="shared" si="7"/>
        <v/>
      </c>
      <c r="I903" s="76"/>
    </row>
    <row r="904" spans="1:9" ht="15.75" customHeight="1">
      <c r="A904" s="69" t="str">
        <f t="shared" si="6"/>
        <v/>
      </c>
      <c r="B904" s="70"/>
      <c r="C904" s="70"/>
      <c r="D904" s="77"/>
      <c r="E904" s="73" t="str">
        <f>IF(B904="","",VLOOKUP(C904,RM!$C$4:$F1003,3,FALSE))</f>
        <v/>
      </c>
      <c r="F904" s="74" t="str">
        <f>IF(B904="","",IFERROR(SUMIFS(Issue!$D$3:$D1013,Issue!$C$3:$C1013,'S-BOM'!$B904)*'S-BOM'!$D904,""))</f>
        <v/>
      </c>
      <c r="G904" s="75" t="str">
        <f t="array" ref="G904">IFERROR(INDEX(#REF!,MATCH('S-BOM'!$C904,RM!$C$4:$C1003,0)),"")</f>
        <v/>
      </c>
      <c r="H904" s="75" t="str">
        <f t="shared" si="7"/>
        <v/>
      </c>
      <c r="I904" s="76"/>
    </row>
    <row r="905" spans="1:9" ht="15.75" customHeight="1">
      <c r="A905" s="69" t="str">
        <f t="shared" si="6"/>
        <v/>
      </c>
      <c r="B905" s="70"/>
      <c r="C905" s="70"/>
      <c r="D905" s="77"/>
      <c r="E905" s="73" t="str">
        <f>IF(B905="","",VLOOKUP(C905,RM!$C$4:$F1003,3,FALSE))</f>
        <v/>
      </c>
      <c r="F905" s="74" t="str">
        <f>IF(B905="","",IFERROR(SUMIFS(Issue!$D$3:$D1013,Issue!$C$3:$C1013,'S-BOM'!$B905)*'S-BOM'!$D905,""))</f>
        <v/>
      </c>
      <c r="G905" s="75" t="str">
        <f t="array" ref="G905">IFERROR(INDEX(#REF!,MATCH('S-BOM'!$C905,RM!$C$4:$C1003,0)),"")</f>
        <v/>
      </c>
      <c r="H905" s="75" t="str">
        <f t="shared" si="7"/>
        <v/>
      </c>
      <c r="I905" s="76"/>
    </row>
    <row r="906" spans="1:9" ht="15.75" customHeight="1">
      <c r="A906" s="69" t="str">
        <f t="shared" si="6"/>
        <v/>
      </c>
      <c r="B906" s="70"/>
      <c r="C906" s="70"/>
      <c r="D906" s="77"/>
      <c r="E906" s="73" t="str">
        <f>IF(B906="","",VLOOKUP(C906,RM!$C$4:$F1003,3,FALSE))</f>
        <v/>
      </c>
      <c r="F906" s="74" t="str">
        <f>IF(B906="","",IFERROR(SUMIFS(Issue!$D$3:$D1013,Issue!$C$3:$C1013,'S-BOM'!$B906)*'S-BOM'!$D906,""))</f>
        <v/>
      </c>
      <c r="G906" s="75" t="str">
        <f t="array" ref="G906">IFERROR(INDEX(#REF!,MATCH('S-BOM'!$C906,RM!$C$4:$C1003,0)),"")</f>
        <v/>
      </c>
      <c r="H906" s="75" t="str">
        <f t="shared" si="7"/>
        <v/>
      </c>
      <c r="I906" s="76"/>
    </row>
    <row r="907" spans="1:9" ht="15.75" customHeight="1">
      <c r="A907" s="69" t="str">
        <f t="shared" si="6"/>
        <v/>
      </c>
      <c r="B907" s="70"/>
      <c r="C907" s="70"/>
      <c r="D907" s="77"/>
      <c r="E907" s="73" t="str">
        <f>IF(B907="","",VLOOKUP(C907,RM!$C$4:$F1003,3,FALSE))</f>
        <v/>
      </c>
      <c r="F907" s="74" t="str">
        <f>IF(B907="","",IFERROR(SUMIFS(Issue!$D$3:$D1013,Issue!$C$3:$C1013,'S-BOM'!$B907)*'S-BOM'!$D907,""))</f>
        <v/>
      </c>
      <c r="G907" s="75" t="str">
        <f t="array" ref="G907">IFERROR(INDEX(#REF!,MATCH('S-BOM'!$C907,RM!$C$4:$C1003,0)),"")</f>
        <v/>
      </c>
      <c r="H907" s="75" t="str">
        <f t="shared" si="7"/>
        <v/>
      </c>
      <c r="I907" s="76"/>
    </row>
    <row r="908" spans="1:9" ht="15.75" customHeight="1">
      <c r="A908" s="69" t="str">
        <f t="shared" si="6"/>
        <v/>
      </c>
      <c r="B908" s="70"/>
      <c r="C908" s="70"/>
      <c r="D908" s="77"/>
      <c r="E908" s="73" t="str">
        <f>IF(B908="","",VLOOKUP(C908,RM!$C$4:$F1003,3,FALSE))</f>
        <v/>
      </c>
      <c r="F908" s="74" t="str">
        <f>IF(B908="","",IFERROR(SUMIFS(Issue!$D$3:$D1013,Issue!$C$3:$C1013,'S-BOM'!$B908)*'S-BOM'!$D908,""))</f>
        <v/>
      </c>
      <c r="G908" s="75" t="str">
        <f t="array" ref="G908">IFERROR(INDEX(#REF!,MATCH('S-BOM'!$C908,RM!$C$4:$C1003,0)),"")</f>
        <v/>
      </c>
      <c r="H908" s="75" t="str">
        <f t="shared" si="7"/>
        <v/>
      </c>
      <c r="I908" s="76"/>
    </row>
    <row r="909" spans="1:9" ht="15.75" customHeight="1">
      <c r="A909" s="69" t="str">
        <f t="shared" si="6"/>
        <v/>
      </c>
      <c r="B909" s="70"/>
      <c r="C909" s="70"/>
      <c r="D909" s="77"/>
      <c r="E909" s="73" t="str">
        <f>IF(B909="","",VLOOKUP(C909,RM!$C$4:$F1003,3,FALSE))</f>
        <v/>
      </c>
      <c r="F909" s="74" t="str">
        <f>IF(B909="","",IFERROR(SUMIFS(Issue!$D$3:$D1013,Issue!$C$3:$C1013,'S-BOM'!$B909)*'S-BOM'!$D909,""))</f>
        <v/>
      </c>
      <c r="G909" s="75" t="str">
        <f t="array" ref="G909">IFERROR(INDEX(#REF!,MATCH('S-BOM'!$C909,RM!$C$4:$C1003,0)),"")</f>
        <v/>
      </c>
      <c r="H909" s="75" t="str">
        <f t="shared" si="7"/>
        <v/>
      </c>
      <c r="I909" s="76"/>
    </row>
    <row r="910" spans="1:9" ht="15.75" customHeight="1">
      <c r="A910" s="69" t="str">
        <f t="shared" si="6"/>
        <v/>
      </c>
      <c r="B910" s="70"/>
      <c r="C910" s="70"/>
      <c r="D910" s="77"/>
      <c r="E910" s="73" t="str">
        <f>IF(B910="","",VLOOKUP(C910,RM!$C$4:$F1003,3,FALSE))</f>
        <v/>
      </c>
      <c r="F910" s="74" t="str">
        <f>IF(B910="","",IFERROR(SUMIFS(Issue!$D$3:$D1013,Issue!$C$3:$C1013,'S-BOM'!$B910)*'S-BOM'!$D910,""))</f>
        <v/>
      </c>
      <c r="G910" s="75" t="str">
        <f t="array" ref="G910">IFERROR(INDEX(#REF!,MATCH('S-BOM'!$C910,RM!$C$4:$C1003,0)),"")</f>
        <v/>
      </c>
      <c r="H910" s="75" t="str">
        <f t="shared" si="7"/>
        <v/>
      </c>
      <c r="I910" s="76"/>
    </row>
    <row r="911" spans="1:9" ht="15.75" customHeight="1">
      <c r="A911" s="69" t="str">
        <f t="shared" si="6"/>
        <v/>
      </c>
      <c r="B911" s="70"/>
      <c r="C911" s="70"/>
      <c r="D911" s="77"/>
      <c r="E911" s="73" t="str">
        <f>IF(B911="","",VLOOKUP(C911,RM!$C$4:$F1003,3,FALSE))</f>
        <v/>
      </c>
      <c r="F911" s="74" t="str">
        <f>IF(B911="","",IFERROR(SUMIFS(Issue!$D$3:$D1013,Issue!$C$3:$C1013,'S-BOM'!$B911)*'S-BOM'!$D911,""))</f>
        <v/>
      </c>
      <c r="G911" s="75" t="str">
        <f t="array" ref="G911">IFERROR(INDEX(#REF!,MATCH('S-BOM'!$C911,RM!$C$4:$C1003,0)),"")</f>
        <v/>
      </c>
      <c r="H911" s="75" t="str">
        <f t="shared" si="7"/>
        <v/>
      </c>
      <c r="I911" s="76"/>
    </row>
    <row r="912" spans="1:9" ht="15.75" customHeight="1">
      <c r="A912" s="69" t="str">
        <f t="shared" si="6"/>
        <v/>
      </c>
      <c r="B912" s="70"/>
      <c r="C912" s="70"/>
      <c r="D912" s="77"/>
      <c r="E912" s="73" t="str">
        <f>IF(B912="","",VLOOKUP(C912,RM!$C$4:$F1003,3,FALSE))</f>
        <v/>
      </c>
      <c r="F912" s="74" t="str">
        <f>IF(B912="","",IFERROR(SUMIFS(Issue!$D$3:$D1013,Issue!$C$3:$C1013,'S-BOM'!$B912)*'S-BOM'!$D912,""))</f>
        <v/>
      </c>
      <c r="G912" s="75" t="str">
        <f t="array" ref="G912">IFERROR(INDEX(#REF!,MATCH('S-BOM'!$C912,RM!$C$4:$C1003,0)),"")</f>
        <v/>
      </c>
      <c r="H912" s="75" t="str">
        <f t="shared" si="7"/>
        <v/>
      </c>
      <c r="I912" s="76"/>
    </row>
    <row r="913" spans="1:9" ht="15.75" customHeight="1">
      <c r="A913" s="69" t="str">
        <f t="shared" si="6"/>
        <v/>
      </c>
      <c r="B913" s="70"/>
      <c r="C913" s="70"/>
      <c r="D913" s="77"/>
      <c r="E913" s="73" t="str">
        <f>IF(B913="","",VLOOKUP(C913,RM!$C$4:$F1003,3,FALSE))</f>
        <v/>
      </c>
      <c r="F913" s="74" t="str">
        <f>IF(B913="","",IFERROR(SUMIFS(Issue!$D$3:$D1013,Issue!$C$3:$C1013,'S-BOM'!$B913)*'S-BOM'!$D913,""))</f>
        <v/>
      </c>
      <c r="G913" s="75" t="str">
        <f t="array" ref="G913">IFERROR(INDEX(#REF!,MATCH('S-BOM'!$C913,RM!$C$4:$C1003,0)),"")</f>
        <v/>
      </c>
      <c r="H913" s="75" t="str">
        <f t="shared" si="7"/>
        <v/>
      </c>
      <c r="I913" s="76"/>
    </row>
    <row r="914" spans="1:9" ht="15.75" customHeight="1">
      <c r="A914" s="69" t="str">
        <f t="shared" si="6"/>
        <v/>
      </c>
      <c r="B914" s="70"/>
      <c r="C914" s="70"/>
      <c r="D914" s="77"/>
      <c r="E914" s="73" t="str">
        <f>IF(B914="","",VLOOKUP(C914,RM!$C$4:$F1003,3,FALSE))</f>
        <v/>
      </c>
      <c r="F914" s="74" t="str">
        <f>IF(B914="","",IFERROR(SUMIFS(Issue!$D$3:$D1013,Issue!$C$3:$C1013,'S-BOM'!$B914)*'S-BOM'!$D914,""))</f>
        <v/>
      </c>
      <c r="G914" s="75" t="str">
        <f t="array" ref="G914">IFERROR(INDEX(#REF!,MATCH('S-BOM'!$C914,RM!$C$4:$C1003,0)),"")</f>
        <v/>
      </c>
      <c r="H914" s="75" t="str">
        <f t="shared" si="7"/>
        <v/>
      </c>
      <c r="I914" s="76"/>
    </row>
    <row r="915" spans="1:9" ht="15.75" customHeight="1">
      <c r="A915" s="69" t="str">
        <f t="shared" si="6"/>
        <v/>
      </c>
      <c r="B915" s="70"/>
      <c r="C915" s="70"/>
      <c r="D915" s="77"/>
      <c r="E915" s="73" t="str">
        <f>IF(B915="","",VLOOKUP(C915,RM!$C$4:$F1003,3,FALSE))</f>
        <v/>
      </c>
      <c r="F915" s="74" t="str">
        <f>IF(B915="","",IFERROR(SUMIFS(Issue!$D$3:$D1013,Issue!$C$3:$C1013,'S-BOM'!$B915)*'S-BOM'!$D915,""))</f>
        <v/>
      </c>
      <c r="G915" s="75" t="str">
        <f t="array" ref="G915">IFERROR(INDEX(#REF!,MATCH('S-BOM'!$C915,RM!$C$4:$C1003,0)),"")</f>
        <v/>
      </c>
      <c r="H915" s="75" t="str">
        <f t="shared" si="7"/>
        <v/>
      </c>
      <c r="I915" s="76"/>
    </row>
    <row r="916" spans="1:9" ht="15.75" customHeight="1">
      <c r="A916" s="69" t="str">
        <f t="shared" si="6"/>
        <v/>
      </c>
      <c r="B916" s="70"/>
      <c r="C916" s="70"/>
      <c r="D916" s="77"/>
      <c r="E916" s="73" t="str">
        <f>IF(B916="","",VLOOKUP(C916,RM!$C$4:$F1003,3,FALSE))</f>
        <v/>
      </c>
      <c r="F916" s="74" t="str">
        <f>IF(B916="","",IFERROR(SUMIFS(Issue!$D$3:$D1013,Issue!$C$3:$C1013,'S-BOM'!$B916)*'S-BOM'!$D916,""))</f>
        <v/>
      </c>
      <c r="G916" s="75" t="str">
        <f t="array" ref="G916">IFERROR(INDEX(#REF!,MATCH('S-BOM'!$C916,RM!$C$4:$C1003,0)),"")</f>
        <v/>
      </c>
      <c r="H916" s="75" t="str">
        <f t="shared" si="7"/>
        <v/>
      </c>
      <c r="I916" s="76"/>
    </row>
    <row r="917" spans="1:9" ht="15.75" customHeight="1">
      <c r="A917" s="69" t="str">
        <f t="shared" si="6"/>
        <v/>
      </c>
      <c r="B917" s="70"/>
      <c r="C917" s="70"/>
      <c r="D917" s="77"/>
      <c r="E917" s="73" t="str">
        <f>IF(B917="","",VLOOKUP(C917,RM!$C$4:$F1003,3,FALSE))</f>
        <v/>
      </c>
      <c r="F917" s="74" t="str">
        <f>IF(B917="","",IFERROR(SUMIFS(Issue!$D$3:$D1013,Issue!$C$3:$C1013,'S-BOM'!$B917)*'S-BOM'!$D917,""))</f>
        <v/>
      </c>
      <c r="G917" s="75" t="str">
        <f t="array" ref="G917">IFERROR(INDEX(#REF!,MATCH('S-BOM'!$C917,RM!$C$4:$C1003,0)),"")</f>
        <v/>
      </c>
      <c r="H917" s="75" t="str">
        <f t="shared" si="7"/>
        <v/>
      </c>
      <c r="I917" s="76"/>
    </row>
    <row r="918" spans="1:9" ht="15.75" customHeight="1">
      <c r="A918" s="69" t="str">
        <f t="shared" si="6"/>
        <v/>
      </c>
      <c r="B918" s="70"/>
      <c r="C918" s="70"/>
      <c r="D918" s="77"/>
      <c r="E918" s="73" t="str">
        <f>IF(B918="","",VLOOKUP(C918,RM!$C$4:$F1003,3,FALSE))</f>
        <v/>
      </c>
      <c r="F918" s="74" t="str">
        <f>IF(B918="","",IFERROR(SUMIFS(Issue!$D$3:$D1013,Issue!$C$3:$C1013,'S-BOM'!$B918)*'S-BOM'!$D918,""))</f>
        <v/>
      </c>
      <c r="G918" s="75" t="str">
        <f t="array" ref="G918">IFERROR(INDEX(#REF!,MATCH('S-BOM'!$C918,RM!$C$4:$C1003,0)),"")</f>
        <v/>
      </c>
      <c r="H918" s="75" t="str">
        <f t="shared" si="7"/>
        <v/>
      </c>
      <c r="I918" s="76"/>
    </row>
    <row r="919" spans="1:9" ht="15.75" customHeight="1">
      <c r="A919" s="69" t="str">
        <f t="shared" si="6"/>
        <v/>
      </c>
      <c r="B919" s="70"/>
      <c r="C919" s="70"/>
      <c r="D919" s="77"/>
      <c r="E919" s="73" t="str">
        <f>IF(B919="","",VLOOKUP(C919,RM!$C$4:$F1003,3,FALSE))</f>
        <v/>
      </c>
      <c r="F919" s="74" t="str">
        <f>IF(B919="","",IFERROR(SUMIFS(Issue!$D$3:$D1013,Issue!$C$3:$C1013,'S-BOM'!$B919)*'S-BOM'!$D919,""))</f>
        <v/>
      </c>
      <c r="G919" s="75" t="str">
        <f t="array" ref="G919">IFERROR(INDEX(#REF!,MATCH('S-BOM'!$C919,RM!$C$4:$C1003,0)),"")</f>
        <v/>
      </c>
      <c r="H919" s="75" t="str">
        <f t="shared" si="7"/>
        <v/>
      </c>
      <c r="I919" s="76"/>
    </row>
    <row r="920" spans="1:9" ht="15.75" customHeight="1">
      <c r="A920" s="69" t="str">
        <f t="shared" si="6"/>
        <v/>
      </c>
      <c r="B920" s="70"/>
      <c r="C920" s="70"/>
      <c r="D920" s="77"/>
      <c r="E920" s="73" t="str">
        <f>IF(B920="","",VLOOKUP(C920,RM!$C$4:$F1003,3,FALSE))</f>
        <v/>
      </c>
      <c r="F920" s="74" t="str">
        <f>IF(B920="","",IFERROR(SUMIFS(Issue!$D$3:$D1013,Issue!$C$3:$C1013,'S-BOM'!$B920)*'S-BOM'!$D920,""))</f>
        <v/>
      </c>
      <c r="G920" s="75" t="str">
        <f t="array" ref="G920">IFERROR(INDEX(#REF!,MATCH('S-BOM'!$C920,RM!$C$4:$C1003,0)),"")</f>
        <v/>
      </c>
      <c r="H920" s="75" t="str">
        <f t="shared" si="7"/>
        <v/>
      </c>
      <c r="I920" s="76"/>
    </row>
    <row r="921" spans="1:9" ht="15.75" customHeight="1">
      <c r="A921" s="69" t="str">
        <f t="shared" si="6"/>
        <v/>
      </c>
      <c r="B921" s="70"/>
      <c r="C921" s="70"/>
      <c r="D921" s="77"/>
      <c r="E921" s="73" t="str">
        <f>IF(B921="","",VLOOKUP(C921,RM!$C$4:$F1003,3,FALSE))</f>
        <v/>
      </c>
      <c r="F921" s="74" t="str">
        <f>IF(B921="","",IFERROR(SUMIFS(Issue!$D$3:$D1013,Issue!$C$3:$C1013,'S-BOM'!$B921)*'S-BOM'!$D921,""))</f>
        <v/>
      </c>
      <c r="G921" s="75" t="str">
        <f t="array" ref="G921">IFERROR(INDEX(#REF!,MATCH('S-BOM'!$C921,RM!$C$4:$C1003,0)),"")</f>
        <v/>
      </c>
      <c r="H921" s="75" t="str">
        <f t="shared" si="7"/>
        <v/>
      </c>
      <c r="I921" s="76"/>
    </row>
    <row r="922" spans="1:9" ht="15.75" customHeight="1">
      <c r="A922" s="69" t="str">
        <f t="shared" si="6"/>
        <v/>
      </c>
      <c r="B922" s="70"/>
      <c r="C922" s="70"/>
      <c r="D922" s="77"/>
      <c r="E922" s="73" t="str">
        <f>IF(B922="","",VLOOKUP(C922,RM!$C$4:$F1003,3,FALSE))</f>
        <v/>
      </c>
      <c r="F922" s="74" t="str">
        <f>IF(B922="","",IFERROR(SUMIFS(Issue!$D$3:$D1013,Issue!$C$3:$C1013,'S-BOM'!$B922)*'S-BOM'!$D922,""))</f>
        <v/>
      </c>
      <c r="G922" s="75" t="str">
        <f t="array" ref="G922">IFERROR(INDEX(#REF!,MATCH('S-BOM'!$C922,RM!$C$4:$C1003,0)),"")</f>
        <v/>
      </c>
      <c r="H922" s="75" t="str">
        <f t="shared" si="7"/>
        <v/>
      </c>
      <c r="I922" s="76"/>
    </row>
    <row r="923" spans="1:9" ht="15.75" customHeight="1">
      <c r="A923" s="69" t="str">
        <f t="shared" si="6"/>
        <v/>
      </c>
      <c r="B923" s="70"/>
      <c r="C923" s="70"/>
      <c r="D923" s="77"/>
      <c r="E923" s="73" t="str">
        <f>IF(B923="","",VLOOKUP(C923,RM!$C$4:$F1003,3,FALSE))</f>
        <v/>
      </c>
      <c r="F923" s="74" t="str">
        <f>IF(B923="","",IFERROR(SUMIFS(Issue!$D$3:$D1013,Issue!$C$3:$C1013,'S-BOM'!$B923)*'S-BOM'!$D923,""))</f>
        <v/>
      </c>
      <c r="G923" s="75" t="str">
        <f t="array" ref="G923">IFERROR(INDEX(#REF!,MATCH('S-BOM'!$C923,RM!$C$4:$C1003,0)),"")</f>
        <v/>
      </c>
      <c r="H923" s="75" t="str">
        <f t="shared" si="7"/>
        <v/>
      </c>
      <c r="I923" s="76"/>
    </row>
    <row r="924" spans="1:9" ht="15.75" customHeight="1">
      <c r="A924" s="69" t="str">
        <f t="shared" si="6"/>
        <v/>
      </c>
      <c r="B924" s="70"/>
      <c r="C924" s="70"/>
      <c r="D924" s="77"/>
      <c r="E924" s="73" t="str">
        <f>IF(B924="","",VLOOKUP(C924,RM!$C$4:$F1003,3,FALSE))</f>
        <v/>
      </c>
      <c r="F924" s="74" t="str">
        <f>IF(B924="","",IFERROR(SUMIFS(Issue!$D$3:$D1013,Issue!$C$3:$C1013,'S-BOM'!$B924)*'S-BOM'!$D924,""))</f>
        <v/>
      </c>
      <c r="G924" s="75" t="str">
        <f t="array" ref="G924">IFERROR(INDEX(#REF!,MATCH('S-BOM'!$C924,RM!$C$4:$C1003,0)),"")</f>
        <v/>
      </c>
      <c r="H924" s="75" t="str">
        <f t="shared" si="7"/>
        <v/>
      </c>
      <c r="I924" s="76"/>
    </row>
    <row r="925" spans="1:9" ht="15.75" customHeight="1">
      <c r="A925" s="69" t="str">
        <f t="shared" si="6"/>
        <v/>
      </c>
      <c r="B925" s="70"/>
      <c r="C925" s="70"/>
      <c r="D925" s="77"/>
      <c r="E925" s="73" t="str">
        <f>IF(B925="","",VLOOKUP(C925,RM!$C$4:$F1003,3,FALSE))</f>
        <v/>
      </c>
      <c r="F925" s="74" t="str">
        <f>IF(B925="","",IFERROR(SUMIFS(Issue!$D$3:$D1013,Issue!$C$3:$C1013,'S-BOM'!$B925)*'S-BOM'!$D925,""))</f>
        <v/>
      </c>
      <c r="G925" s="75" t="str">
        <f t="array" ref="G925">IFERROR(INDEX(#REF!,MATCH('S-BOM'!$C925,RM!$C$4:$C1003,0)),"")</f>
        <v/>
      </c>
      <c r="H925" s="75" t="str">
        <f t="shared" si="7"/>
        <v/>
      </c>
      <c r="I925" s="76"/>
    </row>
    <row r="926" spans="1:9" ht="15.75" customHeight="1">
      <c r="A926" s="69" t="str">
        <f t="shared" si="6"/>
        <v/>
      </c>
      <c r="B926" s="70"/>
      <c r="C926" s="70"/>
      <c r="D926" s="77"/>
      <c r="E926" s="73" t="str">
        <f>IF(B926="","",VLOOKUP(C926,RM!$C$4:$F1003,3,FALSE))</f>
        <v/>
      </c>
      <c r="F926" s="74" t="str">
        <f>IF(B926="","",IFERROR(SUMIFS(Issue!$D$3:$D1013,Issue!$C$3:$C1013,'S-BOM'!$B926)*'S-BOM'!$D926,""))</f>
        <v/>
      </c>
      <c r="G926" s="75" t="str">
        <f t="array" ref="G926">IFERROR(INDEX(#REF!,MATCH('S-BOM'!$C926,RM!$C$4:$C1003,0)),"")</f>
        <v/>
      </c>
      <c r="H926" s="75" t="str">
        <f t="shared" si="7"/>
        <v/>
      </c>
      <c r="I926" s="76"/>
    </row>
    <row r="927" spans="1:9" ht="15.75" customHeight="1">
      <c r="A927" s="69" t="str">
        <f t="shared" si="6"/>
        <v/>
      </c>
      <c r="B927" s="70"/>
      <c r="C927" s="70"/>
      <c r="D927" s="77"/>
      <c r="E927" s="73" t="str">
        <f>IF(B927="","",VLOOKUP(C927,RM!$C$4:$F1003,3,FALSE))</f>
        <v/>
      </c>
      <c r="F927" s="74" t="str">
        <f>IF(B927="","",IFERROR(SUMIFS(Issue!$D$3:$D1013,Issue!$C$3:$C1013,'S-BOM'!$B927)*'S-BOM'!$D927,""))</f>
        <v/>
      </c>
      <c r="G927" s="75" t="str">
        <f t="array" ref="G927">IFERROR(INDEX(#REF!,MATCH('S-BOM'!$C927,RM!$C$4:$C1003,0)),"")</f>
        <v/>
      </c>
      <c r="H927" s="75" t="str">
        <f t="shared" si="7"/>
        <v/>
      </c>
      <c r="I927" s="76"/>
    </row>
    <row r="928" spans="1:9" ht="15.75" customHeight="1">
      <c r="A928" s="69" t="str">
        <f t="shared" si="6"/>
        <v/>
      </c>
      <c r="B928" s="70"/>
      <c r="C928" s="70"/>
      <c r="D928" s="77"/>
      <c r="E928" s="73" t="str">
        <f>IF(B928="","",VLOOKUP(C928,RM!$C$4:$F1003,3,FALSE))</f>
        <v/>
      </c>
      <c r="F928" s="74" t="str">
        <f>IF(B928="","",IFERROR(SUMIFS(Issue!$D$3:$D1013,Issue!$C$3:$C1013,'S-BOM'!$B928)*'S-BOM'!$D928,""))</f>
        <v/>
      </c>
      <c r="G928" s="75" t="str">
        <f t="array" ref="G928">IFERROR(INDEX(#REF!,MATCH('S-BOM'!$C928,RM!$C$4:$C1003,0)),"")</f>
        <v/>
      </c>
      <c r="H928" s="75" t="str">
        <f t="shared" si="7"/>
        <v/>
      </c>
      <c r="I928" s="76"/>
    </row>
    <row r="929" spans="1:9" ht="15.75" customHeight="1">
      <c r="A929" s="69" t="str">
        <f t="shared" si="6"/>
        <v/>
      </c>
      <c r="B929" s="70"/>
      <c r="C929" s="70"/>
      <c r="D929" s="77"/>
      <c r="E929" s="73" t="str">
        <f>IF(B929="","",VLOOKUP(C929,RM!$C$4:$F1003,3,FALSE))</f>
        <v/>
      </c>
      <c r="F929" s="74" t="str">
        <f>IF(B929="","",IFERROR(SUMIFS(Issue!$D$3:$D1013,Issue!$C$3:$C1013,'S-BOM'!$B929)*'S-BOM'!$D929,""))</f>
        <v/>
      </c>
      <c r="G929" s="75" t="str">
        <f t="array" ref="G929">IFERROR(INDEX(#REF!,MATCH('S-BOM'!$C929,RM!$C$4:$C1003,0)),"")</f>
        <v/>
      </c>
      <c r="H929" s="75" t="str">
        <f t="shared" si="7"/>
        <v/>
      </c>
      <c r="I929" s="76"/>
    </row>
    <row r="930" spans="1:9" ht="15.75" customHeight="1">
      <c r="A930" s="69" t="str">
        <f t="shared" si="6"/>
        <v/>
      </c>
      <c r="B930" s="70"/>
      <c r="C930" s="70"/>
      <c r="D930" s="77"/>
      <c r="E930" s="73" t="str">
        <f>IF(B930="","",VLOOKUP(C930,RM!$C$4:$F1003,3,FALSE))</f>
        <v/>
      </c>
      <c r="F930" s="74" t="str">
        <f>IF(B930="","",IFERROR(SUMIFS(Issue!$D$3:$D1013,Issue!$C$3:$C1013,'S-BOM'!$B930)*'S-BOM'!$D930,""))</f>
        <v/>
      </c>
      <c r="G930" s="75" t="str">
        <f t="array" ref="G930">IFERROR(INDEX(#REF!,MATCH('S-BOM'!$C930,RM!$C$4:$C1003,0)),"")</f>
        <v/>
      </c>
      <c r="H930" s="75" t="str">
        <f t="shared" si="7"/>
        <v/>
      </c>
      <c r="I930" s="76"/>
    </row>
    <row r="931" spans="1:9" ht="15.75" customHeight="1">
      <c r="A931" s="69" t="str">
        <f t="shared" si="6"/>
        <v/>
      </c>
      <c r="B931" s="70"/>
      <c r="C931" s="70"/>
      <c r="D931" s="77"/>
      <c r="E931" s="73" t="str">
        <f>IF(B931="","",VLOOKUP(C931,RM!$C$4:$F1003,3,FALSE))</f>
        <v/>
      </c>
      <c r="F931" s="74" t="str">
        <f>IF(B931="","",IFERROR(SUMIFS(Issue!$D$3:$D1013,Issue!$C$3:$C1013,'S-BOM'!$B931)*'S-BOM'!$D931,""))</f>
        <v/>
      </c>
      <c r="G931" s="75" t="str">
        <f t="array" ref="G931">IFERROR(INDEX(#REF!,MATCH('S-BOM'!$C931,RM!$C$4:$C1003,0)),"")</f>
        <v/>
      </c>
      <c r="H931" s="75" t="str">
        <f t="shared" si="7"/>
        <v/>
      </c>
      <c r="I931" s="76"/>
    </row>
    <row r="932" spans="1:9" ht="15.75" customHeight="1">
      <c r="A932" s="69" t="str">
        <f t="shared" si="6"/>
        <v/>
      </c>
      <c r="B932" s="70"/>
      <c r="C932" s="70"/>
      <c r="D932" s="77"/>
      <c r="E932" s="73" t="str">
        <f>IF(B932="","",VLOOKUP(C932,RM!$C$4:$F1003,3,FALSE))</f>
        <v/>
      </c>
      <c r="F932" s="74" t="str">
        <f>IF(B932="","",IFERROR(SUMIFS(Issue!$D$3:$D1013,Issue!$C$3:$C1013,'S-BOM'!$B932)*'S-BOM'!$D932,""))</f>
        <v/>
      </c>
      <c r="G932" s="75" t="str">
        <f t="array" ref="G932">IFERROR(INDEX(#REF!,MATCH('S-BOM'!$C932,RM!$C$4:$C1003,0)),"")</f>
        <v/>
      </c>
      <c r="H932" s="75" t="str">
        <f t="shared" si="7"/>
        <v/>
      </c>
      <c r="I932" s="76"/>
    </row>
    <row r="933" spans="1:9" ht="15.75" customHeight="1">
      <c r="A933" s="69" t="str">
        <f t="shared" si="6"/>
        <v/>
      </c>
      <c r="B933" s="70"/>
      <c r="C933" s="70"/>
      <c r="D933" s="77"/>
      <c r="E933" s="73" t="str">
        <f>IF(B933="","",VLOOKUP(C933,RM!$C$4:$F1003,3,FALSE))</f>
        <v/>
      </c>
      <c r="F933" s="74" t="str">
        <f>IF(B933="","",IFERROR(SUMIFS(Issue!$D$3:$D1013,Issue!$C$3:$C1013,'S-BOM'!$B933)*'S-BOM'!$D933,""))</f>
        <v/>
      </c>
      <c r="G933" s="75" t="str">
        <f t="array" ref="G933">IFERROR(INDEX(#REF!,MATCH('S-BOM'!$C933,RM!$C$4:$C1003,0)),"")</f>
        <v/>
      </c>
      <c r="H933" s="75" t="str">
        <f t="shared" si="7"/>
        <v/>
      </c>
      <c r="I933" s="76"/>
    </row>
    <row r="934" spans="1:9" ht="15.75" customHeight="1">
      <c r="A934" s="69" t="str">
        <f t="shared" si="6"/>
        <v/>
      </c>
      <c r="B934" s="70"/>
      <c r="C934" s="70"/>
      <c r="D934" s="77"/>
      <c r="E934" s="73" t="str">
        <f>IF(B934="","",VLOOKUP(C934,RM!$C$4:$F1003,3,FALSE))</f>
        <v/>
      </c>
      <c r="F934" s="74" t="str">
        <f>IF(B934="","",IFERROR(SUMIFS(Issue!$D$3:$D1013,Issue!$C$3:$C1013,'S-BOM'!$B934)*'S-BOM'!$D934,""))</f>
        <v/>
      </c>
      <c r="G934" s="75" t="str">
        <f t="array" ref="G934">IFERROR(INDEX(#REF!,MATCH('S-BOM'!$C934,RM!$C$4:$C1003,0)),"")</f>
        <v/>
      </c>
      <c r="H934" s="75" t="str">
        <f t="shared" si="7"/>
        <v/>
      </c>
      <c r="I934" s="76"/>
    </row>
    <row r="935" spans="1:9" ht="15.75" customHeight="1">
      <c r="A935" s="69" t="str">
        <f t="shared" si="6"/>
        <v/>
      </c>
      <c r="B935" s="70"/>
      <c r="C935" s="70"/>
      <c r="D935" s="77"/>
      <c r="E935" s="73" t="str">
        <f>IF(B935="","",VLOOKUP(C935,RM!$C$4:$F1003,3,FALSE))</f>
        <v/>
      </c>
      <c r="F935" s="74" t="str">
        <f>IF(B935="","",IFERROR(SUMIFS(Issue!$D$3:$D1013,Issue!$C$3:$C1013,'S-BOM'!$B935)*'S-BOM'!$D935,""))</f>
        <v/>
      </c>
      <c r="G935" s="75" t="str">
        <f t="array" ref="G935">IFERROR(INDEX(#REF!,MATCH('S-BOM'!$C935,RM!$C$4:$C1003,0)),"")</f>
        <v/>
      </c>
      <c r="H935" s="75" t="str">
        <f t="shared" si="7"/>
        <v/>
      </c>
      <c r="I935" s="76"/>
    </row>
    <row r="936" spans="1:9" ht="15.75" customHeight="1">
      <c r="A936" s="69" t="str">
        <f t="shared" si="6"/>
        <v/>
      </c>
      <c r="B936" s="70"/>
      <c r="C936" s="70"/>
      <c r="D936" s="77"/>
      <c r="E936" s="73" t="str">
        <f>IF(B936="","",VLOOKUP(C936,RM!$C$4:$F1003,3,FALSE))</f>
        <v/>
      </c>
      <c r="F936" s="74" t="str">
        <f>IF(B936="","",IFERROR(SUMIFS(Issue!$D$3:$D1013,Issue!$C$3:$C1013,'S-BOM'!$B936)*'S-BOM'!$D936,""))</f>
        <v/>
      </c>
      <c r="G936" s="75" t="str">
        <f t="array" ref="G936">IFERROR(INDEX(#REF!,MATCH('S-BOM'!$C936,RM!$C$4:$C1003,0)),"")</f>
        <v/>
      </c>
      <c r="H936" s="75" t="str">
        <f t="shared" si="7"/>
        <v/>
      </c>
      <c r="I936" s="76"/>
    </row>
    <row r="937" spans="1:9" ht="15.75" customHeight="1">
      <c r="A937" s="69" t="str">
        <f t="shared" si="6"/>
        <v/>
      </c>
      <c r="B937" s="70"/>
      <c r="C937" s="70"/>
      <c r="D937" s="77"/>
      <c r="E937" s="73" t="str">
        <f>IF(B937="","",VLOOKUP(C937,RM!$C$4:$F1003,3,FALSE))</f>
        <v/>
      </c>
      <c r="F937" s="74" t="str">
        <f>IF(B937="","",IFERROR(SUMIFS(Issue!$D$3:$D1013,Issue!$C$3:$C1013,'S-BOM'!$B937)*'S-BOM'!$D937,""))</f>
        <v/>
      </c>
      <c r="G937" s="75" t="str">
        <f t="array" ref="G937">IFERROR(INDEX(#REF!,MATCH('S-BOM'!$C937,RM!$C$4:$C1003,0)),"")</f>
        <v/>
      </c>
      <c r="H937" s="75" t="str">
        <f t="shared" si="7"/>
        <v/>
      </c>
      <c r="I937" s="76"/>
    </row>
    <row r="938" spans="1:9" ht="15.75" customHeight="1">
      <c r="A938" s="69" t="str">
        <f t="shared" si="6"/>
        <v/>
      </c>
      <c r="B938" s="70"/>
      <c r="C938" s="70"/>
      <c r="D938" s="77"/>
      <c r="E938" s="73" t="str">
        <f>IF(B938="","",VLOOKUP(C938,RM!$C$4:$F1003,3,FALSE))</f>
        <v/>
      </c>
      <c r="F938" s="74" t="str">
        <f>IF(B938="","",IFERROR(SUMIFS(Issue!$D$3:$D1013,Issue!$C$3:$C1013,'S-BOM'!$B938)*'S-BOM'!$D938,""))</f>
        <v/>
      </c>
      <c r="G938" s="75" t="str">
        <f t="array" ref="G938">IFERROR(INDEX(#REF!,MATCH('S-BOM'!$C938,RM!$C$4:$C1003,0)),"")</f>
        <v/>
      </c>
      <c r="H938" s="75" t="str">
        <f t="shared" si="7"/>
        <v/>
      </c>
      <c r="I938" s="76"/>
    </row>
    <row r="939" spans="1:9" ht="15.75" customHeight="1">
      <c r="A939" s="69" t="str">
        <f t="shared" si="6"/>
        <v/>
      </c>
      <c r="B939" s="70"/>
      <c r="C939" s="70"/>
      <c r="D939" s="77"/>
      <c r="E939" s="73" t="str">
        <f>IF(B939="","",VLOOKUP(C939,RM!$C$4:$F1003,3,FALSE))</f>
        <v/>
      </c>
      <c r="F939" s="74" t="str">
        <f>IF(B939="","",IFERROR(SUMIFS(Issue!$D$3:$D1013,Issue!$C$3:$C1013,'S-BOM'!$B939)*'S-BOM'!$D939,""))</f>
        <v/>
      </c>
      <c r="G939" s="75" t="str">
        <f t="array" ref="G939">IFERROR(INDEX(#REF!,MATCH('S-BOM'!$C939,RM!$C$4:$C1003,0)),"")</f>
        <v/>
      </c>
      <c r="H939" s="75" t="str">
        <f t="shared" si="7"/>
        <v/>
      </c>
      <c r="I939" s="76"/>
    </row>
    <row r="940" spans="1:9" ht="15.75" customHeight="1">
      <c r="A940" s="69" t="str">
        <f t="shared" si="6"/>
        <v/>
      </c>
      <c r="B940" s="70"/>
      <c r="C940" s="70"/>
      <c r="D940" s="77"/>
      <c r="E940" s="73" t="str">
        <f>IF(B940="","",VLOOKUP(C940,RM!$C$4:$F1003,3,FALSE))</f>
        <v/>
      </c>
      <c r="F940" s="74" t="str">
        <f>IF(B940="","",IFERROR(SUMIFS(Issue!$D$3:$D1013,Issue!$C$3:$C1013,'S-BOM'!$B940)*'S-BOM'!$D940,""))</f>
        <v/>
      </c>
      <c r="G940" s="75" t="str">
        <f t="array" ref="G940">IFERROR(INDEX(#REF!,MATCH('S-BOM'!$C940,RM!$C$4:$C1003,0)),"")</f>
        <v/>
      </c>
      <c r="H940" s="75" t="str">
        <f t="shared" si="7"/>
        <v/>
      </c>
      <c r="I940" s="76"/>
    </row>
    <row r="941" spans="1:9" ht="15.75" customHeight="1">
      <c r="A941" s="69" t="str">
        <f t="shared" si="6"/>
        <v/>
      </c>
      <c r="B941" s="70"/>
      <c r="C941" s="70"/>
      <c r="D941" s="77"/>
      <c r="E941" s="73" t="str">
        <f>IF(B941="","",VLOOKUP(C941,RM!$C$4:$F1003,3,FALSE))</f>
        <v/>
      </c>
      <c r="F941" s="74" t="str">
        <f>IF(B941="","",IFERROR(SUMIFS(Issue!$D$3:$D1013,Issue!$C$3:$C1013,'S-BOM'!$B941)*'S-BOM'!$D941,""))</f>
        <v/>
      </c>
      <c r="G941" s="75" t="str">
        <f t="array" ref="G941">IFERROR(INDEX(#REF!,MATCH('S-BOM'!$C941,RM!$C$4:$C1003,0)),"")</f>
        <v/>
      </c>
      <c r="H941" s="75" t="str">
        <f t="shared" si="7"/>
        <v/>
      </c>
      <c r="I941" s="76"/>
    </row>
    <row r="942" spans="1:9" ht="15.75" customHeight="1">
      <c r="A942" s="69" t="str">
        <f t="shared" si="6"/>
        <v/>
      </c>
      <c r="B942" s="70"/>
      <c r="C942" s="70"/>
      <c r="D942" s="77"/>
      <c r="E942" s="73" t="str">
        <f>IF(B942="","",VLOOKUP(C942,RM!$C$4:$F1003,3,FALSE))</f>
        <v/>
      </c>
      <c r="F942" s="74" t="str">
        <f>IF(B942="","",IFERROR(SUMIFS(Issue!$D$3:$D1013,Issue!$C$3:$C1013,'S-BOM'!$B942)*'S-BOM'!$D942,""))</f>
        <v/>
      </c>
      <c r="G942" s="75" t="str">
        <f t="array" ref="G942">IFERROR(INDEX(#REF!,MATCH('S-BOM'!$C942,RM!$C$4:$C1003,0)),"")</f>
        <v/>
      </c>
      <c r="H942" s="75" t="str">
        <f t="shared" si="7"/>
        <v/>
      </c>
      <c r="I942" s="76"/>
    </row>
    <row r="943" spans="1:9" ht="15.75" customHeight="1">
      <c r="A943" s="69" t="str">
        <f t="shared" si="6"/>
        <v/>
      </c>
      <c r="B943" s="70"/>
      <c r="C943" s="70"/>
      <c r="D943" s="77"/>
      <c r="E943" s="73" t="str">
        <f>IF(B943="","",VLOOKUP(C943,RM!$C$4:$F1003,3,FALSE))</f>
        <v/>
      </c>
      <c r="F943" s="74" t="str">
        <f>IF(B943="","",IFERROR(SUMIFS(Issue!$D$3:$D1013,Issue!$C$3:$C1013,'S-BOM'!$B943)*'S-BOM'!$D943,""))</f>
        <v/>
      </c>
      <c r="G943" s="75" t="str">
        <f t="array" ref="G943">IFERROR(INDEX(#REF!,MATCH('S-BOM'!$C943,RM!$C$4:$C1003,0)),"")</f>
        <v/>
      </c>
      <c r="H943" s="75" t="str">
        <f t="shared" si="7"/>
        <v/>
      </c>
      <c r="I943" s="76"/>
    </row>
    <row r="944" spans="1:9" ht="15.75" customHeight="1">
      <c r="A944" s="69" t="str">
        <f t="shared" si="6"/>
        <v/>
      </c>
      <c r="B944" s="70"/>
      <c r="C944" s="70"/>
      <c r="D944" s="77"/>
      <c r="E944" s="73" t="str">
        <f>IF(B944="","",VLOOKUP(C944,RM!$C$4:$F1003,3,FALSE))</f>
        <v/>
      </c>
      <c r="F944" s="74" t="str">
        <f>IF(B944="","",IFERROR(SUMIFS(Issue!$D$3:$D1013,Issue!$C$3:$C1013,'S-BOM'!$B944)*'S-BOM'!$D944,""))</f>
        <v/>
      </c>
      <c r="G944" s="75" t="str">
        <f t="array" ref="G944">IFERROR(INDEX(#REF!,MATCH('S-BOM'!$C944,RM!$C$4:$C1003,0)),"")</f>
        <v/>
      </c>
      <c r="H944" s="75" t="str">
        <f t="shared" si="7"/>
        <v/>
      </c>
      <c r="I944" s="76"/>
    </row>
    <row r="945" spans="1:9" ht="15.75" customHeight="1">
      <c r="A945" s="69" t="str">
        <f t="shared" si="6"/>
        <v/>
      </c>
      <c r="B945" s="70"/>
      <c r="C945" s="70"/>
      <c r="D945" s="77"/>
      <c r="E945" s="73" t="str">
        <f>IF(B945="","",VLOOKUP(C945,RM!$C$4:$F1003,3,FALSE))</f>
        <v/>
      </c>
      <c r="F945" s="74" t="str">
        <f>IF(B945="","",IFERROR(SUMIFS(Issue!$D$3:$D1013,Issue!$C$3:$C1013,'S-BOM'!$B945)*'S-BOM'!$D945,""))</f>
        <v/>
      </c>
      <c r="G945" s="75" t="str">
        <f t="array" ref="G945">IFERROR(INDEX(#REF!,MATCH('S-BOM'!$C945,RM!$C$4:$C1003,0)),"")</f>
        <v/>
      </c>
      <c r="H945" s="75" t="str">
        <f t="shared" si="7"/>
        <v/>
      </c>
      <c r="I945" s="76"/>
    </row>
    <row r="946" spans="1:9" ht="15.75" customHeight="1">
      <c r="A946" s="69" t="str">
        <f t="shared" si="6"/>
        <v/>
      </c>
      <c r="B946" s="70"/>
      <c r="C946" s="70"/>
      <c r="D946" s="77"/>
      <c r="E946" s="73" t="str">
        <f>IF(B946="","",VLOOKUP(C946,RM!$C$4:$F1003,3,FALSE))</f>
        <v/>
      </c>
      <c r="F946" s="74" t="str">
        <f>IF(B946="","",IFERROR(SUMIFS(Issue!$D$3:$D1013,Issue!$C$3:$C1013,'S-BOM'!$B946)*'S-BOM'!$D946,""))</f>
        <v/>
      </c>
      <c r="G946" s="75" t="str">
        <f t="array" ref="G946">IFERROR(INDEX(#REF!,MATCH('S-BOM'!$C946,RM!$C$4:$C1003,0)),"")</f>
        <v/>
      </c>
      <c r="H946" s="75" t="str">
        <f t="shared" si="7"/>
        <v/>
      </c>
      <c r="I946" s="76"/>
    </row>
    <row r="947" spans="1:9" ht="15.75" customHeight="1">
      <c r="A947" s="69" t="str">
        <f t="shared" si="6"/>
        <v/>
      </c>
      <c r="B947" s="70"/>
      <c r="C947" s="70"/>
      <c r="D947" s="77"/>
      <c r="E947" s="73" t="str">
        <f>IF(B947="","",VLOOKUP(C947,RM!$C$4:$F1003,3,FALSE))</f>
        <v/>
      </c>
      <c r="F947" s="74" t="str">
        <f>IF(B947="","",IFERROR(SUMIFS(Issue!$D$3:$D1013,Issue!$C$3:$C1013,'S-BOM'!$B947)*'S-BOM'!$D947,""))</f>
        <v/>
      </c>
      <c r="G947" s="75" t="str">
        <f t="array" ref="G947">IFERROR(INDEX(#REF!,MATCH('S-BOM'!$C947,RM!$C$4:$C1003,0)),"")</f>
        <v/>
      </c>
      <c r="H947" s="75" t="str">
        <f t="shared" si="7"/>
        <v/>
      </c>
      <c r="I947" s="76"/>
    </row>
    <row r="948" spans="1:9" ht="15.75" customHeight="1">
      <c r="A948" s="69" t="str">
        <f t="shared" si="6"/>
        <v/>
      </c>
      <c r="B948" s="70"/>
      <c r="C948" s="70"/>
      <c r="D948" s="77"/>
      <c r="E948" s="73" t="str">
        <f>IF(B948="","",VLOOKUP(C948,RM!$C$4:$F1003,3,FALSE))</f>
        <v/>
      </c>
      <c r="F948" s="74" t="str">
        <f>IF(B948="","",IFERROR(SUMIFS(Issue!$D$3:$D1013,Issue!$C$3:$C1013,'S-BOM'!$B948)*'S-BOM'!$D948,""))</f>
        <v/>
      </c>
      <c r="G948" s="75" t="str">
        <f t="array" ref="G948">IFERROR(INDEX(#REF!,MATCH('S-BOM'!$C948,RM!$C$4:$C1003,0)),"")</f>
        <v/>
      </c>
      <c r="H948" s="75" t="str">
        <f t="shared" si="7"/>
        <v/>
      </c>
      <c r="I948" s="76"/>
    </row>
    <row r="949" spans="1:9" ht="15.75" customHeight="1">
      <c r="A949" s="69" t="str">
        <f t="shared" si="6"/>
        <v/>
      </c>
      <c r="B949" s="70"/>
      <c r="C949" s="70"/>
      <c r="D949" s="77"/>
      <c r="E949" s="73" t="str">
        <f>IF(B949="","",VLOOKUP(C949,RM!$C$4:$F1003,3,FALSE))</f>
        <v/>
      </c>
      <c r="F949" s="74" t="str">
        <f>IF(B949="","",IFERROR(SUMIFS(Issue!$D$3:$D1013,Issue!$C$3:$C1013,'S-BOM'!$B949)*'S-BOM'!$D949,""))</f>
        <v/>
      </c>
      <c r="G949" s="75" t="str">
        <f t="array" ref="G949">IFERROR(INDEX(#REF!,MATCH('S-BOM'!$C949,RM!$C$4:$C1003,0)),"")</f>
        <v/>
      </c>
      <c r="H949" s="75" t="str">
        <f t="shared" si="7"/>
        <v/>
      </c>
      <c r="I949" s="76"/>
    </row>
    <row r="950" spans="1:9" ht="15.75" customHeight="1">
      <c r="A950" s="69" t="str">
        <f t="shared" si="6"/>
        <v/>
      </c>
      <c r="B950" s="70"/>
      <c r="C950" s="70"/>
      <c r="D950" s="77"/>
      <c r="E950" s="73" t="str">
        <f>IF(B950="","",VLOOKUP(C950,RM!$C$4:$F1003,3,FALSE))</f>
        <v/>
      </c>
      <c r="F950" s="74" t="str">
        <f>IF(B950="","",IFERROR(SUMIFS(Issue!$D$3:$D1013,Issue!$C$3:$C1013,'S-BOM'!$B950)*'S-BOM'!$D950,""))</f>
        <v/>
      </c>
      <c r="G950" s="75" t="str">
        <f t="array" ref="G950">IFERROR(INDEX(#REF!,MATCH('S-BOM'!$C950,RM!$C$4:$C1003,0)),"")</f>
        <v/>
      </c>
      <c r="H950" s="75" t="str">
        <f t="shared" si="7"/>
        <v/>
      </c>
      <c r="I950" s="76"/>
    </row>
    <row r="951" spans="1:9" ht="15.75" customHeight="1">
      <c r="A951" s="69" t="str">
        <f t="shared" si="6"/>
        <v/>
      </c>
      <c r="B951" s="70"/>
      <c r="C951" s="70"/>
      <c r="D951" s="77"/>
      <c r="E951" s="73" t="str">
        <f>IF(B951="","",VLOOKUP(C951,RM!$C$4:$F1003,3,FALSE))</f>
        <v/>
      </c>
      <c r="F951" s="74" t="str">
        <f>IF(B951="","",IFERROR(SUMIFS(Issue!$D$3:$D1013,Issue!$C$3:$C1013,'S-BOM'!$B951)*'S-BOM'!$D951,""))</f>
        <v/>
      </c>
      <c r="G951" s="75" t="str">
        <f t="array" ref="G951">IFERROR(INDEX(#REF!,MATCH('S-BOM'!$C951,RM!$C$4:$C1003,0)),"")</f>
        <v/>
      </c>
      <c r="H951" s="75" t="str">
        <f t="shared" si="7"/>
        <v/>
      </c>
      <c r="I951" s="76"/>
    </row>
    <row r="952" spans="1:9" ht="15.75" customHeight="1">
      <c r="A952" s="69" t="str">
        <f t="shared" si="6"/>
        <v/>
      </c>
      <c r="B952" s="70"/>
      <c r="C952" s="70"/>
      <c r="D952" s="77"/>
      <c r="E952" s="73" t="str">
        <f>IF(B952="","",VLOOKUP(C952,RM!$C$4:$F1003,3,FALSE))</f>
        <v/>
      </c>
      <c r="F952" s="74" t="str">
        <f>IF(B952="","",IFERROR(SUMIFS(Issue!$D$3:$D1013,Issue!$C$3:$C1013,'S-BOM'!$B952)*'S-BOM'!$D952,""))</f>
        <v/>
      </c>
      <c r="G952" s="75" t="str">
        <f t="array" ref="G952">IFERROR(INDEX(#REF!,MATCH('S-BOM'!$C952,RM!$C$4:$C1003,0)),"")</f>
        <v/>
      </c>
      <c r="H952" s="75" t="str">
        <f t="shared" si="7"/>
        <v/>
      </c>
      <c r="I952" s="76"/>
    </row>
    <row r="953" spans="1:9" ht="15.75" customHeight="1">
      <c r="A953" s="69" t="str">
        <f t="shared" si="6"/>
        <v/>
      </c>
      <c r="B953" s="70"/>
      <c r="C953" s="70"/>
      <c r="D953" s="77"/>
      <c r="E953" s="73" t="str">
        <f>IF(B953="","",VLOOKUP(C953,RM!$C$4:$F1003,3,FALSE))</f>
        <v/>
      </c>
      <c r="F953" s="74" t="str">
        <f>IF(B953="","",IFERROR(SUMIFS(Issue!$D$3:$D1013,Issue!$C$3:$C1013,'S-BOM'!$B953)*'S-BOM'!$D953,""))</f>
        <v/>
      </c>
      <c r="G953" s="75" t="str">
        <f t="array" ref="G953">IFERROR(INDEX(#REF!,MATCH('S-BOM'!$C953,RM!$C$4:$C1003,0)),"")</f>
        <v/>
      </c>
      <c r="H953" s="75" t="str">
        <f t="shared" si="7"/>
        <v/>
      </c>
      <c r="I953" s="76"/>
    </row>
    <row r="954" spans="1:9" ht="15.75" customHeight="1">
      <c r="A954" s="69" t="str">
        <f t="shared" si="6"/>
        <v/>
      </c>
      <c r="B954" s="70"/>
      <c r="C954" s="70"/>
      <c r="D954" s="77"/>
      <c r="E954" s="73" t="str">
        <f>IF(B954="","",VLOOKUP(C954,RM!$C$4:$F1003,3,FALSE))</f>
        <v/>
      </c>
      <c r="F954" s="74" t="str">
        <f>IF(B954="","",IFERROR(SUMIFS(Issue!$D$3:$D1013,Issue!$C$3:$C1013,'S-BOM'!$B954)*'S-BOM'!$D954,""))</f>
        <v/>
      </c>
      <c r="G954" s="75" t="str">
        <f t="array" ref="G954">IFERROR(INDEX(#REF!,MATCH('S-BOM'!$C954,RM!$C$4:$C1003,0)),"")</f>
        <v/>
      </c>
      <c r="H954" s="75" t="str">
        <f t="shared" si="7"/>
        <v/>
      </c>
      <c r="I954" s="76"/>
    </row>
    <row r="955" spans="1:9" ht="15.75" customHeight="1">
      <c r="A955" s="69" t="str">
        <f t="shared" si="6"/>
        <v/>
      </c>
      <c r="B955" s="70"/>
      <c r="C955" s="70"/>
      <c r="D955" s="77"/>
      <c r="E955" s="73" t="str">
        <f>IF(B955="","",VLOOKUP(C955,RM!$C$4:$F1003,3,FALSE))</f>
        <v/>
      </c>
      <c r="F955" s="74" t="str">
        <f>IF(B955="","",IFERROR(SUMIFS(Issue!$D$3:$D1013,Issue!$C$3:$C1013,'S-BOM'!$B955)*'S-BOM'!$D955,""))</f>
        <v/>
      </c>
      <c r="G955" s="75" t="str">
        <f t="array" ref="G955">IFERROR(INDEX(#REF!,MATCH('S-BOM'!$C955,RM!$C$4:$C1003,0)),"")</f>
        <v/>
      </c>
      <c r="H955" s="75" t="str">
        <f t="shared" si="7"/>
        <v/>
      </c>
      <c r="I955" s="76"/>
    </row>
    <row r="956" spans="1:9" ht="15.75" customHeight="1">
      <c r="A956" s="69" t="str">
        <f t="shared" si="6"/>
        <v/>
      </c>
      <c r="B956" s="70"/>
      <c r="C956" s="70"/>
      <c r="D956" s="77"/>
      <c r="E956" s="73" t="str">
        <f>IF(B956="","",VLOOKUP(C956,RM!$C$4:$F1003,3,FALSE))</f>
        <v/>
      </c>
      <c r="F956" s="74" t="str">
        <f>IF(B956="","",IFERROR(SUMIFS(Issue!$D$3:$D1013,Issue!$C$3:$C1013,'S-BOM'!$B956)*'S-BOM'!$D956,""))</f>
        <v/>
      </c>
      <c r="G956" s="75" t="str">
        <f t="array" ref="G956">IFERROR(INDEX(#REF!,MATCH('S-BOM'!$C956,RM!$C$4:$C1003,0)),"")</f>
        <v/>
      </c>
      <c r="H956" s="75" t="str">
        <f t="shared" si="7"/>
        <v/>
      </c>
      <c r="I956" s="76"/>
    </row>
    <row r="957" spans="1:9" ht="15.75" customHeight="1">
      <c r="A957" s="69" t="str">
        <f t="shared" si="6"/>
        <v/>
      </c>
      <c r="B957" s="70"/>
      <c r="C957" s="70"/>
      <c r="D957" s="77"/>
      <c r="E957" s="73" t="str">
        <f>IF(B957="","",VLOOKUP(C957,RM!$C$4:$F1003,3,FALSE))</f>
        <v/>
      </c>
      <c r="F957" s="74" t="str">
        <f>IF(B957="","",IFERROR(SUMIFS(Issue!$D$3:$D1013,Issue!$C$3:$C1013,'S-BOM'!$B957)*'S-BOM'!$D957,""))</f>
        <v/>
      </c>
      <c r="G957" s="75" t="str">
        <f t="array" ref="G957">IFERROR(INDEX(#REF!,MATCH('S-BOM'!$C957,RM!$C$4:$C1003,0)),"")</f>
        <v/>
      </c>
      <c r="H957" s="75" t="str">
        <f t="shared" si="7"/>
        <v/>
      </c>
      <c r="I957" s="76"/>
    </row>
    <row r="958" spans="1:9" ht="15.75" customHeight="1">
      <c r="A958" s="69" t="str">
        <f t="shared" si="6"/>
        <v/>
      </c>
      <c r="B958" s="70"/>
      <c r="C958" s="70"/>
      <c r="D958" s="77"/>
      <c r="E958" s="73" t="str">
        <f>IF(B958="","",VLOOKUP(C958,RM!$C$4:$F1003,3,FALSE))</f>
        <v/>
      </c>
      <c r="F958" s="74" t="str">
        <f>IF(B958="","",IFERROR(SUMIFS(Issue!$D$3:$D1013,Issue!$C$3:$C1013,'S-BOM'!$B958)*'S-BOM'!$D958,""))</f>
        <v/>
      </c>
      <c r="G958" s="75" t="str">
        <f t="array" ref="G958">IFERROR(INDEX(#REF!,MATCH('S-BOM'!$C958,RM!$C$4:$C1003,0)),"")</f>
        <v/>
      </c>
      <c r="H958" s="75" t="str">
        <f t="shared" si="7"/>
        <v/>
      </c>
      <c r="I958" s="76"/>
    </row>
    <row r="959" spans="1:9" ht="15.75" customHeight="1">
      <c r="A959" s="69" t="str">
        <f t="shared" si="6"/>
        <v/>
      </c>
      <c r="B959" s="70"/>
      <c r="C959" s="70"/>
      <c r="D959" s="77"/>
      <c r="E959" s="73" t="str">
        <f>IF(B959="","",VLOOKUP(C959,RM!$C$4:$F1003,3,FALSE))</f>
        <v/>
      </c>
      <c r="F959" s="74" t="str">
        <f>IF(B959="","",IFERROR(SUMIFS(Issue!$D$3:$D1013,Issue!$C$3:$C1013,'S-BOM'!$B959)*'S-BOM'!$D959,""))</f>
        <v/>
      </c>
      <c r="G959" s="75" t="str">
        <f t="array" ref="G959">IFERROR(INDEX(#REF!,MATCH('S-BOM'!$C959,RM!$C$4:$C1003,0)),"")</f>
        <v/>
      </c>
      <c r="H959" s="75" t="str">
        <f t="shared" si="7"/>
        <v/>
      </c>
      <c r="I959" s="76"/>
    </row>
    <row r="960" spans="1:9" ht="15.75" customHeight="1">
      <c r="A960" s="69" t="str">
        <f t="shared" si="6"/>
        <v/>
      </c>
      <c r="B960" s="70"/>
      <c r="C960" s="70"/>
      <c r="D960" s="77"/>
      <c r="E960" s="73" t="str">
        <f>IF(B960="","",VLOOKUP(C960,RM!$C$4:$F1003,3,FALSE))</f>
        <v/>
      </c>
      <c r="F960" s="74" t="str">
        <f>IF(B960="","",IFERROR(SUMIFS(Issue!$D$3:$D1013,Issue!$C$3:$C1013,'S-BOM'!$B960)*'S-BOM'!$D960,""))</f>
        <v/>
      </c>
      <c r="G960" s="75" t="str">
        <f t="array" ref="G960">IFERROR(INDEX(#REF!,MATCH('S-BOM'!$C960,RM!$C$4:$C1003,0)),"")</f>
        <v/>
      </c>
      <c r="H960" s="75" t="str">
        <f t="shared" si="7"/>
        <v/>
      </c>
      <c r="I960" s="76"/>
    </row>
    <row r="961" spans="1:9" ht="15.75" customHeight="1">
      <c r="A961" s="69" t="str">
        <f t="shared" si="6"/>
        <v/>
      </c>
      <c r="B961" s="70"/>
      <c r="C961" s="70"/>
      <c r="D961" s="77"/>
      <c r="E961" s="73" t="str">
        <f>IF(B961="","",VLOOKUP(C961,RM!$C$4:$F1003,3,FALSE))</f>
        <v/>
      </c>
      <c r="F961" s="74" t="str">
        <f>IF(B961="","",IFERROR(SUMIFS(Issue!$D$3:$D1013,Issue!$C$3:$C1013,'S-BOM'!$B961)*'S-BOM'!$D961,""))</f>
        <v/>
      </c>
      <c r="G961" s="75" t="str">
        <f t="array" ref="G961">IFERROR(INDEX(#REF!,MATCH('S-BOM'!$C961,RM!$C$4:$C1003,0)),"")</f>
        <v/>
      </c>
      <c r="H961" s="75" t="str">
        <f t="shared" si="7"/>
        <v/>
      </c>
      <c r="I961" s="76"/>
    </row>
    <row r="962" spans="1:9" ht="15.75" customHeight="1">
      <c r="A962" s="69" t="str">
        <f t="shared" si="6"/>
        <v/>
      </c>
      <c r="B962" s="70"/>
      <c r="C962" s="70"/>
      <c r="D962" s="77"/>
      <c r="E962" s="73" t="str">
        <f>IF(B962="","",VLOOKUP(C962,RM!$C$4:$F1003,3,FALSE))</f>
        <v/>
      </c>
      <c r="F962" s="74" t="str">
        <f>IF(B962="","",IFERROR(SUMIFS(Issue!$D$3:$D1013,Issue!$C$3:$C1013,'S-BOM'!$B962)*'S-BOM'!$D962,""))</f>
        <v/>
      </c>
      <c r="G962" s="75" t="str">
        <f t="array" ref="G962">IFERROR(INDEX(#REF!,MATCH('S-BOM'!$C962,RM!$C$4:$C1003,0)),"")</f>
        <v/>
      </c>
      <c r="H962" s="75" t="str">
        <f t="shared" si="7"/>
        <v/>
      </c>
      <c r="I962" s="76"/>
    </row>
    <row r="963" spans="1:9" ht="15.75" customHeight="1">
      <c r="A963" s="69" t="str">
        <f t="shared" si="6"/>
        <v/>
      </c>
      <c r="B963" s="70"/>
      <c r="C963" s="70"/>
      <c r="D963" s="77"/>
      <c r="E963" s="73" t="str">
        <f>IF(B963="","",VLOOKUP(C963,RM!$C$4:$F1003,3,FALSE))</f>
        <v/>
      </c>
      <c r="F963" s="74" t="str">
        <f>IF(B963="","",IFERROR(SUMIFS(Issue!$D$3:$D1013,Issue!$C$3:$C1013,'S-BOM'!$B963)*'S-BOM'!$D963,""))</f>
        <v/>
      </c>
      <c r="G963" s="75" t="str">
        <f t="array" ref="G963">IFERROR(INDEX(#REF!,MATCH('S-BOM'!$C963,RM!$C$4:$C1003,0)),"")</f>
        <v/>
      </c>
      <c r="H963" s="75" t="str">
        <f t="shared" si="7"/>
        <v/>
      </c>
      <c r="I963" s="76"/>
    </row>
    <row r="964" spans="1:9" ht="15.75" customHeight="1">
      <c r="A964" s="69" t="str">
        <f t="shared" si="6"/>
        <v/>
      </c>
      <c r="B964" s="70"/>
      <c r="C964" s="70"/>
      <c r="D964" s="77"/>
      <c r="E964" s="73" t="str">
        <f>IF(B964="","",VLOOKUP(C964,RM!$C$4:$F1003,3,FALSE))</f>
        <v/>
      </c>
      <c r="F964" s="74" t="str">
        <f>IF(B964="","",IFERROR(SUMIFS(Issue!$D$3:$D1013,Issue!$C$3:$C1013,'S-BOM'!$B964)*'S-BOM'!$D964,""))</f>
        <v/>
      </c>
      <c r="G964" s="75" t="str">
        <f t="array" ref="G964">IFERROR(INDEX(#REF!,MATCH('S-BOM'!$C964,RM!$C$4:$C1003,0)),"")</f>
        <v/>
      </c>
      <c r="H964" s="75" t="str">
        <f t="shared" si="7"/>
        <v/>
      </c>
      <c r="I964" s="76"/>
    </row>
    <row r="965" spans="1:9" ht="15.75" customHeight="1">
      <c r="A965" s="69" t="str">
        <f t="shared" si="6"/>
        <v/>
      </c>
      <c r="B965" s="70"/>
      <c r="C965" s="70"/>
      <c r="D965" s="77"/>
      <c r="E965" s="73" t="str">
        <f>IF(B965="","",VLOOKUP(C965,RM!$C$4:$F1003,3,FALSE))</f>
        <v/>
      </c>
      <c r="F965" s="74" t="str">
        <f>IF(B965="","",IFERROR(SUMIFS(Issue!$D$3:$D1013,Issue!$C$3:$C1013,'S-BOM'!$B965)*'S-BOM'!$D965,""))</f>
        <v/>
      </c>
      <c r="G965" s="75" t="str">
        <f t="array" ref="G965">IFERROR(INDEX(#REF!,MATCH('S-BOM'!$C965,RM!$C$4:$C1003,0)),"")</f>
        <v/>
      </c>
      <c r="H965" s="75" t="str">
        <f t="shared" si="7"/>
        <v/>
      </c>
      <c r="I965" s="76"/>
    </row>
    <row r="966" spans="1:9" ht="15.75" customHeight="1">
      <c r="A966" s="69" t="str">
        <f t="shared" si="6"/>
        <v/>
      </c>
      <c r="B966" s="70"/>
      <c r="C966" s="70"/>
      <c r="D966" s="77"/>
      <c r="E966" s="73" t="str">
        <f>IF(B966="","",VLOOKUP(C966,RM!$C$4:$F1003,3,FALSE))</f>
        <v/>
      </c>
      <c r="F966" s="74" t="str">
        <f>IF(B966="","",IFERROR(SUMIFS(Issue!$D$3:$D1013,Issue!$C$3:$C1013,'S-BOM'!$B966)*'S-BOM'!$D966,""))</f>
        <v/>
      </c>
      <c r="G966" s="75" t="str">
        <f t="array" ref="G966">IFERROR(INDEX(#REF!,MATCH('S-BOM'!$C966,RM!$C$4:$C1003,0)),"")</f>
        <v/>
      </c>
      <c r="H966" s="75" t="str">
        <f t="shared" si="7"/>
        <v/>
      </c>
      <c r="I966" s="76"/>
    </row>
    <row r="967" spans="1:9" ht="15.75" customHeight="1">
      <c r="A967" s="69" t="str">
        <f t="shared" si="6"/>
        <v/>
      </c>
      <c r="B967" s="70"/>
      <c r="C967" s="70"/>
      <c r="D967" s="77"/>
      <c r="E967" s="73" t="str">
        <f>IF(B967="","",VLOOKUP(C967,RM!$C$4:$F1003,3,FALSE))</f>
        <v/>
      </c>
      <c r="F967" s="74" t="str">
        <f>IF(B967="","",IFERROR(SUMIFS(Issue!$D$3:$D1013,Issue!$C$3:$C1013,'S-BOM'!$B967)*'S-BOM'!$D967,""))</f>
        <v/>
      </c>
      <c r="G967" s="75" t="str">
        <f t="array" ref="G967">IFERROR(INDEX(#REF!,MATCH('S-BOM'!$C967,RM!$C$4:$C1003,0)),"")</f>
        <v/>
      </c>
      <c r="H967" s="75" t="str">
        <f t="shared" si="7"/>
        <v/>
      </c>
      <c r="I967" s="76"/>
    </row>
    <row r="968" spans="1:9" ht="15.75" customHeight="1">
      <c r="A968" s="69" t="str">
        <f t="shared" si="6"/>
        <v/>
      </c>
      <c r="B968" s="70"/>
      <c r="C968" s="70"/>
      <c r="D968" s="77"/>
      <c r="E968" s="73" t="str">
        <f>IF(B968="","",VLOOKUP(C968,RM!$C$4:$F1003,3,FALSE))</f>
        <v/>
      </c>
      <c r="F968" s="74" t="str">
        <f>IF(B968="","",IFERROR(SUMIFS(Issue!$D$3:$D1013,Issue!$C$3:$C1013,'S-BOM'!$B968)*'S-BOM'!$D968,""))</f>
        <v/>
      </c>
      <c r="G968" s="75" t="str">
        <f t="array" ref="G968">IFERROR(INDEX(#REF!,MATCH('S-BOM'!$C968,RM!$C$4:$C1003,0)),"")</f>
        <v/>
      </c>
      <c r="H968" s="75" t="str">
        <f t="shared" si="7"/>
        <v/>
      </c>
      <c r="I968" s="76"/>
    </row>
    <row r="969" spans="1:9" ht="15.75" customHeight="1">
      <c r="A969" s="69" t="str">
        <f t="shared" si="6"/>
        <v/>
      </c>
      <c r="B969" s="70"/>
      <c r="C969" s="70"/>
      <c r="D969" s="77"/>
      <c r="E969" s="73" t="str">
        <f>IF(B969="","",VLOOKUP(C969,RM!$C$4:$F1003,3,FALSE))</f>
        <v/>
      </c>
      <c r="F969" s="74" t="str">
        <f>IF(B969="","",IFERROR(SUMIFS(Issue!$D$3:$D1013,Issue!$C$3:$C1013,'S-BOM'!$B969)*'S-BOM'!$D969,""))</f>
        <v/>
      </c>
      <c r="G969" s="75" t="str">
        <f t="array" ref="G969">IFERROR(INDEX(#REF!,MATCH('S-BOM'!$C969,RM!$C$4:$C1003,0)),"")</f>
        <v/>
      </c>
      <c r="H969" s="75" t="str">
        <f t="shared" si="7"/>
        <v/>
      </c>
      <c r="I969" s="76"/>
    </row>
    <row r="970" spans="1:9" ht="15.75" customHeight="1">
      <c r="A970" s="69" t="str">
        <f t="shared" si="6"/>
        <v/>
      </c>
      <c r="B970" s="70"/>
      <c r="C970" s="70"/>
      <c r="D970" s="77"/>
      <c r="E970" s="73" t="str">
        <f>IF(B970="","",VLOOKUP(C970,RM!$C$4:$F1003,3,FALSE))</f>
        <v/>
      </c>
      <c r="F970" s="74" t="str">
        <f>IF(B970="","",IFERROR(SUMIFS(Issue!$D$3:$D1013,Issue!$C$3:$C1013,'S-BOM'!$B970)*'S-BOM'!$D970,""))</f>
        <v/>
      </c>
      <c r="G970" s="75" t="str">
        <f t="array" ref="G970">IFERROR(INDEX(#REF!,MATCH('S-BOM'!$C970,RM!$C$4:$C1003,0)),"")</f>
        <v/>
      </c>
      <c r="H970" s="75" t="str">
        <f t="shared" si="7"/>
        <v/>
      </c>
      <c r="I970" s="76"/>
    </row>
    <row r="971" spans="1:9" ht="15.75" customHeight="1">
      <c r="A971" s="69" t="str">
        <f t="shared" si="6"/>
        <v/>
      </c>
      <c r="B971" s="70"/>
      <c r="C971" s="70"/>
      <c r="D971" s="77"/>
      <c r="E971" s="73" t="str">
        <f>IF(B971="","",VLOOKUP(C971,RM!$C$4:$F1003,3,FALSE))</f>
        <v/>
      </c>
      <c r="F971" s="74" t="str">
        <f>IF(B971="","",IFERROR(SUMIFS(Issue!$D$3:$D1013,Issue!$C$3:$C1013,'S-BOM'!$B971)*'S-BOM'!$D971,""))</f>
        <v/>
      </c>
      <c r="G971" s="75" t="str">
        <f t="array" ref="G971">IFERROR(INDEX(#REF!,MATCH('S-BOM'!$C971,RM!$C$4:$C1003,0)),"")</f>
        <v/>
      </c>
      <c r="H971" s="75" t="str">
        <f t="shared" si="7"/>
        <v/>
      </c>
      <c r="I971" s="76"/>
    </row>
    <row r="972" spans="1:9" ht="15.75" customHeight="1">
      <c r="A972" s="69" t="str">
        <f t="shared" si="6"/>
        <v/>
      </c>
      <c r="B972" s="70"/>
      <c r="C972" s="70"/>
      <c r="D972" s="77"/>
      <c r="E972" s="73" t="str">
        <f>IF(B972="","",VLOOKUP(C972,RM!$C$4:$F1003,3,FALSE))</f>
        <v/>
      </c>
      <c r="F972" s="74" t="str">
        <f>IF(B972="","",IFERROR(SUMIFS(Issue!$D$3:$D1013,Issue!$C$3:$C1013,'S-BOM'!$B972)*'S-BOM'!$D972,""))</f>
        <v/>
      </c>
      <c r="G972" s="75" t="str">
        <f t="array" ref="G972">IFERROR(INDEX(#REF!,MATCH('S-BOM'!$C972,RM!$C$4:$C1003,0)),"")</f>
        <v/>
      </c>
      <c r="H972" s="75"/>
      <c r="I972" s="76"/>
    </row>
    <row r="973" spans="1:9" ht="15.75" customHeight="1">
      <c r="A973" s="69" t="str">
        <f t="shared" si="6"/>
        <v/>
      </c>
      <c r="B973" s="70"/>
      <c r="C973" s="70"/>
      <c r="D973" s="77"/>
      <c r="E973" s="73" t="str">
        <f>IF(B973="","",VLOOKUP(C973,RM!$C$4:$F1003,3,FALSE))</f>
        <v/>
      </c>
      <c r="F973" s="74" t="str">
        <f>IF(B973="","",IFERROR(SUMIFS(Issue!$D$3:$D1013,Issue!$C$3:$C1013,'S-BOM'!$B973)*'S-BOM'!$D973,""))</f>
        <v/>
      </c>
      <c r="G973" s="75" t="str">
        <f t="array" ref="G973">IFERROR(INDEX(#REF!,MATCH('S-BOM'!$C973,RM!$C$4:$C1003,0)),"")</f>
        <v/>
      </c>
      <c r="H973" s="75"/>
      <c r="I973" s="76"/>
    </row>
    <row r="974" spans="1:9" ht="15.75" customHeight="1">
      <c r="A974" s="69" t="str">
        <f t="shared" si="6"/>
        <v/>
      </c>
      <c r="B974" s="70"/>
      <c r="C974" s="70"/>
      <c r="D974" s="77"/>
      <c r="E974" s="73" t="str">
        <f>IF(B974="","",VLOOKUP(C974,RM!$C$4:$F1003,3,FALSE))</f>
        <v/>
      </c>
      <c r="F974" s="74" t="str">
        <f>IF(B974="","",IFERROR(SUMIFS(Issue!$D$3:$D1013,Issue!$C$3:$C1013,'S-BOM'!$B974)*'S-BOM'!$D974,""))</f>
        <v/>
      </c>
      <c r="G974" s="75" t="str">
        <f t="array" ref="G974">IFERROR(INDEX(#REF!,MATCH('S-BOM'!$C974,RM!$C$4:$C1003,0)),"")</f>
        <v/>
      </c>
      <c r="H974" s="75"/>
      <c r="I974" s="76"/>
    </row>
    <row r="975" spans="1:9" ht="15.75" customHeight="1">
      <c r="A975" s="69" t="str">
        <f t="shared" si="6"/>
        <v/>
      </c>
      <c r="B975" s="70"/>
      <c r="C975" s="70"/>
      <c r="D975" s="77"/>
      <c r="E975" s="73" t="str">
        <f>IF(B975="","",VLOOKUP(C975,RM!$C$4:$F1003,3,FALSE))</f>
        <v/>
      </c>
      <c r="F975" s="74" t="str">
        <f>IF(B975="","",IFERROR(SUMIFS(Issue!$D$3:$D1013,Issue!$C$3:$C1013,'S-BOM'!$B975)*'S-BOM'!$D975,""))</f>
        <v/>
      </c>
      <c r="G975" s="75" t="str">
        <f t="array" ref="G975">IFERROR(INDEX(#REF!,MATCH('S-BOM'!$C975,RM!$C$4:$C1003,0)),"")</f>
        <v/>
      </c>
      <c r="H975" s="75"/>
      <c r="I975" s="76"/>
    </row>
    <row r="976" spans="1:9" ht="15.75" customHeight="1">
      <c r="A976" s="69" t="str">
        <f t="shared" si="6"/>
        <v/>
      </c>
      <c r="B976" s="70"/>
      <c r="C976" s="70"/>
      <c r="D976" s="77"/>
      <c r="E976" s="73" t="str">
        <f>IF(B976="","",VLOOKUP(C976,RM!$C$4:$F1003,3,FALSE))</f>
        <v/>
      </c>
      <c r="F976" s="74" t="str">
        <f>IF(B976="","",IFERROR(SUMIFS(Issue!$D$3:$D1013,Issue!$C$3:$C1013,'S-BOM'!$B976)*'S-BOM'!$D976,""))</f>
        <v/>
      </c>
      <c r="G976" s="75" t="str">
        <f t="array" ref="G976">IFERROR(INDEX(#REF!,MATCH('S-BOM'!$C976,RM!$C$4:$C1003,0)),"")</f>
        <v/>
      </c>
      <c r="H976" s="75"/>
      <c r="I976" s="76"/>
    </row>
    <row r="977" spans="1:9" ht="15.75" customHeight="1">
      <c r="A977" s="69" t="str">
        <f t="shared" si="6"/>
        <v/>
      </c>
      <c r="B977" s="70"/>
      <c r="C977" s="70"/>
      <c r="D977" s="77"/>
      <c r="E977" s="73" t="str">
        <f>IF(B977="","",VLOOKUP(C977,RM!$C$4:$F1003,3,FALSE))</f>
        <v/>
      </c>
      <c r="F977" s="74" t="str">
        <f>IF(B977="","",IFERROR(SUMIFS(Issue!$D$3:$D1013,Issue!$C$3:$C1013,'S-BOM'!$B977)*'S-BOM'!$D977,""))</f>
        <v/>
      </c>
      <c r="G977" s="75" t="str">
        <f t="array" ref="G977">IFERROR(INDEX(#REF!,MATCH('S-BOM'!$C977,RM!$C$4:$C1003,0)),"")</f>
        <v/>
      </c>
      <c r="H977" s="75"/>
      <c r="I977" s="76"/>
    </row>
    <row r="978" spans="1:9" ht="15.75" customHeight="1">
      <c r="A978" s="69" t="str">
        <f t="shared" si="6"/>
        <v/>
      </c>
      <c r="B978" s="70"/>
      <c r="C978" s="70"/>
      <c r="D978" s="77"/>
      <c r="E978" s="73" t="str">
        <f>IF(B978="","",VLOOKUP(C978,RM!$C$4:$F1003,3,FALSE))</f>
        <v/>
      </c>
      <c r="F978" s="74" t="str">
        <f>IF(B978="","",IFERROR(SUMIFS(Issue!$D$3:$D1013,Issue!$C$3:$C1013,'S-BOM'!$B978)*'S-BOM'!$D978,""))</f>
        <v/>
      </c>
      <c r="G978" s="75" t="str">
        <f t="array" ref="G978">IFERROR(INDEX(#REF!,MATCH('S-BOM'!$C978,RM!$C$4:$C1003,0)),"")</f>
        <v/>
      </c>
      <c r="H978" s="75"/>
      <c r="I978" s="76"/>
    </row>
    <row r="979" spans="1:9" ht="15.75" customHeight="1">
      <c r="A979" s="69" t="str">
        <f t="shared" si="6"/>
        <v/>
      </c>
      <c r="B979" s="70"/>
      <c r="C979" s="70"/>
      <c r="D979" s="77"/>
      <c r="E979" s="73" t="str">
        <f>IF(B979="","",VLOOKUP(C979,RM!$C$4:$F1003,3,FALSE))</f>
        <v/>
      </c>
      <c r="F979" s="74" t="str">
        <f>IF(B979="","",IFERROR(SUMIFS(Issue!$D$3:$D1013,Issue!$C$3:$C1013,'S-BOM'!$B979)*'S-BOM'!$D979,""))</f>
        <v/>
      </c>
      <c r="G979" s="75" t="str">
        <f t="array" ref="G979">IFERROR(INDEX(#REF!,MATCH('S-BOM'!$C979,RM!$C$4:$C1003,0)),"")</f>
        <v/>
      </c>
      <c r="H979" s="75"/>
      <c r="I979" s="76"/>
    </row>
    <row r="980" spans="1:9" ht="15.75" customHeight="1">
      <c r="A980" s="69" t="str">
        <f t="shared" si="6"/>
        <v/>
      </c>
      <c r="B980" s="70"/>
      <c r="C980" s="70"/>
      <c r="D980" s="77"/>
      <c r="E980" s="73" t="str">
        <f>IF(B980="","",VLOOKUP(C980,RM!$C$4:$F1003,3,FALSE))</f>
        <v/>
      </c>
      <c r="F980" s="74" t="str">
        <f>IF(B980="","",IFERROR(SUMIFS(Issue!$D$3:$D1013,Issue!$C$3:$C1013,'S-BOM'!$B980)*'S-BOM'!$D980,""))</f>
        <v/>
      </c>
      <c r="G980" s="75" t="str">
        <f t="array" ref="G980">IFERROR(INDEX(#REF!,MATCH('S-BOM'!$C980,RM!$C$4:$C1003,0)),"")</f>
        <v/>
      </c>
      <c r="H980" s="75"/>
      <c r="I980" s="76"/>
    </row>
    <row r="981" spans="1:9" ht="15.75" customHeight="1">
      <c r="A981" s="69" t="str">
        <f t="shared" si="6"/>
        <v/>
      </c>
      <c r="B981" s="70"/>
      <c r="C981" s="70"/>
      <c r="D981" s="77"/>
      <c r="E981" s="73" t="str">
        <f>IF(B981="","",VLOOKUP(C981,RM!$C$4:$F1003,3,FALSE))</f>
        <v/>
      </c>
      <c r="F981" s="74" t="str">
        <f>IF(B981="","",IFERROR(SUMIFS(Issue!$D$3:$D1013,Issue!$C$3:$C1013,'S-BOM'!$B981)*'S-BOM'!$D981,""))</f>
        <v/>
      </c>
      <c r="G981" s="75" t="str">
        <f t="array" ref="G981">IFERROR(INDEX(#REF!,MATCH('S-BOM'!$C981,RM!$C$4:$C1003,0)),"")</f>
        <v/>
      </c>
      <c r="H981" s="75"/>
      <c r="I981" s="76"/>
    </row>
    <row r="982" spans="1:9" ht="15.75" customHeight="1">
      <c r="A982" s="69" t="str">
        <f t="shared" si="6"/>
        <v/>
      </c>
      <c r="B982" s="70"/>
      <c r="C982" s="70"/>
      <c r="D982" s="77"/>
      <c r="E982" s="73" t="str">
        <f>IF(B982="","",VLOOKUP(C982,RM!$C$4:$F1003,3,FALSE))</f>
        <v/>
      </c>
      <c r="F982" s="74" t="str">
        <f>IF(B982="","",IFERROR(SUMIFS(Issue!$D$3:$D1013,Issue!$C$3:$C1013,'S-BOM'!$B982)*'S-BOM'!$D982,""))</f>
        <v/>
      </c>
      <c r="G982" s="75" t="str">
        <f t="array" ref="G982">IFERROR(INDEX(#REF!,MATCH('S-BOM'!$C982,RM!$C$4:$C1003,0)),"")</f>
        <v/>
      </c>
      <c r="H982" s="75"/>
      <c r="I982" s="76"/>
    </row>
    <row r="983" spans="1:9" ht="15.75" customHeight="1">
      <c r="A983" s="69" t="str">
        <f t="shared" si="6"/>
        <v/>
      </c>
      <c r="B983" s="70"/>
      <c r="C983" s="70"/>
      <c r="D983" s="77"/>
      <c r="E983" s="73" t="str">
        <f>IF(B983="","",VLOOKUP(C983,RM!$C$4:$F1003,3,FALSE))</f>
        <v/>
      </c>
      <c r="F983" s="74" t="str">
        <f>IF(B983="","",IFERROR(SUMIFS(Issue!$D$3:$D1013,Issue!$C$3:$C1013,'S-BOM'!$B983)*'S-BOM'!$D983,""))</f>
        <v/>
      </c>
      <c r="G983" s="75" t="str">
        <f t="array" ref="G983">IFERROR(INDEX(#REF!,MATCH('S-BOM'!$C983,RM!$C$4:$C1003,0)),"")</f>
        <v/>
      </c>
      <c r="H983" s="75"/>
      <c r="I983" s="76"/>
    </row>
    <row r="984" spans="1:9" ht="15.75" customHeight="1">
      <c r="A984" s="69" t="str">
        <f t="shared" si="6"/>
        <v/>
      </c>
      <c r="B984" s="70"/>
      <c r="C984" s="70"/>
      <c r="D984" s="77"/>
      <c r="E984" s="73" t="str">
        <f>IF(B984="","",VLOOKUP(C984,RM!$C$4:$F1003,3,FALSE))</f>
        <v/>
      </c>
      <c r="F984" s="74" t="str">
        <f>IF(B984="","",IFERROR(SUMIFS(Issue!$D$3:$D1013,Issue!$C$3:$C1013,'S-BOM'!$B984)*'S-BOM'!$D984,""))</f>
        <v/>
      </c>
      <c r="G984" s="75" t="str">
        <f t="array" ref="G984">IFERROR(INDEX(#REF!,MATCH('S-BOM'!$C984,RM!$C$4:$C1003,0)),"")</f>
        <v/>
      </c>
      <c r="H984" s="75"/>
      <c r="I984" s="76"/>
    </row>
    <row r="985" spans="1:9" ht="15.75" customHeight="1">
      <c r="A985" s="69" t="str">
        <f t="shared" si="6"/>
        <v/>
      </c>
      <c r="B985" s="70"/>
      <c r="C985" s="70"/>
      <c r="D985" s="77"/>
      <c r="E985" s="73" t="str">
        <f>IF(B985="","",VLOOKUP(C985,RM!$C$4:$F1003,3,FALSE))</f>
        <v/>
      </c>
      <c r="F985" s="74" t="str">
        <f>IF(B985="","",IFERROR(SUMIFS(Issue!$D$3:$D1013,Issue!$C$3:$C1013,'S-BOM'!$B985)*'S-BOM'!$D985,""))</f>
        <v/>
      </c>
      <c r="G985" s="75" t="str">
        <f t="array" ref="G985">IFERROR(INDEX(#REF!,MATCH('S-BOM'!$C985,RM!$C$4:$C1003,0)),"")</f>
        <v/>
      </c>
      <c r="H985" s="75"/>
      <c r="I985" s="76"/>
    </row>
    <row r="986" spans="1:9" ht="15.75" customHeight="1">
      <c r="A986" s="69" t="str">
        <f t="shared" si="6"/>
        <v/>
      </c>
      <c r="B986" s="70"/>
      <c r="C986" s="70"/>
      <c r="D986" s="77"/>
      <c r="E986" s="73" t="str">
        <f>IF(B986="","",VLOOKUP(C986,RM!$C$4:$F1003,3,FALSE))</f>
        <v/>
      </c>
      <c r="F986" s="74" t="str">
        <f>IF(B986="","",IFERROR(SUMIFS(Issue!$D$3:$D1013,Issue!$C$3:$C1013,'S-BOM'!$B986)*'S-BOM'!$D986,""))</f>
        <v/>
      </c>
      <c r="G986" s="75" t="str">
        <f t="array" ref="G986">IFERROR(INDEX(#REF!,MATCH('S-BOM'!$C986,RM!$C$4:$C1003,0)),"")</f>
        <v/>
      </c>
      <c r="H986" s="75"/>
      <c r="I986" s="76"/>
    </row>
    <row r="987" spans="1:9" ht="15.75" customHeight="1">
      <c r="A987" s="69" t="str">
        <f t="shared" si="6"/>
        <v/>
      </c>
      <c r="B987" s="70"/>
      <c r="C987" s="70"/>
      <c r="D987" s="77"/>
      <c r="E987" s="73" t="str">
        <f>IF(B987="","",VLOOKUP(C987,RM!$C$4:$F1003,3,FALSE))</f>
        <v/>
      </c>
      <c r="F987" s="74" t="str">
        <f>IF(B987="","",IFERROR(SUMIFS(Issue!$D$3:$D1013,Issue!$C$3:$C1013,'S-BOM'!$B987)*'S-BOM'!$D987,""))</f>
        <v/>
      </c>
      <c r="G987" s="75" t="str">
        <f t="array" ref="G987">IFERROR(INDEX(#REF!,MATCH('S-BOM'!$C987,RM!$C$4:$C1003,0)),"")</f>
        <v/>
      </c>
      <c r="H987" s="75"/>
      <c r="I987" s="76"/>
    </row>
    <row r="988" spans="1:9" ht="15.75" customHeight="1">
      <c r="A988" s="69" t="str">
        <f t="shared" si="6"/>
        <v/>
      </c>
      <c r="B988" s="70"/>
      <c r="C988" s="70"/>
      <c r="D988" s="77"/>
      <c r="E988" s="73" t="str">
        <f>IF(B988="","",VLOOKUP(C988,RM!$C$4:$F1003,3,FALSE))</f>
        <v/>
      </c>
      <c r="F988" s="74" t="str">
        <f>IF(B988="","",IFERROR(SUMIFS(Issue!$D$3:$D1013,Issue!$C$3:$C1013,'S-BOM'!$B988)*'S-BOM'!$D988,""))</f>
        <v/>
      </c>
      <c r="G988" s="75" t="str">
        <f t="array" ref="G988">IFERROR(INDEX(#REF!,MATCH('S-BOM'!$C988,RM!$C$4:$C1003,0)),"")</f>
        <v/>
      </c>
      <c r="H988" s="75"/>
      <c r="I988" s="76"/>
    </row>
    <row r="989" spans="1:9" ht="15.75" customHeight="1">
      <c r="A989" s="69" t="str">
        <f t="shared" si="6"/>
        <v/>
      </c>
      <c r="B989" s="70"/>
      <c r="C989" s="70"/>
      <c r="D989" s="77"/>
      <c r="E989" s="73" t="str">
        <f>IF(B989="","",VLOOKUP(C989,RM!$C$4:$F1003,3,FALSE))</f>
        <v/>
      </c>
      <c r="F989" s="74" t="str">
        <f>IF(B989="","",IFERROR(SUMIFS(Issue!$D$3:$D1013,Issue!$C$3:$C1013,'S-BOM'!$B989)*'S-BOM'!$D989,""))</f>
        <v/>
      </c>
      <c r="G989" s="75" t="str">
        <f t="array" ref="G989">IFERROR(INDEX(#REF!,MATCH('S-BOM'!$C989,RM!$C$4:$C1003,0)),"")</f>
        <v/>
      </c>
      <c r="H989" s="75"/>
      <c r="I989" s="76"/>
    </row>
    <row r="990" spans="1:9" ht="15.75" customHeight="1">
      <c r="A990" s="69" t="str">
        <f t="shared" si="6"/>
        <v/>
      </c>
      <c r="B990" s="70"/>
      <c r="C990" s="70"/>
      <c r="D990" s="77"/>
      <c r="E990" s="73" t="str">
        <f>IF(B990="","",VLOOKUP(C990,RM!$C$4:$F1003,3,FALSE))</f>
        <v/>
      </c>
      <c r="F990" s="74" t="str">
        <f>IF(B990="","",IFERROR(SUMIFS(Issue!$D$3:$D1013,Issue!$C$3:$C1013,'S-BOM'!$B990)*'S-BOM'!$D990,""))</f>
        <v/>
      </c>
      <c r="G990" s="75" t="str">
        <f t="array" ref="G990">IFERROR(INDEX(#REF!,MATCH('S-BOM'!$C990,RM!$C$4:$C1003,0)),"")</f>
        <v/>
      </c>
      <c r="H990" s="75"/>
      <c r="I990" s="76"/>
    </row>
    <row r="991" spans="1:9" ht="15.75" customHeight="1">
      <c r="A991" s="69" t="str">
        <f t="shared" si="6"/>
        <v/>
      </c>
      <c r="B991" s="70"/>
      <c r="C991" s="70"/>
      <c r="D991" s="77"/>
      <c r="E991" s="73" t="str">
        <f>IF(B991="","",VLOOKUP(C991,RM!$C$4:$F1003,3,FALSE))</f>
        <v/>
      </c>
      <c r="F991" s="74" t="str">
        <f>IF(B991="","",IFERROR(SUMIFS(Issue!$D$3:$D1013,Issue!$C$3:$C1013,'S-BOM'!$B991)*'S-BOM'!$D991,""))</f>
        <v/>
      </c>
      <c r="G991" s="75" t="str">
        <f t="array" ref="G991">IFERROR(INDEX(#REF!,MATCH('S-BOM'!$C991,RM!$C$4:$C1003,0)),"")</f>
        <v/>
      </c>
      <c r="H991" s="75"/>
      <c r="I991" s="76"/>
    </row>
    <row r="992" spans="1:9" ht="15.75" customHeight="1">
      <c r="A992" s="69" t="str">
        <f t="shared" si="6"/>
        <v/>
      </c>
      <c r="B992" s="70"/>
      <c r="C992" s="70"/>
      <c r="D992" s="77"/>
      <c r="E992" s="73" t="str">
        <f>IF(B992="","",VLOOKUP(C992,RM!$C$4:$F1003,3,FALSE))</f>
        <v/>
      </c>
      <c r="F992" s="74" t="str">
        <f>IF(B992="","",IFERROR(SUMIFS(Issue!$D$3:$D1013,Issue!$C$3:$C1013,'S-BOM'!$B992)*'S-BOM'!$D992,""))</f>
        <v/>
      </c>
      <c r="G992" s="75" t="str">
        <f t="array" ref="G992">IFERROR(INDEX(#REF!,MATCH('S-BOM'!$C992,RM!$C$4:$C1003,0)),"")</f>
        <v/>
      </c>
      <c r="H992" s="75"/>
      <c r="I992" s="76"/>
    </row>
    <row r="993" spans="1:9" ht="15.75" customHeight="1">
      <c r="A993" s="69" t="str">
        <f t="shared" si="6"/>
        <v/>
      </c>
      <c r="B993" s="70"/>
      <c r="C993" s="70"/>
      <c r="D993" s="77"/>
      <c r="E993" s="73" t="str">
        <f>IF(B993="","",VLOOKUP(C993,RM!$C$4:$F1003,3,FALSE))</f>
        <v/>
      </c>
      <c r="F993" s="74" t="str">
        <f>IF(B993="","",IFERROR(SUMIFS(Issue!$D$3:$D1013,Issue!$C$3:$C1013,'S-BOM'!$B993)*'S-BOM'!$D993,""))</f>
        <v/>
      </c>
      <c r="G993" s="75" t="str">
        <f t="array" ref="G993">IFERROR(INDEX(#REF!,MATCH('S-BOM'!$C993,RM!$C$4:$C1003,0)),"")</f>
        <v/>
      </c>
      <c r="H993" s="75"/>
      <c r="I993" s="76"/>
    </row>
    <row r="994" spans="1:9" ht="15.75" customHeight="1">
      <c r="A994" s="69" t="str">
        <f t="shared" si="6"/>
        <v/>
      </c>
      <c r="B994" s="70"/>
      <c r="C994" s="70"/>
      <c r="D994" s="77"/>
      <c r="E994" s="73" t="str">
        <f>IF(B994="","",VLOOKUP(C994,RM!$C$4:$F1003,3,FALSE))</f>
        <v/>
      </c>
      <c r="F994" s="74" t="str">
        <f>IF(B994="","",IFERROR(SUMIFS(Issue!$D$3:$D1013,Issue!$C$3:$C1013,'S-BOM'!$B994)*'S-BOM'!$D994,""))</f>
        <v/>
      </c>
      <c r="G994" s="75" t="str">
        <f t="array" ref="G994">IFERROR(INDEX(#REF!,MATCH('S-BOM'!$C994,RM!$C$4:$C1003,0)),"")</f>
        <v/>
      </c>
      <c r="H994" s="75"/>
      <c r="I994" s="76"/>
    </row>
    <row r="995" spans="1:9" ht="15.75" customHeight="1">
      <c r="A995" s="69" t="str">
        <f t="shared" si="6"/>
        <v/>
      </c>
      <c r="B995" s="70"/>
      <c r="C995" s="70"/>
      <c r="D995" s="77"/>
      <c r="E995" s="73" t="str">
        <f>IF(B995="","",VLOOKUP(C995,RM!$C$4:$F1003,3,FALSE))</f>
        <v/>
      </c>
      <c r="F995" s="74" t="str">
        <f>IF(B995="","",IFERROR(SUMIFS(Issue!$D$3:$D1013,Issue!$C$3:$C1013,'S-BOM'!$B995)*'S-BOM'!$D995,""))</f>
        <v/>
      </c>
      <c r="G995" s="75" t="str">
        <f t="array" ref="G995">IFERROR(INDEX(#REF!,MATCH('S-BOM'!$C995,RM!$C$4:$C1003,0)),"")</f>
        <v/>
      </c>
      <c r="H995" s="75"/>
      <c r="I995" s="76"/>
    </row>
    <row r="996" spans="1:9" ht="15.75" customHeight="1">
      <c r="A996" s="69" t="str">
        <f t="shared" si="6"/>
        <v/>
      </c>
      <c r="B996" s="70"/>
      <c r="C996" s="70"/>
      <c r="D996" s="77"/>
      <c r="E996" s="73" t="str">
        <f>IF(B996="","",VLOOKUP(C996,RM!$C$4:$F1003,3,FALSE))</f>
        <v/>
      </c>
      <c r="F996" s="74" t="str">
        <f>IF(B996="","",IFERROR(SUMIFS(Issue!$D$3:$D1013,Issue!$C$3:$C1013,'S-BOM'!$B996)*'S-BOM'!$D996,""))</f>
        <v/>
      </c>
      <c r="G996" s="75" t="str">
        <f t="array" ref="G996">IFERROR(INDEX(#REF!,MATCH('S-BOM'!$C996,RM!$C$4:$C1003,0)),"")</f>
        <v/>
      </c>
      <c r="H996" s="75"/>
      <c r="I996" s="76"/>
    </row>
    <row r="997" spans="1:9" ht="15.75" customHeight="1">
      <c r="A997" s="69" t="str">
        <f t="shared" si="6"/>
        <v/>
      </c>
      <c r="B997" s="70"/>
      <c r="C997" s="70"/>
      <c r="D997" s="77"/>
      <c r="E997" s="73" t="str">
        <f>IF(B997="","",VLOOKUP(C997,RM!$C$4:$F1003,3,FALSE))</f>
        <v/>
      </c>
      <c r="F997" s="74" t="str">
        <f>IF(B997="","",IFERROR(SUMIFS(Issue!$D$3:$D1013,Issue!$C$3:$C1013,'S-BOM'!$B997)*'S-BOM'!$D997,""))</f>
        <v/>
      </c>
      <c r="G997" s="75" t="str">
        <f t="array" ref="G997">IFERROR(INDEX(#REF!,MATCH('S-BOM'!$C997,RM!$C$4:$C1003,0)),"")</f>
        <v/>
      </c>
      <c r="H997" s="75"/>
      <c r="I997" s="76"/>
    </row>
    <row r="998" spans="1:9" ht="15.75" customHeight="1">
      <c r="A998" s="69" t="str">
        <f t="shared" si="6"/>
        <v/>
      </c>
      <c r="B998" s="70"/>
      <c r="C998" s="70"/>
      <c r="D998" s="77"/>
      <c r="E998" s="73" t="str">
        <f>IF(B998="","",VLOOKUP(C998,RM!$C$4:$F1003,3,FALSE))</f>
        <v/>
      </c>
      <c r="F998" s="74" t="str">
        <f>IF(B998="","",IFERROR(SUMIFS(Issue!$D$3:$D1013,Issue!$C$3:$C1013,'S-BOM'!$B998)*'S-BOM'!$D998,""))</f>
        <v/>
      </c>
      <c r="G998" s="75" t="str">
        <f t="array" ref="G998">IFERROR(INDEX(#REF!,MATCH('S-BOM'!$C998,RM!$C$4:$C1003,0)),"")</f>
        <v/>
      </c>
      <c r="H998" s="75"/>
      <c r="I998" s="76"/>
    </row>
    <row r="999" spans="1:9" ht="15.75" customHeight="1">
      <c r="A999" s="69" t="str">
        <f t="shared" si="6"/>
        <v/>
      </c>
      <c r="B999" s="70"/>
      <c r="C999" s="70"/>
      <c r="D999" s="77"/>
      <c r="E999" s="73" t="str">
        <f>IF(B999="","",VLOOKUP(C999,RM!$C$4:$F1003,3,FALSE))</f>
        <v/>
      </c>
      <c r="F999" s="74" t="str">
        <f>IF(B999="","",IFERROR(SUMIFS(Issue!$D$3:$D1013,Issue!$C$3:$C1013,'S-BOM'!$B999)*'S-BOM'!$D999,""))</f>
        <v/>
      </c>
      <c r="G999" s="75" t="str">
        <f t="array" ref="G999">IFERROR(INDEX(#REF!,MATCH('S-BOM'!$C999,RM!$C$4:$C1003,0)),"")</f>
        <v/>
      </c>
      <c r="H999" s="75"/>
      <c r="I999" s="76"/>
    </row>
    <row r="1000" spans="1:9" ht="15.75" customHeight="1">
      <c r="A1000" s="69" t="str">
        <f t="shared" si="6"/>
        <v/>
      </c>
      <c r="B1000" s="70"/>
      <c r="C1000" s="70"/>
      <c r="D1000" s="77"/>
      <c r="E1000" s="73" t="str">
        <f>IF(B1000="","",VLOOKUP(C1000,RM!$C$4:$F1003,3,FALSE))</f>
        <v/>
      </c>
      <c r="F1000" s="74" t="str">
        <f>IF(B1000="","",IFERROR(SUMIFS(Issue!$D$3:$D1013,Issue!$C$3:$C1013,'S-BOM'!$B1000)*'S-BOM'!$D1000,""))</f>
        <v/>
      </c>
      <c r="G1000" s="75" t="str">
        <f t="array" ref="G1000">IFERROR(INDEX(#REF!,MATCH('S-BOM'!$C1000,RM!$C$4:$C1003,0)),"")</f>
        <v/>
      </c>
      <c r="H1000" s="75"/>
      <c r="I1000" s="76"/>
    </row>
    <row r="1001" spans="1:9" ht="15.75" customHeight="1">
      <c r="A1001" s="69" t="str">
        <f t="shared" si="6"/>
        <v/>
      </c>
      <c r="B1001" s="70"/>
      <c r="C1001" s="70"/>
      <c r="D1001" s="77"/>
      <c r="E1001" s="73" t="str">
        <f>IF(B1001="","",VLOOKUP(C1001,RM!$C$4:$F1003,3,FALSE))</f>
        <v/>
      </c>
      <c r="F1001" s="74" t="str">
        <f>IF(B1001="","",IFERROR(SUMIFS(Issue!$D$3:$D1013,Issue!$C$3:$C1013,'S-BOM'!$B1001)*'S-BOM'!$D1001,""))</f>
        <v/>
      </c>
      <c r="G1001" s="75" t="str">
        <f t="array" ref="G1001">IFERROR(INDEX(#REF!,MATCH('S-BOM'!$C1001,RM!$C$4:$C1003,0)),"")</f>
        <v/>
      </c>
      <c r="H1001" s="75"/>
      <c r="I1001" s="76"/>
    </row>
    <row r="1002" spans="1:9" ht="15.75" customHeight="1">
      <c r="A1002" s="69" t="str">
        <f t="shared" si="6"/>
        <v/>
      </c>
      <c r="B1002" s="70"/>
      <c r="C1002" s="70"/>
      <c r="D1002" s="77"/>
      <c r="E1002" s="73" t="str">
        <f>IF(B1002="","",VLOOKUP(C1002,RM!$C$4:$F1003,3,FALSE))</f>
        <v/>
      </c>
      <c r="F1002" s="74" t="str">
        <f>IF(B1002="","",IFERROR(SUMIFS(Issue!$D$3:$D1013,Issue!$C$3:$C1013,'S-BOM'!$B1002)*'S-BOM'!$D1002,""))</f>
        <v/>
      </c>
      <c r="G1002" s="75" t="str">
        <f t="array" ref="G1002">IFERROR(INDEX(#REF!,MATCH('S-BOM'!$C1002,RM!$C$4:$C1003,0)),"")</f>
        <v/>
      </c>
      <c r="H1002" s="75"/>
      <c r="I1002" s="76"/>
    </row>
    <row r="1003" spans="1:9" ht="15.75" customHeight="1">
      <c r="A1003" s="69" t="str">
        <f t="shared" si="6"/>
        <v/>
      </c>
      <c r="B1003" s="70"/>
      <c r="C1003" s="70"/>
      <c r="D1003" s="77"/>
      <c r="E1003" s="73" t="str">
        <f>IF(B1003="","",VLOOKUP(C1003,RM!$C$4:$F1003,3,FALSE))</f>
        <v/>
      </c>
      <c r="F1003" s="74" t="str">
        <f>IF(B1003="","",IFERROR(SUMIFS(Issue!$D$3:$D1013,Issue!$C$3:$C1013,'S-BOM'!$B1003)*'S-BOM'!$D1003,""))</f>
        <v/>
      </c>
      <c r="G1003" s="75" t="str">
        <f t="array" ref="G1003">IFERROR(INDEX(#REF!,MATCH('S-BOM'!$C1003,RM!$C$4:$C1003,0)),"")</f>
        <v/>
      </c>
      <c r="H1003" s="75"/>
      <c r="I1003" s="76"/>
    </row>
    <row r="1004" spans="1:9" ht="15.75" customHeight="1">
      <c r="A1004" s="69" t="str">
        <f t="shared" si="6"/>
        <v/>
      </c>
      <c r="B1004" s="70"/>
      <c r="C1004" s="70"/>
      <c r="D1004" s="77"/>
      <c r="E1004" s="73" t="str">
        <f>IF(B1004="","",VLOOKUP(C1004,RM!$C$4:$F1003,3,FALSE))</f>
        <v/>
      </c>
      <c r="F1004" s="74" t="str">
        <f>IF(B1004="","",IFERROR(SUMIFS(Issue!$D$3:$D1013,Issue!$C$3:$C1013,'S-BOM'!$B1004)*'S-BOM'!$D1004,""))</f>
        <v/>
      </c>
      <c r="G1004" s="75" t="str">
        <f t="array" ref="G1004">IFERROR(INDEX(#REF!,MATCH('S-BOM'!$C1004,RM!$C$4:$C1003,0)),"")</f>
        <v/>
      </c>
      <c r="H1004" s="75"/>
      <c r="I1004" s="76"/>
    </row>
    <row r="1005" spans="1:9" ht="15.75" customHeight="1">
      <c r="A1005" s="69" t="str">
        <f t="shared" si="6"/>
        <v/>
      </c>
      <c r="B1005" s="70"/>
      <c r="C1005" s="70"/>
      <c r="D1005" s="77"/>
      <c r="E1005" s="73" t="str">
        <f>IF(B1005="","",VLOOKUP(C1005,RM!$C$4:$F1003,3,FALSE))</f>
        <v/>
      </c>
      <c r="F1005" s="74" t="str">
        <f>IF(B1005="","",IFERROR(SUMIFS(Issue!$D$3:$D1013,Issue!$C$3:$C1013,'S-BOM'!$B1005)*'S-BOM'!$D1005,""))</f>
        <v/>
      </c>
      <c r="G1005" s="75" t="str">
        <f t="array" ref="G1005">IFERROR(INDEX(#REF!,MATCH('S-BOM'!$C1005,RM!$C$4:$C1003,0)),"")</f>
        <v/>
      </c>
      <c r="H1005" s="75"/>
      <c r="I1005" s="76"/>
    </row>
    <row r="1006" spans="1:9" ht="15.75" customHeight="1">
      <c r="A1006" s="69" t="str">
        <f t="shared" si="6"/>
        <v/>
      </c>
      <c r="B1006" s="70"/>
      <c r="C1006" s="70"/>
      <c r="D1006" s="77"/>
      <c r="E1006" s="73" t="str">
        <f>IF(B1006="","",VLOOKUP(C1006,RM!$C$4:$F1003,3,FALSE))</f>
        <v/>
      </c>
      <c r="F1006" s="74" t="str">
        <f>IF(B1006="","",IFERROR(SUMIFS(Issue!$D$3:$D1013,Issue!$C$3:$C1013,'S-BOM'!$B1006)*'S-BOM'!$D1006,""))</f>
        <v/>
      </c>
      <c r="G1006" s="75" t="str">
        <f t="array" ref="G1006">IFERROR(INDEX(#REF!,MATCH('S-BOM'!$C1006,RM!$C$4:$C1003,0)),"")</f>
        <v/>
      </c>
      <c r="H1006" s="75"/>
      <c r="I1006" s="76"/>
    </row>
    <row r="1007" spans="1:9" ht="15.75" customHeight="1">
      <c r="A1007" s="69" t="str">
        <f t="shared" si="6"/>
        <v/>
      </c>
      <c r="B1007" s="70"/>
      <c r="C1007" s="70"/>
      <c r="D1007" s="77"/>
      <c r="E1007" s="73" t="str">
        <f>IF(B1007="","",VLOOKUP(C1007,RM!$C$4:$F1003,3,FALSE))</f>
        <v/>
      </c>
      <c r="F1007" s="74" t="str">
        <f>IF(B1007="","",IFERROR(SUMIFS(Issue!$D$3:$D1013,Issue!$C$3:$C1013,'S-BOM'!$B1007)*'S-BOM'!$D1007,""))</f>
        <v/>
      </c>
      <c r="G1007" s="75" t="str">
        <f t="array" ref="G1007">IFERROR(INDEX(#REF!,MATCH('S-BOM'!$C1007,RM!$C$4:$C1003,0)),"")</f>
        <v/>
      </c>
      <c r="H1007" s="75"/>
      <c r="I1007" s="76"/>
    </row>
    <row r="1008" spans="1:9" ht="15.75" customHeight="1">
      <c r="A1008" s="69" t="str">
        <f t="shared" si="6"/>
        <v/>
      </c>
      <c r="B1008" s="70"/>
      <c r="C1008" s="70"/>
      <c r="D1008" s="77"/>
      <c r="E1008" s="73" t="str">
        <f>IF(B1008="","",VLOOKUP(C1008,RM!$C$4:$F1003,3,FALSE))</f>
        <v/>
      </c>
      <c r="F1008" s="74" t="str">
        <f>IF(B1008="","",IFERROR(SUMIFS(Issue!$D$3:$D1013,Issue!$C$3:$C1013,'S-BOM'!$B1008)*'S-BOM'!$D1008,""))</f>
        <v/>
      </c>
      <c r="G1008" s="75" t="str">
        <f t="array" ref="G1008">IFERROR(INDEX(#REF!,MATCH('S-BOM'!$C1008,RM!$C$4:$C1003,0)),"")</f>
        <v/>
      </c>
      <c r="H1008" s="75"/>
      <c r="I1008" s="76"/>
    </row>
    <row r="1009" spans="1:9" ht="15.75" customHeight="1">
      <c r="A1009" s="69" t="str">
        <f t="shared" si="6"/>
        <v/>
      </c>
      <c r="B1009" s="70"/>
      <c r="C1009" s="70"/>
      <c r="D1009" s="77"/>
      <c r="E1009" s="73" t="str">
        <f>IF(B1009="","",VLOOKUP(C1009,RM!$C$4:$F1003,3,FALSE))</f>
        <v/>
      </c>
      <c r="F1009" s="74" t="str">
        <f>IF(B1009="","",IFERROR(SUMIFS(Issue!$D$3:$D1013,Issue!$C$3:$C1013,'S-BOM'!$B1009)*'S-BOM'!$D1009,""))</f>
        <v/>
      </c>
      <c r="G1009" s="75" t="str">
        <f t="array" ref="G1009">IFERROR(INDEX(#REF!,MATCH('S-BOM'!$C1009,RM!$C$4:$C1003,0)),"")</f>
        <v/>
      </c>
      <c r="H1009" s="75"/>
      <c r="I1009" s="76"/>
    </row>
    <row r="1010" spans="1:9" ht="15.75" customHeight="1">
      <c r="A1010" s="69" t="str">
        <f t="shared" si="6"/>
        <v/>
      </c>
      <c r="B1010" s="70"/>
      <c r="C1010" s="70"/>
      <c r="D1010" s="77"/>
      <c r="E1010" s="73" t="str">
        <f>IF(B1010="","",VLOOKUP(C1010,RM!$C$4:$F1003,3,FALSE))</f>
        <v/>
      </c>
      <c r="F1010" s="74" t="str">
        <f>IF(B1010="","",IFERROR(SUMIFS(Issue!$D$3:$D1013,Issue!$C$3:$C1013,'S-BOM'!$B1010)*'S-BOM'!$D1010,""))</f>
        <v/>
      </c>
      <c r="G1010" s="75" t="str">
        <f t="array" ref="G1010">IFERROR(INDEX(#REF!,MATCH('S-BOM'!$C1010,RM!$C$4:$C1003,0)),"")</f>
        <v/>
      </c>
      <c r="H1010" s="75"/>
      <c r="I1010" s="76"/>
    </row>
    <row r="1011" spans="1:9" ht="15.75" customHeight="1">
      <c r="A1011" s="69" t="str">
        <f t="shared" si="6"/>
        <v/>
      </c>
      <c r="B1011" s="70"/>
      <c r="C1011" s="70"/>
      <c r="D1011" s="77"/>
      <c r="E1011" s="73" t="str">
        <f>IF(B1011="","",VLOOKUP(C1011,RM!$C$4:$F1003,3,FALSE))</f>
        <v/>
      </c>
      <c r="F1011" s="74" t="str">
        <f>IF(B1011="","",IFERROR(SUMIFS(Issue!$D$3:$D1013,Issue!$C$3:$C1013,'S-BOM'!$B1011)*'S-BOM'!$D1011,""))</f>
        <v/>
      </c>
      <c r="G1011" s="75" t="str">
        <f t="array" ref="G1011">IFERROR(INDEX(#REF!,MATCH('S-BOM'!$C1011,RM!$C$4:$C1003,0)),"")</f>
        <v/>
      </c>
      <c r="H1011" s="75"/>
      <c r="I1011" s="76"/>
    </row>
    <row r="1012" spans="1:9" ht="15.75" customHeight="1">
      <c r="A1012" s="69" t="str">
        <f t="shared" si="6"/>
        <v/>
      </c>
      <c r="B1012" s="70"/>
      <c r="C1012" s="70"/>
      <c r="D1012" s="77"/>
      <c r="E1012" s="73" t="str">
        <f>IF(B1012="","",VLOOKUP(C1012,RM!$C$4:$F1003,3,FALSE))</f>
        <v/>
      </c>
      <c r="F1012" s="74" t="str">
        <f>IF(B1012="","",IFERROR(SUMIFS(Issue!$D$3:$D1013,Issue!$C$3:$C1013,'S-BOM'!$B1012)*'S-BOM'!$D1012,""))</f>
        <v/>
      </c>
      <c r="G1012" s="75" t="str">
        <f t="array" ref="G1012">IFERROR(INDEX(#REF!,MATCH('S-BOM'!$C1012,RM!$C$4:$C1003,0)),"")</f>
        <v/>
      </c>
      <c r="H1012" s="75"/>
      <c r="I1012" s="76"/>
    </row>
    <row r="1013" spans="1:9" ht="15.75" customHeight="1">
      <c r="A1013" s="73"/>
      <c r="B1013" s="70"/>
      <c r="C1013" s="70"/>
      <c r="D1013" s="77"/>
      <c r="E1013" s="73" t="str">
        <f>IF(B1013="","",VLOOKUP(C1013,RM!$C$4:$F1003,3,FALSE))</f>
        <v/>
      </c>
      <c r="F1013" s="74" t="str">
        <f>IF(B1013="","",IFERROR(SUMIFS(Issue!$D$3:$D1013,Issue!$C$3:$C1013,'S-BOM'!$B1013)*'S-BOM'!$D1013,""))</f>
        <v/>
      </c>
      <c r="G1013" s="75" t="str">
        <f t="array" ref="G1013">IFERROR(INDEX(#REF!,MATCH('S-BOM'!$C1013,RM!$C$4:$C1003,0)),"")</f>
        <v/>
      </c>
      <c r="H1013" s="75"/>
      <c r="I1013" s="76"/>
    </row>
  </sheetData>
  <conditionalFormatting sqref="A3:A1012">
    <cfRule type="expression" dxfId="31" priority="1">
      <formula>$R3="YES"</formula>
    </cfRule>
  </conditionalFormatting>
  <conditionalFormatting sqref="C3:C1013">
    <cfRule type="expression" dxfId="30" priority="3">
      <formula>AND($B3&lt;&gt;"",$C3="")</formula>
    </cfRule>
  </conditionalFormatting>
  <conditionalFormatting sqref="C230:C234">
    <cfRule type="expression" dxfId="29" priority="2">
      <formula>#REF!="YES"</formula>
    </cfRule>
  </conditionalFormatting>
  <pageMargins left="0.7" right="0.7" top="0.75" bottom="0.75" header="0" footer="0"/>
  <pageSetup orientation="landscape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300-000000000000}">
          <x14:formula1>
            <xm:f>RM!$C$4:$C1003</xm:f>
          </x14:formula1>
          <xm:sqref>C3:C1013</xm:sqref>
        </x14:dataValidation>
        <x14:dataValidation type="list" allowBlank="1" xr:uid="{00000000-0002-0000-0300-000001000000}">
          <x14:formula1>
            <xm:f>'S-FG'!$B$3:$B1013</xm:f>
          </x14:formula1>
          <xm:sqref>B3:B1013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B1:O3"/>
  <sheetViews>
    <sheetView workbookViewId="0"/>
  </sheetViews>
  <sheetFormatPr defaultColWidth="14.453125" defaultRowHeight="15" customHeight="1"/>
  <cols>
    <col min="1" max="1" width="3.26953125" customWidth="1"/>
    <col min="2" max="2" width="58.453125" customWidth="1"/>
    <col min="3" max="3" width="14.54296875" hidden="1" customWidth="1"/>
    <col min="4" max="4" width="12" hidden="1" customWidth="1"/>
    <col min="5" max="5" width="11.453125" hidden="1" customWidth="1"/>
    <col min="6" max="6" width="13" hidden="1" customWidth="1"/>
    <col min="7" max="7" width="13" customWidth="1"/>
    <col min="8" max="8" width="11.54296875" customWidth="1"/>
    <col min="9" max="9" width="12.81640625" customWidth="1"/>
    <col min="10" max="10" width="33.54296875" customWidth="1"/>
    <col min="11" max="11" width="2.7265625" customWidth="1"/>
    <col min="12" max="15" width="14.453125" hidden="1"/>
  </cols>
  <sheetData>
    <row r="1" spans="2:10" ht="23.5">
      <c r="B1" s="242" t="s">
        <v>1712</v>
      </c>
      <c r="C1" s="240"/>
      <c r="D1" s="240"/>
      <c r="E1" s="240"/>
      <c r="F1" s="240"/>
      <c r="G1" s="240"/>
      <c r="H1" s="240"/>
      <c r="I1" s="78" t="s">
        <v>1713</v>
      </c>
      <c r="J1" s="79">
        <f>SUMPRODUCT($G$3:$G1497,$I$3:$I1497)</f>
        <v>0</v>
      </c>
    </row>
    <row r="2" spans="2:10" ht="14.5">
      <c r="B2" s="80" t="s">
        <v>1714</v>
      </c>
      <c r="C2" s="80" t="s">
        <v>1715</v>
      </c>
      <c r="D2" s="80" t="s">
        <v>1716</v>
      </c>
      <c r="E2" s="80" t="s">
        <v>1717</v>
      </c>
      <c r="F2" s="80" t="s">
        <v>1718</v>
      </c>
      <c r="G2" s="80" t="s">
        <v>1719</v>
      </c>
      <c r="H2" s="80" t="s">
        <v>1720</v>
      </c>
      <c r="I2" s="80" t="s">
        <v>1721</v>
      </c>
      <c r="J2" s="80" t="s">
        <v>0</v>
      </c>
    </row>
    <row r="3" spans="2:10" ht="14.5">
      <c r="B3" s="81" t="str">
        <f ca="1">IFERROR(__xludf.DUMMYFUNCTION("SORT(FILTER(MRPback!$X$2:$AF1497,MRPback!$X$2:$X1497&lt;&gt;"""",MRPback!$AC$2:$AC1497&gt;0),8,FALSE,2,FALSE)"),"#N/A")</f>
        <v>#N/A</v>
      </c>
      <c r="C3" s="82"/>
      <c r="D3" s="83"/>
      <c r="E3" s="82"/>
      <c r="F3" s="82"/>
      <c r="G3" s="82"/>
      <c r="H3" s="82"/>
      <c r="I3" s="83"/>
      <c r="J3" s="84"/>
    </row>
  </sheetData>
  <autoFilter ref="A2:O238" xr:uid="{00000000-0009-0000-0000-000004000000}">
    <sortState xmlns:xlrd2="http://schemas.microsoft.com/office/spreadsheetml/2017/richdata2" ref="A2:O238">
      <sortCondition ref="B2:B238"/>
      <sortCondition descending="1" ref="J2:J238"/>
    </sortState>
  </autoFilter>
  <mergeCells count="1">
    <mergeCell ref="B1:H1"/>
  </mergeCells>
  <conditionalFormatting sqref="G3:G988">
    <cfRule type="cellIs" dxfId="28" priority="1" operator="greaterThan">
      <formula>0</formula>
    </cfRule>
  </conditionalFormatting>
  <dataValidations count="1">
    <dataValidation type="list" allowBlank="1" showErrorMessage="1" sqref="A102" xr:uid="{00000000-0002-0000-0400-000000000000}">
      <formula1>"Option 1,Option 2"</formula1>
    </dataValidation>
  </dataValidation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N994"/>
  <sheetViews>
    <sheetView workbookViewId="0">
      <pane ySplit="3" topLeftCell="A4" activePane="bottomLeft" state="frozen"/>
      <selection pane="bottomLeft" activeCell="B5" sqref="B5"/>
    </sheetView>
  </sheetViews>
  <sheetFormatPr defaultColWidth="14.453125" defaultRowHeight="15" customHeight="1"/>
  <cols>
    <col min="1" max="1" width="11.26953125" customWidth="1"/>
    <col min="2" max="2" width="33.81640625" customWidth="1"/>
    <col min="3" max="3" width="14.54296875" hidden="1" customWidth="1"/>
    <col min="4" max="4" width="10" customWidth="1"/>
    <col min="5" max="5" width="9" customWidth="1"/>
    <col min="6" max="6" width="10" customWidth="1"/>
    <col min="7" max="7" width="9.7265625" customWidth="1"/>
    <col min="8" max="9" width="12.81640625" customWidth="1"/>
    <col min="10" max="10" width="23.54296875" customWidth="1"/>
    <col min="11" max="11" width="21.1796875" hidden="1" customWidth="1"/>
    <col min="12" max="13" width="5.81640625" hidden="1" customWidth="1"/>
    <col min="14" max="14" width="28" hidden="1" customWidth="1"/>
  </cols>
  <sheetData>
    <row r="1" spans="1:14">
      <c r="A1" s="243" t="s">
        <v>1722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</row>
    <row r="2" spans="1:14">
      <c r="A2" s="85" t="s">
        <v>0</v>
      </c>
      <c r="B2" s="86" t="s">
        <v>2</v>
      </c>
      <c r="C2" s="87"/>
      <c r="D2" s="88"/>
      <c r="E2" s="89"/>
      <c r="F2" s="89"/>
      <c r="G2" s="89"/>
      <c r="H2" s="244" t="s">
        <v>1723</v>
      </c>
      <c r="I2" s="241"/>
      <c r="J2" s="90">
        <f>SUMPRODUCT($G$4:$G994,$I$4:$I994)</f>
        <v>0</v>
      </c>
      <c r="K2" s="89"/>
      <c r="L2" s="89"/>
      <c r="M2" s="89"/>
      <c r="N2" s="91"/>
    </row>
    <row r="3" spans="1:14">
      <c r="A3" s="92" t="s">
        <v>1440</v>
      </c>
      <c r="B3" s="93" t="s">
        <v>1724</v>
      </c>
      <c r="C3" s="93" t="s">
        <v>1725</v>
      </c>
      <c r="D3" s="93" t="s">
        <v>1726</v>
      </c>
      <c r="E3" s="93" t="s">
        <v>1716</v>
      </c>
      <c r="F3" s="93" t="s">
        <v>1717</v>
      </c>
      <c r="G3" s="93" t="s">
        <v>1719</v>
      </c>
      <c r="H3" s="93" t="s">
        <v>1720</v>
      </c>
      <c r="I3" s="93" t="s">
        <v>1721</v>
      </c>
      <c r="J3" s="93" t="s">
        <v>0</v>
      </c>
      <c r="K3" s="93" t="s">
        <v>1727</v>
      </c>
      <c r="L3" s="93" t="s">
        <v>1728</v>
      </c>
      <c r="M3" s="93" t="s">
        <v>1729</v>
      </c>
      <c r="N3" s="93" t="s">
        <v>1730</v>
      </c>
    </row>
    <row r="4" spans="1:14">
      <c r="A4" s="87">
        <f t="shared" ref="A4:A258" ca="1" si="0">IF(B4="","",ROW()-3)</f>
        <v>1</v>
      </c>
      <c r="B4" s="2" t="str">
        <f ca="1">IFERROR(__xludf.DUMMYFUNCTION("SORT(FILTER(MRP!B3:J994,MRP!J3:J994=B2),6,false)"),"#N/A")</f>
        <v>#N/A</v>
      </c>
      <c r="C4" s="87"/>
      <c r="D4" s="87"/>
      <c r="E4" s="87"/>
      <c r="F4" s="87"/>
      <c r="G4" s="87"/>
      <c r="H4" s="87"/>
      <c r="I4" s="87"/>
      <c r="J4" s="2"/>
      <c r="K4" s="2"/>
      <c r="L4" s="94" t="e">
        <f ca="1">IF(B4="","", VLOOKUP(B4,RM!$C$4:$G984,10,FALSE))</f>
        <v>#N/A</v>
      </c>
      <c r="M4" s="94" t="e">
        <f ca="1">IF(B4="","", VLOOKUP(B4,RM!$C$4:$G984,11,FALSE))</f>
        <v>#N/A</v>
      </c>
      <c r="N4" s="95" t="e">
        <f ca="1">IF(B4="","", VLOOKUP(B4,RM!$C$4:$G984,12,FALSE))</f>
        <v>#N/A</v>
      </c>
    </row>
    <row r="5" spans="1:14">
      <c r="A5" s="87" t="str">
        <f t="shared" si="0"/>
        <v/>
      </c>
      <c r="B5" s="2"/>
      <c r="C5" s="87"/>
      <c r="D5" s="87"/>
      <c r="E5" s="87"/>
      <c r="F5" s="87"/>
      <c r="G5" s="87"/>
      <c r="H5" s="87"/>
      <c r="I5" s="87"/>
      <c r="J5" s="2"/>
      <c r="K5" s="2"/>
      <c r="L5" s="94" t="str">
        <f>IF(B5="","", VLOOKUP(B5,RM!$C$4:$G984,10,FALSE))</f>
        <v/>
      </c>
      <c r="M5" s="94" t="str">
        <f>IF(B5="","", VLOOKUP(B5,RM!$C$4:$G984,11,FALSE))</f>
        <v/>
      </c>
      <c r="N5" s="95" t="str">
        <f>IF(B5="","", VLOOKUP(B5,RM!$C$4:$G984,12,FALSE))</f>
        <v/>
      </c>
    </row>
    <row r="6" spans="1:14">
      <c r="A6" s="87" t="str">
        <f t="shared" si="0"/>
        <v/>
      </c>
      <c r="B6" s="2"/>
      <c r="C6" s="87"/>
      <c r="D6" s="87"/>
      <c r="E6" s="87"/>
      <c r="F6" s="87"/>
      <c r="G6" s="87"/>
      <c r="H6" s="87"/>
      <c r="I6" s="87"/>
      <c r="J6" s="2"/>
      <c r="K6" s="2"/>
      <c r="L6" s="94" t="str">
        <f>IF(B6="","", VLOOKUP(B6,RM!$C$4:$G984,10,FALSE))</f>
        <v/>
      </c>
      <c r="M6" s="94" t="str">
        <f>IF(B6="","", VLOOKUP(B6,RM!$C$4:$G984,11,FALSE))</f>
        <v/>
      </c>
      <c r="N6" s="95" t="str">
        <f>IF(B6="","", VLOOKUP(B6,RM!$C$4:$G984,12,FALSE))</f>
        <v/>
      </c>
    </row>
    <row r="7" spans="1:14">
      <c r="A7" s="87" t="str">
        <f t="shared" si="0"/>
        <v/>
      </c>
      <c r="B7" s="2"/>
      <c r="C7" s="87"/>
      <c r="D7" s="87"/>
      <c r="E7" s="87"/>
      <c r="F7" s="87"/>
      <c r="G7" s="87"/>
      <c r="H7" s="87"/>
      <c r="I7" s="87"/>
      <c r="J7" s="2"/>
      <c r="K7" s="2"/>
      <c r="L7" s="94" t="str">
        <f>IF(B7="","", VLOOKUP(B7,RM!$C$4:$G984,10,FALSE))</f>
        <v/>
      </c>
      <c r="M7" s="94" t="str">
        <f>IF(B7="","", VLOOKUP(B7,RM!$C$4:$G984,11,FALSE))</f>
        <v/>
      </c>
      <c r="N7" s="95" t="str">
        <f>IF(B7="","", VLOOKUP(B7,RM!$C$4:$G984,12,FALSE))</f>
        <v/>
      </c>
    </row>
    <row r="8" spans="1:14">
      <c r="A8" s="87" t="str">
        <f t="shared" si="0"/>
        <v/>
      </c>
      <c r="B8" s="2"/>
      <c r="C8" s="87"/>
      <c r="D8" s="87"/>
      <c r="E8" s="87"/>
      <c r="F8" s="87"/>
      <c r="G8" s="87"/>
      <c r="H8" s="87"/>
      <c r="I8" s="87"/>
      <c r="J8" s="2"/>
      <c r="K8" s="2"/>
      <c r="L8" s="94" t="str">
        <f>IF(B8="","", VLOOKUP(B8,RM!$C$4:$G984,10,FALSE))</f>
        <v/>
      </c>
      <c r="M8" s="94" t="str">
        <f>IF(B8="","", VLOOKUP(B8,RM!$C$4:$G984,11,FALSE))</f>
        <v/>
      </c>
      <c r="N8" s="95" t="str">
        <f>IF(B8="","", VLOOKUP(B8,RM!$C$4:$G984,12,FALSE))</f>
        <v/>
      </c>
    </row>
    <row r="9" spans="1:14">
      <c r="A9" s="87" t="str">
        <f t="shared" si="0"/>
        <v/>
      </c>
      <c r="B9" s="2"/>
      <c r="C9" s="87"/>
      <c r="D9" s="87"/>
      <c r="E9" s="87"/>
      <c r="F9" s="87"/>
      <c r="G9" s="87"/>
      <c r="H9" s="87"/>
      <c r="I9" s="87"/>
      <c r="J9" s="2"/>
      <c r="K9" s="2"/>
      <c r="L9" s="94" t="str">
        <f>IF(B9="","", VLOOKUP(B9,RM!$C$4:$G984,10,FALSE))</f>
        <v/>
      </c>
      <c r="M9" s="94" t="str">
        <f>IF(B9="","", VLOOKUP(B9,RM!$C$4:$G984,11,FALSE))</f>
        <v/>
      </c>
      <c r="N9" s="95" t="str">
        <f>IF(B9="","", VLOOKUP(B9,RM!$C$4:$G984,12,FALSE))</f>
        <v/>
      </c>
    </row>
    <row r="10" spans="1:14">
      <c r="A10" s="87" t="str">
        <f t="shared" si="0"/>
        <v/>
      </c>
      <c r="B10" s="2"/>
      <c r="C10" s="87"/>
      <c r="D10" s="87"/>
      <c r="E10" s="87"/>
      <c r="F10" s="87"/>
      <c r="G10" s="87"/>
      <c r="H10" s="87"/>
      <c r="I10" s="87"/>
      <c r="J10" s="2"/>
      <c r="K10" s="2"/>
      <c r="L10" s="94" t="str">
        <f>IF(B10="","", VLOOKUP(B10,RM!$C$4:$G984,10,FALSE))</f>
        <v/>
      </c>
      <c r="M10" s="94" t="str">
        <f>IF(B10="","", VLOOKUP(B10,RM!$C$4:$G984,11,FALSE))</f>
        <v/>
      </c>
      <c r="N10" s="95" t="str">
        <f>IF(B10="","", VLOOKUP(B10,RM!$C$4:$G984,12,FALSE))</f>
        <v/>
      </c>
    </row>
    <row r="11" spans="1:14">
      <c r="A11" s="87" t="str">
        <f t="shared" si="0"/>
        <v/>
      </c>
      <c r="B11" s="2"/>
      <c r="C11" s="87"/>
      <c r="D11" s="87"/>
      <c r="E11" s="87"/>
      <c r="F11" s="87"/>
      <c r="G11" s="87"/>
      <c r="H11" s="87"/>
      <c r="I11" s="87"/>
      <c r="J11" s="2"/>
      <c r="K11" s="2"/>
      <c r="L11" s="94" t="str">
        <f>IF(B11="","", VLOOKUP(B11,RM!$C$4:$G984,10,FALSE))</f>
        <v/>
      </c>
      <c r="M11" s="94" t="str">
        <f>IF(B11="","", VLOOKUP(B11,RM!$C$4:$G984,11,FALSE))</f>
        <v/>
      </c>
      <c r="N11" s="95" t="str">
        <f>IF(B11="","", VLOOKUP(B11,RM!$C$4:$G984,12,FALSE))</f>
        <v/>
      </c>
    </row>
    <row r="12" spans="1:14">
      <c r="A12" s="87" t="str">
        <f t="shared" si="0"/>
        <v/>
      </c>
      <c r="B12" s="2"/>
      <c r="C12" s="87"/>
      <c r="D12" s="87"/>
      <c r="E12" s="87"/>
      <c r="F12" s="87"/>
      <c r="G12" s="87"/>
      <c r="H12" s="87"/>
      <c r="I12" s="87"/>
      <c r="J12" s="2"/>
      <c r="K12" s="2"/>
      <c r="L12" s="94" t="str">
        <f>IF(B12="","", VLOOKUP(B12,RM!$C$4:$G984,10,FALSE))</f>
        <v/>
      </c>
      <c r="M12" s="94" t="str">
        <f>IF(B12="","", VLOOKUP(B12,RM!$C$4:$G984,11,FALSE))</f>
        <v/>
      </c>
      <c r="N12" s="95" t="str">
        <f>IF(B12="","", VLOOKUP(B12,RM!$C$4:$G984,12,FALSE))</f>
        <v/>
      </c>
    </row>
    <row r="13" spans="1:14">
      <c r="A13" s="87" t="str">
        <f t="shared" si="0"/>
        <v/>
      </c>
      <c r="B13" s="2"/>
      <c r="C13" s="87"/>
      <c r="D13" s="87"/>
      <c r="E13" s="87"/>
      <c r="F13" s="87"/>
      <c r="G13" s="87"/>
      <c r="H13" s="87"/>
      <c r="I13" s="87"/>
      <c r="J13" s="2"/>
      <c r="K13" s="2"/>
      <c r="L13" s="94" t="str">
        <f>IF(B13="","", VLOOKUP(B13,RM!$C$4:$G984,10,FALSE))</f>
        <v/>
      </c>
      <c r="M13" s="94" t="str">
        <f>IF(B13="","", VLOOKUP(B13,RM!$C$4:$G984,11,FALSE))</f>
        <v/>
      </c>
      <c r="N13" s="95" t="str">
        <f>IF(B13="","", VLOOKUP(B13,RM!$C$4:$G984,12,FALSE))</f>
        <v/>
      </c>
    </row>
    <row r="14" spans="1:14">
      <c r="A14" s="87" t="str">
        <f t="shared" si="0"/>
        <v/>
      </c>
      <c r="B14" s="2"/>
      <c r="C14" s="87"/>
      <c r="D14" s="87"/>
      <c r="E14" s="87"/>
      <c r="F14" s="87"/>
      <c r="G14" s="87"/>
      <c r="H14" s="87"/>
      <c r="I14" s="87"/>
      <c r="J14" s="2"/>
      <c r="K14" s="2"/>
      <c r="L14" s="94" t="str">
        <f>IF(B14="","", VLOOKUP(B14,RM!$C$4:$G984,10,FALSE))</f>
        <v/>
      </c>
      <c r="M14" s="94" t="str">
        <f>IF(B14="","", VLOOKUP(B14,RM!$C$4:$G984,11,FALSE))</f>
        <v/>
      </c>
      <c r="N14" s="95" t="str">
        <f>IF(B14="","", VLOOKUP(B14,RM!$C$4:$G984,12,FALSE))</f>
        <v/>
      </c>
    </row>
    <row r="15" spans="1:14">
      <c r="A15" s="87" t="str">
        <f t="shared" si="0"/>
        <v/>
      </c>
      <c r="B15" s="2"/>
      <c r="C15" s="87"/>
      <c r="D15" s="87"/>
      <c r="E15" s="87"/>
      <c r="F15" s="87"/>
      <c r="G15" s="87"/>
      <c r="H15" s="87"/>
      <c r="I15" s="87"/>
      <c r="J15" s="2"/>
      <c r="K15" s="2"/>
      <c r="L15" s="94" t="str">
        <f>IF(B15="","", VLOOKUP(B15,RM!$C$4:$G984,10,FALSE))</f>
        <v/>
      </c>
      <c r="M15" s="94" t="str">
        <f>IF(B15="","", VLOOKUP(B15,RM!$C$4:$G984,11,FALSE))</f>
        <v/>
      </c>
      <c r="N15" s="95" t="str">
        <f>IF(B15="","", VLOOKUP(B15,RM!$C$4:$G984,12,FALSE))</f>
        <v/>
      </c>
    </row>
    <row r="16" spans="1:14">
      <c r="A16" s="87" t="str">
        <f t="shared" si="0"/>
        <v/>
      </c>
      <c r="B16" s="2"/>
      <c r="C16" s="87"/>
      <c r="D16" s="87"/>
      <c r="E16" s="87"/>
      <c r="F16" s="87"/>
      <c r="G16" s="87"/>
      <c r="H16" s="87"/>
      <c r="I16" s="87"/>
      <c r="J16" s="2"/>
      <c r="K16" s="2"/>
      <c r="L16" s="94" t="str">
        <f>IF(B16="","", VLOOKUP(B16,RM!$C$4:$G984,10,FALSE))</f>
        <v/>
      </c>
      <c r="M16" s="94" t="str">
        <f>IF(B16="","", VLOOKUP(B16,RM!$C$4:$G984,11,FALSE))</f>
        <v/>
      </c>
      <c r="N16" s="95" t="str">
        <f>IF(B16="","", VLOOKUP(B16,RM!$C$4:$G984,12,FALSE))</f>
        <v/>
      </c>
    </row>
    <row r="17" spans="1:14">
      <c r="A17" s="87" t="str">
        <f t="shared" si="0"/>
        <v/>
      </c>
      <c r="B17" s="2"/>
      <c r="C17" s="87"/>
      <c r="D17" s="87"/>
      <c r="E17" s="87"/>
      <c r="F17" s="87"/>
      <c r="G17" s="87"/>
      <c r="H17" s="87"/>
      <c r="I17" s="87"/>
      <c r="J17" s="2"/>
      <c r="K17" s="2"/>
      <c r="L17" s="94" t="str">
        <f>IF(B17="","", VLOOKUP(B17,RM!$C$4:$G984,10,FALSE))</f>
        <v/>
      </c>
      <c r="M17" s="94" t="str">
        <f>IF(B17="","", VLOOKUP(B17,RM!$C$4:$G984,11,FALSE))</f>
        <v/>
      </c>
      <c r="N17" s="95" t="str">
        <f>IF(B17="","", VLOOKUP(B17,RM!$C$4:$G984,12,FALSE))</f>
        <v/>
      </c>
    </row>
    <row r="18" spans="1:14">
      <c r="A18" s="87" t="str">
        <f t="shared" si="0"/>
        <v/>
      </c>
      <c r="B18" s="2"/>
      <c r="C18" s="87"/>
      <c r="D18" s="87"/>
      <c r="E18" s="87"/>
      <c r="F18" s="87"/>
      <c r="G18" s="87"/>
      <c r="H18" s="87"/>
      <c r="I18" s="87"/>
      <c r="J18" s="2"/>
      <c r="K18" s="2"/>
      <c r="L18" s="94" t="str">
        <f>IF(B18="","", VLOOKUP(B18,RM!$C$4:$G984,10,FALSE))</f>
        <v/>
      </c>
      <c r="M18" s="94" t="str">
        <f>IF(B18="","", VLOOKUP(B18,RM!$C$4:$G984,11,FALSE))</f>
        <v/>
      </c>
      <c r="N18" s="95" t="str">
        <f>IF(B18="","", VLOOKUP(B18,RM!$C$4:$G984,12,FALSE))</f>
        <v/>
      </c>
    </row>
    <row r="19" spans="1:14">
      <c r="A19" s="87" t="str">
        <f t="shared" si="0"/>
        <v/>
      </c>
      <c r="B19" s="2"/>
      <c r="C19" s="87"/>
      <c r="D19" s="87"/>
      <c r="E19" s="87"/>
      <c r="F19" s="87"/>
      <c r="G19" s="87"/>
      <c r="H19" s="87"/>
      <c r="I19" s="87"/>
      <c r="J19" s="2"/>
      <c r="K19" s="2"/>
      <c r="L19" s="94" t="str">
        <f>IF(B19="","", VLOOKUP(B19,RM!$C$4:$G984,10,FALSE))</f>
        <v/>
      </c>
      <c r="M19" s="94" t="str">
        <f>IF(B19="","", VLOOKUP(B19,RM!$C$4:$G984,11,FALSE))</f>
        <v/>
      </c>
      <c r="N19" s="95" t="str">
        <f>IF(B19="","", VLOOKUP(B19,RM!$C$4:$G984,12,FALSE))</f>
        <v/>
      </c>
    </row>
    <row r="20" spans="1:14">
      <c r="A20" s="87" t="str">
        <f t="shared" si="0"/>
        <v/>
      </c>
      <c r="B20" s="2"/>
      <c r="C20" s="87"/>
      <c r="D20" s="87"/>
      <c r="E20" s="87"/>
      <c r="F20" s="87"/>
      <c r="G20" s="87"/>
      <c r="H20" s="87"/>
      <c r="I20" s="87"/>
      <c r="J20" s="2"/>
      <c r="K20" s="2"/>
      <c r="L20" s="94" t="str">
        <f>IF(B20="","", VLOOKUP(B20,RM!$C$4:$G984,10,FALSE))</f>
        <v/>
      </c>
      <c r="M20" s="94" t="str">
        <f>IF(B20="","", VLOOKUP(B20,RM!$C$4:$G984,11,FALSE))</f>
        <v/>
      </c>
      <c r="N20" s="95" t="str">
        <f>IF(B20="","", VLOOKUP(B20,RM!$C$4:$G984,12,FALSE))</f>
        <v/>
      </c>
    </row>
    <row r="21" spans="1:14">
      <c r="A21" s="87" t="str">
        <f t="shared" si="0"/>
        <v/>
      </c>
      <c r="B21" s="2"/>
      <c r="C21" s="87"/>
      <c r="D21" s="87"/>
      <c r="E21" s="87"/>
      <c r="F21" s="87"/>
      <c r="G21" s="87"/>
      <c r="H21" s="87"/>
      <c r="I21" s="87"/>
      <c r="J21" s="2"/>
      <c r="K21" s="2"/>
      <c r="L21" s="94" t="str">
        <f>IF(B21="","", VLOOKUP(B21,RM!$C$4:$G984,10,FALSE))</f>
        <v/>
      </c>
      <c r="M21" s="94" t="str">
        <f>IF(B21="","", VLOOKUP(B21,RM!$C$4:$G984,11,FALSE))</f>
        <v/>
      </c>
      <c r="N21" s="95" t="str">
        <f>IF(B21="","", VLOOKUP(B21,RM!$C$4:$G984,12,FALSE))</f>
        <v/>
      </c>
    </row>
    <row r="22" spans="1:14">
      <c r="A22" s="87" t="str">
        <f t="shared" si="0"/>
        <v/>
      </c>
      <c r="B22" s="2"/>
      <c r="C22" s="87"/>
      <c r="D22" s="87"/>
      <c r="E22" s="87"/>
      <c r="F22" s="87"/>
      <c r="G22" s="87"/>
      <c r="H22" s="87"/>
      <c r="I22" s="87"/>
      <c r="J22" s="2"/>
      <c r="K22" s="2"/>
      <c r="L22" s="94" t="str">
        <f>IF(B22="","", VLOOKUP(B22,RM!$C$4:$G984,10,FALSE))</f>
        <v/>
      </c>
      <c r="M22" s="94" t="str">
        <f>IF(B22="","", VLOOKUP(B22,RM!$C$4:$G984,11,FALSE))</f>
        <v/>
      </c>
      <c r="N22" s="95" t="str">
        <f>IF(B22="","", VLOOKUP(B22,RM!$C$4:$G984,12,FALSE))</f>
        <v/>
      </c>
    </row>
    <row r="23" spans="1:14">
      <c r="A23" s="87" t="str">
        <f t="shared" si="0"/>
        <v/>
      </c>
      <c r="B23" s="2"/>
      <c r="C23" s="87"/>
      <c r="D23" s="87"/>
      <c r="E23" s="87"/>
      <c r="F23" s="87"/>
      <c r="G23" s="87"/>
      <c r="H23" s="87"/>
      <c r="I23" s="87"/>
      <c r="J23" s="2"/>
      <c r="K23" s="2"/>
      <c r="L23" s="94" t="str">
        <f>IF(B23="","", VLOOKUP(B23,RM!$C$4:$G984,10,FALSE))</f>
        <v/>
      </c>
      <c r="M23" s="94" t="str">
        <f>IF(B23="","", VLOOKUP(B23,RM!$C$4:$G984,11,FALSE))</f>
        <v/>
      </c>
      <c r="N23" s="95" t="str">
        <f>IF(B23="","", VLOOKUP(B23,RM!$C$4:$G984,12,FALSE))</f>
        <v/>
      </c>
    </row>
    <row r="24" spans="1:14">
      <c r="A24" s="87" t="str">
        <f t="shared" si="0"/>
        <v/>
      </c>
      <c r="B24" s="2"/>
      <c r="C24" s="87"/>
      <c r="D24" s="87"/>
      <c r="E24" s="87"/>
      <c r="F24" s="87"/>
      <c r="G24" s="87"/>
      <c r="H24" s="87"/>
      <c r="I24" s="87"/>
      <c r="J24" s="2"/>
      <c r="K24" s="2"/>
      <c r="L24" s="94" t="str">
        <f>IF(B24="","", VLOOKUP(B24,RM!$C$4:$G984,10,FALSE))</f>
        <v/>
      </c>
      <c r="M24" s="94" t="str">
        <f>IF(B24="","", VLOOKUP(B24,RM!$C$4:$G984,11,FALSE))</f>
        <v/>
      </c>
      <c r="N24" s="95" t="str">
        <f>IF(B24="","", VLOOKUP(B24,RM!$C$4:$G984,12,FALSE))</f>
        <v/>
      </c>
    </row>
    <row r="25" spans="1:14">
      <c r="A25" s="87" t="str">
        <f t="shared" si="0"/>
        <v/>
      </c>
      <c r="B25" s="2"/>
      <c r="C25" s="87"/>
      <c r="D25" s="87"/>
      <c r="E25" s="87"/>
      <c r="F25" s="87"/>
      <c r="G25" s="87"/>
      <c r="H25" s="87"/>
      <c r="I25" s="87"/>
      <c r="J25" s="2"/>
      <c r="K25" s="2"/>
      <c r="L25" s="94" t="str">
        <f>IF(B25="","", VLOOKUP(B25,RM!$C$4:$G984,10,FALSE))</f>
        <v/>
      </c>
      <c r="M25" s="94" t="str">
        <f>IF(B25="","", VLOOKUP(B25,RM!$C$4:$G984,11,FALSE))</f>
        <v/>
      </c>
      <c r="N25" s="95" t="str">
        <f>IF(B25="","", VLOOKUP(B25,RM!$C$4:$G984,12,FALSE))</f>
        <v/>
      </c>
    </row>
    <row r="26" spans="1:14">
      <c r="A26" s="87" t="str">
        <f t="shared" si="0"/>
        <v/>
      </c>
      <c r="B26" s="2"/>
      <c r="C26" s="87"/>
      <c r="D26" s="87"/>
      <c r="E26" s="87"/>
      <c r="F26" s="87"/>
      <c r="G26" s="87"/>
      <c r="H26" s="87"/>
      <c r="I26" s="87"/>
      <c r="J26" s="2"/>
      <c r="K26" s="2"/>
      <c r="L26" s="94" t="str">
        <f>IF(B26="","", VLOOKUP(B26,RM!$C$4:$G984,10,FALSE))</f>
        <v/>
      </c>
      <c r="M26" s="94" t="str">
        <f>IF(B26="","", VLOOKUP(B26,RM!$C$4:$G984,11,FALSE))</f>
        <v/>
      </c>
      <c r="N26" s="95" t="str">
        <f>IF(B26="","", VLOOKUP(B26,RM!$C$4:$G984,12,FALSE))</f>
        <v/>
      </c>
    </row>
    <row r="27" spans="1:14">
      <c r="A27" s="87" t="str">
        <f t="shared" si="0"/>
        <v/>
      </c>
      <c r="B27" s="2"/>
      <c r="C27" s="87"/>
      <c r="D27" s="87"/>
      <c r="E27" s="87"/>
      <c r="F27" s="87"/>
      <c r="G27" s="87"/>
      <c r="H27" s="87"/>
      <c r="I27" s="87"/>
      <c r="J27" s="2"/>
      <c r="K27" s="2"/>
      <c r="L27" s="94" t="str">
        <f>IF(B27="","", VLOOKUP(B27,RM!$C$4:$G984,10,FALSE))</f>
        <v/>
      </c>
      <c r="M27" s="94" t="str">
        <f>IF(B27="","", VLOOKUP(B27,RM!$C$4:$G984,11,FALSE))</f>
        <v/>
      </c>
      <c r="N27" s="95" t="str">
        <f>IF(B27="","", VLOOKUP(B27,RM!$C$4:$G984,12,FALSE))</f>
        <v/>
      </c>
    </row>
    <row r="28" spans="1:14">
      <c r="A28" s="87" t="str">
        <f t="shared" si="0"/>
        <v/>
      </c>
      <c r="B28" s="2"/>
      <c r="C28" s="87"/>
      <c r="D28" s="87"/>
      <c r="E28" s="87"/>
      <c r="F28" s="87"/>
      <c r="G28" s="87"/>
      <c r="H28" s="87"/>
      <c r="I28" s="87"/>
      <c r="J28" s="2"/>
      <c r="K28" s="2"/>
      <c r="L28" s="94" t="str">
        <f>IF(B28="","", VLOOKUP(B28,RM!$C$4:$G984,10,FALSE))</f>
        <v/>
      </c>
      <c r="M28" s="94" t="str">
        <f>IF(B28="","", VLOOKUP(B28,RM!$C$4:$G984,11,FALSE))</f>
        <v/>
      </c>
      <c r="N28" s="95" t="str">
        <f>IF(B28="","", VLOOKUP(B28,RM!$C$4:$G984,12,FALSE))</f>
        <v/>
      </c>
    </row>
    <row r="29" spans="1:14">
      <c r="A29" s="87" t="str">
        <f t="shared" si="0"/>
        <v/>
      </c>
      <c r="B29" s="2"/>
      <c r="C29" s="87"/>
      <c r="D29" s="87"/>
      <c r="E29" s="87"/>
      <c r="F29" s="87"/>
      <c r="G29" s="87"/>
      <c r="H29" s="87"/>
      <c r="I29" s="87"/>
      <c r="J29" s="2"/>
      <c r="K29" s="2"/>
      <c r="L29" s="94" t="str">
        <f>IF(B29="","", VLOOKUP(B29,RM!$C$4:$G984,10,FALSE))</f>
        <v/>
      </c>
      <c r="M29" s="94" t="str">
        <f>IF(B29="","", VLOOKUP(B29,RM!$C$4:$G984,11,FALSE))</f>
        <v/>
      </c>
      <c r="N29" s="95" t="str">
        <f>IF(B29="","", VLOOKUP(B29,RM!$C$4:$G984,12,FALSE))</f>
        <v/>
      </c>
    </row>
    <row r="30" spans="1:14">
      <c r="A30" s="87" t="str">
        <f t="shared" si="0"/>
        <v/>
      </c>
      <c r="B30" s="2"/>
      <c r="C30" s="87"/>
      <c r="D30" s="87"/>
      <c r="E30" s="87"/>
      <c r="F30" s="87"/>
      <c r="G30" s="87"/>
      <c r="H30" s="87"/>
      <c r="I30" s="87"/>
      <c r="J30" s="2"/>
      <c r="K30" s="2"/>
      <c r="L30" s="94" t="str">
        <f>IF(B30="","", VLOOKUP(B30,RM!$C$4:$G984,10,FALSE))</f>
        <v/>
      </c>
      <c r="M30" s="94" t="str">
        <f>IF(B30="","", VLOOKUP(B30,RM!$C$4:$G984,11,FALSE))</f>
        <v/>
      </c>
      <c r="N30" s="95" t="str">
        <f>IF(B30="","", VLOOKUP(B30,RM!$C$4:$G984,12,FALSE))</f>
        <v/>
      </c>
    </row>
    <row r="31" spans="1:14">
      <c r="A31" s="87" t="str">
        <f t="shared" si="0"/>
        <v/>
      </c>
      <c r="B31" s="2"/>
      <c r="C31" s="87"/>
      <c r="D31" s="87"/>
      <c r="E31" s="87"/>
      <c r="F31" s="87"/>
      <c r="G31" s="87"/>
      <c r="H31" s="87"/>
      <c r="I31" s="87"/>
      <c r="J31" s="2"/>
      <c r="K31" s="2"/>
      <c r="L31" s="94" t="str">
        <f>IF(B31="","", VLOOKUP(B31,RM!$C$4:$G984,10,FALSE))</f>
        <v/>
      </c>
      <c r="M31" s="94" t="str">
        <f>IF(B31="","", VLOOKUP(B31,RM!$C$4:$G984,11,FALSE))</f>
        <v/>
      </c>
      <c r="N31" s="95" t="str">
        <f>IF(B31="","", VLOOKUP(B31,RM!$C$4:$G984,12,FALSE))</f>
        <v/>
      </c>
    </row>
    <row r="32" spans="1:14">
      <c r="A32" s="87" t="str">
        <f t="shared" si="0"/>
        <v/>
      </c>
      <c r="B32" s="2"/>
      <c r="C32" s="87"/>
      <c r="D32" s="87"/>
      <c r="E32" s="87"/>
      <c r="F32" s="87"/>
      <c r="G32" s="87"/>
      <c r="H32" s="87"/>
      <c r="I32" s="87"/>
      <c r="J32" s="2"/>
      <c r="K32" s="2"/>
      <c r="L32" s="94" t="str">
        <f>IF(B32="","", VLOOKUP(B32,RM!$C$4:$G984,10,FALSE))</f>
        <v/>
      </c>
      <c r="M32" s="94" t="str">
        <f>IF(B32="","", VLOOKUP(B32,RM!$C$4:$G984,11,FALSE))</f>
        <v/>
      </c>
      <c r="N32" s="95" t="str">
        <f>IF(B32="","", VLOOKUP(B32,RM!$C$4:$G984,12,FALSE))</f>
        <v/>
      </c>
    </row>
    <row r="33" spans="1:14">
      <c r="A33" s="87" t="str">
        <f t="shared" si="0"/>
        <v/>
      </c>
      <c r="B33" s="2"/>
      <c r="C33" s="87"/>
      <c r="D33" s="87"/>
      <c r="E33" s="87"/>
      <c r="F33" s="87"/>
      <c r="G33" s="87"/>
      <c r="H33" s="87"/>
      <c r="I33" s="87"/>
      <c r="J33" s="2"/>
      <c r="K33" s="2"/>
      <c r="L33" s="94" t="str">
        <f>IF(B33="","", VLOOKUP(B33,RM!$C$4:$G984,10,FALSE))</f>
        <v/>
      </c>
      <c r="M33" s="94" t="str">
        <f>IF(B33="","", VLOOKUP(B33,RM!$C$4:$G984,11,FALSE))</f>
        <v/>
      </c>
      <c r="N33" s="95" t="str">
        <f>IF(B33="","", VLOOKUP(B33,RM!$C$4:$G984,12,FALSE))</f>
        <v/>
      </c>
    </row>
    <row r="34" spans="1:14">
      <c r="A34" s="87" t="str">
        <f t="shared" si="0"/>
        <v/>
      </c>
      <c r="B34" s="2"/>
      <c r="C34" s="87"/>
      <c r="D34" s="87"/>
      <c r="E34" s="87"/>
      <c r="F34" s="87"/>
      <c r="G34" s="87"/>
      <c r="H34" s="87"/>
      <c r="I34" s="87"/>
      <c r="J34" s="2"/>
      <c r="K34" s="2"/>
      <c r="L34" s="94" t="str">
        <f>IF(B34="","", VLOOKUP(B34,RM!$C$4:$G984,10,FALSE))</f>
        <v/>
      </c>
      <c r="M34" s="94" t="str">
        <f>IF(B34="","", VLOOKUP(B34,RM!$C$4:$G984,11,FALSE))</f>
        <v/>
      </c>
      <c r="N34" s="95" t="str">
        <f>IF(B34="","", VLOOKUP(B34,RM!$C$4:$G984,12,FALSE))</f>
        <v/>
      </c>
    </row>
    <row r="35" spans="1:14">
      <c r="A35" s="87" t="str">
        <f t="shared" si="0"/>
        <v/>
      </c>
      <c r="B35" s="2"/>
      <c r="C35" s="87"/>
      <c r="D35" s="87"/>
      <c r="E35" s="87"/>
      <c r="F35" s="87"/>
      <c r="G35" s="87"/>
      <c r="H35" s="87"/>
      <c r="I35" s="87"/>
      <c r="J35" s="2"/>
      <c r="K35" s="2"/>
      <c r="L35" s="94" t="str">
        <f>IF(B35="","", VLOOKUP(B35,RM!$C$4:$G984,10,FALSE))</f>
        <v/>
      </c>
      <c r="M35" s="94" t="str">
        <f>IF(B35="","", VLOOKUP(B35,RM!$C$4:$G984,11,FALSE))</f>
        <v/>
      </c>
      <c r="N35" s="95" t="str">
        <f>IF(B35="","", VLOOKUP(B35,RM!$C$4:$G984,12,FALSE))</f>
        <v/>
      </c>
    </row>
    <row r="36" spans="1:14">
      <c r="A36" s="87" t="str">
        <f t="shared" si="0"/>
        <v/>
      </c>
      <c r="B36" s="2"/>
      <c r="C36" s="87"/>
      <c r="D36" s="87"/>
      <c r="E36" s="87"/>
      <c r="F36" s="87"/>
      <c r="G36" s="87"/>
      <c r="H36" s="87"/>
      <c r="I36" s="87"/>
      <c r="J36" s="2"/>
      <c r="K36" s="2"/>
      <c r="L36" s="94" t="str">
        <f>IF(B36="","", VLOOKUP(B36,RM!$C$4:$G984,10,FALSE))</f>
        <v/>
      </c>
      <c r="M36" s="94" t="str">
        <f>IF(B36="","", VLOOKUP(B36,RM!$C$4:$G984,11,FALSE))</f>
        <v/>
      </c>
      <c r="N36" s="95" t="str">
        <f>IF(B36="","", VLOOKUP(B36,RM!$C$4:$G984,12,FALSE))</f>
        <v/>
      </c>
    </row>
    <row r="37" spans="1:14">
      <c r="A37" s="87" t="str">
        <f t="shared" si="0"/>
        <v/>
      </c>
      <c r="B37" s="2"/>
      <c r="C37" s="87"/>
      <c r="D37" s="87"/>
      <c r="E37" s="87"/>
      <c r="F37" s="87"/>
      <c r="G37" s="87"/>
      <c r="H37" s="87"/>
      <c r="I37" s="87"/>
      <c r="J37" s="2"/>
      <c r="K37" s="2"/>
      <c r="L37" s="94" t="str">
        <f>IF(B37="","", VLOOKUP(B37,RM!$C$4:$G984,10,FALSE))</f>
        <v/>
      </c>
      <c r="M37" s="94" t="str">
        <f>IF(B37="","", VLOOKUP(B37,RM!$C$4:$G984,11,FALSE))</f>
        <v/>
      </c>
      <c r="N37" s="95" t="str">
        <f>IF(B37="","", VLOOKUP(B37,RM!$C$4:$G984,12,FALSE))</f>
        <v/>
      </c>
    </row>
    <row r="38" spans="1:14">
      <c r="A38" s="87" t="str">
        <f t="shared" si="0"/>
        <v/>
      </c>
      <c r="B38" s="2"/>
      <c r="C38" s="87"/>
      <c r="D38" s="87"/>
      <c r="E38" s="87"/>
      <c r="F38" s="87"/>
      <c r="G38" s="87"/>
      <c r="H38" s="87"/>
      <c r="I38" s="87"/>
      <c r="J38" s="2"/>
      <c r="K38" s="2"/>
      <c r="L38" s="94" t="str">
        <f>IF(B38="","", VLOOKUP(B38,RM!$C$4:$G984,10,FALSE))</f>
        <v/>
      </c>
      <c r="M38" s="94" t="str">
        <f>IF(B38="","", VLOOKUP(B38,RM!$C$4:$G984,11,FALSE))</f>
        <v/>
      </c>
      <c r="N38" s="95" t="str">
        <f>IF(B38="","", VLOOKUP(B38,RM!$C$4:$G984,12,FALSE))</f>
        <v/>
      </c>
    </row>
    <row r="39" spans="1:14">
      <c r="A39" s="87" t="str">
        <f t="shared" si="0"/>
        <v/>
      </c>
      <c r="B39" s="2"/>
      <c r="C39" s="87"/>
      <c r="D39" s="87"/>
      <c r="E39" s="87"/>
      <c r="F39" s="87"/>
      <c r="G39" s="87"/>
      <c r="H39" s="87"/>
      <c r="I39" s="87"/>
      <c r="J39" s="2"/>
      <c r="K39" s="2"/>
      <c r="L39" s="94" t="str">
        <f>IF(B39="","", VLOOKUP(B39,RM!$C$4:$G984,10,FALSE))</f>
        <v/>
      </c>
      <c r="M39" s="94" t="str">
        <f>IF(B39="","", VLOOKUP(B39,RM!$C$4:$G984,11,FALSE))</f>
        <v/>
      </c>
      <c r="N39" s="95" t="str">
        <f>IF(B39="","", VLOOKUP(B39,RM!$C$4:$G984,12,FALSE))</f>
        <v/>
      </c>
    </row>
    <row r="40" spans="1:14">
      <c r="A40" s="87" t="str">
        <f t="shared" si="0"/>
        <v/>
      </c>
      <c r="B40" s="2"/>
      <c r="C40" s="87"/>
      <c r="D40" s="87"/>
      <c r="E40" s="87"/>
      <c r="F40" s="87"/>
      <c r="G40" s="87"/>
      <c r="H40" s="87"/>
      <c r="I40" s="87"/>
      <c r="J40" s="2"/>
      <c r="K40" s="2"/>
      <c r="L40" s="94" t="str">
        <f>IF(B40="","", VLOOKUP(B40,RM!$C$4:$G984,10,FALSE))</f>
        <v/>
      </c>
      <c r="M40" s="94" t="str">
        <f>IF(B40="","", VLOOKUP(B40,RM!$C$4:$G984,11,FALSE))</f>
        <v/>
      </c>
      <c r="N40" s="95" t="str">
        <f>IF(B40="","", VLOOKUP(B40,RM!$C$4:$G984,12,FALSE))</f>
        <v/>
      </c>
    </row>
    <row r="41" spans="1:14">
      <c r="A41" s="87" t="str">
        <f t="shared" si="0"/>
        <v/>
      </c>
      <c r="B41" s="2"/>
      <c r="C41" s="87"/>
      <c r="D41" s="87"/>
      <c r="E41" s="87"/>
      <c r="F41" s="87"/>
      <c r="G41" s="87"/>
      <c r="H41" s="87"/>
      <c r="I41" s="87"/>
      <c r="J41" s="2"/>
      <c r="K41" s="2"/>
      <c r="L41" s="94" t="str">
        <f>IF(B41="","", VLOOKUP(B41,RM!$C$4:$G984,10,FALSE))</f>
        <v/>
      </c>
      <c r="M41" s="94" t="str">
        <f>IF(B41="","", VLOOKUP(B41,RM!$C$4:$G984,11,FALSE))</f>
        <v/>
      </c>
      <c r="N41" s="95" t="str">
        <f>IF(B41="","", VLOOKUP(B41,RM!$C$4:$G984,12,FALSE))</f>
        <v/>
      </c>
    </row>
    <row r="42" spans="1:14">
      <c r="A42" s="87" t="str">
        <f t="shared" si="0"/>
        <v/>
      </c>
      <c r="B42" s="2"/>
      <c r="C42" s="87"/>
      <c r="D42" s="87"/>
      <c r="E42" s="87"/>
      <c r="F42" s="87"/>
      <c r="G42" s="87"/>
      <c r="H42" s="87"/>
      <c r="I42" s="87"/>
      <c r="J42" s="2"/>
      <c r="K42" s="2"/>
      <c r="L42" s="94" t="str">
        <f>IF(B42="","", VLOOKUP(B42,RM!$C$4:$G984,10,FALSE))</f>
        <v/>
      </c>
      <c r="M42" s="94" t="str">
        <f>IF(B42="","", VLOOKUP(B42,RM!$C$4:$G984,11,FALSE))</f>
        <v/>
      </c>
      <c r="N42" s="95" t="str">
        <f>IF(B42="","", VLOOKUP(B42,RM!$C$4:$G984,12,FALSE))</f>
        <v/>
      </c>
    </row>
    <row r="43" spans="1:14">
      <c r="A43" s="87" t="str">
        <f t="shared" si="0"/>
        <v/>
      </c>
      <c r="B43" s="2"/>
      <c r="C43" s="87"/>
      <c r="D43" s="87"/>
      <c r="E43" s="87"/>
      <c r="F43" s="87"/>
      <c r="G43" s="87"/>
      <c r="H43" s="87"/>
      <c r="I43" s="87"/>
      <c r="J43" s="2"/>
      <c r="K43" s="2"/>
      <c r="L43" s="94" t="str">
        <f>IF(B43="","", VLOOKUP(B43,RM!$C$4:$G984,10,FALSE))</f>
        <v/>
      </c>
      <c r="M43" s="94" t="str">
        <f>IF(B43="","", VLOOKUP(B43,RM!$C$4:$G984,11,FALSE))</f>
        <v/>
      </c>
      <c r="N43" s="95" t="str">
        <f>IF(B43="","", VLOOKUP(B43,RM!$C$4:$G984,12,FALSE))</f>
        <v/>
      </c>
    </row>
    <row r="44" spans="1:14">
      <c r="A44" s="87" t="str">
        <f t="shared" si="0"/>
        <v/>
      </c>
      <c r="B44" s="2"/>
      <c r="C44" s="87"/>
      <c r="D44" s="87"/>
      <c r="E44" s="87"/>
      <c r="F44" s="87"/>
      <c r="G44" s="87"/>
      <c r="H44" s="87"/>
      <c r="I44" s="87"/>
      <c r="J44" s="2"/>
      <c r="K44" s="2"/>
      <c r="L44" s="94" t="str">
        <f>IF(B44="","", VLOOKUP(B44,RM!$C$4:$G984,10,FALSE))</f>
        <v/>
      </c>
      <c r="M44" s="94" t="str">
        <f>IF(B44="","", VLOOKUP(B44,RM!$C$4:$G984,11,FALSE))</f>
        <v/>
      </c>
      <c r="N44" s="95" t="str">
        <f>IF(B44="","", VLOOKUP(B44,RM!$C$4:$G984,12,FALSE))</f>
        <v/>
      </c>
    </row>
    <row r="45" spans="1:14">
      <c r="A45" s="87" t="str">
        <f t="shared" si="0"/>
        <v/>
      </c>
      <c r="B45" s="2"/>
      <c r="C45" s="87"/>
      <c r="D45" s="87"/>
      <c r="E45" s="87"/>
      <c r="F45" s="87"/>
      <c r="G45" s="87"/>
      <c r="H45" s="87"/>
      <c r="I45" s="87"/>
      <c r="J45" s="2"/>
      <c r="K45" s="2"/>
      <c r="L45" s="94" t="str">
        <f>IF(B45="","", VLOOKUP(B45,RM!$C$4:$G984,10,FALSE))</f>
        <v/>
      </c>
      <c r="M45" s="94" t="str">
        <f>IF(B45="","", VLOOKUP(B45,RM!$C$4:$G984,11,FALSE))</f>
        <v/>
      </c>
      <c r="N45" s="95" t="str">
        <f>IF(B45="","", VLOOKUP(B45,RM!$C$4:$G984,12,FALSE))</f>
        <v/>
      </c>
    </row>
    <row r="46" spans="1:14">
      <c r="A46" s="87" t="str">
        <f t="shared" si="0"/>
        <v/>
      </c>
      <c r="B46" s="2"/>
      <c r="C46" s="87"/>
      <c r="D46" s="87"/>
      <c r="E46" s="87"/>
      <c r="F46" s="87"/>
      <c r="G46" s="87"/>
      <c r="H46" s="87"/>
      <c r="I46" s="87"/>
      <c r="J46" s="2"/>
      <c r="K46" s="2"/>
      <c r="L46" s="94" t="str">
        <f>IF(B46="","", VLOOKUP(B46,RM!$C$4:$G984,10,FALSE))</f>
        <v/>
      </c>
      <c r="M46" s="94" t="str">
        <f>IF(B46="","", VLOOKUP(B46,RM!$C$4:$G984,11,FALSE))</f>
        <v/>
      </c>
      <c r="N46" s="95" t="str">
        <f>IF(B46="","", VLOOKUP(B46,RM!$C$4:$G984,12,FALSE))</f>
        <v/>
      </c>
    </row>
    <row r="47" spans="1:14">
      <c r="A47" s="87" t="str">
        <f t="shared" si="0"/>
        <v/>
      </c>
      <c r="B47" s="2"/>
      <c r="C47" s="87"/>
      <c r="D47" s="87"/>
      <c r="E47" s="87"/>
      <c r="F47" s="87"/>
      <c r="G47" s="87"/>
      <c r="H47" s="87"/>
      <c r="I47" s="87"/>
      <c r="J47" s="2"/>
      <c r="K47" s="2"/>
      <c r="L47" s="94" t="str">
        <f>IF(B47="","", VLOOKUP(B47,RM!$C$4:$G984,10,FALSE))</f>
        <v/>
      </c>
      <c r="M47" s="94" t="str">
        <f>IF(B47="","", VLOOKUP(B47,RM!$C$4:$G984,11,FALSE))</f>
        <v/>
      </c>
      <c r="N47" s="95" t="str">
        <f>IF(B47="","", VLOOKUP(B47,RM!$C$4:$G984,12,FALSE))</f>
        <v/>
      </c>
    </row>
    <row r="48" spans="1:14">
      <c r="A48" s="87" t="str">
        <f t="shared" si="0"/>
        <v/>
      </c>
      <c r="B48" s="2"/>
      <c r="C48" s="87"/>
      <c r="D48" s="87"/>
      <c r="E48" s="87"/>
      <c r="F48" s="87"/>
      <c r="G48" s="87"/>
      <c r="H48" s="87"/>
      <c r="I48" s="87"/>
      <c r="J48" s="2"/>
      <c r="K48" s="2"/>
      <c r="L48" s="94" t="str">
        <f>IF(B48="","", VLOOKUP(B48,RM!$C$4:$G984,10,FALSE))</f>
        <v/>
      </c>
      <c r="M48" s="94" t="str">
        <f>IF(B48="","", VLOOKUP(B48,RM!$C$4:$G984,11,FALSE))</f>
        <v/>
      </c>
      <c r="N48" s="95" t="str">
        <f>IF(B48="","", VLOOKUP(B48,RM!$C$4:$G984,12,FALSE))</f>
        <v/>
      </c>
    </row>
    <row r="49" spans="1:14">
      <c r="A49" s="87" t="str">
        <f t="shared" si="0"/>
        <v/>
      </c>
      <c r="B49" s="2"/>
      <c r="C49" s="87"/>
      <c r="D49" s="87"/>
      <c r="E49" s="87"/>
      <c r="F49" s="87"/>
      <c r="G49" s="87"/>
      <c r="H49" s="87"/>
      <c r="I49" s="87"/>
      <c r="J49" s="2"/>
      <c r="K49" s="2"/>
      <c r="L49" s="94" t="str">
        <f>IF(B49="","", VLOOKUP(B49,RM!$C$4:$G984,10,FALSE))</f>
        <v/>
      </c>
      <c r="M49" s="94" t="str">
        <f>IF(B49="","", VLOOKUP(B49,RM!$C$4:$G984,11,FALSE))</f>
        <v/>
      </c>
      <c r="N49" s="95" t="str">
        <f>IF(B49="","", VLOOKUP(B49,RM!$C$4:$G984,12,FALSE))</f>
        <v/>
      </c>
    </row>
    <row r="50" spans="1:14">
      <c r="A50" s="87" t="str">
        <f t="shared" si="0"/>
        <v/>
      </c>
      <c r="B50" s="2"/>
      <c r="C50" s="87"/>
      <c r="D50" s="87"/>
      <c r="E50" s="87"/>
      <c r="F50" s="87"/>
      <c r="G50" s="87"/>
      <c r="H50" s="87"/>
      <c r="I50" s="87"/>
      <c r="J50" s="2"/>
      <c r="K50" s="2"/>
      <c r="L50" s="94" t="str">
        <f>IF(B50="","", VLOOKUP(B50,RM!$C$4:$G984,10,FALSE))</f>
        <v/>
      </c>
      <c r="M50" s="94" t="str">
        <f>IF(B50="","", VLOOKUP(B50,RM!$C$4:$G984,11,FALSE))</f>
        <v/>
      </c>
      <c r="N50" s="95" t="str">
        <f>IF(B50="","", VLOOKUP(B50,RM!$C$4:$G984,12,FALSE))</f>
        <v/>
      </c>
    </row>
    <row r="51" spans="1:14">
      <c r="A51" s="87" t="str">
        <f t="shared" si="0"/>
        <v/>
      </c>
      <c r="B51" s="2"/>
      <c r="C51" s="87"/>
      <c r="D51" s="87"/>
      <c r="E51" s="87"/>
      <c r="F51" s="87"/>
      <c r="G51" s="87"/>
      <c r="H51" s="87"/>
      <c r="I51" s="87"/>
      <c r="J51" s="2"/>
      <c r="K51" s="2"/>
      <c r="L51" s="94" t="str">
        <f>IF(B51="","", VLOOKUP(B51,RM!$C$4:$G984,10,FALSE))</f>
        <v/>
      </c>
      <c r="M51" s="94" t="str">
        <f>IF(B51="","", VLOOKUP(B51,RM!$C$4:$G984,11,FALSE))</f>
        <v/>
      </c>
      <c r="N51" s="95" t="str">
        <f>IF(B51="","", VLOOKUP(B51,RM!$C$4:$G984,12,FALSE))</f>
        <v/>
      </c>
    </row>
    <row r="52" spans="1:14">
      <c r="A52" s="87" t="str">
        <f t="shared" si="0"/>
        <v/>
      </c>
      <c r="B52" s="2"/>
      <c r="C52" s="87"/>
      <c r="D52" s="87"/>
      <c r="E52" s="87"/>
      <c r="F52" s="87"/>
      <c r="G52" s="87"/>
      <c r="H52" s="87"/>
      <c r="I52" s="87"/>
      <c r="J52" s="2"/>
      <c r="K52" s="2"/>
      <c r="L52" s="94" t="str">
        <f>IF(B52="","", VLOOKUP(B52,RM!$C$4:$G984,10,FALSE))</f>
        <v/>
      </c>
      <c r="M52" s="94" t="str">
        <f>IF(B52="","", VLOOKUP(B52,RM!$C$4:$G984,11,FALSE))</f>
        <v/>
      </c>
      <c r="N52" s="95" t="str">
        <f>IF(B52="","", VLOOKUP(B52,RM!$C$4:$G984,12,FALSE))</f>
        <v/>
      </c>
    </row>
    <row r="53" spans="1:14">
      <c r="A53" s="87" t="str">
        <f t="shared" si="0"/>
        <v/>
      </c>
      <c r="B53" s="2"/>
      <c r="C53" s="87"/>
      <c r="D53" s="87"/>
      <c r="E53" s="87"/>
      <c r="F53" s="87"/>
      <c r="G53" s="87"/>
      <c r="H53" s="87"/>
      <c r="I53" s="87"/>
      <c r="J53" s="2"/>
      <c r="K53" s="2"/>
      <c r="L53" s="94" t="str">
        <f>IF(B53="","", VLOOKUP(B53,RM!$C$4:$G984,10,FALSE))</f>
        <v/>
      </c>
      <c r="M53" s="94" t="str">
        <f>IF(B53="","", VLOOKUP(B53,RM!$C$4:$G984,11,FALSE))</f>
        <v/>
      </c>
      <c r="N53" s="95" t="str">
        <f>IF(B53="","", VLOOKUP(B53,RM!$C$4:$G984,12,FALSE))</f>
        <v/>
      </c>
    </row>
    <row r="54" spans="1:14">
      <c r="A54" s="87" t="str">
        <f t="shared" si="0"/>
        <v/>
      </c>
      <c r="B54" s="2"/>
      <c r="C54" s="87"/>
      <c r="D54" s="87"/>
      <c r="E54" s="87"/>
      <c r="F54" s="87"/>
      <c r="G54" s="87"/>
      <c r="H54" s="87"/>
      <c r="I54" s="87"/>
      <c r="J54" s="2"/>
      <c r="K54" s="2"/>
      <c r="L54" s="94" t="str">
        <f>IF(B54="","", VLOOKUP(B54,RM!$C$4:$G984,10,FALSE))</f>
        <v/>
      </c>
      <c r="M54" s="94" t="str">
        <f>IF(B54="","", VLOOKUP(B54,RM!$C$4:$G984,11,FALSE))</f>
        <v/>
      </c>
      <c r="N54" s="95" t="str">
        <f>IF(B54="","", VLOOKUP(B54,RM!$C$4:$G984,12,FALSE))</f>
        <v/>
      </c>
    </row>
    <row r="55" spans="1:14">
      <c r="A55" s="87" t="str">
        <f t="shared" si="0"/>
        <v/>
      </c>
      <c r="B55" s="2"/>
      <c r="C55" s="87"/>
      <c r="D55" s="87"/>
      <c r="E55" s="87"/>
      <c r="F55" s="87"/>
      <c r="G55" s="87"/>
      <c r="H55" s="87"/>
      <c r="I55" s="87"/>
      <c r="J55" s="2"/>
      <c r="K55" s="2"/>
      <c r="L55" s="94" t="str">
        <f>IF(B55="","", VLOOKUP(B55,RM!$C$4:$G984,10,FALSE))</f>
        <v/>
      </c>
      <c r="M55" s="94" t="str">
        <f>IF(B55="","", VLOOKUP(B55,RM!$C$4:$G984,11,FALSE))</f>
        <v/>
      </c>
      <c r="N55" s="95" t="str">
        <f>IF(B55="","", VLOOKUP(B55,RM!$C$4:$G984,12,FALSE))</f>
        <v/>
      </c>
    </row>
    <row r="56" spans="1:14">
      <c r="A56" s="87" t="str">
        <f t="shared" si="0"/>
        <v/>
      </c>
      <c r="B56" s="2"/>
      <c r="C56" s="87"/>
      <c r="D56" s="87"/>
      <c r="E56" s="87"/>
      <c r="F56" s="87"/>
      <c r="G56" s="87"/>
      <c r="H56" s="87"/>
      <c r="I56" s="87"/>
      <c r="J56" s="2"/>
      <c r="K56" s="2"/>
      <c r="L56" s="94" t="str">
        <f>IF(B56="","", VLOOKUP(B56,RM!$C$4:$G984,10,FALSE))</f>
        <v/>
      </c>
      <c r="M56" s="94" t="str">
        <f>IF(B56="","", VLOOKUP(B56,RM!$C$4:$G984,11,FALSE))</f>
        <v/>
      </c>
      <c r="N56" s="95" t="str">
        <f>IF(B56="","", VLOOKUP(B56,RM!$C$4:$G984,12,FALSE))</f>
        <v/>
      </c>
    </row>
    <row r="57" spans="1:14">
      <c r="A57" s="87" t="str">
        <f t="shared" si="0"/>
        <v/>
      </c>
      <c r="B57" s="2"/>
      <c r="C57" s="87"/>
      <c r="D57" s="87"/>
      <c r="E57" s="87"/>
      <c r="F57" s="87"/>
      <c r="G57" s="87"/>
      <c r="H57" s="87"/>
      <c r="I57" s="87"/>
      <c r="J57" s="2"/>
      <c r="K57" s="2"/>
      <c r="L57" s="94" t="str">
        <f>IF(B57="","", VLOOKUP(B57,RM!$C$4:$G984,10,FALSE))</f>
        <v/>
      </c>
      <c r="M57" s="94" t="str">
        <f>IF(B57="","", VLOOKUP(B57,RM!$C$4:$G984,11,FALSE))</f>
        <v/>
      </c>
      <c r="N57" s="95" t="str">
        <f>IF(B57="","", VLOOKUP(B57,RM!$C$4:$G984,12,FALSE))</f>
        <v/>
      </c>
    </row>
    <row r="58" spans="1:14">
      <c r="A58" s="87" t="str">
        <f t="shared" si="0"/>
        <v/>
      </c>
      <c r="B58" s="2"/>
      <c r="C58" s="87"/>
      <c r="D58" s="87"/>
      <c r="E58" s="87"/>
      <c r="F58" s="87"/>
      <c r="G58" s="87"/>
      <c r="H58" s="87"/>
      <c r="I58" s="87"/>
      <c r="J58" s="2"/>
      <c r="K58" s="2"/>
      <c r="L58" s="94" t="str">
        <f>IF(B58="","", VLOOKUP(B58,RM!$C$4:$G984,10,FALSE))</f>
        <v/>
      </c>
      <c r="M58" s="94" t="str">
        <f>IF(B58="","", VLOOKUP(B58,RM!$C$4:$G984,11,FALSE))</f>
        <v/>
      </c>
      <c r="N58" s="95" t="str">
        <f>IF(B58="","", VLOOKUP(B58,RM!$C$4:$G984,12,FALSE))</f>
        <v/>
      </c>
    </row>
    <row r="59" spans="1:14">
      <c r="A59" s="87" t="str">
        <f t="shared" si="0"/>
        <v/>
      </c>
      <c r="B59" s="2"/>
      <c r="C59" s="87"/>
      <c r="D59" s="87"/>
      <c r="E59" s="87"/>
      <c r="F59" s="87"/>
      <c r="G59" s="87"/>
      <c r="H59" s="87"/>
      <c r="I59" s="87"/>
      <c r="J59" s="2"/>
      <c r="K59" s="2"/>
      <c r="L59" s="94" t="str">
        <f>IF(B59="","", VLOOKUP(B59,RM!$C$4:$G984,10,FALSE))</f>
        <v/>
      </c>
      <c r="M59" s="94" t="str">
        <f>IF(B59="","", VLOOKUP(B59,RM!$C$4:$G984,11,FALSE))</f>
        <v/>
      </c>
      <c r="N59" s="95" t="str">
        <f>IF(B59="","", VLOOKUP(B59,RM!$C$4:$G984,12,FALSE))</f>
        <v/>
      </c>
    </row>
    <row r="60" spans="1:14">
      <c r="A60" s="87" t="str">
        <f t="shared" si="0"/>
        <v/>
      </c>
      <c r="B60" s="2"/>
      <c r="C60" s="87"/>
      <c r="D60" s="87"/>
      <c r="E60" s="87"/>
      <c r="F60" s="87"/>
      <c r="G60" s="87"/>
      <c r="H60" s="87"/>
      <c r="I60" s="87"/>
      <c r="J60" s="2"/>
      <c r="K60" s="2"/>
      <c r="L60" s="94" t="str">
        <f>IF(B60="","", VLOOKUP(B60,RM!$C$4:$G984,10,FALSE))</f>
        <v/>
      </c>
      <c r="M60" s="94" t="str">
        <f>IF(B60="","", VLOOKUP(B60,RM!$C$4:$G984,11,FALSE))</f>
        <v/>
      </c>
      <c r="N60" s="95" t="str">
        <f>IF(B60="","", VLOOKUP(B60,RM!$C$4:$G984,12,FALSE))</f>
        <v/>
      </c>
    </row>
    <row r="61" spans="1:14">
      <c r="A61" s="87" t="str">
        <f t="shared" si="0"/>
        <v/>
      </c>
      <c r="B61" s="2"/>
      <c r="C61" s="87"/>
      <c r="D61" s="87"/>
      <c r="E61" s="87"/>
      <c r="F61" s="87"/>
      <c r="G61" s="87"/>
      <c r="H61" s="87"/>
      <c r="I61" s="87"/>
      <c r="J61" s="2"/>
      <c r="K61" s="2"/>
      <c r="L61" s="94" t="str">
        <f>IF(B61="","", VLOOKUP(B61,RM!$C$4:$G984,10,FALSE))</f>
        <v/>
      </c>
      <c r="M61" s="94" t="str">
        <f>IF(B61="","", VLOOKUP(B61,RM!$C$4:$G984,11,FALSE))</f>
        <v/>
      </c>
      <c r="N61" s="95" t="str">
        <f>IF(B61="","", VLOOKUP(B61,RM!$C$4:$G984,12,FALSE))</f>
        <v/>
      </c>
    </row>
    <row r="62" spans="1:14">
      <c r="A62" s="87" t="str">
        <f t="shared" si="0"/>
        <v/>
      </c>
      <c r="B62" s="2"/>
      <c r="C62" s="87"/>
      <c r="D62" s="87"/>
      <c r="E62" s="87"/>
      <c r="F62" s="87"/>
      <c r="G62" s="87"/>
      <c r="H62" s="87"/>
      <c r="I62" s="87"/>
      <c r="J62" s="2"/>
      <c r="K62" s="2"/>
      <c r="L62" s="94" t="str">
        <f>IF(B62="","", VLOOKUP(B62,RM!$C$4:$G984,10,FALSE))</f>
        <v/>
      </c>
      <c r="M62" s="94" t="str">
        <f>IF(B62="","", VLOOKUP(B62,RM!$C$4:$G984,11,FALSE))</f>
        <v/>
      </c>
      <c r="N62" s="95" t="str">
        <f>IF(B62="","", VLOOKUP(B62,RM!$C$4:$G984,12,FALSE))</f>
        <v/>
      </c>
    </row>
    <row r="63" spans="1:14">
      <c r="A63" s="87" t="str">
        <f t="shared" si="0"/>
        <v/>
      </c>
      <c r="B63" s="2"/>
      <c r="C63" s="87"/>
      <c r="D63" s="87"/>
      <c r="E63" s="87"/>
      <c r="F63" s="87"/>
      <c r="G63" s="87"/>
      <c r="H63" s="87"/>
      <c r="I63" s="87"/>
      <c r="J63" s="2"/>
      <c r="K63" s="2"/>
      <c r="L63" s="94" t="str">
        <f>IF(B63="","", VLOOKUP(B63,RM!$C$4:$G984,10,FALSE))</f>
        <v/>
      </c>
      <c r="M63" s="94" t="str">
        <f>IF(B63="","", VLOOKUP(B63,RM!$C$4:$G984,11,FALSE))</f>
        <v/>
      </c>
      <c r="N63" s="95" t="str">
        <f>IF(B63="","", VLOOKUP(B63,RM!$C$4:$G984,12,FALSE))</f>
        <v/>
      </c>
    </row>
    <row r="64" spans="1:14">
      <c r="A64" s="87" t="str">
        <f t="shared" si="0"/>
        <v/>
      </c>
      <c r="B64" s="2"/>
      <c r="C64" s="87"/>
      <c r="D64" s="87"/>
      <c r="E64" s="87"/>
      <c r="F64" s="87"/>
      <c r="G64" s="87"/>
      <c r="H64" s="87"/>
      <c r="I64" s="87"/>
      <c r="J64" s="2"/>
      <c r="K64" s="2"/>
      <c r="L64" s="94" t="str">
        <f>IF(B64="","", VLOOKUP(B64,RM!$C$4:$G984,10,FALSE))</f>
        <v/>
      </c>
      <c r="M64" s="94" t="str">
        <f>IF(B64="","", VLOOKUP(B64,RM!$C$4:$G984,11,FALSE))</f>
        <v/>
      </c>
      <c r="N64" s="95" t="str">
        <f>IF(B64="","", VLOOKUP(B64,RM!$C$4:$G984,12,FALSE))</f>
        <v/>
      </c>
    </row>
    <row r="65" spans="1:14">
      <c r="A65" s="87" t="str">
        <f t="shared" si="0"/>
        <v/>
      </c>
      <c r="B65" s="2"/>
      <c r="C65" s="87"/>
      <c r="D65" s="87"/>
      <c r="E65" s="87"/>
      <c r="F65" s="87"/>
      <c r="G65" s="87"/>
      <c r="H65" s="87"/>
      <c r="I65" s="87"/>
      <c r="J65" s="2"/>
      <c r="K65" s="2"/>
      <c r="L65" s="94" t="str">
        <f>IF(B65="","", VLOOKUP(B65,RM!$C$4:$G984,10,FALSE))</f>
        <v/>
      </c>
      <c r="M65" s="94" t="str">
        <f>IF(B65="","", VLOOKUP(B65,RM!$C$4:$G984,11,FALSE))</f>
        <v/>
      </c>
      <c r="N65" s="95" t="str">
        <f>IF(B65="","", VLOOKUP(B65,RM!$C$4:$G984,12,FALSE))</f>
        <v/>
      </c>
    </row>
    <row r="66" spans="1:14">
      <c r="A66" s="87" t="str">
        <f t="shared" si="0"/>
        <v/>
      </c>
      <c r="B66" s="2"/>
      <c r="C66" s="87"/>
      <c r="D66" s="87"/>
      <c r="E66" s="87"/>
      <c r="F66" s="87"/>
      <c r="G66" s="87"/>
      <c r="H66" s="87"/>
      <c r="I66" s="87"/>
      <c r="J66" s="2"/>
      <c r="K66" s="2"/>
      <c r="L66" s="94" t="str">
        <f>IF(B66="","", VLOOKUP(B66,RM!$C$4:$G984,10,FALSE))</f>
        <v/>
      </c>
      <c r="M66" s="94" t="str">
        <f>IF(B66="","", VLOOKUP(B66,RM!$C$4:$G984,11,FALSE))</f>
        <v/>
      </c>
      <c r="N66" s="95" t="str">
        <f>IF(B66="","", VLOOKUP(B66,RM!$C$4:$G984,12,FALSE))</f>
        <v/>
      </c>
    </row>
    <row r="67" spans="1:14">
      <c r="A67" s="87" t="str">
        <f t="shared" si="0"/>
        <v/>
      </c>
      <c r="B67" s="2"/>
      <c r="C67" s="87"/>
      <c r="D67" s="87"/>
      <c r="E67" s="87"/>
      <c r="F67" s="87"/>
      <c r="G67" s="87"/>
      <c r="H67" s="87"/>
      <c r="I67" s="87"/>
      <c r="J67" s="2"/>
      <c r="K67" s="2"/>
      <c r="L67" s="94" t="str">
        <f>IF(B67="","", VLOOKUP(B67,RM!$C$4:$G984,10,FALSE))</f>
        <v/>
      </c>
      <c r="M67" s="94" t="str">
        <f>IF(B67="","", VLOOKUP(B67,RM!$C$4:$G984,11,FALSE))</f>
        <v/>
      </c>
      <c r="N67" s="95" t="str">
        <f>IF(B67="","", VLOOKUP(B67,RM!$C$4:$G984,12,FALSE))</f>
        <v/>
      </c>
    </row>
    <row r="68" spans="1:14">
      <c r="A68" s="87" t="str">
        <f t="shared" si="0"/>
        <v/>
      </c>
      <c r="B68" s="2"/>
      <c r="C68" s="87"/>
      <c r="D68" s="87"/>
      <c r="E68" s="87"/>
      <c r="F68" s="87"/>
      <c r="G68" s="87"/>
      <c r="H68" s="87"/>
      <c r="I68" s="87"/>
      <c r="J68" s="2"/>
      <c r="K68" s="2"/>
      <c r="L68" s="94" t="str">
        <f>IF(B68="","", VLOOKUP(B68,RM!$C$4:$G984,10,FALSE))</f>
        <v/>
      </c>
      <c r="M68" s="94" t="str">
        <f>IF(B68="","", VLOOKUP(B68,RM!$C$4:$G984,11,FALSE))</f>
        <v/>
      </c>
      <c r="N68" s="95" t="str">
        <f>IF(B68="","", VLOOKUP(B68,RM!$C$4:$G984,12,FALSE))</f>
        <v/>
      </c>
    </row>
    <row r="69" spans="1:14">
      <c r="A69" s="87" t="str">
        <f t="shared" si="0"/>
        <v/>
      </c>
      <c r="B69" s="2"/>
      <c r="C69" s="87"/>
      <c r="D69" s="87"/>
      <c r="E69" s="87"/>
      <c r="F69" s="87"/>
      <c r="G69" s="87"/>
      <c r="H69" s="87"/>
      <c r="I69" s="87"/>
      <c r="J69" s="2"/>
      <c r="K69" s="2"/>
      <c r="L69" s="94" t="str">
        <f>IF(B69="","", VLOOKUP(B69,RM!$C$4:$G984,10,FALSE))</f>
        <v/>
      </c>
      <c r="M69" s="94" t="str">
        <f>IF(B69="","", VLOOKUP(B69,RM!$C$4:$G984,11,FALSE))</f>
        <v/>
      </c>
      <c r="N69" s="95" t="str">
        <f>IF(B69="","", VLOOKUP(B69,RM!$C$4:$G984,12,FALSE))</f>
        <v/>
      </c>
    </row>
    <row r="70" spans="1:14">
      <c r="A70" s="87" t="str">
        <f t="shared" si="0"/>
        <v/>
      </c>
      <c r="B70" s="2"/>
      <c r="C70" s="87"/>
      <c r="D70" s="87"/>
      <c r="E70" s="87"/>
      <c r="F70" s="87"/>
      <c r="G70" s="87"/>
      <c r="H70" s="87"/>
      <c r="I70" s="87"/>
      <c r="J70" s="2"/>
      <c r="K70" s="2"/>
      <c r="L70" s="94" t="str">
        <f>IF(B70="","", VLOOKUP(B70,RM!$C$4:$G984,10,FALSE))</f>
        <v/>
      </c>
      <c r="M70" s="94" t="str">
        <f>IF(B70="","", VLOOKUP(B70,RM!$C$4:$G984,11,FALSE))</f>
        <v/>
      </c>
      <c r="N70" s="95" t="str">
        <f>IF(B70="","", VLOOKUP(B70,RM!$C$4:$G984,12,FALSE))</f>
        <v/>
      </c>
    </row>
    <row r="71" spans="1:14">
      <c r="A71" s="87" t="str">
        <f t="shared" si="0"/>
        <v/>
      </c>
      <c r="B71" s="2"/>
      <c r="C71" s="87"/>
      <c r="D71" s="87"/>
      <c r="E71" s="87"/>
      <c r="F71" s="87"/>
      <c r="G71" s="87"/>
      <c r="H71" s="87"/>
      <c r="I71" s="87"/>
      <c r="J71" s="2"/>
      <c r="K71" s="2"/>
      <c r="L71" s="94" t="str">
        <f>IF(B71="","", VLOOKUP(B71,RM!$C$4:$G984,10,FALSE))</f>
        <v/>
      </c>
      <c r="M71" s="94" t="str">
        <f>IF(B71="","", VLOOKUP(B71,RM!$C$4:$G984,11,FALSE))</f>
        <v/>
      </c>
      <c r="N71" s="95" t="str">
        <f>IF(B71="","", VLOOKUP(B71,RM!$C$4:$G984,12,FALSE))</f>
        <v/>
      </c>
    </row>
    <row r="72" spans="1:14">
      <c r="A72" s="87" t="str">
        <f t="shared" si="0"/>
        <v/>
      </c>
      <c r="B72" s="2"/>
      <c r="C72" s="87"/>
      <c r="D72" s="87"/>
      <c r="E72" s="87"/>
      <c r="F72" s="87"/>
      <c r="G72" s="87"/>
      <c r="H72" s="87"/>
      <c r="I72" s="87"/>
      <c r="J72" s="2"/>
      <c r="K72" s="2"/>
      <c r="L72" s="94" t="str">
        <f>IF(B72="","", VLOOKUP(B72,RM!$C$4:$G984,10,FALSE))</f>
        <v/>
      </c>
      <c r="M72" s="94" t="str">
        <f>IF(B72="","", VLOOKUP(B72,RM!$C$4:$G984,11,FALSE))</f>
        <v/>
      </c>
      <c r="N72" s="95" t="str">
        <f>IF(B72="","", VLOOKUP(B72,RM!$C$4:$G984,12,FALSE))</f>
        <v/>
      </c>
    </row>
    <row r="73" spans="1:14">
      <c r="A73" s="87" t="str">
        <f t="shared" si="0"/>
        <v/>
      </c>
      <c r="B73" s="2"/>
      <c r="C73" s="87"/>
      <c r="D73" s="87"/>
      <c r="E73" s="87"/>
      <c r="F73" s="87"/>
      <c r="G73" s="87"/>
      <c r="H73" s="87"/>
      <c r="I73" s="87"/>
      <c r="J73" s="2"/>
      <c r="K73" s="2"/>
      <c r="L73" s="94" t="str">
        <f>IF(B73="","", VLOOKUP(B73,RM!$C$4:$G984,10,FALSE))</f>
        <v/>
      </c>
      <c r="M73" s="94" t="str">
        <f>IF(B73="","", VLOOKUP(B73,RM!$C$4:$G984,11,FALSE))</f>
        <v/>
      </c>
      <c r="N73" s="95" t="str">
        <f>IF(B73="","", VLOOKUP(B73,RM!$C$4:$G984,12,FALSE))</f>
        <v/>
      </c>
    </row>
    <row r="74" spans="1:14">
      <c r="A74" s="87" t="str">
        <f t="shared" si="0"/>
        <v/>
      </c>
      <c r="B74" s="2"/>
      <c r="C74" s="87"/>
      <c r="D74" s="87"/>
      <c r="E74" s="87"/>
      <c r="F74" s="87"/>
      <c r="G74" s="87"/>
      <c r="H74" s="87"/>
      <c r="I74" s="87"/>
      <c r="J74" s="2"/>
      <c r="K74" s="2"/>
      <c r="L74" s="94" t="str">
        <f>IF(B74="","", VLOOKUP(B74,RM!$C$4:$G984,10,FALSE))</f>
        <v/>
      </c>
      <c r="M74" s="94" t="str">
        <f>IF(B74="","", VLOOKUP(B74,RM!$C$4:$G984,11,FALSE))</f>
        <v/>
      </c>
      <c r="N74" s="95" t="str">
        <f>IF(B74="","", VLOOKUP(B74,RM!$C$4:$G984,12,FALSE))</f>
        <v/>
      </c>
    </row>
    <row r="75" spans="1:14">
      <c r="A75" s="87" t="str">
        <f t="shared" si="0"/>
        <v/>
      </c>
      <c r="B75" s="2"/>
      <c r="C75" s="87"/>
      <c r="D75" s="87"/>
      <c r="E75" s="87"/>
      <c r="F75" s="87"/>
      <c r="G75" s="87"/>
      <c r="H75" s="87"/>
      <c r="I75" s="87"/>
      <c r="J75" s="2"/>
      <c r="K75" s="2"/>
      <c r="L75" s="94" t="str">
        <f>IF(B75="","", VLOOKUP(B75,RM!$C$4:$G984,10,FALSE))</f>
        <v/>
      </c>
      <c r="M75" s="94" t="str">
        <f>IF(B75="","", VLOOKUP(B75,RM!$C$4:$G984,11,FALSE))</f>
        <v/>
      </c>
      <c r="N75" s="95" t="str">
        <f>IF(B75="","", VLOOKUP(B75,RM!$C$4:$G984,12,FALSE))</f>
        <v/>
      </c>
    </row>
    <row r="76" spans="1:14">
      <c r="A76" s="87" t="str">
        <f t="shared" si="0"/>
        <v/>
      </c>
      <c r="B76" s="2"/>
      <c r="C76" s="87"/>
      <c r="D76" s="87"/>
      <c r="E76" s="87"/>
      <c r="F76" s="87"/>
      <c r="G76" s="87"/>
      <c r="H76" s="87"/>
      <c r="I76" s="87"/>
      <c r="J76" s="2"/>
      <c r="K76" s="2"/>
      <c r="L76" s="94" t="str">
        <f>IF(B76="","", VLOOKUP(B76,RM!$C$4:$G984,10,FALSE))</f>
        <v/>
      </c>
      <c r="M76" s="94" t="str">
        <f>IF(B76="","", VLOOKUP(B76,RM!$C$4:$G984,11,FALSE))</f>
        <v/>
      </c>
      <c r="N76" s="95" t="str">
        <f>IF(B76="","", VLOOKUP(B76,RM!$C$4:$G984,12,FALSE))</f>
        <v/>
      </c>
    </row>
    <row r="77" spans="1:14">
      <c r="A77" s="87" t="str">
        <f t="shared" si="0"/>
        <v/>
      </c>
      <c r="B77" s="2"/>
      <c r="C77" s="87"/>
      <c r="D77" s="87"/>
      <c r="E77" s="87"/>
      <c r="F77" s="87"/>
      <c r="G77" s="87"/>
      <c r="H77" s="87"/>
      <c r="I77" s="87"/>
      <c r="J77" s="2"/>
      <c r="K77" s="2"/>
      <c r="L77" s="94" t="str">
        <f>IF(B77="","", VLOOKUP(B77,RM!$C$4:$G984,10,FALSE))</f>
        <v/>
      </c>
      <c r="M77" s="94" t="str">
        <f>IF(B77="","", VLOOKUP(B77,RM!$C$4:$G984,11,FALSE))</f>
        <v/>
      </c>
      <c r="N77" s="95" t="str">
        <f>IF(B77="","", VLOOKUP(B77,RM!$C$4:$G984,12,FALSE))</f>
        <v/>
      </c>
    </row>
    <row r="78" spans="1:14">
      <c r="A78" s="87" t="str">
        <f t="shared" si="0"/>
        <v/>
      </c>
      <c r="B78" s="2"/>
      <c r="C78" s="87"/>
      <c r="D78" s="87"/>
      <c r="E78" s="87"/>
      <c r="F78" s="87"/>
      <c r="G78" s="87"/>
      <c r="H78" s="87"/>
      <c r="I78" s="87"/>
      <c r="J78" s="2"/>
      <c r="K78" s="2"/>
      <c r="L78" s="94" t="str">
        <f>IF(B78="","", VLOOKUP(B78,RM!$C$4:$G984,10,FALSE))</f>
        <v/>
      </c>
      <c r="M78" s="94" t="str">
        <f>IF(B78="","", VLOOKUP(B78,RM!$C$4:$G984,11,FALSE))</f>
        <v/>
      </c>
      <c r="N78" s="95" t="str">
        <f>IF(B78="","", VLOOKUP(B78,RM!$C$4:$G984,12,FALSE))</f>
        <v/>
      </c>
    </row>
    <row r="79" spans="1:14">
      <c r="A79" s="87" t="str">
        <f t="shared" si="0"/>
        <v/>
      </c>
      <c r="B79" s="2"/>
      <c r="C79" s="87"/>
      <c r="D79" s="87"/>
      <c r="E79" s="87"/>
      <c r="F79" s="87"/>
      <c r="G79" s="87"/>
      <c r="H79" s="87"/>
      <c r="I79" s="87"/>
      <c r="J79" s="2"/>
      <c r="K79" s="2"/>
      <c r="L79" s="94" t="str">
        <f>IF(B79="","", VLOOKUP(B79,RM!$C$4:$G984,10,FALSE))</f>
        <v/>
      </c>
      <c r="M79" s="94" t="str">
        <f>IF(B79="","", VLOOKUP(B79,RM!$C$4:$G984,11,FALSE))</f>
        <v/>
      </c>
      <c r="N79" s="95" t="str">
        <f>IF(B79="","", VLOOKUP(B79,RM!$C$4:$G984,12,FALSE))</f>
        <v/>
      </c>
    </row>
    <row r="80" spans="1:14">
      <c r="A80" s="87" t="str">
        <f t="shared" si="0"/>
        <v/>
      </c>
      <c r="B80" s="2"/>
      <c r="C80" s="87"/>
      <c r="D80" s="87"/>
      <c r="E80" s="87"/>
      <c r="F80" s="87"/>
      <c r="G80" s="87"/>
      <c r="H80" s="87"/>
      <c r="I80" s="87"/>
      <c r="J80" s="2"/>
      <c r="K80" s="2"/>
      <c r="L80" s="94" t="str">
        <f>IF(B80="","", VLOOKUP(B80,RM!$C$4:$G984,10,FALSE))</f>
        <v/>
      </c>
      <c r="M80" s="94" t="str">
        <f>IF(B80="","", VLOOKUP(B80,RM!$C$4:$G984,11,FALSE))</f>
        <v/>
      </c>
      <c r="N80" s="95" t="str">
        <f>IF(B80="","", VLOOKUP(B80,RM!$C$4:$G984,12,FALSE))</f>
        <v/>
      </c>
    </row>
    <row r="81" spans="1:14">
      <c r="A81" s="87" t="str">
        <f t="shared" si="0"/>
        <v/>
      </c>
      <c r="B81" s="2"/>
      <c r="C81" s="87"/>
      <c r="D81" s="87"/>
      <c r="E81" s="87"/>
      <c r="F81" s="87"/>
      <c r="G81" s="87"/>
      <c r="H81" s="87"/>
      <c r="I81" s="87"/>
      <c r="J81" s="2"/>
      <c r="K81" s="2"/>
      <c r="L81" s="94" t="str">
        <f>IF(B81="","", VLOOKUP(B81,RM!$C$4:$G984,10,FALSE))</f>
        <v/>
      </c>
      <c r="M81" s="94" t="str">
        <f>IF(B81="","", VLOOKUP(B81,RM!$C$4:$G984,11,FALSE))</f>
        <v/>
      </c>
      <c r="N81" s="95" t="str">
        <f>IF(B81="","", VLOOKUP(B81,RM!$C$4:$G984,12,FALSE))</f>
        <v/>
      </c>
    </row>
    <row r="82" spans="1:14">
      <c r="A82" s="87" t="str">
        <f t="shared" si="0"/>
        <v/>
      </c>
      <c r="B82" s="2"/>
      <c r="C82" s="87"/>
      <c r="D82" s="87"/>
      <c r="E82" s="87"/>
      <c r="F82" s="87"/>
      <c r="G82" s="87"/>
      <c r="H82" s="87"/>
      <c r="I82" s="87"/>
      <c r="J82" s="2"/>
      <c r="K82" s="2"/>
      <c r="L82" s="94" t="str">
        <f>IF(B82="","", VLOOKUP(B82,RM!$C$4:$G984,10,FALSE))</f>
        <v/>
      </c>
      <c r="M82" s="94" t="str">
        <f>IF(B82="","", VLOOKUP(B82,RM!$C$4:$G984,11,FALSE))</f>
        <v/>
      </c>
      <c r="N82" s="95" t="str">
        <f>IF(B82="","", VLOOKUP(B82,RM!$C$4:$G984,12,FALSE))</f>
        <v/>
      </c>
    </row>
    <row r="83" spans="1:14">
      <c r="A83" s="87" t="str">
        <f t="shared" si="0"/>
        <v/>
      </c>
      <c r="B83" s="2"/>
      <c r="C83" s="87"/>
      <c r="D83" s="87"/>
      <c r="E83" s="87"/>
      <c r="F83" s="87"/>
      <c r="G83" s="87"/>
      <c r="H83" s="87"/>
      <c r="I83" s="87"/>
      <c r="J83" s="2"/>
      <c r="K83" s="2"/>
      <c r="L83" s="94" t="str">
        <f>IF(B83="","", VLOOKUP(B83,RM!$C$4:$G984,10,FALSE))</f>
        <v/>
      </c>
      <c r="M83" s="94" t="str">
        <f>IF(B83="","", VLOOKUP(B83,RM!$C$4:$G984,11,FALSE))</f>
        <v/>
      </c>
      <c r="N83" s="95" t="str">
        <f>IF(B83="","", VLOOKUP(B83,RM!$C$4:$G984,12,FALSE))</f>
        <v/>
      </c>
    </row>
    <row r="84" spans="1:14">
      <c r="A84" s="87" t="str">
        <f t="shared" si="0"/>
        <v/>
      </c>
      <c r="B84" s="2"/>
      <c r="C84" s="87"/>
      <c r="D84" s="87"/>
      <c r="E84" s="87"/>
      <c r="F84" s="87"/>
      <c r="G84" s="87"/>
      <c r="H84" s="87"/>
      <c r="I84" s="87"/>
      <c r="J84" s="2"/>
      <c r="K84" s="2"/>
      <c r="L84" s="94" t="str">
        <f>IF(B84="","", VLOOKUP(B84,RM!$C$4:$G984,10,FALSE))</f>
        <v/>
      </c>
      <c r="M84" s="94" t="str">
        <f>IF(B84="","", VLOOKUP(B84,RM!$C$4:$G984,11,FALSE))</f>
        <v/>
      </c>
      <c r="N84" s="95" t="str">
        <f>IF(B84="","", VLOOKUP(B84,RM!$C$4:$G984,12,FALSE))</f>
        <v/>
      </c>
    </row>
    <row r="85" spans="1:14">
      <c r="A85" s="87" t="str">
        <f t="shared" si="0"/>
        <v/>
      </c>
      <c r="B85" s="2"/>
      <c r="C85" s="87"/>
      <c r="D85" s="87"/>
      <c r="E85" s="87"/>
      <c r="F85" s="87"/>
      <c r="G85" s="87"/>
      <c r="H85" s="87"/>
      <c r="I85" s="87"/>
      <c r="J85" s="2"/>
      <c r="K85" s="2"/>
      <c r="L85" s="94" t="str">
        <f>IF(B85="","", VLOOKUP(B85,RM!$C$4:$G984,10,FALSE))</f>
        <v/>
      </c>
      <c r="M85" s="94" t="str">
        <f>IF(B85="","", VLOOKUP(B85,RM!$C$4:$G984,11,FALSE))</f>
        <v/>
      </c>
      <c r="N85" s="95" t="str">
        <f>IF(B85="","", VLOOKUP(B85,RM!$C$4:$G984,12,FALSE))</f>
        <v/>
      </c>
    </row>
    <row r="86" spans="1:14">
      <c r="A86" s="87" t="str">
        <f t="shared" si="0"/>
        <v/>
      </c>
      <c r="B86" s="2"/>
      <c r="C86" s="87"/>
      <c r="D86" s="87"/>
      <c r="E86" s="87"/>
      <c r="F86" s="87"/>
      <c r="G86" s="87"/>
      <c r="H86" s="87"/>
      <c r="I86" s="87"/>
      <c r="J86" s="2"/>
      <c r="K86" s="2"/>
      <c r="L86" s="94" t="str">
        <f>IF(B86="","", VLOOKUP(B86,RM!$C$4:$G984,10,FALSE))</f>
        <v/>
      </c>
      <c r="M86" s="94" t="str">
        <f>IF(B86="","", VLOOKUP(B86,RM!$C$4:$G984,11,FALSE))</f>
        <v/>
      </c>
      <c r="N86" s="95" t="str">
        <f>IF(B86="","", VLOOKUP(B86,RM!$C$4:$G984,12,FALSE))</f>
        <v/>
      </c>
    </row>
    <row r="87" spans="1:14">
      <c r="A87" s="87" t="str">
        <f t="shared" si="0"/>
        <v/>
      </c>
      <c r="B87" s="2"/>
      <c r="C87" s="87"/>
      <c r="D87" s="87"/>
      <c r="E87" s="87"/>
      <c r="F87" s="87"/>
      <c r="G87" s="87"/>
      <c r="H87" s="87"/>
      <c r="I87" s="87"/>
      <c r="J87" s="2"/>
      <c r="K87" s="2"/>
      <c r="L87" s="94" t="str">
        <f>IF(B87="","", VLOOKUP(B87,RM!$C$4:$G984,10,FALSE))</f>
        <v/>
      </c>
      <c r="M87" s="94" t="str">
        <f>IF(B87="","", VLOOKUP(B87,RM!$C$4:$G984,11,FALSE))</f>
        <v/>
      </c>
      <c r="N87" s="95" t="str">
        <f>IF(B87="","", VLOOKUP(B87,RM!$C$4:$G984,12,FALSE))</f>
        <v/>
      </c>
    </row>
    <row r="88" spans="1:14">
      <c r="A88" s="87" t="str">
        <f t="shared" si="0"/>
        <v/>
      </c>
      <c r="B88" s="2"/>
      <c r="C88" s="87"/>
      <c r="D88" s="87"/>
      <c r="E88" s="87"/>
      <c r="F88" s="87"/>
      <c r="G88" s="87"/>
      <c r="H88" s="87"/>
      <c r="I88" s="87"/>
      <c r="J88" s="2"/>
      <c r="K88" s="2"/>
      <c r="L88" s="94" t="str">
        <f>IF(B88="","", VLOOKUP(B88,RM!$C$4:$G984,10,FALSE))</f>
        <v/>
      </c>
      <c r="M88" s="94" t="str">
        <f>IF(B88="","", VLOOKUP(B88,RM!$C$4:$G984,11,FALSE))</f>
        <v/>
      </c>
      <c r="N88" s="95" t="str">
        <f>IF(B88="","", VLOOKUP(B88,RM!$C$4:$G984,12,FALSE))</f>
        <v/>
      </c>
    </row>
    <row r="89" spans="1:14">
      <c r="A89" s="87" t="str">
        <f t="shared" si="0"/>
        <v/>
      </c>
      <c r="B89" s="2"/>
      <c r="C89" s="87"/>
      <c r="D89" s="87"/>
      <c r="E89" s="87"/>
      <c r="F89" s="87"/>
      <c r="G89" s="87"/>
      <c r="H89" s="87"/>
      <c r="I89" s="87"/>
      <c r="J89" s="2"/>
      <c r="K89" s="2"/>
      <c r="L89" s="94" t="str">
        <f>IF(B89="","", VLOOKUP(B89,RM!$C$4:$G984,10,FALSE))</f>
        <v/>
      </c>
      <c r="M89" s="94" t="str">
        <f>IF(B89="","", VLOOKUP(B89,RM!$C$4:$G984,11,FALSE))</f>
        <v/>
      </c>
      <c r="N89" s="95" t="str">
        <f>IF(B89="","", VLOOKUP(B89,RM!$C$4:$G984,12,FALSE))</f>
        <v/>
      </c>
    </row>
    <row r="90" spans="1:14">
      <c r="A90" s="87" t="str">
        <f t="shared" si="0"/>
        <v/>
      </c>
      <c r="B90" s="2"/>
      <c r="C90" s="87"/>
      <c r="D90" s="87"/>
      <c r="E90" s="87"/>
      <c r="F90" s="87"/>
      <c r="G90" s="87"/>
      <c r="H90" s="87"/>
      <c r="I90" s="87"/>
      <c r="J90" s="2"/>
      <c r="K90" s="2"/>
      <c r="L90" s="94" t="str">
        <f>IF(B90="","", VLOOKUP(B90,RM!$C$4:$G984,10,FALSE))</f>
        <v/>
      </c>
      <c r="M90" s="94" t="str">
        <f>IF(B90="","", VLOOKUP(B90,RM!$C$4:$G984,11,FALSE))</f>
        <v/>
      </c>
      <c r="N90" s="95" t="str">
        <f>IF(B90="","", VLOOKUP(B90,RM!$C$4:$G984,12,FALSE))</f>
        <v/>
      </c>
    </row>
    <row r="91" spans="1:14">
      <c r="A91" s="87" t="str">
        <f t="shared" si="0"/>
        <v/>
      </c>
      <c r="B91" s="2"/>
      <c r="C91" s="87"/>
      <c r="D91" s="87"/>
      <c r="E91" s="87"/>
      <c r="F91" s="87"/>
      <c r="G91" s="87"/>
      <c r="H91" s="87"/>
      <c r="I91" s="87"/>
      <c r="J91" s="2"/>
      <c r="K91" s="2"/>
      <c r="L91" s="94" t="str">
        <f>IF(B91="","", VLOOKUP(B91,RM!$C$4:$G984,10,FALSE))</f>
        <v/>
      </c>
      <c r="M91" s="94" t="str">
        <f>IF(B91="","", VLOOKUP(B91,RM!$C$4:$G984,11,FALSE))</f>
        <v/>
      </c>
      <c r="N91" s="95" t="str">
        <f>IF(B91="","", VLOOKUP(B91,RM!$C$4:$G984,12,FALSE))</f>
        <v/>
      </c>
    </row>
    <row r="92" spans="1:14">
      <c r="A92" s="87" t="str">
        <f t="shared" si="0"/>
        <v/>
      </c>
      <c r="B92" s="2"/>
      <c r="C92" s="87"/>
      <c r="D92" s="87"/>
      <c r="E92" s="87"/>
      <c r="F92" s="87"/>
      <c r="G92" s="87"/>
      <c r="H92" s="87"/>
      <c r="I92" s="87"/>
      <c r="J92" s="2"/>
      <c r="K92" s="2"/>
      <c r="L92" s="94" t="str">
        <f>IF(B92="","", VLOOKUP(B92,RM!$C$4:$G984,10,FALSE))</f>
        <v/>
      </c>
      <c r="M92" s="94" t="str">
        <f>IF(B92="","", VLOOKUP(B92,RM!$C$4:$G984,11,FALSE))</f>
        <v/>
      </c>
      <c r="N92" s="95" t="str">
        <f>IF(B92="","", VLOOKUP(B92,RM!$C$4:$G984,12,FALSE))</f>
        <v/>
      </c>
    </row>
    <row r="93" spans="1:14">
      <c r="A93" s="87" t="str">
        <f t="shared" si="0"/>
        <v/>
      </c>
      <c r="B93" s="2"/>
      <c r="C93" s="87"/>
      <c r="D93" s="87"/>
      <c r="E93" s="87"/>
      <c r="F93" s="87"/>
      <c r="G93" s="87"/>
      <c r="H93" s="87"/>
      <c r="I93" s="87"/>
      <c r="J93" s="2"/>
      <c r="K93" s="2"/>
      <c r="L93" s="94" t="str">
        <f>IF(B93="","", VLOOKUP(B93,RM!$C$4:$G984,10,FALSE))</f>
        <v/>
      </c>
      <c r="M93" s="94" t="str">
        <f>IF(B93="","", VLOOKUP(B93,RM!$C$4:$G984,11,FALSE))</f>
        <v/>
      </c>
      <c r="N93" s="95" t="str">
        <f>IF(B93="","", VLOOKUP(B93,RM!$C$4:$G984,12,FALSE))</f>
        <v/>
      </c>
    </row>
    <row r="94" spans="1:14">
      <c r="A94" s="87" t="str">
        <f t="shared" si="0"/>
        <v/>
      </c>
      <c r="B94" s="2"/>
      <c r="C94" s="87"/>
      <c r="D94" s="87"/>
      <c r="E94" s="87"/>
      <c r="F94" s="87"/>
      <c r="G94" s="87"/>
      <c r="H94" s="87"/>
      <c r="I94" s="87"/>
      <c r="J94" s="2"/>
      <c r="K94" s="2"/>
      <c r="L94" s="94" t="str">
        <f>IF(B94="","", VLOOKUP(B94,RM!$C$4:$G984,10,FALSE))</f>
        <v/>
      </c>
      <c r="M94" s="94" t="str">
        <f>IF(B94="","", VLOOKUP(B94,RM!$C$4:$G984,11,FALSE))</f>
        <v/>
      </c>
      <c r="N94" s="95" t="str">
        <f>IF(B94="","", VLOOKUP(B94,RM!$C$4:$G984,12,FALSE))</f>
        <v/>
      </c>
    </row>
    <row r="95" spans="1:14">
      <c r="A95" s="87" t="str">
        <f t="shared" si="0"/>
        <v/>
      </c>
      <c r="B95" s="2"/>
      <c r="C95" s="87"/>
      <c r="D95" s="87"/>
      <c r="E95" s="87"/>
      <c r="F95" s="87"/>
      <c r="G95" s="87"/>
      <c r="H95" s="87"/>
      <c r="I95" s="87"/>
      <c r="J95" s="2"/>
      <c r="K95" s="2"/>
      <c r="L95" s="94" t="str">
        <f>IF(B95="","", VLOOKUP(B95,RM!$C$4:$G984,10,FALSE))</f>
        <v/>
      </c>
      <c r="M95" s="94" t="str">
        <f>IF(B95="","", VLOOKUP(B95,RM!$C$4:$G984,11,FALSE))</f>
        <v/>
      </c>
      <c r="N95" s="95" t="str">
        <f>IF(B95="","", VLOOKUP(B95,RM!$C$4:$G984,12,FALSE))</f>
        <v/>
      </c>
    </row>
    <row r="96" spans="1:14">
      <c r="A96" s="87" t="str">
        <f t="shared" si="0"/>
        <v/>
      </c>
      <c r="B96" s="2"/>
      <c r="C96" s="87"/>
      <c r="D96" s="87"/>
      <c r="E96" s="87"/>
      <c r="F96" s="87"/>
      <c r="G96" s="87"/>
      <c r="H96" s="87"/>
      <c r="I96" s="87"/>
      <c r="J96" s="2"/>
      <c r="K96" s="2"/>
      <c r="L96" s="94" t="str">
        <f>IF(B96="","", VLOOKUP(B96,RM!$C$4:$G984,10,FALSE))</f>
        <v/>
      </c>
      <c r="M96" s="94" t="str">
        <f>IF(B96="","", VLOOKUP(B96,RM!$C$4:$G984,11,FALSE))</f>
        <v/>
      </c>
      <c r="N96" s="95" t="str">
        <f>IF(B96="","", VLOOKUP(B96,RM!$C$4:$G984,12,FALSE))</f>
        <v/>
      </c>
    </row>
    <row r="97" spans="1:14">
      <c r="A97" s="87" t="str">
        <f t="shared" si="0"/>
        <v/>
      </c>
      <c r="B97" s="2"/>
      <c r="C97" s="87"/>
      <c r="D97" s="87"/>
      <c r="E97" s="87"/>
      <c r="F97" s="87"/>
      <c r="G97" s="87"/>
      <c r="H97" s="87"/>
      <c r="I97" s="87"/>
      <c r="J97" s="2"/>
      <c r="K97" s="2"/>
      <c r="L97" s="94" t="str">
        <f>IF(B97="","", VLOOKUP(B97,RM!$C$4:$G984,10,FALSE))</f>
        <v/>
      </c>
      <c r="M97" s="94" t="str">
        <f>IF(B97="","", VLOOKUP(B97,RM!$C$4:$G984,11,FALSE))</f>
        <v/>
      </c>
      <c r="N97" s="95" t="str">
        <f>IF(B97="","", VLOOKUP(B97,RM!$C$4:$G984,12,FALSE))</f>
        <v/>
      </c>
    </row>
    <row r="98" spans="1:14">
      <c r="A98" s="87" t="str">
        <f t="shared" si="0"/>
        <v/>
      </c>
      <c r="B98" s="2"/>
      <c r="C98" s="87"/>
      <c r="D98" s="87"/>
      <c r="E98" s="87"/>
      <c r="F98" s="87"/>
      <c r="G98" s="87"/>
      <c r="H98" s="87"/>
      <c r="I98" s="87"/>
      <c r="J98" s="2"/>
      <c r="K98" s="2"/>
      <c r="L98" s="94" t="str">
        <f>IF(B98="","", VLOOKUP(B98,RM!$C$4:$G984,10,FALSE))</f>
        <v/>
      </c>
      <c r="M98" s="94" t="str">
        <f>IF(B98="","", VLOOKUP(B98,RM!$C$4:$G984,11,FALSE))</f>
        <v/>
      </c>
      <c r="N98" s="95" t="str">
        <f>IF(B98="","", VLOOKUP(B98,RM!$C$4:$G984,12,FALSE))</f>
        <v/>
      </c>
    </row>
    <row r="99" spans="1:14">
      <c r="A99" s="87" t="str">
        <f t="shared" si="0"/>
        <v/>
      </c>
      <c r="B99" s="2"/>
      <c r="C99" s="87"/>
      <c r="D99" s="87"/>
      <c r="E99" s="87"/>
      <c r="F99" s="87"/>
      <c r="G99" s="87"/>
      <c r="H99" s="87"/>
      <c r="I99" s="87"/>
      <c r="J99" s="2"/>
      <c r="K99" s="2"/>
      <c r="L99" s="94" t="str">
        <f>IF(B99="","", VLOOKUP(B99,RM!$C$4:$G984,10,FALSE))</f>
        <v/>
      </c>
      <c r="M99" s="94" t="str">
        <f>IF(B99="","", VLOOKUP(B99,RM!$C$4:$G984,11,FALSE))</f>
        <v/>
      </c>
      <c r="N99" s="95" t="str">
        <f>IF(B99="","", VLOOKUP(B99,RM!$C$4:$G984,12,FALSE))</f>
        <v/>
      </c>
    </row>
    <row r="100" spans="1:14">
      <c r="A100" s="87" t="str">
        <f t="shared" si="0"/>
        <v/>
      </c>
      <c r="B100" s="2"/>
      <c r="C100" s="87"/>
      <c r="D100" s="87"/>
      <c r="E100" s="87"/>
      <c r="F100" s="87"/>
      <c r="G100" s="87"/>
      <c r="H100" s="87"/>
      <c r="I100" s="87"/>
      <c r="J100" s="2"/>
      <c r="K100" s="2"/>
      <c r="L100" s="94" t="str">
        <f>IF(B100="","", VLOOKUP(B100,RM!$C$4:$G984,10,FALSE))</f>
        <v/>
      </c>
      <c r="M100" s="94" t="str">
        <f>IF(B100="","", VLOOKUP(B100,RM!$C$4:$G984,11,FALSE))</f>
        <v/>
      </c>
      <c r="N100" s="95" t="str">
        <f>IF(B100="","", VLOOKUP(B100,RM!$C$4:$G984,12,FALSE))</f>
        <v/>
      </c>
    </row>
    <row r="101" spans="1:14">
      <c r="A101" s="87" t="str">
        <f t="shared" si="0"/>
        <v/>
      </c>
      <c r="B101" s="2"/>
      <c r="C101" s="87"/>
      <c r="D101" s="87"/>
      <c r="E101" s="87"/>
      <c r="F101" s="87"/>
      <c r="G101" s="87"/>
      <c r="H101" s="87"/>
      <c r="I101" s="87"/>
      <c r="J101" s="2"/>
      <c r="K101" s="2"/>
      <c r="L101" s="94" t="str">
        <f>IF(B101="","", VLOOKUP(B101,RM!$C$4:$G984,10,FALSE))</f>
        <v/>
      </c>
      <c r="M101" s="94" t="str">
        <f>IF(B101="","", VLOOKUP(B101,RM!$C$4:$G984,11,FALSE))</f>
        <v/>
      </c>
      <c r="N101" s="95" t="str">
        <f>IF(B101="","", VLOOKUP(B101,RM!$C$4:$G984,12,FALSE))</f>
        <v/>
      </c>
    </row>
    <row r="102" spans="1:14">
      <c r="A102" s="87" t="str">
        <f t="shared" si="0"/>
        <v/>
      </c>
      <c r="B102" s="2"/>
      <c r="C102" s="87"/>
      <c r="D102" s="87"/>
      <c r="E102" s="87"/>
      <c r="F102" s="87"/>
      <c r="G102" s="87"/>
      <c r="H102" s="87"/>
      <c r="I102" s="87"/>
      <c r="J102" s="2"/>
      <c r="K102" s="2"/>
      <c r="L102" s="94" t="str">
        <f>IF(B102="","", VLOOKUP(B102,RM!$C$4:$G984,10,FALSE))</f>
        <v/>
      </c>
      <c r="M102" s="94" t="str">
        <f>IF(B102="","", VLOOKUP(B102,RM!$C$4:$G984,11,FALSE))</f>
        <v/>
      </c>
      <c r="N102" s="95" t="str">
        <f>IF(B102="","", VLOOKUP(B102,RM!$C$4:$G984,12,FALSE))</f>
        <v/>
      </c>
    </row>
    <row r="103" spans="1:14">
      <c r="A103" s="87" t="str">
        <f t="shared" si="0"/>
        <v/>
      </c>
      <c r="B103" s="2"/>
      <c r="C103" s="87"/>
      <c r="D103" s="87"/>
      <c r="E103" s="87"/>
      <c r="F103" s="87"/>
      <c r="G103" s="87"/>
      <c r="H103" s="87"/>
      <c r="I103" s="87"/>
      <c r="J103" s="2"/>
      <c r="K103" s="2"/>
      <c r="L103" s="94" t="str">
        <f>IF(B103="","", VLOOKUP(B103,RM!$C$4:$G984,10,FALSE))</f>
        <v/>
      </c>
      <c r="M103" s="94" t="str">
        <f>IF(B103="","", VLOOKUP(B103,RM!$C$4:$G984,11,FALSE))</f>
        <v/>
      </c>
      <c r="N103" s="95" t="str">
        <f>IF(B103="","", VLOOKUP(B103,RM!$C$4:$G984,12,FALSE))</f>
        <v/>
      </c>
    </row>
    <row r="104" spans="1:14">
      <c r="A104" s="87" t="str">
        <f t="shared" si="0"/>
        <v/>
      </c>
      <c r="B104" s="2"/>
      <c r="C104" s="87"/>
      <c r="D104" s="87"/>
      <c r="E104" s="87"/>
      <c r="F104" s="87"/>
      <c r="G104" s="87"/>
      <c r="H104" s="87"/>
      <c r="I104" s="87"/>
      <c r="J104" s="2"/>
      <c r="K104" s="2"/>
      <c r="L104" s="94" t="str">
        <f>IF(B104="","", VLOOKUP(B104,RM!$C$4:$G984,10,FALSE))</f>
        <v/>
      </c>
      <c r="M104" s="94" t="str">
        <f>IF(B104="","", VLOOKUP(B104,RM!$C$4:$G984,11,FALSE))</f>
        <v/>
      </c>
      <c r="N104" s="95" t="str">
        <f>IF(B104="","", VLOOKUP(B104,RM!$C$4:$G984,12,FALSE))</f>
        <v/>
      </c>
    </row>
    <row r="105" spans="1:14">
      <c r="A105" s="87" t="str">
        <f t="shared" si="0"/>
        <v/>
      </c>
      <c r="B105" s="2"/>
      <c r="C105" s="87"/>
      <c r="D105" s="87"/>
      <c r="E105" s="87"/>
      <c r="F105" s="87"/>
      <c r="G105" s="87"/>
      <c r="H105" s="87"/>
      <c r="I105" s="87"/>
      <c r="J105" s="2"/>
      <c r="K105" s="2"/>
      <c r="L105" s="94" t="str">
        <f>IF(B105="","", VLOOKUP(B105,RM!$C$4:$G984,10,FALSE))</f>
        <v/>
      </c>
      <c r="M105" s="94" t="str">
        <f>IF(B105="","", VLOOKUP(B105,RM!$C$4:$G984,11,FALSE))</f>
        <v/>
      </c>
      <c r="N105" s="95" t="str">
        <f>IF(B105="","", VLOOKUP(B105,RM!$C$4:$G984,12,FALSE))</f>
        <v/>
      </c>
    </row>
    <row r="106" spans="1:14">
      <c r="A106" s="87" t="str">
        <f t="shared" si="0"/>
        <v/>
      </c>
      <c r="B106" s="2"/>
      <c r="C106" s="87"/>
      <c r="D106" s="87"/>
      <c r="E106" s="87"/>
      <c r="F106" s="87"/>
      <c r="G106" s="87"/>
      <c r="H106" s="87"/>
      <c r="I106" s="87"/>
      <c r="J106" s="2"/>
      <c r="K106" s="2"/>
      <c r="L106" s="94" t="str">
        <f>IF(B106="","", VLOOKUP(B106,RM!$C$4:$G984,10,FALSE))</f>
        <v/>
      </c>
      <c r="M106" s="94" t="str">
        <f>IF(B106="","", VLOOKUP(B106,RM!$C$4:$G984,11,FALSE))</f>
        <v/>
      </c>
      <c r="N106" s="95" t="str">
        <f>IF(B106="","", VLOOKUP(B106,RM!$C$4:$G984,12,FALSE))</f>
        <v/>
      </c>
    </row>
    <row r="107" spans="1:14">
      <c r="A107" s="87" t="str">
        <f t="shared" si="0"/>
        <v/>
      </c>
      <c r="B107" s="2"/>
      <c r="C107" s="87"/>
      <c r="D107" s="87"/>
      <c r="E107" s="87"/>
      <c r="F107" s="87"/>
      <c r="G107" s="87"/>
      <c r="H107" s="87"/>
      <c r="I107" s="87"/>
      <c r="J107" s="2"/>
      <c r="K107" s="2"/>
      <c r="L107" s="94" t="str">
        <f>IF(B107="","", VLOOKUP(B107,RM!$C$4:$G984,10,FALSE))</f>
        <v/>
      </c>
      <c r="M107" s="94" t="str">
        <f>IF(B107="","", VLOOKUP(B107,RM!$C$4:$G984,11,FALSE))</f>
        <v/>
      </c>
      <c r="N107" s="95" t="str">
        <f>IF(B107="","", VLOOKUP(B107,RM!$C$4:$G984,12,FALSE))</f>
        <v/>
      </c>
    </row>
    <row r="108" spans="1:14">
      <c r="A108" s="87" t="str">
        <f t="shared" si="0"/>
        <v/>
      </c>
      <c r="B108" s="2"/>
      <c r="C108" s="87"/>
      <c r="D108" s="87"/>
      <c r="E108" s="87"/>
      <c r="F108" s="87"/>
      <c r="G108" s="87"/>
      <c r="H108" s="87"/>
      <c r="I108" s="87"/>
      <c r="J108" s="2"/>
      <c r="K108" s="2"/>
      <c r="L108" s="94" t="str">
        <f>IF(B108="","", VLOOKUP(B108,RM!$C$4:$G984,10,FALSE))</f>
        <v/>
      </c>
      <c r="M108" s="94" t="str">
        <f>IF(B108="","", VLOOKUP(B108,RM!$C$4:$G984,11,FALSE))</f>
        <v/>
      </c>
      <c r="N108" s="95" t="str">
        <f>IF(B108="","", VLOOKUP(B108,RM!$C$4:$G984,12,FALSE))</f>
        <v/>
      </c>
    </row>
    <row r="109" spans="1:14">
      <c r="A109" s="87" t="str">
        <f t="shared" si="0"/>
        <v/>
      </c>
      <c r="B109" s="2"/>
      <c r="C109" s="87"/>
      <c r="D109" s="87"/>
      <c r="E109" s="87"/>
      <c r="F109" s="87"/>
      <c r="G109" s="87"/>
      <c r="H109" s="87"/>
      <c r="I109" s="87"/>
      <c r="J109" s="2"/>
      <c r="K109" s="2"/>
      <c r="L109" s="94" t="str">
        <f>IF(B109="","", VLOOKUP(B109,RM!$C$4:$G984,10,FALSE))</f>
        <v/>
      </c>
      <c r="M109" s="94" t="str">
        <f>IF(B109="","", VLOOKUP(B109,RM!$C$4:$G984,11,FALSE))</f>
        <v/>
      </c>
      <c r="N109" s="95" t="str">
        <f>IF(B109="","", VLOOKUP(B109,RM!$C$4:$G984,12,FALSE))</f>
        <v/>
      </c>
    </row>
    <row r="110" spans="1:14">
      <c r="A110" s="87" t="str">
        <f t="shared" si="0"/>
        <v/>
      </c>
      <c r="B110" s="2"/>
      <c r="C110" s="87"/>
      <c r="D110" s="87"/>
      <c r="E110" s="87"/>
      <c r="F110" s="87"/>
      <c r="G110" s="87"/>
      <c r="H110" s="87"/>
      <c r="I110" s="87"/>
      <c r="J110" s="2"/>
      <c r="K110" s="2"/>
      <c r="L110" s="94" t="str">
        <f>IF(B110="","", VLOOKUP(B110,RM!$C$4:$G984,10,FALSE))</f>
        <v/>
      </c>
      <c r="M110" s="94" t="str">
        <f>IF(B110="","", VLOOKUP(B110,RM!$C$4:$G984,11,FALSE))</f>
        <v/>
      </c>
      <c r="N110" s="95" t="str">
        <f>IF(B110="","", VLOOKUP(B110,RM!$C$4:$G984,12,FALSE))</f>
        <v/>
      </c>
    </row>
    <row r="111" spans="1:14">
      <c r="A111" s="87" t="str">
        <f t="shared" si="0"/>
        <v/>
      </c>
      <c r="B111" s="2"/>
      <c r="C111" s="87"/>
      <c r="D111" s="87"/>
      <c r="E111" s="87"/>
      <c r="F111" s="87"/>
      <c r="G111" s="87"/>
      <c r="H111" s="87"/>
      <c r="I111" s="87"/>
      <c r="J111" s="2"/>
      <c r="K111" s="2"/>
      <c r="L111" s="94" t="str">
        <f>IF(B111="","", VLOOKUP(B111,RM!$C$4:$G984,10,FALSE))</f>
        <v/>
      </c>
      <c r="M111" s="94" t="str">
        <f>IF(B111="","", VLOOKUP(B111,RM!$C$4:$G984,11,FALSE))</f>
        <v/>
      </c>
      <c r="N111" s="95" t="str">
        <f>IF(B111="","", VLOOKUP(B111,RM!$C$4:$G984,12,FALSE))</f>
        <v/>
      </c>
    </row>
    <row r="112" spans="1:14">
      <c r="A112" s="87" t="str">
        <f t="shared" si="0"/>
        <v/>
      </c>
      <c r="B112" s="2"/>
      <c r="C112" s="87"/>
      <c r="D112" s="87"/>
      <c r="E112" s="87"/>
      <c r="F112" s="87"/>
      <c r="G112" s="87"/>
      <c r="H112" s="87"/>
      <c r="I112" s="87"/>
      <c r="J112" s="2"/>
      <c r="K112" s="2"/>
      <c r="L112" s="94" t="str">
        <f>IF(B112="","", VLOOKUP(B112,RM!$C$4:$G984,10,FALSE))</f>
        <v/>
      </c>
      <c r="M112" s="94" t="str">
        <f>IF(B112="","", VLOOKUP(B112,RM!$C$4:$G984,11,FALSE))</f>
        <v/>
      </c>
      <c r="N112" s="95" t="str">
        <f>IF(B112="","", VLOOKUP(B112,RM!$C$4:$G984,12,FALSE))</f>
        <v/>
      </c>
    </row>
    <row r="113" spans="1:14">
      <c r="A113" s="87" t="str">
        <f t="shared" si="0"/>
        <v/>
      </c>
      <c r="B113" s="2"/>
      <c r="C113" s="87"/>
      <c r="D113" s="87"/>
      <c r="E113" s="87"/>
      <c r="F113" s="87"/>
      <c r="G113" s="87"/>
      <c r="H113" s="87"/>
      <c r="I113" s="87"/>
      <c r="J113" s="2"/>
      <c r="K113" s="2"/>
      <c r="L113" s="94" t="str">
        <f>IF(B113="","", VLOOKUP(B113,RM!$C$4:$G984,10,FALSE))</f>
        <v/>
      </c>
      <c r="M113" s="94" t="str">
        <f>IF(B113="","", VLOOKUP(B113,RM!$C$4:$G984,11,FALSE))</f>
        <v/>
      </c>
      <c r="N113" s="95" t="str">
        <f>IF(B113="","", VLOOKUP(B113,RM!$C$4:$G984,12,FALSE))</f>
        <v/>
      </c>
    </row>
    <row r="114" spans="1:14">
      <c r="A114" s="87" t="str">
        <f t="shared" si="0"/>
        <v/>
      </c>
      <c r="B114" s="2"/>
      <c r="C114" s="87"/>
      <c r="D114" s="87"/>
      <c r="E114" s="87"/>
      <c r="F114" s="87"/>
      <c r="G114" s="87"/>
      <c r="H114" s="87"/>
      <c r="I114" s="87"/>
      <c r="J114" s="2"/>
      <c r="K114" s="2"/>
      <c r="L114" s="94" t="str">
        <f>IF(B114="","", VLOOKUP(B114,RM!$C$4:$G984,10,FALSE))</f>
        <v/>
      </c>
      <c r="M114" s="94" t="str">
        <f>IF(B114="","", VLOOKUP(B114,RM!$C$4:$G984,11,FALSE))</f>
        <v/>
      </c>
      <c r="N114" s="95" t="str">
        <f>IF(B114="","", VLOOKUP(B114,RM!$C$4:$G984,12,FALSE))</f>
        <v/>
      </c>
    </row>
    <row r="115" spans="1:14">
      <c r="A115" s="87" t="str">
        <f t="shared" si="0"/>
        <v/>
      </c>
      <c r="B115" s="2"/>
      <c r="C115" s="87"/>
      <c r="D115" s="87"/>
      <c r="E115" s="87"/>
      <c r="F115" s="87"/>
      <c r="G115" s="87"/>
      <c r="H115" s="87"/>
      <c r="I115" s="87"/>
      <c r="J115" s="2"/>
      <c r="K115" s="2"/>
      <c r="L115" s="94" t="str">
        <f>IF(B115="","", VLOOKUP(B115,RM!$C$4:$G984,10,FALSE))</f>
        <v/>
      </c>
      <c r="M115" s="94" t="str">
        <f>IF(B115="","", VLOOKUP(B115,RM!$C$4:$G984,11,FALSE))</f>
        <v/>
      </c>
      <c r="N115" s="95" t="str">
        <f>IF(B115="","", VLOOKUP(B115,RM!$C$4:$G984,12,FALSE))</f>
        <v/>
      </c>
    </row>
    <row r="116" spans="1:14">
      <c r="A116" s="87" t="str">
        <f t="shared" si="0"/>
        <v/>
      </c>
      <c r="B116" s="2"/>
      <c r="C116" s="87"/>
      <c r="D116" s="87"/>
      <c r="E116" s="87"/>
      <c r="F116" s="87"/>
      <c r="G116" s="87"/>
      <c r="H116" s="87"/>
      <c r="I116" s="87"/>
      <c r="J116" s="2"/>
      <c r="K116" s="2"/>
      <c r="L116" s="94" t="str">
        <f>IF(B116="","", VLOOKUP(B116,RM!$C$4:$G984,10,FALSE))</f>
        <v/>
      </c>
      <c r="M116" s="94" t="str">
        <f>IF(B116="","", VLOOKUP(B116,RM!$C$4:$G984,11,FALSE))</f>
        <v/>
      </c>
      <c r="N116" s="95" t="str">
        <f>IF(B116="","", VLOOKUP(B116,RM!$C$4:$G984,12,FALSE))</f>
        <v/>
      </c>
    </row>
    <row r="117" spans="1:14">
      <c r="A117" s="87" t="str">
        <f t="shared" si="0"/>
        <v/>
      </c>
      <c r="B117" s="2"/>
      <c r="C117" s="87"/>
      <c r="D117" s="87"/>
      <c r="E117" s="87"/>
      <c r="F117" s="87"/>
      <c r="G117" s="87"/>
      <c r="H117" s="87"/>
      <c r="I117" s="87"/>
      <c r="J117" s="2"/>
      <c r="K117" s="2"/>
      <c r="L117" s="94" t="str">
        <f>IF(B117="","", VLOOKUP(B117,RM!$C$4:$G984,10,FALSE))</f>
        <v/>
      </c>
      <c r="M117" s="94" t="str">
        <f>IF(B117="","", VLOOKUP(B117,RM!$C$4:$G984,11,FALSE))</f>
        <v/>
      </c>
      <c r="N117" s="95" t="str">
        <f>IF(B117="","", VLOOKUP(B117,RM!$C$4:$G984,12,FALSE))</f>
        <v/>
      </c>
    </row>
    <row r="118" spans="1:14">
      <c r="A118" s="87" t="str">
        <f t="shared" si="0"/>
        <v/>
      </c>
      <c r="B118" s="2"/>
      <c r="C118" s="87"/>
      <c r="D118" s="87"/>
      <c r="E118" s="87"/>
      <c r="F118" s="87"/>
      <c r="G118" s="87"/>
      <c r="H118" s="87"/>
      <c r="I118" s="87"/>
      <c r="J118" s="2"/>
      <c r="K118" s="2"/>
      <c r="L118" s="94" t="str">
        <f>IF(B118="","", VLOOKUP(B118,RM!$C$4:$G984,10,FALSE))</f>
        <v/>
      </c>
      <c r="M118" s="94" t="str">
        <f>IF(B118="","", VLOOKUP(B118,RM!$C$4:$G984,11,FALSE))</f>
        <v/>
      </c>
      <c r="N118" s="95" t="str">
        <f>IF(B118="","", VLOOKUP(B118,RM!$C$4:$G984,12,FALSE))</f>
        <v/>
      </c>
    </row>
    <row r="119" spans="1:14">
      <c r="A119" s="87" t="str">
        <f t="shared" si="0"/>
        <v/>
      </c>
      <c r="B119" s="2"/>
      <c r="C119" s="87"/>
      <c r="D119" s="87"/>
      <c r="E119" s="87"/>
      <c r="F119" s="87"/>
      <c r="G119" s="87"/>
      <c r="H119" s="87"/>
      <c r="I119" s="87"/>
      <c r="J119" s="2"/>
      <c r="K119" s="2"/>
      <c r="L119" s="94" t="str">
        <f>IF(B119="","", VLOOKUP(B119,RM!$C$4:$G984,10,FALSE))</f>
        <v/>
      </c>
      <c r="M119" s="94" t="str">
        <f>IF(B119="","", VLOOKUP(B119,RM!$C$4:$G984,11,FALSE))</f>
        <v/>
      </c>
      <c r="N119" s="95" t="str">
        <f>IF(B119="","", VLOOKUP(B119,RM!$C$4:$G984,12,FALSE))</f>
        <v/>
      </c>
    </row>
    <row r="120" spans="1:14">
      <c r="A120" s="87" t="str">
        <f t="shared" si="0"/>
        <v/>
      </c>
      <c r="B120" s="2"/>
      <c r="C120" s="87"/>
      <c r="D120" s="87"/>
      <c r="E120" s="87"/>
      <c r="F120" s="87"/>
      <c r="G120" s="87"/>
      <c r="H120" s="87"/>
      <c r="I120" s="87"/>
      <c r="J120" s="2"/>
      <c r="K120" s="2"/>
      <c r="L120" s="94" t="str">
        <f>IF(B120="","", VLOOKUP(B120,RM!$C$4:$G984,10,FALSE))</f>
        <v/>
      </c>
      <c r="M120" s="94" t="str">
        <f>IF(B120="","", VLOOKUP(B120,RM!$C$4:$G984,11,FALSE))</f>
        <v/>
      </c>
      <c r="N120" s="95" t="str">
        <f>IF(B120="","", VLOOKUP(B120,RM!$C$4:$G984,12,FALSE))</f>
        <v/>
      </c>
    </row>
    <row r="121" spans="1:14">
      <c r="A121" s="87" t="str">
        <f t="shared" si="0"/>
        <v/>
      </c>
      <c r="B121" s="2"/>
      <c r="C121" s="87"/>
      <c r="D121" s="87"/>
      <c r="E121" s="87"/>
      <c r="F121" s="87"/>
      <c r="G121" s="87"/>
      <c r="H121" s="87"/>
      <c r="I121" s="87"/>
      <c r="J121" s="2"/>
      <c r="K121" s="2"/>
      <c r="L121" s="94" t="str">
        <f>IF(B121="","", VLOOKUP(B121,RM!$C$4:$G984,10,FALSE))</f>
        <v/>
      </c>
      <c r="M121" s="94" t="str">
        <f>IF(B121="","", VLOOKUP(B121,RM!$C$4:$G984,11,FALSE))</f>
        <v/>
      </c>
      <c r="N121" s="95" t="str">
        <f>IF(B121="","", VLOOKUP(B121,RM!$C$4:$G984,12,FALSE))</f>
        <v/>
      </c>
    </row>
    <row r="122" spans="1:14">
      <c r="A122" s="87" t="str">
        <f t="shared" si="0"/>
        <v/>
      </c>
      <c r="B122" s="2"/>
      <c r="C122" s="87"/>
      <c r="D122" s="87"/>
      <c r="E122" s="87"/>
      <c r="F122" s="87"/>
      <c r="G122" s="87"/>
      <c r="H122" s="87"/>
      <c r="I122" s="87"/>
      <c r="J122" s="2"/>
      <c r="K122" s="2"/>
      <c r="L122" s="94" t="str">
        <f>IF(B122="","", VLOOKUP(B122,RM!$C$4:$G984,10,FALSE))</f>
        <v/>
      </c>
      <c r="M122" s="94" t="str">
        <f>IF(B122="","", VLOOKUP(B122,RM!$C$4:$G984,11,FALSE))</f>
        <v/>
      </c>
      <c r="N122" s="95" t="str">
        <f>IF(B122="","", VLOOKUP(B122,RM!$C$4:$G984,12,FALSE))</f>
        <v/>
      </c>
    </row>
    <row r="123" spans="1:14">
      <c r="A123" s="87" t="str">
        <f t="shared" si="0"/>
        <v/>
      </c>
      <c r="B123" s="2"/>
      <c r="C123" s="87"/>
      <c r="D123" s="87"/>
      <c r="E123" s="87"/>
      <c r="F123" s="87"/>
      <c r="G123" s="87"/>
      <c r="H123" s="87"/>
      <c r="I123" s="87"/>
      <c r="J123" s="2"/>
      <c r="K123" s="2"/>
      <c r="L123" s="94" t="str">
        <f>IF(B123="","", VLOOKUP(B123,RM!$C$4:$G984,10,FALSE))</f>
        <v/>
      </c>
      <c r="M123" s="94" t="str">
        <f>IF(B123="","", VLOOKUP(B123,RM!$C$4:$G984,11,FALSE))</f>
        <v/>
      </c>
      <c r="N123" s="95" t="str">
        <f>IF(B123="","", VLOOKUP(B123,RM!$C$4:$G984,12,FALSE))</f>
        <v/>
      </c>
    </row>
    <row r="124" spans="1:14">
      <c r="A124" s="87" t="str">
        <f t="shared" si="0"/>
        <v/>
      </c>
      <c r="B124" s="2"/>
      <c r="C124" s="87"/>
      <c r="D124" s="87"/>
      <c r="E124" s="87"/>
      <c r="F124" s="87"/>
      <c r="G124" s="87"/>
      <c r="H124" s="87"/>
      <c r="I124" s="87"/>
      <c r="J124" s="2"/>
      <c r="K124" s="2"/>
      <c r="L124" s="94" t="str">
        <f>IF(B124="","", VLOOKUP(B124,RM!$C$4:$G984,10,FALSE))</f>
        <v/>
      </c>
      <c r="M124" s="94" t="str">
        <f>IF(B124="","", VLOOKUP(B124,RM!$C$4:$G984,11,FALSE))</f>
        <v/>
      </c>
      <c r="N124" s="95" t="str">
        <f>IF(B124="","", VLOOKUP(B124,RM!$C$4:$G984,12,FALSE))</f>
        <v/>
      </c>
    </row>
    <row r="125" spans="1:14">
      <c r="A125" s="87" t="str">
        <f t="shared" si="0"/>
        <v/>
      </c>
      <c r="B125" s="2"/>
      <c r="C125" s="87"/>
      <c r="D125" s="87"/>
      <c r="E125" s="87"/>
      <c r="F125" s="87"/>
      <c r="G125" s="87"/>
      <c r="H125" s="87"/>
      <c r="I125" s="87"/>
      <c r="J125" s="2"/>
      <c r="K125" s="2"/>
      <c r="L125" s="94" t="str">
        <f>IF(B125="","", VLOOKUP(B125,RM!$C$4:$G984,10,FALSE))</f>
        <v/>
      </c>
      <c r="M125" s="94" t="str">
        <f>IF(B125="","", VLOOKUP(B125,RM!$C$4:$G984,11,FALSE))</f>
        <v/>
      </c>
      <c r="N125" s="95" t="str">
        <f>IF(B125="","", VLOOKUP(B125,RM!$C$4:$G984,12,FALSE))</f>
        <v/>
      </c>
    </row>
    <row r="126" spans="1:14">
      <c r="A126" s="87" t="str">
        <f t="shared" si="0"/>
        <v/>
      </c>
      <c r="B126" s="2"/>
      <c r="C126" s="87"/>
      <c r="D126" s="87"/>
      <c r="E126" s="87"/>
      <c r="F126" s="87"/>
      <c r="G126" s="87"/>
      <c r="H126" s="87"/>
      <c r="I126" s="87"/>
      <c r="J126" s="2"/>
      <c r="K126" s="2"/>
      <c r="L126" s="94" t="str">
        <f>IF(B126="","", VLOOKUP(B126,RM!$C$4:$G984,10,FALSE))</f>
        <v/>
      </c>
      <c r="M126" s="94" t="str">
        <f>IF(B126="","", VLOOKUP(B126,RM!$C$4:$G984,11,FALSE))</f>
        <v/>
      </c>
      <c r="N126" s="95" t="str">
        <f>IF(B126="","", VLOOKUP(B126,RM!$C$4:$G984,12,FALSE))</f>
        <v/>
      </c>
    </row>
    <row r="127" spans="1:14">
      <c r="A127" s="87" t="str">
        <f t="shared" si="0"/>
        <v/>
      </c>
      <c r="B127" s="2"/>
      <c r="C127" s="87"/>
      <c r="D127" s="87"/>
      <c r="E127" s="87"/>
      <c r="F127" s="87"/>
      <c r="G127" s="87"/>
      <c r="H127" s="87"/>
      <c r="I127" s="87"/>
      <c r="J127" s="2"/>
      <c r="K127" s="2"/>
      <c r="L127" s="94" t="str">
        <f>IF(B127="","", VLOOKUP(B127,RM!$C$4:$G984,10,FALSE))</f>
        <v/>
      </c>
      <c r="M127" s="94" t="str">
        <f>IF(B127="","", VLOOKUP(B127,RM!$C$4:$G984,11,FALSE))</f>
        <v/>
      </c>
      <c r="N127" s="95" t="str">
        <f>IF(B127="","", VLOOKUP(B127,RM!$C$4:$G984,12,FALSE))</f>
        <v/>
      </c>
    </row>
    <row r="128" spans="1:14">
      <c r="A128" s="87" t="str">
        <f t="shared" si="0"/>
        <v/>
      </c>
      <c r="B128" s="2"/>
      <c r="C128" s="87"/>
      <c r="D128" s="87"/>
      <c r="E128" s="87"/>
      <c r="F128" s="87"/>
      <c r="G128" s="87"/>
      <c r="H128" s="87"/>
      <c r="I128" s="87"/>
      <c r="J128" s="2"/>
      <c r="K128" s="2"/>
      <c r="L128" s="94" t="str">
        <f>IF(B128="","", VLOOKUP(B128,RM!$C$4:$G984,10,FALSE))</f>
        <v/>
      </c>
      <c r="M128" s="94" t="str">
        <f>IF(B128="","", VLOOKUP(B128,RM!$C$4:$G984,11,FALSE))</f>
        <v/>
      </c>
      <c r="N128" s="95" t="str">
        <f>IF(B128="","", VLOOKUP(B128,RM!$C$4:$G984,12,FALSE))</f>
        <v/>
      </c>
    </row>
    <row r="129" spans="1:14">
      <c r="A129" s="87" t="str">
        <f t="shared" si="0"/>
        <v/>
      </c>
      <c r="B129" s="2"/>
      <c r="C129" s="87"/>
      <c r="D129" s="87"/>
      <c r="E129" s="87"/>
      <c r="F129" s="87"/>
      <c r="G129" s="87"/>
      <c r="H129" s="87"/>
      <c r="I129" s="87"/>
      <c r="J129" s="2"/>
      <c r="K129" s="2"/>
      <c r="L129" s="94" t="str">
        <f>IF(B129="","", VLOOKUP(B129,RM!$C$4:$G984,10,FALSE))</f>
        <v/>
      </c>
      <c r="M129" s="94" t="str">
        <f>IF(B129="","", VLOOKUP(B129,RM!$C$4:$G984,11,FALSE))</f>
        <v/>
      </c>
      <c r="N129" s="95" t="str">
        <f>IF(B129="","", VLOOKUP(B129,RM!$C$4:$G984,12,FALSE))</f>
        <v/>
      </c>
    </row>
    <row r="130" spans="1:14">
      <c r="A130" s="87" t="str">
        <f t="shared" si="0"/>
        <v/>
      </c>
      <c r="B130" s="2"/>
      <c r="C130" s="87"/>
      <c r="D130" s="87"/>
      <c r="E130" s="87"/>
      <c r="F130" s="87"/>
      <c r="G130" s="87"/>
      <c r="H130" s="87"/>
      <c r="I130" s="87"/>
      <c r="J130" s="2"/>
      <c r="K130" s="2"/>
      <c r="L130" s="94" t="str">
        <f>IF(B130="","", VLOOKUP(B130,RM!$C$4:$G984,10,FALSE))</f>
        <v/>
      </c>
      <c r="M130" s="94" t="str">
        <f>IF(B130="","", VLOOKUP(B130,RM!$C$4:$G984,11,FALSE))</f>
        <v/>
      </c>
      <c r="N130" s="95" t="str">
        <f>IF(B130="","", VLOOKUP(B130,RM!$C$4:$G984,12,FALSE))</f>
        <v/>
      </c>
    </row>
    <row r="131" spans="1:14">
      <c r="A131" s="87" t="str">
        <f t="shared" si="0"/>
        <v/>
      </c>
      <c r="B131" s="2"/>
      <c r="C131" s="87"/>
      <c r="D131" s="87"/>
      <c r="E131" s="87"/>
      <c r="F131" s="87"/>
      <c r="G131" s="87"/>
      <c r="H131" s="87"/>
      <c r="I131" s="87"/>
      <c r="J131" s="2"/>
      <c r="K131" s="2"/>
      <c r="L131" s="94" t="str">
        <f>IF(B131="","", VLOOKUP(B131,RM!$C$4:$G984,10,FALSE))</f>
        <v/>
      </c>
      <c r="M131" s="94" t="str">
        <f>IF(B131="","", VLOOKUP(B131,RM!$C$4:$G984,11,FALSE))</f>
        <v/>
      </c>
      <c r="N131" s="95" t="str">
        <f>IF(B131="","", VLOOKUP(B131,RM!$C$4:$G984,12,FALSE))</f>
        <v/>
      </c>
    </row>
    <row r="132" spans="1:14">
      <c r="A132" s="87" t="str">
        <f t="shared" si="0"/>
        <v/>
      </c>
      <c r="B132" s="2"/>
      <c r="C132" s="87"/>
      <c r="D132" s="87"/>
      <c r="E132" s="87"/>
      <c r="F132" s="87"/>
      <c r="G132" s="87"/>
      <c r="H132" s="87"/>
      <c r="I132" s="87"/>
      <c r="J132" s="2"/>
      <c r="K132" s="2"/>
      <c r="L132" s="94" t="str">
        <f>IF(B132="","", VLOOKUP(B132,RM!$C$4:$G984,10,FALSE))</f>
        <v/>
      </c>
      <c r="M132" s="94" t="str">
        <f>IF(B132="","", VLOOKUP(B132,RM!$C$4:$G984,11,FALSE))</f>
        <v/>
      </c>
      <c r="N132" s="95" t="str">
        <f>IF(B132="","", VLOOKUP(B132,RM!$C$4:$G984,12,FALSE))</f>
        <v/>
      </c>
    </row>
    <row r="133" spans="1:14">
      <c r="A133" s="87" t="str">
        <f t="shared" si="0"/>
        <v/>
      </c>
      <c r="B133" s="2"/>
      <c r="C133" s="87"/>
      <c r="D133" s="87"/>
      <c r="E133" s="87"/>
      <c r="F133" s="87"/>
      <c r="G133" s="87"/>
      <c r="H133" s="87"/>
      <c r="I133" s="87"/>
      <c r="J133" s="2"/>
      <c r="K133" s="2"/>
      <c r="L133" s="94" t="str">
        <f>IF(B133="","", VLOOKUP(B133,RM!$C$4:$G984,10,FALSE))</f>
        <v/>
      </c>
      <c r="M133" s="94" t="str">
        <f>IF(B133="","", VLOOKUP(B133,RM!$C$4:$G984,11,FALSE))</f>
        <v/>
      </c>
      <c r="N133" s="95" t="str">
        <f>IF(B133="","", VLOOKUP(B133,RM!$C$4:$G984,12,FALSE))</f>
        <v/>
      </c>
    </row>
    <row r="134" spans="1:14">
      <c r="A134" s="87" t="str">
        <f t="shared" si="0"/>
        <v/>
      </c>
      <c r="B134" s="2"/>
      <c r="C134" s="87"/>
      <c r="D134" s="87"/>
      <c r="E134" s="87"/>
      <c r="F134" s="87"/>
      <c r="G134" s="87"/>
      <c r="H134" s="87"/>
      <c r="I134" s="87"/>
      <c r="J134" s="2"/>
      <c r="K134" s="2"/>
      <c r="L134" s="94" t="str">
        <f>IF(B134="","", VLOOKUP(B134,RM!$C$4:$G984,10,FALSE))</f>
        <v/>
      </c>
      <c r="M134" s="94" t="str">
        <f>IF(B134="","", VLOOKUP(B134,RM!$C$4:$G984,11,FALSE))</f>
        <v/>
      </c>
      <c r="N134" s="95" t="str">
        <f>IF(B134="","", VLOOKUP(B134,RM!$C$4:$G984,12,FALSE))</f>
        <v/>
      </c>
    </row>
    <row r="135" spans="1:14">
      <c r="A135" s="87" t="str">
        <f t="shared" si="0"/>
        <v/>
      </c>
      <c r="B135" s="2"/>
      <c r="C135" s="87"/>
      <c r="D135" s="87"/>
      <c r="E135" s="87"/>
      <c r="F135" s="87"/>
      <c r="G135" s="87"/>
      <c r="H135" s="87"/>
      <c r="I135" s="87"/>
      <c r="J135" s="2"/>
      <c r="K135" s="2"/>
      <c r="L135" s="94" t="str">
        <f>IF(B135="","", VLOOKUP(B135,RM!$C$4:$G984,10,FALSE))</f>
        <v/>
      </c>
      <c r="M135" s="94" t="str">
        <f>IF(B135="","", VLOOKUP(B135,RM!$C$4:$G984,11,FALSE))</f>
        <v/>
      </c>
      <c r="N135" s="95" t="str">
        <f>IF(B135="","", VLOOKUP(B135,RM!$C$4:$G984,12,FALSE))</f>
        <v/>
      </c>
    </row>
    <row r="136" spans="1:14">
      <c r="A136" s="87" t="str">
        <f t="shared" si="0"/>
        <v/>
      </c>
      <c r="B136" s="2"/>
      <c r="C136" s="87"/>
      <c r="D136" s="87"/>
      <c r="E136" s="87"/>
      <c r="F136" s="87"/>
      <c r="G136" s="87"/>
      <c r="H136" s="87"/>
      <c r="I136" s="87"/>
      <c r="J136" s="2"/>
      <c r="K136" s="2"/>
      <c r="L136" s="94" t="str">
        <f>IF(B136="","", VLOOKUP(B136,RM!$C$4:$G984,10,FALSE))</f>
        <v/>
      </c>
      <c r="M136" s="94" t="str">
        <f>IF(B136="","", VLOOKUP(B136,RM!$C$4:$G984,11,FALSE))</f>
        <v/>
      </c>
      <c r="N136" s="95" t="str">
        <f>IF(B136="","", VLOOKUP(B136,RM!$C$4:$G984,12,FALSE))</f>
        <v/>
      </c>
    </row>
    <row r="137" spans="1:14">
      <c r="A137" s="87" t="str">
        <f t="shared" si="0"/>
        <v/>
      </c>
      <c r="B137" s="2"/>
      <c r="C137" s="87"/>
      <c r="D137" s="87"/>
      <c r="E137" s="87"/>
      <c r="F137" s="87"/>
      <c r="G137" s="87"/>
      <c r="H137" s="87"/>
      <c r="I137" s="87"/>
      <c r="J137" s="2"/>
      <c r="K137" s="2"/>
      <c r="L137" s="94" t="str">
        <f>IF(B137="","", VLOOKUP(B137,RM!$C$4:$G984,10,FALSE))</f>
        <v/>
      </c>
      <c r="M137" s="94" t="str">
        <f>IF(B137="","", VLOOKUP(B137,RM!$C$4:$G984,11,FALSE))</f>
        <v/>
      </c>
      <c r="N137" s="95" t="str">
        <f>IF(B137="","", VLOOKUP(B137,RM!$C$4:$G984,12,FALSE))</f>
        <v/>
      </c>
    </row>
    <row r="138" spans="1:14">
      <c r="A138" s="87" t="str">
        <f t="shared" si="0"/>
        <v/>
      </c>
      <c r="B138" s="2"/>
      <c r="C138" s="87"/>
      <c r="D138" s="87"/>
      <c r="E138" s="87"/>
      <c r="F138" s="87"/>
      <c r="G138" s="87"/>
      <c r="H138" s="87"/>
      <c r="I138" s="87"/>
      <c r="J138" s="2"/>
      <c r="K138" s="2"/>
      <c r="L138" s="94" t="str">
        <f>IF(B138="","", VLOOKUP(B138,RM!$C$4:$G984,10,FALSE))</f>
        <v/>
      </c>
      <c r="M138" s="94" t="str">
        <f>IF(B138="","", VLOOKUP(B138,RM!$C$4:$G984,11,FALSE))</f>
        <v/>
      </c>
      <c r="N138" s="95" t="str">
        <f>IF(B138="","", VLOOKUP(B138,RM!$C$4:$G984,12,FALSE))</f>
        <v/>
      </c>
    </row>
    <row r="139" spans="1:14">
      <c r="A139" s="87" t="str">
        <f t="shared" si="0"/>
        <v/>
      </c>
      <c r="B139" s="2"/>
      <c r="C139" s="87"/>
      <c r="D139" s="87"/>
      <c r="E139" s="87"/>
      <c r="F139" s="87"/>
      <c r="G139" s="87"/>
      <c r="H139" s="87"/>
      <c r="I139" s="87"/>
      <c r="J139" s="2"/>
      <c r="K139" s="2"/>
      <c r="L139" s="94" t="str">
        <f>IF(B139="","", VLOOKUP(B139,RM!$C$4:$G984,10,FALSE))</f>
        <v/>
      </c>
      <c r="M139" s="94" t="str">
        <f>IF(B139="","", VLOOKUP(B139,RM!$C$4:$G984,11,FALSE))</f>
        <v/>
      </c>
      <c r="N139" s="95" t="str">
        <f>IF(B139="","", VLOOKUP(B139,RM!$C$4:$G984,12,FALSE))</f>
        <v/>
      </c>
    </row>
    <row r="140" spans="1:14">
      <c r="A140" s="87" t="str">
        <f t="shared" si="0"/>
        <v/>
      </c>
      <c r="B140" s="2"/>
      <c r="C140" s="87"/>
      <c r="D140" s="87"/>
      <c r="E140" s="87"/>
      <c r="F140" s="87"/>
      <c r="G140" s="87"/>
      <c r="H140" s="87"/>
      <c r="I140" s="87"/>
      <c r="J140" s="2"/>
      <c r="K140" s="2"/>
      <c r="L140" s="94" t="str">
        <f>IF(B140="","", VLOOKUP(B140,RM!$C$4:$G984,10,FALSE))</f>
        <v/>
      </c>
      <c r="M140" s="94" t="str">
        <f>IF(B140="","", VLOOKUP(B140,RM!$C$4:$G984,11,FALSE))</f>
        <v/>
      </c>
      <c r="N140" s="95" t="str">
        <f>IF(B140="","", VLOOKUP(B140,RM!$C$4:$G984,12,FALSE))</f>
        <v/>
      </c>
    </row>
    <row r="141" spans="1:14">
      <c r="A141" s="87" t="str">
        <f t="shared" si="0"/>
        <v/>
      </c>
      <c r="B141" s="2"/>
      <c r="C141" s="87"/>
      <c r="D141" s="87"/>
      <c r="E141" s="87"/>
      <c r="F141" s="87"/>
      <c r="G141" s="87"/>
      <c r="H141" s="87"/>
      <c r="I141" s="87"/>
      <c r="J141" s="2"/>
      <c r="K141" s="2"/>
      <c r="L141" s="94" t="str">
        <f>IF(B141="","", VLOOKUP(B141,RM!$C$4:$G984,10,FALSE))</f>
        <v/>
      </c>
      <c r="M141" s="94" t="str">
        <f>IF(B141="","", VLOOKUP(B141,RM!$C$4:$G984,11,FALSE))</f>
        <v/>
      </c>
      <c r="N141" s="95" t="str">
        <f>IF(B141="","", VLOOKUP(B141,RM!$C$4:$G984,12,FALSE))</f>
        <v/>
      </c>
    </row>
    <row r="142" spans="1:14">
      <c r="A142" s="87" t="str">
        <f t="shared" si="0"/>
        <v/>
      </c>
      <c r="B142" s="2"/>
      <c r="C142" s="87"/>
      <c r="D142" s="87"/>
      <c r="E142" s="87"/>
      <c r="F142" s="87"/>
      <c r="G142" s="87"/>
      <c r="H142" s="87"/>
      <c r="I142" s="87"/>
      <c r="J142" s="2"/>
      <c r="K142" s="2"/>
      <c r="L142" s="94" t="str">
        <f>IF(B142="","", VLOOKUP(B142,RM!$C$4:$G984,10,FALSE))</f>
        <v/>
      </c>
      <c r="M142" s="94" t="str">
        <f>IF(B142="","", VLOOKUP(B142,RM!$C$4:$G984,11,FALSE))</f>
        <v/>
      </c>
      <c r="N142" s="95" t="str">
        <f>IF(B142="","", VLOOKUP(B142,RM!$C$4:$G984,12,FALSE))</f>
        <v/>
      </c>
    </row>
    <row r="143" spans="1:14">
      <c r="A143" s="87" t="str">
        <f t="shared" si="0"/>
        <v/>
      </c>
      <c r="B143" s="2"/>
      <c r="C143" s="87"/>
      <c r="D143" s="87"/>
      <c r="E143" s="87"/>
      <c r="F143" s="87"/>
      <c r="G143" s="87"/>
      <c r="H143" s="87"/>
      <c r="I143" s="87"/>
      <c r="J143" s="2"/>
      <c r="K143" s="2"/>
      <c r="L143" s="94" t="str">
        <f>IF(B143="","", VLOOKUP(B143,RM!$C$4:$G984,10,FALSE))</f>
        <v/>
      </c>
      <c r="M143" s="94" t="str">
        <f>IF(B143="","", VLOOKUP(B143,RM!$C$4:$G984,11,FALSE))</f>
        <v/>
      </c>
      <c r="N143" s="95" t="str">
        <f>IF(B143="","", VLOOKUP(B143,RM!$C$4:$G984,12,FALSE))</f>
        <v/>
      </c>
    </row>
    <row r="144" spans="1:14">
      <c r="A144" s="87" t="str">
        <f t="shared" si="0"/>
        <v/>
      </c>
      <c r="B144" s="2"/>
      <c r="C144" s="87"/>
      <c r="D144" s="87"/>
      <c r="E144" s="87"/>
      <c r="F144" s="87"/>
      <c r="G144" s="87"/>
      <c r="H144" s="87"/>
      <c r="I144" s="87"/>
      <c r="J144" s="2"/>
      <c r="K144" s="2"/>
      <c r="L144" s="94" t="str">
        <f>IF(B144="","", VLOOKUP(B144,RM!$C$4:$G984,10,FALSE))</f>
        <v/>
      </c>
      <c r="M144" s="94" t="str">
        <f>IF(B144="","", VLOOKUP(B144,RM!$C$4:$G984,11,FALSE))</f>
        <v/>
      </c>
      <c r="N144" s="95" t="str">
        <f>IF(B144="","", VLOOKUP(B144,RM!$C$4:$G984,12,FALSE))</f>
        <v/>
      </c>
    </row>
    <row r="145" spans="1:14">
      <c r="A145" s="87" t="str">
        <f t="shared" si="0"/>
        <v/>
      </c>
      <c r="B145" s="2"/>
      <c r="C145" s="87"/>
      <c r="D145" s="87"/>
      <c r="E145" s="87"/>
      <c r="F145" s="87"/>
      <c r="G145" s="87"/>
      <c r="H145" s="87"/>
      <c r="I145" s="87"/>
      <c r="J145" s="2"/>
      <c r="K145" s="2"/>
      <c r="L145" s="94" t="str">
        <f>IF(B145="","", VLOOKUP(B145,RM!$C$4:$G984,10,FALSE))</f>
        <v/>
      </c>
      <c r="M145" s="94" t="str">
        <f>IF(B145="","", VLOOKUP(B145,RM!$C$4:$G984,11,FALSE))</f>
        <v/>
      </c>
      <c r="N145" s="95" t="str">
        <f>IF(B145="","", VLOOKUP(B145,RM!$C$4:$G984,12,FALSE))</f>
        <v/>
      </c>
    </row>
    <row r="146" spans="1:14">
      <c r="A146" s="87" t="str">
        <f t="shared" si="0"/>
        <v/>
      </c>
      <c r="B146" s="2"/>
      <c r="C146" s="87"/>
      <c r="D146" s="87"/>
      <c r="E146" s="87"/>
      <c r="F146" s="87"/>
      <c r="G146" s="87"/>
      <c r="H146" s="87"/>
      <c r="I146" s="87"/>
      <c r="J146" s="2"/>
      <c r="K146" s="2"/>
      <c r="L146" s="94" t="str">
        <f>IF(B146="","", VLOOKUP(B146,RM!$C$4:$G984,10,FALSE))</f>
        <v/>
      </c>
      <c r="M146" s="94" t="str">
        <f>IF(B146="","", VLOOKUP(B146,RM!$C$4:$G984,11,FALSE))</f>
        <v/>
      </c>
      <c r="N146" s="95" t="str">
        <f>IF(B146="","", VLOOKUP(B146,RM!$C$4:$G984,12,FALSE))</f>
        <v/>
      </c>
    </row>
    <row r="147" spans="1:14">
      <c r="A147" s="87" t="str">
        <f t="shared" si="0"/>
        <v/>
      </c>
      <c r="B147" s="2"/>
      <c r="C147" s="87"/>
      <c r="D147" s="87"/>
      <c r="E147" s="87"/>
      <c r="F147" s="87"/>
      <c r="G147" s="87"/>
      <c r="H147" s="87"/>
      <c r="I147" s="87"/>
      <c r="J147" s="2"/>
      <c r="K147" s="2"/>
      <c r="L147" s="94" t="str">
        <f>IF(B147="","", VLOOKUP(B147,RM!$C$4:$G984,10,FALSE))</f>
        <v/>
      </c>
      <c r="M147" s="94" t="str">
        <f>IF(B147="","", VLOOKUP(B147,RM!$C$4:$G984,11,FALSE))</f>
        <v/>
      </c>
      <c r="N147" s="95" t="str">
        <f>IF(B147="","", VLOOKUP(B147,RM!$C$4:$G984,12,FALSE))</f>
        <v/>
      </c>
    </row>
    <row r="148" spans="1:14">
      <c r="A148" s="87" t="str">
        <f t="shared" si="0"/>
        <v/>
      </c>
      <c r="B148" s="2"/>
      <c r="C148" s="87"/>
      <c r="D148" s="87"/>
      <c r="E148" s="87"/>
      <c r="F148" s="87"/>
      <c r="G148" s="87"/>
      <c r="H148" s="87"/>
      <c r="I148" s="87"/>
      <c r="J148" s="2"/>
      <c r="K148" s="2"/>
      <c r="L148" s="94" t="str">
        <f>IF(B148="","", VLOOKUP(B148,RM!$C$4:$G984,10,FALSE))</f>
        <v/>
      </c>
      <c r="M148" s="94" t="str">
        <f>IF(B148="","", VLOOKUP(B148,RM!$C$4:$G984,11,FALSE))</f>
        <v/>
      </c>
      <c r="N148" s="95" t="str">
        <f>IF(B148="","", VLOOKUP(B148,RM!$C$4:$G984,12,FALSE))</f>
        <v/>
      </c>
    </row>
    <row r="149" spans="1:14">
      <c r="A149" s="87" t="str">
        <f t="shared" si="0"/>
        <v/>
      </c>
      <c r="B149" s="2"/>
      <c r="C149" s="87"/>
      <c r="D149" s="87"/>
      <c r="E149" s="87"/>
      <c r="F149" s="87"/>
      <c r="G149" s="87"/>
      <c r="H149" s="87"/>
      <c r="I149" s="87"/>
      <c r="J149" s="2"/>
      <c r="K149" s="2"/>
      <c r="L149" s="94" t="str">
        <f>IF(B149="","", VLOOKUP(B149,RM!$C$4:$G984,10,FALSE))</f>
        <v/>
      </c>
      <c r="M149" s="94" t="str">
        <f>IF(B149="","", VLOOKUP(B149,RM!$C$4:$G984,11,FALSE))</f>
        <v/>
      </c>
      <c r="N149" s="95" t="str">
        <f>IF(B149="","", VLOOKUP(B149,RM!$C$4:$G984,12,FALSE))</f>
        <v/>
      </c>
    </row>
    <row r="150" spans="1:14">
      <c r="A150" s="87" t="str">
        <f t="shared" si="0"/>
        <v/>
      </c>
      <c r="B150" s="2"/>
      <c r="C150" s="87"/>
      <c r="D150" s="87"/>
      <c r="E150" s="87"/>
      <c r="F150" s="87"/>
      <c r="G150" s="87"/>
      <c r="H150" s="87"/>
      <c r="I150" s="87"/>
      <c r="J150" s="2"/>
      <c r="K150" s="2"/>
      <c r="L150" s="94" t="str">
        <f>IF(B150="","", VLOOKUP(B150,RM!$C$4:$G984,10,FALSE))</f>
        <v/>
      </c>
      <c r="M150" s="94" t="str">
        <f>IF(B150="","", VLOOKUP(B150,RM!$C$4:$G984,11,FALSE))</f>
        <v/>
      </c>
      <c r="N150" s="95" t="str">
        <f>IF(B150="","", VLOOKUP(B150,RM!$C$4:$G984,12,FALSE))</f>
        <v/>
      </c>
    </row>
    <row r="151" spans="1:14">
      <c r="A151" s="87" t="str">
        <f t="shared" si="0"/>
        <v/>
      </c>
      <c r="B151" s="2"/>
      <c r="C151" s="87"/>
      <c r="D151" s="87"/>
      <c r="E151" s="87"/>
      <c r="F151" s="87"/>
      <c r="G151" s="87"/>
      <c r="H151" s="87"/>
      <c r="I151" s="87"/>
      <c r="J151" s="2"/>
      <c r="K151" s="2"/>
      <c r="L151" s="94" t="str">
        <f>IF(B151="","", VLOOKUP(B151,RM!$C$4:$G984,10,FALSE))</f>
        <v/>
      </c>
      <c r="M151" s="94" t="str">
        <f>IF(B151="","", VLOOKUP(B151,RM!$C$4:$G984,11,FALSE))</f>
        <v/>
      </c>
      <c r="N151" s="95" t="str">
        <f>IF(B151="","", VLOOKUP(B151,RM!$C$4:$G984,12,FALSE))</f>
        <v/>
      </c>
    </row>
    <row r="152" spans="1:14">
      <c r="A152" s="87" t="str">
        <f t="shared" si="0"/>
        <v/>
      </c>
      <c r="B152" s="2"/>
      <c r="C152" s="87"/>
      <c r="D152" s="87"/>
      <c r="E152" s="87"/>
      <c r="F152" s="87"/>
      <c r="G152" s="87"/>
      <c r="H152" s="87"/>
      <c r="I152" s="87"/>
      <c r="J152" s="2"/>
      <c r="K152" s="2"/>
      <c r="L152" s="94" t="str">
        <f>IF(B152="","", VLOOKUP(B152,RM!$C$4:$G984,10,FALSE))</f>
        <v/>
      </c>
      <c r="M152" s="94" t="str">
        <f>IF(B152="","", VLOOKUP(B152,RM!$C$4:$G984,11,FALSE))</f>
        <v/>
      </c>
      <c r="N152" s="95" t="str">
        <f>IF(B152="","", VLOOKUP(B152,RM!$C$4:$G984,12,FALSE))</f>
        <v/>
      </c>
    </row>
    <row r="153" spans="1:14">
      <c r="A153" s="87" t="str">
        <f t="shared" si="0"/>
        <v/>
      </c>
      <c r="B153" s="2"/>
      <c r="C153" s="87"/>
      <c r="D153" s="87"/>
      <c r="E153" s="87"/>
      <c r="F153" s="87"/>
      <c r="G153" s="87"/>
      <c r="H153" s="87"/>
      <c r="I153" s="87"/>
      <c r="J153" s="2"/>
      <c r="K153" s="2"/>
      <c r="L153" s="94" t="str">
        <f>IF(B153="","", VLOOKUP(B153,RM!$C$4:$G984,10,FALSE))</f>
        <v/>
      </c>
      <c r="M153" s="94" t="str">
        <f>IF(B153="","", VLOOKUP(B153,RM!$C$4:$G984,11,FALSE))</f>
        <v/>
      </c>
      <c r="N153" s="95" t="str">
        <f>IF(B153="","", VLOOKUP(B153,RM!$C$4:$G984,12,FALSE))</f>
        <v/>
      </c>
    </row>
    <row r="154" spans="1:14">
      <c r="A154" s="87" t="str">
        <f t="shared" si="0"/>
        <v/>
      </c>
      <c r="B154" s="2"/>
      <c r="C154" s="87"/>
      <c r="D154" s="87"/>
      <c r="E154" s="87"/>
      <c r="F154" s="87"/>
      <c r="G154" s="87"/>
      <c r="H154" s="87"/>
      <c r="I154" s="87"/>
      <c r="J154" s="2"/>
      <c r="K154" s="2"/>
      <c r="L154" s="94" t="str">
        <f>IF(B154="","", VLOOKUP(B154,RM!$C$4:$G984,10,FALSE))</f>
        <v/>
      </c>
      <c r="M154" s="94" t="str">
        <f>IF(B154="","", VLOOKUP(B154,RM!$C$4:$G984,11,FALSE))</f>
        <v/>
      </c>
      <c r="N154" s="95" t="str">
        <f>IF(B154="","", VLOOKUP(B154,RM!$C$4:$G984,12,FALSE))</f>
        <v/>
      </c>
    </row>
    <row r="155" spans="1:14">
      <c r="A155" s="87" t="str">
        <f t="shared" si="0"/>
        <v/>
      </c>
      <c r="B155" s="2"/>
      <c r="C155" s="87"/>
      <c r="D155" s="87"/>
      <c r="E155" s="87"/>
      <c r="F155" s="87"/>
      <c r="G155" s="87"/>
      <c r="H155" s="87"/>
      <c r="I155" s="87"/>
      <c r="J155" s="2"/>
      <c r="K155" s="2"/>
      <c r="L155" s="94" t="str">
        <f>IF(B155="","", VLOOKUP(B155,RM!$C$4:$G984,10,FALSE))</f>
        <v/>
      </c>
      <c r="M155" s="94" t="str">
        <f>IF(B155="","", VLOOKUP(B155,RM!$C$4:$G984,11,FALSE))</f>
        <v/>
      </c>
      <c r="N155" s="95" t="str">
        <f>IF(B155="","", VLOOKUP(B155,RM!$C$4:$G984,12,FALSE))</f>
        <v/>
      </c>
    </row>
    <row r="156" spans="1:14">
      <c r="A156" s="87" t="str">
        <f t="shared" si="0"/>
        <v/>
      </c>
      <c r="B156" s="2"/>
      <c r="C156" s="87"/>
      <c r="D156" s="87"/>
      <c r="E156" s="87"/>
      <c r="F156" s="87"/>
      <c r="G156" s="87"/>
      <c r="H156" s="87"/>
      <c r="I156" s="87"/>
      <c r="J156" s="2"/>
      <c r="K156" s="2"/>
      <c r="L156" s="94" t="str">
        <f>IF(B156="","", VLOOKUP(B156,RM!$C$4:$G984,10,FALSE))</f>
        <v/>
      </c>
      <c r="M156" s="94" t="str">
        <f>IF(B156="","", VLOOKUP(B156,RM!$C$4:$G984,11,FALSE))</f>
        <v/>
      </c>
      <c r="N156" s="95" t="str">
        <f>IF(B156="","", VLOOKUP(B156,RM!$C$4:$G984,12,FALSE))</f>
        <v/>
      </c>
    </row>
    <row r="157" spans="1:14">
      <c r="A157" s="87" t="str">
        <f t="shared" si="0"/>
        <v/>
      </c>
      <c r="B157" s="2"/>
      <c r="C157" s="87"/>
      <c r="D157" s="87"/>
      <c r="E157" s="87"/>
      <c r="F157" s="87"/>
      <c r="G157" s="87"/>
      <c r="H157" s="87"/>
      <c r="I157" s="87"/>
      <c r="J157" s="2"/>
      <c r="K157" s="2"/>
      <c r="L157" s="94" t="str">
        <f>IF(B157="","", VLOOKUP(B157,RM!$C$4:$G984,10,FALSE))</f>
        <v/>
      </c>
      <c r="M157" s="94" t="str">
        <f>IF(B157="","", VLOOKUP(B157,RM!$C$4:$G984,11,FALSE))</f>
        <v/>
      </c>
      <c r="N157" s="95" t="str">
        <f>IF(B157="","", VLOOKUP(B157,RM!$C$4:$G984,12,FALSE))</f>
        <v/>
      </c>
    </row>
    <row r="158" spans="1:14">
      <c r="A158" s="87" t="str">
        <f t="shared" si="0"/>
        <v/>
      </c>
      <c r="B158" s="2"/>
      <c r="C158" s="87"/>
      <c r="D158" s="87"/>
      <c r="E158" s="87"/>
      <c r="F158" s="87"/>
      <c r="G158" s="87"/>
      <c r="H158" s="87"/>
      <c r="I158" s="87"/>
      <c r="J158" s="2"/>
      <c r="K158" s="2"/>
      <c r="L158" s="94" t="str">
        <f>IF(B158="","", VLOOKUP(B158,RM!$C$4:$G984,10,FALSE))</f>
        <v/>
      </c>
      <c r="M158" s="94" t="str">
        <f>IF(B158="","", VLOOKUP(B158,RM!$C$4:$G984,11,FALSE))</f>
        <v/>
      </c>
      <c r="N158" s="95" t="str">
        <f>IF(B158="","", VLOOKUP(B158,RM!$C$4:$G984,12,FALSE))</f>
        <v/>
      </c>
    </row>
    <row r="159" spans="1:14">
      <c r="A159" s="87" t="str">
        <f t="shared" si="0"/>
        <v/>
      </c>
      <c r="B159" s="2"/>
      <c r="C159" s="87"/>
      <c r="D159" s="87"/>
      <c r="E159" s="87"/>
      <c r="F159" s="87"/>
      <c r="G159" s="87"/>
      <c r="H159" s="87"/>
      <c r="I159" s="87"/>
      <c r="J159" s="2"/>
      <c r="K159" s="2"/>
      <c r="L159" s="94" t="str">
        <f>IF(B159="","", VLOOKUP(B159,RM!$C$4:$G984,10,FALSE))</f>
        <v/>
      </c>
      <c r="M159" s="94" t="str">
        <f>IF(B159="","", VLOOKUP(B159,RM!$C$4:$G984,11,FALSE))</f>
        <v/>
      </c>
      <c r="N159" s="95" t="str">
        <f>IF(B159="","", VLOOKUP(B159,RM!$C$4:$G984,12,FALSE))</f>
        <v/>
      </c>
    </row>
    <row r="160" spans="1:14">
      <c r="A160" s="87" t="str">
        <f t="shared" si="0"/>
        <v/>
      </c>
      <c r="B160" s="2"/>
      <c r="C160" s="87"/>
      <c r="D160" s="87"/>
      <c r="E160" s="87"/>
      <c r="F160" s="87"/>
      <c r="G160" s="87"/>
      <c r="H160" s="87"/>
      <c r="I160" s="87"/>
      <c r="J160" s="2"/>
      <c r="K160" s="2"/>
      <c r="L160" s="94" t="str">
        <f>IF(B160="","", VLOOKUP(B160,RM!$C$4:$G984,10,FALSE))</f>
        <v/>
      </c>
      <c r="M160" s="94" t="str">
        <f>IF(B160="","", VLOOKUP(B160,RM!$C$4:$G984,11,FALSE))</f>
        <v/>
      </c>
      <c r="N160" s="95" t="str">
        <f>IF(B160="","", VLOOKUP(B160,RM!$C$4:$G984,12,FALSE))</f>
        <v/>
      </c>
    </row>
    <row r="161" spans="1:14">
      <c r="A161" s="87" t="str">
        <f t="shared" si="0"/>
        <v/>
      </c>
      <c r="B161" s="2"/>
      <c r="C161" s="87"/>
      <c r="D161" s="87"/>
      <c r="E161" s="87"/>
      <c r="F161" s="87"/>
      <c r="G161" s="87"/>
      <c r="H161" s="87"/>
      <c r="I161" s="87"/>
      <c r="J161" s="2"/>
      <c r="K161" s="2"/>
      <c r="L161" s="94" t="str">
        <f>IF(B161="","", VLOOKUP(B161,RM!$C$4:$G984,10,FALSE))</f>
        <v/>
      </c>
      <c r="M161" s="94" t="str">
        <f>IF(B161="","", VLOOKUP(B161,RM!$C$4:$G984,11,FALSE))</f>
        <v/>
      </c>
      <c r="N161" s="95" t="str">
        <f>IF(B161="","", VLOOKUP(B161,RM!$C$4:$G984,12,FALSE))</f>
        <v/>
      </c>
    </row>
    <row r="162" spans="1:14">
      <c r="A162" s="87" t="str">
        <f t="shared" si="0"/>
        <v/>
      </c>
      <c r="B162" s="2"/>
      <c r="C162" s="87"/>
      <c r="D162" s="87"/>
      <c r="E162" s="87"/>
      <c r="F162" s="87"/>
      <c r="G162" s="87"/>
      <c r="H162" s="87"/>
      <c r="I162" s="87"/>
      <c r="J162" s="2"/>
      <c r="K162" s="2"/>
      <c r="L162" s="94" t="str">
        <f>IF(B162="","", VLOOKUP(B162,RM!$C$4:$G984,10,FALSE))</f>
        <v/>
      </c>
      <c r="M162" s="94" t="str">
        <f>IF(B162="","", VLOOKUP(B162,RM!$C$4:$G984,11,FALSE))</f>
        <v/>
      </c>
      <c r="N162" s="95" t="str">
        <f>IF(B162="","", VLOOKUP(B162,RM!$C$4:$G984,12,FALSE))</f>
        <v/>
      </c>
    </row>
    <row r="163" spans="1:14">
      <c r="A163" s="87" t="str">
        <f t="shared" si="0"/>
        <v/>
      </c>
      <c r="B163" s="2"/>
      <c r="C163" s="87"/>
      <c r="D163" s="87"/>
      <c r="E163" s="87"/>
      <c r="F163" s="87"/>
      <c r="G163" s="87"/>
      <c r="H163" s="87"/>
      <c r="I163" s="87"/>
      <c r="J163" s="2"/>
      <c r="K163" s="2"/>
      <c r="L163" s="94" t="str">
        <f>IF(B163="","", VLOOKUP(B163,RM!$C$4:$G984,10,FALSE))</f>
        <v/>
      </c>
      <c r="M163" s="94" t="str">
        <f>IF(B163="","", VLOOKUP(B163,RM!$C$4:$G984,11,FALSE))</f>
        <v/>
      </c>
      <c r="N163" s="95" t="str">
        <f>IF(B163="","", VLOOKUP(B163,RM!$C$4:$G984,12,FALSE))</f>
        <v/>
      </c>
    </row>
    <row r="164" spans="1:14">
      <c r="A164" s="87" t="str">
        <f t="shared" si="0"/>
        <v/>
      </c>
      <c r="B164" s="2"/>
      <c r="C164" s="87"/>
      <c r="D164" s="87"/>
      <c r="E164" s="87"/>
      <c r="F164" s="87"/>
      <c r="G164" s="87"/>
      <c r="H164" s="87"/>
      <c r="I164" s="87"/>
      <c r="J164" s="2"/>
      <c r="K164" s="2"/>
      <c r="L164" s="94" t="str">
        <f>IF(B164="","", VLOOKUP(B164,RM!$C$4:$G984,10,FALSE))</f>
        <v/>
      </c>
      <c r="M164" s="94" t="str">
        <f>IF(B164="","", VLOOKUP(B164,RM!$C$4:$G984,11,FALSE))</f>
        <v/>
      </c>
      <c r="N164" s="95" t="str">
        <f>IF(B164="","", VLOOKUP(B164,RM!$C$4:$G984,12,FALSE))</f>
        <v/>
      </c>
    </row>
    <row r="165" spans="1:14">
      <c r="A165" s="87" t="str">
        <f t="shared" si="0"/>
        <v/>
      </c>
      <c r="B165" s="2"/>
      <c r="C165" s="87"/>
      <c r="D165" s="87"/>
      <c r="E165" s="87"/>
      <c r="F165" s="87"/>
      <c r="G165" s="87"/>
      <c r="H165" s="87"/>
      <c r="I165" s="87"/>
      <c r="J165" s="2"/>
      <c r="K165" s="2"/>
      <c r="L165" s="94" t="str">
        <f>IF(B165="","", VLOOKUP(B165,RM!$C$4:$G984,10,FALSE))</f>
        <v/>
      </c>
      <c r="M165" s="94" t="str">
        <f>IF(B165="","", VLOOKUP(B165,RM!$C$4:$G984,11,FALSE))</f>
        <v/>
      </c>
      <c r="N165" s="95" t="str">
        <f>IF(B165="","", VLOOKUP(B165,RM!$C$4:$G984,12,FALSE))</f>
        <v/>
      </c>
    </row>
    <row r="166" spans="1:14">
      <c r="A166" s="87" t="str">
        <f t="shared" si="0"/>
        <v/>
      </c>
      <c r="B166" s="2"/>
      <c r="C166" s="87"/>
      <c r="D166" s="87"/>
      <c r="E166" s="87"/>
      <c r="F166" s="87"/>
      <c r="G166" s="87"/>
      <c r="H166" s="87"/>
      <c r="I166" s="87"/>
      <c r="J166" s="2"/>
      <c r="K166" s="2"/>
      <c r="L166" s="94" t="str">
        <f>IF(B166="","", VLOOKUP(B166,RM!$C$4:$G984,10,FALSE))</f>
        <v/>
      </c>
      <c r="M166" s="94" t="str">
        <f>IF(B166="","", VLOOKUP(B166,RM!$C$4:$G984,11,FALSE))</f>
        <v/>
      </c>
      <c r="N166" s="95" t="str">
        <f>IF(B166="","", VLOOKUP(B166,RM!$C$4:$G984,12,FALSE))</f>
        <v/>
      </c>
    </row>
    <row r="167" spans="1:14">
      <c r="A167" s="87" t="str">
        <f t="shared" si="0"/>
        <v/>
      </c>
      <c r="B167" s="2"/>
      <c r="C167" s="87"/>
      <c r="D167" s="87"/>
      <c r="E167" s="87"/>
      <c r="F167" s="87"/>
      <c r="G167" s="87"/>
      <c r="H167" s="87"/>
      <c r="I167" s="87"/>
      <c r="J167" s="2"/>
      <c r="K167" s="2"/>
      <c r="L167" s="94" t="str">
        <f>IF(B167="","", VLOOKUP(B167,RM!$C$4:$G984,10,FALSE))</f>
        <v/>
      </c>
      <c r="M167" s="94" t="str">
        <f>IF(B167="","", VLOOKUP(B167,RM!$C$4:$G984,11,FALSE))</f>
        <v/>
      </c>
      <c r="N167" s="95" t="str">
        <f>IF(B167="","", VLOOKUP(B167,RM!$C$4:$G984,12,FALSE))</f>
        <v/>
      </c>
    </row>
    <row r="168" spans="1:14">
      <c r="A168" s="87" t="str">
        <f t="shared" si="0"/>
        <v/>
      </c>
      <c r="B168" s="2"/>
      <c r="C168" s="87"/>
      <c r="D168" s="87"/>
      <c r="E168" s="87"/>
      <c r="F168" s="87"/>
      <c r="G168" s="87"/>
      <c r="H168" s="87"/>
      <c r="I168" s="87"/>
      <c r="J168" s="2"/>
      <c r="K168" s="2"/>
      <c r="L168" s="94" t="str">
        <f>IF(B168="","", VLOOKUP(B168,RM!$C$4:$G984,10,FALSE))</f>
        <v/>
      </c>
      <c r="M168" s="94" t="str">
        <f>IF(B168="","", VLOOKUP(B168,RM!$C$4:$G984,11,FALSE))</f>
        <v/>
      </c>
      <c r="N168" s="95" t="str">
        <f>IF(B168="","", VLOOKUP(B168,RM!$C$4:$G984,12,FALSE))</f>
        <v/>
      </c>
    </row>
    <row r="169" spans="1:14">
      <c r="A169" s="87" t="str">
        <f t="shared" si="0"/>
        <v/>
      </c>
      <c r="B169" s="2"/>
      <c r="C169" s="87"/>
      <c r="D169" s="87"/>
      <c r="E169" s="87"/>
      <c r="F169" s="87"/>
      <c r="G169" s="87"/>
      <c r="H169" s="87"/>
      <c r="I169" s="87"/>
      <c r="J169" s="2"/>
      <c r="K169" s="2"/>
      <c r="L169" s="94" t="str">
        <f>IF(B169="","", VLOOKUP(B169,RM!$C$4:$G984,10,FALSE))</f>
        <v/>
      </c>
      <c r="M169" s="94" t="str">
        <f>IF(B169="","", VLOOKUP(B169,RM!$C$4:$G984,11,FALSE))</f>
        <v/>
      </c>
      <c r="N169" s="95" t="str">
        <f>IF(B169="","", VLOOKUP(B169,RM!$C$4:$G984,12,FALSE))</f>
        <v/>
      </c>
    </row>
    <row r="170" spans="1:14">
      <c r="A170" s="87" t="str">
        <f t="shared" si="0"/>
        <v/>
      </c>
      <c r="B170" s="2"/>
      <c r="C170" s="87"/>
      <c r="D170" s="87"/>
      <c r="E170" s="87"/>
      <c r="F170" s="87"/>
      <c r="G170" s="87"/>
      <c r="H170" s="87"/>
      <c r="I170" s="87"/>
      <c r="J170" s="2"/>
      <c r="K170" s="2"/>
      <c r="L170" s="94" t="str">
        <f>IF(B170="","", VLOOKUP(B170,RM!$C$4:$G984,10,FALSE))</f>
        <v/>
      </c>
      <c r="M170" s="94" t="str">
        <f>IF(B170="","", VLOOKUP(B170,RM!$C$4:$G984,11,FALSE))</f>
        <v/>
      </c>
      <c r="N170" s="95" t="str">
        <f>IF(B170="","", VLOOKUP(B170,RM!$C$4:$G984,12,FALSE))</f>
        <v/>
      </c>
    </row>
    <row r="171" spans="1:14">
      <c r="A171" s="87" t="str">
        <f t="shared" si="0"/>
        <v/>
      </c>
      <c r="B171" s="2"/>
      <c r="C171" s="87"/>
      <c r="D171" s="87"/>
      <c r="E171" s="87"/>
      <c r="F171" s="87"/>
      <c r="G171" s="87"/>
      <c r="H171" s="87"/>
      <c r="I171" s="87"/>
      <c r="J171" s="2"/>
      <c r="K171" s="2"/>
      <c r="L171" s="94" t="str">
        <f>IF(B171="","", VLOOKUP(B171,RM!$C$4:$G984,10,FALSE))</f>
        <v/>
      </c>
      <c r="M171" s="94" t="str">
        <f>IF(B171="","", VLOOKUP(B171,RM!$C$4:$G984,11,FALSE))</f>
        <v/>
      </c>
      <c r="N171" s="95" t="str">
        <f>IF(B171="","", VLOOKUP(B171,RM!$C$4:$G984,12,FALSE))</f>
        <v/>
      </c>
    </row>
    <row r="172" spans="1:14">
      <c r="A172" s="87" t="str">
        <f t="shared" si="0"/>
        <v/>
      </c>
      <c r="B172" s="2"/>
      <c r="C172" s="87"/>
      <c r="D172" s="87"/>
      <c r="E172" s="87"/>
      <c r="F172" s="87"/>
      <c r="G172" s="87"/>
      <c r="H172" s="87"/>
      <c r="I172" s="87"/>
      <c r="J172" s="2"/>
      <c r="K172" s="2"/>
      <c r="L172" s="94" t="str">
        <f>IF(B172="","", VLOOKUP(B172,RM!$C$4:$G984,10,FALSE))</f>
        <v/>
      </c>
      <c r="M172" s="94" t="str">
        <f>IF(B172="","", VLOOKUP(B172,RM!$C$4:$G984,11,FALSE))</f>
        <v/>
      </c>
      <c r="N172" s="95" t="str">
        <f>IF(B172="","", VLOOKUP(B172,RM!$C$4:$G984,12,FALSE))</f>
        <v/>
      </c>
    </row>
    <row r="173" spans="1:14">
      <c r="A173" s="87" t="str">
        <f t="shared" si="0"/>
        <v/>
      </c>
      <c r="B173" s="2"/>
      <c r="C173" s="87"/>
      <c r="D173" s="87"/>
      <c r="E173" s="87"/>
      <c r="F173" s="87"/>
      <c r="G173" s="87"/>
      <c r="H173" s="87"/>
      <c r="I173" s="87"/>
      <c r="J173" s="2"/>
      <c r="K173" s="2"/>
      <c r="L173" s="94" t="str">
        <f>IF(B173="","", VLOOKUP(B173,RM!$C$4:$G984,10,FALSE))</f>
        <v/>
      </c>
      <c r="M173" s="94" t="str">
        <f>IF(B173="","", VLOOKUP(B173,RM!$C$4:$G984,11,FALSE))</f>
        <v/>
      </c>
      <c r="N173" s="95" t="str">
        <f>IF(B173="","", VLOOKUP(B173,RM!$C$4:$G984,12,FALSE))</f>
        <v/>
      </c>
    </row>
    <row r="174" spans="1:14">
      <c r="A174" s="87" t="str">
        <f t="shared" si="0"/>
        <v/>
      </c>
      <c r="B174" s="2"/>
      <c r="C174" s="87"/>
      <c r="D174" s="87"/>
      <c r="E174" s="87"/>
      <c r="F174" s="87"/>
      <c r="G174" s="87"/>
      <c r="H174" s="87"/>
      <c r="I174" s="87"/>
      <c r="J174" s="2"/>
      <c r="K174" s="2"/>
      <c r="L174" s="94" t="str">
        <f>IF(B174="","", VLOOKUP(B174,RM!$C$4:$G984,10,FALSE))</f>
        <v/>
      </c>
      <c r="M174" s="94" t="str">
        <f>IF(B174="","", VLOOKUP(B174,RM!$C$4:$G984,11,FALSE))</f>
        <v/>
      </c>
      <c r="N174" s="95" t="str">
        <f>IF(B174="","", VLOOKUP(B174,RM!$C$4:$G984,12,FALSE))</f>
        <v/>
      </c>
    </row>
    <row r="175" spans="1:14">
      <c r="A175" s="87" t="str">
        <f t="shared" si="0"/>
        <v/>
      </c>
      <c r="B175" s="2"/>
      <c r="C175" s="87"/>
      <c r="D175" s="87"/>
      <c r="E175" s="87"/>
      <c r="F175" s="87"/>
      <c r="G175" s="87"/>
      <c r="H175" s="87"/>
      <c r="I175" s="87"/>
      <c r="J175" s="2"/>
      <c r="K175" s="2"/>
      <c r="L175" s="94" t="str">
        <f>IF(B175="","", VLOOKUP(B175,RM!$C$4:$G984,10,FALSE))</f>
        <v/>
      </c>
      <c r="M175" s="94" t="str">
        <f>IF(B175="","", VLOOKUP(B175,RM!$C$4:$G984,11,FALSE))</f>
        <v/>
      </c>
      <c r="N175" s="95" t="str">
        <f>IF(B175="","", VLOOKUP(B175,RM!$C$4:$G984,12,FALSE))</f>
        <v/>
      </c>
    </row>
    <row r="176" spans="1:14">
      <c r="A176" s="87" t="str">
        <f t="shared" si="0"/>
        <v/>
      </c>
      <c r="B176" s="2"/>
      <c r="C176" s="87"/>
      <c r="D176" s="87"/>
      <c r="E176" s="87"/>
      <c r="F176" s="87"/>
      <c r="G176" s="87"/>
      <c r="H176" s="87"/>
      <c r="I176" s="87"/>
      <c r="J176" s="2"/>
      <c r="K176" s="2"/>
      <c r="L176" s="94" t="str">
        <f>IF(B176="","", VLOOKUP(B176,RM!$C$4:$G984,10,FALSE))</f>
        <v/>
      </c>
      <c r="M176" s="94" t="str">
        <f>IF(B176="","", VLOOKUP(B176,RM!$C$4:$G984,11,FALSE))</f>
        <v/>
      </c>
      <c r="N176" s="95" t="str">
        <f>IF(B176="","", VLOOKUP(B176,RM!$C$4:$G984,12,FALSE))</f>
        <v/>
      </c>
    </row>
    <row r="177" spans="1:14">
      <c r="A177" s="87" t="str">
        <f t="shared" si="0"/>
        <v/>
      </c>
      <c r="B177" s="2"/>
      <c r="C177" s="87"/>
      <c r="D177" s="87"/>
      <c r="E177" s="87"/>
      <c r="F177" s="87"/>
      <c r="G177" s="87"/>
      <c r="H177" s="87"/>
      <c r="I177" s="87"/>
      <c r="J177" s="2"/>
      <c r="K177" s="2"/>
      <c r="L177" s="94" t="str">
        <f>IF(B177="","", VLOOKUP(B177,RM!$C$4:$G984,10,FALSE))</f>
        <v/>
      </c>
      <c r="M177" s="94" t="str">
        <f>IF(B177="","", VLOOKUP(B177,RM!$C$4:$G984,11,FALSE))</f>
        <v/>
      </c>
      <c r="N177" s="95" t="str">
        <f>IF(B177="","", VLOOKUP(B177,RM!$C$4:$G984,12,FALSE))</f>
        <v/>
      </c>
    </row>
    <row r="178" spans="1:14">
      <c r="A178" s="87" t="str">
        <f t="shared" si="0"/>
        <v/>
      </c>
      <c r="B178" s="2"/>
      <c r="C178" s="87"/>
      <c r="D178" s="87"/>
      <c r="E178" s="87"/>
      <c r="F178" s="87"/>
      <c r="G178" s="87"/>
      <c r="H178" s="87"/>
      <c r="I178" s="87"/>
      <c r="J178" s="2"/>
      <c r="K178" s="2"/>
      <c r="L178" s="94" t="str">
        <f>IF(B178="","", VLOOKUP(B178,RM!$C$4:$G984,10,FALSE))</f>
        <v/>
      </c>
      <c r="M178" s="94" t="str">
        <f>IF(B178="","", VLOOKUP(B178,RM!$C$4:$G984,11,FALSE))</f>
        <v/>
      </c>
      <c r="N178" s="95" t="str">
        <f>IF(B178="","", VLOOKUP(B178,RM!$C$4:$G984,12,FALSE))</f>
        <v/>
      </c>
    </row>
    <row r="179" spans="1:14">
      <c r="A179" s="87" t="str">
        <f t="shared" si="0"/>
        <v/>
      </c>
      <c r="B179" s="2"/>
      <c r="C179" s="87"/>
      <c r="D179" s="87"/>
      <c r="E179" s="87"/>
      <c r="F179" s="87"/>
      <c r="G179" s="87"/>
      <c r="H179" s="87"/>
      <c r="I179" s="87"/>
      <c r="J179" s="2"/>
      <c r="K179" s="2"/>
      <c r="L179" s="94" t="str">
        <f>IF(B179="","", VLOOKUP(B179,RM!$C$4:$G984,10,FALSE))</f>
        <v/>
      </c>
      <c r="M179" s="94" t="str">
        <f>IF(B179="","", VLOOKUP(B179,RM!$C$4:$G984,11,FALSE))</f>
        <v/>
      </c>
      <c r="N179" s="95" t="str">
        <f>IF(B179="","", VLOOKUP(B179,RM!$C$4:$G984,12,FALSE))</f>
        <v/>
      </c>
    </row>
    <row r="180" spans="1:14">
      <c r="A180" s="87" t="str">
        <f t="shared" si="0"/>
        <v/>
      </c>
      <c r="B180" s="2"/>
      <c r="C180" s="87"/>
      <c r="D180" s="87"/>
      <c r="E180" s="87"/>
      <c r="F180" s="87"/>
      <c r="G180" s="87"/>
      <c r="H180" s="87"/>
      <c r="I180" s="87"/>
      <c r="J180" s="2"/>
      <c r="K180" s="2"/>
      <c r="L180" s="94" t="str">
        <f>IF(B180="","", VLOOKUP(B180,RM!$C$4:$G984,10,FALSE))</f>
        <v/>
      </c>
      <c r="M180" s="94" t="str">
        <f>IF(B180="","", VLOOKUP(B180,RM!$C$4:$G984,11,FALSE))</f>
        <v/>
      </c>
      <c r="N180" s="95" t="str">
        <f>IF(B180="","", VLOOKUP(B180,RM!$C$4:$G984,12,FALSE))</f>
        <v/>
      </c>
    </row>
    <row r="181" spans="1:14">
      <c r="A181" s="87" t="str">
        <f t="shared" si="0"/>
        <v/>
      </c>
      <c r="B181" s="2"/>
      <c r="C181" s="87"/>
      <c r="D181" s="87"/>
      <c r="E181" s="87"/>
      <c r="F181" s="87"/>
      <c r="G181" s="87"/>
      <c r="H181" s="87"/>
      <c r="I181" s="87"/>
      <c r="J181" s="2"/>
      <c r="K181" s="2"/>
      <c r="L181" s="94" t="str">
        <f>IF(B181="","", VLOOKUP(B181,RM!$C$4:$G984,10,FALSE))</f>
        <v/>
      </c>
      <c r="M181" s="94" t="str">
        <f>IF(B181="","", VLOOKUP(B181,RM!$C$4:$G984,11,FALSE))</f>
        <v/>
      </c>
      <c r="N181" s="95" t="str">
        <f>IF(B181="","", VLOOKUP(B181,RM!$C$4:$G984,12,FALSE))</f>
        <v/>
      </c>
    </row>
    <row r="182" spans="1:14">
      <c r="A182" s="87" t="str">
        <f t="shared" si="0"/>
        <v/>
      </c>
      <c r="B182" s="2"/>
      <c r="C182" s="87"/>
      <c r="D182" s="87"/>
      <c r="E182" s="87"/>
      <c r="F182" s="87"/>
      <c r="G182" s="87"/>
      <c r="H182" s="87"/>
      <c r="I182" s="87"/>
      <c r="J182" s="2"/>
      <c r="K182" s="2"/>
      <c r="L182" s="94" t="str">
        <f>IF(B182="","", VLOOKUP(B182,RM!$C$4:$G984,10,FALSE))</f>
        <v/>
      </c>
      <c r="M182" s="94" t="str">
        <f>IF(B182="","", VLOOKUP(B182,RM!$C$4:$G984,11,FALSE))</f>
        <v/>
      </c>
      <c r="N182" s="95" t="str">
        <f>IF(B182="","", VLOOKUP(B182,RM!$C$4:$G984,12,FALSE))</f>
        <v/>
      </c>
    </row>
    <row r="183" spans="1:14">
      <c r="A183" s="87" t="str">
        <f t="shared" si="0"/>
        <v/>
      </c>
      <c r="B183" s="2"/>
      <c r="C183" s="87"/>
      <c r="D183" s="87"/>
      <c r="E183" s="87"/>
      <c r="F183" s="87"/>
      <c r="G183" s="87"/>
      <c r="H183" s="87"/>
      <c r="I183" s="87"/>
      <c r="J183" s="2"/>
      <c r="K183" s="2"/>
      <c r="L183" s="94" t="str">
        <f>IF(B183="","", VLOOKUP(B183,RM!$C$4:$G984,10,FALSE))</f>
        <v/>
      </c>
      <c r="M183" s="94" t="str">
        <f>IF(B183="","", VLOOKUP(B183,RM!$C$4:$G984,11,FALSE))</f>
        <v/>
      </c>
      <c r="N183" s="95" t="str">
        <f>IF(B183="","", VLOOKUP(B183,RM!$C$4:$G984,12,FALSE))</f>
        <v/>
      </c>
    </row>
    <row r="184" spans="1:14">
      <c r="A184" s="87" t="str">
        <f t="shared" si="0"/>
        <v/>
      </c>
      <c r="B184" s="2"/>
      <c r="C184" s="87"/>
      <c r="D184" s="87"/>
      <c r="E184" s="87"/>
      <c r="F184" s="87"/>
      <c r="G184" s="87"/>
      <c r="H184" s="87"/>
      <c r="I184" s="87"/>
      <c r="J184" s="2"/>
      <c r="K184" s="2"/>
      <c r="L184" s="94" t="str">
        <f>IF(B184="","", VLOOKUP(B184,RM!$C$4:$G984,10,FALSE))</f>
        <v/>
      </c>
      <c r="M184" s="94" t="str">
        <f>IF(B184="","", VLOOKUP(B184,RM!$C$4:$G984,11,FALSE))</f>
        <v/>
      </c>
      <c r="N184" s="95" t="str">
        <f>IF(B184="","", VLOOKUP(B184,RM!$C$4:$G984,12,FALSE))</f>
        <v/>
      </c>
    </row>
    <row r="185" spans="1:14">
      <c r="A185" s="87" t="str">
        <f t="shared" si="0"/>
        <v/>
      </c>
      <c r="B185" s="2"/>
      <c r="C185" s="87"/>
      <c r="D185" s="87"/>
      <c r="E185" s="87"/>
      <c r="F185" s="87"/>
      <c r="G185" s="87"/>
      <c r="H185" s="87"/>
      <c r="I185" s="87"/>
      <c r="J185" s="2"/>
      <c r="K185" s="2"/>
      <c r="L185" s="94" t="str">
        <f>IF(B185="","", VLOOKUP(B185,RM!$C$4:$G984,10,FALSE))</f>
        <v/>
      </c>
      <c r="M185" s="94" t="str">
        <f>IF(B185="","", VLOOKUP(B185,RM!$C$4:$G984,11,FALSE))</f>
        <v/>
      </c>
      <c r="N185" s="95" t="str">
        <f>IF(B185="","", VLOOKUP(B185,RM!$C$4:$G984,12,FALSE))</f>
        <v/>
      </c>
    </row>
    <row r="186" spans="1:14">
      <c r="A186" s="87" t="str">
        <f t="shared" si="0"/>
        <v/>
      </c>
      <c r="B186" s="2"/>
      <c r="C186" s="87"/>
      <c r="D186" s="87"/>
      <c r="E186" s="87"/>
      <c r="F186" s="87"/>
      <c r="G186" s="87"/>
      <c r="H186" s="87"/>
      <c r="I186" s="87"/>
      <c r="J186" s="2"/>
      <c r="K186" s="2"/>
      <c r="L186" s="94" t="str">
        <f>IF(B186="","", VLOOKUP(B186,RM!$C$4:$G984,10,FALSE))</f>
        <v/>
      </c>
      <c r="M186" s="94" t="str">
        <f>IF(B186="","", VLOOKUP(B186,RM!$C$4:$G984,11,FALSE))</f>
        <v/>
      </c>
      <c r="N186" s="95" t="str">
        <f>IF(B186="","", VLOOKUP(B186,RM!$C$4:$G984,12,FALSE))</f>
        <v/>
      </c>
    </row>
    <row r="187" spans="1:14">
      <c r="A187" s="87" t="str">
        <f t="shared" si="0"/>
        <v/>
      </c>
      <c r="B187" s="2"/>
      <c r="C187" s="87"/>
      <c r="D187" s="87"/>
      <c r="E187" s="87"/>
      <c r="F187" s="87"/>
      <c r="G187" s="87"/>
      <c r="H187" s="87"/>
      <c r="I187" s="87"/>
      <c r="J187" s="2"/>
      <c r="K187" s="2"/>
      <c r="L187" s="94" t="str">
        <f>IF(B187="","", VLOOKUP(B187,RM!$C$4:$G984,10,FALSE))</f>
        <v/>
      </c>
      <c r="M187" s="94" t="str">
        <f>IF(B187="","", VLOOKUP(B187,RM!$C$4:$G984,11,FALSE))</f>
        <v/>
      </c>
      <c r="N187" s="95" t="str">
        <f>IF(B187="","", VLOOKUP(B187,RM!$C$4:$G984,12,FALSE))</f>
        <v/>
      </c>
    </row>
    <row r="188" spans="1:14">
      <c r="A188" s="87" t="str">
        <f t="shared" si="0"/>
        <v/>
      </c>
      <c r="B188" s="2"/>
      <c r="C188" s="87"/>
      <c r="D188" s="87"/>
      <c r="E188" s="87"/>
      <c r="F188" s="87"/>
      <c r="G188" s="87"/>
      <c r="H188" s="87"/>
      <c r="I188" s="87"/>
      <c r="J188" s="2"/>
      <c r="K188" s="2"/>
      <c r="L188" s="94" t="str">
        <f>IF(B188="","", VLOOKUP(B188,RM!$C$4:$G984,10,FALSE))</f>
        <v/>
      </c>
      <c r="M188" s="94" t="str">
        <f>IF(B188="","", VLOOKUP(B188,RM!$C$4:$G984,11,FALSE))</f>
        <v/>
      </c>
      <c r="N188" s="95" t="str">
        <f>IF(B188="","", VLOOKUP(B188,RM!$C$4:$G984,12,FALSE))</f>
        <v/>
      </c>
    </row>
    <row r="189" spans="1:14">
      <c r="A189" s="87" t="str">
        <f t="shared" si="0"/>
        <v/>
      </c>
      <c r="B189" s="2"/>
      <c r="C189" s="87"/>
      <c r="D189" s="87"/>
      <c r="E189" s="87"/>
      <c r="F189" s="87"/>
      <c r="G189" s="87"/>
      <c r="H189" s="87"/>
      <c r="I189" s="87"/>
      <c r="J189" s="2"/>
      <c r="K189" s="2"/>
      <c r="L189" s="94" t="str">
        <f>IF(B189="","", VLOOKUP(B189,RM!$C$4:$G984,10,FALSE))</f>
        <v/>
      </c>
      <c r="M189" s="94" t="str">
        <f>IF(B189="","", VLOOKUP(B189,RM!$C$4:$G984,11,FALSE))</f>
        <v/>
      </c>
      <c r="N189" s="95" t="str">
        <f>IF(B189="","", VLOOKUP(B189,RM!$C$4:$G984,12,FALSE))</f>
        <v/>
      </c>
    </row>
    <row r="190" spans="1:14">
      <c r="A190" s="87" t="str">
        <f t="shared" si="0"/>
        <v/>
      </c>
      <c r="B190" s="2"/>
      <c r="C190" s="87"/>
      <c r="D190" s="87"/>
      <c r="E190" s="87"/>
      <c r="F190" s="87"/>
      <c r="G190" s="87"/>
      <c r="H190" s="87"/>
      <c r="I190" s="87"/>
      <c r="J190" s="2"/>
      <c r="K190" s="2"/>
      <c r="L190" s="94" t="str">
        <f>IF(B190="","", VLOOKUP(B190,RM!$C$4:$G984,10,FALSE))</f>
        <v/>
      </c>
      <c r="M190" s="94" t="str">
        <f>IF(B190="","", VLOOKUP(B190,RM!$C$4:$G984,11,FALSE))</f>
        <v/>
      </c>
      <c r="N190" s="95" t="str">
        <f>IF(B190="","", VLOOKUP(B190,RM!$C$4:$G984,12,FALSE))</f>
        <v/>
      </c>
    </row>
    <row r="191" spans="1:14">
      <c r="A191" s="87" t="str">
        <f t="shared" si="0"/>
        <v/>
      </c>
      <c r="B191" s="2"/>
      <c r="C191" s="87"/>
      <c r="D191" s="87"/>
      <c r="E191" s="87"/>
      <c r="F191" s="87"/>
      <c r="G191" s="87"/>
      <c r="H191" s="87"/>
      <c r="I191" s="87"/>
      <c r="J191" s="2"/>
      <c r="K191" s="2"/>
      <c r="L191" s="94" t="str">
        <f>IF(B191="","", VLOOKUP(B191,RM!$C$4:$G984,10,FALSE))</f>
        <v/>
      </c>
      <c r="M191" s="94" t="str">
        <f>IF(B191="","", VLOOKUP(B191,RM!$C$4:$G984,11,FALSE))</f>
        <v/>
      </c>
      <c r="N191" s="95" t="str">
        <f>IF(B191="","", VLOOKUP(B191,RM!$C$4:$G984,12,FALSE))</f>
        <v/>
      </c>
    </row>
    <row r="192" spans="1:14">
      <c r="A192" s="87" t="str">
        <f t="shared" si="0"/>
        <v/>
      </c>
      <c r="B192" s="2"/>
      <c r="C192" s="87"/>
      <c r="D192" s="87"/>
      <c r="E192" s="87"/>
      <c r="F192" s="87"/>
      <c r="G192" s="87"/>
      <c r="H192" s="87"/>
      <c r="I192" s="87"/>
      <c r="J192" s="2"/>
      <c r="K192" s="2"/>
      <c r="L192" s="94" t="str">
        <f>IF(B192="","", VLOOKUP(B192,RM!$C$4:$G984,10,FALSE))</f>
        <v/>
      </c>
      <c r="M192" s="94" t="str">
        <f>IF(B192="","", VLOOKUP(B192,RM!$C$4:$G984,11,FALSE))</f>
        <v/>
      </c>
      <c r="N192" s="95" t="str">
        <f>IF(B192="","", VLOOKUP(B192,RM!$C$4:$G984,12,FALSE))</f>
        <v/>
      </c>
    </row>
    <row r="193" spans="1:14">
      <c r="A193" s="87" t="str">
        <f t="shared" si="0"/>
        <v/>
      </c>
      <c r="B193" s="2"/>
      <c r="C193" s="87"/>
      <c r="D193" s="87"/>
      <c r="E193" s="87"/>
      <c r="F193" s="87"/>
      <c r="G193" s="87"/>
      <c r="H193" s="87"/>
      <c r="I193" s="87"/>
      <c r="J193" s="2"/>
      <c r="K193" s="2"/>
      <c r="L193" s="94" t="str">
        <f>IF(B193="","", VLOOKUP(B193,RM!$C$4:$G984,10,FALSE))</f>
        <v/>
      </c>
      <c r="M193" s="94" t="str">
        <f>IF(B193="","", VLOOKUP(B193,RM!$C$4:$G984,11,FALSE))</f>
        <v/>
      </c>
      <c r="N193" s="95" t="str">
        <f>IF(B193="","", VLOOKUP(B193,RM!$C$4:$G984,12,FALSE))</f>
        <v/>
      </c>
    </row>
    <row r="194" spans="1:14">
      <c r="A194" s="87" t="str">
        <f t="shared" si="0"/>
        <v/>
      </c>
      <c r="B194" s="2"/>
      <c r="C194" s="87"/>
      <c r="D194" s="87"/>
      <c r="E194" s="87"/>
      <c r="F194" s="87"/>
      <c r="G194" s="87"/>
      <c r="H194" s="87"/>
      <c r="I194" s="87"/>
      <c r="J194" s="2"/>
      <c r="K194" s="2"/>
      <c r="L194" s="94" t="str">
        <f>IF(B194="","", VLOOKUP(B194,RM!$C$4:$G984,10,FALSE))</f>
        <v/>
      </c>
      <c r="M194" s="94" t="str">
        <f>IF(B194="","", VLOOKUP(B194,RM!$C$4:$G984,11,FALSE))</f>
        <v/>
      </c>
      <c r="N194" s="95" t="str">
        <f>IF(B194="","", VLOOKUP(B194,RM!$C$4:$G984,12,FALSE))</f>
        <v/>
      </c>
    </row>
    <row r="195" spans="1:14">
      <c r="A195" s="87" t="str">
        <f t="shared" si="0"/>
        <v/>
      </c>
      <c r="B195" s="2"/>
      <c r="C195" s="87"/>
      <c r="D195" s="87"/>
      <c r="E195" s="87"/>
      <c r="F195" s="87"/>
      <c r="G195" s="87"/>
      <c r="H195" s="87"/>
      <c r="I195" s="87"/>
      <c r="J195" s="2"/>
      <c r="K195" s="2"/>
      <c r="L195" s="94" t="str">
        <f>IF(B195="","", VLOOKUP(B195,RM!$C$4:$G984,10,FALSE))</f>
        <v/>
      </c>
      <c r="M195" s="94" t="str">
        <f>IF(B195="","", VLOOKUP(B195,RM!$C$4:$G984,11,FALSE))</f>
        <v/>
      </c>
      <c r="N195" s="95" t="str">
        <f>IF(B195="","", VLOOKUP(B195,RM!$C$4:$G984,12,FALSE))</f>
        <v/>
      </c>
    </row>
    <row r="196" spans="1:14">
      <c r="A196" s="87" t="str">
        <f t="shared" si="0"/>
        <v/>
      </c>
      <c r="B196" s="2"/>
      <c r="C196" s="87"/>
      <c r="D196" s="87"/>
      <c r="E196" s="87"/>
      <c r="F196" s="87"/>
      <c r="G196" s="87"/>
      <c r="H196" s="87"/>
      <c r="I196" s="87"/>
      <c r="J196" s="2"/>
      <c r="K196" s="2"/>
      <c r="L196" s="94" t="str">
        <f>IF(B196="","", VLOOKUP(B196,RM!$C$4:$G984,10,FALSE))</f>
        <v/>
      </c>
      <c r="M196" s="94" t="str">
        <f>IF(B196="","", VLOOKUP(B196,RM!$C$4:$G984,11,FALSE))</f>
        <v/>
      </c>
      <c r="N196" s="95" t="str">
        <f>IF(B196="","", VLOOKUP(B196,RM!$C$4:$G984,12,FALSE))</f>
        <v/>
      </c>
    </row>
    <row r="197" spans="1:14">
      <c r="A197" s="87" t="str">
        <f t="shared" si="0"/>
        <v/>
      </c>
      <c r="B197" s="2"/>
      <c r="C197" s="87"/>
      <c r="D197" s="87"/>
      <c r="E197" s="87"/>
      <c r="F197" s="87"/>
      <c r="G197" s="87"/>
      <c r="H197" s="87"/>
      <c r="I197" s="87"/>
      <c r="J197" s="2"/>
      <c r="K197" s="2"/>
      <c r="L197" s="94" t="str">
        <f>IF(B197="","", VLOOKUP(B197,RM!$C$4:$G984,10,FALSE))</f>
        <v/>
      </c>
      <c r="M197" s="94" t="str">
        <f>IF(B197="","", VLOOKUP(B197,RM!$C$4:$G984,11,FALSE))</f>
        <v/>
      </c>
      <c r="N197" s="95" t="str">
        <f>IF(B197="","", VLOOKUP(B197,RM!$C$4:$G984,12,FALSE))</f>
        <v/>
      </c>
    </row>
    <row r="198" spans="1:14">
      <c r="A198" s="87" t="str">
        <f t="shared" si="0"/>
        <v/>
      </c>
      <c r="B198" s="2"/>
      <c r="C198" s="87"/>
      <c r="D198" s="87"/>
      <c r="E198" s="87"/>
      <c r="F198" s="87"/>
      <c r="G198" s="87"/>
      <c r="H198" s="87"/>
      <c r="I198" s="87"/>
      <c r="J198" s="2"/>
      <c r="K198" s="2"/>
      <c r="L198" s="94" t="str">
        <f>IF(B198="","", VLOOKUP(B198,RM!$C$4:$G984,10,FALSE))</f>
        <v/>
      </c>
      <c r="M198" s="94" t="str">
        <f>IF(B198="","", VLOOKUP(B198,RM!$C$4:$G984,11,FALSE))</f>
        <v/>
      </c>
      <c r="N198" s="95" t="str">
        <f>IF(B198="","", VLOOKUP(B198,RM!$C$4:$G984,12,FALSE))</f>
        <v/>
      </c>
    </row>
    <row r="199" spans="1:14">
      <c r="A199" s="87" t="str">
        <f t="shared" si="0"/>
        <v/>
      </c>
      <c r="B199" s="2"/>
      <c r="C199" s="87"/>
      <c r="D199" s="87"/>
      <c r="E199" s="87"/>
      <c r="F199" s="87"/>
      <c r="G199" s="87"/>
      <c r="H199" s="87"/>
      <c r="I199" s="87"/>
      <c r="J199" s="2"/>
      <c r="K199" s="2"/>
      <c r="L199" s="94" t="str">
        <f>IF(B199="","", VLOOKUP(B199,RM!$C$4:$G984,10,FALSE))</f>
        <v/>
      </c>
      <c r="M199" s="94" t="str">
        <f>IF(B199="","", VLOOKUP(B199,RM!$C$4:$G984,11,FALSE))</f>
        <v/>
      </c>
      <c r="N199" s="95" t="str">
        <f>IF(B199="","", VLOOKUP(B199,RM!$C$4:$G984,12,FALSE))</f>
        <v/>
      </c>
    </row>
    <row r="200" spans="1:14">
      <c r="A200" s="87" t="str">
        <f t="shared" si="0"/>
        <v/>
      </c>
      <c r="B200" s="2"/>
      <c r="C200" s="87"/>
      <c r="D200" s="87"/>
      <c r="E200" s="87"/>
      <c r="F200" s="87"/>
      <c r="G200" s="87"/>
      <c r="H200" s="87"/>
      <c r="I200" s="87"/>
      <c r="J200" s="2"/>
      <c r="K200" s="2"/>
      <c r="L200" s="94" t="str">
        <f>IF(B200="","", VLOOKUP(B200,RM!$C$4:$G984,10,FALSE))</f>
        <v/>
      </c>
      <c r="M200" s="94" t="str">
        <f>IF(B200="","", VLOOKUP(B200,RM!$C$4:$G984,11,FALSE))</f>
        <v/>
      </c>
      <c r="N200" s="95" t="str">
        <f>IF(B200="","", VLOOKUP(B200,RM!$C$4:$G984,12,FALSE))</f>
        <v/>
      </c>
    </row>
    <row r="201" spans="1:14">
      <c r="A201" s="87" t="str">
        <f t="shared" si="0"/>
        <v/>
      </c>
      <c r="B201" s="2"/>
      <c r="C201" s="87"/>
      <c r="D201" s="87"/>
      <c r="E201" s="87"/>
      <c r="F201" s="87"/>
      <c r="G201" s="87"/>
      <c r="H201" s="87"/>
      <c r="I201" s="87"/>
      <c r="J201" s="2"/>
      <c r="K201" s="2"/>
      <c r="L201" s="94" t="str">
        <f>IF(B201="","", VLOOKUP(B201,RM!$C$4:$G984,10,FALSE))</f>
        <v/>
      </c>
      <c r="M201" s="94" t="str">
        <f>IF(B201="","", VLOOKUP(B201,RM!$C$4:$G984,11,FALSE))</f>
        <v/>
      </c>
      <c r="N201" s="95" t="str">
        <f>IF(B201="","", VLOOKUP(B201,RM!$C$4:$G984,12,FALSE))</f>
        <v/>
      </c>
    </row>
    <row r="202" spans="1:14">
      <c r="A202" s="87" t="str">
        <f t="shared" si="0"/>
        <v/>
      </c>
      <c r="B202" s="2"/>
      <c r="C202" s="87"/>
      <c r="D202" s="87"/>
      <c r="E202" s="87"/>
      <c r="F202" s="87"/>
      <c r="G202" s="87"/>
      <c r="H202" s="87"/>
      <c r="I202" s="87"/>
      <c r="J202" s="2"/>
      <c r="K202" s="2"/>
      <c r="L202" s="94" t="str">
        <f>IF(B202="","", VLOOKUP(B202,RM!$C$4:$G984,10,FALSE))</f>
        <v/>
      </c>
      <c r="M202" s="94" t="str">
        <f>IF(B202="","", VLOOKUP(B202,RM!$C$4:$G984,11,FALSE))</f>
        <v/>
      </c>
      <c r="N202" s="95" t="str">
        <f>IF(B202="","", VLOOKUP(B202,RM!$C$4:$G984,12,FALSE))</f>
        <v/>
      </c>
    </row>
    <row r="203" spans="1:14">
      <c r="A203" s="87" t="str">
        <f t="shared" si="0"/>
        <v/>
      </c>
      <c r="B203" s="2"/>
      <c r="C203" s="87"/>
      <c r="D203" s="87"/>
      <c r="E203" s="87"/>
      <c r="F203" s="87"/>
      <c r="G203" s="87"/>
      <c r="H203" s="87"/>
      <c r="I203" s="87"/>
      <c r="J203" s="2"/>
      <c r="K203" s="2"/>
      <c r="L203" s="94" t="str">
        <f>IF(B203="","", VLOOKUP(B203,RM!$C$4:$G984,10,FALSE))</f>
        <v/>
      </c>
      <c r="M203" s="94" t="str">
        <f>IF(B203="","", VLOOKUP(B203,RM!$C$4:$G984,11,FALSE))</f>
        <v/>
      </c>
      <c r="N203" s="95" t="str">
        <f>IF(B203="","", VLOOKUP(B203,RM!$C$4:$G984,12,FALSE))</f>
        <v/>
      </c>
    </row>
    <row r="204" spans="1:14">
      <c r="A204" s="87" t="str">
        <f t="shared" si="0"/>
        <v/>
      </c>
      <c r="B204" s="2"/>
      <c r="C204" s="87"/>
      <c r="D204" s="87"/>
      <c r="E204" s="87"/>
      <c r="F204" s="87"/>
      <c r="G204" s="87"/>
      <c r="H204" s="87"/>
      <c r="I204" s="87"/>
      <c r="J204" s="2"/>
      <c r="K204" s="2"/>
      <c r="L204" s="94" t="str">
        <f>IF(B204="","", VLOOKUP(B204,RM!$C$4:$G984,10,FALSE))</f>
        <v/>
      </c>
      <c r="M204" s="94" t="str">
        <f>IF(B204="","", VLOOKUP(B204,RM!$C$4:$G984,11,FALSE))</f>
        <v/>
      </c>
      <c r="N204" s="95" t="str">
        <f>IF(B204="","", VLOOKUP(B204,RM!$C$4:$G984,12,FALSE))</f>
        <v/>
      </c>
    </row>
    <row r="205" spans="1:14">
      <c r="A205" s="87" t="str">
        <f t="shared" si="0"/>
        <v/>
      </c>
      <c r="B205" s="2"/>
      <c r="C205" s="87"/>
      <c r="D205" s="87"/>
      <c r="E205" s="87"/>
      <c r="F205" s="87"/>
      <c r="G205" s="87"/>
      <c r="H205" s="87"/>
      <c r="I205" s="87"/>
      <c r="J205" s="2"/>
      <c r="K205" s="2"/>
      <c r="L205" s="94" t="str">
        <f>IF(B205="","", VLOOKUP(B205,RM!$C$4:$G984,10,FALSE))</f>
        <v/>
      </c>
      <c r="M205" s="94" t="str">
        <f>IF(B205="","", VLOOKUP(B205,RM!$C$4:$G984,11,FALSE))</f>
        <v/>
      </c>
      <c r="N205" s="95" t="str">
        <f>IF(B205="","", VLOOKUP(B205,RM!$C$4:$G984,12,FALSE))</f>
        <v/>
      </c>
    </row>
    <row r="206" spans="1:14">
      <c r="A206" s="87" t="str">
        <f t="shared" si="0"/>
        <v/>
      </c>
      <c r="B206" s="2"/>
      <c r="C206" s="87"/>
      <c r="D206" s="87"/>
      <c r="E206" s="87"/>
      <c r="F206" s="87"/>
      <c r="G206" s="87"/>
      <c r="H206" s="87"/>
      <c r="I206" s="87"/>
      <c r="J206" s="2"/>
      <c r="K206" s="2"/>
      <c r="L206" s="94" t="str">
        <f>IF(B206="","", VLOOKUP(B206,RM!$C$4:$G984,10,FALSE))</f>
        <v/>
      </c>
      <c r="M206" s="94" t="str">
        <f>IF(B206="","", VLOOKUP(B206,RM!$C$4:$G984,11,FALSE))</f>
        <v/>
      </c>
      <c r="N206" s="95" t="str">
        <f>IF(B206="","", VLOOKUP(B206,RM!$C$4:$G984,12,FALSE))</f>
        <v/>
      </c>
    </row>
    <row r="207" spans="1:14">
      <c r="A207" s="87" t="str">
        <f t="shared" si="0"/>
        <v/>
      </c>
      <c r="B207" s="2"/>
      <c r="C207" s="87"/>
      <c r="D207" s="87"/>
      <c r="E207" s="87"/>
      <c r="F207" s="87"/>
      <c r="G207" s="87"/>
      <c r="H207" s="87"/>
      <c r="I207" s="87"/>
      <c r="J207" s="2"/>
      <c r="K207" s="2"/>
      <c r="L207" s="94" t="str">
        <f>IF(B207="","", VLOOKUP(B207,RM!$C$4:$G984,10,FALSE))</f>
        <v/>
      </c>
      <c r="M207" s="94" t="str">
        <f>IF(B207="","", VLOOKUP(B207,RM!$C$4:$G984,11,FALSE))</f>
        <v/>
      </c>
      <c r="N207" s="95" t="str">
        <f>IF(B207="","", VLOOKUP(B207,RM!$C$4:$G984,12,FALSE))</f>
        <v/>
      </c>
    </row>
    <row r="208" spans="1:14">
      <c r="A208" s="87" t="str">
        <f t="shared" si="0"/>
        <v/>
      </c>
      <c r="B208" s="2"/>
      <c r="C208" s="87"/>
      <c r="D208" s="87"/>
      <c r="E208" s="87"/>
      <c r="F208" s="87"/>
      <c r="G208" s="87"/>
      <c r="H208" s="87"/>
      <c r="I208" s="87"/>
      <c r="J208" s="2"/>
      <c r="K208" s="2"/>
      <c r="L208" s="94" t="str">
        <f>IF(B208="","", VLOOKUP(B208,RM!$C$4:$G984,10,FALSE))</f>
        <v/>
      </c>
      <c r="M208" s="94" t="str">
        <f>IF(B208="","", VLOOKUP(B208,RM!$C$4:$G984,11,FALSE))</f>
        <v/>
      </c>
      <c r="N208" s="95" t="str">
        <f>IF(B208="","", VLOOKUP(B208,RM!$C$4:$G984,12,FALSE))</f>
        <v/>
      </c>
    </row>
    <row r="209" spans="1:14">
      <c r="A209" s="87" t="str">
        <f t="shared" si="0"/>
        <v/>
      </c>
      <c r="B209" s="2"/>
      <c r="C209" s="87"/>
      <c r="D209" s="87"/>
      <c r="E209" s="87"/>
      <c r="F209" s="87"/>
      <c r="G209" s="87"/>
      <c r="H209" s="87"/>
      <c r="I209" s="87"/>
      <c r="J209" s="2"/>
      <c r="K209" s="2"/>
      <c r="L209" s="94" t="str">
        <f>IF(B209="","", VLOOKUP(B209,RM!$C$4:$G984,10,FALSE))</f>
        <v/>
      </c>
      <c r="M209" s="94" t="str">
        <f>IF(B209="","", VLOOKUP(B209,RM!$C$4:$G984,11,FALSE))</f>
        <v/>
      </c>
      <c r="N209" s="95" t="str">
        <f>IF(B209="","", VLOOKUP(B209,RM!$C$4:$G984,12,FALSE))</f>
        <v/>
      </c>
    </row>
    <row r="210" spans="1:14">
      <c r="A210" s="87" t="str">
        <f t="shared" si="0"/>
        <v/>
      </c>
      <c r="B210" s="2"/>
      <c r="C210" s="87"/>
      <c r="D210" s="87"/>
      <c r="E210" s="87"/>
      <c r="F210" s="87"/>
      <c r="G210" s="87"/>
      <c r="H210" s="87"/>
      <c r="I210" s="87"/>
      <c r="J210" s="2"/>
      <c r="K210" s="2"/>
      <c r="L210" s="94" t="str">
        <f>IF(B210="","", VLOOKUP(B210,RM!$C$4:$G984,10,FALSE))</f>
        <v/>
      </c>
      <c r="M210" s="94" t="str">
        <f>IF(B210="","", VLOOKUP(B210,RM!$C$4:$G984,11,FALSE))</f>
        <v/>
      </c>
      <c r="N210" s="95" t="str">
        <f>IF(B210="","", VLOOKUP(B210,RM!$C$4:$G984,12,FALSE))</f>
        <v/>
      </c>
    </row>
    <row r="211" spans="1:14">
      <c r="A211" s="87" t="str">
        <f t="shared" si="0"/>
        <v/>
      </c>
      <c r="B211" s="2"/>
      <c r="C211" s="87"/>
      <c r="D211" s="87"/>
      <c r="E211" s="87"/>
      <c r="F211" s="87"/>
      <c r="G211" s="87"/>
      <c r="H211" s="87"/>
      <c r="I211" s="87"/>
      <c r="J211" s="2"/>
      <c r="K211" s="2"/>
      <c r="L211" s="94" t="str">
        <f>IF(B211="","", VLOOKUP(B211,RM!$C$4:$G984,10,FALSE))</f>
        <v/>
      </c>
      <c r="M211" s="94" t="str">
        <f>IF(B211="","", VLOOKUP(B211,RM!$C$4:$G984,11,FALSE))</f>
        <v/>
      </c>
      <c r="N211" s="95" t="str">
        <f>IF(B211="","", VLOOKUP(B211,RM!$C$4:$G984,12,FALSE))</f>
        <v/>
      </c>
    </row>
    <row r="212" spans="1:14">
      <c r="A212" s="87" t="str">
        <f t="shared" si="0"/>
        <v/>
      </c>
      <c r="B212" s="2"/>
      <c r="C212" s="87"/>
      <c r="D212" s="87"/>
      <c r="E212" s="87"/>
      <c r="F212" s="87"/>
      <c r="G212" s="87"/>
      <c r="H212" s="87"/>
      <c r="I212" s="87"/>
      <c r="J212" s="2"/>
      <c r="K212" s="2"/>
      <c r="L212" s="94" t="str">
        <f>IF(B212="","", VLOOKUP(B212,RM!$C$4:$G984,10,FALSE))</f>
        <v/>
      </c>
      <c r="M212" s="94" t="str">
        <f>IF(B212="","", VLOOKUP(B212,RM!$C$4:$G984,11,FALSE))</f>
        <v/>
      </c>
      <c r="N212" s="95" t="str">
        <f>IF(B212="","", VLOOKUP(B212,RM!$C$4:$G984,12,FALSE))</f>
        <v/>
      </c>
    </row>
    <row r="213" spans="1:14">
      <c r="A213" s="87" t="str">
        <f t="shared" si="0"/>
        <v/>
      </c>
      <c r="B213" s="2"/>
      <c r="C213" s="87"/>
      <c r="D213" s="87"/>
      <c r="E213" s="87"/>
      <c r="F213" s="87"/>
      <c r="G213" s="87"/>
      <c r="H213" s="87"/>
      <c r="I213" s="87"/>
      <c r="J213" s="2"/>
      <c r="K213" s="2"/>
      <c r="L213" s="94" t="str">
        <f>IF(B213="","", VLOOKUP(B213,RM!$C$4:$G984,10,FALSE))</f>
        <v/>
      </c>
      <c r="M213" s="94" t="str">
        <f>IF(B213="","", VLOOKUP(B213,RM!$C$4:$G984,11,FALSE))</f>
        <v/>
      </c>
      <c r="N213" s="95" t="str">
        <f>IF(B213="","", VLOOKUP(B213,RM!$C$4:$G984,12,FALSE))</f>
        <v/>
      </c>
    </row>
    <row r="214" spans="1:14">
      <c r="A214" s="87" t="str">
        <f t="shared" si="0"/>
        <v/>
      </c>
      <c r="B214" s="2"/>
      <c r="C214" s="87"/>
      <c r="D214" s="87"/>
      <c r="E214" s="87"/>
      <c r="F214" s="87"/>
      <c r="G214" s="87"/>
      <c r="H214" s="87"/>
      <c r="I214" s="87"/>
      <c r="J214" s="2"/>
      <c r="K214" s="2"/>
      <c r="L214" s="94" t="str">
        <f>IF(B214="","", VLOOKUP(B214,RM!$C$4:$G984,10,FALSE))</f>
        <v/>
      </c>
      <c r="M214" s="94" t="str">
        <f>IF(B214="","", VLOOKUP(B214,RM!$C$4:$G984,11,FALSE))</f>
        <v/>
      </c>
      <c r="N214" s="95" t="str">
        <f>IF(B214="","", VLOOKUP(B214,RM!$C$4:$G984,12,FALSE))</f>
        <v/>
      </c>
    </row>
    <row r="215" spans="1:14">
      <c r="A215" s="87" t="str">
        <f t="shared" si="0"/>
        <v/>
      </c>
      <c r="B215" s="2"/>
      <c r="C215" s="87"/>
      <c r="D215" s="87"/>
      <c r="E215" s="87"/>
      <c r="F215" s="87"/>
      <c r="G215" s="87"/>
      <c r="H215" s="87"/>
      <c r="I215" s="87"/>
      <c r="J215" s="2"/>
      <c r="K215" s="2"/>
      <c r="L215" s="94" t="str">
        <f>IF(B215="","", VLOOKUP(B215,RM!$C$4:$G984,10,FALSE))</f>
        <v/>
      </c>
      <c r="M215" s="94" t="str">
        <f>IF(B215="","", VLOOKUP(B215,RM!$C$4:$G984,11,FALSE))</f>
        <v/>
      </c>
      <c r="N215" s="95" t="str">
        <f>IF(B215="","", VLOOKUP(B215,RM!$C$4:$G984,12,FALSE))</f>
        <v/>
      </c>
    </row>
    <row r="216" spans="1:14">
      <c r="A216" s="87" t="str">
        <f t="shared" si="0"/>
        <v/>
      </c>
      <c r="B216" s="2"/>
      <c r="C216" s="87"/>
      <c r="D216" s="87"/>
      <c r="E216" s="87"/>
      <c r="F216" s="87"/>
      <c r="G216" s="87"/>
      <c r="H216" s="87"/>
      <c r="I216" s="87"/>
      <c r="J216" s="2"/>
      <c r="K216" s="2"/>
      <c r="L216" s="94" t="str">
        <f>IF(B216="","", VLOOKUP(B216,RM!$C$4:$G984,10,FALSE))</f>
        <v/>
      </c>
      <c r="M216" s="94" t="str">
        <f>IF(B216="","", VLOOKUP(B216,RM!$C$4:$G984,11,FALSE))</f>
        <v/>
      </c>
      <c r="N216" s="95" t="str">
        <f>IF(B216="","", VLOOKUP(B216,RM!$C$4:$G984,12,FALSE))</f>
        <v/>
      </c>
    </row>
    <row r="217" spans="1:14">
      <c r="A217" s="87" t="str">
        <f t="shared" si="0"/>
        <v/>
      </c>
      <c r="B217" s="2"/>
      <c r="C217" s="87"/>
      <c r="D217" s="87"/>
      <c r="E217" s="87"/>
      <c r="F217" s="87"/>
      <c r="G217" s="87"/>
      <c r="H217" s="87"/>
      <c r="I217" s="87"/>
      <c r="J217" s="2"/>
      <c r="K217" s="2"/>
      <c r="L217" s="94" t="str">
        <f>IF(B217="","", VLOOKUP(B217,RM!$C$4:$G984,10,FALSE))</f>
        <v/>
      </c>
      <c r="M217" s="94" t="str">
        <f>IF(B217="","", VLOOKUP(B217,RM!$C$4:$G984,11,FALSE))</f>
        <v/>
      </c>
      <c r="N217" s="95" t="str">
        <f>IF(B217="","", VLOOKUP(B217,RM!$C$4:$G984,12,FALSE))</f>
        <v/>
      </c>
    </row>
    <row r="218" spans="1:14">
      <c r="A218" s="87" t="str">
        <f t="shared" si="0"/>
        <v/>
      </c>
      <c r="B218" s="2"/>
      <c r="C218" s="87"/>
      <c r="D218" s="87"/>
      <c r="E218" s="87"/>
      <c r="F218" s="87"/>
      <c r="G218" s="87"/>
      <c r="H218" s="87"/>
      <c r="I218" s="87"/>
      <c r="J218" s="2"/>
      <c r="K218" s="2"/>
      <c r="L218" s="94" t="str">
        <f>IF(B218="","", VLOOKUP(B218,RM!$C$4:$G984,10,FALSE))</f>
        <v/>
      </c>
      <c r="M218" s="94" t="str">
        <f>IF(B218="","", VLOOKUP(B218,RM!$C$4:$G984,11,FALSE))</f>
        <v/>
      </c>
      <c r="N218" s="95" t="str">
        <f>IF(B218="","", VLOOKUP(B218,RM!$C$4:$G984,12,FALSE))</f>
        <v/>
      </c>
    </row>
    <row r="219" spans="1:14">
      <c r="A219" s="87" t="str">
        <f t="shared" si="0"/>
        <v/>
      </c>
      <c r="B219" s="2"/>
      <c r="C219" s="87"/>
      <c r="D219" s="87"/>
      <c r="E219" s="87"/>
      <c r="F219" s="87"/>
      <c r="G219" s="87"/>
      <c r="H219" s="87"/>
      <c r="I219" s="87"/>
      <c r="J219" s="2"/>
      <c r="K219" s="2"/>
      <c r="L219" s="94" t="str">
        <f>IF(B219="","", VLOOKUP(B219,RM!$C$4:$G984,10,FALSE))</f>
        <v/>
      </c>
      <c r="M219" s="94" t="str">
        <f>IF(B219="","", VLOOKUP(B219,RM!$C$4:$G984,11,FALSE))</f>
        <v/>
      </c>
      <c r="N219" s="95" t="str">
        <f>IF(B219="","", VLOOKUP(B219,RM!$C$4:$G984,12,FALSE))</f>
        <v/>
      </c>
    </row>
    <row r="220" spans="1:14">
      <c r="A220" s="87" t="str">
        <f t="shared" si="0"/>
        <v/>
      </c>
      <c r="B220" s="2"/>
      <c r="C220" s="87"/>
      <c r="D220" s="87"/>
      <c r="E220" s="87"/>
      <c r="F220" s="87"/>
      <c r="G220" s="87"/>
      <c r="H220" s="87"/>
      <c r="I220" s="87"/>
      <c r="J220" s="2"/>
      <c r="K220" s="2"/>
      <c r="L220" s="94" t="str">
        <f>IF(B220="","", VLOOKUP(B220,RM!$C$4:$G984,10,FALSE))</f>
        <v/>
      </c>
      <c r="M220" s="94" t="str">
        <f>IF(B220="","", VLOOKUP(B220,RM!$C$4:$G984,11,FALSE))</f>
        <v/>
      </c>
      <c r="N220" s="95" t="str">
        <f>IF(B220="","", VLOOKUP(B220,RM!$C$4:$G984,12,FALSE))</f>
        <v/>
      </c>
    </row>
    <row r="221" spans="1:14">
      <c r="A221" s="87" t="str">
        <f t="shared" si="0"/>
        <v/>
      </c>
      <c r="B221" s="2"/>
      <c r="C221" s="87"/>
      <c r="D221" s="87"/>
      <c r="E221" s="87"/>
      <c r="F221" s="87"/>
      <c r="G221" s="87"/>
      <c r="H221" s="87"/>
      <c r="I221" s="87"/>
      <c r="J221" s="2"/>
      <c r="K221" s="2"/>
      <c r="L221" s="94" t="str">
        <f>IF(B221="","", VLOOKUP(B221,RM!$C$4:$G984,10,FALSE))</f>
        <v/>
      </c>
      <c r="M221" s="94" t="str">
        <f>IF(B221="","", VLOOKUP(B221,RM!$C$4:$G984,11,FALSE))</f>
        <v/>
      </c>
      <c r="N221" s="95" t="str">
        <f>IF(B221="","", VLOOKUP(B221,RM!$C$4:$G984,12,FALSE))</f>
        <v/>
      </c>
    </row>
    <row r="222" spans="1:14">
      <c r="A222" s="87" t="str">
        <f t="shared" si="0"/>
        <v/>
      </c>
      <c r="B222" s="2"/>
      <c r="C222" s="87"/>
      <c r="D222" s="87"/>
      <c r="E222" s="87"/>
      <c r="F222" s="87"/>
      <c r="G222" s="87"/>
      <c r="H222" s="87"/>
      <c r="I222" s="87"/>
      <c r="J222" s="2"/>
      <c r="K222" s="2"/>
      <c r="L222" s="94" t="str">
        <f>IF(B222="","", VLOOKUP(B222,RM!$C$4:$G984,10,FALSE))</f>
        <v/>
      </c>
      <c r="M222" s="94" t="str">
        <f>IF(B222="","", VLOOKUP(B222,RM!$C$4:$G984,11,FALSE))</f>
        <v/>
      </c>
      <c r="N222" s="95" t="str">
        <f>IF(B222="","", VLOOKUP(B222,RM!$C$4:$G984,12,FALSE))</f>
        <v/>
      </c>
    </row>
    <row r="223" spans="1:14">
      <c r="A223" s="87" t="str">
        <f t="shared" si="0"/>
        <v/>
      </c>
      <c r="B223" s="2"/>
      <c r="C223" s="87"/>
      <c r="D223" s="87"/>
      <c r="E223" s="87"/>
      <c r="F223" s="87"/>
      <c r="G223" s="87"/>
      <c r="H223" s="87"/>
      <c r="I223" s="87"/>
      <c r="J223" s="2"/>
      <c r="K223" s="2"/>
      <c r="L223" s="94" t="str">
        <f>IF(B223="","", VLOOKUP(B223,RM!$C$4:$G984,10,FALSE))</f>
        <v/>
      </c>
      <c r="M223" s="94" t="str">
        <f>IF(B223="","", VLOOKUP(B223,RM!$C$4:$G984,11,FALSE))</f>
        <v/>
      </c>
      <c r="N223" s="95" t="str">
        <f>IF(B223="","", VLOOKUP(B223,RM!$C$4:$G984,12,FALSE))</f>
        <v/>
      </c>
    </row>
    <row r="224" spans="1:14">
      <c r="A224" s="87" t="str">
        <f t="shared" si="0"/>
        <v/>
      </c>
      <c r="B224" s="2"/>
      <c r="C224" s="87"/>
      <c r="D224" s="87"/>
      <c r="E224" s="87"/>
      <c r="F224" s="87"/>
      <c r="G224" s="87"/>
      <c r="H224" s="87"/>
      <c r="I224" s="87"/>
      <c r="J224" s="2"/>
      <c r="K224" s="2"/>
      <c r="L224" s="94" t="str">
        <f>IF(B224="","", VLOOKUP(B224,RM!$C$4:$G984,10,FALSE))</f>
        <v/>
      </c>
      <c r="M224" s="94" t="str">
        <f>IF(B224="","", VLOOKUP(B224,RM!$C$4:$G984,11,FALSE))</f>
        <v/>
      </c>
      <c r="N224" s="95" t="str">
        <f>IF(B224="","", VLOOKUP(B224,RM!$C$4:$G984,12,FALSE))</f>
        <v/>
      </c>
    </row>
    <row r="225" spans="1:14">
      <c r="A225" s="87" t="str">
        <f t="shared" si="0"/>
        <v/>
      </c>
      <c r="B225" s="2"/>
      <c r="C225" s="87"/>
      <c r="D225" s="87"/>
      <c r="E225" s="87"/>
      <c r="F225" s="87"/>
      <c r="G225" s="87"/>
      <c r="H225" s="87"/>
      <c r="I225" s="87"/>
      <c r="J225" s="2"/>
      <c r="K225" s="2"/>
      <c r="L225" s="94" t="str">
        <f>IF(B225="","", VLOOKUP(B225,RM!$C$4:$G984,10,FALSE))</f>
        <v/>
      </c>
      <c r="M225" s="94" t="str">
        <f>IF(B225="","", VLOOKUP(B225,RM!$C$4:$G984,11,FALSE))</f>
        <v/>
      </c>
      <c r="N225" s="95" t="str">
        <f>IF(B225="","", VLOOKUP(B225,RM!$C$4:$G984,12,FALSE))</f>
        <v/>
      </c>
    </row>
    <row r="226" spans="1:14">
      <c r="A226" s="87" t="str">
        <f t="shared" si="0"/>
        <v/>
      </c>
      <c r="B226" s="2"/>
      <c r="C226" s="87"/>
      <c r="D226" s="87"/>
      <c r="E226" s="87"/>
      <c r="F226" s="87"/>
      <c r="G226" s="87"/>
      <c r="H226" s="87"/>
      <c r="I226" s="87"/>
      <c r="J226" s="2"/>
      <c r="K226" s="2"/>
      <c r="L226" s="94" t="str">
        <f>IF(B226="","", VLOOKUP(B226,RM!$C$4:$G984,10,FALSE))</f>
        <v/>
      </c>
      <c r="M226" s="94" t="str">
        <f>IF(B226="","", VLOOKUP(B226,RM!$C$4:$G984,11,FALSE))</f>
        <v/>
      </c>
      <c r="N226" s="95" t="str">
        <f>IF(B226="","", VLOOKUP(B226,RM!$C$4:$G984,12,FALSE))</f>
        <v/>
      </c>
    </row>
    <row r="227" spans="1:14">
      <c r="A227" s="87" t="str">
        <f t="shared" si="0"/>
        <v/>
      </c>
      <c r="B227" s="2"/>
      <c r="C227" s="87"/>
      <c r="D227" s="87"/>
      <c r="E227" s="87"/>
      <c r="F227" s="87"/>
      <c r="G227" s="87"/>
      <c r="H227" s="87"/>
      <c r="I227" s="87"/>
      <c r="J227" s="2"/>
      <c r="K227" s="2"/>
      <c r="L227" s="94" t="str">
        <f>IF(B227="","", VLOOKUP(B227,RM!$C$4:$G984,10,FALSE))</f>
        <v/>
      </c>
      <c r="M227" s="94" t="str">
        <f>IF(B227="","", VLOOKUP(B227,RM!$C$4:$G984,11,FALSE))</f>
        <v/>
      </c>
      <c r="N227" s="95" t="str">
        <f>IF(B227="","", VLOOKUP(B227,RM!$C$4:$G984,12,FALSE))</f>
        <v/>
      </c>
    </row>
    <row r="228" spans="1:14">
      <c r="A228" s="87" t="str">
        <f t="shared" si="0"/>
        <v/>
      </c>
      <c r="B228" s="2"/>
      <c r="C228" s="87"/>
      <c r="D228" s="87"/>
      <c r="E228" s="87"/>
      <c r="F228" s="87"/>
      <c r="G228" s="87"/>
      <c r="H228" s="87"/>
      <c r="I228" s="87"/>
      <c r="J228" s="2"/>
      <c r="K228" s="2"/>
      <c r="L228" s="94" t="str">
        <f>IF(B228="","", VLOOKUP(B228,RM!$C$4:$G984,10,FALSE))</f>
        <v/>
      </c>
      <c r="M228" s="94" t="str">
        <f>IF(B228="","", VLOOKUP(B228,RM!$C$4:$G984,11,FALSE))</f>
        <v/>
      </c>
      <c r="N228" s="95" t="str">
        <f>IF(B228="","", VLOOKUP(B228,RM!$C$4:$G984,12,FALSE))</f>
        <v/>
      </c>
    </row>
    <row r="229" spans="1:14">
      <c r="A229" s="87" t="str">
        <f t="shared" si="0"/>
        <v/>
      </c>
      <c r="B229" s="2"/>
      <c r="C229" s="87"/>
      <c r="D229" s="87"/>
      <c r="E229" s="87"/>
      <c r="F229" s="87"/>
      <c r="G229" s="87"/>
      <c r="H229" s="87"/>
      <c r="I229" s="87"/>
      <c r="J229" s="2"/>
      <c r="K229" s="2"/>
      <c r="L229" s="94" t="str">
        <f>IF(B229="","", VLOOKUP(B229,RM!$C$4:$G984,10,FALSE))</f>
        <v/>
      </c>
      <c r="M229" s="94" t="str">
        <f>IF(B229="","", VLOOKUP(B229,RM!$C$4:$G984,11,FALSE))</f>
        <v/>
      </c>
      <c r="N229" s="95" t="str">
        <f>IF(B229="","", VLOOKUP(B229,RM!$C$4:$G984,12,FALSE))</f>
        <v/>
      </c>
    </row>
    <row r="230" spans="1:14">
      <c r="A230" s="87" t="str">
        <f t="shared" si="0"/>
        <v/>
      </c>
      <c r="B230" s="2"/>
      <c r="C230" s="87"/>
      <c r="D230" s="87"/>
      <c r="E230" s="87"/>
      <c r="F230" s="87"/>
      <c r="G230" s="87"/>
      <c r="H230" s="87"/>
      <c r="I230" s="87"/>
      <c r="J230" s="2"/>
      <c r="K230" s="2"/>
      <c r="L230" s="94" t="str">
        <f>IF(B230="","", VLOOKUP(B230,RM!$C$4:$G984,10,FALSE))</f>
        <v/>
      </c>
      <c r="M230" s="94" t="str">
        <f>IF(B230="","", VLOOKUP(B230,RM!$C$4:$G984,11,FALSE))</f>
        <v/>
      </c>
      <c r="N230" s="95" t="str">
        <f>IF(B230="","", VLOOKUP(B230,RM!$C$4:$G984,12,FALSE))</f>
        <v/>
      </c>
    </row>
    <row r="231" spans="1:14">
      <c r="A231" s="87" t="str">
        <f t="shared" si="0"/>
        <v/>
      </c>
      <c r="B231" s="2"/>
      <c r="C231" s="87"/>
      <c r="D231" s="87"/>
      <c r="E231" s="87"/>
      <c r="F231" s="87"/>
      <c r="G231" s="87"/>
      <c r="H231" s="87"/>
      <c r="I231" s="87"/>
      <c r="J231" s="2"/>
      <c r="K231" s="2"/>
      <c r="L231" s="94" t="str">
        <f>IF(B231="","", VLOOKUP(B231,RM!$C$4:$G984,10,FALSE))</f>
        <v/>
      </c>
      <c r="M231" s="94" t="str">
        <f>IF(B231="","", VLOOKUP(B231,RM!$C$4:$G984,11,FALSE))</f>
        <v/>
      </c>
      <c r="N231" s="95" t="str">
        <f>IF(B231="","", VLOOKUP(B231,RM!$C$4:$G984,12,FALSE))</f>
        <v/>
      </c>
    </row>
    <row r="232" spans="1:14">
      <c r="A232" s="87" t="str">
        <f t="shared" si="0"/>
        <v/>
      </c>
      <c r="B232" s="2"/>
      <c r="C232" s="87"/>
      <c r="D232" s="87"/>
      <c r="E232" s="87"/>
      <c r="F232" s="87"/>
      <c r="G232" s="87"/>
      <c r="H232" s="87"/>
      <c r="I232" s="87"/>
      <c r="J232" s="2"/>
      <c r="K232" s="2"/>
      <c r="L232" s="94" t="str">
        <f>IF(B232="","", VLOOKUP(B232,RM!$C$4:$G984,10,FALSE))</f>
        <v/>
      </c>
      <c r="M232" s="94" t="str">
        <f>IF(B232="","", VLOOKUP(B232,RM!$C$4:$G984,11,FALSE))</f>
        <v/>
      </c>
      <c r="N232" s="95" t="str">
        <f>IF(B232="","", VLOOKUP(B232,RM!$C$4:$G984,12,FALSE))</f>
        <v/>
      </c>
    </row>
    <row r="233" spans="1:14">
      <c r="A233" s="87" t="str">
        <f t="shared" si="0"/>
        <v/>
      </c>
      <c r="B233" s="2"/>
      <c r="C233" s="87"/>
      <c r="D233" s="87"/>
      <c r="E233" s="87"/>
      <c r="F233" s="87"/>
      <c r="G233" s="87"/>
      <c r="H233" s="87"/>
      <c r="I233" s="87"/>
      <c r="J233" s="2"/>
      <c r="K233" s="2"/>
      <c r="L233" s="94" t="str">
        <f>IF(B233="","", VLOOKUP(B233,RM!$C$4:$G984,10,FALSE))</f>
        <v/>
      </c>
      <c r="M233" s="94" t="str">
        <f>IF(B233="","", VLOOKUP(B233,RM!$C$4:$G984,11,FALSE))</f>
        <v/>
      </c>
      <c r="N233" s="95" t="str">
        <f>IF(B233="","", VLOOKUP(B233,RM!$C$4:$G984,12,FALSE))</f>
        <v/>
      </c>
    </row>
    <row r="234" spans="1:14">
      <c r="A234" s="87" t="str">
        <f t="shared" si="0"/>
        <v/>
      </c>
      <c r="B234" s="2"/>
      <c r="C234" s="87"/>
      <c r="D234" s="87"/>
      <c r="E234" s="87"/>
      <c r="F234" s="87"/>
      <c r="G234" s="87"/>
      <c r="H234" s="87"/>
      <c r="I234" s="87"/>
      <c r="J234" s="2"/>
      <c r="K234" s="2"/>
      <c r="L234" s="94" t="str">
        <f>IF(B234="","", VLOOKUP(B234,RM!$C$4:$G984,10,FALSE))</f>
        <v/>
      </c>
      <c r="M234" s="94" t="str">
        <f>IF(B234="","", VLOOKUP(B234,RM!$C$4:$G984,11,FALSE))</f>
        <v/>
      </c>
      <c r="N234" s="95" t="str">
        <f>IF(B234="","", VLOOKUP(B234,RM!$C$4:$G984,12,FALSE))</f>
        <v/>
      </c>
    </row>
    <row r="235" spans="1:14">
      <c r="A235" s="87" t="str">
        <f t="shared" si="0"/>
        <v/>
      </c>
      <c r="B235" s="2"/>
      <c r="C235" s="87"/>
      <c r="D235" s="87"/>
      <c r="E235" s="87"/>
      <c r="F235" s="87"/>
      <c r="G235" s="87"/>
      <c r="H235" s="87"/>
      <c r="I235" s="87"/>
      <c r="J235" s="2"/>
      <c r="K235" s="2"/>
      <c r="L235" s="94" t="str">
        <f>IF(B235="","", VLOOKUP(B235,RM!$C$4:$G984,10,FALSE))</f>
        <v/>
      </c>
      <c r="M235" s="94" t="str">
        <f>IF(B235="","", VLOOKUP(B235,RM!$C$4:$G984,11,FALSE))</f>
        <v/>
      </c>
      <c r="N235" s="95" t="str">
        <f>IF(B235="","", VLOOKUP(B235,RM!$C$4:$G984,12,FALSE))</f>
        <v/>
      </c>
    </row>
    <row r="236" spans="1:14">
      <c r="A236" s="87" t="str">
        <f t="shared" si="0"/>
        <v/>
      </c>
      <c r="B236" s="2"/>
      <c r="C236" s="87"/>
      <c r="D236" s="87"/>
      <c r="E236" s="87"/>
      <c r="F236" s="87"/>
      <c r="G236" s="87"/>
      <c r="H236" s="87"/>
      <c r="I236" s="87"/>
      <c r="J236" s="2"/>
      <c r="K236" s="2"/>
      <c r="L236" s="94" t="str">
        <f>IF(B236="","", VLOOKUP(B236,RM!$C$4:$G984,10,FALSE))</f>
        <v/>
      </c>
      <c r="M236" s="94" t="str">
        <f>IF(B236="","", VLOOKUP(B236,RM!$C$4:$G984,11,FALSE))</f>
        <v/>
      </c>
      <c r="N236" s="95" t="str">
        <f>IF(B236="","", VLOOKUP(B236,RM!$C$4:$G984,12,FALSE))</f>
        <v/>
      </c>
    </row>
    <row r="237" spans="1:14">
      <c r="A237" s="87" t="str">
        <f t="shared" si="0"/>
        <v/>
      </c>
      <c r="B237" s="2"/>
      <c r="C237" s="87"/>
      <c r="D237" s="87"/>
      <c r="E237" s="87"/>
      <c r="F237" s="87"/>
      <c r="G237" s="87"/>
      <c r="H237" s="87"/>
      <c r="I237" s="87"/>
      <c r="J237" s="2"/>
      <c r="K237" s="2"/>
      <c r="L237" s="94" t="str">
        <f>IF(B237="","", VLOOKUP(B237,RM!$C$4:$G984,10,FALSE))</f>
        <v/>
      </c>
      <c r="M237" s="94" t="str">
        <f>IF(B237="","", VLOOKUP(B237,RM!$C$4:$G984,11,FALSE))</f>
        <v/>
      </c>
      <c r="N237" s="95" t="str">
        <f>IF(B237="","", VLOOKUP(B237,RM!$C$4:$G984,12,FALSE))</f>
        <v/>
      </c>
    </row>
    <row r="238" spans="1:14">
      <c r="A238" s="87" t="str">
        <f t="shared" si="0"/>
        <v/>
      </c>
      <c r="B238" s="2"/>
      <c r="C238" s="87"/>
      <c r="D238" s="87"/>
      <c r="E238" s="87"/>
      <c r="F238" s="87"/>
      <c r="G238" s="87"/>
      <c r="H238" s="87"/>
      <c r="I238" s="87"/>
      <c r="J238" s="2"/>
      <c r="K238" s="2"/>
      <c r="L238" s="94" t="str">
        <f>IF(B238="","", VLOOKUP(B238,RM!$C$4:$G984,10,FALSE))</f>
        <v/>
      </c>
      <c r="M238" s="94" t="str">
        <f>IF(B238="","", VLOOKUP(B238,RM!$C$4:$G984,11,FALSE))</f>
        <v/>
      </c>
      <c r="N238" s="95" t="str">
        <f>IF(B238="","", VLOOKUP(B238,RM!$C$4:$G984,12,FALSE))</f>
        <v/>
      </c>
    </row>
    <row r="239" spans="1:14">
      <c r="A239" s="87" t="str">
        <f t="shared" si="0"/>
        <v/>
      </c>
      <c r="B239" s="2"/>
      <c r="C239" s="87"/>
      <c r="D239" s="87"/>
      <c r="E239" s="87"/>
      <c r="F239" s="87"/>
      <c r="G239" s="87"/>
      <c r="H239" s="87"/>
      <c r="I239" s="87"/>
      <c r="J239" s="2"/>
      <c r="K239" s="2"/>
      <c r="L239" s="94" t="str">
        <f>IF(B239="","", VLOOKUP(B239,RM!$C$4:$G984,10,FALSE))</f>
        <v/>
      </c>
      <c r="M239" s="94" t="str">
        <f>IF(B239="","", VLOOKUP(B239,RM!$C$4:$G984,11,FALSE))</f>
        <v/>
      </c>
      <c r="N239" s="95" t="str">
        <f>IF(B239="","", VLOOKUP(B239,RM!$C$4:$G984,12,FALSE))</f>
        <v/>
      </c>
    </row>
    <row r="240" spans="1:14">
      <c r="A240" s="87" t="str">
        <f t="shared" si="0"/>
        <v/>
      </c>
      <c r="B240" s="2"/>
      <c r="C240" s="87"/>
      <c r="D240" s="87"/>
      <c r="E240" s="87"/>
      <c r="F240" s="87"/>
      <c r="G240" s="87"/>
      <c r="H240" s="87"/>
      <c r="I240" s="87"/>
      <c r="J240" s="2"/>
      <c r="K240" s="2"/>
      <c r="L240" s="94" t="str">
        <f>IF(B240="","", VLOOKUP(B240,RM!$C$4:$G984,10,FALSE))</f>
        <v/>
      </c>
      <c r="M240" s="94" t="str">
        <f>IF(B240="","", VLOOKUP(B240,RM!$C$4:$G984,11,FALSE))</f>
        <v/>
      </c>
      <c r="N240" s="95" t="str">
        <f>IF(B240="","", VLOOKUP(B240,RM!$C$4:$G984,12,FALSE))</f>
        <v/>
      </c>
    </row>
    <row r="241" spans="1:14">
      <c r="A241" s="87" t="str">
        <f t="shared" si="0"/>
        <v/>
      </c>
      <c r="B241" s="2"/>
      <c r="C241" s="87"/>
      <c r="D241" s="87"/>
      <c r="E241" s="87"/>
      <c r="F241" s="87"/>
      <c r="G241" s="87"/>
      <c r="H241" s="87"/>
      <c r="I241" s="87"/>
      <c r="J241" s="2"/>
      <c r="K241" s="2"/>
      <c r="L241" s="94" t="str">
        <f>IF(B241="","", VLOOKUP(B241,RM!$C$4:$G984,10,FALSE))</f>
        <v/>
      </c>
      <c r="M241" s="94" t="str">
        <f>IF(B241="","", VLOOKUP(B241,RM!$C$4:$G984,11,FALSE))</f>
        <v/>
      </c>
      <c r="N241" s="95" t="str">
        <f>IF(B241="","", VLOOKUP(B241,RM!$C$4:$G984,12,FALSE))</f>
        <v/>
      </c>
    </row>
    <row r="242" spans="1:14">
      <c r="A242" s="87" t="str">
        <f t="shared" si="0"/>
        <v/>
      </c>
      <c r="B242" s="2"/>
      <c r="C242" s="87"/>
      <c r="D242" s="87"/>
      <c r="E242" s="87"/>
      <c r="F242" s="87"/>
      <c r="G242" s="87"/>
      <c r="H242" s="87"/>
      <c r="I242" s="87"/>
      <c r="J242" s="2"/>
      <c r="K242" s="2"/>
      <c r="L242" s="94" t="str">
        <f>IF(B242="","", VLOOKUP(B242,RM!$C$4:$G984,10,FALSE))</f>
        <v/>
      </c>
      <c r="M242" s="94" t="str">
        <f>IF(B242="","", VLOOKUP(B242,RM!$C$4:$G984,11,FALSE))</f>
        <v/>
      </c>
      <c r="N242" s="95" t="str">
        <f>IF(B242="","", VLOOKUP(B242,RM!$C$4:$G984,12,FALSE))</f>
        <v/>
      </c>
    </row>
    <row r="243" spans="1:14">
      <c r="A243" s="87" t="str">
        <f t="shared" si="0"/>
        <v/>
      </c>
      <c r="B243" s="2"/>
      <c r="C243" s="87"/>
      <c r="D243" s="87"/>
      <c r="E243" s="87"/>
      <c r="F243" s="87"/>
      <c r="G243" s="87"/>
      <c r="H243" s="87"/>
      <c r="I243" s="87"/>
      <c r="J243" s="2"/>
      <c r="K243" s="2"/>
      <c r="L243" s="94" t="str">
        <f>IF(B243="","", VLOOKUP(B243,RM!$C$4:$G984,10,FALSE))</f>
        <v/>
      </c>
      <c r="M243" s="94" t="str">
        <f>IF(B243="","", VLOOKUP(B243,RM!$C$4:$G984,11,FALSE))</f>
        <v/>
      </c>
      <c r="N243" s="95" t="str">
        <f>IF(B243="","", VLOOKUP(B243,RM!$C$4:$G984,12,FALSE))</f>
        <v/>
      </c>
    </row>
    <row r="244" spans="1:14">
      <c r="A244" s="87" t="str">
        <f t="shared" si="0"/>
        <v/>
      </c>
      <c r="B244" s="2"/>
      <c r="C244" s="87"/>
      <c r="D244" s="87"/>
      <c r="E244" s="87"/>
      <c r="F244" s="87"/>
      <c r="G244" s="87"/>
      <c r="H244" s="87"/>
      <c r="I244" s="87"/>
      <c r="J244" s="2"/>
      <c r="K244" s="2"/>
      <c r="L244" s="94" t="str">
        <f>IF(B244="","", VLOOKUP(B244,RM!$C$4:$G984,10,FALSE))</f>
        <v/>
      </c>
      <c r="M244" s="94" t="str">
        <f>IF(B244="","", VLOOKUP(B244,RM!$C$4:$G984,11,FALSE))</f>
        <v/>
      </c>
      <c r="N244" s="95" t="str">
        <f>IF(B244="","", VLOOKUP(B244,RM!$C$4:$G984,12,FALSE))</f>
        <v/>
      </c>
    </row>
    <row r="245" spans="1:14">
      <c r="A245" s="87" t="str">
        <f t="shared" si="0"/>
        <v/>
      </c>
      <c r="B245" s="2"/>
      <c r="C245" s="87"/>
      <c r="D245" s="87"/>
      <c r="E245" s="87"/>
      <c r="F245" s="87"/>
      <c r="G245" s="87"/>
      <c r="H245" s="87"/>
      <c r="I245" s="87"/>
      <c r="J245" s="2"/>
      <c r="K245" s="2"/>
      <c r="L245" s="94" t="str">
        <f>IF(B245="","", VLOOKUP(B245,RM!$C$4:$G984,10,FALSE))</f>
        <v/>
      </c>
      <c r="M245" s="94" t="str">
        <f>IF(B245="","", VLOOKUP(B245,RM!$C$4:$G984,11,FALSE))</f>
        <v/>
      </c>
      <c r="N245" s="95" t="str">
        <f>IF(B245="","", VLOOKUP(B245,RM!$C$4:$G984,12,FALSE))</f>
        <v/>
      </c>
    </row>
    <row r="246" spans="1:14">
      <c r="A246" s="87" t="str">
        <f t="shared" si="0"/>
        <v/>
      </c>
      <c r="B246" s="2"/>
      <c r="C246" s="87"/>
      <c r="D246" s="87"/>
      <c r="E246" s="87"/>
      <c r="F246" s="87"/>
      <c r="G246" s="87"/>
      <c r="H246" s="87"/>
      <c r="I246" s="87"/>
      <c r="J246" s="2"/>
      <c r="K246" s="2"/>
      <c r="L246" s="94" t="str">
        <f>IF(B246="","", VLOOKUP(B246,RM!$C$4:$G984,10,FALSE))</f>
        <v/>
      </c>
      <c r="M246" s="94" t="str">
        <f>IF(B246="","", VLOOKUP(B246,RM!$C$4:$G984,11,FALSE))</f>
        <v/>
      </c>
      <c r="N246" s="95" t="str">
        <f>IF(B246="","", VLOOKUP(B246,RM!$C$4:$G984,12,FALSE))</f>
        <v/>
      </c>
    </row>
    <row r="247" spans="1:14">
      <c r="A247" s="87" t="str">
        <f t="shared" si="0"/>
        <v/>
      </c>
      <c r="B247" s="2"/>
      <c r="C247" s="87"/>
      <c r="D247" s="87"/>
      <c r="E247" s="87"/>
      <c r="F247" s="87"/>
      <c r="G247" s="87"/>
      <c r="H247" s="87"/>
      <c r="I247" s="87"/>
      <c r="J247" s="2"/>
      <c r="K247" s="2"/>
      <c r="L247" s="94" t="str">
        <f>IF(B247="","", VLOOKUP(B247,RM!$C$4:$G984,10,FALSE))</f>
        <v/>
      </c>
      <c r="M247" s="94" t="str">
        <f>IF(B247="","", VLOOKUP(B247,RM!$C$4:$G984,11,FALSE))</f>
        <v/>
      </c>
      <c r="N247" s="95" t="str">
        <f>IF(B247="","", VLOOKUP(B247,RM!$C$4:$G984,12,FALSE))</f>
        <v/>
      </c>
    </row>
    <row r="248" spans="1:14">
      <c r="A248" s="87" t="str">
        <f t="shared" si="0"/>
        <v/>
      </c>
      <c r="B248" s="2"/>
      <c r="C248" s="87"/>
      <c r="D248" s="87"/>
      <c r="E248" s="87"/>
      <c r="F248" s="87"/>
      <c r="G248" s="87"/>
      <c r="H248" s="87"/>
      <c r="I248" s="87"/>
      <c r="J248" s="2"/>
      <c r="K248" s="2"/>
      <c r="L248" s="94" t="str">
        <f>IF(B248="","", VLOOKUP(B248,RM!$C$4:$G984,10,FALSE))</f>
        <v/>
      </c>
      <c r="M248" s="94" t="str">
        <f>IF(B248="","", VLOOKUP(B248,RM!$C$4:$G984,11,FALSE))</f>
        <v/>
      </c>
      <c r="N248" s="95" t="str">
        <f>IF(B248="","", VLOOKUP(B248,RM!$C$4:$G984,12,FALSE))</f>
        <v/>
      </c>
    </row>
    <row r="249" spans="1:14">
      <c r="A249" s="87" t="str">
        <f t="shared" si="0"/>
        <v/>
      </c>
      <c r="B249" s="2"/>
      <c r="C249" s="87"/>
      <c r="D249" s="87"/>
      <c r="E249" s="87"/>
      <c r="F249" s="87"/>
      <c r="G249" s="87"/>
      <c r="H249" s="87"/>
      <c r="I249" s="87"/>
      <c r="J249" s="2"/>
      <c r="K249" s="2"/>
      <c r="L249" s="94" t="str">
        <f>IF(B249="","", VLOOKUP(B249,RM!$C$4:$G984,10,FALSE))</f>
        <v/>
      </c>
      <c r="M249" s="94" t="str">
        <f>IF(B249="","", VLOOKUP(B249,RM!$C$4:$G984,11,FALSE))</f>
        <v/>
      </c>
      <c r="N249" s="95" t="str">
        <f>IF(B249="","", VLOOKUP(B249,RM!$C$4:$G984,12,FALSE))</f>
        <v/>
      </c>
    </row>
    <row r="250" spans="1:14">
      <c r="A250" s="87" t="str">
        <f t="shared" si="0"/>
        <v/>
      </c>
      <c r="B250" s="2"/>
      <c r="C250" s="87"/>
      <c r="D250" s="87"/>
      <c r="E250" s="87"/>
      <c r="F250" s="87"/>
      <c r="G250" s="87"/>
      <c r="H250" s="87"/>
      <c r="I250" s="87"/>
      <c r="J250" s="2"/>
      <c r="K250" s="2"/>
      <c r="L250" s="94" t="str">
        <f>IF(B250="","", VLOOKUP(B250,RM!$C$4:$G984,10,FALSE))</f>
        <v/>
      </c>
      <c r="M250" s="94" t="str">
        <f>IF(B250="","", VLOOKUP(B250,RM!$C$4:$G984,11,FALSE))</f>
        <v/>
      </c>
      <c r="N250" s="95" t="str">
        <f>IF(B250="","", VLOOKUP(B250,RM!$C$4:$G984,12,FALSE))</f>
        <v/>
      </c>
    </row>
    <row r="251" spans="1:14">
      <c r="A251" s="87" t="str">
        <f t="shared" si="0"/>
        <v/>
      </c>
      <c r="B251" s="2"/>
      <c r="C251" s="87"/>
      <c r="D251" s="87"/>
      <c r="E251" s="87"/>
      <c r="F251" s="87"/>
      <c r="G251" s="87"/>
      <c r="H251" s="87"/>
      <c r="I251" s="87"/>
      <c r="J251" s="2"/>
      <c r="K251" s="2"/>
      <c r="L251" s="94" t="str">
        <f>IF(B251="","", VLOOKUP(B251,RM!$C$4:$G984,10,FALSE))</f>
        <v/>
      </c>
      <c r="M251" s="94" t="str">
        <f>IF(B251="","", VLOOKUP(B251,RM!$C$4:$G984,11,FALSE))</f>
        <v/>
      </c>
      <c r="N251" s="95" t="str">
        <f>IF(B251="","", VLOOKUP(B251,RM!$C$4:$G984,12,FALSE))</f>
        <v/>
      </c>
    </row>
    <row r="252" spans="1:14">
      <c r="A252" s="87" t="str">
        <f t="shared" si="0"/>
        <v/>
      </c>
      <c r="B252" s="2"/>
      <c r="C252" s="87"/>
      <c r="D252" s="87"/>
      <c r="E252" s="87"/>
      <c r="F252" s="87"/>
      <c r="G252" s="87"/>
      <c r="H252" s="87"/>
      <c r="I252" s="87"/>
      <c r="J252" s="2"/>
      <c r="K252" s="2"/>
      <c r="L252" s="94" t="str">
        <f>IF(B252="","", VLOOKUP(B252,RM!$C$4:$G984,10,FALSE))</f>
        <v/>
      </c>
      <c r="M252" s="94" t="str">
        <f>IF(B252="","", VLOOKUP(B252,RM!$C$4:$G984,11,FALSE))</f>
        <v/>
      </c>
      <c r="N252" s="95" t="str">
        <f>IF(B252="","", VLOOKUP(B252,RM!$C$4:$G984,12,FALSE))</f>
        <v/>
      </c>
    </row>
    <row r="253" spans="1:14">
      <c r="A253" s="87" t="str">
        <f t="shared" si="0"/>
        <v/>
      </c>
      <c r="B253" s="2"/>
      <c r="C253" s="87"/>
      <c r="D253" s="87"/>
      <c r="E253" s="87"/>
      <c r="F253" s="87"/>
      <c r="G253" s="87"/>
      <c r="H253" s="87"/>
      <c r="I253" s="87"/>
      <c r="J253" s="2"/>
      <c r="K253" s="2"/>
      <c r="L253" s="94" t="str">
        <f>IF(B253="","", VLOOKUP(B253,RM!$C$4:$G984,10,FALSE))</f>
        <v/>
      </c>
      <c r="M253" s="94" t="str">
        <f>IF(B253="","", VLOOKUP(B253,RM!$C$4:$G984,11,FALSE))</f>
        <v/>
      </c>
      <c r="N253" s="95" t="str">
        <f>IF(B253="","", VLOOKUP(B253,RM!$C$4:$G984,12,FALSE))</f>
        <v/>
      </c>
    </row>
    <row r="254" spans="1:14">
      <c r="A254" s="87" t="str">
        <f t="shared" si="0"/>
        <v/>
      </c>
      <c r="B254" s="2"/>
      <c r="C254" s="87"/>
      <c r="D254" s="87"/>
      <c r="E254" s="87"/>
      <c r="F254" s="87"/>
      <c r="G254" s="87"/>
      <c r="H254" s="87"/>
      <c r="I254" s="87"/>
      <c r="J254" s="2"/>
      <c r="K254" s="2"/>
      <c r="L254" s="94" t="str">
        <f>IF(B254="","", VLOOKUP(B254,RM!$C$4:$G984,10,FALSE))</f>
        <v/>
      </c>
      <c r="M254" s="94" t="str">
        <f>IF(B254="","", VLOOKUP(B254,RM!$C$4:$G984,11,FALSE))</f>
        <v/>
      </c>
      <c r="N254" s="95" t="str">
        <f>IF(B254="","", VLOOKUP(B254,RM!$C$4:$G984,12,FALSE))</f>
        <v/>
      </c>
    </row>
    <row r="255" spans="1:14">
      <c r="A255" s="87" t="str">
        <f t="shared" si="0"/>
        <v/>
      </c>
      <c r="B255" s="2"/>
      <c r="C255" s="87"/>
      <c r="D255" s="87"/>
      <c r="E255" s="87"/>
      <c r="F255" s="87"/>
      <c r="G255" s="87"/>
      <c r="H255" s="87"/>
      <c r="I255" s="87"/>
      <c r="J255" s="2"/>
      <c r="K255" s="2"/>
      <c r="L255" s="94" t="str">
        <f>IF(B255="","", VLOOKUP(B255,RM!$C$4:$G984,10,FALSE))</f>
        <v/>
      </c>
      <c r="M255" s="94" t="str">
        <f>IF(B255="","", VLOOKUP(B255,RM!$C$4:$G984,11,FALSE))</f>
        <v/>
      </c>
      <c r="N255" s="95" t="str">
        <f>IF(B255="","", VLOOKUP(B255,RM!$C$4:$G984,12,FALSE))</f>
        <v/>
      </c>
    </row>
    <row r="256" spans="1:14">
      <c r="A256" s="87" t="str">
        <f t="shared" si="0"/>
        <v/>
      </c>
      <c r="B256" s="2"/>
      <c r="C256" s="87"/>
      <c r="D256" s="87"/>
      <c r="E256" s="87"/>
      <c r="F256" s="87"/>
      <c r="G256" s="87"/>
      <c r="H256" s="87"/>
      <c r="I256" s="87"/>
      <c r="J256" s="2"/>
      <c r="K256" s="2"/>
      <c r="L256" s="94" t="str">
        <f>IF(B256="","", VLOOKUP(B256,RM!$C$4:$G984,10,FALSE))</f>
        <v/>
      </c>
      <c r="M256" s="94" t="str">
        <f>IF(B256="","", VLOOKUP(B256,RM!$C$4:$G984,11,FALSE))</f>
        <v/>
      </c>
      <c r="N256" s="95" t="str">
        <f>IF(B256="","", VLOOKUP(B256,RM!$C$4:$G984,12,FALSE))</f>
        <v/>
      </c>
    </row>
    <row r="257" spans="1:14">
      <c r="A257" s="87" t="str">
        <f t="shared" si="0"/>
        <v/>
      </c>
      <c r="B257" s="2"/>
      <c r="C257" s="87"/>
      <c r="D257" s="87"/>
      <c r="E257" s="87"/>
      <c r="F257" s="87"/>
      <c r="G257" s="87"/>
      <c r="H257" s="87"/>
      <c r="I257" s="87"/>
      <c r="J257" s="2"/>
      <c r="K257" s="2"/>
      <c r="L257" s="94" t="str">
        <f>IF(B257="","", VLOOKUP(B257,RM!$C$4:$G984,10,FALSE))</f>
        <v/>
      </c>
      <c r="M257" s="94" t="str">
        <f>IF(B257="","", VLOOKUP(B257,RM!$C$4:$G984,11,FALSE))</f>
        <v/>
      </c>
      <c r="N257" s="95" t="str">
        <f>IF(B257="","", VLOOKUP(B257,RM!$C$4:$G984,12,FALSE))</f>
        <v/>
      </c>
    </row>
    <row r="258" spans="1:14">
      <c r="A258" s="87" t="str">
        <f t="shared" si="0"/>
        <v/>
      </c>
      <c r="B258" s="2"/>
      <c r="C258" s="87"/>
      <c r="D258" s="87"/>
      <c r="E258" s="87"/>
      <c r="F258" s="87"/>
      <c r="G258" s="87"/>
      <c r="H258" s="87"/>
      <c r="I258" s="87"/>
      <c r="J258" s="2"/>
      <c r="K258" s="2"/>
      <c r="L258" s="94" t="str">
        <f>IF(B258="","", VLOOKUP(B258,RM!$C$4:$G984,10,FALSE))</f>
        <v/>
      </c>
      <c r="M258" s="94" t="str">
        <f>IF(B258="","", VLOOKUP(B258,RM!$C$4:$G984,11,FALSE))</f>
        <v/>
      </c>
      <c r="N258" s="95" t="str">
        <f>IF(B258="","", VLOOKUP(B258,RM!$C$4:$G984,12,FALSE))</f>
        <v/>
      </c>
    </row>
    <row r="259" spans="1:14">
      <c r="A259" s="87" t="str">
        <f t="shared" ref="A259:A513" si="1">IF(B259="","",ROW()-3)</f>
        <v/>
      </c>
      <c r="B259" s="2"/>
      <c r="C259" s="87"/>
      <c r="D259" s="87"/>
      <c r="E259" s="87"/>
      <c r="F259" s="87"/>
      <c r="G259" s="87"/>
      <c r="H259" s="87"/>
      <c r="I259" s="87"/>
      <c r="J259" s="2"/>
      <c r="K259" s="2"/>
      <c r="L259" s="94" t="str">
        <f>IF(B259="","", VLOOKUP(B259,RM!$C$4:$G984,10,FALSE))</f>
        <v/>
      </c>
      <c r="M259" s="94" t="str">
        <f>IF(B259="","", VLOOKUP(B259,RM!$C$4:$G984,11,FALSE))</f>
        <v/>
      </c>
      <c r="N259" s="95" t="str">
        <f>IF(B259="","", VLOOKUP(B259,RM!$C$4:$G984,12,FALSE))</f>
        <v/>
      </c>
    </row>
    <row r="260" spans="1:14">
      <c r="A260" s="87" t="str">
        <f t="shared" si="1"/>
        <v/>
      </c>
      <c r="B260" s="2"/>
      <c r="C260" s="87"/>
      <c r="D260" s="87"/>
      <c r="E260" s="87"/>
      <c r="F260" s="87"/>
      <c r="G260" s="87"/>
      <c r="H260" s="87"/>
      <c r="I260" s="87"/>
      <c r="J260" s="2"/>
      <c r="K260" s="2"/>
      <c r="L260" s="94" t="str">
        <f>IF(B260="","", VLOOKUP(B260,RM!$C$4:$G984,10,FALSE))</f>
        <v/>
      </c>
      <c r="M260" s="94" t="str">
        <f>IF(B260="","", VLOOKUP(B260,RM!$C$4:$G984,11,FALSE))</f>
        <v/>
      </c>
      <c r="N260" s="95" t="str">
        <f>IF(B260="","", VLOOKUP(B260,RM!$C$4:$G984,12,FALSE))</f>
        <v/>
      </c>
    </row>
    <row r="261" spans="1:14">
      <c r="A261" s="87" t="str">
        <f t="shared" si="1"/>
        <v/>
      </c>
      <c r="B261" s="2"/>
      <c r="C261" s="87"/>
      <c r="D261" s="87"/>
      <c r="E261" s="87"/>
      <c r="F261" s="87"/>
      <c r="G261" s="87"/>
      <c r="H261" s="87"/>
      <c r="I261" s="87"/>
      <c r="J261" s="2"/>
      <c r="K261" s="2"/>
      <c r="L261" s="94" t="str">
        <f>IF(B261="","", VLOOKUP(B261,RM!$C$4:$G984,10,FALSE))</f>
        <v/>
      </c>
      <c r="M261" s="94" t="str">
        <f>IF(B261="","", VLOOKUP(B261,RM!$C$4:$G984,11,FALSE))</f>
        <v/>
      </c>
      <c r="N261" s="95" t="str">
        <f>IF(B261="","", VLOOKUP(B261,RM!$C$4:$G984,12,FALSE))</f>
        <v/>
      </c>
    </row>
    <row r="262" spans="1:14">
      <c r="A262" s="87" t="str">
        <f t="shared" si="1"/>
        <v/>
      </c>
      <c r="B262" s="2"/>
      <c r="C262" s="87"/>
      <c r="D262" s="87"/>
      <c r="E262" s="87"/>
      <c r="F262" s="87"/>
      <c r="G262" s="87"/>
      <c r="H262" s="87"/>
      <c r="I262" s="87"/>
      <c r="J262" s="2"/>
      <c r="K262" s="2"/>
      <c r="L262" s="94" t="str">
        <f>IF(B262="","", VLOOKUP(B262,RM!$C$4:$G984,10,FALSE))</f>
        <v/>
      </c>
      <c r="M262" s="94" t="str">
        <f>IF(B262="","", VLOOKUP(B262,RM!$C$4:$G984,11,FALSE))</f>
        <v/>
      </c>
      <c r="N262" s="95" t="str">
        <f>IF(B262="","", VLOOKUP(B262,RM!$C$4:$G984,12,FALSE))</f>
        <v/>
      </c>
    </row>
    <row r="263" spans="1:14">
      <c r="A263" s="87" t="str">
        <f t="shared" si="1"/>
        <v/>
      </c>
      <c r="B263" s="2"/>
      <c r="C263" s="87"/>
      <c r="D263" s="87"/>
      <c r="E263" s="87"/>
      <c r="F263" s="87"/>
      <c r="G263" s="87"/>
      <c r="H263" s="87"/>
      <c r="I263" s="87"/>
      <c r="J263" s="2"/>
      <c r="K263" s="2"/>
      <c r="L263" s="94" t="str">
        <f>IF(B263="","", VLOOKUP(B263,RM!$C$4:$G984,10,FALSE))</f>
        <v/>
      </c>
      <c r="M263" s="94" t="str">
        <f>IF(B263="","", VLOOKUP(B263,RM!$C$4:$G984,11,FALSE))</f>
        <v/>
      </c>
      <c r="N263" s="95" t="str">
        <f>IF(B263="","", VLOOKUP(B263,RM!$C$4:$G984,12,FALSE))</f>
        <v/>
      </c>
    </row>
    <row r="264" spans="1:14">
      <c r="A264" s="87" t="str">
        <f t="shared" si="1"/>
        <v/>
      </c>
      <c r="B264" s="2"/>
      <c r="C264" s="87"/>
      <c r="D264" s="87"/>
      <c r="E264" s="87"/>
      <c r="F264" s="87"/>
      <c r="G264" s="87"/>
      <c r="H264" s="87"/>
      <c r="I264" s="87"/>
      <c r="J264" s="2"/>
      <c r="K264" s="2"/>
      <c r="L264" s="94" t="str">
        <f>IF(B264="","", VLOOKUP(B264,RM!$C$4:$G984,10,FALSE))</f>
        <v/>
      </c>
      <c r="M264" s="94" t="str">
        <f>IF(B264="","", VLOOKUP(B264,RM!$C$4:$G984,11,FALSE))</f>
        <v/>
      </c>
      <c r="N264" s="95" t="str">
        <f>IF(B264="","", VLOOKUP(B264,RM!$C$4:$G984,12,FALSE))</f>
        <v/>
      </c>
    </row>
    <row r="265" spans="1:14">
      <c r="A265" s="87" t="str">
        <f t="shared" si="1"/>
        <v/>
      </c>
      <c r="B265" s="2"/>
      <c r="C265" s="87"/>
      <c r="D265" s="87"/>
      <c r="E265" s="87"/>
      <c r="F265" s="87"/>
      <c r="G265" s="87"/>
      <c r="H265" s="87"/>
      <c r="I265" s="87"/>
      <c r="J265" s="2"/>
      <c r="K265" s="2"/>
      <c r="L265" s="94" t="str">
        <f>IF(B265="","", VLOOKUP(B265,RM!$C$4:$G984,10,FALSE))</f>
        <v/>
      </c>
      <c r="M265" s="94" t="str">
        <f>IF(B265="","", VLOOKUP(B265,RM!$C$4:$G984,11,FALSE))</f>
        <v/>
      </c>
      <c r="N265" s="95" t="str">
        <f>IF(B265="","", VLOOKUP(B265,RM!$C$4:$G984,12,FALSE))</f>
        <v/>
      </c>
    </row>
    <row r="266" spans="1:14">
      <c r="A266" s="87" t="str">
        <f t="shared" si="1"/>
        <v/>
      </c>
      <c r="B266" s="2"/>
      <c r="C266" s="87"/>
      <c r="D266" s="87"/>
      <c r="E266" s="87"/>
      <c r="F266" s="87"/>
      <c r="G266" s="87"/>
      <c r="H266" s="87"/>
      <c r="I266" s="87"/>
      <c r="J266" s="2"/>
      <c r="K266" s="2"/>
      <c r="L266" s="94" t="str">
        <f>IF(B266="","", VLOOKUP(B266,RM!$C$4:$G984,10,FALSE))</f>
        <v/>
      </c>
      <c r="M266" s="94" t="str">
        <f>IF(B266="","", VLOOKUP(B266,RM!$C$4:$G984,11,FALSE))</f>
        <v/>
      </c>
      <c r="N266" s="95" t="str">
        <f>IF(B266="","", VLOOKUP(B266,RM!$C$4:$G984,12,FALSE))</f>
        <v/>
      </c>
    </row>
    <row r="267" spans="1:14">
      <c r="A267" s="87" t="str">
        <f t="shared" si="1"/>
        <v/>
      </c>
      <c r="B267" s="2"/>
      <c r="C267" s="87"/>
      <c r="D267" s="87"/>
      <c r="E267" s="87"/>
      <c r="F267" s="87"/>
      <c r="G267" s="87"/>
      <c r="H267" s="87"/>
      <c r="I267" s="87"/>
      <c r="J267" s="2"/>
      <c r="K267" s="2"/>
      <c r="L267" s="94" t="str">
        <f>IF(B267="","", VLOOKUP(B267,RM!$C$4:$G984,10,FALSE))</f>
        <v/>
      </c>
      <c r="M267" s="94" t="str">
        <f>IF(B267="","", VLOOKUP(B267,RM!$C$4:$G984,11,FALSE))</f>
        <v/>
      </c>
      <c r="N267" s="95" t="str">
        <f>IF(B267="","", VLOOKUP(B267,RM!$C$4:$G984,12,FALSE))</f>
        <v/>
      </c>
    </row>
    <row r="268" spans="1:14">
      <c r="A268" s="87" t="str">
        <f t="shared" si="1"/>
        <v/>
      </c>
      <c r="B268" s="2"/>
      <c r="C268" s="87"/>
      <c r="D268" s="87"/>
      <c r="E268" s="87"/>
      <c r="F268" s="87"/>
      <c r="G268" s="87"/>
      <c r="H268" s="87"/>
      <c r="I268" s="87"/>
      <c r="J268" s="2"/>
      <c r="K268" s="2"/>
      <c r="L268" s="94" t="str">
        <f>IF(B268="","", VLOOKUP(B268,RM!$C$4:$G984,10,FALSE))</f>
        <v/>
      </c>
      <c r="M268" s="94" t="str">
        <f>IF(B268="","", VLOOKUP(B268,RM!$C$4:$G984,11,FALSE))</f>
        <v/>
      </c>
      <c r="N268" s="95" t="str">
        <f>IF(B268="","", VLOOKUP(B268,RM!$C$4:$G984,12,FALSE))</f>
        <v/>
      </c>
    </row>
    <row r="269" spans="1:14">
      <c r="A269" s="87" t="str">
        <f t="shared" si="1"/>
        <v/>
      </c>
      <c r="B269" s="2"/>
      <c r="C269" s="87"/>
      <c r="D269" s="87"/>
      <c r="E269" s="87"/>
      <c r="F269" s="87"/>
      <c r="G269" s="87"/>
      <c r="H269" s="87"/>
      <c r="I269" s="87"/>
      <c r="J269" s="2"/>
      <c r="K269" s="2"/>
      <c r="L269" s="94" t="str">
        <f>IF(B269="","", VLOOKUP(B269,RM!$C$4:$G984,10,FALSE))</f>
        <v/>
      </c>
      <c r="M269" s="94" t="str">
        <f>IF(B269="","", VLOOKUP(B269,RM!$C$4:$G984,11,FALSE))</f>
        <v/>
      </c>
      <c r="N269" s="95" t="str">
        <f>IF(B269="","", VLOOKUP(B269,RM!$C$4:$G984,12,FALSE))</f>
        <v/>
      </c>
    </row>
    <row r="270" spans="1:14">
      <c r="A270" s="87" t="str">
        <f t="shared" si="1"/>
        <v/>
      </c>
      <c r="B270" s="2"/>
      <c r="C270" s="87"/>
      <c r="D270" s="87"/>
      <c r="E270" s="87"/>
      <c r="F270" s="87"/>
      <c r="G270" s="87"/>
      <c r="H270" s="87"/>
      <c r="I270" s="87"/>
      <c r="J270" s="2"/>
      <c r="K270" s="2"/>
      <c r="L270" s="94" t="str">
        <f>IF(B270="","", VLOOKUP(B270,RM!$C$4:$G984,10,FALSE))</f>
        <v/>
      </c>
      <c r="M270" s="94" t="str">
        <f>IF(B270="","", VLOOKUP(B270,RM!$C$4:$G984,11,FALSE))</f>
        <v/>
      </c>
      <c r="N270" s="95" t="str">
        <f>IF(B270="","", VLOOKUP(B270,RM!$C$4:$G984,12,FALSE))</f>
        <v/>
      </c>
    </row>
    <row r="271" spans="1:14">
      <c r="A271" s="87" t="str">
        <f t="shared" si="1"/>
        <v/>
      </c>
      <c r="B271" s="2"/>
      <c r="C271" s="87"/>
      <c r="D271" s="87"/>
      <c r="E271" s="87"/>
      <c r="F271" s="87"/>
      <c r="G271" s="87"/>
      <c r="H271" s="87"/>
      <c r="I271" s="87"/>
      <c r="J271" s="2"/>
      <c r="K271" s="2"/>
      <c r="L271" s="94" t="str">
        <f>IF(B271="","", VLOOKUP(B271,RM!$C$4:$G984,10,FALSE))</f>
        <v/>
      </c>
      <c r="M271" s="94" t="str">
        <f>IF(B271="","", VLOOKUP(B271,RM!$C$4:$G984,11,FALSE))</f>
        <v/>
      </c>
      <c r="N271" s="95" t="str">
        <f>IF(B271="","", VLOOKUP(B271,RM!$C$4:$G984,12,FALSE))</f>
        <v/>
      </c>
    </row>
    <row r="272" spans="1:14">
      <c r="A272" s="87" t="str">
        <f t="shared" si="1"/>
        <v/>
      </c>
      <c r="B272" s="2"/>
      <c r="C272" s="87"/>
      <c r="D272" s="87"/>
      <c r="E272" s="87"/>
      <c r="F272" s="87"/>
      <c r="G272" s="87"/>
      <c r="H272" s="87"/>
      <c r="I272" s="87"/>
      <c r="J272" s="2"/>
      <c r="K272" s="2"/>
      <c r="L272" s="94" t="str">
        <f>IF(B272="","", VLOOKUP(B272,RM!$C$4:$G984,10,FALSE))</f>
        <v/>
      </c>
      <c r="M272" s="94" t="str">
        <f>IF(B272="","", VLOOKUP(B272,RM!$C$4:$G984,11,FALSE))</f>
        <v/>
      </c>
      <c r="N272" s="95" t="str">
        <f>IF(B272="","", VLOOKUP(B272,RM!$C$4:$G984,12,FALSE))</f>
        <v/>
      </c>
    </row>
    <row r="273" spans="1:14">
      <c r="A273" s="87" t="str">
        <f t="shared" si="1"/>
        <v/>
      </c>
      <c r="B273" s="2"/>
      <c r="C273" s="87"/>
      <c r="D273" s="87"/>
      <c r="E273" s="87"/>
      <c r="F273" s="87"/>
      <c r="G273" s="87"/>
      <c r="H273" s="87"/>
      <c r="I273" s="87"/>
      <c r="J273" s="2"/>
      <c r="K273" s="2"/>
      <c r="L273" s="94" t="str">
        <f>IF(B273="","", VLOOKUP(B273,RM!$C$4:$G984,10,FALSE))</f>
        <v/>
      </c>
      <c r="M273" s="94" t="str">
        <f>IF(B273="","", VLOOKUP(B273,RM!$C$4:$G984,11,FALSE))</f>
        <v/>
      </c>
      <c r="N273" s="95" t="str">
        <f>IF(B273="","", VLOOKUP(B273,RM!$C$4:$G984,12,FALSE))</f>
        <v/>
      </c>
    </row>
    <row r="274" spans="1:14">
      <c r="A274" s="87" t="str">
        <f t="shared" si="1"/>
        <v/>
      </c>
      <c r="B274" s="2"/>
      <c r="C274" s="87"/>
      <c r="D274" s="87"/>
      <c r="E274" s="87"/>
      <c r="F274" s="87"/>
      <c r="G274" s="87"/>
      <c r="H274" s="87"/>
      <c r="I274" s="87"/>
      <c r="J274" s="2"/>
      <c r="K274" s="2"/>
      <c r="L274" s="94" t="str">
        <f>IF(B274="","", VLOOKUP(B274,RM!$C$4:$G984,10,FALSE))</f>
        <v/>
      </c>
      <c r="M274" s="94" t="str">
        <f>IF(B274="","", VLOOKUP(B274,RM!$C$4:$G984,11,FALSE))</f>
        <v/>
      </c>
      <c r="N274" s="95" t="str">
        <f>IF(B274="","", VLOOKUP(B274,RM!$C$4:$G984,12,FALSE))</f>
        <v/>
      </c>
    </row>
    <row r="275" spans="1:14">
      <c r="A275" s="87" t="str">
        <f t="shared" si="1"/>
        <v/>
      </c>
      <c r="B275" s="2"/>
      <c r="C275" s="87"/>
      <c r="D275" s="87"/>
      <c r="E275" s="87"/>
      <c r="F275" s="87"/>
      <c r="G275" s="87"/>
      <c r="H275" s="87"/>
      <c r="I275" s="87"/>
      <c r="J275" s="2"/>
      <c r="K275" s="2"/>
      <c r="L275" s="94" t="str">
        <f>IF(B275="","", VLOOKUP(B275,RM!$C$4:$G984,10,FALSE))</f>
        <v/>
      </c>
      <c r="M275" s="94" t="str">
        <f>IF(B275="","", VLOOKUP(B275,RM!$C$4:$G984,11,FALSE))</f>
        <v/>
      </c>
      <c r="N275" s="95" t="str">
        <f>IF(B275="","", VLOOKUP(B275,RM!$C$4:$G984,12,FALSE))</f>
        <v/>
      </c>
    </row>
    <row r="276" spans="1:14">
      <c r="A276" s="87" t="str">
        <f t="shared" si="1"/>
        <v/>
      </c>
      <c r="B276" s="2"/>
      <c r="C276" s="87"/>
      <c r="D276" s="87"/>
      <c r="E276" s="87"/>
      <c r="F276" s="87"/>
      <c r="G276" s="87"/>
      <c r="H276" s="87"/>
      <c r="I276" s="87"/>
      <c r="J276" s="2"/>
      <c r="K276" s="2"/>
      <c r="L276" s="94" t="str">
        <f>IF(B276="","", VLOOKUP(B276,RM!$C$4:$G984,10,FALSE))</f>
        <v/>
      </c>
      <c r="M276" s="94" t="str">
        <f>IF(B276="","", VLOOKUP(B276,RM!$C$4:$G984,11,FALSE))</f>
        <v/>
      </c>
      <c r="N276" s="95" t="str">
        <f>IF(B276="","", VLOOKUP(B276,RM!$C$4:$G984,12,FALSE))</f>
        <v/>
      </c>
    </row>
    <row r="277" spans="1:14">
      <c r="A277" s="87" t="str">
        <f t="shared" si="1"/>
        <v/>
      </c>
      <c r="B277" s="2"/>
      <c r="C277" s="87"/>
      <c r="D277" s="87"/>
      <c r="E277" s="87"/>
      <c r="F277" s="87"/>
      <c r="G277" s="87"/>
      <c r="H277" s="87"/>
      <c r="I277" s="87"/>
      <c r="J277" s="2"/>
      <c r="K277" s="2"/>
      <c r="L277" s="94" t="str">
        <f>IF(B277="","", VLOOKUP(B277,RM!$C$4:$G984,10,FALSE))</f>
        <v/>
      </c>
      <c r="M277" s="94" t="str">
        <f>IF(B277="","", VLOOKUP(B277,RM!$C$4:$G984,11,FALSE))</f>
        <v/>
      </c>
      <c r="N277" s="95" t="str">
        <f>IF(B277="","", VLOOKUP(B277,RM!$C$4:$G984,12,FALSE))</f>
        <v/>
      </c>
    </row>
    <row r="278" spans="1:14">
      <c r="A278" s="87" t="str">
        <f t="shared" si="1"/>
        <v/>
      </c>
      <c r="B278" s="2"/>
      <c r="C278" s="87"/>
      <c r="D278" s="87"/>
      <c r="E278" s="87"/>
      <c r="F278" s="87"/>
      <c r="G278" s="87"/>
      <c r="H278" s="87"/>
      <c r="I278" s="87"/>
      <c r="J278" s="2"/>
      <c r="K278" s="2"/>
      <c r="L278" s="94" t="str">
        <f>IF(B278="","", VLOOKUP(B278,RM!$C$4:$G984,10,FALSE))</f>
        <v/>
      </c>
      <c r="M278" s="94" t="str">
        <f>IF(B278="","", VLOOKUP(B278,RM!$C$4:$G984,11,FALSE))</f>
        <v/>
      </c>
      <c r="N278" s="95" t="str">
        <f>IF(B278="","", VLOOKUP(B278,RM!$C$4:$G984,12,FALSE))</f>
        <v/>
      </c>
    </row>
    <row r="279" spans="1:14">
      <c r="A279" s="87" t="str">
        <f t="shared" si="1"/>
        <v/>
      </c>
      <c r="B279" s="2"/>
      <c r="C279" s="87"/>
      <c r="D279" s="87"/>
      <c r="E279" s="87"/>
      <c r="F279" s="87"/>
      <c r="G279" s="87"/>
      <c r="H279" s="87"/>
      <c r="I279" s="87"/>
      <c r="J279" s="2"/>
      <c r="K279" s="2"/>
      <c r="L279" s="94" t="str">
        <f>IF(B279="","", VLOOKUP(B279,RM!$C$4:$G984,10,FALSE))</f>
        <v/>
      </c>
      <c r="M279" s="94" t="str">
        <f>IF(B279="","", VLOOKUP(B279,RM!$C$4:$G984,11,FALSE))</f>
        <v/>
      </c>
      <c r="N279" s="95" t="str">
        <f>IF(B279="","", VLOOKUP(B279,RM!$C$4:$G984,12,FALSE))</f>
        <v/>
      </c>
    </row>
    <row r="280" spans="1:14">
      <c r="A280" s="87" t="str">
        <f t="shared" si="1"/>
        <v/>
      </c>
      <c r="B280" s="2"/>
      <c r="C280" s="87"/>
      <c r="D280" s="87"/>
      <c r="E280" s="87"/>
      <c r="F280" s="87"/>
      <c r="G280" s="87"/>
      <c r="H280" s="87"/>
      <c r="I280" s="87"/>
      <c r="J280" s="2"/>
      <c r="K280" s="2"/>
      <c r="L280" s="94" t="str">
        <f>IF(B280="","", VLOOKUP(B280,RM!$C$4:$G984,10,FALSE))</f>
        <v/>
      </c>
      <c r="M280" s="94" t="str">
        <f>IF(B280="","", VLOOKUP(B280,RM!$C$4:$G984,11,FALSE))</f>
        <v/>
      </c>
      <c r="N280" s="95" t="str">
        <f>IF(B280="","", VLOOKUP(B280,RM!$C$4:$G984,12,FALSE))</f>
        <v/>
      </c>
    </row>
    <row r="281" spans="1:14">
      <c r="A281" s="87" t="str">
        <f t="shared" si="1"/>
        <v/>
      </c>
      <c r="B281" s="2"/>
      <c r="C281" s="87"/>
      <c r="D281" s="87"/>
      <c r="E281" s="87"/>
      <c r="F281" s="87"/>
      <c r="G281" s="87"/>
      <c r="H281" s="87"/>
      <c r="I281" s="87"/>
      <c r="J281" s="2"/>
      <c r="K281" s="2"/>
      <c r="L281" s="94" t="str">
        <f>IF(B281="","", VLOOKUP(B281,RM!$C$4:$G984,10,FALSE))</f>
        <v/>
      </c>
      <c r="M281" s="94" t="str">
        <f>IF(B281="","", VLOOKUP(B281,RM!$C$4:$G984,11,FALSE))</f>
        <v/>
      </c>
      <c r="N281" s="95" t="str">
        <f>IF(B281="","", VLOOKUP(B281,RM!$C$4:$G984,12,FALSE))</f>
        <v/>
      </c>
    </row>
    <row r="282" spans="1:14">
      <c r="A282" s="87" t="str">
        <f t="shared" si="1"/>
        <v/>
      </c>
      <c r="B282" s="2"/>
      <c r="C282" s="87"/>
      <c r="D282" s="87"/>
      <c r="E282" s="87"/>
      <c r="F282" s="87"/>
      <c r="G282" s="87"/>
      <c r="H282" s="87"/>
      <c r="I282" s="87"/>
      <c r="J282" s="2"/>
      <c r="K282" s="2"/>
      <c r="L282" s="94" t="str">
        <f>IF(B282="","", VLOOKUP(B282,RM!$C$4:$G984,10,FALSE))</f>
        <v/>
      </c>
      <c r="M282" s="94" t="str">
        <f>IF(B282="","", VLOOKUP(B282,RM!$C$4:$G984,11,FALSE))</f>
        <v/>
      </c>
      <c r="N282" s="95" t="str">
        <f>IF(B282="","", VLOOKUP(B282,RM!$C$4:$G984,12,FALSE))</f>
        <v/>
      </c>
    </row>
    <row r="283" spans="1:14">
      <c r="A283" s="87" t="str">
        <f t="shared" si="1"/>
        <v/>
      </c>
      <c r="B283" s="2"/>
      <c r="C283" s="87"/>
      <c r="D283" s="87"/>
      <c r="E283" s="87"/>
      <c r="F283" s="87"/>
      <c r="G283" s="87"/>
      <c r="H283" s="87"/>
      <c r="I283" s="87"/>
      <c r="J283" s="2"/>
      <c r="K283" s="2"/>
      <c r="L283" s="94" t="str">
        <f>IF(B283="","", VLOOKUP(B283,RM!$C$4:$G984,10,FALSE))</f>
        <v/>
      </c>
      <c r="M283" s="94" t="str">
        <f>IF(B283="","", VLOOKUP(B283,RM!$C$4:$G984,11,FALSE))</f>
        <v/>
      </c>
      <c r="N283" s="95" t="str">
        <f>IF(B283="","", VLOOKUP(B283,RM!$C$4:$G984,12,FALSE))</f>
        <v/>
      </c>
    </row>
    <row r="284" spans="1:14">
      <c r="A284" s="87" t="str">
        <f t="shared" si="1"/>
        <v/>
      </c>
      <c r="B284" s="2"/>
      <c r="C284" s="87"/>
      <c r="D284" s="87"/>
      <c r="E284" s="87"/>
      <c r="F284" s="87"/>
      <c r="G284" s="87"/>
      <c r="H284" s="87"/>
      <c r="I284" s="87"/>
      <c r="J284" s="2"/>
      <c r="K284" s="2"/>
      <c r="L284" s="94" t="str">
        <f>IF(B284="","", VLOOKUP(B284,RM!$C$4:$G984,10,FALSE))</f>
        <v/>
      </c>
      <c r="M284" s="94" t="str">
        <f>IF(B284="","", VLOOKUP(B284,RM!$C$4:$G984,11,FALSE))</f>
        <v/>
      </c>
      <c r="N284" s="95" t="str">
        <f>IF(B284="","", VLOOKUP(B284,RM!$C$4:$G984,12,FALSE))</f>
        <v/>
      </c>
    </row>
    <row r="285" spans="1:14">
      <c r="A285" s="87" t="str">
        <f t="shared" si="1"/>
        <v/>
      </c>
      <c r="B285" s="2"/>
      <c r="C285" s="87"/>
      <c r="D285" s="87"/>
      <c r="E285" s="87"/>
      <c r="F285" s="87"/>
      <c r="G285" s="87"/>
      <c r="H285" s="87"/>
      <c r="I285" s="87"/>
      <c r="J285" s="2"/>
      <c r="K285" s="2"/>
      <c r="L285" s="94" t="str">
        <f>IF(B285="","", VLOOKUP(B285,RM!$C$4:$G984,10,FALSE))</f>
        <v/>
      </c>
      <c r="M285" s="94" t="str">
        <f>IF(B285="","", VLOOKUP(B285,RM!$C$4:$G984,11,FALSE))</f>
        <v/>
      </c>
      <c r="N285" s="95" t="str">
        <f>IF(B285="","", VLOOKUP(B285,RM!$C$4:$G984,12,FALSE))</f>
        <v/>
      </c>
    </row>
    <row r="286" spans="1:14">
      <c r="A286" s="87" t="str">
        <f t="shared" si="1"/>
        <v/>
      </c>
      <c r="B286" s="2"/>
      <c r="C286" s="87"/>
      <c r="D286" s="87"/>
      <c r="E286" s="87"/>
      <c r="F286" s="87"/>
      <c r="G286" s="87"/>
      <c r="H286" s="87"/>
      <c r="I286" s="87"/>
      <c r="J286" s="2"/>
      <c r="K286" s="2"/>
      <c r="L286" s="94" t="str">
        <f>IF(B286="","", VLOOKUP(B286,RM!$C$4:$G984,10,FALSE))</f>
        <v/>
      </c>
      <c r="M286" s="94" t="str">
        <f>IF(B286="","", VLOOKUP(B286,RM!$C$4:$G984,11,FALSE))</f>
        <v/>
      </c>
      <c r="N286" s="95" t="str">
        <f>IF(B286="","", VLOOKUP(B286,RM!$C$4:$G984,12,FALSE))</f>
        <v/>
      </c>
    </row>
    <row r="287" spans="1:14">
      <c r="A287" s="87" t="str">
        <f t="shared" si="1"/>
        <v/>
      </c>
      <c r="B287" s="2"/>
      <c r="C287" s="87"/>
      <c r="D287" s="87"/>
      <c r="E287" s="87"/>
      <c r="F287" s="87"/>
      <c r="G287" s="87"/>
      <c r="H287" s="87"/>
      <c r="I287" s="87"/>
      <c r="J287" s="2"/>
      <c r="K287" s="2"/>
      <c r="L287" s="94" t="str">
        <f>IF(B287="","", VLOOKUP(B287,RM!$C$4:$G984,10,FALSE))</f>
        <v/>
      </c>
      <c r="M287" s="94" t="str">
        <f>IF(B287="","", VLOOKUP(B287,RM!$C$4:$G984,11,FALSE))</f>
        <v/>
      </c>
      <c r="N287" s="95" t="str">
        <f>IF(B287="","", VLOOKUP(B287,RM!$C$4:$G984,12,FALSE))</f>
        <v/>
      </c>
    </row>
    <row r="288" spans="1:14">
      <c r="A288" s="87" t="str">
        <f t="shared" si="1"/>
        <v/>
      </c>
      <c r="B288" s="2"/>
      <c r="C288" s="87"/>
      <c r="D288" s="87"/>
      <c r="E288" s="87"/>
      <c r="F288" s="87"/>
      <c r="G288" s="87"/>
      <c r="H288" s="87"/>
      <c r="I288" s="87"/>
      <c r="J288" s="2"/>
      <c r="K288" s="2"/>
      <c r="L288" s="94" t="str">
        <f>IF(B288="","", VLOOKUP(B288,RM!$C$4:$G984,10,FALSE))</f>
        <v/>
      </c>
      <c r="M288" s="94" t="str">
        <f>IF(B288="","", VLOOKUP(B288,RM!$C$4:$G984,11,FALSE))</f>
        <v/>
      </c>
      <c r="N288" s="95" t="str">
        <f>IF(B288="","", VLOOKUP(B288,RM!$C$4:$G984,12,FALSE))</f>
        <v/>
      </c>
    </row>
    <row r="289" spans="1:14">
      <c r="A289" s="87" t="str">
        <f t="shared" si="1"/>
        <v/>
      </c>
      <c r="B289" s="2"/>
      <c r="C289" s="87"/>
      <c r="D289" s="87"/>
      <c r="E289" s="87"/>
      <c r="F289" s="87"/>
      <c r="G289" s="87"/>
      <c r="H289" s="87"/>
      <c r="I289" s="87"/>
      <c r="J289" s="2"/>
      <c r="K289" s="2"/>
      <c r="L289" s="94" t="str">
        <f>IF(B289="","", VLOOKUP(B289,RM!$C$4:$G984,10,FALSE))</f>
        <v/>
      </c>
      <c r="M289" s="94" t="str">
        <f>IF(B289="","", VLOOKUP(B289,RM!$C$4:$G984,11,FALSE))</f>
        <v/>
      </c>
      <c r="N289" s="95" t="str">
        <f>IF(B289="","", VLOOKUP(B289,RM!$C$4:$G984,12,FALSE))</f>
        <v/>
      </c>
    </row>
    <row r="290" spans="1:14">
      <c r="A290" s="87" t="str">
        <f t="shared" si="1"/>
        <v/>
      </c>
      <c r="B290" s="2"/>
      <c r="C290" s="87"/>
      <c r="D290" s="87"/>
      <c r="E290" s="87"/>
      <c r="F290" s="87"/>
      <c r="G290" s="87"/>
      <c r="H290" s="87"/>
      <c r="I290" s="87"/>
      <c r="J290" s="2"/>
      <c r="K290" s="2"/>
      <c r="L290" s="94" t="str">
        <f>IF(B290="","", VLOOKUP(B290,RM!$C$4:$G984,10,FALSE))</f>
        <v/>
      </c>
      <c r="M290" s="94" t="str">
        <f>IF(B290="","", VLOOKUP(B290,RM!$C$4:$G984,11,FALSE))</f>
        <v/>
      </c>
      <c r="N290" s="95" t="str">
        <f>IF(B290="","", VLOOKUP(B290,RM!$C$4:$G984,12,FALSE))</f>
        <v/>
      </c>
    </row>
    <row r="291" spans="1:14">
      <c r="A291" s="87" t="str">
        <f t="shared" si="1"/>
        <v/>
      </c>
      <c r="B291" s="2"/>
      <c r="C291" s="87"/>
      <c r="D291" s="87"/>
      <c r="E291" s="87"/>
      <c r="F291" s="87"/>
      <c r="G291" s="87"/>
      <c r="H291" s="87"/>
      <c r="I291" s="87"/>
      <c r="J291" s="2"/>
      <c r="K291" s="2"/>
      <c r="L291" s="94" t="str">
        <f>IF(B291="","", VLOOKUP(B291,RM!$C$4:$G984,10,FALSE))</f>
        <v/>
      </c>
      <c r="M291" s="94" t="str">
        <f>IF(B291="","", VLOOKUP(B291,RM!$C$4:$G984,11,FALSE))</f>
        <v/>
      </c>
      <c r="N291" s="95" t="str">
        <f>IF(B291="","", VLOOKUP(B291,RM!$C$4:$G984,12,FALSE))</f>
        <v/>
      </c>
    </row>
    <row r="292" spans="1:14">
      <c r="A292" s="87" t="str">
        <f t="shared" si="1"/>
        <v/>
      </c>
      <c r="B292" s="2"/>
      <c r="C292" s="87"/>
      <c r="D292" s="87"/>
      <c r="E292" s="87"/>
      <c r="F292" s="87"/>
      <c r="G292" s="87"/>
      <c r="H292" s="87"/>
      <c r="I292" s="87"/>
      <c r="J292" s="2"/>
      <c r="K292" s="2"/>
      <c r="L292" s="94" t="str">
        <f>IF(B292="","", VLOOKUP(B292,RM!$C$4:$G984,10,FALSE))</f>
        <v/>
      </c>
      <c r="M292" s="94" t="str">
        <f>IF(B292="","", VLOOKUP(B292,RM!$C$4:$G984,11,FALSE))</f>
        <v/>
      </c>
      <c r="N292" s="95" t="str">
        <f>IF(B292="","", VLOOKUP(B292,RM!$C$4:$G984,12,FALSE))</f>
        <v/>
      </c>
    </row>
    <row r="293" spans="1:14">
      <c r="A293" s="87" t="str">
        <f t="shared" si="1"/>
        <v/>
      </c>
      <c r="B293" s="2"/>
      <c r="C293" s="87"/>
      <c r="D293" s="87"/>
      <c r="E293" s="87"/>
      <c r="F293" s="87"/>
      <c r="G293" s="87"/>
      <c r="H293" s="87"/>
      <c r="I293" s="87"/>
      <c r="J293" s="2"/>
      <c r="K293" s="2"/>
      <c r="L293" s="94" t="str">
        <f>IF(B293="","", VLOOKUP(B293,RM!$C$4:$G984,10,FALSE))</f>
        <v/>
      </c>
      <c r="M293" s="94" t="str">
        <f>IF(B293="","", VLOOKUP(B293,RM!$C$4:$G984,11,FALSE))</f>
        <v/>
      </c>
      <c r="N293" s="95" t="str">
        <f>IF(B293="","", VLOOKUP(B293,RM!$C$4:$G984,12,FALSE))</f>
        <v/>
      </c>
    </row>
    <row r="294" spans="1:14">
      <c r="A294" s="87" t="str">
        <f t="shared" si="1"/>
        <v/>
      </c>
      <c r="B294" s="2"/>
      <c r="C294" s="87"/>
      <c r="D294" s="87"/>
      <c r="E294" s="87"/>
      <c r="F294" s="87"/>
      <c r="G294" s="87"/>
      <c r="H294" s="87"/>
      <c r="I294" s="87"/>
      <c r="J294" s="2"/>
      <c r="K294" s="2"/>
      <c r="L294" s="94" t="str">
        <f>IF(B294="","", VLOOKUP(B294,RM!$C$4:$G984,10,FALSE))</f>
        <v/>
      </c>
      <c r="M294" s="94" t="str">
        <f>IF(B294="","", VLOOKUP(B294,RM!$C$4:$G984,11,FALSE))</f>
        <v/>
      </c>
      <c r="N294" s="95" t="str">
        <f>IF(B294="","", VLOOKUP(B294,RM!$C$4:$G984,12,FALSE))</f>
        <v/>
      </c>
    </row>
    <row r="295" spans="1:14">
      <c r="A295" s="87" t="str">
        <f t="shared" si="1"/>
        <v/>
      </c>
      <c r="B295" s="2"/>
      <c r="C295" s="87"/>
      <c r="D295" s="87"/>
      <c r="E295" s="87"/>
      <c r="F295" s="87"/>
      <c r="G295" s="87"/>
      <c r="H295" s="87"/>
      <c r="I295" s="87"/>
      <c r="J295" s="2"/>
      <c r="K295" s="2"/>
      <c r="L295" s="94" t="str">
        <f>IF(B295="","", VLOOKUP(B295,RM!$C$4:$G984,10,FALSE))</f>
        <v/>
      </c>
      <c r="M295" s="94" t="str">
        <f>IF(B295="","", VLOOKUP(B295,RM!$C$4:$G984,11,FALSE))</f>
        <v/>
      </c>
      <c r="N295" s="95" t="str">
        <f>IF(B295="","", VLOOKUP(B295,RM!$C$4:$G984,12,FALSE))</f>
        <v/>
      </c>
    </row>
    <row r="296" spans="1:14">
      <c r="A296" s="87" t="str">
        <f t="shared" si="1"/>
        <v/>
      </c>
      <c r="B296" s="2"/>
      <c r="C296" s="87"/>
      <c r="D296" s="87"/>
      <c r="E296" s="87"/>
      <c r="F296" s="87"/>
      <c r="G296" s="87"/>
      <c r="H296" s="87"/>
      <c r="I296" s="87"/>
      <c r="J296" s="2"/>
      <c r="K296" s="2"/>
      <c r="L296" s="94" t="str">
        <f>IF(B296="","", VLOOKUP(B296,RM!$C$4:$G984,10,FALSE))</f>
        <v/>
      </c>
      <c r="M296" s="94" t="str">
        <f>IF(B296="","", VLOOKUP(B296,RM!$C$4:$G984,11,FALSE))</f>
        <v/>
      </c>
      <c r="N296" s="95" t="str">
        <f>IF(B296="","", VLOOKUP(B296,RM!$C$4:$G984,12,FALSE))</f>
        <v/>
      </c>
    </row>
    <row r="297" spans="1:14">
      <c r="A297" s="87" t="str">
        <f t="shared" si="1"/>
        <v/>
      </c>
      <c r="B297" s="2"/>
      <c r="C297" s="87"/>
      <c r="D297" s="87"/>
      <c r="E297" s="87"/>
      <c r="F297" s="87"/>
      <c r="G297" s="87"/>
      <c r="H297" s="87"/>
      <c r="I297" s="87"/>
      <c r="J297" s="2"/>
      <c r="K297" s="2"/>
      <c r="L297" s="94" t="str">
        <f>IF(B297="","", VLOOKUP(B297,RM!$C$4:$G984,10,FALSE))</f>
        <v/>
      </c>
      <c r="M297" s="94" t="str">
        <f>IF(B297="","", VLOOKUP(B297,RM!$C$4:$G984,11,FALSE))</f>
        <v/>
      </c>
      <c r="N297" s="95" t="str">
        <f>IF(B297="","", VLOOKUP(B297,RM!$C$4:$G984,12,FALSE))</f>
        <v/>
      </c>
    </row>
    <row r="298" spans="1:14">
      <c r="A298" s="87" t="str">
        <f t="shared" si="1"/>
        <v/>
      </c>
      <c r="B298" s="2"/>
      <c r="C298" s="87"/>
      <c r="D298" s="87"/>
      <c r="E298" s="87"/>
      <c r="F298" s="87"/>
      <c r="G298" s="87"/>
      <c r="H298" s="87"/>
      <c r="I298" s="87"/>
      <c r="J298" s="2"/>
      <c r="K298" s="2"/>
      <c r="L298" s="94" t="str">
        <f>IF(B298="","", VLOOKUP(B298,RM!$C$4:$G984,10,FALSE))</f>
        <v/>
      </c>
      <c r="M298" s="94" t="str">
        <f>IF(B298="","", VLOOKUP(B298,RM!$C$4:$G984,11,FALSE))</f>
        <v/>
      </c>
      <c r="N298" s="95" t="str">
        <f>IF(B298="","", VLOOKUP(B298,RM!$C$4:$G984,12,FALSE))</f>
        <v/>
      </c>
    </row>
    <row r="299" spans="1:14">
      <c r="A299" s="87" t="str">
        <f t="shared" si="1"/>
        <v/>
      </c>
      <c r="B299" s="2"/>
      <c r="C299" s="87"/>
      <c r="D299" s="87"/>
      <c r="E299" s="87"/>
      <c r="F299" s="87"/>
      <c r="G299" s="87"/>
      <c r="H299" s="87"/>
      <c r="I299" s="87"/>
      <c r="J299" s="2"/>
      <c r="K299" s="2"/>
      <c r="L299" s="94" t="str">
        <f>IF(B299="","", VLOOKUP(B299,RM!$C$4:$G984,10,FALSE))</f>
        <v/>
      </c>
      <c r="M299" s="94" t="str">
        <f>IF(B299="","", VLOOKUP(B299,RM!$C$4:$G984,11,FALSE))</f>
        <v/>
      </c>
      <c r="N299" s="95" t="str">
        <f>IF(B299="","", VLOOKUP(B299,RM!$C$4:$G984,12,FALSE))</f>
        <v/>
      </c>
    </row>
    <row r="300" spans="1:14">
      <c r="A300" s="87" t="str">
        <f t="shared" si="1"/>
        <v/>
      </c>
      <c r="B300" s="2"/>
      <c r="C300" s="87"/>
      <c r="D300" s="87"/>
      <c r="E300" s="87"/>
      <c r="F300" s="87"/>
      <c r="G300" s="87"/>
      <c r="H300" s="87"/>
      <c r="I300" s="87"/>
      <c r="J300" s="2"/>
      <c r="K300" s="2"/>
      <c r="L300" s="94" t="str">
        <f>IF(B300="","", VLOOKUP(B300,RM!$C$4:$G984,10,FALSE))</f>
        <v/>
      </c>
      <c r="M300" s="94" t="str">
        <f>IF(B300="","", VLOOKUP(B300,RM!$C$4:$G984,11,FALSE))</f>
        <v/>
      </c>
      <c r="N300" s="95" t="str">
        <f>IF(B300="","", VLOOKUP(B300,RM!$C$4:$G984,12,FALSE))</f>
        <v/>
      </c>
    </row>
    <row r="301" spans="1:14">
      <c r="A301" s="87" t="str">
        <f t="shared" si="1"/>
        <v/>
      </c>
      <c r="B301" s="2"/>
      <c r="C301" s="87"/>
      <c r="D301" s="87"/>
      <c r="E301" s="87"/>
      <c r="F301" s="87"/>
      <c r="G301" s="87"/>
      <c r="H301" s="87"/>
      <c r="I301" s="87"/>
      <c r="J301" s="2"/>
      <c r="K301" s="2"/>
      <c r="L301" s="94" t="str">
        <f>IF(B301="","", VLOOKUP(B301,RM!$C$4:$G984,10,FALSE))</f>
        <v/>
      </c>
      <c r="M301" s="94" t="str">
        <f>IF(B301="","", VLOOKUP(B301,RM!$C$4:$G984,11,FALSE))</f>
        <v/>
      </c>
      <c r="N301" s="95" t="str">
        <f>IF(B301="","", VLOOKUP(B301,RM!$C$4:$G984,12,FALSE))</f>
        <v/>
      </c>
    </row>
    <row r="302" spans="1:14">
      <c r="A302" s="87" t="str">
        <f t="shared" si="1"/>
        <v/>
      </c>
      <c r="B302" s="2"/>
      <c r="C302" s="87"/>
      <c r="D302" s="87"/>
      <c r="E302" s="87"/>
      <c r="F302" s="87"/>
      <c r="G302" s="87"/>
      <c r="H302" s="87"/>
      <c r="I302" s="87"/>
      <c r="J302" s="2"/>
      <c r="K302" s="2"/>
      <c r="L302" s="94" t="str">
        <f>IF(B302="","", VLOOKUP(B302,RM!$C$4:$G984,10,FALSE))</f>
        <v/>
      </c>
      <c r="M302" s="94" t="str">
        <f>IF(B302="","", VLOOKUP(B302,RM!$C$4:$G984,11,FALSE))</f>
        <v/>
      </c>
      <c r="N302" s="95" t="str">
        <f>IF(B302="","", VLOOKUP(B302,RM!$C$4:$G984,12,FALSE))</f>
        <v/>
      </c>
    </row>
    <row r="303" spans="1:14">
      <c r="A303" s="87" t="str">
        <f t="shared" si="1"/>
        <v/>
      </c>
      <c r="B303" s="2"/>
      <c r="C303" s="87"/>
      <c r="D303" s="87"/>
      <c r="E303" s="87"/>
      <c r="F303" s="87"/>
      <c r="G303" s="87"/>
      <c r="H303" s="87"/>
      <c r="I303" s="87"/>
      <c r="J303" s="2"/>
      <c r="K303" s="2"/>
      <c r="L303" s="94" t="str">
        <f>IF(B303="","", VLOOKUP(B303,RM!$C$4:$G984,10,FALSE))</f>
        <v/>
      </c>
      <c r="M303" s="94" t="str">
        <f>IF(B303="","", VLOOKUP(B303,RM!$C$4:$G984,11,FALSE))</f>
        <v/>
      </c>
      <c r="N303" s="95" t="str">
        <f>IF(B303="","", VLOOKUP(B303,RM!$C$4:$G984,12,FALSE))</f>
        <v/>
      </c>
    </row>
    <row r="304" spans="1:14">
      <c r="A304" s="87" t="str">
        <f t="shared" si="1"/>
        <v/>
      </c>
      <c r="B304" s="2"/>
      <c r="C304" s="87"/>
      <c r="D304" s="87"/>
      <c r="E304" s="87"/>
      <c r="F304" s="87"/>
      <c r="G304" s="87"/>
      <c r="H304" s="87"/>
      <c r="I304" s="87"/>
      <c r="J304" s="2"/>
      <c r="K304" s="2"/>
      <c r="L304" s="94" t="str">
        <f>IF(B304="","", VLOOKUP(B304,RM!$C$4:$G984,10,FALSE))</f>
        <v/>
      </c>
      <c r="M304" s="94" t="str">
        <f>IF(B304="","", VLOOKUP(B304,RM!$C$4:$G984,11,FALSE))</f>
        <v/>
      </c>
      <c r="N304" s="95" t="str">
        <f>IF(B304="","", VLOOKUP(B304,RM!$C$4:$G984,12,FALSE))</f>
        <v/>
      </c>
    </row>
    <row r="305" spans="1:14">
      <c r="A305" s="87" t="str">
        <f t="shared" si="1"/>
        <v/>
      </c>
      <c r="B305" s="2"/>
      <c r="C305" s="87"/>
      <c r="D305" s="87"/>
      <c r="E305" s="87"/>
      <c r="F305" s="87"/>
      <c r="G305" s="87"/>
      <c r="H305" s="87"/>
      <c r="I305" s="87"/>
      <c r="J305" s="2"/>
      <c r="K305" s="2"/>
      <c r="L305" s="94" t="str">
        <f>IF(B305="","", VLOOKUP(B305,RM!$C$4:$G984,10,FALSE))</f>
        <v/>
      </c>
      <c r="M305" s="94" t="str">
        <f>IF(B305="","", VLOOKUP(B305,RM!$C$4:$G984,11,FALSE))</f>
        <v/>
      </c>
      <c r="N305" s="95" t="str">
        <f>IF(B305="","", VLOOKUP(B305,RM!$C$4:$G984,12,FALSE))</f>
        <v/>
      </c>
    </row>
    <row r="306" spans="1:14">
      <c r="A306" s="87" t="str">
        <f t="shared" si="1"/>
        <v/>
      </c>
      <c r="B306" s="2"/>
      <c r="C306" s="87"/>
      <c r="D306" s="87"/>
      <c r="E306" s="87"/>
      <c r="F306" s="87"/>
      <c r="G306" s="87"/>
      <c r="H306" s="87"/>
      <c r="I306" s="87"/>
      <c r="J306" s="2"/>
      <c r="K306" s="2"/>
      <c r="L306" s="94" t="str">
        <f>IF(B306="","", VLOOKUP(B306,RM!$C$4:$G984,10,FALSE))</f>
        <v/>
      </c>
      <c r="M306" s="94" t="str">
        <f>IF(B306="","", VLOOKUP(B306,RM!$C$4:$G984,11,FALSE))</f>
        <v/>
      </c>
      <c r="N306" s="95" t="str">
        <f>IF(B306="","", VLOOKUP(B306,RM!$C$4:$G984,12,FALSE))</f>
        <v/>
      </c>
    </row>
    <row r="307" spans="1:14">
      <c r="A307" s="87" t="str">
        <f t="shared" si="1"/>
        <v/>
      </c>
      <c r="B307" s="2"/>
      <c r="C307" s="87"/>
      <c r="D307" s="87"/>
      <c r="E307" s="87"/>
      <c r="F307" s="87"/>
      <c r="G307" s="87"/>
      <c r="H307" s="87"/>
      <c r="I307" s="87"/>
      <c r="J307" s="2"/>
      <c r="K307" s="2"/>
      <c r="L307" s="94" t="str">
        <f>IF(B307="","", VLOOKUP(B307,RM!$C$4:$G984,10,FALSE))</f>
        <v/>
      </c>
      <c r="M307" s="94" t="str">
        <f>IF(B307="","", VLOOKUP(B307,RM!$C$4:$G984,11,FALSE))</f>
        <v/>
      </c>
      <c r="N307" s="95" t="str">
        <f>IF(B307="","", VLOOKUP(B307,RM!$C$4:$G984,12,FALSE))</f>
        <v/>
      </c>
    </row>
    <row r="308" spans="1:14">
      <c r="A308" s="87" t="str">
        <f t="shared" si="1"/>
        <v/>
      </c>
      <c r="B308" s="2"/>
      <c r="C308" s="87"/>
      <c r="D308" s="87"/>
      <c r="E308" s="87"/>
      <c r="F308" s="87"/>
      <c r="G308" s="87"/>
      <c r="H308" s="87"/>
      <c r="I308" s="87"/>
      <c r="J308" s="2"/>
      <c r="K308" s="2"/>
      <c r="L308" s="94" t="str">
        <f>IF(B308="","", VLOOKUP(B308,RM!$C$4:$G984,10,FALSE))</f>
        <v/>
      </c>
      <c r="M308" s="94" t="str">
        <f>IF(B308="","", VLOOKUP(B308,RM!$C$4:$G984,11,FALSE))</f>
        <v/>
      </c>
      <c r="N308" s="95" t="str">
        <f>IF(B308="","", VLOOKUP(B308,RM!$C$4:$G984,12,FALSE))</f>
        <v/>
      </c>
    </row>
    <row r="309" spans="1:14">
      <c r="A309" s="87" t="str">
        <f t="shared" si="1"/>
        <v/>
      </c>
      <c r="B309" s="2"/>
      <c r="C309" s="87"/>
      <c r="D309" s="87"/>
      <c r="E309" s="87"/>
      <c r="F309" s="87"/>
      <c r="G309" s="87"/>
      <c r="H309" s="87"/>
      <c r="I309" s="87"/>
      <c r="J309" s="2"/>
      <c r="K309" s="2"/>
      <c r="L309" s="94" t="str">
        <f>IF(B309="","", VLOOKUP(B309,RM!$C$4:$G984,10,FALSE))</f>
        <v/>
      </c>
      <c r="M309" s="94" t="str">
        <f>IF(B309="","", VLOOKUP(B309,RM!$C$4:$G984,11,FALSE))</f>
        <v/>
      </c>
      <c r="N309" s="95" t="str">
        <f>IF(B309="","", VLOOKUP(B309,RM!$C$4:$G984,12,FALSE))</f>
        <v/>
      </c>
    </row>
    <row r="310" spans="1:14">
      <c r="A310" s="87" t="str">
        <f t="shared" si="1"/>
        <v/>
      </c>
      <c r="B310" s="2"/>
      <c r="C310" s="87"/>
      <c r="D310" s="87"/>
      <c r="E310" s="87"/>
      <c r="F310" s="87"/>
      <c r="G310" s="87"/>
      <c r="H310" s="87"/>
      <c r="I310" s="87"/>
      <c r="J310" s="2"/>
      <c r="K310" s="2"/>
      <c r="L310" s="94" t="str">
        <f>IF(B310="","", VLOOKUP(B310,RM!$C$4:$G984,10,FALSE))</f>
        <v/>
      </c>
      <c r="M310" s="94" t="str">
        <f>IF(B310="","", VLOOKUP(B310,RM!$C$4:$G984,11,FALSE))</f>
        <v/>
      </c>
      <c r="N310" s="95" t="str">
        <f>IF(B310="","", VLOOKUP(B310,RM!$C$4:$G984,12,FALSE))</f>
        <v/>
      </c>
    </row>
    <row r="311" spans="1:14">
      <c r="A311" s="87" t="str">
        <f t="shared" si="1"/>
        <v/>
      </c>
      <c r="B311" s="2"/>
      <c r="C311" s="87"/>
      <c r="D311" s="87"/>
      <c r="E311" s="87"/>
      <c r="F311" s="87"/>
      <c r="G311" s="87"/>
      <c r="H311" s="87"/>
      <c r="I311" s="87"/>
      <c r="J311" s="2"/>
      <c r="K311" s="2"/>
      <c r="L311" s="94" t="str">
        <f>IF(B311="","", VLOOKUP(B311,RM!$C$4:$G984,10,FALSE))</f>
        <v/>
      </c>
      <c r="M311" s="94" t="str">
        <f>IF(B311="","", VLOOKUP(B311,RM!$C$4:$G984,11,FALSE))</f>
        <v/>
      </c>
      <c r="N311" s="95" t="str">
        <f>IF(B311="","", VLOOKUP(B311,RM!$C$4:$G984,12,FALSE))</f>
        <v/>
      </c>
    </row>
    <row r="312" spans="1:14">
      <c r="A312" s="87" t="str">
        <f t="shared" si="1"/>
        <v/>
      </c>
      <c r="B312" s="2"/>
      <c r="C312" s="87"/>
      <c r="D312" s="87"/>
      <c r="E312" s="87"/>
      <c r="F312" s="87"/>
      <c r="G312" s="87"/>
      <c r="H312" s="87"/>
      <c r="I312" s="87"/>
      <c r="J312" s="2"/>
      <c r="K312" s="2"/>
      <c r="L312" s="94" t="str">
        <f>IF(B312="","", VLOOKUP(B312,RM!$C$4:$G984,10,FALSE))</f>
        <v/>
      </c>
      <c r="M312" s="94" t="str">
        <f>IF(B312="","", VLOOKUP(B312,RM!$C$4:$G984,11,FALSE))</f>
        <v/>
      </c>
      <c r="N312" s="95" t="str">
        <f>IF(B312="","", VLOOKUP(B312,RM!$C$4:$G984,12,FALSE))</f>
        <v/>
      </c>
    </row>
    <row r="313" spans="1:14">
      <c r="A313" s="87" t="str">
        <f t="shared" si="1"/>
        <v/>
      </c>
      <c r="B313" s="2"/>
      <c r="C313" s="87"/>
      <c r="D313" s="87"/>
      <c r="E313" s="87"/>
      <c r="F313" s="87"/>
      <c r="G313" s="87"/>
      <c r="H313" s="87"/>
      <c r="I313" s="87"/>
      <c r="J313" s="2"/>
      <c r="K313" s="2"/>
      <c r="L313" s="94" t="str">
        <f>IF(B313="","", VLOOKUP(B313,RM!$C$4:$G984,10,FALSE))</f>
        <v/>
      </c>
      <c r="M313" s="94" t="str">
        <f>IF(B313="","", VLOOKUP(B313,RM!$C$4:$G984,11,FALSE))</f>
        <v/>
      </c>
      <c r="N313" s="95" t="str">
        <f>IF(B313="","", VLOOKUP(B313,RM!$C$4:$G984,12,FALSE))</f>
        <v/>
      </c>
    </row>
    <row r="314" spans="1:14">
      <c r="A314" s="87" t="str">
        <f t="shared" si="1"/>
        <v/>
      </c>
      <c r="B314" s="2"/>
      <c r="C314" s="87"/>
      <c r="D314" s="87"/>
      <c r="E314" s="87"/>
      <c r="F314" s="87"/>
      <c r="G314" s="87"/>
      <c r="H314" s="87"/>
      <c r="I314" s="87"/>
      <c r="J314" s="2"/>
      <c r="K314" s="2"/>
      <c r="L314" s="94" t="str">
        <f>IF(B314="","", VLOOKUP(B314,RM!$C$4:$G984,10,FALSE))</f>
        <v/>
      </c>
      <c r="M314" s="94" t="str">
        <f>IF(B314="","", VLOOKUP(B314,RM!$C$4:$G984,11,FALSE))</f>
        <v/>
      </c>
      <c r="N314" s="95" t="str">
        <f>IF(B314="","", VLOOKUP(B314,RM!$C$4:$G984,12,FALSE))</f>
        <v/>
      </c>
    </row>
    <row r="315" spans="1:14">
      <c r="A315" s="87" t="str">
        <f t="shared" si="1"/>
        <v/>
      </c>
      <c r="B315" s="2"/>
      <c r="C315" s="87"/>
      <c r="D315" s="87"/>
      <c r="E315" s="87"/>
      <c r="F315" s="87"/>
      <c r="G315" s="87"/>
      <c r="H315" s="87"/>
      <c r="I315" s="87"/>
      <c r="J315" s="2"/>
      <c r="K315" s="2"/>
      <c r="L315" s="94" t="str">
        <f>IF(B315="","", VLOOKUP(B315,RM!$C$4:$G984,10,FALSE))</f>
        <v/>
      </c>
      <c r="M315" s="94" t="str">
        <f>IF(B315="","", VLOOKUP(B315,RM!$C$4:$G984,11,FALSE))</f>
        <v/>
      </c>
      <c r="N315" s="95" t="str">
        <f>IF(B315="","", VLOOKUP(B315,RM!$C$4:$G984,12,FALSE))</f>
        <v/>
      </c>
    </row>
    <row r="316" spans="1:14">
      <c r="A316" s="87" t="str">
        <f t="shared" si="1"/>
        <v/>
      </c>
      <c r="B316" s="2"/>
      <c r="C316" s="87"/>
      <c r="D316" s="87"/>
      <c r="E316" s="87"/>
      <c r="F316" s="87"/>
      <c r="G316" s="87"/>
      <c r="H316" s="87"/>
      <c r="I316" s="87"/>
      <c r="J316" s="2"/>
      <c r="K316" s="2"/>
      <c r="L316" s="94" t="str">
        <f>IF(B316="","", VLOOKUP(B316,RM!$C$4:$G984,10,FALSE))</f>
        <v/>
      </c>
      <c r="M316" s="94" t="str">
        <f>IF(B316="","", VLOOKUP(B316,RM!$C$4:$G984,11,FALSE))</f>
        <v/>
      </c>
      <c r="N316" s="95" t="str">
        <f>IF(B316="","", VLOOKUP(B316,RM!$C$4:$G984,12,FALSE))</f>
        <v/>
      </c>
    </row>
    <row r="317" spans="1:14">
      <c r="A317" s="87" t="str">
        <f t="shared" si="1"/>
        <v/>
      </c>
      <c r="B317" s="2"/>
      <c r="C317" s="87"/>
      <c r="D317" s="87"/>
      <c r="E317" s="87"/>
      <c r="F317" s="87"/>
      <c r="G317" s="87"/>
      <c r="H317" s="87"/>
      <c r="I317" s="87"/>
      <c r="J317" s="2"/>
      <c r="K317" s="2"/>
      <c r="L317" s="94" t="str">
        <f>IF(B317="","", VLOOKUP(B317,RM!$C$4:$G984,10,FALSE))</f>
        <v/>
      </c>
      <c r="M317" s="94" t="str">
        <f>IF(B317="","", VLOOKUP(B317,RM!$C$4:$G984,11,FALSE))</f>
        <v/>
      </c>
      <c r="N317" s="95" t="str">
        <f>IF(B317="","", VLOOKUP(B317,RM!$C$4:$G984,12,FALSE))</f>
        <v/>
      </c>
    </row>
    <row r="318" spans="1:14">
      <c r="A318" s="87" t="str">
        <f t="shared" si="1"/>
        <v/>
      </c>
      <c r="B318" s="2"/>
      <c r="C318" s="87"/>
      <c r="D318" s="87"/>
      <c r="E318" s="87"/>
      <c r="F318" s="87"/>
      <c r="G318" s="87"/>
      <c r="H318" s="87"/>
      <c r="I318" s="87"/>
      <c r="J318" s="2"/>
      <c r="K318" s="2"/>
      <c r="L318" s="94" t="str">
        <f>IF(B318="","", VLOOKUP(B318,RM!$C$4:$G984,10,FALSE))</f>
        <v/>
      </c>
      <c r="M318" s="94" t="str">
        <f>IF(B318="","", VLOOKUP(B318,RM!$C$4:$G984,11,FALSE))</f>
        <v/>
      </c>
      <c r="N318" s="95" t="str">
        <f>IF(B318="","", VLOOKUP(B318,RM!$C$4:$G984,12,FALSE))</f>
        <v/>
      </c>
    </row>
    <row r="319" spans="1:14">
      <c r="A319" s="87" t="str">
        <f t="shared" si="1"/>
        <v/>
      </c>
      <c r="B319" s="2"/>
      <c r="C319" s="87"/>
      <c r="D319" s="87"/>
      <c r="E319" s="87"/>
      <c r="F319" s="87"/>
      <c r="G319" s="87"/>
      <c r="H319" s="87"/>
      <c r="I319" s="87"/>
      <c r="J319" s="2"/>
      <c r="K319" s="2"/>
      <c r="L319" s="94" t="str">
        <f>IF(B319="","", VLOOKUP(B319,RM!$C$4:$G984,10,FALSE))</f>
        <v/>
      </c>
      <c r="M319" s="94" t="str">
        <f>IF(B319="","", VLOOKUP(B319,RM!$C$4:$G984,11,FALSE))</f>
        <v/>
      </c>
      <c r="N319" s="95" t="str">
        <f>IF(B319="","", VLOOKUP(B319,RM!$C$4:$G984,12,FALSE))</f>
        <v/>
      </c>
    </row>
    <row r="320" spans="1:14">
      <c r="A320" s="87" t="str">
        <f t="shared" si="1"/>
        <v/>
      </c>
      <c r="B320" s="2"/>
      <c r="C320" s="87"/>
      <c r="D320" s="87"/>
      <c r="E320" s="87"/>
      <c r="F320" s="87"/>
      <c r="G320" s="87"/>
      <c r="H320" s="87"/>
      <c r="I320" s="87"/>
      <c r="J320" s="2"/>
      <c r="K320" s="2"/>
      <c r="L320" s="94" t="str">
        <f>IF(B320="","", VLOOKUP(B320,RM!$C$4:$G984,10,FALSE))</f>
        <v/>
      </c>
      <c r="M320" s="94" t="str">
        <f>IF(B320="","", VLOOKUP(B320,RM!$C$4:$G984,11,FALSE))</f>
        <v/>
      </c>
      <c r="N320" s="95" t="str">
        <f>IF(B320="","", VLOOKUP(B320,RM!$C$4:$G984,12,FALSE))</f>
        <v/>
      </c>
    </row>
    <row r="321" spans="1:14">
      <c r="A321" s="87" t="str">
        <f t="shared" si="1"/>
        <v/>
      </c>
      <c r="B321" s="2"/>
      <c r="C321" s="87"/>
      <c r="D321" s="87"/>
      <c r="E321" s="87"/>
      <c r="F321" s="87"/>
      <c r="G321" s="87"/>
      <c r="H321" s="87"/>
      <c r="I321" s="87"/>
      <c r="J321" s="2"/>
      <c r="K321" s="2"/>
      <c r="L321" s="94" t="str">
        <f>IF(B321="","", VLOOKUP(B321,RM!$C$4:$G984,10,FALSE))</f>
        <v/>
      </c>
      <c r="M321" s="94" t="str">
        <f>IF(B321="","", VLOOKUP(B321,RM!$C$4:$G984,11,FALSE))</f>
        <v/>
      </c>
      <c r="N321" s="95" t="str">
        <f>IF(B321="","", VLOOKUP(B321,RM!$C$4:$G984,12,FALSE))</f>
        <v/>
      </c>
    </row>
    <row r="322" spans="1:14">
      <c r="A322" s="87" t="str">
        <f t="shared" si="1"/>
        <v/>
      </c>
      <c r="B322" s="2"/>
      <c r="C322" s="87"/>
      <c r="D322" s="87"/>
      <c r="E322" s="87"/>
      <c r="F322" s="87"/>
      <c r="G322" s="87"/>
      <c r="H322" s="87"/>
      <c r="I322" s="87"/>
      <c r="J322" s="2"/>
      <c r="K322" s="2"/>
      <c r="L322" s="94" t="str">
        <f>IF(B322="","", VLOOKUP(B322,RM!$C$4:$G984,10,FALSE))</f>
        <v/>
      </c>
      <c r="M322" s="94" t="str">
        <f>IF(B322="","", VLOOKUP(B322,RM!$C$4:$G984,11,FALSE))</f>
        <v/>
      </c>
      <c r="N322" s="95" t="str">
        <f>IF(B322="","", VLOOKUP(B322,RM!$C$4:$G984,12,FALSE))</f>
        <v/>
      </c>
    </row>
    <row r="323" spans="1:14">
      <c r="A323" s="87" t="str">
        <f t="shared" si="1"/>
        <v/>
      </c>
      <c r="B323" s="2"/>
      <c r="C323" s="87"/>
      <c r="D323" s="87"/>
      <c r="E323" s="87"/>
      <c r="F323" s="87"/>
      <c r="G323" s="87"/>
      <c r="H323" s="87"/>
      <c r="I323" s="87"/>
      <c r="J323" s="2"/>
      <c r="K323" s="2"/>
      <c r="L323" s="94" t="str">
        <f>IF(B323="","", VLOOKUP(B323,RM!$C$4:$G984,10,FALSE))</f>
        <v/>
      </c>
      <c r="M323" s="94" t="str">
        <f>IF(B323="","", VLOOKUP(B323,RM!$C$4:$G984,11,FALSE))</f>
        <v/>
      </c>
      <c r="N323" s="95" t="str">
        <f>IF(B323="","", VLOOKUP(B323,RM!$C$4:$G984,12,FALSE))</f>
        <v/>
      </c>
    </row>
    <row r="324" spans="1:14">
      <c r="A324" s="87" t="str">
        <f t="shared" si="1"/>
        <v/>
      </c>
      <c r="B324" s="2"/>
      <c r="C324" s="87"/>
      <c r="D324" s="87"/>
      <c r="E324" s="87"/>
      <c r="F324" s="87"/>
      <c r="G324" s="87"/>
      <c r="H324" s="87"/>
      <c r="I324" s="87"/>
      <c r="J324" s="2"/>
      <c r="K324" s="2"/>
      <c r="L324" s="94" t="str">
        <f>IF(B324="","", VLOOKUP(B324,RM!$C$4:$G984,10,FALSE))</f>
        <v/>
      </c>
      <c r="M324" s="94" t="str">
        <f>IF(B324="","", VLOOKUP(B324,RM!$C$4:$G984,11,FALSE))</f>
        <v/>
      </c>
      <c r="N324" s="95" t="str">
        <f>IF(B324="","", VLOOKUP(B324,RM!$C$4:$G984,12,FALSE))</f>
        <v/>
      </c>
    </row>
    <row r="325" spans="1:14">
      <c r="A325" s="87" t="str">
        <f t="shared" si="1"/>
        <v/>
      </c>
      <c r="B325" s="2"/>
      <c r="C325" s="87"/>
      <c r="D325" s="87"/>
      <c r="E325" s="87"/>
      <c r="F325" s="87"/>
      <c r="G325" s="87"/>
      <c r="H325" s="87"/>
      <c r="I325" s="87"/>
      <c r="J325" s="2"/>
      <c r="K325" s="2"/>
      <c r="L325" s="94" t="str">
        <f>IF(B325="","", VLOOKUP(B325,RM!$C$4:$G984,10,FALSE))</f>
        <v/>
      </c>
      <c r="M325" s="94" t="str">
        <f>IF(B325="","", VLOOKUP(B325,RM!$C$4:$G984,11,FALSE))</f>
        <v/>
      </c>
      <c r="N325" s="95" t="str">
        <f>IF(B325="","", VLOOKUP(B325,RM!$C$4:$G984,12,FALSE))</f>
        <v/>
      </c>
    </row>
    <row r="326" spans="1:14">
      <c r="A326" s="87" t="str">
        <f t="shared" si="1"/>
        <v/>
      </c>
      <c r="B326" s="2"/>
      <c r="C326" s="87"/>
      <c r="D326" s="87"/>
      <c r="E326" s="87"/>
      <c r="F326" s="87"/>
      <c r="G326" s="87"/>
      <c r="H326" s="87"/>
      <c r="I326" s="87"/>
      <c r="J326" s="2"/>
      <c r="K326" s="2"/>
      <c r="L326" s="94" t="str">
        <f>IF(B326="","", VLOOKUP(B326,RM!$C$4:$G984,10,FALSE))</f>
        <v/>
      </c>
      <c r="M326" s="94" t="str">
        <f>IF(B326="","", VLOOKUP(B326,RM!$C$4:$G984,11,FALSE))</f>
        <v/>
      </c>
      <c r="N326" s="95" t="str">
        <f>IF(B326="","", VLOOKUP(B326,RM!$C$4:$G984,12,FALSE))</f>
        <v/>
      </c>
    </row>
    <row r="327" spans="1:14">
      <c r="A327" s="87" t="str">
        <f t="shared" si="1"/>
        <v/>
      </c>
      <c r="B327" s="2"/>
      <c r="C327" s="87"/>
      <c r="D327" s="87"/>
      <c r="E327" s="87"/>
      <c r="F327" s="87"/>
      <c r="G327" s="87"/>
      <c r="H327" s="87"/>
      <c r="I327" s="87"/>
      <c r="J327" s="2"/>
      <c r="K327" s="2"/>
      <c r="L327" s="94" t="str">
        <f>IF(B327="","", VLOOKUP(B327,RM!$C$4:$G984,10,FALSE))</f>
        <v/>
      </c>
      <c r="M327" s="94" t="str">
        <f>IF(B327="","", VLOOKUP(B327,RM!$C$4:$G984,11,FALSE))</f>
        <v/>
      </c>
      <c r="N327" s="95" t="str">
        <f>IF(B327="","", VLOOKUP(B327,RM!$C$4:$G984,12,FALSE))</f>
        <v/>
      </c>
    </row>
    <row r="328" spans="1:14">
      <c r="A328" s="87" t="str">
        <f t="shared" si="1"/>
        <v/>
      </c>
      <c r="B328" s="2"/>
      <c r="C328" s="87"/>
      <c r="D328" s="87"/>
      <c r="E328" s="87"/>
      <c r="F328" s="87"/>
      <c r="G328" s="87"/>
      <c r="H328" s="87"/>
      <c r="I328" s="87"/>
      <c r="J328" s="2"/>
      <c r="K328" s="2"/>
      <c r="L328" s="94" t="str">
        <f>IF(B328="","", VLOOKUP(B328,RM!$C$4:$G984,10,FALSE))</f>
        <v/>
      </c>
      <c r="M328" s="94" t="str">
        <f>IF(B328="","", VLOOKUP(B328,RM!$C$4:$G984,11,FALSE))</f>
        <v/>
      </c>
      <c r="N328" s="95" t="str">
        <f>IF(B328="","", VLOOKUP(B328,RM!$C$4:$G984,12,FALSE))</f>
        <v/>
      </c>
    </row>
    <row r="329" spans="1:14">
      <c r="A329" s="87" t="str">
        <f t="shared" si="1"/>
        <v/>
      </c>
      <c r="B329" s="2"/>
      <c r="C329" s="87"/>
      <c r="D329" s="87"/>
      <c r="E329" s="87"/>
      <c r="F329" s="87"/>
      <c r="G329" s="87"/>
      <c r="H329" s="87"/>
      <c r="I329" s="87"/>
      <c r="J329" s="2"/>
      <c r="K329" s="2"/>
      <c r="L329" s="94" t="str">
        <f>IF(B329="","", VLOOKUP(B329,RM!$C$4:$G984,10,FALSE))</f>
        <v/>
      </c>
      <c r="M329" s="94" t="str">
        <f>IF(B329="","", VLOOKUP(B329,RM!$C$4:$G984,11,FALSE))</f>
        <v/>
      </c>
      <c r="N329" s="95" t="str">
        <f>IF(B329="","", VLOOKUP(B329,RM!$C$4:$G984,12,FALSE))</f>
        <v/>
      </c>
    </row>
    <row r="330" spans="1:14">
      <c r="A330" s="87" t="str">
        <f t="shared" si="1"/>
        <v/>
      </c>
      <c r="B330" s="2"/>
      <c r="C330" s="87"/>
      <c r="D330" s="87"/>
      <c r="E330" s="87"/>
      <c r="F330" s="87"/>
      <c r="G330" s="87"/>
      <c r="H330" s="87"/>
      <c r="I330" s="87"/>
      <c r="J330" s="2"/>
      <c r="K330" s="2"/>
      <c r="L330" s="94" t="str">
        <f>IF(B330="","", VLOOKUP(B330,RM!$C$4:$G984,10,FALSE))</f>
        <v/>
      </c>
      <c r="M330" s="94" t="str">
        <f>IF(B330="","", VLOOKUP(B330,RM!$C$4:$G984,11,FALSE))</f>
        <v/>
      </c>
      <c r="N330" s="95" t="str">
        <f>IF(B330="","", VLOOKUP(B330,RM!$C$4:$G984,12,FALSE))</f>
        <v/>
      </c>
    </row>
    <row r="331" spans="1:14">
      <c r="A331" s="87" t="str">
        <f t="shared" si="1"/>
        <v/>
      </c>
      <c r="B331" s="2"/>
      <c r="C331" s="87"/>
      <c r="D331" s="87"/>
      <c r="E331" s="87"/>
      <c r="F331" s="87"/>
      <c r="G331" s="87"/>
      <c r="H331" s="87"/>
      <c r="I331" s="87"/>
      <c r="J331" s="2"/>
      <c r="K331" s="2"/>
      <c r="L331" s="94" t="str">
        <f>IF(B331="","", VLOOKUP(B331,RM!$C$4:$G984,10,FALSE))</f>
        <v/>
      </c>
      <c r="M331" s="94" t="str">
        <f>IF(B331="","", VLOOKUP(B331,RM!$C$4:$G984,11,FALSE))</f>
        <v/>
      </c>
      <c r="N331" s="95" t="str">
        <f>IF(B331="","", VLOOKUP(B331,RM!$C$4:$G984,12,FALSE))</f>
        <v/>
      </c>
    </row>
    <row r="332" spans="1:14">
      <c r="A332" s="87" t="str">
        <f t="shared" si="1"/>
        <v/>
      </c>
      <c r="B332" s="2"/>
      <c r="C332" s="87"/>
      <c r="D332" s="87"/>
      <c r="E332" s="87"/>
      <c r="F332" s="87"/>
      <c r="G332" s="87"/>
      <c r="H332" s="87"/>
      <c r="I332" s="87"/>
      <c r="J332" s="2"/>
      <c r="K332" s="2"/>
      <c r="L332" s="94" t="str">
        <f>IF(B332="","", VLOOKUP(B332,RM!$C$4:$G984,10,FALSE))</f>
        <v/>
      </c>
      <c r="M332" s="94" t="str">
        <f>IF(B332="","", VLOOKUP(B332,RM!$C$4:$G984,11,FALSE))</f>
        <v/>
      </c>
      <c r="N332" s="95" t="str">
        <f>IF(B332="","", VLOOKUP(B332,RM!$C$4:$G984,12,FALSE))</f>
        <v/>
      </c>
    </row>
    <row r="333" spans="1:14">
      <c r="A333" s="87" t="str">
        <f t="shared" si="1"/>
        <v/>
      </c>
      <c r="B333" s="2"/>
      <c r="C333" s="87"/>
      <c r="D333" s="87"/>
      <c r="E333" s="87"/>
      <c r="F333" s="87"/>
      <c r="G333" s="87"/>
      <c r="H333" s="87"/>
      <c r="I333" s="87"/>
      <c r="J333" s="2"/>
      <c r="K333" s="2"/>
      <c r="L333" s="94" t="str">
        <f>IF(B333="","", VLOOKUP(B333,RM!$C$4:$G984,10,FALSE))</f>
        <v/>
      </c>
      <c r="M333" s="94" t="str">
        <f>IF(B333="","", VLOOKUP(B333,RM!$C$4:$G984,11,FALSE))</f>
        <v/>
      </c>
      <c r="N333" s="95" t="str">
        <f>IF(B333="","", VLOOKUP(B333,RM!$C$4:$G984,12,FALSE))</f>
        <v/>
      </c>
    </row>
    <row r="334" spans="1:14">
      <c r="A334" s="87" t="str">
        <f t="shared" si="1"/>
        <v/>
      </c>
      <c r="B334" s="2"/>
      <c r="C334" s="87"/>
      <c r="D334" s="87"/>
      <c r="E334" s="87"/>
      <c r="F334" s="87"/>
      <c r="G334" s="87"/>
      <c r="H334" s="87"/>
      <c r="I334" s="87"/>
      <c r="J334" s="2"/>
      <c r="K334" s="2"/>
      <c r="L334" s="94" t="str">
        <f>IF(B334="","", VLOOKUP(B334,RM!$C$4:$G984,10,FALSE))</f>
        <v/>
      </c>
      <c r="M334" s="94" t="str">
        <f>IF(B334="","", VLOOKUP(B334,RM!$C$4:$G984,11,FALSE))</f>
        <v/>
      </c>
      <c r="N334" s="95" t="str">
        <f>IF(B334="","", VLOOKUP(B334,RM!$C$4:$G984,12,FALSE))</f>
        <v/>
      </c>
    </row>
    <row r="335" spans="1:14">
      <c r="A335" s="87" t="str">
        <f t="shared" si="1"/>
        <v/>
      </c>
      <c r="B335" s="2"/>
      <c r="C335" s="87"/>
      <c r="D335" s="87"/>
      <c r="E335" s="87"/>
      <c r="F335" s="87"/>
      <c r="G335" s="87"/>
      <c r="H335" s="87"/>
      <c r="I335" s="87"/>
      <c r="J335" s="2"/>
      <c r="K335" s="2"/>
      <c r="L335" s="94" t="str">
        <f>IF(B335="","", VLOOKUP(B335,RM!$C$4:$G984,10,FALSE))</f>
        <v/>
      </c>
      <c r="M335" s="94" t="str">
        <f>IF(B335="","", VLOOKUP(B335,RM!$C$4:$G984,11,FALSE))</f>
        <v/>
      </c>
      <c r="N335" s="95" t="str">
        <f>IF(B335="","", VLOOKUP(B335,RM!$C$4:$G984,12,FALSE))</f>
        <v/>
      </c>
    </row>
    <row r="336" spans="1:14">
      <c r="A336" s="87" t="str">
        <f t="shared" si="1"/>
        <v/>
      </c>
      <c r="B336" s="2"/>
      <c r="C336" s="87"/>
      <c r="D336" s="87"/>
      <c r="E336" s="87"/>
      <c r="F336" s="87"/>
      <c r="G336" s="87"/>
      <c r="H336" s="87"/>
      <c r="I336" s="87"/>
      <c r="J336" s="2"/>
      <c r="K336" s="2"/>
      <c r="L336" s="94" t="str">
        <f>IF(B336="","", VLOOKUP(B336,RM!$C$4:$G984,10,FALSE))</f>
        <v/>
      </c>
      <c r="M336" s="94" t="str">
        <f>IF(B336="","", VLOOKUP(B336,RM!$C$4:$G984,11,FALSE))</f>
        <v/>
      </c>
      <c r="N336" s="95" t="str">
        <f>IF(B336="","", VLOOKUP(B336,RM!$C$4:$G984,12,FALSE))</f>
        <v/>
      </c>
    </row>
    <row r="337" spans="1:14">
      <c r="A337" s="87" t="str">
        <f t="shared" si="1"/>
        <v/>
      </c>
      <c r="B337" s="2"/>
      <c r="C337" s="87"/>
      <c r="D337" s="87"/>
      <c r="E337" s="87"/>
      <c r="F337" s="87"/>
      <c r="G337" s="87"/>
      <c r="H337" s="87"/>
      <c r="I337" s="87"/>
      <c r="J337" s="2"/>
      <c r="K337" s="2"/>
      <c r="L337" s="94" t="str">
        <f>IF(B337="","", VLOOKUP(B337,RM!$C$4:$G984,10,FALSE))</f>
        <v/>
      </c>
      <c r="M337" s="94" t="str">
        <f>IF(B337="","", VLOOKUP(B337,RM!$C$4:$G984,11,FALSE))</f>
        <v/>
      </c>
      <c r="N337" s="95" t="str">
        <f>IF(B337="","", VLOOKUP(B337,RM!$C$4:$G984,12,FALSE))</f>
        <v/>
      </c>
    </row>
    <row r="338" spans="1:14">
      <c r="A338" s="87" t="str">
        <f t="shared" si="1"/>
        <v/>
      </c>
      <c r="B338" s="2"/>
      <c r="C338" s="87"/>
      <c r="D338" s="87"/>
      <c r="E338" s="87"/>
      <c r="F338" s="87"/>
      <c r="G338" s="87"/>
      <c r="H338" s="87"/>
      <c r="I338" s="87"/>
      <c r="J338" s="2"/>
      <c r="K338" s="2"/>
      <c r="L338" s="94" t="str">
        <f>IF(B338="","", VLOOKUP(B338,RM!$C$4:$G984,10,FALSE))</f>
        <v/>
      </c>
      <c r="M338" s="94" t="str">
        <f>IF(B338="","", VLOOKUP(B338,RM!$C$4:$G984,11,FALSE))</f>
        <v/>
      </c>
      <c r="N338" s="95" t="str">
        <f>IF(B338="","", VLOOKUP(B338,RM!$C$4:$G984,12,FALSE))</f>
        <v/>
      </c>
    </row>
    <row r="339" spans="1:14">
      <c r="A339" s="87" t="str">
        <f t="shared" si="1"/>
        <v/>
      </c>
      <c r="B339" s="2"/>
      <c r="C339" s="87"/>
      <c r="D339" s="87"/>
      <c r="E339" s="87"/>
      <c r="F339" s="87"/>
      <c r="G339" s="87"/>
      <c r="H339" s="87"/>
      <c r="I339" s="87"/>
      <c r="J339" s="2"/>
      <c r="K339" s="2"/>
      <c r="L339" s="94" t="str">
        <f>IF(B339="","", VLOOKUP(B339,RM!$C$4:$G984,10,FALSE))</f>
        <v/>
      </c>
      <c r="M339" s="94" t="str">
        <f>IF(B339="","", VLOOKUP(B339,RM!$C$4:$G984,11,FALSE))</f>
        <v/>
      </c>
      <c r="N339" s="95" t="str">
        <f>IF(B339="","", VLOOKUP(B339,RM!$C$4:$G984,12,FALSE))</f>
        <v/>
      </c>
    </row>
    <row r="340" spans="1:14">
      <c r="A340" s="87" t="str">
        <f t="shared" si="1"/>
        <v/>
      </c>
      <c r="B340" s="2"/>
      <c r="C340" s="87"/>
      <c r="D340" s="87"/>
      <c r="E340" s="87"/>
      <c r="F340" s="87"/>
      <c r="G340" s="87"/>
      <c r="H340" s="87"/>
      <c r="I340" s="87"/>
      <c r="J340" s="2"/>
      <c r="K340" s="2"/>
      <c r="L340" s="94" t="str">
        <f>IF(B340="","", VLOOKUP(B340,RM!$C$4:$G984,10,FALSE))</f>
        <v/>
      </c>
      <c r="M340" s="94" t="str">
        <f>IF(B340="","", VLOOKUP(B340,RM!$C$4:$G984,11,FALSE))</f>
        <v/>
      </c>
      <c r="N340" s="95" t="str">
        <f>IF(B340="","", VLOOKUP(B340,RM!$C$4:$G984,12,FALSE))</f>
        <v/>
      </c>
    </row>
    <row r="341" spans="1:14">
      <c r="A341" s="87" t="str">
        <f t="shared" si="1"/>
        <v/>
      </c>
      <c r="B341" s="2"/>
      <c r="C341" s="87"/>
      <c r="D341" s="87"/>
      <c r="E341" s="87"/>
      <c r="F341" s="87"/>
      <c r="G341" s="87"/>
      <c r="H341" s="87"/>
      <c r="I341" s="87"/>
      <c r="J341" s="2"/>
      <c r="K341" s="2"/>
      <c r="L341" s="94" t="str">
        <f>IF(B341="","", VLOOKUP(B341,RM!$C$4:$G984,10,FALSE))</f>
        <v/>
      </c>
      <c r="M341" s="94" t="str">
        <f>IF(B341="","", VLOOKUP(B341,RM!$C$4:$G984,11,FALSE))</f>
        <v/>
      </c>
      <c r="N341" s="95" t="str">
        <f>IF(B341="","", VLOOKUP(B341,RM!$C$4:$G984,12,FALSE))</f>
        <v/>
      </c>
    </row>
    <row r="342" spans="1:14">
      <c r="A342" s="87" t="str">
        <f t="shared" si="1"/>
        <v/>
      </c>
      <c r="B342" s="2"/>
      <c r="C342" s="87"/>
      <c r="D342" s="87"/>
      <c r="E342" s="87"/>
      <c r="F342" s="87"/>
      <c r="G342" s="87"/>
      <c r="H342" s="87"/>
      <c r="I342" s="87"/>
      <c r="J342" s="2"/>
      <c r="K342" s="2"/>
      <c r="L342" s="94" t="str">
        <f>IF(B342="","", VLOOKUP(B342,RM!$C$4:$G984,10,FALSE))</f>
        <v/>
      </c>
      <c r="M342" s="94" t="str">
        <f>IF(B342="","", VLOOKUP(B342,RM!$C$4:$G984,11,FALSE))</f>
        <v/>
      </c>
      <c r="N342" s="95" t="str">
        <f>IF(B342="","", VLOOKUP(B342,RM!$C$4:$G984,12,FALSE))</f>
        <v/>
      </c>
    </row>
    <row r="343" spans="1:14">
      <c r="A343" s="87" t="str">
        <f t="shared" si="1"/>
        <v/>
      </c>
      <c r="B343" s="2"/>
      <c r="C343" s="87"/>
      <c r="D343" s="87"/>
      <c r="E343" s="87"/>
      <c r="F343" s="87"/>
      <c r="G343" s="87"/>
      <c r="H343" s="87"/>
      <c r="I343" s="87"/>
      <c r="J343" s="2"/>
      <c r="K343" s="2"/>
      <c r="L343" s="94" t="str">
        <f>IF(B343="","", VLOOKUP(B343,RM!$C$4:$G984,10,FALSE))</f>
        <v/>
      </c>
      <c r="M343" s="94" t="str">
        <f>IF(B343="","", VLOOKUP(B343,RM!$C$4:$G984,11,FALSE))</f>
        <v/>
      </c>
      <c r="N343" s="95" t="str">
        <f>IF(B343="","", VLOOKUP(B343,RM!$C$4:$G984,12,FALSE))</f>
        <v/>
      </c>
    </row>
    <row r="344" spans="1:14">
      <c r="A344" s="87" t="str">
        <f t="shared" si="1"/>
        <v/>
      </c>
      <c r="B344" s="2"/>
      <c r="C344" s="87"/>
      <c r="D344" s="87"/>
      <c r="E344" s="87"/>
      <c r="F344" s="87"/>
      <c r="G344" s="87"/>
      <c r="H344" s="87"/>
      <c r="I344" s="87"/>
      <c r="J344" s="2"/>
      <c r="K344" s="2"/>
      <c r="L344" s="94" t="str">
        <f>IF(B344="","", VLOOKUP(B344,RM!$C$4:$G984,10,FALSE))</f>
        <v/>
      </c>
      <c r="M344" s="94" t="str">
        <f>IF(B344="","", VLOOKUP(B344,RM!$C$4:$G984,11,FALSE))</f>
        <v/>
      </c>
      <c r="N344" s="95" t="str">
        <f>IF(B344="","", VLOOKUP(B344,RM!$C$4:$G984,12,FALSE))</f>
        <v/>
      </c>
    </row>
    <row r="345" spans="1:14">
      <c r="A345" s="87" t="str">
        <f t="shared" si="1"/>
        <v/>
      </c>
      <c r="B345" s="2"/>
      <c r="C345" s="87"/>
      <c r="D345" s="87"/>
      <c r="E345" s="87"/>
      <c r="F345" s="87"/>
      <c r="G345" s="87"/>
      <c r="H345" s="87"/>
      <c r="I345" s="87"/>
      <c r="J345" s="2"/>
      <c r="K345" s="2"/>
      <c r="L345" s="94" t="str">
        <f>IF(B345="","", VLOOKUP(B345,RM!$C$4:$G984,10,FALSE))</f>
        <v/>
      </c>
      <c r="M345" s="94" t="str">
        <f>IF(B345="","", VLOOKUP(B345,RM!$C$4:$G984,11,FALSE))</f>
        <v/>
      </c>
      <c r="N345" s="95" t="str">
        <f>IF(B345="","", VLOOKUP(B345,RM!$C$4:$G984,12,FALSE))</f>
        <v/>
      </c>
    </row>
    <row r="346" spans="1:14">
      <c r="A346" s="87" t="str">
        <f t="shared" si="1"/>
        <v/>
      </c>
      <c r="B346" s="2"/>
      <c r="C346" s="87"/>
      <c r="D346" s="87"/>
      <c r="E346" s="87"/>
      <c r="F346" s="87"/>
      <c r="G346" s="87"/>
      <c r="H346" s="87"/>
      <c r="I346" s="87"/>
      <c r="J346" s="2"/>
      <c r="K346" s="2"/>
      <c r="L346" s="94" t="str">
        <f>IF(B346="","", VLOOKUP(B346,RM!$C$4:$G984,10,FALSE))</f>
        <v/>
      </c>
      <c r="M346" s="94" t="str">
        <f>IF(B346="","", VLOOKUP(B346,RM!$C$4:$G984,11,FALSE))</f>
        <v/>
      </c>
      <c r="N346" s="95" t="str">
        <f>IF(B346="","", VLOOKUP(B346,RM!$C$4:$G984,12,FALSE))</f>
        <v/>
      </c>
    </row>
    <row r="347" spans="1:14">
      <c r="A347" s="87" t="str">
        <f t="shared" si="1"/>
        <v/>
      </c>
      <c r="B347" s="2"/>
      <c r="C347" s="87"/>
      <c r="D347" s="87"/>
      <c r="E347" s="87"/>
      <c r="F347" s="87"/>
      <c r="G347" s="87"/>
      <c r="H347" s="87"/>
      <c r="I347" s="87"/>
      <c r="J347" s="2"/>
      <c r="K347" s="2"/>
      <c r="L347" s="94" t="str">
        <f>IF(B347="","", VLOOKUP(B347,RM!$C$4:$G984,10,FALSE))</f>
        <v/>
      </c>
      <c r="M347" s="94" t="str">
        <f>IF(B347="","", VLOOKUP(B347,RM!$C$4:$G984,11,FALSE))</f>
        <v/>
      </c>
      <c r="N347" s="95" t="str">
        <f>IF(B347="","", VLOOKUP(B347,RM!$C$4:$G984,12,FALSE))</f>
        <v/>
      </c>
    </row>
    <row r="348" spans="1:14">
      <c r="A348" s="87" t="str">
        <f t="shared" si="1"/>
        <v/>
      </c>
      <c r="B348" s="2"/>
      <c r="C348" s="87"/>
      <c r="D348" s="87"/>
      <c r="E348" s="87"/>
      <c r="F348" s="87"/>
      <c r="G348" s="87"/>
      <c r="H348" s="87"/>
      <c r="I348" s="87"/>
      <c r="J348" s="2"/>
      <c r="K348" s="2"/>
      <c r="L348" s="94" t="str">
        <f>IF(B348="","", VLOOKUP(B348,RM!$C$4:$G984,10,FALSE))</f>
        <v/>
      </c>
      <c r="M348" s="94" t="str">
        <f>IF(B348="","", VLOOKUP(B348,RM!$C$4:$G984,11,FALSE))</f>
        <v/>
      </c>
      <c r="N348" s="95" t="str">
        <f>IF(B348="","", VLOOKUP(B348,RM!$C$4:$G984,12,FALSE))</f>
        <v/>
      </c>
    </row>
    <row r="349" spans="1:14">
      <c r="A349" s="87" t="str">
        <f t="shared" si="1"/>
        <v/>
      </c>
      <c r="B349" s="2"/>
      <c r="C349" s="87"/>
      <c r="D349" s="87"/>
      <c r="E349" s="87"/>
      <c r="F349" s="87"/>
      <c r="G349" s="87"/>
      <c r="H349" s="87"/>
      <c r="I349" s="87"/>
      <c r="J349" s="2"/>
      <c r="K349" s="2"/>
      <c r="L349" s="94" t="str">
        <f>IF(B349="","", VLOOKUP(B349,RM!$C$4:$G984,10,FALSE))</f>
        <v/>
      </c>
      <c r="M349" s="94" t="str">
        <f>IF(B349="","", VLOOKUP(B349,RM!$C$4:$G984,11,FALSE))</f>
        <v/>
      </c>
      <c r="N349" s="95" t="str">
        <f>IF(B349="","", VLOOKUP(B349,RM!$C$4:$G984,12,FALSE))</f>
        <v/>
      </c>
    </row>
    <row r="350" spans="1:14">
      <c r="A350" s="87" t="str">
        <f t="shared" si="1"/>
        <v/>
      </c>
      <c r="B350" s="2"/>
      <c r="C350" s="87"/>
      <c r="D350" s="87"/>
      <c r="E350" s="87"/>
      <c r="F350" s="87"/>
      <c r="G350" s="87"/>
      <c r="H350" s="87"/>
      <c r="I350" s="87"/>
      <c r="J350" s="2"/>
      <c r="K350" s="2"/>
      <c r="L350" s="94" t="str">
        <f>IF(B350="","", VLOOKUP(B350,RM!$C$4:$G984,10,FALSE))</f>
        <v/>
      </c>
      <c r="M350" s="94" t="str">
        <f>IF(B350="","", VLOOKUP(B350,RM!$C$4:$G984,11,FALSE))</f>
        <v/>
      </c>
      <c r="N350" s="95" t="str">
        <f>IF(B350="","", VLOOKUP(B350,RM!$C$4:$G984,12,FALSE))</f>
        <v/>
      </c>
    </row>
    <row r="351" spans="1:14">
      <c r="A351" s="87" t="str">
        <f t="shared" si="1"/>
        <v/>
      </c>
      <c r="B351" s="2"/>
      <c r="C351" s="87"/>
      <c r="D351" s="87"/>
      <c r="E351" s="87"/>
      <c r="F351" s="87"/>
      <c r="G351" s="87"/>
      <c r="H351" s="87"/>
      <c r="I351" s="87"/>
      <c r="J351" s="2"/>
      <c r="K351" s="2"/>
      <c r="L351" s="94" t="str">
        <f>IF(B351="","", VLOOKUP(B351,RM!$C$4:$G984,10,FALSE))</f>
        <v/>
      </c>
      <c r="M351" s="94" t="str">
        <f>IF(B351="","", VLOOKUP(B351,RM!$C$4:$G984,11,FALSE))</f>
        <v/>
      </c>
      <c r="N351" s="95" t="str">
        <f>IF(B351="","", VLOOKUP(B351,RM!$C$4:$G984,12,FALSE))</f>
        <v/>
      </c>
    </row>
    <row r="352" spans="1:14">
      <c r="A352" s="87" t="str">
        <f t="shared" si="1"/>
        <v/>
      </c>
      <c r="B352" s="2"/>
      <c r="C352" s="87"/>
      <c r="D352" s="87"/>
      <c r="E352" s="87"/>
      <c r="F352" s="87"/>
      <c r="G352" s="87"/>
      <c r="H352" s="87"/>
      <c r="I352" s="87"/>
      <c r="J352" s="2"/>
      <c r="K352" s="2"/>
      <c r="L352" s="94" t="str">
        <f>IF(B352="","", VLOOKUP(B352,RM!$C$4:$G984,10,FALSE))</f>
        <v/>
      </c>
      <c r="M352" s="94" t="str">
        <f>IF(B352="","", VLOOKUP(B352,RM!$C$4:$G984,11,FALSE))</f>
        <v/>
      </c>
      <c r="N352" s="95" t="str">
        <f>IF(B352="","", VLOOKUP(B352,RM!$C$4:$G984,12,FALSE))</f>
        <v/>
      </c>
    </row>
    <row r="353" spans="1:14">
      <c r="A353" s="87" t="str">
        <f t="shared" si="1"/>
        <v/>
      </c>
      <c r="B353" s="2"/>
      <c r="C353" s="87"/>
      <c r="D353" s="87"/>
      <c r="E353" s="87"/>
      <c r="F353" s="87"/>
      <c r="G353" s="87"/>
      <c r="H353" s="87"/>
      <c r="I353" s="87"/>
      <c r="J353" s="2"/>
      <c r="K353" s="2"/>
      <c r="L353" s="94" t="str">
        <f>IF(B353="","", VLOOKUP(B353,RM!$C$4:$G984,10,FALSE))</f>
        <v/>
      </c>
      <c r="M353" s="94" t="str">
        <f>IF(B353="","", VLOOKUP(B353,RM!$C$4:$G984,11,FALSE))</f>
        <v/>
      </c>
      <c r="N353" s="95" t="str">
        <f>IF(B353="","", VLOOKUP(B353,RM!$C$4:$G984,12,FALSE))</f>
        <v/>
      </c>
    </row>
    <row r="354" spans="1:14">
      <c r="A354" s="87" t="str">
        <f t="shared" si="1"/>
        <v/>
      </c>
      <c r="B354" s="2"/>
      <c r="C354" s="87"/>
      <c r="D354" s="87"/>
      <c r="E354" s="87"/>
      <c r="F354" s="87"/>
      <c r="G354" s="87"/>
      <c r="H354" s="87"/>
      <c r="I354" s="87"/>
      <c r="J354" s="2"/>
      <c r="K354" s="2"/>
      <c r="L354" s="94" t="str">
        <f>IF(B354="","", VLOOKUP(B354,RM!$C$4:$G984,10,FALSE))</f>
        <v/>
      </c>
      <c r="M354" s="94" t="str">
        <f>IF(B354="","", VLOOKUP(B354,RM!$C$4:$G984,11,FALSE))</f>
        <v/>
      </c>
      <c r="N354" s="95" t="str">
        <f>IF(B354="","", VLOOKUP(B354,RM!$C$4:$G984,12,FALSE))</f>
        <v/>
      </c>
    </row>
    <row r="355" spans="1:14">
      <c r="A355" s="87" t="str">
        <f t="shared" si="1"/>
        <v/>
      </c>
      <c r="B355" s="2"/>
      <c r="C355" s="87"/>
      <c r="D355" s="87"/>
      <c r="E355" s="87"/>
      <c r="F355" s="87"/>
      <c r="G355" s="87"/>
      <c r="H355" s="87"/>
      <c r="I355" s="87"/>
      <c r="J355" s="2"/>
      <c r="K355" s="2"/>
      <c r="L355" s="94" t="str">
        <f>IF(B355="","", VLOOKUP(B355,RM!$C$4:$G984,10,FALSE))</f>
        <v/>
      </c>
      <c r="M355" s="94" t="str">
        <f>IF(B355="","", VLOOKUP(B355,RM!$C$4:$G984,11,FALSE))</f>
        <v/>
      </c>
      <c r="N355" s="95" t="str">
        <f>IF(B355="","", VLOOKUP(B355,RM!$C$4:$G984,12,FALSE))</f>
        <v/>
      </c>
    </row>
    <row r="356" spans="1:14">
      <c r="A356" s="87" t="str">
        <f t="shared" si="1"/>
        <v/>
      </c>
      <c r="B356" s="2"/>
      <c r="C356" s="87"/>
      <c r="D356" s="87"/>
      <c r="E356" s="87"/>
      <c r="F356" s="87"/>
      <c r="G356" s="87"/>
      <c r="H356" s="87"/>
      <c r="I356" s="87"/>
      <c r="J356" s="2"/>
      <c r="K356" s="2"/>
      <c r="L356" s="94" t="str">
        <f>IF(B356="","", VLOOKUP(B356,RM!$C$4:$G984,10,FALSE))</f>
        <v/>
      </c>
      <c r="M356" s="94" t="str">
        <f>IF(B356="","", VLOOKUP(B356,RM!$C$4:$G984,11,FALSE))</f>
        <v/>
      </c>
      <c r="N356" s="95" t="str">
        <f>IF(B356="","", VLOOKUP(B356,RM!$C$4:$G984,12,FALSE))</f>
        <v/>
      </c>
    </row>
    <row r="357" spans="1:14">
      <c r="A357" s="87" t="str">
        <f t="shared" si="1"/>
        <v/>
      </c>
      <c r="B357" s="2"/>
      <c r="C357" s="87"/>
      <c r="D357" s="87"/>
      <c r="E357" s="87"/>
      <c r="F357" s="87"/>
      <c r="G357" s="87"/>
      <c r="H357" s="87"/>
      <c r="I357" s="87"/>
      <c r="J357" s="2"/>
      <c r="K357" s="2"/>
      <c r="L357" s="94" t="str">
        <f>IF(B357="","", VLOOKUP(B357,RM!$C$4:$G984,10,FALSE))</f>
        <v/>
      </c>
      <c r="M357" s="94" t="str">
        <f>IF(B357="","", VLOOKUP(B357,RM!$C$4:$G984,11,FALSE))</f>
        <v/>
      </c>
      <c r="N357" s="95" t="str">
        <f>IF(B357="","", VLOOKUP(B357,RM!$C$4:$G984,12,FALSE))</f>
        <v/>
      </c>
    </row>
    <row r="358" spans="1:14">
      <c r="A358" s="87" t="str">
        <f t="shared" si="1"/>
        <v/>
      </c>
      <c r="B358" s="2"/>
      <c r="C358" s="87"/>
      <c r="D358" s="87"/>
      <c r="E358" s="87"/>
      <c r="F358" s="87"/>
      <c r="G358" s="87"/>
      <c r="H358" s="87"/>
      <c r="I358" s="87"/>
      <c r="J358" s="2"/>
      <c r="K358" s="2"/>
      <c r="L358" s="94" t="str">
        <f>IF(B358="","", VLOOKUP(B358,RM!$C$4:$G984,10,FALSE))</f>
        <v/>
      </c>
      <c r="M358" s="94" t="str">
        <f>IF(B358="","", VLOOKUP(B358,RM!$C$4:$G984,11,FALSE))</f>
        <v/>
      </c>
      <c r="N358" s="95" t="str">
        <f>IF(B358="","", VLOOKUP(B358,RM!$C$4:$G984,12,FALSE))</f>
        <v/>
      </c>
    </row>
    <row r="359" spans="1:14">
      <c r="A359" s="87" t="str">
        <f t="shared" si="1"/>
        <v/>
      </c>
      <c r="B359" s="2"/>
      <c r="C359" s="87"/>
      <c r="D359" s="87"/>
      <c r="E359" s="87"/>
      <c r="F359" s="87"/>
      <c r="G359" s="87"/>
      <c r="H359" s="87"/>
      <c r="I359" s="87"/>
      <c r="J359" s="2"/>
      <c r="K359" s="2"/>
      <c r="L359" s="94" t="str">
        <f>IF(B359="","", VLOOKUP(B359,RM!$C$4:$G984,10,FALSE))</f>
        <v/>
      </c>
      <c r="M359" s="94" t="str">
        <f>IF(B359="","", VLOOKUP(B359,RM!$C$4:$G984,11,FALSE))</f>
        <v/>
      </c>
      <c r="N359" s="95" t="str">
        <f>IF(B359="","", VLOOKUP(B359,RM!$C$4:$G984,12,FALSE))</f>
        <v/>
      </c>
    </row>
    <row r="360" spans="1:14">
      <c r="A360" s="87" t="str">
        <f t="shared" si="1"/>
        <v/>
      </c>
      <c r="B360" s="2"/>
      <c r="C360" s="87"/>
      <c r="D360" s="87"/>
      <c r="E360" s="87"/>
      <c r="F360" s="87"/>
      <c r="G360" s="87"/>
      <c r="H360" s="87"/>
      <c r="I360" s="87"/>
      <c r="J360" s="2"/>
      <c r="K360" s="2"/>
      <c r="L360" s="94" t="str">
        <f>IF(B360="","", VLOOKUP(B360,RM!$C$4:$G984,10,FALSE))</f>
        <v/>
      </c>
      <c r="M360" s="94" t="str">
        <f>IF(B360="","", VLOOKUP(B360,RM!$C$4:$G984,11,FALSE))</f>
        <v/>
      </c>
      <c r="N360" s="95" t="str">
        <f>IF(B360="","", VLOOKUP(B360,RM!$C$4:$G984,12,FALSE))</f>
        <v/>
      </c>
    </row>
    <row r="361" spans="1:14">
      <c r="A361" s="87" t="str">
        <f t="shared" si="1"/>
        <v/>
      </c>
      <c r="B361" s="2"/>
      <c r="C361" s="87"/>
      <c r="D361" s="87"/>
      <c r="E361" s="87"/>
      <c r="F361" s="87"/>
      <c r="G361" s="87"/>
      <c r="H361" s="87"/>
      <c r="I361" s="87"/>
      <c r="J361" s="2"/>
      <c r="K361" s="2"/>
      <c r="L361" s="94" t="str">
        <f>IF(B361="","", VLOOKUP(B361,RM!$C$4:$G984,10,FALSE))</f>
        <v/>
      </c>
      <c r="M361" s="94" t="str">
        <f>IF(B361="","", VLOOKUP(B361,RM!$C$4:$G984,11,FALSE))</f>
        <v/>
      </c>
      <c r="N361" s="95" t="str">
        <f>IF(B361="","", VLOOKUP(B361,RM!$C$4:$G984,12,FALSE))</f>
        <v/>
      </c>
    </row>
    <row r="362" spans="1:14">
      <c r="A362" s="87" t="str">
        <f t="shared" si="1"/>
        <v/>
      </c>
      <c r="B362" s="2"/>
      <c r="C362" s="87"/>
      <c r="D362" s="87"/>
      <c r="E362" s="87"/>
      <c r="F362" s="87"/>
      <c r="G362" s="87"/>
      <c r="H362" s="87"/>
      <c r="I362" s="87"/>
      <c r="J362" s="2"/>
      <c r="K362" s="2"/>
      <c r="L362" s="94" t="str">
        <f>IF(B362="","", VLOOKUP(B362,RM!$C$4:$G984,10,FALSE))</f>
        <v/>
      </c>
      <c r="M362" s="94" t="str">
        <f>IF(B362="","", VLOOKUP(B362,RM!$C$4:$G984,11,FALSE))</f>
        <v/>
      </c>
      <c r="N362" s="95" t="str">
        <f>IF(B362="","", VLOOKUP(B362,RM!$C$4:$G984,12,FALSE))</f>
        <v/>
      </c>
    </row>
    <row r="363" spans="1:14">
      <c r="A363" s="87" t="str">
        <f t="shared" si="1"/>
        <v/>
      </c>
      <c r="B363" s="2"/>
      <c r="C363" s="87"/>
      <c r="D363" s="87"/>
      <c r="E363" s="87"/>
      <c r="F363" s="87"/>
      <c r="G363" s="87"/>
      <c r="H363" s="87"/>
      <c r="I363" s="87"/>
      <c r="J363" s="2"/>
      <c r="K363" s="2"/>
      <c r="L363" s="94" t="str">
        <f>IF(B363="","", VLOOKUP(B363,RM!$C$4:$G984,10,FALSE))</f>
        <v/>
      </c>
      <c r="M363" s="94" t="str">
        <f>IF(B363="","", VLOOKUP(B363,RM!$C$4:$G984,11,FALSE))</f>
        <v/>
      </c>
      <c r="N363" s="95" t="str">
        <f>IF(B363="","", VLOOKUP(B363,RM!$C$4:$G984,12,FALSE))</f>
        <v/>
      </c>
    </row>
    <row r="364" spans="1:14">
      <c r="A364" s="87" t="str">
        <f t="shared" si="1"/>
        <v/>
      </c>
      <c r="B364" s="2"/>
      <c r="C364" s="87"/>
      <c r="D364" s="87"/>
      <c r="E364" s="87"/>
      <c r="F364" s="87"/>
      <c r="G364" s="87"/>
      <c r="H364" s="87"/>
      <c r="I364" s="87"/>
      <c r="J364" s="2"/>
      <c r="K364" s="2"/>
      <c r="L364" s="94" t="str">
        <f>IF(B364="","", VLOOKUP(B364,RM!$C$4:$G984,10,FALSE))</f>
        <v/>
      </c>
      <c r="M364" s="94" t="str">
        <f>IF(B364="","", VLOOKUP(B364,RM!$C$4:$G984,11,FALSE))</f>
        <v/>
      </c>
      <c r="N364" s="95" t="str">
        <f>IF(B364="","", VLOOKUP(B364,RM!$C$4:$G984,12,FALSE))</f>
        <v/>
      </c>
    </row>
    <row r="365" spans="1:14">
      <c r="A365" s="87" t="str">
        <f t="shared" si="1"/>
        <v/>
      </c>
      <c r="B365" s="2"/>
      <c r="C365" s="87"/>
      <c r="D365" s="87"/>
      <c r="E365" s="87"/>
      <c r="F365" s="87"/>
      <c r="G365" s="87"/>
      <c r="H365" s="87"/>
      <c r="I365" s="87"/>
      <c r="J365" s="2"/>
      <c r="K365" s="2"/>
      <c r="L365" s="94" t="str">
        <f>IF(B365="","", VLOOKUP(B365,RM!$C$4:$G984,10,FALSE))</f>
        <v/>
      </c>
      <c r="M365" s="94" t="str">
        <f>IF(B365="","", VLOOKUP(B365,RM!$C$4:$G984,11,FALSE))</f>
        <v/>
      </c>
      <c r="N365" s="95" t="str">
        <f>IF(B365="","", VLOOKUP(B365,RM!$C$4:$G984,12,FALSE))</f>
        <v/>
      </c>
    </row>
    <row r="366" spans="1:14">
      <c r="A366" s="87" t="str">
        <f t="shared" si="1"/>
        <v/>
      </c>
      <c r="B366" s="2"/>
      <c r="C366" s="87"/>
      <c r="D366" s="87"/>
      <c r="E366" s="87"/>
      <c r="F366" s="87"/>
      <c r="G366" s="87"/>
      <c r="H366" s="87"/>
      <c r="I366" s="87"/>
      <c r="J366" s="2"/>
      <c r="K366" s="2"/>
      <c r="L366" s="94" t="str">
        <f>IF(B366="","", VLOOKUP(B366,RM!$C$4:$G984,10,FALSE))</f>
        <v/>
      </c>
      <c r="M366" s="94" t="str">
        <f>IF(B366="","", VLOOKUP(B366,RM!$C$4:$G984,11,FALSE))</f>
        <v/>
      </c>
      <c r="N366" s="95" t="str">
        <f>IF(B366="","", VLOOKUP(B366,RM!$C$4:$G984,12,FALSE))</f>
        <v/>
      </c>
    </row>
    <row r="367" spans="1:14">
      <c r="A367" s="87" t="str">
        <f t="shared" si="1"/>
        <v/>
      </c>
      <c r="B367" s="2"/>
      <c r="C367" s="87"/>
      <c r="D367" s="87"/>
      <c r="E367" s="87"/>
      <c r="F367" s="87"/>
      <c r="G367" s="87"/>
      <c r="H367" s="87"/>
      <c r="I367" s="87"/>
      <c r="J367" s="2"/>
      <c r="K367" s="2"/>
      <c r="L367" s="94" t="str">
        <f>IF(B367="","", VLOOKUP(B367,RM!$C$4:$G984,10,FALSE))</f>
        <v/>
      </c>
      <c r="M367" s="94" t="str">
        <f>IF(B367="","", VLOOKUP(B367,RM!$C$4:$G984,11,FALSE))</f>
        <v/>
      </c>
      <c r="N367" s="95" t="str">
        <f>IF(B367="","", VLOOKUP(B367,RM!$C$4:$G984,12,FALSE))</f>
        <v/>
      </c>
    </row>
    <row r="368" spans="1:14">
      <c r="A368" s="87" t="str">
        <f t="shared" si="1"/>
        <v/>
      </c>
      <c r="B368" s="2"/>
      <c r="C368" s="87"/>
      <c r="D368" s="87"/>
      <c r="E368" s="87"/>
      <c r="F368" s="87"/>
      <c r="G368" s="87"/>
      <c r="H368" s="87"/>
      <c r="I368" s="87"/>
      <c r="J368" s="2"/>
      <c r="K368" s="2"/>
      <c r="L368" s="94" t="str">
        <f>IF(B368="","", VLOOKUP(B368,RM!$C$4:$G984,10,FALSE))</f>
        <v/>
      </c>
      <c r="M368" s="94" t="str">
        <f>IF(B368="","", VLOOKUP(B368,RM!$C$4:$G984,11,FALSE))</f>
        <v/>
      </c>
      <c r="N368" s="95" t="str">
        <f>IF(B368="","", VLOOKUP(B368,RM!$C$4:$G984,12,FALSE))</f>
        <v/>
      </c>
    </row>
    <row r="369" spans="1:14">
      <c r="A369" s="87" t="str">
        <f t="shared" si="1"/>
        <v/>
      </c>
      <c r="B369" s="2"/>
      <c r="C369" s="87"/>
      <c r="D369" s="87"/>
      <c r="E369" s="87"/>
      <c r="F369" s="87"/>
      <c r="G369" s="87"/>
      <c r="H369" s="87"/>
      <c r="I369" s="87"/>
      <c r="J369" s="2"/>
      <c r="K369" s="2"/>
      <c r="L369" s="94" t="str">
        <f>IF(B369="","", VLOOKUP(B369,RM!$C$4:$G984,10,FALSE))</f>
        <v/>
      </c>
      <c r="M369" s="94" t="str">
        <f>IF(B369="","", VLOOKUP(B369,RM!$C$4:$G984,11,FALSE))</f>
        <v/>
      </c>
      <c r="N369" s="95" t="str">
        <f>IF(B369="","", VLOOKUP(B369,RM!$C$4:$G984,12,FALSE))</f>
        <v/>
      </c>
    </row>
    <row r="370" spans="1:14">
      <c r="A370" s="87" t="str">
        <f t="shared" si="1"/>
        <v/>
      </c>
      <c r="B370" s="2"/>
      <c r="C370" s="87"/>
      <c r="D370" s="87"/>
      <c r="E370" s="87"/>
      <c r="F370" s="87"/>
      <c r="G370" s="87"/>
      <c r="H370" s="87"/>
      <c r="I370" s="87"/>
      <c r="J370" s="2"/>
      <c r="K370" s="2"/>
      <c r="L370" s="94" t="str">
        <f>IF(B370="","", VLOOKUP(B370,RM!$C$4:$G984,10,FALSE))</f>
        <v/>
      </c>
      <c r="M370" s="94" t="str">
        <f>IF(B370="","", VLOOKUP(B370,RM!$C$4:$G984,11,FALSE))</f>
        <v/>
      </c>
      <c r="N370" s="95" t="str">
        <f>IF(B370="","", VLOOKUP(B370,RM!$C$4:$G984,12,FALSE))</f>
        <v/>
      </c>
    </row>
    <row r="371" spans="1:14">
      <c r="A371" s="87" t="str">
        <f t="shared" si="1"/>
        <v/>
      </c>
      <c r="B371" s="2"/>
      <c r="C371" s="87"/>
      <c r="D371" s="87"/>
      <c r="E371" s="87"/>
      <c r="F371" s="87"/>
      <c r="G371" s="87"/>
      <c r="H371" s="87"/>
      <c r="I371" s="87"/>
      <c r="J371" s="2"/>
      <c r="K371" s="2"/>
      <c r="L371" s="94" t="str">
        <f>IF(B371="","", VLOOKUP(B371,RM!$C$4:$G984,10,FALSE))</f>
        <v/>
      </c>
      <c r="M371" s="94" t="str">
        <f>IF(B371="","", VLOOKUP(B371,RM!$C$4:$G984,11,FALSE))</f>
        <v/>
      </c>
      <c r="N371" s="95" t="str">
        <f>IF(B371="","", VLOOKUP(B371,RM!$C$4:$G984,12,FALSE))</f>
        <v/>
      </c>
    </row>
    <row r="372" spans="1:14">
      <c r="A372" s="87" t="str">
        <f t="shared" si="1"/>
        <v/>
      </c>
      <c r="B372" s="2"/>
      <c r="C372" s="87"/>
      <c r="D372" s="87"/>
      <c r="E372" s="87"/>
      <c r="F372" s="87"/>
      <c r="G372" s="87"/>
      <c r="H372" s="87"/>
      <c r="I372" s="87"/>
      <c r="J372" s="2"/>
      <c r="K372" s="2"/>
      <c r="L372" s="94" t="str">
        <f>IF(B372="","", VLOOKUP(B372,RM!$C$4:$G984,10,FALSE))</f>
        <v/>
      </c>
      <c r="M372" s="94" t="str">
        <f>IF(B372="","", VLOOKUP(B372,RM!$C$4:$G984,11,FALSE))</f>
        <v/>
      </c>
      <c r="N372" s="95" t="str">
        <f>IF(B372="","", VLOOKUP(B372,RM!$C$4:$G984,12,FALSE))</f>
        <v/>
      </c>
    </row>
    <row r="373" spans="1:14">
      <c r="A373" s="87" t="str">
        <f t="shared" si="1"/>
        <v/>
      </c>
      <c r="B373" s="2"/>
      <c r="C373" s="87"/>
      <c r="D373" s="87"/>
      <c r="E373" s="87"/>
      <c r="F373" s="87"/>
      <c r="G373" s="87"/>
      <c r="H373" s="87"/>
      <c r="I373" s="87"/>
      <c r="J373" s="2"/>
      <c r="K373" s="2"/>
      <c r="L373" s="94" t="str">
        <f>IF(B373="","", VLOOKUP(B373,RM!$C$4:$G984,10,FALSE))</f>
        <v/>
      </c>
      <c r="M373" s="94" t="str">
        <f>IF(B373="","", VLOOKUP(B373,RM!$C$4:$G984,11,FALSE))</f>
        <v/>
      </c>
      <c r="N373" s="95" t="str">
        <f>IF(B373="","", VLOOKUP(B373,RM!$C$4:$G984,12,FALSE))</f>
        <v/>
      </c>
    </row>
    <row r="374" spans="1:14">
      <c r="A374" s="87" t="str">
        <f t="shared" si="1"/>
        <v/>
      </c>
      <c r="B374" s="2"/>
      <c r="C374" s="87"/>
      <c r="D374" s="87"/>
      <c r="E374" s="87"/>
      <c r="F374" s="87"/>
      <c r="G374" s="87"/>
      <c r="H374" s="87"/>
      <c r="I374" s="87"/>
      <c r="J374" s="2"/>
      <c r="K374" s="2"/>
      <c r="L374" s="94" t="str">
        <f>IF(B374="","", VLOOKUP(B374,RM!$C$4:$G984,10,FALSE))</f>
        <v/>
      </c>
      <c r="M374" s="94" t="str">
        <f>IF(B374="","", VLOOKUP(B374,RM!$C$4:$G984,11,FALSE))</f>
        <v/>
      </c>
      <c r="N374" s="95" t="str">
        <f>IF(B374="","", VLOOKUP(B374,RM!$C$4:$G984,12,FALSE))</f>
        <v/>
      </c>
    </row>
    <row r="375" spans="1:14">
      <c r="A375" s="87" t="str">
        <f t="shared" si="1"/>
        <v/>
      </c>
      <c r="B375" s="2"/>
      <c r="C375" s="87"/>
      <c r="D375" s="87"/>
      <c r="E375" s="87"/>
      <c r="F375" s="87"/>
      <c r="G375" s="87"/>
      <c r="H375" s="87"/>
      <c r="I375" s="87"/>
      <c r="J375" s="2"/>
      <c r="K375" s="2"/>
      <c r="L375" s="94" t="str">
        <f>IF(B375="","", VLOOKUP(B375,RM!$C$4:$G984,10,FALSE))</f>
        <v/>
      </c>
      <c r="M375" s="94" t="str">
        <f>IF(B375="","", VLOOKUP(B375,RM!$C$4:$G984,11,FALSE))</f>
        <v/>
      </c>
      <c r="N375" s="95" t="str">
        <f>IF(B375="","", VLOOKUP(B375,RM!$C$4:$G984,12,FALSE))</f>
        <v/>
      </c>
    </row>
    <row r="376" spans="1:14">
      <c r="A376" s="87" t="str">
        <f t="shared" si="1"/>
        <v/>
      </c>
      <c r="B376" s="2"/>
      <c r="C376" s="87"/>
      <c r="D376" s="87"/>
      <c r="E376" s="87"/>
      <c r="F376" s="87"/>
      <c r="G376" s="87"/>
      <c r="H376" s="87"/>
      <c r="I376" s="87"/>
      <c r="J376" s="2"/>
      <c r="K376" s="2"/>
      <c r="L376" s="94" t="str">
        <f>IF(B376="","", VLOOKUP(B376,RM!$C$4:$G984,10,FALSE))</f>
        <v/>
      </c>
      <c r="M376" s="94" t="str">
        <f>IF(B376="","", VLOOKUP(B376,RM!$C$4:$G984,11,FALSE))</f>
        <v/>
      </c>
      <c r="N376" s="95" t="str">
        <f>IF(B376="","", VLOOKUP(B376,RM!$C$4:$G984,12,FALSE))</f>
        <v/>
      </c>
    </row>
    <row r="377" spans="1:14">
      <c r="A377" s="87" t="str">
        <f t="shared" si="1"/>
        <v/>
      </c>
      <c r="B377" s="2"/>
      <c r="C377" s="87"/>
      <c r="D377" s="87"/>
      <c r="E377" s="87"/>
      <c r="F377" s="87"/>
      <c r="G377" s="87"/>
      <c r="H377" s="87"/>
      <c r="I377" s="87"/>
      <c r="J377" s="2"/>
      <c r="K377" s="2"/>
      <c r="L377" s="94" t="str">
        <f>IF(B377="","", VLOOKUP(B377,RM!$C$4:$G984,10,FALSE))</f>
        <v/>
      </c>
      <c r="M377" s="94" t="str">
        <f>IF(B377="","", VLOOKUP(B377,RM!$C$4:$G984,11,FALSE))</f>
        <v/>
      </c>
      <c r="N377" s="95" t="str">
        <f>IF(B377="","", VLOOKUP(B377,RM!$C$4:$G984,12,FALSE))</f>
        <v/>
      </c>
    </row>
    <row r="378" spans="1:14">
      <c r="A378" s="87" t="str">
        <f t="shared" si="1"/>
        <v/>
      </c>
      <c r="B378" s="2"/>
      <c r="C378" s="87"/>
      <c r="D378" s="87"/>
      <c r="E378" s="87"/>
      <c r="F378" s="87"/>
      <c r="G378" s="87"/>
      <c r="H378" s="87"/>
      <c r="I378" s="87"/>
      <c r="J378" s="2"/>
      <c r="K378" s="2"/>
      <c r="L378" s="94" t="str">
        <f>IF(B378="","", VLOOKUP(B378,RM!$C$4:$G984,10,FALSE))</f>
        <v/>
      </c>
      <c r="M378" s="94" t="str">
        <f>IF(B378="","", VLOOKUP(B378,RM!$C$4:$G984,11,FALSE))</f>
        <v/>
      </c>
      <c r="N378" s="95" t="str">
        <f>IF(B378="","", VLOOKUP(B378,RM!$C$4:$G984,12,FALSE))</f>
        <v/>
      </c>
    </row>
    <row r="379" spans="1:14">
      <c r="A379" s="87" t="str">
        <f t="shared" si="1"/>
        <v/>
      </c>
      <c r="B379" s="2"/>
      <c r="C379" s="87"/>
      <c r="D379" s="87"/>
      <c r="E379" s="87"/>
      <c r="F379" s="87"/>
      <c r="G379" s="87"/>
      <c r="H379" s="87"/>
      <c r="I379" s="87"/>
      <c r="J379" s="2"/>
      <c r="K379" s="2"/>
      <c r="L379" s="94" t="str">
        <f>IF(B379="","", VLOOKUP(B379,RM!$C$4:$G984,10,FALSE))</f>
        <v/>
      </c>
      <c r="M379" s="94" t="str">
        <f>IF(B379="","", VLOOKUP(B379,RM!$C$4:$G984,11,FALSE))</f>
        <v/>
      </c>
      <c r="N379" s="95" t="str">
        <f>IF(B379="","", VLOOKUP(B379,RM!$C$4:$G984,12,FALSE))</f>
        <v/>
      </c>
    </row>
    <row r="380" spans="1:14">
      <c r="A380" s="87" t="str">
        <f t="shared" si="1"/>
        <v/>
      </c>
      <c r="B380" s="2"/>
      <c r="C380" s="87"/>
      <c r="D380" s="87"/>
      <c r="E380" s="87"/>
      <c r="F380" s="87"/>
      <c r="G380" s="87"/>
      <c r="H380" s="87"/>
      <c r="I380" s="87"/>
      <c r="J380" s="2"/>
      <c r="K380" s="2"/>
      <c r="L380" s="94" t="str">
        <f>IF(B380="","", VLOOKUP(B380,RM!$C$4:$G984,10,FALSE))</f>
        <v/>
      </c>
      <c r="M380" s="94" t="str">
        <f>IF(B380="","", VLOOKUP(B380,RM!$C$4:$G984,11,FALSE))</f>
        <v/>
      </c>
      <c r="N380" s="95" t="str">
        <f>IF(B380="","", VLOOKUP(B380,RM!$C$4:$G984,12,FALSE))</f>
        <v/>
      </c>
    </row>
    <row r="381" spans="1:14">
      <c r="A381" s="87" t="str">
        <f t="shared" si="1"/>
        <v/>
      </c>
      <c r="B381" s="2"/>
      <c r="C381" s="87"/>
      <c r="D381" s="87"/>
      <c r="E381" s="87"/>
      <c r="F381" s="87"/>
      <c r="G381" s="87"/>
      <c r="H381" s="87"/>
      <c r="I381" s="87"/>
      <c r="J381" s="2"/>
      <c r="K381" s="2"/>
      <c r="L381" s="94" t="str">
        <f>IF(B381="","", VLOOKUP(B381,RM!$C$4:$G984,10,FALSE))</f>
        <v/>
      </c>
      <c r="M381" s="94" t="str">
        <f>IF(B381="","", VLOOKUP(B381,RM!$C$4:$G984,11,FALSE))</f>
        <v/>
      </c>
      <c r="N381" s="95" t="str">
        <f>IF(B381="","", VLOOKUP(B381,RM!$C$4:$G984,12,FALSE))</f>
        <v/>
      </c>
    </row>
    <row r="382" spans="1:14">
      <c r="A382" s="87" t="str">
        <f t="shared" si="1"/>
        <v/>
      </c>
      <c r="B382" s="2"/>
      <c r="C382" s="87"/>
      <c r="D382" s="87"/>
      <c r="E382" s="87"/>
      <c r="F382" s="87"/>
      <c r="G382" s="87"/>
      <c r="H382" s="87"/>
      <c r="I382" s="87"/>
      <c r="J382" s="2"/>
      <c r="K382" s="2"/>
      <c r="L382" s="94" t="str">
        <f>IF(B382="","", VLOOKUP(B382,RM!$C$4:$G984,10,FALSE))</f>
        <v/>
      </c>
      <c r="M382" s="94" t="str">
        <f>IF(B382="","", VLOOKUP(B382,RM!$C$4:$G984,11,FALSE))</f>
        <v/>
      </c>
      <c r="N382" s="95" t="str">
        <f>IF(B382="","", VLOOKUP(B382,RM!$C$4:$G984,12,FALSE))</f>
        <v/>
      </c>
    </row>
    <row r="383" spans="1:14">
      <c r="A383" s="87" t="str">
        <f t="shared" si="1"/>
        <v/>
      </c>
      <c r="B383" s="2"/>
      <c r="C383" s="87"/>
      <c r="D383" s="87"/>
      <c r="E383" s="87"/>
      <c r="F383" s="87"/>
      <c r="G383" s="87"/>
      <c r="H383" s="87"/>
      <c r="I383" s="87"/>
      <c r="J383" s="2"/>
      <c r="K383" s="2"/>
      <c r="L383" s="94" t="str">
        <f>IF(B383="","", VLOOKUP(B383,RM!$C$4:$G984,10,FALSE))</f>
        <v/>
      </c>
      <c r="M383" s="94" t="str">
        <f>IF(B383="","", VLOOKUP(B383,RM!$C$4:$G984,11,FALSE))</f>
        <v/>
      </c>
      <c r="N383" s="95" t="str">
        <f>IF(B383="","", VLOOKUP(B383,RM!$C$4:$G984,12,FALSE))</f>
        <v/>
      </c>
    </row>
    <row r="384" spans="1:14">
      <c r="A384" s="87" t="str">
        <f t="shared" si="1"/>
        <v/>
      </c>
      <c r="B384" s="2"/>
      <c r="C384" s="87"/>
      <c r="D384" s="87"/>
      <c r="E384" s="87"/>
      <c r="F384" s="87"/>
      <c r="G384" s="87"/>
      <c r="H384" s="87"/>
      <c r="I384" s="87"/>
      <c r="J384" s="2"/>
      <c r="K384" s="2"/>
      <c r="L384" s="94" t="str">
        <f>IF(B384="","", VLOOKUP(B384,RM!$C$4:$G984,10,FALSE))</f>
        <v/>
      </c>
      <c r="M384" s="94" t="str">
        <f>IF(B384="","", VLOOKUP(B384,RM!$C$4:$G984,11,FALSE))</f>
        <v/>
      </c>
      <c r="N384" s="95" t="str">
        <f>IF(B384="","", VLOOKUP(B384,RM!$C$4:$G984,12,FALSE))</f>
        <v/>
      </c>
    </row>
    <row r="385" spans="1:14">
      <c r="A385" s="87" t="str">
        <f t="shared" si="1"/>
        <v/>
      </c>
      <c r="B385" s="2"/>
      <c r="C385" s="87"/>
      <c r="D385" s="87"/>
      <c r="E385" s="87"/>
      <c r="F385" s="87"/>
      <c r="G385" s="87"/>
      <c r="H385" s="87"/>
      <c r="I385" s="87"/>
      <c r="J385" s="2"/>
      <c r="K385" s="2"/>
      <c r="L385" s="94" t="str">
        <f>IF(B385="","", VLOOKUP(B385,RM!$C$4:$G984,10,FALSE))</f>
        <v/>
      </c>
      <c r="M385" s="94" t="str">
        <f>IF(B385="","", VLOOKUP(B385,RM!$C$4:$G984,11,FALSE))</f>
        <v/>
      </c>
      <c r="N385" s="95" t="str">
        <f>IF(B385="","", VLOOKUP(B385,RM!$C$4:$G984,12,FALSE))</f>
        <v/>
      </c>
    </row>
    <row r="386" spans="1:14">
      <c r="A386" s="87" t="str">
        <f t="shared" si="1"/>
        <v/>
      </c>
      <c r="B386" s="2"/>
      <c r="C386" s="87"/>
      <c r="D386" s="87"/>
      <c r="E386" s="87"/>
      <c r="F386" s="87"/>
      <c r="G386" s="87"/>
      <c r="H386" s="87"/>
      <c r="I386" s="87"/>
      <c r="J386" s="2"/>
      <c r="K386" s="2"/>
      <c r="L386" s="94" t="str">
        <f>IF(B386="","", VLOOKUP(B386,RM!$C$4:$G984,10,FALSE))</f>
        <v/>
      </c>
      <c r="M386" s="94" t="str">
        <f>IF(B386="","", VLOOKUP(B386,RM!$C$4:$G984,11,FALSE))</f>
        <v/>
      </c>
      <c r="N386" s="95" t="str">
        <f>IF(B386="","", VLOOKUP(B386,RM!$C$4:$G984,12,FALSE))</f>
        <v/>
      </c>
    </row>
    <row r="387" spans="1:14">
      <c r="A387" s="87" t="str">
        <f t="shared" si="1"/>
        <v/>
      </c>
      <c r="B387" s="2"/>
      <c r="C387" s="87"/>
      <c r="D387" s="87"/>
      <c r="E387" s="87"/>
      <c r="F387" s="87"/>
      <c r="G387" s="87"/>
      <c r="H387" s="87"/>
      <c r="I387" s="87"/>
      <c r="J387" s="2"/>
      <c r="K387" s="2"/>
      <c r="L387" s="94" t="str">
        <f>IF(B387="","", VLOOKUP(B387,RM!$C$4:$G984,10,FALSE))</f>
        <v/>
      </c>
      <c r="M387" s="94" t="str">
        <f>IF(B387="","", VLOOKUP(B387,RM!$C$4:$G984,11,FALSE))</f>
        <v/>
      </c>
      <c r="N387" s="95" t="str">
        <f>IF(B387="","", VLOOKUP(B387,RM!$C$4:$G984,12,FALSE))</f>
        <v/>
      </c>
    </row>
    <row r="388" spans="1:14">
      <c r="A388" s="87" t="str">
        <f t="shared" si="1"/>
        <v/>
      </c>
      <c r="B388" s="2"/>
      <c r="C388" s="87"/>
      <c r="D388" s="87"/>
      <c r="E388" s="87"/>
      <c r="F388" s="87"/>
      <c r="G388" s="87"/>
      <c r="H388" s="87"/>
      <c r="I388" s="87"/>
      <c r="J388" s="2"/>
      <c r="K388" s="2"/>
      <c r="L388" s="94" t="str">
        <f>IF(B388="","", VLOOKUP(B388,RM!$C$4:$G984,10,FALSE))</f>
        <v/>
      </c>
      <c r="M388" s="94" t="str">
        <f>IF(B388="","", VLOOKUP(B388,RM!$C$4:$G984,11,FALSE))</f>
        <v/>
      </c>
      <c r="N388" s="95" t="str">
        <f>IF(B388="","", VLOOKUP(B388,RM!$C$4:$G984,12,FALSE))</f>
        <v/>
      </c>
    </row>
    <row r="389" spans="1:14">
      <c r="A389" s="87" t="str">
        <f t="shared" si="1"/>
        <v/>
      </c>
      <c r="B389" s="2"/>
      <c r="C389" s="87"/>
      <c r="D389" s="87"/>
      <c r="E389" s="87"/>
      <c r="F389" s="87"/>
      <c r="G389" s="87"/>
      <c r="H389" s="87"/>
      <c r="I389" s="87"/>
      <c r="J389" s="2"/>
      <c r="K389" s="2"/>
      <c r="L389" s="94" t="str">
        <f>IF(B389="","", VLOOKUP(B389,RM!$C$4:$G984,10,FALSE))</f>
        <v/>
      </c>
      <c r="M389" s="94" t="str">
        <f>IF(B389="","", VLOOKUP(B389,RM!$C$4:$G984,11,FALSE))</f>
        <v/>
      </c>
      <c r="N389" s="95" t="str">
        <f>IF(B389="","", VLOOKUP(B389,RM!$C$4:$G984,12,FALSE))</f>
        <v/>
      </c>
    </row>
    <row r="390" spans="1:14">
      <c r="A390" s="87" t="str">
        <f t="shared" si="1"/>
        <v/>
      </c>
      <c r="B390" s="2"/>
      <c r="C390" s="87"/>
      <c r="D390" s="87"/>
      <c r="E390" s="87"/>
      <c r="F390" s="87"/>
      <c r="G390" s="87"/>
      <c r="H390" s="87"/>
      <c r="I390" s="87"/>
      <c r="J390" s="2"/>
      <c r="K390" s="2"/>
      <c r="L390" s="94" t="str">
        <f>IF(B390="","", VLOOKUP(B390,RM!$C$4:$G984,10,FALSE))</f>
        <v/>
      </c>
      <c r="M390" s="94" t="str">
        <f>IF(B390="","", VLOOKUP(B390,RM!$C$4:$G984,11,FALSE))</f>
        <v/>
      </c>
      <c r="N390" s="95" t="str">
        <f>IF(B390="","", VLOOKUP(B390,RM!$C$4:$G984,12,FALSE))</f>
        <v/>
      </c>
    </row>
    <row r="391" spans="1:14">
      <c r="A391" s="87" t="str">
        <f t="shared" si="1"/>
        <v/>
      </c>
      <c r="B391" s="2"/>
      <c r="C391" s="87"/>
      <c r="D391" s="87"/>
      <c r="E391" s="87"/>
      <c r="F391" s="87"/>
      <c r="G391" s="87"/>
      <c r="H391" s="87"/>
      <c r="I391" s="87"/>
      <c r="J391" s="2"/>
      <c r="K391" s="2"/>
      <c r="L391" s="94" t="str">
        <f>IF(B391="","", VLOOKUP(B391,RM!$C$4:$G984,10,FALSE))</f>
        <v/>
      </c>
      <c r="M391" s="94" t="str">
        <f>IF(B391="","", VLOOKUP(B391,RM!$C$4:$G984,11,FALSE))</f>
        <v/>
      </c>
      <c r="N391" s="95" t="str">
        <f>IF(B391="","", VLOOKUP(B391,RM!$C$4:$G984,12,FALSE))</f>
        <v/>
      </c>
    </row>
    <row r="392" spans="1:14">
      <c r="A392" s="87" t="str">
        <f t="shared" si="1"/>
        <v/>
      </c>
      <c r="B392" s="2"/>
      <c r="C392" s="87"/>
      <c r="D392" s="87"/>
      <c r="E392" s="87"/>
      <c r="F392" s="87"/>
      <c r="G392" s="87"/>
      <c r="H392" s="87"/>
      <c r="I392" s="87"/>
      <c r="J392" s="2"/>
      <c r="K392" s="2"/>
      <c r="L392" s="94" t="str">
        <f>IF(B392="","", VLOOKUP(B392,RM!$C$4:$G984,10,FALSE))</f>
        <v/>
      </c>
      <c r="M392" s="94" t="str">
        <f>IF(B392="","", VLOOKUP(B392,RM!$C$4:$G984,11,FALSE))</f>
        <v/>
      </c>
      <c r="N392" s="95" t="str">
        <f>IF(B392="","", VLOOKUP(B392,RM!$C$4:$G984,12,FALSE))</f>
        <v/>
      </c>
    </row>
    <row r="393" spans="1:14">
      <c r="A393" s="87" t="str">
        <f t="shared" si="1"/>
        <v/>
      </c>
      <c r="B393" s="2"/>
      <c r="C393" s="87"/>
      <c r="D393" s="87"/>
      <c r="E393" s="87"/>
      <c r="F393" s="87"/>
      <c r="G393" s="87"/>
      <c r="H393" s="87"/>
      <c r="I393" s="87"/>
      <c r="J393" s="2"/>
      <c r="K393" s="2"/>
      <c r="L393" s="94" t="str">
        <f>IF(B393="","", VLOOKUP(B393,RM!$C$4:$G984,10,FALSE))</f>
        <v/>
      </c>
      <c r="M393" s="94" t="str">
        <f>IF(B393="","", VLOOKUP(B393,RM!$C$4:$G984,11,FALSE))</f>
        <v/>
      </c>
      <c r="N393" s="95" t="str">
        <f>IF(B393="","", VLOOKUP(B393,RM!$C$4:$G984,12,FALSE))</f>
        <v/>
      </c>
    </row>
    <row r="394" spans="1:14">
      <c r="A394" s="87" t="str">
        <f t="shared" si="1"/>
        <v/>
      </c>
      <c r="B394" s="2"/>
      <c r="C394" s="87"/>
      <c r="D394" s="87"/>
      <c r="E394" s="87"/>
      <c r="F394" s="87"/>
      <c r="G394" s="87"/>
      <c r="H394" s="87"/>
      <c r="I394" s="87"/>
      <c r="J394" s="2"/>
      <c r="K394" s="2"/>
      <c r="L394" s="94" t="str">
        <f>IF(B394="","", VLOOKUP(B394,RM!$C$4:$G984,10,FALSE))</f>
        <v/>
      </c>
      <c r="M394" s="94" t="str">
        <f>IF(B394="","", VLOOKUP(B394,RM!$C$4:$G984,11,FALSE))</f>
        <v/>
      </c>
      <c r="N394" s="95" t="str">
        <f>IF(B394="","", VLOOKUP(B394,RM!$C$4:$G984,12,FALSE))</f>
        <v/>
      </c>
    </row>
    <row r="395" spans="1:14">
      <c r="A395" s="87" t="str">
        <f t="shared" si="1"/>
        <v/>
      </c>
      <c r="B395" s="2"/>
      <c r="C395" s="87"/>
      <c r="D395" s="87"/>
      <c r="E395" s="87"/>
      <c r="F395" s="87"/>
      <c r="G395" s="87"/>
      <c r="H395" s="87"/>
      <c r="I395" s="87"/>
      <c r="J395" s="2"/>
      <c r="K395" s="2"/>
      <c r="L395" s="94" t="str">
        <f>IF(B395="","", VLOOKUP(B395,RM!$C$4:$G984,10,FALSE))</f>
        <v/>
      </c>
      <c r="M395" s="94" t="str">
        <f>IF(B395="","", VLOOKUP(B395,RM!$C$4:$G984,11,FALSE))</f>
        <v/>
      </c>
      <c r="N395" s="95" t="str">
        <f>IF(B395="","", VLOOKUP(B395,RM!$C$4:$G984,12,FALSE))</f>
        <v/>
      </c>
    </row>
    <row r="396" spans="1:14">
      <c r="A396" s="87" t="str">
        <f t="shared" si="1"/>
        <v/>
      </c>
      <c r="B396" s="2"/>
      <c r="C396" s="87"/>
      <c r="D396" s="87"/>
      <c r="E396" s="87"/>
      <c r="F396" s="87"/>
      <c r="G396" s="87"/>
      <c r="H396" s="87"/>
      <c r="I396" s="87"/>
      <c r="J396" s="2"/>
      <c r="K396" s="2"/>
      <c r="L396" s="94" t="str">
        <f>IF(B396="","", VLOOKUP(B396,RM!$C$4:$G984,10,FALSE))</f>
        <v/>
      </c>
      <c r="M396" s="94" t="str">
        <f>IF(B396="","", VLOOKUP(B396,RM!$C$4:$G984,11,FALSE))</f>
        <v/>
      </c>
      <c r="N396" s="95" t="str">
        <f>IF(B396="","", VLOOKUP(B396,RM!$C$4:$G984,12,FALSE))</f>
        <v/>
      </c>
    </row>
    <row r="397" spans="1:14">
      <c r="A397" s="87" t="str">
        <f t="shared" si="1"/>
        <v/>
      </c>
      <c r="B397" s="2"/>
      <c r="C397" s="87"/>
      <c r="D397" s="87"/>
      <c r="E397" s="87"/>
      <c r="F397" s="87"/>
      <c r="G397" s="87"/>
      <c r="H397" s="87"/>
      <c r="I397" s="87"/>
      <c r="J397" s="2"/>
      <c r="K397" s="2"/>
      <c r="L397" s="94" t="str">
        <f>IF(B397="","", VLOOKUP(B397,RM!$C$4:$G984,10,FALSE))</f>
        <v/>
      </c>
      <c r="M397" s="94" t="str">
        <f>IF(B397="","", VLOOKUP(B397,RM!$C$4:$G984,11,FALSE))</f>
        <v/>
      </c>
      <c r="N397" s="95" t="str">
        <f>IF(B397="","", VLOOKUP(B397,RM!$C$4:$G984,12,FALSE))</f>
        <v/>
      </c>
    </row>
    <row r="398" spans="1:14">
      <c r="A398" s="87" t="str">
        <f t="shared" si="1"/>
        <v/>
      </c>
      <c r="B398" s="2"/>
      <c r="C398" s="87"/>
      <c r="D398" s="87"/>
      <c r="E398" s="87"/>
      <c r="F398" s="87"/>
      <c r="G398" s="87"/>
      <c r="H398" s="87"/>
      <c r="I398" s="87"/>
      <c r="J398" s="2"/>
      <c r="K398" s="2"/>
      <c r="L398" s="94" t="str">
        <f>IF(B398="","", VLOOKUP(B398,RM!$C$4:$G984,10,FALSE))</f>
        <v/>
      </c>
      <c r="M398" s="94" t="str">
        <f>IF(B398="","", VLOOKUP(B398,RM!$C$4:$G984,11,FALSE))</f>
        <v/>
      </c>
      <c r="N398" s="95" t="str">
        <f>IF(B398="","", VLOOKUP(B398,RM!$C$4:$G984,12,FALSE))</f>
        <v/>
      </c>
    </row>
    <row r="399" spans="1:14">
      <c r="A399" s="87" t="str">
        <f t="shared" si="1"/>
        <v/>
      </c>
      <c r="B399" s="2"/>
      <c r="C399" s="87"/>
      <c r="D399" s="87"/>
      <c r="E399" s="87"/>
      <c r="F399" s="87"/>
      <c r="G399" s="87"/>
      <c r="H399" s="87"/>
      <c r="I399" s="87"/>
      <c r="J399" s="2"/>
      <c r="K399" s="2"/>
      <c r="L399" s="94" t="str">
        <f>IF(B399="","", VLOOKUP(B399,RM!$C$4:$G984,10,FALSE))</f>
        <v/>
      </c>
      <c r="M399" s="94" t="str">
        <f>IF(B399="","", VLOOKUP(B399,RM!$C$4:$G984,11,FALSE))</f>
        <v/>
      </c>
      <c r="N399" s="95" t="str">
        <f>IF(B399="","", VLOOKUP(B399,RM!$C$4:$G984,12,FALSE))</f>
        <v/>
      </c>
    </row>
    <row r="400" spans="1:14">
      <c r="A400" s="87" t="str">
        <f t="shared" si="1"/>
        <v/>
      </c>
      <c r="B400" s="2"/>
      <c r="C400" s="87"/>
      <c r="D400" s="87"/>
      <c r="E400" s="87"/>
      <c r="F400" s="87"/>
      <c r="G400" s="87"/>
      <c r="H400" s="87"/>
      <c r="I400" s="87"/>
      <c r="J400" s="2"/>
      <c r="K400" s="2"/>
      <c r="L400" s="94" t="str">
        <f>IF(B400="","", VLOOKUP(B400,RM!$C$4:$G984,10,FALSE))</f>
        <v/>
      </c>
      <c r="M400" s="94" t="str">
        <f>IF(B400="","", VLOOKUP(B400,RM!$C$4:$G984,11,FALSE))</f>
        <v/>
      </c>
      <c r="N400" s="95" t="str">
        <f>IF(B400="","", VLOOKUP(B400,RM!$C$4:$G984,12,FALSE))</f>
        <v/>
      </c>
    </row>
    <row r="401" spans="1:14">
      <c r="A401" s="87" t="str">
        <f t="shared" si="1"/>
        <v/>
      </c>
      <c r="B401" s="2"/>
      <c r="C401" s="87"/>
      <c r="D401" s="87"/>
      <c r="E401" s="87"/>
      <c r="F401" s="87"/>
      <c r="G401" s="87"/>
      <c r="H401" s="87"/>
      <c r="I401" s="87"/>
      <c r="J401" s="2"/>
      <c r="K401" s="2"/>
      <c r="L401" s="94" t="str">
        <f>IF(B401="","", VLOOKUP(B401,RM!$C$4:$G984,10,FALSE))</f>
        <v/>
      </c>
      <c r="M401" s="94" t="str">
        <f>IF(B401="","", VLOOKUP(B401,RM!$C$4:$G984,11,FALSE))</f>
        <v/>
      </c>
      <c r="N401" s="95" t="str">
        <f>IF(B401="","", VLOOKUP(B401,RM!$C$4:$G984,12,FALSE))</f>
        <v/>
      </c>
    </row>
    <row r="402" spans="1:14">
      <c r="A402" s="87" t="str">
        <f t="shared" si="1"/>
        <v/>
      </c>
      <c r="B402" s="2"/>
      <c r="C402" s="87"/>
      <c r="D402" s="87"/>
      <c r="E402" s="87"/>
      <c r="F402" s="87"/>
      <c r="G402" s="87"/>
      <c r="H402" s="87"/>
      <c r="I402" s="87"/>
      <c r="J402" s="2"/>
      <c r="K402" s="2"/>
      <c r="L402" s="94" t="str">
        <f>IF(B402="","", VLOOKUP(B402,RM!$C$4:$G984,10,FALSE))</f>
        <v/>
      </c>
      <c r="M402" s="94" t="str">
        <f>IF(B402="","", VLOOKUP(B402,RM!$C$4:$G984,11,FALSE))</f>
        <v/>
      </c>
      <c r="N402" s="95" t="str">
        <f>IF(B402="","", VLOOKUP(B402,RM!$C$4:$G984,12,FALSE))</f>
        <v/>
      </c>
    </row>
    <row r="403" spans="1:14">
      <c r="A403" s="87" t="str">
        <f t="shared" si="1"/>
        <v/>
      </c>
      <c r="B403" s="2"/>
      <c r="C403" s="87"/>
      <c r="D403" s="87"/>
      <c r="E403" s="87"/>
      <c r="F403" s="87"/>
      <c r="G403" s="87"/>
      <c r="H403" s="87"/>
      <c r="I403" s="87"/>
      <c r="J403" s="2"/>
      <c r="K403" s="2"/>
      <c r="L403" s="94" t="str">
        <f>IF(B403="","", VLOOKUP(B403,RM!$C$4:$G984,10,FALSE))</f>
        <v/>
      </c>
      <c r="M403" s="94" t="str">
        <f>IF(B403="","", VLOOKUP(B403,RM!$C$4:$G984,11,FALSE))</f>
        <v/>
      </c>
      <c r="N403" s="95" t="str">
        <f>IF(B403="","", VLOOKUP(B403,RM!$C$4:$G984,12,FALSE))</f>
        <v/>
      </c>
    </row>
    <row r="404" spans="1:14">
      <c r="A404" s="87" t="str">
        <f t="shared" si="1"/>
        <v/>
      </c>
      <c r="B404" s="2"/>
      <c r="C404" s="87"/>
      <c r="D404" s="87"/>
      <c r="E404" s="87"/>
      <c r="F404" s="87"/>
      <c r="G404" s="87"/>
      <c r="H404" s="87"/>
      <c r="I404" s="87"/>
      <c r="J404" s="2"/>
      <c r="K404" s="2"/>
      <c r="L404" s="94" t="str">
        <f>IF(B404="","", VLOOKUP(B404,RM!$C$4:$G984,10,FALSE))</f>
        <v/>
      </c>
      <c r="M404" s="94" t="str">
        <f>IF(B404="","", VLOOKUP(B404,RM!$C$4:$G984,11,FALSE))</f>
        <v/>
      </c>
      <c r="N404" s="95" t="str">
        <f>IF(B404="","", VLOOKUP(B404,RM!$C$4:$G984,12,FALSE))</f>
        <v/>
      </c>
    </row>
    <row r="405" spans="1:14">
      <c r="A405" s="87" t="str">
        <f t="shared" si="1"/>
        <v/>
      </c>
      <c r="B405" s="2"/>
      <c r="C405" s="87"/>
      <c r="D405" s="87"/>
      <c r="E405" s="87"/>
      <c r="F405" s="87"/>
      <c r="G405" s="87"/>
      <c r="H405" s="87"/>
      <c r="I405" s="87"/>
      <c r="J405" s="2"/>
      <c r="K405" s="2"/>
      <c r="L405" s="94" t="str">
        <f>IF(B405="","", VLOOKUP(B405,RM!$C$4:$G984,10,FALSE))</f>
        <v/>
      </c>
      <c r="M405" s="94" t="str">
        <f>IF(B405="","", VLOOKUP(B405,RM!$C$4:$G984,11,FALSE))</f>
        <v/>
      </c>
      <c r="N405" s="95" t="str">
        <f>IF(B405="","", VLOOKUP(B405,RM!$C$4:$G984,12,FALSE))</f>
        <v/>
      </c>
    </row>
    <row r="406" spans="1:14">
      <c r="A406" s="87" t="str">
        <f t="shared" si="1"/>
        <v/>
      </c>
      <c r="B406" s="2"/>
      <c r="C406" s="87"/>
      <c r="D406" s="87"/>
      <c r="E406" s="87"/>
      <c r="F406" s="87"/>
      <c r="G406" s="87"/>
      <c r="H406" s="87"/>
      <c r="I406" s="87"/>
      <c r="J406" s="2"/>
      <c r="K406" s="2"/>
      <c r="L406" s="94" t="str">
        <f>IF(B406="","", VLOOKUP(B406,RM!$C$4:$G984,10,FALSE))</f>
        <v/>
      </c>
      <c r="M406" s="94" t="str">
        <f>IF(B406="","", VLOOKUP(B406,RM!$C$4:$G984,11,FALSE))</f>
        <v/>
      </c>
      <c r="N406" s="95" t="str">
        <f>IF(B406="","", VLOOKUP(B406,RM!$C$4:$G984,12,FALSE))</f>
        <v/>
      </c>
    </row>
    <row r="407" spans="1:14">
      <c r="A407" s="87" t="str">
        <f t="shared" si="1"/>
        <v/>
      </c>
      <c r="B407" s="2"/>
      <c r="C407" s="87"/>
      <c r="D407" s="87"/>
      <c r="E407" s="87"/>
      <c r="F407" s="87"/>
      <c r="G407" s="87"/>
      <c r="H407" s="87"/>
      <c r="I407" s="87"/>
      <c r="J407" s="2"/>
      <c r="K407" s="2"/>
      <c r="L407" s="94" t="str">
        <f>IF(B407="","", VLOOKUP(B407,RM!$C$4:$G984,10,FALSE))</f>
        <v/>
      </c>
      <c r="M407" s="94" t="str">
        <f>IF(B407="","", VLOOKUP(B407,RM!$C$4:$G984,11,FALSE))</f>
        <v/>
      </c>
      <c r="N407" s="95" t="str">
        <f>IF(B407="","", VLOOKUP(B407,RM!$C$4:$G984,12,FALSE))</f>
        <v/>
      </c>
    </row>
    <row r="408" spans="1:14">
      <c r="A408" s="87" t="str">
        <f t="shared" si="1"/>
        <v/>
      </c>
      <c r="B408" s="2"/>
      <c r="C408" s="87"/>
      <c r="D408" s="87"/>
      <c r="E408" s="87"/>
      <c r="F408" s="87"/>
      <c r="G408" s="87"/>
      <c r="H408" s="87"/>
      <c r="I408" s="87"/>
      <c r="J408" s="2"/>
      <c r="K408" s="2"/>
      <c r="L408" s="94" t="str">
        <f>IF(B408="","", VLOOKUP(B408,RM!$C$4:$G984,10,FALSE))</f>
        <v/>
      </c>
      <c r="M408" s="94" t="str">
        <f>IF(B408="","", VLOOKUP(B408,RM!$C$4:$G984,11,FALSE))</f>
        <v/>
      </c>
      <c r="N408" s="95" t="str">
        <f>IF(B408="","", VLOOKUP(B408,RM!$C$4:$G984,12,FALSE))</f>
        <v/>
      </c>
    </row>
    <row r="409" spans="1:14">
      <c r="A409" s="87" t="str">
        <f t="shared" si="1"/>
        <v/>
      </c>
      <c r="B409" s="2"/>
      <c r="C409" s="87"/>
      <c r="D409" s="87"/>
      <c r="E409" s="87"/>
      <c r="F409" s="87"/>
      <c r="G409" s="87"/>
      <c r="H409" s="87"/>
      <c r="I409" s="87"/>
      <c r="J409" s="2"/>
      <c r="K409" s="2"/>
      <c r="L409" s="94" t="str">
        <f>IF(B409="","", VLOOKUP(B409,RM!$C$4:$G984,10,FALSE))</f>
        <v/>
      </c>
      <c r="M409" s="94" t="str">
        <f>IF(B409="","", VLOOKUP(B409,RM!$C$4:$G984,11,FALSE))</f>
        <v/>
      </c>
      <c r="N409" s="95" t="str">
        <f>IF(B409="","", VLOOKUP(B409,RM!$C$4:$G984,12,FALSE))</f>
        <v/>
      </c>
    </row>
    <row r="410" spans="1:14">
      <c r="A410" s="87" t="str">
        <f t="shared" si="1"/>
        <v/>
      </c>
      <c r="B410" s="2"/>
      <c r="C410" s="87"/>
      <c r="D410" s="87"/>
      <c r="E410" s="87"/>
      <c r="F410" s="87"/>
      <c r="G410" s="87"/>
      <c r="H410" s="87"/>
      <c r="I410" s="87"/>
      <c r="J410" s="2"/>
      <c r="K410" s="2"/>
      <c r="L410" s="94" t="str">
        <f>IF(B410="","", VLOOKUP(B410,RM!$C$4:$G984,10,FALSE))</f>
        <v/>
      </c>
      <c r="M410" s="94" t="str">
        <f>IF(B410="","", VLOOKUP(B410,RM!$C$4:$G984,11,FALSE))</f>
        <v/>
      </c>
      <c r="N410" s="95" t="str">
        <f>IF(B410="","", VLOOKUP(B410,RM!$C$4:$G984,12,FALSE))</f>
        <v/>
      </c>
    </row>
    <row r="411" spans="1:14">
      <c r="A411" s="87" t="str">
        <f t="shared" si="1"/>
        <v/>
      </c>
      <c r="B411" s="2"/>
      <c r="C411" s="87"/>
      <c r="D411" s="87"/>
      <c r="E411" s="87"/>
      <c r="F411" s="87"/>
      <c r="G411" s="87"/>
      <c r="H411" s="87"/>
      <c r="I411" s="87"/>
      <c r="J411" s="2"/>
      <c r="K411" s="2"/>
      <c r="L411" s="94" t="str">
        <f>IF(B411="","", VLOOKUP(B411,RM!$C$4:$G984,10,FALSE))</f>
        <v/>
      </c>
      <c r="M411" s="94" t="str">
        <f>IF(B411="","", VLOOKUP(B411,RM!$C$4:$G984,11,FALSE))</f>
        <v/>
      </c>
      <c r="N411" s="95" t="str">
        <f>IF(B411="","", VLOOKUP(B411,RM!$C$4:$G984,12,FALSE))</f>
        <v/>
      </c>
    </row>
    <row r="412" spans="1:14">
      <c r="A412" s="87" t="str">
        <f t="shared" si="1"/>
        <v/>
      </c>
      <c r="B412" s="2"/>
      <c r="C412" s="87"/>
      <c r="D412" s="87"/>
      <c r="E412" s="87"/>
      <c r="F412" s="87"/>
      <c r="G412" s="87"/>
      <c r="H412" s="87"/>
      <c r="I412" s="87"/>
      <c r="J412" s="2"/>
      <c r="K412" s="2"/>
      <c r="L412" s="94" t="str">
        <f>IF(B412="","", VLOOKUP(B412,RM!$C$4:$G984,10,FALSE))</f>
        <v/>
      </c>
      <c r="M412" s="94" t="str">
        <f>IF(B412="","", VLOOKUP(B412,RM!$C$4:$G984,11,FALSE))</f>
        <v/>
      </c>
      <c r="N412" s="95" t="str">
        <f>IF(B412="","", VLOOKUP(B412,RM!$C$4:$G984,12,FALSE))</f>
        <v/>
      </c>
    </row>
    <row r="413" spans="1:14">
      <c r="A413" s="87" t="str">
        <f t="shared" si="1"/>
        <v/>
      </c>
      <c r="B413" s="2"/>
      <c r="C413" s="87"/>
      <c r="D413" s="87"/>
      <c r="E413" s="87"/>
      <c r="F413" s="87"/>
      <c r="G413" s="87"/>
      <c r="H413" s="87"/>
      <c r="I413" s="87"/>
      <c r="J413" s="2"/>
      <c r="K413" s="2"/>
      <c r="L413" s="94" t="str">
        <f>IF(B413="","", VLOOKUP(B413,RM!$C$4:$G984,10,FALSE))</f>
        <v/>
      </c>
      <c r="M413" s="94" t="str">
        <f>IF(B413="","", VLOOKUP(B413,RM!$C$4:$G984,11,FALSE))</f>
        <v/>
      </c>
      <c r="N413" s="95" t="str">
        <f>IF(B413="","", VLOOKUP(B413,RM!$C$4:$G984,12,FALSE))</f>
        <v/>
      </c>
    </row>
    <row r="414" spans="1:14">
      <c r="A414" s="87" t="str">
        <f t="shared" si="1"/>
        <v/>
      </c>
      <c r="B414" s="2"/>
      <c r="C414" s="87"/>
      <c r="D414" s="87"/>
      <c r="E414" s="87"/>
      <c r="F414" s="87"/>
      <c r="G414" s="87"/>
      <c r="H414" s="87"/>
      <c r="I414" s="87"/>
      <c r="J414" s="2"/>
      <c r="K414" s="2"/>
      <c r="L414" s="94" t="str">
        <f>IF(B414="","", VLOOKUP(B414,RM!$C$4:$G984,10,FALSE))</f>
        <v/>
      </c>
      <c r="M414" s="94" t="str">
        <f>IF(B414="","", VLOOKUP(B414,RM!$C$4:$G984,11,FALSE))</f>
        <v/>
      </c>
      <c r="N414" s="95" t="str">
        <f>IF(B414="","", VLOOKUP(B414,RM!$C$4:$G984,12,FALSE))</f>
        <v/>
      </c>
    </row>
    <row r="415" spans="1:14">
      <c r="A415" s="87" t="str">
        <f t="shared" si="1"/>
        <v/>
      </c>
      <c r="B415" s="2"/>
      <c r="C415" s="87"/>
      <c r="D415" s="87"/>
      <c r="E415" s="87"/>
      <c r="F415" s="87"/>
      <c r="G415" s="87"/>
      <c r="H415" s="87"/>
      <c r="I415" s="87"/>
      <c r="J415" s="2"/>
      <c r="K415" s="2"/>
      <c r="L415" s="94" t="str">
        <f>IF(B415="","", VLOOKUP(B415,RM!$C$4:$G984,10,FALSE))</f>
        <v/>
      </c>
      <c r="M415" s="94" t="str">
        <f>IF(B415="","", VLOOKUP(B415,RM!$C$4:$G984,11,FALSE))</f>
        <v/>
      </c>
      <c r="N415" s="95" t="str">
        <f>IF(B415="","", VLOOKUP(B415,RM!$C$4:$G984,12,FALSE))</f>
        <v/>
      </c>
    </row>
    <row r="416" spans="1:14">
      <c r="A416" s="87" t="str">
        <f t="shared" si="1"/>
        <v/>
      </c>
      <c r="B416" s="2"/>
      <c r="C416" s="87"/>
      <c r="D416" s="87"/>
      <c r="E416" s="87"/>
      <c r="F416" s="87"/>
      <c r="G416" s="87"/>
      <c r="H416" s="87"/>
      <c r="I416" s="87"/>
      <c r="J416" s="2"/>
      <c r="K416" s="2"/>
      <c r="L416" s="94" t="str">
        <f>IF(B416="","", VLOOKUP(B416,RM!$C$4:$G984,10,FALSE))</f>
        <v/>
      </c>
      <c r="M416" s="94" t="str">
        <f>IF(B416="","", VLOOKUP(B416,RM!$C$4:$G984,11,FALSE))</f>
        <v/>
      </c>
      <c r="N416" s="95" t="str">
        <f>IF(B416="","", VLOOKUP(B416,RM!$C$4:$G984,12,FALSE))</f>
        <v/>
      </c>
    </row>
    <row r="417" spans="1:14">
      <c r="A417" s="87" t="str">
        <f t="shared" si="1"/>
        <v/>
      </c>
      <c r="B417" s="2"/>
      <c r="C417" s="87"/>
      <c r="D417" s="87"/>
      <c r="E417" s="87"/>
      <c r="F417" s="87"/>
      <c r="G417" s="87"/>
      <c r="H417" s="87"/>
      <c r="I417" s="87"/>
      <c r="J417" s="2"/>
      <c r="K417" s="2"/>
      <c r="L417" s="94" t="str">
        <f>IF(B417="","", VLOOKUP(B417,RM!$C$4:$G984,10,FALSE))</f>
        <v/>
      </c>
      <c r="M417" s="94" t="str">
        <f>IF(B417="","", VLOOKUP(B417,RM!$C$4:$G984,11,FALSE))</f>
        <v/>
      </c>
      <c r="N417" s="95" t="str">
        <f>IF(B417="","", VLOOKUP(B417,RM!$C$4:$G984,12,FALSE))</f>
        <v/>
      </c>
    </row>
    <row r="418" spans="1:14">
      <c r="A418" s="87" t="str">
        <f t="shared" si="1"/>
        <v/>
      </c>
      <c r="B418" s="2"/>
      <c r="C418" s="87"/>
      <c r="D418" s="87"/>
      <c r="E418" s="87"/>
      <c r="F418" s="87"/>
      <c r="G418" s="87"/>
      <c r="H418" s="87"/>
      <c r="I418" s="87"/>
      <c r="J418" s="2"/>
      <c r="K418" s="2"/>
      <c r="L418" s="94" t="str">
        <f>IF(B418="","", VLOOKUP(B418,RM!$C$4:$G984,10,FALSE))</f>
        <v/>
      </c>
      <c r="M418" s="94" t="str">
        <f>IF(B418="","", VLOOKUP(B418,RM!$C$4:$G984,11,FALSE))</f>
        <v/>
      </c>
      <c r="N418" s="95" t="str">
        <f>IF(B418="","", VLOOKUP(B418,RM!$C$4:$G984,12,FALSE))</f>
        <v/>
      </c>
    </row>
    <row r="419" spans="1:14">
      <c r="A419" s="87" t="str">
        <f t="shared" si="1"/>
        <v/>
      </c>
      <c r="B419" s="2"/>
      <c r="C419" s="87"/>
      <c r="D419" s="87"/>
      <c r="E419" s="87"/>
      <c r="F419" s="87"/>
      <c r="G419" s="87"/>
      <c r="H419" s="87"/>
      <c r="I419" s="87"/>
      <c r="J419" s="2"/>
      <c r="K419" s="2"/>
      <c r="L419" s="94" t="str">
        <f>IF(B419="","", VLOOKUP(B419,RM!$C$4:$G984,10,FALSE))</f>
        <v/>
      </c>
      <c r="M419" s="94" t="str">
        <f>IF(B419="","", VLOOKUP(B419,RM!$C$4:$G984,11,FALSE))</f>
        <v/>
      </c>
      <c r="N419" s="95" t="str">
        <f>IF(B419="","", VLOOKUP(B419,RM!$C$4:$G984,12,FALSE))</f>
        <v/>
      </c>
    </row>
    <row r="420" spans="1:14">
      <c r="A420" s="87" t="str">
        <f t="shared" si="1"/>
        <v/>
      </c>
      <c r="B420" s="2"/>
      <c r="C420" s="87"/>
      <c r="D420" s="87"/>
      <c r="E420" s="87"/>
      <c r="F420" s="87"/>
      <c r="G420" s="87"/>
      <c r="H420" s="87"/>
      <c r="I420" s="87"/>
      <c r="J420" s="2"/>
      <c r="K420" s="2"/>
      <c r="L420" s="94" t="str">
        <f>IF(B420="","", VLOOKUP(B420,RM!$C$4:$G984,10,FALSE))</f>
        <v/>
      </c>
      <c r="M420" s="94" t="str">
        <f>IF(B420="","", VLOOKUP(B420,RM!$C$4:$G984,11,FALSE))</f>
        <v/>
      </c>
      <c r="N420" s="95" t="str">
        <f>IF(B420="","", VLOOKUP(B420,RM!$C$4:$G984,12,FALSE))</f>
        <v/>
      </c>
    </row>
    <row r="421" spans="1:14">
      <c r="A421" s="87" t="str">
        <f t="shared" si="1"/>
        <v/>
      </c>
      <c r="B421" s="2"/>
      <c r="C421" s="87"/>
      <c r="D421" s="87"/>
      <c r="E421" s="87"/>
      <c r="F421" s="87"/>
      <c r="G421" s="87"/>
      <c r="H421" s="87"/>
      <c r="I421" s="87"/>
      <c r="J421" s="2"/>
      <c r="K421" s="2"/>
      <c r="L421" s="94" t="str">
        <f>IF(B421="","", VLOOKUP(B421,RM!$C$4:$G984,10,FALSE))</f>
        <v/>
      </c>
      <c r="M421" s="94" t="str">
        <f>IF(B421="","", VLOOKUP(B421,RM!$C$4:$G984,11,FALSE))</f>
        <v/>
      </c>
      <c r="N421" s="95" t="str">
        <f>IF(B421="","", VLOOKUP(B421,RM!$C$4:$G984,12,FALSE))</f>
        <v/>
      </c>
    </row>
    <row r="422" spans="1:14">
      <c r="A422" s="87" t="str">
        <f t="shared" si="1"/>
        <v/>
      </c>
      <c r="B422" s="2"/>
      <c r="C422" s="87"/>
      <c r="D422" s="87"/>
      <c r="E422" s="87"/>
      <c r="F422" s="87"/>
      <c r="G422" s="87"/>
      <c r="H422" s="87"/>
      <c r="I422" s="87"/>
      <c r="J422" s="2"/>
      <c r="K422" s="2"/>
      <c r="L422" s="94" t="str">
        <f>IF(B422="","", VLOOKUP(B422,RM!$C$4:$G984,10,FALSE))</f>
        <v/>
      </c>
      <c r="M422" s="94" t="str">
        <f>IF(B422="","", VLOOKUP(B422,RM!$C$4:$G984,11,FALSE))</f>
        <v/>
      </c>
      <c r="N422" s="95" t="str">
        <f>IF(B422="","", VLOOKUP(B422,RM!$C$4:$G984,12,FALSE))</f>
        <v/>
      </c>
    </row>
    <row r="423" spans="1:14">
      <c r="A423" s="87" t="str">
        <f t="shared" si="1"/>
        <v/>
      </c>
      <c r="B423" s="2"/>
      <c r="C423" s="87"/>
      <c r="D423" s="87"/>
      <c r="E423" s="87"/>
      <c r="F423" s="87"/>
      <c r="G423" s="87"/>
      <c r="H423" s="87"/>
      <c r="I423" s="87"/>
      <c r="J423" s="2"/>
      <c r="K423" s="2"/>
      <c r="L423" s="94" t="str">
        <f>IF(B423="","", VLOOKUP(B423,RM!$C$4:$G984,10,FALSE))</f>
        <v/>
      </c>
      <c r="M423" s="94" t="str">
        <f>IF(B423="","", VLOOKUP(B423,RM!$C$4:$G984,11,FALSE))</f>
        <v/>
      </c>
      <c r="N423" s="95" t="str">
        <f>IF(B423="","", VLOOKUP(B423,RM!$C$4:$G984,12,FALSE))</f>
        <v/>
      </c>
    </row>
    <row r="424" spans="1:14">
      <c r="A424" s="87" t="str">
        <f t="shared" si="1"/>
        <v/>
      </c>
      <c r="B424" s="2"/>
      <c r="C424" s="87"/>
      <c r="D424" s="87"/>
      <c r="E424" s="87"/>
      <c r="F424" s="87"/>
      <c r="G424" s="87"/>
      <c r="H424" s="87"/>
      <c r="I424" s="87"/>
      <c r="J424" s="2"/>
      <c r="K424" s="2"/>
      <c r="L424" s="94" t="str">
        <f>IF(B424="","", VLOOKUP(B424,RM!$C$4:$G984,10,FALSE))</f>
        <v/>
      </c>
      <c r="M424" s="94" t="str">
        <f>IF(B424="","", VLOOKUP(B424,RM!$C$4:$G984,11,FALSE))</f>
        <v/>
      </c>
      <c r="N424" s="95" t="str">
        <f>IF(B424="","", VLOOKUP(B424,RM!$C$4:$G984,12,FALSE))</f>
        <v/>
      </c>
    </row>
    <row r="425" spans="1:14">
      <c r="A425" s="87" t="str">
        <f t="shared" si="1"/>
        <v/>
      </c>
      <c r="B425" s="2"/>
      <c r="C425" s="87"/>
      <c r="D425" s="87"/>
      <c r="E425" s="87"/>
      <c r="F425" s="87"/>
      <c r="G425" s="87"/>
      <c r="H425" s="87"/>
      <c r="I425" s="87"/>
      <c r="J425" s="2"/>
      <c r="K425" s="2"/>
      <c r="L425" s="94" t="str">
        <f>IF(B425="","", VLOOKUP(B425,RM!$C$4:$G984,10,FALSE))</f>
        <v/>
      </c>
      <c r="M425" s="94" t="str">
        <f>IF(B425="","", VLOOKUP(B425,RM!$C$4:$G984,11,FALSE))</f>
        <v/>
      </c>
      <c r="N425" s="95" t="str">
        <f>IF(B425="","", VLOOKUP(B425,RM!$C$4:$G984,12,FALSE))</f>
        <v/>
      </c>
    </row>
    <row r="426" spans="1:14">
      <c r="A426" s="87" t="str">
        <f t="shared" si="1"/>
        <v/>
      </c>
      <c r="B426" s="2"/>
      <c r="C426" s="87"/>
      <c r="D426" s="87"/>
      <c r="E426" s="87"/>
      <c r="F426" s="87"/>
      <c r="G426" s="87"/>
      <c r="H426" s="87"/>
      <c r="I426" s="87"/>
      <c r="J426" s="2"/>
      <c r="K426" s="2"/>
      <c r="L426" s="94" t="str">
        <f>IF(B426="","", VLOOKUP(B426,RM!$C$4:$G984,10,FALSE))</f>
        <v/>
      </c>
      <c r="M426" s="94" t="str">
        <f>IF(B426="","", VLOOKUP(B426,RM!$C$4:$G984,11,FALSE))</f>
        <v/>
      </c>
      <c r="N426" s="95" t="str">
        <f>IF(B426="","", VLOOKUP(B426,RM!$C$4:$G984,12,FALSE))</f>
        <v/>
      </c>
    </row>
    <row r="427" spans="1:14">
      <c r="A427" s="87" t="str">
        <f t="shared" si="1"/>
        <v/>
      </c>
      <c r="B427" s="2"/>
      <c r="C427" s="87"/>
      <c r="D427" s="87"/>
      <c r="E427" s="87"/>
      <c r="F427" s="87"/>
      <c r="G427" s="87"/>
      <c r="H427" s="87"/>
      <c r="I427" s="87"/>
      <c r="J427" s="2"/>
      <c r="K427" s="2"/>
      <c r="L427" s="94" t="str">
        <f>IF(B427="","", VLOOKUP(B427,RM!$C$4:$G984,10,FALSE))</f>
        <v/>
      </c>
      <c r="M427" s="94" t="str">
        <f>IF(B427="","", VLOOKUP(B427,RM!$C$4:$G984,11,FALSE))</f>
        <v/>
      </c>
      <c r="N427" s="95" t="str">
        <f>IF(B427="","", VLOOKUP(B427,RM!$C$4:$G984,12,FALSE))</f>
        <v/>
      </c>
    </row>
    <row r="428" spans="1:14">
      <c r="A428" s="87" t="str">
        <f t="shared" si="1"/>
        <v/>
      </c>
      <c r="B428" s="2"/>
      <c r="C428" s="87"/>
      <c r="D428" s="87"/>
      <c r="E428" s="87"/>
      <c r="F428" s="87"/>
      <c r="G428" s="87"/>
      <c r="H428" s="87"/>
      <c r="I428" s="87"/>
      <c r="J428" s="2"/>
      <c r="K428" s="2"/>
      <c r="L428" s="94" t="str">
        <f>IF(B428="","", VLOOKUP(B428,RM!$C$4:$G984,10,FALSE))</f>
        <v/>
      </c>
      <c r="M428" s="94" t="str">
        <f>IF(B428="","", VLOOKUP(B428,RM!$C$4:$G984,11,FALSE))</f>
        <v/>
      </c>
      <c r="N428" s="95" t="str">
        <f>IF(B428="","", VLOOKUP(B428,RM!$C$4:$G984,12,FALSE))</f>
        <v/>
      </c>
    </row>
    <row r="429" spans="1:14">
      <c r="A429" s="87" t="str">
        <f t="shared" si="1"/>
        <v/>
      </c>
      <c r="B429" s="2"/>
      <c r="C429" s="87"/>
      <c r="D429" s="87"/>
      <c r="E429" s="87"/>
      <c r="F429" s="87"/>
      <c r="G429" s="87"/>
      <c r="H429" s="87"/>
      <c r="I429" s="87"/>
      <c r="J429" s="2"/>
      <c r="K429" s="2"/>
      <c r="L429" s="94" t="str">
        <f>IF(B429="","", VLOOKUP(B429,RM!$C$4:$G984,10,FALSE))</f>
        <v/>
      </c>
      <c r="M429" s="94" t="str">
        <f>IF(B429="","", VLOOKUP(B429,RM!$C$4:$G984,11,FALSE))</f>
        <v/>
      </c>
      <c r="N429" s="95" t="str">
        <f>IF(B429="","", VLOOKUP(B429,RM!$C$4:$G984,12,FALSE))</f>
        <v/>
      </c>
    </row>
    <row r="430" spans="1:14">
      <c r="A430" s="87" t="str">
        <f t="shared" si="1"/>
        <v/>
      </c>
      <c r="B430" s="2"/>
      <c r="C430" s="87"/>
      <c r="D430" s="87"/>
      <c r="E430" s="87"/>
      <c r="F430" s="87"/>
      <c r="G430" s="87"/>
      <c r="H430" s="87"/>
      <c r="I430" s="87"/>
      <c r="J430" s="2"/>
      <c r="K430" s="2"/>
      <c r="L430" s="94" t="str">
        <f>IF(B430="","", VLOOKUP(B430,RM!$C$4:$G984,10,FALSE))</f>
        <v/>
      </c>
      <c r="M430" s="94" t="str">
        <f>IF(B430="","", VLOOKUP(B430,RM!$C$4:$G984,11,FALSE))</f>
        <v/>
      </c>
      <c r="N430" s="95" t="str">
        <f>IF(B430="","", VLOOKUP(B430,RM!$C$4:$G984,12,FALSE))</f>
        <v/>
      </c>
    </row>
    <row r="431" spans="1:14">
      <c r="A431" s="87" t="str">
        <f t="shared" si="1"/>
        <v/>
      </c>
      <c r="B431" s="2"/>
      <c r="C431" s="87"/>
      <c r="D431" s="87"/>
      <c r="E431" s="87"/>
      <c r="F431" s="87"/>
      <c r="G431" s="87"/>
      <c r="H431" s="87"/>
      <c r="I431" s="87"/>
      <c r="J431" s="2"/>
      <c r="K431" s="2"/>
      <c r="L431" s="94" t="str">
        <f>IF(B431="","", VLOOKUP(B431,RM!$C$4:$G984,10,FALSE))</f>
        <v/>
      </c>
      <c r="M431" s="94" t="str">
        <f>IF(B431="","", VLOOKUP(B431,RM!$C$4:$G984,11,FALSE))</f>
        <v/>
      </c>
      <c r="N431" s="95" t="str">
        <f>IF(B431="","", VLOOKUP(B431,RM!$C$4:$G984,12,FALSE))</f>
        <v/>
      </c>
    </row>
    <row r="432" spans="1:14">
      <c r="A432" s="87" t="str">
        <f t="shared" si="1"/>
        <v/>
      </c>
      <c r="B432" s="2"/>
      <c r="C432" s="87"/>
      <c r="D432" s="87"/>
      <c r="E432" s="87"/>
      <c r="F432" s="87"/>
      <c r="G432" s="87"/>
      <c r="H432" s="87"/>
      <c r="I432" s="87"/>
      <c r="J432" s="2"/>
      <c r="K432" s="2"/>
      <c r="L432" s="94" t="str">
        <f>IF(B432="","", VLOOKUP(B432,RM!$C$4:$G984,10,FALSE))</f>
        <v/>
      </c>
      <c r="M432" s="94" t="str">
        <f>IF(B432="","", VLOOKUP(B432,RM!$C$4:$G984,11,FALSE))</f>
        <v/>
      </c>
      <c r="N432" s="95" t="str">
        <f>IF(B432="","", VLOOKUP(B432,RM!$C$4:$G984,12,FALSE))</f>
        <v/>
      </c>
    </row>
    <row r="433" spans="1:14">
      <c r="A433" s="87" t="str">
        <f t="shared" si="1"/>
        <v/>
      </c>
      <c r="B433" s="2"/>
      <c r="C433" s="87"/>
      <c r="D433" s="87"/>
      <c r="E433" s="87"/>
      <c r="F433" s="87"/>
      <c r="G433" s="87"/>
      <c r="H433" s="87"/>
      <c r="I433" s="87"/>
      <c r="J433" s="2"/>
      <c r="K433" s="2"/>
      <c r="L433" s="94" t="str">
        <f>IF(B433="","", VLOOKUP(B433,RM!$C$4:$G984,10,FALSE))</f>
        <v/>
      </c>
      <c r="M433" s="94" t="str">
        <f>IF(B433="","", VLOOKUP(B433,RM!$C$4:$G984,11,FALSE))</f>
        <v/>
      </c>
      <c r="N433" s="95" t="str">
        <f>IF(B433="","", VLOOKUP(B433,RM!$C$4:$G984,12,FALSE))</f>
        <v/>
      </c>
    </row>
    <row r="434" spans="1:14">
      <c r="A434" s="87" t="str">
        <f t="shared" si="1"/>
        <v/>
      </c>
      <c r="B434" s="2"/>
      <c r="C434" s="87"/>
      <c r="D434" s="87"/>
      <c r="E434" s="87"/>
      <c r="F434" s="87"/>
      <c r="G434" s="87"/>
      <c r="H434" s="87"/>
      <c r="I434" s="87"/>
      <c r="J434" s="2"/>
      <c r="K434" s="2"/>
      <c r="L434" s="94" t="str">
        <f>IF(B434="","", VLOOKUP(B434,RM!$C$4:$G984,10,FALSE))</f>
        <v/>
      </c>
      <c r="M434" s="94" t="str">
        <f>IF(B434="","", VLOOKUP(B434,RM!$C$4:$G984,11,FALSE))</f>
        <v/>
      </c>
      <c r="N434" s="95" t="str">
        <f>IF(B434="","", VLOOKUP(B434,RM!$C$4:$G984,12,FALSE))</f>
        <v/>
      </c>
    </row>
    <row r="435" spans="1:14">
      <c r="A435" s="87" t="str">
        <f t="shared" si="1"/>
        <v/>
      </c>
      <c r="B435" s="2"/>
      <c r="C435" s="87"/>
      <c r="D435" s="87"/>
      <c r="E435" s="87"/>
      <c r="F435" s="87"/>
      <c r="G435" s="87"/>
      <c r="H435" s="87"/>
      <c r="I435" s="87"/>
      <c r="J435" s="2"/>
      <c r="K435" s="2"/>
      <c r="L435" s="94" t="str">
        <f>IF(B435="","", VLOOKUP(B435,RM!$C$4:$G984,10,FALSE))</f>
        <v/>
      </c>
      <c r="M435" s="94" t="str">
        <f>IF(B435="","", VLOOKUP(B435,RM!$C$4:$G984,11,FALSE))</f>
        <v/>
      </c>
      <c r="N435" s="95" t="str">
        <f>IF(B435="","", VLOOKUP(B435,RM!$C$4:$G984,12,FALSE))</f>
        <v/>
      </c>
    </row>
    <row r="436" spans="1:14">
      <c r="A436" s="87" t="str">
        <f t="shared" si="1"/>
        <v/>
      </c>
      <c r="B436" s="2"/>
      <c r="C436" s="87"/>
      <c r="D436" s="87"/>
      <c r="E436" s="87"/>
      <c r="F436" s="87"/>
      <c r="G436" s="87"/>
      <c r="H436" s="87"/>
      <c r="I436" s="87"/>
      <c r="J436" s="2"/>
      <c r="K436" s="2"/>
      <c r="L436" s="94" t="str">
        <f>IF(B436="","", VLOOKUP(B436,RM!$C$4:$G984,10,FALSE))</f>
        <v/>
      </c>
      <c r="M436" s="94" t="str">
        <f>IF(B436="","", VLOOKUP(B436,RM!$C$4:$G984,11,FALSE))</f>
        <v/>
      </c>
      <c r="N436" s="95" t="str">
        <f>IF(B436="","", VLOOKUP(B436,RM!$C$4:$G984,12,FALSE))</f>
        <v/>
      </c>
    </row>
    <row r="437" spans="1:14">
      <c r="A437" s="87" t="str">
        <f t="shared" si="1"/>
        <v/>
      </c>
      <c r="B437" s="2"/>
      <c r="C437" s="87"/>
      <c r="D437" s="87"/>
      <c r="E437" s="87"/>
      <c r="F437" s="87"/>
      <c r="G437" s="87"/>
      <c r="H437" s="87"/>
      <c r="I437" s="87"/>
      <c r="J437" s="2"/>
      <c r="K437" s="2"/>
      <c r="L437" s="94" t="str">
        <f>IF(B437="","", VLOOKUP(B437,RM!$C$4:$G984,10,FALSE))</f>
        <v/>
      </c>
      <c r="M437" s="94" t="str">
        <f>IF(B437="","", VLOOKUP(B437,RM!$C$4:$G984,11,FALSE))</f>
        <v/>
      </c>
      <c r="N437" s="95" t="str">
        <f>IF(B437="","", VLOOKUP(B437,RM!$C$4:$G984,12,FALSE))</f>
        <v/>
      </c>
    </row>
    <row r="438" spans="1:14">
      <c r="A438" s="87" t="str">
        <f t="shared" si="1"/>
        <v/>
      </c>
      <c r="B438" s="2"/>
      <c r="C438" s="87"/>
      <c r="D438" s="87"/>
      <c r="E438" s="87"/>
      <c r="F438" s="87"/>
      <c r="G438" s="87"/>
      <c r="H438" s="87"/>
      <c r="I438" s="87"/>
      <c r="J438" s="2"/>
      <c r="K438" s="2"/>
      <c r="L438" s="94" t="str">
        <f>IF(B438="","", VLOOKUP(B438,RM!$C$4:$G984,10,FALSE))</f>
        <v/>
      </c>
      <c r="M438" s="94" t="str">
        <f>IF(B438="","", VLOOKUP(B438,RM!$C$4:$G984,11,FALSE))</f>
        <v/>
      </c>
      <c r="N438" s="95" t="str">
        <f>IF(B438="","", VLOOKUP(B438,RM!$C$4:$G984,12,FALSE))</f>
        <v/>
      </c>
    </row>
    <row r="439" spans="1:14">
      <c r="A439" s="87" t="str">
        <f t="shared" si="1"/>
        <v/>
      </c>
      <c r="B439" s="2"/>
      <c r="C439" s="87"/>
      <c r="D439" s="87"/>
      <c r="E439" s="87"/>
      <c r="F439" s="87"/>
      <c r="G439" s="87"/>
      <c r="H439" s="87"/>
      <c r="I439" s="87"/>
      <c r="J439" s="2"/>
      <c r="K439" s="2"/>
      <c r="L439" s="94" t="str">
        <f>IF(B439="","", VLOOKUP(B439,RM!$C$4:$G984,10,FALSE))</f>
        <v/>
      </c>
      <c r="M439" s="94" t="str">
        <f>IF(B439="","", VLOOKUP(B439,RM!$C$4:$G984,11,FALSE))</f>
        <v/>
      </c>
      <c r="N439" s="95" t="str">
        <f>IF(B439="","", VLOOKUP(B439,RM!$C$4:$G984,12,FALSE))</f>
        <v/>
      </c>
    </row>
    <row r="440" spans="1:14">
      <c r="A440" s="87" t="str">
        <f t="shared" si="1"/>
        <v/>
      </c>
      <c r="B440" s="2"/>
      <c r="C440" s="87"/>
      <c r="D440" s="87"/>
      <c r="E440" s="87"/>
      <c r="F440" s="87"/>
      <c r="G440" s="87"/>
      <c r="H440" s="87"/>
      <c r="I440" s="87"/>
      <c r="J440" s="2"/>
      <c r="K440" s="2"/>
      <c r="L440" s="94" t="str">
        <f>IF(B440="","", VLOOKUP(B440,RM!$C$4:$G984,10,FALSE))</f>
        <v/>
      </c>
      <c r="M440" s="94" t="str">
        <f>IF(B440="","", VLOOKUP(B440,RM!$C$4:$G984,11,FALSE))</f>
        <v/>
      </c>
      <c r="N440" s="95" t="str">
        <f>IF(B440="","", VLOOKUP(B440,RM!$C$4:$G984,12,FALSE))</f>
        <v/>
      </c>
    </row>
    <row r="441" spans="1:14">
      <c r="A441" s="87" t="str">
        <f t="shared" si="1"/>
        <v/>
      </c>
      <c r="B441" s="2"/>
      <c r="C441" s="87"/>
      <c r="D441" s="87"/>
      <c r="E441" s="87"/>
      <c r="F441" s="87"/>
      <c r="G441" s="87"/>
      <c r="H441" s="87"/>
      <c r="I441" s="87"/>
      <c r="J441" s="2"/>
      <c r="K441" s="2"/>
      <c r="L441" s="94" t="str">
        <f>IF(B441="","", VLOOKUP(B441,RM!$C$4:$G984,10,FALSE))</f>
        <v/>
      </c>
      <c r="M441" s="94" t="str">
        <f>IF(B441="","", VLOOKUP(B441,RM!$C$4:$G984,11,FALSE))</f>
        <v/>
      </c>
      <c r="N441" s="95" t="str">
        <f>IF(B441="","", VLOOKUP(B441,RM!$C$4:$G984,12,FALSE))</f>
        <v/>
      </c>
    </row>
    <row r="442" spans="1:14">
      <c r="A442" s="87" t="str">
        <f t="shared" si="1"/>
        <v/>
      </c>
      <c r="B442" s="2"/>
      <c r="C442" s="87"/>
      <c r="D442" s="87"/>
      <c r="E442" s="87"/>
      <c r="F442" s="87"/>
      <c r="G442" s="87"/>
      <c r="H442" s="87"/>
      <c r="I442" s="87"/>
      <c r="J442" s="2"/>
      <c r="K442" s="2"/>
      <c r="L442" s="94" t="str">
        <f>IF(B442="","", VLOOKUP(B442,RM!$C$4:$G984,10,FALSE))</f>
        <v/>
      </c>
      <c r="M442" s="94" t="str">
        <f>IF(B442="","", VLOOKUP(B442,RM!$C$4:$G984,11,FALSE))</f>
        <v/>
      </c>
      <c r="N442" s="95" t="str">
        <f>IF(B442="","", VLOOKUP(B442,RM!$C$4:$G984,12,FALSE))</f>
        <v/>
      </c>
    </row>
    <row r="443" spans="1:14">
      <c r="A443" s="87" t="str">
        <f t="shared" si="1"/>
        <v/>
      </c>
      <c r="B443" s="2"/>
      <c r="C443" s="87"/>
      <c r="D443" s="87"/>
      <c r="E443" s="87"/>
      <c r="F443" s="87"/>
      <c r="G443" s="87"/>
      <c r="H443" s="87"/>
      <c r="I443" s="87"/>
      <c r="J443" s="2"/>
      <c r="K443" s="2"/>
      <c r="L443" s="94" t="str">
        <f>IF(B443="","", VLOOKUP(B443,RM!$C$4:$G984,10,FALSE))</f>
        <v/>
      </c>
      <c r="M443" s="94" t="str">
        <f>IF(B443="","", VLOOKUP(B443,RM!$C$4:$G984,11,FALSE))</f>
        <v/>
      </c>
      <c r="N443" s="95" t="str">
        <f>IF(B443="","", VLOOKUP(B443,RM!$C$4:$G984,12,FALSE))</f>
        <v/>
      </c>
    </row>
    <row r="444" spans="1:14">
      <c r="A444" s="87" t="str">
        <f t="shared" si="1"/>
        <v/>
      </c>
      <c r="B444" s="2"/>
      <c r="C444" s="87"/>
      <c r="D444" s="87"/>
      <c r="E444" s="87"/>
      <c r="F444" s="87"/>
      <c r="G444" s="87"/>
      <c r="H444" s="87"/>
      <c r="I444" s="87"/>
      <c r="J444" s="2"/>
      <c r="K444" s="2"/>
      <c r="L444" s="94" t="str">
        <f>IF(B444="","", VLOOKUP(B444,RM!$C$4:$G984,10,FALSE))</f>
        <v/>
      </c>
      <c r="M444" s="94" t="str">
        <f>IF(B444="","", VLOOKUP(B444,RM!$C$4:$G984,11,FALSE))</f>
        <v/>
      </c>
      <c r="N444" s="95" t="str">
        <f>IF(B444="","", VLOOKUP(B444,RM!$C$4:$G984,12,FALSE))</f>
        <v/>
      </c>
    </row>
    <row r="445" spans="1:14">
      <c r="A445" s="87" t="str">
        <f t="shared" si="1"/>
        <v/>
      </c>
      <c r="B445" s="2"/>
      <c r="C445" s="87"/>
      <c r="D445" s="87"/>
      <c r="E445" s="87"/>
      <c r="F445" s="87"/>
      <c r="G445" s="87"/>
      <c r="H445" s="87"/>
      <c r="I445" s="87"/>
      <c r="J445" s="2"/>
      <c r="K445" s="2"/>
      <c r="L445" s="94" t="str">
        <f>IF(B445="","", VLOOKUP(B445,RM!$C$4:$G984,10,FALSE))</f>
        <v/>
      </c>
      <c r="M445" s="94" t="str">
        <f>IF(B445="","", VLOOKUP(B445,RM!$C$4:$G984,11,FALSE))</f>
        <v/>
      </c>
      <c r="N445" s="95" t="str">
        <f>IF(B445="","", VLOOKUP(B445,RM!$C$4:$G984,12,FALSE))</f>
        <v/>
      </c>
    </row>
    <row r="446" spans="1:14">
      <c r="A446" s="87" t="str">
        <f t="shared" si="1"/>
        <v/>
      </c>
      <c r="B446" s="2"/>
      <c r="C446" s="87"/>
      <c r="D446" s="87"/>
      <c r="E446" s="87"/>
      <c r="F446" s="87"/>
      <c r="G446" s="87"/>
      <c r="H446" s="87"/>
      <c r="I446" s="87"/>
      <c r="J446" s="2"/>
      <c r="K446" s="2"/>
      <c r="L446" s="94" t="str">
        <f>IF(B446="","", VLOOKUP(B446,RM!$C$4:$G984,10,FALSE))</f>
        <v/>
      </c>
      <c r="M446" s="94" t="str">
        <f>IF(B446="","", VLOOKUP(B446,RM!$C$4:$G984,11,FALSE))</f>
        <v/>
      </c>
      <c r="N446" s="95" t="str">
        <f>IF(B446="","", VLOOKUP(B446,RM!$C$4:$G984,12,FALSE))</f>
        <v/>
      </c>
    </row>
    <row r="447" spans="1:14">
      <c r="A447" s="87" t="str">
        <f t="shared" si="1"/>
        <v/>
      </c>
      <c r="B447" s="2"/>
      <c r="C447" s="87"/>
      <c r="D447" s="87"/>
      <c r="E447" s="87"/>
      <c r="F447" s="87"/>
      <c r="G447" s="87"/>
      <c r="H447" s="87"/>
      <c r="I447" s="87"/>
      <c r="J447" s="2"/>
      <c r="K447" s="2"/>
      <c r="L447" s="94" t="str">
        <f>IF(B447="","", VLOOKUP(B447,RM!$C$4:$G984,10,FALSE))</f>
        <v/>
      </c>
      <c r="M447" s="94" t="str">
        <f>IF(B447="","", VLOOKUP(B447,RM!$C$4:$G984,11,FALSE))</f>
        <v/>
      </c>
      <c r="N447" s="95" t="str">
        <f>IF(B447="","", VLOOKUP(B447,RM!$C$4:$G984,12,FALSE))</f>
        <v/>
      </c>
    </row>
    <row r="448" spans="1:14">
      <c r="A448" s="87" t="str">
        <f t="shared" si="1"/>
        <v/>
      </c>
      <c r="B448" s="2"/>
      <c r="C448" s="87"/>
      <c r="D448" s="87"/>
      <c r="E448" s="87"/>
      <c r="F448" s="87"/>
      <c r="G448" s="87"/>
      <c r="H448" s="87"/>
      <c r="I448" s="87"/>
      <c r="J448" s="2"/>
      <c r="K448" s="2"/>
      <c r="L448" s="94" t="str">
        <f>IF(B448="","", VLOOKUP(B448,RM!$C$4:$G984,10,FALSE))</f>
        <v/>
      </c>
      <c r="M448" s="94" t="str">
        <f>IF(B448="","", VLOOKUP(B448,RM!$C$4:$G984,11,FALSE))</f>
        <v/>
      </c>
      <c r="N448" s="95" t="str">
        <f>IF(B448="","", VLOOKUP(B448,RM!$C$4:$G984,12,FALSE))</f>
        <v/>
      </c>
    </row>
    <row r="449" spans="1:14">
      <c r="A449" s="87" t="str">
        <f t="shared" si="1"/>
        <v/>
      </c>
      <c r="B449" s="2"/>
      <c r="C449" s="87"/>
      <c r="D449" s="87"/>
      <c r="E449" s="87"/>
      <c r="F449" s="87"/>
      <c r="G449" s="87"/>
      <c r="H449" s="87"/>
      <c r="I449" s="87"/>
      <c r="J449" s="2"/>
      <c r="K449" s="2"/>
      <c r="L449" s="94" t="str">
        <f>IF(B449="","", VLOOKUP(B449,RM!$C$4:$G984,10,FALSE))</f>
        <v/>
      </c>
      <c r="M449" s="94" t="str">
        <f>IF(B449="","", VLOOKUP(B449,RM!$C$4:$G984,11,FALSE))</f>
        <v/>
      </c>
      <c r="N449" s="95" t="str">
        <f>IF(B449="","", VLOOKUP(B449,RM!$C$4:$G984,12,FALSE))</f>
        <v/>
      </c>
    </row>
    <row r="450" spans="1:14">
      <c r="A450" s="87" t="str">
        <f t="shared" si="1"/>
        <v/>
      </c>
      <c r="B450" s="2"/>
      <c r="C450" s="87"/>
      <c r="D450" s="87"/>
      <c r="E450" s="87"/>
      <c r="F450" s="87"/>
      <c r="G450" s="87"/>
      <c r="H450" s="87"/>
      <c r="I450" s="87"/>
      <c r="J450" s="2"/>
      <c r="K450" s="2"/>
      <c r="L450" s="94" t="str">
        <f>IF(B450="","", VLOOKUP(B450,RM!$C$4:$G984,10,FALSE))</f>
        <v/>
      </c>
      <c r="M450" s="94" t="str">
        <f>IF(B450="","", VLOOKUP(B450,RM!$C$4:$G984,11,FALSE))</f>
        <v/>
      </c>
      <c r="N450" s="95" t="str">
        <f>IF(B450="","", VLOOKUP(B450,RM!$C$4:$G984,12,FALSE))</f>
        <v/>
      </c>
    </row>
    <row r="451" spans="1:14">
      <c r="A451" s="87" t="str">
        <f t="shared" si="1"/>
        <v/>
      </c>
      <c r="B451" s="2"/>
      <c r="C451" s="87"/>
      <c r="D451" s="87"/>
      <c r="E451" s="87"/>
      <c r="F451" s="87"/>
      <c r="G451" s="87"/>
      <c r="H451" s="87"/>
      <c r="I451" s="87"/>
      <c r="J451" s="2"/>
      <c r="K451" s="2"/>
      <c r="L451" s="94" t="str">
        <f>IF(B451="","", VLOOKUP(B451,RM!$C$4:$G984,10,FALSE))</f>
        <v/>
      </c>
      <c r="M451" s="94" t="str">
        <f>IF(B451="","", VLOOKUP(B451,RM!$C$4:$G984,11,FALSE))</f>
        <v/>
      </c>
      <c r="N451" s="95" t="str">
        <f>IF(B451="","", VLOOKUP(B451,RM!$C$4:$G984,12,FALSE))</f>
        <v/>
      </c>
    </row>
    <row r="452" spans="1:14">
      <c r="A452" s="87" t="str">
        <f t="shared" si="1"/>
        <v/>
      </c>
      <c r="B452" s="2"/>
      <c r="C452" s="87"/>
      <c r="D452" s="87"/>
      <c r="E452" s="87"/>
      <c r="F452" s="87"/>
      <c r="G452" s="87"/>
      <c r="H452" s="87"/>
      <c r="I452" s="87"/>
      <c r="J452" s="2"/>
      <c r="K452" s="2"/>
      <c r="L452" s="94" t="str">
        <f>IF(B452="","", VLOOKUP(B452,RM!$C$4:$G984,10,FALSE))</f>
        <v/>
      </c>
      <c r="M452" s="94" t="str">
        <f>IF(B452="","", VLOOKUP(B452,RM!$C$4:$G984,11,FALSE))</f>
        <v/>
      </c>
      <c r="N452" s="95" t="str">
        <f>IF(B452="","", VLOOKUP(B452,RM!$C$4:$G984,12,FALSE))</f>
        <v/>
      </c>
    </row>
    <row r="453" spans="1:14">
      <c r="A453" s="87" t="str">
        <f t="shared" si="1"/>
        <v/>
      </c>
      <c r="B453" s="2"/>
      <c r="C453" s="87"/>
      <c r="D453" s="87"/>
      <c r="E453" s="87"/>
      <c r="F453" s="87"/>
      <c r="G453" s="87"/>
      <c r="H453" s="87"/>
      <c r="I453" s="87"/>
      <c r="J453" s="2"/>
      <c r="K453" s="2"/>
      <c r="L453" s="94" t="str">
        <f>IF(B453="","", VLOOKUP(B453,RM!$C$4:$G984,10,FALSE))</f>
        <v/>
      </c>
      <c r="M453" s="94" t="str">
        <f>IF(B453="","", VLOOKUP(B453,RM!$C$4:$G984,11,FALSE))</f>
        <v/>
      </c>
      <c r="N453" s="95" t="str">
        <f>IF(B453="","", VLOOKUP(B453,RM!$C$4:$G984,12,FALSE))</f>
        <v/>
      </c>
    </row>
    <row r="454" spans="1:14">
      <c r="A454" s="87" t="str">
        <f t="shared" si="1"/>
        <v/>
      </c>
      <c r="B454" s="2"/>
      <c r="C454" s="87"/>
      <c r="D454" s="87"/>
      <c r="E454" s="87"/>
      <c r="F454" s="87"/>
      <c r="G454" s="87"/>
      <c r="H454" s="87"/>
      <c r="I454" s="87"/>
      <c r="J454" s="2"/>
      <c r="K454" s="2"/>
      <c r="L454" s="94" t="str">
        <f>IF(B454="","", VLOOKUP(B454,RM!$C$4:$G984,10,FALSE))</f>
        <v/>
      </c>
      <c r="M454" s="94" t="str">
        <f>IF(B454="","", VLOOKUP(B454,RM!$C$4:$G984,11,FALSE))</f>
        <v/>
      </c>
      <c r="N454" s="95" t="str">
        <f>IF(B454="","", VLOOKUP(B454,RM!$C$4:$G984,12,FALSE))</f>
        <v/>
      </c>
    </row>
    <row r="455" spans="1:14">
      <c r="A455" s="87" t="str">
        <f t="shared" si="1"/>
        <v/>
      </c>
      <c r="B455" s="2"/>
      <c r="C455" s="87"/>
      <c r="D455" s="87"/>
      <c r="E455" s="87"/>
      <c r="F455" s="87"/>
      <c r="G455" s="87"/>
      <c r="H455" s="87"/>
      <c r="I455" s="87"/>
      <c r="J455" s="2"/>
      <c r="K455" s="2"/>
      <c r="L455" s="94" t="str">
        <f>IF(B455="","", VLOOKUP(B455,RM!$C$4:$G984,10,FALSE))</f>
        <v/>
      </c>
      <c r="M455" s="94" t="str">
        <f>IF(B455="","", VLOOKUP(B455,RM!$C$4:$G984,11,FALSE))</f>
        <v/>
      </c>
      <c r="N455" s="95" t="str">
        <f>IF(B455="","", VLOOKUP(B455,RM!$C$4:$G984,12,FALSE))</f>
        <v/>
      </c>
    </row>
    <row r="456" spans="1:14">
      <c r="A456" s="87" t="str">
        <f t="shared" si="1"/>
        <v/>
      </c>
      <c r="B456" s="2"/>
      <c r="C456" s="87"/>
      <c r="D456" s="87"/>
      <c r="E456" s="87"/>
      <c r="F456" s="87"/>
      <c r="G456" s="87"/>
      <c r="H456" s="87"/>
      <c r="I456" s="87"/>
      <c r="J456" s="2"/>
      <c r="K456" s="2"/>
      <c r="L456" s="94" t="str">
        <f>IF(B456="","", VLOOKUP(B456,RM!$C$4:$G984,10,FALSE))</f>
        <v/>
      </c>
      <c r="M456" s="94" t="str">
        <f>IF(B456="","", VLOOKUP(B456,RM!$C$4:$G984,11,FALSE))</f>
        <v/>
      </c>
      <c r="N456" s="95" t="str">
        <f>IF(B456="","", VLOOKUP(B456,RM!$C$4:$G984,12,FALSE))</f>
        <v/>
      </c>
    </row>
    <row r="457" spans="1:14">
      <c r="A457" s="87" t="str">
        <f t="shared" si="1"/>
        <v/>
      </c>
      <c r="B457" s="2"/>
      <c r="C457" s="87"/>
      <c r="D457" s="87"/>
      <c r="E457" s="87"/>
      <c r="F457" s="87"/>
      <c r="G457" s="87"/>
      <c r="H457" s="87"/>
      <c r="I457" s="87"/>
      <c r="J457" s="2"/>
      <c r="K457" s="2"/>
      <c r="L457" s="94" t="str">
        <f>IF(B457="","", VLOOKUP(B457,RM!$C$4:$G984,10,FALSE))</f>
        <v/>
      </c>
      <c r="M457" s="94" t="str">
        <f>IF(B457="","", VLOOKUP(B457,RM!$C$4:$G984,11,FALSE))</f>
        <v/>
      </c>
      <c r="N457" s="95" t="str">
        <f>IF(B457="","", VLOOKUP(B457,RM!$C$4:$G984,12,FALSE))</f>
        <v/>
      </c>
    </row>
    <row r="458" spans="1:14">
      <c r="A458" s="87" t="str">
        <f t="shared" si="1"/>
        <v/>
      </c>
      <c r="B458" s="2"/>
      <c r="C458" s="87"/>
      <c r="D458" s="87"/>
      <c r="E458" s="87"/>
      <c r="F458" s="87"/>
      <c r="G458" s="87"/>
      <c r="H458" s="87"/>
      <c r="I458" s="87"/>
      <c r="J458" s="2"/>
      <c r="K458" s="2"/>
      <c r="L458" s="94" t="str">
        <f>IF(B458="","", VLOOKUP(B458,RM!$C$4:$G984,10,FALSE))</f>
        <v/>
      </c>
      <c r="M458" s="94" t="str">
        <f>IF(B458="","", VLOOKUP(B458,RM!$C$4:$G984,11,FALSE))</f>
        <v/>
      </c>
      <c r="N458" s="95" t="str">
        <f>IF(B458="","", VLOOKUP(B458,RM!$C$4:$G984,12,FALSE))</f>
        <v/>
      </c>
    </row>
    <row r="459" spans="1:14">
      <c r="A459" s="87" t="str">
        <f t="shared" si="1"/>
        <v/>
      </c>
      <c r="B459" s="2"/>
      <c r="C459" s="87"/>
      <c r="D459" s="87"/>
      <c r="E459" s="87"/>
      <c r="F459" s="87"/>
      <c r="G459" s="87"/>
      <c r="H459" s="87"/>
      <c r="I459" s="87"/>
      <c r="J459" s="2"/>
      <c r="K459" s="2"/>
      <c r="L459" s="94" t="str">
        <f>IF(B459="","", VLOOKUP(B459,RM!$C$4:$G984,10,FALSE))</f>
        <v/>
      </c>
      <c r="M459" s="94" t="str">
        <f>IF(B459="","", VLOOKUP(B459,RM!$C$4:$G984,11,FALSE))</f>
        <v/>
      </c>
      <c r="N459" s="95" t="str">
        <f>IF(B459="","", VLOOKUP(B459,RM!$C$4:$G984,12,FALSE))</f>
        <v/>
      </c>
    </row>
    <row r="460" spans="1:14">
      <c r="A460" s="87" t="str">
        <f t="shared" si="1"/>
        <v/>
      </c>
      <c r="B460" s="2"/>
      <c r="C460" s="87"/>
      <c r="D460" s="87"/>
      <c r="E460" s="87"/>
      <c r="F460" s="87"/>
      <c r="G460" s="87"/>
      <c r="H460" s="87"/>
      <c r="I460" s="87"/>
      <c r="J460" s="2"/>
      <c r="K460" s="2"/>
      <c r="L460" s="94" t="str">
        <f>IF(B460="","", VLOOKUP(B460,RM!$C$4:$G984,10,FALSE))</f>
        <v/>
      </c>
      <c r="M460" s="94" t="str">
        <f>IF(B460="","", VLOOKUP(B460,RM!$C$4:$G984,11,FALSE))</f>
        <v/>
      </c>
      <c r="N460" s="95" t="str">
        <f>IF(B460="","", VLOOKUP(B460,RM!$C$4:$G984,12,FALSE))</f>
        <v/>
      </c>
    </row>
    <row r="461" spans="1:14">
      <c r="A461" s="87" t="str">
        <f t="shared" si="1"/>
        <v/>
      </c>
      <c r="B461" s="2"/>
      <c r="C461" s="87"/>
      <c r="D461" s="87"/>
      <c r="E461" s="87"/>
      <c r="F461" s="87"/>
      <c r="G461" s="87"/>
      <c r="H461" s="87"/>
      <c r="I461" s="87"/>
      <c r="J461" s="2"/>
      <c r="K461" s="2"/>
      <c r="L461" s="94" t="str">
        <f>IF(B461="","", VLOOKUP(B461,RM!$C$4:$G984,10,FALSE))</f>
        <v/>
      </c>
      <c r="M461" s="94" t="str">
        <f>IF(B461="","", VLOOKUP(B461,RM!$C$4:$G984,11,FALSE))</f>
        <v/>
      </c>
      <c r="N461" s="95" t="str">
        <f>IF(B461="","", VLOOKUP(B461,RM!$C$4:$G984,12,FALSE))</f>
        <v/>
      </c>
    </row>
    <row r="462" spans="1:14">
      <c r="A462" s="87" t="str">
        <f t="shared" si="1"/>
        <v/>
      </c>
      <c r="B462" s="2"/>
      <c r="C462" s="87"/>
      <c r="D462" s="87"/>
      <c r="E462" s="87"/>
      <c r="F462" s="87"/>
      <c r="G462" s="87"/>
      <c r="H462" s="87"/>
      <c r="I462" s="87"/>
      <c r="J462" s="2"/>
      <c r="K462" s="2"/>
      <c r="L462" s="94" t="str">
        <f>IF(B462="","", VLOOKUP(B462,RM!$C$4:$G984,10,FALSE))</f>
        <v/>
      </c>
      <c r="M462" s="94" t="str">
        <f>IF(B462="","", VLOOKUP(B462,RM!$C$4:$G984,11,FALSE))</f>
        <v/>
      </c>
      <c r="N462" s="95" t="str">
        <f>IF(B462="","", VLOOKUP(B462,RM!$C$4:$G984,12,FALSE))</f>
        <v/>
      </c>
    </row>
    <row r="463" spans="1:14">
      <c r="A463" s="87" t="str">
        <f t="shared" si="1"/>
        <v/>
      </c>
      <c r="B463" s="2"/>
      <c r="C463" s="87"/>
      <c r="D463" s="87"/>
      <c r="E463" s="87"/>
      <c r="F463" s="87"/>
      <c r="G463" s="87"/>
      <c r="H463" s="87"/>
      <c r="I463" s="87"/>
      <c r="J463" s="2"/>
      <c r="K463" s="2"/>
      <c r="L463" s="94" t="str">
        <f>IF(B463="","", VLOOKUP(B463,RM!$C$4:$G984,10,FALSE))</f>
        <v/>
      </c>
      <c r="M463" s="94" t="str">
        <f>IF(B463="","", VLOOKUP(B463,RM!$C$4:$G984,11,FALSE))</f>
        <v/>
      </c>
      <c r="N463" s="95" t="str">
        <f>IF(B463="","", VLOOKUP(B463,RM!$C$4:$G984,12,FALSE))</f>
        <v/>
      </c>
    </row>
    <row r="464" spans="1:14">
      <c r="A464" s="87" t="str">
        <f t="shared" si="1"/>
        <v/>
      </c>
      <c r="B464" s="2"/>
      <c r="C464" s="87"/>
      <c r="D464" s="87"/>
      <c r="E464" s="87"/>
      <c r="F464" s="87"/>
      <c r="G464" s="87"/>
      <c r="H464" s="87"/>
      <c r="I464" s="87"/>
      <c r="J464" s="2"/>
      <c r="K464" s="2"/>
      <c r="L464" s="94" t="str">
        <f>IF(B464="","", VLOOKUP(B464,RM!$C$4:$G984,10,FALSE))</f>
        <v/>
      </c>
      <c r="M464" s="94" t="str">
        <f>IF(B464="","", VLOOKUP(B464,RM!$C$4:$G984,11,FALSE))</f>
        <v/>
      </c>
      <c r="N464" s="95" t="str">
        <f>IF(B464="","", VLOOKUP(B464,RM!$C$4:$G984,12,FALSE))</f>
        <v/>
      </c>
    </row>
    <row r="465" spans="1:14">
      <c r="A465" s="87" t="str">
        <f t="shared" si="1"/>
        <v/>
      </c>
      <c r="B465" s="2"/>
      <c r="C465" s="87"/>
      <c r="D465" s="87"/>
      <c r="E465" s="87"/>
      <c r="F465" s="87"/>
      <c r="G465" s="87"/>
      <c r="H465" s="87"/>
      <c r="I465" s="87"/>
      <c r="J465" s="2"/>
      <c r="K465" s="2"/>
      <c r="L465" s="94" t="str">
        <f>IF(B465="","", VLOOKUP(B465,RM!$C$4:$G984,10,FALSE))</f>
        <v/>
      </c>
      <c r="M465" s="94" t="str">
        <f>IF(B465="","", VLOOKUP(B465,RM!$C$4:$G984,11,FALSE))</f>
        <v/>
      </c>
      <c r="N465" s="95" t="str">
        <f>IF(B465="","", VLOOKUP(B465,RM!$C$4:$G984,12,FALSE))</f>
        <v/>
      </c>
    </row>
    <row r="466" spans="1:14">
      <c r="A466" s="87" t="str">
        <f t="shared" si="1"/>
        <v/>
      </c>
      <c r="B466" s="2"/>
      <c r="C466" s="87"/>
      <c r="D466" s="87"/>
      <c r="E466" s="87"/>
      <c r="F466" s="87"/>
      <c r="G466" s="87"/>
      <c r="H466" s="87"/>
      <c r="I466" s="87"/>
      <c r="J466" s="2"/>
      <c r="K466" s="2"/>
      <c r="L466" s="94" t="str">
        <f>IF(B466="","", VLOOKUP(B466,RM!$C$4:$G984,10,FALSE))</f>
        <v/>
      </c>
      <c r="M466" s="94" t="str">
        <f>IF(B466="","", VLOOKUP(B466,RM!$C$4:$G984,11,FALSE))</f>
        <v/>
      </c>
      <c r="N466" s="95" t="str">
        <f>IF(B466="","", VLOOKUP(B466,RM!$C$4:$G984,12,FALSE))</f>
        <v/>
      </c>
    </row>
    <row r="467" spans="1:14">
      <c r="A467" s="87" t="str">
        <f t="shared" si="1"/>
        <v/>
      </c>
      <c r="B467" s="2"/>
      <c r="C467" s="87"/>
      <c r="D467" s="87"/>
      <c r="E467" s="87"/>
      <c r="F467" s="87"/>
      <c r="G467" s="87"/>
      <c r="H467" s="87"/>
      <c r="I467" s="87"/>
      <c r="J467" s="2"/>
      <c r="K467" s="2"/>
      <c r="L467" s="94" t="str">
        <f>IF(B467="","", VLOOKUP(B467,RM!$C$4:$G984,10,FALSE))</f>
        <v/>
      </c>
      <c r="M467" s="94" t="str">
        <f>IF(B467="","", VLOOKUP(B467,RM!$C$4:$G984,11,FALSE))</f>
        <v/>
      </c>
      <c r="N467" s="95" t="str">
        <f>IF(B467="","", VLOOKUP(B467,RM!$C$4:$G984,12,FALSE))</f>
        <v/>
      </c>
    </row>
    <row r="468" spans="1:14">
      <c r="A468" s="87" t="str">
        <f t="shared" si="1"/>
        <v/>
      </c>
      <c r="B468" s="2"/>
      <c r="C468" s="87"/>
      <c r="D468" s="87"/>
      <c r="E468" s="87"/>
      <c r="F468" s="87"/>
      <c r="G468" s="87"/>
      <c r="H468" s="87"/>
      <c r="I468" s="87"/>
      <c r="J468" s="2"/>
      <c r="K468" s="2"/>
      <c r="L468" s="94" t="str">
        <f>IF(B468="","", VLOOKUP(B468,RM!$C$4:$G984,10,FALSE))</f>
        <v/>
      </c>
      <c r="M468" s="94" t="str">
        <f>IF(B468="","", VLOOKUP(B468,RM!$C$4:$G984,11,FALSE))</f>
        <v/>
      </c>
      <c r="N468" s="95" t="str">
        <f>IF(B468="","", VLOOKUP(B468,RM!$C$4:$G984,12,FALSE))</f>
        <v/>
      </c>
    </row>
    <row r="469" spans="1:14">
      <c r="A469" s="87" t="str">
        <f t="shared" si="1"/>
        <v/>
      </c>
      <c r="B469" s="2"/>
      <c r="C469" s="87"/>
      <c r="D469" s="87"/>
      <c r="E469" s="87"/>
      <c r="F469" s="87"/>
      <c r="G469" s="87"/>
      <c r="H469" s="87"/>
      <c r="I469" s="87"/>
      <c r="J469" s="2"/>
      <c r="K469" s="2"/>
      <c r="L469" s="94" t="str">
        <f>IF(B469="","", VLOOKUP(B469,RM!$C$4:$G984,10,FALSE))</f>
        <v/>
      </c>
      <c r="M469" s="94" t="str">
        <f>IF(B469="","", VLOOKUP(B469,RM!$C$4:$G984,11,FALSE))</f>
        <v/>
      </c>
      <c r="N469" s="95" t="str">
        <f>IF(B469="","", VLOOKUP(B469,RM!$C$4:$G984,12,FALSE))</f>
        <v/>
      </c>
    </row>
    <row r="470" spans="1:14">
      <c r="A470" s="87" t="str">
        <f t="shared" si="1"/>
        <v/>
      </c>
      <c r="B470" s="2"/>
      <c r="C470" s="87"/>
      <c r="D470" s="87"/>
      <c r="E470" s="87"/>
      <c r="F470" s="87"/>
      <c r="G470" s="87"/>
      <c r="H470" s="87"/>
      <c r="I470" s="87"/>
      <c r="J470" s="2"/>
      <c r="K470" s="2"/>
      <c r="L470" s="94" t="str">
        <f>IF(B470="","", VLOOKUP(B470,RM!$C$4:$G984,10,FALSE))</f>
        <v/>
      </c>
      <c r="M470" s="94" t="str">
        <f>IF(B470="","", VLOOKUP(B470,RM!$C$4:$G984,11,FALSE))</f>
        <v/>
      </c>
      <c r="N470" s="95" t="str">
        <f>IF(B470="","", VLOOKUP(B470,RM!$C$4:$G984,12,FALSE))</f>
        <v/>
      </c>
    </row>
    <row r="471" spans="1:14">
      <c r="A471" s="87" t="str">
        <f t="shared" si="1"/>
        <v/>
      </c>
      <c r="B471" s="2"/>
      <c r="C471" s="87"/>
      <c r="D471" s="87"/>
      <c r="E471" s="87"/>
      <c r="F471" s="87"/>
      <c r="G471" s="87"/>
      <c r="H471" s="87"/>
      <c r="I471" s="87"/>
      <c r="J471" s="2"/>
      <c r="K471" s="2"/>
      <c r="L471" s="94" t="str">
        <f>IF(B471="","", VLOOKUP(B471,RM!$C$4:$G984,10,FALSE))</f>
        <v/>
      </c>
      <c r="M471" s="94" t="str">
        <f>IF(B471="","", VLOOKUP(B471,RM!$C$4:$G984,11,FALSE))</f>
        <v/>
      </c>
      <c r="N471" s="95" t="str">
        <f>IF(B471="","", VLOOKUP(B471,RM!$C$4:$G984,12,FALSE))</f>
        <v/>
      </c>
    </row>
    <row r="472" spans="1:14">
      <c r="A472" s="87" t="str">
        <f t="shared" si="1"/>
        <v/>
      </c>
      <c r="B472" s="2"/>
      <c r="C472" s="87"/>
      <c r="D472" s="87"/>
      <c r="E472" s="87"/>
      <c r="F472" s="87"/>
      <c r="G472" s="87"/>
      <c r="H472" s="87"/>
      <c r="I472" s="87"/>
      <c r="J472" s="2"/>
      <c r="K472" s="2"/>
      <c r="L472" s="94" t="str">
        <f>IF(B472="","", VLOOKUP(B472,RM!$C$4:$G984,10,FALSE))</f>
        <v/>
      </c>
      <c r="M472" s="94" t="str">
        <f>IF(B472="","", VLOOKUP(B472,RM!$C$4:$G984,11,FALSE))</f>
        <v/>
      </c>
      <c r="N472" s="95" t="str">
        <f>IF(B472="","", VLOOKUP(B472,RM!$C$4:$G984,12,FALSE))</f>
        <v/>
      </c>
    </row>
    <row r="473" spans="1:14">
      <c r="A473" s="87" t="str">
        <f t="shared" si="1"/>
        <v/>
      </c>
      <c r="B473" s="2"/>
      <c r="C473" s="87"/>
      <c r="D473" s="87"/>
      <c r="E473" s="87"/>
      <c r="F473" s="87"/>
      <c r="G473" s="87"/>
      <c r="H473" s="87"/>
      <c r="I473" s="87"/>
      <c r="J473" s="2"/>
      <c r="K473" s="2"/>
      <c r="L473" s="94" t="str">
        <f>IF(B473="","", VLOOKUP(B473,RM!$C$4:$G984,10,FALSE))</f>
        <v/>
      </c>
      <c r="M473" s="94" t="str">
        <f>IF(B473="","", VLOOKUP(B473,RM!$C$4:$G984,11,FALSE))</f>
        <v/>
      </c>
      <c r="N473" s="95" t="str">
        <f>IF(B473="","", VLOOKUP(B473,RM!$C$4:$G984,12,FALSE))</f>
        <v/>
      </c>
    </row>
    <row r="474" spans="1:14">
      <c r="A474" s="87" t="str">
        <f t="shared" si="1"/>
        <v/>
      </c>
      <c r="B474" s="2"/>
      <c r="C474" s="87"/>
      <c r="D474" s="87"/>
      <c r="E474" s="87"/>
      <c r="F474" s="87"/>
      <c r="G474" s="87"/>
      <c r="H474" s="87"/>
      <c r="I474" s="87"/>
      <c r="J474" s="2"/>
      <c r="K474" s="2"/>
      <c r="L474" s="94" t="str">
        <f>IF(B474="","", VLOOKUP(B474,RM!$C$4:$G984,10,FALSE))</f>
        <v/>
      </c>
      <c r="M474" s="94" t="str">
        <f>IF(B474="","", VLOOKUP(B474,RM!$C$4:$G984,11,FALSE))</f>
        <v/>
      </c>
      <c r="N474" s="95" t="str">
        <f>IF(B474="","", VLOOKUP(B474,RM!$C$4:$G984,12,FALSE))</f>
        <v/>
      </c>
    </row>
    <row r="475" spans="1:14">
      <c r="A475" s="87" t="str">
        <f t="shared" si="1"/>
        <v/>
      </c>
      <c r="B475" s="2"/>
      <c r="C475" s="87"/>
      <c r="D475" s="87"/>
      <c r="E475" s="87"/>
      <c r="F475" s="87"/>
      <c r="G475" s="87"/>
      <c r="H475" s="87"/>
      <c r="I475" s="87"/>
      <c r="J475" s="2"/>
      <c r="K475" s="2"/>
      <c r="L475" s="94" t="str">
        <f>IF(B475="","", VLOOKUP(B475,RM!$C$4:$G984,10,FALSE))</f>
        <v/>
      </c>
      <c r="M475" s="94" t="str">
        <f>IF(B475="","", VLOOKUP(B475,RM!$C$4:$G984,11,FALSE))</f>
        <v/>
      </c>
      <c r="N475" s="95" t="str">
        <f>IF(B475="","", VLOOKUP(B475,RM!$C$4:$G984,12,FALSE))</f>
        <v/>
      </c>
    </row>
    <row r="476" spans="1:14">
      <c r="A476" s="87" t="str">
        <f t="shared" si="1"/>
        <v/>
      </c>
      <c r="B476" s="2"/>
      <c r="C476" s="87"/>
      <c r="D476" s="87"/>
      <c r="E476" s="87"/>
      <c r="F476" s="87"/>
      <c r="G476" s="87"/>
      <c r="H476" s="87"/>
      <c r="I476" s="87"/>
      <c r="J476" s="2"/>
      <c r="K476" s="2"/>
      <c r="L476" s="94" t="str">
        <f>IF(B476="","", VLOOKUP(B476,RM!$C$4:$G984,10,FALSE))</f>
        <v/>
      </c>
      <c r="M476" s="94" t="str">
        <f>IF(B476="","", VLOOKUP(B476,RM!$C$4:$G984,11,FALSE))</f>
        <v/>
      </c>
      <c r="N476" s="95" t="str">
        <f>IF(B476="","", VLOOKUP(B476,RM!$C$4:$G984,12,FALSE))</f>
        <v/>
      </c>
    </row>
    <row r="477" spans="1:14">
      <c r="A477" s="87" t="str">
        <f t="shared" si="1"/>
        <v/>
      </c>
      <c r="B477" s="2"/>
      <c r="C477" s="87"/>
      <c r="D477" s="87"/>
      <c r="E477" s="87"/>
      <c r="F477" s="87"/>
      <c r="G477" s="87"/>
      <c r="H477" s="87"/>
      <c r="I477" s="87"/>
      <c r="J477" s="2"/>
      <c r="K477" s="2"/>
      <c r="L477" s="94" t="str">
        <f>IF(B477="","", VLOOKUP(B477,RM!$C$4:$G984,10,FALSE))</f>
        <v/>
      </c>
      <c r="M477" s="94" t="str">
        <f>IF(B477="","", VLOOKUP(B477,RM!$C$4:$G984,11,FALSE))</f>
        <v/>
      </c>
      <c r="N477" s="95" t="str">
        <f>IF(B477="","", VLOOKUP(B477,RM!$C$4:$G984,12,FALSE))</f>
        <v/>
      </c>
    </row>
    <row r="478" spans="1:14">
      <c r="A478" s="87" t="str">
        <f t="shared" si="1"/>
        <v/>
      </c>
      <c r="B478" s="2"/>
      <c r="C478" s="87"/>
      <c r="D478" s="87"/>
      <c r="E478" s="87"/>
      <c r="F478" s="87"/>
      <c r="G478" s="87"/>
      <c r="H478" s="87"/>
      <c r="I478" s="87"/>
      <c r="J478" s="2"/>
      <c r="K478" s="2"/>
      <c r="L478" s="94" t="str">
        <f>IF(B478="","", VLOOKUP(B478,RM!$C$4:$G984,10,FALSE))</f>
        <v/>
      </c>
      <c r="M478" s="94" t="str">
        <f>IF(B478="","", VLOOKUP(B478,RM!$C$4:$G984,11,FALSE))</f>
        <v/>
      </c>
      <c r="N478" s="95" t="str">
        <f>IF(B478="","", VLOOKUP(B478,RM!$C$4:$G984,12,FALSE))</f>
        <v/>
      </c>
    </row>
    <row r="479" spans="1:14">
      <c r="A479" s="87" t="str">
        <f t="shared" si="1"/>
        <v/>
      </c>
      <c r="B479" s="2"/>
      <c r="C479" s="87"/>
      <c r="D479" s="87"/>
      <c r="E479" s="87"/>
      <c r="F479" s="87"/>
      <c r="G479" s="87"/>
      <c r="H479" s="87"/>
      <c r="I479" s="87"/>
      <c r="J479" s="2"/>
      <c r="K479" s="2"/>
      <c r="L479" s="94" t="str">
        <f>IF(B479="","", VLOOKUP(B479,RM!$C$4:$G984,10,FALSE))</f>
        <v/>
      </c>
      <c r="M479" s="94" t="str">
        <f>IF(B479="","", VLOOKUP(B479,RM!$C$4:$G984,11,FALSE))</f>
        <v/>
      </c>
      <c r="N479" s="95" t="str">
        <f>IF(B479="","", VLOOKUP(B479,RM!$C$4:$G984,12,FALSE))</f>
        <v/>
      </c>
    </row>
    <row r="480" spans="1:14">
      <c r="A480" s="87" t="str">
        <f t="shared" si="1"/>
        <v/>
      </c>
      <c r="B480" s="2"/>
      <c r="C480" s="87"/>
      <c r="D480" s="87"/>
      <c r="E480" s="87"/>
      <c r="F480" s="87"/>
      <c r="G480" s="87"/>
      <c r="H480" s="87"/>
      <c r="I480" s="87"/>
      <c r="J480" s="2"/>
      <c r="K480" s="2"/>
      <c r="L480" s="94" t="str">
        <f>IF(B480="","", VLOOKUP(B480,RM!$C$4:$G984,10,FALSE))</f>
        <v/>
      </c>
      <c r="M480" s="94" t="str">
        <f>IF(B480="","", VLOOKUP(B480,RM!$C$4:$G984,11,FALSE))</f>
        <v/>
      </c>
      <c r="N480" s="95" t="str">
        <f>IF(B480="","", VLOOKUP(B480,RM!$C$4:$G984,12,FALSE))</f>
        <v/>
      </c>
    </row>
    <row r="481" spans="1:14">
      <c r="A481" s="87" t="str">
        <f t="shared" si="1"/>
        <v/>
      </c>
      <c r="B481" s="2"/>
      <c r="C481" s="87"/>
      <c r="D481" s="87"/>
      <c r="E481" s="87"/>
      <c r="F481" s="87"/>
      <c r="G481" s="87"/>
      <c r="H481" s="87"/>
      <c r="I481" s="87"/>
      <c r="J481" s="2"/>
      <c r="K481" s="2"/>
      <c r="L481" s="94" t="str">
        <f>IF(B481="","", VLOOKUP(B481,RM!$C$4:$G984,10,FALSE))</f>
        <v/>
      </c>
      <c r="M481" s="94" t="str">
        <f>IF(B481="","", VLOOKUP(B481,RM!$C$4:$G984,11,FALSE))</f>
        <v/>
      </c>
      <c r="N481" s="95" t="str">
        <f>IF(B481="","", VLOOKUP(B481,RM!$C$4:$G984,12,FALSE))</f>
        <v/>
      </c>
    </row>
    <row r="482" spans="1:14">
      <c r="A482" s="87" t="str">
        <f t="shared" si="1"/>
        <v/>
      </c>
      <c r="B482" s="2"/>
      <c r="C482" s="87"/>
      <c r="D482" s="87"/>
      <c r="E482" s="87"/>
      <c r="F482" s="87"/>
      <c r="G482" s="87"/>
      <c r="H482" s="87"/>
      <c r="I482" s="87"/>
      <c r="J482" s="2"/>
      <c r="K482" s="2"/>
      <c r="L482" s="94" t="str">
        <f>IF(B482="","", VLOOKUP(B482,RM!$C$4:$G984,10,FALSE))</f>
        <v/>
      </c>
      <c r="M482" s="94" t="str">
        <f>IF(B482="","", VLOOKUP(B482,RM!$C$4:$G984,11,FALSE))</f>
        <v/>
      </c>
      <c r="N482" s="95" t="str">
        <f>IF(B482="","", VLOOKUP(B482,RM!$C$4:$G984,12,FALSE))</f>
        <v/>
      </c>
    </row>
    <row r="483" spans="1:14">
      <c r="A483" s="87" t="str">
        <f t="shared" si="1"/>
        <v/>
      </c>
      <c r="B483" s="2"/>
      <c r="C483" s="87"/>
      <c r="D483" s="87"/>
      <c r="E483" s="87"/>
      <c r="F483" s="87"/>
      <c r="G483" s="87"/>
      <c r="H483" s="87"/>
      <c r="I483" s="87"/>
      <c r="J483" s="2"/>
      <c r="K483" s="2"/>
      <c r="L483" s="94" t="str">
        <f>IF(B483="","", VLOOKUP(B483,RM!$C$4:$G984,10,FALSE))</f>
        <v/>
      </c>
      <c r="M483" s="94" t="str">
        <f>IF(B483="","", VLOOKUP(B483,RM!$C$4:$G984,11,FALSE))</f>
        <v/>
      </c>
      <c r="N483" s="95" t="str">
        <f>IF(B483="","", VLOOKUP(B483,RM!$C$4:$G984,12,FALSE))</f>
        <v/>
      </c>
    </row>
    <row r="484" spans="1:14">
      <c r="A484" s="87" t="str">
        <f t="shared" si="1"/>
        <v/>
      </c>
      <c r="B484" s="2"/>
      <c r="C484" s="87"/>
      <c r="D484" s="87"/>
      <c r="E484" s="87"/>
      <c r="F484" s="87"/>
      <c r="G484" s="87"/>
      <c r="H484" s="87"/>
      <c r="I484" s="87"/>
      <c r="J484" s="2"/>
      <c r="K484" s="2"/>
      <c r="L484" s="94" t="str">
        <f>IF(B484="","", VLOOKUP(B484,RM!$C$4:$G984,10,FALSE))</f>
        <v/>
      </c>
      <c r="M484" s="94" t="str">
        <f>IF(B484="","", VLOOKUP(B484,RM!$C$4:$G984,11,FALSE))</f>
        <v/>
      </c>
      <c r="N484" s="95" t="str">
        <f>IF(B484="","", VLOOKUP(B484,RM!$C$4:$G984,12,FALSE))</f>
        <v/>
      </c>
    </row>
    <row r="485" spans="1:14">
      <c r="A485" s="87" t="str">
        <f t="shared" si="1"/>
        <v/>
      </c>
      <c r="B485" s="2"/>
      <c r="C485" s="87"/>
      <c r="D485" s="87"/>
      <c r="E485" s="87"/>
      <c r="F485" s="87"/>
      <c r="G485" s="87"/>
      <c r="H485" s="87"/>
      <c r="I485" s="87"/>
      <c r="J485" s="2"/>
      <c r="K485" s="2"/>
      <c r="L485" s="94" t="str">
        <f>IF(B485="","", VLOOKUP(B485,RM!$C$4:$G984,10,FALSE))</f>
        <v/>
      </c>
      <c r="M485" s="94" t="str">
        <f>IF(B485="","", VLOOKUP(B485,RM!$C$4:$G984,11,FALSE))</f>
        <v/>
      </c>
      <c r="N485" s="95" t="str">
        <f>IF(B485="","", VLOOKUP(B485,RM!$C$4:$G984,12,FALSE))</f>
        <v/>
      </c>
    </row>
    <row r="486" spans="1:14">
      <c r="A486" s="87" t="str">
        <f t="shared" si="1"/>
        <v/>
      </c>
      <c r="B486" s="2"/>
      <c r="C486" s="87"/>
      <c r="D486" s="87"/>
      <c r="E486" s="87"/>
      <c r="F486" s="87"/>
      <c r="G486" s="87"/>
      <c r="H486" s="87"/>
      <c r="I486" s="87"/>
      <c r="J486" s="2"/>
      <c r="K486" s="2"/>
      <c r="L486" s="94" t="str">
        <f>IF(B486="","", VLOOKUP(B486,RM!$C$4:$G984,10,FALSE))</f>
        <v/>
      </c>
      <c r="M486" s="94" t="str">
        <f>IF(B486="","", VLOOKUP(B486,RM!$C$4:$G984,11,FALSE))</f>
        <v/>
      </c>
      <c r="N486" s="95" t="str">
        <f>IF(B486="","", VLOOKUP(B486,RM!$C$4:$G984,12,FALSE))</f>
        <v/>
      </c>
    </row>
    <row r="487" spans="1:14">
      <c r="A487" s="87" t="str">
        <f t="shared" si="1"/>
        <v/>
      </c>
      <c r="B487" s="2"/>
      <c r="C487" s="87"/>
      <c r="D487" s="87"/>
      <c r="E487" s="87"/>
      <c r="F487" s="87"/>
      <c r="G487" s="87"/>
      <c r="H487" s="87"/>
      <c r="I487" s="87"/>
      <c r="J487" s="2"/>
      <c r="K487" s="2"/>
      <c r="L487" s="94" t="str">
        <f>IF(B487="","", VLOOKUP(B487,RM!$C$4:$G984,10,FALSE))</f>
        <v/>
      </c>
      <c r="M487" s="94" t="str">
        <f>IF(B487="","", VLOOKUP(B487,RM!$C$4:$G984,11,FALSE))</f>
        <v/>
      </c>
      <c r="N487" s="95" t="str">
        <f>IF(B487="","", VLOOKUP(B487,RM!$C$4:$G984,12,FALSE))</f>
        <v/>
      </c>
    </row>
    <row r="488" spans="1:14">
      <c r="A488" s="87" t="str">
        <f t="shared" si="1"/>
        <v/>
      </c>
      <c r="B488" s="2"/>
      <c r="C488" s="87"/>
      <c r="D488" s="87"/>
      <c r="E488" s="87"/>
      <c r="F488" s="87"/>
      <c r="G488" s="87"/>
      <c r="H488" s="87"/>
      <c r="I488" s="87"/>
      <c r="J488" s="2"/>
      <c r="K488" s="2"/>
      <c r="L488" s="94" t="str">
        <f>IF(B488="","", VLOOKUP(B488,RM!$C$4:$G984,10,FALSE))</f>
        <v/>
      </c>
      <c r="M488" s="94" t="str">
        <f>IF(B488="","", VLOOKUP(B488,RM!$C$4:$G984,11,FALSE))</f>
        <v/>
      </c>
      <c r="N488" s="95" t="str">
        <f>IF(B488="","", VLOOKUP(B488,RM!$C$4:$G984,12,FALSE))</f>
        <v/>
      </c>
    </row>
    <row r="489" spans="1:14">
      <c r="A489" s="87" t="str">
        <f t="shared" si="1"/>
        <v/>
      </c>
      <c r="B489" s="2"/>
      <c r="C489" s="87"/>
      <c r="D489" s="87"/>
      <c r="E489" s="87"/>
      <c r="F489" s="87"/>
      <c r="G489" s="87"/>
      <c r="H489" s="87"/>
      <c r="I489" s="87"/>
      <c r="J489" s="2"/>
      <c r="K489" s="2"/>
      <c r="L489" s="94" t="str">
        <f>IF(B489="","", VLOOKUP(B489,RM!$C$4:$G984,10,FALSE))</f>
        <v/>
      </c>
      <c r="M489" s="94" t="str">
        <f>IF(B489="","", VLOOKUP(B489,RM!$C$4:$G984,11,FALSE))</f>
        <v/>
      </c>
      <c r="N489" s="95" t="str">
        <f>IF(B489="","", VLOOKUP(B489,RM!$C$4:$G984,12,FALSE))</f>
        <v/>
      </c>
    </row>
    <row r="490" spans="1:14">
      <c r="A490" s="87" t="str">
        <f t="shared" si="1"/>
        <v/>
      </c>
      <c r="B490" s="2"/>
      <c r="C490" s="87"/>
      <c r="D490" s="87"/>
      <c r="E490" s="87"/>
      <c r="F490" s="87"/>
      <c r="G490" s="87"/>
      <c r="H490" s="87"/>
      <c r="I490" s="87"/>
      <c r="J490" s="2"/>
      <c r="K490" s="2"/>
      <c r="L490" s="94" t="str">
        <f>IF(B490="","", VLOOKUP(B490,RM!$C$4:$G984,10,FALSE))</f>
        <v/>
      </c>
      <c r="M490" s="94" t="str">
        <f>IF(B490="","", VLOOKUP(B490,RM!$C$4:$G984,11,FALSE))</f>
        <v/>
      </c>
      <c r="N490" s="95" t="str">
        <f>IF(B490="","", VLOOKUP(B490,RM!$C$4:$G984,12,FALSE))</f>
        <v/>
      </c>
    </row>
    <row r="491" spans="1:14">
      <c r="A491" s="87" t="str">
        <f t="shared" si="1"/>
        <v/>
      </c>
      <c r="B491" s="2"/>
      <c r="C491" s="87"/>
      <c r="D491" s="87"/>
      <c r="E491" s="87"/>
      <c r="F491" s="87"/>
      <c r="G491" s="87"/>
      <c r="H491" s="87"/>
      <c r="I491" s="87"/>
      <c r="J491" s="2"/>
      <c r="K491" s="2"/>
      <c r="L491" s="94" t="str">
        <f>IF(B491="","", VLOOKUP(B491,RM!$C$4:$G984,10,FALSE))</f>
        <v/>
      </c>
      <c r="M491" s="94" t="str">
        <f>IF(B491="","", VLOOKUP(B491,RM!$C$4:$G984,11,FALSE))</f>
        <v/>
      </c>
      <c r="N491" s="95" t="str">
        <f>IF(B491="","", VLOOKUP(B491,RM!$C$4:$G984,12,FALSE))</f>
        <v/>
      </c>
    </row>
    <row r="492" spans="1:14">
      <c r="A492" s="87" t="str">
        <f t="shared" si="1"/>
        <v/>
      </c>
      <c r="B492" s="2"/>
      <c r="C492" s="87"/>
      <c r="D492" s="87"/>
      <c r="E492" s="87"/>
      <c r="F492" s="87"/>
      <c r="G492" s="87"/>
      <c r="H492" s="87"/>
      <c r="I492" s="87"/>
      <c r="J492" s="2"/>
      <c r="K492" s="2"/>
      <c r="L492" s="94" t="str">
        <f>IF(B492="","", VLOOKUP(B492,RM!$C$4:$G984,10,FALSE))</f>
        <v/>
      </c>
      <c r="M492" s="94" t="str">
        <f>IF(B492="","", VLOOKUP(B492,RM!$C$4:$G984,11,FALSE))</f>
        <v/>
      </c>
      <c r="N492" s="95" t="str">
        <f>IF(B492="","", VLOOKUP(B492,RM!$C$4:$G984,12,FALSE))</f>
        <v/>
      </c>
    </row>
    <row r="493" spans="1:14">
      <c r="A493" s="87" t="str">
        <f t="shared" si="1"/>
        <v/>
      </c>
      <c r="B493" s="2"/>
      <c r="C493" s="87"/>
      <c r="D493" s="87"/>
      <c r="E493" s="87"/>
      <c r="F493" s="87"/>
      <c r="G493" s="87"/>
      <c r="H493" s="87"/>
      <c r="I493" s="87"/>
      <c r="J493" s="2"/>
      <c r="K493" s="2"/>
      <c r="L493" s="94" t="str">
        <f>IF(B493="","", VLOOKUP(B493,RM!$C$4:$G984,10,FALSE))</f>
        <v/>
      </c>
      <c r="M493" s="94" t="str">
        <f>IF(B493="","", VLOOKUP(B493,RM!$C$4:$G984,11,FALSE))</f>
        <v/>
      </c>
      <c r="N493" s="95" t="str">
        <f>IF(B493="","", VLOOKUP(B493,RM!$C$4:$G984,12,FALSE))</f>
        <v/>
      </c>
    </row>
    <row r="494" spans="1:14">
      <c r="A494" s="87" t="str">
        <f t="shared" si="1"/>
        <v/>
      </c>
      <c r="B494" s="2"/>
      <c r="C494" s="87"/>
      <c r="D494" s="87"/>
      <c r="E494" s="87"/>
      <c r="F494" s="87"/>
      <c r="G494" s="87"/>
      <c r="H494" s="87"/>
      <c r="I494" s="87"/>
      <c r="J494" s="2"/>
      <c r="K494" s="2"/>
      <c r="L494" s="94" t="str">
        <f>IF(B494="","", VLOOKUP(B494,RM!$C$4:$G984,10,FALSE))</f>
        <v/>
      </c>
      <c r="M494" s="94" t="str">
        <f>IF(B494="","", VLOOKUP(B494,RM!$C$4:$G984,11,FALSE))</f>
        <v/>
      </c>
      <c r="N494" s="95" t="str">
        <f>IF(B494="","", VLOOKUP(B494,RM!$C$4:$G984,12,FALSE))</f>
        <v/>
      </c>
    </row>
    <row r="495" spans="1:14">
      <c r="A495" s="87" t="str">
        <f t="shared" si="1"/>
        <v/>
      </c>
      <c r="B495" s="2"/>
      <c r="C495" s="87"/>
      <c r="D495" s="87"/>
      <c r="E495" s="87"/>
      <c r="F495" s="87"/>
      <c r="G495" s="87"/>
      <c r="H495" s="87"/>
      <c r="I495" s="87"/>
      <c r="J495" s="2"/>
      <c r="K495" s="2"/>
      <c r="L495" s="94" t="str">
        <f>IF(B495="","", VLOOKUP(B495,RM!$C$4:$G984,10,FALSE))</f>
        <v/>
      </c>
      <c r="M495" s="94" t="str">
        <f>IF(B495="","", VLOOKUP(B495,RM!$C$4:$G984,11,FALSE))</f>
        <v/>
      </c>
      <c r="N495" s="95" t="str">
        <f>IF(B495="","", VLOOKUP(B495,RM!$C$4:$G984,12,FALSE))</f>
        <v/>
      </c>
    </row>
    <row r="496" spans="1:14">
      <c r="A496" s="87" t="str">
        <f t="shared" si="1"/>
        <v/>
      </c>
      <c r="B496" s="2"/>
      <c r="C496" s="87"/>
      <c r="D496" s="87"/>
      <c r="E496" s="87"/>
      <c r="F496" s="87"/>
      <c r="G496" s="87"/>
      <c r="H496" s="87"/>
      <c r="I496" s="87"/>
      <c r="J496" s="2"/>
      <c r="K496" s="2"/>
      <c r="L496" s="94" t="str">
        <f>IF(B496="","", VLOOKUP(B496,RM!$C$4:$G984,10,FALSE))</f>
        <v/>
      </c>
      <c r="M496" s="94" t="str">
        <f>IF(B496="","", VLOOKUP(B496,RM!$C$4:$G984,11,FALSE))</f>
        <v/>
      </c>
      <c r="N496" s="95" t="str">
        <f>IF(B496="","", VLOOKUP(B496,RM!$C$4:$G984,12,FALSE))</f>
        <v/>
      </c>
    </row>
    <row r="497" spans="1:14">
      <c r="A497" s="87" t="str">
        <f t="shared" si="1"/>
        <v/>
      </c>
      <c r="B497" s="2"/>
      <c r="C497" s="87"/>
      <c r="D497" s="87"/>
      <c r="E497" s="87"/>
      <c r="F497" s="87"/>
      <c r="G497" s="87"/>
      <c r="H497" s="87"/>
      <c r="I497" s="87"/>
      <c r="J497" s="2"/>
      <c r="K497" s="2"/>
      <c r="L497" s="94" t="str">
        <f>IF(B497="","", VLOOKUP(B497,RM!$C$4:$G984,10,FALSE))</f>
        <v/>
      </c>
      <c r="M497" s="94" t="str">
        <f>IF(B497="","", VLOOKUP(B497,RM!$C$4:$G984,11,FALSE))</f>
        <v/>
      </c>
      <c r="N497" s="95" t="str">
        <f>IF(B497="","", VLOOKUP(B497,RM!$C$4:$G984,12,FALSE))</f>
        <v/>
      </c>
    </row>
    <row r="498" spans="1:14">
      <c r="A498" s="87" t="str">
        <f t="shared" si="1"/>
        <v/>
      </c>
      <c r="B498" s="2"/>
      <c r="C498" s="87"/>
      <c r="D498" s="87"/>
      <c r="E498" s="87"/>
      <c r="F498" s="87"/>
      <c r="G498" s="87"/>
      <c r="H498" s="87"/>
      <c r="I498" s="87"/>
      <c r="J498" s="2"/>
      <c r="K498" s="2"/>
      <c r="L498" s="94" t="str">
        <f>IF(B498="","", VLOOKUP(B498,RM!$C$4:$G984,10,FALSE))</f>
        <v/>
      </c>
      <c r="M498" s="94" t="str">
        <f>IF(B498="","", VLOOKUP(B498,RM!$C$4:$G984,11,FALSE))</f>
        <v/>
      </c>
      <c r="N498" s="95" t="str">
        <f>IF(B498="","", VLOOKUP(B498,RM!$C$4:$G984,12,FALSE))</f>
        <v/>
      </c>
    </row>
    <row r="499" spans="1:14">
      <c r="A499" s="87" t="str">
        <f t="shared" si="1"/>
        <v/>
      </c>
      <c r="B499" s="2"/>
      <c r="C499" s="87"/>
      <c r="D499" s="87"/>
      <c r="E499" s="87"/>
      <c r="F499" s="87"/>
      <c r="G499" s="87"/>
      <c r="H499" s="87"/>
      <c r="I499" s="87"/>
      <c r="J499" s="2"/>
      <c r="K499" s="2"/>
      <c r="L499" s="94" t="str">
        <f>IF(B499="","", VLOOKUP(B499,RM!$C$4:$G984,10,FALSE))</f>
        <v/>
      </c>
      <c r="M499" s="94" t="str">
        <f>IF(B499="","", VLOOKUP(B499,RM!$C$4:$G984,11,FALSE))</f>
        <v/>
      </c>
      <c r="N499" s="95" t="str">
        <f>IF(B499="","", VLOOKUP(B499,RM!$C$4:$G984,12,FALSE))</f>
        <v/>
      </c>
    </row>
    <row r="500" spans="1:14">
      <c r="A500" s="87" t="str">
        <f t="shared" si="1"/>
        <v/>
      </c>
      <c r="B500" s="2"/>
      <c r="C500" s="87"/>
      <c r="D500" s="87"/>
      <c r="E500" s="87"/>
      <c r="F500" s="87"/>
      <c r="G500" s="87"/>
      <c r="H500" s="87"/>
      <c r="I500" s="87"/>
      <c r="J500" s="2"/>
      <c r="K500" s="2"/>
      <c r="L500" s="94" t="str">
        <f>IF(B500="","", VLOOKUP(B500,RM!$C$4:$G984,10,FALSE))</f>
        <v/>
      </c>
      <c r="M500" s="94" t="str">
        <f>IF(B500="","", VLOOKUP(B500,RM!$C$4:$G984,11,FALSE))</f>
        <v/>
      </c>
      <c r="N500" s="95" t="str">
        <f>IF(B500="","", VLOOKUP(B500,RM!$C$4:$G984,12,FALSE))</f>
        <v/>
      </c>
    </row>
    <row r="501" spans="1:14">
      <c r="A501" s="87" t="str">
        <f t="shared" si="1"/>
        <v/>
      </c>
      <c r="B501" s="2"/>
      <c r="C501" s="87"/>
      <c r="D501" s="87"/>
      <c r="E501" s="87"/>
      <c r="F501" s="87"/>
      <c r="G501" s="87"/>
      <c r="H501" s="87"/>
      <c r="I501" s="87"/>
      <c r="J501" s="2"/>
      <c r="K501" s="2"/>
      <c r="L501" s="94" t="str">
        <f>IF(B501="","", VLOOKUP(B501,RM!$C$4:$G984,10,FALSE))</f>
        <v/>
      </c>
      <c r="M501" s="94" t="str">
        <f>IF(B501="","", VLOOKUP(B501,RM!$C$4:$G984,11,FALSE))</f>
        <v/>
      </c>
      <c r="N501" s="95" t="str">
        <f>IF(B501="","", VLOOKUP(B501,RM!$C$4:$G984,12,FALSE))</f>
        <v/>
      </c>
    </row>
    <row r="502" spans="1:14">
      <c r="A502" s="87" t="str">
        <f t="shared" si="1"/>
        <v/>
      </c>
      <c r="B502" s="2"/>
      <c r="C502" s="87"/>
      <c r="D502" s="87"/>
      <c r="E502" s="87"/>
      <c r="F502" s="87"/>
      <c r="G502" s="87"/>
      <c r="H502" s="87"/>
      <c r="I502" s="87"/>
      <c r="J502" s="2"/>
      <c r="K502" s="2"/>
      <c r="L502" s="94" t="str">
        <f>IF(B502="","", VLOOKUP(B502,RM!$C$4:$G984,10,FALSE))</f>
        <v/>
      </c>
      <c r="M502" s="94" t="str">
        <f>IF(B502="","", VLOOKUP(B502,RM!$C$4:$G984,11,FALSE))</f>
        <v/>
      </c>
      <c r="N502" s="95" t="str">
        <f>IF(B502="","", VLOOKUP(B502,RM!$C$4:$G984,12,FALSE))</f>
        <v/>
      </c>
    </row>
    <row r="503" spans="1:14">
      <c r="A503" s="87" t="str">
        <f t="shared" si="1"/>
        <v/>
      </c>
      <c r="B503" s="2"/>
      <c r="C503" s="87"/>
      <c r="D503" s="87"/>
      <c r="E503" s="87"/>
      <c r="F503" s="87"/>
      <c r="G503" s="87"/>
      <c r="H503" s="87"/>
      <c r="I503" s="87"/>
      <c r="J503" s="2"/>
      <c r="K503" s="2"/>
      <c r="L503" s="94" t="str">
        <f>IF(B503="","", VLOOKUP(B503,RM!$C$4:$G984,10,FALSE))</f>
        <v/>
      </c>
      <c r="M503" s="94" t="str">
        <f>IF(B503="","", VLOOKUP(B503,RM!$C$4:$G984,11,FALSE))</f>
        <v/>
      </c>
      <c r="N503" s="95" t="str">
        <f>IF(B503="","", VLOOKUP(B503,RM!$C$4:$G984,12,FALSE))</f>
        <v/>
      </c>
    </row>
    <row r="504" spans="1:14">
      <c r="A504" s="87" t="str">
        <f t="shared" si="1"/>
        <v/>
      </c>
      <c r="B504" s="2"/>
      <c r="C504" s="87"/>
      <c r="D504" s="87"/>
      <c r="E504" s="87"/>
      <c r="F504" s="87"/>
      <c r="G504" s="87"/>
      <c r="H504" s="87"/>
      <c r="I504" s="87"/>
      <c r="J504" s="2"/>
      <c r="K504" s="2"/>
      <c r="L504" s="94" t="str">
        <f>IF(B504="","", VLOOKUP(B504,RM!$C$4:$G984,10,FALSE))</f>
        <v/>
      </c>
      <c r="M504" s="94" t="str">
        <f>IF(B504="","", VLOOKUP(B504,RM!$C$4:$G984,11,FALSE))</f>
        <v/>
      </c>
      <c r="N504" s="95" t="str">
        <f>IF(B504="","", VLOOKUP(B504,RM!$C$4:$G984,12,FALSE))</f>
        <v/>
      </c>
    </row>
    <row r="505" spans="1:14">
      <c r="A505" s="87" t="str">
        <f t="shared" si="1"/>
        <v/>
      </c>
      <c r="B505" s="2"/>
      <c r="C505" s="87"/>
      <c r="D505" s="87"/>
      <c r="E505" s="87"/>
      <c r="F505" s="87"/>
      <c r="G505" s="87"/>
      <c r="H505" s="87"/>
      <c r="I505" s="87"/>
      <c r="J505" s="2"/>
      <c r="K505" s="2"/>
      <c r="L505" s="94" t="str">
        <f>IF(B505="","", VLOOKUP(B505,RM!$C$4:$G984,10,FALSE))</f>
        <v/>
      </c>
      <c r="M505" s="94" t="str">
        <f>IF(B505="","", VLOOKUP(B505,RM!$C$4:$G984,11,FALSE))</f>
        <v/>
      </c>
      <c r="N505" s="95" t="str">
        <f>IF(B505="","", VLOOKUP(B505,RM!$C$4:$G984,12,FALSE))</f>
        <v/>
      </c>
    </row>
    <row r="506" spans="1:14">
      <c r="A506" s="87" t="str">
        <f t="shared" si="1"/>
        <v/>
      </c>
      <c r="B506" s="2"/>
      <c r="C506" s="87"/>
      <c r="D506" s="87"/>
      <c r="E506" s="87"/>
      <c r="F506" s="87"/>
      <c r="G506" s="87"/>
      <c r="H506" s="87"/>
      <c r="I506" s="87"/>
      <c r="J506" s="2"/>
      <c r="K506" s="2"/>
      <c r="L506" s="94" t="str">
        <f>IF(B506="","", VLOOKUP(B506,RM!$C$4:$G984,10,FALSE))</f>
        <v/>
      </c>
      <c r="M506" s="94" t="str">
        <f>IF(B506="","", VLOOKUP(B506,RM!$C$4:$G984,11,FALSE))</f>
        <v/>
      </c>
      <c r="N506" s="95" t="str">
        <f>IF(B506="","", VLOOKUP(B506,RM!$C$4:$G984,12,FALSE))</f>
        <v/>
      </c>
    </row>
    <row r="507" spans="1:14">
      <c r="A507" s="87" t="str">
        <f t="shared" si="1"/>
        <v/>
      </c>
      <c r="B507" s="2"/>
      <c r="C507" s="87"/>
      <c r="D507" s="87"/>
      <c r="E507" s="87"/>
      <c r="F507" s="87"/>
      <c r="G507" s="87"/>
      <c r="H507" s="87"/>
      <c r="I507" s="87"/>
      <c r="J507" s="2"/>
      <c r="K507" s="2"/>
      <c r="L507" s="94" t="str">
        <f>IF(B507="","", VLOOKUP(B507,RM!$C$4:$G984,10,FALSE))</f>
        <v/>
      </c>
      <c r="M507" s="94" t="str">
        <f>IF(B507="","", VLOOKUP(B507,RM!$C$4:$G984,11,FALSE))</f>
        <v/>
      </c>
      <c r="N507" s="95" t="str">
        <f>IF(B507="","", VLOOKUP(B507,RM!$C$4:$G984,12,FALSE))</f>
        <v/>
      </c>
    </row>
    <row r="508" spans="1:14">
      <c r="A508" s="87" t="str">
        <f t="shared" si="1"/>
        <v/>
      </c>
      <c r="B508" s="2"/>
      <c r="C508" s="87"/>
      <c r="D508" s="87"/>
      <c r="E508" s="87"/>
      <c r="F508" s="87"/>
      <c r="G508" s="87"/>
      <c r="H508" s="87"/>
      <c r="I508" s="87"/>
      <c r="J508" s="2"/>
      <c r="K508" s="2"/>
      <c r="L508" s="94" t="str">
        <f>IF(B508="","", VLOOKUP(B508,RM!$C$4:$G984,10,FALSE))</f>
        <v/>
      </c>
      <c r="M508" s="94" t="str">
        <f>IF(B508="","", VLOOKUP(B508,RM!$C$4:$G984,11,FALSE))</f>
        <v/>
      </c>
      <c r="N508" s="95" t="str">
        <f>IF(B508="","", VLOOKUP(B508,RM!$C$4:$G984,12,FALSE))</f>
        <v/>
      </c>
    </row>
    <row r="509" spans="1:14">
      <c r="A509" s="87" t="str">
        <f t="shared" si="1"/>
        <v/>
      </c>
      <c r="B509" s="2"/>
      <c r="C509" s="87"/>
      <c r="D509" s="87"/>
      <c r="E509" s="87"/>
      <c r="F509" s="87"/>
      <c r="G509" s="87"/>
      <c r="H509" s="87"/>
      <c r="I509" s="87"/>
      <c r="J509" s="2"/>
      <c r="K509" s="2"/>
      <c r="L509" s="94" t="str">
        <f>IF(B509="","", VLOOKUP(B509,RM!$C$4:$G984,10,FALSE))</f>
        <v/>
      </c>
      <c r="M509" s="94" t="str">
        <f>IF(B509="","", VLOOKUP(B509,RM!$C$4:$G984,11,FALSE))</f>
        <v/>
      </c>
      <c r="N509" s="95" t="str">
        <f>IF(B509="","", VLOOKUP(B509,RM!$C$4:$G984,12,FALSE))</f>
        <v/>
      </c>
    </row>
    <row r="510" spans="1:14">
      <c r="A510" s="87" t="str">
        <f t="shared" si="1"/>
        <v/>
      </c>
      <c r="B510" s="2"/>
      <c r="C510" s="87"/>
      <c r="D510" s="87"/>
      <c r="E510" s="87"/>
      <c r="F510" s="87"/>
      <c r="G510" s="87"/>
      <c r="H510" s="87"/>
      <c r="I510" s="87"/>
      <c r="J510" s="2"/>
      <c r="K510" s="2"/>
      <c r="L510" s="94" t="str">
        <f>IF(B510="","", VLOOKUP(B510,RM!$C$4:$G984,10,FALSE))</f>
        <v/>
      </c>
      <c r="M510" s="94" t="str">
        <f>IF(B510="","", VLOOKUP(B510,RM!$C$4:$G984,11,FALSE))</f>
        <v/>
      </c>
      <c r="N510" s="95" t="str">
        <f>IF(B510="","", VLOOKUP(B510,RM!$C$4:$G984,12,FALSE))</f>
        <v/>
      </c>
    </row>
    <row r="511" spans="1:14">
      <c r="A511" s="87" t="str">
        <f t="shared" si="1"/>
        <v/>
      </c>
      <c r="B511" s="2"/>
      <c r="C511" s="87"/>
      <c r="D511" s="87"/>
      <c r="E511" s="87"/>
      <c r="F511" s="87"/>
      <c r="G511" s="87"/>
      <c r="H511" s="87"/>
      <c r="I511" s="87"/>
      <c r="J511" s="2"/>
      <c r="K511" s="2"/>
      <c r="L511" s="94" t="str">
        <f>IF(B511="","", VLOOKUP(B511,RM!$C$4:$G984,10,FALSE))</f>
        <v/>
      </c>
      <c r="M511" s="94" t="str">
        <f>IF(B511="","", VLOOKUP(B511,RM!$C$4:$G984,11,FALSE))</f>
        <v/>
      </c>
      <c r="N511" s="95" t="str">
        <f>IF(B511="","", VLOOKUP(B511,RM!$C$4:$G984,12,FALSE))</f>
        <v/>
      </c>
    </row>
    <row r="512" spans="1:14">
      <c r="A512" s="87" t="str">
        <f t="shared" si="1"/>
        <v/>
      </c>
      <c r="B512" s="2"/>
      <c r="C512" s="87"/>
      <c r="D512" s="87"/>
      <c r="E512" s="87"/>
      <c r="F512" s="87"/>
      <c r="G512" s="87"/>
      <c r="H512" s="87"/>
      <c r="I512" s="87"/>
      <c r="J512" s="2"/>
      <c r="K512" s="2"/>
      <c r="L512" s="94" t="str">
        <f>IF(B512="","", VLOOKUP(B512,RM!$C$4:$G984,10,FALSE))</f>
        <v/>
      </c>
      <c r="M512" s="94" t="str">
        <f>IF(B512="","", VLOOKUP(B512,RM!$C$4:$G984,11,FALSE))</f>
        <v/>
      </c>
      <c r="N512" s="95" t="str">
        <f>IF(B512="","", VLOOKUP(B512,RM!$C$4:$G984,12,FALSE))</f>
        <v/>
      </c>
    </row>
    <row r="513" spans="1:14">
      <c r="A513" s="87" t="str">
        <f t="shared" si="1"/>
        <v/>
      </c>
      <c r="B513" s="2"/>
      <c r="C513" s="87"/>
      <c r="D513" s="87"/>
      <c r="E513" s="87"/>
      <c r="F513" s="87"/>
      <c r="G513" s="87"/>
      <c r="H513" s="87"/>
      <c r="I513" s="87"/>
      <c r="J513" s="2"/>
      <c r="K513" s="2"/>
      <c r="L513" s="94" t="str">
        <f>IF(B513="","", VLOOKUP(B513,RM!$C$4:$G984,10,FALSE))</f>
        <v/>
      </c>
      <c r="M513" s="94" t="str">
        <f>IF(B513="","", VLOOKUP(B513,RM!$C$4:$G984,11,FALSE))</f>
        <v/>
      </c>
      <c r="N513" s="95" t="str">
        <f>IF(B513="","", VLOOKUP(B513,RM!$C$4:$G984,12,FALSE))</f>
        <v/>
      </c>
    </row>
    <row r="514" spans="1:14">
      <c r="A514" s="87" t="str">
        <f t="shared" ref="A514:A768" si="2">IF(B514="","",ROW()-3)</f>
        <v/>
      </c>
      <c r="B514" s="2"/>
      <c r="C514" s="87"/>
      <c r="D514" s="87"/>
      <c r="E514" s="87"/>
      <c r="F514" s="87"/>
      <c r="G514" s="87"/>
      <c r="H514" s="87"/>
      <c r="I514" s="87"/>
      <c r="J514" s="2"/>
      <c r="K514" s="2"/>
      <c r="L514" s="94" t="str">
        <f>IF(B514="","", VLOOKUP(B514,RM!$C$4:$G984,10,FALSE))</f>
        <v/>
      </c>
      <c r="M514" s="94" t="str">
        <f>IF(B514="","", VLOOKUP(B514,RM!$C$4:$G984,11,FALSE))</f>
        <v/>
      </c>
      <c r="N514" s="95" t="str">
        <f>IF(B514="","", VLOOKUP(B514,RM!$C$4:$G984,12,FALSE))</f>
        <v/>
      </c>
    </row>
    <row r="515" spans="1:14">
      <c r="A515" s="87" t="str">
        <f t="shared" si="2"/>
        <v/>
      </c>
      <c r="B515" s="2"/>
      <c r="C515" s="87"/>
      <c r="D515" s="87"/>
      <c r="E515" s="87"/>
      <c r="F515" s="87"/>
      <c r="G515" s="87"/>
      <c r="H515" s="87"/>
      <c r="I515" s="87"/>
      <c r="J515" s="2"/>
      <c r="K515" s="2"/>
      <c r="L515" s="94" t="str">
        <f>IF(B515="","", VLOOKUP(B515,RM!$C$4:$G984,10,FALSE))</f>
        <v/>
      </c>
      <c r="M515" s="94" t="str">
        <f>IF(B515="","", VLOOKUP(B515,RM!$C$4:$G984,11,FALSE))</f>
        <v/>
      </c>
      <c r="N515" s="95" t="str">
        <f>IF(B515="","", VLOOKUP(B515,RM!$C$4:$G984,12,FALSE))</f>
        <v/>
      </c>
    </row>
    <row r="516" spans="1:14">
      <c r="A516" s="87" t="str">
        <f t="shared" si="2"/>
        <v/>
      </c>
      <c r="B516" s="2"/>
      <c r="C516" s="87"/>
      <c r="D516" s="87"/>
      <c r="E516" s="87"/>
      <c r="F516" s="87"/>
      <c r="G516" s="87"/>
      <c r="H516" s="87"/>
      <c r="I516" s="87"/>
      <c r="J516" s="2"/>
      <c r="K516" s="2"/>
      <c r="L516" s="94" t="str">
        <f>IF(B516="","", VLOOKUP(B516,RM!$C$4:$G984,10,FALSE))</f>
        <v/>
      </c>
      <c r="M516" s="94" t="str">
        <f>IF(B516="","", VLOOKUP(B516,RM!$C$4:$G984,11,FALSE))</f>
        <v/>
      </c>
      <c r="N516" s="95" t="str">
        <f>IF(B516="","", VLOOKUP(B516,RM!$C$4:$G984,12,FALSE))</f>
        <v/>
      </c>
    </row>
    <row r="517" spans="1:14">
      <c r="A517" s="87" t="str">
        <f t="shared" si="2"/>
        <v/>
      </c>
      <c r="B517" s="2"/>
      <c r="C517" s="87"/>
      <c r="D517" s="87"/>
      <c r="E517" s="87"/>
      <c r="F517" s="87"/>
      <c r="G517" s="87"/>
      <c r="H517" s="87"/>
      <c r="I517" s="87"/>
      <c r="J517" s="2"/>
      <c r="K517" s="2"/>
      <c r="L517" s="94" t="str">
        <f>IF(B517="","", VLOOKUP(B517,RM!$C$4:$G984,10,FALSE))</f>
        <v/>
      </c>
      <c r="M517" s="94" t="str">
        <f>IF(B517="","", VLOOKUP(B517,RM!$C$4:$G984,11,FALSE))</f>
        <v/>
      </c>
      <c r="N517" s="95" t="str">
        <f>IF(B517="","", VLOOKUP(B517,RM!$C$4:$G984,12,FALSE))</f>
        <v/>
      </c>
    </row>
    <row r="518" spans="1:14">
      <c r="A518" s="87" t="str">
        <f t="shared" si="2"/>
        <v/>
      </c>
      <c r="B518" s="2"/>
      <c r="C518" s="87"/>
      <c r="D518" s="87"/>
      <c r="E518" s="87"/>
      <c r="F518" s="87"/>
      <c r="G518" s="87"/>
      <c r="H518" s="87"/>
      <c r="I518" s="87"/>
      <c r="J518" s="2"/>
      <c r="K518" s="2"/>
      <c r="L518" s="94" t="str">
        <f>IF(B518="","", VLOOKUP(B518,RM!$C$4:$G984,10,FALSE))</f>
        <v/>
      </c>
      <c r="M518" s="94" t="str">
        <f>IF(B518="","", VLOOKUP(B518,RM!$C$4:$G984,11,FALSE))</f>
        <v/>
      </c>
      <c r="N518" s="95" t="str">
        <f>IF(B518="","", VLOOKUP(B518,RM!$C$4:$G984,12,FALSE))</f>
        <v/>
      </c>
    </row>
    <row r="519" spans="1:14">
      <c r="A519" s="87" t="str">
        <f t="shared" si="2"/>
        <v/>
      </c>
      <c r="B519" s="2"/>
      <c r="C519" s="87"/>
      <c r="D519" s="87"/>
      <c r="E519" s="87"/>
      <c r="F519" s="87"/>
      <c r="G519" s="87"/>
      <c r="H519" s="87"/>
      <c r="I519" s="87"/>
      <c r="J519" s="2"/>
      <c r="K519" s="2"/>
      <c r="L519" s="94" t="str">
        <f>IF(B519="","", VLOOKUP(B519,RM!$C$4:$G984,10,FALSE))</f>
        <v/>
      </c>
      <c r="M519" s="94" t="str">
        <f>IF(B519="","", VLOOKUP(B519,RM!$C$4:$G984,11,FALSE))</f>
        <v/>
      </c>
      <c r="N519" s="95" t="str">
        <f>IF(B519="","", VLOOKUP(B519,RM!$C$4:$G984,12,FALSE))</f>
        <v/>
      </c>
    </row>
    <row r="520" spans="1:14">
      <c r="A520" s="87" t="str">
        <f t="shared" si="2"/>
        <v/>
      </c>
      <c r="B520" s="2"/>
      <c r="C520" s="87"/>
      <c r="D520" s="87"/>
      <c r="E520" s="87"/>
      <c r="F520" s="87"/>
      <c r="G520" s="87"/>
      <c r="H520" s="87"/>
      <c r="I520" s="87"/>
      <c r="J520" s="2"/>
      <c r="K520" s="2"/>
      <c r="L520" s="94" t="str">
        <f>IF(B520="","", VLOOKUP(B520,RM!$C$4:$G984,10,FALSE))</f>
        <v/>
      </c>
      <c r="M520" s="94" t="str">
        <f>IF(B520="","", VLOOKUP(B520,RM!$C$4:$G984,11,FALSE))</f>
        <v/>
      </c>
      <c r="N520" s="95" t="str">
        <f>IF(B520="","", VLOOKUP(B520,RM!$C$4:$G984,12,FALSE))</f>
        <v/>
      </c>
    </row>
    <row r="521" spans="1:14">
      <c r="A521" s="87" t="str">
        <f t="shared" si="2"/>
        <v/>
      </c>
      <c r="B521" s="2"/>
      <c r="C521" s="87"/>
      <c r="D521" s="87"/>
      <c r="E521" s="87"/>
      <c r="F521" s="87"/>
      <c r="G521" s="87"/>
      <c r="H521" s="87"/>
      <c r="I521" s="87"/>
      <c r="J521" s="2"/>
      <c r="K521" s="2"/>
      <c r="L521" s="94" t="str">
        <f>IF(B521="","", VLOOKUP(B521,RM!$C$4:$G984,10,FALSE))</f>
        <v/>
      </c>
      <c r="M521" s="94" t="str">
        <f>IF(B521="","", VLOOKUP(B521,RM!$C$4:$G984,11,FALSE))</f>
        <v/>
      </c>
      <c r="N521" s="95" t="str">
        <f>IF(B521="","", VLOOKUP(B521,RM!$C$4:$G984,12,FALSE))</f>
        <v/>
      </c>
    </row>
    <row r="522" spans="1:14">
      <c r="A522" s="87" t="str">
        <f t="shared" si="2"/>
        <v/>
      </c>
      <c r="B522" s="2"/>
      <c r="C522" s="87"/>
      <c r="D522" s="87"/>
      <c r="E522" s="87"/>
      <c r="F522" s="87"/>
      <c r="G522" s="87"/>
      <c r="H522" s="87"/>
      <c r="I522" s="87"/>
      <c r="J522" s="2"/>
      <c r="K522" s="2"/>
      <c r="L522" s="94" t="str">
        <f>IF(B522="","", VLOOKUP(B522,RM!$C$4:$G984,10,FALSE))</f>
        <v/>
      </c>
      <c r="M522" s="94" t="str">
        <f>IF(B522="","", VLOOKUP(B522,RM!$C$4:$G984,11,FALSE))</f>
        <v/>
      </c>
      <c r="N522" s="95" t="str">
        <f>IF(B522="","", VLOOKUP(B522,RM!$C$4:$G984,12,FALSE))</f>
        <v/>
      </c>
    </row>
    <row r="523" spans="1:14">
      <c r="A523" s="87" t="str">
        <f t="shared" si="2"/>
        <v/>
      </c>
      <c r="B523" s="2"/>
      <c r="C523" s="87"/>
      <c r="D523" s="87"/>
      <c r="E523" s="87"/>
      <c r="F523" s="87"/>
      <c r="G523" s="87"/>
      <c r="H523" s="87"/>
      <c r="I523" s="87"/>
      <c r="J523" s="2"/>
      <c r="K523" s="2"/>
      <c r="L523" s="94" t="str">
        <f>IF(B523="","", VLOOKUP(B523,RM!$C$4:$G984,10,FALSE))</f>
        <v/>
      </c>
      <c r="M523" s="94" t="str">
        <f>IF(B523="","", VLOOKUP(B523,RM!$C$4:$G984,11,FALSE))</f>
        <v/>
      </c>
      <c r="N523" s="95" t="str">
        <f>IF(B523="","", VLOOKUP(B523,RM!$C$4:$G984,12,FALSE))</f>
        <v/>
      </c>
    </row>
    <row r="524" spans="1:14">
      <c r="A524" s="87" t="str">
        <f t="shared" si="2"/>
        <v/>
      </c>
      <c r="B524" s="2"/>
      <c r="C524" s="87"/>
      <c r="D524" s="87"/>
      <c r="E524" s="87"/>
      <c r="F524" s="87"/>
      <c r="G524" s="87"/>
      <c r="H524" s="87"/>
      <c r="I524" s="87"/>
      <c r="J524" s="2"/>
      <c r="K524" s="2"/>
      <c r="L524" s="94" t="str">
        <f>IF(B524="","", VLOOKUP(B524,RM!$C$4:$G984,10,FALSE))</f>
        <v/>
      </c>
      <c r="M524" s="94" t="str">
        <f>IF(B524="","", VLOOKUP(B524,RM!$C$4:$G984,11,FALSE))</f>
        <v/>
      </c>
      <c r="N524" s="95" t="str">
        <f>IF(B524="","", VLOOKUP(B524,RM!$C$4:$G984,12,FALSE))</f>
        <v/>
      </c>
    </row>
    <row r="525" spans="1:14">
      <c r="A525" s="87" t="str">
        <f t="shared" si="2"/>
        <v/>
      </c>
      <c r="B525" s="2"/>
      <c r="C525" s="87"/>
      <c r="D525" s="87"/>
      <c r="E525" s="87"/>
      <c r="F525" s="87"/>
      <c r="G525" s="87"/>
      <c r="H525" s="87"/>
      <c r="I525" s="87"/>
      <c r="J525" s="2"/>
      <c r="K525" s="2"/>
      <c r="L525" s="94" t="str">
        <f>IF(B525="","", VLOOKUP(B525,RM!$C$4:$G984,10,FALSE))</f>
        <v/>
      </c>
      <c r="M525" s="94" t="str">
        <f>IF(B525="","", VLOOKUP(B525,RM!$C$4:$G984,11,FALSE))</f>
        <v/>
      </c>
      <c r="N525" s="95" t="str">
        <f>IF(B525="","", VLOOKUP(B525,RM!$C$4:$G984,12,FALSE))</f>
        <v/>
      </c>
    </row>
    <row r="526" spans="1:14">
      <c r="A526" s="87" t="str">
        <f t="shared" si="2"/>
        <v/>
      </c>
      <c r="B526" s="2"/>
      <c r="C526" s="87"/>
      <c r="D526" s="87"/>
      <c r="E526" s="87"/>
      <c r="F526" s="87"/>
      <c r="G526" s="87"/>
      <c r="H526" s="87"/>
      <c r="I526" s="87"/>
      <c r="J526" s="2"/>
      <c r="K526" s="2"/>
      <c r="L526" s="94" t="str">
        <f>IF(B526="","", VLOOKUP(B526,RM!$C$4:$G984,10,FALSE))</f>
        <v/>
      </c>
      <c r="M526" s="94" t="str">
        <f>IF(B526="","", VLOOKUP(B526,RM!$C$4:$G984,11,FALSE))</f>
        <v/>
      </c>
      <c r="N526" s="95" t="str">
        <f>IF(B526="","", VLOOKUP(B526,RM!$C$4:$G984,12,FALSE))</f>
        <v/>
      </c>
    </row>
    <row r="527" spans="1:14">
      <c r="A527" s="87" t="str">
        <f t="shared" si="2"/>
        <v/>
      </c>
      <c r="B527" s="2"/>
      <c r="C527" s="87"/>
      <c r="D527" s="87"/>
      <c r="E527" s="87"/>
      <c r="F527" s="87"/>
      <c r="G527" s="87"/>
      <c r="H527" s="87"/>
      <c r="I527" s="87"/>
      <c r="J527" s="2"/>
      <c r="K527" s="2"/>
      <c r="L527" s="94" t="str">
        <f>IF(B527="","", VLOOKUP(B527,RM!$C$4:$G984,10,FALSE))</f>
        <v/>
      </c>
      <c r="M527" s="94" t="str">
        <f>IF(B527="","", VLOOKUP(B527,RM!$C$4:$G984,11,FALSE))</f>
        <v/>
      </c>
      <c r="N527" s="95" t="str">
        <f>IF(B527="","", VLOOKUP(B527,RM!$C$4:$G984,12,FALSE))</f>
        <v/>
      </c>
    </row>
    <row r="528" spans="1:14">
      <c r="A528" s="87" t="str">
        <f t="shared" si="2"/>
        <v/>
      </c>
      <c r="B528" s="2"/>
      <c r="C528" s="87"/>
      <c r="D528" s="87"/>
      <c r="E528" s="87"/>
      <c r="F528" s="87"/>
      <c r="G528" s="87"/>
      <c r="H528" s="87"/>
      <c r="I528" s="87"/>
      <c r="J528" s="2"/>
      <c r="K528" s="2"/>
      <c r="L528" s="94" t="str">
        <f>IF(B528="","", VLOOKUP(B528,RM!$C$4:$G984,10,FALSE))</f>
        <v/>
      </c>
      <c r="M528" s="94" t="str">
        <f>IF(B528="","", VLOOKUP(B528,RM!$C$4:$G984,11,FALSE))</f>
        <v/>
      </c>
      <c r="N528" s="95" t="str">
        <f>IF(B528="","", VLOOKUP(B528,RM!$C$4:$G984,12,FALSE))</f>
        <v/>
      </c>
    </row>
    <row r="529" spans="1:14">
      <c r="A529" s="87" t="str">
        <f t="shared" si="2"/>
        <v/>
      </c>
      <c r="B529" s="2"/>
      <c r="C529" s="87"/>
      <c r="D529" s="87"/>
      <c r="E529" s="87"/>
      <c r="F529" s="87"/>
      <c r="G529" s="87"/>
      <c r="H529" s="87"/>
      <c r="I529" s="87"/>
      <c r="J529" s="2"/>
      <c r="K529" s="2"/>
      <c r="L529" s="94" t="str">
        <f>IF(B529="","", VLOOKUP(B529,RM!$C$4:$G984,10,FALSE))</f>
        <v/>
      </c>
      <c r="M529" s="94" t="str">
        <f>IF(B529="","", VLOOKUP(B529,RM!$C$4:$G984,11,FALSE))</f>
        <v/>
      </c>
      <c r="N529" s="95" t="str">
        <f>IF(B529="","", VLOOKUP(B529,RM!$C$4:$G984,12,FALSE))</f>
        <v/>
      </c>
    </row>
    <row r="530" spans="1:14">
      <c r="A530" s="87" t="str">
        <f t="shared" si="2"/>
        <v/>
      </c>
      <c r="B530" s="2"/>
      <c r="C530" s="87"/>
      <c r="D530" s="87"/>
      <c r="E530" s="87"/>
      <c r="F530" s="87"/>
      <c r="G530" s="87"/>
      <c r="H530" s="87"/>
      <c r="I530" s="87"/>
      <c r="J530" s="2"/>
      <c r="K530" s="2"/>
      <c r="L530" s="94" t="str">
        <f>IF(B530="","", VLOOKUP(B530,RM!$C$4:$G984,10,FALSE))</f>
        <v/>
      </c>
      <c r="M530" s="94" t="str">
        <f>IF(B530="","", VLOOKUP(B530,RM!$C$4:$G984,11,FALSE))</f>
        <v/>
      </c>
      <c r="N530" s="95" t="str">
        <f>IF(B530="","", VLOOKUP(B530,RM!$C$4:$G984,12,FALSE))</f>
        <v/>
      </c>
    </row>
    <row r="531" spans="1:14">
      <c r="A531" s="87" t="str">
        <f t="shared" si="2"/>
        <v/>
      </c>
      <c r="B531" s="2"/>
      <c r="C531" s="87"/>
      <c r="D531" s="87"/>
      <c r="E531" s="87"/>
      <c r="F531" s="87"/>
      <c r="G531" s="87"/>
      <c r="H531" s="87"/>
      <c r="I531" s="87"/>
      <c r="J531" s="2"/>
      <c r="K531" s="2"/>
      <c r="L531" s="94" t="str">
        <f>IF(B531="","", VLOOKUP(B531,RM!$C$4:$G984,10,FALSE))</f>
        <v/>
      </c>
      <c r="M531" s="94" t="str">
        <f>IF(B531="","", VLOOKUP(B531,RM!$C$4:$G984,11,FALSE))</f>
        <v/>
      </c>
      <c r="N531" s="95" t="str">
        <f>IF(B531="","", VLOOKUP(B531,RM!$C$4:$G984,12,FALSE))</f>
        <v/>
      </c>
    </row>
    <row r="532" spans="1:14">
      <c r="A532" s="87" t="str">
        <f t="shared" si="2"/>
        <v/>
      </c>
      <c r="B532" s="2"/>
      <c r="C532" s="87"/>
      <c r="D532" s="87"/>
      <c r="E532" s="87"/>
      <c r="F532" s="87"/>
      <c r="G532" s="87"/>
      <c r="H532" s="87"/>
      <c r="I532" s="87"/>
      <c r="J532" s="2"/>
      <c r="K532" s="2"/>
      <c r="L532" s="94" t="str">
        <f>IF(B532="","", VLOOKUP(B532,RM!$C$4:$G984,10,FALSE))</f>
        <v/>
      </c>
      <c r="M532" s="94" t="str">
        <f>IF(B532="","", VLOOKUP(B532,RM!$C$4:$G984,11,FALSE))</f>
        <v/>
      </c>
      <c r="N532" s="95" t="str">
        <f>IF(B532="","", VLOOKUP(B532,RM!$C$4:$G984,12,FALSE))</f>
        <v/>
      </c>
    </row>
    <row r="533" spans="1:14">
      <c r="A533" s="87" t="str">
        <f t="shared" si="2"/>
        <v/>
      </c>
      <c r="B533" s="2"/>
      <c r="C533" s="87"/>
      <c r="D533" s="87"/>
      <c r="E533" s="87"/>
      <c r="F533" s="87"/>
      <c r="G533" s="87"/>
      <c r="H533" s="87"/>
      <c r="I533" s="87"/>
      <c r="J533" s="2"/>
      <c r="K533" s="2"/>
      <c r="L533" s="94" t="str">
        <f>IF(B533="","", VLOOKUP(B533,RM!$C$4:$G984,10,FALSE))</f>
        <v/>
      </c>
      <c r="M533" s="94" t="str">
        <f>IF(B533="","", VLOOKUP(B533,RM!$C$4:$G984,11,FALSE))</f>
        <v/>
      </c>
      <c r="N533" s="95" t="str">
        <f>IF(B533="","", VLOOKUP(B533,RM!$C$4:$G984,12,FALSE))</f>
        <v/>
      </c>
    </row>
    <row r="534" spans="1:14">
      <c r="A534" s="87" t="str">
        <f t="shared" si="2"/>
        <v/>
      </c>
      <c r="B534" s="2"/>
      <c r="C534" s="87"/>
      <c r="D534" s="87"/>
      <c r="E534" s="87"/>
      <c r="F534" s="87"/>
      <c r="G534" s="87"/>
      <c r="H534" s="87"/>
      <c r="I534" s="87"/>
      <c r="J534" s="2"/>
      <c r="K534" s="2"/>
      <c r="L534" s="94" t="str">
        <f>IF(B534="","", VLOOKUP(B534,RM!$C$4:$G984,10,FALSE))</f>
        <v/>
      </c>
      <c r="M534" s="94" t="str">
        <f>IF(B534="","", VLOOKUP(B534,RM!$C$4:$G984,11,FALSE))</f>
        <v/>
      </c>
      <c r="N534" s="95" t="str">
        <f>IF(B534="","", VLOOKUP(B534,RM!$C$4:$G984,12,FALSE))</f>
        <v/>
      </c>
    </row>
    <row r="535" spans="1:14">
      <c r="A535" s="87" t="str">
        <f t="shared" si="2"/>
        <v/>
      </c>
      <c r="B535" s="2"/>
      <c r="C535" s="87"/>
      <c r="D535" s="87"/>
      <c r="E535" s="87"/>
      <c r="F535" s="87"/>
      <c r="G535" s="87"/>
      <c r="H535" s="87"/>
      <c r="I535" s="87"/>
      <c r="J535" s="2"/>
      <c r="K535" s="2"/>
      <c r="L535" s="94" t="str">
        <f>IF(B535="","", VLOOKUP(B535,RM!$C$4:$G984,10,FALSE))</f>
        <v/>
      </c>
      <c r="M535" s="94" t="str">
        <f>IF(B535="","", VLOOKUP(B535,RM!$C$4:$G984,11,FALSE))</f>
        <v/>
      </c>
      <c r="N535" s="95" t="str">
        <f>IF(B535="","", VLOOKUP(B535,RM!$C$4:$G984,12,FALSE))</f>
        <v/>
      </c>
    </row>
    <row r="536" spans="1:14">
      <c r="A536" s="87" t="str">
        <f t="shared" si="2"/>
        <v/>
      </c>
      <c r="B536" s="2"/>
      <c r="C536" s="87"/>
      <c r="D536" s="87"/>
      <c r="E536" s="87"/>
      <c r="F536" s="87"/>
      <c r="G536" s="87"/>
      <c r="H536" s="87"/>
      <c r="I536" s="87"/>
      <c r="J536" s="2"/>
      <c r="K536" s="2"/>
      <c r="L536" s="94" t="str">
        <f>IF(B536="","", VLOOKUP(B536,RM!$C$4:$G984,10,FALSE))</f>
        <v/>
      </c>
      <c r="M536" s="94" t="str">
        <f>IF(B536="","", VLOOKUP(B536,RM!$C$4:$G984,11,FALSE))</f>
        <v/>
      </c>
      <c r="N536" s="95" t="str">
        <f>IF(B536="","", VLOOKUP(B536,RM!$C$4:$G984,12,FALSE))</f>
        <v/>
      </c>
    </row>
    <row r="537" spans="1:14">
      <c r="A537" s="87" t="str">
        <f t="shared" si="2"/>
        <v/>
      </c>
      <c r="B537" s="2"/>
      <c r="C537" s="87"/>
      <c r="D537" s="87"/>
      <c r="E537" s="87"/>
      <c r="F537" s="87"/>
      <c r="G537" s="87"/>
      <c r="H537" s="87"/>
      <c r="I537" s="87"/>
      <c r="J537" s="2"/>
      <c r="K537" s="2"/>
      <c r="L537" s="94" t="str">
        <f>IF(B537="","", VLOOKUP(B537,RM!$C$4:$G984,10,FALSE))</f>
        <v/>
      </c>
      <c r="M537" s="94" t="str">
        <f>IF(B537="","", VLOOKUP(B537,RM!$C$4:$G984,11,FALSE))</f>
        <v/>
      </c>
      <c r="N537" s="95" t="str">
        <f>IF(B537="","", VLOOKUP(B537,RM!$C$4:$G984,12,FALSE))</f>
        <v/>
      </c>
    </row>
    <row r="538" spans="1:14">
      <c r="A538" s="87" t="str">
        <f t="shared" si="2"/>
        <v/>
      </c>
      <c r="B538" s="2"/>
      <c r="C538" s="87"/>
      <c r="D538" s="87"/>
      <c r="E538" s="87"/>
      <c r="F538" s="87"/>
      <c r="G538" s="87"/>
      <c r="H538" s="87"/>
      <c r="I538" s="87"/>
      <c r="J538" s="2"/>
      <c r="K538" s="2"/>
      <c r="L538" s="94" t="str">
        <f>IF(B538="","", VLOOKUP(B538,RM!$C$4:$G984,10,FALSE))</f>
        <v/>
      </c>
      <c r="M538" s="94" t="str">
        <f>IF(B538="","", VLOOKUP(B538,RM!$C$4:$G984,11,FALSE))</f>
        <v/>
      </c>
      <c r="N538" s="95" t="str">
        <f>IF(B538="","", VLOOKUP(B538,RM!$C$4:$G984,12,FALSE))</f>
        <v/>
      </c>
    </row>
    <row r="539" spans="1:14">
      <c r="A539" s="87" t="str">
        <f t="shared" si="2"/>
        <v/>
      </c>
      <c r="B539" s="2"/>
      <c r="C539" s="87"/>
      <c r="D539" s="87"/>
      <c r="E539" s="87"/>
      <c r="F539" s="87"/>
      <c r="G539" s="87"/>
      <c r="H539" s="87"/>
      <c r="I539" s="87"/>
      <c r="J539" s="2"/>
      <c r="K539" s="2"/>
      <c r="L539" s="94" t="str">
        <f>IF(B539="","", VLOOKUP(B539,RM!$C$4:$G984,10,FALSE))</f>
        <v/>
      </c>
      <c r="M539" s="94" t="str">
        <f>IF(B539="","", VLOOKUP(B539,RM!$C$4:$G984,11,FALSE))</f>
        <v/>
      </c>
      <c r="N539" s="95" t="str">
        <f>IF(B539="","", VLOOKUP(B539,RM!$C$4:$G984,12,FALSE))</f>
        <v/>
      </c>
    </row>
    <row r="540" spans="1:14">
      <c r="A540" s="87" t="str">
        <f t="shared" si="2"/>
        <v/>
      </c>
      <c r="B540" s="2"/>
      <c r="C540" s="87"/>
      <c r="D540" s="87"/>
      <c r="E540" s="87"/>
      <c r="F540" s="87"/>
      <c r="G540" s="87"/>
      <c r="H540" s="87"/>
      <c r="I540" s="87"/>
      <c r="J540" s="2"/>
      <c r="K540" s="2"/>
      <c r="L540" s="94" t="str">
        <f>IF(B540="","", VLOOKUP(B540,RM!$C$4:$G984,10,FALSE))</f>
        <v/>
      </c>
      <c r="M540" s="94" t="str">
        <f>IF(B540="","", VLOOKUP(B540,RM!$C$4:$G984,11,FALSE))</f>
        <v/>
      </c>
      <c r="N540" s="95" t="str">
        <f>IF(B540="","", VLOOKUP(B540,RM!$C$4:$G984,12,FALSE))</f>
        <v/>
      </c>
    </row>
    <row r="541" spans="1:14">
      <c r="A541" s="87" t="str">
        <f t="shared" si="2"/>
        <v/>
      </c>
      <c r="B541" s="2"/>
      <c r="C541" s="87"/>
      <c r="D541" s="87"/>
      <c r="E541" s="87"/>
      <c r="F541" s="87"/>
      <c r="G541" s="87"/>
      <c r="H541" s="87"/>
      <c r="I541" s="87"/>
      <c r="J541" s="2"/>
      <c r="K541" s="2"/>
      <c r="L541" s="94" t="str">
        <f>IF(B541="","", VLOOKUP(B541,RM!$C$4:$G984,10,FALSE))</f>
        <v/>
      </c>
      <c r="M541" s="94" t="str">
        <f>IF(B541="","", VLOOKUP(B541,RM!$C$4:$G984,11,FALSE))</f>
        <v/>
      </c>
      <c r="N541" s="95" t="str">
        <f>IF(B541="","", VLOOKUP(B541,RM!$C$4:$G984,12,FALSE))</f>
        <v/>
      </c>
    </row>
    <row r="542" spans="1:14">
      <c r="A542" s="87" t="str">
        <f t="shared" si="2"/>
        <v/>
      </c>
      <c r="B542" s="2"/>
      <c r="C542" s="87"/>
      <c r="D542" s="87"/>
      <c r="E542" s="87"/>
      <c r="F542" s="87"/>
      <c r="G542" s="87"/>
      <c r="H542" s="87"/>
      <c r="I542" s="87"/>
      <c r="J542" s="2"/>
      <c r="K542" s="2"/>
      <c r="L542" s="94" t="str">
        <f>IF(B542="","", VLOOKUP(B542,RM!$C$4:$G984,10,FALSE))</f>
        <v/>
      </c>
      <c r="M542" s="94" t="str">
        <f>IF(B542="","", VLOOKUP(B542,RM!$C$4:$G984,11,FALSE))</f>
        <v/>
      </c>
      <c r="N542" s="95" t="str">
        <f>IF(B542="","", VLOOKUP(B542,RM!$C$4:$G984,12,FALSE))</f>
        <v/>
      </c>
    </row>
    <row r="543" spans="1:14">
      <c r="A543" s="87" t="str">
        <f t="shared" si="2"/>
        <v/>
      </c>
      <c r="B543" s="2"/>
      <c r="C543" s="87"/>
      <c r="D543" s="87"/>
      <c r="E543" s="87"/>
      <c r="F543" s="87"/>
      <c r="G543" s="87"/>
      <c r="H543" s="87"/>
      <c r="I543" s="87"/>
      <c r="J543" s="2"/>
      <c r="K543" s="2"/>
      <c r="L543" s="94" t="str">
        <f>IF(B543="","", VLOOKUP(B543,RM!$C$4:$G984,10,FALSE))</f>
        <v/>
      </c>
      <c r="M543" s="94" t="str">
        <f>IF(B543="","", VLOOKUP(B543,RM!$C$4:$G984,11,FALSE))</f>
        <v/>
      </c>
      <c r="N543" s="95" t="str">
        <f>IF(B543="","", VLOOKUP(B543,RM!$C$4:$G984,12,FALSE))</f>
        <v/>
      </c>
    </row>
    <row r="544" spans="1:14">
      <c r="A544" s="87" t="str">
        <f t="shared" si="2"/>
        <v/>
      </c>
      <c r="B544" s="2"/>
      <c r="C544" s="87"/>
      <c r="D544" s="87"/>
      <c r="E544" s="87"/>
      <c r="F544" s="87"/>
      <c r="G544" s="87"/>
      <c r="H544" s="87"/>
      <c r="I544" s="87"/>
      <c r="J544" s="2"/>
      <c r="K544" s="2"/>
      <c r="L544" s="94" t="str">
        <f>IF(B544="","", VLOOKUP(B544,RM!$C$4:$G984,10,FALSE))</f>
        <v/>
      </c>
      <c r="M544" s="94" t="str">
        <f>IF(B544="","", VLOOKUP(B544,RM!$C$4:$G984,11,FALSE))</f>
        <v/>
      </c>
      <c r="N544" s="95" t="str">
        <f>IF(B544="","", VLOOKUP(B544,RM!$C$4:$G984,12,FALSE))</f>
        <v/>
      </c>
    </row>
    <row r="545" spans="1:14">
      <c r="A545" s="87" t="str">
        <f t="shared" si="2"/>
        <v/>
      </c>
      <c r="B545" s="2"/>
      <c r="C545" s="87"/>
      <c r="D545" s="87"/>
      <c r="E545" s="87"/>
      <c r="F545" s="87"/>
      <c r="G545" s="87"/>
      <c r="H545" s="87"/>
      <c r="I545" s="87"/>
      <c r="J545" s="2"/>
      <c r="K545" s="2"/>
      <c r="L545" s="94" t="str">
        <f>IF(B545="","", VLOOKUP(B545,RM!$C$4:$G984,10,FALSE))</f>
        <v/>
      </c>
      <c r="M545" s="94" t="str">
        <f>IF(B545="","", VLOOKUP(B545,RM!$C$4:$G984,11,FALSE))</f>
        <v/>
      </c>
      <c r="N545" s="95" t="str">
        <f>IF(B545="","", VLOOKUP(B545,RM!$C$4:$G984,12,FALSE))</f>
        <v/>
      </c>
    </row>
    <row r="546" spans="1:14">
      <c r="A546" s="87" t="str">
        <f t="shared" si="2"/>
        <v/>
      </c>
      <c r="B546" s="2"/>
      <c r="C546" s="87"/>
      <c r="D546" s="87"/>
      <c r="E546" s="87"/>
      <c r="F546" s="87"/>
      <c r="G546" s="87"/>
      <c r="H546" s="87"/>
      <c r="I546" s="87"/>
      <c r="J546" s="2"/>
      <c r="K546" s="2"/>
      <c r="L546" s="94" t="str">
        <f>IF(B546="","", VLOOKUP(B546,RM!$C$4:$G984,10,FALSE))</f>
        <v/>
      </c>
      <c r="M546" s="94" t="str">
        <f>IF(B546="","", VLOOKUP(B546,RM!$C$4:$G984,11,FALSE))</f>
        <v/>
      </c>
      <c r="N546" s="95" t="str">
        <f>IF(B546="","", VLOOKUP(B546,RM!$C$4:$G984,12,FALSE))</f>
        <v/>
      </c>
    </row>
    <row r="547" spans="1:14">
      <c r="A547" s="87" t="str">
        <f t="shared" si="2"/>
        <v/>
      </c>
      <c r="B547" s="2"/>
      <c r="C547" s="87"/>
      <c r="D547" s="87"/>
      <c r="E547" s="87"/>
      <c r="F547" s="87"/>
      <c r="G547" s="87"/>
      <c r="H547" s="87"/>
      <c r="I547" s="87"/>
      <c r="J547" s="2"/>
      <c r="K547" s="2"/>
      <c r="L547" s="94" t="str">
        <f>IF(B547="","", VLOOKUP(B547,RM!$C$4:$G984,10,FALSE))</f>
        <v/>
      </c>
      <c r="M547" s="94" t="str">
        <f>IF(B547="","", VLOOKUP(B547,RM!$C$4:$G984,11,FALSE))</f>
        <v/>
      </c>
      <c r="N547" s="95" t="str">
        <f>IF(B547="","", VLOOKUP(B547,RM!$C$4:$G984,12,FALSE))</f>
        <v/>
      </c>
    </row>
    <row r="548" spans="1:14">
      <c r="A548" s="87" t="str">
        <f t="shared" si="2"/>
        <v/>
      </c>
      <c r="B548" s="2"/>
      <c r="C548" s="87"/>
      <c r="D548" s="87"/>
      <c r="E548" s="87"/>
      <c r="F548" s="87"/>
      <c r="G548" s="87"/>
      <c r="H548" s="87"/>
      <c r="I548" s="87"/>
      <c r="J548" s="2"/>
      <c r="K548" s="2"/>
      <c r="L548" s="94" t="str">
        <f>IF(B548="","", VLOOKUP(B548,RM!$C$4:$G984,10,FALSE))</f>
        <v/>
      </c>
      <c r="M548" s="94" t="str">
        <f>IF(B548="","", VLOOKUP(B548,RM!$C$4:$G984,11,FALSE))</f>
        <v/>
      </c>
      <c r="N548" s="95" t="str">
        <f>IF(B548="","", VLOOKUP(B548,RM!$C$4:$G984,12,FALSE))</f>
        <v/>
      </c>
    </row>
    <row r="549" spans="1:14">
      <c r="A549" s="87" t="str">
        <f t="shared" si="2"/>
        <v/>
      </c>
      <c r="B549" s="2"/>
      <c r="C549" s="87"/>
      <c r="D549" s="87"/>
      <c r="E549" s="87"/>
      <c r="F549" s="87"/>
      <c r="G549" s="87"/>
      <c r="H549" s="87"/>
      <c r="I549" s="87"/>
      <c r="J549" s="2"/>
      <c r="K549" s="2"/>
      <c r="L549" s="94" t="str">
        <f>IF(B549="","", VLOOKUP(B549,RM!$C$4:$G984,10,FALSE))</f>
        <v/>
      </c>
      <c r="M549" s="94" t="str">
        <f>IF(B549="","", VLOOKUP(B549,RM!$C$4:$G984,11,FALSE))</f>
        <v/>
      </c>
      <c r="N549" s="95" t="str">
        <f>IF(B549="","", VLOOKUP(B549,RM!$C$4:$G984,12,FALSE))</f>
        <v/>
      </c>
    </row>
    <row r="550" spans="1:14">
      <c r="A550" s="87" t="str">
        <f t="shared" si="2"/>
        <v/>
      </c>
      <c r="B550" s="2"/>
      <c r="C550" s="87"/>
      <c r="D550" s="87"/>
      <c r="E550" s="87"/>
      <c r="F550" s="87"/>
      <c r="G550" s="87"/>
      <c r="H550" s="87"/>
      <c r="I550" s="87"/>
      <c r="J550" s="2"/>
      <c r="K550" s="2"/>
      <c r="L550" s="94" t="str">
        <f>IF(B550="","", VLOOKUP(B550,RM!$C$4:$G984,10,FALSE))</f>
        <v/>
      </c>
      <c r="M550" s="94" t="str">
        <f>IF(B550="","", VLOOKUP(B550,RM!$C$4:$G984,11,FALSE))</f>
        <v/>
      </c>
      <c r="N550" s="95" t="str">
        <f>IF(B550="","", VLOOKUP(B550,RM!$C$4:$G984,12,FALSE))</f>
        <v/>
      </c>
    </row>
    <row r="551" spans="1:14">
      <c r="A551" s="87" t="str">
        <f t="shared" si="2"/>
        <v/>
      </c>
      <c r="B551" s="2"/>
      <c r="C551" s="87"/>
      <c r="D551" s="87"/>
      <c r="E551" s="87"/>
      <c r="F551" s="87"/>
      <c r="G551" s="87"/>
      <c r="H551" s="87"/>
      <c r="I551" s="87"/>
      <c r="J551" s="2"/>
      <c r="K551" s="2"/>
      <c r="L551" s="94" t="str">
        <f>IF(B551="","", VLOOKUP(B551,RM!$C$4:$G984,10,FALSE))</f>
        <v/>
      </c>
      <c r="M551" s="94" t="str">
        <f>IF(B551="","", VLOOKUP(B551,RM!$C$4:$G984,11,FALSE))</f>
        <v/>
      </c>
      <c r="N551" s="95" t="str">
        <f>IF(B551="","", VLOOKUP(B551,RM!$C$4:$G984,12,FALSE))</f>
        <v/>
      </c>
    </row>
    <row r="552" spans="1:14">
      <c r="A552" s="87" t="str">
        <f t="shared" si="2"/>
        <v/>
      </c>
      <c r="B552" s="2"/>
      <c r="C552" s="87"/>
      <c r="D552" s="87"/>
      <c r="E552" s="87"/>
      <c r="F552" s="87"/>
      <c r="G552" s="87"/>
      <c r="H552" s="87"/>
      <c r="I552" s="87"/>
      <c r="J552" s="2"/>
      <c r="K552" s="2"/>
      <c r="L552" s="94" t="str">
        <f>IF(B552="","", VLOOKUP(B552,RM!$C$4:$G984,10,FALSE))</f>
        <v/>
      </c>
      <c r="M552" s="94" t="str">
        <f>IF(B552="","", VLOOKUP(B552,RM!$C$4:$G984,11,FALSE))</f>
        <v/>
      </c>
      <c r="N552" s="95" t="str">
        <f>IF(B552="","", VLOOKUP(B552,RM!$C$4:$G984,12,FALSE))</f>
        <v/>
      </c>
    </row>
    <row r="553" spans="1:14">
      <c r="A553" s="87" t="str">
        <f t="shared" si="2"/>
        <v/>
      </c>
      <c r="B553" s="2"/>
      <c r="C553" s="87"/>
      <c r="D553" s="87"/>
      <c r="E553" s="87"/>
      <c r="F553" s="87"/>
      <c r="G553" s="87"/>
      <c r="H553" s="87"/>
      <c r="I553" s="87"/>
      <c r="J553" s="2"/>
      <c r="K553" s="2"/>
      <c r="L553" s="94" t="str">
        <f>IF(B553="","", VLOOKUP(B553,RM!$C$4:$G984,10,FALSE))</f>
        <v/>
      </c>
      <c r="M553" s="94" t="str">
        <f>IF(B553="","", VLOOKUP(B553,RM!$C$4:$G984,11,FALSE))</f>
        <v/>
      </c>
      <c r="N553" s="95" t="str">
        <f>IF(B553="","", VLOOKUP(B553,RM!$C$4:$G984,12,FALSE))</f>
        <v/>
      </c>
    </row>
    <row r="554" spans="1:14">
      <c r="A554" s="87" t="str">
        <f t="shared" si="2"/>
        <v/>
      </c>
      <c r="B554" s="2"/>
      <c r="C554" s="87"/>
      <c r="D554" s="87"/>
      <c r="E554" s="87"/>
      <c r="F554" s="87"/>
      <c r="G554" s="87"/>
      <c r="H554" s="87"/>
      <c r="I554" s="87"/>
      <c r="J554" s="2"/>
      <c r="K554" s="2"/>
      <c r="L554" s="94" t="str">
        <f>IF(B554="","", VLOOKUP(B554,RM!$C$4:$G984,10,FALSE))</f>
        <v/>
      </c>
      <c r="M554" s="94" t="str">
        <f>IF(B554="","", VLOOKUP(B554,RM!$C$4:$G984,11,FALSE))</f>
        <v/>
      </c>
      <c r="N554" s="95" t="str">
        <f>IF(B554="","", VLOOKUP(B554,RM!$C$4:$G984,12,FALSE))</f>
        <v/>
      </c>
    </row>
    <row r="555" spans="1:14">
      <c r="A555" s="87" t="str">
        <f t="shared" si="2"/>
        <v/>
      </c>
      <c r="B555" s="2"/>
      <c r="C555" s="87"/>
      <c r="D555" s="87"/>
      <c r="E555" s="87"/>
      <c r="F555" s="87"/>
      <c r="G555" s="87"/>
      <c r="H555" s="87"/>
      <c r="I555" s="87"/>
      <c r="J555" s="2"/>
      <c r="K555" s="2"/>
      <c r="L555" s="94" t="str">
        <f>IF(B555="","", VLOOKUP(B555,RM!$C$4:$G984,10,FALSE))</f>
        <v/>
      </c>
      <c r="M555" s="94" t="str">
        <f>IF(B555="","", VLOOKUP(B555,RM!$C$4:$G984,11,FALSE))</f>
        <v/>
      </c>
      <c r="N555" s="95" t="str">
        <f>IF(B555="","", VLOOKUP(B555,RM!$C$4:$G984,12,FALSE))</f>
        <v/>
      </c>
    </row>
    <row r="556" spans="1:14">
      <c r="A556" s="87" t="str">
        <f t="shared" si="2"/>
        <v/>
      </c>
      <c r="B556" s="2"/>
      <c r="C556" s="87"/>
      <c r="D556" s="87"/>
      <c r="E556" s="87"/>
      <c r="F556" s="87"/>
      <c r="G556" s="87"/>
      <c r="H556" s="87"/>
      <c r="I556" s="87"/>
      <c r="J556" s="2"/>
      <c r="K556" s="2"/>
      <c r="L556" s="94" t="str">
        <f>IF(B556="","", VLOOKUP(B556,RM!$C$4:$G984,10,FALSE))</f>
        <v/>
      </c>
      <c r="M556" s="94" t="str">
        <f>IF(B556="","", VLOOKUP(B556,RM!$C$4:$G984,11,FALSE))</f>
        <v/>
      </c>
      <c r="N556" s="95" t="str">
        <f>IF(B556="","", VLOOKUP(B556,RM!$C$4:$G984,12,FALSE))</f>
        <v/>
      </c>
    </row>
    <row r="557" spans="1:14">
      <c r="A557" s="87" t="str">
        <f t="shared" si="2"/>
        <v/>
      </c>
      <c r="B557" s="2"/>
      <c r="C557" s="87"/>
      <c r="D557" s="87"/>
      <c r="E557" s="87"/>
      <c r="F557" s="87"/>
      <c r="G557" s="87"/>
      <c r="H557" s="87"/>
      <c r="I557" s="87"/>
      <c r="J557" s="2"/>
      <c r="K557" s="2"/>
      <c r="L557" s="94" t="str">
        <f>IF(B557="","", VLOOKUP(B557,RM!$C$4:$G984,10,FALSE))</f>
        <v/>
      </c>
      <c r="M557" s="94" t="str">
        <f>IF(B557="","", VLOOKUP(B557,RM!$C$4:$G984,11,FALSE))</f>
        <v/>
      </c>
      <c r="N557" s="95" t="str">
        <f>IF(B557="","", VLOOKUP(B557,RM!$C$4:$G984,12,FALSE))</f>
        <v/>
      </c>
    </row>
    <row r="558" spans="1:14">
      <c r="A558" s="87" t="str">
        <f t="shared" si="2"/>
        <v/>
      </c>
      <c r="B558" s="2"/>
      <c r="C558" s="87"/>
      <c r="D558" s="87"/>
      <c r="E558" s="87"/>
      <c r="F558" s="87"/>
      <c r="G558" s="87"/>
      <c r="H558" s="87"/>
      <c r="I558" s="87"/>
      <c r="J558" s="2"/>
      <c r="K558" s="2"/>
      <c r="L558" s="94" t="str">
        <f>IF(B558="","", VLOOKUP(B558,RM!$C$4:$G984,10,FALSE))</f>
        <v/>
      </c>
      <c r="M558" s="94" t="str">
        <f>IF(B558="","", VLOOKUP(B558,RM!$C$4:$G984,11,FALSE))</f>
        <v/>
      </c>
      <c r="N558" s="95" t="str">
        <f>IF(B558="","", VLOOKUP(B558,RM!$C$4:$G984,12,FALSE))</f>
        <v/>
      </c>
    </row>
    <row r="559" spans="1:14">
      <c r="A559" s="87" t="str">
        <f t="shared" si="2"/>
        <v/>
      </c>
      <c r="B559" s="2"/>
      <c r="C559" s="87"/>
      <c r="D559" s="87"/>
      <c r="E559" s="87"/>
      <c r="F559" s="87"/>
      <c r="G559" s="87"/>
      <c r="H559" s="87"/>
      <c r="I559" s="87"/>
      <c r="J559" s="2"/>
      <c r="K559" s="2"/>
      <c r="L559" s="94" t="str">
        <f>IF(B559="","", VLOOKUP(B559,RM!$C$4:$G984,10,FALSE))</f>
        <v/>
      </c>
      <c r="M559" s="94" t="str">
        <f>IF(B559="","", VLOOKUP(B559,RM!$C$4:$G984,11,FALSE))</f>
        <v/>
      </c>
      <c r="N559" s="95" t="str">
        <f>IF(B559="","", VLOOKUP(B559,RM!$C$4:$G984,12,FALSE))</f>
        <v/>
      </c>
    </row>
    <row r="560" spans="1:14">
      <c r="A560" s="87" t="str">
        <f t="shared" si="2"/>
        <v/>
      </c>
      <c r="B560" s="2"/>
      <c r="C560" s="87"/>
      <c r="D560" s="87"/>
      <c r="E560" s="87"/>
      <c r="F560" s="87"/>
      <c r="G560" s="87"/>
      <c r="H560" s="87"/>
      <c r="I560" s="87"/>
      <c r="J560" s="2"/>
      <c r="K560" s="2"/>
      <c r="L560" s="94" t="str">
        <f>IF(B560="","", VLOOKUP(B560,RM!$C$4:$G984,10,FALSE))</f>
        <v/>
      </c>
      <c r="M560" s="94" t="str">
        <f>IF(B560="","", VLOOKUP(B560,RM!$C$4:$G984,11,FALSE))</f>
        <v/>
      </c>
      <c r="N560" s="95" t="str">
        <f>IF(B560="","", VLOOKUP(B560,RM!$C$4:$G984,12,FALSE))</f>
        <v/>
      </c>
    </row>
    <row r="561" spans="1:14">
      <c r="A561" s="87" t="str">
        <f t="shared" si="2"/>
        <v/>
      </c>
      <c r="B561" s="2"/>
      <c r="C561" s="87"/>
      <c r="D561" s="87"/>
      <c r="E561" s="87"/>
      <c r="F561" s="87"/>
      <c r="G561" s="87"/>
      <c r="H561" s="87"/>
      <c r="I561" s="87"/>
      <c r="J561" s="2"/>
      <c r="K561" s="2"/>
      <c r="L561" s="94" t="str">
        <f>IF(B561="","", VLOOKUP(B561,RM!$C$4:$G984,10,FALSE))</f>
        <v/>
      </c>
      <c r="M561" s="94" t="str">
        <f>IF(B561="","", VLOOKUP(B561,RM!$C$4:$G984,11,FALSE))</f>
        <v/>
      </c>
      <c r="N561" s="95" t="str">
        <f>IF(B561="","", VLOOKUP(B561,RM!$C$4:$G984,12,FALSE))</f>
        <v/>
      </c>
    </row>
    <row r="562" spans="1:14">
      <c r="A562" s="87" t="str">
        <f t="shared" si="2"/>
        <v/>
      </c>
      <c r="B562" s="2"/>
      <c r="C562" s="87"/>
      <c r="D562" s="87"/>
      <c r="E562" s="87"/>
      <c r="F562" s="87"/>
      <c r="G562" s="87"/>
      <c r="H562" s="87"/>
      <c r="I562" s="87"/>
      <c r="J562" s="2"/>
      <c r="K562" s="2"/>
      <c r="L562" s="94" t="str">
        <f>IF(B562="","", VLOOKUP(B562,RM!$C$4:$G984,10,FALSE))</f>
        <v/>
      </c>
      <c r="M562" s="94" t="str">
        <f>IF(B562="","", VLOOKUP(B562,RM!$C$4:$G984,11,FALSE))</f>
        <v/>
      </c>
      <c r="N562" s="95" t="str">
        <f>IF(B562="","", VLOOKUP(B562,RM!$C$4:$G984,12,FALSE))</f>
        <v/>
      </c>
    </row>
    <row r="563" spans="1:14">
      <c r="A563" s="87" t="str">
        <f t="shared" si="2"/>
        <v/>
      </c>
      <c r="B563" s="2"/>
      <c r="C563" s="87"/>
      <c r="D563" s="87"/>
      <c r="E563" s="87"/>
      <c r="F563" s="87"/>
      <c r="G563" s="87"/>
      <c r="H563" s="87"/>
      <c r="I563" s="87"/>
      <c r="J563" s="2"/>
      <c r="K563" s="2"/>
      <c r="L563" s="94" t="str">
        <f>IF(B563="","", VLOOKUP(B563,RM!$C$4:$G984,10,FALSE))</f>
        <v/>
      </c>
      <c r="M563" s="94" t="str">
        <f>IF(B563="","", VLOOKUP(B563,RM!$C$4:$G984,11,FALSE))</f>
        <v/>
      </c>
      <c r="N563" s="95" t="str">
        <f>IF(B563="","", VLOOKUP(B563,RM!$C$4:$G984,12,FALSE))</f>
        <v/>
      </c>
    </row>
    <row r="564" spans="1:14">
      <c r="A564" s="87" t="str">
        <f t="shared" si="2"/>
        <v/>
      </c>
      <c r="B564" s="2"/>
      <c r="C564" s="87"/>
      <c r="D564" s="87"/>
      <c r="E564" s="87"/>
      <c r="F564" s="87"/>
      <c r="G564" s="87"/>
      <c r="H564" s="87"/>
      <c r="I564" s="87"/>
      <c r="J564" s="2"/>
      <c r="K564" s="2"/>
      <c r="L564" s="94" t="str">
        <f>IF(B564="","", VLOOKUP(B564,RM!$C$4:$G984,10,FALSE))</f>
        <v/>
      </c>
      <c r="M564" s="94" t="str">
        <f>IF(B564="","", VLOOKUP(B564,RM!$C$4:$G984,11,FALSE))</f>
        <v/>
      </c>
      <c r="N564" s="95" t="str">
        <f>IF(B564="","", VLOOKUP(B564,RM!$C$4:$G984,12,FALSE))</f>
        <v/>
      </c>
    </row>
    <row r="565" spans="1:14">
      <c r="A565" s="87" t="str">
        <f t="shared" si="2"/>
        <v/>
      </c>
      <c r="B565" s="2"/>
      <c r="C565" s="87"/>
      <c r="D565" s="87"/>
      <c r="E565" s="87"/>
      <c r="F565" s="87"/>
      <c r="G565" s="87"/>
      <c r="H565" s="87"/>
      <c r="I565" s="87"/>
      <c r="J565" s="2"/>
      <c r="K565" s="2"/>
      <c r="L565" s="94" t="str">
        <f>IF(B565="","", VLOOKUP(B565,RM!$C$4:$G984,10,FALSE))</f>
        <v/>
      </c>
      <c r="M565" s="94" t="str">
        <f>IF(B565="","", VLOOKUP(B565,RM!$C$4:$G984,11,FALSE))</f>
        <v/>
      </c>
      <c r="N565" s="95" t="str">
        <f>IF(B565="","", VLOOKUP(B565,RM!$C$4:$G984,12,FALSE))</f>
        <v/>
      </c>
    </row>
    <row r="566" spans="1:14">
      <c r="A566" s="87" t="str">
        <f t="shared" si="2"/>
        <v/>
      </c>
      <c r="B566" s="2"/>
      <c r="C566" s="87"/>
      <c r="D566" s="87"/>
      <c r="E566" s="87"/>
      <c r="F566" s="87"/>
      <c r="G566" s="87"/>
      <c r="H566" s="87"/>
      <c r="I566" s="87"/>
      <c r="J566" s="2"/>
      <c r="K566" s="2"/>
      <c r="L566" s="94" t="str">
        <f>IF(B566="","", VLOOKUP(B566,RM!$C$4:$G984,10,FALSE))</f>
        <v/>
      </c>
      <c r="M566" s="94" t="str">
        <f>IF(B566="","", VLOOKUP(B566,RM!$C$4:$G984,11,FALSE))</f>
        <v/>
      </c>
      <c r="N566" s="95" t="str">
        <f>IF(B566="","", VLOOKUP(B566,RM!$C$4:$G984,12,FALSE))</f>
        <v/>
      </c>
    </row>
    <row r="567" spans="1:14">
      <c r="A567" s="87" t="str">
        <f t="shared" si="2"/>
        <v/>
      </c>
      <c r="B567" s="2"/>
      <c r="C567" s="87"/>
      <c r="D567" s="87"/>
      <c r="E567" s="87"/>
      <c r="F567" s="87"/>
      <c r="G567" s="87"/>
      <c r="H567" s="87"/>
      <c r="I567" s="87"/>
      <c r="J567" s="2"/>
      <c r="K567" s="2"/>
      <c r="L567" s="94" t="str">
        <f>IF(B567="","", VLOOKUP(B567,RM!$C$4:$G984,10,FALSE))</f>
        <v/>
      </c>
      <c r="M567" s="94" t="str">
        <f>IF(B567="","", VLOOKUP(B567,RM!$C$4:$G984,11,FALSE))</f>
        <v/>
      </c>
      <c r="N567" s="95" t="str">
        <f>IF(B567="","", VLOOKUP(B567,RM!$C$4:$G984,12,FALSE))</f>
        <v/>
      </c>
    </row>
    <row r="568" spans="1:14">
      <c r="A568" s="87" t="str">
        <f t="shared" si="2"/>
        <v/>
      </c>
      <c r="B568" s="2"/>
      <c r="C568" s="87"/>
      <c r="D568" s="87"/>
      <c r="E568" s="87"/>
      <c r="F568" s="87"/>
      <c r="G568" s="87"/>
      <c r="H568" s="87"/>
      <c r="I568" s="87"/>
      <c r="J568" s="2"/>
      <c r="K568" s="2"/>
      <c r="L568" s="94" t="str">
        <f>IF(B568="","", VLOOKUP(B568,RM!$C$4:$G984,10,FALSE))</f>
        <v/>
      </c>
      <c r="M568" s="94" t="str">
        <f>IF(B568="","", VLOOKUP(B568,RM!$C$4:$G984,11,FALSE))</f>
        <v/>
      </c>
      <c r="N568" s="95" t="str">
        <f>IF(B568="","", VLOOKUP(B568,RM!$C$4:$G984,12,FALSE))</f>
        <v/>
      </c>
    </row>
    <row r="569" spans="1:14">
      <c r="A569" s="87" t="str">
        <f t="shared" si="2"/>
        <v/>
      </c>
      <c r="B569" s="2"/>
      <c r="C569" s="87"/>
      <c r="D569" s="87"/>
      <c r="E569" s="87"/>
      <c r="F569" s="87"/>
      <c r="G569" s="87"/>
      <c r="H569" s="87"/>
      <c r="I569" s="87"/>
      <c r="J569" s="2"/>
      <c r="K569" s="2"/>
      <c r="L569" s="94" t="str">
        <f>IF(B569="","", VLOOKUP(B569,RM!$C$4:$G984,10,FALSE))</f>
        <v/>
      </c>
      <c r="M569" s="94" t="str">
        <f>IF(B569="","", VLOOKUP(B569,RM!$C$4:$G984,11,FALSE))</f>
        <v/>
      </c>
      <c r="N569" s="95" t="str">
        <f>IF(B569="","", VLOOKUP(B569,RM!$C$4:$G984,12,FALSE))</f>
        <v/>
      </c>
    </row>
    <row r="570" spans="1:14">
      <c r="A570" s="87" t="str">
        <f t="shared" si="2"/>
        <v/>
      </c>
      <c r="B570" s="2"/>
      <c r="C570" s="87"/>
      <c r="D570" s="87"/>
      <c r="E570" s="87"/>
      <c r="F570" s="87"/>
      <c r="G570" s="87"/>
      <c r="H570" s="87"/>
      <c r="I570" s="87"/>
      <c r="J570" s="2"/>
      <c r="K570" s="2"/>
      <c r="L570" s="94" t="str">
        <f>IF(B570="","", VLOOKUP(B570,RM!$C$4:$G984,10,FALSE))</f>
        <v/>
      </c>
      <c r="M570" s="94" t="str">
        <f>IF(B570="","", VLOOKUP(B570,RM!$C$4:$G984,11,FALSE))</f>
        <v/>
      </c>
      <c r="N570" s="95" t="str">
        <f>IF(B570="","", VLOOKUP(B570,RM!$C$4:$G984,12,FALSE))</f>
        <v/>
      </c>
    </row>
    <row r="571" spans="1:14">
      <c r="A571" s="87" t="str">
        <f t="shared" si="2"/>
        <v/>
      </c>
      <c r="B571" s="2"/>
      <c r="C571" s="87"/>
      <c r="D571" s="87"/>
      <c r="E571" s="87"/>
      <c r="F571" s="87"/>
      <c r="G571" s="87"/>
      <c r="H571" s="87"/>
      <c r="I571" s="87"/>
      <c r="J571" s="2"/>
      <c r="K571" s="2"/>
      <c r="L571" s="94" t="str">
        <f>IF(B571="","", VLOOKUP(B571,RM!$C$4:$G984,10,FALSE))</f>
        <v/>
      </c>
      <c r="M571" s="94" t="str">
        <f>IF(B571="","", VLOOKUP(B571,RM!$C$4:$G984,11,FALSE))</f>
        <v/>
      </c>
      <c r="N571" s="95" t="str">
        <f>IF(B571="","", VLOOKUP(B571,RM!$C$4:$G984,12,FALSE))</f>
        <v/>
      </c>
    </row>
    <row r="572" spans="1:14">
      <c r="A572" s="87" t="str">
        <f t="shared" si="2"/>
        <v/>
      </c>
      <c r="B572" s="2"/>
      <c r="C572" s="87"/>
      <c r="D572" s="87"/>
      <c r="E572" s="87"/>
      <c r="F572" s="87"/>
      <c r="G572" s="87"/>
      <c r="H572" s="87"/>
      <c r="I572" s="87"/>
      <c r="J572" s="2"/>
      <c r="K572" s="2"/>
      <c r="L572" s="94" t="str">
        <f>IF(B572="","", VLOOKUP(B572,RM!$C$4:$G984,10,FALSE))</f>
        <v/>
      </c>
      <c r="M572" s="94" t="str">
        <f>IF(B572="","", VLOOKUP(B572,RM!$C$4:$G984,11,FALSE))</f>
        <v/>
      </c>
      <c r="N572" s="95" t="str">
        <f>IF(B572="","", VLOOKUP(B572,RM!$C$4:$G984,12,FALSE))</f>
        <v/>
      </c>
    </row>
    <row r="573" spans="1:14">
      <c r="A573" s="87" t="str">
        <f t="shared" si="2"/>
        <v/>
      </c>
      <c r="B573" s="2"/>
      <c r="C573" s="87"/>
      <c r="D573" s="87"/>
      <c r="E573" s="87"/>
      <c r="F573" s="87"/>
      <c r="G573" s="87"/>
      <c r="H573" s="87"/>
      <c r="I573" s="87"/>
      <c r="J573" s="2"/>
      <c r="K573" s="2"/>
      <c r="L573" s="94" t="str">
        <f>IF(B573="","", VLOOKUP(B573,RM!$C$4:$G984,10,FALSE))</f>
        <v/>
      </c>
      <c r="M573" s="94" t="str">
        <f>IF(B573="","", VLOOKUP(B573,RM!$C$4:$G984,11,FALSE))</f>
        <v/>
      </c>
      <c r="N573" s="95" t="str">
        <f>IF(B573="","", VLOOKUP(B573,RM!$C$4:$G984,12,FALSE))</f>
        <v/>
      </c>
    </row>
    <row r="574" spans="1:14">
      <c r="A574" s="87" t="str">
        <f t="shared" si="2"/>
        <v/>
      </c>
      <c r="B574" s="2"/>
      <c r="C574" s="87"/>
      <c r="D574" s="87"/>
      <c r="E574" s="87"/>
      <c r="F574" s="87"/>
      <c r="G574" s="87"/>
      <c r="H574" s="87"/>
      <c r="I574" s="87"/>
      <c r="J574" s="2"/>
      <c r="K574" s="2"/>
      <c r="L574" s="94" t="str">
        <f>IF(B574="","", VLOOKUP(B574,RM!$C$4:$G984,10,FALSE))</f>
        <v/>
      </c>
      <c r="M574" s="94" t="str">
        <f>IF(B574="","", VLOOKUP(B574,RM!$C$4:$G984,11,FALSE))</f>
        <v/>
      </c>
      <c r="N574" s="95" t="str">
        <f>IF(B574="","", VLOOKUP(B574,RM!$C$4:$G984,12,FALSE))</f>
        <v/>
      </c>
    </row>
    <row r="575" spans="1:14">
      <c r="A575" s="87" t="str">
        <f t="shared" si="2"/>
        <v/>
      </c>
      <c r="B575" s="2"/>
      <c r="C575" s="87"/>
      <c r="D575" s="87"/>
      <c r="E575" s="87"/>
      <c r="F575" s="87"/>
      <c r="G575" s="87"/>
      <c r="H575" s="87"/>
      <c r="I575" s="87"/>
      <c r="J575" s="2"/>
      <c r="K575" s="2"/>
      <c r="L575" s="94" t="str">
        <f>IF(B575="","", VLOOKUP(B575,RM!$C$4:$G984,10,FALSE))</f>
        <v/>
      </c>
      <c r="M575" s="94" t="str">
        <f>IF(B575="","", VLOOKUP(B575,RM!$C$4:$G984,11,FALSE))</f>
        <v/>
      </c>
      <c r="N575" s="95" t="str">
        <f>IF(B575="","", VLOOKUP(B575,RM!$C$4:$G984,12,FALSE))</f>
        <v/>
      </c>
    </row>
    <row r="576" spans="1:14">
      <c r="A576" s="87" t="str">
        <f t="shared" si="2"/>
        <v/>
      </c>
      <c r="B576" s="2"/>
      <c r="C576" s="87"/>
      <c r="D576" s="87"/>
      <c r="E576" s="87"/>
      <c r="F576" s="87"/>
      <c r="G576" s="87"/>
      <c r="H576" s="87"/>
      <c r="I576" s="87"/>
      <c r="J576" s="2"/>
      <c r="K576" s="2"/>
      <c r="L576" s="94" t="str">
        <f>IF(B576="","", VLOOKUP(B576,RM!$C$4:$G984,10,FALSE))</f>
        <v/>
      </c>
      <c r="M576" s="94" t="str">
        <f>IF(B576="","", VLOOKUP(B576,RM!$C$4:$G984,11,FALSE))</f>
        <v/>
      </c>
      <c r="N576" s="95" t="str">
        <f>IF(B576="","", VLOOKUP(B576,RM!$C$4:$G984,12,FALSE))</f>
        <v/>
      </c>
    </row>
    <row r="577" spans="1:14">
      <c r="A577" s="87" t="str">
        <f t="shared" si="2"/>
        <v/>
      </c>
      <c r="B577" s="2"/>
      <c r="C577" s="87"/>
      <c r="D577" s="87"/>
      <c r="E577" s="87"/>
      <c r="F577" s="87"/>
      <c r="G577" s="87"/>
      <c r="H577" s="87"/>
      <c r="I577" s="87"/>
      <c r="J577" s="2"/>
      <c r="K577" s="2"/>
      <c r="L577" s="94" t="str">
        <f>IF(B577="","", VLOOKUP(B577,RM!$C$4:$G984,10,FALSE))</f>
        <v/>
      </c>
      <c r="M577" s="94" t="str">
        <f>IF(B577="","", VLOOKUP(B577,RM!$C$4:$G984,11,FALSE))</f>
        <v/>
      </c>
      <c r="N577" s="95" t="str">
        <f>IF(B577="","", VLOOKUP(B577,RM!$C$4:$G984,12,FALSE))</f>
        <v/>
      </c>
    </row>
    <row r="578" spans="1:14">
      <c r="A578" s="87" t="str">
        <f t="shared" si="2"/>
        <v/>
      </c>
      <c r="B578" s="2"/>
      <c r="C578" s="87"/>
      <c r="D578" s="87"/>
      <c r="E578" s="87"/>
      <c r="F578" s="87"/>
      <c r="G578" s="87"/>
      <c r="H578" s="87"/>
      <c r="I578" s="87"/>
      <c r="J578" s="2"/>
      <c r="K578" s="2"/>
      <c r="L578" s="94" t="str">
        <f>IF(B578="","", VLOOKUP(B578,RM!$C$4:$G984,10,FALSE))</f>
        <v/>
      </c>
      <c r="M578" s="94" t="str">
        <f>IF(B578="","", VLOOKUP(B578,RM!$C$4:$G984,11,FALSE))</f>
        <v/>
      </c>
      <c r="N578" s="95" t="str">
        <f>IF(B578="","", VLOOKUP(B578,RM!$C$4:$G984,12,FALSE))</f>
        <v/>
      </c>
    </row>
    <row r="579" spans="1:14">
      <c r="A579" s="87" t="str">
        <f t="shared" si="2"/>
        <v/>
      </c>
      <c r="B579" s="2"/>
      <c r="C579" s="87"/>
      <c r="D579" s="87"/>
      <c r="E579" s="87"/>
      <c r="F579" s="87"/>
      <c r="G579" s="87"/>
      <c r="H579" s="87"/>
      <c r="I579" s="87"/>
      <c r="J579" s="2"/>
      <c r="K579" s="2"/>
      <c r="L579" s="94" t="str">
        <f>IF(B579="","", VLOOKUP(B579,RM!$C$4:$G984,10,FALSE))</f>
        <v/>
      </c>
      <c r="M579" s="94" t="str">
        <f>IF(B579="","", VLOOKUP(B579,RM!$C$4:$G984,11,FALSE))</f>
        <v/>
      </c>
      <c r="N579" s="95" t="str">
        <f>IF(B579="","", VLOOKUP(B579,RM!$C$4:$G984,12,FALSE))</f>
        <v/>
      </c>
    </row>
    <row r="580" spans="1:14">
      <c r="A580" s="87" t="str">
        <f t="shared" si="2"/>
        <v/>
      </c>
      <c r="B580" s="2"/>
      <c r="C580" s="87"/>
      <c r="D580" s="87"/>
      <c r="E580" s="87"/>
      <c r="F580" s="87"/>
      <c r="G580" s="87"/>
      <c r="H580" s="87"/>
      <c r="I580" s="87"/>
      <c r="J580" s="2"/>
      <c r="K580" s="2"/>
      <c r="L580" s="94" t="str">
        <f>IF(B580="","", VLOOKUP(B580,RM!$C$4:$G984,10,FALSE))</f>
        <v/>
      </c>
      <c r="M580" s="94" t="str">
        <f>IF(B580="","", VLOOKUP(B580,RM!$C$4:$G984,11,FALSE))</f>
        <v/>
      </c>
      <c r="N580" s="95" t="str">
        <f>IF(B580="","", VLOOKUP(B580,RM!$C$4:$G984,12,FALSE))</f>
        <v/>
      </c>
    </row>
    <row r="581" spans="1:14">
      <c r="A581" s="87" t="str">
        <f t="shared" si="2"/>
        <v/>
      </c>
      <c r="B581" s="2"/>
      <c r="C581" s="87"/>
      <c r="D581" s="87"/>
      <c r="E581" s="87"/>
      <c r="F581" s="87"/>
      <c r="G581" s="87"/>
      <c r="H581" s="87"/>
      <c r="I581" s="87"/>
      <c r="J581" s="2"/>
      <c r="K581" s="2"/>
      <c r="L581" s="94" t="str">
        <f>IF(B581="","", VLOOKUP(B581,RM!$C$4:$G984,10,FALSE))</f>
        <v/>
      </c>
      <c r="M581" s="94" t="str">
        <f>IF(B581="","", VLOOKUP(B581,RM!$C$4:$G984,11,FALSE))</f>
        <v/>
      </c>
      <c r="N581" s="95" t="str">
        <f>IF(B581="","", VLOOKUP(B581,RM!$C$4:$G984,12,FALSE))</f>
        <v/>
      </c>
    </row>
    <row r="582" spans="1:14">
      <c r="A582" s="87" t="str">
        <f t="shared" si="2"/>
        <v/>
      </c>
      <c r="B582" s="2"/>
      <c r="C582" s="87"/>
      <c r="D582" s="87"/>
      <c r="E582" s="87"/>
      <c r="F582" s="87"/>
      <c r="G582" s="87"/>
      <c r="H582" s="87"/>
      <c r="I582" s="87"/>
      <c r="J582" s="2"/>
      <c r="K582" s="2"/>
      <c r="L582" s="94" t="str">
        <f>IF(B582="","", VLOOKUP(B582,RM!$C$4:$G984,10,FALSE))</f>
        <v/>
      </c>
      <c r="M582" s="94" t="str">
        <f>IF(B582="","", VLOOKUP(B582,RM!$C$4:$G984,11,FALSE))</f>
        <v/>
      </c>
      <c r="N582" s="95" t="str">
        <f>IF(B582="","", VLOOKUP(B582,RM!$C$4:$G984,12,FALSE))</f>
        <v/>
      </c>
    </row>
    <row r="583" spans="1:14">
      <c r="A583" s="87" t="str">
        <f t="shared" si="2"/>
        <v/>
      </c>
      <c r="B583" s="2"/>
      <c r="C583" s="87"/>
      <c r="D583" s="87"/>
      <c r="E583" s="87"/>
      <c r="F583" s="87"/>
      <c r="G583" s="87"/>
      <c r="H583" s="87"/>
      <c r="I583" s="87"/>
      <c r="J583" s="2"/>
      <c r="K583" s="2"/>
      <c r="L583" s="94" t="str">
        <f>IF(B583="","", VLOOKUP(B583,RM!$C$4:$G984,10,FALSE))</f>
        <v/>
      </c>
      <c r="M583" s="94" t="str">
        <f>IF(B583="","", VLOOKUP(B583,RM!$C$4:$G984,11,FALSE))</f>
        <v/>
      </c>
      <c r="N583" s="95" t="str">
        <f>IF(B583="","", VLOOKUP(B583,RM!$C$4:$G984,12,FALSE))</f>
        <v/>
      </c>
    </row>
    <row r="584" spans="1:14">
      <c r="A584" s="87" t="str">
        <f t="shared" si="2"/>
        <v/>
      </c>
      <c r="B584" s="2"/>
      <c r="C584" s="87"/>
      <c r="D584" s="87"/>
      <c r="E584" s="87"/>
      <c r="F584" s="87"/>
      <c r="G584" s="87"/>
      <c r="H584" s="87"/>
      <c r="I584" s="87"/>
      <c r="J584" s="2"/>
      <c r="K584" s="2"/>
      <c r="L584" s="94" t="str">
        <f>IF(B584="","", VLOOKUP(B584,RM!$C$4:$G984,10,FALSE))</f>
        <v/>
      </c>
      <c r="M584" s="94" t="str">
        <f>IF(B584="","", VLOOKUP(B584,RM!$C$4:$G984,11,FALSE))</f>
        <v/>
      </c>
      <c r="N584" s="95" t="str">
        <f>IF(B584="","", VLOOKUP(B584,RM!$C$4:$G984,12,FALSE))</f>
        <v/>
      </c>
    </row>
    <row r="585" spans="1:14">
      <c r="A585" s="87" t="str">
        <f t="shared" si="2"/>
        <v/>
      </c>
      <c r="B585" s="2"/>
      <c r="C585" s="87"/>
      <c r="D585" s="87"/>
      <c r="E585" s="87"/>
      <c r="F585" s="87"/>
      <c r="G585" s="87"/>
      <c r="H585" s="87"/>
      <c r="I585" s="87"/>
      <c r="J585" s="2"/>
      <c r="K585" s="2"/>
      <c r="L585" s="94" t="str">
        <f>IF(B585="","", VLOOKUP(B585,RM!$C$4:$G984,10,FALSE))</f>
        <v/>
      </c>
      <c r="M585" s="94" t="str">
        <f>IF(B585="","", VLOOKUP(B585,RM!$C$4:$G984,11,FALSE))</f>
        <v/>
      </c>
      <c r="N585" s="95" t="str">
        <f>IF(B585="","", VLOOKUP(B585,RM!$C$4:$G984,12,FALSE))</f>
        <v/>
      </c>
    </row>
    <row r="586" spans="1:14">
      <c r="A586" s="87" t="str">
        <f t="shared" si="2"/>
        <v/>
      </c>
      <c r="B586" s="2"/>
      <c r="C586" s="87"/>
      <c r="D586" s="87"/>
      <c r="E586" s="87"/>
      <c r="F586" s="87"/>
      <c r="G586" s="87"/>
      <c r="H586" s="87"/>
      <c r="I586" s="87"/>
      <c r="J586" s="2"/>
      <c r="K586" s="2"/>
      <c r="L586" s="94" t="str">
        <f>IF(B586="","", VLOOKUP(B586,RM!$C$4:$G984,10,FALSE))</f>
        <v/>
      </c>
      <c r="M586" s="94" t="str">
        <f>IF(B586="","", VLOOKUP(B586,RM!$C$4:$G984,11,FALSE))</f>
        <v/>
      </c>
      <c r="N586" s="95" t="str">
        <f>IF(B586="","", VLOOKUP(B586,RM!$C$4:$G984,12,FALSE))</f>
        <v/>
      </c>
    </row>
    <row r="587" spans="1:14">
      <c r="A587" s="87" t="str">
        <f t="shared" si="2"/>
        <v/>
      </c>
      <c r="B587" s="2"/>
      <c r="C587" s="87"/>
      <c r="D587" s="87"/>
      <c r="E587" s="87"/>
      <c r="F587" s="87"/>
      <c r="G587" s="87"/>
      <c r="H587" s="87"/>
      <c r="I587" s="87"/>
      <c r="J587" s="2"/>
      <c r="K587" s="2"/>
      <c r="L587" s="94" t="str">
        <f>IF(B587="","", VLOOKUP(B587,RM!$C$4:$G984,10,FALSE))</f>
        <v/>
      </c>
      <c r="M587" s="94" t="str">
        <f>IF(B587="","", VLOOKUP(B587,RM!$C$4:$G984,11,FALSE))</f>
        <v/>
      </c>
      <c r="N587" s="95" t="str">
        <f>IF(B587="","", VLOOKUP(B587,RM!$C$4:$G984,12,FALSE))</f>
        <v/>
      </c>
    </row>
    <row r="588" spans="1:14">
      <c r="A588" s="87" t="str">
        <f t="shared" si="2"/>
        <v/>
      </c>
      <c r="B588" s="2"/>
      <c r="C588" s="87"/>
      <c r="D588" s="87"/>
      <c r="E588" s="87"/>
      <c r="F588" s="87"/>
      <c r="G588" s="87"/>
      <c r="H588" s="87"/>
      <c r="I588" s="87"/>
      <c r="J588" s="2"/>
      <c r="K588" s="2"/>
      <c r="L588" s="94" t="str">
        <f>IF(B588="","", VLOOKUP(B588,RM!$C$4:$G984,10,FALSE))</f>
        <v/>
      </c>
      <c r="M588" s="94" t="str">
        <f>IF(B588="","", VLOOKUP(B588,RM!$C$4:$G984,11,FALSE))</f>
        <v/>
      </c>
      <c r="N588" s="95" t="str">
        <f>IF(B588="","", VLOOKUP(B588,RM!$C$4:$G984,12,FALSE))</f>
        <v/>
      </c>
    </row>
    <row r="589" spans="1:14">
      <c r="A589" s="87" t="str">
        <f t="shared" si="2"/>
        <v/>
      </c>
      <c r="B589" s="2"/>
      <c r="C589" s="87"/>
      <c r="D589" s="87"/>
      <c r="E589" s="87"/>
      <c r="F589" s="87"/>
      <c r="G589" s="87"/>
      <c r="H589" s="87"/>
      <c r="I589" s="87"/>
      <c r="J589" s="2"/>
      <c r="K589" s="2"/>
      <c r="L589" s="94" t="str">
        <f>IF(B589="","", VLOOKUP(B589,RM!$C$4:$G984,10,FALSE))</f>
        <v/>
      </c>
      <c r="M589" s="94" t="str">
        <f>IF(B589="","", VLOOKUP(B589,RM!$C$4:$G984,11,FALSE))</f>
        <v/>
      </c>
      <c r="N589" s="95" t="str">
        <f>IF(B589="","", VLOOKUP(B589,RM!$C$4:$G984,12,FALSE))</f>
        <v/>
      </c>
    </row>
    <row r="590" spans="1:14">
      <c r="A590" s="87" t="str">
        <f t="shared" si="2"/>
        <v/>
      </c>
      <c r="B590" s="2"/>
      <c r="C590" s="87"/>
      <c r="D590" s="87"/>
      <c r="E590" s="87"/>
      <c r="F590" s="87"/>
      <c r="G590" s="87"/>
      <c r="H590" s="87"/>
      <c r="I590" s="87"/>
      <c r="J590" s="2"/>
      <c r="K590" s="2"/>
      <c r="L590" s="94" t="str">
        <f>IF(B590="","", VLOOKUP(B590,RM!$C$4:$G984,10,FALSE))</f>
        <v/>
      </c>
      <c r="M590" s="94" t="str">
        <f>IF(B590="","", VLOOKUP(B590,RM!$C$4:$G984,11,FALSE))</f>
        <v/>
      </c>
      <c r="N590" s="95" t="str">
        <f>IF(B590="","", VLOOKUP(B590,RM!$C$4:$G984,12,FALSE))</f>
        <v/>
      </c>
    </row>
    <row r="591" spans="1:14">
      <c r="A591" s="87" t="str">
        <f t="shared" si="2"/>
        <v/>
      </c>
      <c r="B591" s="2"/>
      <c r="C591" s="87"/>
      <c r="D591" s="87"/>
      <c r="E591" s="87"/>
      <c r="F591" s="87"/>
      <c r="G591" s="87"/>
      <c r="H591" s="87"/>
      <c r="I591" s="87"/>
      <c r="J591" s="2"/>
      <c r="K591" s="2"/>
      <c r="L591" s="94" t="str">
        <f>IF(B591="","", VLOOKUP(B591,RM!$C$4:$G984,10,FALSE))</f>
        <v/>
      </c>
      <c r="M591" s="94" t="str">
        <f>IF(B591="","", VLOOKUP(B591,RM!$C$4:$G984,11,FALSE))</f>
        <v/>
      </c>
      <c r="N591" s="95" t="str">
        <f>IF(B591="","", VLOOKUP(B591,RM!$C$4:$G984,12,FALSE))</f>
        <v/>
      </c>
    </row>
    <row r="592" spans="1:14">
      <c r="A592" s="87" t="str">
        <f t="shared" si="2"/>
        <v/>
      </c>
      <c r="B592" s="2"/>
      <c r="C592" s="87"/>
      <c r="D592" s="87"/>
      <c r="E592" s="87"/>
      <c r="F592" s="87"/>
      <c r="G592" s="87"/>
      <c r="H592" s="87"/>
      <c r="I592" s="87"/>
      <c r="J592" s="2"/>
      <c r="K592" s="2"/>
      <c r="L592" s="94" t="str">
        <f>IF(B592="","", VLOOKUP(B592,RM!$C$4:$G984,10,FALSE))</f>
        <v/>
      </c>
      <c r="M592" s="94" t="str">
        <f>IF(B592="","", VLOOKUP(B592,RM!$C$4:$G984,11,FALSE))</f>
        <v/>
      </c>
      <c r="N592" s="95" t="str">
        <f>IF(B592="","", VLOOKUP(B592,RM!$C$4:$G984,12,FALSE))</f>
        <v/>
      </c>
    </row>
    <row r="593" spans="1:14">
      <c r="A593" s="87" t="str">
        <f t="shared" si="2"/>
        <v/>
      </c>
      <c r="B593" s="2"/>
      <c r="C593" s="87"/>
      <c r="D593" s="87"/>
      <c r="E593" s="87"/>
      <c r="F593" s="87"/>
      <c r="G593" s="87"/>
      <c r="H593" s="87"/>
      <c r="I593" s="87"/>
      <c r="J593" s="2"/>
      <c r="K593" s="2"/>
      <c r="L593" s="94" t="str">
        <f>IF(B593="","", VLOOKUP(B593,RM!$C$4:$G984,10,FALSE))</f>
        <v/>
      </c>
      <c r="M593" s="94" t="str">
        <f>IF(B593="","", VLOOKUP(B593,RM!$C$4:$G984,11,FALSE))</f>
        <v/>
      </c>
      <c r="N593" s="95" t="str">
        <f>IF(B593="","", VLOOKUP(B593,RM!$C$4:$G984,12,FALSE))</f>
        <v/>
      </c>
    </row>
    <row r="594" spans="1:14">
      <c r="A594" s="87" t="str">
        <f t="shared" si="2"/>
        <v/>
      </c>
      <c r="B594" s="2"/>
      <c r="C594" s="87"/>
      <c r="D594" s="87"/>
      <c r="E594" s="87"/>
      <c r="F594" s="87"/>
      <c r="G594" s="87"/>
      <c r="H594" s="87"/>
      <c r="I594" s="87"/>
      <c r="J594" s="2"/>
      <c r="K594" s="2"/>
      <c r="L594" s="94" t="str">
        <f>IF(B594="","", VLOOKUP(B594,RM!$C$4:$G984,10,FALSE))</f>
        <v/>
      </c>
      <c r="M594" s="94" t="str">
        <f>IF(B594="","", VLOOKUP(B594,RM!$C$4:$G984,11,FALSE))</f>
        <v/>
      </c>
      <c r="N594" s="95" t="str">
        <f>IF(B594="","", VLOOKUP(B594,RM!$C$4:$G984,12,FALSE))</f>
        <v/>
      </c>
    </row>
    <row r="595" spans="1:14">
      <c r="A595" s="87" t="str">
        <f t="shared" si="2"/>
        <v/>
      </c>
      <c r="B595" s="2"/>
      <c r="C595" s="87"/>
      <c r="D595" s="87"/>
      <c r="E595" s="87"/>
      <c r="F595" s="87"/>
      <c r="G595" s="87"/>
      <c r="H595" s="87"/>
      <c r="I595" s="87"/>
      <c r="J595" s="2"/>
      <c r="K595" s="2"/>
      <c r="L595" s="94" t="str">
        <f>IF(B595="","", VLOOKUP(B595,RM!$C$4:$G984,10,FALSE))</f>
        <v/>
      </c>
      <c r="M595" s="94" t="str">
        <f>IF(B595="","", VLOOKUP(B595,RM!$C$4:$G984,11,FALSE))</f>
        <v/>
      </c>
      <c r="N595" s="95" t="str">
        <f>IF(B595="","", VLOOKUP(B595,RM!$C$4:$G984,12,FALSE))</f>
        <v/>
      </c>
    </row>
    <row r="596" spans="1:14">
      <c r="A596" s="87" t="str">
        <f t="shared" si="2"/>
        <v/>
      </c>
      <c r="B596" s="2"/>
      <c r="C596" s="87"/>
      <c r="D596" s="87"/>
      <c r="E596" s="87"/>
      <c r="F596" s="87"/>
      <c r="G596" s="87"/>
      <c r="H596" s="87"/>
      <c r="I596" s="87"/>
      <c r="J596" s="2"/>
      <c r="K596" s="2"/>
      <c r="L596" s="94" t="str">
        <f>IF(B596="","", VLOOKUP(B596,RM!$C$4:$G984,10,FALSE))</f>
        <v/>
      </c>
      <c r="M596" s="94" t="str">
        <f>IF(B596="","", VLOOKUP(B596,RM!$C$4:$G984,11,FALSE))</f>
        <v/>
      </c>
      <c r="N596" s="95" t="str">
        <f>IF(B596="","", VLOOKUP(B596,RM!$C$4:$G984,12,FALSE))</f>
        <v/>
      </c>
    </row>
    <row r="597" spans="1:14">
      <c r="A597" s="87" t="str">
        <f t="shared" si="2"/>
        <v/>
      </c>
      <c r="B597" s="2"/>
      <c r="C597" s="87"/>
      <c r="D597" s="87"/>
      <c r="E597" s="87"/>
      <c r="F597" s="87"/>
      <c r="G597" s="87"/>
      <c r="H597" s="87"/>
      <c r="I597" s="87"/>
      <c r="J597" s="2"/>
      <c r="K597" s="2"/>
      <c r="L597" s="94" t="str">
        <f>IF(B597="","", VLOOKUP(B597,RM!$C$4:$G984,10,FALSE))</f>
        <v/>
      </c>
      <c r="M597" s="94" t="str">
        <f>IF(B597="","", VLOOKUP(B597,RM!$C$4:$G984,11,FALSE))</f>
        <v/>
      </c>
      <c r="N597" s="95" t="str">
        <f>IF(B597="","", VLOOKUP(B597,RM!$C$4:$G984,12,FALSE))</f>
        <v/>
      </c>
    </row>
    <row r="598" spans="1:14">
      <c r="A598" s="87" t="str">
        <f t="shared" si="2"/>
        <v/>
      </c>
      <c r="B598" s="2"/>
      <c r="C598" s="87"/>
      <c r="D598" s="87"/>
      <c r="E598" s="87"/>
      <c r="F598" s="87"/>
      <c r="G598" s="87"/>
      <c r="H598" s="87"/>
      <c r="I598" s="87"/>
      <c r="J598" s="2"/>
      <c r="K598" s="2"/>
      <c r="L598" s="94" t="str">
        <f>IF(B598="","", VLOOKUP(B598,RM!$C$4:$G984,10,FALSE))</f>
        <v/>
      </c>
      <c r="M598" s="94" t="str">
        <f>IF(B598="","", VLOOKUP(B598,RM!$C$4:$G984,11,FALSE))</f>
        <v/>
      </c>
      <c r="N598" s="95" t="str">
        <f>IF(B598="","", VLOOKUP(B598,RM!$C$4:$G984,12,FALSE))</f>
        <v/>
      </c>
    </row>
    <row r="599" spans="1:14">
      <c r="A599" s="87" t="str">
        <f t="shared" si="2"/>
        <v/>
      </c>
      <c r="B599" s="2"/>
      <c r="C599" s="87"/>
      <c r="D599" s="87"/>
      <c r="E599" s="87"/>
      <c r="F599" s="87"/>
      <c r="G599" s="87"/>
      <c r="H599" s="87"/>
      <c r="I599" s="87"/>
      <c r="J599" s="2"/>
      <c r="K599" s="2"/>
      <c r="L599" s="94" t="str">
        <f>IF(B599="","", VLOOKUP(B599,RM!$C$4:$G984,10,FALSE))</f>
        <v/>
      </c>
      <c r="M599" s="94" t="str">
        <f>IF(B599="","", VLOOKUP(B599,RM!$C$4:$G984,11,FALSE))</f>
        <v/>
      </c>
      <c r="N599" s="95" t="str">
        <f>IF(B599="","", VLOOKUP(B599,RM!$C$4:$G984,12,FALSE))</f>
        <v/>
      </c>
    </row>
    <row r="600" spans="1:14">
      <c r="A600" s="87" t="str">
        <f t="shared" si="2"/>
        <v/>
      </c>
      <c r="B600" s="2"/>
      <c r="C600" s="87"/>
      <c r="D600" s="87"/>
      <c r="E600" s="87"/>
      <c r="F600" s="87"/>
      <c r="G600" s="87"/>
      <c r="H600" s="87"/>
      <c r="I600" s="87"/>
      <c r="J600" s="2"/>
      <c r="K600" s="2"/>
      <c r="L600" s="94" t="str">
        <f>IF(B600="","", VLOOKUP(B600,RM!$C$4:$G984,10,FALSE))</f>
        <v/>
      </c>
      <c r="M600" s="94" t="str">
        <f>IF(B600="","", VLOOKUP(B600,RM!$C$4:$G984,11,FALSE))</f>
        <v/>
      </c>
      <c r="N600" s="95" t="str">
        <f>IF(B600="","", VLOOKUP(B600,RM!$C$4:$G984,12,FALSE))</f>
        <v/>
      </c>
    </row>
    <row r="601" spans="1:14">
      <c r="A601" s="87" t="str">
        <f t="shared" si="2"/>
        <v/>
      </c>
      <c r="B601" s="2"/>
      <c r="C601" s="87"/>
      <c r="D601" s="87"/>
      <c r="E601" s="87"/>
      <c r="F601" s="87"/>
      <c r="G601" s="87"/>
      <c r="H601" s="87"/>
      <c r="I601" s="87"/>
      <c r="J601" s="2"/>
      <c r="K601" s="2"/>
      <c r="L601" s="94" t="str">
        <f>IF(B601="","", VLOOKUP(B601,RM!$C$4:$G984,10,FALSE))</f>
        <v/>
      </c>
      <c r="M601" s="94" t="str">
        <f>IF(B601="","", VLOOKUP(B601,RM!$C$4:$G984,11,FALSE))</f>
        <v/>
      </c>
      <c r="N601" s="95" t="str">
        <f>IF(B601="","", VLOOKUP(B601,RM!$C$4:$G984,12,FALSE))</f>
        <v/>
      </c>
    </row>
    <row r="602" spans="1:14">
      <c r="A602" s="87" t="str">
        <f t="shared" si="2"/>
        <v/>
      </c>
      <c r="B602" s="2"/>
      <c r="C602" s="87"/>
      <c r="D602" s="87"/>
      <c r="E602" s="87"/>
      <c r="F602" s="87"/>
      <c r="G602" s="87"/>
      <c r="H602" s="87"/>
      <c r="I602" s="87"/>
      <c r="J602" s="2"/>
      <c r="K602" s="2"/>
      <c r="L602" s="94" t="str">
        <f>IF(B602="","", VLOOKUP(B602,RM!$C$4:$G984,10,FALSE))</f>
        <v/>
      </c>
      <c r="M602" s="94" t="str">
        <f>IF(B602="","", VLOOKUP(B602,RM!$C$4:$G984,11,FALSE))</f>
        <v/>
      </c>
      <c r="N602" s="95" t="str">
        <f>IF(B602="","", VLOOKUP(B602,RM!$C$4:$G984,12,FALSE))</f>
        <v/>
      </c>
    </row>
    <row r="603" spans="1:14">
      <c r="A603" s="87" t="str">
        <f t="shared" si="2"/>
        <v/>
      </c>
      <c r="B603" s="2"/>
      <c r="C603" s="87"/>
      <c r="D603" s="87"/>
      <c r="E603" s="87"/>
      <c r="F603" s="87"/>
      <c r="G603" s="87"/>
      <c r="H603" s="87"/>
      <c r="I603" s="87"/>
      <c r="J603" s="2"/>
      <c r="K603" s="2"/>
      <c r="L603" s="94" t="str">
        <f>IF(B603="","", VLOOKUP(B603,RM!$C$4:$G984,10,FALSE))</f>
        <v/>
      </c>
      <c r="M603" s="94" t="str">
        <f>IF(B603="","", VLOOKUP(B603,RM!$C$4:$G984,11,FALSE))</f>
        <v/>
      </c>
      <c r="N603" s="95" t="str">
        <f>IF(B603="","", VLOOKUP(B603,RM!$C$4:$G984,12,FALSE))</f>
        <v/>
      </c>
    </row>
    <row r="604" spans="1:14">
      <c r="A604" s="87" t="str">
        <f t="shared" si="2"/>
        <v/>
      </c>
      <c r="B604" s="2"/>
      <c r="C604" s="87"/>
      <c r="D604" s="87"/>
      <c r="E604" s="87"/>
      <c r="F604" s="87"/>
      <c r="G604" s="87"/>
      <c r="H604" s="87"/>
      <c r="I604" s="87"/>
      <c r="J604" s="2"/>
      <c r="K604" s="2"/>
      <c r="L604" s="94" t="str">
        <f>IF(B604="","", VLOOKUP(B604,RM!$C$4:$G984,10,FALSE))</f>
        <v/>
      </c>
      <c r="M604" s="94" t="str">
        <f>IF(B604="","", VLOOKUP(B604,RM!$C$4:$G984,11,FALSE))</f>
        <v/>
      </c>
      <c r="N604" s="95" t="str">
        <f>IF(B604="","", VLOOKUP(B604,RM!$C$4:$G984,12,FALSE))</f>
        <v/>
      </c>
    </row>
    <row r="605" spans="1:14">
      <c r="A605" s="87" t="str">
        <f t="shared" si="2"/>
        <v/>
      </c>
      <c r="B605" s="2"/>
      <c r="C605" s="87"/>
      <c r="D605" s="87"/>
      <c r="E605" s="87"/>
      <c r="F605" s="87"/>
      <c r="G605" s="87"/>
      <c r="H605" s="87"/>
      <c r="I605" s="87"/>
      <c r="J605" s="2"/>
      <c r="K605" s="2"/>
      <c r="L605" s="94" t="str">
        <f>IF(B605="","", VLOOKUP(B605,RM!$C$4:$G984,10,FALSE))</f>
        <v/>
      </c>
      <c r="M605" s="94" t="str">
        <f>IF(B605="","", VLOOKUP(B605,RM!$C$4:$G984,11,FALSE))</f>
        <v/>
      </c>
      <c r="N605" s="95" t="str">
        <f>IF(B605="","", VLOOKUP(B605,RM!$C$4:$G984,12,FALSE))</f>
        <v/>
      </c>
    </row>
    <row r="606" spans="1:14">
      <c r="A606" s="87" t="str">
        <f t="shared" si="2"/>
        <v/>
      </c>
      <c r="B606" s="2"/>
      <c r="C606" s="87"/>
      <c r="D606" s="87"/>
      <c r="E606" s="87"/>
      <c r="F606" s="87"/>
      <c r="G606" s="87"/>
      <c r="H606" s="87"/>
      <c r="I606" s="87"/>
      <c r="J606" s="2"/>
      <c r="K606" s="2"/>
      <c r="L606" s="94" t="str">
        <f>IF(B606="","", VLOOKUP(B606,RM!$C$4:$G984,10,FALSE))</f>
        <v/>
      </c>
      <c r="M606" s="94" t="str">
        <f>IF(B606="","", VLOOKUP(B606,RM!$C$4:$G984,11,FALSE))</f>
        <v/>
      </c>
      <c r="N606" s="95" t="str">
        <f>IF(B606="","", VLOOKUP(B606,RM!$C$4:$G984,12,FALSE))</f>
        <v/>
      </c>
    </row>
    <row r="607" spans="1:14">
      <c r="A607" s="87" t="str">
        <f t="shared" si="2"/>
        <v/>
      </c>
      <c r="B607" s="2"/>
      <c r="C607" s="87"/>
      <c r="D607" s="87"/>
      <c r="E607" s="87"/>
      <c r="F607" s="87"/>
      <c r="G607" s="87"/>
      <c r="H607" s="87"/>
      <c r="I607" s="87"/>
      <c r="J607" s="2"/>
      <c r="K607" s="2"/>
      <c r="L607" s="94" t="str">
        <f>IF(B607="","", VLOOKUP(B607,RM!$C$4:$G984,10,FALSE))</f>
        <v/>
      </c>
      <c r="M607" s="94" t="str">
        <f>IF(B607="","", VLOOKUP(B607,RM!$C$4:$G984,11,FALSE))</f>
        <v/>
      </c>
      <c r="N607" s="95" t="str">
        <f>IF(B607="","", VLOOKUP(B607,RM!$C$4:$G984,12,FALSE))</f>
        <v/>
      </c>
    </row>
    <row r="608" spans="1:14">
      <c r="A608" s="87" t="str">
        <f t="shared" si="2"/>
        <v/>
      </c>
      <c r="B608" s="2"/>
      <c r="C608" s="87"/>
      <c r="D608" s="87"/>
      <c r="E608" s="87"/>
      <c r="F608" s="87"/>
      <c r="G608" s="87"/>
      <c r="H608" s="87"/>
      <c r="I608" s="87"/>
      <c r="J608" s="2"/>
      <c r="K608" s="2"/>
      <c r="L608" s="94" t="str">
        <f>IF(B608="","", VLOOKUP(B608,RM!$C$4:$G984,10,FALSE))</f>
        <v/>
      </c>
      <c r="M608" s="94" t="str">
        <f>IF(B608="","", VLOOKUP(B608,RM!$C$4:$G984,11,FALSE))</f>
        <v/>
      </c>
      <c r="N608" s="95" t="str">
        <f>IF(B608="","", VLOOKUP(B608,RM!$C$4:$G984,12,FALSE))</f>
        <v/>
      </c>
    </row>
    <row r="609" spans="1:14">
      <c r="A609" s="87" t="str">
        <f t="shared" si="2"/>
        <v/>
      </c>
      <c r="B609" s="2"/>
      <c r="C609" s="87"/>
      <c r="D609" s="87"/>
      <c r="E609" s="87"/>
      <c r="F609" s="87"/>
      <c r="G609" s="87"/>
      <c r="H609" s="87"/>
      <c r="I609" s="87"/>
      <c r="J609" s="2"/>
      <c r="K609" s="2"/>
      <c r="L609" s="94" t="str">
        <f>IF(B609="","", VLOOKUP(B609,RM!$C$4:$G984,10,FALSE))</f>
        <v/>
      </c>
      <c r="M609" s="94" t="str">
        <f>IF(B609="","", VLOOKUP(B609,RM!$C$4:$G984,11,FALSE))</f>
        <v/>
      </c>
      <c r="N609" s="95" t="str">
        <f>IF(B609="","", VLOOKUP(B609,RM!$C$4:$G984,12,FALSE))</f>
        <v/>
      </c>
    </row>
    <row r="610" spans="1:14">
      <c r="A610" s="87" t="str">
        <f t="shared" si="2"/>
        <v/>
      </c>
      <c r="B610" s="2"/>
      <c r="C610" s="87"/>
      <c r="D610" s="87"/>
      <c r="E610" s="87"/>
      <c r="F610" s="87"/>
      <c r="G610" s="87"/>
      <c r="H610" s="87"/>
      <c r="I610" s="87"/>
      <c r="J610" s="2"/>
      <c r="K610" s="2"/>
      <c r="L610" s="94" t="str">
        <f>IF(B610="","", VLOOKUP(B610,RM!$C$4:$G984,10,FALSE))</f>
        <v/>
      </c>
      <c r="M610" s="94" t="str">
        <f>IF(B610="","", VLOOKUP(B610,RM!$C$4:$G984,11,FALSE))</f>
        <v/>
      </c>
      <c r="N610" s="95" t="str">
        <f>IF(B610="","", VLOOKUP(B610,RM!$C$4:$G984,12,FALSE))</f>
        <v/>
      </c>
    </row>
    <row r="611" spans="1:14">
      <c r="A611" s="87" t="str">
        <f t="shared" si="2"/>
        <v/>
      </c>
      <c r="B611" s="2"/>
      <c r="C611" s="87"/>
      <c r="D611" s="87"/>
      <c r="E611" s="87"/>
      <c r="F611" s="87"/>
      <c r="G611" s="87"/>
      <c r="H611" s="87"/>
      <c r="I611" s="87"/>
      <c r="J611" s="2"/>
      <c r="K611" s="2"/>
      <c r="L611" s="94" t="str">
        <f>IF(B611="","", VLOOKUP(B611,RM!$C$4:$G984,10,FALSE))</f>
        <v/>
      </c>
      <c r="M611" s="94" t="str">
        <f>IF(B611="","", VLOOKUP(B611,RM!$C$4:$G984,11,FALSE))</f>
        <v/>
      </c>
      <c r="N611" s="95" t="str">
        <f>IF(B611="","", VLOOKUP(B611,RM!$C$4:$G984,12,FALSE))</f>
        <v/>
      </c>
    </row>
    <row r="612" spans="1:14">
      <c r="A612" s="87" t="str">
        <f t="shared" si="2"/>
        <v/>
      </c>
      <c r="B612" s="2"/>
      <c r="C612" s="87"/>
      <c r="D612" s="87"/>
      <c r="E612" s="87"/>
      <c r="F612" s="87"/>
      <c r="G612" s="87"/>
      <c r="H612" s="87"/>
      <c r="I612" s="87"/>
      <c r="J612" s="2"/>
      <c r="K612" s="2"/>
      <c r="L612" s="94" t="str">
        <f>IF(B612="","", VLOOKUP(B612,RM!$C$4:$G984,10,FALSE))</f>
        <v/>
      </c>
      <c r="M612" s="94" t="str">
        <f>IF(B612="","", VLOOKUP(B612,RM!$C$4:$G984,11,FALSE))</f>
        <v/>
      </c>
      <c r="N612" s="95" t="str">
        <f>IF(B612="","", VLOOKUP(B612,RM!$C$4:$G984,12,FALSE))</f>
        <v/>
      </c>
    </row>
    <row r="613" spans="1:14">
      <c r="A613" s="87" t="str">
        <f t="shared" si="2"/>
        <v/>
      </c>
      <c r="B613" s="2"/>
      <c r="C613" s="87"/>
      <c r="D613" s="87"/>
      <c r="E613" s="87"/>
      <c r="F613" s="87"/>
      <c r="G613" s="87"/>
      <c r="H613" s="87"/>
      <c r="I613" s="87"/>
      <c r="J613" s="2"/>
      <c r="K613" s="2"/>
      <c r="L613" s="94" t="str">
        <f>IF(B613="","", VLOOKUP(B613,RM!$C$4:$G984,10,FALSE))</f>
        <v/>
      </c>
      <c r="M613" s="94" t="str">
        <f>IF(B613="","", VLOOKUP(B613,RM!$C$4:$G984,11,FALSE))</f>
        <v/>
      </c>
      <c r="N613" s="95" t="str">
        <f>IF(B613="","", VLOOKUP(B613,RM!$C$4:$G984,12,FALSE))</f>
        <v/>
      </c>
    </row>
    <row r="614" spans="1:14">
      <c r="A614" s="87" t="str">
        <f t="shared" si="2"/>
        <v/>
      </c>
      <c r="B614" s="2"/>
      <c r="C614" s="87"/>
      <c r="D614" s="87"/>
      <c r="E614" s="87"/>
      <c r="F614" s="87"/>
      <c r="G614" s="87"/>
      <c r="H614" s="87"/>
      <c r="I614" s="87"/>
      <c r="J614" s="2"/>
      <c r="K614" s="2"/>
      <c r="L614" s="94" t="str">
        <f>IF(B614="","", VLOOKUP(B614,RM!$C$4:$G984,10,FALSE))</f>
        <v/>
      </c>
      <c r="M614" s="94" t="str">
        <f>IF(B614="","", VLOOKUP(B614,RM!$C$4:$G984,11,FALSE))</f>
        <v/>
      </c>
      <c r="N614" s="95" t="str">
        <f>IF(B614="","", VLOOKUP(B614,RM!$C$4:$G984,12,FALSE))</f>
        <v/>
      </c>
    </row>
    <row r="615" spans="1:14">
      <c r="A615" s="87" t="str">
        <f t="shared" si="2"/>
        <v/>
      </c>
      <c r="B615" s="2"/>
      <c r="C615" s="87"/>
      <c r="D615" s="87"/>
      <c r="E615" s="87"/>
      <c r="F615" s="87"/>
      <c r="G615" s="87"/>
      <c r="H615" s="87"/>
      <c r="I615" s="87"/>
      <c r="J615" s="2"/>
      <c r="K615" s="2"/>
      <c r="L615" s="94" t="str">
        <f>IF(B615="","", VLOOKUP(B615,RM!$C$4:$G984,10,FALSE))</f>
        <v/>
      </c>
      <c r="M615" s="94" t="str">
        <f>IF(B615="","", VLOOKUP(B615,RM!$C$4:$G984,11,FALSE))</f>
        <v/>
      </c>
      <c r="N615" s="95" t="str">
        <f>IF(B615="","", VLOOKUP(B615,RM!$C$4:$G984,12,FALSE))</f>
        <v/>
      </c>
    </row>
    <row r="616" spans="1:14">
      <c r="A616" s="87" t="str">
        <f t="shared" si="2"/>
        <v/>
      </c>
      <c r="B616" s="2"/>
      <c r="C616" s="87"/>
      <c r="D616" s="87"/>
      <c r="E616" s="87"/>
      <c r="F616" s="87"/>
      <c r="G616" s="87"/>
      <c r="H616" s="87"/>
      <c r="I616" s="87"/>
      <c r="J616" s="2"/>
      <c r="K616" s="2"/>
      <c r="L616" s="94" t="str">
        <f>IF(B616="","", VLOOKUP(B616,RM!$C$4:$G984,10,FALSE))</f>
        <v/>
      </c>
      <c r="M616" s="94" t="str">
        <f>IF(B616="","", VLOOKUP(B616,RM!$C$4:$G984,11,FALSE))</f>
        <v/>
      </c>
      <c r="N616" s="95" t="str">
        <f>IF(B616="","", VLOOKUP(B616,RM!$C$4:$G984,12,FALSE))</f>
        <v/>
      </c>
    </row>
    <row r="617" spans="1:14">
      <c r="A617" s="87" t="str">
        <f t="shared" si="2"/>
        <v/>
      </c>
      <c r="B617" s="2"/>
      <c r="C617" s="87"/>
      <c r="D617" s="87"/>
      <c r="E617" s="87"/>
      <c r="F617" s="87"/>
      <c r="G617" s="87"/>
      <c r="H617" s="87"/>
      <c r="I617" s="87"/>
      <c r="J617" s="2"/>
      <c r="K617" s="2"/>
      <c r="L617" s="94" t="str">
        <f>IF(B617="","", VLOOKUP(B617,RM!$C$4:$G984,10,FALSE))</f>
        <v/>
      </c>
      <c r="M617" s="94" t="str">
        <f>IF(B617="","", VLOOKUP(B617,RM!$C$4:$G984,11,FALSE))</f>
        <v/>
      </c>
      <c r="N617" s="95" t="str">
        <f>IF(B617="","", VLOOKUP(B617,RM!$C$4:$G984,12,FALSE))</f>
        <v/>
      </c>
    </row>
    <row r="618" spans="1:14">
      <c r="A618" s="87" t="str">
        <f t="shared" si="2"/>
        <v/>
      </c>
      <c r="B618" s="2"/>
      <c r="C618" s="87"/>
      <c r="D618" s="87"/>
      <c r="E618" s="87"/>
      <c r="F618" s="87"/>
      <c r="G618" s="87"/>
      <c r="H618" s="87"/>
      <c r="I618" s="87"/>
      <c r="J618" s="2"/>
      <c r="K618" s="2"/>
      <c r="L618" s="94" t="str">
        <f>IF(B618="","", VLOOKUP(B618,RM!$C$4:$G984,10,FALSE))</f>
        <v/>
      </c>
      <c r="M618" s="94" t="str">
        <f>IF(B618="","", VLOOKUP(B618,RM!$C$4:$G984,11,FALSE))</f>
        <v/>
      </c>
      <c r="N618" s="95" t="str">
        <f>IF(B618="","", VLOOKUP(B618,RM!$C$4:$G984,12,FALSE))</f>
        <v/>
      </c>
    </row>
    <row r="619" spans="1:14">
      <c r="A619" s="87" t="str">
        <f t="shared" si="2"/>
        <v/>
      </c>
      <c r="B619" s="2"/>
      <c r="C619" s="87"/>
      <c r="D619" s="87"/>
      <c r="E619" s="87"/>
      <c r="F619" s="87"/>
      <c r="G619" s="87"/>
      <c r="H619" s="87"/>
      <c r="I619" s="87"/>
      <c r="J619" s="2"/>
      <c r="K619" s="2"/>
      <c r="L619" s="94" t="str">
        <f>IF(B619="","", VLOOKUP(B619,RM!$C$4:$G984,10,FALSE))</f>
        <v/>
      </c>
      <c r="M619" s="94" t="str">
        <f>IF(B619="","", VLOOKUP(B619,RM!$C$4:$G984,11,FALSE))</f>
        <v/>
      </c>
      <c r="N619" s="95" t="str">
        <f>IF(B619="","", VLOOKUP(B619,RM!$C$4:$G984,12,FALSE))</f>
        <v/>
      </c>
    </row>
    <row r="620" spans="1:14">
      <c r="A620" s="87" t="str">
        <f t="shared" si="2"/>
        <v/>
      </c>
      <c r="B620" s="2"/>
      <c r="C620" s="87"/>
      <c r="D620" s="87"/>
      <c r="E620" s="87"/>
      <c r="F620" s="87"/>
      <c r="G620" s="87"/>
      <c r="H620" s="87"/>
      <c r="I620" s="87"/>
      <c r="J620" s="2"/>
      <c r="K620" s="2"/>
      <c r="L620" s="94" t="str">
        <f>IF(B620="","", VLOOKUP(B620,RM!$C$4:$G984,10,FALSE))</f>
        <v/>
      </c>
      <c r="M620" s="94" t="str">
        <f>IF(B620="","", VLOOKUP(B620,RM!$C$4:$G984,11,FALSE))</f>
        <v/>
      </c>
      <c r="N620" s="95" t="str">
        <f>IF(B620="","", VLOOKUP(B620,RM!$C$4:$G984,12,FALSE))</f>
        <v/>
      </c>
    </row>
    <row r="621" spans="1:14">
      <c r="A621" s="87" t="str">
        <f t="shared" si="2"/>
        <v/>
      </c>
      <c r="B621" s="2"/>
      <c r="C621" s="87"/>
      <c r="D621" s="87"/>
      <c r="E621" s="87"/>
      <c r="F621" s="87"/>
      <c r="G621" s="87"/>
      <c r="H621" s="87"/>
      <c r="I621" s="87"/>
      <c r="J621" s="2"/>
      <c r="K621" s="2"/>
      <c r="L621" s="94" t="str">
        <f>IF(B621="","", VLOOKUP(B621,RM!$C$4:$G984,10,FALSE))</f>
        <v/>
      </c>
      <c r="M621" s="94" t="str">
        <f>IF(B621="","", VLOOKUP(B621,RM!$C$4:$G984,11,FALSE))</f>
        <v/>
      </c>
      <c r="N621" s="95" t="str">
        <f>IF(B621="","", VLOOKUP(B621,RM!$C$4:$G984,12,FALSE))</f>
        <v/>
      </c>
    </row>
    <row r="622" spans="1:14">
      <c r="A622" s="87" t="str">
        <f t="shared" si="2"/>
        <v/>
      </c>
      <c r="B622" s="2"/>
      <c r="C622" s="87"/>
      <c r="D622" s="87"/>
      <c r="E622" s="87"/>
      <c r="F622" s="87"/>
      <c r="G622" s="87"/>
      <c r="H622" s="87"/>
      <c r="I622" s="87"/>
      <c r="J622" s="2"/>
      <c r="K622" s="2"/>
      <c r="L622" s="94" t="str">
        <f>IF(B622="","", VLOOKUP(B622,RM!$C$4:$G984,10,FALSE))</f>
        <v/>
      </c>
      <c r="M622" s="94" t="str">
        <f>IF(B622="","", VLOOKUP(B622,RM!$C$4:$G984,11,FALSE))</f>
        <v/>
      </c>
      <c r="N622" s="95" t="str">
        <f>IF(B622="","", VLOOKUP(B622,RM!$C$4:$G984,12,FALSE))</f>
        <v/>
      </c>
    </row>
    <row r="623" spans="1:14">
      <c r="A623" s="87" t="str">
        <f t="shared" si="2"/>
        <v/>
      </c>
      <c r="B623" s="2"/>
      <c r="C623" s="87"/>
      <c r="D623" s="87"/>
      <c r="E623" s="87"/>
      <c r="F623" s="87"/>
      <c r="G623" s="87"/>
      <c r="H623" s="87"/>
      <c r="I623" s="87"/>
      <c r="J623" s="2"/>
      <c r="K623" s="2"/>
      <c r="L623" s="94" t="str">
        <f>IF(B623="","", VLOOKUP(B623,RM!$C$4:$G984,10,FALSE))</f>
        <v/>
      </c>
      <c r="M623" s="94" t="str">
        <f>IF(B623="","", VLOOKUP(B623,RM!$C$4:$G984,11,FALSE))</f>
        <v/>
      </c>
      <c r="N623" s="95" t="str">
        <f>IF(B623="","", VLOOKUP(B623,RM!$C$4:$G984,12,FALSE))</f>
        <v/>
      </c>
    </row>
    <row r="624" spans="1:14">
      <c r="A624" s="87" t="str">
        <f t="shared" si="2"/>
        <v/>
      </c>
      <c r="B624" s="2"/>
      <c r="C624" s="87"/>
      <c r="D624" s="87"/>
      <c r="E624" s="87"/>
      <c r="F624" s="87"/>
      <c r="G624" s="87"/>
      <c r="H624" s="87"/>
      <c r="I624" s="87"/>
      <c r="J624" s="2"/>
      <c r="K624" s="2"/>
      <c r="L624" s="94" t="str">
        <f>IF(B624="","", VLOOKUP(B624,RM!$C$4:$G984,10,FALSE))</f>
        <v/>
      </c>
      <c r="M624" s="94" t="str">
        <f>IF(B624="","", VLOOKUP(B624,RM!$C$4:$G984,11,FALSE))</f>
        <v/>
      </c>
      <c r="N624" s="95" t="str">
        <f>IF(B624="","", VLOOKUP(B624,RM!$C$4:$G984,12,FALSE))</f>
        <v/>
      </c>
    </row>
    <row r="625" spans="1:14">
      <c r="A625" s="87" t="str">
        <f t="shared" si="2"/>
        <v/>
      </c>
      <c r="B625" s="2"/>
      <c r="C625" s="87"/>
      <c r="D625" s="87"/>
      <c r="E625" s="87"/>
      <c r="F625" s="87"/>
      <c r="G625" s="87"/>
      <c r="H625" s="87"/>
      <c r="I625" s="87"/>
      <c r="J625" s="2"/>
      <c r="K625" s="2"/>
      <c r="L625" s="94" t="str">
        <f>IF(B625="","", VLOOKUP(B625,RM!$C$4:$G984,10,FALSE))</f>
        <v/>
      </c>
      <c r="M625" s="94" t="str">
        <f>IF(B625="","", VLOOKUP(B625,RM!$C$4:$G984,11,FALSE))</f>
        <v/>
      </c>
      <c r="N625" s="95" t="str">
        <f>IF(B625="","", VLOOKUP(B625,RM!$C$4:$G984,12,FALSE))</f>
        <v/>
      </c>
    </row>
    <row r="626" spans="1:14">
      <c r="A626" s="87" t="str">
        <f t="shared" si="2"/>
        <v/>
      </c>
      <c r="B626" s="2"/>
      <c r="C626" s="87"/>
      <c r="D626" s="87"/>
      <c r="E626" s="87"/>
      <c r="F626" s="87"/>
      <c r="G626" s="87"/>
      <c r="H626" s="87"/>
      <c r="I626" s="87"/>
      <c r="J626" s="2"/>
      <c r="K626" s="2"/>
      <c r="L626" s="94" t="str">
        <f>IF(B626="","", VLOOKUP(B626,RM!$C$4:$G984,10,FALSE))</f>
        <v/>
      </c>
      <c r="M626" s="94" t="str">
        <f>IF(B626="","", VLOOKUP(B626,RM!$C$4:$G984,11,FALSE))</f>
        <v/>
      </c>
      <c r="N626" s="95" t="str">
        <f>IF(B626="","", VLOOKUP(B626,RM!$C$4:$G984,12,FALSE))</f>
        <v/>
      </c>
    </row>
    <row r="627" spans="1:14">
      <c r="A627" s="87" t="str">
        <f t="shared" si="2"/>
        <v/>
      </c>
      <c r="B627" s="2"/>
      <c r="C627" s="87"/>
      <c r="D627" s="87"/>
      <c r="E627" s="87"/>
      <c r="F627" s="87"/>
      <c r="G627" s="87"/>
      <c r="H627" s="87"/>
      <c r="I627" s="87"/>
      <c r="J627" s="2"/>
      <c r="K627" s="2"/>
      <c r="L627" s="94" t="str">
        <f>IF(B627="","", VLOOKUP(B627,RM!$C$4:$G984,10,FALSE))</f>
        <v/>
      </c>
      <c r="M627" s="94" t="str">
        <f>IF(B627="","", VLOOKUP(B627,RM!$C$4:$G984,11,FALSE))</f>
        <v/>
      </c>
      <c r="N627" s="95" t="str">
        <f>IF(B627="","", VLOOKUP(B627,RM!$C$4:$G984,12,FALSE))</f>
        <v/>
      </c>
    </row>
    <row r="628" spans="1:14">
      <c r="A628" s="87" t="str">
        <f t="shared" si="2"/>
        <v/>
      </c>
      <c r="B628" s="2"/>
      <c r="C628" s="87"/>
      <c r="D628" s="87"/>
      <c r="E628" s="87"/>
      <c r="F628" s="87"/>
      <c r="G628" s="87"/>
      <c r="H628" s="87"/>
      <c r="I628" s="87"/>
      <c r="J628" s="2"/>
      <c r="K628" s="2"/>
      <c r="L628" s="94" t="str">
        <f>IF(B628="","", VLOOKUP(B628,RM!$C$4:$G984,10,FALSE))</f>
        <v/>
      </c>
      <c r="M628" s="94" t="str">
        <f>IF(B628="","", VLOOKUP(B628,RM!$C$4:$G984,11,FALSE))</f>
        <v/>
      </c>
      <c r="N628" s="95" t="str">
        <f>IF(B628="","", VLOOKUP(B628,RM!$C$4:$G984,12,FALSE))</f>
        <v/>
      </c>
    </row>
    <row r="629" spans="1:14">
      <c r="A629" s="87" t="str">
        <f t="shared" si="2"/>
        <v/>
      </c>
      <c r="B629" s="2"/>
      <c r="C629" s="87"/>
      <c r="D629" s="87"/>
      <c r="E629" s="87"/>
      <c r="F629" s="87"/>
      <c r="G629" s="87"/>
      <c r="H629" s="87"/>
      <c r="I629" s="87"/>
      <c r="J629" s="2"/>
      <c r="K629" s="2"/>
      <c r="L629" s="94" t="str">
        <f>IF(B629="","", VLOOKUP(B629,RM!$C$4:$G984,10,FALSE))</f>
        <v/>
      </c>
      <c r="M629" s="94" t="str">
        <f>IF(B629="","", VLOOKUP(B629,RM!$C$4:$G984,11,FALSE))</f>
        <v/>
      </c>
      <c r="N629" s="95" t="str">
        <f>IF(B629="","", VLOOKUP(B629,RM!$C$4:$G984,12,FALSE))</f>
        <v/>
      </c>
    </row>
    <row r="630" spans="1:14">
      <c r="A630" s="87" t="str">
        <f t="shared" si="2"/>
        <v/>
      </c>
      <c r="B630" s="2"/>
      <c r="C630" s="87"/>
      <c r="D630" s="87"/>
      <c r="E630" s="87"/>
      <c r="F630" s="87"/>
      <c r="G630" s="87"/>
      <c r="H630" s="87"/>
      <c r="I630" s="87"/>
      <c r="J630" s="2"/>
      <c r="K630" s="2"/>
      <c r="L630" s="94" t="str">
        <f>IF(B630="","", VLOOKUP(B630,RM!$C$4:$G984,10,FALSE))</f>
        <v/>
      </c>
      <c r="M630" s="94" t="str">
        <f>IF(B630="","", VLOOKUP(B630,RM!$C$4:$G984,11,FALSE))</f>
        <v/>
      </c>
      <c r="N630" s="95" t="str">
        <f>IF(B630="","", VLOOKUP(B630,RM!$C$4:$G984,12,FALSE))</f>
        <v/>
      </c>
    </row>
    <row r="631" spans="1:14">
      <c r="A631" s="87" t="str">
        <f t="shared" si="2"/>
        <v/>
      </c>
      <c r="B631" s="2"/>
      <c r="C631" s="87"/>
      <c r="D631" s="87"/>
      <c r="E631" s="87"/>
      <c r="F631" s="87"/>
      <c r="G631" s="87"/>
      <c r="H631" s="87"/>
      <c r="I631" s="87"/>
      <c r="J631" s="2"/>
      <c r="K631" s="2"/>
      <c r="L631" s="94" t="str">
        <f>IF(B631="","", VLOOKUP(B631,RM!$C$4:$G984,10,FALSE))</f>
        <v/>
      </c>
      <c r="M631" s="94" t="str">
        <f>IF(B631="","", VLOOKUP(B631,RM!$C$4:$G984,11,FALSE))</f>
        <v/>
      </c>
      <c r="N631" s="95" t="str">
        <f>IF(B631="","", VLOOKUP(B631,RM!$C$4:$G984,12,FALSE))</f>
        <v/>
      </c>
    </row>
    <row r="632" spans="1:14">
      <c r="A632" s="87" t="str">
        <f t="shared" si="2"/>
        <v/>
      </c>
      <c r="B632" s="2"/>
      <c r="C632" s="87"/>
      <c r="D632" s="87"/>
      <c r="E632" s="87"/>
      <c r="F632" s="87"/>
      <c r="G632" s="87"/>
      <c r="H632" s="87"/>
      <c r="I632" s="87"/>
      <c r="J632" s="2"/>
      <c r="K632" s="2"/>
      <c r="L632" s="94" t="str">
        <f>IF(B632="","", VLOOKUP(B632,RM!$C$4:$G984,10,FALSE))</f>
        <v/>
      </c>
      <c r="M632" s="94" t="str">
        <f>IF(B632="","", VLOOKUP(B632,RM!$C$4:$G984,11,FALSE))</f>
        <v/>
      </c>
      <c r="N632" s="95" t="str">
        <f>IF(B632="","", VLOOKUP(B632,RM!$C$4:$G984,12,FALSE))</f>
        <v/>
      </c>
    </row>
    <row r="633" spans="1:14">
      <c r="A633" s="87" t="str">
        <f t="shared" si="2"/>
        <v/>
      </c>
      <c r="B633" s="2"/>
      <c r="C633" s="87"/>
      <c r="D633" s="87"/>
      <c r="E633" s="87"/>
      <c r="F633" s="87"/>
      <c r="G633" s="87"/>
      <c r="H633" s="87"/>
      <c r="I633" s="87"/>
      <c r="J633" s="2"/>
      <c r="K633" s="2"/>
      <c r="L633" s="94" t="str">
        <f>IF(B633="","", VLOOKUP(B633,RM!$C$4:$G984,10,FALSE))</f>
        <v/>
      </c>
      <c r="M633" s="94" t="str">
        <f>IF(B633="","", VLOOKUP(B633,RM!$C$4:$G984,11,FALSE))</f>
        <v/>
      </c>
      <c r="N633" s="95" t="str">
        <f>IF(B633="","", VLOOKUP(B633,RM!$C$4:$G984,12,FALSE))</f>
        <v/>
      </c>
    </row>
    <row r="634" spans="1:14">
      <c r="A634" s="87" t="str">
        <f t="shared" si="2"/>
        <v/>
      </c>
      <c r="B634" s="2"/>
      <c r="C634" s="87"/>
      <c r="D634" s="87"/>
      <c r="E634" s="87"/>
      <c r="F634" s="87"/>
      <c r="G634" s="87"/>
      <c r="H634" s="87"/>
      <c r="I634" s="87"/>
      <c r="J634" s="2"/>
      <c r="K634" s="2"/>
      <c r="L634" s="94" t="str">
        <f>IF(B634="","", VLOOKUP(B634,RM!$C$4:$G984,10,FALSE))</f>
        <v/>
      </c>
      <c r="M634" s="94" t="str">
        <f>IF(B634="","", VLOOKUP(B634,RM!$C$4:$G984,11,FALSE))</f>
        <v/>
      </c>
      <c r="N634" s="95" t="str">
        <f>IF(B634="","", VLOOKUP(B634,RM!$C$4:$G984,12,FALSE))</f>
        <v/>
      </c>
    </row>
    <row r="635" spans="1:14">
      <c r="A635" s="87" t="str">
        <f t="shared" si="2"/>
        <v/>
      </c>
      <c r="B635" s="2"/>
      <c r="C635" s="87"/>
      <c r="D635" s="87"/>
      <c r="E635" s="87"/>
      <c r="F635" s="87"/>
      <c r="G635" s="87"/>
      <c r="H635" s="87"/>
      <c r="I635" s="87"/>
      <c r="J635" s="2"/>
      <c r="K635" s="2"/>
      <c r="L635" s="94" t="str">
        <f>IF(B635="","", VLOOKUP(B635,RM!$C$4:$G984,10,FALSE))</f>
        <v/>
      </c>
      <c r="M635" s="94" t="str">
        <f>IF(B635="","", VLOOKUP(B635,RM!$C$4:$G984,11,FALSE))</f>
        <v/>
      </c>
      <c r="N635" s="95" t="str">
        <f>IF(B635="","", VLOOKUP(B635,RM!$C$4:$G984,12,FALSE))</f>
        <v/>
      </c>
    </row>
    <row r="636" spans="1:14">
      <c r="A636" s="87" t="str">
        <f t="shared" si="2"/>
        <v/>
      </c>
      <c r="B636" s="2"/>
      <c r="C636" s="87"/>
      <c r="D636" s="87"/>
      <c r="E636" s="87"/>
      <c r="F636" s="87"/>
      <c r="G636" s="87"/>
      <c r="H636" s="87"/>
      <c r="I636" s="87"/>
      <c r="J636" s="2"/>
      <c r="K636" s="2"/>
      <c r="L636" s="94" t="str">
        <f>IF(B636="","", VLOOKUP(B636,RM!$C$4:$G984,10,FALSE))</f>
        <v/>
      </c>
      <c r="M636" s="94" t="str">
        <f>IF(B636="","", VLOOKUP(B636,RM!$C$4:$G984,11,FALSE))</f>
        <v/>
      </c>
      <c r="N636" s="95" t="str">
        <f>IF(B636="","", VLOOKUP(B636,RM!$C$4:$G984,12,FALSE))</f>
        <v/>
      </c>
    </row>
    <row r="637" spans="1:14">
      <c r="A637" s="87" t="str">
        <f t="shared" si="2"/>
        <v/>
      </c>
      <c r="B637" s="2"/>
      <c r="C637" s="87"/>
      <c r="D637" s="87"/>
      <c r="E637" s="87"/>
      <c r="F637" s="87"/>
      <c r="G637" s="87"/>
      <c r="H637" s="87"/>
      <c r="I637" s="87"/>
      <c r="J637" s="2"/>
      <c r="K637" s="2"/>
      <c r="L637" s="94" t="str">
        <f>IF(B637="","", VLOOKUP(B637,RM!$C$4:$G984,10,FALSE))</f>
        <v/>
      </c>
      <c r="M637" s="94" t="str">
        <f>IF(B637="","", VLOOKUP(B637,RM!$C$4:$G984,11,FALSE))</f>
        <v/>
      </c>
      <c r="N637" s="95" t="str">
        <f>IF(B637="","", VLOOKUP(B637,RM!$C$4:$G984,12,FALSE))</f>
        <v/>
      </c>
    </row>
    <row r="638" spans="1:14">
      <c r="A638" s="87" t="str">
        <f t="shared" si="2"/>
        <v/>
      </c>
      <c r="B638" s="2"/>
      <c r="C638" s="87"/>
      <c r="D638" s="87"/>
      <c r="E638" s="87"/>
      <c r="F638" s="87"/>
      <c r="G638" s="87"/>
      <c r="H638" s="87"/>
      <c r="I638" s="87"/>
      <c r="J638" s="2"/>
      <c r="K638" s="2"/>
      <c r="L638" s="94" t="str">
        <f>IF(B638="","", VLOOKUP(B638,RM!$C$4:$G984,10,FALSE))</f>
        <v/>
      </c>
      <c r="M638" s="94" t="str">
        <f>IF(B638="","", VLOOKUP(B638,RM!$C$4:$G984,11,FALSE))</f>
        <v/>
      </c>
      <c r="N638" s="95" t="str">
        <f>IF(B638="","", VLOOKUP(B638,RM!$C$4:$G984,12,FALSE))</f>
        <v/>
      </c>
    </row>
    <row r="639" spans="1:14">
      <c r="A639" s="87" t="str">
        <f t="shared" si="2"/>
        <v/>
      </c>
      <c r="B639" s="2"/>
      <c r="C639" s="87"/>
      <c r="D639" s="87"/>
      <c r="E639" s="87"/>
      <c r="F639" s="87"/>
      <c r="G639" s="87"/>
      <c r="H639" s="87"/>
      <c r="I639" s="87"/>
      <c r="J639" s="2"/>
      <c r="K639" s="2"/>
      <c r="L639" s="94" t="str">
        <f>IF(B639="","", VLOOKUP(B639,RM!$C$4:$G984,10,FALSE))</f>
        <v/>
      </c>
      <c r="M639" s="94" t="str">
        <f>IF(B639="","", VLOOKUP(B639,RM!$C$4:$G984,11,FALSE))</f>
        <v/>
      </c>
      <c r="N639" s="95" t="str">
        <f>IF(B639="","", VLOOKUP(B639,RM!$C$4:$G984,12,FALSE))</f>
        <v/>
      </c>
    </row>
    <row r="640" spans="1:14">
      <c r="A640" s="87" t="str">
        <f t="shared" si="2"/>
        <v/>
      </c>
      <c r="B640" s="2"/>
      <c r="C640" s="87"/>
      <c r="D640" s="87"/>
      <c r="E640" s="87"/>
      <c r="F640" s="87"/>
      <c r="G640" s="87"/>
      <c r="H640" s="87"/>
      <c r="I640" s="87"/>
      <c r="J640" s="2"/>
      <c r="K640" s="2"/>
      <c r="L640" s="94" t="str">
        <f>IF(B640="","", VLOOKUP(B640,RM!$C$4:$G984,10,FALSE))</f>
        <v/>
      </c>
      <c r="M640" s="94" t="str">
        <f>IF(B640="","", VLOOKUP(B640,RM!$C$4:$G984,11,FALSE))</f>
        <v/>
      </c>
      <c r="N640" s="95" t="str">
        <f>IF(B640="","", VLOOKUP(B640,RM!$C$4:$G984,12,FALSE))</f>
        <v/>
      </c>
    </row>
    <row r="641" spans="1:14">
      <c r="A641" s="87" t="str">
        <f t="shared" si="2"/>
        <v/>
      </c>
      <c r="B641" s="2"/>
      <c r="C641" s="87"/>
      <c r="D641" s="87"/>
      <c r="E641" s="87"/>
      <c r="F641" s="87"/>
      <c r="G641" s="87"/>
      <c r="H641" s="87"/>
      <c r="I641" s="87"/>
      <c r="J641" s="2"/>
      <c r="K641" s="2"/>
      <c r="L641" s="94" t="str">
        <f>IF(B641="","", VLOOKUP(B641,RM!$C$4:$G984,10,FALSE))</f>
        <v/>
      </c>
      <c r="M641" s="94" t="str">
        <f>IF(B641="","", VLOOKUP(B641,RM!$C$4:$G984,11,FALSE))</f>
        <v/>
      </c>
      <c r="N641" s="95" t="str">
        <f>IF(B641="","", VLOOKUP(B641,RM!$C$4:$G984,12,FALSE))</f>
        <v/>
      </c>
    </row>
    <row r="642" spans="1:14">
      <c r="A642" s="87" t="str">
        <f t="shared" si="2"/>
        <v/>
      </c>
      <c r="B642" s="2"/>
      <c r="C642" s="87"/>
      <c r="D642" s="87"/>
      <c r="E642" s="87"/>
      <c r="F642" s="87"/>
      <c r="G642" s="87"/>
      <c r="H642" s="87"/>
      <c r="I642" s="87"/>
      <c r="J642" s="2"/>
      <c r="K642" s="2"/>
      <c r="L642" s="94" t="str">
        <f>IF(B642="","", VLOOKUP(B642,RM!$C$4:$G984,10,FALSE))</f>
        <v/>
      </c>
      <c r="M642" s="94" t="str">
        <f>IF(B642="","", VLOOKUP(B642,RM!$C$4:$G984,11,FALSE))</f>
        <v/>
      </c>
      <c r="N642" s="95" t="str">
        <f>IF(B642="","", VLOOKUP(B642,RM!$C$4:$G984,12,FALSE))</f>
        <v/>
      </c>
    </row>
    <row r="643" spans="1:14">
      <c r="A643" s="87" t="str">
        <f t="shared" si="2"/>
        <v/>
      </c>
      <c r="B643" s="2"/>
      <c r="C643" s="87"/>
      <c r="D643" s="87"/>
      <c r="E643" s="87"/>
      <c r="F643" s="87"/>
      <c r="G643" s="87"/>
      <c r="H643" s="87"/>
      <c r="I643" s="87"/>
      <c r="J643" s="2"/>
      <c r="K643" s="2"/>
      <c r="L643" s="94" t="str">
        <f>IF(B643="","", VLOOKUP(B643,RM!$C$4:$G984,10,FALSE))</f>
        <v/>
      </c>
      <c r="M643" s="94" t="str">
        <f>IF(B643="","", VLOOKUP(B643,RM!$C$4:$G984,11,FALSE))</f>
        <v/>
      </c>
      <c r="N643" s="95" t="str">
        <f>IF(B643="","", VLOOKUP(B643,RM!$C$4:$G984,12,FALSE))</f>
        <v/>
      </c>
    </row>
    <row r="644" spans="1:14">
      <c r="A644" s="87" t="str">
        <f t="shared" si="2"/>
        <v/>
      </c>
      <c r="B644" s="2"/>
      <c r="C644" s="87"/>
      <c r="D644" s="87"/>
      <c r="E644" s="87"/>
      <c r="F644" s="87"/>
      <c r="G644" s="87"/>
      <c r="H644" s="87"/>
      <c r="I644" s="87"/>
      <c r="J644" s="2"/>
      <c r="K644" s="2"/>
      <c r="L644" s="94" t="str">
        <f>IF(B644="","", VLOOKUP(B644,RM!$C$4:$G984,10,FALSE))</f>
        <v/>
      </c>
      <c r="M644" s="94" t="str">
        <f>IF(B644="","", VLOOKUP(B644,RM!$C$4:$G984,11,FALSE))</f>
        <v/>
      </c>
      <c r="N644" s="95" t="str">
        <f>IF(B644="","", VLOOKUP(B644,RM!$C$4:$G984,12,FALSE))</f>
        <v/>
      </c>
    </row>
    <row r="645" spans="1:14">
      <c r="A645" s="87" t="str">
        <f t="shared" si="2"/>
        <v/>
      </c>
      <c r="B645" s="2"/>
      <c r="C645" s="87"/>
      <c r="D645" s="87"/>
      <c r="E645" s="87"/>
      <c r="F645" s="87"/>
      <c r="G645" s="87"/>
      <c r="H645" s="87"/>
      <c r="I645" s="87"/>
      <c r="J645" s="2"/>
      <c r="K645" s="2"/>
      <c r="L645" s="94" t="str">
        <f>IF(B645="","", VLOOKUP(B645,RM!$C$4:$G984,10,FALSE))</f>
        <v/>
      </c>
      <c r="M645" s="94" t="str">
        <f>IF(B645="","", VLOOKUP(B645,RM!$C$4:$G984,11,FALSE))</f>
        <v/>
      </c>
      <c r="N645" s="95" t="str">
        <f>IF(B645="","", VLOOKUP(B645,RM!$C$4:$G984,12,FALSE))</f>
        <v/>
      </c>
    </row>
    <row r="646" spans="1:14">
      <c r="A646" s="87" t="str">
        <f t="shared" si="2"/>
        <v/>
      </c>
      <c r="B646" s="2"/>
      <c r="C646" s="87"/>
      <c r="D646" s="87"/>
      <c r="E646" s="87"/>
      <c r="F646" s="87"/>
      <c r="G646" s="87"/>
      <c r="H646" s="87"/>
      <c r="I646" s="87"/>
      <c r="J646" s="2"/>
      <c r="K646" s="2"/>
      <c r="L646" s="94" t="str">
        <f>IF(B646="","", VLOOKUP(B646,RM!$C$4:$G984,10,FALSE))</f>
        <v/>
      </c>
      <c r="M646" s="94" t="str">
        <f>IF(B646="","", VLOOKUP(B646,RM!$C$4:$G984,11,FALSE))</f>
        <v/>
      </c>
      <c r="N646" s="95" t="str">
        <f>IF(B646="","", VLOOKUP(B646,RM!$C$4:$G984,12,FALSE))</f>
        <v/>
      </c>
    </row>
    <row r="647" spans="1:14">
      <c r="A647" s="87" t="str">
        <f t="shared" si="2"/>
        <v/>
      </c>
      <c r="B647" s="2"/>
      <c r="C647" s="87"/>
      <c r="D647" s="87"/>
      <c r="E647" s="87"/>
      <c r="F647" s="87"/>
      <c r="G647" s="87"/>
      <c r="H647" s="87"/>
      <c r="I647" s="87"/>
      <c r="J647" s="2"/>
      <c r="K647" s="2"/>
      <c r="L647" s="94" t="str">
        <f>IF(B647="","", VLOOKUP(B647,RM!$C$4:$G984,10,FALSE))</f>
        <v/>
      </c>
      <c r="M647" s="94" t="str">
        <f>IF(B647="","", VLOOKUP(B647,RM!$C$4:$G984,11,FALSE))</f>
        <v/>
      </c>
      <c r="N647" s="95" t="str">
        <f>IF(B647="","", VLOOKUP(B647,RM!$C$4:$G984,12,FALSE))</f>
        <v/>
      </c>
    </row>
    <row r="648" spans="1:14">
      <c r="A648" s="87" t="str">
        <f t="shared" si="2"/>
        <v/>
      </c>
      <c r="B648" s="2"/>
      <c r="C648" s="87"/>
      <c r="D648" s="87"/>
      <c r="E648" s="87"/>
      <c r="F648" s="87"/>
      <c r="G648" s="87"/>
      <c r="H648" s="87"/>
      <c r="I648" s="87"/>
      <c r="J648" s="2"/>
      <c r="K648" s="2"/>
      <c r="L648" s="94" t="str">
        <f>IF(B648="","", VLOOKUP(B648,RM!$C$4:$G984,10,FALSE))</f>
        <v/>
      </c>
      <c r="M648" s="94" t="str">
        <f>IF(B648="","", VLOOKUP(B648,RM!$C$4:$G984,11,FALSE))</f>
        <v/>
      </c>
      <c r="N648" s="95" t="str">
        <f>IF(B648="","", VLOOKUP(B648,RM!$C$4:$G984,12,FALSE))</f>
        <v/>
      </c>
    </row>
    <row r="649" spans="1:14">
      <c r="A649" s="87" t="str">
        <f t="shared" si="2"/>
        <v/>
      </c>
      <c r="B649" s="2"/>
      <c r="C649" s="87"/>
      <c r="D649" s="87"/>
      <c r="E649" s="87"/>
      <c r="F649" s="87"/>
      <c r="G649" s="87"/>
      <c r="H649" s="87"/>
      <c r="I649" s="87"/>
      <c r="J649" s="2"/>
      <c r="K649" s="2"/>
      <c r="L649" s="94" t="str">
        <f>IF(B649="","", VLOOKUP(B649,RM!$C$4:$G984,10,FALSE))</f>
        <v/>
      </c>
      <c r="M649" s="94" t="str">
        <f>IF(B649="","", VLOOKUP(B649,RM!$C$4:$G984,11,FALSE))</f>
        <v/>
      </c>
      <c r="N649" s="95" t="str">
        <f>IF(B649="","", VLOOKUP(B649,RM!$C$4:$G984,12,FALSE))</f>
        <v/>
      </c>
    </row>
    <row r="650" spans="1:14">
      <c r="A650" s="87" t="str">
        <f t="shared" si="2"/>
        <v/>
      </c>
      <c r="B650" s="2"/>
      <c r="C650" s="87"/>
      <c r="D650" s="87"/>
      <c r="E650" s="87"/>
      <c r="F650" s="87"/>
      <c r="G650" s="87"/>
      <c r="H650" s="87"/>
      <c r="I650" s="87"/>
      <c r="J650" s="2"/>
      <c r="K650" s="2"/>
      <c r="L650" s="94" t="str">
        <f>IF(B650="","", VLOOKUP(B650,RM!$C$4:$G984,10,FALSE))</f>
        <v/>
      </c>
      <c r="M650" s="94" t="str">
        <f>IF(B650="","", VLOOKUP(B650,RM!$C$4:$G984,11,FALSE))</f>
        <v/>
      </c>
      <c r="N650" s="95" t="str">
        <f>IF(B650="","", VLOOKUP(B650,RM!$C$4:$G984,12,FALSE))</f>
        <v/>
      </c>
    </row>
    <row r="651" spans="1:14">
      <c r="A651" s="87" t="str">
        <f t="shared" si="2"/>
        <v/>
      </c>
      <c r="B651" s="2"/>
      <c r="C651" s="87"/>
      <c r="D651" s="87"/>
      <c r="E651" s="87"/>
      <c r="F651" s="87"/>
      <c r="G651" s="87"/>
      <c r="H651" s="87"/>
      <c r="I651" s="87"/>
      <c r="J651" s="2"/>
      <c r="K651" s="2"/>
      <c r="L651" s="94" t="str">
        <f>IF(B651="","", VLOOKUP(B651,RM!$C$4:$G984,10,FALSE))</f>
        <v/>
      </c>
      <c r="M651" s="94" t="str">
        <f>IF(B651="","", VLOOKUP(B651,RM!$C$4:$G984,11,FALSE))</f>
        <v/>
      </c>
      <c r="N651" s="95" t="str">
        <f>IF(B651="","", VLOOKUP(B651,RM!$C$4:$G984,12,FALSE))</f>
        <v/>
      </c>
    </row>
    <row r="652" spans="1:14">
      <c r="A652" s="87" t="str">
        <f t="shared" si="2"/>
        <v/>
      </c>
      <c r="B652" s="2"/>
      <c r="C652" s="87"/>
      <c r="D652" s="87"/>
      <c r="E652" s="87"/>
      <c r="F652" s="87"/>
      <c r="G652" s="87"/>
      <c r="H652" s="87"/>
      <c r="I652" s="87"/>
      <c r="J652" s="2"/>
      <c r="K652" s="2"/>
      <c r="L652" s="94" t="str">
        <f>IF(B652="","", VLOOKUP(B652,RM!$C$4:$G984,10,FALSE))</f>
        <v/>
      </c>
      <c r="M652" s="94" t="str">
        <f>IF(B652="","", VLOOKUP(B652,RM!$C$4:$G984,11,FALSE))</f>
        <v/>
      </c>
      <c r="N652" s="95" t="str">
        <f>IF(B652="","", VLOOKUP(B652,RM!$C$4:$G984,12,FALSE))</f>
        <v/>
      </c>
    </row>
    <row r="653" spans="1:14">
      <c r="A653" s="87" t="str">
        <f t="shared" si="2"/>
        <v/>
      </c>
      <c r="B653" s="2"/>
      <c r="C653" s="87"/>
      <c r="D653" s="87"/>
      <c r="E653" s="87"/>
      <c r="F653" s="87"/>
      <c r="G653" s="87"/>
      <c r="H653" s="87"/>
      <c r="I653" s="87"/>
      <c r="J653" s="2"/>
      <c r="K653" s="2"/>
      <c r="L653" s="94" t="str">
        <f>IF(B653="","", VLOOKUP(B653,RM!$C$4:$G984,10,FALSE))</f>
        <v/>
      </c>
      <c r="M653" s="94" t="str">
        <f>IF(B653="","", VLOOKUP(B653,RM!$C$4:$G984,11,FALSE))</f>
        <v/>
      </c>
      <c r="N653" s="95" t="str">
        <f>IF(B653="","", VLOOKUP(B653,RM!$C$4:$G984,12,FALSE))</f>
        <v/>
      </c>
    </row>
    <row r="654" spans="1:14">
      <c r="A654" s="87" t="str">
        <f t="shared" si="2"/>
        <v/>
      </c>
      <c r="B654" s="2"/>
      <c r="C654" s="87"/>
      <c r="D654" s="87"/>
      <c r="E654" s="87"/>
      <c r="F654" s="87"/>
      <c r="G654" s="87"/>
      <c r="H654" s="87"/>
      <c r="I654" s="87"/>
      <c r="J654" s="2"/>
      <c r="K654" s="2"/>
      <c r="L654" s="94" t="str">
        <f>IF(B654="","", VLOOKUP(B654,RM!$C$4:$G984,10,FALSE))</f>
        <v/>
      </c>
      <c r="M654" s="94" t="str">
        <f>IF(B654="","", VLOOKUP(B654,RM!$C$4:$G984,11,FALSE))</f>
        <v/>
      </c>
      <c r="N654" s="95" t="str">
        <f>IF(B654="","", VLOOKUP(B654,RM!$C$4:$G984,12,FALSE))</f>
        <v/>
      </c>
    </row>
    <row r="655" spans="1:14">
      <c r="A655" s="87" t="str">
        <f t="shared" si="2"/>
        <v/>
      </c>
      <c r="B655" s="2"/>
      <c r="C655" s="87"/>
      <c r="D655" s="87"/>
      <c r="E655" s="87"/>
      <c r="F655" s="87"/>
      <c r="G655" s="87"/>
      <c r="H655" s="87"/>
      <c r="I655" s="87"/>
      <c r="J655" s="2"/>
      <c r="K655" s="2"/>
      <c r="L655" s="94" t="str">
        <f>IF(B655="","", VLOOKUP(B655,RM!$C$4:$G984,10,FALSE))</f>
        <v/>
      </c>
      <c r="M655" s="94" t="str">
        <f>IF(B655="","", VLOOKUP(B655,RM!$C$4:$G984,11,FALSE))</f>
        <v/>
      </c>
      <c r="N655" s="95" t="str">
        <f>IF(B655="","", VLOOKUP(B655,RM!$C$4:$G984,12,FALSE))</f>
        <v/>
      </c>
    </row>
    <row r="656" spans="1:14">
      <c r="A656" s="87" t="str">
        <f t="shared" si="2"/>
        <v/>
      </c>
      <c r="B656" s="2"/>
      <c r="C656" s="87"/>
      <c r="D656" s="87"/>
      <c r="E656" s="87"/>
      <c r="F656" s="87"/>
      <c r="G656" s="87"/>
      <c r="H656" s="87"/>
      <c r="I656" s="87"/>
      <c r="J656" s="2"/>
      <c r="K656" s="2"/>
      <c r="L656" s="94" t="str">
        <f>IF(B656="","", VLOOKUP(B656,RM!$C$4:$G984,10,FALSE))</f>
        <v/>
      </c>
      <c r="M656" s="94" t="str">
        <f>IF(B656="","", VLOOKUP(B656,RM!$C$4:$G984,11,FALSE))</f>
        <v/>
      </c>
      <c r="N656" s="95" t="str">
        <f>IF(B656="","", VLOOKUP(B656,RM!$C$4:$G984,12,FALSE))</f>
        <v/>
      </c>
    </row>
    <row r="657" spans="1:14">
      <c r="A657" s="87" t="str">
        <f t="shared" si="2"/>
        <v/>
      </c>
      <c r="B657" s="2"/>
      <c r="C657" s="87"/>
      <c r="D657" s="87"/>
      <c r="E657" s="87"/>
      <c r="F657" s="87"/>
      <c r="G657" s="87"/>
      <c r="H657" s="87"/>
      <c r="I657" s="87"/>
      <c r="J657" s="2"/>
      <c r="K657" s="2"/>
      <c r="L657" s="94" t="str">
        <f>IF(B657="","", VLOOKUP(B657,RM!$C$4:$G984,10,FALSE))</f>
        <v/>
      </c>
      <c r="M657" s="94" t="str">
        <f>IF(B657="","", VLOOKUP(B657,RM!$C$4:$G984,11,FALSE))</f>
        <v/>
      </c>
      <c r="N657" s="95" t="str">
        <f>IF(B657="","", VLOOKUP(B657,RM!$C$4:$G984,12,FALSE))</f>
        <v/>
      </c>
    </row>
    <row r="658" spans="1:14">
      <c r="A658" s="87" t="str">
        <f t="shared" si="2"/>
        <v/>
      </c>
      <c r="B658" s="2"/>
      <c r="C658" s="87"/>
      <c r="D658" s="87"/>
      <c r="E658" s="87"/>
      <c r="F658" s="87"/>
      <c r="G658" s="87"/>
      <c r="H658" s="87"/>
      <c r="I658" s="87"/>
      <c r="J658" s="2"/>
      <c r="K658" s="2"/>
      <c r="L658" s="94" t="str">
        <f>IF(B658="","", VLOOKUP(B658,RM!$C$4:$G984,10,FALSE))</f>
        <v/>
      </c>
      <c r="M658" s="94" t="str">
        <f>IF(B658="","", VLOOKUP(B658,RM!$C$4:$G984,11,FALSE))</f>
        <v/>
      </c>
      <c r="N658" s="95" t="str">
        <f>IF(B658="","", VLOOKUP(B658,RM!$C$4:$G984,12,FALSE))</f>
        <v/>
      </c>
    </row>
    <row r="659" spans="1:14">
      <c r="A659" s="87" t="str">
        <f t="shared" si="2"/>
        <v/>
      </c>
      <c r="B659" s="2"/>
      <c r="C659" s="87"/>
      <c r="D659" s="87"/>
      <c r="E659" s="87"/>
      <c r="F659" s="87"/>
      <c r="G659" s="87"/>
      <c r="H659" s="87"/>
      <c r="I659" s="87"/>
      <c r="J659" s="2"/>
      <c r="K659" s="2"/>
      <c r="L659" s="94" t="str">
        <f>IF(B659="","", VLOOKUP(B659,RM!$C$4:$G984,10,FALSE))</f>
        <v/>
      </c>
      <c r="M659" s="94" t="str">
        <f>IF(B659="","", VLOOKUP(B659,RM!$C$4:$G984,11,FALSE))</f>
        <v/>
      </c>
      <c r="N659" s="95" t="str">
        <f>IF(B659="","", VLOOKUP(B659,RM!$C$4:$G984,12,FALSE))</f>
        <v/>
      </c>
    </row>
    <row r="660" spans="1:14">
      <c r="A660" s="87" t="str">
        <f t="shared" si="2"/>
        <v/>
      </c>
      <c r="B660" s="2"/>
      <c r="C660" s="87"/>
      <c r="D660" s="87"/>
      <c r="E660" s="87"/>
      <c r="F660" s="87"/>
      <c r="G660" s="87"/>
      <c r="H660" s="87"/>
      <c r="I660" s="87"/>
      <c r="J660" s="2"/>
      <c r="K660" s="2"/>
      <c r="L660" s="94" t="str">
        <f>IF(B660="","", VLOOKUP(B660,RM!$C$4:$G984,10,FALSE))</f>
        <v/>
      </c>
      <c r="M660" s="94" t="str">
        <f>IF(B660="","", VLOOKUP(B660,RM!$C$4:$G984,11,FALSE))</f>
        <v/>
      </c>
      <c r="N660" s="95" t="str">
        <f>IF(B660="","", VLOOKUP(B660,RM!$C$4:$G984,12,FALSE))</f>
        <v/>
      </c>
    </row>
    <row r="661" spans="1:14">
      <c r="A661" s="87" t="str">
        <f t="shared" si="2"/>
        <v/>
      </c>
      <c r="B661" s="2"/>
      <c r="C661" s="87"/>
      <c r="D661" s="87"/>
      <c r="E661" s="87"/>
      <c r="F661" s="87"/>
      <c r="G661" s="87"/>
      <c r="H661" s="87"/>
      <c r="I661" s="87"/>
      <c r="J661" s="2"/>
      <c r="K661" s="2"/>
      <c r="L661" s="94" t="str">
        <f>IF(B661="","", VLOOKUP(B661,RM!$C$4:$G984,10,FALSE))</f>
        <v/>
      </c>
      <c r="M661" s="94" t="str">
        <f>IF(B661="","", VLOOKUP(B661,RM!$C$4:$G984,11,FALSE))</f>
        <v/>
      </c>
      <c r="N661" s="95" t="str">
        <f>IF(B661="","", VLOOKUP(B661,RM!$C$4:$G984,12,FALSE))</f>
        <v/>
      </c>
    </row>
    <row r="662" spans="1:14">
      <c r="A662" s="87" t="str">
        <f t="shared" si="2"/>
        <v/>
      </c>
      <c r="B662" s="2"/>
      <c r="C662" s="87"/>
      <c r="D662" s="87"/>
      <c r="E662" s="87"/>
      <c r="F662" s="87"/>
      <c r="G662" s="87"/>
      <c r="H662" s="87"/>
      <c r="I662" s="87"/>
      <c r="J662" s="2"/>
      <c r="K662" s="2"/>
      <c r="L662" s="94" t="str">
        <f>IF(B662="","", VLOOKUP(B662,RM!$C$4:$G984,10,FALSE))</f>
        <v/>
      </c>
      <c r="M662" s="94" t="str">
        <f>IF(B662="","", VLOOKUP(B662,RM!$C$4:$G984,11,FALSE))</f>
        <v/>
      </c>
      <c r="N662" s="95" t="str">
        <f>IF(B662="","", VLOOKUP(B662,RM!$C$4:$G984,12,FALSE))</f>
        <v/>
      </c>
    </row>
    <row r="663" spans="1:14">
      <c r="A663" s="87" t="str">
        <f t="shared" si="2"/>
        <v/>
      </c>
      <c r="B663" s="2"/>
      <c r="C663" s="87"/>
      <c r="D663" s="87"/>
      <c r="E663" s="87"/>
      <c r="F663" s="87"/>
      <c r="G663" s="87"/>
      <c r="H663" s="87"/>
      <c r="I663" s="87"/>
      <c r="J663" s="2"/>
      <c r="K663" s="2"/>
      <c r="L663" s="94" t="str">
        <f>IF(B663="","", VLOOKUP(B663,RM!$C$4:$G984,10,FALSE))</f>
        <v/>
      </c>
      <c r="M663" s="94" t="str">
        <f>IF(B663="","", VLOOKUP(B663,RM!$C$4:$G984,11,FALSE))</f>
        <v/>
      </c>
      <c r="N663" s="95" t="str">
        <f>IF(B663="","", VLOOKUP(B663,RM!$C$4:$G984,12,FALSE))</f>
        <v/>
      </c>
    </row>
    <row r="664" spans="1:14">
      <c r="A664" s="87" t="str">
        <f t="shared" si="2"/>
        <v/>
      </c>
      <c r="B664" s="2"/>
      <c r="C664" s="87"/>
      <c r="D664" s="87"/>
      <c r="E664" s="87"/>
      <c r="F664" s="87"/>
      <c r="G664" s="87"/>
      <c r="H664" s="87"/>
      <c r="I664" s="87"/>
      <c r="J664" s="2"/>
      <c r="K664" s="2"/>
      <c r="L664" s="94" t="str">
        <f>IF(B664="","", VLOOKUP(B664,RM!$C$4:$G984,10,FALSE))</f>
        <v/>
      </c>
      <c r="M664" s="94" t="str">
        <f>IF(B664="","", VLOOKUP(B664,RM!$C$4:$G984,11,FALSE))</f>
        <v/>
      </c>
      <c r="N664" s="95" t="str">
        <f>IF(B664="","", VLOOKUP(B664,RM!$C$4:$G984,12,FALSE))</f>
        <v/>
      </c>
    </row>
    <row r="665" spans="1:14">
      <c r="A665" s="87" t="str">
        <f t="shared" si="2"/>
        <v/>
      </c>
      <c r="B665" s="2"/>
      <c r="C665" s="87"/>
      <c r="D665" s="87"/>
      <c r="E665" s="87"/>
      <c r="F665" s="87"/>
      <c r="G665" s="87"/>
      <c r="H665" s="87"/>
      <c r="I665" s="87"/>
      <c r="J665" s="2"/>
      <c r="K665" s="2"/>
      <c r="L665" s="94" t="str">
        <f>IF(B665="","", VLOOKUP(B665,RM!$C$4:$G984,10,FALSE))</f>
        <v/>
      </c>
      <c r="M665" s="94" t="str">
        <f>IF(B665="","", VLOOKUP(B665,RM!$C$4:$G984,11,FALSE))</f>
        <v/>
      </c>
      <c r="N665" s="95" t="str">
        <f>IF(B665="","", VLOOKUP(B665,RM!$C$4:$G984,12,FALSE))</f>
        <v/>
      </c>
    </row>
    <row r="666" spans="1:14">
      <c r="A666" s="87" t="str">
        <f t="shared" si="2"/>
        <v/>
      </c>
      <c r="B666" s="2"/>
      <c r="C666" s="87"/>
      <c r="D666" s="87"/>
      <c r="E666" s="87"/>
      <c r="F666" s="87"/>
      <c r="G666" s="87"/>
      <c r="H666" s="87"/>
      <c r="I666" s="87"/>
      <c r="J666" s="2"/>
      <c r="K666" s="2"/>
      <c r="L666" s="94" t="str">
        <f>IF(B666="","", VLOOKUP(B666,RM!$C$4:$G984,10,FALSE))</f>
        <v/>
      </c>
      <c r="M666" s="94" t="str">
        <f>IF(B666="","", VLOOKUP(B666,RM!$C$4:$G984,11,FALSE))</f>
        <v/>
      </c>
      <c r="N666" s="95" t="str">
        <f>IF(B666="","", VLOOKUP(B666,RM!$C$4:$G984,12,FALSE))</f>
        <v/>
      </c>
    </row>
    <row r="667" spans="1:14">
      <c r="A667" s="87" t="str">
        <f t="shared" si="2"/>
        <v/>
      </c>
      <c r="B667" s="2"/>
      <c r="C667" s="87"/>
      <c r="D667" s="87"/>
      <c r="E667" s="87"/>
      <c r="F667" s="87"/>
      <c r="G667" s="87"/>
      <c r="H667" s="87"/>
      <c r="I667" s="87"/>
      <c r="J667" s="2"/>
      <c r="K667" s="2"/>
      <c r="L667" s="94" t="str">
        <f>IF(B667="","", VLOOKUP(B667,RM!$C$4:$G984,10,FALSE))</f>
        <v/>
      </c>
      <c r="M667" s="94" t="str">
        <f>IF(B667="","", VLOOKUP(B667,RM!$C$4:$G984,11,FALSE))</f>
        <v/>
      </c>
      <c r="N667" s="95" t="str">
        <f>IF(B667="","", VLOOKUP(B667,RM!$C$4:$G984,12,FALSE))</f>
        <v/>
      </c>
    </row>
    <row r="668" spans="1:14">
      <c r="A668" s="87" t="str">
        <f t="shared" si="2"/>
        <v/>
      </c>
      <c r="B668" s="2"/>
      <c r="C668" s="87"/>
      <c r="D668" s="87"/>
      <c r="E668" s="87"/>
      <c r="F668" s="87"/>
      <c r="G668" s="87"/>
      <c r="H668" s="87"/>
      <c r="I668" s="87"/>
      <c r="J668" s="2"/>
      <c r="K668" s="2"/>
      <c r="L668" s="94" t="str">
        <f>IF(B668="","", VLOOKUP(B668,RM!$C$4:$G984,10,FALSE))</f>
        <v/>
      </c>
      <c r="M668" s="94" t="str">
        <f>IF(B668="","", VLOOKUP(B668,RM!$C$4:$G984,11,FALSE))</f>
        <v/>
      </c>
      <c r="N668" s="95" t="str">
        <f>IF(B668="","", VLOOKUP(B668,RM!$C$4:$G984,12,FALSE))</f>
        <v/>
      </c>
    </row>
    <row r="669" spans="1:14">
      <c r="A669" s="87" t="str">
        <f t="shared" si="2"/>
        <v/>
      </c>
      <c r="B669" s="2"/>
      <c r="C669" s="87"/>
      <c r="D669" s="87"/>
      <c r="E669" s="87"/>
      <c r="F669" s="87"/>
      <c r="G669" s="87"/>
      <c r="H669" s="87"/>
      <c r="I669" s="87"/>
      <c r="J669" s="2"/>
      <c r="K669" s="2"/>
      <c r="L669" s="94" t="str">
        <f>IF(B669="","", VLOOKUP(B669,RM!$C$4:$G984,10,FALSE))</f>
        <v/>
      </c>
      <c r="M669" s="94" t="str">
        <f>IF(B669="","", VLOOKUP(B669,RM!$C$4:$G984,11,FALSE))</f>
        <v/>
      </c>
      <c r="N669" s="95" t="str">
        <f>IF(B669="","", VLOOKUP(B669,RM!$C$4:$G984,12,FALSE))</f>
        <v/>
      </c>
    </row>
    <row r="670" spans="1:14">
      <c r="A670" s="87" t="str">
        <f t="shared" si="2"/>
        <v/>
      </c>
      <c r="B670" s="2"/>
      <c r="C670" s="87"/>
      <c r="D670" s="87"/>
      <c r="E670" s="87"/>
      <c r="F670" s="87"/>
      <c r="G670" s="87"/>
      <c r="H670" s="87"/>
      <c r="I670" s="87"/>
      <c r="J670" s="2"/>
      <c r="K670" s="2"/>
      <c r="L670" s="94" t="str">
        <f>IF(B670="","", VLOOKUP(B670,RM!$C$4:$G984,10,FALSE))</f>
        <v/>
      </c>
      <c r="M670" s="94" t="str">
        <f>IF(B670="","", VLOOKUP(B670,RM!$C$4:$G984,11,FALSE))</f>
        <v/>
      </c>
      <c r="N670" s="95" t="str">
        <f>IF(B670="","", VLOOKUP(B670,RM!$C$4:$G984,12,FALSE))</f>
        <v/>
      </c>
    </row>
    <row r="671" spans="1:14">
      <c r="A671" s="87" t="str">
        <f t="shared" si="2"/>
        <v/>
      </c>
      <c r="B671" s="2"/>
      <c r="C671" s="87"/>
      <c r="D671" s="87"/>
      <c r="E671" s="87"/>
      <c r="F671" s="87"/>
      <c r="G671" s="87"/>
      <c r="H671" s="87"/>
      <c r="I671" s="87"/>
      <c r="J671" s="2"/>
      <c r="K671" s="2"/>
      <c r="L671" s="94" t="str">
        <f>IF(B671="","", VLOOKUP(B671,RM!$C$4:$G984,10,FALSE))</f>
        <v/>
      </c>
      <c r="M671" s="94" t="str">
        <f>IF(B671="","", VLOOKUP(B671,RM!$C$4:$G984,11,FALSE))</f>
        <v/>
      </c>
      <c r="N671" s="95" t="str">
        <f>IF(B671="","", VLOOKUP(B671,RM!$C$4:$G984,12,FALSE))</f>
        <v/>
      </c>
    </row>
    <row r="672" spans="1:14">
      <c r="A672" s="87" t="str">
        <f t="shared" si="2"/>
        <v/>
      </c>
      <c r="B672" s="2"/>
      <c r="C672" s="87"/>
      <c r="D672" s="87"/>
      <c r="E672" s="87"/>
      <c r="F672" s="87"/>
      <c r="G672" s="87"/>
      <c r="H672" s="87"/>
      <c r="I672" s="87"/>
      <c r="J672" s="2"/>
      <c r="K672" s="2"/>
      <c r="L672" s="94" t="str">
        <f>IF(B672="","", VLOOKUP(B672,RM!$C$4:$G984,10,FALSE))</f>
        <v/>
      </c>
      <c r="M672" s="94" t="str">
        <f>IF(B672="","", VLOOKUP(B672,RM!$C$4:$G984,11,FALSE))</f>
        <v/>
      </c>
      <c r="N672" s="95" t="str">
        <f>IF(B672="","", VLOOKUP(B672,RM!$C$4:$G984,12,FALSE))</f>
        <v/>
      </c>
    </row>
    <row r="673" spans="1:14">
      <c r="A673" s="87" t="str">
        <f t="shared" si="2"/>
        <v/>
      </c>
      <c r="B673" s="2"/>
      <c r="C673" s="87"/>
      <c r="D673" s="87"/>
      <c r="E673" s="87"/>
      <c r="F673" s="87"/>
      <c r="G673" s="87"/>
      <c r="H673" s="87"/>
      <c r="I673" s="87"/>
      <c r="J673" s="2"/>
      <c r="K673" s="2"/>
      <c r="L673" s="94" t="str">
        <f>IF(B673="","", VLOOKUP(B673,RM!$C$4:$G984,10,FALSE))</f>
        <v/>
      </c>
      <c r="M673" s="94" t="str">
        <f>IF(B673="","", VLOOKUP(B673,RM!$C$4:$G984,11,FALSE))</f>
        <v/>
      </c>
      <c r="N673" s="95" t="str">
        <f>IF(B673="","", VLOOKUP(B673,RM!$C$4:$G984,12,FALSE))</f>
        <v/>
      </c>
    </row>
    <row r="674" spans="1:14">
      <c r="A674" s="87" t="str">
        <f t="shared" si="2"/>
        <v/>
      </c>
      <c r="B674" s="2"/>
      <c r="C674" s="87"/>
      <c r="D674" s="87"/>
      <c r="E674" s="87"/>
      <c r="F674" s="87"/>
      <c r="G674" s="87"/>
      <c r="H674" s="87"/>
      <c r="I674" s="87"/>
      <c r="J674" s="2"/>
      <c r="K674" s="2"/>
      <c r="L674" s="94" t="str">
        <f>IF(B674="","", VLOOKUP(B674,RM!$C$4:$G984,10,FALSE))</f>
        <v/>
      </c>
      <c r="M674" s="94" t="str">
        <f>IF(B674="","", VLOOKUP(B674,RM!$C$4:$G984,11,FALSE))</f>
        <v/>
      </c>
      <c r="N674" s="95" t="str">
        <f>IF(B674="","", VLOOKUP(B674,RM!$C$4:$G984,12,FALSE))</f>
        <v/>
      </c>
    </row>
    <row r="675" spans="1:14">
      <c r="A675" s="87" t="str">
        <f t="shared" si="2"/>
        <v/>
      </c>
      <c r="B675" s="2"/>
      <c r="C675" s="87"/>
      <c r="D675" s="87"/>
      <c r="E675" s="87"/>
      <c r="F675" s="87"/>
      <c r="G675" s="87"/>
      <c r="H675" s="87"/>
      <c r="I675" s="87"/>
      <c r="J675" s="2"/>
      <c r="K675" s="2"/>
      <c r="L675" s="94" t="str">
        <f>IF(B675="","", VLOOKUP(B675,RM!$C$4:$G984,10,FALSE))</f>
        <v/>
      </c>
      <c r="M675" s="94" t="str">
        <f>IF(B675="","", VLOOKUP(B675,RM!$C$4:$G984,11,FALSE))</f>
        <v/>
      </c>
      <c r="N675" s="95" t="str">
        <f>IF(B675="","", VLOOKUP(B675,RM!$C$4:$G984,12,FALSE))</f>
        <v/>
      </c>
    </row>
    <row r="676" spans="1:14">
      <c r="A676" s="87" t="str">
        <f t="shared" si="2"/>
        <v/>
      </c>
      <c r="B676" s="2"/>
      <c r="C676" s="87"/>
      <c r="D676" s="87"/>
      <c r="E676" s="87"/>
      <c r="F676" s="87"/>
      <c r="G676" s="87"/>
      <c r="H676" s="87"/>
      <c r="I676" s="87"/>
      <c r="J676" s="2"/>
      <c r="K676" s="2"/>
      <c r="L676" s="94" t="str">
        <f>IF(B676="","", VLOOKUP(B676,RM!$C$4:$G984,10,FALSE))</f>
        <v/>
      </c>
      <c r="M676" s="94" t="str">
        <f>IF(B676="","", VLOOKUP(B676,RM!$C$4:$G984,11,FALSE))</f>
        <v/>
      </c>
      <c r="N676" s="95" t="str">
        <f>IF(B676="","", VLOOKUP(B676,RM!$C$4:$G984,12,FALSE))</f>
        <v/>
      </c>
    </row>
    <row r="677" spans="1:14">
      <c r="A677" s="87" t="str">
        <f t="shared" si="2"/>
        <v/>
      </c>
      <c r="B677" s="2"/>
      <c r="C677" s="87"/>
      <c r="D677" s="87"/>
      <c r="E677" s="87"/>
      <c r="F677" s="87"/>
      <c r="G677" s="87"/>
      <c r="H677" s="87"/>
      <c r="I677" s="87"/>
      <c r="J677" s="2"/>
      <c r="K677" s="2"/>
      <c r="L677" s="94" t="str">
        <f>IF(B677="","", VLOOKUP(B677,RM!$C$4:$G984,10,FALSE))</f>
        <v/>
      </c>
      <c r="M677" s="94" t="str">
        <f>IF(B677="","", VLOOKUP(B677,RM!$C$4:$G984,11,FALSE))</f>
        <v/>
      </c>
      <c r="N677" s="95" t="str">
        <f>IF(B677="","", VLOOKUP(B677,RM!$C$4:$G984,12,FALSE))</f>
        <v/>
      </c>
    </row>
    <row r="678" spans="1:14">
      <c r="A678" s="87" t="str">
        <f t="shared" si="2"/>
        <v/>
      </c>
      <c r="B678" s="2"/>
      <c r="C678" s="87"/>
      <c r="D678" s="87"/>
      <c r="E678" s="87"/>
      <c r="F678" s="87"/>
      <c r="G678" s="87"/>
      <c r="H678" s="87"/>
      <c r="I678" s="87"/>
      <c r="J678" s="2"/>
      <c r="K678" s="2"/>
      <c r="L678" s="94" t="str">
        <f>IF(B678="","", VLOOKUP(B678,RM!$C$4:$G984,10,FALSE))</f>
        <v/>
      </c>
      <c r="M678" s="94" t="str">
        <f>IF(B678="","", VLOOKUP(B678,RM!$C$4:$G984,11,FALSE))</f>
        <v/>
      </c>
      <c r="N678" s="95" t="str">
        <f>IF(B678="","", VLOOKUP(B678,RM!$C$4:$G984,12,FALSE))</f>
        <v/>
      </c>
    </row>
    <row r="679" spans="1:14">
      <c r="A679" s="87" t="str">
        <f t="shared" si="2"/>
        <v/>
      </c>
      <c r="B679" s="2"/>
      <c r="C679" s="87"/>
      <c r="D679" s="87"/>
      <c r="E679" s="87"/>
      <c r="F679" s="87"/>
      <c r="G679" s="87"/>
      <c r="H679" s="87"/>
      <c r="I679" s="87"/>
      <c r="J679" s="2"/>
      <c r="K679" s="2"/>
      <c r="L679" s="94" t="str">
        <f>IF(B679="","", VLOOKUP(B679,RM!$C$4:$G984,10,FALSE))</f>
        <v/>
      </c>
      <c r="M679" s="94" t="str">
        <f>IF(B679="","", VLOOKUP(B679,RM!$C$4:$G984,11,FALSE))</f>
        <v/>
      </c>
      <c r="N679" s="95" t="str">
        <f>IF(B679="","", VLOOKUP(B679,RM!$C$4:$G984,12,FALSE))</f>
        <v/>
      </c>
    </row>
    <row r="680" spans="1:14">
      <c r="A680" s="87" t="str">
        <f t="shared" si="2"/>
        <v/>
      </c>
      <c r="B680" s="2"/>
      <c r="C680" s="87"/>
      <c r="D680" s="87"/>
      <c r="E680" s="87"/>
      <c r="F680" s="87"/>
      <c r="G680" s="87"/>
      <c r="H680" s="87"/>
      <c r="I680" s="87"/>
      <c r="J680" s="2"/>
      <c r="K680" s="2"/>
      <c r="L680" s="94" t="str">
        <f>IF(B680="","", VLOOKUP(B680,RM!$C$4:$G984,10,FALSE))</f>
        <v/>
      </c>
      <c r="M680" s="94" t="str">
        <f>IF(B680="","", VLOOKUP(B680,RM!$C$4:$G984,11,FALSE))</f>
        <v/>
      </c>
      <c r="N680" s="95" t="str">
        <f>IF(B680="","", VLOOKUP(B680,RM!$C$4:$G984,12,FALSE))</f>
        <v/>
      </c>
    </row>
    <row r="681" spans="1:14">
      <c r="A681" s="87" t="str">
        <f t="shared" si="2"/>
        <v/>
      </c>
      <c r="B681" s="2"/>
      <c r="C681" s="87"/>
      <c r="D681" s="87"/>
      <c r="E681" s="87"/>
      <c r="F681" s="87"/>
      <c r="G681" s="87"/>
      <c r="H681" s="87"/>
      <c r="I681" s="87"/>
      <c r="J681" s="2"/>
      <c r="K681" s="2"/>
      <c r="L681" s="94" t="str">
        <f>IF(B681="","", VLOOKUP(B681,RM!$C$4:$G984,10,FALSE))</f>
        <v/>
      </c>
      <c r="M681" s="94" t="str">
        <f>IF(B681="","", VLOOKUP(B681,RM!$C$4:$G984,11,FALSE))</f>
        <v/>
      </c>
      <c r="N681" s="95" t="str">
        <f>IF(B681="","", VLOOKUP(B681,RM!$C$4:$G984,12,FALSE))</f>
        <v/>
      </c>
    </row>
    <row r="682" spans="1:14">
      <c r="A682" s="87" t="str">
        <f t="shared" si="2"/>
        <v/>
      </c>
      <c r="B682" s="2"/>
      <c r="C682" s="87"/>
      <c r="D682" s="87"/>
      <c r="E682" s="87"/>
      <c r="F682" s="87"/>
      <c r="G682" s="87"/>
      <c r="H682" s="87"/>
      <c r="I682" s="87"/>
      <c r="J682" s="2"/>
      <c r="K682" s="2"/>
      <c r="L682" s="94" t="str">
        <f>IF(B682="","", VLOOKUP(B682,RM!$C$4:$G984,10,FALSE))</f>
        <v/>
      </c>
      <c r="M682" s="94" t="str">
        <f>IF(B682="","", VLOOKUP(B682,RM!$C$4:$G984,11,FALSE))</f>
        <v/>
      </c>
      <c r="N682" s="95" t="str">
        <f>IF(B682="","", VLOOKUP(B682,RM!$C$4:$G984,12,FALSE))</f>
        <v/>
      </c>
    </row>
    <row r="683" spans="1:14">
      <c r="A683" s="87" t="str">
        <f t="shared" si="2"/>
        <v/>
      </c>
      <c r="B683" s="2"/>
      <c r="C683" s="87"/>
      <c r="D683" s="87"/>
      <c r="E683" s="87"/>
      <c r="F683" s="87"/>
      <c r="G683" s="87"/>
      <c r="H683" s="87"/>
      <c r="I683" s="87"/>
      <c r="J683" s="2"/>
      <c r="K683" s="2"/>
      <c r="L683" s="94" t="str">
        <f>IF(B683="","", VLOOKUP(B683,RM!$C$4:$G984,10,FALSE))</f>
        <v/>
      </c>
      <c r="M683" s="94" t="str">
        <f>IF(B683="","", VLOOKUP(B683,RM!$C$4:$G984,11,FALSE))</f>
        <v/>
      </c>
      <c r="N683" s="95" t="str">
        <f>IF(B683="","", VLOOKUP(B683,RM!$C$4:$G984,12,FALSE))</f>
        <v/>
      </c>
    </row>
    <row r="684" spans="1:14">
      <c r="A684" s="87" t="str">
        <f t="shared" si="2"/>
        <v/>
      </c>
      <c r="B684" s="2"/>
      <c r="C684" s="87"/>
      <c r="D684" s="87"/>
      <c r="E684" s="87"/>
      <c r="F684" s="87"/>
      <c r="G684" s="87"/>
      <c r="H684" s="87"/>
      <c r="I684" s="87"/>
      <c r="J684" s="2"/>
      <c r="K684" s="2"/>
      <c r="L684" s="94" t="str">
        <f>IF(B684="","", VLOOKUP(B684,RM!$C$4:$G984,10,FALSE))</f>
        <v/>
      </c>
      <c r="M684" s="94" t="str">
        <f>IF(B684="","", VLOOKUP(B684,RM!$C$4:$G984,11,FALSE))</f>
        <v/>
      </c>
      <c r="N684" s="95" t="str">
        <f>IF(B684="","", VLOOKUP(B684,RM!$C$4:$G984,12,FALSE))</f>
        <v/>
      </c>
    </row>
    <row r="685" spans="1:14">
      <c r="A685" s="87" t="str">
        <f t="shared" si="2"/>
        <v/>
      </c>
      <c r="B685" s="2"/>
      <c r="C685" s="87"/>
      <c r="D685" s="87"/>
      <c r="E685" s="87"/>
      <c r="F685" s="87"/>
      <c r="G685" s="87"/>
      <c r="H685" s="87"/>
      <c r="I685" s="87"/>
      <c r="J685" s="2"/>
      <c r="K685" s="2"/>
      <c r="L685" s="94" t="str">
        <f>IF(B685="","", VLOOKUP(B685,RM!$C$4:$G984,10,FALSE))</f>
        <v/>
      </c>
      <c r="M685" s="94" t="str">
        <f>IF(B685="","", VLOOKUP(B685,RM!$C$4:$G984,11,FALSE))</f>
        <v/>
      </c>
      <c r="N685" s="95" t="str">
        <f>IF(B685="","", VLOOKUP(B685,RM!$C$4:$G984,12,FALSE))</f>
        <v/>
      </c>
    </row>
    <row r="686" spans="1:14">
      <c r="A686" s="87" t="str">
        <f t="shared" si="2"/>
        <v/>
      </c>
      <c r="B686" s="2"/>
      <c r="C686" s="87"/>
      <c r="D686" s="87"/>
      <c r="E686" s="87"/>
      <c r="F686" s="87"/>
      <c r="G686" s="87"/>
      <c r="H686" s="87"/>
      <c r="I686" s="87"/>
      <c r="J686" s="2"/>
      <c r="K686" s="2"/>
      <c r="L686" s="94" t="str">
        <f>IF(B686="","", VLOOKUP(B686,RM!$C$4:$G984,10,FALSE))</f>
        <v/>
      </c>
      <c r="M686" s="94" t="str">
        <f>IF(B686="","", VLOOKUP(B686,RM!$C$4:$G984,11,FALSE))</f>
        <v/>
      </c>
      <c r="N686" s="95" t="str">
        <f>IF(B686="","", VLOOKUP(B686,RM!$C$4:$G984,12,FALSE))</f>
        <v/>
      </c>
    </row>
    <row r="687" spans="1:14">
      <c r="A687" s="87" t="str">
        <f t="shared" si="2"/>
        <v/>
      </c>
      <c r="B687" s="2"/>
      <c r="C687" s="87"/>
      <c r="D687" s="87"/>
      <c r="E687" s="87"/>
      <c r="F687" s="87"/>
      <c r="G687" s="87"/>
      <c r="H687" s="87"/>
      <c r="I687" s="87"/>
      <c r="J687" s="2"/>
      <c r="K687" s="2"/>
      <c r="L687" s="94" t="str">
        <f>IF(B687="","", VLOOKUP(B687,RM!$C$4:$G984,10,FALSE))</f>
        <v/>
      </c>
      <c r="M687" s="94" t="str">
        <f>IF(B687="","", VLOOKUP(B687,RM!$C$4:$G984,11,FALSE))</f>
        <v/>
      </c>
      <c r="N687" s="95" t="str">
        <f>IF(B687="","", VLOOKUP(B687,RM!$C$4:$G984,12,FALSE))</f>
        <v/>
      </c>
    </row>
    <row r="688" spans="1:14">
      <c r="A688" s="87" t="str">
        <f t="shared" si="2"/>
        <v/>
      </c>
      <c r="B688" s="2"/>
      <c r="C688" s="87"/>
      <c r="D688" s="87"/>
      <c r="E688" s="87"/>
      <c r="F688" s="87"/>
      <c r="G688" s="87"/>
      <c r="H688" s="87"/>
      <c r="I688" s="87"/>
      <c r="J688" s="2"/>
      <c r="K688" s="2"/>
      <c r="L688" s="94" t="str">
        <f>IF(B688="","", VLOOKUP(B688,RM!$C$4:$G984,10,FALSE))</f>
        <v/>
      </c>
      <c r="M688" s="94" t="str">
        <f>IF(B688="","", VLOOKUP(B688,RM!$C$4:$G984,11,FALSE))</f>
        <v/>
      </c>
      <c r="N688" s="95" t="str">
        <f>IF(B688="","", VLOOKUP(B688,RM!$C$4:$G984,12,FALSE))</f>
        <v/>
      </c>
    </row>
    <row r="689" spans="1:14">
      <c r="A689" s="87" t="str">
        <f t="shared" si="2"/>
        <v/>
      </c>
      <c r="B689" s="2"/>
      <c r="C689" s="87"/>
      <c r="D689" s="87"/>
      <c r="E689" s="87"/>
      <c r="F689" s="87"/>
      <c r="G689" s="87"/>
      <c r="H689" s="87"/>
      <c r="I689" s="87"/>
      <c r="J689" s="2"/>
      <c r="K689" s="2"/>
      <c r="L689" s="94" t="str">
        <f>IF(B689="","", VLOOKUP(B689,RM!$C$4:$G984,10,FALSE))</f>
        <v/>
      </c>
      <c r="M689" s="94" t="str">
        <f>IF(B689="","", VLOOKUP(B689,RM!$C$4:$G984,11,FALSE))</f>
        <v/>
      </c>
      <c r="N689" s="95" t="str">
        <f>IF(B689="","", VLOOKUP(B689,RM!$C$4:$G984,12,FALSE))</f>
        <v/>
      </c>
    </row>
    <row r="690" spans="1:14">
      <c r="A690" s="87" t="str">
        <f t="shared" si="2"/>
        <v/>
      </c>
      <c r="B690" s="2"/>
      <c r="C690" s="87"/>
      <c r="D690" s="87"/>
      <c r="E690" s="87"/>
      <c r="F690" s="87"/>
      <c r="G690" s="87"/>
      <c r="H690" s="87"/>
      <c r="I690" s="87"/>
      <c r="J690" s="2"/>
      <c r="K690" s="2"/>
      <c r="L690" s="94" t="str">
        <f>IF(B690="","", VLOOKUP(B690,RM!$C$4:$G984,10,FALSE))</f>
        <v/>
      </c>
      <c r="M690" s="94" t="str">
        <f>IF(B690="","", VLOOKUP(B690,RM!$C$4:$G984,11,FALSE))</f>
        <v/>
      </c>
      <c r="N690" s="95" t="str">
        <f>IF(B690="","", VLOOKUP(B690,RM!$C$4:$G984,12,FALSE))</f>
        <v/>
      </c>
    </row>
    <row r="691" spans="1:14">
      <c r="A691" s="87" t="str">
        <f t="shared" si="2"/>
        <v/>
      </c>
      <c r="B691" s="2"/>
      <c r="C691" s="87"/>
      <c r="D691" s="87"/>
      <c r="E691" s="87"/>
      <c r="F691" s="87"/>
      <c r="G691" s="87"/>
      <c r="H691" s="87"/>
      <c r="I691" s="87"/>
      <c r="J691" s="2"/>
      <c r="K691" s="2"/>
      <c r="L691" s="94" t="str">
        <f>IF(B691="","", VLOOKUP(B691,RM!$C$4:$G984,10,FALSE))</f>
        <v/>
      </c>
      <c r="M691" s="94" t="str">
        <f>IF(B691="","", VLOOKUP(B691,RM!$C$4:$G984,11,FALSE))</f>
        <v/>
      </c>
      <c r="N691" s="95" t="str">
        <f>IF(B691="","", VLOOKUP(B691,RM!$C$4:$G984,12,FALSE))</f>
        <v/>
      </c>
    </row>
    <row r="692" spans="1:14">
      <c r="A692" s="87" t="str">
        <f t="shared" si="2"/>
        <v/>
      </c>
      <c r="B692" s="2"/>
      <c r="C692" s="87"/>
      <c r="D692" s="87"/>
      <c r="E692" s="87"/>
      <c r="F692" s="87"/>
      <c r="G692" s="87"/>
      <c r="H692" s="87"/>
      <c r="I692" s="87"/>
      <c r="J692" s="2"/>
      <c r="K692" s="2"/>
      <c r="L692" s="94" t="str">
        <f>IF(B692="","", VLOOKUP(B692,RM!$C$4:$G984,10,FALSE))</f>
        <v/>
      </c>
      <c r="M692" s="94" t="str">
        <f>IF(B692="","", VLOOKUP(B692,RM!$C$4:$G984,11,FALSE))</f>
        <v/>
      </c>
      <c r="N692" s="95" t="str">
        <f>IF(B692="","", VLOOKUP(B692,RM!$C$4:$G984,12,FALSE))</f>
        <v/>
      </c>
    </row>
    <row r="693" spans="1:14">
      <c r="A693" s="87" t="str">
        <f t="shared" si="2"/>
        <v/>
      </c>
      <c r="B693" s="2"/>
      <c r="C693" s="87"/>
      <c r="D693" s="87"/>
      <c r="E693" s="87"/>
      <c r="F693" s="87"/>
      <c r="G693" s="87"/>
      <c r="H693" s="87"/>
      <c r="I693" s="87"/>
      <c r="J693" s="2"/>
      <c r="K693" s="2"/>
      <c r="L693" s="94" t="str">
        <f>IF(B693="","", VLOOKUP(B693,RM!$C$4:$G984,10,FALSE))</f>
        <v/>
      </c>
      <c r="M693" s="94" t="str">
        <f>IF(B693="","", VLOOKUP(B693,RM!$C$4:$G984,11,FALSE))</f>
        <v/>
      </c>
      <c r="N693" s="95" t="str">
        <f>IF(B693="","", VLOOKUP(B693,RM!$C$4:$G984,12,FALSE))</f>
        <v/>
      </c>
    </row>
    <row r="694" spans="1:14">
      <c r="A694" s="87" t="str">
        <f t="shared" si="2"/>
        <v/>
      </c>
      <c r="B694" s="2"/>
      <c r="C694" s="87"/>
      <c r="D694" s="87"/>
      <c r="E694" s="87"/>
      <c r="F694" s="87"/>
      <c r="G694" s="87"/>
      <c r="H694" s="87"/>
      <c r="I694" s="87"/>
      <c r="J694" s="2"/>
      <c r="K694" s="2"/>
      <c r="L694" s="94" t="str">
        <f>IF(B694="","", VLOOKUP(B694,RM!$C$4:$G984,10,FALSE))</f>
        <v/>
      </c>
      <c r="M694" s="94" t="str">
        <f>IF(B694="","", VLOOKUP(B694,RM!$C$4:$G984,11,FALSE))</f>
        <v/>
      </c>
      <c r="N694" s="95" t="str">
        <f>IF(B694="","", VLOOKUP(B694,RM!$C$4:$G984,12,FALSE))</f>
        <v/>
      </c>
    </row>
    <row r="695" spans="1:14">
      <c r="A695" s="87" t="str">
        <f t="shared" si="2"/>
        <v/>
      </c>
      <c r="B695" s="2"/>
      <c r="C695" s="87"/>
      <c r="D695" s="87"/>
      <c r="E695" s="87"/>
      <c r="F695" s="87"/>
      <c r="G695" s="87"/>
      <c r="H695" s="87"/>
      <c r="I695" s="87"/>
      <c r="J695" s="2"/>
      <c r="K695" s="2"/>
      <c r="L695" s="94" t="str">
        <f>IF(B695="","", VLOOKUP(B695,RM!$C$4:$G984,10,FALSE))</f>
        <v/>
      </c>
      <c r="M695" s="94" t="str">
        <f>IF(B695="","", VLOOKUP(B695,RM!$C$4:$G984,11,FALSE))</f>
        <v/>
      </c>
      <c r="N695" s="95" t="str">
        <f>IF(B695="","", VLOOKUP(B695,RM!$C$4:$G984,12,FALSE))</f>
        <v/>
      </c>
    </row>
    <row r="696" spans="1:14">
      <c r="A696" s="87" t="str">
        <f t="shared" si="2"/>
        <v/>
      </c>
      <c r="B696" s="2"/>
      <c r="C696" s="87"/>
      <c r="D696" s="87"/>
      <c r="E696" s="87"/>
      <c r="F696" s="87"/>
      <c r="G696" s="87"/>
      <c r="H696" s="87"/>
      <c r="I696" s="87"/>
      <c r="J696" s="2"/>
      <c r="K696" s="2"/>
      <c r="L696" s="94" t="str">
        <f>IF(B696="","", VLOOKUP(B696,RM!$C$4:$G984,10,FALSE))</f>
        <v/>
      </c>
      <c r="M696" s="94" t="str">
        <f>IF(B696="","", VLOOKUP(B696,RM!$C$4:$G984,11,FALSE))</f>
        <v/>
      </c>
      <c r="N696" s="95" t="str">
        <f>IF(B696="","", VLOOKUP(B696,RM!$C$4:$G984,12,FALSE))</f>
        <v/>
      </c>
    </row>
    <row r="697" spans="1:14">
      <c r="A697" s="87" t="str">
        <f t="shared" si="2"/>
        <v/>
      </c>
      <c r="B697" s="2"/>
      <c r="C697" s="87"/>
      <c r="D697" s="87"/>
      <c r="E697" s="87"/>
      <c r="F697" s="87"/>
      <c r="G697" s="87"/>
      <c r="H697" s="87"/>
      <c r="I697" s="87"/>
      <c r="J697" s="2"/>
      <c r="K697" s="2"/>
      <c r="L697" s="94" t="str">
        <f>IF(B697="","", VLOOKUP(B697,RM!$C$4:$G984,10,FALSE))</f>
        <v/>
      </c>
      <c r="M697" s="94" t="str">
        <f>IF(B697="","", VLOOKUP(B697,RM!$C$4:$G984,11,FALSE))</f>
        <v/>
      </c>
      <c r="N697" s="95" t="str">
        <f>IF(B697="","", VLOOKUP(B697,RM!$C$4:$G984,12,FALSE))</f>
        <v/>
      </c>
    </row>
    <row r="698" spans="1:14">
      <c r="A698" s="87" t="str">
        <f t="shared" si="2"/>
        <v/>
      </c>
      <c r="B698" s="2"/>
      <c r="C698" s="87"/>
      <c r="D698" s="87"/>
      <c r="E698" s="87"/>
      <c r="F698" s="87"/>
      <c r="G698" s="87"/>
      <c r="H698" s="87"/>
      <c r="I698" s="87"/>
      <c r="J698" s="2"/>
      <c r="K698" s="2"/>
      <c r="L698" s="94" t="str">
        <f>IF(B698="","", VLOOKUP(B698,RM!$C$4:$G984,10,FALSE))</f>
        <v/>
      </c>
      <c r="M698" s="94" t="str">
        <f>IF(B698="","", VLOOKUP(B698,RM!$C$4:$G984,11,FALSE))</f>
        <v/>
      </c>
      <c r="N698" s="95" t="str">
        <f>IF(B698="","", VLOOKUP(B698,RM!$C$4:$G984,12,FALSE))</f>
        <v/>
      </c>
    </row>
    <row r="699" spans="1:14">
      <c r="A699" s="87" t="str">
        <f t="shared" si="2"/>
        <v/>
      </c>
      <c r="B699" s="2"/>
      <c r="C699" s="87"/>
      <c r="D699" s="87"/>
      <c r="E699" s="87"/>
      <c r="F699" s="87"/>
      <c r="G699" s="87"/>
      <c r="H699" s="87"/>
      <c r="I699" s="87"/>
      <c r="J699" s="2"/>
      <c r="K699" s="2"/>
      <c r="L699" s="94" t="str">
        <f>IF(B699="","", VLOOKUP(B699,RM!$C$4:$G984,10,FALSE))</f>
        <v/>
      </c>
      <c r="M699" s="94" t="str">
        <f>IF(B699="","", VLOOKUP(B699,RM!$C$4:$G984,11,FALSE))</f>
        <v/>
      </c>
      <c r="N699" s="95" t="str">
        <f>IF(B699="","", VLOOKUP(B699,RM!$C$4:$G984,12,FALSE))</f>
        <v/>
      </c>
    </row>
    <row r="700" spans="1:14">
      <c r="A700" s="87" t="str">
        <f t="shared" si="2"/>
        <v/>
      </c>
      <c r="B700" s="2"/>
      <c r="C700" s="87"/>
      <c r="D700" s="87"/>
      <c r="E700" s="87"/>
      <c r="F700" s="87"/>
      <c r="G700" s="87"/>
      <c r="H700" s="87"/>
      <c r="I700" s="87"/>
      <c r="J700" s="2"/>
      <c r="K700" s="2"/>
      <c r="L700" s="94" t="str">
        <f>IF(B700="","", VLOOKUP(B700,RM!$C$4:$G984,10,FALSE))</f>
        <v/>
      </c>
      <c r="M700" s="94" t="str">
        <f>IF(B700="","", VLOOKUP(B700,RM!$C$4:$G984,11,FALSE))</f>
        <v/>
      </c>
      <c r="N700" s="95" t="str">
        <f>IF(B700="","", VLOOKUP(B700,RM!$C$4:$G984,12,FALSE))</f>
        <v/>
      </c>
    </row>
    <row r="701" spans="1:14">
      <c r="A701" s="87" t="str">
        <f t="shared" si="2"/>
        <v/>
      </c>
      <c r="B701" s="2"/>
      <c r="C701" s="87"/>
      <c r="D701" s="87"/>
      <c r="E701" s="87"/>
      <c r="F701" s="87"/>
      <c r="G701" s="87"/>
      <c r="H701" s="87"/>
      <c r="I701" s="87"/>
      <c r="J701" s="2"/>
      <c r="K701" s="2"/>
      <c r="L701" s="94" t="str">
        <f>IF(B701="","", VLOOKUP(B701,RM!$C$4:$G984,10,FALSE))</f>
        <v/>
      </c>
      <c r="M701" s="94" t="str">
        <f>IF(B701="","", VLOOKUP(B701,RM!$C$4:$G984,11,FALSE))</f>
        <v/>
      </c>
      <c r="N701" s="95" t="str">
        <f>IF(B701="","", VLOOKUP(B701,RM!$C$4:$G984,12,FALSE))</f>
        <v/>
      </c>
    </row>
    <row r="702" spans="1:14">
      <c r="A702" s="87" t="str">
        <f t="shared" si="2"/>
        <v/>
      </c>
      <c r="B702" s="2"/>
      <c r="C702" s="87"/>
      <c r="D702" s="87"/>
      <c r="E702" s="87"/>
      <c r="F702" s="87"/>
      <c r="G702" s="87"/>
      <c r="H702" s="87"/>
      <c r="I702" s="87"/>
      <c r="J702" s="2"/>
      <c r="K702" s="2"/>
      <c r="L702" s="94" t="str">
        <f>IF(B702="","", VLOOKUP(B702,RM!$C$4:$G984,10,FALSE))</f>
        <v/>
      </c>
      <c r="M702" s="94" t="str">
        <f>IF(B702="","", VLOOKUP(B702,RM!$C$4:$G984,11,FALSE))</f>
        <v/>
      </c>
      <c r="N702" s="95" t="str">
        <f>IF(B702="","", VLOOKUP(B702,RM!$C$4:$G984,12,FALSE))</f>
        <v/>
      </c>
    </row>
    <row r="703" spans="1:14">
      <c r="A703" s="87" t="str">
        <f t="shared" si="2"/>
        <v/>
      </c>
      <c r="B703" s="2"/>
      <c r="C703" s="87"/>
      <c r="D703" s="87"/>
      <c r="E703" s="87"/>
      <c r="F703" s="87"/>
      <c r="G703" s="87"/>
      <c r="H703" s="87"/>
      <c r="I703" s="87"/>
      <c r="J703" s="2"/>
      <c r="K703" s="2"/>
      <c r="L703" s="94" t="str">
        <f>IF(B703="","", VLOOKUP(B703,RM!$C$4:$G984,10,FALSE))</f>
        <v/>
      </c>
      <c r="M703" s="94" t="str">
        <f>IF(B703="","", VLOOKUP(B703,RM!$C$4:$G984,11,FALSE))</f>
        <v/>
      </c>
      <c r="N703" s="95" t="str">
        <f>IF(B703="","", VLOOKUP(B703,RM!$C$4:$G984,12,FALSE))</f>
        <v/>
      </c>
    </row>
    <row r="704" spans="1:14">
      <c r="A704" s="87" t="str">
        <f t="shared" si="2"/>
        <v/>
      </c>
      <c r="B704" s="2"/>
      <c r="C704" s="87"/>
      <c r="D704" s="87"/>
      <c r="E704" s="87"/>
      <c r="F704" s="87"/>
      <c r="G704" s="87"/>
      <c r="H704" s="87"/>
      <c r="I704" s="87"/>
      <c r="J704" s="2"/>
      <c r="K704" s="2"/>
      <c r="L704" s="94" t="str">
        <f>IF(B704="","", VLOOKUP(B704,RM!$C$4:$G984,10,FALSE))</f>
        <v/>
      </c>
      <c r="M704" s="94" t="str">
        <f>IF(B704="","", VLOOKUP(B704,RM!$C$4:$G984,11,FALSE))</f>
        <v/>
      </c>
      <c r="N704" s="95" t="str">
        <f>IF(B704="","", VLOOKUP(B704,RM!$C$4:$G984,12,FALSE))</f>
        <v/>
      </c>
    </row>
    <row r="705" spans="1:14">
      <c r="A705" s="87" t="str">
        <f t="shared" si="2"/>
        <v/>
      </c>
      <c r="B705" s="2"/>
      <c r="C705" s="87"/>
      <c r="D705" s="87"/>
      <c r="E705" s="87"/>
      <c r="F705" s="87"/>
      <c r="G705" s="87"/>
      <c r="H705" s="87"/>
      <c r="I705" s="87"/>
      <c r="J705" s="2"/>
      <c r="K705" s="2"/>
      <c r="L705" s="94" t="str">
        <f>IF(B705="","", VLOOKUP(B705,RM!$C$4:$G984,10,FALSE))</f>
        <v/>
      </c>
      <c r="M705" s="94" t="str">
        <f>IF(B705="","", VLOOKUP(B705,RM!$C$4:$G984,11,FALSE))</f>
        <v/>
      </c>
      <c r="N705" s="95" t="str">
        <f>IF(B705="","", VLOOKUP(B705,RM!$C$4:$G984,12,FALSE))</f>
        <v/>
      </c>
    </row>
    <row r="706" spans="1:14">
      <c r="A706" s="87" t="str">
        <f t="shared" si="2"/>
        <v/>
      </c>
      <c r="B706" s="2"/>
      <c r="C706" s="87"/>
      <c r="D706" s="87"/>
      <c r="E706" s="87"/>
      <c r="F706" s="87"/>
      <c r="G706" s="87"/>
      <c r="H706" s="87"/>
      <c r="I706" s="87"/>
      <c r="J706" s="2"/>
      <c r="K706" s="2"/>
      <c r="L706" s="94" t="str">
        <f>IF(B706="","", VLOOKUP(B706,RM!$C$4:$G984,10,FALSE))</f>
        <v/>
      </c>
      <c r="M706" s="94" t="str">
        <f>IF(B706="","", VLOOKUP(B706,RM!$C$4:$G984,11,FALSE))</f>
        <v/>
      </c>
      <c r="N706" s="95" t="str">
        <f>IF(B706="","", VLOOKUP(B706,RM!$C$4:$G984,12,FALSE))</f>
        <v/>
      </c>
    </row>
    <row r="707" spans="1:14">
      <c r="A707" s="87" t="str">
        <f t="shared" si="2"/>
        <v/>
      </c>
      <c r="B707" s="2"/>
      <c r="C707" s="87"/>
      <c r="D707" s="87"/>
      <c r="E707" s="87"/>
      <c r="F707" s="87"/>
      <c r="G707" s="87"/>
      <c r="H707" s="87"/>
      <c r="I707" s="87"/>
      <c r="J707" s="2"/>
      <c r="K707" s="2"/>
      <c r="L707" s="94" t="str">
        <f>IF(B707="","", VLOOKUP(B707,RM!$C$4:$G984,10,FALSE))</f>
        <v/>
      </c>
      <c r="M707" s="94" t="str">
        <f>IF(B707="","", VLOOKUP(B707,RM!$C$4:$G984,11,FALSE))</f>
        <v/>
      </c>
      <c r="N707" s="95" t="str">
        <f>IF(B707="","", VLOOKUP(B707,RM!$C$4:$G984,12,FALSE))</f>
        <v/>
      </c>
    </row>
    <row r="708" spans="1:14">
      <c r="A708" s="87" t="str">
        <f t="shared" si="2"/>
        <v/>
      </c>
      <c r="B708" s="2"/>
      <c r="C708" s="87"/>
      <c r="D708" s="87"/>
      <c r="E708" s="87"/>
      <c r="F708" s="87"/>
      <c r="G708" s="87"/>
      <c r="H708" s="87"/>
      <c r="I708" s="87"/>
      <c r="J708" s="2"/>
      <c r="K708" s="2"/>
      <c r="L708" s="94" t="str">
        <f>IF(B708="","", VLOOKUP(B708,RM!$C$4:$G984,10,FALSE))</f>
        <v/>
      </c>
      <c r="M708" s="94" t="str">
        <f>IF(B708="","", VLOOKUP(B708,RM!$C$4:$G984,11,FALSE))</f>
        <v/>
      </c>
      <c r="N708" s="95" t="str">
        <f>IF(B708="","", VLOOKUP(B708,RM!$C$4:$G984,12,FALSE))</f>
        <v/>
      </c>
    </row>
    <row r="709" spans="1:14">
      <c r="A709" s="87" t="str">
        <f t="shared" si="2"/>
        <v/>
      </c>
      <c r="B709" s="2"/>
      <c r="C709" s="87"/>
      <c r="D709" s="87"/>
      <c r="E709" s="87"/>
      <c r="F709" s="87"/>
      <c r="G709" s="87"/>
      <c r="H709" s="87"/>
      <c r="I709" s="87"/>
      <c r="J709" s="2"/>
      <c r="K709" s="2"/>
      <c r="L709" s="94" t="str">
        <f>IF(B709="","", VLOOKUP(B709,RM!$C$4:$G984,10,FALSE))</f>
        <v/>
      </c>
      <c r="M709" s="94" t="str">
        <f>IF(B709="","", VLOOKUP(B709,RM!$C$4:$G984,11,FALSE))</f>
        <v/>
      </c>
      <c r="N709" s="95" t="str">
        <f>IF(B709="","", VLOOKUP(B709,RM!$C$4:$G984,12,FALSE))</f>
        <v/>
      </c>
    </row>
    <row r="710" spans="1:14">
      <c r="A710" s="87" t="str">
        <f t="shared" si="2"/>
        <v/>
      </c>
      <c r="B710" s="2"/>
      <c r="C710" s="87"/>
      <c r="D710" s="87"/>
      <c r="E710" s="87"/>
      <c r="F710" s="87"/>
      <c r="G710" s="87"/>
      <c r="H710" s="87"/>
      <c r="I710" s="87"/>
      <c r="J710" s="2"/>
      <c r="K710" s="2"/>
      <c r="L710" s="94" t="str">
        <f>IF(B710="","", VLOOKUP(B710,RM!$C$4:$G984,10,FALSE))</f>
        <v/>
      </c>
      <c r="M710" s="94" t="str">
        <f>IF(B710="","", VLOOKUP(B710,RM!$C$4:$G984,11,FALSE))</f>
        <v/>
      </c>
      <c r="N710" s="95" t="str">
        <f>IF(B710="","", VLOOKUP(B710,RM!$C$4:$G984,12,FALSE))</f>
        <v/>
      </c>
    </row>
    <row r="711" spans="1:14">
      <c r="A711" s="87" t="str">
        <f t="shared" si="2"/>
        <v/>
      </c>
      <c r="B711" s="2"/>
      <c r="C711" s="87"/>
      <c r="D711" s="87"/>
      <c r="E711" s="87"/>
      <c r="F711" s="87"/>
      <c r="G711" s="87"/>
      <c r="H711" s="87"/>
      <c r="I711" s="87"/>
      <c r="J711" s="2"/>
      <c r="K711" s="2"/>
      <c r="L711" s="94" t="str">
        <f>IF(B711="","", VLOOKUP(B711,RM!$C$4:$G984,10,FALSE))</f>
        <v/>
      </c>
      <c r="M711" s="94" t="str">
        <f>IF(B711="","", VLOOKUP(B711,RM!$C$4:$G984,11,FALSE))</f>
        <v/>
      </c>
      <c r="N711" s="95" t="str">
        <f>IF(B711="","", VLOOKUP(B711,RM!$C$4:$G984,12,FALSE))</f>
        <v/>
      </c>
    </row>
    <row r="712" spans="1:14">
      <c r="A712" s="87" t="str">
        <f t="shared" si="2"/>
        <v/>
      </c>
      <c r="B712" s="2"/>
      <c r="C712" s="87"/>
      <c r="D712" s="87"/>
      <c r="E712" s="87"/>
      <c r="F712" s="87"/>
      <c r="G712" s="87"/>
      <c r="H712" s="87"/>
      <c r="I712" s="87"/>
      <c r="J712" s="2"/>
      <c r="K712" s="2"/>
      <c r="L712" s="94" t="str">
        <f>IF(B712="","", VLOOKUP(B712,RM!$C$4:$G984,10,FALSE))</f>
        <v/>
      </c>
      <c r="M712" s="94" t="str">
        <f>IF(B712="","", VLOOKUP(B712,RM!$C$4:$G984,11,FALSE))</f>
        <v/>
      </c>
      <c r="N712" s="95" t="str">
        <f>IF(B712="","", VLOOKUP(B712,RM!$C$4:$G984,12,FALSE))</f>
        <v/>
      </c>
    </row>
    <row r="713" spans="1:14">
      <c r="A713" s="87" t="str">
        <f t="shared" si="2"/>
        <v/>
      </c>
      <c r="B713" s="2"/>
      <c r="C713" s="87"/>
      <c r="D713" s="87"/>
      <c r="E713" s="87"/>
      <c r="F713" s="87"/>
      <c r="G713" s="87"/>
      <c r="H713" s="87"/>
      <c r="I713" s="87"/>
      <c r="J713" s="2"/>
      <c r="K713" s="2"/>
      <c r="L713" s="94" t="str">
        <f>IF(B713="","", VLOOKUP(B713,RM!$C$4:$G984,10,FALSE))</f>
        <v/>
      </c>
      <c r="M713" s="94" t="str">
        <f>IF(B713="","", VLOOKUP(B713,RM!$C$4:$G984,11,FALSE))</f>
        <v/>
      </c>
      <c r="N713" s="95" t="str">
        <f>IF(B713="","", VLOOKUP(B713,RM!$C$4:$G984,12,FALSE))</f>
        <v/>
      </c>
    </row>
    <row r="714" spans="1:14">
      <c r="A714" s="87" t="str">
        <f t="shared" si="2"/>
        <v/>
      </c>
      <c r="B714" s="2"/>
      <c r="C714" s="87"/>
      <c r="D714" s="87"/>
      <c r="E714" s="87"/>
      <c r="F714" s="87"/>
      <c r="G714" s="87"/>
      <c r="H714" s="87"/>
      <c r="I714" s="87"/>
      <c r="J714" s="2"/>
      <c r="K714" s="2"/>
      <c r="L714" s="94" t="str">
        <f>IF(B714="","", VLOOKUP(B714,RM!$C$4:$G984,10,FALSE))</f>
        <v/>
      </c>
      <c r="M714" s="94" t="str">
        <f>IF(B714="","", VLOOKUP(B714,RM!$C$4:$G984,11,FALSE))</f>
        <v/>
      </c>
      <c r="N714" s="95" t="str">
        <f>IF(B714="","", VLOOKUP(B714,RM!$C$4:$G984,12,FALSE))</f>
        <v/>
      </c>
    </row>
    <row r="715" spans="1:14">
      <c r="A715" s="87" t="str">
        <f t="shared" si="2"/>
        <v/>
      </c>
      <c r="B715" s="2"/>
      <c r="C715" s="87"/>
      <c r="D715" s="87"/>
      <c r="E715" s="87"/>
      <c r="F715" s="87"/>
      <c r="G715" s="87"/>
      <c r="H715" s="87"/>
      <c r="I715" s="87"/>
      <c r="J715" s="2"/>
      <c r="K715" s="2"/>
      <c r="L715" s="94" t="str">
        <f>IF(B715="","", VLOOKUP(B715,RM!$C$4:$G984,10,FALSE))</f>
        <v/>
      </c>
      <c r="M715" s="94" t="str">
        <f>IF(B715="","", VLOOKUP(B715,RM!$C$4:$G984,11,FALSE))</f>
        <v/>
      </c>
      <c r="N715" s="95" t="str">
        <f>IF(B715="","", VLOOKUP(B715,RM!$C$4:$G984,12,FALSE))</f>
        <v/>
      </c>
    </row>
    <row r="716" spans="1:14">
      <c r="A716" s="87" t="str">
        <f t="shared" si="2"/>
        <v/>
      </c>
      <c r="B716" s="2"/>
      <c r="C716" s="87"/>
      <c r="D716" s="87"/>
      <c r="E716" s="87"/>
      <c r="F716" s="87"/>
      <c r="G716" s="87"/>
      <c r="H716" s="87"/>
      <c r="I716" s="87"/>
      <c r="J716" s="2"/>
      <c r="K716" s="2"/>
      <c r="L716" s="94" t="str">
        <f>IF(B716="","", VLOOKUP(B716,RM!$C$4:$G984,10,FALSE))</f>
        <v/>
      </c>
      <c r="M716" s="94" t="str">
        <f>IF(B716="","", VLOOKUP(B716,RM!$C$4:$G984,11,FALSE))</f>
        <v/>
      </c>
      <c r="N716" s="95" t="str">
        <f>IF(B716="","", VLOOKUP(B716,RM!$C$4:$G984,12,FALSE))</f>
        <v/>
      </c>
    </row>
    <row r="717" spans="1:14">
      <c r="A717" s="87" t="str">
        <f t="shared" si="2"/>
        <v/>
      </c>
      <c r="B717" s="2"/>
      <c r="C717" s="87"/>
      <c r="D717" s="87"/>
      <c r="E717" s="87"/>
      <c r="F717" s="87"/>
      <c r="G717" s="87"/>
      <c r="H717" s="87"/>
      <c r="I717" s="87"/>
      <c r="J717" s="2"/>
      <c r="K717" s="2"/>
      <c r="L717" s="94" t="str">
        <f>IF(B717="","", VLOOKUP(B717,RM!$C$4:$G984,10,FALSE))</f>
        <v/>
      </c>
      <c r="M717" s="94" t="str">
        <f>IF(B717="","", VLOOKUP(B717,RM!$C$4:$G984,11,FALSE))</f>
        <v/>
      </c>
      <c r="N717" s="95" t="str">
        <f>IF(B717="","", VLOOKUP(B717,RM!$C$4:$G984,12,FALSE))</f>
        <v/>
      </c>
    </row>
    <row r="718" spans="1:14">
      <c r="A718" s="87" t="str">
        <f t="shared" si="2"/>
        <v/>
      </c>
      <c r="B718" s="2"/>
      <c r="C718" s="87"/>
      <c r="D718" s="87"/>
      <c r="E718" s="87"/>
      <c r="F718" s="87"/>
      <c r="G718" s="87"/>
      <c r="H718" s="87"/>
      <c r="I718" s="87"/>
      <c r="J718" s="2"/>
      <c r="K718" s="2"/>
      <c r="L718" s="94" t="str">
        <f>IF(B718="","", VLOOKUP(B718,RM!$C$4:$G984,10,FALSE))</f>
        <v/>
      </c>
      <c r="M718" s="94" t="str">
        <f>IF(B718="","", VLOOKUP(B718,RM!$C$4:$G984,11,FALSE))</f>
        <v/>
      </c>
      <c r="N718" s="95" t="str">
        <f>IF(B718="","", VLOOKUP(B718,RM!$C$4:$G984,12,FALSE))</f>
        <v/>
      </c>
    </row>
    <row r="719" spans="1:14">
      <c r="A719" s="87" t="str">
        <f t="shared" si="2"/>
        <v/>
      </c>
      <c r="B719" s="2"/>
      <c r="C719" s="87"/>
      <c r="D719" s="87"/>
      <c r="E719" s="87"/>
      <c r="F719" s="87"/>
      <c r="G719" s="87"/>
      <c r="H719" s="87"/>
      <c r="I719" s="87"/>
      <c r="J719" s="2"/>
      <c r="K719" s="2"/>
      <c r="L719" s="94" t="str">
        <f>IF(B719="","", VLOOKUP(B719,RM!$C$4:$G984,10,FALSE))</f>
        <v/>
      </c>
      <c r="M719" s="94" t="str">
        <f>IF(B719="","", VLOOKUP(B719,RM!$C$4:$G984,11,FALSE))</f>
        <v/>
      </c>
      <c r="N719" s="95" t="str">
        <f>IF(B719="","", VLOOKUP(B719,RM!$C$4:$G984,12,FALSE))</f>
        <v/>
      </c>
    </row>
    <row r="720" spans="1:14">
      <c r="A720" s="87" t="str">
        <f t="shared" si="2"/>
        <v/>
      </c>
      <c r="B720" s="2"/>
      <c r="C720" s="87"/>
      <c r="D720" s="87"/>
      <c r="E720" s="87"/>
      <c r="F720" s="87"/>
      <c r="G720" s="87"/>
      <c r="H720" s="87"/>
      <c r="I720" s="87"/>
      <c r="J720" s="2"/>
      <c r="K720" s="2"/>
      <c r="L720" s="94" t="str">
        <f>IF(B720="","", VLOOKUP(B720,RM!$C$4:$G984,10,FALSE))</f>
        <v/>
      </c>
      <c r="M720" s="94" t="str">
        <f>IF(B720="","", VLOOKUP(B720,RM!$C$4:$G984,11,FALSE))</f>
        <v/>
      </c>
      <c r="N720" s="95" t="str">
        <f>IF(B720="","", VLOOKUP(B720,RM!$C$4:$G984,12,FALSE))</f>
        <v/>
      </c>
    </row>
    <row r="721" spans="1:14">
      <c r="A721" s="87" t="str">
        <f t="shared" si="2"/>
        <v/>
      </c>
      <c r="B721" s="2"/>
      <c r="C721" s="87"/>
      <c r="D721" s="87"/>
      <c r="E721" s="87"/>
      <c r="F721" s="87"/>
      <c r="G721" s="87"/>
      <c r="H721" s="87"/>
      <c r="I721" s="87"/>
      <c r="J721" s="2"/>
      <c r="K721" s="2"/>
      <c r="L721" s="94" t="str">
        <f>IF(B721="","", VLOOKUP(B721,RM!$C$4:$G984,10,FALSE))</f>
        <v/>
      </c>
      <c r="M721" s="94" t="str">
        <f>IF(B721="","", VLOOKUP(B721,RM!$C$4:$G984,11,FALSE))</f>
        <v/>
      </c>
      <c r="N721" s="95" t="str">
        <f>IF(B721="","", VLOOKUP(B721,RM!$C$4:$G984,12,FALSE))</f>
        <v/>
      </c>
    </row>
    <row r="722" spans="1:14">
      <c r="A722" s="87" t="str">
        <f t="shared" si="2"/>
        <v/>
      </c>
      <c r="B722" s="2"/>
      <c r="C722" s="87"/>
      <c r="D722" s="87"/>
      <c r="E722" s="87"/>
      <c r="F722" s="87"/>
      <c r="G722" s="87"/>
      <c r="H722" s="87"/>
      <c r="I722" s="87"/>
      <c r="J722" s="2"/>
      <c r="K722" s="2"/>
      <c r="L722" s="94" t="str">
        <f>IF(B722="","", VLOOKUP(B722,RM!$C$4:$G984,10,FALSE))</f>
        <v/>
      </c>
      <c r="M722" s="94" t="str">
        <f>IF(B722="","", VLOOKUP(B722,RM!$C$4:$G984,11,FALSE))</f>
        <v/>
      </c>
      <c r="N722" s="95" t="str">
        <f>IF(B722="","", VLOOKUP(B722,RM!$C$4:$G984,12,FALSE))</f>
        <v/>
      </c>
    </row>
    <row r="723" spans="1:14">
      <c r="A723" s="87" t="str">
        <f t="shared" si="2"/>
        <v/>
      </c>
      <c r="B723" s="2"/>
      <c r="C723" s="87"/>
      <c r="D723" s="87"/>
      <c r="E723" s="87"/>
      <c r="F723" s="87"/>
      <c r="G723" s="87"/>
      <c r="H723" s="87"/>
      <c r="I723" s="87"/>
      <c r="J723" s="2"/>
      <c r="K723" s="2"/>
      <c r="L723" s="94" t="str">
        <f>IF(B723="","", VLOOKUP(B723,RM!$C$4:$G984,10,FALSE))</f>
        <v/>
      </c>
      <c r="M723" s="94" t="str">
        <f>IF(B723="","", VLOOKUP(B723,RM!$C$4:$G984,11,FALSE))</f>
        <v/>
      </c>
      <c r="N723" s="95" t="str">
        <f>IF(B723="","", VLOOKUP(B723,RM!$C$4:$G984,12,FALSE))</f>
        <v/>
      </c>
    </row>
    <row r="724" spans="1:14">
      <c r="A724" s="87" t="str">
        <f t="shared" si="2"/>
        <v/>
      </c>
      <c r="B724" s="2"/>
      <c r="C724" s="87"/>
      <c r="D724" s="87"/>
      <c r="E724" s="87"/>
      <c r="F724" s="87"/>
      <c r="G724" s="87"/>
      <c r="H724" s="87"/>
      <c r="I724" s="87"/>
      <c r="J724" s="2"/>
      <c r="K724" s="2"/>
      <c r="L724" s="94" t="str">
        <f>IF(B724="","", VLOOKUP(B724,RM!$C$4:$G984,10,FALSE))</f>
        <v/>
      </c>
      <c r="M724" s="94" t="str">
        <f>IF(B724="","", VLOOKUP(B724,RM!$C$4:$G984,11,FALSE))</f>
        <v/>
      </c>
      <c r="N724" s="95" t="str">
        <f>IF(B724="","", VLOOKUP(B724,RM!$C$4:$G984,12,FALSE))</f>
        <v/>
      </c>
    </row>
    <row r="725" spans="1:14">
      <c r="A725" s="87" t="str">
        <f t="shared" si="2"/>
        <v/>
      </c>
      <c r="B725" s="2"/>
      <c r="C725" s="87"/>
      <c r="D725" s="87"/>
      <c r="E725" s="87"/>
      <c r="F725" s="87"/>
      <c r="G725" s="87"/>
      <c r="H725" s="87"/>
      <c r="I725" s="87"/>
      <c r="J725" s="2"/>
      <c r="K725" s="2"/>
      <c r="L725" s="94" t="str">
        <f>IF(B725="","", VLOOKUP(B725,RM!$C$4:$G984,10,FALSE))</f>
        <v/>
      </c>
      <c r="M725" s="94" t="str">
        <f>IF(B725="","", VLOOKUP(B725,RM!$C$4:$G984,11,FALSE))</f>
        <v/>
      </c>
      <c r="N725" s="95" t="str">
        <f>IF(B725="","", VLOOKUP(B725,RM!$C$4:$G984,12,FALSE))</f>
        <v/>
      </c>
    </row>
    <row r="726" spans="1:14">
      <c r="A726" s="87" t="str">
        <f t="shared" si="2"/>
        <v/>
      </c>
      <c r="B726" s="2"/>
      <c r="C726" s="87"/>
      <c r="D726" s="87"/>
      <c r="E726" s="87"/>
      <c r="F726" s="87"/>
      <c r="G726" s="87"/>
      <c r="H726" s="87"/>
      <c r="I726" s="87"/>
      <c r="J726" s="2"/>
      <c r="K726" s="2"/>
      <c r="L726" s="94" t="str">
        <f>IF(B726="","", VLOOKUP(B726,RM!$C$4:$G984,10,FALSE))</f>
        <v/>
      </c>
      <c r="M726" s="94" t="str">
        <f>IF(B726="","", VLOOKUP(B726,RM!$C$4:$G984,11,FALSE))</f>
        <v/>
      </c>
      <c r="N726" s="95" t="str">
        <f>IF(B726="","", VLOOKUP(B726,RM!$C$4:$G984,12,FALSE))</f>
        <v/>
      </c>
    </row>
    <row r="727" spans="1:14">
      <c r="A727" s="87" t="str">
        <f t="shared" si="2"/>
        <v/>
      </c>
      <c r="B727" s="2"/>
      <c r="C727" s="87"/>
      <c r="D727" s="87"/>
      <c r="E727" s="87"/>
      <c r="F727" s="87"/>
      <c r="G727" s="87"/>
      <c r="H727" s="87"/>
      <c r="I727" s="87"/>
      <c r="J727" s="2"/>
      <c r="K727" s="2"/>
      <c r="L727" s="94" t="str">
        <f>IF(B727="","", VLOOKUP(B727,RM!$C$4:$G984,10,FALSE))</f>
        <v/>
      </c>
      <c r="M727" s="94" t="str">
        <f>IF(B727="","", VLOOKUP(B727,RM!$C$4:$G984,11,FALSE))</f>
        <v/>
      </c>
      <c r="N727" s="95" t="str">
        <f>IF(B727="","", VLOOKUP(B727,RM!$C$4:$G984,12,FALSE))</f>
        <v/>
      </c>
    </row>
    <row r="728" spans="1:14">
      <c r="A728" s="87" t="str">
        <f t="shared" si="2"/>
        <v/>
      </c>
      <c r="B728" s="2"/>
      <c r="C728" s="87"/>
      <c r="D728" s="87"/>
      <c r="E728" s="87"/>
      <c r="F728" s="87"/>
      <c r="G728" s="87"/>
      <c r="H728" s="87"/>
      <c r="I728" s="87"/>
      <c r="J728" s="2"/>
      <c r="K728" s="2"/>
      <c r="L728" s="94" t="str">
        <f>IF(B728="","", VLOOKUP(B728,RM!$C$4:$G984,10,FALSE))</f>
        <v/>
      </c>
      <c r="M728" s="94" t="str">
        <f>IF(B728="","", VLOOKUP(B728,RM!$C$4:$G984,11,FALSE))</f>
        <v/>
      </c>
      <c r="N728" s="95" t="str">
        <f>IF(B728="","", VLOOKUP(B728,RM!$C$4:$G984,12,FALSE))</f>
        <v/>
      </c>
    </row>
    <row r="729" spans="1:14">
      <c r="A729" s="87" t="str">
        <f t="shared" si="2"/>
        <v/>
      </c>
      <c r="B729" s="2"/>
      <c r="C729" s="87"/>
      <c r="D729" s="87"/>
      <c r="E729" s="87"/>
      <c r="F729" s="87"/>
      <c r="G729" s="87"/>
      <c r="H729" s="87"/>
      <c r="I729" s="87"/>
      <c r="J729" s="2"/>
      <c r="K729" s="2"/>
      <c r="L729" s="94" t="str">
        <f>IF(B729="","", VLOOKUP(B729,RM!$C$4:$G984,10,FALSE))</f>
        <v/>
      </c>
      <c r="M729" s="94" t="str">
        <f>IF(B729="","", VLOOKUP(B729,RM!$C$4:$G984,11,FALSE))</f>
        <v/>
      </c>
      <c r="N729" s="95" t="str">
        <f>IF(B729="","", VLOOKUP(B729,RM!$C$4:$G984,12,FALSE))</f>
        <v/>
      </c>
    </row>
    <row r="730" spans="1:14">
      <c r="A730" s="87" t="str">
        <f t="shared" si="2"/>
        <v/>
      </c>
      <c r="B730" s="2"/>
      <c r="C730" s="87"/>
      <c r="D730" s="87"/>
      <c r="E730" s="87"/>
      <c r="F730" s="87"/>
      <c r="G730" s="87"/>
      <c r="H730" s="87"/>
      <c r="I730" s="87"/>
      <c r="J730" s="2"/>
      <c r="K730" s="2"/>
      <c r="L730" s="94" t="str">
        <f>IF(B730="","", VLOOKUP(B730,RM!$C$4:$G984,10,FALSE))</f>
        <v/>
      </c>
      <c r="M730" s="94" t="str">
        <f>IF(B730="","", VLOOKUP(B730,RM!$C$4:$G984,11,FALSE))</f>
        <v/>
      </c>
      <c r="N730" s="95" t="str">
        <f>IF(B730="","", VLOOKUP(B730,RM!$C$4:$G984,12,FALSE))</f>
        <v/>
      </c>
    </row>
    <row r="731" spans="1:14">
      <c r="A731" s="87" t="str">
        <f t="shared" si="2"/>
        <v/>
      </c>
      <c r="B731" s="2"/>
      <c r="C731" s="87"/>
      <c r="D731" s="87"/>
      <c r="E731" s="87"/>
      <c r="F731" s="87"/>
      <c r="G731" s="87"/>
      <c r="H731" s="87"/>
      <c r="I731" s="87"/>
      <c r="J731" s="2"/>
      <c r="K731" s="2"/>
      <c r="L731" s="94" t="str">
        <f>IF(B731="","", VLOOKUP(B731,RM!$C$4:$G984,10,FALSE))</f>
        <v/>
      </c>
      <c r="M731" s="94" t="str">
        <f>IF(B731="","", VLOOKUP(B731,RM!$C$4:$G984,11,FALSE))</f>
        <v/>
      </c>
      <c r="N731" s="95" t="str">
        <f>IF(B731="","", VLOOKUP(B731,RM!$C$4:$G984,12,FALSE))</f>
        <v/>
      </c>
    </row>
    <row r="732" spans="1:14">
      <c r="A732" s="87" t="str">
        <f t="shared" si="2"/>
        <v/>
      </c>
      <c r="B732" s="2"/>
      <c r="C732" s="87"/>
      <c r="D732" s="87"/>
      <c r="E732" s="87"/>
      <c r="F732" s="87"/>
      <c r="G732" s="87"/>
      <c r="H732" s="87"/>
      <c r="I732" s="87"/>
      <c r="J732" s="2"/>
      <c r="K732" s="2"/>
      <c r="L732" s="94" t="str">
        <f>IF(B732="","", VLOOKUP(B732,RM!$C$4:$G984,10,FALSE))</f>
        <v/>
      </c>
      <c r="M732" s="94" t="str">
        <f>IF(B732="","", VLOOKUP(B732,RM!$C$4:$G984,11,FALSE))</f>
        <v/>
      </c>
      <c r="N732" s="95" t="str">
        <f>IF(B732="","", VLOOKUP(B732,RM!$C$4:$G984,12,FALSE))</f>
        <v/>
      </c>
    </row>
    <row r="733" spans="1:14">
      <c r="A733" s="87" t="str">
        <f t="shared" si="2"/>
        <v/>
      </c>
      <c r="B733" s="2"/>
      <c r="C733" s="87"/>
      <c r="D733" s="87"/>
      <c r="E733" s="87"/>
      <c r="F733" s="87"/>
      <c r="G733" s="87"/>
      <c r="H733" s="87"/>
      <c r="I733" s="87"/>
      <c r="J733" s="2"/>
      <c r="K733" s="2"/>
      <c r="L733" s="94" t="str">
        <f>IF(B733="","", VLOOKUP(B733,RM!$C$4:$G984,10,FALSE))</f>
        <v/>
      </c>
      <c r="M733" s="94" t="str">
        <f>IF(B733="","", VLOOKUP(B733,RM!$C$4:$G984,11,FALSE))</f>
        <v/>
      </c>
      <c r="N733" s="95" t="str">
        <f>IF(B733="","", VLOOKUP(B733,RM!$C$4:$G984,12,FALSE))</f>
        <v/>
      </c>
    </row>
    <row r="734" spans="1:14">
      <c r="A734" s="87" t="str">
        <f t="shared" si="2"/>
        <v/>
      </c>
      <c r="B734" s="2"/>
      <c r="C734" s="87"/>
      <c r="D734" s="87"/>
      <c r="E734" s="87"/>
      <c r="F734" s="87"/>
      <c r="G734" s="87"/>
      <c r="H734" s="87"/>
      <c r="I734" s="87"/>
      <c r="J734" s="2"/>
      <c r="K734" s="2"/>
      <c r="L734" s="94" t="str">
        <f>IF(B734="","", VLOOKUP(B734,RM!$C$4:$G984,10,FALSE))</f>
        <v/>
      </c>
      <c r="M734" s="94" t="str">
        <f>IF(B734="","", VLOOKUP(B734,RM!$C$4:$G984,11,FALSE))</f>
        <v/>
      </c>
      <c r="N734" s="95" t="str">
        <f>IF(B734="","", VLOOKUP(B734,RM!$C$4:$G984,12,FALSE))</f>
        <v/>
      </c>
    </row>
    <row r="735" spans="1:14">
      <c r="A735" s="87" t="str">
        <f t="shared" si="2"/>
        <v/>
      </c>
      <c r="B735" s="2"/>
      <c r="C735" s="87"/>
      <c r="D735" s="87"/>
      <c r="E735" s="87"/>
      <c r="F735" s="87"/>
      <c r="G735" s="87"/>
      <c r="H735" s="87"/>
      <c r="I735" s="87"/>
      <c r="J735" s="2"/>
      <c r="K735" s="2"/>
      <c r="L735" s="94" t="str">
        <f>IF(B735="","", VLOOKUP(B735,RM!$C$4:$G984,10,FALSE))</f>
        <v/>
      </c>
      <c r="M735" s="94" t="str">
        <f>IF(B735="","", VLOOKUP(B735,RM!$C$4:$G984,11,FALSE))</f>
        <v/>
      </c>
      <c r="N735" s="95" t="str">
        <f>IF(B735="","", VLOOKUP(B735,RM!$C$4:$G984,12,FALSE))</f>
        <v/>
      </c>
    </row>
    <row r="736" spans="1:14">
      <c r="A736" s="87" t="str">
        <f t="shared" si="2"/>
        <v/>
      </c>
      <c r="B736" s="2"/>
      <c r="C736" s="87"/>
      <c r="D736" s="87"/>
      <c r="E736" s="87"/>
      <c r="F736" s="87"/>
      <c r="G736" s="87"/>
      <c r="H736" s="87"/>
      <c r="I736" s="87"/>
      <c r="J736" s="2"/>
      <c r="K736" s="2"/>
      <c r="L736" s="94" t="str">
        <f>IF(B736="","", VLOOKUP(B736,RM!$C$4:$G984,10,FALSE))</f>
        <v/>
      </c>
      <c r="M736" s="94" t="str">
        <f>IF(B736="","", VLOOKUP(B736,RM!$C$4:$G984,11,FALSE))</f>
        <v/>
      </c>
      <c r="N736" s="95" t="str">
        <f>IF(B736="","", VLOOKUP(B736,RM!$C$4:$G984,12,FALSE))</f>
        <v/>
      </c>
    </row>
    <row r="737" spans="1:14">
      <c r="A737" s="87" t="str">
        <f t="shared" si="2"/>
        <v/>
      </c>
      <c r="B737" s="2"/>
      <c r="C737" s="87"/>
      <c r="D737" s="87"/>
      <c r="E737" s="87"/>
      <c r="F737" s="87"/>
      <c r="G737" s="87"/>
      <c r="H737" s="87"/>
      <c r="I737" s="87"/>
      <c r="J737" s="2"/>
      <c r="K737" s="2"/>
      <c r="L737" s="94" t="str">
        <f>IF(B737="","", VLOOKUP(B737,RM!$C$4:$G984,10,FALSE))</f>
        <v/>
      </c>
      <c r="M737" s="94" t="str">
        <f>IF(B737="","", VLOOKUP(B737,RM!$C$4:$G984,11,FALSE))</f>
        <v/>
      </c>
      <c r="N737" s="95" t="str">
        <f>IF(B737="","", VLOOKUP(B737,RM!$C$4:$G984,12,FALSE))</f>
        <v/>
      </c>
    </row>
    <row r="738" spans="1:14">
      <c r="A738" s="87" t="str">
        <f t="shared" si="2"/>
        <v/>
      </c>
      <c r="B738" s="2"/>
      <c r="C738" s="87"/>
      <c r="D738" s="87"/>
      <c r="E738" s="87"/>
      <c r="F738" s="87"/>
      <c r="G738" s="87"/>
      <c r="H738" s="87"/>
      <c r="I738" s="87"/>
      <c r="J738" s="2"/>
      <c r="K738" s="2"/>
      <c r="L738" s="94" t="str">
        <f>IF(B738="","", VLOOKUP(B738,RM!$C$4:$G984,10,FALSE))</f>
        <v/>
      </c>
      <c r="M738" s="94" t="str">
        <f>IF(B738="","", VLOOKUP(B738,RM!$C$4:$G984,11,FALSE))</f>
        <v/>
      </c>
      <c r="N738" s="95" t="str">
        <f>IF(B738="","", VLOOKUP(B738,RM!$C$4:$G984,12,FALSE))</f>
        <v/>
      </c>
    </row>
    <row r="739" spans="1:14">
      <c r="A739" s="87" t="str">
        <f t="shared" si="2"/>
        <v/>
      </c>
      <c r="B739" s="2"/>
      <c r="C739" s="87"/>
      <c r="D739" s="87"/>
      <c r="E739" s="87"/>
      <c r="F739" s="87"/>
      <c r="G739" s="87"/>
      <c r="H739" s="87"/>
      <c r="I739" s="87"/>
      <c r="J739" s="2"/>
      <c r="K739" s="2"/>
      <c r="L739" s="94" t="str">
        <f>IF(B739="","", VLOOKUP(B739,RM!$C$4:$G984,10,FALSE))</f>
        <v/>
      </c>
      <c r="M739" s="94" t="str">
        <f>IF(B739="","", VLOOKUP(B739,RM!$C$4:$G984,11,FALSE))</f>
        <v/>
      </c>
      <c r="N739" s="95" t="str">
        <f>IF(B739="","", VLOOKUP(B739,RM!$C$4:$G984,12,FALSE))</f>
        <v/>
      </c>
    </row>
    <row r="740" spans="1:14">
      <c r="A740" s="87" t="str">
        <f t="shared" si="2"/>
        <v/>
      </c>
      <c r="B740" s="2"/>
      <c r="C740" s="87"/>
      <c r="D740" s="87"/>
      <c r="E740" s="87"/>
      <c r="F740" s="87"/>
      <c r="G740" s="87"/>
      <c r="H740" s="87"/>
      <c r="I740" s="87"/>
      <c r="J740" s="2"/>
      <c r="K740" s="2"/>
      <c r="L740" s="94" t="str">
        <f>IF(B740="","", VLOOKUP(B740,RM!$C$4:$G984,10,FALSE))</f>
        <v/>
      </c>
      <c r="M740" s="94" t="str">
        <f>IF(B740="","", VLOOKUP(B740,RM!$C$4:$G984,11,FALSE))</f>
        <v/>
      </c>
      <c r="N740" s="95" t="str">
        <f>IF(B740="","", VLOOKUP(B740,RM!$C$4:$G984,12,FALSE))</f>
        <v/>
      </c>
    </row>
    <row r="741" spans="1:14">
      <c r="A741" s="87" t="str">
        <f t="shared" si="2"/>
        <v/>
      </c>
      <c r="B741" s="2"/>
      <c r="C741" s="87"/>
      <c r="D741" s="87"/>
      <c r="E741" s="87"/>
      <c r="F741" s="87"/>
      <c r="G741" s="87"/>
      <c r="H741" s="87"/>
      <c r="I741" s="87"/>
      <c r="J741" s="2"/>
      <c r="K741" s="2"/>
      <c r="L741" s="94" t="str">
        <f>IF(B741="","", VLOOKUP(B741,RM!$C$4:$G984,10,FALSE))</f>
        <v/>
      </c>
      <c r="M741" s="94" t="str">
        <f>IF(B741="","", VLOOKUP(B741,RM!$C$4:$G984,11,FALSE))</f>
        <v/>
      </c>
      <c r="N741" s="95" t="str">
        <f>IF(B741="","", VLOOKUP(B741,RM!$C$4:$G984,12,FALSE))</f>
        <v/>
      </c>
    </row>
    <row r="742" spans="1:14">
      <c r="A742" s="87" t="str">
        <f t="shared" si="2"/>
        <v/>
      </c>
      <c r="B742" s="2"/>
      <c r="C742" s="87"/>
      <c r="D742" s="87"/>
      <c r="E742" s="87"/>
      <c r="F742" s="87"/>
      <c r="G742" s="87"/>
      <c r="H742" s="87"/>
      <c r="I742" s="87"/>
      <c r="J742" s="2"/>
      <c r="K742" s="2"/>
      <c r="L742" s="94" t="str">
        <f>IF(B742="","", VLOOKUP(B742,RM!$C$4:$G984,10,FALSE))</f>
        <v/>
      </c>
      <c r="M742" s="94" t="str">
        <f>IF(B742="","", VLOOKUP(B742,RM!$C$4:$G984,11,FALSE))</f>
        <v/>
      </c>
      <c r="N742" s="95" t="str">
        <f>IF(B742="","", VLOOKUP(B742,RM!$C$4:$G984,12,FALSE))</f>
        <v/>
      </c>
    </row>
    <row r="743" spans="1:14">
      <c r="A743" s="87" t="str">
        <f t="shared" si="2"/>
        <v/>
      </c>
      <c r="B743" s="2"/>
      <c r="C743" s="87"/>
      <c r="D743" s="87"/>
      <c r="E743" s="87"/>
      <c r="F743" s="87"/>
      <c r="G743" s="87"/>
      <c r="H743" s="87"/>
      <c r="I743" s="87"/>
      <c r="J743" s="2"/>
      <c r="K743" s="2"/>
      <c r="L743" s="94" t="str">
        <f>IF(B743="","", VLOOKUP(B743,RM!$C$4:$G984,10,FALSE))</f>
        <v/>
      </c>
      <c r="M743" s="94" t="str">
        <f>IF(B743="","", VLOOKUP(B743,RM!$C$4:$G984,11,FALSE))</f>
        <v/>
      </c>
      <c r="N743" s="95" t="str">
        <f>IF(B743="","", VLOOKUP(B743,RM!$C$4:$G984,12,FALSE))</f>
        <v/>
      </c>
    </row>
    <row r="744" spans="1:14">
      <c r="A744" s="87" t="str">
        <f t="shared" si="2"/>
        <v/>
      </c>
      <c r="B744" s="2"/>
      <c r="C744" s="87"/>
      <c r="D744" s="87"/>
      <c r="E744" s="87"/>
      <c r="F744" s="87"/>
      <c r="G744" s="87"/>
      <c r="H744" s="87"/>
      <c r="I744" s="87"/>
      <c r="J744" s="2"/>
      <c r="K744" s="2"/>
      <c r="L744" s="94" t="str">
        <f>IF(B744="","", VLOOKUP(B744,RM!$C$4:$G984,10,FALSE))</f>
        <v/>
      </c>
      <c r="M744" s="94" t="str">
        <f>IF(B744="","", VLOOKUP(B744,RM!$C$4:$G984,11,FALSE))</f>
        <v/>
      </c>
      <c r="N744" s="95" t="str">
        <f>IF(B744="","", VLOOKUP(B744,RM!$C$4:$G984,12,FALSE))</f>
        <v/>
      </c>
    </row>
    <row r="745" spans="1:14">
      <c r="A745" s="87" t="str">
        <f t="shared" si="2"/>
        <v/>
      </c>
      <c r="B745" s="2"/>
      <c r="C745" s="87"/>
      <c r="D745" s="87"/>
      <c r="E745" s="87"/>
      <c r="F745" s="87"/>
      <c r="G745" s="87"/>
      <c r="H745" s="87"/>
      <c r="I745" s="87"/>
      <c r="J745" s="2"/>
      <c r="K745" s="2"/>
      <c r="L745" s="94" t="str">
        <f>IF(B745="","", VLOOKUP(B745,RM!$C$4:$G984,10,FALSE))</f>
        <v/>
      </c>
      <c r="M745" s="94" t="str">
        <f>IF(B745="","", VLOOKUP(B745,RM!$C$4:$G984,11,FALSE))</f>
        <v/>
      </c>
      <c r="N745" s="95" t="str">
        <f>IF(B745="","", VLOOKUP(B745,RM!$C$4:$G984,12,FALSE))</f>
        <v/>
      </c>
    </row>
    <row r="746" spans="1:14">
      <c r="A746" s="87" t="str">
        <f t="shared" si="2"/>
        <v/>
      </c>
      <c r="B746" s="2"/>
      <c r="C746" s="87"/>
      <c r="D746" s="87"/>
      <c r="E746" s="87"/>
      <c r="F746" s="87"/>
      <c r="G746" s="87"/>
      <c r="H746" s="87"/>
      <c r="I746" s="87"/>
      <c r="J746" s="2"/>
      <c r="K746" s="2"/>
      <c r="L746" s="94" t="str">
        <f>IF(B746="","", VLOOKUP(B746,RM!$C$4:$G984,10,FALSE))</f>
        <v/>
      </c>
      <c r="M746" s="94" t="str">
        <f>IF(B746="","", VLOOKUP(B746,RM!$C$4:$G984,11,FALSE))</f>
        <v/>
      </c>
      <c r="N746" s="95" t="str">
        <f>IF(B746="","", VLOOKUP(B746,RM!$C$4:$G984,12,FALSE))</f>
        <v/>
      </c>
    </row>
    <row r="747" spans="1:14">
      <c r="A747" s="87" t="str">
        <f t="shared" si="2"/>
        <v/>
      </c>
      <c r="B747" s="2"/>
      <c r="C747" s="87"/>
      <c r="D747" s="87"/>
      <c r="E747" s="87"/>
      <c r="F747" s="87"/>
      <c r="G747" s="87"/>
      <c r="H747" s="87"/>
      <c r="I747" s="87"/>
      <c r="J747" s="2"/>
      <c r="K747" s="2"/>
      <c r="L747" s="94" t="str">
        <f>IF(B747="","", VLOOKUP(B747,RM!$C$4:$G984,10,FALSE))</f>
        <v/>
      </c>
      <c r="M747" s="94" t="str">
        <f>IF(B747="","", VLOOKUP(B747,RM!$C$4:$G984,11,FALSE))</f>
        <v/>
      </c>
      <c r="N747" s="95" t="str">
        <f>IF(B747="","", VLOOKUP(B747,RM!$C$4:$G984,12,FALSE))</f>
        <v/>
      </c>
    </row>
    <row r="748" spans="1:14">
      <c r="A748" s="87" t="str">
        <f t="shared" si="2"/>
        <v/>
      </c>
      <c r="B748" s="2"/>
      <c r="C748" s="87"/>
      <c r="D748" s="87"/>
      <c r="E748" s="87"/>
      <c r="F748" s="87"/>
      <c r="G748" s="87"/>
      <c r="H748" s="87"/>
      <c r="I748" s="87"/>
      <c r="J748" s="2"/>
      <c r="K748" s="2"/>
      <c r="L748" s="94" t="str">
        <f>IF(B748="","", VLOOKUP(B748,RM!$C$4:$G984,10,FALSE))</f>
        <v/>
      </c>
      <c r="M748" s="94" t="str">
        <f>IF(B748="","", VLOOKUP(B748,RM!$C$4:$G984,11,FALSE))</f>
        <v/>
      </c>
      <c r="N748" s="95" t="str">
        <f>IF(B748="","", VLOOKUP(B748,RM!$C$4:$G984,12,FALSE))</f>
        <v/>
      </c>
    </row>
    <row r="749" spans="1:14">
      <c r="A749" s="87" t="str">
        <f t="shared" si="2"/>
        <v/>
      </c>
      <c r="B749" s="2"/>
      <c r="C749" s="87"/>
      <c r="D749" s="87"/>
      <c r="E749" s="87"/>
      <c r="F749" s="87"/>
      <c r="G749" s="87"/>
      <c r="H749" s="87"/>
      <c r="I749" s="87"/>
      <c r="J749" s="2"/>
      <c r="K749" s="2"/>
      <c r="L749" s="94" t="str">
        <f>IF(B749="","", VLOOKUP(B749,RM!$C$4:$G984,10,FALSE))</f>
        <v/>
      </c>
      <c r="M749" s="94" t="str">
        <f>IF(B749="","", VLOOKUP(B749,RM!$C$4:$G984,11,FALSE))</f>
        <v/>
      </c>
      <c r="N749" s="95" t="str">
        <f>IF(B749="","", VLOOKUP(B749,RM!$C$4:$G984,12,FALSE))</f>
        <v/>
      </c>
    </row>
    <row r="750" spans="1:14">
      <c r="A750" s="87" t="str">
        <f t="shared" si="2"/>
        <v/>
      </c>
      <c r="B750" s="2"/>
      <c r="C750" s="87"/>
      <c r="D750" s="87"/>
      <c r="E750" s="87"/>
      <c r="F750" s="87"/>
      <c r="G750" s="87"/>
      <c r="H750" s="87"/>
      <c r="I750" s="87"/>
      <c r="J750" s="2"/>
      <c r="K750" s="2"/>
      <c r="L750" s="94" t="str">
        <f>IF(B750="","", VLOOKUP(B750,RM!$C$4:$G984,10,FALSE))</f>
        <v/>
      </c>
      <c r="M750" s="94" t="str">
        <f>IF(B750="","", VLOOKUP(B750,RM!$C$4:$G984,11,FALSE))</f>
        <v/>
      </c>
      <c r="N750" s="95" t="str">
        <f>IF(B750="","", VLOOKUP(B750,RM!$C$4:$G984,12,FALSE))</f>
        <v/>
      </c>
    </row>
    <row r="751" spans="1:14">
      <c r="A751" s="87" t="str">
        <f t="shared" si="2"/>
        <v/>
      </c>
      <c r="B751" s="2"/>
      <c r="C751" s="87"/>
      <c r="D751" s="87"/>
      <c r="E751" s="87"/>
      <c r="F751" s="87"/>
      <c r="G751" s="87"/>
      <c r="H751" s="87"/>
      <c r="I751" s="87"/>
      <c r="J751" s="2"/>
      <c r="K751" s="2"/>
      <c r="L751" s="94" t="str">
        <f>IF(B751="","", VLOOKUP(B751,RM!$C$4:$G984,10,FALSE))</f>
        <v/>
      </c>
      <c r="M751" s="94" t="str">
        <f>IF(B751="","", VLOOKUP(B751,RM!$C$4:$G984,11,FALSE))</f>
        <v/>
      </c>
      <c r="N751" s="95" t="str">
        <f>IF(B751="","", VLOOKUP(B751,RM!$C$4:$G984,12,FALSE))</f>
        <v/>
      </c>
    </row>
    <row r="752" spans="1:14">
      <c r="A752" s="87" t="str">
        <f t="shared" si="2"/>
        <v/>
      </c>
      <c r="B752" s="2"/>
      <c r="C752" s="87"/>
      <c r="D752" s="87"/>
      <c r="E752" s="87"/>
      <c r="F752" s="87"/>
      <c r="G752" s="87"/>
      <c r="H752" s="87"/>
      <c r="I752" s="87"/>
      <c r="J752" s="2"/>
      <c r="K752" s="2"/>
      <c r="L752" s="94" t="str">
        <f>IF(B752="","", VLOOKUP(B752,RM!$C$4:$G984,10,FALSE))</f>
        <v/>
      </c>
      <c r="M752" s="94" t="str">
        <f>IF(B752="","", VLOOKUP(B752,RM!$C$4:$G984,11,FALSE))</f>
        <v/>
      </c>
      <c r="N752" s="95" t="str">
        <f>IF(B752="","", VLOOKUP(B752,RM!$C$4:$G984,12,FALSE))</f>
        <v/>
      </c>
    </row>
    <row r="753" spans="1:14">
      <c r="A753" s="87" t="str">
        <f t="shared" si="2"/>
        <v/>
      </c>
      <c r="B753" s="2"/>
      <c r="C753" s="87"/>
      <c r="D753" s="87"/>
      <c r="E753" s="87"/>
      <c r="F753" s="87"/>
      <c r="G753" s="87"/>
      <c r="H753" s="87"/>
      <c r="I753" s="87"/>
      <c r="J753" s="2"/>
      <c r="K753" s="2"/>
      <c r="L753" s="94" t="str">
        <f>IF(B753="","", VLOOKUP(B753,RM!$C$4:$G984,10,FALSE))</f>
        <v/>
      </c>
      <c r="M753" s="94" t="str">
        <f>IF(B753="","", VLOOKUP(B753,RM!$C$4:$G984,11,FALSE))</f>
        <v/>
      </c>
      <c r="N753" s="95" t="str">
        <f>IF(B753="","", VLOOKUP(B753,RM!$C$4:$G984,12,FALSE))</f>
        <v/>
      </c>
    </row>
    <row r="754" spans="1:14">
      <c r="A754" s="87" t="str">
        <f t="shared" si="2"/>
        <v/>
      </c>
      <c r="B754" s="2"/>
      <c r="C754" s="87"/>
      <c r="D754" s="87"/>
      <c r="E754" s="87"/>
      <c r="F754" s="87"/>
      <c r="G754" s="87"/>
      <c r="H754" s="87"/>
      <c r="I754" s="87"/>
      <c r="J754" s="2"/>
      <c r="K754" s="2"/>
      <c r="L754" s="94" t="str">
        <f>IF(B754="","", VLOOKUP(B754,RM!$C$4:$G984,10,FALSE))</f>
        <v/>
      </c>
      <c r="M754" s="94" t="str">
        <f>IF(B754="","", VLOOKUP(B754,RM!$C$4:$G984,11,FALSE))</f>
        <v/>
      </c>
      <c r="N754" s="95" t="str">
        <f>IF(B754="","", VLOOKUP(B754,RM!$C$4:$G984,12,FALSE))</f>
        <v/>
      </c>
    </row>
    <row r="755" spans="1:14">
      <c r="A755" s="87" t="str">
        <f t="shared" si="2"/>
        <v/>
      </c>
      <c r="B755" s="2"/>
      <c r="C755" s="87"/>
      <c r="D755" s="87"/>
      <c r="E755" s="87"/>
      <c r="F755" s="87"/>
      <c r="G755" s="87"/>
      <c r="H755" s="87"/>
      <c r="I755" s="87"/>
      <c r="J755" s="2"/>
      <c r="K755" s="2"/>
      <c r="L755" s="94" t="str">
        <f>IF(B755="","", VLOOKUP(B755,RM!$C$4:$G984,10,FALSE))</f>
        <v/>
      </c>
      <c r="M755" s="94" t="str">
        <f>IF(B755="","", VLOOKUP(B755,RM!$C$4:$G984,11,FALSE))</f>
        <v/>
      </c>
      <c r="N755" s="95" t="str">
        <f>IF(B755="","", VLOOKUP(B755,RM!$C$4:$G984,12,FALSE))</f>
        <v/>
      </c>
    </row>
    <row r="756" spans="1:14">
      <c r="A756" s="87" t="str">
        <f t="shared" si="2"/>
        <v/>
      </c>
      <c r="B756" s="2"/>
      <c r="C756" s="87"/>
      <c r="D756" s="87"/>
      <c r="E756" s="87"/>
      <c r="F756" s="87"/>
      <c r="G756" s="87"/>
      <c r="H756" s="87"/>
      <c r="I756" s="87"/>
      <c r="J756" s="2"/>
      <c r="K756" s="2"/>
      <c r="L756" s="94" t="str">
        <f>IF(B756="","", VLOOKUP(B756,RM!$C$4:$G984,10,FALSE))</f>
        <v/>
      </c>
      <c r="M756" s="94" t="str">
        <f>IF(B756="","", VLOOKUP(B756,RM!$C$4:$G984,11,FALSE))</f>
        <v/>
      </c>
      <c r="N756" s="95" t="str">
        <f>IF(B756="","", VLOOKUP(B756,RM!$C$4:$G984,12,FALSE))</f>
        <v/>
      </c>
    </row>
    <row r="757" spans="1:14">
      <c r="A757" s="87" t="str">
        <f t="shared" si="2"/>
        <v/>
      </c>
      <c r="B757" s="2"/>
      <c r="C757" s="87"/>
      <c r="D757" s="87"/>
      <c r="E757" s="87"/>
      <c r="F757" s="87"/>
      <c r="G757" s="87"/>
      <c r="H757" s="87"/>
      <c r="I757" s="87"/>
      <c r="J757" s="2"/>
      <c r="K757" s="2"/>
      <c r="L757" s="94" t="str">
        <f>IF(B757="","", VLOOKUP(B757,RM!$C$4:$G984,10,FALSE))</f>
        <v/>
      </c>
      <c r="M757" s="94" t="str">
        <f>IF(B757="","", VLOOKUP(B757,RM!$C$4:$G984,11,FALSE))</f>
        <v/>
      </c>
      <c r="N757" s="95" t="str">
        <f>IF(B757="","", VLOOKUP(B757,RM!$C$4:$G984,12,FALSE))</f>
        <v/>
      </c>
    </row>
    <row r="758" spans="1:14">
      <c r="A758" s="87" t="str">
        <f t="shared" si="2"/>
        <v/>
      </c>
      <c r="B758" s="2"/>
      <c r="C758" s="87"/>
      <c r="D758" s="87"/>
      <c r="E758" s="87"/>
      <c r="F758" s="87"/>
      <c r="G758" s="87"/>
      <c r="H758" s="87"/>
      <c r="I758" s="87"/>
      <c r="J758" s="2"/>
      <c r="K758" s="2"/>
      <c r="L758" s="94" t="str">
        <f>IF(B758="","", VLOOKUP(B758,RM!$C$4:$G984,10,FALSE))</f>
        <v/>
      </c>
      <c r="M758" s="94" t="str">
        <f>IF(B758="","", VLOOKUP(B758,RM!$C$4:$G984,11,FALSE))</f>
        <v/>
      </c>
      <c r="N758" s="95" t="str">
        <f>IF(B758="","", VLOOKUP(B758,RM!$C$4:$G984,12,FALSE))</f>
        <v/>
      </c>
    </row>
    <row r="759" spans="1:14">
      <c r="A759" s="87" t="str">
        <f t="shared" si="2"/>
        <v/>
      </c>
      <c r="B759" s="2"/>
      <c r="C759" s="87"/>
      <c r="D759" s="87"/>
      <c r="E759" s="87"/>
      <c r="F759" s="87"/>
      <c r="G759" s="87"/>
      <c r="H759" s="87"/>
      <c r="I759" s="87"/>
      <c r="J759" s="2"/>
      <c r="K759" s="2"/>
      <c r="L759" s="94" t="str">
        <f>IF(B759="","", VLOOKUP(B759,RM!$C$4:$G984,10,FALSE))</f>
        <v/>
      </c>
      <c r="M759" s="94" t="str">
        <f>IF(B759="","", VLOOKUP(B759,RM!$C$4:$G984,11,FALSE))</f>
        <v/>
      </c>
      <c r="N759" s="95" t="str">
        <f>IF(B759="","", VLOOKUP(B759,RM!$C$4:$G984,12,FALSE))</f>
        <v/>
      </c>
    </row>
    <row r="760" spans="1:14">
      <c r="A760" s="87" t="str">
        <f t="shared" si="2"/>
        <v/>
      </c>
      <c r="B760" s="2"/>
      <c r="C760" s="87"/>
      <c r="D760" s="87"/>
      <c r="E760" s="87"/>
      <c r="F760" s="87"/>
      <c r="G760" s="87"/>
      <c r="H760" s="87"/>
      <c r="I760" s="87"/>
      <c r="J760" s="2"/>
      <c r="K760" s="2"/>
      <c r="L760" s="94" t="str">
        <f>IF(B760="","", VLOOKUP(B760,RM!$C$4:$G984,10,FALSE))</f>
        <v/>
      </c>
      <c r="M760" s="94" t="str">
        <f>IF(B760="","", VLOOKUP(B760,RM!$C$4:$G984,11,FALSE))</f>
        <v/>
      </c>
      <c r="N760" s="95" t="str">
        <f>IF(B760="","", VLOOKUP(B760,RM!$C$4:$G984,12,FALSE))</f>
        <v/>
      </c>
    </row>
    <row r="761" spans="1:14">
      <c r="A761" s="87" t="str">
        <f t="shared" si="2"/>
        <v/>
      </c>
      <c r="B761" s="2"/>
      <c r="C761" s="87"/>
      <c r="D761" s="87"/>
      <c r="E761" s="87"/>
      <c r="F761" s="87"/>
      <c r="G761" s="87"/>
      <c r="H761" s="87"/>
      <c r="I761" s="87"/>
      <c r="J761" s="2"/>
      <c r="K761" s="2"/>
      <c r="L761" s="94" t="str">
        <f>IF(B761="","", VLOOKUP(B761,RM!$C$4:$G984,10,FALSE))</f>
        <v/>
      </c>
      <c r="M761" s="94" t="str">
        <f>IF(B761="","", VLOOKUP(B761,RM!$C$4:$G984,11,FALSE))</f>
        <v/>
      </c>
      <c r="N761" s="95" t="str">
        <f>IF(B761="","", VLOOKUP(B761,RM!$C$4:$G984,12,FALSE))</f>
        <v/>
      </c>
    </row>
    <row r="762" spans="1:14">
      <c r="A762" s="87" t="str">
        <f t="shared" si="2"/>
        <v/>
      </c>
      <c r="B762" s="2"/>
      <c r="C762" s="87"/>
      <c r="D762" s="87"/>
      <c r="E762" s="87"/>
      <c r="F762" s="87"/>
      <c r="G762" s="87"/>
      <c r="H762" s="87"/>
      <c r="I762" s="87"/>
      <c r="J762" s="2"/>
      <c r="K762" s="2"/>
      <c r="L762" s="94" t="str">
        <f>IF(B762="","", VLOOKUP(B762,RM!$C$4:$G984,10,FALSE))</f>
        <v/>
      </c>
      <c r="M762" s="94" t="str">
        <f>IF(B762="","", VLOOKUP(B762,RM!$C$4:$G984,11,FALSE))</f>
        <v/>
      </c>
      <c r="N762" s="95" t="str">
        <f>IF(B762="","", VLOOKUP(B762,RM!$C$4:$G984,12,FALSE))</f>
        <v/>
      </c>
    </row>
    <row r="763" spans="1:14">
      <c r="A763" s="87" t="str">
        <f t="shared" si="2"/>
        <v/>
      </c>
      <c r="B763" s="2"/>
      <c r="C763" s="87"/>
      <c r="D763" s="87"/>
      <c r="E763" s="87"/>
      <c r="F763" s="87"/>
      <c r="G763" s="87"/>
      <c r="H763" s="87"/>
      <c r="I763" s="87"/>
      <c r="J763" s="2"/>
      <c r="K763" s="2"/>
      <c r="L763" s="94" t="str">
        <f>IF(B763="","", VLOOKUP(B763,RM!$C$4:$G984,10,FALSE))</f>
        <v/>
      </c>
      <c r="M763" s="94" t="str">
        <f>IF(B763="","", VLOOKUP(B763,RM!$C$4:$G984,11,FALSE))</f>
        <v/>
      </c>
      <c r="N763" s="95" t="str">
        <f>IF(B763="","", VLOOKUP(B763,RM!$C$4:$G984,12,FALSE))</f>
        <v/>
      </c>
    </row>
    <row r="764" spans="1:14">
      <c r="A764" s="87" t="str">
        <f t="shared" si="2"/>
        <v/>
      </c>
      <c r="B764" s="2"/>
      <c r="C764" s="87"/>
      <c r="D764" s="87"/>
      <c r="E764" s="87"/>
      <c r="F764" s="87"/>
      <c r="G764" s="87"/>
      <c r="H764" s="87"/>
      <c r="I764" s="87"/>
      <c r="J764" s="2"/>
      <c r="K764" s="2"/>
      <c r="L764" s="94" t="str">
        <f>IF(B764="","", VLOOKUP(B764,RM!$C$4:$G984,10,FALSE))</f>
        <v/>
      </c>
      <c r="M764" s="94" t="str">
        <f>IF(B764="","", VLOOKUP(B764,RM!$C$4:$G984,11,FALSE))</f>
        <v/>
      </c>
      <c r="N764" s="95" t="str">
        <f>IF(B764="","", VLOOKUP(B764,RM!$C$4:$G984,12,FALSE))</f>
        <v/>
      </c>
    </row>
    <row r="765" spans="1:14">
      <c r="A765" s="87" t="str">
        <f t="shared" si="2"/>
        <v/>
      </c>
      <c r="B765" s="2"/>
      <c r="C765" s="87"/>
      <c r="D765" s="87"/>
      <c r="E765" s="87"/>
      <c r="F765" s="87"/>
      <c r="G765" s="87"/>
      <c r="H765" s="87"/>
      <c r="I765" s="87"/>
      <c r="J765" s="2"/>
      <c r="K765" s="2"/>
      <c r="L765" s="94" t="str">
        <f>IF(B765="","", VLOOKUP(B765,RM!$C$4:$G984,10,FALSE))</f>
        <v/>
      </c>
      <c r="M765" s="94" t="str">
        <f>IF(B765="","", VLOOKUP(B765,RM!$C$4:$G984,11,FALSE))</f>
        <v/>
      </c>
      <c r="N765" s="95" t="str">
        <f>IF(B765="","", VLOOKUP(B765,RM!$C$4:$G984,12,FALSE))</f>
        <v/>
      </c>
    </row>
    <row r="766" spans="1:14">
      <c r="A766" s="87" t="str">
        <f t="shared" si="2"/>
        <v/>
      </c>
      <c r="B766" s="2"/>
      <c r="C766" s="87"/>
      <c r="D766" s="87"/>
      <c r="E766" s="87"/>
      <c r="F766" s="87"/>
      <c r="G766" s="87"/>
      <c r="H766" s="87"/>
      <c r="I766" s="87"/>
      <c r="J766" s="2"/>
      <c r="K766" s="2"/>
      <c r="L766" s="94" t="str">
        <f>IF(B766="","", VLOOKUP(B766,RM!$C$4:$G984,10,FALSE))</f>
        <v/>
      </c>
      <c r="M766" s="94" t="str">
        <f>IF(B766="","", VLOOKUP(B766,RM!$C$4:$G984,11,FALSE))</f>
        <v/>
      </c>
      <c r="N766" s="95" t="str">
        <f>IF(B766="","", VLOOKUP(B766,RM!$C$4:$G984,12,FALSE))</f>
        <v/>
      </c>
    </row>
    <row r="767" spans="1:14">
      <c r="A767" s="87" t="str">
        <f t="shared" si="2"/>
        <v/>
      </c>
      <c r="B767" s="2"/>
      <c r="C767" s="87"/>
      <c r="D767" s="87"/>
      <c r="E767" s="87"/>
      <c r="F767" s="87"/>
      <c r="G767" s="87"/>
      <c r="H767" s="87"/>
      <c r="I767" s="87"/>
      <c r="J767" s="2"/>
      <c r="K767" s="2"/>
      <c r="L767" s="94" t="str">
        <f>IF(B767="","", VLOOKUP(B767,RM!$C$4:$G984,10,FALSE))</f>
        <v/>
      </c>
      <c r="M767" s="94" t="str">
        <f>IF(B767="","", VLOOKUP(B767,RM!$C$4:$G984,11,FALSE))</f>
        <v/>
      </c>
      <c r="N767" s="95" t="str">
        <f>IF(B767="","", VLOOKUP(B767,RM!$C$4:$G984,12,FALSE))</f>
        <v/>
      </c>
    </row>
    <row r="768" spans="1:14">
      <c r="A768" s="87" t="str">
        <f t="shared" si="2"/>
        <v/>
      </c>
      <c r="B768" s="2"/>
      <c r="C768" s="87"/>
      <c r="D768" s="87"/>
      <c r="E768" s="87"/>
      <c r="F768" s="87"/>
      <c r="G768" s="87"/>
      <c r="H768" s="87"/>
      <c r="I768" s="87"/>
      <c r="J768" s="2"/>
      <c r="K768" s="2"/>
      <c r="L768" s="94" t="str">
        <f>IF(B768="","", VLOOKUP(B768,RM!$C$4:$G984,10,FALSE))</f>
        <v/>
      </c>
      <c r="M768" s="94" t="str">
        <f>IF(B768="","", VLOOKUP(B768,RM!$C$4:$G984,11,FALSE))</f>
        <v/>
      </c>
      <c r="N768" s="95" t="str">
        <f>IF(B768="","", VLOOKUP(B768,RM!$C$4:$G984,12,FALSE))</f>
        <v/>
      </c>
    </row>
    <row r="769" spans="1:14">
      <c r="A769" s="87" t="str">
        <f t="shared" ref="A769:A994" si="3">IF(B769="","",ROW()-3)</f>
        <v/>
      </c>
      <c r="B769" s="2"/>
      <c r="C769" s="87"/>
      <c r="D769" s="87"/>
      <c r="E769" s="87"/>
      <c r="F769" s="87"/>
      <c r="G769" s="87"/>
      <c r="H769" s="87"/>
      <c r="I769" s="87"/>
      <c r="J769" s="2"/>
      <c r="K769" s="2"/>
      <c r="L769" s="94" t="str">
        <f>IF(B769="","", VLOOKUP(B769,RM!$C$4:$G984,10,FALSE))</f>
        <v/>
      </c>
      <c r="M769" s="94" t="str">
        <f>IF(B769="","", VLOOKUP(B769,RM!$C$4:$G984,11,FALSE))</f>
        <v/>
      </c>
      <c r="N769" s="95" t="str">
        <f>IF(B769="","", VLOOKUP(B769,RM!$C$4:$G984,12,FALSE))</f>
        <v/>
      </c>
    </row>
    <row r="770" spans="1:14">
      <c r="A770" s="87" t="str">
        <f t="shared" si="3"/>
        <v/>
      </c>
      <c r="B770" s="2"/>
      <c r="C770" s="87"/>
      <c r="D770" s="87"/>
      <c r="E770" s="87"/>
      <c r="F770" s="87"/>
      <c r="G770" s="87"/>
      <c r="H770" s="87"/>
      <c r="I770" s="87"/>
      <c r="J770" s="2"/>
      <c r="K770" s="2"/>
      <c r="L770" s="94" t="str">
        <f>IF(B770="","", VLOOKUP(B770,RM!$C$4:$G984,10,FALSE))</f>
        <v/>
      </c>
      <c r="M770" s="94" t="str">
        <f>IF(B770="","", VLOOKUP(B770,RM!$C$4:$G984,11,FALSE))</f>
        <v/>
      </c>
      <c r="N770" s="95" t="str">
        <f>IF(B770="","", VLOOKUP(B770,RM!$C$4:$G984,12,FALSE))</f>
        <v/>
      </c>
    </row>
    <row r="771" spans="1:14">
      <c r="A771" s="87" t="str">
        <f t="shared" si="3"/>
        <v/>
      </c>
      <c r="B771" s="2"/>
      <c r="C771" s="87"/>
      <c r="D771" s="87"/>
      <c r="E771" s="87"/>
      <c r="F771" s="87"/>
      <c r="G771" s="87"/>
      <c r="H771" s="87"/>
      <c r="I771" s="87"/>
      <c r="J771" s="2"/>
      <c r="K771" s="2"/>
      <c r="L771" s="94" t="str">
        <f>IF(B771="","", VLOOKUP(B771,RM!$C$4:$G984,10,FALSE))</f>
        <v/>
      </c>
      <c r="M771" s="94" t="str">
        <f>IF(B771="","", VLOOKUP(B771,RM!$C$4:$G984,11,FALSE))</f>
        <v/>
      </c>
      <c r="N771" s="95" t="str">
        <f>IF(B771="","", VLOOKUP(B771,RM!$C$4:$G984,12,FALSE))</f>
        <v/>
      </c>
    </row>
    <row r="772" spans="1:14">
      <c r="A772" s="87" t="str">
        <f t="shared" si="3"/>
        <v/>
      </c>
      <c r="B772" s="2"/>
      <c r="C772" s="87"/>
      <c r="D772" s="87"/>
      <c r="E772" s="87"/>
      <c r="F772" s="87"/>
      <c r="G772" s="87"/>
      <c r="H772" s="87"/>
      <c r="I772" s="87"/>
      <c r="J772" s="2"/>
      <c r="K772" s="2"/>
      <c r="L772" s="94" t="str">
        <f>IF(B772="","", VLOOKUP(B772,RM!$C$4:$G984,10,FALSE))</f>
        <v/>
      </c>
      <c r="M772" s="94" t="str">
        <f>IF(B772="","", VLOOKUP(B772,RM!$C$4:$G984,11,FALSE))</f>
        <v/>
      </c>
      <c r="N772" s="95" t="str">
        <f>IF(B772="","", VLOOKUP(B772,RM!$C$4:$G984,12,FALSE))</f>
        <v/>
      </c>
    </row>
    <row r="773" spans="1:14">
      <c r="A773" s="87" t="str">
        <f t="shared" si="3"/>
        <v/>
      </c>
      <c r="B773" s="2"/>
      <c r="C773" s="87"/>
      <c r="D773" s="87"/>
      <c r="E773" s="87"/>
      <c r="F773" s="87"/>
      <c r="G773" s="87"/>
      <c r="H773" s="87"/>
      <c r="I773" s="87"/>
      <c r="J773" s="2"/>
      <c r="K773" s="2"/>
      <c r="L773" s="94" t="str">
        <f>IF(B773="","", VLOOKUP(B773,RM!$C$4:$G984,10,FALSE))</f>
        <v/>
      </c>
      <c r="M773" s="94" t="str">
        <f>IF(B773="","", VLOOKUP(B773,RM!$C$4:$G984,11,FALSE))</f>
        <v/>
      </c>
      <c r="N773" s="95" t="str">
        <f>IF(B773="","", VLOOKUP(B773,RM!$C$4:$G984,12,FALSE))</f>
        <v/>
      </c>
    </row>
    <row r="774" spans="1:14">
      <c r="A774" s="87" t="str">
        <f t="shared" si="3"/>
        <v/>
      </c>
      <c r="B774" s="2"/>
      <c r="C774" s="87"/>
      <c r="D774" s="87"/>
      <c r="E774" s="87"/>
      <c r="F774" s="87"/>
      <c r="G774" s="87"/>
      <c r="H774" s="87"/>
      <c r="I774" s="87"/>
      <c r="J774" s="2"/>
      <c r="K774" s="2"/>
      <c r="L774" s="94" t="str">
        <f>IF(B774="","", VLOOKUP(B774,RM!$C$4:$G984,10,FALSE))</f>
        <v/>
      </c>
      <c r="M774" s="94" t="str">
        <f>IF(B774="","", VLOOKUP(B774,RM!$C$4:$G984,11,FALSE))</f>
        <v/>
      </c>
      <c r="N774" s="95" t="str">
        <f>IF(B774="","", VLOOKUP(B774,RM!$C$4:$G984,12,FALSE))</f>
        <v/>
      </c>
    </row>
    <row r="775" spans="1:14">
      <c r="A775" s="87" t="str">
        <f t="shared" si="3"/>
        <v/>
      </c>
      <c r="B775" s="2"/>
      <c r="C775" s="87"/>
      <c r="D775" s="87"/>
      <c r="E775" s="87"/>
      <c r="F775" s="87"/>
      <c r="G775" s="87"/>
      <c r="H775" s="87"/>
      <c r="I775" s="87"/>
      <c r="J775" s="2"/>
      <c r="K775" s="2"/>
      <c r="L775" s="94" t="str">
        <f>IF(B775="","", VLOOKUP(B775,RM!$C$4:$G984,10,FALSE))</f>
        <v/>
      </c>
      <c r="M775" s="94" t="str">
        <f>IF(B775="","", VLOOKUP(B775,RM!$C$4:$G984,11,FALSE))</f>
        <v/>
      </c>
      <c r="N775" s="95" t="str">
        <f>IF(B775="","", VLOOKUP(B775,RM!$C$4:$G984,12,FALSE))</f>
        <v/>
      </c>
    </row>
    <row r="776" spans="1:14">
      <c r="A776" s="87" t="str">
        <f t="shared" si="3"/>
        <v/>
      </c>
      <c r="B776" s="2"/>
      <c r="C776" s="87"/>
      <c r="D776" s="87"/>
      <c r="E776" s="87"/>
      <c r="F776" s="87"/>
      <c r="G776" s="87"/>
      <c r="H776" s="87"/>
      <c r="I776" s="87"/>
      <c r="J776" s="2"/>
      <c r="K776" s="2"/>
      <c r="L776" s="94" t="str">
        <f>IF(B776="","", VLOOKUP(B776,RM!$C$4:$G984,10,FALSE))</f>
        <v/>
      </c>
      <c r="M776" s="94" t="str">
        <f>IF(B776="","", VLOOKUP(B776,RM!$C$4:$G984,11,FALSE))</f>
        <v/>
      </c>
      <c r="N776" s="95" t="str">
        <f>IF(B776="","", VLOOKUP(B776,RM!$C$4:$G984,12,FALSE))</f>
        <v/>
      </c>
    </row>
    <row r="777" spans="1:14">
      <c r="A777" s="87" t="str">
        <f t="shared" si="3"/>
        <v/>
      </c>
      <c r="B777" s="2"/>
      <c r="C777" s="87"/>
      <c r="D777" s="87"/>
      <c r="E777" s="87"/>
      <c r="F777" s="87"/>
      <c r="G777" s="87"/>
      <c r="H777" s="87"/>
      <c r="I777" s="87"/>
      <c r="J777" s="2"/>
      <c r="K777" s="2"/>
      <c r="L777" s="94" t="str">
        <f>IF(B777="","", VLOOKUP(B777,RM!$C$4:$G984,10,FALSE))</f>
        <v/>
      </c>
      <c r="M777" s="94" t="str">
        <f>IF(B777="","", VLOOKUP(B777,RM!$C$4:$G984,11,FALSE))</f>
        <v/>
      </c>
      <c r="N777" s="95" t="str">
        <f>IF(B777="","", VLOOKUP(B777,RM!$C$4:$G984,12,FALSE))</f>
        <v/>
      </c>
    </row>
    <row r="778" spans="1:14">
      <c r="A778" s="87" t="str">
        <f t="shared" si="3"/>
        <v/>
      </c>
      <c r="B778" s="2"/>
      <c r="C778" s="87"/>
      <c r="D778" s="87"/>
      <c r="E778" s="87"/>
      <c r="F778" s="87"/>
      <c r="G778" s="87"/>
      <c r="H778" s="87"/>
      <c r="I778" s="87"/>
      <c r="J778" s="2"/>
      <c r="K778" s="2"/>
      <c r="L778" s="94" t="str">
        <f>IF(B778="","", VLOOKUP(B778,RM!$C$4:$G984,10,FALSE))</f>
        <v/>
      </c>
      <c r="M778" s="94" t="str">
        <f>IF(B778="","", VLOOKUP(B778,RM!$C$4:$G984,11,FALSE))</f>
        <v/>
      </c>
      <c r="N778" s="95" t="str">
        <f>IF(B778="","", VLOOKUP(B778,RM!$C$4:$G984,12,FALSE))</f>
        <v/>
      </c>
    </row>
    <row r="779" spans="1:14">
      <c r="A779" s="87" t="str">
        <f t="shared" si="3"/>
        <v/>
      </c>
      <c r="B779" s="2"/>
      <c r="C779" s="87"/>
      <c r="D779" s="87"/>
      <c r="E779" s="87"/>
      <c r="F779" s="87"/>
      <c r="G779" s="87"/>
      <c r="H779" s="87"/>
      <c r="I779" s="87"/>
      <c r="J779" s="2"/>
      <c r="K779" s="2"/>
      <c r="L779" s="94" t="str">
        <f>IF(B779="","", VLOOKUP(B779,RM!$C$4:$G984,10,FALSE))</f>
        <v/>
      </c>
      <c r="M779" s="94" t="str">
        <f>IF(B779="","", VLOOKUP(B779,RM!$C$4:$G984,11,FALSE))</f>
        <v/>
      </c>
      <c r="N779" s="95" t="str">
        <f>IF(B779="","", VLOOKUP(B779,RM!$C$4:$G984,12,FALSE))</f>
        <v/>
      </c>
    </row>
    <row r="780" spans="1:14">
      <c r="A780" s="87" t="str">
        <f t="shared" si="3"/>
        <v/>
      </c>
      <c r="B780" s="2"/>
      <c r="C780" s="87"/>
      <c r="D780" s="87"/>
      <c r="E780" s="87"/>
      <c r="F780" s="87"/>
      <c r="G780" s="87"/>
      <c r="H780" s="87"/>
      <c r="I780" s="87"/>
      <c r="J780" s="2"/>
      <c r="K780" s="2"/>
      <c r="L780" s="94" t="str">
        <f>IF(B780="","", VLOOKUP(B780,RM!$C$4:$G984,10,FALSE))</f>
        <v/>
      </c>
      <c r="M780" s="94" t="str">
        <f>IF(B780="","", VLOOKUP(B780,RM!$C$4:$G984,11,FALSE))</f>
        <v/>
      </c>
      <c r="N780" s="95" t="str">
        <f>IF(B780="","", VLOOKUP(B780,RM!$C$4:$G984,12,FALSE))</f>
        <v/>
      </c>
    </row>
    <row r="781" spans="1:14">
      <c r="A781" s="87" t="str">
        <f t="shared" si="3"/>
        <v/>
      </c>
      <c r="B781" s="2"/>
      <c r="C781" s="87"/>
      <c r="D781" s="87"/>
      <c r="E781" s="87"/>
      <c r="F781" s="87"/>
      <c r="G781" s="87"/>
      <c r="H781" s="87"/>
      <c r="I781" s="87"/>
      <c r="J781" s="2"/>
      <c r="K781" s="2"/>
      <c r="L781" s="94" t="str">
        <f>IF(B781="","", VLOOKUP(B781,RM!$C$4:$G984,10,FALSE))</f>
        <v/>
      </c>
      <c r="M781" s="94" t="str">
        <f>IF(B781="","", VLOOKUP(B781,RM!$C$4:$G984,11,FALSE))</f>
        <v/>
      </c>
      <c r="N781" s="95" t="str">
        <f>IF(B781="","", VLOOKUP(B781,RM!$C$4:$G984,12,FALSE))</f>
        <v/>
      </c>
    </row>
    <row r="782" spans="1:14">
      <c r="A782" s="87" t="str">
        <f t="shared" si="3"/>
        <v/>
      </c>
      <c r="B782" s="2"/>
      <c r="C782" s="87"/>
      <c r="D782" s="87"/>
      <c r="E782" s="87"/>
      <c r="F782" s="87"/>
      <c r="G782" s="87"/>
      <c r="H782" s="87"/>
      <c r="I782" s="87"/>
      <c r="J782" s="2"/>
      <c r="K782" s="2"/>
      <c r="L782" s="94" t="str">
        <f>IF(B782="","", VLOOKUP(B782,RM!$C$4:$G984,10,FALSE))</f>
        <v/>
      </c>
      <c r="M782" s="94" t="str">
        <f>IF(B782="","", VLOOKUP(B782,RM!$C$4:$G984,11,FALSE))</f>
        <v/>
      </c>
      <c r="N782" s="95" t="str">
        <f>IF(B782="","", VLOOKUP(B782,RM!$C$4:$G984,12,FALSE))</f>
        <v/>
      </c>
    </row>
    <row r="783" spans="1:14">
      <c r="A783" s="87" t="str">
        <f t="shared" si="3"/>
        <v/>
      </c>
      <c r="B783" s="2"/>
      <c r="C783" s="87"/>
      <c r="D783" s="87"/>
      <c r="E783" s="87"/>
      <c r="F783" s="87"/>
      <c r="G783" s="87"/>
      <c r="H783" s="87"/>
      <c r="I783" s="87"/>
      <c r="J783" s="2"/>
      <c r="K783" s="2"/>
      <c r="L783" s="94" t="str">
        <f>IF(B783="","", VLOOKUP(B783,RM!$C$4:$G984,10,FALSE))</f>
        <v/>
      </c>
      <c r="M783" s="94" t="str">
        <f>IF(B783="","", VLOOKUP(B783,RM!$C$4:$G984,11,FALSE))</f>
        <v/>
      </c>
      <c r="N783" s="95" t="str">
        <f>IF(B783="","", VLOOKUP(B783,RM!$C$4:$G984,12,FALSE))</f>
        <v/>
      </c>
    </row>
    <row r="784" spans="1:14">
      <c r="A784" s="87" t="str">
        <f t="shared" si="3"/>
        <v/>
      </c>
      <c r="B784" s="2"/>
      <c r="C784" s="87"/>
      <c r="D784" s="87"/>
      <c r="E784" s="87"/>
      <c r="F784" s="87"/>
      <c r="G784" s="87"/>
      <c r="H784" s="87"/>
      <c r="I784" s="87"/>
      <c r="J784" s="2"/>
      <c r="K784" s="2"/>
      <c r="L784" s="94" t="str">
        <f>IF(B784="","", VLOOKUP(B784,RM!$C$4:$G984,10,FALSE))</f>
        <v/>
      </c>
      <c r="M784" s="94" t="str">
        <f>IF(B784="","", VLOOKUP(B784,RM!$C$4:$G984,11,FALSE))</f>
        <v/>
      </c>
      <c r="N784" s="95" t="str">
        <f>IF(B784="","", VLOOKUP(B784,RM!$C$4:$G984,12,FALSE))</f>
        <v/>
      </c>
    </row>
    <row r="785" spans="1:14">
      <c r="A785" s="87" t="str">
        <f t="shared" si="3"/>
        <v/>
      </c>
      <c r="B785" s="2"/>
      <c r="C785" s="87"/>
      <c r="D785" s="87"/>
      <c r="E785" s="87"/>
      <c r="F785" s="87"/>
      <c r="G785" s="87"/>
      <c r="H785" s="87"/>
      <c r="I785" s="87"/>
      <c r="J785" s="2"/>
      <c r="K785" s="2"/>
      <c r="L785" s="94" t="str">
        <f>IF(B785="","", VLOOKUP(B785,RM!$C$4:$G984,10,FALSE))</f>
        <v/>
      </c>
      <c r="M785" s="94" t="str">
        <f>IF(B785="","", VLOOKUP(B785,RM!$C$4:$G984,11,FALSE))</f>
        <v/>
      </c>
      <c r="N785" s="95" t="str">
        <f>IF(B785="","", VLOOKUP(B785,RM!$C$4:$G984,12,FALSE))</f>
        <v/>
      </c>
    </row>
    <row r="786" spans="1:14">
      <c r="A786" s="87" t="str">
        <f t="shared" si="3"/>
        <v/>
      </c>
      <c r="B786" s="2"/>
      <c r="C786" s="87"/>
      <c r="D786" s="87"/>
      <c r="E786" s="87"/>
      <c r="F786" s="87"/>
      <c r="G786" s="87"/>
      <c r="H786" s="87"/>
      <c r="I786" s="87"/>
      <c r="J786" s="2"/>
      <c r="K786" s="2"/>
      <c r="L786" s="94" t="str">
        <f>IF(B786="","", VLOOKUP(B786,RM!$C$4:$G984,10,FALSE))</f>
        <v/>
      </c>
      <c r="M786" s="94" t="str">
        <f>IF(B786="","", VLOOKUP(B786,RM!$C$4:$G984,11,FALSE))</f>
        <v/>
      </c>
      <c r="N786" s="95" t="str">
        <f>IF(B786="","", VLOOKUP(B786,RM!$C$4:$G984,12,FALSE))</f>
        <v/>
      </c>
    </row>
    <row r="787" spans="1:14">
      <c r="A787" s="87" t="str">
        <f t="shared" si="3"/>
        <v/>
      </c>
      <c r="B787" s="2"/>
      <c r="C787" s="87"/>
      <c r="D787" s="87"/>
      <c r="E787" s="87"/>
      <c r="F787" s="87"/>
      <c r="G787" s="87"/>
      <c r="H787" s="87"/>
      <c r="I787" s="87"/>
      <c r="J787" s="2"/>
      <c r="K787" s="2"/>
      <c r="L787" s="94" t="str">
        <f>IF(B787="","", VLOOKUP(B787,RM!$C$4:$G984,10,FALSE))</f>
        <v/>
      </c>
      <c r="M787" s="94" t="str">
        <f>IF(B787="","", VLOOKUP(B787,RM!$C$4:$G984,11,FALSE))</f>
        <v/>
      </c>
      <c r="N787" s="95" t="str">
        <f>IF(B787="","", VLOOKUP(B787,RM!$C$4:$G984,12,FALSE))</f>
        <v/>
      </c>
    </row>
    <row r="788" spans="1:14">
      <c r="A788" s="87" t="str">
        <f t="shared" si="3"/>
        <v/>
      </c>
      <c r="B788" s="2"/>
      <c r="C788" s="87"/>
      <c r="D788" s="87"/>
      <c r="E788" s="87"/>
      <c r="F788" s="87"/>
      <c r="G788" s="87"/>
      <c r="H788" s="87"/>
      <c r="I788" s="87"/>
      <c r="J788" s="2"/>
      <c r="K788" s="2"/>
      <c r="L788" s="94" t="str">
        <f>IF(B788="","", VLOOKUP(B788,RM!$C$4:$G984,10,FALSE))</f>
        <v/>
      </c>
      <c r="M788" s="94" t="str">
        <f>IF(B788="","", VLOOKUP(B788,RM!$C$4:$G984,11,FALSE))</f>
        <v/>
      </c>
      <c r="N788" s="95" t="str">
        <f>IF(B788="","", VLOOKUP(B788,RM!$C$4:$G984,12,FALSE))</f>
        <v/>
      </c>
    </row>
    <row r="789" spans="1:14">
      <c r="A789" s="87" t="str">
        <f t="shared" si="3"/>
        <v/>
      </c>
      <c r="B789" s="2"/>
      <c r="C789" s="87"/>
      <c r="D789" s="87"/>
      <c r="E789" s="87"/>
      <c r="F789" s="87"/>
      <c r="G789" s="87"/>
      <c r="H789" s="87"/>
      <c r="I789" s="87"/>
      <c r="J789" s="2"/>
      <c r="K789" s="2"/>
      <c r="L789" s="94" t="str">
        <f>IF(B789="","", VLOOKUP(B789,RM!$C$4:$G984,10,FALSE))</f>
        <v/>
      </c>
      <c r="M789" s="94" t="str">
        <f>IF(B789="","", VLOOKUP(B789,RM!$C$4:$G984,11,FALSE))</f>
        <v/>
      </c>
      <c r="N789" s="95" t="str">
        <f>IF(B789="","", VLOOKUP(B789,RM!$C$4:$G984,12,FALSE))</f>
        <v/>
      </c>
    </row>
    <row r="790" spans="1:14">
      <c r="A790" s="87" t="str">
        <f t="shared" si="3"/>
        <v/>
      </c>
      <c r="B790" s="2"/>
      <c r="C790" s="87"/>
      <c r="D790" s="87"/>
      <c r="E790" s="87"/>
      <c r="F790" s="87"/>
      <c r="G790" s="87"/>
      <c r="H790" s="87"/>
      <c r="I790" s="87"/>
      <c r="J790" s="2"/>
      <c r="K790" s="2"/>
      <c r="L790" s="94" t="str">
        <f>IF(B790="","", VLOOKUP(B790,RM!$C$4:$G984,10,FALSE))</f>
        <v/>
      </c>
      <c r="M790" s="94" t="str">
        <f>IF(B790="","", VLOOKUP(B790,RM!$C$4:$G984,11,FALSE))</f>
        <v/>
      </c>
      <c r="N790" s="95" t="str">
        <f>IF(B790="","", VLOOKUP(B790,RM!$C$4:$G984,12,FALSE))</f>
        <v/>
      </c>
    </row>
    <row r="791" spans="1:14">
      <c r="A791" s="87" t="str">
        <f t="shared" si="3"/>
        <v/>
      </c>
      <c r="B791" s="2"/>
      <c r="C791" s="87"/>
      <c r="D791" s="87"/>
      <c r="E791" s="87"/>
      <c r="F791" s="87"/>
      <c r="G791" s="87"/>
      <c r="H791" s="87"/>
      <c r="I791" s="87"/>
      <c r="J791" s="2"/>
      <c r="K791" s="2"/>
      <c r="L791" s="94" t="str">
        <f>IF(B791="","", VLOOKUP(B791,RM!$C$4:$G984,10,FALSE))</f>
        <v/>
      </c>
      <c r="M791" s="94" t="str">
        <f>IF(B791="","", VLOOKUP(B791,RM!$C$4:$G984,11,FALSE))</f>
        <v/>
      </c>
      <c r="N791" s="95" t="str">
        <f>IF(B791="","", VLOOKUP(B791,RM!$C$4:$G984,12,FALSE))</f>
        <v/>
      </c>
    </row>
    <row r="792" spans="1:14">
      <c r="A792" s="87" t="str">
        <f t="shared" si="3"/>
        <v/>
      </c>
      <c r="B792" s="2"/>
      <c r="C792" s="87"/>
      <c r="D792" s="87"/>
      <c r="E792" s="87"/>
      <c r="F792" s="87"/>
      <c r="G792" s="87"/>
      <c r="H792" s="87"/>
      <c r="I792" s="87"/>
      <c r="J792" s="2"/>
      <c r="K792" s="2"/>
      <c r="L792" s="94" t="str">
        <f>IF(B792="","", VLOOKUP(B792,RM!$C$4:$G984,10,FALSE))</f>
        <v/>
      </c>
      <c r="M792" s="94" t="str">
        <f>IF(B792="","", VLOOKUP(B792,RM!$C$4:$G984,11,FALSE))</f>
        <v/>
      </c>
      <c r="N792" s="95" t="str">
        <f>IF(B792="","", VLOOKUP(B792,RM!$C$4:$G984,12,FALSE))</f>
        <v/>
      </c>
    </row>
    <row r="793" spans="1:14">
      <c r="A793" s="87" t="str">
        <f t="shared" si="3"/>
        <v/>
      </c>
      <c r="B793" s="2"/>
      <c r="C793" s="87"/>
      <c r="D793" s="87"/>
      <c r="E793" s="87"/>
      <c r="F793" s="87"/>
      <c r="G793" s="87"/>
      <c r="H793" s="87"/>
      <c r="I793" s="87"/>
      <c r="J793" s="2"/>
      <c r="K793" s="2"/>
      <c r="L793" s="94" t="str">
        <f>IF(B793="","", VLOOKUP(B793,RM!$C$4:$G984,10,FALSE))</f>
        <v/>
      </c>
      <c r="M793" s="94" t="str">
        <f>IF(B793="","", VLOOKUP(B793,RM!$C$4:$G984,11,FALSE))</f>
        <v/>
      </c>
      <c r="N793" s="95" t="str">
        <f>IF(B793="","", VLOOKUP(B793,RM!$C$4:$G984,12,FALSE))</f>
        <v/>
      </c>
    </row>
    <row r="794" spans="1:14">
      <c r="A794" s="87" t="str">
        <f t="shared" si="3"/>
        <v/>
      </c>
      <c r="B794" s="2"/>
      <c r="C794" s="87"/>
      <c r="D794" s="87"/>
      <c r="E794" s="87"/>
      <c r="F794" s="87"/>
      <c r="G794" s="87"/>
      <c r="H794" s="87"/>
      <c r="I794" s="87"/>
      <c r="J794" s="2"/>
      <c r="K794" s="2"/>
      <c r="L794" s="94" t="str">
        <f>IF(B794="","", VLOOKUP(B794,RM!$C$4:$G984,10,FALSE))</f>
        <v/>
      </c>
      <c r="M794" s="94" t="str">
        <f>IF(B794="","", VLOOKUP(B794,RM!$C$4:$G984,11,FALSE))</f>
        <v/>
      </c>
      <c r="N794" s="95" t="str">
        <f>IF(B794="","", VLOOKUP(B794,RM!$C$4:$G984,12,FALSE))</f>
        <v/>
      </c>
    </row>
    <row r="795" spans="1:14">
      <c r="A795" s="87" t="str">
        <f t="shared" si="3"/>
        <v/>
      </c>
      <c r="B795" s="2"/>
      <c r="C795" s="87"/>
      <c r="D795" s="87"/>
      <c r="E795" s="87"/>
      <c r="F795" s="87"/>
      <c r="G795" s="87"/>
      <c r="H795" s="87"/>
      <c r="I795" s="87"/>
      <c r="J795" s="2"/>
      <c r="K795" s="2"/>
      <c r="L795" s="94" t="str">
        <f>IF(B795="","", VLOOKUP(B795,RM!$C$4:$G984,10,FALSE))</f>
        <v/>
      </c>
      <c r="M795" s="94" t="str">
        <f>IF(B795="","", VLOOKUP(B795,RM!$C$4:$G984,11,FALSE))</f>
        <v/>
      </c>
      <c r="N795" s="95" t="str">
        <f>IF(B795="","", VLOOKUP(B795,RM!$C$4:$G984,12,FALSE))</f>
        <v/>
      </c>
    </row>
    <row r="796" spans="1:14">
      <c r="A796" s="87" t="str">
        <f t="shared" si="3"/>
        <v/>
      </c>
      <c r="B796" s="2"/>
      <c r="C796" s="87"/>
      <c r="D796" s="87"/>
      <c r="E796" s="87"/>
      <c r="F796" s="87"/>
      <c r="G796" s="87"/>
      <c r="H796" s="87"/>
      <c r="I796" s="87"/>
      <c r="J796" s="2"/>
      <c r="K796" s="2"/>
      <c r="L796" s="94" t="str">
        <f>IF(B796="","", VLOOKUP(B796,RM!$C$4:$G984,10,FALSE))</f>
        <v/>
      </c>
      <c r="M796" s="94" t="str">
        <f>IF(B796="","", VLOOKUP(B796,RM!$C$4:$G984,11,FALSE))</f>
        <v/>
      </c>
      <c r="N796" s="95" t="str">
        <f>IF(B796="","", VLOOKUP(B796,RM!$C$4:$G984,12,FALSE))</f>
        <v/>
      </c>
    </row>
    <row r="797" spans="1:14">
      <c r="A797" s="87" t="str">
        <f t="shared" si="3"/>
        <v/>
      </c>
      <c r="B797" s="2"/>
      <c r="C797" s="87"/>
      <c r="D797" s="87"/>
      <c r="E797" s="87"/>
      <c r="F797" s="87"/>
      <c r="G797" s="87"/>
      <c r="H797" s="87"/>
      <c r="I797" s="87"/>
      <c r="J797" s="2"/>
      <c r="K797" s="2"/>
      <c r="L797" s="94" t="str">
        <f>IF(B797="","", VLOOKUP(B797,RM!$C$4:$G984,10,FALSE))</f>
        <v/>
      </c>
      <c r="M797" s="94" t="str">
        <f>IF(B797="","", VLOOKUP(B797,RM!$C$4:$G984,11,FALSE))</f>
        <v/>
      </c>
      <c r="N797" s="95" t="str">
        <f>IF(B797="","", VLOOKUP(B797,RM!$C$4:$G984,12,FALSE))</f>
        <v/>
      </c>
    </row>
    <row r="798" spans="1:14">
      <c r="A798" s="87" t="str">
        <f t="shared" si="3"/>
        <v/>
      </c>
      <c r="B798" s="2"/>
      <c r="C798" s="87"/>
      <c r="D798" s="87"/>
      <c r="E798" s="87"/>
      <c r="F798" s="87"/>
      <c r="G798" s="87"/>
      <c r="H798" s="87"/>
      <c r="I798" s="87"/>
      <c r="J798" s="2"/>
      <c r="K798" s="2"/>
      <c r="L798" s="94" t="str">
        <f>IF(B798="","", VLOOKUP(B798,RM!$C$4:$G984,10,FALSE))</f>
        <v/>
      </c>
      <c r="M798" s="94" t="str">
        <f>IF(B798="","", VLOOKUP(B798,RM!$C$4:$G984,11,FALSE))</f>
        <v/>
      </c>
      <c r="N798" s="95" t="str">
        <f>IF(B798="","", VLOOKUP(B798,RM!$C$4:$G984,12,FALSE))</f>
        <v/>
      </c>
    </row>
    <row r="799" spans="1:14">
      <c r="A799" s="87" t="str">
        <f t="shared" si="3"/>
        <v/>
      </c>
      <c r="B799" s="2"/>
      <c r="C799" s="87"/>
      <c r="D799" s="87"/>
      <c r="E799" s="87"/>
      <c r="F799" s="87"/>
      <c r="G799" s="87"/>
      <c r="H799" s="87"/>
      <c r="I799" s="87"/>
      <c r="J799" s="2"/>
      <c r="K799" s="2"/>
      <c r="L799" s="94" t="str">
        <f>IF(B799="","", VLOOKUP(B799,RM!$C$4:$G984,10,FALSE))</f>
        <v/>
      </c>
      <c r="M799" s="94" t="str">
        <f>IF(B799="","", VLOOKUP(B799,RM!$C$4:$G984,11,FALSE))</f>
        <v/>
      </c>
      <c r="N799" s="95" t="str">
        <f>IF(B799="","", VLOOKUP(B799,RM!$C$4:$G984,12,FALSE))</f>
        <v/>
      </c>
    </row>
    <row r="800" spans="1:14">
      <c r="A800" s="87" t="str">
        <f t="shared" si="3"/>
        <v/>
      </c>
      <c r="B800" s="2"/>
      <c r="C800" s="87"/>
      <c r="D800" s="87"/>
      <c r="E800" s="87"/>
      <c r="F800" s="87"/>
      <c r="G800" s="87"/>
      <c r="H800" s="87"/>
      <c r="I800" s="87"/>
      <c r="J800" s="2"/>
      <c r="K800" s="2"/>
      <c r="L800" s="94" t="str">
        <f>IF(B800="","", VLOOKUP(B800,RM!$C$4:$G984,10,FALSE))</f>
        <v/>
      </c>
      <c r="M800" s="94" t="str">
        <f>IF(B800="","", VLOOKUP(B800,RM!$C$4:$G984,11,FALSE))</f>
        <v/>
      </c>
      <c r="N800" s="95" t="str">
        <f>IF(B800="","", VLOOKUP(B800,RM!$C$4:$G984,12,FALSE))</f>
        <v/>
      </c>
    </row>
    <row r="801" spans="1:14">
      <c r="A801" s="87" t="str">
        <f t="shared" si="3"/>
        <v/>
      </c>
      <c r="B801" s="2"/>
      <c r="C801" s="87"/>
      <c r="D801" s="87"/>
      <c r="E801" s="87"/>
      <c r="F801" s="87"/>
      <c r="G801" s="87"/>
      <c r="H801" s="87"/>
      <c r="I801" s="87"/>
      <c r="J801" s="2"/>
      <c r="K801" s="2"/>
      <c r="L801" s="94" t="str">
        <f>IF(B801="","", VLOOKUP(B801,RM!$C$4:$G984,10,FALSE))</f>
        <v/>
      </c>
      <c r="M801" s="94" t="str">
        <f>IF(B801="","", VLOOKUP(B801,RM!$C$4:$G984,11,FALSE))</f>
        <v/>
      </c>
      <c r="N801" s="95" t="str">
        <f>IF(B801="","", VLOOKUP(B801,RM!$C$4:$G984,12,FALSE))</f>
        <v/>
      </c>
    </row>
    <row r="802" spans="1:14">
      <c r="A802" s="87" t="str">
        <f t="shared" si="3"/>
        <v/>
      </c>
      <c r="B802" s="2"/>
      <c r="C802" s="87"/>
      <c r="D802" s="87"/>
      <c r="E802" s="87"/>
      <c r="F802" s="87"/>
      <c r="G802" s="87"/>
      <c r="H802" s="87"/>
      <c r="I802" s="87"/>
      <c r="J802" s="2"/>
      <c r="K802" s="2"/>
      <c r="L802" s="94" t="str">
        <f>IF(B802="","", VLOOKUP(B802,RM!$C$4:$G984,10,FALSE))</f>
        <v/>
      </c>
      <c r="M802" s="94" t="str">
        <f>IF(B802="","", VLOOKUP(B802,RM!$C$4:$G984,11,FALSE))</f>
        <v/>
      </c>
      <c r="N802" s="95" t="str">
        <f>IF(B802="","", VLOOKUP(B802,RM!$C$4:$G984,12,FALSE))</f>
        <v/>
      </c>
    </row>
    <row r="803" spans="1:14">
      <c r="A803" s="87" t="str">
        <f t="shared" si="3"/>
        <v/>
      </c>
      <c r="B803" s="2"/>
      <c r="C803" s="87"/>
      <c r="D803" s="87"/>
      <c r="E803" s="87"/>
      <c r="F803" s="87"/>
      <c r="G803" s="87"/>
      <c r="H803" s="87"/>
      <c r="I803" s="87"/>
      <c r="J803" s="2"/>
      <c r="K803" s="2"/>
      <c r="L803" s="94" t="str">
        <f>IF(B803="","", VLOOKUP(B803,RM!$C$4:$G984,10,FALSE))</f>
        <v/>
      </c>
      <c r="M803" s="94" t="str">
        <f>IF(B803="","", VLOOKUP(B803,RM!$C$4:$G984,11,FALSE))</f>
        <v/>
      </c>
      <c r="N803" s="95" t="str">
        <f>IF(B803="","", VLOOKUP(B803,RM!$C$4:$G984,12,FALSE))</f>
        <v/>
      </c>
    </row>
    <row r="804" spans="1:14">
      <c r="A804" s="87" t="str">
        <f t="shared" si="3"/>
        <v/>
      </c>
      <c r="B804" s="2"/>
      <c r="C804" s="87"/>
      <c r="D804" s="87"/>
      <c r="E804" s="87"/>
      <c r="F804" s="87"/>
      <c r="G804" s="87"/>
      <c r="H804" s="87"/>
      <c r="I804" s="87"/>
      <c r="J804" s="2"/>
      <c r="K804" s="2"/>
      <c r="L804" s="94" t="str">
        <f>IF(B804="","", VLOOKUP(B804,RM!$C$4:$G984,10,FALSE))</f>
        <v/>
      </c>
      <c r="M804" s="94" t="str">
        <f>IF(B804="","", VLOOKUP(B804,RM!$C$4:$G984,11,FALSE))</f>
        <v/>
      </c>
      <c r="N804" s="95" t="str">
        <f>IF(B804="","", VLOOKUP(B804,RM!$C$4:$G984,12,FALSE))</f>
        <v/>
      </c>
    </row>
    <row r="805" spans="1:14">
      <c r="A805" s="87" t="str">
        <f t="shared" si="3"/>
        <v/>
      </c>
      <c r="B805" s="2"/>
      <c r="C805" s="87"/>
      <c r="D805" s="87"/>
      <c r="E805" s="87"/>
      <c r="F805" s="87"/>
      <c r="G805" s="87"/>
      <c r="H805" s="87"/>
      <c r="I805" s="87"/>
      <c r="J805" s="2"/>
      <c r="K805" s="2"/>
      <c r="L805" s="94" t="str">
        <f>IF(B805="","", VLOOKUP(B805,RM!$C$4:$G984,10,FALSE))</f>
        <v/>
      </c>
      <c r="M805" s="94" t="str">
        <f>IF(B805="","", VLOOKUP(B805,RM!$C$4:$G984,11,FALSE))</f>
        <v/>
      </c>
      <c r="N805" s="95" t="str">
        <f>IF(B805="","", VLOOKUP(B805,RM!$C$4:$G984,12,FALSE))</f>
        <v/>
      </c>
    </row>
    <row r="806" spans="1:14">
      <c r="A806" s="87" t="str">
        <f t="shared" si="3"/>
        <v/>
      </c>
      <c r="B806" s="2"/>
      <c r="C806" s="87"/>
      <c r="D806" s="87"/>
      <c r="E806" s="87"/>
      <c r="F806" s="87"/>
      <c r="G806" s="87"/>
      <c r="H806" s="87"/>
      <c r="I806" s="87"/>
      <c r="J806" s="2"/>
      <c r="K806" s="2"/>
      <c r="L806" s="94" t="str">
        <f>IF(B806="","", VLOOKUP(B806,RM!$C$4:$G984,10,FALSE))</f>
        <v/>
      </c>
      <c r="M806" s="94" t="str">
        <f>IF(B806="","", VLOOKUP(B806,RM!$C$4:$G984,11,FALSE))</f>
        <v/>
      </c>
      <c r="N806" s="95" t="str">
        <f>IF(B806="","", VLOOKUP(B806,RM!$C$4:$G984,12,FALSE))</f>
        <v/>
      </c>
    </row>
    <row r="807" spans="1:14">
      <c r="A807" s="87" t="str">
        <f t="shared" si="3"/>
        <v/>
      </c>
      <c r="B807" s="2"/>
      <c r="C807" s="87"/>
      <c r="D807" s="87"/>
      <c r="E807" s="87"/>
      <c r="F807" s="87"/>
      <c r="G807" s="87"/>
      <c r="H807" s="87"/>
      <c r="I807" s="87"/>
      <c r="J807" s="2"/>
      <c r="K807" s="2"/>
      <c r="L807" s="94" t="str">
        <f>IF(B807="","", VLOOKUP(B807,RM!$C$4:$G984,10,FALSE))</f>
        <v/>
      </c>
      <c r="M807" s="94" t="str">
        <f>IF(B807="","", VLOOKUP(B807,RM!$C$4:$G984,11,FALSE))</f>
        <v/>
      </c>
      <c r="N807" s="95" t="str">
        <f>IF(B807="","", VLOOKUP(B807,RM!$C$4:$G984,12,FALSE))</f>
        <v/>
      </c>
    </row>
    <row r="808" spans="1:14">
      <c r="A808" s="87" t="str">
        <f t="shared" si="3"/>
        <v/>
      </c>
      <c r="B808" s="2"/>
      <c r="C808" s="87"/>
      <c r="D808" s="87"/>
      <c r="E808" s="87"/>
      <c r="F808" s="87"/>
      <c r="G808" s="87"/>
      <c r="H808" s="87"/>
      <c r="I808" s="87"/>
      <c r="J808" s="2"/>
      <c r="K808" s="2"/>
      <c r="L808" s="94" t="str">
        <f>IF(B808="","", VLOOKUP(B808,RM!$C$4:$G984,10,FALSE))</f>
        <v/>
      </c>
      <c r="M808" s="94" t="str">
        <f>IF(B808="","", VLOOKUP(B808,RM!$C$4:$G984,11,FALSE))</f>
        <v/>
      </c>
      <c r="N808" s="95" t="str">
        <f>IF(B808="","", VLOOKUP(B808,RM!$C$4:$G984,12,FALSE))</f>
        <v/>
      </c>
    </row>
    <row r="809" spans="1:14">
      <c r="A809" s="87" t="str">
        <f t="shared" si="3"/>
        <v/>
      </c>
      <c r="B809" s="2"/>
      <c r="C809" s="87"/>
      <c r="D809" s="87"/>
      <c r="E809" s="87"/>
      <c r="F809" s="87"/>
      <c r="G809" s="87"/>
      <c r="H809" s="87"/>
      <c r="I809" s="87"/>
      <c r="J809" s="2"/>
      <c r="K809" s="2"/>
      <c r="L809" s="94" t="str">
        <f>IF(B809="","", VLOOKUP(B809,RM!$C$4:$G984,10,FALSE))</f>
        <v/>
      </c>
      <c r="M809" s="94" t="str">
        <f>IF(B809="","", VLOOKUP(B809,RM!$C$4:$G984,11,FALSE))</f>
        <v/>
      </c>
      <c r="N809" s="95" t="str">
        <f>IF(B809="","", VLOOKUP(B809,RM!$C$4:$G984,12,FALSE))</f>
        <v/>
      </c>
    </row>
    <row r="810" spans="1:14">
      <c r="A810" s="87" t="str">
        <f t="shared" si="3"/>
        <v/>
      </c>
      <c r="B810" s="2"/>
      <c r="C810" s="87"/>
      <c r="D810" s="87"/>
      <c r="E810" s="87"/>
      <c r="F810" s="87"/>
      <c r="G810" s="87"/>
      <c r="H810" s="87"/>
      <c r="I810" s="87"/>
      <c r="J810" s="2"/>
      <c r="K810" s="2"/>
      <c r="L810" s="94" t="str">
        <f>IF(B810="","", VLOOKUP(B810,RM!$C$4:$G984,10,FALSE))</f>
        <v/>
      </c>
      <c r="M810" s="94" t="str">
        <f>IF(B810="","", VLOOKUP(B810,RM!$C$4:$G984,11,FALSE))</f>
        <v/>
      </c>
      <c r="N810" s="95" t="str">
        <f>IF(B810="","", VLOOKUP(B810,RM!$C$4:$G984,12,FALSE))</f>
        <v/>
      </c>
    </row>
    <row r="811" spans="1:14">
      <c r="A811" s="87" t="str">
        <f t="shared" si="3"/>
        <v/>
      </c>
      <c r="B811" s="2"/>
      <c r="C811" s="87"/>
      <c r="D811" s="87"/>
      <c r="E811" s="87"/>
      <c r="F811" s="87"/>
      <c r="G811" s="87"/>
      <c r="H811" s="87"/>
      <c r="I811" s="87"/>
      <c r="J811" s="2"/>
      <c r="K811" s="2"/>
      <c r="L811" s="94" t="str">
        <f>IF(B811="","", VLOOKUP(B811,RM!$C$4:$G984,10,FALSE))</f>
        <v/>
      </c>
      <c r="M811" s="94" t="str">
        <f>IF(B811="","", VLOOKUP(B811,RM!$C$4:$G984,11,FALSE))</f>
        <v/>
      </c>
      <c r="N811" s="95" t="str">
        <f>IF(B811="","", VLOOKUP(B811,RM!$C$4:$G984,12,FALSE))</f>
        <v/>
      </c>
    </row>
    <row r="812" spans="1:14">
      <c r="A812" s="87" t="str">
        <f t="shared" si="3"/>
        <v/>
      </c>
      <c r="B812" s="2"/>
      <c r="C812" s="87"/>
      <c r="D812" s="87"/>
      <c r="E812" s="87"/>
      <c r="F812" s="87"/>
      <c r="G812" s="87"/>
      <c r="H812" s="87"/>
      <c r="I812" s="87"/>
      <c r="J812" s="2"/>
      <c r="K812" s="2"/>
      <c r="L812" s="94" t="str">
        <f>IF(B812="","", VLOOKUP(B812,RM!$C$4:$G984,10,FALSE))</f>
        <v/>
      </c>
      <c r="M812" s="94" t="str">
        <f>IF(B812="","", VLOOKUP(B812,RM!$C$4:$G984,11,FALSE))</f>
        <v/>
      </c>
      <c r="N812" s="95" t="str">
        <f>IF(B812="","", VLOOKUP(B812,RM!$C$4:$G984,12,FALSE))</f>
        <v/>
      </c>
    </row>
    <row r="813" spans="1:14">
      <c r="A813" s="87" t="str">
        <f t="shared" si="3"/>
        <v/>
      </c>
      <c r="B813" s="2"/>
      <c r="C813" s="87"/>
      <c r="D813" s="87"/>
      <c r="E813" s="87"/>
      <c r="F813" s="87"/>
      <c r="G813" s="87"/>
      <c r="H813" s="87"/>
      <c r="I813" s="87"/>
      <c r="J813" s="2"/>
      <c r="K813" s="2"/>
      <c r="L813" s="94" t="str">
        <f>IF(B813="","", VLOOKUP(B813,RM!$C$4:$G984,10,FALSE))</f>
        <v/>
      </c>
      <c r="M813" s="94" t="str">
        <f>IF(B813="","", VLOOKUP(B813,RM!$C$4:$G984,11,FALSE))</f>
        <v/>
      </c>
      <c r="N813" s="95" t="str">
        <f>IF(B813="","", VLOOKUP(B813,RM!$C$4:$G984,12,FALSE))</f>
        <v/>
      </c>
    </row>
    <row r="814" spans="1:14">
      <c r="A814" s="87" t="str">
        <f t="shared" si="3"/>
        <v/>
      </c>
      <c r="B814" s="2"/>
      <c r="C814" s="87"/>
      <c r="D814" s="87"/>
      <c r="E814" s="87"/>
      <c r="F814" s="87"/>
      <c r="G814" s="87"/>
      <c r="H814" s="87"/>
      <c r="I814" s="87"/>
      <c r="J814" s="2"/>
      <c r="K814" s="2"/>
      <c r="L814" s="94" t="str">
        <f>IF(B814="","", VLOOKUP(B814,RM!$C$4:$G984,10,FALSE))</f>
        <v/>
      </c>
      <c r="M814" s="94" t="str">
        <f>IF(B814="","", VLOOKUP(B814,RM!$C$4:$G984,11,FALSE))</f>
        <v/>
      </c>
      <c r="N814" s="95" t="str">
        <f>IF(B814="","", VLOOKUP(B814,RM!$C$4:$G984,12,FALSE))</f>
        <v/>
      </c>
    </row>
    <row r="815" spans="1:14">
      <c r="A815" s="87" t="str">
        <f t="shared" si="3"/>
        <v/>
      </c>
      <c r="B815" s="2"/>
      <c r="C815" s="87"/>
      <c r="D815" s="87"/>
      <c r="E815" s="87"/>
      <c r="F815" s="87"/>
      <c r="G815" s="87"/>
      <c r="H815" s="87"/>
      <c r="I815" s="87"/>
      <c r="J815" s="2"/>
      <c r="K815" s="2"/>
      <c r="L815" s="94" t="str">
        <f>IF(B815="","", VLOOKUP(B815,RM!$C$4:$G984,10,FALSE))</f>
        <v/>
      </c>
      <c r="M815" s="94" t="str">
        <f>IF(B815="","", VLOOKUP(B815,RM!$C$4:$G984,11,FALSE))</f>
        <v/>
      </c>
      <c r="N815" s="95" t="str">
        <f>IF(B815="","", VLOOKUP(B815,RM!$C$4:$G984,12,FALSE))</f>
        <v/>
      </c>
    </row>
    <row r="816" spans="1:14">
      <c r="A816" s="87" t="str">
        <f t="shared" si="3"/>
        <v/>
      </c>
      <c r="B816" s="2"/>
      <c r="C816" s="87"/>
      <c r="D816" s="87"/>
      <c r="E816" s="87"/>
      <c r="F816" s="87"/>
      <c r="G816" s="87"/>
      <c r="H816" s="87"/>
      <c r="I816" s="87"/>
      <c r="J816" s="2"/>
      <c r="K816" s="2"/>
      <c r="L816" s="94" t="str">
        <f>IF(B816="","", VLOOKUP(B816,RM!$C$4:$G984,10,FALSE))</f>
        <v/>
      </c>
      <c r="M816" s="94" t="str">
        <f>IF(B816="","", VLOOKUP(B816,RM!$C$4:$G984,11,FALSE))</f>
        <v/>
      </c>
      <c r="N816" s="95" t="str">
        <f>IF(B816="","", VLOOKUP(B816,RM!$C$4:$G984,12,FALSE))</f>
        <v/>
      </c>
    </row>
    <row r="817" spans="1:14">
      <c r="A817" s="87" t="str">
        <f t="shared" si="3"/>
        <v/>
      </c>
      <c r="B817" s="2"/>
      <c r="C817" s="87"/>
      <c r="D817" s="87"/>
      <c r="E817" s="87"/>
      <c r="F817" s="87"/>
      <c r="G817" s="87"/>
      <c r="H817" s="87"/>
      <c r="I817" s="87"/>
      <c r="J817" s="2"/>
      <c r="K817" s="2"/>
      <c r="L817" s="94" t="str">
        <f>IF(B817="","", VLOOKUP(B817,RM!$C$4:$G984,10,FALSE))</f>
        <v/>
      </c>
      <c r="M817" s="94" t="str">
        <f>IF(B817="","", VLOOKUP(B817,RM!$C$4:$G984,11,FALSE))</f>
        <v/>
      </c>
      <c r="N817" s="95" t="str">
        <f>IF(B817="","", VLOOKUP(B817,RM!$C$4:$G984,12,FALSE))</f>
        <v/>
      </c>
    </row>
    <row r="818" spans="1:14">
      <c r="A818" s="87" t="str">
        <f t="shared" si="3"/>
        <v/>
      </c>
      <c r="B818" s="2"/>
      <c r="C818" s="87"/>
      <c r="D818" s="87"/>
      <c r="E818" s="87"/>
      <c r="F818" s="87"/>
      <c r="G818" s="87"/>
      <c r="H818" s="87"/>
      <c r="I818" s="87"/>
      <c r="J818" s="2"/>
      <c r="K818" s="2"/>
      <c r="L818" s="94" t="str">
        <f>IF(B818="","", VLOOKUP(B818,RM!$C$4:$G984,10,FALSE))</f>
        <v/>
      </c>
      <c r="M818" s="94" t="str">
        <f>IF(B818="","", VLOOKUP(B818,RM!$C$4:$G984,11,FALSE))</f>
        <v/>
      </c>
      <c r="N818" s="95" t="str">
        <f>IF(B818="","", VLOOKUP(B818,RM!$C$4:$G984,12,FALSE))</f>
        <v/>
      </c>
    </row>
    <row r="819" spans="1:14">
      <c r="A819" s="87" t="str">
        <f t="shared" si="3"/>
        <v/>
      </c>
      <c r="B819" s="2"/>
      <c r="C819" s="87"/>
      <c r="D819" s="87"/>
      <c r="E819" s="87"/>
      <c r="F819" s="87"/>
      <c r="G819" s="87"/>
      <c r="H819" s="87"/>
      <c r="I819" s="87"/>
      <c r="J819" s="2"/>
      <c r="K819" s="2"/>
      <c r="L819" s="94" t="str">
        <f>IF(B819="","", VLOOKUP(B819,RM!$C$4:$G984,10,FALSE))</f>
        <v/>
      </c>
      <c r="M819" s="94" t="str">
        <f>IF(B819="","", VLOOKUP(B819,RM!$C$4:$G984,11,FALSE))</f>
        <v/>
      </c>
      <c r="N819" s="95" t="str">
        <f>IF(B819="","", VLOOKUP(B819,RM!$C$4:$G984,12,FALSE))</f>
        <v/>
      </c>
    </row>
    <row r="820" spans="1:14">
      <c r="A820" s="87" t="str">
        <f t="shared" si="3"/>
        <v/>
      </c>
      <c r="B820" s="2"/>
      <c r="C820" s="87"/>
      <c r="D820" s="87"/>
      <c r="E820" s="87"/>
      <c r="F820" s="87"/>
      <c r="G820" s="87"/>
      <c r="H820" s="87"/>
      <c r="I820" s="87"/>
      <c r="J820" s="2"/>
      <c r="K820" s="2"/>
      <c r="L820" s="94" t="str">
        <f>IF(B820="","", VLOOKUP(B820,RM!$C$4:$G984,10,FALSE))</f>
        <v/>
      </c>
      <c r="M820" s="94" t="str">
        <f>IF(B820="","", VLOOKUP(B820,RM!$C$4:$G984,11,FALSE))</f>
        <v/>
      </c>
      <c r="N820" s="95" t="str">
        <f>IF(B820="","", VLOOKUP(B820,RM!$C$4:$G984,12,FALSE))</f>
        <v/>
      </c>
    </row>
    <row r="821" spans="1:14">
      <c r="A821" s="87" t="str">
        <f t="shared" si="3"/>
        <v/>
      </c>
      <c r="B821" s="2"/>
      <c r="C821" s="87"/>
      <c r="D821" s="87"/>
      <c r="E821" s="87"/>
      <c r="F821" s="87"/>
      <c r="G821" s="87"/>
      <c r="H821" s="87"/>
      <c r="I821" s="87"/>
      <c r="J821" s="2"/>
      <c r="K821" s="2"/>
      <c r="L821" s="94" t="str">
        <f>IF(B821="","", VLOOKUP(B821,RM!$C$4:$G984,10,FALSE))</f>
        <v/>
      </c>
      <c r="M821" s="94" t="str">
        <f>IF(B821="","", VLOOKUP(B821,RM!$C$4:$G984,11,FALSE))</f>
        <v/>
      </c>
      <c r="N821" s="95" t="str">
        <f>IF(B821="","", VLOOKUP(B821,RM!$C$4:$G984,12,FALSE))</f>
        <v/>
      </c>
    </row>
    <row r="822" spans="1:14">
      <c r="A822" s="87" t="str">
        <f t="shared" si="3"/>
        <v/>
      </c>
      <c r="B822" s="2"/>
      <c r="C822" s="87"/>
      <c r="D822" s="87"/>
      <c r="E822" s="87"/>
      <c r="F822" s="87"/>
      <c r="G822" s="87"/>
      <c r="H822" s="87"/>
      <c r="I822" s="87"/>
      <c r="J822" s="2"/>
      <c r="K822" s="2"/>
      <c r="L822" s="94" t="str">
        <f>IF(B822="","", VLOOKUP(B822,RM!$C$4:$G984,10,FALSE))</f>
        <v/>
      </c>
      <c r="M822" s="94" t="str">
        <f>IF(B822="","", VLOOKUP(B822,RM!$C$4:$G984,11,FALSE))</f>
        <v/>
      </c>
      <c r="N822" s="95" t="str">
        <f>IF(B822="","", VLOOKUP(B822,RM!$C$4:$G984,12,FALSE))</f>
        <v/>
      </c>
    </row>
    <row r="823" spans="1:14">
      <c r="A823" s="87" t="str">
        <f t="shared" si="3"/>
        <v/>
      </c>
      <c r="B823" s="2"/>
      <c r="C823" s="87"/>
      <c r="D823" s="87"/>
      <c r="E823" s="87"/>
      <c r="F823" s="87"/>
      <c r="G823" s="87"/>
      <c r="H823" s="87"/>
      <c r="I823" s="87"/>
      <c r="J823" s="2"/>
      <c r="K823" s="2"/>
      <c r="L823" s="94" t="str">
        <f>IF(B823="","", VLOOKUP(B823,RM!$C$4:$G984,10,FALSE))</f>
        <v/>
      </c>
      <c r="M823" s="94" t="str">
        <f>IF(B823="","", VLOOKUP(B823,RM!$C$4:$G984,11,FALSE))</f>
        <v/>
      </c>
      <c r="N823" s="95" t="str">
        <f>IF(B823="","", VLOOKUP(B823,RM!$C$4:$G984,12,FALSE))</f>
        <v/>
      </c>
    </row>
    <row r="824" spans="1:14">
      <c r="A824" s="87" t="str">
        <f t="shared" si="3"/>
        <v/>
      </c>
      <c r="B824" s="2"/>
      <c r="C824" s="87"/>
      <c r="D824" s="87"/>
      <c r="E824" s="87"/>
      <c r="F824" s="87"/>
      <c r="G824" s="87"/>
      <c r="H824" s="87"/>
      <c r="I824" s="87"/>
      <c r="J824" s="2"/>
      <c r="K824" s="2"/>
      <c r="L824" s="94" t="str">
        <f>IF(B824="","", VLOOKUP(B824,RM!$C$4:$G984,10,FALSE))</f>
        <v/>
      </c>
      <c r="M824" s="94" t="str">
        <f>IF(B824="","", VLOOKUP(B824,RM!$C$4:$G984,11,FALSE))</f>
        <v/>
      </c>
      <c r="N824" s="95" t="str">
        <f>IF(B824="","", VLOOKUP(B824,RM!$C$4:$G984,12,FALSE))</f>
        <v/>
      </c>
    </row>
    <row r="825" spans="1:14">
      <c r="A825" s="87" t="str">
        <f t="shared" si="3"/>
        <v/>
      </c>
      <c r="B825" s="2"/>
      <c r="C825" s="87"/>
      <c r="D825" s="87"/>
      <c r="E825" s="87"/>
      <c r="F825" s="87"/>
      <c r="G825" s="87"/>
      <c r="H825" s="87"/>
      <c r="I825" s="87"/>
      <c r="J825" s="2"/>
      <c r="K825" s="2"/>
      <c r="L825" s="94" t="str">
        <f>IF(B825="","", VLOOKUP(B825,RM!$C$4:$G984,10,FALSE))</f>
        <v/>
      </c>
      <c r="M825" s="94" t="str">
        <f>IF(B825="","", VLOOKUP(B825,RM!$C$4:$G984,11,FALSE))</f>
        <v/>
      </c>
      <c r="N825" s="95" t="str">
        <f>IF(B825="","", VLOOKUP(B825,RM!$C$4:$G984,12,FALSE))</f>
        <v/>
      </c>
    </row>
    <row r="826" spans="1:14">
      <c r="A826" s="87" t="str">
        <f t="shared" si="3"/>
        <v/>
      </c>
      <c r="B826" s="2"/>
      <c r="C826" s="87"/>
      <c r="D826" s="87"/>
      <c r="E826" s="87"/>
      <c r="F826" s="87"/>
      <c r="G826" s="87"/>
      <c r="H826" s="87"/>
      <c r="I826" s="87"/>
      <c r="J826" s="2"/>
      <c r="K826" s="2"/>
      <c r="L826" s="94" t="str">
        <f>IF(B826="","", VLOOKUP(B826,RM!$C$4:$G984,10,FALSE))</f>
        <v/>
      </c>
      <c r="M826" s="94" t="str">
        <f>IF(B826="","", VLOOKUP(B826,RM!$C$4:$G984,11,FALSE))</f>
        <v/>
      </c>
      <c r="N826" s="95" t="str">
        <f>IF(B826="","", VLOOKUP(B826,RM!$C$4:$G984,12,FALSE))</f>
        <v/>
      </c>
    </row>
    <row r="827" spans="1:14">
      <c r="A827" s="87" t="str">
        <f t="shared" si="3"/>
        <v/>
      </c>
      <c r="B827" s="2"/>
      <c r="C827" s="87"/>
      <c r="D827" s="87"/>
      <c r="E827" s="87"/>
      <c r="F827" s="87"/>
      <c r="G827" s="87"/>
      <c r="H827" s="87"/>
      <c r="I827" s="87"/>
      <c r="J827" s="2"/>
      <c r="K827" s="2"/>
      <c r="L827" s="94" t="str">
        <f>IF(B827="","", VLOOKUP(B827,RM!$C$4:$G984,10,FALSE))</f>
        <v/>
      </c>
      <c r="M827" s="94" t="str">
        <f>IF(B827="","", VLOOKUP(B827,RM!$C$4:$G984,11,FALSE))</f>
        <v/>
      </c>
      <c r="N827" s="95" t="str">
        <f>IF(B827="","", VLOOKUP(B827,RM!$C$4:$G984,12,FALSE))</f>
        <v/>
      </c>
    </row>
    <row r="828" spans="1:14">
      <c r="A828" s="87" t="str">
        <f t="shared" si="3"/>
        <v/>
      </c>
      <c r="B828" s="2"/>
      <c r="C828" s="87"/>
      <c r="D828" s="87"/>
      <c r="E828" s="87"/>
      <c r="F828" s="87"/>
      <c r="G828" s="87"/>
      <c r="H828" s="87"/>
      <c r="I828" s="87"/>
      <c r="J828" s="2"/>
      <c r="K828" s="2"/>
      <c r="L828" s="94" t="str">
        <f>IF(B828="","", VLOOKUP(B828,RM!$C$4:$G984,10,FALSE))</f>
        <v/>
      </c>
      <c r="M828" s="94" t="str">
        <f>IF(B828="","", VLOOKUP(B828,RM!$C$4:$G984,11,FALSE))</f>
        <v/>
      </c>
      <c r="N828" s="95" t="str">
        <f>IF(B828="","", VLOOKUP(B828,RM!$C$4:$G984,12,FALSE))</f>
        <v/>
      </c>
    </row>
    <row r="829" spans="1:14">
      <c r="A829" s="87" t="str">
        <f t="shared" si="3"/>
        <v/>
      </c>
      <c r="B829" s="2"/>
      <c r="C829" s="87"/>
      <c r="D829" s="87"/>
      <c r="E829" s="87"/>
      <c r="F829" s="87"/>
      <c r="G829" s="87"/>
      <c r="H829" s="87"/>
      <c r="I829" s="87"/>
      <c r="J829" s="2"/>
      <c r="K829" s="2"/>
      <c r="L829" s="94" t="str">
        <f>IF(B829="","", VLOOKUP(B829,RM!$C$4:$G984,10,FALSE))</f>
        <v/>
      </c>
      <c r="M829" s="94" t="str">
        <f>IF(B829="","", VLOOKUP(B829,RM!$C$4:$G984,11,FALSE))</f>
        <v/>
      </c>
      <c r="N829" s="95" t="str">
        <f>IF(B829="","", VLOOKUP(B829,RM!$C$4:$G984,12,FALSE))</f>
        <v/>
      </c>
    </row>
    <row r="830" spans="1:14">
      <c r="A830" s="87" t="str">
        <f t="shared" si="3"/>
        <v/>
      </c>
      <c r="B830" s="2"/>
      <c r="C830" s="87"/>
      <c r="D830" s="87"/>
      <c r="E830" s="87"/>
      <c r="F830" s="87"/>
      <c r="G830" s="87"/>
      <c r="H830" s="87"/>
      <c r="I830" s="87"/>
      <c r="J830" s="2"/>
      <c r="K830" s="2"/>
      <c r="L830" s="94" t="str">
        <f>IF(B830="","", VLOOKUP(B830,RM!$C$4:$G984,10,FALSE))</f>
        <v/>
      </c>
      <c r="M830" s="94" t="str">
        <f>IF(B830="","", VLOOKUP(B830,RM!$C$4:$G984,11,FALSE))</f>
        <v/>
      </c>
      <c r="N830" s="95" t="str">
        <f>IF(B830="","", VLOOKUP(B830,RM!$C$4:$G984,12,FALSE))</f>
        <v/>
      </c>
    </row>
    <row r="831" spans="1:14">
      <c r="A831" s="87" t="str">
        <f t="shared" si="3"/>
        <v/>
      </c>
      <c r="B831" s="2"/>
      <c r="C831" s="87"/>
      <c r="D831" s="87"/>
      <c r="E831" s="87"/>
      <c r="F831" s="87"/>
      <c r="G831" s="87"/>
      <c r="H831" s="87"/>
      <c r="I831" s="87"/>
      <c r="J831" s="2"/>
      <c r="K831" s="2"/>
      <c r="L831" s="94" t="str">
        <f>IF(B831="","", VLOOKUP(B831,RM!$C$4:$G984,10,FALSE))</f>
        <v/>
      </c>
      <c r="M831" s="94" t="str">
        <f>IF(B831="","", VLOOKUP(B831,RM!$C$4:$G984,11,FALSE))</f>
        <v/>
      </c>
      <c r="N831" s="95" t="str">
        <f>IF(B831="","", VLOOKUP(B831,RM!$C$4:$G984,12,FALSE))</f>
        <v/>
      </c>
    </row>
    <row r="832" spans="1:14">
      <c r="A832" s="87" t="str">
        <f t="shared" si="3"/>
        <v/>
      </c>
      <c r="B832" s="2"/>
      <c r="C832" s="87"/>
      <c r="D832" s="87"/>
      <c r="E832" s="87"/>
      <c r="F832" s="87"/>
      <c r="G832" s="87"/>
      <c r="H832" s="87"/>
      <c r="I832" s="87"/>
      <c r="J832" s="2"/>
      <c r="K832" s="2"/>
      <c r="L832" s="94" t="str">
        <f>IF(B832="","", VLOOKUP(B832,RM!$C$4:$G984,10,FALSE))</f>
        <v/>
      </c>
      <c r="M832" s="94" t="str">
        <f>IF(B832="","", VLOOKUP(B832,RM!$C$4:$G984,11,FALSE))</f>
        <v/>
      </c>
      <c r="N832" s="95" t="str">
        <f>IF(B832="","", VLOOKUP(B832,RM!$C$4:$G984,12,FALSE))</f>
        <v/>
      </c>
    </row>
    <row r="833" spans="1:14">
      <c r="A833" s="87" t="str">
        <f t="shared" si="3"/>
        <v/>
      </c>
      <c r="B833" s="2"/>
      <c r="C833" s="87"/>
      <c r="D833" s="87"/>
      <c r="E833" s="87"/>
      <c r="F833" s="87"/>
      <c r="G833" s="87"/>
      <c r="H833" s="87"/>
      <c r="I833" s="87"/>
      <c r="J833" s="2"/>
      <c r="K833" s="2"/>
      <c r="L833" s="94" t="str">
        <f>IF(B833="","", VLOOKUP(B833,RM!$C$4:$G984,10,FALSE))</f>
        <v/>
      </c>
      <c r="M833" s="94" t="str">
        <f>IF(B833="","", VLOOKUP(B833,RM!$C$4:$G984,11,FALSE))</f>
        <v/>
      </c>
      <c r="N833" s="95" t="str">
        <f>IF(B833="","", VLOOKUP(B833,RM!$C$4:$G984,12,FALSE))</f>
        <v/>
      </c>
    </row>
    <row r="834" spans="1:14">
      <c r="A834" s="87" t="str">
        <f t="shared" si="3"/>
        <v/>
      </c>
      <c r="B834" s="2"/>
      <c r="C834" s="87"/>
      <c r="D834" s="87"/>
      <c r="E834" s="87"/>
      <c r="F834" s="87"/>
      <c r="G834" s="87"/>
      <c r="H834" s="87"/>
      <c r="I834" s="87"/>
      <c r="J834" s="2"/>
      <c r="K834" s="2"/>
      <c r="L834" s="94" t="str">
        <f>IF(B834="","", VLOOKUP(B834,RM!$C$4:$G984,10,FALSE))</f>
        <v/>
      </c>
      <c r="M834" s="94" t="str">
        <f>IF(B834="","", VLOOKUP(B834,RM!$C$4:$G984,11,FALSE))</f>
        <v/>
      </c>
      <c r="N834" s="95" t="str">
        <f>IF(B834="","", VLOOKUP(B834,RM!$C$4:$G984,12,FALSE))</f>
        <v/>
      </c>
    </row>
    <row r="835" spans="1:14">
      <c r="A835" s="87" t="str">
        <f t="shared" si="3"/>
        <v/>
      </c>
      <c r="B835" s="2"/>
      <c r="C835" s="87"/>
      <c r="D835" s="87"/>
      <c r="E835" s="87"/>
      <c r="F835" s="87"/>
      <c r="G835" s="87"/>
      <c r="H835" s="87"/>
      <c r="I835" s="87"/>
      <c r="J835" s="2"/>
      <c r="K835" s="2"/>
      <c r="L835" s="94" t="str">
        <f>IF(B835="","", VLOOKUP(B835,RM!$C$4:$G984,10,FALSE))</f>
        <v/>
      </c>
      <c r="M835" s="94" t="str">
        <f>IF(B835="","", VLOOKUP(B835,RM!$C$4:$G984,11,FALSE))</f>
        <v/>
      </c>
      <c r="N835" s="95" t="str">
        <f>IF(B835="","", VLOOKUP(B835,RM!$C$4:$G984,12,FALSE))</f>
        <v/>
      </c>
    </row>
    <row r="836" spans="1:14">
      <c r="A836" s="87" t="str">
        <f t="shared" si="3"/>
        <v/>
      </c>
      <c r="B836" s="2"/>
      <c r="C836" s="87"/>
      <c r="D836" s="87"/>
      <c r="E836" s="87"/>
      <c r="F836" s="87"/>
      <c r="G836" s="87"/>
      <c r="H836" s="87"/>
      <c r="I836" s="87"/>
      <c r="J836" s="2"/>
      <c r="K836" s="2"/>
      <c r="L836" s="94" t="str">
        <f>IF(B836="","", VLOOKUP(B836,RM!$C$4:$G984,10,FALSE))</f>
        <v/>
      </c>
      <c r="M836" s="94" t="str">
        <f>IF(B836="","", VLOOKUP(B836,RM!$C$4:$G984,11,FALSE))</f>
        <v/>
      </c>
      <c r="N836" s="95" t="str">
        <f>IF(B836="","", VLOOKUP(B836,RM!$C$4:$G984,12,FALSE))</f>
        <v/>
      </c>
    </row>
    <row r="837" spans="1:14">
      <c r="A837" s="87" t="str">
        <f t="shared" si="3"/>
        <v/>
      </c>
      <c r="B837" s="2"/>
      <c r="C837" s="87"/>
      <c r="D837" s="87"/>
      <c r="E837" s="87"/>
      <c r="F837" s="87"/>
      <c r="G837" s="87"/>
      <c r="H837" s="87"/>
      <c r="I837" s="87"/>
      <c r="J837" s="2"/>
      <c r="K837" s="2"/>
      <c r="L837" s="94" t="str">
        <f>IF(B837="","", VLOOKUP(B837,RM!$C$4:$G984,10,FALSE))</f>
        <v/>
      </c>
      <c r="M837" s="94" t="str">
        <f>IF(B837="","", VLOOKUP(B837,RM!$C$4:$G984,11,FALSE))</f>
        <v/>
      </c>
      <c r="N837" s="95" t="str">
        <f>IF(B837="","", VLOOKUP(B837,RM!$C$4:$G984,12,FALSE))</f>
        <v/>
      </c>
    </row>
    <row r="838" spans="1:14">
      <c r="A838" s="87" t="str">
        <f t="shared" si="3"/>
        <v/>
      </c>
      <c r="B838" s="2"/>
      <c r="C838" s="87"/>
      <c r="D838" s="87"/>
      <c r="E838" s="87"/>
      <c r="F838" s="87"/>
      <c r="G838" s="87"/>
      <c r="H838" s="87"/>
      <c r="I838" s="87"/>
      <c r="J838" s="2"/>
      <c r="K838" s="2"/>
      <c r="L838" s="94" t="str">
        <f>IF(B838="","", VLOOKUP(B838,RM!$C$4:$G984,10,FALSE))</f>
        <v/>
      </c>
      <c r="M838" s="94" t="str">
        <f>IF(B838="","", VLOOKUP(B838,RM!$C$4:$G984,11,FALSE))</f>
        <v/>
      </c>
      <c r="N838" s="95" t="str">
        <f>IF(B838="","", VLOOKUP(B838,RM!$C$4:$G984,12,FALSE))</f>
        <v/>
      </c>
    </row>
    <row r="839" spans="1:14">
      <c r="A839" s="87" t="str">
        <f t="shared" si="3"/>
        <v/>
      </c>
      <c r="B839" s="2"/>
      <c r="C839" s="87"/>
      <c r="D839" s="87"/>
      <c r="E839" s="87"/>
      <c r="F839" s="87"/>
      <c r="G839" s="87"/>
      <c r="H839" s="87"/>
      <c r="I839" s="87"/>
      <c r="J839" s="2"/>
      <c r="K839" s="2"/>
      <c r="L839" s="94" t="str">
        <f>IF(B839="","", VLOOKUP(B839,RM!$C$4:$G984,10,FALSE))</f>
        <v/>
      </c>
      <c r="M839" s="94" t="str">
        <f>IF(B839="","", VLOOKUP(B839,RM!$C$4:$G984,11,FALSE))</f>
        <v/>
      </c>
      <c r="N839" s="95" t="str">
        <f>IF(B839="","", VLOOKUP(B839,RM!$C$4:$G984,12,FALSE))</f>
        <v/>
      </c>
    </row>
    <row r="840" spans="1:14">
      <c r="A840" s="87" t="str">
        <f t="shared" si="3"/>
        <v/>
      </c>
      <c r="B840" s="2"/>
      <c r="C840" s="87"/>
      <c r="D840" s="87"/>
      <c r="E840" s="87"/>
      <c r="F840" s="87"/>
      <c r="G840" s="87"/>
      <c r="H840" s="87"/>
      <c r="I840" s="87"/>
      <c r="J840" s="2"/>
      <c r="K840" s="2"/>
      <c r="L840" s="94" t="str">
        <f>IF(B840="","", VLOOKUP(B840,RM!$C$4:$G984,10,FALSE))</f>
        <v/>
      </c>
      <c r="M840" s="94" t="str">
        <f>IF(B840="","", VLOOKUP(B840,RM!$C$4:$G984,11,FALSE))</f>
        <v/>
      </c>
      <c r="N840" s="95" t="str">
        <f>IF(B840="","", VLOOKUP(B840,RM!$C$4:$G984,12,FALSE))</f>
        <v/>
      </c>
    </row>
    <row r="841" spans="1:14">
      <c r="A841" s="87" t="str">
        <f t="shared" si="3"/>
        <v/>
      </c>
      <c r="B841" s="2"/>
      <c r="C841" s="87"/>
      <c r="D841" s="87"/>
      <c r="E841" s="87"/>
      <c r="F841" s="87"/>
      <c r="G841" s="87"/>
      <c r="H841" s="87"/>
      <c r="I841" s="87"/>
      <c r="J841" s="2"/>
      <c r="K841" s="2"/>
      <c r="L841" s="94" t="str">
        <f>IF(B841="","", VLOOKUP(B841,RM!$C$4:$G984,10,FALSE))</f>
        <v/>
      </c>
      <c r="M841" s="94" t="str">
        <f>IF(B841="","", VLOOKUP(B841,RM!$C$4:$G984,11,FALSE))</f>
        <v/>
      </c>
      <c r="N841" s="95" t="str">
        <f>IF(B841="","", VLOOKUP(B841,RM!$C$4:$G984,12,FALSE))</f>
        <v/>
      </c>
    </row>
    <row r="842" spans="1:14">
      <c r="A842" s="87" t="str">
        <f t="shared" si="3"/>
        <v/>
      </c>
      <c r="B842" s="2"/>
      <c r="C842" s="87"/>
      <c r="D842" s="87"/>
      <c r="E842" s="87"/>
      <c r="F842" s="87"/>
      <c r="G842" s="87"/>
      <c r="H842" s="87"/>
      <c r="I842" s="87"/>
      <c r="J842" s="2"/>
      <c r="K842" s="2"/>
      <c r="L842" s="94" t="str">
        <f>IF(B842="","", VLOOKUP(B842,RM!$C$4:$G984,10,FALSE))</f>
        <v/>
      </c>
      <c r="M842" s="94" t="str">
        <f>IF(B842="","", VLOOKUP(B842,RM!$C$4:$G984,11,FALSE))</f>
        <v/>
      </c>
      <c r="N842" s="95" t="str">
        <f>IF(B842="","", VLOOKUP(B842,RM!$C$4:$G984,12,FALSE))</f>
        <v/>
      </c>
    </row>
    <row r="843" spans="1:14">
      <c r="A843" s="87" t="str">
        <f t="shared" si="3"/>
        <v/>
      </c>
      <c r="B843" s="2"/>
      <c r="C843" s="87"/>
      <c r="D843" s="87"/>
      <c r="E843" s="87"/>
      <c r="F843" s="87"/>
      <c r="G843" s="87"/>
      <c r="H843" s="87"/>
      <c r="I843" s="87"/>
      <c r="J843" s="2"/>
      <c r="K843" s="2"/>
      <c r="L843" s="94" t="str">
        <f>IF(B843="","", VLOOKUP(B843,RM!$C$4:$G984,10,FALSE))</f>
        <v/>
      </c>
      <c r="M843" s="94" t="str">
        <f>IF(B843="","", VLOOKUP(B843,RM!$C$4:$G984,11,FALSE))</f>
        <v/>
      </c>
      <c r="N843" s="95" t="str">
        <f>IF(B843="","", VLOOKUP(B843,RM!$C$4:$G984,12,FALSE))</f>
        <v/>
      </c>
    </row>
    <row r="844" spans="1:14">
      <c r="A844" s="87" t="str">
        <f t="shared" si="3"/>
        <v/>
      </c>
      <c r="B844" s="2"/>
      <c r="C844" s="87"/>
      <c r="D844" s="87"/>
      <c r="E844" s="87"/>
      <c r="F844" s="87"/>
      <c r="G844" s="87"/>
      <c r="H844" s="87"/>
      <c r="I844" s="87"/>
      <c r="J844" s="2"/>
      <c r="K844" s="2"/>
      <c r="L844" s="94" t="str">
        <f>IF(B844="","", VLOOKUP(B844,RM!$C$4:$G984,10,FALSE))</f>
        <v/>
      </c>
      <c r="M844" s="94" t="str">
        <f>IF(B844="","", VLOOKUP(B844,RM!$C$4:$G984,11,FALSE))</f>
        <v/>
      </c>
      <c r="N844" s="95" t="str">
        <f>IF(B844="","", VLOOKUP(B844,RM!$C$4:$G984,12,FALSE))</f>
        <v/>
      </c>
    </row>
    <row r="845" spans="1:14">
      <c r="A845" s="87" t="str">
        <f t="shared" si="3"/>
        <v/>
      </c>
      <c r="B845" s="2"/>
      <c r="C845" s="87"/>
      <c r="D845" s="87"/>
      <c r="E845" s="87"/>
      <c r="F845" s="87"/>
      <c r="G845" s="87"/>
      <c r="H845" s="87"/>
      <c r="I845" s="87"/>
      <c r="J845" s="2"/>
      <c r="K845" s="2"/>
      <c r="L845" s="94" t="str">
        <f>IF(B845="","", VLOOKUP(B845,RM!$C$4:$G984,10,FALSE))</f>
        <v/>
      </c>
      <c r="M845" s="94" t="str">
        <f>IF(B845="","", VLOOKUP(B845,RM!$C$4:$G984,11,FALSE))</f>
        <v/>
      </c>
      <c r="N845" s="95" t="str">
        <f>IF(B845="","", VLOOKUP(B845,RM!$C$4:$G984,12,FALSE))</f>
        <v/>
      </c>
    </row>
    <row r="846" spans="1:14">
      <c r="A846" s="87" t="str">
        <f t="shared" si="3"/>
        <v/>
      </c>
      <c r="B846" s="2"/>
      <c r="C846" s="87"/>
      <c r="D846" s="87"/>
      <c r="E846" s="87"/>
      <c r="F846" s="87"/>
      <c r="G846" s="87"/>
      <c r="H846" s="87"/>
      <c r="I846" s="87"/>
      <c r="J846" s="2"/>
      <c r="K846" s="2"/>
      <c r="L846" s="94" t="str">
        <f>IF(B846="","", VLOOKUP(B846,RM!$C$4:$G984,10,FALSE))</f>
        <v/>
      </c>
      <c r="M846" s="94" t="str">
        <f>IF(B846="","", VLOOKUP(B846,RM!$C$4:$G984,11,FALSE))</f>
        <v/>
      </c>
      <c r="N846" s="95" t="str">
        <f>IF(B846="","", VLOOKUP(B846,RM!$C$4:$G984,12,FALSE))</f>
        <v/>
      </c>
    </row>
    <row r="847" spans="1:14">
      <c r="A847" s="87" t="str">
        <f t="shared" si="3"/>
        <v/>
      </c>
      <c r="B847" s="2"/>
      <c r="C847" s="87"/>
      <c r="D847" s="87"/>
      <c r="E847" s="87"/>
      <c r="F847" s="87"/>
      <c r="G847" s="87"/>
      <c r="H847" s="87"/>
      <c r="I847" s="87"/>
      <c r="J847" s="2"/>
      <c r="K847" s="2"/>
      <c r="L847" s="94" t="str">
        <f>IF(B847="","", VLOOKUP(B847,RM!$C$4:$G984,10,FALSE))</f>
        <v/>
      </c>
      <c r="M847" s="94" t="str">
        <f>IF(B847="","", VLOOKUP(B847,RM!$C$4:$G984,11,FALSE))</f>
        <v/>
      </c>
      <c r="N847" s="95" t="str">
        <f>IF(B847="","", VLOOKUP(B847,RM!$C$4:$G984,12,FALSE))</f>
        <v/>
      </c>
    </row>
    <row r="848" spans="1:14">
      <c r="A848" s="87" t="str">
        <f t="shared" si="3"/>
        <v/>
      </c>
      <c r="B848" s="2"/>
      <c r="C848" s="87"/>
      <c r="D848" s="87"/>
      <c r="E848" s="87"/>
      <c r="F848" s="87"/>
      <c r="G848" s="87"/>
      <c r="H848" s="87"/>
      <c r="I848" s="87"/>
      <c r="J848" s="2"/>
      <c r="K848" s="2"/>
      <c r="L848" s="94" t="str">
        <f>IF(B848="","", VLOOKUP(B848,RM!$C$4:$G984,10,FALSE))</f>
        <v/>
      </c>
      <c r="M848" s="94" t="str">
        <f>IF(B848="","", VLOOKUP(B848,RM!$C$4:$G984,11,FALSE))</f>
        <v/>
      </c>
      <c r="N848" s="95" t="str">
        <f>IF(B848="","", VLOOKUP(B848,RM!$C$4:$G984,12,FALSE))</f>
        <v/>
      </c>
    </row>
    <row r="849" spans="1:14">
      <c r="A849" s="87" t="str">
        <f t="shared" si="3"/>
        <v/>
      </c>
      <c r="B849" s="2"/>
      <c r="C849" s="87"/>
      <c r="D849" s="87"/>
      <c r="E849" s="87"/>
      <c r="F849" s="87"/>
      <c r="G849" s="87"/>
      <c r="H849" s="87"/>
      <c r="I849" s="87"/>
      <c r="J849" s="2"/>
      <c r="K849" s="2"/>
      <c r="L849" s="94" t="str">
        <f>IF(B849="","", VLOOKUP(B849,RM!$C$4:$G984,10,FALSE))</f>
        <v/>
      </c>
      <c r="M849" s="94" t="str">
        <f>IF(B849="","", VLOOKUP(B849,RM!$C$4:$G984,11,FALSE))</f>
        <v/>
      </c>
      <c r="N849" s="95" t="str">
        <f>IF(B849="","", VLOOKUP(B849,RM!$C$4:$G984,12,FALSE))</f>
        <v/>
      </c>
    </row>
    <row r="850" spans="1:14">
      <c r="A850" s="87" t="str">
        <f t="shared" si="3"/>
        <v/>
      </c>
      <c r="B850" s="2"/>
      <c r="C850" s="87"/>
      <c r="D850" s="87"/>
      <c r="E850" s="87"/>
      <c r="F850" s="87"/>
      <c r="G850" s="87"/>
      <c r="H850" s="87"/>
      <c r="I850" s="87"/>
      <c r="J850" s="2"/>
      <c r="K850" s="2"/>
      <c r="L850" s="94" t="str">
        <f>IF(B850="","", VLOOKUP(B850,RM!$C$4:$G984,10,FALSE))</f>
        <v/>
      </c>
      <c r="M850" s="94" t="str">
        <f>IF(B850="","", VLOOKUP(B850,RM!$C$4:$G984,11,FALSE))</f>
        <v/>
      </c>
      <c r="N850" s="95" t="str">
        <f>IF(B850="","", VLOOKUP(B850,RM!$C$4:$G984,12,FALSE))</f>
        <v/>
      </c>
    </row>
    <row r="851" spans="1:14">
      <c r="A851" s="87" t="str">
        <f t="shared" si="3"/>
        <v/>
      </c>
      <c r="B851" s="2"/>
      <c r="C851" s="87"/>
      <c r="D851" s="87"/>
      <c r="E851" s="87"/>
      <c r="F851" s="87"/>
      <c r="G851" s="87"/>
      <c r="H851" s="87"/>
      <c r="I851" s="87"/>
      <c r="J851" s="2"/>
      <c r="K851" s="2"/>
      <c r="L851" s="94" t="str">
        <f>IF(B851="","", VLOOKUP(B851,RM!$C$4:$G984,10,FALSE))</f>
        <v/>
      </c>
      <c r="M851" s="94" t="str">
        <f>IF(B851="","", VLOOKUP(B851,RM!$C$4:$G984,11,FALSE))</f>
        <v/>
      </c>
      <c r="N851" s="95" t="str">
        <f>IF(B851="","", VLOOKUP(B851,RM!$C$4:$G984,12,FALSE))</f>
        <v/>
      </c>
    </row>
    <row r="852" spans="1:14">
      <c r="A852" s="87" t="str">
        <f t="shared" si="3"/>
        <v/>
      </c>
      <c r="B852" s="2"/>
      <c r="C852" s="87"/>
      <c r="D852" s="87"/>
      <c r="E852" s="87"/>
      <c r="F852" s="87"/>
      <c r="G852" s="87"/>
      <c r="H852" s="87"/>
      <c r="I852" s="87"/>
      <c r="J852" s="2"/>
      <c r="K852" s="2"/>
      <c r="L852" s="94" t="str">
        <f>IF(B852="","", VLOOKUP(B852,RM!$C$4:$G984,10,FALSE))</f>
        <v/>
      </c>
      <c r="M852" s="94" t="str">
        <f>IF(B852="","", VLOOKUP(B852,RM!$C$4:$G984,11,FALSE))</f>
        <v/>
      </c>
      <c r="N852" s="95" t="str">
        <f>IF(B852="","", VLOOKUP(B852,RM!$C$4:$G984,12,FALSE))</f>
        <v/>
      </c>
    </row>
    <row r="853" spans="1:14">
      <c r="A853" s="87" t="str">
        <f t="shared" si="3"/>
        <v/>
      </c>
      <c r="B853" s="2"/>
      <c r="C853" s="87"/>
      <c r="D853" s="87"/>
      <c r="E853" s="87"/>
      <c r="F853" s="87"/>
      <c r="G853" s="87"/>
      <c r="H853" s="87"/>
      <c r="I853" s="87"/>
      <c r="J853" s="2"/>
      <c r="K853" s="2"/>
      <c r="L853" s="94" t="str">
        <f>IF(B853="","", VLOOKUP(B853,RM!$C$4:$G984,10,FALSE))</f>
        <v/>
      </c>
      <c r="M853" s="94" t="str">
        <f>IF(B853="","", VLOOKUP(B853,RM!$C$4:$G984,11,FALSE))</f>
        <v/>
      </c>
      <c r="N853" s="95" t="str">
        <f>IF(B853="","", VLOOKUP(B853,RM!$C$4:$G984,12,FALSE))</f>
        <v/>
      </c>
    </row>
    <row r="854" spans="1:14">
      <c r="A854" s="87" t="str">
        <f t="shared" si="3"/>
        <v/>
      </c>
      <c r="B854" s="2"/>
      <c r="C854" s="87"/>
      <c r="D854" s="87"/>
      <c r="E854" s="87"/>
      <c r="F854" s="87"/>
      <c r="G854" s="87"/>
      <c r="H854" s="87"/>
      <c r="I854" s="87"/>
      <c r="J854" s="2"/>
      <c r="K854" s="2"/>
      <c r="L854" s="94" t="str">
        <f>IF(B854="","", VLOOKUP(B854,RM!$C$4:$G984,10,FALSE))</f>
        <v/>
      </c>
      <c r="M854" s="94" t="str">
        <f>IF(B854="","", VLOOKUP(B854,RM!$C$4:$G984,11,FALSE))</f>
        <v/>
      </c>
      <c r="N854" s="95" t="str">
        <f>IF(B854="","", VLOOKUP(B854,RM!$C$4:$G984,12,FALSE))</f>
        <v/>
      </c>
    </row>
    <row r="855" spans="1:14">
      <c r="A855" s="87" t="str">
        <f t="shared" si="3"/>
        <v/>
      </c>
      <c r="B855" s="2"/>
      <c r="C855" s="87"/>
      <c r="D855" s="87"/>
      <c r="E855" s="87"/>
      <c r="F855" s="87"/>
      <c r="G855" s="87"/>
      <c r="H855" s="87"/>
      <c r="I855" s="87"/>
      <c r="J855" s="2"/>
      <c r="K855" s="2"/>
      <c r="L855" s="94" t="str">
        <f>IF(B855="","", VLOOKUP(B855,RM!$C$4:$G984,10,FALSE))</f>
        <v/>
      </c>
      <c r="M855" s="94" t="str">
        <f>IF(B855="","", VLOOKUP(B855,RM!$C$4:$G984,11,FALSE))</f>
        <v/>
      </c>
      <c r="N855" s="95" t="str">
        <f>IF(B855="","", VLOOKUP(B855,RM!$C$4:$G984,12,FALSE))</f>
        <v/>
      </c>
    </row>
    <row r="856" spans="1:14">
      <c r="A856" s="87" t="str">
        <f t="shared" si="3"/>
        <v/>
      </c>
      <c r="B856" s="2"/>
      <c r="C856" s="87"/>
      <c r="D856" s="87"/>
      <c r="E856" s="87"/>
      <c r="F856" s="87"/>
      <c r="G856" s="87"/>
      <c r="H856" s="87"/>
      <c r="I856" s="87"/>
      <c r="J856" s="2"/>
      <c r="K856" s="2"/>
      <c r="L856" s="94" t="str">
        <f>IF(B856="","", VLOOKUP(B856,RM!$C$4:$G984,10,FALSE))</f>
        <v/>
      </c>
      <c r="M856" s="94" t="str">
        <f>IF(B856="","", VLOOKUP(B856,RM!$C$4:$G984,11,FALSE))</f>
        <v/>
      </c>
      <c r="N856" s="95" t="str">
        <f>IF(B856="","", VLOOKUP(B856,RM!$C$4:$G984,12,FALSE))</f>
        <v/>
      </c>
    </row>
    <row r="857" spans="1:14">
      <c r="A857" s="87" t="str">
        <f t="shared" si="3"/>
        <v/>
      </c>
      <c r="B857" s="2"/>
      <c r="C857" s="87"/>
      <c r="D857" s="87"/>
      <c r="E857" s="87"/>
      <c r="F857" s="87"/>
      <c r="G857" s="87"/>
      <c r="H857" s="87"/>
      <c r="I857" s="87"/>
      <c r="J857" s="2"/>
      <c r="K857" s="2"/>
      <c r="L857" s="94" t="str">
        <f>IF(B857="","", VLOOKUP(B857,RM!$C$4:$G984,10,FALSE))</f>
        <v/>
      </c>
      <c r="M857" s="94" t="str">
        <f>IF(B857="","", VLOOKUP(B857,RM!$C$4:$G984,11,FALSE))</f>
        <v/>
      </c>
      <c r="N857" s="95" t="str">
        <f>IF(B857="","", VLOOKUP(B857,RM!$C$4:$G984,12,FALSE))</f>
        <v/>
      </c>
    </row>
    <row r="858" spans="1:14">
      <c r="A858" s="87" t="str">
        <f t="shared" si="3"/>
        <v/>
      </c>
      <c r="B858" s="2"/>
      <c r="C858" s="87"/>
      <c r="D858" s="87"/>
      <c r="E858" s="87"/>
      <c r="F858" s="87"/>
      <c r="G858" s="87"/>
      <c r="H858" s="87"/>
      <c r="I858" s="87"/>
      <c r="J858" s="2"/>
      <c r="K858" s="2"/>
      <c r="L858" s="94" t="str">
        <f>IF(B858="","", VLOOKUP(B858,RM!$C$4:$G984,10,FALSE))</f>
        <v/>
      </c>
      <c r="M858" s="94" t="str">
        <f>IF(B858="","", VLOOKUP(B858,RM!$C$4:$G984,11,FALSE))</f>
        <v/>
      </c>
      <c r="N858" s="95" t="str">
        <f>IF(B858="","", VLOOKUP(B858,RM!$C$4:$G984,12,FALSE))</f>
        <v/>
      </c>
    </row>
    <row r="859" spans="1:14">
      <c r="A859" s="87" t="str">
        <f t="shared" si="3"/>
        <v/>
      </c>
      <c r="B859" s="2"/>
      <c r="C859" s="87"/>
      <c r="D859" s="87"/>
      <c r="E859" s="87"/>
      <c r="F859" s="87"/>
      <c r="G859" s="87"/>
      <c r="H859" s="87"/>
      <c r="I859" s="87"/>
      <c r="J859" s="2"/>
      <c r="K859" s="2"/>
      <c r="L859" s="94" t="str">
        <f>IF(B859="","", VLOOKUP(B859,RM!$C$4:$G984,10,FALSE))</f>
        <v/>
      </c>
      <c r="M859" s="94" t="str">
        <f>IF(B859="","", VLOOKUP(B859,RM!$C$4:$G984,11,FALSE))</f>
        <v/>
      </c>
      <c r="N859" s="95" t="str">
        <f>IF(B859="","", VLOOKUP(B859,RM!$C$4:$G984,12,FALSE))</f>
        <v/>
      </c>
    </row>
    <row r="860" spans="1:14">
      <c r="A860" s="87" t="str">
        <f t="shared" si="3"/>
        <v/>
      </c>
      <c r="B860" s="2"/>
      <c r="C860" s="87"/>
      <c r="D860" s="87"/>
      <c r="E860" s="87"/>
      <c r="F860" s="87"/>
      <c r="G860" s="87"/>
      <c r="H860" s="87"/>
      <c r="I860" s="87"/>
      <c r="J860" s="2"/>
      <c r="K860" s="2"/>
      <c r="L860" s="94" t="str">
        <f>IF(B860="","", VLOOKUP(B860,RM!$C$4:$G984,10,FALSE))</f>
        <v/>
      </c>
      <c r="M860" s="94" t="str">
        <f>IF(B860="","", VLOOKUP(B860,RM!$C$4:$G984,11,FALSE))</f>
        <v/>
      </c>
      <c r="N860" s="95" t="str">
        <f>IF(B860="","", VLOOKUP(B860,RM!$C$4:$G984,12,FALSE))</f>
        <v/>
      </c>
    </row>
    <row r="861" spans="1:14">
      <c r="A861" s="87" t="str">
        <f t="shared" si="3"/>
        <v/>
      </c>
      <c r="B861" s="2"/>
      <c r="C861" s="87"/>
      <c r="D861" s="87"/>
      <c r="E861" s="87"/>
      <c r="F861" s="87"/>
      <c r="G861" s="87"/>
      <c r="H861" s="87"/>
      <c r="I861" s="87"/>
      <c r="J861" s="2"/>
      <c r="K861" s="2"/>
      <c r="L861" s="94" t="str">
        <f>IF(B861="","", VLOOKUP(B861,RM!$C$4:$G984,10,FALSE))</f>
        <v/>
      </c>
      <c r="M861" s="94" t="str">
        <f>IF(B861="","", VLOOKUP(B861,RM!$C$4:$G984,11,FALSE))</f>
        <v/>
      </c>
      <c r="N861" s="95" t="str">
        <f>IF(B861="","", VLOOKUP(B861,RM!$C$4:$G984,12,FALSE))</f>
        <v/>
      </c>
    </row>
    <row r="862" spans="1:14">
      <c r="A862" s="87" t="str">
        <f t="shared" si="3"/>
        <v/>
      </c>
      <c r="B862" s="2"/>
      <c r="C862" s="87"/>
      <c r="D862" s="87"/>
      <c r="E862" s="87"/>
      <c r="F862" s="87"/>
      <c r="G862" s="87"/>
      <c r="H862" s="87"/>
      <c r="I862" s="87"/>
      <c r="J862" s="2"/>
      <c r="K862" s="2"/>
      <c r="L862" s="94" t="str">
        <f>IF(B862="","", VLOOKUP(B862,RM!$C$4:$G984,10,FALSE))</f>
        <v/>
      </c>
      <c r="M862" s="94" t="str">
        <f>IF(B862="","", VLOOKUP(B862,RM!$C$4:$G984,11,FALSE))</f>
        <v/>
      </c>
      <c r="N862" s="95" t="str">
        <f>IF(B862="","", VLOOKUP(B862,RM!$C$4:$G984,12,FALSE))</f>
        <v/>
      </c>
    </row>
    <row r="863" spans="1:14">
      <c r="A863" s="87" t="str">
        <f t="shared" si="3"/>
        <v/>
      </c>
      <c r="B863" s="2"/>
      <c r="C863" s="87"/>
      <c r="D863" s="87"/>
      <c r="E863" s="87"/>
      <c r="F863" s="87"/>
      <c r="G863" s="87"/>
      <c r="H863" s="87"/>
      <c r="I863" s="87"/>
      <c r="J863" s="2"/>
      <c r="K863" s="2"/>
      <c r="L863" s="94" t="str">
        <f>IF(B863="","", VLOOKUP(B863,RM!$C$4:$G984,10,FALSE))</f>
        <v/>
      </c>
      <c r="M863" s="94" t="str">
        <f>IF(B863="","", VLOOKUP(B863,RM!$C$4:$G984,11,FALSE))</f>
        <v/>
      </c>
      <c r="N863" s="95" t="str">
        <f>IF(B863="","", VLOOKUP(B863,RM!$C$4:$G984,12,FALSE))</f>
        <v/>
      </c>
    </row>
    <row r="864" spans="1:14">
      <c r="A864" s="87" t="str">
        <f t="shared" si="3"/>
        <v/>
      </c>
      <c r="B864" s="2"/>
      <c r="C864" s="87"/>
      <c r="D864" s="87"/>
      <c r="E864" s="87"/>
      <c r="F864" s="87"/>
      <c r="G864" s="87"/>
      <c r="H864" s="87"/>
      <c r="I864" s="87"/>
      <c r="J864" s="2"/>
      <c r="K864" s="2"/>
      <c r="L864" s="94" t="str">
        <f>IF(B864="","", VLOOKUP(B864,RM!$C$4:$G984,10,FALSE))</f>
        <v/>
      </c>
      <c r="M864" s="94" t="str">
        <f>IF(B864="","", VLOOKUP(B864,RM!$C$4:$G984,11,FALSE))</f>
        <v/>
      </c>
      <c r="N864" s="95" t="str">
        <f>IF(B864="","", VLOOKUP(B864,RM!$C$4:$G984,12,FALSE))</f>
        <v/>
      </c>
    </row>
    <row r="865" spans="1:14">
      <c r="A865" s="87" t="str">
        <f t="shared" si="3"/>
        <v/>
      </c>
      <c r="B865" s="2"/>
      <c r="C865" s="87"/>
      <c r="D865" s="87"/>
      <c r="E865" s="87"/>
      <c r="F865" s="87"/>
      <c r="G865" s="87"/>
      <c r="H865" s="87"/>
      <c r="I865" s="87"/>
      <c r="J865" s="2"/>
      <c r="K865" s="2"/>
      <c r="L865" s="94" t="str">
        <f>IF(B865="","", VLOOKUP(B865,RM!$C$4:$G984,10,FALSE))</f>
        <v/>
      </c>
      <c r="M865" s="94" t="str">
        <f>IF(B865="","", VLOOKUP(B865,RM!$C$4:$G984,11,FALSE))</f>
        <v/>
      </c>
      <c r="N865" s="95" t="str">
        <f>IF(B865="","", VLOOKUP(B865,RM!$C$4:$G984,12,FALSE))</f>
        <v/>
      </c>
    </row>
    <row r="866" spans="1:14">
      <c r="A866" s="87" t="str">
        <f t="shared" si="3"/>
        <v/>
      </c>
      <c r="B866" s="2"/>
      <c r="C866" s="87"/>
      <c r="D866" s="87"/>
      <c r="E866" s="87"/>
      <c r="F866" s="87"/>
      <c r="G866" s="87"/>
      <c r="H866" s="87"/>
      <c r="I866" s="87"/>
      <c r="J866" s="2"/>
      <c r="K866" s="2"/>
      <c r="L866" s="94" t="str">
        <f>IF(B866="","", VLOOKUP(B866,RM!$C$4:$G984,10,FALSE))</f>
        <v/>
      </c>
      <c r="M866" s="94" t="str">
        <f>IF(B866="","", VLOOKUP(B866,RM!$C$4:$G984,11,FALSE))</f>
        <v/>
      </c>
      <c r="N866" s="95" t="str">
        <f>IF(B866="","", VLOOKUP(B866,RM!$C$4:$G984,12,FALSE))</f>
        <v/>
      </c>
    </row>
    <row r="867" spans="1:14">
      <c r="A867" s="87" t="str">
        <f t="shared" si="3"/>
        <v/>
      </c>
      <c r="B867" s="2"/>
      <c r="C867" s="87"/>
      <c r="D867" s="87"/>
      <c r="E867" s="87"/>
      <c r="F867" s="87"/>
      <c r="G867" s="87"/>
      <c r="H867" s="87"/>
      <c r="I867" s="87"/>
      <c r="J867" s="2"/>
      <c r="K867" s="2"/>
      <c r="L867" s="94" t="str">
        <f>IF(B867="","", VLOOKUP(B867,RM!$C$4:$G984,10,FALSE))</f>
        <v/>
      </c>
      <c r="M867" s="94" t="str">
        <f>IF(B867="","", VLOOKUP(B867,RM!$C$4:$G984,11,FALSE))</f>
        <v/>
      </c>
      <c r="N867" s="95" t="str">
        <f>IF(B867="","", VLOOKUP(B867,RM!$C$4:$G984,12,FALSE))</f>
        <v/>
      </c>
    </row>
    <row r="868" spans="1:14">
      <c r="A868" s="87" t="str">
        <f t="shared" si="3"/>
        <v/>
      </c>
      <c r="B868" s="2"/>
      <c r="C868" s="87"/>
      <c r="D868" s="87"/>
      <c r="E868" s="87"/>
      <c r="F868" s="87"/>
      <c r="G868" s="87"/>
      <c r="H868" s="87"/>
      <c r="I868" s="87"/>
      <c r="J868" s="2"/>
      <c r="K868" s="2"/>
      <c r="L868" s="94" t="str">
        <f>IF(B868="","", VLOOKUP(B868,RM!$C$4:$G984,10,FALSE))</f>
        <v/>
      </c>
      <c r="M868" s="94" t="str">
        <f>IF(B868="","", VLOOKUP(B868,RM!$C$4:$G984,11,FALSE))</f>
        <v/>
      </c>
      <c r="N868" s="95" t="str">
        <f>IF(B868="","", VLOOKUP(B868,RM!$C$4:$G984,12,FALSE))</f>
        <v/>
      </c>
    </row>
    <row r="869" spans="1:14">
      <c r="A869" s="87" t="str">
        <f t="shared" si="3"/>
        <v/>
      </c>
      <c r="B869" s="2"/>
      <c r="C869" s="87"/>
      <c r="D869" s="87"/>
      <c r="E869" s="87"/>
      <c r="F869" s="87"/>
      <c r="G869" s="87"/>
      <c r="H869" s="87"/>
      <c r="I869" s="87"/>
      <c r="J869" s="2"/>
      <c r="K869" s="2"/>
      <c r="L869" s="94" t="str">
        <f>IF(B869="","", VLOOKUP(B869,RM!$C$4:$G984,10,FALSE))</f>
        <v/>
      </c>
      <c r="M869" s="94" t="str">
        <f>IF(B869="","", VLOOKUP(B869,RM!$C$4:$G984,11,FALSE))</f>
        <v/>
      </c>
      <c r="N869" s="95" t="str">
        <f>IF(B869="","", VLOOKUP(B869,RM!$C$4:$G984,12,FALSE))</f>
        <v/>
      </c>
    </row>
    <row r="870" spans="1:14">
      <c r="A870" s="87" t="str">
        <f t="shared" si="3"/>
        <v/>
      </c>
      <c r="B870" s="2"/>
      <c r="C870" s="87"/>
      <c r="D870" s="87"/>
      <c r="E870" s="87"/>
      <c r="F870" s="87"/>
      <c r="G870" s="87"/>
      <c r="H870" s="87"/>
      <c r="I870" s="87"/>
      <c r="J870" s="2"/>
      <c r="K870" s="2"/>
      <c r="L870" s="94" t="str">
        <f>IF(B870="","", VLOOKUP(B870,RM!$C$4:$G984,10,FALSE))</f>
        <v/>
      </c>
      <c r="M870" s="94" t="str">
        <f>IF(B870="","", VLOOKUP(B870,RM!$C$4:$G984,11,FALSE))</f>
        <v/>
      </c>
      <c r="N870" s="95" t="str">
        <f>IF(B870="","", VLOOKUP(B870,RM!$C$4:$G984,12,FALSE))</f>
        <v/>
      </c>
    </row>
    <row r="871" spans="1:14">
      <c r="A871" s="87" t="str">
        <f t="shared" si="3"/>
        <v/>
      </c>
      <c r="B871" s="2"/>
      <c r="C871" s="87"/>
      <c r="D871" s="87"/>
      <c r="E871" s="87"/>
      <c r="F871" s="87"/>
      <c r="G871" s="87"/>
      <c r="H871" s="87"/>
      <c r="I871" s="87"/>
      <c r="J871" s="2"/>
      <c r="K871" s="2"/>
      <c r="L871" s="94" t="str">
        <f>IF(B871="","", VLOOKUP(B871,RM!$C$4:$G984,10,FALSE))</f>
        <v/>
      </c>
      <c r="M871" s="94" t="str">
        <f>IF(B871="","", VLOOKUP(B871,RM!$C$4:$G984,11,FALSE))</f>
        <v/>
      </c>
      <c r="N871" s="95" t="str">
        <f>IF(B871="","", VLOOKUP(B871,RM!$C$4:$G984,12,FALSE))</f>
        <v/>
      </c>
    </row>
    <row r="872" spans="1:14">
      <c r="A872" s="87" t="str">
        <f t="shared" si="3"/>
        <v/>
      </c>
      <c r="B872" s="2"/>
      <c r="C872" s="87"/>
      <c r="D872" s="87"/>
      <c r="E872" s="87"/>
      <c r="F872" s="87"/>
      <c r="G872" s="87"/>
      <c r="H872" s="87"/>
      <c r="I872" s="87"/>
      <c r="J872" s="2"/>
      <c r="K872" s="2"/>
      <c r="L872" s="94" t="str">
        <f>IF(B872="","", VLOOKUP(B872,RM!$C$4:$G984,10,FALSE))</f>
        <v/>
      </c>
      <c r="M872" s="94" t="str">
        <f>IF(B872="","", VLOOKUP(B872,RM!$C$4:$G984,11,FALSE))</f>
        <v/>
      </c>
      <c r="N872" s="95" t="str">
        <f>IF(B872="","", VLOOKUP(B872,RM!$C$4:$G984,12,FALSE))</f>
        <v/>
      </c>
    </row>
    <row r="873" spans="1:14">
      <c r="A873" s="87" t="str">
        <f t="shared" si="3"/>
        <v/>
      </c>
      <c r="B873" s="2"/>
      <c r="C873" s="87"/>
      <c r="D873" s="87"/>
      <c r="E873" s="87"/>
      <c r="F873" s="87"/>
      <c r="G873" s="87"/>
      <c r="H873" s="87"/>
      <c r="I873" s="87"/>
      <c r="J873" s="2"/>
      <c r="K873" s="2"/>
      <c r="L873" s="94" t="str">
        <f>IF(B873="","", VLOOKUP(B873,RM!$C$4:$G984,10,FALSE))</f>
        <v/>
      </c>
      <c r="M873" s="94" t="str">
        <f>IF(B873="","", VLOOKUP(B873,RM!$C$4:$G984,11,FALSE))</f>
        <v/>
      </c>
      <c r="N873" s="95" t="str">
        <f>IF(B873="","", VLOOKUP(B873,RM!$C$4:$G984,12,FALSE))</f>
        <v/>
      </c>
    </row>
    <row r="874" spans="1:14">
      <c r="A874" s="87" t="str">
        <f t="shared" si="3"/>
        <v/>
      </c>
      <c r="B874" s="2"/>
      <c r="C874" s="87"/>
      <c r="D874" s="87"/>
      <c r="E874" s="87"/>
      <c r="F874" s="87"/>
      <c r="G874" s="87"/>
      <c r="H874" s="87"/>
      <c r="I874" s="87"/>
      <c r="J874" s="2"/>
      <c r="K874" s="2"/>
      <c r="L874" s="94" t="str">
        <f>IF(B874="","", VLOOKUP(B874,RM!$C$4:$G984,10,FALSE))</f>
        <v/>
      </c>
      <c r="M874" s="94" t="str">
        <f>IF(B874="","", VLOOKUP(B874,RM!$C$4:$G984,11,FALSE))</f>
        <v/>
      </c>
      <c r="N874" s="95" t="str">
        <f>IF(B874="","", VLOOKUP(B874,RM!$C$4:$G984,12,FALSE))</f>
        <v/>
      </c>
    </row>
    <row r="875" spans="1:14">
      <c r="A875" s="87" t="str">
        <f t="shared" si="3"/>
        <v/>
      </c>
      <c r="B875" s="2"/>
      <c r="C875" s="87"/>
      <c r="D875" s="87"/>
      <c r="E875" s="87"/>
      <c r="F875" s="87"/>
      <c r="G875" s="87"/>
      <c r="H875" s="87"/>
      <c r="I875" s="87"/>
      <c r="J875" s="2"/>
      <c r="K875" s="2"/>
      <c r="L875" s="94" t="str">
        <f>IF(B875="","", VLOOKUP(B875,RM!$C$4:$G984,10,FALSE))</f>
        <v/>
      </c>
      <c r="M875" s="94" t="str">
        <f>IF(B875="","", VLOOKUP(B875,RM!$C$4:$G984,11,FALSE))</f>
        <v/>
      </c>
      <c r="N875" s="95" t="str">
        <f>IF(B875="","", VLOOKUP(B875,RM!$C$4:$G984,12,FALSE))</f>
        <v/>
      </c>
    </row>
    <row r="876" spans="1:14">
      <c r="A876" s="87" t="str">
        <f t="shared" si="3"/>
        <v/>
      </c>
      <c r="B876" s="2"/>
      <c r="C876" s="87"/>
      <c r="D876" s="87"/>
      <c r="E876" s="87"/>
      <c r="F876" s="87"/>
      <c r="G876" s="87"/>
      <c r="H876" s="87"/>
      <c r="I876" s="87"/>
      <c r="J876" s="2"/>
      <c r="K876" s="2"/>
      <c r="L876" s="94" t="str">
        <f>IF(B876="","", VLOOKUP(B876,RM!$C$4:$G984,10,FALSE))</f>
        <v/>
      </c>
      <c r="M876" s="94" t="str">
        <f>IF(B876="","", VLOOKUP(B876,RM!$C$4:$G984,11,FALSE))</f>
        <v/>
      </c>
      <c r="N876" s="95" t="str">
        <f>IF(B876="","", VLOOKUP(B876,RM!$C$4:$G984,12,FALSE))</f>
        <v/>
      </c>
    </row>
    <row r="877" spans="1:14">
      <c r="A877" s="87" t="str">
        <f t="shared" si="3"/>
        <v/>
      </c>
      <c r="B877" s="2"/>
      <c r="C877" s="87"/>
      <c r="D877" s="87"/>
      <c r="E877" s="87"/>
      <c r="F877" s="87"/>
      <c r="G877" s="87"/>
      <c r="H877" s="87"/>
      <c r="I877" s="87"/>
      <c r="J877" s="2"/>
      <c r="K877" s="2"/>
      <c r="L877" s="94" t="str">
        <f>IF(B877="","", VLOOKUP(B877,RM!$C$4:$G984,10,FALSE))</f>
        <v/>
      </c>
      <c r="M877" s="94" t="str">
        <f>IF(B877="","", VLOOKUP(B877,RM!$C$4:$G984,11,FALSE))</f>
        <v/>
      </c>
      <c r="N877" s="95" t="str">
        <f>IF(B877="","", VLOOKUP(B877,RM!$C$4:$G984,12,FALSE))</f>
        <v/>
      </c>
    </row>
    <row r="878" spans="1:14">
      <c r="A878" s="87" t="str">
        <f t="shared" si="3"/>
        <v/>
      </c>
      <c r="B878" s="2"/>
      <c r="C878" s="87"/>
      <c r="D878" s="87"/>
      <c r="E878" s="87"/>
      <c r="F878" s="87"/>
      <c r="G878" s="87"/>
      <c r="H878" s="87"/>
      <c r="I878" s="87"/>
      <c r="J878" s="2"/>
      <c r="K878" s="2"/>
      <c r="L878" s="94" t="str">
        <f>IF(B878="","", VLOOKUP(B878,RM!$C$4:$G984,10,FALSE))</f>
        <v/>
      </c>
      <c r="M878" s="94" t="str">
        <f>IF(B878="","", VLOOKUP(B878,RM!$C$4:$G984,11,FALSE))</f>
        <v/>
      </c>
      <c r="N878" s="95" t="str">
        <f>IF(B878="","", VLOOKUP(B878,RM!$C$4:$G984,12,FALSE))</f>
        <v/>
      </c>
    </row>
    <row r="879" spans="1:14">
      <c r="A879" s="87" t="str">
        <f t="shared" si="3"/>
        <v/>
      </c>
      <c r="B879" s="2"/>
      <c r="C879" s="87"/>
      <c r="D879" s="87"/>
      <c r="E879" s="87"/>
      <c r="F879" s="87"/>
      <c r="G879" s="87"/>
      <c r="H879" s="87"/>
      <c r="I879" s="87"/>
      <c r="J879" s="2"/>
      <c r="K879" s="2"/>
      <c r="L879" s="94" t="str">
        <f>IF(B879="","", VLOOKUP(B879,RM!$C$4:$G984,10,FALSE))</f>
        <v/>
      </c>
      <c r="M879" s="94" t="str">
        <f>IF(B879="","", VLOOKUP(B879,RM!$C$4:$G984,11,FALSE))</f>
        <v/>
      </c>
      <c r="N879" s="95" t="str">
        <f>IF(B879="","", VLOOKUP(B879,RM!$C$4:$G984,12,FALSE))</f>
        <v/>
      </c>
    </row>
    <row r="880" spans="1:14">
      <c r="A880" s="87" t="str">
        <f t="shared" si="3"/>
        <v/>
      </c>
      <c r="B880" s="2"/>
      <c r="C880" s="87"/>
      <c r="D880" s="87"/>
      <c r="E880" s="87"/>
      <c r="F880" s="87"/>
      <c r="G880" s="87"/>
      <c r="H880" s="87"/>
      <c r="I880" s="87"/>
      <c r="J880" s="2"/>
      <c r="K880" s="2"/>
      <c r="L880" s="94" t="str">
        <f>IF(B880="","", VLOOKUP(B880,RM!$C$4:$G984,10,FALSE))</f>
        <v/>
      </c>
      <c r="M880" s="94" t="str">
        <f>IF(B880="","", VLOOKUP(B880,RM!$C$4:$G984,11,FALSE))</f>
        <v/>
      </c>
      <c r="N880" s="95" t="str">
        <f>IF(B880="","", VLOOKUP(B880,RM!$C$4:$G984,12,FALSE))</f>
        <v/>
      </c>
    </row>
    <row r="881" spans="1:14">
      <c r="A881" s="87" t="str">
        <f t="shared" si="3"/>
        <v/>
      </c>
      <c r="B881" s="2"/>
      <c r="C881" s="87"/>
      <c r="D881" s="87"/>
      <c r="E881" s="87"/>
      <c r="F881" s="87"/>
      <c r="G881" s="87"/>
      <c r="H881" s="87"/>
      <c r="I881" s="87"/>
      <c r="J881" s="2"/>
      <c r="K881" s="2"/>
      <c r="L881" s="94" t="str">
        <f>IF(B881="","", VLOOKUP(B881,RM!$C$4:$G984,10,FALSE))</f>
        <v/>
      </c>
      <c r="M881" s="94" t="str">
        <f>IF(B881="","", VLOOKUP(B881,RM!$C$4:$G984,11,FALSE))</f>
        <v/>
      </c>
      <c r="N881" s="95" t="str">
        <f>IF(B881="","", VLOOKUP(B881,RM!$C$4:$G984,12,FALSE))</f>
        <v/>
      </c>
    </row>
    <row r="882" spans="1:14">
      <c r="A882" s="87" t="str">
        <f t="shared" si="3"/>
        <v/>
      </c>
      <c r="B882" s="2"/>
      <c r="C882" s="87"/>
      <c r="D882" s="87"/>
      <c r="E882" s="87"/>
      <c r="F882" s="87"/>
      <c r="G882" s="87"/>
      <c r="H882" s="87"/>
      <c r="I882" s="87"/>
      <c r="J882" s="2"/>
      <c r="K882" s="2"/>
      <c r="L882" s="94" t="str">
        <f>IF(B882="","", VLOOKUP(B882,RM!$C$4:$G984,10,FALSE))</f>
        <v/>
      </c>
      <c r="M882" s="94" t="str">
        <f>IF(B882="","", VLOOKUP(B882,RM!$C$4:$G984,11,FALSE))</f>
        <v/>
      </c>
      <c r="N882" s="95" t="str">
        <f>IF(B882="","", VLOOKUP(B882,RM!$C$4:$G984,12,FALSE))</f>
        <v/>
      </c>
    </row>
    <row r="883" spans="1:14">
      <c r="A883" s="87" t="str">
        <f t="shared" si="3"/>
        <v/>
      </c>
      <c r="B883" s="2"/>
      <c r="C883" s="87"/>
      <c r="D883" s="87"/>
      <c r="E883" s="87"/>
      <c r="F883" s="87"/>
      <c r="G883" s="87"/>
      <c r="H883" s="87"/>
      <c r="I883" s="87"/>
      <c r="J883" s="2"/>
      <c r="K883" s="2"/>
      <c r="L883" s="94" t="str">
        <f>IF(B883="","", VLOOKUP(B883,RM!$C$4:$G984,10,FALSE))</f>
        <v/>
      </c>
      <c r="M883" s="94" t="str">
        <f>IF(B883="","", VLOOKUP(B883,RM!$C$4:$G984,11,FALSE))</f>
        <v/>
      </c>
      <c r="N883" s="95" t="str">
        <f>IF(B883="","", VLOOKUP(B883,RM!$C$4:$G984,12,FALSE))</f>
        <v/>
      </c>
    </row>
    <row r="884" spans="1:14">
      <c r="A884" s="87" t="str">
        <f t="shared" si="3"/>
        <v/>
      </c>
      <c r="B884" s="2"/>
      <c r="C884" s="87"/>
      <c r="D884" s="87"/>
      <c r="E884" s="87"/>
      <c r="F884" s="87"/>
      <c r="G884" s="87"/>
      <c r="H884" s="87"/>
      <c r="I884" s="87"/>
      <c r="J884" s="2"/>
      <c r="K884" s="2"/>
      <c r="L884" s="94" t="str">
        <f>IF(B884="","", VLOOKUP(B884,RM!$C$4:$G984,10,FALSE))</f>
        <v/>
      </c>
      <c r="M884" s="94" t="str">
        <f>IF(B884="","", VLOOKUP(B884,RM!$C$4:$G984,11,FALSE))</f>
        <v/>
      </c>
      <c r="N884" s="95" t="str">
        <f>IF(B884="","", VLOOKUP(B884,RM!$C$4:$G984,12,FALSE))</f>
        <v/>
      </c>
    </row>
    <row r="885" spans="1:14">
      <c r="A885" s="87" t="str">
        <f t="shared" si="3"/>
        <v/>
      </c>
      <c r="B885" s="2"/>
      <c r="C885" s="87"/>
      <c r="D885" s="87"/>
      <c r="E885" s="87"/>
      <c r="F885" s="87"/>
      <c r="G885" s="87"/>
      <c r="H885" s="87"/>
      <c r="I885" s="87"/>
      <c r="J885" s="2"/>
      <c r="K885" s="2"/>
      <c r="L885" s="94" t="str">
        <f>IF(B885="","", VLOOKUP(B885,RM!$C$4:$G984,10,FALSE))</f>
        <v/>
      </c>
      <c r="M885" s="94" t="str">
        <f>IF(B885="","", VLOOKUP(B885,RM!$C$4:$G984,11,FALSE))</f>
        <v/>
      </c>
      <c r="N885" s="95" t="str">
        <f>IF(B885="","", VLOOKUP(B885,RM!$C$4:$G984,12,FALSE))</f>
        <v/>
      </c>
    </row>
    <row r="886" spans="1:14">
      <c r="A886" s="87" t="str">
        <f t="shared" si="3"/>
        <v/>
      </c>
      <c r="B886" s="2"/>
      <c r="C886" s="87"/>
      <c r="D886" s="87"/>
      <c r="E886" s="87"/>
      <c r="F886" s="87"/>
      <c r="G886" s="87"/>
      <c r="H886" s="87"/>
      <c r="I886" s="87"/>
      <c r="J886" s="2"/>
      <c r="K886" s="2"/>
      <c r="L886" s="94" t="str">
        <f>IF(B886="","", VLOOKUP(B886,RM!$C$4:$G984,10,FALSE))</f>
        <v/>
      </c>
      <c r="M886" s="94" t="str">
        <f>IF(B886="","", VLOOKUP(B886,RM!$C$4:$G984,11,FALSE))</f>
        <v/>
      </c>
      <c r="N886" s="95" t="str">
        <f>IF(B886="","", VLOOKUP(B886,RM!$C$4:$G984,12,FALSE))</f>
        <v/>
      </c>
    </row>
    <row r="887" spans="1:14">
      <c r="A887" s="87" t="str">
        <f t="shared" si="3"/>
        <v/>
      </c>
      <c r="B887" s="2"/>
      <c r="C887" s="87"/>
      <c r="D887" s="87"/>
      <c r="E887" s="87"/>
      <c r="F887" s="87"/>
      <c r="G887" s="87"/>
      <c r="H887" s="87"/>
      <c r="I887" s="87"/>
      <c r="J887" s="2"/>
      <c r="K887" s="2"/>
      <c r="L887" s="94" t="str">
        <f>IF(B887="","", VLOOKUP(B887,RM!$C$4:$G984,10,FALSE))</f>
        <v/>
      </c>
      <c r="M887" s="94" t="str">
        <f>IF(B887="","", VLOOKUP(B887,RM!$C$4:$G984,11,FALSE))</f>
        <v/>
      </c>
      <c r="N887" s="95" t="str">
        <f>IF(B887="","", VLOOKUP(B887,RM!$C$4:$G984,12,FALSE))</f>
        <v/>
      </c>
    </row>
    <row r="888" spans="1:14">
      <c r="A888" s="87" t="str">
        <f t="shared" si="3"/>
        <v/>
      </c>
      <c r="B888" s="2"/>
      <c r="C888" s="87"/>
      <c r="D888" s="87"/>
      <c r="E888" s="87"/>
      <c r="F888" s="87"/>
      <c r="G888" s="87"/>
      <c r="H888" s="87"/>
      <c r="I888" s="87"/>
      <c r="J888" s="2"/>
      <c r="K888" s="2"/>
      <c r="L888" s="94" t="str">
        <f>IF(B888="","", VLOOKUP(B888,RM!$C$4:$G984,10,FALSE))</f>
        <v/>
      </c>
      <c r="M888" s="94" t="str">
        <f>IF(B888="","", VLOOKUP(B888,RM!$C$4:$G984,11,FALSE))</f>
        <v/>
      </c>
      <c r="N888" s="95" t="str">
        <f>IF(B888="","", VLOOKUP(B888,RM!$C$4:$G984,12,FALSE))</f>
        <v/>
      </c>
    </row>
    <row r="889" spans="1:14">
      <c r="A889" s="87" t="str">
        <f t="shared" si="3"/>
        <v/>
      </c>
      <c r="B889" s="2"/>
      <c r="C889" s="87"/>
      <c r="D889" s="87"/>
      <c r="E889" s="87"/>
      <c r="F889" s="87"/>
      <c r="G889" s="87"/>
      <c r="H889" s="87"/>
      <c r="I889" s="87"/>
      <c r="J889" s="2"/>
      <c r="K889" s="2"/>
      <c r="L889" s="94" t="str">
        <f>IF(B889="","", VLOOKUP(B889,RM!$C$4:$G984,10,FALSE))</f>
        <v/>
      </c>
      <c r="M889" s="94" t="str">
        <f>IF(B889="","", VLOOKUP(B889,RM!$C$4:$G984,11,FALSE))</f>
        <v/>
      </c>
      <c r="N889" s="95" t="str">
        <f>IF(B889="","", VLOOKUP(B889,RM!$C$4:$G984,12,FALSE))</f>
        <v/>
      </c>
    </row>
    <row r="890" spans="1:14">
      <c r="A890" s="87" t="str">
        <f t="shared" si="3"/>
        <v/>
      </c>
      <c r="B890" s="2"/>
      <c r="C890" s="87"/>
      <c r="D890" s="87"/>
      <c r="E890" s="87"/>
      <c r="F890" s="87"/>
      <c r="G890" s="87"/>
      <c r="H890" s="87"/>
      <c r="I890" s="87"/>
      <c r="J890" s="2"/>
      <c r="K890" s="2"/>
      <c r="L890" s="94" t="str">
        <f>IF(B890="","", VLOOKUP(B890,RM!$C$4:$G984,10,FALSE))</f>
        <v/>
      </c>
      <c r="M890" s="94" t="str">
        <f>IF(B890="","", VLOOKUP(B890,RM!$C$4:$G984,11,FALSE))</f>
        <v/>
      </c>
      <c r="N890" s="95" t="str">
        <f>IF(B890="","", VLOOKUP(B890,RM!$C$4:$G984,12,FALSE))</f>
        <v/>
      </c>
    </row>
    <row r="891" spans="1:14">
      <c r="A891" s="87" t="str">
        <f t="shared" si="3"/>
        <v/>
      </c>
      <c r="B891" s="2"/>
      <c r="C891" s="87"/>
      <c r="D891" s="87"/>
      <c r="E891" s="87"/>
      <c r="F891" s="87"/>
      <c r="G891" s="87"/>
      <c r="H891" s="87"/>
      <c r="I891" s="87"/>
      <c r="J891" s="2"/>
      <c r="K891" s="2"/>
      <c r="L891" s="94" t="str">
        <f>IF(B891="","", VLOOKUP(B891,RM!$C$4:$G984,10,FALSE))</f>
        <v/>
      </c>
      <c r="M891" s="94" t="str">
        <f>IF(B891="","", VLOOKUP(B891,RM!$C$4:$G984,11,FALSE))</f>
        <v/>
      </c>
      <c r="N891" s="95" t="str">
        <f>IF(B891="","", VLOOKUP(B891,RM!$C$4:$G984,12,FALSE))</f>
        <v/>
      </c>
    </row>
    <row r="892" spans="1:14">
      <c r="A892" s="87" t="str">
        <f t="shared" si="3"/>
        <v/>
      </c>
      <c r="B892" s="2"/>
      <c r="C892" s="87"/>
      <c r="D892" s="87"/>
      <c r="E892" s="87"/>
      <c r="F892" s="87"/>
      <c r="G892" s="87"/>
      <c r="H892" s="87"/>
      <c r="I892" s="87"/>
      <c r="J892" s="2"/>
      <c r="K892" s="2"/>
      <c r="L892" s="94" t="str">
        <f>IF(B892="","", VLOOKUP(B892,RM!$C$4:$G984,10,FALSE))</f>
        <v/>
      </c>
      <c r="M892" s="94" t="str">
        <f>IF(B892="","", VLOOKUP(B892,RM!$C$4:$G984,11,FALSE))</f>
        <v/>
      </c>
      <c r="N892" s="95" t="str">
        <f>IF(B892="","", VLOOKUP(B892,RM!$C$4:$G984,12,FALSE))</f>
        <v/>
      </c>
    </row>
    <row r="893" spans="1:14">
      <c r="A893" s="87" t="str">
        <f t="shared" si="3"/>
        <v/>
      </c>
      <c r="B893" s="2"/>
      <c r="C893" s="87"/>
      <c r="D893" s="87"/>
      <c r="E893" s="87"/>
      <c r="F893" s="87"/>
      <c r="G893" s="87"/>
      <c r="H893" s="87"/>
      <c r="I893" s="87"/>
      <c r="J893" s="2"/>
      <c r="K893" s="2"/>
      <c r="L893" s="94" t="str">
        <f>IF(B893="","", VLOOKUP(B893,RM!$C$4:$G984,10,FALSE))</f>
        <v/>
      </c>
      <c r="M893" s="94" t="str">
        <f>IF(B893="","", VLOOKUP(B893,RM!$C$4:$G984,11,FALSE))</f>
        <v/>
      </c>
      <c r="N893" s="95" t="str">
        <f>IF(B893="","", VLOOKUP(B893,RM!$C$4:$G984,12,FALSE))</f>
        <v/>
      </c>
    </row>
    <row r="894" spans="1:14">
      <c r="A894" s="87" t="str">
        <f t="shared" si="3"/>
        <v/>
      </c>
      <c r="B894" s="2"/>
      <c r="C894" s="87"/>
      <c r="D894" s="87"/>
      <c r="E894" s="87"/>
      <c r="F894" s="87"/>
      <c r="G894" s="87"/>
      <c r="H894" s="87"/>
      <c r="I894" s="87"/>
      <c r="J894" s="2"/>
      <c r="K894" s="2"/>
      <c r="L894" s="94" t="str">
        <f>IF(B894="","", VLOOKUP(B894,RM!$C$4:$G984,10,FALSE))</f>
        <v/>
      </c>
      <c r="M894" s="94" t="str">
        <f>IF(B894="","", VLOOKUP(B894,RM!$C$4:$G984,11,FALSE))</f>
        <v/>
      </c>
      <c r="N894" s="95" t="str">
        <f>IF(B894="","", VLOOKUP(B894,RM!$C$4:$G984,12,FALSE))</f>
        <v/>
      </c>
    </row>
    <row r="895" spans="1:14">
      <c r="A895" s="87" t="str">
        <f t="shared" si="3"/>
        <v/>
      </c>
      <c r="B895" s="2"/>
      <c r="C895" s="87"/>
      <c r="D895" s="87"/>
      <c r="E895" s="87"/>
      <c r="F895" s="87"/>
      <c r="G895" s="87"/>
      <c r="H895" s="87"/>
      <c r="I895" s="87"/>
      <c r="J895" s="2"/>
      <c r="K895" s="2"/>
      <c r="L895" s="94" t="str">
        <f>IF(B895="","", VLOOKUP(B895,RM!$C$4:$G984,10,FALSE))</f>
        <v/>
      </c>
      <c r="M895" s="94" t="str">
        <f>IF(B895="","", VLOOKUP(B895,RM!$C$4:$G984,11,FALSE))</f>
        <v/>
      </c>
      <c r="N895" s="95" t="str">
        <f>IF(B895="","", VLOOKUP(B895,RM!$C$4:$G984,12,FALSE))</f>
        <v/>
      </c>
    </row>
    <row r="896" spans="1:14">
      <c r="A896" s="87" t="str">
        <f t="shared" si="3"/>
        <v/>
      </c>
      <c r="B896" s="2"/>
      <c r="C896" s="87"/>
      <c r="D896" s="87"/>
      <c r="E896" s="87"/>
      <c r="F896" s="87"/>
      <c r="G896" s="87"/>
      <c r="H896" s="87"/>
      <c r="I896" s="87"/>
      <c r="J896" s="2"/>
      <c r="K896" s="2"/>
      <c r="L896" s="94" t="str">
        <f>IF(B896="","", VLOOKUP(B896,RM!$C$4:$G984,10,FALSE))</f>
        <v/>
      </c>
      <c r="M896" s="94" t="str">
        <f>IF(B896="","", VLOOKUP(B896,RM!$C$4:$G984,11,FALSE))</f>
        <v/>
      </c>
      <c r="N896" s="95" t="str">
        <f>IF(B896="","", VLOOKUP(B896,RM!$C$4:$G984,12,FALSE))</f>
        <v/>
      </c>
    </row>
    <row r="897" spans="1:14">
      <c r="A897" s="87" t="str">
        <f t="shared" si="3"/>
        <v/>
      </c>
      <c r="B897" s="2"/>
      <c r="C897" s="87"/>
      <c r="D897" s="87"/>
      <c r="E897" s="87"/>
      <c r="F897" s="87"/>
      <c r="G897" s="87"/>
      <c r="H897" s="87"/>
      <c r="I897" s="87"/>
      <c r="J897" s="2"/>
      <c r="K897" s="2"/>
      <c r="L897" s="94" t="str">
        <f>IF(B897="","", VLOOKUP(B897,RM!$C$4:$G984,10,FALSE))</f>
        <v/>
      </c>
      <c r="M897" s="94" t="str">
        <f>IF(B897="","", VLOOKUP(B897,RM!$C$4:$G984,11,FALSE))</f>
        <v/>
      </c>
      <c r="N897" s="95" t="str">
        <f>IF(B897="","", VLOOKUP(B897,RM!$C$4:$G984,12,FALSE))</f>
        <v/>
      </c>
    </row>
    <row r="898" spans="1:14">
      <c r="A898" s="87" t="str">
        <f t="shared" si="3"/>
        <v/>
      </c>
      <c r="B898" s="2"/>
      <c r="C898" s="87"/>
      <c r="D898" s="87"/>
      <c r="E898" s="87"/>
      <c r="F898" s="87"/>
      <c r="G898" s="87"/>
      <c r="H898" s="87"/>
      <c r="I898" s="87"/>
      <c r="J898" s="2"/>
      <c r="K898" s="2"/>
      <c r="L898" s="94" t="str">
        <f>IF(B898="","", VLOOKUP(B898,RM!$C$4:$G984,10,FALSE))</f>
        <v/>
      </c>
      <c r="M898" s="94" t="str">
        <f>IF(B898="","", VLOOKUP(B898,RM!$C$4:$G984,11,FALSE))</f>
        <v/>
      </c>
      <c r="N898" s="95" t="str">
        <f>IF(B898="","", VLOOKUP(B898,RM!$C$4:$G984,12,FALSE))</f>
        <v/>
      </c>
    </row>
    <row r="899" spans="1:14">
      <c r="A899" s="87" t="str">
        <f t="shared" si="3"/>
        <v/>
      </c>
      <c r="B899" s="2"/>
      <c r="C899" s="87"/>
      <c r="D899" s="87"/>
      <c r="E899" s="87"/>
      <c r="F899" s="87"/>
      <c r="G899" s="87"/>
      <c r="H899" s="87"/>
      <c r="I899" s="87"/>
      <c r="J899" s="2"/>
      <c r="K899" s="2"/>
      <c r="L899" s="94" t="str">
        <f>IF(B899="","", VLOOKUP(B899,RM!$C$4:$G984,10,FALSE))</f>
        <v/>
      </c>
      <c r="M899" s="94" t="str">
        <f>IF(B899="","", VLOOKUP(B899,RM!$C$4:$G984,11,FALSE))</f>
        <v/>
      </c>
      <c r="N899" s="95" t="str">
        <f>IF(B899="","", VLOOKUP(B899,RM!$C$4:$G984,12,FALSE))</f>
        <v/>
      </c>
    </row>
    <row r="900" spans="1:14">
      <c r="A900" s="87" t="str">
        <f t="shared" si="3"/>
        <v/>
      </c>
      <c r="B900" s="2"/>
      <c r="C900" s="87"/>
      <c r="D900" s="87"/>
      <c r="E900" s="87"/>
      <c r="F900" s="87"/>
      <c r="G900" s="87"/>
      <c r="H900" s="87"/>
      <c r="I900" s="87"/>
      <c r="J900" s="2"/>
      <c r="K900" s="2"/>
      <c r="L900" s="94" t="str">
        <f>IF(B900="","", VLOOKUP(B900,RM!$C$4:$G984,10,FALSE))</f>
        <v/>
      </c>
      <c r="M900" s="94" t="str">
        <f>IF(B900="","", VLOOKUP(B900,RM!$C$4:$G984,11,FALSE))</f>
        <v/>
      </c>
      <c r="N900" s="95" t="str">
        <f>IF(B900="","", VLOOKUP(B900,RM!$C$4:$G984,12,FALSE))</f>
        <v/>
      </c>
    </row>
    <row r="901" spans="1:14">
      <c r="A901" s="87" t="str">
        <f t="shared" si="3"/>
        <v/>
      </c>
      <c r="B901" s="2"/>
      <c r="C901" s="87"/>
      <c r="D901" s="87"/>
      <c r="E901" s="87"/>
      <c r="F901" s="87"/>
      <c r="G901" s="87"/>
      <c r="H901" s="87"/>
      <c r="I901" s="87"/>
      <c r="J901" s="2"/>
      <c r="K901" s="2"/>
      <c r="L901" s="94" t="str">
        <f>IF(B901="","", VLOOKUP(B901,RM!$C$4:$G984,10,FALSE))</f>
        <v/>
      </c>
      <c r="M901" s="94" t="str">
        <f>IF(B901="","", VLOOKUP(B901,RM!$C$4:$G984,11,FALSE))</f>
        <v/>
      </c>
      <c r="N901" s="95" t="str">
        <f>IF(B901="","", VLOOKUP(B901,RM!$C$4:$G984,12,FALSE))</f>
        <v/>
      </c>
    </row>
    <row r="902" spans="1:14">
      <c r="A902" s="87" t="str">
        <f t="shared" si="3"/>
        <v/>
      </c>
      <c r="B902" s="2"/>
      <c r="C902" s="87"/>
      <c r="D902" s="87"/>
      <c r="E902" s="87"/>
      <c r="F902" s="87"/>
      <c r="G902" s="87"/>
      <c r="H902" s="87"/>
      <c r="I902" s="87"/>
      <c r="J902" s="2"/>
      <c r="K902" s="2"/>
      <c r="L902" s="94" t="str">
        <f>IF(B902="","", VLOOKUP(B902,RM!$C$4:$G984,10,FALSE))</f>
        <v/>
      </c>
      <c r="M902" s="94" t="str">
        <f>IF(B902="","", VLOOKUP(B902,RM!$C$4:$G984,11,FALSE))</f>
        <v/>
      </c>
      <c r="N902" s="95" t="str">
        <f>IF(B902="","", VLOOKUP(B902,RM!$C$4:$G984,12,FALSE))</f>
        <v/>
      </c>
    </row>
    <row r="903" spans="1:14">
      <c r="A903" s="87" t="str">
        <f t="shared" si="3"/>
        <v/>
      </c>
      <c r="B903" s="2"/>
      <c r="C903" s="87"/>
      <c r="D903" s="87"/>
      <c r="E903" s="87"/>
      <c r="F903" s="87"/>
      <c r="G903" s="87"/>
      <c r="H903" s="87"/>
      <c r="I903" s="87"/>
      <c r="J903" s="2"/>
      <c r="K903" s="2"/>
      <c r="L903" s="94" t="str">
        <f>IF(B903="","", VLOOKUP(B903,RM!$C$4:$G984,10,FALSE))</f>
        <v/>
      </c>
      <c r="M903" s="94" t="str">
        <f>IF(B903="","", VLOOKUP(B903,RM!$C$4:$G984,11,FALSE))</f>
        <v/>
      </c>
      <c r="N903" s="95" t="str">
        <f>IF(B903="","", VLOOKUP(B903,RM!$C$4:$G984,12,FALSE))</f>
        <v/>
      </c>
    </row>
    <row r="904" spans="1:14">
      <c r="A904" s="87" t="str">
        <f t="shared" si="3"/>
        <v/>
      </c>
      <c r="B904" s="2"/>
      <c r="C904" s="87"/>
      <c r="D904" s="87"/>
      <c r="E904" s="87"/>
      <c r="F904" s="87"/>
      <c r="G904" s="87"/>
      <c r="H904" s="87"/>
      <c r="I904" s="87"/>
      <c r="J904" s="2"/>
      <c r="K904" s="2"/>
      <c r="L904" s="94" t="str">
        <f>IF(B904="","", VLOOKUP(B904,RM!$C$4:$G984,10,FALSE))</f>
        <v/>
      </c>
      <c r="M904" s="94" t="str">
        <f>IF(B904="","", VLOOKUP(B904,RM!$C$4:$G984,11,FALSE))</f>
        <v/>
      </c>
      <c r="N904" s="95" t="str">
        <f>IF(B904="","", VLOOKUP(B904,RM!$C$4:$G984,12,FALSE))</f>
        <v/>
      </c>
    </row>
    <row r="905" spans="1:14">
      <c r="A905" s="87" t="str">
        <f t="shared" si="3"/>
        <v/>
      </c>
      <c r="B905" s="2"/>
      <c r="C905" s="87"/>
      <c r="D905" s="87"/>
      <c r="E905" s="87"/>
      <c r="F905" s="87"/>
      <c r="G905" s="87"/>
      <c r="H905" s="87"/>
      <c r="I905" s="87"/>
      <c r="J905" s="2"/>
      <c r="K905" s="2"/>
      <c r="L905" s="94" t="str">
        <f>IF(B905="","", VLOOKUP(B905,RM!$C$4:$G984,10,FALSE))</f>
        <v/>
      </c>
      <c r="M905" s="94" t="str">
        <f>IF(B905="","", VLOOKUP(B905,RM!$C$4:$G984,11,FALSE))</f>
        <v/>
      </c>
      <c r="N905" s="95" t="str">
        <f>IF(B905="","", VLOOKUP(B905,RM!$C$4:$G984,12,FALSE))</f>
        <v/>
      </c>
    </row>
    <row r="906" spans="1:14">
      <c r="A906" s="87" t="str">
        <f t="shared" si="3"/>
        <v/>
      </c>
      <c r="B906" s="2"/>
      <c r="C906" s="87"/>
      <c r="D906" s="87"/>
      <c r="E906" s="87"/>
      <c r="F906" s="87"/>
      <c r="G906" s="87"/>
      <c r="H906" s="87"/>
      <c r="I906" s="87"/>
      <c r="J906" s="2"/>
      <c r="K906" s="2"/>
      <c r="L906" s="94" t="str">
        <f>IF(B906="","", VLOOKUP(B906,RM!$C$4:$G984,10,FALSE))</f>
        <v/>
      </c>
      <c r="M906" s="94" t="str">
        <f>IF(B906="","", VLOOKUP(B906,RM!$C$4:$G984,11,FALSE))</f>
        <v/>
      </c>
      <c r="N906" s="95" t="str">
        <f>IF(B906="","", VLOOKUP(B906,RM!$C$4:$G984,12,FALSE))</f>
        <v/>
      </c>
    </row>
    <row r="907" spans="1:14">
      <c r="A907" s="87" t="str">
        <f t="shared" si="3"/>
        <v/>
      </c>
      <c r="B907" s="2"/>
      <c r="C907" s="87"/>
      <c r="D907" s="87"/>
      <c r="E907" s="87"/>
      <c r="F907" s="87"/>
      <c r="G907" s="87"/>
      <c r="H907" s="87"/>
      <c r="I907" s="87"/>
      <c r="J907" s="2"/>
      <c r="K907" s="2"/>
      <c r="L907" s="94" t="str">
        <f>IF(B907="","", VLOOKUP(B907,RM!$C$4:$G984,10,FALSE))</f>
        <v/>
      </c>
      <c r="M907" s="94" t="str">
        <f>IF(B907="","", VLOOKUP(B907,RM!$C$4:$G984,11,FALSE))</f>
        <v/>
      </c>
      <c r="N907" s="95" t="str">
        <f>IF(B907="","", VLOOKUP(B907,RM!$C$4:$G984,12,FALSE))</f>
        <v/>
      </c>
    </row>
    <row r="908" spans="1:14">
      <c r="A908" s="87" t="str">
        <f t="shared" si="3"/>
        <v/>
      </c>
      <c r="B908" s="2"/>
      <c r="C908" s="87"/>
      <c r="D908" s="87"/>
      <c r="E908" s="87"/>
      <c r="F908" s="87"/>
      <c r="G908" s="87"/>
      <c r="H908" s="87"/>
      <c r="I908" s="87"/>
      <c r="J908" s="2"/>
      <c r="K908" s="2"/>
      <c r="L908" s="94" t="str">
        <f>IF(B908="","", VLOOKUP(B908,RM!$C$4:$G984,10,FALSE))</f>
        <v/>
      </c>
      <c r="M908" s="94" t="str">
        <f>IF(B908="","", VLOOKUP(B908,RM!$C$4:$G984,11,FALSE))</f>
        <v/>
      </c>
      <c r="N908" s="95" t="str">
        <f>IF(B908="","", VLOOKUP(B908,RM!$C$4:$G984,12,FALSE))</f>
        <v/>
      </c>
    </row>
    <row r="909" spans="1:14">
      <c r="A909" s="87" t="str">
        <f t="shared" si="3"/>
        <v/>
      </c>
      <c r="B909" s="2"/>
      <c r="C909" s="87"/>
      <c r="D909" s="87"/>
      <c r="E909" s="87"/>
      <c r="F909" s="87"/>
      <c r="G909" s="87"/>
      <c r="H909" s="87"/>
      <c r="I909" s="87"/>
      <c r="J909" s="2"/>
      <c r="K909" s="2"/>
      <c r="L909" s="94" t="str">
        <f>IF(B909="","", VLOOKUP(B909,RM!$C$4:$G984,10,FALSE))</f>
        <v/>
      </c>
      <c r="M909" s="94" t="str">
        <f>IF(B909="","", VLOOKUP(B909,RM!$C$4:$G984,11,FALSE))</f>
        <v/>
      </c>
      <c r="N909" s="95" t="str">
        <f>IF(B909="","", VLOOKUP(B909,RM!$C$4:$G984,12,FALSE))</f>
        <v/>
      </c>
    </row>
    <row r="910" spans="1:14">
      <c r="A910" s="87" t="str">
        <f t="shared" si="3"/>
        <v/>
      </c>
      <c r="B910" s="2"/>
      <c r="C910" s="87"/>
      <c r="D910" s="87"/>
      <c r="E910" s="87"/>
      <c r="F910" s="87"/>
      <c r="G910" s="87"/>
      <c r="H910" s="87"/>
      <c r="I910" s="87"/>
      <c r="J910" s="2"/>
      <c r="K910" s="2"/>
      <c r="L910" s="94" t="str">
        <f>IF(B910="","", VLOOKUP(B910,RM!$C$4:$G984,10,FALSE))</f>
        <v/>
      </c>
      <c r="M910" s="94" t="str">
        <f>IF(B910="","", VLOOKUP(B910,RM!$C$4:$G984,11,FALSE))</f>
        <v/>
      </c>
      <c r="N910" s="95" t="str">
        <f>IF(B910="","", VLOOKUP(B910,RM!$C$4:$G984,12,FALSE))</f>
        <v/>
      </c>
    </row>
    <row r="911" spans="1:14">
      <c r="A911" s="87" t="str">
        <f t="shared" si="3"/>
        <v/>
      </c>
      <c r="B911" s="2"/>
      <c r="C911" s="87"/>
      <c r="D911" s="87"/>
      <c r="E911" s="87"/>
      <c r="F911" s="87"/>
      <c r="G911" s="87"/>
      <c r="H911" s="87"/>
      <c r="I911" s="87"/>
      <c r="J911" s="2"/>
      <c r="K911" s="2"/>
      <c r="L911" s="94" t="str">
        <f>IF(B911="","", VLOOKUP(B911,RM!$C$4:$G984,10,FALSE))</f>
        <v/>
      </c>
      <c r="M911" s="94" t="str">
        <f>IF(B911="","", VLOOKUP(B911,RM!$C$4:$G984,11,FALSE))</f>
        <v/>
      </c>
      <c r="N911" s="95" t="str">
        <f>IF(B911="","", VLOOKUP(B911,RM!$C$4:$G984,12,FALSE))</f>
        <v/>
      </c>
    </row>
    <row r="912" spans="1:14">
      <c r="A912" s="87" t="str">
        <f t="shared" si="3"/>
        <v/>
      </c>
      <c r="B912" s="2"/>
      <c r="C912" s="87"/>
      <c r="D912" s="87"/>
      <c r="E912" s="87"/>
      <c r="F912" s="87"/>
      <c r="G912" s="87"/>
      <c r="H912" s="87"/>
      <c r="I912" s="87"/>
      <c r="J912" s="2"/>
      <c r="K912" s="2"/>
      <c r="L912" s="94" t="str">
        <f>IF(B912="","", VLOOKUP(B912,RM!$C$4:$G984,10,FALSE))</f>
        <v/>
      </c>
      <c r="M912" s="94" t="str">
        <f>IF(B912="","", VLOOKUP(B912,RM!$C$4:$G984,11,FALSE))</f>
        <v/>
      </c>
      <c r="N912" s="95" t="str">
        <f>IF(B912="","", VLOOKUP(B912,RM!$C$4:$G984,12,FALSE))</f>
        <v/>
      </c>
    </row>
    <row r="913" spans="1:14">
      <c r="A913" s="87" t="str">
        <f t="shared" si="3"/>
        <v/>
      </c>
      <c r="B913" s="2"/>
      <c r="C913" s="87"/>
      <c r="D913" s="87"/>
      <c r="E913" s="87"/>
      <c r="F913" s="87"/>
      <c r="G913" s="87"/>
      <c r="H913" s="87"/>
      <c r="I913" s="87"/>
      <c r="J913" s="2"/>
      <c r="K913" s="2"/>
      <c r="L913" s="94" t="str">
        <f>IF(B913="","", VLOOKUP(B913,RM!$C$4:$G984,10,FALSE))</f>
        <v/>
      </c>
      <c r="M913" s="94" t="str">
        <f>IF(B913="","", VLOOKUP(B913,RM!$C$4:$G984,11,FALSE))</f>
        <v/>
      </c>
      <c r="N913" s="95" t="str">
        <f>IF(B913="","", VLOOKUP(B913,RM!$C$4:$G984,12,FALSE))</f>
        <v/>
      </c>
    </row>
    <row r="914" spans="1:14">
      <c r="A914" s="87" t="str">
        <f t="shared" si="3"/>
        <v/>
      </c>
      <c r="B914" s="2"/>
      <c r="C914" s="87"/>
      <c r="D914" s="87"/>
      <c r="E914" s="87"/>
      <c r="F914" s="87"/>
      <c r="G914" s="87"/>
      <c r="H914" s="87"/>
      <c r="I914" s="87"/>
      <c r="J914" s="2"/>
      <c r="K914" s="2"/>
      <c r="L914" s="94" t="str">
        <f>IF(B914="","", VLOOKUP(B914,RM!$C$4:$G984,10,FALSE))</f>
        <v/>
      </c>
      <c r="M914" s="94" t="str">
        <f>IF(B914="","", VLOOKUP(B914,RM!$C$4:$G984,11,FALSE))</f>
        <v/>
      </c>
      <c r="N914" s="95" t="str">
        <f>IF(B914="","", VLOOKUP(B914,RM!$C$4:$G984,12,FALSE))</f>
        <v/>
      </c>
    </row>
    <row r="915" spans="1:14">
      <c r="A915" s="87" t="str">
        <f t="shared" si="3"/>
        <v/>
      </c>
      <c r="B915" s="2"/>
      <c r="C915" s="87"/>
      <c r="D915" s="87"/>
      <c r="E915" s="87"/>
      <c r="F915" s="87"/>
      <c r="G915" s="87"/>
      <c r="H915" s="87"/>
      <c r="I915" s="87"/>
      <c r="J915" s="2"/>
      <c r="K915" s="2"/>
      <c r="L915" s="94" t="str">
        <f>IF(B915="","", VLOOKUP(B915,RM!$C$4:$G984,10,FALSE))</f>
        <v/>
      </c>
      <c r="M915" s="94" t="str">
        <f>IF(B915="","", VLOOKUP(B915,RM!$C$4:$G984,11,FALSE))</f>
        <v/>
      </c>
      <c r="N915" s="95" t="str">
        <f>IF(B915="","", VLOOKUP(B915,RM!$C$4:$G984,12,FALSE))</f>
        <v/>
      </c>
    </row>
    <row r="916" spans="1:14">
      <c r="A916" s="87" t="str">
        <f t="shared" si="3"/>
        <v/>
      </c>
      <c r="B916" s="2"/>
      <c r="C916" s="87"/>
      <c r="D916" s="87"/>
      <c r="E916" s="87"/>
      <c r="F916" s="87"/>
      <c r="G916" s="87"/>
      <c r="H916" s="87"/>
      <c r="I916" s="87"/>
      <c r="J916" s="2"/>
      <c r="K916" s="2"/>
      <c r="L916" s="94" t="str">
        <f>IF(B916="","", VLOOKUP(B916,RM!$C$4:$G984,10,FALSE))</f>
        <v/>
      </c>
      <c r="M916" s="94" t="str">
        <f>IF(B916="","", VLOOKUP(B916,RM!$C$4:$G984,11,FALSE))</f>
        <v/>
      </c>
      <c r="N916" s="95" t="str">
        <f>IF(B916="","", VLOOKUP(B916,RM!$C$4:$G984,12,FALSE))</f>
        <v/>
      </c>
    </row>
    <row r="917" spans="1:14">
      <c r="A917" s="87" t="str">
        <f t="shared" si="3"/>
        <v/>
      </c>
      <c r="B917" s="2"/>
      <c r="C917" s="87"/>
      <c r="D917" s="87"/>
      <c r="E917" s="87"/>
      <c r="F917" s="87"/>
      <c r="G917" s="87"/>
      <c r="H917" s="87"/>
      <c r="I917" s="87"/>
      <c r="J917" s="2"/>
      <c r="K917" s="2"/>
      <c r="L917" s="94" t="str">
        <f>IF(B917="","", VLOOKUP(B917,RM!$C$4:$G984,10,FALSE))</f>
        <v/>
      </c>
      <c r="M917" s="94" t="str">
        <f>IF(B917="","", VLOOKUP(B917,RM!$C$4:$G984,11,FALSE))</f>
        <v/>
      </c>
      <c r="N917" s="95" t="str">
        <f>IF(B917="","", VLOOKUP(B917,RM!$C$4:$G984,12,FALSE))</f>
        <v/>
      </c>
    </row>
    <row r="918" spans="1:14">
      <c r="A918" s="87" t="str">
        <f t="shared" si="3"/>
        <v/>
      </c>
      <c r="B918" s="2"/>
      <c r="C918" s="87"/>
      <c r="D918" s="87"/>
      <c r="E918" s="87"/>
      <c r="F918" s="87"/>
      <c r="G918" s="87"/>
      <c r="H918" s="87"/>
      <c r="I918" s="87"/>
      <c r="J918" s="2"/>
      <c r="K918" s="2"/>
      <c r="L918" s="94" t="str">
        <f>IF(B918="","", VLOOKUP(B918,RM!$C$4:$G984,10,FALSE))</f>
        <v/>
      </c>
      <c r="M918" s="94" t="str">
        <f>IF(B918="","", VLOOKUP(B918,RM!$C$4:$G984,11,FALSE))</f>
        <v/>
      </c>
      <c r="N918" s="95" t="str">
        <f>IF(B918="","", VLOOKUP(B918,RM!$C$4:$G984,12,FALSE))</f>
        <v/>
      </c>
    </row>
    <row r="919" spans="1:14">
      <c r="A919" s="87" t="str">
        <f t="shared" si="3"/>
        <v/>
      </c>
      <c r="B919" s="2"/>
      <c r="C919" s="87"/>
      <c r="D919" s="87"/>
      <c r="E919" s="87"/>
      <c r="F919" s="87"/>
      <c r="G919" s="87"/>
      <c r="H919" s="87"/>
      <c r="I919" s="87"/>
      <c r="J919" s="2"/>
      <c r="K919" s="2"/>
      <c r="L919" s="94" t="str">
        <f>IF(B919="","", VLOOKUP(B919,RM!$C$4:$G984,10,FALSE))</f>
        <v/>
      </c>
      <c r="M919" s="94" t="str">
        <f>IF(B919="","", VLOOKUP(B919,RM!$C$4:$G984,11,FALSE))</f>
        <v/>
      </c>
      <c r="N919" s="95" t="str">
        <f>IF(B919="","", VLOOKUP(B919,RM!$C$4:$G984,12,FALSE))</f>
        <v/>
      </c>
    </row>
    <row r="920" spans="1:14">
      <c r="A920" s="87" t="str">
        <f t="shared" si="3"/>
        <v/>
      </c>
      <c r="B920" s="2"/>
      <c r="C920" s="87"/>
      <c r="D920" s="87"/>
      <c r="E920" s="87"/>
      <c r="F920" s="87"/>
      <c r="G920" s="87"/>
      <c r="H920" s="87"/>
      <c r="I920" s="87"/>
      <c r="J920" s="2"/>
      <c r="K920" s="2"/>
      <c r="L920" s="94" t="str">
        <f>IF(B920="","", VLOOKUP(B920,RM!$C$4:$G984,10,FALSE))</f>
        <v/>
      </c>
      <c r="M920" s="94" t="str">
        <f>IF(B920="","", VLOOKUP(B920,RM!$C$4:$G984,11,FALSE))</f>
        <v/>
      </c>
      <c r="N920" s="95" t="str">
        <f>IF(B920="","", VLOOKUP(B920,RM!$C$4:$G984,12,FALSE))</f>
        <v/>
      </c>
    </row>
    <row r="921" spans="1:14">
      <c r="A921" s="87" t="str">
        <f t="shared" si="3"/>
        <v/>
      </c>
      <c r="B921" s="2"/>
      <c r="C921" s="87"/>
      <c r="D921" s="87"/>
      <c r="E921" s="87"/>
      <c r="F921" s="87"/>
      <c r="G921" s="87"/>
      <c r="H921" s="87"/>
      <c r="I921" s="87"/>
      <c r="J921" s="2"/>
      <c r="K921" s="2"/>
      <c r="L921" s="94" t="str">
        <f>IF(B921="","", VLOOKUP(B921,RM!$C$4:$G984,10,FALSE))</f>
        <v/>
      </c>
      <c r="M921" s="94" t="str">
        <f>IF(B921="","", VLOOKUP(B921,RM!$C$4:$G984,11,FALSE))</f>
        <v/>
      </c>
      <c r="N921" s="95" t="str">
        <f>IF(B921="","", VLOOKUP(B921,RM!$C$4:$G984,12,FALSE))</f>
        <v/>
      </c>
    </row>
    <row r="922" spans="1:14">
      <c r="A922" s="87" t="str">
        <f t="shared" si="3"/>
        <v/>
      </c>
      <c r="B922" s="2"/>
      <c r="C922" s="87"/>
      <c r="D922" s="87"/>
      <c r="E922" s="87"/>
      <c r="F922" s="87"/>
      <c r="G922" s="87"/>
      <c r="H922" s="87"/>
      <c r="I922" s="87"/>
      <c r="J922" s="2"/>
      <c r="K922" s="2"/>
      <c r="L922" s="94" t="str">
        <f>IF(B922="","", VLOOKUP(B922,RM!$C$4:$G984,10,FALSE))</f>
        <v/>
      </c>
      <c r="M922" s="94" t="str">
        <f>IF(B922="","", VLOOKUP(B922,RM!$C$4:$G984,11,FALSE))</f>
        <v/>
      </c>
      <c r="N922" s="95" t="str">
        <f>IF(B922="","", VLOOKUP(B922,RM!$C$4:$G984,12,FALSE))</f>
        <v/>
      </c>
    </row>
    <row r="923" spans="1:14">
      <c r="A923" s="87" t="str">
        <f t="shared" si="3"/>
        <v/>
      </c>
      <c r="B923" s="2"/>
      <c r="C923" s="87"/>
      <c r="D923" s="87"/>
      <c r="E923" s="87"/>
      <c r="F923" s="87"/>
      <c r="G923" s="87"/>
      <c r="H923" s="87"/>
      <c r="I923" s="87"/>
      <c r="J923" s="2"/>
      <c r="K923" s="2"/>
      <c r="L923" s="94" t="str">
        <f>IF(B923="","", VLOOKUP(B923,RM!$C$4:$G984,10,FALSE))</f>
        <v/>
      </c>
      <c r="M923" s="94" t="str">
        <f>IF(B923="","", VLOOKUP(B923,RM!$C$4:$G984,11,FALSE))</f>
        <v/>
      </c>
      <c r="N923" s="95" t="str">
        <f>IF(B923="","", VLOOKUP(B923,RM!$C$4:$G984,12,FALSE))</f>
        <v/>
      </c>
    </row>
    <row r="924" spans="1:14">
      <c r="A924" s="87" t="str">
        <f t="shared" si="3"/>
        <v/>
      </c>
      <c r="B924" s="2"/>
      <c r="C924" s="87"/>
      <c r="D924" s="87"/>
      <c r="E924" s="87"/>
      <c r="F924" s="87"/>
      <c r="G924" s="87"/>
      <c r="H924" s="87"/>
      <c r="I924" s="87"/>
      <c r="J924" s="2"/>
      <c r="K924" s="2"/>
      <c r="L924" s="94" t="str">
        <f>IF(B924="","", VLOOKUP(B924,RM!$C$4:$G984,10,FALSE))</f>
        <v/>
      </c>
      <c r="M924" s="94" t="str">
        <f>IF(B924="","", VLOOKUP(B924,RM!$C$4:$G984,11,FALSE))</f>
        <v/>
      </c>
      <c r="N924" s="95" t="str">
        <f>IF(B924="","", VLOOKUP(B924,RM!$C$4:$G984,12,FALSE))</f>
        <v/>
      </c>
    </row>
    <row r="925" spans="1:14">
      <c r="A925" s="87" t="str">
        <f t="shared" si="3"/>
        <v/>
      </c>
      <c r="B925" s="2"/>
      <c r="C925" s="87"/>
      <c r="D925" s="87"/>
      <c r="E925" s="87"/>
      <c r="F925" s="87"/>
      <c r="G925" s="87"/>
      <c r="H925" s="87"/>
      <c r="I925" s="87"/>
      <c r="J925" s="2"/>
      <c r="K925" s="2"/>
      <c r="L925" s="94" t="str">
        <f>IF(B925="","", VLOOKUP(B925,RM!$C$4:$G984,10,FALSE))</f>
        <v/>
      </c>
      <c r="M925" s="94" t="str">
        <f>IF(B925="","", VLOOKUP(B925,RM!$C$4:$G984,11,FALSE))</f>
        <v/>
      </c>
      <c r="N925" s="95" t="str">
        <f>IF(B925="","", VLOOKUP(B925,RM!$C$4:$G984,12,FALSE))</f>
        <v/>
      </c>
    </row>
    <row r="926" spans="1:14">
      <c r="A926" s="87" t="str">
        <f t="shared" si="3"/>
        <v/>
      </c>
      <c r="B926" s="2"/>
      <c r="C926" s="87"/>
      <c r="D926" s="87"/>
      <c r="E926" s="87"/>
      <c r="F926" s="87"/>
      <c r="G926" s="87"/>
      <c r="H926" s="87"/>
      <c r="I926" s="87"/>
      <c r="J926" s="2"/>
      <c r="K926" s="2"/>
      <c r="L926" s="94" t="str">
        <f>IF(B926="","", VLOOKUP(B926,RM!$C$4:$G984,10,FALSE))</f>
        <v/>
      </c>
      <c r="M926" s="94" t="str">
        <f>IF(B926="","", VLOOKUP(B926,RM!$C$4:$G984,11,FALSE))</f>
        <v/>
      </c>
      <c r="N926" s="95" t="str">
        <f>IF(B926="","", VLOOKUP(B926,RM!$C$4:$G984,12,FALSE))</f>
        <v/>
      </c>
    </row>
    <row r="927" spans="1:14">
      <c r="A927" s="87" t="str">
        <f t="shared" si="3"/>
        <v/>
      </c>
      <c r="B927" s="2"/>
      <c r="C927" s="87"/>
      <c r="D927" s="87"/>
      <c r="E927" s="87"/>
      <c r="F927" s="87"/>
      <c r="G927" s="87"/>
      <c r="H927" s="87"/>
      <c r="I927" s="87"/>
      <c r="J927" s="2"/>
      <c r="K927" s="2"/>
      <c r="L927" s="94" t="str">
        <f>IF(B927="","", VLOOKUP(B927,RM!$C$4:$G984,10,FALSE))</f>
        <v/>
      </c>
      <c r="M927" s="94" t="str">
        <f>IF(B927="","", VLOOKUP(B927,RM!$C$4:$G984,11,FALSE))</f>
        <v/>
      </c>
      <c r="N927" s="95" t="str">
        <f>IF(B927="","", VLOOKUP(B927,RM!$C$4:$G984,12,FALSE))</f>
        <v/>
      </c>
    </row>
    <row r="928" spans="1:14">
      <c r="A928" s="87" t="str">
        <f t="shared" si="3"/>
        <v/>
      </c>
      <c r="B928" s="2"/>
      <c r="C928" s="87"/>
      <c r="D928" s="87"/>
      <c r="E928" s="87"/>
      <c r="F928" s="87"/>
      <c r="G928" s="87"/>
      <c r="H928" s="87"/>
      <c r="I928" s="87"/>
      <c r="J928" s="2"/>
      <c r="K928" s="2"/>
      <c r="L928" s="94" t="str">
        <f>IF(B928="","", VLOOKUP(B928,RM!$C$4:$G984,10,FALSE))</f>
        <v/>
      </c>
      <c r="M928" s="94" t="str">
        <f>IF(B928="","", VLOOKUP(B928,RM!$C$4:$G984,11,FALSE))</f>
        <v/>
      </c>
      <c r="N928" s="95" t="str">
        <f>IF(B928="","", VLOOKUP(B928,RM!$C$4:$G984,12,FALSE))</f>
        <v/>
      </c>
    </row>
    <row r="929" spans="1:14">
      <c r="A929" s="87" t="str">
        <f t="shared" si="3"/>
        <v/>
      </c>
      <c r="B929" s="2"/>
      <c r="C929" s="87"/>
      <c r="D929" s="87"/>
      <c r="E929" s="87"/>
      <c r="F929" s="87"/>
      <c r="G929" s="87"/>
      <c r="H929" s="87"/>
      <c r="I929" s="87"/>
      <c r="J929" s="2"/>
      <c r="K929" s="2"/>
      <c r="L929" s="94" t="str">
        <f>IF(B929="","", VLOOKUP(B929,RM!$C$4:$G984,10,FALSE))</f>
        <v/>
      </c>
      <c r="M929" s="94" t="str">
        <f>IF(B929="","", VLOOKUP(B929,RM!$C$4:$G984,11,FALSE))</f>
        <v/>
      </c>
      <c r="N929" s="95" t="str">
        <f>IF(B929="","", VLOOKUP(B929,RM!$C$4:$G984,12,FALSE))</f>
        <v/>
      </c>
    </row>
    <row r="930" spans="1:14">
      <c r="A930" s="87" t="str">
        <f t="shared" si="3"/>
        <v/>
      </c>
      <c r="B930" s="2"/>
      <c r="C930" s="87"/>
      <c r="D930" s="87"/>
      <c r="E930" s="87"/>
      <c r="F930" s="87"/>
      <c r="G930" s="87"/>
      <c r="H930" s="87"/>
      <c r="I930" s="87"/>
      <c r="J930" s="2"/>
      <c r="K930" s="2"/>
      <c r="L930" s="94" t="str">
        <f>IF(B930="","", VLOOKUP(B930,RM!$C$4:$G984,10,FALSE))</f>
        <v/>
      </c>
      <c r="M930" s="94" t="str">
        <f>IF(B930="","", VLOOKUP(B930,RM!$C$4:$G984,11,FALSE))</f>
        <v/>
      </c>
      <c r="N930" s="95" t="str">
        <f>IF(B930="","", VLOOKUP(B930,RM!$C$4:$G984,12,FALSE))</f>
        <v/>
      </c>
    </row>
    <row r="931" spans="1:14">
      <c r="A931" s="87" t="str">
        <f t="shared" si="3"/>
        <v/>
      </c>
      <c r="B931" s="2"/>
      <c r="C931" s="87"/>
      <c r="D931" s="87"/>
      <c r="E931" s="87"/>
      <c r="F931" s="87"/>
      <c r="G931" s="87"/>
      <c r="H931" s="87"/>
      <c r="I931" s="87"/>
      <c r="J931" s="2"/>
      <c r="K931" s="2"/>
      <c r="L931" s="94" t="str">
        <f>IF(B931="","", VLOOKUP(B931,RM!$C$4:$G984,10,FALSE))</f>
        <v/>
      </c>
      <c r="M931" s="94" t="str">
        <f>IF(B931="","", VLOOKUP(B931,RM!$C$4:$G984,11,FALSE))</f>
        <v/>
      </c>
      <c r="N931" s="95" t="str">
        <f>IF(B931="","", VLOOKUP(B931,RM!$C$4:$G984,12,FALSE))</f>
        <v/>
      </c>
    </row>
    <row r="932" spans="1:14">
      <c r="A932" s="87" t="str">
        <f t="shared" si="3"/>
        <v/>
      </c>
      <c r="B932" s="2"/>
      <c r="C932" s="87"/>
      <c r="D932" s="87"/>
      <c r="E932" s="87"/>
      <c r="F932" s="87"/>
      <c r="G932" s="87"/>
      <c r="H932" s="87"/>
      <c r="I932" s="87"/>
      <c r="J932" s="2"/>
      <c r="K932" s="2"/>
      <c r="L932" s="94" t="str">
        <f>IF(B932="","", VLOOKUP(B932,RM!$C$4:$G984,10,FALSE))</f>
        <v/>
      </c>
      <c r="M932" s="94" t="str">
        <f>IF(B932="","", VLOOKUP(B932,RM!$C$4:$G984,11,FALSE))</f>
        <v/>
      </c>
      <c r="N932" s="95" t="str">
        <f>IF(B932="","", VLOOKUP(B932,RM!$C$4:$G984,12,FALSE))</f>
        <v/>
      </c>
    </row>
    <row r="933" spans="1:14">
      <c r="A933" s="87" t="str">
        <f t="shared" si="3"/>
        <v/>
      </c>
      <c r="B933" s="2"/>
      <c r="C933" s="87"/>
      <c r="D933" s="87"/>
      <c r="E933" s="87"/>
      <c r="F933" s="87"/>
      <c r="G933" s="87"/>
      <c r="H933" s="87"/>
      <c r="I933" s="87"/>
      <c r="J933" s="2"/>
      <c r="K933" s="2"/>
      <c r="L933" s="94" t="str">
        <f>IF(B933="","", VLOOKUP(B933,RM!$C$4:$G984,10,FALSE))</f>
        <v/>
      </c>
      <c r="M933" s="94" t="str">
        <f>IF(B933="","", VLOOKUP(B933,RM!$C$4:$G984,11,FALSE))</f>
        <v/>
      </c>
      <c r="N933" s="95" t="str">
        <f>IF(B933="","", VLOOKUP(B933,RM!$C$4:$G984,12,FALSE))</f>
        <v/>
      </c>
    </row>
    <row r="934" spans="1:14">
      <c r="A934" s="87" t="str">
        <f t="shared" si="3"/>
        <v/>
      </c>
      <c r="B934" s="2"/>
      <c r="C934" s="87"/>
      <c r="D934" s="87"/>
      <c r="E934" s="87"/>
      <c r="F934" s="87"/>
      <c r="G934" s="87"/>
      <c r="H934" s="87"/>
      <c r="I934" s="87"/>
      <c r="J934" s="2"/>
      <c r="K934" s="2"/>
      <c r="L934" s="94" t="str">
        <f>IF(B934="","", VLOOKUP(B934,RM!$C$4:$G984,10,FALSE))</f>
        <v/>
      </c>
      <c r="M934" s="94" t="str">
        <f>IF(B934="","", VLOOKUP(B934,RM!$C$4:$G984,11,FALSE))</f>
        <v/>
      </c>
      <c r="N934" s="95" t="str">
        <f>IF(B934="","", VLOOKUP(B934,RM!$C$4:$G984,12,FALSE))</f>
        <v/>
      </c>
    </row>
    <row r="935" spans="1:14">
      <c r="A935" s="87" t="str">
        <f t="shared" si="3"/>
        <v/>
      </c>
      <c r="B935" s="2"/>
      <c r="C935" s="87"/>
      <c r="D935" s="87"/>
      <c r="E935" s="87"/>
      <c r="F935" s="87"/>
      <c r="G935" s="87"/>
      <c r="H935" s="87"/>
      <c r="I935" s="87"/>
      <c r="J935" s="2"/>
      <c r="K935" s="2"/>
      <c r="L935" s="94" t="str">
        <f>IF(B935="","", VLOOKUP(B935,RM!$C$4:$G984,10,FALSE))</f>
        <v/>
      </c>
      <c r="M935" s="94" t="str">
        <f>IF(B935="","", VLOOKUP(B935,RM!$C$4:$G984,11,FALSE))</f>
        <v/>
      </c>
      <c r="N935" s="95" t="str">
        <f>IF(B935="","", VLOOKUP(B935,RM!$C$4:$G984,12,FALSE))</f>
        <v/>
      </c>
    </row>
    <row r="936" spans="1:14">
      <c r="A936" s="87" t="str">
        <f t="shared" si="3"/>
        <v/>
      </c>
      <c r="B936" s="2"/>
      <c r="C936" s="87"/>
      <c r="D936" s="87"/>
      <c r="E936" s="87"/>
      <c r="F936" s="87"/>
      <c r="G936" s="87"/>
      <c r="H936" s="87"/>
      <c r="I936" s="87"/>
      <c r="J936" s="2"/>
      <c r="K936" s="2"/>
      <c r="L936" s="94" t="str">
        <f>IF(B936="","", VLOOKUP(B936,RM!$C$4:$G984,10,FALSE))</f>
        <v/>
      </c>
      <c r="M936" s="94" t="str">
        <f>IF(B936="","", VLOOKUP(B936,RM!$C$4:$G984,11,FALSE))</f>
        <v/>
      </c>
      <c r="N936" s="95" t="str">
        <f>IF(B936="","", VLOOKUP(B936,RM!$C$4:$G984,12,FALSE))</f>
        <v/>
      </c>
    </row>
    <row r="937" spans="1:14">
      <c r="A937" s="87" t="str">
        <f t="shared" si="3"/>
        <v/>
      </c>
      <c r="B937" s="2"/>
      <c r="C937" s="87"/>
      <c r="D937" s="87"/>
      <c r="E937" s="87"/>
      <c r="F937" s="87"/>
      <c r="G937" s="87"/>
      <c r="H937" s="87"/>
      <c r="I937" s="87"/>
      <c r="J937" s="2"/>
      <c r="K937" s="2"/>
      <c r="L937" s="94" t="str">
        <f>IF(B937="","", VLOOKUP(B937,RM!$C$4:$G984,10,FALSE))</f>
        <v/>
      </c>
      <c r="M937" s="94" t="str">
        <f>IF(B937="","", VLOOKUP(B937,RM!$C$4:$G984,11,FALSE))</f>
        <v/>
      </c>
      <c r="N937" s="95" t="str">
        <f>IF(B937="","", VLOOKUP(B937,RM!$C$4:$G984,12,FALSE))</f>
        <v/>
      </c>
    </row>
    <row r="938" spans="1:14">
      <c r="A938" s="87" t="str">
        <f t="shared" si="3"/>
        <v/>
      </c>
      <c r="B938" s="2"/>
      <c r="C938" s="87"/>
      <c r="D938" s="87"/>
      <c r="E938" s="87"/>
      <c r="F938" s="87"/>
      <c r="G938" s="87"/>
      <c r="H938" s="87"/>
      <c r="I938" s="87"/>
      <c r="J938" s="2"/>
      <c r="K938" s="2"/>
      <c r="L938" s="94" t="str">
        <f>IF(B938="","", VLOOKUP(B938,RM!$C$4:$G984,10,FALSE))</f>
        <v/>
      </c>
      <c r="M938" s="94" t="str">
        <f>IF(B938="","", VLOOKUP(B938,RM!$C$4:$G984,11,FALSE))</f>
        <v/>
      </c>
      <c r="N938" s="95" t="str">
        <f>IF(B938="","", VLOOKUP(B938,RM!$C$4:$G984,12,FALSE))</f>
        <v/>
      </c>
    </row>
    <row r="939" spans="1:14">
      <c r="A939" s="87" t="str">
        <f t="shared" si="3"/>
        <v/>
      </c>
      <c r="B939" s="2"/>
      <c r="C939" s="87"/>
      <c r="D939" s="87"/>
      <c r="E939" s="87"/>
      <c r="F939" s="87"/>
      <c r="G939" s="87"/>
      <c r="H939" s="87"/>
      <c r="I939" s="87"/>
      <c r="J939" s="2"/>
      <c r="K939" s="2"/>
      <c r="L939" s="94" t="str">
        <f>IF(B939="","", VLOOKUP(B939,RM!$C$4:$G984,10,FALSE))</f>
        <v/>
      </c>
      <c r="M939" s="94" t="str">
        <f>IF(B939="","", VLOOKUP(B939,RM!$C$4:$G984,11,FALSE))</f>
        <v/>
      </c>
      <c r="N939" s="95" t="str">
        <f>IF(B939="","", VLOOKUP(B939,RM!$C$4:$G984,12,FALSE))</f>
        <v/>
      </c>
    </row>
    <row r="940" spans="1:14">
      <c r="A940" s="87" t="str">
        <f t="shared" si="3"/>
        <v/>
      </c>
      <c r="B940" s="2"/>
      <c r="C940" s="87"/>
      <c r="D940" s="87"/>
      <c r="E940" s="87"/>
      <c r="F940" s="87"/>
      <c r="G940" s="87"/>
      <c r="H940" s="87"/>
      <c r="I940" s="87"/>
      <c r="J940" s="2"/>
      <c r="K940" s="2"/>
      <c r="L940" s="94" t="str">
        <f>IF(B940="","", VLOOKUP(B940,RM!$C$4:$G984,10,FALSE))</f>
        <v/>
      </c>
      <c r="M940" s="94" t="str">
        <f>IF(B940="","", VLOOKUP(B940,RM!$C$4:$G984,11,FALSE))</f>
        <v/>
      </c>
      <c r="N940" s="95" t="str">
        <f>IF(B940="","", VLOOKUP(B940,RM!$C$4:$G984,12,FALSE))</f>
        <v/>
      </c>
    </row>
    <row r="941" spans="1:14">
      <c r="A941" s="87" t="str">
        <f t="shared" si="3"/>
        <v/>
      </c>
      <c r="B941" s="2"/>
      <c r="C941" s="87"/>
      <c r="D941" s="87"/>
      <c r="E941" s="87"/>
      <c r="F941" s="87"/>
      <c r="G941" s="87"/>
      <c r="H941" s="87"/>
      <c r="I941" s="87"/>
      <c r="J941" s="2"/>
      <c r="K941" s="2"/>
      <c r="L941" s="94" t="str">
        <f>IF(B941="","", VLOOKUP(B941,RM!$C$4:$G984,10,FALSE))</f>
        <v/>
      </c>
      <c r="M941" s="94" t="str">
        <f>IF(B941="","", VLOOKUP(B941,RM!$C$4:$G984,11,FALSE))</f>
        <v/>
      </c>
      <c r="N941" s="95" t="str">
        <f>IF(B941="","", VLOOKUP(B941,RM!$C$4:$G984,12,FALSE))</f>
        <v/>
      </c>
    </row>
    <row r="942" spans="1:14">
      <c r="A942" s="87" t="str">
        <f t="shared" si="3"/>
        <v/>
      </c>
      <c r="B942" s="2"/>
      <c r="C942" s="87"/>
      <c r="D942" s="87"/>
      <c r="E942" s="87"/>
      <c r="F942" s="87"/>
      <c r="G942" s="87"/>
      <c r="H942" s="87"/>
      <c r="I942" s="87"/>
      <c r="J942" s="2"/>
      <c r="K942" s="2"/>
      <c r="L942" s="94" t="str">
        <f>IF(B942="","", VLOOKUP(B942,RM!$C$4:$G984,10,FALSE))</f>
        <v/>
      </c>
      <c r="M942" s="94" t="str">
        <f>IF(B942="","", VLOOKUP(B942,RM!$C$4:$G984,11,FALSE))</f>
        <v/>
      </c>
      <c r="N942" s="95" t="str">
        <f>IF(B942="","", VLOOKUP(B942,RM!$C$4:$G984,12,FALSE))</f>
        <v/>
      </c>
    </row>
    <row r="943" spans="1:14">
      <c r="A943" s="87" t="str">
        <f t="shared" si="3"/>
        <v/>
      </c>
      <c r="B943" s="2"/>
      <c r="C943" s="87"/>
      <c r="D943" s="87"/>
      <c r="E943" s="87"/>
      <c r="F943" s="87"/>
      <c r="G943" s="87"/>
      <c r="H943" s="87"/>
      <c r="I943" s="87"/>
      <c r="J943" s="2"/>
      <c r="K943" s="2"/>
      <c r="L943" s="94" t="str">
        <f>IF(B943="","", VLOOKUP(B943,RM!$C$4:$G984,10,FALSE))</f>
        <v/>
      </c>
      <c r="M943" s="94" t="str">
        <f>IF(B943="","", VLOOKUP(B943,RM!$C$4:$G984,11,FALSE))</f>
        <v/>
      </c>
      <c r="N943" s="95" t="str">
        <f>IF(B943="","", VLOOKUP(B943,RM!$C$4:$G984,12,FALSE))</f>
        <v/>
      </c>
    </row>
    <row r="944" spans="1:14">
      <c r="A944" s="87" t="str">
        <f t="shared" si="3"/>
        <v/>
      </c>
      <c r="B944" s="2"/>
      <c r="C944" s="87"/>
      <c r="D944" s="87"/>
      <c r="E944" s="87"/>
      <c r="F944" s="87"/>
      <c r="G944" s="87"/>
      <c r="H944" s="87"/>
      <c r="I944" s="87"/>
      <c r="J944" s="2"/>
      <c r="K944" s="2"/>
      <c r="L944" s="94" t="str">
        <f>IF(B944="","", VLOOKUP(B944,RM!$C$4:$G984,10,FALSE))</f>
        <v/>
      </c>
      <c r="M944" s="94" t="str">
        <f>IF(B944="","", VLOOKUP(B944,RM!$C$4:$G984,11,FALSE))</f>
        <v/>
      </c>
      <c r="N944" s="95" t="str">
        <f>IF(B944="","", VLOOKUP(B944,RM!$C$4:$G984,12,FALSE))</f>
        <v/>
      </c>
    </row>
    <row r="945" spans="1:14">
      <c r="A945" s="87" t="str">
        <f t="shared" si="3"/>
        <v/>
      </c>
      <c r="B945" s="2"/>
      <c r="C945" s="87"/>
      <c r="D945" s="87"/>
      <c r="E945" s="87"/>
      <c r="F945" s="87"/>
      <c r="G945" s="87"/>
      <c r="H945" s="87"/>
      <c r="I945" s="87"/>
      <c r="J945" s="2"/>
      <c r="K945" s="2"/>
      <c r="L945" s="94" t="str">
        <f>IF(B945="","", VLOOKUP(B945,RM!$C$4:$G984,10,FALSE))</f>
        <v/>
      </c>
      <c r="M945" s="94" t="str">
        <f>IF(B945="","", VLOOKUP(B945,RM!$C$4:$G984,11,FALSE))</f>
        <v/>
      </c>
      <c r="N945" s="95" t="str">
        <f>IF(B945="","", VLOOKUP(B945,RM!$C$4:$G984,12,FALSE))</f>
        <v/>
      </c>
    </row>
    <row r="946" spans="1:14">
      <c r="A946" s="87" t="str">
        <f t="shared" si="3"/>
        <v/>
      </c>
      <c r="B946" s="2"/>
      <c r="C946" s="87"/>
      <c r="D946" s="87"/>
      <c r="E946" s="87"/>
      <c r="F946" s="87"/>
      <c r="G946" s="87"/>
      <c r="H946" s="87"/>
      <c r="I946" s="87"/>
      <c r="J946" s="2"/>
      <c r="K946" s="2"/>
      <c r="L946" s="94" t="str">
        <f>IF(B946="","", VLOOKUP(B946,RM!$C$4:$G984,10,FALSE))</f>
        <v/>
      </c>
      <c r="M946" s="94" t="str">
        <f>IF(B946="","", VLOOKUP(B946,RM!$C$4:$G984,11,FALSE))</f>
        <v/>
      </c>
      <c r="N946" s="95" t="str">
        <f>IF(B946="","", VLOOKUP(B946,RM!$C$4:$G984,12,FALSE))</f>
        <v/>
      </c>
    </row>
    <row r="947" spans="1:14">
      <c r="A947" s="87" t="str">
        <f t="shared" si="3"/>
        <v/>
      </c>
      <c r="B947" s="2"/>
      <c r="C947" s="87"/>
      <c r="D947" s="87"/>
      <c r="E947" s="87"/>
      <c r="F947" s="87"/>
      <c r="G947" s="87"/>
      <c r="H947" s="87"/>
      <c r="I947" s="87"/>
      <c r="J947" s="2"/>
      <c r="K947" s="2"/>
      <c r="L947" s="94" t="str">
        <f>IF(B947="","", VLOOKUP(B947,RM!$C$4:$G984,10,FALSE))</f>
        <v/>
      </c>
      <c r="M947" s="94" t="str">
        <f>IF(B947="","", VLOOKUP(B947,RM!$C$4:$G984,11,FALSE))</f>
        <v/>
      </c>
      <c r="N947" s="95" t="str">
        <f>IF(B947="","", VLOOKUP(B947,RM!$C$4:$G984,12,FALSE))</f>
        <v/>
      </c>
    </row>
    <row r="948" spans="1:14">
      <c r="A948" s="87" t="str">
        <f t="shared" si="3"/>
        <v/>
      </c>
      <c r="B948" s="2"/>
      <c r="C948" s="87"/>
      <c r="D948" s="87"/>
      <c r="E948" s="87"/>
      <c r="F948" s="87"/>
      <c r="G948" s="87"/>
      <c r="H948" s="87"/>
      <c r="I948" s="87"/>
      <c r="J948" s="2"/>
      <c r="K948" s="2"/>
      <c r="L948" s="94" t="str">
        <f>IF(B948="","", VLOOKUP(B948,RM!$C$4:$G984,10,FALSE))</f>
        <v/>
      </c>
      <c r="M948" s="94" t="str">
        <f>IF(B948="","", VLOOKUP(B948,RM!$C$4:$G984,11,FALSE))</f>
        <v/>
      </c>
      <c r="N948" s="95" t="str">
        <f>IF(B948="","", VLOOKUP(B948,RM!$C$4:$G984,12,FALSE))</f>
        <v/>
      </c>
    </row>
    <row r="949" spans="1:14">
      <c r="A949" s="87" t="str">
        <f t="shared" si="3"/>
        <v/>
      </c>
      <c r="B949" s="2"/>
      <c r="C949" s="87"/>
      <c r="D949" s="87"/>
      <c r="E949" s="87"/>
      <c r="F949" s="87"/>
      <c r="G949" s="87"/>
      <c r="H949" s="87"/>
      <c r="I949" s="87"/>
      <c r="J949" s="2"/>
      <c r="K949" s="2"/>
      <c r="L949" s="94" t="str">
        <f>IF(B949="","", VLOOKUP(B949,RM!$C$4:$G984,10,FALSE))</f>
        <v/>
      </c>
      <c r="M949" s="94" t="str">
        <f>IF(B949="","", VLOOKUP(B949,RM!$C$4:$G984,11,FALSE))</f>
        <v/>
      </c>
      <c r="N949" s="95" t="str">
        <f>IF(B949="","", VLOOKUP(B949,RM!$C$4:$G984,12,FALSE))</f>
        <v/>
      </c>
    </row>
    <row r="950" spans="1:14">
      <c r="A950" s="87" t="str">
        <f t="shared" si="3"/>
        <v/>
      </c>
      <c r="B950" s="2"/>
      <c r="C950" s="87"/>
      <c r="D950" s="87"/>
      <c r="E950" s="87"/>
      <c r="F950" s="87"/>
      <c r="G950" s="87"/>
      <c r="H950" s="87"/>
      <c r="I950" s="87"/>
      <c r="J950" s="2"/>
      <c r="K950" s="2"/>
      <c r="L950" s="94" t="str">
        <f>IF(B950="","", VLOOKUP(B950,RM!$C$4:$G984,10,FALSE))</f>
        <v/>
      </c>
      <c r="M950" s="94" t="str">
        <f>IF(B950="","", VLOOKUP(B950,RM!$C$4:$G984,11,FALSE))</f>
        <v/>
      </c>
      <c r="N950" s="95" t="str">
        <f>IF(B950="","", VLOOKUP(B950,RM!$C$4:$G984,12,FALSE))</f>
        <v/>
      </c>
    </row>
    <row r="951" spans="1:14">
      <c r="A951" s="87" t="str">
        <f t="shared" si="3"/>
        <v/>
      </c>
      <c r="B951" s="2"/>
      <c r="C951" s="87"/>
      <c r="D951" s="87"/>
      <c r="E951" s="87"/>
      <c r="F951" s="87"/>
      <c r="G951" s="87"/>
      <c r="H951" s="87"/>
      <c r="I951" s="87"/>
      <c r="J951" s="2"/>
      <c r="K951" s="2"/>
      <c r="L951" s="94" t="str">
        <f>IF(B951="","", VLOOKUP(B951,RM!$C$4:$G984,10,FALSE))</f>
        <v/>
      </c>
      <c r="M951" s="94" t="str">
        <f>IF(B951="","", VLOOKUP(B951,RM!$C$4:$G984,11,FALSE))</f>
        <v/>
      </c>
      <c r="N951" s="95" t="str">
        <f>IF(B951="","", VLOOKUP(B951,RM!$C$4:$G984,12,FALSE))</f>
        <v/>
      </c>
    </row>
    <row r="952" spans="1:14">
      <c r="A952" s="87" t="str">
        <f t="shared" si="3"/>
        <v/>
      </c>
      <c r="B952" s="2"/>
      <c r="C952" s="87"/>
      <c r="D952" s="87"/>
      <c r="E952" s="87"/>
      <c r="F952" s="87"/>
      <c r="G952" s="87"/>
      <c r="H952" s="87"/>
      <c r="I952" s="87"/>
      <c r="J952" s="2"/>
      <c r="K952" s="2"/>
      <c r="L952" s="94" t="str">
        <f>IF(B952="","", VLOOKUP(B952,RM!$C$4:$G984,10,FALSE))</f>
        <v/>
      </c>
      <c r="M952" s="94" t="str">
        <f>IF(B952="","", VLOOKUP(B952,RM!$C$4:$G984,11,FALSE))</f>
        <v/>
      </c>
      <c r="N952" s="95" t="str">
        <f>IF(B952="","", VLOOKUP(B952,RM!$C$4:$G984,12,FALSE))</f>
        <v/>
      </c>
    </row>
    <row r="953" spans="1:14">
      <c r="A953" s="87" t="str">
        <f t="shared" si="3"/>
        <v/>
      </c>
      <c r="B953" s="2"/>
      <c r="C953" s="87"/>
      <c r="D953" s="87"/>
      <c r="E953" s="87"/>
      <c r="F953" s="87"/>
      <c r="G953" s="87"/>
      <c r="H953" s="87"/>
      <c r="I953" s="87"/>
      <c r="J953" s="2"/>
      <c r="K953" s="2"/>
      <c r="L953" s="94" t="str">
        <f>IF(B953="","", VLOOKUP(B953,RM!$C$4:$G984,10,FALSE))</f>
        <v/>
      </c>
      <c r="M953" s="94" t="str">
        <f>IF(B953="","", VLOOKUP(B953,RM!$C$4:$G984,11,FALSE))</f>
        <v/>
      </c>
      <c r="N953" s="95" t="str">
        <f>IF(B953="","", VLOOKUP(B953,RM!$C$4:$G984,12,FALSE))</f>
        <v/>
      </c>
    </row>
    <row r="954" spans="1:14">
      <c r="A954" s="87" t="str">
        <f t="shared" si="3"/>
        <v/>
      </c>
      <c r="B954" s="2"/>
      <c r="C954" s="87"/>
      <c r="D954" s="87"/>
      <c r="E954" s="87"/>
      <c r="F954" s="87"/>
      <c r="G954" s="87"/>
      <c r="H954" s="87"/>
      <c r="I954" s="87"/>
      <c r="J954" s="2"/>
      <c r="K954" s="2"/>
      <c r="L954" s="94" t="str">
        <f>IF(B954="","", VLOOKUP(B954,RM!$C$4:$G984,10,FALSE))</f>
        <v/>
      </c>
      <c r="M954" s="94" t="str">
        <f>IF(B954="","", VLOOKUP(B954,RM!$C$4:$G984,11,FALSE))</f>
        <v/>
      </c>
      <c r="N954" s="95" t="str">
        <f>IF(B954="","", VLOOKUP(B954,RM!$C$4:$G984,12,FALSE))</f>
        <v/>
      </c>
    </row>
    <row r="955" spans="1:14">
      <c r="A955" s="87" t="str">
        <f t="shared" si="3"/>
        <v/>
      </c>
      <c r="B955" s="2"/>
      <c r="C955" s="87"/>
      <c r="D955" s="87"/>
      <c r="E955" s="87"/>
      <c r="F955" s="87"/>
      <c r="G955" s="87"/>
      <c r="H955" s="87"/>
      <c r="I955" s="87"/>
      <c r="J955" s="2"/>
      <c r="K955" s="2"/>
      <c r="L955" s="94" t="str">
        <f>IF(B955="","", VLOOKUP(B955,RM!$C$4:$G984,10,FALSE))</f>
        <v/>
      </c>
      <c r="M955" s="94" t="str">
        <f>IF(B955="","", VLOOKUP(B955,RM!$C$4:$G984,11,FALSE))</f>
        <v/>
      </c>
      <c r="N955" s="95" t="str">
        <f>IF(B955="","", VLOOKUP(B955,RM!$C$4:$G984,12,FALSE))</f>
        <v/>
      </c>
    </row>
    <row r="956" spans="1:14">
      <c r="A956" s="87" t="str">
        <f t="shared" si="3"/>
        <v/>
      </c>
      <c r="B956" s="2"/>
      <c r="C956" s="87"/>
      <c r="D956" s="87"/>
      <c r="E956" s="87"/>
      <c r="F956" s="87"/>
      <c r="G956" s="87"/>
      <c r="H956" s="87"/>
      <c r="I956" s="87"/>
      <c r="J956" s="2"/>
      <c r="K956" s="2"/>
      <c r="L956" s="94" t="str">
        <f>IF(B956="","", VLOOKUP(B956,RM!$C$4:$G984,10,FALSE))</f>
        <v/>
      </c>
      <c r="M956" s="94" t="str">
        <f>IF(B956="","", VLOOKUP(B956,RM!$C$4:$G984,11,FALSE))</f>
        <v/>
      </c>
      <c r="N956" s="95" t="str">
        <f>IF(B956="","", VLOOKUP(B956,RM!$C$4:$G984,12,FALSE))</f>
        <v/>
      </c>
    </row>
    <row r="957" spans="1:14">
      <c r="A957" s="87" t="str">
        <f t="shared" si="3"/>
        <v/>
      </c>
      <c r="B957" s="2"/>
      <c r="C957" s="87"/>
      <c r="D957" s="87"/>
      <c r="E957" s="87"/>
      <c r="F957" s="87"/>
      <c r="G957" s="87"/>
      <c r="H957" s="87"/>
      <c r="I957" s="87"/>
      <c r="J957" s="2"/>
      <c r="K957" s="2"/>
      <c r="L957" s="94" t="str">
        <f>IF(B957="","", VLOOKUP(B957,RM!$C$4:$G984,10,FALSE))</f>
        <v/>
      </c>
      <c r="M957" s="94" t="str">
        <f>IF(B957="","", VLOOKUP(B957,RM!$C$4:$G984,11,FALSE))</f>
        <v/>
      </c>
      <c r="N957" s="95" t="str">
        <f>IF(B957="","", VLOOKUP(B957,RM!$C$4:$G984,12,FALSE))</f>
        <v/>
      </c>
    </row>
    <row r="958" spans="1:14">
      <c r="A958" s="87" t="str">
        <f t="shared" si="3"/>
        <v/>
      </c>
      <c r="B958" s="2"/>
      <c r="C958" s="87"/>
      <c r="D958" s="87"/>
      <c r="E958" s="87"/>
      <c r="F958" s="87"/>
      <c r="G958" s="87"/>
      <c r="H958" s="87"/>
      <c r="I958" s="87"/>
      <c r="J958" s="2"/>
      <c r="K958" s="2"/>
      <c r="L958" s="94" t="str">
        <f>IF(B958="","", VLOOKUP(B958,RM!$C$4:$G984,10,FALSE))</f>
        <v/>
      </c>
      <c r="M958" s="94" t="str">
        <f>IF(B958="","", VLOOKUP(B958,RM!$C$4:$G984,11,FALSE))</f>
        <v/>
      </c>
      <c r="N958" s="95" t="str">
        <f>IF(B958="","", VLOOKUP(B958,RM!$C$4:$G984,12,FALSE))</f>
        <v/>
      </c>
    </row>
    <row r="959" spans="1:14">
      <c r="A959" s="87" t="str">
        <f t="shared" si="3"/>
        <v/>
      </c>
      <c r="B959" s="2"/>
      <c r="C959" s="87"/>
      <c r="D959" s="87"/>
      <c r="E959" s="87"/>
      <c r="F959" s="87"/>
      <c r="G959" s="87"/>
      <c r="H959" s="87"/>
      <c r="I959" s="87"/>
      <c r="J959" s="2"/>
      <c r="K959" s="2"/>
      <c r="L959" s="94" t="str">
        <f>IF(B959="","", VLOOKUP(B959,RM!$C$4:$G984,10,FALSE))</f>
        <v/>
      </c>
      <c r="M959" s="94" t="str">
        <f>IF(B959="","", VLOOKUP(B959,RM!$C$4:$G984,11,FALSE))</f>
        <v/>
      </c>
      <c r="N959" s="95" t="str">
        <f>IF(B959="","", VLOOKUP(B959,RM!$C$4:$G984,12,FALSE))</f>
        <v/>
      </c>
    </row>
    <row r="960" spans="1:14">
      <c r="A960" s="87" t="str">
        <f t="shared" si="3"/>
        <v/>
      </c>
      <c r="B960" s="2"/>
      <c r="C960" s="87"/>
      <c r="D960" s="87"/>
      <c r="E960" s="87"/>
      <c r="F960" s="87"/>
      <c r="G960" s="87"/>
      <c r="H960" s="87"/>
      <c r="I960" s="87"/>
      <c r="J960" s="2"/>
      <c r="K960" s="2"/>
      <c r="L960" s="94" t="str">
        <f>IF(B960="","", VLOOKUP(B960,RM!$C$4:$G984,10,FALSE))</f>
        <v/>
      </c>
      <c r="M960" s="94" t="str">
        <f>IF(B960="","", VLOOKUP(B960,RM!$C$4:$G984,11,FALSE))</f>
        <v/>
      </c>
      <c r="N960" s="95" t="str">
        <f>IF(B960="","", VLOOKUP(B960,RM!$C$4:$G984,12,FALSE))</f>
        <v/>
      </c>
    </row>
    <row r="961" spans="1:14">
      <c r="A961" s="87" t="str">
        <f t="shared" si="3"/>
        <v/>
      </c>
      <c r="B961" s="2"/>
      <c r="C961" s="87"/>
      <c r="D961" s="87"/>
      <c r="E961" s="87"/>
      <c r="F961" s="87"/>
      <c r="G961" s="87"/>
      <c r="H961" s="87"/>
      <c r="I961" s="87"/>
      <c r="J961" s="2"/>
      <c r="K961" s="2"/>
      <c r="L961" s="94" t="str">
        <f>IF(B961="","", VLOOKUP(B961,RM!$C$4:$G984,10,FALSE))</f>
        <v/>
      </c>
      <c r="M961" s="94" t="str">
        <f>IF(B961="","", VLOOKUP(B961,RM!$C$4:$G984,11,FALSE))</f>
        <v/>
      </c>
      <c r="N961" s="95" t="str">
        <f>IF(B961="","", VLOOKUP(B961,RM!$C$4:$G984,12,FALSE))</f>
        <v/>
      </c>
    </row>
    <row r="962" spans="1:14">
      <c r="A962" s="87" t="str">
        <f t="shared" si="3"/>
        <v/>
      </c>
      <c r="B962" s="2"/>
      <c r="C962" s="87"/>
      <c r="D962" s="87"/>
      <c r="E962" s="87"/>
      <c r="F962" s="87"/>
      <c r="G962" s="87"/>
      <c r="H962" s="87"/>
      <c r="I962" s="87"/>
      <c r="J962" s="2"/>
      <c r="K962" s="2"/>
      <c r="L962" s="94" t="str">
        <f>IF(B962="","", VLOOKUP(B962,RM!$C$4:$G984,10,FALSE))</f>
        <v/>
      </c>
      <c r="M962" s="94" t="str">
        <f>IF(B962="","", VLOOKUP(B962,RM!$C$4:$G984,11,FALSE))</f>
        <v/>
      </c>
      <c r="N962" s="95" t="str">
        <f>IF(B962="","", VLOOKUP(B962,RM!$C$4:$G984,12,FALSE))</f>
        <v/>
      </c>
    </row>
    <row r="963" spans="1:14">
      <c r="A963" s="87" t="str">
        <f t="shared" si="3"/>
        <v/>
      </c>
      <c r="B963" s="2"/>
      <c r="C963" s="87"/>
      <c r="D963" s="87"/>
      <c r="E963" s="87"/>
      <c r="F963" s="87"/>
      <c r="G963" s="87"/>
      <c r="H963" s="87"/>
      <c r="I963" s="87"/>
      <c r="J963" s="2"/>
      <c r="K963" s="2"/>
      <c r="L963" s="94" t="str">
        <f>IF(B963="","", VLOOKUP(B963,RM!$C$4:$G984,10,FALSE))</f>
        <v/>
      </c>
      <c r="M963" s="94" t="str">
        <f>IF(B963="","", VLOOKUP(B963,RM!$C$4:$G984,11,FALSE))</f>
        <v/>
      </c>
      <c r="N963" s="95" t="str">
        <f>IF(B963="","", VLOOKUP(B963,RM!$C$4:$G984,12,FALSE))</f>
        <v/>
      </c>
    </row>
    <row r="964" spans="1:14">
      <c r="A964" s="87" t="str">
        <f t="shared" si="3"/>
        <v/>
      </c>
      <c r="B964" s="2"/>
      <c r="C964" s="87"/>
      <c r="D964" s="87"/>
      <c r="E964" s="87"/>
      <c r="F964" s="87"/>
      <c r="G964" s="87"/>
      <c r="H964" s="87"/>
      <c r="I964" s="87"/>
      <c r="J964" s="2"/>
      <c r="K964" s="2"/>
      <c r="L964" s="94" t="str">
        <f>IF(B964="","", VLOOKUP(B964,RM!$C$4:$G984,10,FALSE))</f>
        <v/>
      </c>
      <c r="M964" s="94" t="str">
        <f>IF(B964="","", VLOOKUP(B964,RM!$C$4:$G984,11,FALSE))</f>
        <v/>
      </c>
      <c r="N964" s="95" t="str">
        <f>IF(B964="","", VLOOKUP(B964,RM!$C$4:$G984,12,FALSE))</f>
        <v/>
      </c>
    </row>
    <row r="965" spans="1:14">
      <c r="A965" s="87" t="str">
        <f t="shared" si="3"/>
        <v/>
      </c>
      <c r="B965" s="2"/>
      <c r="C965" s="87"/>
      <c r="D965" s="87"/>
      <c r="E965" s="87"/>
      <c r="F965" s="87"/>
      <c r="G965" s="87"/>
      <c r="H965" s="87"/>
      <c r="I965" s="87"/>
      <c r="J965" s="2"/>
      <c r="K965" s="2"/>
      <c r="L965" s="94" t="str">
        <f>IF(B965="","", VLOOKUP(B965,RM!$C$4:$G984,10,FALSE))</f>
        <v/>
      </c>
      <c r="M965" s="94" t="str">
        <f>IF(B965="","", VLOOKUP(B965,RM!$C$4:$G984,11,FALSE))</f>
        <v/>
      </c>
      <c r="N965" s="95" t="str">
        <f>IF(B965="","", VLOOKUP(B965,RM!$C$4:$G984,12,FALSE))</f>
        <v/>
      </c>
    </row>
    <row r="966" spans="1:14">
      <c r="A966" s="87" t="str">
        <f t="shared" si="3"/>
        <v/>
      </c>
      <c r="B966" s="2"/>
      <c r="C966" s="87"/>
      <c r="D966" s="87"/>
      <c r="E966" s="87"/>
      <c r="F966" s="87"/>
      <c r="G966" s="87"/>
      <c r="H966" s="87"/>
      <c r="I966" s="87"/>
      <c r="J966" s="2"/>
      <c r="K966" s="2"/>
      <c r="L966" s="94" t="str">
        <f>IF(B966="","", VLOOKUP(B966,RM!$C$4:$G984,10,FALSE))</f>
        <v/>
      </c>
      <c r="M966" s="94" t="str">
        <f>IF(B966="","", VLOOKUP(B966,RM!$C$4:$G984,11,FALSE))</f>
        <v/>
      </c>
      <c r="N966" s="95" t="str">
        <f>IF(B966="","", VLOOKUP(B966,RM!$C$4:$G984,12,FALSE))</f>
        <v/>
      </c>
    </row>
    <row r="967" spans="1:14">
      <c r="A967" s="87" t="str">
        <f t="shared" si="3"/>
        <v/>
      </c>
      <c r="B967" s="2"/>
      <c r="C967" s="87"/>
      <c r="D967" s="87"/>
      <c r="E967" s="87"/>
      <c r="F967" s="87"/>
      <c r="G967" s="87"/>
      <c r="H967" s="87"/>
      <c r="I967" s="87"/>
      <c r="J967" s="2"/>
      <c r="K967" s="2"/>
      <c r="L967" s="94" t="str">
        <f>IF(B967="","", VLOOKUP(B967,RM!$C$4:$G984,10,FALSE))</f>
        <v/>
      </c>
      <c r="M967" s="94" t="str">
        <f>IF(B967="","", VLOOKUP(B967,RM!$C$4:$G984,11,FALSE))</f>
        <v/>
      </c>
      <c r="N967" s="95" t="str">
        <f>IF(B967="","", VLOOKUP(B967,RM!$C$4:$G984,12,FALSE))</f>
        <v/>
      </c>
    </row>
    <row r="968" spans="1:14">
      <c r="A968" s="87" t="str">
        <f t="shared" si="3"/>
        <v/>
      </c>
      <c r="B968" s="2"/>
      <c r="C968" s="87"/>
      <c r="D968" s="87"/>
      <c r="E968" s="87"/>
      <c r="F968" s="87"/>
      <c r="G968" s="87"/>
      <c r="H968" s="87"/>
      <c r="I968" s="87"/>
      <c r="J968" s="2"/>
      <c r="K968" s="2"/>
      <c r="L968" s="94" t="str">
        <f>IF(B968="","", VLOOKUP(B968,RM!$C$4:$G984,10,FALSE))</f>
        <v/>
      </c>
      <c r="M968" s="94" t="str">
        <f>IF(B968="","", VLOOKUP(B968,RM!$C$4:$G984,11,FALSE))</f>
        <v/>
      </c>
      <c r="N968" s="95" t="str">
        <f>IF(B968="","", VLOOKUP(B968,RM!$C$4:$G984,12,FALSE))</f>
        <v/>
      </c>
    </row>
    <row r="969" spans="1:14">
      <c r="A969" s="87" t="str">
        <f t="shared" si="3"/>
        <v/>
      </c>
      <c r="B969" s="2"/>
      <c r="C969" s="87"/>
      <c r="D969" s="87"/>
      <c r="E969" s="87"/>
      <c r="F969" s="87"/>
      <c r="G969" s="87"/>
      <c r="H969" s="87"/>
      <c r="I969" s="87"/>
      <c r="J969" s="2"/>
      <c r="K969" s="2"/>
      <c r="L969" s="94" t="str">
        <f>IF(B969="","", VLOOKUP(B969,RM!$C$4:$G984,10,FALSE))</f>
        <v/>
      </c>
      <c r="M969" s="94" t="str">
        <f>IF(B969="","", VLOOKUP(B969,RM!$C$4:$G984,11,FALSE))</f>
        <v/>
      </c>
      <c r="N969" s="95" t="str">
        <f>IF(B969="","", VLOOKUP(B969,RM!$C$4:$G984,12,FALSE))</f>
        <v/>
      </c>
    </row>
    <row r="970" spans="1:14">
      <c r="A970" s="87" t="str">
        <f t="shared" si="3"/>
        <v/>
      </c>
      <c r="B970" s="2"/>
      <c r="C970" s="87"/>
      <c r="D970" s="87"/>
      <c r="E970" s="87"/>
      <c r="F970" s="87"/>
      <c r="G970" s="87"/>
      <c r="H970" s="87"/>
      <c r="I970" s="87"/>
      <c r="J970" s="2"/>
      <c r="K970" s="2"/>
      <c r="L970" s="94" t="str">
        <f>IF(B970="","", VLOOKUP(B970,RM!$C$4:$G984,10,FALSE))</f>
        <v/>
      </c>
      <c r="M970" s="94" t="str">
        <f>IF(B970="","", VLOOKUP(B970,RM!$C$4:$G984,11,FALSE))</f>
        <v/>
      </c>
      <c r="N970" s="95" t="str">
        <f>IF(B970="","", VLOOKUP(B970,RM!$C$4:$G984,12,FALSE))</f>
        <v/>
      </c>
    </row>
    <row r="971" spans="1:14">
      <c r="A971" s="87" t="str">
        <f t="shared" si="3"/>
        <v/>
      </c>
      <c r="B971" s="2"/>
      <c r="C971" s="87"/>
      <c r="D971" s="87"/>
      <c r="E971" s="87"/>
      <c r="F971" s="87"/>
      <c r="G971" s="87"/>
      <c r="H971" s="87"/>
      <c r="I971" s="87"/>
      <c r="J971" s="2"/>
      <c r="K971" s="2"/>
      <c r="L971" s="94" t="str">
        <f>IF(B971="","", VLOOKUP(B971,RM!$C$4:$G984,10,FALSE))</f>
        <v/>
      </c>
      <c r="M971" s="94" t="str">
        <f>IF(B971="","", VLOOKUP(B971,RM!$C$4:$G984,11,FALSE))</f>
        <v/>
      </c>
      <c r="N971" s="95" t="str">
        <f>IF(B971="","", VLOOKUP(B971,RM!$C$4:$G984,12,FALSE))</f>
        <v/>
      </c>
    </row>
    <row r="972" spans="1:14">
      <c r="A972" s="87" t="str">
        <f t="shared" si="3"/>
        <v/>
      </c>
      <c r="B972" s="2"/>
      <c r="C972" s="87"/>
      <c r="D972" s="87"/>
      <c r="E972" s="87"/>
      <c r="F972" s="87"/>
      <c r="G972" s="87"/>
      <c r="H972" s="87"/>
      <c r="I972" s="87"/>
      <c r="J972" s="2"/>
      <c r="K972" s="2"/>
      <c r="L972" s="94" t="str">
        <f>IF(B972="","", VLOOKUP(B972,RM!$C$4:$G984,10,FALSE))</f>
        <v/>
      </c>
      <c r="M972" s="94" t="str">
        <f>IF(B972="","", VLOOKUP(B972,RM!$C$4:$G984,11,FALSE))</f>
        <v/>
      </c>
      <c r="N972" s="95" t="str">
        <f>IF(B972="","", VLOOKUP(B972,RM!$C$4:$G984,12,FALSE))</f>
        <v/>
      </c>
    </row>
    <row r="973" spans="1:14">
      <c r="A973" s="87" t="str">
        <f t="shared" si="3"/>
        <v/>
      </c>
      <c r="B973" s="2"/>
      <c r="C973" s="87"/>
      <c r="D973" s="87"/>
      <c r="E973" s="87"/>
      <c r="F973" s="87"/>
      <c r="G973" s="87"/>
      <c r="H973" s="87"/>
      <c r="I973" s="87"/>
      <c r="J973" s="2"/>
      <c r="K973" s="2"/>
      <c r="L973" s="94" t="str">
        <f>IF(B973="","", VLOOKUP(B973,RM!$C$4:$G984,10,FALSE))</f>
        <v/>
      </c>
      <c r="M973" s="94" t="str">
        <f>IF(B973="","", VLOOKUP(B973,RM!$C$4:$G984,11,FALSE))</f>
        <v/>
      </c>
      <c r="N973" s="95" t="str">
        <f>IF(B973="","", VLOOKUP(B973,RM!$C$4:$G984,12,FALSE))</f>
        <v/>
      </c>
    </row>
    <row r="974" spans="1:14">
      <c r="A974" s="87" t="str">
        <f t="shared" si="3"/>
        <v/>
      </c>
      <c r="B974" s="2"/>
      <c r="C974" s="87"/>
      <c r="D974" s="87"/>
      <c r="E974" s="87"/>
      <c r="F974" s="87"/>
      <c r="G974" s="87"/>
      <c r="H974" s="87"/>
      <c r="I974" s="87"/>
      <c r="J974" s="2"/>
      <c r="K974" s="2"/>
      <c r="L974" s="94" t="str">
        <f>IF(B974="","", VLOOKUP(B974,RM!$C$4:$G984,10,FALSE))</f>
        <v/>
      </c>
      <c r="M974" s="94" t="str">
        <f>IF(B974="","", VLOOKUP(B974,RM!$C$4:$G984,11,FALSE))</f>
        <v/>
      </c>
      <c r="N974" s="95" t="str">
        <f>IF(B974="","", VLOOKUP(B974,RM!$C$4:$G984,12,FALSE))</f>
        <v/>
      </c>
    </row>
    <row r="975" spans="1:14">
      <c r="A975" s="87" t="str">
        <f t="shared" si="3"/>
        <v/>
      </c>
      <c r="B975" s="2"/>
      <c r="C975" s="87"/>
      <c r="D975" s="87"/>
      <c r="E975" s="87"/>
      <c r="F975" s="87"/>
      <c r="G975" s="87"/>
      <c r="H975" s="87"/>
      <c r="I975" s="87"/>
      <c r="J975" s="2"/>
      <c r="K975" s="2"/>
      <c r="L975" s="94" t="str">
        <f>IF(B975="","", VLOOKUP(B975,RM!$C$4:$G984,10,FALSE))</f>
        <v/>
      </c>
      <c r="M975" s="94" t="str">
        <f>IF(B975="","", VLOOKUP(B975,RM!$C$4:$G984,11,FALSE))</f>
        <v/>
      </c>
      <c r="N975" s="95" t="str">
        <f>IF(B975="","", VLOOKUP(B975,RM!$C$4:$G984,12,FALSE))</f>
        <v/>
      </c>
    </row>
    <row r="976" spans="1:14">
      <c r="A976" s="87" t="str">
        <f t="shared" si="3"/>
        <v/>
      </c>
      <c r="B976" s="2"/>
      <c r="C976" s="87"/>
      <c r="D976" s="87"/>
      <c r="E976" s="87"/>
      <c r="F976" s="87"/>
      <c r="G976" s="87"/>
      <c r="H976" s="87"/>
      <c r="I976" s="87"/>
      <c r="J976" s="2"/>
      <c r="K976" s="2"/>
      <c r="L976" s="94" t="str">
        <f>IF(B976="","", VLOOKUP(B976,RM!$C$4:$G984,10,FALSE))</f>
        <v/>
      </c>
      <c r="M976" s="94" t="str">
        <f>IF(B976="","", VLOOKUP(B976,RM!$C$4:$G984,11,FALSE))</f>
        <v/>
      </c>
      <c r="N976" s="95" t="str">
        <f>IF(B976="","", VLOOKUP(B976,RM!$C$4:$G984,12,FALSE))</f>
        <v/>
      </c>
    </row>
    <row r="977" spans="1:14">
      <c r="A977" s="87" t="str">
        <f t="shared" si="3"/>
        <v/>
      </c>
      <c r="B977" s="2"/>
      <c r="C977" s="87"/>
      <c r="D977" s="87"/>
      <c r="E977" s="87"/>
      <c r="F977" s="87"/>
      <c r="G977" s="87"/>
      <c r="H977" s="87"/>
      <c r="I977" s="87"/>
      <c r="J977" s="2"/>
      <c r="K977" s="2"/>
      <c r="L977" s="94" t="str">
        <f>IF(B977="","", VLOOKUP(B977,RM!$C$4:$G984,10,FALSE))</f>
        <v/>
      </c>
      <c r="M977" s="94" t="str">
        <f>IF(B977="","", VLOOKUP(B977,RM!$C$4:$G984,11,FALSE))</f>
        <v/>
      </c>
      <c r="N977" s="95" t="str">
        <f>IF(B977="","", VLOOKUP(B977,RM!$C$4:$G984,12,FALSE))</f>
        <v/>
      </c>
    </row>
    <row r="978" spans="1:14">
      <c r="A978" s="87" t="str">
        <f t="shared" si="3"/>
        <v/>
      </c>
      <c r="B978" s="2"/>
      <c r="C978" s="87"/>
      <c r="D978" s="87"/>
      <c r="E978" s="87"/>
      <c r="F978" s="87"/>
      <c r="G978" s="87"/>
      <c r="H978" s="87"/>
      <c r="I978" s="87"/>
      <c r="J978" s="2"/>
      <c r="K978" s="2"/>
      <c r="L978" s="94" t="str">
        <f>IF(B978="","", VLOOKUP(B978,RM!$C$4:$G984,10,FALSE))</f>
        <v/>
      </c>
      <c r="M978" s="94" t="str">
        <f>IF(B978="","", VLOOKUP(B978,RM!$C$4:$G984,11,FALSE))</f>
        <v/>
      </c>
      <c r="N978" s="95" t="str">
        <f>IF(B978="","", VLOOKUP(B978,RM!$C$4:$G984,12,FALSE))</f>
        <v/>
      </c>
    </row>
    <row r="979" spans="1:14">
      <c r="A979" s="87" t="str">
        <f t="shared" si="3"/>
        <v/>
      </c>
      <c r="B979" s="2"/>
      <c r="C979" s="87"/>
      <c r="D979" s="87"/>
      <c r="E979" s="87"/>
      <c r="F979" s="87"/>
      <c r="G979" s="87"/>
      <c r="H979" s="87"/>
      <c r="I979" s="87"/>
      <c r="J979" s="2"/>
      <c r="K979" s="2"/>
      <c r="L979" s="94" t="str">
        <f>IF(B979="","", VLOOKUP(B979,RM!$C$4:$G984,10,FALSE))</f>
        <v/>
      </c>
      <c r="M979" s="94" t="str">
        <f>IF(B979="","", VLOOKUP(B979,RM!$C$4:$G984,11,FALSE))</f>
        <v/>
      </c>
      <c r="N979" s="95" t="str">
        <f>IF(B979="","", VLOOKUP(B979,RM!$C$4:$G984,12,FALSE))</f>
        <v/>
      </c>
    </row>
    <row r="980" spans="1:14">
      <c r="A980" s="87" t="str">
        <f t="shared" si="3"/>
        <v/>
      </c>
      <c r="B980" s="2"/>
      <c r="C980" s="87"/>
      <c r="D980" s="87"/>
      <c r="E980" s="87"/>
      <c r="F980" s="87"/>
      <c r="G980" s="87"/>
      <c r="H980" s="87"/>
      <c r="I980" s="87"/>
      <c r="J980" s="2"/>
      <c r="K980" s="2"/>
      <c r="L980" s="94" t="str">
        <f>IF(B980="","", VLOOKUP(B980,RM!$C$4:$G984,10,FALSE))</f>
        <v/>
      </c>
      <c r="M980" s="94" t="str">
        <f>IF(B980="","", VLOOKUP(B980,RM!$C$4:$G984,11,FALSE))</f>
        <v/>
      </c>
      <c r="N980" s="95" t="str">
        <f>IF(B980="","", VLOOKUP(B980,RM!$C$4:$G984,12,FALSE))</f>
        <v/>
      </c>
    </row>
    <row r="981" spans="1:14">
      <c r="A981" s="87" t="str">
        <f t="shared" si="3"/>
        <v/>
      </c>
      <c r="B981" s="2"/>
      <c r="C981" s="87"/>
      <c r="D981" s="87"/>
      <c r="E981" s="87"/>
      <c r="F981" s="87"/>
      <c r="G981" s="87"/>
      <c r="H981" s="87"/>
      <c r="I981" s="87"/>
      <c r="J981" s="2"/>
      <c r="K981" s="2"/>
      <c r="L981" s="94" t="str">
        <f>IF(B981="","", VLOOKUP(B981,RM!$C$4:$G984,10,FALSE))</f>
        <v/>
      </c>
      <c r="M981" s="94" t="str">
        <f>IF(B981="","", VLOOKUP(B981,RM!$C$4:$G984,11,FALSE))</f>
        <v/>
      </c>
      <c r="N981" s="95" t="str">
        <f>IF(B981="","", VLOOKUP(B981,RM!$C$4:$G984,12,FALSE))</f>
        <v/>
      </c>
    </row>
    <row r="982" spans="1:14">
      <c r="A982" s="87" t="str">
        <f t="shared" si="3"/>
        <v/>
      </c>
      <c r="B982" s="2"/>
      <c r="C982" s="87"/>
      <c r="D982" s="87"/>
      <c r="E982" s="87"/>
      <c r="F982" s="87"/>
      <c r="G982" s="87"/>
      <c r="H982" s="87"/>
      <c r="I982" s="87"/>
      <c r="J982" s="2"/>
      <c r="K982" s="2"/>
      <c r="L982" s="94" t="str">
        <f>IF(B982="","", VLOOKUP(B982,RM!$C$4:$G984,10,FALSE))</f>
        <v/>
      </c>
      <c r="M982" s="94" t="str">
        <f>IF(B982="","", VLOOKUP(B982,RM!$C$4:$G984,11,FALSE))</f>
        <v/>
      </c>
      <c r="N982" s="95" t="str">
        <f>IF(B982="","", VLOOKUP(B982,RM!$C$4:$G984,12,FALSE))</f>
        <v/>
      </c>
    </row>
    <row r="983" spans="1:14">
      <c r="A983" s="87" t="str">
        <f t="shared" si="3"/>
        <v/>
      </c>
      <c r="B983" s="2"/>
      <c r="C983" s="87"/>
      <c r="D983" s="87"/>
      <c r="E983" s="87"/>
      <c r="F983" s="87"/>
      <c r="G983" s="87"/>
      <c r="H983" s="87"/>
      <c r="I983" s="87"/>
      <c r="J983" s="2"/>
      <c r="K983" s="2"/>
      <c r="L983" s="94" t="str">
        <f>IF(B983="","", VLOOKUP(B983,RM!$C$4:$G984,10,FALSE))</f>
        <v/>
      </c>
      <c r="M983" s="94" t="str">
        <f>IF(B983="","", VLOOKUP(B983,RM!$C$4:$G984,11,FALSE))</f>
        <v/>
      </c>
      <c r="N983" s="95" t="str">
        <f>IF(B983="","", VLOOKUP(B983,RM!$C$4:$G984,12,FALSE))</f>
        <v/>
      </c>
    </row>
    <row r="984" spans="1:14">
      <c r="A984" s="87" t="str">
        <f t="shared" si="3"/>
        <v/>
      </c>
      <c r="B984" s="2"/>
      <c r="C984" s="87"/>
      <c r="D984" s="87"/>
      <c r="E984" s="87"/>
      <c r="F984" s="87"/>
      <c r="G984" s="87"/>
      <c r="H984" s="87"/>
      <c r="I984" s="87"/>
      <c r="J984" s="2"/>
      <c r="K984" s="2"/>
      <c r="L984" s="94" t="str">
        <f>IF(B984="","", VLOOKUP(B984,RM!$C$4:$G984,10,FALSE))</f>
        <v/>
      </c>
      <c r="M984" s="94" t="str">
        <f>IF(B984="","", VLOOKUP(B984,RM!$C$4:$G984,11,FALSE))</f>
        <v/>
      </c>
      <c r="N984" s="95" t="str">
        <f>IF(B984="","", VLOOKUP(B984,RM!$C$4:$G984,12,FALSE))</f>
        <v/>
      </c>
    </row>
    <row r="985" spans="1:14">
      <c r="A985" s="87" t="str">
        <f t="shared" si="3"/>
        <v/>
      </c>
      <c r="B985" s="2"/>
      <c r="C985" s="87"/>
      <c r="D985" s="87"/>
      <c r="E985" s="87"/>
      <c r="F985" s="87"/>
      <c r="G985" s="87"/>
      <c r="H985" s="87"/>
      <c r="I985" s="87"/>
      <c r="J985" s="2"/>
      <c r="K985" s="2"/>
      <c r="L985" s="94" t="str">
        <f>IF(B985="","", VLOOKUP(B985,RM!$C$4:$G984,10,FALSE))</f>
        <v/>
      </c>
      <c r="M985" s="94" t="str">
        <f>IF(B985="","", VLOOKUP(B985,RM!$C$4:$G984,11,FALSE))</f>
        <v/>
      </c>
      <c r="N985" s="95" t="str">
        <f>IF(B985="","", VLOOKUP(B985,RM!$C$4:$G984,12,FALSE))</f>
        <v/>
      </c>
    </row>
    <row r="986" spans="1:14">
      <c r="A986" s="87" t="str">
        <f t="shared" si="3"/>
        <v/>
      </c>
      <c r="B986" s="2"/>
      <c r="C986" s="87"/>
      <c r="D986" s="87"/>
      <c r="E986" s="87"/>
      <c r="F986" s="87"/>
      <c r="G986" s="87"/>
      <c r="H986" s="87"/>
      <c r="I986" s="87"/>
      <c r="J986" s="2"/>
      <c r="K986" s="2"/>
      <c r="L986" s="94" t="str">
        <f>IF(B986="","", VLOOKUP(B986,RM!$C$4:$G984,10,FALSE))</f>
        <v/>
      </c>
      <c r="M986" s="94" t="str">
        <f>IF(B986="","", VLOOKUP(B986,RM!$C$4:$G984,11,FALSE))</f>
        <v/>
      </c>
      <c r="N986" s="95" t="str">
        <f>IF(B986="","", VLOOKUP(B986,RM!$C$4:$G984,12,FALSE))</f>
        <v/>
      </c>
    </row>
    <row r="987" spans="1:14">
      <c r="A987" s="87" t="str">
        <f t="shared" si="3"/>
        <v/>
      </c>
      <c r="B987" s="2"/>
      <c r="C987" s="87"/>
      <c r="D987" s="87"/>
      <c r="E987" s="87"/>
      <c r="F987" s="87"/>
      <c r="G987" s="87"/>
      <c r="H987" s="87"/>
      <c r="I987" s="87"/>
      <c r="J987" s="2"/>
      <c r="K987" s="2"/>
      <c r="L987" s="94" t="str">
        <f>IF(B987="","", VLOOKUP(B987,RM!$C$4:$G984,10,FALSE))</f>
        <v/>
      </c>
      <c r="M987" s="94" t="str">
        <f>IF(B987="","", VLOOKUP(B987,RM!$C$4:$G984,11,FALSE))</f>
        <v/>
      </c>
      <c r="N987" s="95" t="str">
        <f>IF(B987="","", VLOOKUP(B987,RM!$C$4:$G984,12,FALSE))</f>
        <v/>
      </c>
    </row>
    <row r="988" spans="1:14">
      <c r="A988" s="87" t="str">
        <f t="shared" si="3"/>
        <v/>
      </c>
      <c r="B988" s="2"/>
      <c r="C988" s="87"/>
      <c r="D988" s="87"/>
      <c r="E988" s="87"/>
      <c r="F988" s="87"/>
      <c r="G988" s="87"/>
      <c r="H988" s="87"/>
      <c r="I988" s="87"/>
      <c r="J988" s="2"/>
      <c r="K988" s="2"/>
      <c r="L988" s="94" t="str">
        <f>IF(B988="","", VLOOKUP(B988,RM!$C$4:$G984,10,FALSE))</f>
        <v/>
      </c>
      <c r="M988" s="94" t="str">
        <f>IF(B988="","", VLOOKUP(B988,RM!$C$4:$G984,11,FALSE))</f>
        <v/>
      </c>
      <c r="N988" s="95" t="str">
        <f>IF(B988="","", VLOOKUP(B988,RM!$C$4:$G984,12,FALSE))</f>
        <v/>
      </c>
    </row>
    <row r="989" spans="1:14">
      <c r="A989" s="87" t="str">
        <f t="shared" si="3"/>
        <v/>
      </c>
      <c r="B989" s="2"/>
      <c r="C989" s="87"/>
      <c r="D989" s="87"/>
      <c r="E989" s="87"/>
      <c r="F989" s="87"/>
      <c r="G989" s="87"/>
      <c r="H989" s="87"/>
      <c r="I989" s="87"/>
      <c r="J989" s="2"/>
      <c r="K989" s="2"/>
      <c r="L989" s="94" t="str">
        <f>IF(B989="","", VLOOKUP(B989,RM!$C$4:$G984,10,FALSE))</f>
        <v/>
      </c>
      <c r="M989" s="94" t="str">
        <f>IF(B989="","", VLOOKUP(B989,RM!$C$4:$G984,11,FALSE))</f>
        <v/>
      </c>
      <c r="N989" s="95" t="str">
        <f>IF(B989="","", VLOOKUP(B989,RM!$C$4:$G984,12,FALSE))</f>
        <v/>
      </c>
    </row>
    <row r="990" spans="1:14">
      <c r="A990" s="87" t="str">
        <f t="shared" si="3"/>
        <v/>
      </c>
      <c r="B990" s="2"/>
      <c r="C990" s="87"/>
      <c r="D990" s="87"/>
      <c r="E990" s="87"/>
      <c r="F990" s="87"/>
      <c r="G990" s="87"/>
      <c r="H990" s="87"/>
      <c r="I990" s="87"/>
      <c r="J990" s="2"/>
      <c r="K990" s="2"/>
      <c r="L990" s="94" t="str">
        <f>IF(B990="","", VLOOKUP(B990,RM!$C$4:$G984,10,FALSE))</f>
        <v/>
      </c>
      <c r="M990" s="94" t="str">
        <f>IF(B990="","", VLOOKUP(B990,RM!$C$4:$G984,11,FALSE))</f>
        <v/>
      </c>
      <c r="N990" s="95" t="str">
        <f>IF(B990="","", VLOOKUP(B990,RM!$C$4:$G984,12,FALSE))</f>
        <v/>
      </c>
    </row>
    <row r="991" spans="1:14">
      <c r="A991" s="87" t="str">
        <f t="shared" si="3"/>
        <v/>
      </c>
      <c r="B991" s="2"/>
      <c r="C991" s="87"/>
      <c r="D991" s="87"/>
      <c r="E991" s="87"/>
      <c r="F991" s="87"/>
      <c r="G991" s="87"/>
      <c r="H991" s="87"/>
      <c r="I991" s="87"/>
      <c r="J991" s="2"/>
      <c r="K991" s="2"/>
      <c r="L991" s="94" t="str">
        <f>IF(B991="","", VLOOKUP(B991,RM!$C$4:$G984,10,FALSE))</f>
        <v/>
      </c>
      <c r="M991" s="94" t="str">
        <f>IF(B991="","", VLOOKUP(B991,RM!$C$4:$G984,11,FALSE))</f>
        <v/>
      </c>
      <c r="N991" s="95" t="str">
        <f>IF(B991="","", VLOOKUP(B991,RM!$C$4:$G984,12,FALSE))</f>
        <v/>
      </c>
    </row>
    <row r="992" spans="1:14">
      <c r="A992" s="87" t="str">
        <f t="shared" si="3"/>
        <v/>
      </c>
      <c r="B992" s="2"/>
      <c r="C992" s="87"/>
      <c r="D992" s="87"/>
      <c r="E992" s="87"/>
      <c r="F992" s="87"/>
      <c r="G992" s="87"/>
      <c r="H992" s="87"/>
      <c r="I992" s="87"/>
      <c r="J992" s="2"/>
      <c r="K992" s="2"/>
      <c r="L992" s="94" t="str">
        <f>IF(B992="","", VLOOKUP(B992,RM!$C$4:$G984,10,FALSE))</f>
        <v/>
      </c>
      <c r="M992" s="94" t="str">
        <f>IF(B992="","", VLOOKUP(B992,RM!$C$4:$G984,11,FALSE))</f>
        <v/>
      </c>
      <c r="N992" s="95" t="str">
        <f>IF(B992="","", VLOOKUP(B992,RM!$C$4:$G984,12,FALSE))</f>
        <v/>
      </c>
    </row>
    <row r="993" spans="1:14">
      <c r="A993" s="87" t="str">
        <f t="shared" si="3"/>
        <v/>
      </c>
      <c r="B993" s="2"/>
      <c r="C993" s="87"/>
      <c r="D993" s="87"/>
      <c r="E993" s="87"/>
      <c r="F993" s="87"/>
      <c r="G993" s="87"/>
      <c r="H993" s="87"/>
      <c r="I993" s="87"/>
      <c r="J993" s="2"/>
      <c r="K993" s="2"/>
      <c r="L993" s="94" t="str">
        <f>IF(B993="","", VLOOKUP(B993,RM!$C$4:$G984,10,FALSE))</f>
        <v/>
      </c>
      <c r="M993" s="94" t="str">
        <f>IF(B993="","", VLOOKUP(B993,RM!$C$4:$G984,11,FALSE))</f>
        <v/>
      </c>
      <c r="N993" s="95" t="str">
        <f>IF(B993="","", VLOOKUP(B993,RM!$C$4:$G984,12,FALSE))</f>
        <v/>
      </c>
    </row>
    <row r="994" spans="1:14">
      <c r="A994" s="87" t="str">
        <f t="shared" si="3"/>
        <v/>
      </c>
      <c r="B994" s="2"/>
      <c r="C994" s="87"/>
      <c r="D994" s="87"/>
      <c r="E994" s="87"/>
      <c r="F994" s="87"/>
      <c r="G994" s="87"/>
      <c r="H994" s="87"/>
      <c r="I994" s="87"/>
      <c r="J994" s="2"/>
      <c r="K994" s="2"/>
      <c r="L994" s="94" t="str">
        <f>IF(B994="","", VLOOKUP(B994,RM!$C$4:$G984,10,FALSE))</f>
        <v/>
      </c>
      <c r="M994" s="94" t="str">
        <f>IF(B994="","", VLOOKUP(B994,RM!$C$4:$G984,11,FALSE))</f>
        <v/>
      </c>
      <c r="N994" s="95" t="str">
        <f>IF(B994="","", VLOOKUP(B994,RM!$C$4:$G984,12,FALSE))</f>
        <v/>
      </c>
    </row>
  </sheetData>
  <mergeCells count="2">
    <mergeCell ref="A1:N1"/>
    <mergeCell ref="H2:I2"/>
  </mergeCells>
  <conditionalFormatting sqref="B4:G994">
    <cfRule type="expression" dxfId="27" priority="1">
      <formula>$H4="Set"</formula>
    </cfRule>
  </conditionalFormatting>
  <conditionalFormatting sqref="G4:G994">
    <cfRule type="cellIs" dxfId="26" priority="2" operator="greaterThan">
      <formula>0</formula>
    </cfRule>
  </conditionalFormatting>
  <dataValidations count="1">
    <dataValidation type="list" allowBlank="1" showErrorMessage="1" sqref="B2" xr:uid="{00000000-0002-0000-0500-000000000000}">
      <formula1>#REF!</formula1>
    </dataValidation>
  </dataValidations>
  <printOptions horizontalCentered="1" gridLines="1"/>
  <pageMargins left="0.7" right="0.7" top="0.75" bottom="0.75" header="0" footer="0"/>
  <pageSetup paperSize="9" pageOrder="overThenDown" orientation="portrait" cellComments="atEnd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Z1496"/>
  <sheetViews>
    <sheetView workbookViewId="0">
      <pane ySplit="3" topLeftCell="A4" activePane="bottomLeft" state="frozen"/>
      <selection pane="bottomLeft" activeCell="B5" sqref="B5"/>
    </sheetView>
  </sheetViews>
  <sheetFormatPr defaultColWidth="14.453125" defaultRowHeight="15" customHeight="1"/>
  <cols>
    <col min="1" max="1" width="11.26953125" customWidth="1"/>
    <col min="2" max="2" width="33.81640625" customWidth="1"/>
    <col min="3" max="3" width="12.7265625" customWidth="1"/>
    <col min="4" max="4" width="12.26953125" customWidth="1"/>
    <col min="5" max="5" width="11.81640625" customWidth="1"/>
    <col min="6" max="6" width="12.7265625" customWidth="1"/>
    <col min="7" max="7" width="15.7265625" hidden="1" customWidth="1"/>
    <col min="8" max="8" width="13.7265625" hidden="1" customWidth="1"/>
    <col min="9" max="9" width="18.453125" hidden="1" customWidth="1"/>
    <col min="10" max="10" width="11.26953125" hidden="1" customWidth="1"/>
    <col min="11" max="12" width="4.54296875" customWidth="1"/>
    <col min="13" max="13" width="19" customWidth="1"/>
    <col min="14" max="14" width="4.453125" hidden="1" customWidth="1"/>
    <col min="15" max="15" width="25.54296875" hidden="1" customWidth="1"/>
    <col min="16" max="26" width="25.54296875" customWidth="1"/>
  </cols>
  <sheetData>
    <row r="1" spans="1:26">
      <c r="A1" s="243" t="s">
        <v>1731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1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spans="1:26">
      <c r="A2" s="85" t="s">
        <v>0</v>
      </c>
      <c r="B2" s="97" t="s">
        <v>25</v>
      </c>
      <c r="C2" s="245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1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</row>
    <row r="3" spans="1:26">
      <c r="A3" s="92" t="s">
        <v>1440</v>
      </c>
      <c r="B3" s="92" t="s">
        <v>73</v>
      </c>
      <c r="C3" s="92" t="s">
        <v>1732</v>
      </c>
      <c r="D3" s="92" t="s">
        <v>76</v>
      </c>
      <c r="E3" s="92" t="s">
        <v>1733</v>
      </c>
      <c r="F3" s="92" t="s">
        <v>1734</v>
      </c>
      <c r="G3" s="92" t="s">
        <v>1735</v>
      </c>
      <c r="H3" s="92" t="s">
        <v>0</v>
      </c>
      <c r="I3" s="92" t="s">
        <v>1736</v>
      </c>
      <c r="J3" s="92" t="s">
        <v>1737</v>
      </c>
      <c r="K3" s="99" t="s">
        <v>1728</v>
      </c>
      <c r="L3" s="99" t="s">
        <v>1729</v>
      </c>
      <c r="M3" s="100" t="s">
        <v>1730</v>
      </c>
      <c r="N3" s="99" t="s">
        <v>1729</v>
      </c>
      <c r="O3" s="100" t="s">
        <v>1730</v>
      </c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</row>
    <row r="4" spans="1:26">
      <c r="A4" s="87">
        <f t="shared" ref="A4:A258" ca="1" si="0">IF(B4="","",ROW()-9)</f>
        <v>-5</v>
      </c>
      <c r="B4" s="2" t="str">
        <f ca="1">IFERROR(__xludf.DUMMYFUNCTION("SORT(FILTER(RM!C4:G1496,RM!G4:G1496=B2),2,false)"),"Yellow 14/38 Wire")</f>
        <v>Yellow 14/38 Wire</v>
      </c>
      <c r="C4" s="87" t="str">
        <f ca="1">IFERROR(__xludf.DUMMYFUNCTION("""COMPUTED_VALUE"""),"CAB-SCO-1C14/38LENChetan-Yellow")</f>
        <v>CAB-SCO-1C14/38LENChetan-Yellow</v>
      </c>
      <c r="D4" s="87"/>
      <c r="E4" s="87" t="str">
        <f ca="1">IFERROR(__xludf.DUMMYFUNCTION("""COMPUTED_VALUE"""),"Meter")</f>
        <v>Meter</v>
      </c>
      <c r="F4" s="87" t="str">
        <f ca="1">IFERROR(__xludf.DUMMYFUNCTION("""COMPUTED_VALUE"""),"Cable Fort")</f>
        <v>Cable Fort</v>
      </c>
      <c r="G4" s="87"/>
      <c r="H4" s="87"/>
      <c r="I4" s="87"/>
      <c r="J4" s="102"/>
      <c r="K4" s="103"/>
      <c r="L4" s="104"/>
      <c r="M4" s="95"/>
      <c r="N4" s="95"/>
      <c r="O4" s="9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</row>
    <row r="5" spans="1:26">
      <c r="A5" s="87">
        <f t="shared" ca="1" si="0"/>
        <v>-4</v>
      </c>
      <c r="B5" s="2" t="str">
        <f ca="1">IFERROR(__xludf.DUMMYFUNCTION("""COMPUTED_VALUE"""),"White Red 14/38 Wire")</f>
        <v>White Red 14/38 Wire</v>
      </c>
      <c r="C5" s="87" t="str">
        <f ca="1">IFERROR(__xludf.DUMMYFUNCTION("""COMPUTED_VALUE"""),"CAB-SCO-1C14/38LENChetan-WhiteRed")</f>
        <v>CAB-SCO-1C14/38LENChetan-WhiteRed</v>
      </c>
      <c r="D5" s="87"/>
      <c r="E5" s="87" t="str">
        <f ca="1">IFERROR(__xludf.DUMMYFUNCTION("""COMPUTED_VALUE"""),"Meter")</f>
        <v>Meter</v>
      </c>
      <c r="F5" s="87" t="str">
        <f ca="1">IFERROR(__xludf.DUMMYFUNCTION("""COMPUTED_VALUE"""),"Cable Fort")</f>
        <v>Cable Fort</v>
      </c>
      <c r="G5" s="87"/>
      <c r="H5" s="87"/>
      <c r="I5" s="87"/>
      <c r="J5" s="102"/>
      <c r="K5" s="103"/>
      <c r="L5" s="104"/>
      <c r="M5" s="95"/>
      <c r="N5" s="95"/>
      <c r="O5" s="9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</row>
    <row r="6" spans="1:26">
      <c r="A6" s="87">
        <f t="shared" ca="1" si="0"/>
        <v>-3</v>
      </c>
      <c r="B6" s="2" t="str">
        <f ca="1">IFERROR(__xludf.DUMMYFUNCTION("""COMPUTED_VALUE"""),"White Black 14/38 Wire")</f>
        <v>White Black 14/38 Wire</v>
      </c>
      <c r="C6" s="87" t="str">
        <f ca="1">IFERROR(__xludf.DUMMYFUNCTION("""COMPUTED_VALUE"""),"CAB-SCO-1C14/38LENChetan-WhiteBlack")</f>
        <v>CAB-SCO-1C14/38LENChetan-WhiteBlack</v>
      </c>
      <c r="D6" s="87"/>
      <c r="E6" s="87" t="str">
        <f ca="1">IFERROR(__xludf.DUMMYFUNCTION("""COMPUTED_VALUE"""),"Meter")</f>
        <v>Meter</v>
      </c>
      <c r="F6" s="87" t="str">
        <f ca="1">IFERROR(__xludf.DUMMYFUNCTION("""COMPUTED_VALUE"""),"Cable Fort")</f>
        <v>Cable Fort</v>
      </c>
      <c r="G6" s="87"/>
      <c r="H6" s="87"/>
      <c r="I6" s="87"/>
      <c r="J6" s="102"/>
      <c r="K6" s="103"/>
      <c r="L6" s="104"/>
      <c r="M6" s="95"/>
      <c r="N6" s="95"/>
      <c r="O6" s="9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</row>
    <row r="7" spans="1:26">
      <c r="A7" s="87">
        <f t="shared" ca="1" si="0"/>
        <v>-2</v>
      </c>
      <c r="B7" s="2" t="str">
        <f ca="1">IFERROR(__xludf.DUMMYFUNCTION("""COMPUTED_VALUE"""),"White 14/38 Wire")</f>
        <v>White 14/38 Wire</v>
      </c>
      <c r="C7" s="87" t="str">
        <f ca="1">IFERROR(__xludf.DUMMYFUNCTION("""COMPUTED_VALUE"""),"CAB-SCO-1C14/38LENChetan-White")</f>
        <v>CAB-SCO-1C14/38LENChetan-White</v>
      </c>
      <c r="D7" s="87"/>
      <c r="E7" s="87" t="str">
        <f ca="1">IFERROR(__xludf.DUMMYFUNCTION("""COMPUTED_VALUE"""),"Meter")</f>
        <v>Meter</v>
      </c>
      <c r="F7" s="87" t="str">
        <f ca="1">IFERROR(__xludf.DUMMYFUNCTION("""COMPUTED_VALUE"""),"Cable Fort")</f>
        <v>Cable Fort</v>
      </c>
      <c r="G7" s="87"/>
      <c r="H7" s="87"/>
      <c r="I7" s="87"/>
      <c r="J7" s="102"/>
      <c r="K7" s="103"/>
      <c r="L7" s="104"/>
      <c r="M7" s="95"/>
      <c r="N7" s="95"/>
      <c r="O7" s="9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</row>
    <row r="8" spans="1:26">
      <c r="A8" s="87">
        <f t="shared" ca="1" si="0"/>
        <v>-1</v>
      </c>
      <c r="B8" s="2" t="str">
        <f ca="1">IFERROR(__xludf.DUMMYFUNCTION("""COMPUTED_VALUE"""),"Sky Blue 14/38 Wire")</f>
        <v>Sky Blue 14/38 Wire</v>
      </c>
      <c r="C8" s="87" t="str">
        <f ca="1">IFERROR(__xludf.DUMMYFUNCTION("""COMPUTED_VALUE"""),"CAB-SCO-1C14/38LENChetan-SkyBlue")</f>
        <v>CAB-SCO-1C14/38LENChetan-SkyBlue</v>
      </c>
      <c r="D8" s="87"/>
      <c r="E8" s="87" t="str">
        <f ca="1">IFERROR(__xludf.DUMMYFUNCTION("""COMPUTED_VALUE"""),"Meter")</f>
        <v>Meter</v>
      </c>
      <c r="F8" s="87" t="str">
        <f ca="1">IFERROR(__xludf.DUMMYFUNCTION("""COMPUTED_VALUE"""),"Cable Fort")</f>
        <v>Cable Fort</v>
      </c>
      <c r="G8" s="87"/>
      <c r="H8" s="87"/>
      <c r="I8" s="87"/>
      <c r="J8" s="102"/>
      <c r="K8" s="103"/>
      <c r="L8" s="104"/>
      <c r="M8" s="95"/>
      <c r="N8" s="95"/>
      <c r="O8" s="9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spans="1:26">
      <c r="A9" s="87">
        <f t="shared" ca="1" si="0"/>
        <v>0</v>
      </c>
      <c r="B9" s="2" t="str">
        <f ca="1">IFERROR(__xludf.DUMMYFUNCTION("""COMPUTED_VALUE"""),"Red 14/38 Wire")</f>
        <v>Red 14/38 Wire</v>
      </c>
      <c r="C9" s="87" t="str">
        <f ca="1">IFERROR(__xludf.DUMMYFUNCTION("""COMPUTED_VALUE"""),"CAB-SCO-1C14/38LENChetan-Red")</f>
        <v>CAB-SCO-1C14/38LENChetan-Red</v>
      </c>
      <c r="D9" s="87"/>
      <c r="E9" s="87" t="str">
        <f ca="1">IFERROR(__xludf.DUMMYFUNCTION("""COMPUTED_VALUE"""),"Meter")</f>
        <v>Meter</v>
      </c>
      <c r="F9" s="87" t="str">
        <f ca="1">IFERROR(__xludf.DUMMYFUNCTION("""COMPUTED_VALUE"""),"Cable Fort")</f>
        <v>Cable Fort</v>
      </c>
      <c r="G9" s="87"/>
      <c r="H9" s="87"/>
      <c r="I9" s="87"/>
      <c r="J9" s="102"/>
      <c r="K9" s="103"/>
      <c r="L9" s="104"/>
      <c r="M9" s="95"/>
      <c r="N9" s="95"/>
      <c r="O9" s="9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spans="1:26">
      <c r="A10" s="87">
        <f t="shared" ca="1" si="0"/>
        <v>1</v>
      </c>
      <c r="B10" s="2" t="str">
        <f ca="1">IFERROR(__xludf.DUMMYFUNCTION("""COMPUTED_VALUE"""),"Purple 14/38 Wire")</f>
        <v>Purple 14/38 Wire</v>
      </c>
      <c r="C10" s="87" t="str">
        <f ca="1">IFERROR(__xludf.DUMMYFUNCTION("""COMPUTED_VALUE"""),"CAB-SCO-1C14/38LENChetan-Purple")</f>
        <v>CAB-SCO-1C14/38LENChetan-Purple</v>
      </c>
      <c r="D10" s="87"/>
      <c r="E10" s="87" t="str">
        <f ca="1">IFERROR(__xludf.DUMMYFUNCTION("""COMPUTED_VALUE"""),"Meter")</f>
        <v>Meter</v>
      </c>
      <c r="F10" s="87" t="str">
        <f ca="1">IFERROR(__xludf.DUMMYFUNCTION("""COMPUTED_VALUE"""),"Cable Fort")</f>
        <v>Cable Fort</v>
      </c>
      <c r="G10" s="87"/>
      <c r="H10" s="87"/>
      <c r="I10" s="87"/>
      <c r="J10" s="102"/>
      <c r="K10" s="103"/>
      <c r="L10" s="104"/>
      <c r="M10" s="95"/>
      <c r="N10" s="95"/>
      <c r="O10" s="9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spans="1:26">
      <c r="A11" s="87">
        <f t="shared" ca="1" si="0"/>
        <v>2</v>
      </c>
      <c r="B11" s="2" t="str">
        <f ca="1">IFERROR(__xludf.DUMMYFUNCTION("""COMPUTED_VALUE"""),"Pink 14/38 Wire")</f>
        <v>Pink 14/38 Wire</v>
      </c>
      <c r="C11" s="87" t="str">
        <f ca="1">IFERROR(__xludf.DUMMYFUNCTION("""COMPUTED_VALUE"""),"CAB-SCO-1C14/38LENChetan-Pink")</f>
        <v>CAB-SCO-1C14/38LENChetan-Pink</v>
      </c>
      <c r="D11" s="87"/>
      <c r="E11" s="87" t="str">
        <f ca="1">IFERROR(__xludf.DUMMYFUNCTION("""COMPUTED_VALUE"""),"Meter")</f>
        <v>Meter</v>
      </c>
      <c r="F11" s="87" t="str">
        <f ca="1">IFERROR(__xludf.DUMMYFUNCTION("""COMPUTED_VALUE"""),"Cable Fort")</f>
        <v>Cable Fort</v>
      </c>
      <c r="G11" s="87"/>
      <c r="H11" s="87"/>
      <c r="I11" s="87"/>
      <c r="J11" s="102"/>
      <c r="K11" s="103"/>
      <c r="L11" s="104"/>
      <c r="M11" s="95"/>
      <c r="N11" s="95"/>
      <c r="O11" s="9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</row>
    <row r="12" spans="1:26">
      <c r="A12" s="87">
        <f t="shared" ca="1" si="0"/>
        <v>3</v>
      </c>
      <c r="B12" s="2" t="str">
        <f ca="1">IFERROR(__xludf.DUMMYFUNCTION("""COMPUTED_VALUE"""),"ParrotGreen 14/38 Wire")</f>
        <v>ParrotGreen 14/38 Wire</v>
      </c>
      <c r="C12" s="87" t="str">
        <f ca="1">IFERROR(__xludf.DUMMYFUNCTION("""COMPUTED_VALUE"""),"CAB-SCO-1C14/38LENChetan-ParrotGreen")</f>
        <v>CAB-SCO-1C14/38LENChetan-ParrotGreen</v>
      </c>
      <c r="D12" s="87"/>
      <c r="E12" s="87" t="str">
        <f ca="1">IFERROR(__xludf.DUMMYFUNCTION("""COMPUTED_VALUE"""),"Meter")</f>
        <v>Meter</v>
      </c>
      <c r="F12" s="87" t="str">
        <f ca="1">IFERROR(__xludf.DUMMYFUNCTION("""COMPUTED_VALUE"""),"Cable Fort")</f>
        <v>Cable Fort</v>
      </c>
      <c r="G12" s="87"/>
      <c r="H12" s="87"/>
      <c r="I12" s="87"/>
      <c r="J12" s="102"/>
      <c r="K12" s="103"/>
      <c r="L12" s="104"/>
      <c r="M12" s="95"/>
      <c r="N12" s="95"/>
      <c r="O12" s="9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</row>
    <row r="13" spans="1:26">
      <c r="A13" s="87">
        <f t="shared" ca="1" si="0"/>
        <v>4</v>
      </c>
      <c r="B13" s="2" t="str">
        <f ca="1">IFERROR(__xludf.DUMMYFUNCTION("""COMPUTED_VALUE"""),"Orange 14/38 Wire")</f>
        <v>Orange 14/38 Wire</v>
      </c>
      <c r="C13" s="87" t="str">
        <f ca="1">IFERROR(__xludf.DUMMYFUNCTION("""COMPUTED_VALUE"""),"CAB-SCO-1C14/38LENChetan-Orange")</f>
        <v>CAB-SCO-1C14/38LENChetan-Orange</v>
      </c>
      <c r="D13" s="87"/>
      <c r="E13" s="87" t="str">
        <f ca="1">IFERROR(__xludf.DUMMYFUNCTION("""COMPUTED_VALUE"""),"Meter")</f>
        <v>Meter</v>
      </c>
      <c r="F13" s="87" t="str">
        <f ca="1">IFERROR(__xludf.DUMMYFUNCTION("""COMPUTED_VALUE"""),"Cable Fort")</f>
        <v>Cable Fort</v>
      </c>
      <c r="G13" s="87"/>
      <c r="H13" s="87"/>
      <c r="I13" s="87"/>
      <c r="J13" s="102"/>
      <c r="K13" s="103"/>
      <c r="L13" s="104"/>
      <c r="M13" s="95"/>
      <c r="N13" s="95"/>
      <c r="O13" s="9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</row>
    <row r="14" spans="1:26">
      <c r="A14" s="87">
        <f t="shared" ca="1" si="0"/>
        <v>5</v>
      </c>
      <c r="B14" s="2" t="str">
        <f ca="1">IFERROR(__xludf.DUMMYFUNCTION("""COMPUTED_VALUE"""),"Light Grey 14/38 Wire")</f>
        <v>Light Grey 14/38 Wire</v>
      </c>
      <c r="C14" s="87" t="str">
        <f ca="1">IFERROR(__xludf.DUMMYFUNCTION("""COMPUTED_VALUE"""),"CAB-SCO-1C14/38LENChetan-Grey")</f>
        <v>CAB-SCO-1C14/38LENChetan-Grey</v>
      </c>
      <c r="D14" s="87"/>
      <c r="E14" s="87" t="str">
        <f ca="1">IFERROR(__xludf.DUMMYFUNCTION("""COMPUTED_VALUE"""),"Meter")</f>
        <v>Meter</v>
      </c>
      <c r="F14" s="87" t="str">
        <f ca="1">IFERROR(__xludf.DUMMYFUNCTION("""COMPUTED_VALUE"""),"Cable Fort")</f>
        <v>Cable Fort</v>
      </c>
      <c r="G14" s="87"/>
      <c r="H14" s="87"/>
      <c r="I14" s="87"/>
      <c r="J14" s="102"/>
      <c r="K14" s="103"/>
      <c r="L14" s="104"/>
      <c r="M14" s="95"/>
      <c r="N14" s="95"/>
      <c r="O14" s="9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</row>
    <row r="15" spans="1:26">
      <c r="A15" s="87">
        <f t="shared" ca="1" si="0"/>
        <v>6</v>
      </c>
      <c r="B15" s="2" t="str">
        <f ca="1">IFERROR(__xludf.DUMMYFUNCTION("""COMPUTED_VALUE"""),"Green 14/38 Wire")</f>
        <v>Green 14/38 Wire</v>
      </c>
      <c r="C15" s="87" t="str">
        <f ca="1">IFERROR(__xludf.DUMMYFUNCTION("""COMPUTED_VALUE"""),"CAB-SCO-1C14/38LENChetan-Green")</f>
        <v>CAB-SCO-1C14/38LENChetan-Green</v>
      </c>
      <c r="D15" s="87"/>
      <c r="E15" s="87" t="str">
        <f ca="1">IFERROR(__xludf.DUMMYFUNCTION("""COMPUTED_VALUE"""),"Meter")</f>
        <v>Meter</v>
      </c>
      <c r="F15" s="87" t="str">
        <f ca="1">IFERROR(__xludf.DUMMYFUNCTION("""COMPUTED_VALUE"""),"Cable Fort")</f>
        <v>Cable Fort</v>
      </c>
      <c r="G15" s="87"/>
      <c r="H15" s="87"/>
      <c r="I15" s="87"/>
      <c r="J15" s="102"/>
      <c r="K15" s="103"/>
      <c r="L15" s="104"/>
      <c r="M15" s="95"/>
      <c r="N15" s="95"/>
      <c r="O15" s="9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</row>
    <row r="16" spans="1:26">
      <c r="A16" s="87">
        <f t="shared" ca="1" si="0"/>
        <v>7</v>
      </c>
      <c r="B16" s="2" t="str">
        <f ca="1">IFERROR(__xludf.DUMMYFUNCTION("""COMPUTED_VALUE"""),"Dark Grey 14/38 Wire")</f>
        <v>Dark Grey 14/38 Wire</v>
      </c>
      <c r="C16" s="87" t="str">
        <f ca="1">IFERROR(__xludf.DUMMYFUNCTION("""COMPUTED_VALUE"""),"CAB-SCO-1C14/38LENChetan-DarkGrey")</f>
        <v>CAB-SCO-1C14/38LENChetan-DarkGrey</v>
      </c>
      <c r="D16" s="87"/>
      <c r="E16" s="87" t="str">
        <f ca="1">IFERROR(__xludf.DUMMYFUNCTION("""COMPUTED_VALUE"""),"Meter")</f>
        <v>Meter</v>
      </c>
      <c r="F16" s="87" t="str">
        <f ca="1">IFERROR(__xludf.DUMMYFUNCTION("""COMPUTED_VALUE"""),"Cable Fort")</f>
        <v>Cable Fort</v>
      </c>
      <c r="G16" s="87"/>
      <c r="H16" s="87"/>
      <c r="I16" s="87"/>
      <c r="J16" s="102"/>
      <c r="K16" s="103"/>
      <c r="L16" s="104"/>
      <c r="M16" s="95"/>
      <c r="N16" s="95"/>
      <c r="O16" s="9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</row>
    <row r="17" spans="1:26">
      <c r="A17" s="87">
        <f t="shared" ca="1" si="0"/>
        <v>8</v>
      </c>
      <c r="B17" s="2" t="str">
        <f ca="1">IFERROR(__xludf.DUMMYFUNCTION("""COMPUTED_VALUE"""),"D. Brown 14/38 Wire")</f>
        <v>D. Brown 14/38 Wire</v>
      </c>
      <c r="C17" s="87" t="str">
        <f ca="1">IFERROR(__xludf.DUMMYFUNCTION("""COMPUTED_VALUE"""),"CAB-SCO-1C14/38LENChetan-DarkBrown")</f>
        <v>CAB-SCO-1C14/38LENChetan-DarkBrown</v>
      </c>
      <c r="D17" s="87"/>
      <c r="E17" s="87" t="str">
        <f ca="1">IFERROR(__xludf.DUMMYFUNCTION("""COMPUTED_VALUE"""),"Meter")</f>
        <v>Meter</v>
      </c>
      <c r="F17" s="87" t="str">
        <f ca="1">IFERROR(__xludf.DUMMYFUNCTION("""COMPUTED_VALUE"""),"Cable Fort")</f>
        <v>Cable Fort</v>
      </c>
      <c r="G17" s="87"/>
      <c r="H17" s="87"/>
      <c r="I17" s="87"/>
      <c r="J17" s="102"/>
      <c r="K17" s="103"/>
      <c r="L17" s="104"/>
      <c r="M17" s="95"/>
      <c r="N17" s="95"/>
      <c r="O17" s="9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</row>
    <row r="18" spans="1:26">
      <c r="A18" s="87">
        <f t="shared" ca="1" si="0"/>
        <v>9</v>
      </c>
      <c r="B18" s="2" t="str">
        <f ca="1">IFERROR(__xludf.DUMMYFUNCTION("""COMPUTED_VALUE"""),"Dark Blue 14/38 Wire")</f>
        <v>Dark Blue 14/38 Wire</v>
      </c>
      <c r="C18" s="87" t="str">
        <f ca="1">IFERROR(__xludf.DUMMYFUNCTION("""COMPUTED_VALUE"""),"CAB-SCO-1C14/38LENChetan-DarkBlue")</f>
        <v>CAB-SCO-1C14/38LENChetan-DarkBlue</v>
      </c>
      <c r="D18" s="87"/>
      <c r="E18" s="87" t="str">
        <f ca="1">IFERROR(__xludf.DUMMYFUNCTION("""COMPUTED_VALUE"""),"Meter")</f>
        <v>Meter</v>
      </c>
      <c r="F18" s="87" t="str">
        <f ca="1">IFERROR(__xludf.DUMMYFUNCTION("""COMPUTED_VALUE"""),"Cable Fort")</f>
        <v>Cable Fort</v>
      </c>
      <c r="G18" s="87"/>
      <c r="H18" s="87"/>
      <c r="I18" s="87"/>
      <c r="J18" s="102"/>
      <c r="K18" s="103"/>
      <c r="L18" s="104"/>
      <c r="M18" s="95"/>
      <c r="N18" s="95"/>
      <c r="O18" s="9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</row>
    <row r="19" spans="1:26">
      <c r="A19" s="87">
        <f t="shared" ca="1" si="0"/>
        <v>10</v>
      </c>
      <c r="B19" s="2" t="str">
        <f ca="1">IFERROR(__xludf.DUMMYFUNCTION("""COMPUTED_VALUE"""),"Cyan 14/38 Wire")</f>
        <v>Cyan 14/38 Wire</v>
      </c>
      <c r="C19" s="87" t="str">
        <f ca="1">IFERROR(__xludf.DUMMYFUNCTION("""COMPUTED_VALUE"""),"CAB-SCO-1C14/38LENChetan-Cyan")</f>
        <v>CAB-SCO-1C14/38LENChetan-Cyan</v>
      </c>
      <c r="D19" s="87"/>
      <c r="E19" s="87" t="str">
        <f ca="1">IFERROR(__xludf.DUMMYFUNCTION("""COMPUTED_VALUE"""),"Meter")</f>
        <v>Meter</v>
      </c>
      <c r="F19" s="87" t="str">
        <f ca="1">IFERROR(__xludf.DUMMYFUNCTION("""COMPUTED_VALUE"""),"Cable Fort")</f>
        <v>Cable Fort</v>
      </c>
      <c r="G19" s="87"/>
      <c r="H19" s="87"/>
      <c r="I19" s="87"/>
      <c r="J19" s="102"/>
      <c r="K19" s="103"/>
      <c r="L19" s="104"/>
      <c r="M19" s="95"/>
      <c r="N19" s="95"/>
      <c r="O19" s="9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</row>
    <row r="20" spans="1:26">
      <c r="A20" s="87">
        <f t="shared" ca="1" si="0"/>
        <v>11</v>
      </c>
      <c r="B20" s="2" t="str">
        <f ca="1">IFERROR(__xludf.DUMMYFUNCTION("""COMPUTED_VALUE"""),"Brown 14/38 Wire")</f>
        <v>Brown 14/38 Wire</v>
      </c>
      <c r="C20" s="87" t="str">
        <f ca="1">IFERROR(__xludf.DUMMYFUNCTION("""COMPUTED_VALUE"""),"CAB-SCO-1C14/38LENChetan-Brown")</f>
        <v>CAB-SCO-1C14/38LENChetan-Brown</v>
      </c>
      <c r="D20" s="87"/>
      <c r="E20" s="87" t="str">
        <f ca="1">IFERROR(__xludf.DUMMYFUNCTION("""COMPUTED_VALUE"""),"Meter")</f>
        <v>Meter</v>
      </c>
      <c r="F20" s="87" t="str">
        <f ca="1">IFERROR(__xludf.DUMMYFUNCTION("""COMPUTED_VALUE"""),"Cable Fort")</f>
        <v>Cable Fort</v>
      </c>
      <c r="G20" s="87"/>
      <c r="H20" s="87"/>
      <c r="I20" s="87"/>
      <c r="J20" s="102"/>
      <c r="K20" s="103"/>
      <c r="L20" s="104"/>
      <c r="M20" s="95"/>
      <c r="N20" s="95"/>
      <c r="O20" s="9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</row>
    <row r="21" spans="1:26">
      <c r="A21" s="87">
        <f t="shared" ca="1" si="0"/>
        <v>12</v>
      </c>
      <c r="B21" s="2" t="str">
        <f ca="1">IFERROR(__xludf.DUMMYFUNCTION("""COMPUTED_VALUE"""),"Black 14/38 Wire")</f>
        <v>Black 14/38 Wire</v>
      </c>
      <c r="C21" s="87" t="str">
        <f ca="1">IFERROR(__xludf.DUMMYFUNCTION("""COMPUTED_VALUE"""),"CAB-SCO-1C14/38LENChetan-Black")</f>
        <v>CAB-SCO-1C14/38LENChetan-Black</v>
      </c>
      <c r="D21" s="87"/>
      <c r="E21" s="87" t="str">
        <f ca="1">IFERROR(__xludf.DUMMYFUNCTION("""COMPUTED_VALUE"""),"Meter")</f>
        <v>Meter</v>
      </c>
      <c r="F21" s="87" t="str">
        <f ca="1">IFERROR(__xludf.DUMMYFUNCTION("""COMPUTED_VALUE"""),"Cable Fort")</f>
        <v>Cable Fort</v>
      </c>
      <c r="G21" s="87"/>
      <c r="H21" s="87"/>
      <c r="I21" s="87"/>
      <c r="J21" s="102"/>
      <c r="K21" s="103"/>
      <c r="L21" s="104"/>
      <c r="M21" s="95"/>
      <c r="N21" s="95"/>
      <c r="O21" s="9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</row>
    <row r="22" spans="1:26">
      <c r="A22" s="87">
        <f t="shared" ca="1" si="0"/>
        <v>13</v>
      </c>
      <c r="B22" s="2" t="str">
        <f ca="1">IFERROR(__xludf.DUMMYFUNCTION("""COMPUTED_VALUE"""),"8 Core Wire 14/38")</f>
        <v>8 Core Wire 14/38</v>
      </c>
      <c r="C22" s="87" t="str">
        <f ca="1">IFERROR(__xludf.DUMMYFUNCTION("""COMPUTED_VALUE"""),"CAB-MCO-8C14/38LENChetan")</f>
        <v>CAB-MCO-8C14/38LENChetan</v>
      </c>
      <c r="D22" s="87"/>
      <c r="E22" s="87" t="str">
        <f ca="1">IFERROR(__xludf.DUMMYFUNCTION("""COMPUTED_VALUE"""),"Meter")</f>
        <v>Meter</v>
      </c>
      <c r="F22" s="87" t="str">
        <f ca="1">IFERROR(__xludf.DUMMYFUNCTION("""COMPUTED_VALUE"""),"Cable Fort")</f>
        <v>Cable Fort</v>
      </c>
      <c r="G22" s="87"/>
      <c r="H22" s="87"/>
      <c r="I22" s="87"/>
      <c r="J22" s="102"/>
      <c r="K22" s="103"/>
      <c r="L22" s="104"/>
      <c r="M22" s="95"/>
      <c r="N22" s="95"/>
      <c r="O22" s="9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</row>
    <row r="23" spans="1:26">
      <c r="A23" s="87">
        <f t="shared" ca="1" si="0"/>
        <v>14</v>
      </c>
      <c r="B23" s="2" t="str">
        <f ca="1">IFERROR(__xludf.DUMMYFUNCTION("""COMPUTED_VALUE"""),"6 Core Wire 14/38")</f>
        <v>6 Core Wire 14/38</v>
      </c>
      <c r="C23" s="87" t="str">
        <f ca="1">IFERROR(__xludf.DUMMYFUNCTION("""COMPUTED_VALUE"""),"CAB-MCO-6C14/38LENChetan")</f>
        <v>CAB-MCO-6C14/38LENChetan</v>
      </c>
      <c r="D23" s="87"/>
      <c r="E23" s="87" t="str">
        <f ca="1">IFERROR(__xludf.DUMMYFUNCTION("""COMPUTED_VALUE"""),"Meter")</f>
        <v>Meter</v>
      </c>
      <c r="F23" s="87" t="str">
        <f ca="1">IFERROR(__xludf.DUMMYFUNCTION("""COMPUTED_VALUE"""),"Cable Fort")</f>
        <v>Cable Fort</v>
      </c>
      <c r="G23" s="87"/>
      <c r="H23" s="87"/>
      <c r="I23" s="87"/>
      <c r="J23" s="102"/>
      <c r="K23" s="103"/>
      <c r="L23" s="104"/>
      <c r="M23" s="95"/>
      <c r="N23" s="95"/>
      <c r="O23" s="9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</row>
    <row r="24" spans="1:26">
      <c r="A24" s="87">
        <f t="shared" ca="1" si="0"/>
        <v>15</v>
      </c>
      <c r="B24" s="2" t="str">
        <f ca="1">IFERROR(__xludf.DUMMYFUNCTION("""COMPUTED_VALUE"""),"20 Core Wire 14/38")</f>
        <v>20 Core Wire 14/38</v>
      </c>
      <c r="C24" s="87" t="str">
        <f ca="1">IFERROR(__xludf.DUMMYFUNCTION("""COMPUTED_VALUE"""),"CAB-MCO-20C14/38LENChetan")</f>
        <v>CAB-MCO-20C14/38LENChetan</v>
      </c>
      <c r="D24" s="87"/>
      <c r="E24" s="87" t="str">
        <f ca="1">IFERROR(__xludf.DUMMYFUNCTION("""COMPUTED_VALUE"""),"Meter")</f>
        <v>Meter</v>
      </c>
      <c r="F24" s="87" t="str">
        <f ca="1">IFERROR(__xludf.DUMMYFUNCTION("""COMPUTED_VALUE"""),"Cable Fort")</f>
        <v>Cable Fort</v>
      </c>
      <c r="G24" s="87"/>
      <c r="H24" s="87"/>
      <c r="I24" s="87"/>
      <c r="J24" s="102"/>
      <c r="K24" s="103"/>
      <c r="L24" s="104"/>
      <c r="M24" s="95"/>
      <c r="N24" s="95"/>
      <c r="O24" s="9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</row>
    <row r="25" spans="1:26">
      <c r="A25" s="87">
        <f t="shared" ca="1" si="0"/>
        <v>16</v>
      </c>
      <c r="B25" s="2" t="str">
        <f ca="1">IFERROR(__xludf.DUMMYFUNCTION("""COMPUTED_VALUE"""),"16 Core Wire 14/38")</f>
        <v>16 Core Wire 14/38</v>
      </c>
      <c r="C25" s="87" t="str">
        <f ca="1">IFERROR(__xludf.DUMMYFUNCTION("""COMPUTED_VALUE"""),"CAB-MCO-16C14/38LENChetan")</f>
        <v>CAB-MCO-16C14/38LENChetan</v>
      </c>
      <c r="D25" s="87"/>
      <c r="E25" s="87" t="str">
        <f ca="1">IFERROR(__xludf.DUMMYFUNCTION("""COMPUTED_VALUE"""),"Meter")</f>
        <v>Meter</v>
      </c>
      <c r="F25" s="87" t="str">
        <f ca="1">IFERROR(__xludf.DUMMYFUNCTION("""COMPUTED_VALUE"""),"Cable Fort")</f>
        <v>Cable Fort</v>
      </c>
      <c r="G25" s="87"/>
      <c r="H25" s="87"/>
      <c r="I25" s="87"/>
      <c r="J25" s="102"/>
      <c r="K25" s="103"/>
      <c r="L25" s="104"/>
      <c r="M25" s="95"/>
      <c r="N25" s="95"/>
      <c r="O25" s="9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</row>
    <row r="26" spans="1:26">
      <c r="A26" s="87">
        <f t="shared" ca="1" si="0"/>
        <v>17</v>
      </c>
      <c r="B26" s="2" t="str">
        <f ca="1">IFERROR(__xludf.DUMMYFUNCTION("""COMPUTED_VALUE"""),"12 Core Wire 14/38")</f>
        <v>12 Core Wire 14/38</v>
      </c>
      <c r="C26" s="87" t="str">
        <f ca="1">IFERROR(__xludf.DUMMYFUNCTION("""COMPUTED_VALUE"""),"CAB-MCO-12C14/38LENChetan")</f>
        <v>CAB-MCO-12C14/38LENChetan</v>
      </c>
      <c r="D26" s="87"/>
      <c r="E26" s="87" t="str">
        <f ca="1">IFERROR(__xludf.DUMMYFUNCTION("""COMPUTED_VALUE"""),"Meter")</f>
        <v>Meter</v>
      </c>
      <c r="F26" s="87" t="str">
        <f ca="1">IFERROR(__xludf.DUMMYFUNCTION("""COMPUTED_VALUE"""),"Cable Fort")</f>
        <v>Cable Fort</v>
      </c>
      <c r="G26" s="87"/>
      <c r="H26" s="87"/>
      <c r="I26" s="87"/>
      <c r="J26" s="102"/>
      <c r="K26" s="103"/>
      <c r="L26" s="104"/>
      <c r="M26" s="95"/>
      <c r="N26" s="95"/>
      <c r="O26" s="9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</row>
    <row r="27" spans="1:26">
      <c r="A27" s="87">
        <f t="shared" ca="1" si="0"/>
        <v>18</v>
      </c>
      <c r="B27" s="2" t="str">
        <f ca="1">IFERROR(__xludf.DUMMYFUNCTION("""COMPUTED_VALUE"""),"10 Core Wire 14/38")</f>
        <v>10 Core Wire 14/38</v>
      </c>
      <c r="C27" s="87" t="str">
        <f ca="1">IFERROR(__xludf.DUMMYFUNCTION("""COMPUTED_VALUE"""),"CAB-MCO-10C14/38LENChetan")</f>
        <v>CAB-MCO-10C14/38LENChetan</v>
      </c>
      <c r="D27" s="87"/>
      <c r="E27" s="87" t="str">
        <f ca="1">IFERROR(__xludf.DUMMYFUNCTION("""COMPUTED_VALUE"""),"Meter")</f>
        <v>Meter</v>
      </c>
      <c r="F27" s="87" t="str">
        <f ca="1">IFERROR(__xludf.DUMMYFUNCTION("""COMPUTED_VALUE"""),"Cable Fort")</f>
        <v>Cable Fort</v>
      </c>
      <c r="G27" s="87"/>
      <c r="H27" s="87"/>
      <c r="I27" s="87"/>
      <c r="J27" s="102"/>
      <c r="K27" s="103"/>
      <c r="L27" s="104"/>
      <c r="M27" s="95"/>
      <c r="N27" s="95"/>
      <c r="O27" s="9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</row>
    <row r="28" spans="1:26">
      <c r="A28" s="87">
        <f t="shared" ca="1" si="0"/>
        <v>19</v>
      </c>
      <c r="B28" s="2" t="str">
        <f ca="1">IFERROR(__xludf.DUMMYFUNCTION("""COMPUTED_VALUE"""),"25Core Wire 14/38")</f>
        <v>25Core Wire 14/38</v>
      </c>
      <c r="C28" s="87"/>
      <c r="D28" s="87"/>
      <c r="E28" s="87" t="str">
        <f ca="1">IFERROR(__xludf.DUMMYFUNCTION("""COMPUTED_VALUE"""),"Meter")</f>
        <v>Meter</v>
      </c>
      <c r="F28" s="87" t="str">
        <f ca="1">IFERROR(__xludf.DUMMYFUNCTION("""COMPUTED_VALUE"""),"Cable Fort")</f>
        <v>Cable Fort</v>
      </c>
      <c r="G28" s="87"/>
      <c r="H28" s="87"/>
      <c r="I28" s="87"/>
      <c r="J28" s="102"/>
      <c r="K28" s="103"/>
      <c r="L28" s="104"/>
      <c r="M28" s="95"/>
      <c r="N28" s="95"/>
      <c r="O28" s="9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</row>
    <row r="29" spans="1:26">
      <c r="A29" s="87" t="str">
        <f t="shared" si="0"/>
        <v/>
      </c>
      <c r="B29" s="2"/>
      <c r="C29" s="87"/>
      <c r="D29" s="87"/>
      <c r="E29" s="87"/>
      <c r="F29" s="87"/>
      <c r="G29" s="87"/>
      <c r="H29" s="87"/>
      <c r="I29" s="87"/>
      <c r="J29" s="102"/>
      <c r="K29" s="103"/>
      <c r="L29" s="104"/>
      <c r="M29" s="95"/>
      <c r="N29" s="95"/>
      <c r="O29" s="9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</row>
    <row r="30" spans="1:26">
      <c r="A30" s="87" t="str">
        <f t="shared" si="0"/>
        <v/>
      </c>
      <c r="B30" s="2"/>
      <c r="C30" s="87"/>
      <c r="D30" s="87"/>
      <c r="E30" s="87"/>
      <c r="F30" s="87"/>
      <c r="G30" s="87"/>
      <c r="H30" s="87"/>
      <c r="I30" s="87"/>
      <c r="J30" s="102"/>
      <c r="K30" s="103"/>
      <c r="L30" s="104"/>
      <c r="M30" s="95"/>
      <c r="N30" s="95"/>
      <c r="O30" s="9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</row>
    <row r="31" spans="1:26">
      <c r="A31" s="87" t="str">
        <f t="shared" si="0"/>
        <v/>
      </c>
      <c r="B31" s="2"/>
      <c r="C31" s="87"/>
      <c r="D31" s="87"/>
      <c r="E31" s="87"/>
      <c r="F31" s="87"/>
      <c r="G31" s="87"/>
      <c r="H31" s="87"/>
      <c r="I31" s="87"/>
      <c r="J31" s="102"/>
      <c r="K31" s="103"/>
      <c r="L31" s="104"/>
      <c r="M31" s="95"/>
      <c r="N31" s="95"/>
      <c r="O31" s="9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</row>
    <row r="32" spans="1:26">
      <c r="A32" s="87" t="str">
        <f t="shared" si="0"/>
        <v/>
      </c>
      <c r="B32" s="2"/>
      <c r="C32" s="87"/>
      <c r="D32" s="87"/>
      <c r="E32" s="87"/>
      <c r="F32" s="87"/>
      <c r="G32" s="87"/>
      <c r="H32" s="87"/>
      <c r="I32" s="87"/>
      <c r="J32" s="102"/>
      <c r="K32" s="103"/>
      <c r="L32" s="104"/>
      <c r="M32" s="95"/>
      <c r="N32" s="95"/>
      <c r="O32" s="9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</row>
    <row r="33" spans="1:26">
      <c r="A33" s="87" t="str">
        <f t="shared" si="0"/>
        <v/>
      </c>
      <c r="B33" s="2"/>
      <c r="C33" s="87"/>
      <c r="D33" s="87"/>
      <c r="E33" s="87"/>
      <c r="F33" s="87"/>
      <c r="G33" s="87"/>
      <c r="H33" s="87"/>
      <c r="I33" s="87"/>
      <c r="J33" s="102"/>
      <c r="K33" s="103"/>
      <c r="L33" s="104"/>
      <c r="M33" s="95"/>
      <c r="N33" s="95"/>
      <c r="O33" s="9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</row>
    <row r="34" spans="1:26">
      <c r="A34" s="87" t="str">
        <f t="shared" si="0"/>
        <v/>
      </c>
      <c r="B34" s="2"/>
      <c r="C34" s="87"/>
      <c r="D34" s="87"/>
      <c r="E34" s="87"/>
      <c r="F34" s="87"/>
      <c r="G34" s="87"/>
      <c r="H34" s="87"/>
      <c r="I34" s="87"/>
      <c r="J34" s="102"/>
      <c r="K34" s="103"/>
      <c r="L34" s="104"/>
      <c r="M34" s="95"/>
      <c r="N34" s="95"/>
      <c r="O34" s="9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</row>
    <row r="35" spans="1:26">
      <c r="A35" s="87" t="str">
        <f t="shared" si="0"/>
        <v/>
      </c>
      <c r="B35" s="2"/>
      <c r="C35" s="87"/>
      <c r="D35" s="87"/>
      <c r="E35" s="87"/>
      <c r="F35" s="87"/>
      <c r="G35" s="87"/>
      <c r="H35" s="87"/>
      <c r="I35" s="87"/>
      <c r="J35" s="102"/>
      <c r="K35" s="103"/>
      <c r="L35" s="104"/>
      <c r="M35" s="95"/>
      <c r="N35" s="95"/>
      <c r="O35" s="9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</row>
    <row r="36" spans="1:26">
      <c r="A36" s="87" t="str">
        <f t="shared" si="0"/>
        <v/>
      </c>
      <c r="B36" s="2"/>
      <c r="C36" s="87"/>
      <c r="D36" s="87"/>
      <c r="E36" s="87"/>
      <c r="F36" s="87"/>
      <c r="G36" s="87"/>
      <c r="H36" s="87"/>
      <c r="I36" s="87"/>
      <c r="J36" s="102"/>
      <c r="K36" s="103"/>
      <c r="L36" s="104"/>
      <c r="M36" s="95"/>
      <c r="N36" s="95"/>
      <c r="O36" s="9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</row>
    <row r="37" spans="1:26">
      <c r="A37" s="87" t="str">
        <f t="shared" si="0"/>
        <v/>
      </c>
      <c r="B37" s="2"/>
      <c r="C37" s="87"/>
      <c r="D37" s="87"/>
      <c r="E37" s="87"/>
      <c r="F37" s="87"/>
      <c r="G37" s="87"/>
      <c r="H37" s="87"/>
      <c r="I37" s="87"/>
      <c r="J37" s="102"/>
      <c r="K37" s="103"/>
      <c r="L37" s="104"/>
      <c r="M37" s="95"/>
      <c r="N37" s="95"/>
      <c r="O37" s="9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</row>
    <row r="38" spans="1:26">
      <c r="A38" s="87" t="str">
        <f t="shared" si="0"/>
        <v/>
      </c>
      <c r="B38" s="2"/>
      <c r="C38" s="87"/>
      <c r="D38" s="87"/>
      <c r="E38" s="87"/>
      <c r="F38" s="87"/>
      <c r="G38" s="87"/>
      <c r="H38" s="87"/>
      <c r="I38" s="87"/>
      <c r="J38" s="102"/>
      <c r="K38" s="103"/>
      <c r="L38" s="104"/>
      <c r="M38" s="95"/>
      <c r="N38" s="95"/>
      <c r="O38" s="9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</row>
    <row r="39" spans="1:26">
      <c r="A39" s="87" t="str">
        <f t="shared" si="0"/>
        <v/>
      </c>
      <c r="B39" s="2"/>
      <c r="C39" s="87"/>
      <c r="D39" s="87"/>
      <c r="E39" s="87"/>
      <c r="F39" s="87"/>
      <c r="G39" s="87"/>
      <c r="H39" s="87"/>
      <c r="I39" s="87"/>
      <c r="J39" s="102"/>
      <c r="K39" s="103"/>
      <c r="L39" s="104"/>
      <c r="M39" s="95"/>
      <c r="N39" s="95"/>
      <c r="O39" s="9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</row>
    <row r="40" spans="1:26">
      <c r="A40" s="87" t="str">
        <f t="shared" si="0"/>
        <v/>
      </c>
      <c r="B40" s="2"/>
      <c r="C40" s="87"/>
      <c r="D40" s="87"/>
      <c r="E40" s="87"/>
      <c r="F40" s="87"/>
      <c r="G40" s="87"/>
      <c r="H40" s="87"/>
      <c r="I40" s="87"/>
      <c r="J40" s="102"/>
      <c r="K40" s="103"/>
      <c r="L40" s="104"/>
      <c r="M40" s="95"/>
      <c r="N40" s="95"/>
      <c r="O40" s="9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</row>
    <row r="41" spans="1:26">
      <c r="A41" s="87" t="str">
        <f t="shared" si="0"/>
        <v/>
      </c>
      <c r="B41" s="2"/>
      <c r="C41" s="87"/>
      <c r="D41" s="87"/>
      <c r="E41" s="87"/>
      <c r="F41" s="87"/>
      <c r="G41" s="87"/>
      <c r="H41" s="87"/>
      <c r="I41" s="87"/>
      <c r="J41" s="102"/>
      <c r="K41" s="103"/>
      <c r="L41" s="104"/>
      <c r="M41" s="95"/>
      <c r="N41" s="95"/>
      <c r="O41" s="9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</row>
    <row r="42" spans="1:26">
      <c r="A42" s="87" t="str">
        <f t="shared" si="0"/>
        <v/>
      </c>
      <c r="B42" s="2"/>
      <c r="C42" s="87"/>
      <c r="D42" s="87"/>
      <c r="E42" s="87"/>
      <c r="F42" s="87"/>
      <c r="G42" s="87"/>
      <c r="H42" s="87"/>
      <c r="I42" s="87"/>
      <c r="J42" s="102"/>
      <c r="K42" s="103"/>
      <c r="L42" s="104"/>
      <c r="M42" s="95"/>
      <c r="N42" s="95"/>
      <c r="O42" s="9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</row>
    <row r="43" spans="1:26">
      <c r="A43" s="87" t="str">
        <f t="shared" si="0"/>
        <v/>
      </c>
      <c r="B43" s="2"/>
      <c r="C43" s="87"/>
      <c r="D43" s="87"/>
      <c r="E43" s="87"/>
      <c r="F43" s="87"/>
      <c r="G43" s="87"/>
      <c r="H43" s="87"/>
      <c r="I43" s="87"/>
      <c r="J43" s="102"/>
      <c r="K43" s="103"/>
      <c r="L43" s="104"/>
      <c r="M43" s="95"/>
      <c r="N43" s="95"/>
      <c r="O43" s="9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</row>
    <row r="44" spans="1:26">
      <c r="A44" s="87" t="str">
        <f t="shared" si="0"/>
        <v/>
      </c>
      <c r="B44" s="2"/>
      <c r="C44" s="87"/>
      <c r="D44" s="87"/>
      <c r="E44" s="87"/>
      <c r="F44" s="87"/>
      <c r="G44" s="87"/>
      <c r="H44" s="87"/>
      <c r="I44" s="87"/>
      <c r="J44" s="102"/>
      <c r="K44" s="103"/>
      <c r="L44" s="104"/>
      <c r="M44" s="95"/>
      <c r="N44" s="95"/>
      <c r="O44" s="9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</row>
    <row r="45" spans="1:26">
      <c r="A45" s="87" t="str">
        <f t="shared" si="0"/>
        <v/>
      </c>
      <c r="B45" s="2"/>
      <c r="C45" s="87"/>
      <c r="D45" s="87"/>
      <c r="E45" s="87"/>
      <c r="F45" s="87"/>
      <c r="G45" s="87"/>
      <c r="H45" s="87"/>
      <c r="I45" s="87"/>
      <c r="J45" s="102"/>
      <c r="K45" s="103"/>
      <c r="L45" s="104"/>
      <c r="M45" s="95"/>
      <c r="N45" s="95"/>
      <c r="O45" s="9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</row>
    <row r="46" spans="1:26">
      <c r="A46" s="87" t="str">
        <f t="shared" si="0"/>
        <v/>
      </c>
      <c r="B46" s="2"/>
      <c r="C46" s="87"/>
      <c r="D46" s="87"/>
      <c r="E46" s="87"/>
      <c r="F46" s="87"/>
      <c r="G46" s="87"/>
      <c r="H46" s="87"/>
      <c r="I46" s="87"/>
      <c r="J46" s="102"/>
      <c r="K46" s="103"/>
      <c r="L46" s="104"/>
      <c r="M46" s="95"/>
      <c r="N46" s="95"/>
      <c r="O46" s="9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</row>
    <row r="47" spans="1:26">
      <c r="A47" s="87" t="str">
        <f t="shared" si="0"/>
        <v/>
      </c>
      <c r="B47" s="2"/>
      <c r="C47" s="87"/>
      <c r="D47" s="87"/>
      <c r="E47" s="87"/>
      <c r="F47" s="87"/>
      <c r="G47" s="87"/>
      <c r="H47" s="87"/>
      <c r="I47" s="87"/>
      <c r="J47" s="102"/>
      <c r="K47" s="103"/>
      <c r="L47" s="104"/>
      <c r="M47" s="95"/>
      <c r="N47" s="95"/>
      <c r="O47" s="9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</row>
    <row r="48" spans="1:26">
      <c r="A48" s="87" t="str">
        <f t="shared" si="0"/>
        <v/>
      </c>
      <c r="B48" s="2"/>
      <c r="C48" s="87"/>
      <c r="D48" s="87"/>
      <c r="E48" s="87"/>
      <c r="F48" s="87"/>
      <c r="G48" s="87"/>
      <c r="H48" s="87"/>
      <c r="I48" s="87"/>
      <c r="J48" s="102"/>
      <c r="K48" s="103"/>
      <c r="L48" s="104"/>
      <c r="M48" s="95"/>
      <c r="N48" s="95"/>
      <c r="O48" s="9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</row>
    <row r="49" spans="1:26">
      <c r="A49" s="87" t="str">
        <f t="shared" si="0"/>
        <v/>
      </c>
      <c r="B49" s="2"/>
      <c r="C49" s="87"/>
      <c r="D49" s="87"/>
      <c r="E49" s="87"/>
      <c r="F49" s="87"/>
      <c r="G49" s="87"/>
      <c r="H49" s="87"/>
      <c r="I49" s="87"/>
      <c r="J49" s="102"/>
      <c r="K49" s="103"/>
      <c r="L49" s="104"/>
      <c r="M49" s="95"/>
      <c r="N49" s="95"/>
      <c r="O49" s="9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</row>
    <row r="50" spans="1:26">
      <c r="A50" s="87" t="str">
        <f t="shared" si="0"/>
        <v/>
      </c>
      <c r="B50" s="2"/>
      <c r="C50" s="87"/>
      <c r="D50" s="87"/>
      <c r="E50" s="87"/>
      <c r="F50" s="87"/>
      <c r="G50" s="87"/>
      <c r="H50" s="87"/>
      <c r="I50" s="87"/>
      <c r="J50" s="102"/>
      <c r="K50" s="103"/>
      <c r="L50" s="104"/>
      <c r="M50" s="95"/>
      <c r="N50" s="95"/>
      <c r="O50" s="9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</row>
    <row r="51" spans="1:26">
      <c r="A51" s="87" t="str">
        <f t="shared" si="0"/>
        <v/>
      </c>
      <c r="B51" s="2"/>
      <c r="C51" s="87"/>
      <c r="D51" s="87"/>
      <c r="E51" s="87"/>
      <c r="F51" s="87"/>
      <c r="G51" s="87"/>
      <c r="H51" s="87"/>
      <c r="I51" s="87"/>
      <c r="J51" s="102"/>
      <c r="K51" s="103"/>
      <c r="L51" s="104"/>
      <c r="M51" s="95"/>
      <c r="N51" s="95"/>
      <c r="O51" s="9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</row>
    <row r="52" spans="1:26">
      <c r="A52" s="87" t="str">
        <f t="shared" si="0"/>
        <v/>
      </c>
      <c r="B52" s="2"/>
      <c r="C52" s="87"/>
      <c r="D52" s="87"/>
      <c r="E52" s="87"/>
      <c r="F52" s="87"/>
      <c r="G52" s="87"/>
      <c r="H52" s="87"/>
      <c r="I52" s="87"/>
      <c r="J52" s="102"/>
      <c r="K52" s="103"/>
      <c r="L52" s="104"/>
      <c r="M52" s="95"/>
      <c r="N52" s="95"/>
      <c r="O52" s="9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</row>
    <row r="53" spans="1:26">
      <c r="A53" s="87" t="str">
        <f t="shared" si="0"/>
        <v/>
      </c>
      <c r="B53" s="2"/>
      <c r="C53" s="87"/>
      <c r="D53" s="87"/>
      <c r="E53" s="87"/>
      <c r="F53" s="87"/>
      <c r="G53" s="87"/>
      <c r="H53" s="87"/>
      <c r="I53" s="87"/>
      <c r="J53" s="102"/>
      <c r="K53" s="103"/>
      <c r="L53" s="104"/>
      <c r="M53" s="95"/>
      <c r="N53" s="95"/>
      <c r="O53" s="9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</row>
    <row r="54" spans="1:26">
      <c r="A54" s="87" t="str">
        <f t="shared" si="0"/>
        <v/>
      </c>
      <c r="B54" s="2"/>
      <c r="C54" s="87"/>
      <c r="D54" s="87"/>
      <c r="E54" s="87"/>
      <c r="F54" s="87"/>
      <c r="G54" s="87"/>
      <c r="H54" s="87"/>
      <c r="I54" s="87"/>
      <c r="J54" s="102"/>
      <c r="K54" s="103"/>
      <c r="L54" s="104"/>
      <c r="M54" s="95"/>
      <c r="N54" s="95"/>
      <c r="O54" s="9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</row>
    <row r="55" spans="1:26">
      <c r="A55" s="87" t="str">
        <f t="shared" si="0"/>
        <v/>
      </c>
      <c r="B55" s="2"/>
      <c r="C55" s="87"/>
      <c r="D55" s="87"/>
      <c r="E55" s="87"/>
      <c r="F55" s="87"/>
      <c r="G55" s="87"/>
      <c r="H55" s="87"/>
      <c r="I55" s="87"/>
      <c r="J55" s="102"/>
      <c r="K55" s="103"/>
      <c r="L55" s="104"/>
      <c r="M55" s="95"/>
      <c r="N55" s="95"/>
      <c r="O55" s="9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</row>
    <row r="56" spans="1:26">
      <c r="A56" s="87" t="str">
        <f t="shared" si="0"/>
        <v/>
      </c>
      <c r="B56" s="2"/>
      <c r="C56" s="87"/>
      <c r="D56" s="87"/>
      <c r="E56" s="87"/>
      <c r="F56" s="87"/>
      <c r="G56" s="87"/>
      <c r="H56" s="87"/>
      <c r="I56" s="87"/>
      <c r="J56" s="102"/>
      <c r="K56" s="103"/>
      <c r="L56" s="104"/>
      <c r="M56" s="95"/>
      <c r="N56" s="95"/>
      <c r="O56" s="9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</row>
    <row r="57" spans="1:26">
      <c r="A57" s="87" t="str">
        <f t="shared" si="0"/>
        <v/>
      </c>
      <c r="B57" s="2"/>
      <c r="C57" s="87"/>
      <c r="D57" s="87"/>
      <c r="E57" s="87"/>
      <c r="F57" s="87"/>
      <c r="G57" s="87"/>
      <c r="H57" s="87"/>
      <c r="I57" s="87"/>
      <c r="J57" s="102"/>
      <c r="K57" s="103"/>
      <c r="L57" s="104"/>
      <c r="M57" s="95"/>
      <c r="N57" s="95"/>
      <c r="O57" s="9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</row>
    <row r="58" spans="1:26">
      <c r="A58" s="87" t="str">
        <f t="shared" si="0"/>
        <v/>
      </c>
      <c r="B58" s="2"/>
      <c r="C58" s="87"/>
      <c r="D58" s="87"/>
      <c r="E58" s="87"/>
      <c r="F58" s="87"/>
      <c r="G58" s="87"/>
      <c r="H58" s="87"/>
      <c r="I58" s="87"/>
      <c r="J58" s="102"/>
      <c r="K58" s="103"/>
      <c r="L58" s="104"/>
      <c r="M58" s="95"/>
      <c r="N58" s="95"/>
      <c r="O58" s="9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</row>
    <row r="59" spans="1:26">
      <c r="A59" s="87" t="str">
        <f t="shared" si="0"/>
        <v/>
      </c>
      <c r="B59" s="2"/>
      <c r="C59" s="87"/>
      <c r="D59" s="87"/>
      <c r="E59" s="87"/>
      <c r="F59" s="87"/>
      <c r="G59" s="87"/>
      <c r="H59" s="87"/>
      <c r="I59" s="87"/>
      <c r="J59" s="102"/>
      <c r="K59" s="103"/>
      <c r="L59" s="104"/>
      <c r="M59" s="95"/>
      <c r="N59" s="95"/>
      <c r="O59" s="9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</row>
    <row r="60" spans="1:26">
      <c r="A60" s="87" t="str">
        <f t="shared" si="0"/>
        <v/>
      </c>
      <c r="B60" s="2"/>
      <c r="C60" s="87"/>
      <c r="D60" s="87"/>
      <c r="E60" s="87"/>
      <c r="F60" s="87"/>
      <c r="G60" s="87"/>
      <c r="H60" s="87"/>
      <c r="I60" s="87"/>
      <c r="J60" s="102"/>
      <c r="K60" s="103"/>
      <c r="L60" s="104"/>
      <c r="M60" s="95"/>
      <c r="N60" s="95"/>
      <c r="O60" s="9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</row>
    <row r="61" spans="1:26">
      <c r="A61" s="87" t="str">
        <f t="shared" si="0"/>
        <v/>
      </c>
      <c r="B61" s="2"/>
      <c r="C61" s="87"/>
      <c r="D61" s="87"/>
      <c r="E61" s="87"/>
      <c r="F61" s="87"/>
      <c r="G61" s="87"/>
      <c r="H61" s="87"/>
      <c r="I61" s="87"/>
      <c r="J61" s="102"/>
      <c r="K61" s="103"/>
      <c r="L61" s="104"/>
      <c r="M61" s="95"/>
      <c r="N61" s="95"/>
      <c r="O61" s="9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</row>
    <row r="62" spans="1:26">
      <c r="A62" s="87" t="str">
        <f t="shared" si="0"/>
        <v/>
      </c>
      <c r="B62" s="2"/>
      <c r="C62" s="87"/>
      <c r="D62" s="87"/>
      <c r="E62" s="87"/>
      <c r="F62" s="87"/>
      <c r="G62" s="87"/>
      <c r="H62" s="87"/>
      <c r="I62" s="87"/>
      <c r="J62" s="102"/>
      <c r="K62" s="103"/>
      <c r="L62" s="104"/>
      <c r="M62" s="95"/>
      <c r="N62" s="95"/>
      <c r="O62" s="9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</row>
    <row r="63" spans="1:26">
      <c r="A63" s="87" t="str">
        <f t="shared" si="0"/>
        <v/>
      </c>
      <c r="B63" s="2"/>
      <c r="C63" s="87"/>
      <c r="D63" s="87"/>
      <c r="E63" s="87"/>
      <c r="F63" s="87"/>
      <c r="G63" s="87"/>
      <c r="H63" s="87"/>
      <c r="I63" s="87"/>
      <c r="J63" s="102"/>
      <c r="K63" s="103"/>
      <c r="L63" s="104"/>
      <c r="M63" s="95"/>
      <c r="N63" s="95"/>
      <c r="O63" s="9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</row>
    <row r="64" spans="1:26">
      <c r="A64" s="87" t="str">
        <f t="shared" si="0"/>
        <v/>
      </c>
      <c r="B64" s="2"/>
      <c r="C64" s="87"/>
      <c r="D64" s="87"/>
      <c r="E64" s="87"/>
      <c r="F64" s="87"/>
      <c r="G64" s="87"/>
      <c r="H64" s="87"/>
      <c r="I64" s="87"/>
      <c r="J64" s="102"/>
      <c r="K64" s="103"/>
      <c r="L64" s="104"/>
      <c r="M64" s="95"/>
      <c r="N64" s="95"/>
      <c r="O64" s="9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</row>
    <row r="65" spans="1:26">
      <c r="A65" s="87" t="str">
        <f t="shared" si="0"/>
        <v/>
      </c>
      <c r="B65" s="2"/>
      <c r="C65" s="87"/>
      <c r="D65" s="87"/>
      <c r="E65" s="87"/>
      <c r="F65" s="87"/>
      <c r="G65" s="87"/>
      <c r="H65" s="87"/>
      <c r="I65" s="87"/>
      <c r="J65" s="102"/>
      <c r="K65" s="103"/>
      <c r="L65" s="104"/>
      <c r="M65" s="95"/>
      <c r="N65" s="95"/>
      <c r="O65" s="9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</row>
    <row r="66" spans="1:26">
      <c r="A66" s="87" t="str">
        <f t="shared" si="0"/>
        <v/>
      </c>
      <c r="B66" s="2"/>
      <c r="C66" s="87"/>
      <c r="D66" s="87"/>
      <c r="E66" s="87"/>
      <c r="F66" s="87"/>
      <c r="G66" s="87"/>
      <c r="H66" s="87"/>
      <c r="I66" s="87"/>
      <c r="J66" s="102"/>
      <c r="K66" s="103"/>
      <c r="L66" s="104"/>
      <c r="M66" s="95"/>
      <c r="N66" s="95"/>
      <c r="O66" s="9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</row>
    <row r="67" spans="1:26">
      <c r="A67" s="87" t="str">
        <f t="shared" si="0"/>
        <v/>
      </c>
      <c r="B67" s="2"/>
      <c r="C67" s="87"/>
      <c r="D67" s="87"/>
      <c r="E67" s="87"/>
      <c r="F67" s="87"/>
      <c r="G67" s="87"/>
      <c r="H67" s="87"/>
      <c r="I67" s="87"/>
      <c r="J67" s="102"/>
      <c r="K67" s="103"/>
      <c r="L67" s="104"/>
      <c r="M67" s="95"/>
      <c r="N67" s="95"/>
      <c r="O67" s="9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</row>
    <row r="68" spans="1:26">
      <c r="A68" s="87" t="str">
        <f t="shared" si="0"/>
        <v/>
      </c>
      <c r="B68" s="2"/>
      <c r="C68" s="87"/>
      <c r="D68" s="87"/>
      <c r="E68" s="87"/>
      <c r="F68" s="87"/>
      <c r="G68" s="87"/>
      <c r="H68" s="87"/>
      <c r="I68" s="87"/>
      <c r="J68" s="102"/>
      <c r="K68" s="103"/>
      <c r="L68" s="104"/>
      <c r="M68" s="95"/>
      <c r="N68" s="95"/>
      <c r="O68" s="9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</row>
    <row r="69" spans="1:26">
      <c r="A69" s="87" t="str">
        <f t="shared" si="0"/>
        <v/>
      </c>
      <c r="B69" s="2"/>
      <c r="C69" s="87"/>
      <c r="D69" s="87"/>
      <c r="E69" s="87"/>
      <c r="F69" s="87"/>
      <c r="G69" s="87"/>
      <c r="H69" s="87"/>
      <c r="I69" s="87"/>
      <c r="J69" s="102"/>
      <c r="K69" s="103"/>
      <c r="L69" s="104"/>
      <c r="M69" s="95"/>
      <c r="N69" s="95"/>
      <c r="O69" s="9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</row>
    <row r="70" spans="1:26">
      <c r="A70" s="87" t="str">
        <f t="shared" si="0"/>
        <v/>
      </c>
      <c r="B70" s="2"/>
      <c r="C70" s="87"/>
      <c r="D70" s="87"/>
      <c r="E70" s="87"/>
      <c r="F70" s="87"/>
      <c r="G70" s="87"/>
      <c r="H70" s="87"/>
      <c r="I70" s="87"/>
      <c r="J70" s="102"/>
      <c r="K70" s="103"/>
      <c r="L70" s="104"/>
      <c r="M70" s="95"/>
      <c r="N70" s="95"/>
      <c r="O70" s="9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</row>
    <row r="71" spans="1:26">
      <c r="A71" s="87" t="str">
        <f t="shared" si="0"/>
        <v/>
      </c>
      <c r="B71" s="2"/>
      <c r="C71" s="87"/>
      <c r="D71" s="87"/>
      <c r="E71" s="87"/>
      <c r="F71" s="87"/>
      <c r="G71" s="87"/>
      <c r="H71" s="87"/>
      <c r="I71" s="87"/>
      <c r="J71" s="102"/>
      <c r="K71" s="103"/>
      <c r="L71" s="104"/>
      <c r="M71" s="95"/>
      <c r="N71" s="95"/>
      <c r="O71" s="9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</row>
    <row r="72" spans="1:26">
      <c r="A72" s="87" t="str">
        <f t="shared" si="0"/>
        <v/>
      </c>
      <c r="B72" s="2"/>
      <c r="C72" s="87"/>
      <c r="D72" s="87"/>
      <c r="E72" s="87"/>
      <c r="F72" s="87"/>
      <c r="G72" s="87"/>
      <c r="H72" s="87"/>
      <c r="I72" s="87"/>
      <c r="J72" s="102"/>
      <c r="K72" s="103"/>
      <c r="L72" s="104"/>
      <c r="M72" s="95"/>
      <c r="N72" s="95"/>
      <c r="O72" s="9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</row>
    <row r="73" spans="1:26">
      <c r="A73" s="87" t="str">
        <f t="shared" si="0"/>
        <v/>
      </c>
      <c r="B73" s="2"/>
      <c r="C73" s="87"/>
      <c r="D73" s="87"/>
      <c r="E73" s="87"/>
      <c r="F73" s="87"/>
      <c r="G73" s="87"/>
      <c r="H73" s="87"/>
      <c r="I73" s="87"/>
      <c r="J73" s="102"/>
      <c r="K73" s="103"/>
      <c r="L73" s="104"/>
      <c r="M73" s="95"/>
      <c r="N73" s="95"/>
      <c r="O73" s="9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</row>
    <row r="74" spans="1:26">
      <c r="A74" s="87" t="str">
        <f t="shared" si="0"/>
        <v/>
      </c>
      <c r="B74" s="2"/>
      <c r="C74" s="87"/>
      <c r="D74" s="87"/>
      <c r="E74" s="87"/>
      <c r="F74" s="87"/>
      <c r="G74" s="87"/>
      <c r="H74" s="87"/>
      <c r="I74" s="87"/>
      <c r="J74" s="102"/>
      <c r="K74" s="103"/>
      <c r="L74" s="104"/>
      <c r="M74" s="95"/>
      <c r="N74" s="95"/>
      <c r="O74" s="9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</row>
    <row r="75" spans="1:26">
      <c r="A75" s="87" t="str">
        <f t="shared" si="0"/>
        <v/>
      </c>
      <c r="B75" s="2"/>
      <c r="C75" s="87"/>
      <c r="D75" s="87"/>
      <c r="E75" s="87"/>
      <c r="F75" s="87"/>
      <c r="G75" s="87"/>
      <c r="H75" s="87"/>
      <c r="I75" s="87"/>
      <c r="J75" s="102"/>
      <c r="K75" s="103"/>
      <c r="L75" s="104"/>
      <c r="M75" s="95"/>
      <c r="N75" s="95"/>
      <c r="O75" s="9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</row>
    <row r="76" spans="1:26">
      <c r="A76" s="87" t="str">
        <f t="shared" si="0"/>
        <v/>
      </c>
      <c r="B76" s="2"/>
      <c r="C76" s="87"/>
      <c r="D76" s="87"/>
      <c r="E76" s="87"/>
      <c r="F76" s="87"/>
      <c r="G76" s="87"/>
      <c r="H76" s="87"/>
      <c r="I76" s="87"/>
      <c r="J76" s="102"/>
      <c r="K76" s="103"/>
      <c r="L76" s="104"/>
      <c r="M76" s="95"/>
      <c r="N76" s="95"/>
      <c r="O76" s="9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</row>
    <row r="77" spans="1:26">
      <c r="A77" s="87" t="str">
        <f t="shared" si="0"/>
        <v/>
      </c>
      <c r="B77" s="2"/>
      <c r="C77" s="87"/>
      <c r="D77" s="87"/>
      <c r="E77" s="87"/>
      <c r="F77" s="87"/>
      <c r="G77" s="87"/>
      <c r="H77" s="87"/>
      <c r="I77" s="87"/>
      <c r="J77" s="102"/>
      <c r="K77" s="103"/>
      <c r="L77" s="104"/>
      <c r="M77" s="95"/>
      <c r="N77" s="95"/>
      <c r="O77" s="9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</row>
    <row r="78" spans="1:26">
      <c r="A78" s="87" t="str">
        <f t="shared" si="0"/>
        <v/>
      </c>
      <c r="B78" s="2"/>
      <c r="C78" s="87"/>
      <c r="D78" s="87"/>
      <c r="E78" s="87"/>
      <c r="F78" s="87"/>
      <c r="G78" s="87"/>
      <c r="H78" s="87"/>
      <c r="I78" s="87"/>
      <c r="J78" s="102"/>
      <c r="K78" s="103"/>
      <c r="L78" s="104"/>
      <c r="M78" s="95"/>
      <c r="N78" s="95"/>
      <c r="O78" s="9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</row>
    <row r="79" spans="1:26">
      <c r="A79" s="87" t="str">
        <f t="shared" si="0"/>
        <v/>
      </c>
      <c r="B79" s="2"/>
      <c r="C79" s="87"/>
      <c r="D79" s="87"/>
      <c r="E79" s="87"/>
      <c r="F79" s="87"/>
      <c r="G79" s="87"/>
      <c r="H79" s="87"/>
      <c r="I79" s="87"/>
      <c r="J79" s="102"/>
      <c r="K79" s="103"/>
      <c r="L79" s="104"/>
      <c r="M79" s="95"/>
      <c r="N79" s="95"/>
      <c r="O79" s="9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</row>
    <row r="80" spans="1:26">
      <c r="A80" s="87" t="str">
        <f t="shared" si="0"/>
        <v/>
      </c>
      <c r="B80" s="2"/>
      <c r="C80" s="87"/>
      <c r="D80" s="87"/>
      <c r="E80" s="87"/>
      <c r="F80" s="87"/>
      <c r="G80" s="87"/>
      <c r="H80" s="87"/>
      <c r="I80" s="87"/>
      <c r="J80" s="102"/>
      <c r="K80" s="103"/>
      <c r="L80" s="104"/>
      <c r="M80" s="95"/>
      <c r="N80" s="95"/>
      <c r="O80" s="9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</row>
    <row r="81" spans="1:26">
      <c r="A81" s="87" t="str">
        <f t="shared" si="0"/>
        <v/>
      </c>
      <c r="B81" s="2"/>
      <c r="C81" s="87"/>
      <c r="D81" s="87"/>
      <c r="E81" s="87"/>
      <c r="F81" s="87"/>
      <c r="G81" s="87"/>
      <c r="H81" s="87"/>
      <c r="I81" s="87"/>
      <c r="J81" s="102"/>
      <c r="K81" s="103"/>
      <c r="L81" s="104"/>
      <c r="M81" s="95"/>
      <c r="N81" s="95"/>
      <c r="O81" s="9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</row>
    <row r="82" spans="1:26">
      <c r="A82" s="87" t="str">
        <f t="shared" si="0"/>
        <v/>
      </c>
      <c r="B82" s="2"/>
      <c r="C82" s="87"/>
      <c r="D82" s="87"/>
      <c r="E82" s="87"/>
      <c r="F82" s="87"/>
      <c r="G82" s="87"/>
      <c r="H82" s="87"/>
      <c r="I82" s="87"/>
      <c r="J82" s="102"/>
      <c r="K82" s="103"/>
      <c r="L82" s="104"/>
      <c r="M82" s="95"/>
      <c r="N82" s="95"/>
      <c r="O82" s="9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</row>
    <row r="83" spans="1:26">
      <c r="A83" s="87" t="str">
        <f t="shared" si="0"/>
        <v/>
      </c>
      <c r="B83" s="2"/>
      <c r="C83" s="87"/>
      <c r="D83" s="87"/>
      <c r="E83" s="87"/>
      <c r="F83" s="87"/>
      <c r="G83" s="87"/>
      <c r="H83" s="87"/>
      <c r="I83" s="87"/>
      <c r="J83" s="102"/>
      <c r="K83" s="103"/>
      <c r="L83" s="104"/>
      <c r="M83" s="95"/>
      <c r="N83" s="95"/>
      <c r="O83" s="9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</row>
    <row r="84" spans="1:26">
      <c r="A84" s="87" t="str">
        <f t="shared" si="0"/>
        <v/>
      </c>
      <c r="B84" s="2"/>
      <c r="C84" s="87"/>
      <c r="D84" s="87"/>
      <c r="E84" s="87"/>
      <c r="F84" s="87"/>
      <c r="G84" s="87"/>
      <c r="H84" s="87"/>
      <c r="I84" s="87"/>
      <c r="J84" s="102"/>
      <c r="K84" s="103"/>
      <c r="L84" s="104"/>
      <c r="M84" s="95"/>
      <c r="N84" s="95"/>
      <c r="O84" s="9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</row>
    <row r="85" spans="1:26">
      <c r="A85" s="87" t="str">
        <f t="shared" si="0"/>
        <v/>
      </c>
      <c r="B85" s="2"/>
      <c r="C85" s="87"/>
      <c r="D85" s="87"/>
      <c r="E85" s="87"/>
      <c r="F85" s="87"/>
      <c r="G85" s="87"/>
      <c r="H85" s="87"/>
      <c r="I85" s="87"/>
      <c r="J85" s="102"/>
      <c r="K85" s="103"/>
      <c r="L85" s="104"/>
      <c r="M85" s="95"/>
      <c r="N85" s="95"/>
      <c r="O85" s="9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</row>
    <row r="86" spans="1:26">
      <c r="A86" s="87" t="str">
        <f t="shared" si="0"/>
        <v/>
      </c>
      <c r="B86" s="2"/>
      <c r="C86" s="87"/>
      <c r="D86" s="87"/>
      <c r="E86" s="87"/>
      <c r="F86" s="87"/>
      <c r="G86" s="87"/>
      <c r="H86" s="87"/>
      <c r="I86" s="87"/>
      <c r="J86" s="102"/>
      <c r="K86" s="103"/>
      <c r="L86" s="104"/>
      <c r="M86" s="95"/>
      <c r="N86" s="95"/>
      <c r="O86" s="9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</row>
    <row r="87" spans="1:26">
      <c r="A87" s="87" t="str">
        <f t="shared" si="0"/>
        <v/>
      </c>
      <c r="B87" s="2"/>
      <c r="C87" s="87"/>
      <c r="D87" s="87"/>
      <c r="E87" s="87"/>
      <c r="F87" s="87"/>
      <c r="G87" s="87"/>
      <c r="H87" s="87"/>
      <c r="I87" s="87"/>
      <c r="J87" s="102"/>
      <c r="K87" s="103"/>
      <c r="L87" s="104"/>
      <c r="M87" s="95"/>
      <c r="N87" s="95"/>
      <c r="O87" s="9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</row>
    <row r="88" spans="1:26">
      <c r="A88" s="87" t="str">
        <f t="shared" si="0"/>
        <v/>
      </c>
      <c r="B88" s="2"/>
      <c r="C88" s="87"/>
      <c r="D88" s="87"/>
      <c r="E88" s="87"/>
      <c r="F88" s="87"/>
      <c r="G88" s="87"/>
      <c r="H88" s="87"/>
      <c r="I88" s="87"/>
      <c r="J88" s="102"/>
      <c r="K88" s="103"/>
      <c r="L88" s="104"/>
      <c r="M88" s="95"/>
      <c r="N88" s="95"/>
      <c r="O88" s="9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</row>
    <row r="89" spans="1:26">
      <c r="A89" s="87" t="str">
        <f t="shared" si="0"/>
        <v/>
      </c>
      <c r="B89" s="2"/>
      <c r="C89" s="87"/>
      <c r="D89" s="87"/>
      <c r="E89" s="87"/>
      <c r="F89" s="87"/>
      <c r="G89" s="87"/>
      <c r="H89" s="87"/>
      <c r="I89" s="87"/>
      <c r="J89" s="102"/>
      <c r="K89" s="103"/>
      <c r="L89" s="104"/>
      <c r="M89" s="95"/>
      <c r="N89" s="95"/>
      <c r="O89" s="9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</row>
    <row r="90" spans="1:26">
      <c r="A90" s="87" t="str">
        <f t="shared" si="0"/>
        <v/>
      </c>
      <c r="B90" s="2"/>
      <c r="C90" s="87"/>
      <c r="D90" s="87"/>
      <c r="E90" s="87"/>
      <c r="F90" s="87"/>
      <c r="G90" s="87"/>
      <c r="H90" s="87"/>
      <c r="I90" s="87"/>
      <c r="J90" s="102"/>
      <c r="K90" s="103"/>
      <c r="L90" s="104"/>
      <c r="M90" s="95"/>
      <c r="N90" s="95"/>
      <c r="O90" s="9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</row>
    <row r="91" spans="1:26">
      <c r="A91" s="87" t="str">
        <f t="shared" si="0"/>
        <v/>
      </c>
      <c r="B91" s="2"/>
      <c r="C91" s="87"/>
      <c r="D91" s="87"/>
      <c r="E91" s="87"/>
      <c r="F91" s="87"/>
      <c r="G91" s="87"/>
      <c r="H91" s="87"/>
      <c r="I91" s="87"/>
      <c r="J91" s="102"/>
      <c r="K91" s="103"/>
      <c r="L91" s="104"/>
      <c r="M91" s="95"/>
      <c r="N91" s="95"/>
      <c r="O91" s="9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</row>
    <row r="92" spans="1:26">
      <c r="A92" s="87" t="str">
        <f t="shared" si="0"/>
        <v/>
      </c>
      <c r="B92" s="2"/>
      <c r="C92" s="87"/>
      <c r="D92" s="87"/>
      <c r="E92" s="87"/>
      <c r="F92" s="87"/>
      <c r="G92" s="87"/>
      <c r="H92" s="87"/>
      <c r="I92" s="87"/>
      <c r="J92" s="102"/>
      <c r="K92" s="103"/>
      <c r="L92" s="104"/>
      <c r="M92" s="95"/>
      <c r="N92" s="95"/>
      <c r="O92" s="9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</row>
    <row r="93" spans="1:26">
      <c r="A93" s="87" t="str">
        <f t="shared" si="0"/>
        <v/>
      </c>
      <c r="B93" s="2"/>
      <c r="C93" s="87"/>
      <c r="D93" s="87"/>
      <c r="E93" s="87"/>
      <c r="F93" s="87"/>
      <c r="G93" s="87"/>
      <c r="H93" s="87"/>
      <c r="I93" s="87"/>
      <c r="J93" s="102"/>
      <c r="K93" s="103"/>
      <c r="L93" s="104"/>
      <c r="M93" s="95"/>
      <c r="N93" s="95"/>
      <c r="O93" s="9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</row>
    <row r="94" spans="1:26">
      <c r="A94" s="87" t="str">
        <f t="shared" si="0"/>
        <v/>
      </c>
      <c r="B94" s="2"/>
      <c r="C94" s="87"/>
      <c r="D94" s="87"/>
      <c r="E94" s="87"/>
      <c r="F94" s="87"/>
      <c r="G94" s="87"/>
      <c r="H94" s="87"/>
      <c r="I94" s="87"/>
      <c r="J94" s="102"/>
      <c r="K94" s="103"/>
      <c r="L94" s="104"/>
      <c r="M94" s="95"/>
      <c r="N94" s="95"/>
      <c r="O94" s="9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</row>
    <row r="95" spans="1:26">
      <c r="A95" s="87" t="str">
        <f t="shared" si="0"/>
        <v/>
      </c>
      <c r="B95" s="2"/>
      <c r="C95" s="87"/>
      <c r="D95" s="87"/>
      <c r="E95" s="87"/>
      <c r="F95" s="87"/>
      <c r="G95" s="87"/>
      <c r="H95" s="87"/>
      <c r="I95" s="87"/>
      <c r="J95" s="102"/>
      <c r="K95" s="103"/>
      <c r="L95" s="104"/>
      <c r="M95" s="95"/>
      <c r="N95" s="95"/>
      <c r="O95" s="9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</row>
    <row r="96" spans="1:26">
      <c r="A96" s="87" t="str">
        <f t="shared" si="0"/>
        <v/>
      </c>
      <c r="B96" s="2"/>
      <c r="C96" s="87"/>
      <c r="D96" s="87"/>
      <c r="E96" s="87"/>
      <c r="F96" s="87"/>
      <c r="G96" s="87"/>
      <c r="H96" s="87"/>
      <c r="I96" s="87"/>
      <c r="J96" s="102"/>
      <c r="K96" s="103"/>
      <c r="L96" s="104"/>
      <c r="M96" s="95"/>
      <c r="N96" s="95"/>
      <c r="O96" s="9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</row>
    <row r="97" spans="1:26">
      <c r="A97" s="87" t="str">
        <f t="shared" si="0"/>
        <v/>
      </c>
      <c r="B97" s="2"/>
      <c r="C97" s="87"/>
      <c r="D97" s="87"/>
      <c r="E97" s="87"/>
      <c r="F97" s="87"/>
      <c r="G97" s="87"/>
      <c r="H97" s="87"/>
      <c r="I97" s="87"/>
      <c r="J97" s="102"/>
      <c r="K97" s="103"/>
      <c r="L97" s="104"/>
      <c r="M97" s="95"/>
      <c r="N97" s="95"/>
      <c r="O97" s="9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</row>
    <row r="98" spans="1:26">
      <c r="A98" s="87" t="str">
        <f t="shared" si="0"/>
        <v/>
      </c>
      <c r="B98" s="2"/>
      <c r="C98" s="87"/>
      <c r="D98" s="87"/>
      <c r="E98" s="87"/>
      <c r="F98" s="87"/>
      <c r="G98" s="87"/>
      <c r="H98" s="87"/>
      <c r="I98" s="87"/>
      <c r="J98" s="102"/>
      <c r="K98" s="103"/>
      <c r="L98" s="104"/>
      <c r="M98" s="95"/>
      <c r="N98" s="95"/>
      <c r="O98" s="9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</row>
    <row r="99" spans="1:26">
      <c r="A99" s="87" t="str">
        <f t="shared" si="0"/>
        <v/>
      </c>
      <c r="B99" s="2"/>
      <c r="C99" s="87"/>
      <c r="D99" s="87"/>
      <c r="E99" s="87"/>
      <c r="F99" s="87"/>
      <c r="G99" s="87"/>
      <c r="H99" s="87"/>
      <c r="I99" s="87"/>
      <c r="J99" s="102"/>
      <c r="K99" s="103"/>
      <c r="L99" s="104"/>
      <c r="M99" s="95"/>
      <c r="N99" s="95"/>
      <c r="O99" s="9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</row>
    <row r="100" spans="1:26">
      <c r="A100" s="87" t="str">
        <f t="shared" si="0"/>
        <v/>
      </c>
      <c r="B100" s="2"/>
      <c r="C100" s="87"/>
      <c r="D100" s="87"/>
      <c r="E100" s="87"/>
      <c r="F100" s="87"/>
      <c r="G100" s="87"/>
      <c r="H100" s="87"/>
      <c r="I100" s="87"/>
      <c r="J100" s="102"/>
      <c r="K100" s="103"/>
      <c r="L100" s="104"/>
      <c r="M100" s="95"/>
      <c r="N100" s="95"/>
      <c r="O100" s="9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</row>
    <row r="101" spans="1:26">
      <c r="A101" s="87" t="str">
        <f t="shared" si="0"/>
        <v/>
      </c>
      <c r="B101" s="2"/>
      <c r="C101" s="87"/>
      <c r="D101" s="87"/>
      <c r="E101" s="87"/>
      <c r="F101" s="87"/>
      <c r="G101" s="87"/>
      <c r="H101" s="87"/>
      <c r="I101" s="87"/>
      <c r="J101" s="102"/>
      <c r="K101" s="103"/>
      <c r="L101" s="104"/>
      <c r="M101" s="95"/>
      <c r="N101" s="95"/>
      <c r="O101" s="9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</row>
    <row r="102" spans="1:26">
      <c r="A102" s="87" t="str">
        <f t="shared" si="0"/>
        <v/>
      </c>
      <c r="B102" s="2"/>
      <c r="C102" s="87"/>
      <c r="D102" s="87"/>
      <c r="E102" s="87"/>
      <c r="F102" s="87"/>
      <c r="G102" s="87"/>
      <c r="H102" s="87"/>
      <c r="I102" s="87"/>
      <c r="J102" s="102"/>
      <c r="K102" s="103"/>
      <c r="L102" s="104"/>
      <c r="M102" s="95"/>
      <c r="N102" s="95"/>
      <c r="O102" s="9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</row>
    <row r="103" spans="1:26">
      <c r="A103" s="87" t="str">
        <f t="shared" si="0"/>
        <v/>
      </c>
      <c r="B103" s="2"/>
      <c r="C103" s="87"/>
      <c r="D103" s="87"/>
      <c r="E103" s="87"/>
      <c r="F103" s="87"/>
      <c r="G103" s="87"/>
      <c r="H103" s="87"/>
      <c r="I103" s="87"/>
      <c r="J103" s="102"/>
      <c r="K103" s="103"/>
      <c r="L103" s="104"/>
      <c r="M103" s="95"/>
      <c r="N103" s="95"/>
      <c r="O103" s="9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</row>
    <row r="104" spans="1:26">
      <c r="A104" s="87" t="str">
        <f t="shared" si="0"/>
        <v/>
      </c>
      <c r="B104" s="2"/>
      <c r="C104" s="87"/>
      <c r="D104" s="87"/>
      <c r="E104" s="87"/>
      <c r="F104" s="87"/>
      <c r="G104" s="87"/>
      <c r="H104" s="87"/>
      <c r="I104" s="87"/>
      <c r="J104" s="102"/>
      <c r="K104" s="103"/>
      <c r="L104" s="104"/>
      <c r="M104" s="95"/>
      <c r="N104" s="95"/>
      <c r="O104" s="9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</row>
    <row r="105" spans="1:26">
      <c r="A105" s="87" t="str">
        <f t="shared" si="0"/>
        <v/>
      </c>
      <c r="B105" s="2"/>
      <c r="C105" s="87"/>
      <c r="D105" s="87"/>
      <c r="E105" s="87"/>
      <c r="F105" s="87"/>
      <c r="G105" s="87"/>
      <c r="H105" s="87"/>
      <c r="I105" s="87"/>
      <c r="J105" s="102"/>
      <c r="K105" s="103"/>
      <c r="L105" s="104"/>
      <c r="M105" s="95"/>
      <c r="N105" s="95"/>
      <c r="O105" s="9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</row>
    <row r="106" spans="1:26">
      <c r="A106" s="87" t="str">
        <f t="shared" si="0"/>
        <v/>
      </c>
      <c r="B106" s="2"/>
      <c r="C106" s="87"/>
      <c r="D106" s="87"/>
      <c r="E106" s="87"/>
      <c r="F106" s="87"/>
      <c r="G106" s="87"/>
      <c r="H106" s="87"/>
      <c r="I106" s="87"/>
      <c r="J106" s="102"/>
      <c r="K106" s="103"/>
      <c r="L106" s="104"/>
      <c r="M106" s="95"/>
      <c r="N106" s="95"/>
      <c r="O106" s="9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</row>
    <row r="107" spans="1:26">
      <c r="A107" s="87" t="str">
        <f t="shared" si="0"/>
        <v/>
      </c>
      <c r="B107" s="2"/>
      <c r="C107" s="87"/>
      <c r="D107" s="87"/>
      <c r="E107" s="87"/>
      <c r="F107" s="87"/>
      <c r="G107" s="87"/>
      <c r="H107" s="87"/>
      <c r="I107" s="87"/>
      <c r="J107" s="102"/>
      <c r="K107" s="103"/>
      <c r="L107" s="104"/>
      <c r="M107" s="95"/>
      <c r="N107" s="95"/>
      <c r="O107" s="9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</row>
    <row r="108" spans="1:26">
      <c r="A108" s="87" t="str">
        <f t="shared" si="0"/>
        <v/>
      </c>
      <c r="B108" s="2"/>
      <c r="C108" s="87"/>
      <c r="D108" s="87"/>
      <c r="E108" s="87"/>
      <c r="F108" s="87"/>
      <c r="G108" s="87"/>
      <c r="H108" s="87"/>
      <c r="I108" s="87"/>
      <c r="J108" s="102"/>
      <c r="K108" s="103"/>
      <c r="L108" s="104"/>
      <c r="M108" s="95"/>
      <c r="N108" s="95"/>
      <c r="O108" s="9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</row>
    <row r="109" spans="1:26">
      <c r="A109" s="87" t="str">
        <f t="shared" si="0"/>
        <v/>
      </c>
      <c r="B109" s="2"/>
      <c r="C109" s="87"/>
      <c r="D109" s="87"/>
      <c r="E109" s="87"/>
      <c r="F109" s="87"/>
      <c r="G109" s="87"/>
      <c r="H109" s="87"/>
      <c r="I109" s="87"/>
      <c r="J109" s="102"/>
      <c r="K109" s="103"/>
      <c r="L109" s="104"/>
      <c r="M109" s="95"/>
      <c r="N109" s="95"/>
      <c r="O109" s="9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</row>
    <row r="110" spans="1:26">
      <c r="A110" s="87" t="str">
        <f t="shared" si="0"/>
        <v/>
      </c>
      <c r="B110" s="2"/>
      <c r="C110" s="87"/>
      <c r="D110" s="87"/>
      <c r="E110" s="87"/>
      <c r="F110" s="87"/>
      <c r="G110" s="87"/>
      <c r="H110" s="87"/>
      <c r="I110" s="87"/>
      <c r="J110" s="102"/>
      <c r="K110" s="103"/>
      <c r="L110" s="104"/>
      <c r="M110" s="95"/>
      <c r="N110" s="95"/>
      <c r="O110" s="9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</row>
    <row r="111" spans="1:26">
      <c r="A111" s="87" t="str">
        <f t="shared" si="0"/>
        <v/>
      </c>
      <c r="B111" s="2"/>
      <c r="C111" s="87"/>
      <c r="D111" s="87"/>
      <c r="E111" s="87"/>
      <c r="F111" s="87"/>
      <c r="G111" s="87"/>
      <c r="H111" s="87"/>
      <c r="I111" s="87"/>
      <c r="J111" s="102"/>
      <c r="K111" s="103"/>
      <c r="L111" s="104"/>
      <c r="M111" s="95"/>
      <c r="N111" s="95"/>
      <c r="O111" s="9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</row>
    <row r="112" spans="1:26">
      <c r="A112" s="87" t="str">
        <f t="shared" si="0"/>
        <v/>
      </c>
      <c r="B112" s="2"/>
      <c r="C112" s="87"/>
      <c r="D112" s="87"/>
      <c r="E112" s="87"/>
      <c r="F112" s="87"/>
      <c r="G112" s="87"/>
      <c r="H112" s="87"/>
      <c r="I112" s="87"/>
      <c r="J112" s="102"/>
      <c r="K112" s="103"/>
      <c r="L112" s="104"/>
      <c r="M112" s="95"/>
      <c r="N112" s="95"/>
      <c r="O112" s="9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</row>
    <row r="113" spans="1:26">
      <c r="A113" s="87" t="str">
        <f t="shared" si="0"/>
        <v/>
      </c>
      <c r="B113" s="2"/>
      <c r="C113" s="87"/>
      <c r="D113" s="87"/>
      <c r="E113" s="87"/>
      <c r="F113" s="87"/>
      <c r="G113" s="87"/>
      <c r="H113" s="87"/>
      <c r="I113" s="87"/>
      <c r="J113" s="102"/>
      <c r="K113" s="103"/>
      <c r="L113" s="104"/>
      <c r="M113" s="95"/>
      <c r="N113" s="95"/>
      <c r="O113" s="9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</row>
    <row r="114" spans="1:26">
      <c r="A114" s="87" t="str">
        <f t="shared" si="0"/>
        <v/>
      </c>
      <c r="B114" s="2"/>
      <c r="C114" s="87"/>
      <c r="D114" s="87"/>
      <c r="E114" s="87"/>
      <c r="F114" s="87"/>
      <c r="G114" s="87"/>
      <c r="H114" s="87"/>
      <c r="I114" s="87"/>
      <c r="J114" s="102"/>
      <c r="K114" s="103"/>
      <c r="L114" s="104"/>
      <c r="M114" s="95"/>
      <c r="N114" s="95"/>
      <c r="O114" s="9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</row>
    <row r="115" spans="1:26">
      <c r="A115" s="87" t="str">
        <f t="shared" si="0"/>
        <v/>
      </c>
      <c r="B115" s="2"/>
      <c r="C115" s="87"/>
      <c r="D115" s="87"/>
      <c r="E115" s="87"/>
      <c r="F115" s="87"/>
      <c r="G115" s="87"/>
      <c r="H115" s="87"/>
      <c r="I115" s="87"/>
      <c r="J115" s="102"/>
      <c r="K115" s="103"/>
      <c r="L115" s="104"/>
      <c r="M115" s="95"/>
      <c r="N115" s="95"/>
      <c r="O115" s="9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</row>
    <row r="116" spans="1:26">
      <c r="A116" s="87" t="str">
        <f t="shared" si="0"/>
        <v/>
      </c>
      <c r="B116" s="2"/>
      <c r="C116" s="87"/>
      <c r="D116" s="87"/>
      <c r="E116" s="87"/>
      <c r="F116" s="87"/>
      <c r="G116" s="87"/>
      <c r="H116" s="87"/>
      <c r="I116" s="87"/>
      <c r="J116" s="102"/>
      <c r="K116" s="103"/>
      <c r="L116" s="104"/>
      <c r="M116" s="95"/>
      <c r="N116" s="95"/>
      <c r="O116" s="9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</row>
    <row r="117" spans="1:26">
      <c r="A117" s="87" t="str">
        <f t="shared" si="0"/>
        <v/>
      </c>
      <c r="B117" s="2"/>
      <c r="C117" s="87"/>
      <c r="D117" s="87"/>
      <c r="E117" s="87"/>
      <c r="F117" s="87"/>
      <c r="G117" s="87"/>
      <c r="H117" s="87"/>
      <c r="I117" s="87"/>
      <c r="J117" s="102"/>
      <c r="K117" s="103"/>
      <c r="L117" s="104"/>
      <c r="M117" s="95"/>
      <c r="N117" s="95"/>
      <c r="O117" s="9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</row>
    <row r="118" spans="1:26">
      <c r="A118" s="87" t="str">
        <f t="shared" si="0"/>
        <v/>
      </c>
      <c r="B118" s="2"/>
      <c r="C118" s="87"/>
      <c r="D118" s="87"/>
      <c r="E118" s="87"/>
      <c r="F118" s="87"/>
      <c r="G118" s="87"/>
      <c r="H118" s="87"/>
      <c r="I118" s="87"/>
      <c r="J118" s="102"/>
      <c r="K118" s="103"/>
      <c r="L118" s="104"/>
      <c r="M118" s="95"/>
      <c r="N118" s="95"/>
      <c r="O118" s="9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</row>
    <row r="119" spans="1:26">
      <c r="A119" s="87" t="str">
        <f t="shared" si="0"/>
        <v/>
      </c>
      <c r="B119" s="2"/>
      <c r="C119" s="87"/>
      <c r="D119" s="87"/>
      <c r="E119" s="87"/>
      <c r="F119" s="87"/>
      <c r="G119" s="87"/>
      <c r="H119" s="87"/>
      <c r="I119" s="87"/>
      <c r="J119" s="102"/>
      <c r="K119" s="103"/>
      <c r="L119" s="104"/>
      <c r="M119" s="95"/>
      <c r="N119" s="95"/>
      <c r="O119" s="9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</row>
    <row r="120" spans="1:26">
      <c r="A120" s="87" t="str">
        <f t="shared" si="0"/>
        <v/>
      </c>
      <c r="B120" s="2"/>
      <c r="C120" s="87"/>
      <c r="D120" s="87"/>
      <c r="E120" s="87"/>
      <c r="F120" s="87"/>
      <c r="G120" s="87"/>
      <c r="H120" s="87"/>
      <c r="I120" s="87"/>
      <c r="J120" s="102"/>
      <c r="K120" s="103"/>
      <c r="L120" s="104"/>
      <c r="M120" s="95"/>
      <c r="N120" s="95"/>
      <c r="O120" s="9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</row>
    <row r="121" spans="1:26">
      <c r="A121" s="87" t="str">
        <f t="shared" si="0"/>
        <v/>
      </c>
      <c r="B121" s="2"/>
      <c r="C121" s="87"/>
      <c r="D121" s="87"/>
      <c r="E121" s="87"/>
      <c r="F121" s="87"/>
      <c r="G121" s="87"/>
      <c r="H121" s="87"/>
      <c r="I121" s="87"/>
      <c r="J121" s="102"/>
      <c r="K121" s="103"/>
      <c r="L121" s="104"/>
      <c r="M121" s="95"/>
      <c r="N121" s="95"/>
      <c r="O121" s="9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</row>
    <row r="122" spans="1:26">
      <c r="A122" s="87" t="str">
        <f t="shared" si="0"/>
        <v/>
      </c>
      <c r="B122" s="2"/>
      <c r="C122" s="87"/>
      <c r="D122" s="87"/>
      <c r="E122" s="87"/>
      <c r="F122" s="87"/>
      <c r="G122" s="87"/>
      <c r="H122" s="87"/>
      <c r="I122" s="87"/>
      <c r="J122" s="102"/>
      <c r="K122" s="103"/>
      <c r="L122" s="104"/>
      <c r="M122" s="95"/>
      <c r="N122" s="95"/>
      <c r="O122" s="9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</row>
    <row r="123" spans="1:26">
      <c r="A123" s="87" t="str">
        <f t="shared" si="0"/>
        <v/>
      </c>
      <c r="B123" s="2"/>
      <c r="C123" s="87"/>
      <c r="D123" s="87"/>
      <c r="E123" s="87"/>
      <c r="F123" s="87"/>
      <c r="G123" s="87"/>
      <c r="H123" s="87"/>
      <c r="I123" s="87"/>
      <c r="J123" s="102"/>
      <c r="K123" s="103"/>
      <c r="L123" s="104"/>
      <c r="M123" s="95"/>
      <c r="N123" s="95"/>
      <c r="O123" s="9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</row>
    <row r="124" spans="1:26">
      <c r="A124" s="87" t="str">
        <f t="shared" si="0"/>
        <v/>
      </c>
      <c r="B124" s="2"/>
      <c r="C124" s="87"/>
      <c r="D124" s="87"/>
      <c r="E124" s="87"/>
      <c r="F124" s="87"/>
      <c r="G124" s="87"/>
      <c r="H124" s="87"/>
      <c r="I124" s="87"/>
      <c r="J124" s="102"/>
      <c r="K124" s="103"/>
      <c r="L124" s="104"/>
      <c r="M124" s="95"/>
      <c r="N124" s="95"/>
      <c r="O124" s="9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</row>
    <row r="125" spans="1:26">
      <c r="A125" s="87" t="str">
        <f t="shared" si="0"/>
        <v/>
      </c>
      <c r="B125" s="2"/>
      <c r="C125" s="87"/>
      <c r="D125" s="87"/>
      <c r="E125" s="87"/>
      <c r="F125" s="87"/>
      <c r="G125" s="87"/>
      <c r="H125" s="87"/>
      <c r="I125" s="87"/>
      <c r="J125" s="102"/>
      <c r="K125" s="103"/>
      <c r="L125" s="104"/>
      <c r="M125" s="95"/>
      <c r="N125" s="95"/>
      <c r="O125" s="9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</row>
    <row r="126" spans="1:26">
      <c r="A126" s="87" t="str">
        <f t="shared" si="0"/>
        <v/>
      </c>
      <c r="B126" s="2"/>
      <c r="C126" s="87"/>
      <c r="D126" s="87"/>
      <c r="E126" s="87"/>
      <c r="F126" s="87"/>
      <c r="G126" s="87"/>
      <c r="H126" s="87"/>
      <c r="I126" s="87"/>
      <c r="J126" s="102"/>
      <c r="K126" s="103"/>
      <c r="L126" s="104"/>
      <c r="M126" s="95"/>
      <c r="N126" s="95"/>
      <c r="O126" s="9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</row>
    <row r="127" spans="1:26">
      <c r="A127" s="87" t="str">
        <f t="shared" si="0"/>
        <v/>
      </c>
      <c r="B127" s="2"/>
      <c r="C127" s="87"/>
      <c r="D127" s="87"/>
      <c r="E127" s="87"/>
      <c r="F127" s="87"/>
      <c r="G127" s="87"/>
      <c r="H127" s="87"/>
      <c r="I127" s="87"/>
      <c r="J127" s="102"/>
      <c r="K127" s="103"/>
      <c r="L127" s="104"/>
      <c r="M127" s="95"/>
      <c r="N127" s="95"/>
      <c r="O127" s="9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</row>
    <row r="128" spans="1:26">
      <c r="A128" s="87" t="str">
        <f t="shared" si="0"/>
        <v/>
      </c>
      <c r="B128" s="2"/>
      <c r="C128" s="87"/>
      <c r="D128" s="87"/>
      <c r="E128" s="87"/>
      <c r="F128" s="87"/>
      <c r="G128" s="87"/>
      <c r="H128" s="87"/>
      <c r="I128" s="87"/>
      <c r="J128" s="102"/>
      <c r="K128" s="103"/>
      <c r="L128" s="104"/>
      <c r="M128" s="95"/>
      <c r="N128" s="95"/>
      <c r="O128" s="9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</row>
    <row r="129" spans="1:26">
      <c r="A129" s="87" t="str">
        <f t="shared" si="0"/>
        <v/>
      </c>
      <c r="B129" s="2"/>
      <c r="C129" s="87"/>
      <c r="D129" s="87"/>
      <c r="E129" s="87"/>
      <c r="F129" s="87"/>
      <c r="G129" s="87"/>
      <c r="H129" s="87"/>
      <c r="I129" s="87"/>
      <c r="J129" s="102"/>
      <c r="K129" s="103"/>
      <c r="L129" s="104"/>
      <c r="M129" s="95"/>
      <c r="N129" s="95"/>
      <c r="O129" s="9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</row>
    <row r="130" spans="1:26">
      <c r="A130" s="87" t="str">
        <f t="shared" si="0"/>
        <v/>
      </c>
      <c r="B130" s="2"/>
      <c r="C130" s="87"/>
      <c r="D130" s="87"/>
      <c r="E130" s="87"/>
      <c r="F130" s="87"/>
      <c r="G130" s="87"/>
      <c r="H130" s="87"/>
      <c r="I130" s="87"/>
      <c r="J130" s="102"/>
      <c r="K130" s="103"/>
      <c r="L130" s="104"/>
      <c r="M130" s="95"/>
      <c r="N130" s="95"/>
      <c r="O130" s="9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</row>
    <row r="131" spans="1:26">
      <c r="A131" s="87" t="str">
        <f t="shared" si="0"/>
        <v/>
      </c>
      <c r="B131" s="2"/>
      <c r="C131" s="87"/>
      <c r="D131" s="87"/>
      <c r="E131" s="87"/>
      <c r="F131" s="87"/>
      <c r="G131" s="87"/>
      <c r="H131" s="87"/>
      <c r="I131" s="87"/>
      <c r="J131" s="102"/>
      <c r="K131" s="103"/>
      <c r="L131" s="104"/>
      <c r="M131" s="95"/>
      <c r="N131" s="95"/>
      <c r="O131" s="9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</row>
    <row r="132" spans="1:26">
      <c r="A132" s="87" t="str">
        <f t="shared" si="0"/>
        <v/>
      </c>
      <c r="B132" s="2"/>
      <c r="C132" s="87"/>
      <c r="D132" s="87"/>
      <c r="E132" s="87"/>
      <c r="F132" s="87"/>
      <c r="G132" s="87"/>
      <c r="H132" s="87"/>
      <c r="I132" s="87"/>
      <c r="J132" s="102"/>
      <c r="K132" s="103"/>
      <c r="L132" s="104"/>
      <c r="M132" s="95"/>
      <c r="N132" s="95"/>
      <c r="O132" s="9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</row>
    <row r="133" spans="1:26">
      <c r="A133" s="87" t="str">
        <f t="shared" si="0"/>
        <v/>
      </c>
      <c r="B133" s="2"/>
      <c r="C133" s="87"/>
      <c r="D133" s="87"/>
      <c r="E133" s="87"/>
      <c r="F133" s="87"/>
      <c r="G133" s="87"/>
      <c r="H133" s="87"/>
      <c r="I133" s="87"/>
      <c r="J133" s="102"/>
      <c r="K133" s="103"/>
      <c r="L133" s="104"/>
      <c r="M133" s="95"/>
      <c r="N133" s="95"/>
      <c r="O133" s="9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</row>
    <row r="134" spans="1:26">
      <c r="A134" s="87" t="str">
        <f t="shared" si="0"/>
        <v/>
      </c>
      <c r="B134" s="2"/>
      <c r="C134" s="87"/>
      <c r="D134" s="87"/>
      <c r="E134" s="87"/>
      <c r="F134" s="87"/>
      <c r="G134" s="87"/>
      <c r="H134" s="87"/>
      <c r="I134" s="87"/>
      <c r="J134" s="102"/>
      <c r="K134" s="103"/>
      <c r="L134" s="104"/>
      <c r="M134" s="95"/>
      <c r="N134" s="95"/>
      <c r="O134" s="9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</row>
    <row r="135" spans="1:26">
      <c r="A135" s="87" t="str">
        <f t="shared" si="0"/>
        <v/>
      </c>
      <c r="B135" s="2"/>
      <c r="C135" s="87"/>
      <c r="D135" s="87"/>
      <c r="E135" s="87"/>
      <c r="F135" s="87"/>
      <c r="G135" s="87"/>
      <c r="H135" s="87"/>
      <c r="I135" s="87"/>
      <c r="J135" s="102"/>
      <c r="K135" s="103"/>
      <c r="L135" s="104"/>
      <c r="M135" s="95"/>
      <c r="N135" s="95"/>
      <c r="O135" s="9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</row>
    <row r="136" spans="1:26">
      <c r="A136" s="87" t="str">
        <f t="shared" si="0"/>
        <v/>
      </c>
      <c r="B136" s="2"/>
      <c r="C136" s="87"/>
      <c r="D136" s="87"/>
      <c r="E136" s="87"/>
      <c r="F136" s="87"/>
      <c r="G136" s="87"/>
      <c r="H136" s="87"/>
      <c r="I136" s="87"/>
      <c r="J136" s="102"/>
      <c r="K136" s="103"/>
      <c r="L136" s="104"/>
      <c r="M136" s="95"/>
      <c r="N136" s="95"/>
      <c r="O136" s="9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</row>
    <row r="137" spans="1:26">
      <c r="A137" s="87" t="str">
        <f t="shared" si="0"/>
        <v/>
      </c>
      <c r="B137" s="2"/>
      <c r="C137" s="87"/>
      <c r="D137" s="87"/>
      <c r="E137" s="87"/>
      <c r="F137" s="87"/>
      <c r="G137" s="87"/>
      <c r="H137" s="87"/>
      <c r="I137" s="87"/>
      <c r="J137" s="102"/>
      <c r="K137" s="103"/>
      <c r="L137" s="104"/>
      <c r="M137" s="95"/>
      <c r="N137" s="95"/>
      <c r="O137" s="9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</row>
    <row r="138" spans="1:26">
      <c r="A138" s="87" t="str">
        <f t="shared" si="0"/>
        <v/>
      </c>
      <c r="B138" s="2"/>
      <c r="C138" s="87"/>
      <c r="D138" s="87"/>
      <c r="E138" s="87"/>
      <c r="F138" s="87"/>
      <c r="G138" s="87"/>
      <c r="H138" s="87"/>
      <c r="I138" s="87"/>
      <c r="J138" s="102"/>
      <c r="K138" s="103"/>
      <c r="L138" s="104"/>
      <c r="M138" s="95"/>
      <c r="N138" s="95"/>
      <c r="O138" s="9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</row>
    <row r="139" spans="1:26">
      <c r="A139" s="87" t="str">
        <f t="shared" si="0"/>
        <v/>
      </c>
      <c r="B139" s="2"/>
      <c r="C139" s="87"/>
      <c r="D139" s="87"/>
      <c r="E139" s="87"/>
      <c r="F139" s="87"/>
      <c r="G139" s="87"/>
      <c r="H139" s="87"/>
      <c r="I139" s="87"/>
      <c r="J139" s="102"/>
      <c r="K139" s="103"/>
      <c r="L139" s="104"/>
      <c r="M139" s="95"/>
      <c r="N139" s="95"/>
      <c r="O139" s="9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</row>
    <row r="140" spans="1:26">
      <c r="A140" s="87" t="str">
        <f t="shared" si="0"/>
        <v/>
      </c>
      <c r="B140" s="2"/>
      <c r="C140" s="87"/>
      <c r="D140" s="87"/>
      <c r="E140" s="87"/>
      <c r="F140" s="87"/>
      <c r="G140" s="87"/>
      <c r="H140" s="87"/>
      <c r="I140" s="87"/>
      <c r="J140" s="102"/>
      <c r="K140" s="103"/>
      <c r="L140" s="104"/>
      <c r="M140" s="95"/>
      <c r="N140" s="95"/>
      <c r="O140" s="9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</row>
    <row r="141" spans="1:26">
      <c r="A141" s="87" t="str">
        <f t="shared" si="0"/>
        <v/>
      </c>
      <c r="B141" s="2"/>
      <c r="C141" s="87"/>
      <c r="D141" s="87"/>
      <c r="E141" s="87"/>
      <c r="F141" s="87"/>
      <c r="G141" s="87"/>
      <c r="H141" s="87"/>
      <c r="I141" s="87"/>
      <c r="J141" s="102"/>
      <c r="K141" s="103"/>
      <c r="L141" s="104"/>
      <c r="M141" s="95"/>
      <c r="N141" s="95"/>
      <c r="O141" s="9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</row>
    <row r="142" spans="1:26">
      <c r="A142" s="87" t="str">
        <f t="shared" si="0"/>
        <v/>
      </c>
      <c r="B142" s="2"/>
      <c r="C142" s="87"/>
      <c r="D142" s="87"/>
      <c r="E142" s="87"/>
      <c r="F142" s="87"/>
      <c r="G142" s="87"/>
      <c r="H142" s="87"/>
      <c r="I142" s="87"/>
      <c r="J142" s="102"/>
      <c r="K142" s="103"/>
      <c r="L142" s="104"/>
      <c r="M142" s="95"/>
      <c r="N142" s="95"/>
      <c r="O142" s="9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</row>
    <row r="143" spans="1:26">
      <c r="A143" s="87" t="str">
        <f t="shared" si="0"/>
        <v/>
      </c>
      <c r="B143" s="2"/>
      <c r="C143" s="87"/>
      <c r="D143" s="87"/>
      <c r="E143" s="87"/>
      <c r="F143" s="87"/>
      <c r="G143" s="87"/>
      <c r="H143" s="87"/>
      <c r="I143" s="87"/>
      <c r="J143" s="102"/>
      <c r="K143" s="103"/>
      <c r="L143" s="104"/>
      <c r="M143" s="95"/>
      <c r="N143" s="95"/>
      <c r="O143" s="9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</row>
    <row r="144" spans="1:26">
      <c r="A144" s="87" t="str">
        <f t="shared" si="0"/>
        <v/>
      </c>
      <c r="B144" s="2"/>
      <c r="C144" s="87"/>
      <c r="D144" s="87"/>
      <c r="E144" s="87"/>
      <c r="F144" s="87"/>
      <c r="G144" s="87"/>
      <c r="H144" s="87"/>
      <c r="I144" s="87"/>
      <c r="J144" s="102"/>
      <c r="K144" s="103"/>
      <c r="L144" s="104"/>
      <c r="M144" s="95"/>
      <c r="N144" s="95"/>
      <c r="O144" s="9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</row>
    <row r="145" spans="1:26">
      <c r="A145" s="87" t="str">
        <f t="shared" si="0"/>
        <v/>
      </c>
      <c r="B145" s="2"/>
      <c r="C145" s="87"/>
      <c r="D145" s="87"/>
      <c r="E145" s="87"/>
      <c r="F145" s="87"/>
      <c r="G145" s="87"/>
      <c r="H145" s="87"/>
      <c r="I145" s="87"/>
      <c r="J145" s="102"/>
      <c r="K145" s="103"/>
      <c r="L145" s="104"/>
      <c r="M145" s="95"/>
      <c r="N145" s="95"/>
      <c r="O145" s="9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</row>
    <row r="146" spans="1:26">
      <c r="A146" s="87" t="str">
        <f t="shared" si="0"/>
        <v/>
      </c>
      <c r="B146" s="2"/>
      <c r="C146" s="87"/>
      <c r="D146" s="87"/>
      <c r="E146" s="87"/>
      <c r="F146" s="87"/>
      <c r="G146" s="87"/>
      <c r="H146" s="87"/>
      <c r="I146" s="87"/>
      <c r="J146" s="102"/>
      <c r="K146" s="103"/>
      <c r="L146" s="104"/>
      <c r="M146" s="95"/>
      <c r="N146" s="95"/>
      <c r="O146" s="9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</row>
    <row r="147" spans="1:26">
      <c r="A147" s="87" t="str">
        <f t="shared" si="0"/>
        <v/>
      </c>
      <c r="B147" s="2"/>
      <c r="C147" s="87"/>
      <c r="D147" s="87"/>
      <c r="E147" s="87"/>
      <c r="F147" s="87"/>
      <c r="G147" s="87"/>
      <c r="H147" s="87"/>
      <c r="I147" s="87"/>
      <c r="J147" s="102"/>
      <c r="K147" s="103"/>
      <c r="L147" s="104"/>
      <c r="M147" s="95"/>
      <c r="N147" s="95"/>
      <c r="O147" s="9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</row>
    <row r="148" spans="1:26">
      <c r="A148" s="87" t="str">
        <f t="shared" si="0"/>
        <v/>
      </c>
      <c r="B148" s="2"/>
      <c r="C148" s="87"/>
      <c r="D148" s="87"/>
      <c r="E148" s="87"/>
      <c r="F148" s="87"/>
      <c r="G148" s="87"/>
      <c r="H148" s="87"/>
      <c r="I148" s="87"/>
      <c r="J148" s="102"/>
      <c r="K148" s="103"/>
      <c r="L148" s="104"/>
      <c r="M148" s="95"/>
      <c r="N148" s="95"/>
      <c r="O148" s="9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</row>
    <row r="149" spans="1:26">
      <c r="A149" s="87" t="str">
        <f t="shared" si="0"/>
        <v/>
      </c>
      <c r="B149" s="2"/>
      <c r="C149" s="87"/>
      <c r="D149" s="87"/>
      <c r="E149" s="87"/>
      <c r="F149" s="87"/>
      <c r="G149" s="87"/>
      <c r="H149" s="87"/>
      <c r="I149" s="87"/>
      <c r="J149" s="102"/>
      <c r="K149" s="103"/>
      <c r="L149" s="104"/>
      <c r="M149" s="95"/>
      <c r="N149" s="95"/>
      <c r="O149" s="9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</row>
    <row r="150" spans="1:26">
      <c r="A150" s="87" t="str">
        <f t="shared" si="0"/>
        <v/>
      </c>
      <c r="B150" s="2"/>
      <c r="C150" s="87"/>
      <c r="D150" s="87"/>
      <c r="E150" s="87"/>
      <c r="F150" s="87"/>
      <c r="G150" s="87"/>
      <c r="H150" s="87"/>
      <c r="I150" s="87"/>
      <c r="J150" s="102"/>
      <c r="K150" s="103"/>
      <c r="L150" s="104"/>
      <c r="M150" s="95"/>
      <c r="N150" s="95"/>
      <c r="O150" s="9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</row>
    <row r="151" spans="1:26">
      <c r="A151" s="87" t="str">
        <f t="shared" si="0"/>
        <v/>
      </c>
      <c r="B151" s="2"/>
      <c r="C151" s="87"/>
      <c r="D151" s="87"/>
      <c r="E151" s="87"/>
      <c r="F151" s="87"/>
      <c r="G151" s="87"/>
      <c r="H151" s="87"/>
      <c r="I151" s="87"/>
      <c r="J151" s="102"/>
      <c r="K151" s="103"/>
      <c r="L151" s="104"/>
      <c r="M151" s="95"/>
      <c r="N151" s="95"/>
      <c r="O151" s="9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</row>
    <row r="152" spans="1:26">
      <c r="A152" s="87" t="str">
        <f t="shared" si="0"/>
        <v/>
      </c>
      <c r="B152" s="2"/>
      <c r="C152" s="87"/>
      <c r="D152" s="87"/>
      <c r="E152" s="87"/>
      <c r="F152" s="87"/>
      <c r="G152" s="87"/>
      <c r="H152" s="87"/>
      <c r="I152" s="87"/>
      <c r="J152" s="102"/>
      <c r="K152" s="103"/>
      <c r="L152" s="104"/>
      <c r="M152" s="95"/>
      <c r="N152" s="95"/>
      <c r="O152" s="9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</row>
    <row r="153" spans="1:26">
      <c r="A153" s="87" t="str">
        <f t="shared" si="0"/>
        <v/>
      </c>
      <c r="B153" s="2"/>
      <c r="C153" s="87"/>
      <c r="D153" s="87"/>
      <c r="E153" s="87"/>
      <c r="F153" s="87"/>
      <c r="G153" s="87"/>
      <c r="H153" s="87"/>
      <c r="I153" s="87"/>
      <c r="J153" s="102"/>
      <c r="K153" s="103"/>
      <c r="L153" s="104"/>
      <c r="M153" s="95"/>
      <c r="N153" s="95"/>
      <c r="O153" s="9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</row>
    <row r="154" spans="1:26">
      <c r="A154" s="87" t="str">
        <f t="shared" si="0"/>
        <v/>
      </c>
      <c r="B154" s="2"/>
      <c r="C154" s="87"/>
      <c r="D154" s="87"/>
      <c r="E154" s="87"/>
      <c r="F154" s="87"/>
      <c r="G154" s="87"/>
      <c r="H154" s="87"/>
      <c r="I154" s="87"/>
      <c r="J154" s="102"/>
      <c r="K154" s="103"/>
      <c r="L154" s="104"/>
      <c r="M154" s="95"/>
      <c r="N154" s="95"/>
      <c r="O154" s="9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</row>
    <row r="155" spans="1:26">
      <c r="A155" s="87" t="str">
        <f t="shared" si="0"/>
        <v/>
      </c>
      <c r="B155" s="2"/>
      <c r="C155" s="87"/>
      <c r="D155" s="87"/>
      <c r="E155" s="87"/>
      <c r="F155" s="87"/>
      <c r="G155" s="87"/>
      <c r="H155" s="87"/>
      <c r="I155" s="87"/>
      <c r="J155" s="102"/>
      <c r="K155" s="103"/>
      <c r="L155" s="104"/>
      <c r="M155" s="95"/>
      <c r="N155" s="95"/>
      <c r="O155" s="9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</row>
    <row r="156" spans="1:26">
      <c r="A156" s="87" t="str">
        <f t="shared" si="0"/>
        <v/>
      </c>
      <c r="B156" s="2"/>
      <c r="C156" s="87"/>
      <c r="D156" s="87"/>
      <c r="E156" s="87"/>
      <c r="F156" s="87"/>
      <c r="G156" s="87"/>
      <c r="H156" s="87"/>
      <c r="I156" s="87"/>
      <c r="J156" s="102"/>
      <c r="K156" s="103"/>
      <c r="L156" s="104"/>
      <c r="M156" s="95"/>
      <c r="N156" s="95"/>
      <c r="O156" s="9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</row>
    <row r="157" spans="1:26">
      <c r="A157" s="87" t="str">
        <f t="shared" si="0"/>
        <v/>
      </c>
      <c r="B157" s="2"/>
      <c r="C157" s="87"/>
      <c r="D157" s="87"/>
      <c r="E157" s="87"/>
      <c r="F157" s="87"/>
      <c r="G157" s="87"/>
      <c r="H157" s="87"/>
      <c r="I157" s="87"/>
      <c r="J157" s="102"/>
      <c r="K157" s="103"/>
      <c r="L157" s="104"/>
      <c r="M157" s="95"/>
      <c r="N157" s="95"/>
      <c r="O157" s="9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</row>
    <row r="158" spans="1:26">
      <c r="A158" s="87" t="str">
        <f t="shared" si="0"/>
        <v/>
      </c>
      <c r="B158" s="2"/>
      <c r="C158" s="87"/>
      <c r="D158" s="87"/>
      <c r="E158" s="87"/>
      <c r="F158" s="87"/>
      <c r="G158" s="87"/>
      <c r="H158" s="87"/>
      <c r="I158" s="87"/>
      <c r="J158" s="102"/>
      <c r="K158" s="103"/>
      <c r="L158" s="104"/>
      <c r="M158" s="95"/>
      <c r="N158" s="95"/>
      <c r="O158" s="9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</row>
    <row r="159" spans="1:26">
      <c r="A159" s="87" t="str">
        <f t="shared" si="0"/>
        <v/>
      </c>
      <c r="B159" s="2"/>
      <c r="C159" s="87"/>
      <c r="D159" s="87"/>
      <c r="E159" s="87"/>
      <c r="F159" s="87"/>
      <c r="G159" s="87"/>
      <c r="H159" s="87"/>
      <c r="I159" s="87"/>
      <c r="J159" s="102"/>
      <c r="K159" s="103"/>
      <c r="L159" s="104"/>
      <c r="M159" s="95"/>
      <c r="N159" s="95"/>
      <c r="O159" s="9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</row>
    <row r="160" spans="1:26">
      <c r="A160" s="87" t="str">
        <f t="shared" si="0"/>
        <v/>
      </c>
      <c r="B160" s="2"/>
      <c r="C160" s="87"/>
      <c r="D160" s="87"/>
      <c r="E160" s="87"/>
      <c r="F160" s="87"/>
      <c r="G160" s="87"/>
      <c r="H160" s="87"/>
      <c r="I160" s="87"/>
      <c r="J160" s="102"/>
      <c r="K160" s="103"/>
      <c r="L160" s="104"/>
      <c r="M160" s="95"/>
      <c r="N160" s="95"/>
      <c r="O160" s="9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</row>
    <row r="161" spans="1:26">
      <c r="A161" s="87" t="str">
        <f t="shared" si="0"/>
        <v/>
      </c>
      <c r="B161" s="2"/>
      <c r="C161" s="87"/>
      <c r="D161" s="87"/>
      <c r="E161" s="87"/>
      <c r="F161" s="87"/>
      <c r="G161" s="87"/>
      <c r="H161" s="87"/>
      <c r="I161" s="87"/>
      <c r="J161" s="102"/>
      <c r="K161" s="103"/>
      <c r="L161" s="104"/>
      <c r="M161" s="95"/>
      <c r="N161" s="95"/>
      <c r="O161" s="9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</row>
    <row r="162" spans="1:26">
      <c r="A162" s="87" t="str">
        <f t="shared" si="0"/>
        <v/>
      </c>
      <c r="B162" s="2"/>
      <c r="C162" s="87"/>
      <c r="D162" s="87"/>
      <c r="E162" s="87"/>
      <c r="F162" s="87"/>
      <c r="G162" s="87"/>
      <c r="H162" s="87"/>
      <c r="I162" s="87"/>
      <c r="J162" s="102"/>
      <c r="K162" s="103"/>
      <c r="L162" s="104"/>
      <c r="M162" s="95"/>
      <c r="N162" s="95"/>
      <c r="O162" s="9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</row>
    <row r="163" spans="1:26">
      <c r="A163" s="87" t="str">
        <f t="shared" si="0"/>
        <v/>
      </c>
      <c r="B163" s="2"/>
      <c r="C163" s="87"/>
      <c r="D163" s="87"/>
      <c r="E163" s="87"/>
      <c r="F163" s="87"/>
      <c r="G163" s="87"/>
      <c r="H163" s="87"/>
      <c r="I163" s="87"/>
      <c r="J163" s="102"/>
      <c r="K163" s="103"/>
      <c r="L163" s="104"/>
      <c r="M163" s="95"/>
      <c r="N163" s="95"/>
      <c r="O163" s="9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</row>
    <row r="164" spans="1:26">
      <c r="A164" s="87" t="str">
        <f t="shared" si="0"/>
        <v/>
      </c>
      <c r="B164" s="2"/>
      <c r="C164" s="87"/>
      <c r="D164" s="87"/>
      <c r="E164" s="87"/>
      <c r="F164" s="87"/>
      <c r="G164" s="87"/>
      <c r="H164" s="87"/>
      <c r="I164" s="87"/>
      <c r="J164" s="102"/>
      <c r="K164" s="103"/>
      <c r="L164" s="104"/>
      <c r="M164" s="95"/>
      <c r="N164" s="95"/>
      <c r="O164" s="9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</row>
    <row r="165" spans="1:26">
      <c r="A165" s="87" t="str">
        <f t="shared" si="0"/>
        <v/>
      </c>
      <c r="B165" s="2"/>
      <c r="C165" s="87"/>
      <c r="D165" s="87"/>
      <c r="E165" s="87"/>
      <c r="F165" s="87"/>
      <c r="G165" s="87"/>
      <c r="H165" s="87"/>
      <c r="I165" s="87"/>
      <c r="J165" s="102"/>
      <c r="K165" s="103"/>
      <c r="L165" s="104"/>
      <c r="M165" s="95"/>
      <c r="N165" s="95"/>
      <c r="O165" s="9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</row>
    <row r="166" spans="1:26">
      <c r="A166" s="87" t="str">
        <f t="shared" si="0"/>
        <v/>
      </c>
      <c r="B166" s="2"/>
      <c r="C166" s="87"/>
      <c r="D166" s="87"/>
      <c r="E166" s="87"/>
      <c r="F166" s="87"/>
      <c r="G166" s="87"/>
      <c r="H166" s="87"/>
      <c r="I166" s="87"/>
      <c r="J166" s="102"/>
      <c r="K166" s="103"/>
      <c r="L166" s="104"/>
      <c r="M166" s="95"/>
      <c r="N166" s="95"/>
      <c r="O166" s="9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</row>
    <row r="167" spans="1:26">
      <c r="A167" s="87" t="str">
        <f t="shared" si="0"/>
        <v/>
      </c>
      <c r="B167" s="2"/>
      <c r="C167" s="87"/>
      <c r="D167" s="87"/>
      <c r="E167" s="87"/>
      <c r="F167" s="87"/>
      <c r="G167" s="87"/>
      <c r="H167" s="87"/>
      <c r="I167" s="87"/>
      <c r="J167" s="102"/>
      <c r="K167" s="103"/>
      <c r="L167" s="104"/>
      <c r="M167" s="95"/>
      <c r="N167" s="95"/>
      <c r="O167" s="9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</row>
    <row r="168" spans="1:26">
      <c r="A168" s="87" t="str">
        <f t="shared" si="0"/>
        <v/>
      </c>
      <c r="B168" s="2"/>
      <c r="C168" s="87"/>
      <c r="D168" s="87"/>
      <c r="E168" s="87"/>
      <c r="F168" s="87"/>
      <c r="G168" s="87"/>
      <c r="H168" s="87"/>
      <c r="I168" s="87"/>
      <c r="J168" s="102"/>
      <c r="K168" s="103"/>
      <c r="L168" s="104"/>
      <c r="M168" s="95"/>
      <c r="N168" s="95"/>
      <c r="O168" s="9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</row>
    <row r="169" spans="1:26">
      <c r="A169" s="87" t="str">
        <f t="shared" si="0"/>
        <v/>
      </c>
      <c r="B169" s="2"/>
      <c r="C169" s="87"/>
      <c r="D169" s="87"/>
      <c r="E169" s="87"/>
      <c r="F169" s="87"/>
      <c r="G169" s="87"/>
      <c r="H169" s="87"/>
      <c r="I169" s="87"/>
      <c r="J169" s="102"/>
      <c r="K169" s="103"/>
      <c r="L169" s="104"/>
      <c r="M169" s="95"/>
      <c r="N169" s="95"/>
      <c r="O169" s="9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</row>
    <row r="170" spans="1:26">
      <c r="A170" s="87" t="str">
        <f t="shared" si="0"/>
        <v/>
      </c>
      <c r="B170" s="2"/>
      <c r="C170" s="87"/>
      <c r="D170" s="87"/>
      <c r="E170" s="87"/>
      <c r="F170" s="87"/>
      <c r="G170" s="87"/>
      <c r="H170" s="87"/>
      <c r="I170" s="87"/>
      <c r="J170" s="102"/>
      <c r="K170" s="103"/>
      <c r="L170" s="104"/>
      <c r="M170" s="95"/>
      <c r="N170" s="95"/>
      <c r="O170" s="9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</row>
    <row r="171" spans="1:26">
      <c r="A171" s="87" t="str">
        <f t="shared" si="0"/>
        <v/>
      </c>
      <c r="B171" s="2"/>
      <c r="C171" s="87"/>
      <c r="D171" s="87"/>
      <c r="E171" s="87"/>
      <c r="F171" s="87"/>
      <c r="G171" s="87"/>
      <c r="H171" s="87"/>
      <c r="I171" s="87"/>
      <c r="J171" s="102"/>
      <c r="K171" s="103"/>
      <c r="L171" s="104"/>
      <c r="M171" s="95"/>
      <c r="N171" s="95"/>
      <c r="O171" s="9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</row>
    <row r="172" spans="1:26">
      <c r="A172" s="87" t="str">
        <f t="shared" si="0"/>
        <v/>
      </c>
      <c r="B172" s="2"/>
      <c r="C172" s="87"/>
      <c r="D172" s="87"/>
      <c r="E172" s="87"/>
      <c r="F172" s="87"/>
      <c r="G172" s="87"/>
      <c r="H172" s="87"/>
      <c r="I172" s="87"/>
      <c r="J172" s="102"/>
      <c r="K172" s="103"/>
      <c r="L172" s="104"/>
      <c r="M172" s="95"/>
      <c r="N172" s="95"/>
      <c r="O172" s="9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</row>
    <row r="173" spans="1:26">
      <c r="A173" s="87" t="str">
        <f t="shared" si="0"/>
        <v/>
      </c>
      <c r="B173" s="2"/>
      <c r="C173" s="87"/>
      <c r="D173" s="87"/>
      <c r="E173" s="87"/>
      <c r="F173" s="87"/>
      <c r="G173" s="87"/>
      <c r="H173" s="87"/>
      <c r="I173" s="87"/>
      <c r="J173" s="102"/>
      <c r="K173" s="103"/>
      <c r="L173" s="104"/>
      <c r="M173" s="95"/>
      <c r="N173" s="95"/>
      <c r="O173" s="9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</row>
    <row r="174" spans="1:26">
      <c r="A174" s="87" t="str">
        <f t="shared" si="0"/>
        <v/>
      </c>
      <c r="B174" s="2"/>
      <c r="C174" s="87"/>
      <c r="D174" s="87"/>
      <c r="E174" s="87"/>
      <c r="F174" s="87"/>
      <c r="G174" s="87"/>
      <c r="H174" s="87"/>
      <c r="I174" s="87"/>
      <c r="J174" s="102"/>
      <c r="K174" s="103"/>
      <c r="L174" s="104"/>
      <c r="M174" s="95"/>
      <c r="N174" s="95"/>
      <c r="O174" s="9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</row>
    <row r="175" spans="1:26">
      <c r="A175" s="87" t="str">
        <f t="shared" si="0"/>
        <v/>
      </c>
      <c r="B175" s="2"/>
      <c r="C175" s="87"/>
      <c r="D175" s="87"/>
      <c r="E175" s="87"/>
      <c r="F175" s="87"/>
      <c r="G175" s="87"/>
      <c r="H175" s="87"/>
      <c r="I175" s="87"/>
      <c r="J175" s="102"/>
      <c r="K175" s="103"/>
      <c r="L175" s="104"/>
      <c r="M175" s="95"/>
      <c r="N175" s="95"/>
      <c r="O175" s="9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</row>
    <row r="176" spans="1:26">
      <c r="A176" s="87" t="str">
        <f t="shared" si="0"/>
        <v/>
      </c>
      <c r="B176" s="2"/>
      <c r="C176" s="87"/>
      <c r="D176" s="87"/>
      <c r="E176" s="87"/>
      <c r="F176" s="87"/>
      <c r="G176" s="87"/>
      <c r="H176" s="87"/>
      <c r="I176" s="87"/>
      <c r="J176" s="102"/>
      <c r="K176" s="103"/>
      <c r="L176" s="104"/>
      <c r="M176" s="95"/>
      <c r="N176" s="95"/>
      <c r="O176" s="9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</row>
    <row r="177" spans="1:26">
      <c r="A177" s="87" t="str">
        <f t="shared" si="0"/>
        <v/>
      </c>
      <c r="B177" s="2"/>
      <c r="C177" s="87"/>
      <c r="D177" s="87"/>
      <c r="E177" s="87"/>
      <c r="F177" s="87"/>
      <c r="G177" s="87"/>
      <c r="H177" s="87"/>
      <c r="I177" s="87"/>
      <c r="J177" s="102"/>
      <c r="K177" s="103"/>
      <c r="L177" s="104"/>
      <c r="M177" s="95"/>
      <c r="N177" s="95"/>
      <c r="O177" s="9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</row>
    <row r="178" spans="1:26">
      <c r="A178" s="87" t="str">
        <f t="shared" si="0"/>
        <v/>
      </c>
      <c r="B178" s="2"/>
      <c r="C178" s="87"/>
      <c r="D178" s="87"/>
      <c r="E178" s="87"/>
      <c r="F178" s="87"/>
      <c r="G178" s="87"/>
      <c r="H178" s="87"/>
      <c r="I178" s="87"/>
      <c r="J178" s="102"/>
      <c r="K178" s="103"/>
      <c r="L178" s="104"/>
      <c r="M178" s="95"/>
      <c r="N178" s="95"/>
      <c r="O178" s="9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</row>
    <row r="179" spans="1:26">
      <c r="A179" s="87" t="str">
        <f t="shared" si="0"/>
        <v/>
      </c>
      <c r="B179" s="2"/>
      <c r="C179" s="87"/>
      <c r="D179" s="87"/>
      <c r="E179" s="87"/>
      <c r="F179" s="87"/>
      <c r="G179" s="87"/>
      <c r="H179" s="87"/>
      <c r="I179" s="87"/>
      <c r="J179" s="102"/>
      <c r="K179" s="103"/>
      <c r="L179" s="104"/>
      <c r="M179" s="95"/>
      <c r="N179" s="95"/>
      <c r="O179" s="9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05"/>
    </row>
    <row r="180" spans="1:26">
      <c r="A180" s="87" t="str">
        <f t="shared" si="0"/>
        <v/>
      </c>
      <c r="B180" s="2"/>
      <c r="C180" s="87"/>
      <c r="D180" s="87"/>
      <c r="E180" s="87"/>
      <c r="F180" s="87"/>
      <c r="G180" s="87"/>
      <c r="H180" s="87"/>
      <c r="I180" s="87"/>
      <c r="J180" s="102"/>
      <c r="K180" s="103"/>
      <c r="L180" s="104"/>
      <c r="M180" s="95"/>
      <c r="N180" s="95"/>
      <c r="O180" s="9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</row>
    <row r="181" spans="1:26">
      <c r="A181" s="87" t="str">
        <f t="shared" si="0"/>
        <v/>
      </c>
      <c r="B181" s="2"/>
      <c r="C181" s="87"/>
      <c r="D181" s="87"/>
      <c r="E181" s="87"/>
      <c r="F181" s="87"/>
      <c r="G181" s="87"/>
      <c r="H181" s="87"/>
      <c r="I181" s="87"/>
      <c r="J181" s="102"/>
      <c r="K181" s="103"/>
      <c r="L181" s="104"/>
      <c r="M181" s="95"/>
      <c r="N181" s="95"/>
      <c r="O181" s="9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</row>
    <row r="182" spans="1:26">
      <c r="A182" s="87" t="str">
        <f t="shared" si="0"/>
        <v/>
      </c>
      <c r="B182" s="2"/>
      <c r="C182" s="87"/>
      <c r="D182" s="87"/>
      <c r="E182" s="87"/>
      <c r="F182" s="87"/>
      <c r="G182" s="87"/>
      <c r="H182" s="87"/>
      <c r="I182" s="87"/>
      <c r="J182" s="102"/>
      <c r="K182" s="103"/>
      <c r="L182" s="104"/>
      <c r="M182" s="95"/>
      <c r="N182" s="95"/>
      <c r="O182" s="9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</row>
    <row r="183" spans="1:26">
      <c r="A183" s="87" t="str">
        <f t="shared" si="0"/>
        <v/>
      </c>
      <c r="B183" s="2"/>
      <c r="C183" s="87"/>
      <c r="D183" s="87"/>
      <c r="E183" s="87"/>
      <c r="F183" s="87"/>
      <c r="G183" s="87"/>
      <c r="H183" s="87"/>
      <c r="I183" s="87"/>
      <c r="J183" s="102"/>
      <c r="K183" s="103"/>
      <c r="L183" s="104"/>
      <c r="M183" s="95"/>
      <c r="N183" s="95"/>
      <c r="O183" s="9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</row>
    <row r="184" spans="1:26">
      <c r="A184" s="87" t="str">
        <f t="shared" si="0"/>
        <v/>
      </c>
      <c r="B184" s="2"/>
      <c r="C184" s="87"/>
      <c r="D184" s="87"/>
      <c r="E184" s="87"/>
      <c r="F184" s="87"/>
      <c r="G184" s="87"/>
      <c r="H184" s="87"/>
      <c r="I184" s="87"/>
      <c r="J184" s="102"/>
      <c r="K184" s="103"/>
      <c r="L184" s="104"/>
      <c r="M184" s="95"/>
      <c r="N184" s="95"/>
      <c r="O184" s="9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</row>
    <row r="185" spans="1:26">
      <c r="A185" s="87" t="str">
        <f t="shared" si="0"/>
        <v/>
      </c>
      <c r="B185" s="2"/>
      <c r="C185" s="87"/>
      <c r="D185" s="87"/>
      <c r="E185" s="87"/>
      <c r="F185" s="87"/>
      <c r="G185" s="87"/>
      <c r="H185" s="87"/>
      <c r="I185" s="87"/>
      <c r="J185" s="102"/>
      <c r="K185" s="103"/>
      <c r="L185" s="104"/>
      <c r="M185" s="95"/>
      <c r="N185" s="95"/>
      <c r="O185" s="9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5"/>
    </row>
    <row r="186" spans="1:26">
      <c r="A186" s="87" t="str">
        <f t="shared" si="0"/>
        <v/>
      </c>
      <c r="B186" s="2"/>
      <c r="C186" s="87"/>
      <c r="D186" s="87"/>
      <c r="E186" s="87"/>
      <c r="F186" s="87"/>
      <c r="G186" s="87"/>
      <c r="H186" s="87"/>
      <c r="I186" s="87"/>
      <c r="J186" s="102"/>
      <c r="K186" s="103"/>
      <c r="L186" s="104"/>
      <c r="M186" s="95"/>
      <c r="N186" s="95"/>
      <c r="O186" s="9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</row>
    <row r="187" spans="1:26">
      <c r="A187" s="87" t="str">
        <f t="shared" si="0"/>
        <v/>
      </c>
      <c r="B187" s="2"/>
      <c r="C187" s="87"/>
      <c r="D187" s="87"/>
      <c r="E187" s="87"/>
      <c r="F187" s="87"/>
      <c r="G187" s="87"/>
      <c r="H187" s="87"/>
      <c r="I187" s="87"/>
      <c r="J187" s="102"/>
      <c r="K187" s="103"/>
      <c r="L187" s="104"/>
      <c r="M187" s="95"/>
      <c r="N187" s="95"/>
      <c r="O187" s="9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</row>
    <row r="188" spans="1:26">
      <c r="A188" s="87" t="str">
        <f t="shared" si="0"/>
        <v/>
      </c>
      <c r="B188" s="2"/>
      <c r="C188" s="87"/>
      <c r="D188" s="87"/>
      <c r="E188" s="87"/>
      <c r="F188" s="87"/>
      <c r="G188" s="87"/>
      <c r="H188" s="87"/>
      <c r="I188" s="87"/>
      <c r="J188" s="102"/>
      <c r="K188" s="103"/>
      <c r="L188" s="104"/>
      <c r="M188" s="95"/>
      <c r="N188" s="95"/>
      <c r="O188" s="9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</row>
    <row r="189" spans="1:26">
      <c r="A189" s="87" t="str">
        <f t="shared" si="0"/>
        <v/>
      </c>
      <c r="B189" s="2"/>
      <c r="C189" s="87"/>
      <c r="D189" s="87"/>
      <c r="E189" s="87"/>
      <c r="F189" s="87"/>
      <c r="G189" s="87"/>
      <c r="H189" s="87"/>
      <c r="I189" s="87"/>
      <c r="J189" s="102"/>
      <c r="K189" s="103"/>
      <c r="L189" s="104"/>
      <c r="M189" s="95"/>
      <c r="N189" s="95"/>
      <c r="O189" s="9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</row>
    <row r="190" spans="1:26">
      <c r="A190" s="87" t="str">
        <f t="shared" si="0"/>
        <v/>
      </c>
      <c r="B190" s="2"/>
      <c r="C190" s="87"/>
      <c r="D190" s="87"/>
      <c r="E190" s="87"/>
      <c r="F190" s="87"/>
      <c r="G190" s="87"/>
      <c r="H190" s="87"/>
      <c r="I190" s="87"/>
      <c r="J190" s="102"/>
      <c r="K190" s="103"/>
      <c r="L190" s="104"/>
      <c r="M190" s="95"/>
      <c r="N190" s="95"/>
      <c r="O190" s="9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</row>
    <row r="191" spans="1:26">
      <c r="A191" s="87" t="str">
        <f t="shared" si="0"/>
        <v/>
      </c>
      <c r="B191" s="2"/>
      <c r="C191" s="87"/>
      <c r="D191" s="87"/>
      <c r="E191" s="87"/>
      <c r="F191" s="87"/>
      <c r="G191" s="87"/>
      <c r="H191" s="87"/>
      <c r="I191" s="87"/>
      <c r="J191" s="102"/>
      <c r="K191" s="103"/>
      <c r="L191" s="104"/>
      <c r="M191" s="95"/>
      <c r="N191" s="95"/>
      <c r="O191" s="9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</row>
    <row r="192" spans="1:26">
      <c r="A192" s="87" t="str">
        <f t="shared" si="0"/>
        <v/>
      </c>
      <c r="B192" s="2"/>
      <c r="C192" s="87"/>
      <c r="D192" s="87"/>
      <c r="E192" s="87"/>
      <c r="F192" s="87"/>
      <c r="G192" s="87"/>
      <c r="H192" s="87"/>
      <c r="I192" s="87"/>
      <c r="J192" s="102"/>
      <c r="K192" s="103"/>
      <c r="L192" s="104"/>
      <c r="M192" s="95"/>
      <c r="N192" s="95"/>
      <c r="O192" s="9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</row>
    <row r="193" spans="1:26">
      <c r="A193" s="87" t="str">
        <f t="shared" si="0"/>
        <v/>
      </c>
      <c r="B193" s="2"/>
      <c r="C193" s="87"/>
      <c r="D193" s="87"/>
      <c r="E193" s="87"/>
      <c r="F193" s="87"/>
      <c r="G193" s="87"/>
      <c r="H193" s="87"/>
      <c r="I193" s="87"/>
      <c r="J193" s="102"/>
      <c r="K193" s="103"/>
      <c r="L193" s="104"/>
      <c r="M193" s="95"/>
      <c r="N193" s="95"/>
      <c r="O193" s="9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</row>
    <row r="194" spans="1:26">
      <c r="A194" s="87" t="str">
        <f t="shared" si="0"/>
        <v/>
      </c>
      <c r="B194" s="2"/>
      <c r="C194" s="87"/>
      <c r="D194" s="87"/>
      <c r="E194" s="87"/>
      <c r="F194" s="87"/>
      <c r="G194" s="87"/>
      <c r="H194" s="87"/>
      <c r="I194" s="87"/>
      <c r="J194" s="102"/>
      <c r="K194" s="103"/>
      <c r="L194" s="104"/>
      <c r="M194" s="95"/>
      <c r="N194" s="95"/>
      <c r="O194" s="9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</row>
    <row r="195" spans="1:26">
      <c r="A195" s="87" t="str">
        <f t="shared" si="0"/>
        <v/>
      </c>
      <c r="B195" s="2"/>
      <c r="C195" s="87"/>
      <c r="D195" s="87"/>
      <c r="E195" s="87"/>
      <c r="F195" s="87"/>
      <c r="G195" s="87"/>
      <c r="H195" s="87"/>
      <c r="I195" s="87"/>
      <c r="J195" s="102"/>
      <c r="K195" s="103"/>
      <c r="L195" s="104"/>
      <c r="M195" s="95"/>
      <c r="N195" s="95"/>
      <c r="O195" s="9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</row>
    <row r="196" spans="1:26">
      <c r="A196" s="87" t="str">
        <f t="shared" si="0"/>
        <v/>
      </c>
      <c r="B196" s="2"/>
      <c r="C196" s="87"/>
      <c r="D196" s="87"/>
      <c r="E196" s="87"/>
      <c r="F196" s="87"/>
      <c r="G196" s="87"/>
      <c r="H196" s="87"/>
      <c r="I196" s="87"/>
      <c r="J196" s="102"/>
      <c r="K196" s="103"/>
      <c r="L196" s="104"/>
      <c r="M196" s="95"/>
      <c r="N196" s="95"/>
      <c r="O196" s="9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</row>
    <row r="197" spans="1:26">
      <c r="A197" s="87" t="str">
        <f t="shared" si="0"/>
        <v/>
      </c>
      <c r="B197" s="2"/>
      <c r="C197" s="87"/>
      <c r="D197" s="87"/>
      <c r="E197" s="87"/>
      <c r="F197" s="87"/>
      <c r="G197" s="87"/>
      <c r="H197" s="87"/>
      <c r="I197" s="87"/>
      <c r="J197" s="102"/>
      <c r="K197" s="103"/>
      <c r="L197" s="104"/>
      <c r="M197" s="95"/>
      <c r="N197" s="95"/>
      <c r="O197" s="9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</row>
    <row r="198" spans="1:26">
      <c r="A198" s="87" t="str">
        <f t="shared" si="0"/>
        <v/>
      </c>
      <c r="B198" s="2"/>
      <c r="C198" s="87"/>
      <c r="D198" s="87"/>
      <c r="E198" s="87"/>
      <c r="F198" s="87"/>
      <c r="G198" s="87"/>
      <c r="H198" s="87"/>
      <c r="I198" s="87"/>
      <c r="J198" s="102"/>
      <c r="K198" s="103"/>
      <c r="L198" s="104"/>
      <c r="M198" s="95"/>
      <c r="N198" s="95"/>
      <c r="O198" s="9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</row>
    <row r="199" spans="1:26">
      <c r="A199" s="87" t="str">
        <f t="shared" si="0"/>
        <v/>
      </c>
      <c r="B199" s="2"/>
      <c r="C199" s="87"/>
      <c r="D199" s="87"/>
      <c r="E199" s="87"/>
      <c r="F199" s="87"/>
      <c r="G199" s="87"/>
      <c r="H199" s="87"/>
      <c r="I199" s="87"/>
      <c r="J199" s="102"/>
      <c r="K199" s="103"/>
      <c r="L199" s="104"/>
      <c r="M199" s="95"/>
      <c r="N199" s="95"/>
      <c r="O199" s="9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</row>
    <row r="200" spans="1:26">
      <c r="A200" s="87" t="str">
        <f t="shared" si="0"/>
        <v/>
      </c>
      <c r="B200" s="2"/>
      <c r="C200" s="87"/>
      <c r="D200" s="87"/>
      <c r="E200" s="87"/>
      <c r="F200" s="87"/>
      <c r="G200" s="87"/>
      <c r="H200" s="87"/>
      <c r="I200" s="87"/>
      <c r="J200" s="102"/>
      <c r="K200" s="103"/>
      <c r="L200" s="104"/>
      <c r="M200" s="95"/>
      <c r="N200" s="95"/>
      <c r="O200" s="9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</row>
    <row r="201" spans="1:26">
      <c r="A201" s="87" t="str">
        <f t="shared" si="0"/>
        <v/>
      </c>
      <c r="B201" s="2"/>
      <c r="C201" s="87"/>
      <c r="D201" s="87"/>
      <c r="E201" s="87"/>
      <c r="F201" s="87"/>
      <c r="G201" s="87"/>
      <c r="H201" s="87"/>
      <c r="I201" s="87"/>
      <c r="J201" s="102"/>
      <c r="K201" s="103"/>
      <c r="L201" s="104"/>
      <c r="M201" s="95"/>
      <c r="N201" s="95"/>
      <c r="O201" s="9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5"/>
    </row>
    <row r="202" spans="1:26">
      <c r="A202" s="87" t="str">
        <f t="shared" si="0"/>
        <v/>
      </c>
      <c r="B202" s="2"/>
      <c r="C202" s="87"/>
      <c r="D202" s="87"/>
      <c r="E202" s="87"/>
      <c r="F202" s="87"/>
      <c r="G202" s="87"/>
      <c r="H202" s="87"/>
      <c r="I202" s="87"/>
      <c r="J202" s="102"/>
      <c r="K202" s="103"/>
      <c r="L202" s="104"/>
      <c r="M202" s="95"/>
      <c r="N202" s="95"/>
      <c r="O202" s="9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</row>
    <row r="203" spans="1:26">
      <c r="A203" s="87" t="str">
        <f t="shared" si="0"/>
        <v/>
      </c>
      <c r="B203" s="2"/>
      <c r="C203" s="87"/>
      <c r="D203" s="87"/>
      <c r="E203" s="87"/>
      <c r="F203" s="87"/>
      <c r="G203" s="87"/>
      <c r="H203" s="87"/>
      <c r="I203" s="87"/>
      <c r="J203" s="102"/>
      <c r="K203" s="103"/>
      <c r="L203" s="104"/>
      <c r="M203" s="95"/>
      <c r="N203" s="95"/>
      <c r="O203" s="9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</row>
    <row r="204" spans="1:26">
      <c r="A204" s="87" t="str">
        <f t="shared" si="0"/>
        <v/>
      </c>
      <c r="B204" s="2"/>
      <c r="C204" s="87"/>
      <c r="D204" s="87"/>
      <c r="E204" s="87"/>
      <c r="F204" s="87"/>
      <c r="G204" s="87"/>
      <c r="H204" s="87"/>
      <c r="I204" s="87"/>
      <c r="J204" s="102"/>
      <c r="K204" s="103"/>
      <c r="L204" s="104"/>
      <c r="M204" s="95"/>
      <c r="N204" s="95"/>
      <c r="O204" s="9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</row>
    <row r="205" spans="1:26">
      <c r="A205" s="87" t="str">
        <f t="shared" si="0"/>
        <v/>
      </c>
      <c r="B205" s="2"/>
      <c r="C205" s="87"/>
      <c r="D205" s="87"/>
      <c r="E205" s="87"/>
      <c r="F205" s="87"/>
      <c r="G205" s="87"/>
      <c r="H205" s="87"/>
      <c r="I205" s="87"/>
      <c r="J205" s="102"/>
      <c r="K205" s="103"/>
      <c r="L205" s="104"/>
      <c r="M205" s="95"/>
      <c r="N205" s="95"/>
      <c r="O205" s="9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</row>
    <row r="206" spans="1:26">
      <c r="A206" s="87" t="str">
        <f t="shared" si="0"/>
        <v/>
      </c>
      <c r="B206" s="2"/>
      <c r="C206" s="87"/>
      <c r="D206" s="87"/>
      <c r="E206" s="87"/>
      <c r="F206" s="87"/>
      <c r="G206" s="87"/>
      <c r="H206" s="87"/>
      <c r="I206" s="87"/>
      <c r="J206" s="102"/>
      <c r="K206" s="103"/>
      <c r="L206" s="104"/>
      <c r="M206" s="95"/>
      <c r="N206" s="95"/>
      <c r="O206" s="9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</row>
    <row r="207" spans="1:26">
      <c r="A207" s="87" t="str">
        <f t="shared" si="0"/>
        <v/>
      </c>
      <c r="B207" s="2"/>
      <c r="C207" s="87"/>
      <c r="D207" s="87"/>
      <c r="E207" s="87"/>
      <c r="F207" s="87"/>
      <c r="G207" s="87"/>
      <c r="H207" s="87"/>
      <c r="I207" s="87"/>
      <c r="J207" s="102"/>
      <c r="K207" s="103"/>
      <c r="L207" s="104"/>
      <c r="M207" s="95"/>
      <c r="N207" s="95"/>
      <c r="O207" s="9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</row>
    <row r="208" spans="1:26">
      <c r="A208" s="87" t="str">
        <f t="shared" si="0"/>
        <v/>
      </c>
      <c r="B208" s="2"/>
      <c r="C208" s="87"/>
      <c r="D208" s="87"/>
      <c r="E208" s="87"/>
      <c r="F208" s="87"/>
      <c r="G208" s="87"/>
      <c r="H208" s="87"/>
      <c r="I208" s="87"/>
      <c r="J208" s="102"/>
      <c r="K208" s="103"/>
      <c r="L208" s="104"/>
      <c r="M208" s="95"/>
      <c r="N208" s="95"/>
      <c r="O208" s="9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</row>
    <row r="209" spans="1:26">
      <c r="A209" s="87" t="str">
        <f t="shared" si="0"/>
        <v/>
      </c>
      <c r="B209" s="2"/>
      <c r="C209" s="87"/>
      <c r="D209" s="87"/>
      <c r="E209" s="87"/>
      <c r="F209" s="87"/>
      <c r="G209" s="87"/>
      <c r="H209" s="87"/>
      <c r="I209" s="87"/>
      <c r="J209" s="102"/>
      <c r="K209" s="103"/>
      <c r="L209" s="104"/>
      <c r="M209" s="95"/>
      <c r="N209" s="95"/>
      <c r="O209" s="9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</row>
    <row r="210" spans="1:26">
      <c r="A210" s="87" t="str">
        <f t="shared" si="0"/>
        <v/>
      </c>
      <c r="B210" s="2"/>
      <c r="C210" s="87"/>
      <c r="D210" s="87"/>
      <c r="E210" s="87"/>
      <c r="F210" s="87"/>
      <c r="G210" s="87"/>
      <c r="H210" s="87"/>
      <c r="I210" s="87"/>
      <c r="J210" s="102"/>
      <c r="K210" s="103"/>
      <c r="L210" s="104"/>
      <c r="M210" s="95"/>
      <c r="N210" s="95"/>
      <c r="O210" s="9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05"/>
    </row>
    <row r="211" spans="1:26">
      <c r="A211" s="87" t="str">
        <f t="shared" si="0"/>
        <v/>
      </c>
      <c r="B211" s="2"/>
      <c r="C211" s="87"/>
      <c r="D211" s="87"/>
      <c r="E211" s="87"/>
      <c r="F211" s="87"/>
      <c r="G211" s="87"/>
      <c r="H211" s="87"/>
      <c r="I211" s="87"/>
      <c r="J211" s="102"/>
      <c r="K211" s="103"/>
      <c r="L211" s="104"/>
      <c r="M211" s="95"/>
      <c r="N211" s="95"/>
      <c r="O211" s="9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</row>
    <row r="212" spans="1:26">
      <c r="A212" s="87" t="str">
        <f t="shared" si="0"/>
        <v/>
      </c>
      <c r="B212" s="2"/>
      <c r="C212" s="87"/>
      <c r="D212" s="87"/>
      <c r="E212" s="87"/>
      <c r="F212" s="87"/>
      <c r="G212" s="87"/>
      <c r="H212" s="87"/>
      <c r="I212" s="87"/>
      <c r="J212" s="102"/>
      <c r="K212" s="103"/>
      <c r="L212" s="104"/>
      <c r="M212" s="95"/>
      <c r="N212" s="95"/>
      <c r="O212" s="9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</row>
    <row r="213" spans="1:26">
      <c r="A213" s="87" t="str">
        <f t="shared" si="0"/>
        <v/>
      </c>
      <c r="B213" s="2"/>
      <c r="C213" s="87"/>
      <c r="D213" s="87"/>
      <c r="E213" s="87"/>
      <c r="F213" s="87"/>
      <c r="G213" s="87"/>
      <c r="H213" s="87"/>
      <c r="I213" s="87"/>
      <c r="J213" s="102"/>
      <c r="K213" s="103"/>
      <c r="L213" s="104"/>
      <c r="M213" s="95"/>
      <c r="N213" s="95"/>
      <c r="O213" s="9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</row>
    <row r="214" spans="1:26">
      <c r="A214" s="87" t="str">
        <f t="shared" si="0"/>
        <v/>
      </c>
      <c r="B214" s="2"/>
      <c r="C214" s="87"/>
      <c r="D214" s="87"/>
      <c r="E214" s="87"/>
      <c r="F214" s="87"/>
      <c r="G214" s="87"/>
      <c r="H214" s="87"/>
      <c r="I214" s="87"/>
      <c r="J214" s="102"/>
      <c r="K214" s="103"/>
      <c r="L214" s="104"/>
      <c r="M214" s="95"/>
      <c r="N214" s="95"/>
      <c r="O214" s="9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</row>
    <row r="215" spans="1:26">
      <c r="A215" s="87" t="str">
        <f t="shared" si="0"/>
        <v/>
      </c>
      <c r="B215" s="2"/>
      <c r="C215" s="87"/>
      <c r="D215" s="87"/>
      <c r="E215" s="87"/>
      <c r="F215" s="87"/>
      <c r="G215" s="87"/>
      <c r="H215" s="87"/>
      <c r="I215" s="87"/>
      <c r="J215" s="102"/>
      <c r="K215" s="103"/>
      <c r="L215" s="104"/>
      <c r="M215" s="95"/>
      <c r="N215" s="95"/>
      <c r="O215" s="9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</row>
    <row r="216" spans="1:26">
      <c r="A216" s="87" t="str">
        <f t="shared" si="0"/>
        <v/>
      </c>
      <c r="B216" s="2"/>
      <c r="C216" s="87"/>
      <c r="D216" s="87"/>
      <c r="E216" s="87"/>
      <c r="F216" s="87"/>
      <c r="G216" s="87"/>
      <c r="H216" s="87"/>
      <c r="I216" s="87"/>
      <c r="J216" s="102"/>
      <c r="K216" s="103"/>
      <c r="L216" s="104"/>
      <c r="M216" s="95"/>
      <c r="N216" s="95"/>
      <c r="O216" s="9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</row>
    <row r="217" spans="1:26">
      <c r="A217" s="87" t="str">
        <f t="shared" si="0"/>
        <v/>
      </c>
      <c r="B217" s="2"/>
      <c r="C217" s="87"/>
      <c r="D217" s="87"/>
      <c r="E217" s="87"/>
      <c r="F217" s="87"/>
      <c r="G217" s="87"/>
      <c r="H217" s="87"/>
      <c r="I217" s="87"/>
      <c r="J217" s="102"/>
      <c r="K217" s="103"/>
      <c r="L217" s="104"/>
      <c r="M217" s="95"/>
      <c r="N217" s="95"/>
      <c r="O217" s="9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</row>
    <row r="218" spans="1:26">
      <c r="A218" s="87" t="str">
        <f t="shared" si="0"/>
        <v/>
      </c>
      <c r="B218" s="2"/>
      <c r="C218" s="87"/>
      <c r="D218" s="87"/>
      <c r="E218" s="87"/>
      <c r="F218" s="87"/>
      <c r="G218" s="87"/>
      <c r="H218" s="87"/>
      <c r="I218" s="87"/>
      <c r="J218" s="102"/>
      <c r="K218" s="103"/>
      <c r="L218" s="104"/>
      <c r="M218" s="95"/>
      <c r="N218" s="95"/>
      <c r="O218" s="9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</row>
    <row r="219" spans="1:26">
      <c r="A219" s="87" t="str">
        <f t="shared" si="0"/>
        <v/>
      </c>
      <c r="B219" s="2"/>
      <c r="C219" s="87"/>
      <c r="D219" s="87"/>
      <c r="E219" s="87"/>
      <c r="F219" s="87"/>
      <c r="G219" s="87"/>
      <c r="H219" s="87"/>
      <c r="I219" s="87"/>
      <c r="J219" s="102"/>
      <c r="K219" s="103"/>
      <c r="L219" s="104"/>
      <c r="M219" s="95"/>
      <c r="N219" s="95"/>
      <c r="O219" s="9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</row>
    <row r="220" spans="1:26">
      <c r="A220" s="87" t="str">
        <f t="shared" si="0"/>
        <v/>
      </c>
      <c r="B220" s="2"/>
      <c r="C220" s="87"/>
      <c r="D220" s="87"/>
      <c r="E220" s="87"/>
      <c r="F220" s="87"/>
      <c r="G220" s="87"/>
      <c r="H220" s="87"/>
      <c r="I220" s="87"/>
      <c r="J220" s="102"/>
      <c r="K220" s="103"/>
      <c r="L220" s="104"/>
      <c r="M220" s="95"/>
      <c r="N220" s="95"/>
      <c r="O220" s="9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</row>
    <row r="221" spans="1:26">
      <c r="A221" s="87" t="str">
        <f t="shared" si="0"/>
        <v/>
      </c>
      <c r="B221" s="2"/>
      <c r="C221" s="87"/>
      <c r="D221" s="87"/>
      <c r="E221" s="87"/>
      <c r="F221" s="87"/>
      <c r="G221" s="87"/>
      <c r="H221" s="87"/>
      <c r="I221" s="87"/>
      <c r="J221" s="102"/>
      <c r="K221" s="103"/>
      <c r="L221" s="104"/>
      <c r="M221" s="95"/>
      <c r="N221" s="95"/>
      <c r="O221" s="9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</row>
    <row r="222" spans="1:26">
      <c r="A222" s="87" t="str">
        <f t="shared" si="0"/>
        <v/>
      </c>
      <c r="B222" s="2"/>
      <c r="C222" s="87"/>
      <c r="D222" s="87"/>
      <c r="E222" s="87"/>
      <c r="F222" s="87"/>
      <c r="G222" s="87"/>
      <c r="H222" s="87"/>
      <c r="I222" s="87"/>
      <c r="J222" s="102"/>
      <c r="K222" s="103"/>
      <c r="L222" s="104"/>
      <c r="M222" s="95"/>
      <c r="N222" s="95"/>
      <c r="O222" s="9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5"/>
    </row>
    <row r="223" spans="1:26">
      <c r="A223" s="87" t="str">
        <f t="shared" si="0"/>
        <v/>
      </c>
      <c r="B223" s="2"/>
      <c r="C223" s="87"/>
      <c r="D223" s="87"/>
      <c r="E223" s="87"/>
      <c r="F223" s="87"/>
      <c r="G223" s="87"/>
      <c r="H223" s="87"/>
      <c r="I223" s="87"/>
      <c r="J223" s="102"/>
      <c r="K223" s="103"/>
      <c r="L223" s="104"/>
      <c r="M223" s="95"/>
      <c r="N223" s="95"/>
      <c r="O223" s="9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</row>
    <row r="224" spans="1:26">
      <c r="A224" s="87" t="str">
        <f t="shared" si="0"/>
        <v/>
      </c>
      <c r="B224" s="2"/>
      <c r="C224" s="87"/>
      <c r="D224" s="87"/>
      <c r="E224" s="87"/>
      <c r="F224" s="87"/>
      <c r="G224" s="87"/>
      <c r="H224" s="87"/>
      <c r="I224" s="87"/>
      <c r="J224" s="102"/>
      <c r="K224" s="103"/>
      <c r="L224" s="104"/>
      <c r="M224" s="95"/>
      <c r="N224" s="95"/>
      <c r="O224" s="9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</row>
    <row r="225" spans="1:26">
      <c r="A225" s="87" t="str">
        <f t="shared" si="0"/>
        <v/>
      </c>
      <c r="B225" s="2"/>
      <c r="C225" s="87"/>
      <c r="D225" s="87"/>
      <c r="E225" s="87"/>
      <c r="F225" s="87"/>
      <c r="G225" s="87"/>
      <c r="H225" s="87"/>
      <c r="I225" s="87"/>
      <c r="J225" s="102"/>
      <c r="K225" s="103"/>
      <c r="L225" s="104"/>
      <c r="M225" s="95"/>
      <c r="N225" s="95"/>
      <c r="O225" s="9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</row>
    <row r="226" spans="1:26">
      <c r="A226" s="87" t="str">
        <f t="shared" si="0"/>
        <v/>
      </c>
      <c r="B226" s="2"/>
      <c r="C226" s="87"/>
      <c r="D226" s="87"/>
      <c r="E226" s="87"/>
      <c r="F226" s="87"/>
      <c r="G226" s="87"/>
      <c r="H226" s="87"/>
      <c r="I226" s="87"/>
      <c r="J226" s="102"/>
      <c r="K226" s="103"/>
      <c r="L226" s="104"/>
      <c r="M226" s="95"/>
      <c r="N226" s="95"/>
      <c r="O226" s="9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</row>
    <row r="227" spans="1:26">
      <c r="A227" s="87" t="str">
        <f t="shared" si="0"/>
        <v/>
      </c>
      <c r="B227" s="2"/>
      <c r="C227" s="87"/>
      <c r="D227" s="87"/>
      <c r="E227" s="87"/>
      <c r="F227" s="87"/>
      <c r="G227" s="87"/>
      <c r="H227" s="87"/>
      <c r="I227" s="87"/>
      <c r="J227" s="102"/>
      <c r="K227" s="103"/>
      <c r="L227" s="104"/>
      <c r="M227" s="95"/>
      <c r="N227" s="95"/>
      <c r="O227" s="9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</row>
    <row r="228" spans="1:26">
      <c r="A228" s="87" t="str">
        <f t="shared" si="0"/>
        <v/>
      </c>
      <c r="B228" s="2"/>
      <c r="C228" s="87"/>
      <c r="D228" s="87"/>
      <c r="E228" s="87"/>
      <c r="F228" s="87"/>
      <c r="G228" s="87"/>
      <c r="H228" s="87"/>
      <c r="I228" s="87"/>
      <c r="J228" s="102"/>
      <c r="K228" s="103"/>
      <c r="L228" s="104"/>
      <c r="M228" s="95"/>
      <c r="N228" s="95"/>
      <c r="O228" s="9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</row>
    <row r="229" spans="1:26">
      <c r="A229" s="87" t="str">
        <f t="shared" si="0"/>
        <v/>
      </c>
      <c r="B229" s="2"/>
      <c r="C229" s="87"/>
      <c r="D229" s="87"/>
      <c r="E229" s="87"/>
      <c r="F229" s="87"/>
      <c r="G229" s="87"/>
      <c r="H229" s="87"/>
      <c r="I229" s="87"/>
      <c r="J229" s="102"/>
      <c r="K229" s="103"/>
      <c r="L229" s="104"/>
      <c r="M229" s="95"/>
      <c r="N229" s="95"/>
      <c r="O229" s="9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5"/>
    </row>
    <row r="230" spans="1:26">
      <c r="A230" s="87" t="str">
        <f t="shared" si="0"/>
        <v/>
      </c>
      <c r="B230" s="2"/>
      <c r="C230" s="87"/>
      <c r="D230" s="87"/>
      <c r="E230" s="87"/>
      <c r="F230" s="87"/>
      <c r="G230" s="87"/>
      <c r="H230" s="87"/>
      <c r="I230" s="87"/>
      <c r="J230" s="102"/>
      <c r="K230" s="103"/>
      <c r="L230" s="104"/>
      <c r="M230" s="95"/>
      <c r="N230" s="95"/>
      <c r="O230" s="9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05"/>
    </row>
    <row r="231" spans="1:26">
      <c r="A231" s="87" t="str">
        <f t="shared" si="0"/>
        <v/>
      </c>
      <c r="B231" s="2"/>
      <c r="C231" s="87"/>
      <c r="D231" s="87"/>
      <c r="E231" s="87"/>
      <c r="F231" s="87"/>
      <c r="G231" s="87"/>
      <c r="H231" s="87"/>
      <c r="I231" s="87"/>
      <c r="J231" s="102"/>
      <c r="K231" s="103"/>
      <c r="L231" s="104"/>
      <c r="M231" s="95"/>
      <c r="N231" s="95"/>
      <c r="O231" s="9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</row>
    <row r="232" spans="1:26">
      <c r="A232" s="87" t="str">
        <f t="shared" si="0"/>
        <v/>
      </c>
      <c r="B232" s="2"/>
      <c r="C232" s="87"/>
      <c r="D232" s="87"/>
      <c r="E232" s="87"/>
      <c r="F232" s="87"/>
      <c r="G232" s="87"/>
      <c r="H232" s="87"/>
      <c r="I232" s="87"/>
      <c r="J232" s="102"/>
      <c r="K232" s="103"/>
      <c r="L232" s="104"/>
      <c r="M232" s="95"/>
      <c r="N232" s="95"/>
      <c r="O232" s="9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</row>
    <row r="233" spans="1:26">
      <c r="A233" s="87" t="str">
        <f t="shared" si="0"/>
        <v/>
      </c>
      <c r="B233" s="2"/>
      <c r="C233" s="87"/>
      <c r="D233" s="87"/>
      <c r="E233" s="87"/>
      <c r="F233" s="87"/>
      <c r="G233" s="87"/>
      <c r="H233" s="87"/>
      <c r="I233" s="87"/>
      <c r="J233" s="102"/>
      <c r="K233" s="103"/>
      <c r="L233" s="104"/>
      <c r="M233" s="95"/>
      <c r="N233" s="95"/>
      <c r="O233" s="9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</row>
    <row r="234" spans="1:26">
      <c r="A234" s="87" t="str">
        <f t="shared" si="0"/>
        <v/>
      </c>
      <c r="B234" s="2"/>
      <c r="C234" s="87"/>
      <c r="D234" s="87"/>
      <c r="E234" s="87"/>
      <c r="F234" s="87"/>
      <c r="G234" s="87"/>
      <c r="H234" s="87"/>
      <c r="I234" s="87"/>
      <c r="J234" s="102"/>
      <c r="K234" s="103"/>
      <c r="L234" s="104"/>
      <c r="M234" s="95"/>
      <c r="N234" s="95"/>
      <c r="O234" s="9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</row>
    <row r="235" spans="1:26">
      <c r="A235" s="87" t="str">
        <f t="shared" si="0"/>
        <v/>
      </c>
      <c r="B235" s="2"/>
      <c r="C235" s="87"/>
      <c r="D235" s="87"/>
      <c r="E235" s="87"/>
      <c r="F235" s="87"/>
      <c r="G235" s="87"/>
      <c r="H235" s="87"/>
      <c r="I235" s="87"/>
      <c r="J235" s="102"/>
      <c r="K235" s="103"/>
      <c r="L235" s="104"/>
      <c r="M235" s="95"/>
      <c r="N235" s="95"/>
      <c r="O235" s="9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</row>
    <row r="236" spans="1:26">
      <c r="A236" s="87" t="str">
        <f t="shared" si="0"/>
        <v/>
      </c>
      <c r="B236" s="2"/>
      <c r="C236" s="87"/>
      <c r="D236" s="87"/>
      <c r="E236" s="87"/>
      <c r="F236" s="87"/>
      <c r="G236" s="87"/>
      <c r="H236" s="87"/>
      <c r="I236" s="87"/>
      <c r="J236" s="102"/>
      <c r="K236" s="103"/>
      <c r="L236" s="104"/>
      <c r="M236" s="95"/>
      <c r="N236" s="95"/>
      <c r="O236" s="9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5"/>
    </row>
    <row r="237" spans="1:26">
      <c r="A237" s="87" t="str">
        <f t="shared" si="0"/>
        <v/>
      </c>
      <c r="B237" s="2"/>
      <c r="C237" s="87"/>
      <c r="D237" s="87"/>
      <c r="E237" s="87"/>
      <c r="F237" s="87"/>
      <c r="G237" s="87"/>
      <c r="H237" s="87"/>
      <c r="I237" s="87"/>
      <c r="J237" s="102"/>
      <c r="K237" s="103"/>
      <c r="L237" s="104"/>
      <c r="M237" s="95"/>
      <c r="N237" s="95"/>
      <c r="O237" s="9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</row>
    <row r="238" spans="1:26">
      <c r="A238" s="87" t="str">
        <f t="shared" si="0"/>
        <v/>
      </c>
      <c r="B238" s="2"/>
      <c r="C238" s="87"/>
      <c r="D238" s="87"/>
      <c r="E238" s="87"/>
      <c r="F238" s="87"/>
      <c r="G238" s="87"/>
      <c r="H238" s="87"/>
      <c r="I238" s="87"/>
      <c r="J238" s="102"/>
      <c r="K238" s="103"/>
      <c r="L238" s="104"/>
      <c r="M238" s="95"/>
      <c r="N238" s="95"/>
      <c r="O238" s="9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</row>
    <row r="239" spans="1:26">
      <c r="A239" s="87" t="str">
        <f t="shared" si="0"/>
        <v/>
      </c>
      <c r="B239" s="2"/>
      <c r="C239" s="87"/>
      <c r="D239" s="87"/>
      <c r="E239" s="87"/>
      <c r="F239" s="87"/>
      <c r="G239" s="87"/>
      <c r="H239" s="87"/>
      <c r="I239" s="87"/>
      <c r="J239" s="102"/>
      <c r="K239" s="103"/>
      <c r="L239" s="104"/>
      <c r="M239" s="95"/>
      <c r="N239" s="95"/>
      <c r="O239" s="9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</row>
    <row r="240" spans="1:26">
      <c r="A240" s="87" t="str">
        <f t="shared" si="0"/>
        <v/>
      </c>
      <c r="B240" s="2"/>
      <c r="C240" s="87"/>
      <c r="D240" s="87"/>
      <c r="E240" s="87"/>
      <c r="F240" s="87"/>
      <c r="G240" s="87"/>
      <c r="H240" s="87"/>
      <c r="I240" s="87"/>
      <c r="J240" s="102"/>
      <c r="K240" s="103"/>
      <c r="L240" s="104"/>
      <c r="M240" s="95"/>
      <c r="N240" s="95"/>
      <c r="O240" s="9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</row>
    <row r="241" spans="1:26">
      <c r="A241" s="87" t="str">
        <f t="shared" si="0"/>
        <v/>
      </c>
      <c r="B241" s="2"/>
      <c r="C241" s="87"/>
      <c r="D241" s="87"/>
      <c r="E241" s="87"/>
      <c r="F241" s="87"/>
      <c r="G241" s="87"/>
      <c r="H241" s="87"/>
      <c r="I241" s="87"/>
      <c r="J241" s="102"/>
      <c r="K241" s="103"/>
      <c r="L241" s="104"/>
      <c r="M241" s="95"/>
      <c r="N241" s="95"/>
      <c r="O241" s="9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</row>
    <row r="242" spans="1:26">
      <c r="A242" s="87" t="str">
        <f t="shared" si="0"/>
        <v/>
      </c>
      <c r="B242" s="2"/>
      <c r="C242" s="87"/>
      <c r="D242" s="87"/>
      <c r="E242" s="87"/>
      <c r="F242" s="87"/>
      <c r="G242" s="87"/>
      <c r="H242" s="87"/>
      <c r="I242" s="87"/>
      <c r="J242" s="102"/>
      <c r="K242" s="103"/>
      <c r="L242" s="104"/>
      <c r="M242" s="95"/>
      <c r="N242" s="95"/>
      <c r="O242" s="9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05"/>
    </row>
    <row r="243" spans="1:26">
      <c r="A243" s="87" t="str">
        <f t="shared" si="0"/>
        <v/>
      </c>
      <c r="B243" s="2"/>
      <c r="C243" s="87"/>
      <c r="D243" s="87"/>
      <c r="E243" s="87"/>
      <c r="F243" s="87"/>
      <c r="G243" s="87"/>
      <c r="H243" s="87"/>
      <c r="I243" s="87"/>
      <c r="J243" s="102"/>
      <c r="K243" s="103"/>
      <c r="L243" s="104"/>
      <c r="M243" s="95"/>
      <c r="N243" s="95"/>
      <c r="O243" s="9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</row>
    <row r="244" spans="1:26">
      <c r="A244" s="87" t="str">
        <f t="shared" si="0"/>
        <v/>
      </c>
      <c r="B244" s="2"/>
      <c r="C244" s="87"/>
      <c r="D244" s="87"/>
      <c r="E244" s="87"/>
      <c r="F244" s="87"/>
      <c r="G244" s="87"/>
      <c r="H244" s="87"/>
      <c r="I244" s="87"/>
      <c r="J244" s="102"/>
      <c r="K244" s="103"/>
      <c r="L244" s="104"/>
      <c r="M244" s="95"/>
      <c r="N244" s="95"/>
      <c r="O244" s="9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</row>
    <row r="245" spans="1:26">
      <c r="A245" s="87" t="str">
        <f t="shared" si="0"/>
        <v/>
      </c>
      <c r="B245" s="2"/>
      <c r="C245" s="87"/>
      <c r="D245" s="87"/>
      <c r="E245" s="87"/>
      <c r="F245" s="87"/>
      <c r="G245" s="87"/>
      <c r="H245" s="87"/>
      <c r="I245" s="87"/>
      <c r="J245" s="102"/>
      <c r="K245" s="103"/>
      <c r="L245" s="104"/>
      <c r="M245" s="95"/>
      <c r="N245" s="95"/>
      <c r="O245" s="9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</row>
    <row r="246" spans="1:26">
      <c r="A246" s="87" t="str">
        <f t="shared" si="0"/>
        <v/>
      </c>
      <c r="B246" s="2"/>
      <c r="C246" s="87"/>
      <c r="D246" s="87"/>
      <c r="E246" s="87"/>
      <c r="F246" s="87"/>
      <c r="G246" s="87"/>
      <c r="H246" s="87"/>
      <c r="I246" s="87"/>
      <c r="J246" s="102"/>
      <c r="K246" s="103"/>
      <c r="L246" s="104"/>
      <c r="M246" s="95"/>
      <c r="N246" s="95"/>
      <c r="O246" s="9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</row>
    <row r="247" spans="1:26">
      <c r="A247" s="87" t="str">
        <f t="shared" si="0"/>
        <v/>
      </c>
      <c r="B247" s="2"/>
      <c r="C247" s="87"/>
      <c r="D247" s="87"/>
      <c r="E247" s="87"/>
      <c r="F247" s="87"/>
      <c r="G247" s="87"/>
      <c r="H247" s="87"/>
      <c r="I247" s="87"/>
      <c r="J247" s="102"/>
      <c r="K247" s="103"/>
      <c r="L247" s="104"/>
      <c r="M247" s="95"/>
      <c r="N247" s="95"/>
      <c r="O247" s="9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05"/>
    </row>
    <row r="248" spans="1:26">
      <c r="A248" s="87" t="str">
        <f t="shared" si="0"/>
        <v/>
      </c>
      <c r="B248" s="2"/>
      <c r="C248" s="87"/>
      <c r="D248" s="87"/>
      <c r="E248" s="87"/>
      <c r="F248" s="87"/>
      <c r="G248" s="87"/>
      <c r="H248" s="87"/>
      <c r="I248" s="87"/>
      <c r="J248" s="102"/>
      <c r="K248" s="103"/>
      <c r="L248" s="104"/>
      <c r="M248" s="95"/>
      <c r="N248" s="95"/>
      <c r="O248" s="9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05"/>
    </row>
    <row r="249" spans="1:26">
      <c r="A249" s="87" t="str">
        <f t="shared" si="0"/>
        <v/>
      </c>
      <c r="B249" s="2"/>
      <c r="C249" s="87"/>
      <c r="D249" s="87"/>
      <c r="E249" s="87"/>
      <c r="F249" s="87"/>
      <c r="G249" s="87"/>
      <c r="H249" s="87"/>
      <c r="I249" s="87"/>
      <c r="J249" s="102"/>
      <c r="K249" s="103"/>
      <c r="L249" s="104"/>
      <c r="M249" s="95"/>
      <c r="N249" s="95"/>
      <c r="O249" s="9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  <c r="Z249" s="105"/>
    </row>
    <row r="250" spans="1:26">
      <c r="A250" s="87" t="str">
        <f t="shared" si="0"/>
        <v/>
      </c>
      <c r="B250" s="2"/>
      <c r="C250" s="87"/>
      <c r="D250" s="87"/>
      <c r="E250" s="87"/>
      <c r="F250" s="87"/>
      <c r="G250" s="87"/>
      <c r="H250" s="87"/>
      <c r="I250" s="87"/>
      <c r="J250" s="102"/>
      <c r="K250" s="103"/>
      <c r="L250" s="104"/>
      <c r="M250" s="95"/>
      <c r="N250" s="95"/>
      <c r="O250" s="9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05"/>
    </row>
    <row r="251" spans="1:26">
      <c r="A251" s="87" t="str">
        <f t="shared" si="0"/>
        <v/>
      </c>
      <c r="B251" s="2"/>
      <c r="C251" s="87"/>
      <c r="D251" s="87"/>
      <c r="E251" s="87"/>
      <c r="F251" s="87"/>
      <c r="G251" s="87"/>
      <c r="H251" s="87"/>
      <c r="I251" s="87"/>
      <c r="J251" s="102"/>
      <c r="K251" s="103"/>
      <c r="L251" s="104"/>
      <c r="M251" s="95"/>
      <c r="N251" s="95"/>
      <c r="O251" s="9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  <c r="Z251" s="105"/>
    </row>
    <row r="252" spans="1:26">
      <c r="A252" s="87" t="str">
        <f t="shared" si="0"/>
        <v/>
      </c>
      <c r="B252" s="2"/>
      <c r="C252" s="87"/>
      <c r="D252" s="87"/>
      <c r="E252" s="87"/>
      <c r="F252" s="87"/>
      <c r="G252" s="87"/>
      <c r="H252" s="87"/>
      <c r="I252" s="87"/>
      <c r="J252" s="102"/>
      <c r="K252" s="103"/>
      <c r="L252" s="104"/>
      <c r="M252" s="95"/>
      <c r="N252" s="95"/>
      <c r="O252" s="9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05"/>
    </row>
    <row r="253" spans="1:26">
      <c r="A253" s="87" t="str">
        <f t="shared" si="0"/>
        <v/>
      </c>
      <c r="B253" s="2"/>
      <c r="C253" s="87"/>
      <c r="D253" s="87"/>
      <c r="E253" s="87"/>
      <c r="F253" s="87"/>
      <c r="G253" s="87"/>
      <c r="H253" s="87"/>
      <c r="I253" s="87"/>
      <c r="J253" s="102"/>
      <c r="K253" s="103"/>
      <c r="L253" s="104"/>
      <c r="M253" s="95"/>
      <c r="N253" s="95"/>
      <c r="O253" s="9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  <c r="Z253" s="105"/>
    </row>
    <row r="254" spans="1:26">
      <c r="A254" s="87" t="str">
        <f t="shared" si="0"/>
        <v/>
      </c>
      <c r="B254" s="2"/>
      <c r="C254" s="87"/>
      <c r="D254" s="87"/>
      <c r="E254" s="87"/>
      <c r="F254" s="87"/>
      <c r="G254" s="87"/>
      <c r="H254" s="87"/>
      <c r="I254" s="87"/>
      <c r="J254" s="102"/>
      <c r="K254" s="103"/>
      <c r="L254" s="104"/>
      <c r="M254" s="95"/>
      <c r="N254" s="95"/>
      <c r="O254" s="9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05"/>
    </row>
    <row r="255" spans="1:26">
      <c r="A255" s="87" t="str">
        <f t="shared" si="0"/>
        <v/>
      </c>
      <c r="B255" s="2"/>
      <c r="C255" s="87"/>
      <c r="D255" s="87"/>
      <c r="E255" s="87"/>
      <c r="F255" s="87"/>
      <c r="G255" s="87"/>
      <c r="H255" s="87"/>
      <c r="I255" s="87"/>
      <c r="J255" s="102"/>
      <c r="K255" s="103"/>
      <c r="L255" s="104"/>
      <c r="M255" s="95"/>
      <c r="N255" s="95"/>
      <c r="O255" s="9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  <c r="Z255" s="105"/>
    </row>
    <row r="256" spans="1:26">
      <c r="A256" s="87" t="str">
        <f t="shared" si="0"/>
        <v/>
      </c>
      <c r="B256" s="2"/>
      <c r="C256" s="87"/>
      <c r="D256" s="87"/>
      <c r="E256" s="87"/>
      <c r="F256" s="87"/>
      <c r="G256" s="87"/>
      <c r="H256" s="87"/>
      <c r="I256" s="87"/>
      <c r="J256" s="102"/>
      <c r="K256" s="103"/>
      <c r="L256" s="104"/>
      <c r="M256" s="95"/>
      <c r="N256" s="95"/>
      <c r="O256" s="9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  <c r="Z256" s="105"/>
    </row>
    <row r="257" spans="1:26">
      <c r="A257" s="87" t="str">
        <f t="shared" si="0"/>
        <v/>
      </c>
      <c r="B257" s="2"/>
      <c r="C257" s="87"/>
      <c r="D257" s="87"/>
      <c r="E257" s="87"/>
      <c r="F257" s="87"/>
      <c r="G257" s="87"/>
      <c r="H257" s="87"/>
      <c r="I257" s="87"/>
      <c r="J257" s="102"/>
      <c r="K257" s="103"/>
      <c r="L257" s="104"/>
      <c r="M257" s="95"/>
      <c r="N257" s="95"/>
      <c r="O257" s="9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  <c r="Z257" s="105"/>
    </row>
    <row r="258" spans="1:26">
      <c r="A258" s="87" t="str">
        <f t="shared" si="0"/>
        <v/>
      </c>
      <c r="B258" s="2"/>
      <c r="C258" s="87"/>
      <c r="D258" s="87"/>
      <c r="E258" s="87"/>
      <c r="F258" s="87"/>
      <c r="G258" s="87"/>
      <c r="H258" s="87"/>
      <c r="I258" s="87"/>
      <c r="J258" s="102"/>
      <c r="K258" s="103"/>
      <c r="L258" s="104"/>
      <c r="M258" s="95"/>
      <c r="N258" s="95"/>
      <c r="O258" s="9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  <c r="Z258" s="105"/>
    </row>
    <row r="259" spans="1:26">
      <c r="A259" s="87" t="str">
        <f t="shared" ref="A259:A513" si="1">IF(B259="","",ROW()-9)</f>
        <v/>
      </c>
      <c r="B259" s="2"/>
      <c r="C259" s="87"/>
      <c r="D259" s="87"/>
      <c r="E259" s="87"/>
      <c r="F259" s="87"/>
      <c r="G259" s="87"/>
      <c r="H259" s="87"/>
      <c r="I259" s="87"/>
      <c r="J259" s="102"/>
      <c r="K259" s="103"/>
      <c r="L259" s="104"/>
      <c r="M259" s="95"/>
      <c r="N259" s="95"/>
      <c r="O259" s="9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05"/>
    </row>
    <row r="260" spans="1:26">
      <c r="A260" s="87" t="str">
        <f t="shared" si="1"/>
        <v/>
      </c>
      <c r="B260" s="2"/>
      <c r="C260" s="87"/>
      <c r="D260" s="87"/>
      <c r="E260" s="87"/>
      <c r="F260" s="87"/>
      <c r="G260" s="87"/>
      <c r="H260" s="87"/>
      <c r="I260" s="87"/>
      <c r="J260" s="102"/>
      <c r="K260" s="103"/>
      <c r="L260" s="104"/>
      <c r="M260" s="95"/>
      <c r="N260" s="95"/>
      <c r="O260" s="9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  <c r="Z260" s="105"/>
    </row>
    <row r="261" spans="1:26">
      <c r="A261" s="87" t="str">
        <f t="shared" si="1"/>
        <v/>
      </c>
      <c r="B261" s="2"/>
      <c r="C261" s="87"/>
      <c r="D261" s="87"/>
      <c r="E261" s="87"/>
      <c r="F261" s="87"/>
      <c r="G261" s="87"/>
      <c r="H261" s="87"/>
      <c r="I261" s="87"/>
      <c r="J261" s="102"/>
      <c r="K261" s="103"/>
      <c r="L261" s="104"/>
      <c r="M261" s="95"/>
      <c r="N261" s="95"/>
      <c r="O261" s="9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  <c r="Z261" s="105"/>
    </row>
    <row r="262" spans="1:26">
      <c r="A262" s="87" t="str">
        <f t="shared" si="1"/>
        <v/>
      </c>
      <c r="B262" s="2"/>
      <c r="C262" s="87"/>
      <c r="D262" s="87"/>
      <c r="E262" s="87"/>
      <c r="F262" s="87"/>
      <c r="G262" s="87"/>
      <c r="H262" s="87"/>
      <c r="I262" s="87"/>
      <c r="J262" s="102"/>
      <c r="K262" s="103"/>
      <c r="L262" s="104"/>
      <c r="M262" s="95"/>
      <c r="N262" s="95"/>
      <c r="O262" s="9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  <c r="Z262" s="105"/>
    </row>
    <row r="263" spans="1:26">
      <c r="A263" s="87" t="str">
        <f t="shared" si="1"/>
        <v/>
      </c>
      <c r="B263" s="2"/>
      <c r="C263" s="87"/>
      <c r="D263" s="87"/>
      <c r="E263" s="87"/>
      <c r="F263" s="87"/>
      <c r="G263" s="87"/>
      <c r="H263" s="87"/>
      <c r="I263" s="87"/>
      <c r="J263" s="102"/>
      <c r="K263" s="103"/>
      <c r="L263" s="104"/>
      <c r="M263" s="95"/>
      <c r="N263" s="95"/>
      <c r="O263" s="9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  <c r="Z263" s="105"/>
    </row>
    <row r="264" spans="1:26">
      <c r="A264" s="87" t="str">
        <f t="shared" si="1"/>
        <v/>
      </c>
      <c r="B264" s="2"/>
      <c r="C264" s="87"/>
      <c r="D264" s="87"/>
      <c r="E264" s="87"/>
      <c r="F264" s="87"/>
      <c r="G264" s="87"/>
      <c r="H264" s="87"/>
      <c r="I264" s="87"/>
      <c r="J264" s="102"/>
      <c r="K264" s="103"/>
      <c r="L264" s="104"/>
      <c r="M264" s="95"/>
      <c r="N264" s="95"/>
      <c r="O264" s="9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  <c r="Z264" s="105"/>
    </row>
    <row r="265" spans="1:26">
      <c r="A265" s="87" t="str">
        <f t="shared" si="1"/>
        <v/>
      </c>
      <c r="B265" s="2"/>
      <c r="C265" s="87"/>
      <c r="D265" s="87"/>
      <c r="E265" s="87"/>
      <c r="F265" s="87"/>
      <c r="G265" s="87"/>
      <c r="H265" s="87"/>
      <c r="I265" s="87"/>
      <c r="J265" s="102"/>
      <c r="K265" s="103"/>
      <c r="L265" s="104"/>
      <c r="M265" s="95"/>
      <c r="N265" s="95"/>
      <c r="O265" s="9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  <c r="Z265" s="105"/>
    </row>
    <row r="266" spans="1:26">
      <c r="A266" s="87" t="str">
        <f t="shared" si="1"/>
        <v/>
      </c>
      <c r="B266" s="2"/>
      <c r="C266" s="87"/>
      <c r="D266" s="87"/>
      <c r="E266" s="87"/>
      <c r="F266" s="87"/>
      <c r="G266" s="87"/>
      <c r="H266" s="87"/>
      <c r="I266" s="87"/>
      <c r="J266" s="102"/>
      <c r="K266" s="103"/>
      <c r="L266" s="104"/>
      <c r="M266" s="95"/>
      <c r="N266" s="95"/>
      <c r="O266" s="9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  <c r="Z266" s="105"/>
    </row>
    <row r="267" spans="1:26">
      <c r="A267" s="87" t="str">
        <f t="shared" si="1"/>
        <v/>
      </c>
      <c r="B267" s="2"/>
      <c r="C267" s="87"/>
      <c r="D267" s="87"/>
      <c r="E267" s="87"/>
      <c r="F267" s="87"/>
      <c r="G267" s="87"/>
      <c r="H267" s="87"/>
      <c r="I267" s="87"/>
      <c r="J267" s="102"/>
      <c r="K267" s="103"/>
      <c r="L267" s="104"/>
      <c r="M267" s="95"/>
      <c r="N267" s="95"/>
      <c r="O267" s="9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05"/>
    </row>
    <row r="268" spans="1:26">
      <c r="A268" s="87" t="str">
        <f t="shared" si="1"/>
        <v/>
      </c>
      <c r="B268" s="2"/>
      <c r="C268" s="87"/>
      <c r="D268" s="87"/>
      <c r="E268" s="87"/>
      <c r="F268" s="87"/>
      <c r="G268" s="87"/>
      <c r="H268" s="87"/>
      <c r="I268" s="87"/>
      <c r="J268" s="102"/>
      <c r="K268" s="103"/>
      <c r="L268" s="104"/>
      <c r="M268" s="95"/>
      <c r="N268" s="95"/>
      <c r="O268" s="9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05"/>
    </row>
    <row r="269" spans="1:26">
      <c r="A269" s="87" t="str">
        <f t="shared" si="1"/>
        <v/>
      </c>
      <c r="B269" s="2"/>
      <c r="C269" s="87"/>
      <c r="D269" s="87"/>
      <c r="E269" s="87"/>
      <c r="F269" s="87"/>
      <c r="G269" s="87"/>
      <c r="H269" s="87"/>
      <c r="I269" s="87"/>
      <c r="J269" s="102"/>
      <c r="K269" s="103"/>
      <c r="L269" s="104"/>
      <c r="M269" s="95"/>
      <c r="N269" s="95"/>
      <c r="O269" s="9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05"/>
    </row>
    <row r="270" spans="1:26">
      <c r="A270" s="87" t="str">
        <f t="shared" si="1"/>
        <v/>
      </c>
      <c r="B270" s="2"/>
      <c r="C270" s="87"/>
      <c r="D270" s="87"/>
      <c r="E270" s="87"/>
      <c r="F270" s="87"/>
      <c r="G270" s="87"/>
      <c r="H270" s="87"/>
      <c r="I270" s="87"/>
      <c r="J270" s="102"/>
      <c r="K270" s="103"/>
      <c r="L270" s="104"/>
      <c r="M270" s="95"/>
      <c r="N270" s="95"/>
      <c r="O270" s="9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05"/>
    </row>
    <row r="271" spans="1:26">
      <c r="A271" s="87" t="str">
        <f t="shared" si="1"/>
        <v/>
      </c>
      <c r="B271" s="2"/>
      <c r="C271" s="87"/>
      <c r="D271" s="87"/>
      <c r="E271" s="87"/>
      <c r="F271" s="87"/>
      <c r="G271" s="87"/>
      <c r="H271" s="87"/>
      <c r="I271" s="87"/>
      <c r="J271" s="102"/>
      <c r="K271" s="103"/>
      <c r="L271" s="104"/>
      <c r="M271" s="95"/>
      <c r="N271" s="95"/>
      <c r="O271" s="9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  <c r="Z271" s="105"/>
    </row>
    <row r="272" spans="1:26">
      <c r="A272" s="87" t="str">
        <f t="shared" si="1"/>
        <v/>
      </c>
      <c r="B272" s="2"/>
      <c r="C272" s="87"/>
      <c r="D272" s="87"/>
      <c r="E272" s="87"/>
      <c r="F272" s="87"/>
      <c r="G272" s="87"/>
      <c r="H272" s="87"/>
      <c r="I272" s="87"/>
      <c r="J272" s="102"/>
      <c r="K272" s="103"/>
      <c r="L272" s="104"/>
      <c r="M272" s="95"/>
      <c r="N272" s="95"/>
      <c r="O272" s="9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  <c r="Z272" s="105"/>
    </row>
    <row r="273" spans="1:26">
      <c r="A273" s="87" t="str">
        <f t="shared" si="1"/>
        <v/>
      </c>
      <c r="B273" s="2"/>
      <c r="C273" s="87"/>
      <c r="D273" s="87"/>
      <c r="E273" s="87"/>
      <c r="F273" s="87"/>
      <c r="G273" s="87"/>
      <c r="H273" s="87"/>
      <c r="I273" s="87"/>
      <c r="J273" s="102"/>
      <c r="K273" s="103"/>
      <c r="L273" s="104"/>
      <c r="M273" s="95"/>
      <c r="N273" s="95"/>
      <c r="O273" s="9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  <c r="Z273" s="105"/>
    </row>
    <row r="274" spans="1:26">
      <c r="A274" s="87" t="str">
        <f t="shared" si="1"/>
        <v/>
      </c>
      <c r="B274" s="2"/>
      <c r="C274" s="87"/>
      <c r="D274" s="87"/>
      <c r="E274" s="87"/>
      <c r="F274" s="87"/>
      <c r="G274" s="87"/>
      <c r="H274" s="87"/>
      <c r="I274" s="87"/>
      <c r="J274" s="102"/>
      <c r="K274" s="103"/>
      <c r="L274" s="104"/>
      <c r="M274" s="95"/>
      <c r="N274" s="95"/>
      <c r="O274" s="9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  <c r="Z274" s="105"/>
    </row>
    <row r="275" spans="1:26">
      <c r="A275" s="87" t="str">
        <f t="shared" si="1"/>
        <v/>
      </c>
      <c r="B275" s="2"/>
      <c r="C275" s="87"/>
      <c r="D275" s="87"/>
      <c r="E275" s="87"/>
      <c r="F275" s="87"/>
      <c r="G275" s="87"/>
      <c r="H275" s="87"/>
      <c r="I275" s="87"/>
      <c r="J275" s="102"/>
      <c r="K275" s="103"/>
      <c r="L275" s="104"/>
      <c r="M275" s="95"/>
      <c r="N275" s="95"/>
      <c r="O275" s="9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  <c r="Z275" s="105"/>
    </row>
    <row r="276" spans="1:26">
      <c r="A276" s="87" t="str">
        <f t="shared" si="1"/>
        <v/>
      </c>
      <c r="B276" s="2"/>
      <c r="C276" s="87"/>
      <c r="D276" s="87"/>
      <c r="E276" s="87"/>
      <c r="F276" s="87"/>
      <c r="G276" s="87"/>
      <c r="H276" s="87"/>
      <c r="I276" s="87"/>
      <c r="J276" s="102"/>
      <c r="K276" s="103"/>
      <c r="L276" s="104"/>
      <c r="M276" s="95"/>
      <c r="N276" s="95"/>
      <c r="O276" s="9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05"/>
    </row>
    <row r="277" spans="1:26">
      <c r="A277" s="87" t="str">
        <f t="shared" si="1"/>
        <v/>
      </c>
      <c r="B277" s="2"/>
      <c r="C277" s="87"/>
      <c r="D277" s="87"/>
      <c r="E277" s="87"/>
      <c r="F277" s="87"/>
      <c r="G277" s="87"/>
      <c r="H277" s="87"/>
      <c r="I277" s="87"/>
      <c r="J277" s="102"/>
      <c r="K277" s="103"/>
      <c r="L277" s="104"/>
      <c r="M277" s="95"/>
      <c r="N277" s="95"/>
      <c r="O277" s="9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  <c r="Z277" s="105"/>
    </row>
    <row r="278" spans="1:26">
      <c r="A278" s="87" t="str">
        <f t="shared" si="1"/>
        <v/>
      </c>
      <c r="B278" s="2"/>
      <c r="C278" s="87"/>
      <c r="D278" s="87"/>
      <c r="E278" s="87"/>
      <c r="F278" s="87"/>
      <c r="G278" s="87"/>
      <c r="H278" s="87"/>
      <c r="I278" s="87"/>
      <c r="J278" s="102"/>
      <c r="K278" s="103"/>
      <c r="L278" s="104"/>
      <c r="M278" s="95"/>
      <c r="N278" s="95"/>
      <c r="O278" s="9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  <c r="Z278" s="105"/>
    </row>
    <row r="279" spans="1:26">
      <c r="A279" s="87" t="str">
        <f t="shared" si="1"/>
        <v/>
      </c>
      <c r="B279" s="2"/>
      <c r="C279" s="87"/>
      <c r="D279" s="87"/>
      <c r="E279" s="87"/>
      <c r="F279" s="87"/>
      <c r="G279" s="87"/>
      <c r="H279" s="87"/>
      <c r="I279" s="87"/>
      <c r="J279" s="102"/>
      <c r="K279" s="103"/>
      <c r="L279" s="104"/>
      <c r="M279" s="95"/>
      <c r="N279" s="95"/>
      <c r="O279" s="9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  <c r="Z279" s="105"/>
    </row>
    <row r="280" spans="1:26">
      <c r="A280" s="87" t="str">
        <f t="shared" si="1"/>
        <v/>
      </c>
      <c r="B280" s="2"/>
      <c r="C280" s="87"/>
      <c r="D280" s="87"/>
      <c r="E280" s="87"/>
      <c r="F280" s="87"/>
      <c r="G280" s="87"/>
      <c r="H280" s="87"/>
      <c r="I280" s="87"/>
      <c r="J280" s="102"/>
      <c r="K280" s="103"/>
      <c r="L280" s="104"/>
      <c r="M280" s="95"/>
      <c r="N280" s="95"/>
      <c r="O280" s="9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  <c r="Z280" s="105"/>
    </row>
    <row r="281" spans="1:26">
      <c r="A281" s="87" t="str">
        <f t="shared" si="1"/>
        <v/>
      </c>
      <c r="B281" s="2"/>
      <c r="C281" s="87"/>
      <c r="D281" s="87"/>
      <c r="E281" s="87"/>
      <c r="F281" s="87"/>
      <c r="G281" s="87"/>
      <c r="H281" s="87"/>
      <c r="I281" s="87"/>
      <c r="J281" s="102"/>
      <c r="K281" s="103"/>
      <c r="L281" s="104"/>
      <c r="M281" s="95"/>
      <c r="N281" s="95"/>
      <c r="O281" s="9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  <c r="Z281" s="105"/>
    </row>
    <row r="282" spans="1:26">
      <c r="A282" s="87" t="str">
        <f t="shared" si="1"/>
        <v/>
      </c>
      <c r="B282" s="2"/>
      <c r="C282" s="87"/>
      <c r="D282" s="87"/>
      <c r="E282" s="87"/>
      <c r="F282" s="87"/>
      <c r="G282" s="87"/>
      <c r="H282" s="87"/>
      <c r="I282" s="87"/>
      <c r="J282" s="102"/>
      <c r="K282" s="103"/>
      <c r="L282" s="104"/>
      <c r="M282" s="95"/>
      <c r="N282" s="95"/>
      <c r="O282" s="9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  <c r="Z282" s="105"/>
    </row>
    <row r="283" spans="1:26">
      <c r="A283" s="87" t="str">
        <f t="shared" si="1"/>
        <v/>
      </c>
      <c r="B283" s="2"/>
      <c r="C283" s="87"/>
      <c r="D283" s="87"/>
      <c r="E283" s="87"/>
      <c r="F283" s="87"/>
      <c r="G283" s="87"/>
      <c r="H283" s="87"/>
      <c r="I283" s="87"/>
      <c r="J283" s="102"/>
      <c r="K283" s="103"/>
      <c r="L283" s="104"/>
      <c r="M283" s="95"/>
      <c r="N283" s="95"/>
      <c r="O283" s="9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  <c r="Z283" s="105"/>
    </row>
    <row r="284" spans="1:26">
      <c r="A284" s="87" t="str">
        <f t="shared" si="1"/>
        <v/>
      </c>
      <c r="B284" s="2"/>
      <c r="C284" s="87"/>
      <c r="D284" s="87"/>
      <c r="E284" s="87"/>
      <c r="F284" s="87"/>
      <c r="G284" s="87"/>
      <c r="H284" s="87"/>
      <c r="I284" s="87"/>
      <c r="J284" s="102"/>
      <c r="K284" s="103"/>
      <c r="L284" s="104"/>
      <c r="M284" s="95"/>
      <c r="N284" s="95"/>
      <c r="O284" s="9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  <c r="Z284" s="105"/>
    </row>
    <row r="285" spans="1:26">
      <c r="A285" s="87" t="str">
        <f t="shared" si="1"/>
        <v/>
      </c>
      <c r="B285" s="2"/>
      <c r="C285" s="87"/>
      <c r="D285" s="87"/>
      <c r="E285" s="87"/>
      <c r="F285" s="87"/>
      <c r="G285" s="87"/>
      <c r="H285" s="87"/>
      <c r="I285" s="87"/>
      <c r="J285" s="102"/>
      <c r="K285" s="103"/>
      <c r="L285" s="104"/>
      <c r="M285" s="95"/>
      <c r="N285" s="95"/>
      <c r="O285" s="9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  <c r="Z285" s="105"/>
    </row>
    <row r="286" spans="1:26">
      <c r="A286" s="87" t="str">
        <f t="shared" si="1"/>
        <v/>
      </c>
      <c r="B286" s="2"/>
      <c r="C286" s="87"/>
      <c r="D286" s="87"/>
      <c r="E286" s="87"/>
      <c r="F286" s="87"/>
      <c r="G286" s="87"/>
      <c r="H286" s="87"/>
      <c r="I286" s="87"/>
      <c r="J286" s="102"/>
      <c r="K286" s="103"/>
      <c r="L286" s="104"/>
      <c r="M286" s="95"/>
      <c r="N286" s="95"/>
      <c r="O286" s="9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  <c r="Z286" s="105"/>
    </row>
    <row r="287" spans="1:26">
      <c r="A287" s="87" t="str">
        <f t="shared" si="1"/>
        <v/>
      </c>
      <c r="B287" s="2"/>
      <c r="C287" s="87"/>
      <c r="D287" s="87"/>
      <c r="E287" s="87"/>
      <c r="F287" s="87"/>
      <c r="G287" s="87"/>
      <c r="H287" s="87"/>
      <c r="I287" s="87"/>
      <c r="J287" s="102"/>
      <c r="K287" s="103"/>
      <c r="L287" s="104"/>
      <c r="M287" s="95"/>
      <c r="N287" s="95"/>
      <c r="O287" s="9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  <c r="Z287" s="105"/>
    </row>
    <row r="288" spans="1:26">
      <c r="A288" s="87" t="str">
        <f t="shared" si="1"/>
        <v/>
      </c>
      <c r="B288" s="2"/>
      <c r="C288" s="87"/>
      <c r="D288" s="87"/>
      <c r="E288" s="87"/>
      <c r="F288" s="87"/>
      <c r="G288" s="87"/>
      <c r="H288" s="87"/>
      <c r="I288" s="87"/>
      <c r="J288" s="102"/>
      <c r="K288" s="103"/>
      <c r="L288" s="104"/>
      <c r="M288" s="95"/>
      <c r="N288" s="95"/>
      <c r="O288" s="9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05"/>
    </row>
    <row r="289" spans="1:26">
      <c r="A289" s="87" t="str">
        <f t="shared" si="1"/>
        <v/>
      </c>
      <c r="B289" s="2"/>
      <c r="C289" s="87"/>
      <c r="D289" s="87"/>
      <c r="E289" s="87"/>
      <c r="F289" s="87"/>
      <c r="G289" s="87"/>
      <c r="H289" s="87"/>
      <c r="I289" s="87"/>
      <c r="J289" s="102"/>
      <c r="K289" s="103"/>
      <c r="L289" s="104"/>
      <c r="M289" s="95"/>
      <c r="N289" s="95"/>
      <c r="O289" s="9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  <c r="Z289" s="105"/>
    </row>
    <row r="290" spans="1:26">
      <c r="A290" s="87" t="str">
        <f t="shared" si="1"/>
        <v/>
      </c>
      <c r="B290" s="2"/>
      <c r="C290" s="87"/>
      <c r="D290" s="87"/>
      <c r="E290" s="87"/>
      <c r="F290" s="87"/>
      <c r="G290" s="87"/>
      <c r="H290" s="87"/>
      <c r="I290" s="87"/>
      <c r="J290" s="102"/>
      <c r="K290" s="103"/>
      <c r="L290" s="104"/>
      <c r="M290" s="95"/>
      <c r="N290" s="95"/>
      <c r="O290" s="9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  <c r="Z290" s="105"/>
    </row>
    <row r="291" spans="1:26">
      <c r="A291" s="87" t="str">
        <f t="shared" si="1"/>
        <v/>
      </c>
      <c r="B291" s="2"/>
      <c r="C291" s="87"/>
      <c r="D291" s="87"/>
      <c r="E291" s="87"/>
      <c r="F291" s="87"/>
      <c r="G291" s="87"/>
      <c r="H291" s="87"/>
      <c r="I291" s="87"/>
      <c r="J291" s="102"/>
      <c r="K291" s="103"/>
      <c r="L291" s="104"/>
      <c r="M291" s="95"/>
      <c r="N291" s="95"/>
      <c r="O291" s="9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  <c r="Z291" s="105"/>
    </row>
    <row r="292" spans="1:26">
      <c r="A292" s="87" t="str">
        <f t="shared" si="1"/>
        <v/>
      </c>
      <c r="B292" s="2"/>
      <c r="C292" s="87"/>
      <c r="D292" s="87"/>
      <c r="E292" s="87"/>
      <c r="F292" s="87"/>
      <c r="G292" s="87"/>
      <c r="H292" s="87"/>
      <c r="I292" s="87"/>
      <c r="J292" s="102"/>
      <c r="K292" s="103"/>
      <c r="L292" s="104"/>
      <c r="M292" s="95"/>
      <c r="N292" s="95"/>
      <c r="O292" s="9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  <c r="Z292" s="105"/>
    </row>
    <row r="293" spans="1:26">
      <c r="A293" s="87" t="str">
        <f t="shared" si="1"/>
        <v/>
      </c>
      <c r="B293" s="2"/>
      <c r="C293" s="87"/>
      <c r="D293" s="87"/>
      <c r="E293" s="87"/>
      <c r="F293" s="87"/>
      <c r="G293" s="87"/>
      <c r="H293" s="87"/>
      <c r="I293" s="87"/>
      <c r="J293" s="102"/>
      <c r="K293" s="103"/>
      <c r="L293" s="104"/>
      <c r="M293" s="95"/>
      <c r="N293" s="95"/>
      <c r="O293" s="9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  <c r="Z293" s="105"/>
    </row>
    <row r="294" spans="1:26">
      <c r="A294" s="87" t="str">
        <f t="shared" si="1"/>
        <v/>
      </c>
      <c r="B294" s="2"/>
      <c r="C294" s="87"/>
      <c r="D294" s="87"/>
      <c r="E294" s="87"/>
      <c r="F294" s="87"/>
      <c r="G294" s="87"/>
      <c r="H294" s="87"/>
      <c r="I294" s="87"/>
      <c r="J294" s="102"/>
      <c r="K294" s="103"/>
      <c r="L294" s="104"/>
      <c r="M294" s="95"/>
      <c r="N294" s="95"/>
      <c r="O294" s="9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  <c r="Z294" s="105"/>
    </row>
    <row r="295" spans="1:26">
      <c r="A295" s="87" t="str">
        <f t="shared" si="1"/>
        <v/>
      </c>
      <c r="B295" s="2"/>
      <c r="C295" s="87"/>
      <c r="D295" s="87"/>
      <c r="E295" s="87"/>
      <c r="F295" s="87"/>
      <c r="G295" s="87"/>
      <c r="H295" s="87"/>
      <c r="I295" s="87"/>
      <c r="J295" s="102"/>
      <c r="K295" s="103"/>
      <c r="L295" s="104"/>
      <c r="M295" s="95"/>
      <c r="N295" s="95"/>
      <c r="O295" s="9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  <c r="Z295" s="105"/>
    </row>
    <row r="296" spans="1:26">
      <c r="A296" s="87" t="str">
        <f t="shared" si="1"/>
        <v/>
      </c>
      <c r="B296" s="2"/>
      <c r="C296" s="87"/>
      <c r="D296" s="87"/>
      <c r="E296" s="87"/>
      <c r="F296" s="87"/>
      <c r="G296" s="87"/>
      <c r="H296" s="87"/>
      <c r="I296" s="87"/>
      <c r="J296" s="102"/>
      <c r="K296" s="103"/>
      <c r="L296" s="104"/>
      <c r="M296" s="95"/>
      <c r="N296" s="95"/>
      <c r="O296" s="9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  <c r="Z296" s="105"/>
    </row>
    <row r="297" spans="1:26">
      <c r="A297" s="87" t="str">
        <f t="shared" si="1"/>
        <v/>
      </c>
      <c r="B297" s="2"/>
      <c r="C297" s="87"/>
      <c r="D297" s="87"/>
      <c r="E297" s="87"/>
      <c r="F297" s="87"/>
      <c r="G297" s="87"/>
      <c r="H297" s="87"/>
      <c r="I297" s="87"/>
      <c r="J297" s="102"/>
      <c r="K297" s="103"/>
      <c r="L297" s="104"/>
      <c r="M297" s="95"/>
      <c r="N297" s="95"/>
      <c r="O297" s="9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  <c r="Z297" s="105"/>
    </row>
    <row r="298" spans="1:26">
      <c r="A298" s="87" t="str">
        <f t="shared" si="1"/>
        <v/>
      </c>
      <c r="B298" s="2"/>
      <c r="C298" s="87"/>
      <c r="D298" s="87"/>
      <c r="E298" s="87"/>
      <c r="F298" s="87"/>
      <c r="G298" s="87"/>
      <c r="H298" s="87"/>
      <c r="I298" s="87"/>
      <c r="J298" s="102"/>
      <c r="K298" s="103"/>
      <c r="L298" s="104"/>
      <c r="M298" s="95"/>
      <c r="N298" s="95"/>
      <c r="O298" s="9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  <c r="Z298" s="105"/>
    </row>
    <row r="299" spans="1:26">
      <c r="A299" s="87" t="str">
        <f t="shared" si="1"/>
        <v/>
      </c>
      <c r="B299" s="2"/>
      <c r="C299" s="87"/>
      <c r="D299" s="87"/>
      <c r="E299" s="87"/>
      <c r="F299" s="87"/>
      <c r="G299" s="87"/>
      <c r="H299" s="87"/>
      <c r="I299" s="87"/>
      <c r="J299" s="102"/>
      <c r="K299" s="103"/>
      <c r="L299" s="104"/>
      <c r="M299" s="95"/>
      <c r="N299" s="95"/>
      <c r="O299" s="95"/>
      <c r="P299" s="105"/>
      <c r="Q299" s="105"/>
      <c r="R299" s="105"/>
      <c r="S299" s="105"/>
      <c r="T299" s="105"/>
      <c r="U299" s="105"/>
      <c r="V299" s="105"/>
      <c r="W299" s="105"/>
      <c r="X299" s="105"/>
      <c r="Y299" s="105"/>
      <c r="Z299" s="105"/>
    </row>
    <row r="300" spans="1:26">
      <c r="A300" s="87" t="str">
        <f t="shared" si="1"/>
        <v/>
      </c>
      <c r="B300" s="2"/>
      <c r="C300" s="87"/>
      <c r="D300" s="87"/>
      <c r="E300" s="87"/>
      <c r="F300" s="87"/>
      <c r="G300" s="87"/>
      <c r="H300" s="87"/>
      <c r="I300" s="87"/>
      <c r="J300" s="102"/>
      <c r="K300" s="103"/>
      <c r="L300" s="104"/>
      <c r="M300" s="95"/>
      <c r="N300" s="95"/>
      <c r="O300" s="9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  <c r="Z300" s="105"/>
    </row>
    <row r="301" spans="1:26">
      <c r="A301" s="87" t="str">
        <f t="shared" si="1"/>
        <v/>
      </c>
      <c r="B301" s="2"/>
      <c r="C301" s="87"/>
      <c r="D301" s="87"/>
      <c r="E301" s="87"/>
      <c r="F301" s="87"/>
      <c r="G301" s="87"/>
      <c r="H301" s="87"/>
      <c r="I301" s="87"/>
      <c r="J301" s="102"/>
      <c r="K301" s="103"/>
      <c r="L301" s="104"/>
      <c r="M301" s="95"/>
      <c r="N301" s="95"/>
      <c r="O301" s="9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  <c r="Z301" s="105"/>
    </row>
    <row r="302" spans="1:26">
      <c r="A302" s="87" t="str">
        <f t="shared" si="1"/>
        <v/>
      </c>
      <c r="B302" s="2"/>
      <c r="C302" s="87"/>
      <c r="D302" s="87"/>
      <c r="E302" s="87"/>
      <c r="F302" s="87"/>
      <c r="G302" s="87"/>
      <c r="H302" s="87"/>
      <c r="I302" s="87"/>
      <c r="J302" s="102"/>
      <c r="K302" s="103"/>
      <c r="L302" s="104"/>
      <c r="M302" s="95"/>
      <c r="N302" s="95"/>
      <c r="O302" s="95"/>
      <c r="P302" s="105"/>
      <c r="Q302" s="105"/>
      <c r="R302" s="105"/>
      <c r="S302" s="105"/>
      <c r="T302" s="105"/>
      <c r="U302" s="105"/>
      <c r="V302" s="105"/>
      <c r="W302" s="105"/>
      <c r="X302" s="105"/>
      <c r="Y302" s="105"/>
      <c r="Z302" s="105"/>
    </row>
    <row r="303" spans="1:26">
      <c r="A303" s="87" t="str">
        <f t="shared" si="1"/>
        <v/>
      </c>
      <c r="B303" s="2"/>
      <c r="C303" s="87"/>
      <c r="D303" s="87"/>
      <c r="E303" s="87"/>
      <c r="F303" s="87"/>
      <c r="G303" s="87"/>
      <c r="H303" s="87"/>
      <c r="I303" s="87"/>
      <c r="J303" s="102"/>
      <c r="K303" s="103"/>
      <c r="L303" s="104"/>
      <c r="M303" s="95"/>
      <c r="N303" s="95"/>
      <c r="O303" s="95"/>
      <c r="P303" s="105"/>
      <c r="Q303" s="105"/>
      <c r="R303" s="105"/>
      <c r="S303" s="105"/>
      <c r="T303" s="105"/>
      <c r="U303" s="105"/>
      <c r="V303" s="105"/>
      <c r="W303" s="105"/>
      <c r="X303" s="105"/>
      <c r="Y303" s="105"/>
      <c r="Z303" s="105"/>
    </row>
    <row r="304" spans="1:26">
      <c r="A304" s="87" t="str">
        <f t="shared" si="1"/>
        <v/>
      </c>
      <c r="B304" s="2"/>
      <c r="C304" s="87"/>
      <c r="D304" s="87"/>
      <c r="E304" s="87"/>
      <c r="F304" s="87"/>
      <c r="G304" s="87"/>
      <c r="H304" s="87"/>
      <c r="I304" s="87"/>
      <c r="J304" s="102"/>
      <c r="K304" s="103"/>
      <c r="L304" s="104"/>
      <c r="M304" s="95"/>
      <c r="N304" s="95"/>
      <c r="O304" s="9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  <c r="Z304" s="105"/>
    </row>
    <row r="305" spans="1:26">
      <c r="A305" s="87" t="str">
        <f t="shared" si="1"/>
        <v/>
      </c>
      <c r="B305" s="2"/>
      <c r="C305" s="87"/>
      <c r="D305" s="87"/>
      <c r="E305" s="87"/>
      <c r="F305" s="87"/>
      <c r="G305" s="87"/>
      <c r="H305" s="87"/>
      <c r="I305" s="87"/>
      <c r="J305" s="102"/>
      <c r="K305" s="103"/>
      <c r="L305" s="104"/>
      <c r="M305" s="95"/>
      <c r="N305" s="95"/>
      <c r="O305" s="9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  <c r="Z305" s="105"/>
    </row>
    <row r="306" spans="1:26">
      <c r="A306" s="87" t="str">
        <f t="shared" si="1"/>
        <v/>
      </c>
      <c r="B306" s="2"/>
      <c r="C306" s="87"/>
      <c r="D306" s="87"/>
      <c r="E306" s="87"/>
      <c r="F306" s="87"/>
      <c r="G306" s="87"/>
      <c r="H306" s="87"/>
      <c r="I306" s="87"/>
      <c r="J306" s="102"/>
      <c r="K306" s="103"/>
      <c r="L306" s="104"/>
      <c r="M306" s="95"/>
      <c r="N306" s="95"/>
      <c r="O306" s="9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  <c r="Z306" s="105"/>
    </row>
    <row r="307" spans="1:26">
      <c r="A307" s="87" t="str">
        <f t="shared" si="1"/>
        <v/>
      </c>
      <c r="B307" s="2"/>
      <c r="C307" s="87"/>
      <c r="D307" s="87"/>
      <c r="E307" s="87"/>
      <c r="F307" s="87"/>
      <c r="G307" s="87"/>
      <c r="H307" s="87"/>
      <c r="I307" s="87"/>
      <c r="J307" s="102"/>
      <c r="K307" s="103"/>
      <c r="L307" s="104"/>
      <c r="M307" s="95"/>
      <c r="N307" s="95"/>
      <c r="O307" s="9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  <c r="Z307" s="105"/>
    </row>
    <row r="308" spans="1:26">
      <c r="A308" s="87" t="str">
        <f t="shared" si="1"/>
        <v/>
      </c>
      <c r="B308" s="2"/>
      <c r="C308" s="87"/>
      <c r="D308" s="87"/>
      <c r="E308" s="87"/>
      <c r="F308" s="87"/>
      <c r="G308" s="87"/>
      <c r="H308" s="87"/>
      <c r="I308" s="87"/>
      <c r="J308" s="102"/>
      <c r="K308" s="103"/>
      <c r="L308" s="104"/>
      <c r="M308" s="95"/>
      <c r="N308" s="95"/>
      <c r="O308" s="9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  <c r="Z308" s="105"/>
    </row>
    <row r="309" spans="1:26">
      <c r="A309" s="87" t="str">
        <f t="shared" si="1"/>
        <v/>
      </c>
      <c r="B309" s="2"/>
      <c r="C309" s="87"/>
      <c r="D309" s="87"/>
      <c r="E309" s="87"/>
      <c r="F309" s="87"/>
      <c r="G309" s="87"/>
      <c r="H309" s="87"/>
      <c r="I309" s="87"/>
      <c r="J309" s="102"/>
      <c r="K309" s="103"/>
      <c r="L309" s="104"/>
      <c r="M309" s="95"/>
      <c r="N309" s="95"/>
      <c r="O309" s="9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  <c r="Z309" s="105"/>
    </row>
    <row r="310" spans="1:26">
      <c r="A310" s="87" t="str">
        <f t="shared" si="1"/>
        <v/>
      </c>
      <c r="B310" s="2"/>
      <c r="C310" s="87"/>
      <c r="D310" s="87"/>
      <c r="E310" s="87"/>
      <c r="F310" s="87"/>
      <c r="G310" s="87"/>
      <c r="H310" s="87"/>
      <c r="I310" s="87"/>
      <c r="J310" s="102"/>
      <c r="K310" s="103"/>
      <c r="L310" s="104"/>
      <c r="M310" s="95"/>
      <c r="N310" s="95"/>
      <c r="O310" s="9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  <c r="Z310" s="105"/>
    </row>
    <row r="311" spans="1:26">
      <c r="A311" s="87" t="str">
        <f t="shared" si="1"/>
        <v/>
      </c>
      <c r="B311" s="2"/>
      <c r="C311" s="87"/>
      <c r="D311" s="87"/>
      <c r="E311" s="87"/>
      <c r="F311" s="87"/>
      <c r="G311" s="87"/>
      <c r="H311" s="87"/>
      <c r="I311" s="87"/>
      <c r="J311" s="102"/>
      <c r="K311" s="103"/>
      <c r="L311" s="104"/>
      <c r="M311" s="95"/>
      <c r="N311" s="95"/>
      <c r="O311" s="9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  <c r="Z311" s="105"/>
    </row>
    <row r="312" spans="1:26">
      <c r="A312" s="87" t="str">
        <f t="shared" si="1"/>
        <v/>
      </c>
      <c r="B312" s="2"/>
      <c r="C312" s="87"/>
      <c r="D312" s="87"/>
      <c r="E312" s="87"/>
      <c r="F312" s="87"/>
      <c r="G312" s="87"/>
      <c r="H312" s="87"/>
      <c r="I312" s="87"/>
      <c r="J312" s="102"/>
      <c r="K312" s="103"/>
      <c r="L312" s="104"/>
      <c r="M312" s="95"/>
      <c r="N312" s="95"/>
      <c r="O312" s="9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  <c r="Z312" s="105"/>
    </row>
    <row r="313" spans="1:26">
      <c r="A313" s="87" t="str">
        <f t="shared" si="1"/>
        <v/>
      </c>
      <c r="B313" s="2"/>
      <c r="C313" s="87"/>
      <c r="D313" s="87"/>
      <c r="E313" s="87"/>
      <c r="F313" s="87"/>
      <c r="G313" s="87"/>
      <c r="H313" s="87"/>
      <c r="I313" s="87"/>
      <c r="J313" s="102"/>
      <c r="K313" s="103"/>
      <c r="L313" s="104"/>
      <c r="M313" s="95"/>
      <c r="N313" s="95"/>
      <c r="O313" s="9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  <c r="Z313" s="105"/>
    </row>
    <row r="314" spans="1:26">
      <c r="A314" s="87" t="str">
        <f t="shared" si="1"/>
        <v/>
      </c>
      <c r="B314" s="2"/>
      <c r="C314" s="87"/>
      <c r="D314" s="87"/>
      <c r="E314" s="87"/>
      <c r="F314" s="87"/>
      <c r="G314" s="87"/>
      <c r="H314" s="87"/>
      <c r="I314" s="87"/>
      <c r="J314" s="102"/>
      <c r="K314" s="103"/>
      <c r="L314" s="104"/>
      <c r="M314" s="95"/>
      <c r="N314" s="95"/>
      <c r="O314" s="9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  <c r="Z314" s="105"/>
    </row>
    <row r="315" spans="1:26">
      <c r="A315" s="87" t="str">
        <f t="shared" si="1"/>
        <v/>
      </c>
      <c r="B315" s="2"/>
      <c r="C315" s="87"/>
      <c r="D315" s="87"/>
      <c r="E315" s="87"/>
      <c r="F315" s="87"/>
      <c r="G315" s="87"/>
      <c r="H315" s="87"/>
      <c r="I315" s="87"/>
      <c r="J315" s="102"/>
      <c r="K315" s="103"/>
      <c r="L315" s="104"/>
      <c r="M315" s="95"/>
      <c r="N315" s="95"/>
      <c r="O315" s="9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  <c r="Z315" s="105"/>
    </row>
    <row r="316" spans="1:26">
      <c r="A316" s="87" t="str">
        <f t="shared" si="1"/>
        <v/>
      </c>
      <c r="B316" s="2"/>
      <c r="C316" s="87"/>
      <c r="D316" s="87"/>
      <c r="E316" s="87"/>
      <c r="F316" s="87"/>
      <c r="G316" s="87"/>
      <c r="H316" s="87"/>
      <c r="I316" s="87"/>
      <c r="J316" s="102"/>
      <c r="K316" s="103"/>
      <c r="L316" s="104"/>
      <c r="M316" s="95"/>
      <c r="N316" s="95"/>
      <c r="O316" s="9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  <c r="Z316" s="105"/>
    </row>
    <row r="317" spans="1:26">
      <c r="A317" s="87" t="str">
        <f t="shared" si="1"/>
        <v/>
      </c>
      <c r="B317" s="2"/>
      <c r="C317" s="87"/>
      <c r="D317" s="87"/>
      <c r="E317" s="87"/>
      <c r="F317" s="87"/>
      <c r="G317" s="87"/>
      <c r="H317" s="87"/>
      <c r="I317" s="87"/>
      <c r="J317" s="102"/>
      <c r="K317" s="103"/>
      <c r="L317" s="104"/>
      <c r="M317" s="95"/>
      <c r="N317" s="95"/>
      <c r="O317" s="9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  <c r="Z317" s="105"/>
    </row>
    <row r="318" spans="1:26">
      <c r="A318" s="87" t="str">
        <f t="shared" si="1"/>
        <v/>
      </c>
      <c r="B318" s="2"/>
      <c r="C318" s="87"/>
      <c r="D318" s="87"/>
      <c r="E318" s="87"/>
      <c r="F318" s="87"/>
      <c r="G318" s="87"/>
      <c r="H318" s="87"/>
      <c r="I318" s="87"/>
      <c r="J318" s="102"/>
      <c r="K318" s="103"/>
      <c r="L318" s="104"/>
      <c r="M318" s="95"/>
      <c r="N318" s="95"/>
      <c r="O318" s="9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  <c r="Z318" s="105"/>
    </row>
    <row r="319" spans="1:26">
      <c r="A319" s="87" t="str">
        <f t="shared" si="1"/>
        <v/>
      </c>
      <c r="B319" s="2"/>
      <c r="C319" s="87"/>
      <c r="D319" s="87"/>
      <c r="E319" s="87"/>
      <c r="F319" s="87"/>
      <c r="G319" s="87"/>
      <c r="H319" s="87"/>
      <c r="I319" s="87"/>
      <c r="J319" s="102"/>
      <c r="K319" s="103"/>
      <c r="L319" s="104"/>
      <c r="M319" s="95"/>
      <c r="N319" s="95"/>
      <c r="O319" s="9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  <c r="Z319" s="105"/>
    </row>
    <row r="320" spans="1:26">
      <c r="A320" s="87" t="str">
        <f t="shared" si="1"/>
        <v/>
      </c>
      <c r="B320" s="2"/>
      <c r="C320" s="87"/>
      <c r="D320" s="87"/>
      <c r="E320" s="87"/>
      <c r="F320" s="87"/>
      <c r="G320" s="87"/>
      <c r="H320" s="87"/>
      <c r="I320" s="87"/>
      <c r="J320" s="102"/>
      <c r="K320" s="103"/>
      <c r="L320" s="104"/>
      <c r="M320" s="95"/>
      <c r="N320" s="95"/>
      <c r="O320" s="9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  <c r="Z320" s="105"/>
    </row>
    <row r="321" spans="1:26">
      <c r="A321" s="87" t="str">
        <f t="shared" si="1"/>
        <v/>
      </c>
      <c r="B321" s="2"/>
      <c r="C321" s="87"/>
      <c r="D321" s="87"/>
      <c r="E321" s="87"/>
      <c r="F321" s="87"/>
      <c r="G321" s="87"/>
      <c r="H321" s="87"/>
      <c r="I321" s="87"/>
      <c r="J321" s="102"/>
      <c r="K321" s="103"/>
      <c r="L321" s="104"/>
      <c r="M321" s="95"/>
      <c r="N321" s="95"/>
      <c r="O321" s="9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  <c r="Z321" s="105"/>
    </row>
    <row r="322" spans="1:26">
      <c r="A322" s="87" t="str">
        <f t="shared" si="1"/>
        <v/>
      </c>
      <c r="B322" s="2"/>
      <c r="C322" s="87"/>
      <c r="D322" s="87"/>
      <c r="E322" s="87"/>
      <c r="F322" s="87"/>
      <c r="G322" s="87"/>
      <c r="H322" s="87"/>
      <c r="I322" s="87"/>
      <c r="J322" s="102"/>
      <c r="K322" s="103"/>
      <c r="L322" s="104"/>
      <c r="M322" s="95"/>
      <c r="N322" s="95"/>
      <c r="O322" s="9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  <c r="Z322" s="105"/>
    </row>
    <row r="323" spans="1:26">
      <c r="A323" s="87" t="str">
        <f t="shared" si="1"/>
        <v/>
      </c>
      <c r="B323" s="2"/>
      <c r="C323" s="87"/>
      <c r="D323" s="87"/>
      <c r="E323" s="87"/>
      <c r="F323" s="87"/>
      <c r="G323" s="87"/>
      <c r="H323" s="87"/>
      <c r="I323" s="87"/>
      <c r="J323" s="102"/>
      <c r="K323" s="103"/>
      <c r="L323" s="104"/>
      <c r="M323" s="95"/>
      <c r="N323" s="95"/>
      <c r="O323" s="9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  <c r="Z323" s="105"/>
    </row>
    <row r="324" spans="1:26">
      <c r="A324" s="87" t="str">
        <f t="shared" si="1"/>
        <v/>
      </c>
      <c r="B324" s="2"/>
      <c r="C324" s="87"/>
      <c r="D324" s="87"/>
      <c r="E324" s="87"/>
      <c r="F324" s="87"/>
      <c r="G324" s="87"/>
      <c r="H324" s="87"/>
      <c r="I324" s="87"/>
      <c r="J324" s="102"/>
      <c r="K324" s="103"/>
      <c r="L324" s="104"/>
      <c r="M324" s="95"/>
      <c r="N324" s="95"/>
      <c r="O324" s="9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  <c r="Z324" s="105"/>
    </row>
    <row r="325" spans="1:26">
      <c r="A325" s="87" t="str">
        <f t="shared" si="1"/>
        <v/>
      </c>
      <c r="B325" s="2"/>
      <c r="C325" s="87"/>
      <c r="D325" s="87"/>
      <c r="E325" s="87"/>
      <c r="F325" s="87"/>
      <c r="G325" s="87"/>
      <c r="H325" s="87"/>
      <c r="I325" s="87"/>
      <c r="J325" s="102"/>
      <c r="K325" s="103"/>
      <c r="L325" s="104"/>
      <c r="M325" s="95"/>
      <c r="N325" s="95"/>
      <c r="O325" s="9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  <c r="Z325" s="105"/>
    </row>
    <row r="326" spans="1:26">
      <c r="A326" s="87" t="str">
        <f t="shared" si="1"/>
        <v/>
      </c>
      <c r="B326" s="2"/>
      <c r="C326" s="87"/>
      <c r="D326" s="87"/>
      <c r="E326" s="87"/>
      <c r="F326" s="87"/>
      <c r="G326" s="87"/>
      <c r="H326" s="87"/>
      <c r="I326" s="87"/>
      <c r="J326" s="102"/>
      <c r="K326" s="103"/>
      <c r="L326" s="104"/>
      <c r="M326" s="95"/>
      <c r="N326" s="95"/>
      <c r="O326" s="9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  <c r="Z326" s="105"/>
    </row>
    <row r="327" spans="1:26">
      <c r="A327" s="87" t="str">
        <f t="shared" si="1"/>
        <v/>
      </c>
      <c r="B327" s="2"/>
      <c r="C327" s="87"/>
      <c r="D327" s="87"/>
      <c r="E327" s="87"/>
      <c r="F327" s="87"/>
      <c r="G327" s="87"/>
      <c r="H327" s="87"/>
      <c r="I327" s="87"/>
      <c r="J327" s="102"/>
      <c r="K327" s="103"/>
      <c r="L327" s="104"/>
      <c r="M327" s="95"/>
      <c r="N327" s="95"/>
      <c r="O327" s="9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  <c r="Z327" s="105"/>
    </row>
    <row r="328" spans="1:26">
      <c r="A328" s="87" t="str">
        <f t="shared" si="1"/>
        <v/>
      </c>
      <c r="B328" s="2"/>
      <c r="C328" s="87"/>
      <c r="D328" s="87"/>
      <c r="E328" s="87"/>
      <c r="F328" s="87"/>
      <c r="G328" s="87"/>
      <c r="H328" s="87"/>
      <c r="I328" s="87"/>
      <c r="J328" s="102"/>
      <c r="K328" s="103"/>
      <c r="L328" s="104"/>
      <c r="M328" s="95"/>
      <c r="N328" s="95"/>
      <c r="O328" s="9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  <c r="Z328" s="105"/>
    </row>
    <row r="329" spans="1:26">
      <c r="A329" s="87" t="str">
        <f t="shared" si="1"/>
        <v/>
      </c>
      <c r="B329" s="2"/>
      <c r="C329" s="87"/>
      <c r="D329" s="87"/>
      <c r="E329" s="87"/>
      <c r="F329" s="87"/>
      <c r="G329" s="87"/>
      <c r="H329" s="87"/>
      <c r="I329" s="87"/>
      <c r="J329" s="102"/>
      <c r="K329" s="103"/>
      <c r="L329" s="104"/>
      <c r="M329" s="95"/>
      <c r="N329" s="95"/>
      <c r="O329" s="9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  <c r="Z329" s="105"/>
    </row>
    <row r="330" spans="1:26">
      <c r="A330" s="87" t="str">
        <f t="shared" si="1"/>
        <v/>
      </c>
      <c r="B330" s="2"/>
      <c r="C330" s="87"/>
      <c r="D330" s="87"/>
      <c r="E330" s="87"/>
      <c r="F330" s="87"/>
      <c r="G330" s="87"/>
      <c r="H330" s="87"/>
      <c r="I330" s="87"/>
      <c r="J330" s="102"/>
      <c r="K330" s="103"/>
      <c r="L330" s="104"/>
      <c r="M330" s="95"/>
      <c r="N330" s="95"/>
      <c r="O330" s="9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  <c r="Z330" s="105"/>
    </row>
    <row r="331" spans="1:26">
      <c r="A331" s="87" t="str">
        <f t="shared" si="1"/>
        <v/>
      </c>
      <c r="B331" s="2"/>
      <c r="C331" s="87"/>
      <c r="D331" s="87"/>
      <c r="E331" s="87"/>
      <c r="F331" s="87"/>
      <c r="G331" s="87"/>
      <c r="H331" s="87"/>
      <c r="I331" s="87"/>
      <c r="J331" s="102"/>
      <c r="K331" s="103"/>
      <c r="L331" s="104"/>
      <c r="M331" s="95"/>
      <c r="N331" s="95"/>
      <c r="O331" s="9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  <c r="Z331" s="105"/>
    </row>
    <row r="332" spans="1:26">
      <c r="A332" s="87" t="str">
        <f t="shared" si="1"/>
        <v/>
      </c>
      <c r="B332" s="2"/>
      <c r="C332" s="87"/>
      <c r="D332" s="87"/>
      <c r="E332" s="87"/>
      <c r="F332" s="87"/>
      <c r="G332" s="87"/>
      <c r="H332" s="87"/>
      <c r="I332" s="87"/>
      <c r="J332" s="102"/>
      <c r="K332" s="103"/>
      <c r="L332" s="104"/>
      <c r="M332" s="95"/>
      <c r="N332" s="95"/>
      <c r="O332" s="9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  <c r="Z332" s="105"/>
    </row>
    <row r="333" spans="1:26">
      <c r="A333" s="87" t="str">
        <f t="shared" si="1"/>
        <v/>
      </c>
      <c r="B333" s="2"/>
      <c r="C333" s="87"/>
      <c r="D333" s="87"/>
      <c r="E333" s="87"/>
      <c r="F333" s="87"/>
      <c r="G333" s="87"/>
      <c r="H333" s="87"/>
      <c r="I333" s="87"/>
      <c r="J333" s="102"/>
      <c r="K333" s="103"/>
      <c r="L333" s="104"/>
      <c r="M333" s="95"/>
      <c r="N333" s="95"/>
      <c r="O333" s="9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  <c r="Z333" s="105"/>
    </row>
    <row r="334" spans="1:26">
      <c r="A334" s="87" t="str">
        <f t="shared" si="1"/>
        <v/>
      </c>
      <c r="B334" s="2"/>
      <c r="C334" s="87"/>
      <c r="D334" s="87"/>
      <c r="E334" s="87"/>
      <c r="F334" s="87"/>
      <c r="G334" s="87"/>
      <c r="H334" s="87"/>
      <c r="I334" s="87"/>
      <c r="J334" s="102"/>
      <c r="K334" s="103"/>
      <c r="L334" s="104"/>
      <c r="M334" s="95"/>
      <c r="N334" s="95"/>
      <c r="O334" s="9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  <c r="Z334" s="105"/>
    </row>
    <row r="335" spans="1:26">
      <c r="A335" s="87" t="str">
        <f t="shared" si="1"/>
        <v/>
      </c>
      <c r="B335" s="2"/>
      <c r="C335" s="87"/>
      <c r="D335" s="87"/>
      <c r="E335" s="87"/>
      <c r="F335" s="87"/>
      <c r="G335" s="87"/>
      <c r="H335" s="87"/>
      <c r="I335" s="87"/>
      <c r="J335" s="102"/>
      <c r="K335" s="103"/>
      <c r="L335" s="104"/>
      <c r="M335" s="95"/>
      <c r="N335" s="95"/>
      <c r="O335" s="9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  <c r="Z335" s="105"/>
    </row>
    <row r="336" spans="1:26">
      <c r="A336" s="87" t="str">
        <f t="shared" si="1"/>
        <v/>
      </c>
      <c r="B336" s="2"/>
      <c r="C336" s="87"/>
      <c r="D336" s="87"/>
      <c r="E336" s="87"/>
      <c r="F336" s="87"/>
      <c r="G336" s="87"/>
      <c r="H336" s="87"/>
      <c r="I336" s="87"/>
      <c r="J336" s="102"/>
      <c r="K336" s="103"/>
      <c r="L336" s="104"/>
      <c r="M336" s="95"/>
      <c r="N336" s="95"/>
      <c r="O336" s="9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  <c r="Z336" s="105"/>
    </row>
    <row r="337" spans="1:26">
      <c r="A337" s="87" t="str">
        <f t="shared" si="1"/>
        <v/>
      </c>
      <c r="B337" s="2"/>
      <c r="C337" s="87"/>
      <c r="D337" s="87"/>
      <c r="E337" s="87"/>
      <c r="F337" s="87"/>
      <c r="G337" s="87"/>
      <c r="H337" s="87"/>
      <c r="I337" s="87"/>
      <c r="J337" s="102"/>
      <c r="K337" s="103"/>
      <c r="L337" s="104"/>
      <c r="M337" s="95"/>
      <c r="N337" s="95"/>
      <c r="O337" s="9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  <c r="Z337" s="105"/>
    </row>
    <row r="338" spans="1:26">
      <c r="A338" s="87" t="str">
        <f t="shared" si="1"/>
        <v/>
      </c>
      <c r="B338" s="2"/>
      <c r="C338" s="87"/>
      <c r="D338" s="87"/>
      <c r="E338" s="87"/>
      <c r="F338" s="87"/>
      <c r="G338" s="87"/>
      <c r="H338" s="87"/>
      <c r="I338" s="87"/>
      <c r="J338" s="102"/>
      <c r="K338" s="103"/>
      <c r="L338" s="104"/>
      <c r="M338" s="95"/>
      <c r="N338" s="95"/>
      <c r="O338" s="9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  <c r="Z338" s="105"/>
    </row>
    <row r="339" spans="1:26">
      <c r="A339" s="87" t="str">
        <f t="shared" si="1"/>
        <v/>
      </c>
      <c r="B339" s="2"/>
      <c r="C339" s="87"/>
      <c r="D339" s="87"/>
      <c r="E339" s="87"/>
      <c r="F339" s="87"/>
      <c r="G339" s="87"/>
      <c r="H339" s="87"/>
      <c r="I339" s="87"/>
      <c r="J339" s="102"/>
      <c r="K339" s="103"/>
      <c r="L339" s="104"/>
      <c r="M339" s="95"/>
      <c r="N339" s="95"/>
      <c r="O339" s="9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  <c r="Z339" s="105"/>
    </row>
    <row r="340" spans="1:26">
      <c r="A340" s="87" t="str">
        <f t="shared" si="1"/>
        <v/>
      </c>
      <c r="B340" s="2"/>
      <c r="C340" s="87"/>
      <c r="D340" s="87"/>
      <c r="E340" s="87"/>
      <c r="F340" s="87"/>
      <c r="G340" s="87"/>
      <c r="H340" s="87"/>
      <c r="I340" s="87"/>
      <c r="J340" s="102"/>
      <c r="K340" s="103"/>
      <c r="L340" s="104"/>
      <c r="M340" s="95"/>
      <c r="N340" s="95"/>
      <c r="O340" s="9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  <c r="Z340" s="105"/>
    </row>
    <row r="341" spans="1:26">
      <c r="A341" s="87" t="str">
        <f t="shared" si="1"/>
        <v/>
      </c>
      <c r="B341" s="2"/>
      <c r="C341" s="87"/>
      <c r="D341" s="87"/>
      <c r="E341" s="87"/>
      <c r="F341" s="87"/>
      <c r="G341" s="87"/>
      <c r="H341" s="87"/>
      <c r="I341" s="87"/>
      <c r="J341" s="102"/>
      <c r="K341" s="103"/>
      <c r="L341" s="104"/>
      <c r="M341" s="95"/>
      <c r="N341" s="95"/>
      <c r="O341" s="9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  <c r="Z341" s="105"/>
    </row>
    <row r="342" spans="1:26">
      <c r="A342" s="87" t="str">
        <f t="shared" si="1"/>
        <v/>
      </c>
      <c r="B342" s="2"/>
      <c r="C342" s="87"/>
      <c r="D342" s="87"/>
      <c r="E342" s="87"/>
      <c r="F342" s="87"/>
      <c r="G342" s="87"/>
      <c r="H342" s="87"/>
      <c r="I342" s="87"/>
      <c r="J342" s="102"/>
      <c r="K342" s="103"/>
      <c r="L342" s="104"/>
      <c r="M342" s="95"/>
      <c r="N342" s="95"/>
      <c r="O342" s="9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  <c r="Z342" s="105"/>
    </row>
    <row r="343" spans="1:26">
      <c r="A343" s="87" t="str">
        <f t="shared" si="1"/>
        <v/>
      </c>
      <c r="B343" s="2"/>
      <c r="C343" s="87"/>
      <c r="D343" s="87"/>
      <c r="E343" s="87"/>
      <c r="F343" s="87"/>
      <c r="G343" s="87"/>
      <c r="H343" s="87"/>
      <c r="I343" s="87"/>
      <c r="J343" s="102"/>
      <c r="K343" s="103"/>
      <c r="L343" s="104"/>
      <c r="M343" s="95"/>
      <c r="N343" s="95"/>
      <c r="O343" s="9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  <c r="Z343" s="105"/>
    </row>
    <row r="344" spans="1:26">
      <c r="A344" s="87" t="str">
        <f t="shared" si="1"/>
        <v/>
      </c>
      <c r="B344" s="2"/>
      <c r="C344" s="87"/>
      <c r="D344" s="87"/>
      <c r="E344" s="87"/>
      <c r="F344" s="87"/>
      <c r="G344" s="87"/>
      <c r="H344" s="87"/>
      <c r="I344" s="87"/>
      <c r="J344" s="102"/>
      <c r="K344" s="103"/>
      <c r="L344" s="104"/>
      <c r="M344" s="95"/>
      <c r="N344" s="95"/>
      <c r="O344" s="9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  <c r="Z344" s="105"/>
    </row>
    <row r="345" spans="1:26">
      <c r="A345" s="87" t="str">
        <f t="shared" si="1"/>
        <v/>
      </c>
      <c r="B345" s="2"/>
      <c r="C345" s="87"/>
      <c r="D345" s="87"/>
      <c r="E345" s="87"/>
      <c r="F345" s="87"/>
      <c r="G345" s="87"/>
      <c r="H345" s="87"/>
      <c r="I345" s="87"/>
      <c r="J345" s="102"/>
      <c r="K345" s="103"/>
      <c r="L345" s="104"/>
      <c r="M345" s="95"/>
      <c r="N345" s="95"/>
      <c r="O345" s="9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  <c r="Z345" s="105"/>
    </row>
    <row r="346" spans="1:26">
      <c r="A346" s="87" t="str">
        <f t="shared" si="1"/>
        <v/>
      </c>
      <c r="B346" s="2"/>
      <c r="C346" s="87"/>
      <c r="D346" s="87"/>
      <c r="E346" s="87"/>
      <c r="F346" s="87"/>
      <c r="G346" s="87"/>
      <c r="H346" s="87"/>
      <c r="I346" s="87"/>
      <c r="J346" s="102"/>
      <c r="K346" s="103"/>
      <c r="L346" s="104"/>
      <c r="M346" s="95"/>
      <c r="N346" s="95"/>
      <c r="O346" s="9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  <c r="Z346" s="105"/>
    </row>
    <row r="347" spans="1:26">
      <c r="A347" s="87" t="str">
        <f t="shared" si="1"/>
        <v/>
      </c>
      <c r="B347" s="2"/>
      <c r="C347" s="87"/>
      <c r="D347" s="87"/>
      <c r="E347" s="87"/>
      <c r="F347" s="87"/>
      <c r="G347" s="87"/>
      <c r="H347" s="87"/>
      <c r="I347" s="87"/>
      <c r="J347" s="102"/>
      <c r="K347" s="103"/>
      <c r="L347" s="104"/>
      <c r="M347" s="95"/>
      <c r="N347" s="95"/>
      <c r="O347" s="9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  <c r="Z347" s="105"/>
    </row>
    <row r="348" spans="1:26">
      <c r="A348" s="87" t="str">
        <f t="shared" si="1"/>
        <v/>
      </c>
      <c r="B348" s="2"/>
      <c r="C348" s="87"/>
      <c r="D348" s="87"/>
      <c r="E348" s="87"/>
      <c r="F348" s="87"/>
      <c r="G348" s="87"/>
      <c r="H348" s="87"/>
      <c r="I348" s="87"/>
      <c r="J348" s="102"/>
      <c r="K348" s="103"/>
      <c r="L348" s="104"/>
      <c r="M348" s="95"/>
      <c r="N348" s="95"/>
      <c r="O348" s="9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  <c r="Z348" s="105"/>
    </row>
    <row r="349" spans="1:26">
      <c r="A349" s="87" t="str">
        <f t="shared" si="1"/>
        <v/>
      </c>
      <c r="B349" s="2"/>
      <c r="C349" s="87"/>
      <c r="D349" s="87"/>
      <c r="E349" s="87"/>
      <c r="F349" s="87"/>
      <c r="G349" s="87"/>
      <c r="H349" s="87"/>
      <c r="I349" s="87"/>
      <c r="J349" s="102"/>
      <c r="K349" s="103"/>
      <c r="L349" s="104"/>
      <c r="M349" s="95"/>
      <c r="N349" s="95"/>
      <c r="O349" s="9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  <c r="Z349" s="105"/>
    </row>
    <row r="350" spans="1:26">
      <c r="A350" s="87" t="str">
        <f t="shared" si="1"/>
        <v/>
      </c>
      <c r="B350" s="2"/>
      <c r="C350" s="87"/>
      <c r="D350" s="87"/>
      <c r="E350" s="87"/>
      <c r="F350" s="87"/>
      <c r="G350" s="87"/>
      <c r="H350" s="87"/>
      <c r="I350" s="87"/>
      <c r="J350" s="102"/>
      <c r="K350" s="103"/>
      <c r="L350" s="104"/>
      <c r="M350" s="95"/>
      <c r="N350" s="95"/>
      <c r="O350" s="9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  <c r="Z350" s="105"/>
    </row>
    <row r="351" spans="1:26">
      <c r="A351" s="87" t="str">
        <f t="shared" si="1"/>
        <v/>
      </c>
      <c r="B351" s="2"/>
      <c r="C351" s="87"/>
      <c r="D351" s="87"/>
      <c r="E351" s="87"/>
      <c r="F351" s="87"/>
      <c r="G351" s="87"/>
      <c r="H351" s="87"/>
      <c r="I351" s="87"/>
      <c r="J351" s="102"/>
      <c r="K351" s="103"/>
      <c r="L351" s="104"/>
      <c r="M351" s="95"/>
      <c r="N351" s="95"/>
      <c r="O351" s="9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  <c r="Z351" s="105"/>
    </row>
    <row r="352" spans="1:26">
      <c r="A352" s="87" t="str">
        <f t="shared" si="1"/>
        <v/>
      </c>
      <c r="B352" s="2"/>
      <c r="C352" s="87"/>
      <c r="D352" s="87"/>
      <c r="E352" s="87"/>
      <c r="F352" s="87"/>
      <c r="G352" s="87"/>
      <c r="H352" s="87"/>
      <c r="I352" s="87"/>
      <c r="J352" s="102"/>
      <c r="K352" s="103"/>
      <c r="L352" s="104"/>
      <c r="M352" s="95"/>
      <c r="N352" s="95"/>
      <c r="O352" s="9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  <c r="Z352" s="105"/>
    </row>
    <row r="353" spans="1:26">
      <c r="A353" s="87" t="str">
        <f t="shared" si="1"/>
        <v/>
      </c>
      <c r="B353" s="2"/>
      <c r="C353" s="87"/>
      <c r="D353" s="87"/>
      <c r="E353" s="87"/>
      <c r="F353" s="87"/>
      <c r="G353" s="87"/>
      <c r="H353" s="87"/>
      <c r="I353" s="87"/>
      <c r="J353" s="102"/>
      <c r="K353" s="103"/>
      <c r="L353" s="104"/>
      <c r="M353" s="95"/>
      <c r="N353" s="95"/>
      <c r="O353" s="9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  <c r="Z353" s="105"/>
    </row>
    <row r="354" spans="1:26">
      <c r="A354" s="87" t="str">
        <f t="shared" si="1"/>
        <v/>
      </c>
      <c r="B354" s="2"/>
      <c r="C354" s="87"/>
      <c r="D354" s="87"/>
      <c r="E354" s="87"/>
      <c r="F354" s="87"/>
      <c r="G354" s="87"/>
      <c r="H354" s="87"/>
      <c r="I354" s="87"/>
      <c r="J354" s="102"/>
      <c r="K354" s="103"/>
      <c r="L354" s="104"/>
      <c r="M354" s="95"/>
      <c r="N354" s="95"/>
      <c r="O354" s="9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  <c r="Z354" s="105"/>
    </row>
    <row r="355" spans="1:26">
      <c r="A355" s="87" t="str">
        <f t="shared" si="1"/>
        <v/>
      </c>
      <c r="B355" s="2"/>
      <c r="C355" s="87"/>
      <c r="D355" s="87"/>
      <c r="E355" s="87"/>
      <c r="F355" s="87"/>
      <c r="G355" s="87"/>
      <c r="H355" s="87"/>
      <c r="I355" s="87"/>
      <c r="J355" s="102"/>
      <c r="K355" s="103"/>
      <c r="L355" s="104"/>
      <c r="M355" s="95"/>
      <c r="N355" s="95"/>
      <c r="O355" s="9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  <c r="Z355" s="105"/>
    </row>
    <row r="356" spans="1:26">
      <c r="A356" s="87" t="str">
        <f t="shared" si="1"/>
        <v/>
      </c>
      <c r="B356" s="2"/>
      <c r="C356" s="87"/>
      <c r="D356" s="87"/>
      <c r="E356" s="87"/>
      <c r="F356" s="87"/>
      <c r="G356" s="87"/>
      <c r="H356" s="87"/>
      <c r="I356" s="87"/>
      <c r="J356" s="102"/>
      <c r="K356" s="103"/>
      <c r="L356" s="104"/>
      <c r="M356" s="95"/>
      <c r="N356" s="95"/>
      <c r="O356" s="9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  <c r="Z356" s="105"/>
    </row>
    <row r="357" spans="1:26">
      <c r="A357" s="87" t="str">
        <f t="shared" si="1"/>
        <v/>
      </c>
      <c r="B357" s="2"/>
      <c r="C357" s="87"/>
      <c r="D357" s="87"/>
      <c r="E357" s="87"/>
      <c r="F357" s="87"/>
      <c r="G357" s="87"/>
      <c r="H357" s="87"/>
      <c r="I357" s="87"/>
      <c r="J357" s="102"/>
      <c r="K357" s="103"/>
      <c r="L357" s="104"/>
      <c r="M357" s="95"/>
      <c r="N357" s="95"/>
      <c r="O357" s="9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  <c r="Z357" s="105"/>
    </row>
    <row r="358" spans="1:26">
      <c r="A358" s="87" t="str">
        <f t="shared" si="1"/>
        <v/>
      </c>
      <c r="B358" s="2"/>
      <c r="C358" s="87"/>
      <c r="D358" s="87"/>
      <c r="E358" s="87"/>
      <c r="F358" s="87"/>
      <c r="G358" s="87"/>
      <c r="H358" s="87"/>
      <c r="I358" s="87"/>
      <c r="J358" s="102"/>
      <c r="K358" s="103"/>
      <c r="L358" s="104"/>
      <c r="M358" s="95"/>
      <c r="N358" s="95"/>
      <c r="O358" s="9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  <c r="Z358" s="105"/>
    </row>
    <row r="359" spans="1:26">
      <c r="A359" s="87" t="str">
        <f t="shared" si="1"/>
        <v/>
      </c>
      <c r="B359" s="2"/>
      <c r="C359" s="87"/>
      <c r="D359" s="87"/>
      <c r="E359" s="87"/>
      <c r="F359" s="87"/>
      <c r="G359" s="87"/>
      <c r="H359" s="87"/>
      <c r="I359" s="87"/>
      <c r="J359" s="102"/>
      <c r="K359" s="103"/>
      <c r="L359" s="104"/>
      <c r="M359" s="95"/>
      <c r="N359" s="95"/>
      <c r="O359" s="9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  <c r="Z359" s="105"/>
    </row>
    <row r="360" spans="1:26">
      <c r="A360" s="87" t="str">
        <f t="shared" si="1"/>
        <v/>
      </c>
      <c r="B360" s="2"/>
      <c r="C360" s="87"/>
      <c r="D360" s="87"/>
      <c r="E360" s="87"/>
      <c r="F360" s="87"/>
      <c r="G360" s="87"/>
      <c r="H360" s="87"/>
      <c r="I360" s="87"/>
      <c r="J360" s="102"/>
      <c r="K360" s="103"/>
      <c r="L360" s="104"/>
      <c r="M360" s="95"/>
      <c r="N360" s="95"/>
      <c r="O360" s="9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05"/>
    </row>
    <row r="361" spans="1:26">
      <c r="A361" s="87" t="str">
        <f t="shared" si="1"/>
        <v/>
      </c>
      <c r="B361" s="2"/>
      <c r="C361" s="87"/>
      <c r="D361" s="87"/>
      <c r="E361" s="87"/>
      <c r="F361" s="87"/>
      <c r="G361" s="87"/>
      <c r="H361" s="87"/>
      <c r="I361" s="87"/>
      <c r="J361" s="102"/>
      <c r="K361" s="103"/>
      <c r="L361" s="104"/>
      <c r="M361" s="95"/>
      <c r="N361" s="95"/>
      <c r="O361" s="9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  <c r="Z361" s="105"/>
    </row>
    <row r="362" spans="1:26">
      <c r="A362" s="87" t="str">
        <f t="shared" si="1"/>
        <v/>
      </c>
      <c r="B362" s="2"/>
      <c r="C362" s="87"/>
      <c r="D362" s="87"/>
      <c r="E362" s="87"/>
      <c r="F362" s="87"/>
      <c r="G362" s="87"/>
      <c r="H362" s="87"/>
      <c r="I362" s="87"/>
      <c r="J362" s="102"/>
      <c r="K362" s="103"/>
      <c r="L362" s="104"/>
      <c r="M362" s="95"/>
      <c r="N362" s="95"/>
      <c r="O362" s="9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  <c r="Z362" s="105"/>
    </row>
    <row r="363" spans="1:26">
      <c r="A363" s="87" t="str">
        <f t="shared" si="1"/>
        <v/>
      </c>
      <c r="B363" s="2"/>
      <c r="C363" s="87"/>
      <c r="D363" s="87"/>
      <c r="E363" s="87"/>
      <c r="F363" s="87"/>
      <c r="G363" s="87"/>
      <c r="H363" s="87"/>
      <c r="I363" s="87"/>
      <c r="J363" s="102"/>
      <c r="K363" s="103"/>
      <c r="L363" s="104"/>
      <c r="M363" s="95"/>
      <c r="N363" s="95"/>
      <c r="O363" s="9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05"/>
    </row>
    <row r="364" spans="1:26">
      <c r="A364" s="87" t="str">
        <f t="shared" si="1"/>
        <v/>
      </c>
      <c r="B364" s="2"/>
      <c r="C364" s="87"/>
      <c r="D364" s="87"/>
      <c r="E364" s="87"/>
      <c r="F364" s="87"/>
      <c r="G364" s="87"/>
      <c r="H364" s="87"/>
      <c r="I364" s="87"/>
      <c r="J364" s="102"/>
      <c r="K364" s="103"/>
      <c r="L364" s="104"/>
      <c r="M364" s="95"/>
      <c r="N364" s="95"/>
      <c r="O364" s="9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  <c r="Z364" s="105"/>
    </row>
    <row r="365" spans="1:26">
      <c r="A365" s="87" t="str">
        <f t="shared" si="1"/>
        <v/>
      </c>
      <c r="B365" s="2"/>
      <c r="C365" s="87"/>
      <c r="D365" s="87"/>
      <c r="E365" s="87"/>
      <c r="F365" s="87"/>
      <c r="G365" s="87"/>
      <c r="H365" s="87"/>
      <c r="I365" s="87"/>
      <c r="J365" s="102"/>
      <c r="K365" s="103"/>
      <c r="L365" s="104"/>
      <c r="M365" s="95"/>
      <c r="N365" s="95"/>
      <c r="O365" s="9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  <c r="Z365" s="105"/>
    </row>
    <row r="366" spans="1:26">
      <c r="A366" s="87" t="str">
        <f t="shared" si="1"/>
        <v/>
      </c>
      <c r="B366" s="2"/>
      <c r="C366" s="87"/>
      <c r="D366" s="87"/>
      <c r="E366" s="87"/>
      <c r="F366" s="87"/>
      <c r="G366" s="87"/>
      <c r="H366" s="87"/>
      <c r="I366" s="87"/>
      <c r="J366" s="102"/>
      <c r="K366" s="103"/>
      <c r="L366" s="104"/>
      <c r="M366" s="95"/>
      <c r="N366" s="95"/>
      <c r="O366" s="9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  <c r="Z366" s="105"/>
    </row>
    <row r="367" spans="1:26">
      <c r="A367" s="87" t="str">
        <f t="shared" si="1"/>
        <v/>
      </c>
      <c r="B367" s="2"/>
      <c r="C367" s="87"/>
      <c r="D367" s="87"/>
      <c r="E367" s="87"/>
      <c r="F367" s="87"/>
      <c r="G367" s="87"/>
      <c r="H367" s="87"/>
      <c r="I367" s="87"/>
      <c r="J367" s="102"/>
      <c r="K367" s="103"/>
      <c r="L367" s="104"/>
      <c r="M367" s="95"/>
      <c r="N367" s="95"/>
      <c r="O367" s="9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  <c r="Z367" s="105"/>
    </row>
    <row r="368" spans="1:26">
      <c r="A368" s="87" t="str">
        <f t="shared" si="1"/>
        <v/>
      </c>
      <c r="B368" s="2"/>
      <c r="C368" s="87"/>
      <c r="D368" s="87"/>
      <c r="E368" s="87"/>
      <c r="F368" s="87"/>
      <c r="G368" s="87"/>
      <c r="H368" s="87"/>
      <c r="I368" s="87"/>
      <c r="J368" s="102"/>
      <c r="K368" s="103"/>
      <c r="L368" s="104"/>
      <c r="M368" s="95"/>
      <c r="N368" s="95"/>
      <c r="O368" s="9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05"/>
    </row>
    <row r="369" spans="1:26">
      <c r="A369" s="87" t="str">
        <f t="shared" si="1"/>
        <v/>
      </c>
      <c r="B369" s="2"/>
      <c r="C369" s="87"/>
      <c r="D369" s="87"/>
      <c r="E369" s="87"/>
      <c r="F369" s="87"/>
      <c r="G369" s="87"/>
      <c r="H369" s="87"/>
      <c r="I369" s="87"/>
      <c r="J369" s="102"/>
      <c r="K369" s="103"/>
      <c r="L369" s="104"/>
      <c r="M369" s="95"/>
      <c r="N369" s="95"/>
      <c r="O369" s="9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  <c r="Z369" s="105"/>
    </row>
    <row r="370" spans="1:26">
      <c r="A370" s="87" t="str">
        <f t="shared" si="1"/>
        <v/>
      </c>
      <c r="B370" s="2"/>
      <c r="C370" s="87"/>
      <c r="D370" s="87"/>
      <c r="E370" s="87"/>
      <c r="F370" s="87"/>
      <c r="G370" s="87"/>
      <c r="H370" s="87"/>
      <c r="I370" s="87"/>
      <c r="J370" s="102"/>
      <c r="K370" s="103"/>
      <c r="L370" s="104"/>
      <c r="M370" s="95"/>
      <c r="N370" s="95"/>
      <c r="O370" s="9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  <c r="Z370" s="105"/>
    </row>
    <row r="371" spans="1:26">
      <c r="A371" s="87" t="str">
        <f t="shared" si="1"/>
        <v/>
      </c>
      <c r="B371" s="2"/>
      <c r="C371" s="87"/>
      <c r="D371" s="87"/>
      <c r="E371" s="87"/>
      <c r="F371" s="87"/>
      <c r="G371" s="87"/>
      <c r="H371" s="87"/>
      <c r="I371" s="87"/>
      <c r="J371" s="102"/>
      <c r="K371" s="103"/>
      <c r="L371" s="104"/>
      <c r="M371" s="95"/>
      <c r="N371" s="95"/>
      <c r="O371" s="9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  <c r="Z371" s="105"/>
    </row>
    <row r="372" spans="1:26">
      <c r="A372" s="87" t="str">
        <f t="shared" si="1"/>
        <v/>
      </c>
      <c r="B372" s="2"/>
      <c r="C372" s="87"/>
      <c r="D372" s="87"/>
      <c r="E372" s="87"/>
      <c r="F372" s="87"/>
      <c r="G372" s="87"/>
      <c r="H372" s="87"/>
      <c r="I372" s="87"/>
      <c r="J372" s="102"/>
      <c r="K372" s="103"/>
      <c r="L372" s="104"/>
      <c r="M372" s="95"/>
      <c r="N372" s="95"/>
      <c r="O372" s="9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05"/>
    </row>
    <row r="373" spans="1:26">
      <c r="A373" s="87" t="str">
        <f t="shared" si="1"/>
        <v/>
      </c>
      <c r="B373" s="2"/>
      <c r="C373" s="87"/>
      <c r="D373" s="87"/>
      <c r="E373" s="87"/>
      <c r="F373" s="87"/>
      <c r="G373" s="87"/>
      <c r="H373" s="87"/>
      <c r="I373" s="87"/>
      <c r="J373" s="102"/>
      <c r="K373" s="103"/>
      <c r="L373" s="104"/>
      <c r="M373" s="95"/>
      <c r="N373" s="95"/>
      <c r="O373" s="9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05"/>
    </row>
    <row r="374" spans="1:26">
      <c r="A374" s="87" t="str">
        <f t="shared" si="1"/>
        <v/>
      </c>
      <c r="B374" s="2"/>
      <c r="C374" s="87"/>
      <c r="D374" s="87"/>
      <c r="E374" s="87"/>
      <c r="F374" s="87"/>
      <c r="G374" s="87"/>
      <c r="H374" s="87"/>
      <c r="I374" s="87"/>
      <c r="J374" s="102"/>
      <c r="K374" s="103"/>
      <c r="L374" s="104"/>
      <c r="M374" s="95"/>
      <c r="N374" s="95"/>
      <c r="O374" s="9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  <c r="Z374" s="105"/>
    </row>
    <row r="375" spans="1:26">
      <c r="A375" s="87" t="str">
        <f t="shared" si="1"/>
        <v/>
      </c>
      <c r="B375" s="2"/>
      <c r="C375" s="87"/>
      <c r="D375" s="87"/>
      <c r="E375" s="87"/>
      <c r="F375" s="87"/>
      <c r="G375" s="87"/>
      <c r="H375" s="87"/>
      <c r="I375" s="87"/>
      <c r="J375" s="102"/>
      <c r="K375" s="103"/>
      <c r="L375" s="104"/>
      <c r="M375" s="95"/>
      <c r="N375" s="95"/>
      <c r="O375" s="9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  <c r="Z375" s="105"/>
    </row>
    <row r="376" spans="1:26">
      <c r="A376" s="87" t="str">
        <f t="shared" si="1"/>
        <v/>
      </c>
      <c r="B376" s="2"/>
      <c r="C376" s="87"/>
      <c r="D376" s="87"/>
      <c r="E376" s="87"/>
      <c r="F376" s="87"/>
      <c r="G376" s="87"/>
      <c r="H376" s="87"/>
      <c r="I376" s="87"/>
      <c r="J376" s="102"/>
      <c r="K376" s="103"/>
      <c r="L376" s="104"/>
      <c r="M376" s="95"/>
      <c r="N376" s="95"/>
      <c r="O376" s="9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  <c r="Z376" s="105"/>
    </row>
    <row r="377" spans="1:26">
      <c r="A377" s="87" t="str">
        <f t="shared" si="1"/>
        <v/>
      </c>
      <c r="B377" s="2"/>
      <c r="C377" s="87"/>
      <c r="D377" s="87"/>
      <c r="E377" s="87"/>
      <c r="F377" s="87"/>
      <c r="G377" s="87"/>
      <c r="H377" s="87"/>
      <c r="I377" s="87"/>
      <c r="J377" s="102"/>
      <c r="K377" s="103"/>
      <c r="L377" s="104"/>
      <c r="M377" s="95"/>
      <c r="N377" s="95"/>
      <c r="O377" s="9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  <c r="Z377" s="105"/>
    </row>
    <row r="378" spans="1:26">
      <c r="A378" s="87" t="str">
        <f t="shared" si="1"/>
        <v/>
      </c>
      <c r="B378" s="2"/>
      <c r="C378" s="87"/>
      <c r="D378" s="87"/>
      <c r="E378" s="87"/>
      <c r="F378" s="87"/>
      <c r="G378" s="87"/>
      <c r="H378" s="87"/>
      <c r="I378" s="87"/>
      <c r="J378" s="102"/>
      <c r="K378" s="103"/>
      <c r="L378" s="104"/>
      <c r="M378" s="95"/>
      <c r="N378" s="95"/>
      <c r="O378" s="9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  <c r="Z378" s="105"/>
    </row>
    <row r="379" spans="1:26">
      <c r="A379" s="87" t="str">
        <f t="shared" si="1"/>
        <v/>
      </c>
      <c r="B379" s="2"/>
      <c r="C379" s="87"/>
      <c r="D379" s="87"/>
      <c r="E379" s="87"/>
      <c r="F379" s="87"/>
      <c r="G379" s="87"/>
      <c r="H379" s="87"/>
      <c r="I379" s="87"/>
      <c r="J379" s="102"/>
      <c r="K379" s="103"/>
      <c r="L379" s="104"/>
      <c r="M379" s="95"/>
      <c r="N379" s="95"/>
      <c r="O379" s="9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  <c r="Z379" s="105"/>
    </row>
    <row r="380" spans="1:26">
      <c r="A380" s="87" t="str">
        <f t="shared" si="1"/>
        <v/>
      </c>
      <c r="B380" s="2"/>
      <c r="C380" s="87"/>
      <c r="D380" s="87"/>
      <c r="E380" s="87"/>
      <c r="F380" s="87"/>
      <c r="G380" s="87"/>
      <c r="H380" s="87"/>
      <c r="I380" s="87"/>
      <c r="J380" s="102"/>
      <c r="K380" s="103"/>
      <c r="L380" s="104"/>
      <c r="M380" s="95"/>
      <c r="N380" s="95"/>
      <c r="O380" s="9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  <c r="Z380" s="105"/>
    </row>
    <row r="381" spans="1:26">
      <c r="A381" s="87" t="str">
        <f t="shared" si="1"/>
        <v/>
      </c>
      <c r="B381" s="2"/>
      <c r="C381" s="87"/>
      <c r="D381" s="87"/>
      <c r="E381" s="87"/>
      <c r="F381" s="87"/>
      <c r="G381" s="87"/>
      <c r="H381" s="87"/>
      <c r="I381" s="87"/>
      <c r="J381" s="102"/>
      <c r="K381" s="103"/>
      <c r="L381" s="104"/>
      <c r="M381" s="95"/>
      <c r="N381" s="95"/>
      <c r="O381" s="9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  <c r="Z381" s="105"/>
    </row>
    <row r="382" spans="1:26">
      <c r="A382" s="87" t="str">
        <f t="shared" si="1"/>
        <v/>
      </c>
      <c r="B382" s="2"/>
      <c r="C382" s="87"/>
      <c r="D382" s="87"/>
      <c r="E382" s="87"/>
      <c r="F382" s="87"/>
      <c r="G382" s="87"/>
      <c r="H382" s="87"/>
      <c r="I382" s="87"/>
      <c r="J382" s="102"/>
      <c r="K382" s="103"/>
      <c r="L382" s="104"/>
      <c r="M382" s="95"/>
      <c r="N382" s="95"/>
      <c r="O382" s="9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  <c r="Z382" s="105"/>
    </row>
    <row r="383" spans="1:26">
      <c r="A383" s="87" t="str">
        <f t="shared" si="1"/>
        <v/>
      </c>
      <c r="B383" s="2"/>
      <c r="C383" s="87"/>
      <c r="D383" s="87"/>
      <c r="E383" s="87"/>
      <c r="F383" s="87"/>
      <c r="G383" s="87"/>
      <c r="H383" s="87"/>
      <c r="I383" s="87"/>
      <c r="J383" s="102"/>
      <c r="K383" s="103"/>
      <c r="L383" s="104"/>
      <c r="M383" s="95"/>
      <c r="N383" s="95"/>
      <c r="O383" s="9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  <c r="Z383" s="105"/>
    </row>
    <row r="384" spans="1:26">
      <c r="A384" s="87" t="str">
        <f t="shared" si="1"/>
        <v/>
      </c>
      <c r="B384" s="2"/>
      <c r="C384" s="87"/>
      <c r="D384" s="87"/>
      <c r="E384" s="87"/>
      <c r="F384" s="87"/>
      <c r="G384" s="87"/>
      <c r="H384" s="87"/>
      <c r="I384" s="87"/>
      <c r="J384" s="102"/>
      <c r="K384" s="103"/>
      <c r="L384" s="104"/>
      <c r="M384" s="95"/>
      <c r="N384" s="95"/>
      <c r="O384" s="9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  <c r="Z384" s="105"/>
    </row>
    <row r="385" spans="1:26">
      <c r="A385" s="87" t="str">
        <f t="shared" si="1"/>
        <v/>
      </c>
      <c r="B385" s="2"/>
      <c r="C385" s="87"/>
      <c r="D385" s="87"/>
      <c r="E385" s="87"/>
      <c r="F385" s="87"/>
      <c r="G385" s="87"/>
      <c r="H385" s="87"/>
      <c r="I385" s="87"/>
      <c r="J385" s="102"/>
      <c r="K385" s="103"/>
      <c r="L385" s="104"/>
      <c r="M385" s="95"/>
      <c r="N385" s="95"/>
      <c r="O385" s="9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  <c r="Z385" s="105"/>
    </row>
    <row r="386" spans="1:26">
      <c r="A386" s="87" t="str">
        <f t="shared" si="1"/>
        <v/>
      </c>
      <c r="B386" s="2"/>
      <c r="C386" s="87"/>
      <c r="D386" s="87"/>
      <c r="E386" s="87"/>
      <c r="F386" s="87"/>
      <c r="G386" s="87"/>
      <c r="H386" s="87"/>
      <c r="I386" s="87"/>
      <c r="J386" s="102"/>
      <c r="K386" s="103"/>
      <c r="L386" s="104"/>
      <c r="M386" s="95"/>
      <c r="N386" s="95"/>
      <c r="O386" s="9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05"/>
    </row>
    <row r="387" spans="1:26">
      <c r="A387" s="87" t="str">
        <f t="shared" si="1"/>
        <v/>
      </c>
      <c r="B387" s="2"/>
      <c r="C387" s="87"/>
      <c r="D387" s="87"/>
      <c r="E387" s="87"/>
      <c r="F387" s="87"/>
      <c r="G387" s="87"/>
      <c r="H387" s="87"/>
      <c r="I387" s="87"/>
      <c r="J387" s="102"/>
      <c r="K387" s="103"/>
      <c r="L387" s="104"/>
      <c r="M387" s="95"/>
      <c r="N387" s="95"/>
      <c r="O387" s="9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05"/>
    </row>
    <row r="388" spans="1:26">
      <c r="A388" s="87" t="str">
        <f t="shared" si="1"/>
        <v/>
      </c>
      <c r="B388" s="2"/>
      <c r="C388" s="87"/>
      <c r="D388" s="87"/>
      <c r="E388" s="87"/>
      <c r="F388" s="87"/>
      <c r="G388" s="87"/>
      <c r="H388" s="87"/>
      <c r="I388" s="87"/>
      <c r="J388" s="102"/>
      <c r="K388" s="103"/>
      <c r="L388" s="104"/>
      <c r="M388" s="95"/>
      <c r="N388" s="95"/>
      <c r="O388" s="9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  <c r="Z388" s="105"/>
    </row>
    <row r="389" spans="1:26">
      <c r="A389" s="87" t="str">
        <f t="shared" si="1"/>
        <v/>
      </c>
      <c r="B389" s="2"/>
      <c r="C389" s="87"/>
      <c r="D389" s="87"/>
      <c r="E389" s="87"/>
      <c r="F389" s="87"/>
      <c r="G389" s="87"/>
      <c r="H389" s="87"/>
      <c r="I389" s="87"/>
      <c r="J389" s="102"/>
      <c r="K389" s="103"/>
      <c r="L389" s="104"/>
      <c r="M389" s="95"/>
      <c r="N389" s="95"/>
      <c r="O389" s="9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  <c r="Z389" s="105"/>
    </row>
    <row r="390" spans="1:26">
      <c r="A390" s="87" t="str">
        <f t="shared" si="1"/>
        <v/>
      </c>
      <c r="B390" s="2"/>
      <c r="C390" s="87"/>
      <c r="D390" s="87"/>
      <c r="E390" s="87"/>
      <c r="F390" s="87"/>
      <c r="G390" s="87"/>
      <c r="H390" s="87"/>
      <c r="I390" s="87"/>
      <c r="J390" s="102"/>
      <c r="K390" s="103"/>
      <c r="L390" s="104"/>
      <c r="M390" s="95"/>
      <c r="N390" s="95"/>
      <c r="O390" s="9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  <c r="Z390" s="105"/>
    </row>
    <row r="391" spans="1:26">
      <c r="A391" s="87" t="str">
        <f t="shared" si="1"/>
        <v/>
      </c>
      <c r="B391" s="2"/>
      <c r="C391" s="87"/>
      <c r="D391" s="87"/>
      <c r="E391" s="87"/>
      <c r="F391" s="87"/>
      <c r="G391" s="87"/>
      <c r="H391" s="87"/>
      <c r="I391" s="87"/>
      <c r="J391" s="102"/>
      <c r="K391" s="103"/>
      <c r="L391" s="104"/>
      <c r="M391" s="95"/>
      <c r="N391" s="95"/>
      <c r="O391" s="9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  <c r="Z391" s="105"/>
    </row>
    <row r="392" spans="1:26">
      <c r="A392" s="87" t="str">
        <f t="shared" si="1"/>
        <v/>
      </c>
      <c r="B392" s="2"/>
      <c r="C392" s="87"/>
      <c r="D392" s="87"/>
      <c r="E392" s="87"/>
      <c r="F392" s="87"/>
      <c r="G392" s="87"/>
      <c r="H392" s="87"/>
      <c r="I392" s="87"/>
      <c r="J392" s="102"/>
      <c r="K392" s="103"/>
      <c r="L392" s="104"/>
      <c r="M392" s="95"/>
      <c r="N392" s="95"/>
      <c r="O392" s="9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  <c r="Z392" s="105"/>
    </row>
    <row r="393" spans="1:26">
      <c r="A393" s="87" t="str">
        <f t="shared" si="1"/>
        <v/>
      </c>
      <c r="B393" s="2"/>
      <c r="C393" s="87"/>
      <c r="D393" s="87"/>
      <c r="E393" s="87"/>
      <c r="F393" s="87"/>
      <c r="G393" s="87"/>
      <c r="H393" s="87"/>
      <c r="I393" s="87"/>
      <c r="J393" s="102"/>
      <c r="K393" s="103"/>
      <c r="L393" s="104"/>
      <c r="M393" s="95"/>
      <c r="N393" s="95"/>
      <c r="O393" s="9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  <c r="Z393" s="105"/>
    </row>
    <row r="394" spans="1:26">
      <c r="A394" s="87" t="str">
        <f t="shared" si="1"/>
        <v/>
      </c>
      <c r="B394" s="2"/>
      <c r="C394" s="87"/>
      <c r="D394" s="87"/>
      <c r="E394" s="87"/>
      <c r="F394" s="87"/>
      <c r="G394" s="87"/>
      <c r="H394" s="87"/>
      <c r="I394" s="87"/>
      <c r="J394" s="102"/>
      <c r="K394" s="103"/>
      <c r="L394" s="104"/>
      <c r="M394" s="95"/>
      <c r="N394" s="95"/>
      <c r="O394" s="9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  <c r="Z394" s="105"/>
    </row>
    <row r="395" spans="1:26">
      <c r="A395" s="87" t="str">
        <f t="shared" si="1"/>
        <v/>
      </c>
      <c r="B395" s="2"/>
      <c r="C395" s="87"/>
      <c r="D395" s="87"/>
      <c r="E395" s="87"/>
      <c r="F395" s="87"/>
      <c r="G395" s="87"/>
      <c r="H395" s="87"/>
      <c r="I395" s="87"/>
      <c r="J395" s="102"/>
      <c r="K395" s="103"/>
      <c r="L395" s="104"/>
      <c r="M395" s="95"/>
      <c r="N395" s="95"/>
      <c r="O395" s="9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  <c r="Z395" s="105"/>
    </row>
    <row r="396" spans="1:26">
      <c r="A396" s="87" t="str">
        <f t="shared" si="1"/>
        <v/>
      </c>
      <c r="B396" s="2"/>
      <c r="C396" s="87"/>
      <c r="D396" s="87"/>
      <c r="E396" s="87"/>
      <c r="F396" s="87"/>
      <c r="G396" s="87"/>
      <c r="H396" s="87"/>
      <c r="I396" s="87"/>
      <c r="J396" s="102"/>
      <c r="K396" s="103"/>
      <c r="L396" s="104"/>
      <c r="M396" s="95"/>
      <c r="N396" s="95"/>
      <c r="O396" s="9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  <c r="Z396" s="105"/>
    </row>
    <row r="397" spans="1:26">
      <c r="A397" s="87" t="str">
        <f t="shared" si="1"/>
        <v/>
      </c>
      <c r="B397" s="2"/>
      <c r="C397" s="87"/>
      <c r="D397" s="87"/>
      <c r="E397" s="87"/>
      <c r="F397" s="87"/>
      <c r="G397" s="87"/>
      <c r="H397" s="87"/>
      <c r="I397" s="87"/>
      <c r="J397" s="102"/>
      <c r="K397" s="103"/>
      <c r="L397" s="104"/>
      <c r="M397" s="95"/>
      <c r="N397" s="95"/>
      <c r="O397" s="9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05"/>
    </row>
    <row r="398" spans="1:26">
      <c r="A398" s="87" t="str">
        <f t="shared" si="1"/>
        <v/>
      </c>
      <c r="B398" s="2"/>
      <c r="C398" s="87"/>
      <c r="D398" s="87"/>
      <c r="E398" s="87"/>
      <c r="F398" s="87"/>
      <c r="G398" s="87"/>
      <c r="H398" s="87"/>
      <c r="I398" s="87"/>
      <c r="J398" s="102"/>
      <c r="K398" s="103"/>
      <c r="L398" s="104"/>
      <c r="M398" s="95"/>
      <c r="N398" s="95"/>
      <c r="O398" s="9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  <c r="Z398" s="105"/>
    </row>
    <row r="399" spans="1:26">
      <c r="A399" s="87" t="str">
        <f t="shared" si="1"/>
        <v/>
      </c>
      <c r="B399" s="2"/>
      <c r="C399" s="87"/>
      <c r="D399" s="87"/>
      <c r="E399" s="87"/>
      <c r="F399" s="87"/>
      <c r="G399" s="87"/>
      <c r="H399" s="87"/>
      <c r="I399" s="87"/>
      <c r="J399" s="102"/>
      <c r="K399" s="103"/>
      <c r="L399" s="104"/>
      <c r="M399" s="95"/>
      <c r="N399" s="95"/>
      <c r="O399" s="9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  <c r="Z399" s="105"/>
    </row>
    <row r="400" spans="1:26">
      <c r="A400" s="87" t="str">
        <f t="shared" si="1"/>
        <v/>
      </c>
      <c r="B400" s="2"/>
      <c r="C400" s="87"/>
      <c r="D400" s="87"/>
      <c r="E400" s="87"/>
      <c r="F400" s="87"/>
      <c r="G400" s="87"/>
      <c r="H400" s="87"/>
      <c r="I400" s="87"/>
      <c r="J400" s="102"/>
      <c r="K400" s="103"/>
      <c r="L400" s="104"/>
      <c r="M400" s="95"/>
      <c r="N400" s="95"/>
      <c r="O400" s="9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  <c r="Z400" s="105"/>
    </row>
    <row r="401" spans="1:26">
      <c r="A401" s="87" t="str">
        <f t="shared" si="1"/>
        <v/>
      </c>
      <c r="B401" s="2"/>
      <c r="C401" s="87"/>
      <c r="D401" s="87"/>
      <c r="E401" s="87"/>
      <c r="F401" s="87"/>
      <c r="G401" s="87"/>
      <c r="H401" s="87"/>
      <c r="I401" s="87"/>
      <c r="J401" s="102"/>
      <c r="K401" s="103"/>
      <c r="L401" s="104"/>
      <c r="M401" s="95"/>
      <c r="N401" s="95"/>
      <c r="O401" s="9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  <c r="Z401" s="105"/>
    </row>
    <row r="402" spans="1:26">
      <c r="A402" s="87" t="str">
        <f t="shared" si="1"/>
        <v/>
      </c>
      <c r="B402" s="2"/>
      <c r="C402" s="87"/>
      <c r="D402" s="87"/>
      <c r="E402" s="87"/>
      <c r="F402" s="87"/>
      <c r="G402" s="87"/>
      <c r="H402" s="87"/>
      <c r="I402" s="87"/>
      <c r="J402" s="102"/>
      <c r="K402" s="103"/>
      <c r="L402" s="104"/>
      <c r="M402" s="95"/>
      <c r="N402" s="95"/>
      <c r="O402" s="9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  <c r="Z402" s="105"/>
    </row>
    <row r="403" spans="1:26">
      <c r="A403" s="87" t="str">
        <f t="shared" si="1"/>
        <v/>
      </c>
      <c r="B403" s="2"/>
      <c r="C403" s="87"/>
      <c r="D403" s="87"/>
      <c r="E403" s="87"/>
      <c r="F403" s="87"/>
      <c r="G403" s="87"/>
      <c r="H403" s="87"/>
      <c r="I403" s="87"/>
      <c r="J403" s="102"/>
      <c r="K403" s="103"/>
      <c r="L403" s="104"/>
      <c r="M403" s="95"/>
      <c r="N403" s="95"/>
      <c r="O403" s="9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  <c r="Z403" s="105"/>
    </row>
    <row r="404" spans="1:26">
      <c r="A404" s="87" t="str">
        <f t="shared" si="1"/>
        <v/>
      </c>
      <c r="B404" s="2"/>
      <c r="C404" s="87"/>
      <c r="D404" s="87"/>
      <c r="E404" s="87"/>
      <c r="F404" s="87"/>
      <c r="G404" s="87"/>
      <c r="H404" s="87"/>
      <c r="I404" s="87"/>
      <c r="J404" s="102"/>
      <c r="K404" s="103"/>
      <c r="L404" s="104"/>
      <c r="M404" s="95"/>
      <c r="N404" s="95"/>
      <c r="O404" s="9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  <c r="Z404" s="105"/>
    </row>
    <row r="405" spans="1:26">
      <c r="A405" s="87" t="str">
        <f t="shared" si="1"/>
        <v/>
      </c>
      <c r="B405" s="2"/>
      <c r="C405" s="87"/>
      <c r="D405" s="87"/>
      <c r="E405" s="87"/>
      <c r="F405" s="87"/>
      <c r="G405" s="87"/>
      <c r="H405" s="87"/>
      <c r="I405" s="87"/>
      <c r="J405" s="102"/>
      <c r="K405" s="103"/>
      <c r="L405" s="104"/>
      <c r="M405" s="95"/>
      <c r="N405" s="95"/>
      <c r="O405" s="9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  <c r="Z405" s="105"/>
    </row>
    <row r="406" spans="1:26">
      <c r="A406" s="87" t="str">
        <f t="shared" si="1"/>
        <v/>
      </c>
      <c r="B406" s="2"/>
      <c r="C406" s="87"/>
      <c r="D406" s="87"/>
      <c r="E406" s="87"/>
      <c r="F406" s="87"/>
      <c r="G406" s="87"/>
      <c r="H406" s="87"/>
      <c r="I406" s="87"/>
      <c r="J406" s="102"/>
      <c r="K406" s="103"/>
      <c r="L406" s="104"/>
      <c r="M406" s="95"/>
      <c r="N406" s="95"/>
      <c r="O406" s="9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  <c r="Z406" s="105"/>
    </row>
    <row r="407" spans="1:26">
      <c r="A407" s="87" t="str">
        <f t="shared" si="1"/>
        <v/>
      </c>
      <c r="B407" s="2"/>
      <c r="C407" s="87"/>
      <c r="D407" s="87"/>
      <c r="E407" s="87"/>
      <c r="F407" s="87"/>
      <c r="G407" s="87"/>
      <c r="H407" s="87"/>
      <c r="I407" s="87"/>
      <c r="J407" s="102"/>
      <c r="K407" s="103"/>
      <c r="L407" s="104"/>
      <c r="M407" s="95"/>
      <c r="N407" s="95"/>
      <c r="O407" s="9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  <c r="Z407" s="105"/>
    </row>
    <row r="408" spans="1:26">
      <c r="A408" s="87" t="str">
        <f t="shared" si="1"/>
        <v/>
      </c>
      <c r="B408" s="2"/>
      <c r="C408" s="87"/>
      <c r="D408" s="87"/>
      <c r="E408" s="87"/>
      <c r="F408" s="87"/>
      <c r="G408" s="87"/>
      <c r="H408" s="87"/>
      <c r="I408" s="87"/>
      <c r="J408" s="102"/>
      <c r="K408" s="103"/>
      <c r="L408" s="104"/>
      <c r="M408" s="95"/>
      <c r="N408" s="95"/>
      <c r="O408" s="9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  <c r="Z408" s="105"/>
    </row>
    <row r="409" spans="1:26">
      <c r="A409" s="87" t="str">
        <f t="shared" si="1"/>
        <v/>
      </c>
      <c r="B409" s="2"/>
      <c r="C409" s="87"/>
      <c r="D409" s="87"/>
      <c r="E409" s="87"/>
      <c r="F409" s="87"/>
      <c r="G409" s="87"/>
      <c r="H409" s="87"/>
      <c r="I409" s="87"/>
      <c r="J409" s="102"/>
      <c r="K409" s="103"/>
      <c r="L409" s="104"/>
      <c r="M409" s="95"/>
      <c r="N409" s="95"/>
      <c r="O409" s="9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  <c r="Z409" s="105"/>
    </row>
    <row r="410" spans="1:26">
      <c r="A410" s="87" t="str">
        <f t="shared" si="1"/>
        <v/>
      </c>
      <c r="B410" s="2"/>
      <c r="C410" s="87"/>
      <c r="D410" s="87"/>
      <c r="E410" s="87"/>
      <c r="F410" s="87"/>
      <c r="G410" s="87"/>
      <c r="H410" s="87"/>
      <c r="I410" s="87"/>
      <c r="J410" s="102"/>
      <c r="K410" s="103"/>
      <c r="L410" s="104"/>
      <c r="M410" s="95"/>
      <c r="N410" s="95"/>
      <c r="O410" s="9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  <c r="Z410" s="105"/>
    </row>
    <row r="411" spans="1:26">
      <c r="A411" s="87" t="str">
        <f t="shared" si="1"/>
        <v/>
      </c>
      <c r="B411" s="2"/>
      <c r="C411" s="87"/>
      <c r="D411" s="87"/>
      <c r="E411" s="87"/>
      <c r="F411" s="87"/>
      <c r="G411" s="87"/>
      <c r="H411" s="87"/>
      <c r="I411" s="87"/>
      <c r="J411" s="102"/>
      <c r="K411" s="103"/>
      <c r="L411" s="104"/>
      <c r="M411" s="95"/>
      <c r="N411" s="95"/>
      <c r="O411" s="9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  <c r="Z411" s="105"/>
    </row>
    <row r="412" spans="1:26">
      <c r="A412" s="87" t="str">
        <f t="shared" si="1"/>
        <v/>
      </c>
      <c r="B412" s="2"/>
      <c r="C412" s="87"/>
      <c r="D412" s="87"/>
      <c r="E412" s="87"/>
      <c r="F412" s="87"/>
      <c r="G412" s="87"/>
      <c r="H412" s="87"/>
      <c r="I412" s="87"/>
      <c r="J412" s="102"/>
      <c r="K412" s="103"/>
      <c r="L412" s="104"/>
      <c r="M412" s="95"/>
      <c r="N412" s="95"/>
      <c r="O412" s="9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  <c r="Z412" s="105"/>
    </row>
    <row r="413" spans="1:26">
      <c r="A413" s="87" t="str">
        <f t="shared" si="1"/>
        <v/>
      </c>
      <c r="B413" s="2"/>
      <c r="C413" s="87"/>
      <c r="D413" s="87"/>
      <c r="E413" s="87"/>
      <c r="F413" s="87"/>
      <c r="G413" s="87"/>
      <c r="H413" s="87"/>
      <c r="I413" s="87"/>
      <c r="J413" s="102"/>
      <c r="K413" s="103"/>
      <c r="L413" s="104"/>
      <c r="M413" s="95"/>
      <c r="N413" s="95"/>
      <c r="O413" s="9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  <c r="Z413" s="105"/>
    </row>
    <row r="414" spans="1:26">
      <c r="A414" s="87" t="str">
        <f t="shared" si="1"/>
        <v/>
      </c>
      <c r="B414" s="2"/>
      <c r="C414" s="87"/>
      <c r="D414" s="87"/>
      <c r="E414" s="87"/>
      <c r="F414" s="87"/>
      <c r="G414" s="87"/>
      <c r="H414" s="87"/>
      <c r="I414" s="87"/>
      <c r="J414" s="102"/>
      <c r="K414" s="103"/>
      <c r="L414" s="104"/>
      <c r="M414" s="95"/>
      <c r="N414" s="95"/>
      <c r="O414" s="9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  <c r="Z414" s="105"/>
    </row>
    <row r="415" spans="1:26">
      <c r="A415" s="87" t="str">
        <f t="shared" si="1"/>
        <v/>
      </c>
      <c r="B415" s="2"/>
      <c r="C415" s="87"/>
      <c r="D415" s="87"/>
      <c r="E415" s="87"/>
      <c r="F415" s="87"/>
      <c r="G415" s="87"/>
      <c r="H415" s="87"/>
      <c r="I415" s="87"/>
      <c r="J415" s="102"/>
      <c r="K415" s="103"/>
      <c r="L415" s="104"/>
      <c r="M415" s="95"/>
      <c r="N415" s="95"/>
      <c r="O415" s="9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  <c r="Z415" s="105"/>
    </row>
    <row r="416" spans="1:26">
      <c r="A416" s="87" t="str">
        <f t="shared" si="1"/>
        <v/>
      </c>
      <c r="B416" s="2"/>
      <c r="C416" s="87"/>
      <c r="D416" s="87"/>
      <c r="E416" s="87"/>
      <c r="F416" s="87"/>
      <c r="G416" s="87"/>
      <c r="H416" s="87"/>
      <c r="I416" s="87"/>
      <c r="J416" s="102"/>
      <c r="K416" s="103"/>
      <c r="L416" s="104"/>
      <c r="M416" s="95"/>
      <c r="N416" s="95"/>
      <c r="O416" s="9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  <c r="Z416" s="105"/>
    </row>
    <row r="417" spans="1:26">
      <c r="A417" s="87" t="str">
        <f t="shared" si="1"/>
        <v/>
      </c>
      <c r="B417" s="2"/>
      <c r="C417" s="87"/>
      <c r="D417" s="87"/>
      <c r="E417" s="87"/>
      <c r="F417" s="87"/>
      <c r="G417" s="87"/>
      <c r="H417" s="87"/>
      <c r="I417" s="87"/>
      <c r="J417" s="102"/>
      <c r="K417" s="103"/>
      <c r="L417" s="104"/>
      <c r="M417" s="95"/>
      <c r="N417" s="95"/>
      <c r="O417" s="9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  <c r="Z417" s="105"/>
    </row>
    <row r="418" spans="1:26">
      <c r="A418" s="87" t="str">
        <f t="shared" si="1"/>
        <v/>
      </c>
      <c r="B418" s="2"/>
      <c r="C418" s="87"/>
      <c r="D418" s="87"/>
      <c r="E418" s="87"/>
      <c r="F418" s="87"/>
      <c r="G418" s="87"/>
      <c r="H418" s="87"/>
      <c r="I418" s="87"/>
      <c r="J418" s="102"/>
      <c r="K418" s="103"/>
      <c r="L418" s="104"/>
      <c r="M418" s="95"/>
      <c r="N418" s="95"/>
      <c r="O418" s="9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  <c r="Z418" s="105"/>
    </row>
    <row r="419" spans="1:26">
      <c r="A419" s="87" t="str">
        <f t="shared" si="1"/>
        <v/>
      </c>
      <c r="B419" s="2"/>
      <c r="C419" s="87"/>
      <c r="D419" s="87"/>
      <c r="E419" s="87"/>
      <c r="F419" s="87"/>
      <c r="G419" s="87"/>
      <c r="H419" s="87"/>
      <c r="I419" s="87"/>
      <c r="J419" s="102"/>
      <c r="K419" s="103"/>
      <c r="L419" s="104"/>
      <c r="M419" s="95"/>
      <c r="N419" s="95"/>
      <c r="O419" s="9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  <c r="Z419" s="105"/>
    </row>
    <row r="420" spans="1:26">
      <c r="A420" s="87" t="str">
        <f t="shared" si="1"/>
        <v/>
      </c>
      <c r="B420" s="2"/>
      <c r="C420" s="87"/>
      <c r="D420" s="87"/>
      <c r="E420" s="87"/>
      <c r="F420" s="87"/>
      <c r="G420" s="87"/>
      <c r="H420" s="87"/>
      <c r="I420" s="87"/>
      <c r="J420" s="102"/>
      <c r="K420" s="103"/>
      <c r="L420" s="104"/>
      <c r="M420" s="95"/>
      <c r="N420" s="95"/>
      <c r="O420" s="9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  <c r="Z420" s="105"/>
    </row>
    <row r="421" spans="1:26">
      <c r="A421" s="87" t="str">
        <f t="shared" si="1"/>
        <v/>
      </c>
      <c r="B421" s="2"/>
      <c r="C421" s="87"/>
      <c r="D421" s="87"/>
      <c r="E421" s="87"/>
      <c r="F421" s="87"/>
      <c r="G421" s="87"/>
      <c r="H421" s="87"/>
      <c r="I421" s="87"/>
      <c r="J421" s="102"/>
      <c r="K421" s="103"/>
      <c r="L421" s="104"/>
      <c r="M421" s="95"/>
      <c r="N421" s="95"/>
      <c r="O421" s="9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  <c r="Z421" s="105"/>
    </row>
    <row r="422" spans="1:26">
      <c r="A422" s="87" t="str">
        <f t="shared" si="1"/>
        <v/>
      </c>
      <c r="B422" s="2"/>
      <c r="C422" s="87"/>
      <c r="D422" s="87"/>
      <c r="E422" s="87"/>
      <c r="F422" s="87"/>
      <c r="G422" s="87"/>
      <c r="H422" s="87"/>
      <c r="I422" s="87"/>
      <c r="J422" s="102"/>
      <c r="K422" s="103"/>
      <c r="L422" s="104"/>
      <c r="M422" s="95"/>
      <c r="N422" s="95"/>
      <c r="O422" s="9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  <c r="Z422" s="105"/>
    </row>
    <row r="423" spans="1:26">
      <c r="A423" s="87" t="str">
        <f t="shared" si="1"/>
        <v/>
      </c>
      <c r="B423" s="2"/>
      <c r="C423" s="87"/>
      <c r="D423" s="87"/>
      <c r="E423" s="87"/>
      <c r="F423" s="87"/>
      <c r="G423" s="87"/>
      <c r="H423" s="87"/>
      <c r="I423" s="87"/>
      <c r="J423" s="102"/>
      <c r="K423" s="103"/>
      <c r="L423" s="104"/>
      <c r="M423" s="95"/>
      <c r="N423" s="95"/>
      <c r="O423" s="9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  <c r="Z423" s="105"/>
    </row>
    <row r="424" spans="1:26">
      <c r="A424" s="87" t="str">
        <f t="shared" si="1"/>
        <v/>
      </c>
      <c r="B424" s="2"/>
      <c r="C424" s="87"/>
      <c r="D424" s="87"/>
      <c r="E424" s="87"/>
      <c r="F424" s="87"/>
      <c r="G424" s="87"/>
      <c r="H424" s="87"/>
      <c r="I424" s="87"/>
      <c r="J424" s="102"/>
      <c r="K424" s="103"/>
      <c r="L424" s="104"/>
      <c r="M424" s="95"/>
      <c r="N424" s="95"/>
      <c r="O424" s="95"/>
      <c r="P424" s="105"/>
      <c r="Q424" s="105"/>
      <c r="R424" s="105"/>
      <c r="S424" s="105"/>
      <c r="T424" s="105"/>
      <c r="U424" s="105"/>
      <c r="V424" s="105"/>
      <c r="W424" s="105"/>
      <c r="X424" s="105"/>
      <c r="Y424" s="105"/>
      <c r="Z424" s="105"/>
    </row>
    <row r="425" spans="1:26">
      <c r="A425" s="87" t="str">
        <f t="shared" si="1"/>
        <v/>
      </c>
      <c r="B425" s="2"/>
      <c r="C425" s="87"/>
      <c r="D425" s="87"/>
      <c r="E425" s="87"/>
      <c r="F425" s="87"/>
      <c r="G425" s="87"/>
      <c r="H425" s="87"/>
      <c r="I425" s="87"/>
      <c r="J425" s="102"/>
      <c r="K425" s="103"/>
      <c r="L425" s="104"/>
      <c r="M425" s="95"/>
      <c r="N425" s="95"/>
      <c r="O425" s="95"/>
      <c r="P425" s="105"/>
      <c r="Q425" s="105"/>
      <c r="R425" s="105"/>
      <c r="S425" s="105"/>
      <c r="T425" s="105"/>
      <c r="U425" s="105"/>
      <c r="V425" s="105"/>
      <c r="W425" s="105"/>
      <c r="X425" s="105"/>
      <c r="Y425" s="105"/>
      <c r="Z425" s="105"/>
    </row>
    <row r="426" spans="1:26">
      <c r="A426" s="87" t="str">
        <f t="shared" si="1"/>
        <v/>
      </c>
      <c r="B426" s="2"/>
      <c r="C426" s="87"/>
      <c r="D426" s="87"/>
      <c r="E426" s="87"/>
      <c r="F426" s="87"/>
      <c r="G426" s="87"/>
      <c r="H426" s="87"/>
      <c r="I426" s="87"/>
      <c r="J426" s="102"/>
      <c r="K426" s="103"/>
      <c r="L426" s="104"/>
      <c r="M426" s="95"/>
      <c r="N426" s="95"/>
      <c r="O426" s="9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  <c r="Z426" s="105"/>
    </row>
    <row r="427" spans="1:26">
      <c r="A427" s="87" t="str">
        <f t="shared" si="1"/>
        <v/>
      </c>
      <c r="B427" s="2"/>
      <c r="C427" s="87"/>
      <c r="D427" s="87"/>
      <c r="E427" s="87"/>
      <c r="F427" s="87"/>
      <c r="G427" s="87"/>
      <c r="H427" s="87"/>
      <c r="I427" s="87"/>
      <c r="J427" s="102"/>
      <c r="K427" s="103"/>
      <c r="L427" s="104"/>
      <c r="M427" s="95"/>
      <c r="N427" s="95"/>
      <c r="O427" s="9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  <c r="Z427" s="105"/>
    </row>
    <row r="428" spans="1:26">
      <c r="A428" s="87" t="str">
        <f t="shared" si="1"/>
        <v/>
      </c>
      <c r="B428" s="2"/>
      <c r="C428" s="87"/>
      <c r="D428" s="87"/>
      <c r="E428" s="87"/>
      <c r="F428" s="87"/>
      <c r="G428" s="87"/>
      <c r="H428" s="87"/>
      <c r="I428" s="87"/>
      <c r="J428" s="102"/>
      <c r="K428" s="103"/>
      <c r="L428" s="104"/>
      <c r="M428" s="95"/>
      <c r="N428" s="95"/>
      <c r="O428" s="9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  <c r="Z428" s="105"/>
    </row>
    <row r="429" spans="1:26">
      <c r="A429" s="87" t="str">
        <f t="shared" si="1"/>
        <v/>
      </c>
      <c r="B429" s="2"/>
      <c r="C429" s="87"/>
      <c r="D429" s="87"/>
      <c r="E429" s="87"/>
      <c r="F429" s="87"/>
      <c r="G429" s="87"/>
      <c r="H429" s="87"/>
      <c r="I429" s="87"/>
      <c r="J429" s="102"/>
      <c r="K429" s="103"/>
      <c r="L429" s="104"/>
      <c r="M429" s="95"/>
      <c r="N429" s="95"/>
      <c r="O429" s="9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  <c r="Z429" s="105"/>
    </row>
    <row r="430" spans="1:26">
      <c r="A430" s="87" t="str">
        <f t="shared" si="1"/>
        <v/>
      </c>
      <c r="B430" s="2"/>
      <c r="C430" s="87"/>
      <c r="D430" s="87"/>
      <c r="E430" s="87"/>
      <c r="F430" s="87"/>
      <c r="G430" s="87"/>
      <c r="H430" s="87"/>
      <c r="I430" s="87"/>
      <c r="J430" s="102"/>
      <c r="K430" s="103"/>
      <c r="L430" s="104"/>
      <c r="M430" s="95"/>
      <c r="N430" s="95"/>
      <c r="O430" s="95"/>
      <c r="P430" s="105"/>
      <c r="Q430" s="105"/>
      <c r="R430" s="105"/>
      <c r="S430" s="105"/>
      <c r="T430" s="105"/>
      <c r="U430" s="105"/>
      <c r="V430" s="105"/>
      <c r="W430" s="105"/>
      <c r="X430" s="105"/>
      <c r="Y430" s="105"/>
      <c r="Z430" s="105"/>
    </row>
    <row r="431" spans="1:26">
      <c r="A431" s="87" t="str">
        <f t="shared" si="1"/>
        <v/>
      </c>
      <c r="B431" s="2"/>
      <c r="C431" s="87"/>
      <c r="D431" s="87"/>
      <c r="E431" s="87"/>
      <c r="F431" s="87"/>
      <c r="G431" s="87"/>
      <c r="H431" s="87"/>
      <c r="I431" s="87"/>
      <c r="J431" s="102"/>
      <c r="K431" s="103"/>
      <c r="L431" s="104"/>
      <c r="M431" s="95"/>
      <c r="N431" s="95"/>
      <c r="O431" s="9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  <c r="Z431" s="105"/>
    </row>
    <row r="432" spans="1:26">
      <c r="A432" s="87" t="str">
        <f t="shared" si="1"/>
        <v/>
      </c>
      <c r="B432" s="2"/>
      <c r="C432" s="87"/>
      <c r="D432" s="87"/>
      <c r="E432" s="87"/>
      <c r="F432" s="87"/>
      <c r="G432" s="87"/>
      <c r="H432" s="87"/>
      <c r="I432" s="87"/>
      <c r="J432" s="102"/>
      <c r="K432" s="103"/>
      <c r="L432" s="104"/>
      <c r="M432" s="95"/>
      <c r="N432" s="95"/>
      <c r="O432" s="9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  <c r="Z432" s="105"/>
    </row>
    <row r="433" spans="1:26">
      <c r="A433" s="87" t="str">
        <f t="shared" si="1"/>
        <v/>
      </c>
      <c r="B433" s="2"/>
      <c r="C433" s="87"/>
      <c r="D433" s="87"/>
      <c r="E433" s="87"/>
      <c r="F433" s="87"/>
      <c r="G433" s="87"/>
      <c r="H433" s="87"/>
      <c r="I433" s="87"/>
      <c r="J433" s="102"/>
      <c r="K433" s="103"/>
      <c r="L433" s="104"/>
      <c r="M433" s="95"/>
      <c r="N433" s="95"/>
      <c r="O433" s="9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  <c r="Z433" s="105"/>
    </row>
    <row r="434" spans="1:26">
      <c r="A434" s="87" t="str">
        <f t="shared" si="1"/>
        <v/>
      </c>
      <c r="B434" s="2"/>
      <c r="C434" s="87"/>
      <c r="D434" s="87"/>
      <c r="E434" s="87"/>
      <c r="F434" s="87"/>
      <c r="G434" s="87"/>
      <c r="H434" s="87"/>
      <c r="I434" s="87"/>
      <c r="J434" s="102"/>
      <c r="K434" s="103"/>
      <c r="L434" s="104"/>
      <c r="M434" s="95"/>
      <c r="N434" s="95"/>
      <c r="O434" s="9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  <c r="Z434" s="105"/>
    </row>
    <row r="435" spans="1:26">
      <c r="A435" s="87" t="str">
        <f t="shared" si="1"/>
        <v/>
      </c>
      <c r="B435" s="2"/>
      <c r="C435" s="87"/>
      <c r="D435" s="87"/>
      <c r="E435" s="87"/>
      <c r="F435" s="87"/>
      <c r="G435" s="87"/>
      <c r="H435" s="87"/>
      <c r="I435" s="87"/>
      <c r="J435" s="102"/>
      <c r="K435" s="103"/>
      <c r="L435" s="104"/>
      <c r="M435" s="95"/>
      <c r="N435" s="95"/>
      <c r="O435" s="9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  <c r="Z435" s="105"/>
    </row>
    <row r="436" spans="1:26">
      <c r="A436" s="87" t="str">
        <f t="shared" si="1"/>
        <v/>
      </c>
      <c r="B436" s="2"/>
      <c r="C436" s="87"/>
      <c r="D436" s="87"/>
      <c r="E436" s="87"/>
      <c r="F436" s="87"/>
      <c r="G436" s="87"/>
      <c r="H436" s="87"/>
      <c r="I436" s="87"/>
      <c r="J436" s="102"/>
      <c r="K436" s="103"/>
      <c r="L436" s="104"/>
      <c r="M436" s="95"/>
      <c r="N436" s="95"/>
      <c r="O436" s="9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  <c r="Z436" s="105"/>
    </row>
    <row r="437" spans="1:26">
      <c r="A437" s="87" t="str">
        <f t="shared" si="1"/>
        <v/>
      </c>
      <c r="B437" s="2"/>
      <c r="C437" s="87"/>
      <c r="D437" s="87"/>
      <c r="E437" s="87"/>
      <c r="F437" s="87"/>
      <c r="G437" s="87"/>
      <c r="H437" s="87"/>
      <c r="I437" s="87"/>
      <c r="J437" s="102"/>
      <c r="K437" s="103"/>
      <c r="L437" s="104"/>
      <c r="M437" s="95"/>
      <c r="N437" s="95"/>
      <c r="O437" s="9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  <c r="Z437" s="105"/>
    </row>
    <row r="438" spans="1:26">
      <c r="A438" s="87" t="str">
        <f t="shared" si="1"/>
        <v/>
      </c>
      <c r="B438" s="2"/>
      <c r="C438" s="87"/>
      <c r="D438" s="87"/>
      <c r="E438" s="87"/>
      <c r="F438" s="87"/>
      <c r="G438" s="87"/>
      <c r="H438" s="87"/>
      <c r="I438" s="87"/>
      <c r="J438" s="102"/>
      <c r="K438" s="103"/>
      <c r="L438" s="104"/>
      <c r="M438" s="95"/>
      <c r="N438" s="95"/>
      <c r="O438" s="9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  <c r="Z438" s="105"/>
    </row>
    <row r="439" spans="1:26">
      <c r="A439" s="87" t="str">
        <f t="shared" si="1"/>
        <v/>
      </c>
      <c r="B439" s="2"/>
      <c r="C439" s="87"/>
      <c r="D439" s="87"/>
      <c r="E439" s="87"/>
      <c r="F439" s="87"/>
      <c r="G439" s="87"/>
      <c r="H439" s="87"/>
      <c r="I439" s="87"/>
      <c r="J439" s="102"/>
      <c r="K439" s="103"/>
      <c r="L439" s="104"/>
      <c r="M439" s="95"/>
      <c r="N439" s="95"/>
      <c r="O439" s="9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  <c r="Z439" s="105"/>
    </row>
    <row r="440" spans="1:26">
      <c r="A440" s="87" t="str">
        <f t="shared" si="1"/>
        <v/>
      </c>
      <c r="B440" s="2"/>
      <c r="C440" s="87"/>
      <c r="D440" s="87"/>
      <c r="E440" s="87"/>
      <c r="F440" s="87"/>
      <c r="G440" s="87"/>
      <c r="H440" s="87"/>
      <c r="I440" s="87"/>
      <c r="J440" s="102"/>
      <c r="K440" s="103"/>
      <c r="L440" s="104"/>
      <c r="M440" s="95"/>
      <c r="N440" s="95"/>
      <c r="O440" s="9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  <c r="Z440" s="105"/>
    </row>
    <row r="441" spans="1:26">
      <c r="A441" s="87" t="str">
        <f t="shared" si="1"/>
        <v/>
      </c>
      <c r="B441" s="2"/>
      <c r="C441" s="87"/>
      <c r="D441" s="87"/>
      <c r="E441" s="87"/>
      <c r="F441" s="87"/>
      <c r="G441" s="87"/>
      <c r="H441" s="87"/>
      <c r="I441" s="87"/>
      <c r="J441" s="102"/>
      <c r="K441" s="103"/>
      <c r="L441" s="104"/>
      <c r="M441" s="95"/>
      <c r="N441" s="95"/>
      <c r="O441" s="9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  <c r="Z441" s="105"/>
    </row>
    <row r="442" spans="1:26">
      <c r="A442" s="87" t="str">
        <f t="shared" si="1"/>
        <v/>
      </c>
      <c r="B442" s="2"/>
      <c r="C442" s="87"/>
      <c r="D442" s="87"/>
      <c r="E442" s="87"/>
      <c r="F442" s="87"/>
      <c r="G442" s="87"/>
      <c r="H442" s="87"/>
      <c r="I442" s="87"/>
      <c r="J442" s="102"/>
      <c r="K442" s="103"/>
      <c r="L442" s="104"/>
      <c r="M442" s="95"/>
      <c r="N442" s="95"/>
      <c r="O442" s="9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  <c r="Z442" s="105"/>
    </row>
    <row r="443" spans="1:26">
      <c r="A443" s="87" t="str">
        <f t="shared" si="1"/>
        <v/>
      </c>
      <c r="B443" s="2"/>
      <c r="C443" s="87"/>
      <c r="D443" s="87"/>
      <c r="E443" s="87"/>
      <c r="F443" s="87"/>
      <c r="G443" s="87"/>
      <c r="H443" s="87"/>
      <c r="I443" s="87"/>
      <c r="J443" s="102"/>
      <c r="K443" s="103"/>
      <c r="L443" s="104"/>
      <c r="M443" s="95"/>
      <c r="N443" s="95"/>
      <c r="O443" s="9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  <c r="Z443" s="105"/>
    </row>
    <row r="444" spans="1:26">
      <c r="A444" s="87" t="str">
        <f t="shared" si="1"/>
        <v/>
      </c>
      <c r="B444" s="2"/>
      <c r="C444" s="87"/>
      <c r="D444" s="87"/>
      <c r="E444" s="87"/>
      <c r="F444" s="87"/>
      <c r="G444" s="87"/>
      <c r="H444" s="87"/>
      <c r="I444" s="87"/>
      <c r="J444" s="102"/>
      <c r="K444" s="103"/>
      <c r="L444" s="104"/>
      <c r="M444" s="95"/>
      <c r="N444" s="95"/>
      <c r="O444" s="9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  <c r="Z444" s="105"/>
    </row>
    <row r="445" spans="1:26">
      <c r="A445" s="87" t="str">
        <f t="shared" si="1"/>
        <v/>
      </c>
      <c r="B445" s="2"/>
      <c r="C445" s="87"/>
      <c r="D445" s="87"/>
      <c r="E445" s="87"/>
      <c r="F445" s="87"/>
      <c r="G445" s="87"/>
      <c r="H445" s="87"/>
      <c r="I445" s="87"/>
      <c r="J445" s="102"/>
      <c r="K445" s="103"/>
      <c r="L445" s="104"/>
      <c r="M445" s="95"/>
      <c r="N445" s="95"/>
      <c r="O445" s="9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  <c r="Z445" s="105"/>
    </row>
    <row r="446" spans="1:26">
      <c r="A446" s="87" t="str">
        <f t="shared" si="1"/>
        <v/>
      </c>
      <c r="B446" s="2"/>
      <c r="C446" s="87"/>
      <c r="D446" s="87"/>
      <c r="E446" s="87"/>
      <c r="F446" s="87"/>
      <c r="G446" s="87"/>
      <c r="H446" s="87"/>
      <c r="I446" s="87"/>
      <c r="J446" s="102"/>
      <c r="K446" s="103"/>
      <c r="L446" s="104"/>
      <c r="M446" s="95"/>
      <c r="N446" s="95"/>
      <c r="O446" s="9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  <c r="Z446" s="105"/>
    </row>
    <row r="447" spans="1:26">
      <c r="A447" s="87" t="str">
        <f t="shared" si="1"/>
        <v/>
      </c>
      <c r="B447" s="2"/>
      <c r="C447" s="87"/>
      <c r="D447" s="87"/>
      <c r="E447" s="87"/>
      <c r="F447" s="87"/>
      <c r="G447" s="87"/>
      <c r="H447" s="87"/>
      <c r="I447" s="87"/>
      <c r="J447" s="102"/>
      <c r="K447" s="103"/>
      <c r="L447" s="104"/>
      <c r="M447" s="95"/>
      <c r="N447" s="95"/>
      <c r="O447" s="9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  <c r="Z447" s="105"/>
    </row>
    <row r="448" spans="1:26">
      <c r="A448" s="87" t="str">
        <f t="shared" si="1"/>
        <v/>
      </c>
      <c r="B448" s="2"/>
      <c r="C448" s="87"/>
      <c r="D448" s="87"/>
      <c r="E448" s="87"/>
      <c r="F448" s="87"/>
      <c r="G448" s="87"/>
      <c r="H448" s="87"/>
      <c r="I448" s="87"/>
      <c r="J448" s="102"/>
      <c r="K448" s="103"/>
      <c r="L448" s="104"/>
      <c r="M448" s="95"/>
      <c r="N448" s="95"/>
      <c r="O448" s="9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  <c r="Z448" s="105"/>
    </row>
    <row r="449" spans="1:26">
      <c r="A449" s="87" t="str">
        <f t="shared" si="1"/>
        <v/>
      </c>
      <c r="B449" s="2"/>
      <c r="C449" s="87"/>
      <c r="D449" s="87"/>
      <c r="E449" s="87"/>
      <c r="F449" s="87"/>
      <c r="G449" s="87"/>
      <c r="H449" s="87"/>
      <c r="I449" s="87"/>
      <c r="J449" s="102"/>
      <c r="K449" s="103"/>
      <c r="L449" s="104"/>
      <c r="M449" s="95"/>
      <c r="N449" s="95"/>
      <c r="O449" s="9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  <c r="Z449" s="105"/>
    </row>
    <row r="450" spans="1:26">
      <c r="A450" s="87" t="str">
        <f t="shared" si="1"/>
        <v/>
      </c>
      <c r="B450" s="2"/>
      <c r="C450" s="87"/>
      <c r="D450" s="87"/>
      <c r="E450" s="87"/>
      <c r="F450" s="87"/>
      <c r="G450" s="87"/>
      <c r="H450" s="87"/>
      <c r="I450" s="87"/>
      <c r="J450" s="102"/>
      <c r="K450" s="103"/>
      <c r="L450" s="104"/>
      <c r="M450" s="95"/>
      <c r="N450" s="95"/>
      <c r="O450" s="9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  <c r="Z450" s="105"/>
    </row>
    <row r="451" spans="1:26">
      <c r="A451" s="87" t="str">
        <f t="shared" si="1"/>
        <v/>
      </c>
      <c r="B451" s="2"/>
      <c r="C451" s="87"/>
      <c r="D451" s="87"/>
      <c r="E451" s="87"/>
      <c r="F451" s="87"/>
      <c r="G451" s="87"/>
      <c r="H451" s="87"/>
      <c r="I451" s="87"/>
      <c r="J451" s="102"/>
      <c r="K451" s="103"/>
      <c r="L451" s="104"/>
      <c r="M451" s="95"/>
      <c r="N451" s="95"/>
      <c r="O451" s="9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  <c r="Z451" s="105"/>
    </row>
    <row r="452" spans="1:26">
      <c r="A452" s="87" t="str">
        <f t="shared" si="1"/>
        <v/>
      </c>
      <c r="B452" s="2"/>
      <c r="C452" s="87"/>
      <c r="D452" s="87"/>
      <c r="E452" s="87"/>
      <c r="F452" s="87"/>
      <c r="G452" s="87"/>
      <c r="H452" s="87"/>
      <c r="I452" s="87"/>
      <c r="J452" s="102"/>
      <c r="K452" s="103"/>
      <c r="L452" s="104"/>
      <c r="M452" s="95"/>
      <c r="N452" s="95"/>
      <c r="O452" s="9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  <c r="Z452" s="105"/>
    </row>
    <row r="453" spans="1:26">
      <c r="A453" s="87" t="str">
        <f t="shared" si="1"/>
        <v/>
      </c>
      <c r="B453" s="2"/>
      <c r="C453" s="87"/>
      <c r="D453" s="87"/>
      <c r="E453" s="87"/>
      <c r="F453" s="87"/>
      <c r="G453" s="87"/>
      <c r="H453" s="87"/>
      <c r="I453" s="87"/>
      <c r="J453" s="102"/>
      <c r="K453" s="103"/>
      <c r="L453" s="104"/>
      <c r="M453" s="95"/>
      <c r="N453" s="95"/>
      <c r="O453" s="9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  <c r="Z453" s="105"/>
    </row>
    <row r="454" spans="1:26">
      <c r="A454" s="87" t="str">
        <f t="shared" si="1"/>
        <v/>
      </c>
      <c r="B454" s="2"/>
      <c r="C454" s="87"/>
      <c r="D454" s="87"/>
      <c r="E454" s="87"/>
      <c r="F454" s="87"/>
      <c r="G454" s="87"/>
      <c r="H454" s="87"/>
      <c r="I454" s="87"/>
      <c r="J454" s="102"/>
      <c r="K454" s="103"/>
      <c r="L454" s="104"/>
      <c r="M454" s="95"/>
      <c r="N454" s="95"/>
      <c r="O454" s="95"/>
      <c r="P454" s="105"/>
      <c r="Q454" s="105"/>
      <c r="R454" s="105"/>
      <c r="S454" s="105"/>
      <c r="T454" s="105"/>
      <c r="U454" s="105"/>
      <c r="V454" s="105"/>
      <c r="W454" s="105"/>
      <c r="X454" s="105"/>
      <c r="Y454" s="105"/>
      <c r="Z454" s="105"/>
    </row>
    <row r="455" spans="1:26">
      <c r="A455" s="87" t="str">
        <f t="shared" si="1"/>
        <v/>
      </c>
      <c r="B455" s="2"/>
      <c r="C455" s="87"/>
      <c r="D455" s="87"/>
      <c r="E455" s="87"/>
      <c r="F455" s="87"/>
      <c r="G455" s="87"/>
      <c r="H455" s="87"/>
      <c r="I455" s="87"/>
      <c r="J455" s="102"/>
      <c r="K455" s="103"/>
      <c r="L455" s="104"/>
      <c r="M455" s="95"/>
      <c r="N455" s="95"/>
      <c r="O455" s="9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  <c r="Z455" s="105"/>
    </row>
    <row r="456" spans="1:26">
      <c r="A456" s="87" t="str">
        <f t="shared" si="1"/>
        <v/>
      </c>
      <c r="B456" s="2"/>
      <c r="C456" s="87"/>
      <c r="D456" s="87"/>
      <c r="E456" s="87"/>
      <c r="F456" s="87"/>
      <c r="G456" s="87"/>
      <c r="H456" s="87"/>
      <c r="I456" s="87"/>
      <c r="J456" s="102"/>
      <c r="K456" s="103"/>
      <c r="L456" s="104"/>
      <c r="M456" s="95"/>
      <c r="N456" s="95"/>
      <c r="O456" s="9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  <c r="Z456" s="105"/>
    </row>
    <row r="457" spans="1:26">
      <c r="A457" s="87" t="str">
        <f t="shared" si="1"/>
        <v/>
      </c>
      <c r="B457" s="2"/>
      <c r="C457" s="87"/>
      <c r="D457" s="87"/>
      <c r="E457" s="87"/>
      <c r="F457" s="87"/>
      <c r="G457" s="87"/>
      <c r="H457" s="87"/>
      <c r="I457" s="87"/>
      <c r="J457" s="102"/>
      <c r="K457" s="103"/>
      <c r="L457" s="104"/>
      <c r="M457" s="95"/>
      <c r="N457" s="95"/>
      <c r="O457" s="9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  <c r="Z457" s="105"/>
    </row>
    <row r="458" spans="1:26">
      <c r="A458" s="87" t="str">
        <f t="shared" si="1"/>
        <v/>
      </c>
      <c r="B458" s="2"/>
      <c r="C458" s="87"/>
      <c r="D458" s="87"/>
      <c r="E458" s="87"/>
      <c r="F458" s="87"/>
      <c r="G458" s="87"/>
      <c r="H458" s="87"/>
      <c r="I458" s="87"/>
      <c r="J458" s="102"/>
      <c r="K458" s="103"/>
      <c r="L458" s="104"/>
      <c r="M458" s="95"/>
      <c r="N458" s="95"/>
      <c r="O458" s="9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  <c r="Z458" s="105"/>
    </row>
    <row r="459" spans="1:26">
      <c r="A459" s="87" t="str">
        <f t="shared" si="1"/>
        <v/>
      </c>
      <c r="B459" s="2"/>
      <c r="C459" s="87"/>
      <c r="D459" s="87"/>
      <c r="E459" s="87"/>
      <c r="F459" s="87"/>
      <c r="G459" s="87"/>
      <c r="H459" s="87"/>
      <c r="I459" s="87"/>
      <c r="J459" s="102"/>
      <c r="K459" s="103"/>
      <c r="L459" s="104"/>
      <c r="M459" s="95"/>
      <c r="N459" s="95"/>
      <c r="O459" s="95"/>
      <c r="P459" s="105"/>
      <c r="Q459" s="105"/>
      <c r="R459" s="105"/>
      <c r="S459" s="105"/>
      <c r="T459" s="105"/>
      <c r="U459" s="105"/>
      <c r="V459" s="105"/>
      <c r="W459" s="105"/>
      <c r="X459" s="105"/>
      <c r="Y459" s="105"/>
      <c r="Z459" s="105"/>
    </row>
    <row r="460" spans="1:26">
      <c r="A460" s="87" t="str">
        <f t="shared" si="1"/>
        <v/>
      </c>
      <c r="B460" s="2"/>
      <c r="C460" s="87"/>
      <c r="D460" s="87"/>
      <c r="E460" s="87"/>
      <c r="F460" s="87"/>
      <c r="G460" s="87"/>
      <c r="H460" s="87"/>
      <c r="I460" s="87"/>
      <c r="J460" s="102"/>
      <c r="K460" s="103"/>
      <c r="L460" s="104"/>
      <c r="M460" s="95"/>
      <c r="N460" s="95"/>
      <c r="O460" s="9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  <c r="Z460" s="105"/>
    </row>
    <row r="461" spans="1:26">
      <c r="A461" s="87" t="str">
        <f t="shared" si="1"/>
        <v/>
      </c>
      <c r="B461" s="2"/>
      <c r="C461" s="87"/>
      <c r="D461" s="87"/>
      <c r="E461" s="87"/>
      <c r="F461" s="87"/>
      <c r="G461" s="87"/>
      <c r="H461" s="87"/>
      <c r="I461" s="87"/>
      <c r="J461" s="102"/>
      <c r="K461" s="103"/>
      <c r="L461" s="104"/>
      <c r="M461" s="95"/>
      <c r="N461" s="95"/>
      <c r="O461" s="95"/>
      <c r="P461" s="105"/>
      <c r="Q461" s="105"/>
      <c r="R461" s="105"/>
      <c r="S461" s="105"/>
      <c r="T461" s="105"/>
      <c r="U461" s="105"/>
      <c r="V461" s="105"/>
      <c r="W461" s="105"/>
      <c r="X461" s="105"/>
      <c r="Y461" s="105"/>
      <c r="Z461" s="105"/>
    </row>
    <row r="462" spans="1:26">
      <c r="A462" s="87" t="str">
        <f t="shared" si="1"/>
        <v/>
      </c>
      <c r="B462" s="2"/>
      <c r="C462" s="87"/>
      <c r="D462" s="87"/>
      <c r="E462" s="87"/>
      <c r="F462" s="87"/>
      <c r="G462" s="87"/>
      <c r="H462" s="87"/>
      <c r="I462" s="87"/>
      <c r="J462" s="102"/>
      <c r="K462" s="103"/>
      <c r="L462" s="104"/>
      <c r="M462" s="95"/>
      <c r="N462" s="95"/>
      <c r="O462" s="95"/>
      <c r="P462" s="105"/>
      <c r="Q462" s="105"/>
      <c r="R462" s="105"/>
      <c r="S462" s="105"/>
      <c r="T462" s="105"/>
      <c r="U462" s="105"/>
      <c r="V462" s="105"/>
      <c r="W462" s="105"/>
      <c r="X462" s="105"/>
      <c r="Y462" s="105"/>
      <c r="Z462" s="105"/>
    </row>
    <row r="463" spans="1:26">
      <c r="A463" s="87" t="str">
        <f t="shared" si="1"/>
        <v/>
      </c>
      <c r="B463" s="2"/>
      <c r="C463" s="87"/>
      <c r="D463" s="87"/>
      <c r="E463" s="87"/>
      <c r="F463" s="87"/>
      <c r="G463" s="87"/>
      <c r="H463" s="87"/>
      <c r="I463" s="87"/>
      <c r="J463" s="102"/>
      <c r="K463" s="103"/>
      <c r="L463" s="104"/>
      <c r="M463" s="95"/>
      <c r="N463" s="95"/>
      <c r="O463" s="9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  <c r="Z463" s="105"/>
    </row>
    <row r="464" spans="1:26">
      <c r="A464" s="87" t="str">
        <f t="shared" si="1"/>
        <v/>
      </c>
      <c r="B464" s="2"/>
      <c r="C464" s="87"/>
      <c r="D464" s="87"/>
      <c r="E464" s="87"/>
      <c r="F464" s="87"/>
      <c r="G464" s="87"/>
      <c r="H464" s="87"/>
      <c r="I464" s="87"/>
      <c r="J464" s="102"/>
      <c r="K464" s="103"/>
      <c r="L464" s="104"/>
      <c r="M464" s="95"/>
      <c r="N464" s="95"/>
      <c r="O464" s="95"/>
      <c r="P464" s="105"/>
      <c r="Q464" s="105"/>
      <c r="R464" s="105"/>
      <c r="S464" s="105"/>
      <c r="T464" s="105"/>
      <c r="U464" s="105"/>
      <c r="V464" s="105"/>
      <c r="W464" s="105"/>
      <c r="X464" s="105"/>
      <c r="Y464" s="105"/>
      <c r="Z464" s="105"/>
    </row>
    <row r="465" spans="1:26">
      <c r="A465" s="87" t="str">
        <f t="shared" si="1"/>
        <v/>
      </c>
      <c r="B465" s="2"/>
      <c r="C465" s="87"/>
      <c r="D465" s="87"/>
      <c r="E465" s="87"/>
      <c r="F465" s="87"/>
      <c r="G465" s="87"/>
      <c r="H465" s="87"/>
      <c r="I465" s="87"/>
      <c r="J465" s="102"/>
      <c r="K465" s="103"/>
      <c r="L465" s="104"/>
      <c r="M465" s="95"/>
      <c r="N465" s="95"/>
      <c r="O465" s="95"/>
      <c r="P465" s="105"/>
      <c r="Q465" s="105"/>
      <c r="R465" s="105"/>
      <c r="S465" s="105"/>
      <c r="T465" s="105"/>
      <c r="U465" s="105"/>
      <c r="V465" s="105"/>
      <c r="W465" s="105"/>
      <c r="X465" s="105"/>
      <c r="Y465" s="105"/>
      <c r="Z465" s="105"/>
    </row>
    <row r="466" spans="1:26">
      <c r="A466" s="87" t="str">
        <f t="shared" si="1"/>
        <v/>
      </c>
      <c r="B466" s="2"/>
      <c r="C466" s="87"/>
      <c r="D466" s="87"/>
      <c r="E466" s="87"/>
      <c r="F466" s="87"/>
      <c r="G466" s="87"/>
      <c r="H466" s="87"/>
      <c r="I466" s="87"/>
      <c r="J466" s="102"/>
      <c r="K466" s="103"/>
      <c r="L466" s="104"/>
      <c r="M466" s="95"/>
      <c r="N466" s="95"/>
      <c r="O466" s="9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  <c r="Z466" s="105"/>
    </row>
    <row r="467" spans="1:26">
      <c r="A467" s="87" t="str">
        <f t="shared" si="1"/>
        <v/>
      </c>
      <c r="B467" s="2"/>
      <c r="C467" s="87"/>
      <c r="D467" s="87"/>
      <c r="E467" s="87"/>
      <c r="F467" s="87"/>
      <c r="G467" s="87"/>
      <c r="H467" s="87"/>
      <c r="I467" s="87"/>
      <c r="J467" s="102"/>
      <c r="K467" s="103"/>
      <c r="L467" s="104"/>
      <c r="M467" s="95"/>
      <c r="N467" s="95"/>
      <c r="O467" s="9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  <c r="Z467" s="105"/>
    </row>
    <row r="468" spans="1:26">
      <c r="A468" s="87" t="str">
        <f t="shared" si="1"/>
        <v/>
      </c>
      <c r="B468" s="2"/>
      <c r="C468" s="87"/>
      <c r="D468" s="87"/>
      <c r="E468" s="87"/>
      <c r="F468" s="87"/>
      <c r="G468" s="87"/>
      <c r="H468" s="87"/>
      <c r="I468" s="87"/>
      <c r="J468" s="102"/>
      <c r="K468" s="103"/>
      <c r="L468" s="104"/>
      <c r="M468" s="95"/>
      <c r="N468" s="95"/>
      <c r="O468" s="95"/>
      <c r="P468" s="105"/>
      <c r="Q468" s="105"/>
      <c r="R468" s="105"/>
      <c r="S468" s="105"/>
      <c r="T468" s="105"/>
      <c r="U468" s="105"/>
      <c r="V468" s="105"/>
      <c r="W468" s="105"/>
      <c r="X468" s="105"/>
      <c r="Y468" s="105"/>
      <c r="Z468" s="105"/>
    </row>
    <row r="469" spans="1:26">
      <c r="A469" s="87" t="str">
        <f t="shared" si="1"/>
        <v/>
      </c>
      <c r="B469" s="2"/>
      <c r="C469" s="87"/>
      <c r="D469" s="87"/>
      <c r="E469" s="87"/>
      <c r="F469" s="87"/>
      <c r="G469" s="87"/>
      <c r="H469" s="87"/>
      <c r="I469" s="87"/>
      <c r="J469" s="102"/>
      <c r="K469" s="103"/>
      <c r="L469" s="104"/>
      <c r="M469" s="95"/>
      <c r="N469" s="95"/>
      <c r="O469" s="9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  <c r="Z469" s="105"/>
    </row>
    <row r="470" spans="1:26">
      <c r="A470" s="87" t="str">
        <f t="shared" si="1"/>
        <v/>
      </c>
      <c r="B470" s="2"/>
      <c r="C470" s="87"/>
      <c r="D470" s="87"/>
      <c r="E470" s="87"/>
      <c r="F470" s="87"/>
      <c r="G470" s="87"/>
      <c r="H470" s="87"/>
      <c r="I470" s="87"/>
      <c r="J470" s="102"/>
      <c r="K470" s="103"/>
      <c r="L470" s="104"/>
      <c r="M470" s="95"/>
      <c r="N470" s="95"/>
      <c r="O470" s="9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  <c r="Z470" s="105"/>
    </row>
    <row r="471" spans="1:26">
      <c r="A471" s="87" t="str">
        <f t="shared" si="1"/>
        <v/>
      </c>
      <c r="B471" s="2"/>
      <c r="C471" s="87"/>
      <c r="D471" s="87"/>
      <c r="E471" s="87"/>
      <c r="F471" s="87"/>
      <c r="G471" s="87"/>
      <c r="H471" s="87"/>
      <c r="I471" s="87"/>
      <c r="J471" s="102"/>
      <c r="K471" s="103"/>
      <c r="L471" s="104"/>
      <c r="M471" s="95"/>
      <c r="N471" s="95"/>
      <c r="O471" s="9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  <c r="Z471" s="105"/>
    </row>
    <row r="472" spans="1:26">
      <c r="A472" s="87" t="str">
        <f t="shared" si="1"/>
        <v/>
      </c>
      <c r="B472" s="2"/>
      <c r="C472" s="87"/>
      <c r="D472" s="87"/>
      <c r="E472" s="87"/>
      <c r="F472" s="87"/>
      <c r="G472" s="87"/>
      <c r="H472" s="87"/>
      <c r="I472" s="87"/>
      <c r="J472" s="102"/>
      <c r="K472" s="103"/>
      <c r="L472" s="104"/>
      <c r="M472" s="95"/>
      <c r="N472" s="95"/>
      <c r="O472" s="9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  <c r="Z472" s="105"/>
    </row>
    <row r="473" spans="1:26">
      <c r="A473" s="87" t="str">
        <f t="shared" si="1"/>
        <v/>
      </c>
      <c r="B473" s="2"/>
      <c r="C473" s="87"/>
      <c r="D473" s="87"/>
      <c r="E473" s="87"/>
      <c r="F473" s="87"/>
      <c r="G473" s="87"/>
      <c r="H473" s="87"/>
      <c r="I473" s="87"/>
      <c r="J473" s="102"/>
      <c r="K473" s="103"/>
      <c r="L473" s="104"/>
      <c r="M473" s="95"/>
      <c r="N473" s="95"/>
      <c r="O473" s="9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  <c r="Z473" s="105"/>
    </row>
    <row r="474" spans="1:26">
      <c r="A474" s="87" t="str">
        <f t="shared" si="1"/>
        <v/>
      </c>
      <c r="B474" s="2"/>
      <c r="C474" s="87"/>
      <c r="D474" s="87"/>
      <c r="E474" s="87"/>
      <c r="F474" s="87"/>
      <c r="G474" s="87"/>
      <c r="H474" s="87"/>
      <c r="I474" s="87"/>
      <c r="J474" s="102"/>
      <c r="K474" s="103"/>
      <c r="L474" s="104"/>
      <c r="M474" s="95"/>
      <c r="N474" s="95"/>
      <c r="O474" s="9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  <c r="Z474" s="105"/>
    </row>
    <row r="475" spans="1:26">
      <c r="A475" s="87" t="str">
        <f t="shared" si="1"/>
        <v/>
      </c>
      <c r="B475" s="2"/>
      <c r="C475" s="87"/>
      <c r="D475" s="87"/>
      <c r="E475" s="87"/>
      <c r="F475" s="87"/>
      <c r="G475" s="87"/>
      <c r="H475" s="87"/>
      <c r="I475" s="87"/>
      <c r="J475" s="102"/>
      <c r="K475" s="103"/>
      <c r="L475" s="104"/>
      <c r="M475" s="95"/>
      <c r="N475" s="95"/>
      <c r="O475" s="9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05"/>
    </row>
    <row r="476" spans="1:26">
      <c r="A476" s="87" t="str">
        <f t="shared" si="1"/>
        <v/>
      </c>
      <c r="B476" s="2"/>
      <c r="C476" s="87"/>
      <c r="D476" s="87"/>
      <c r="E476" s="87"/>
      <c r="F476" s="87"/>
      <c r="G476" s="87"/>
      <c r="H476" s="87"/>
      <c r="I476" s="87"/>
      <c r="J476" s="102"/>
      <c r="K476" s="103"/>
      <c r="L476" s="104"/>
      <c r="M476" s="95"/>
      <c r="N476" s="95"/>
      <c r="O476" s="95"/>
      <c r="P476" s="105"/>
      <c r="Q476" s="105"/>
      <c r="R476" s="105"/>
      <c r="S476" s="105"/>
      <c r="T476" s="105"/>
      <c r="U476" s="105"/>
      <c r="V476" s="105"/>
      <c r="W476" s="105"/>
      <c r="X476" s="105"/>
      <c r="Y476" s="105"/>
      <c r="Z476" s="105"/>
    </row>
    <row r="477" spans="1:26">
      <c r="A477" s="87" t="str">
        <f t="shared" si="1"/>
        <v/>
      </c>
      <c r="B477" s="2"/>
      <c r="C477" s="87"/>
      <c r="D477" s="87"/>
      <c r="E477" s="87"/>
      <c r="F477" s="87"/>
      <c r="G477" s="87"/>
      <c r="H477" s="87"/>
      <c r="I477" s="87"/>
      <c r="J477" s="102"/>
      <c r="K477" s="103"/>
      <c r="L477" s="104"/>
      <c r="M477" s="95"/>
      <c r="N477" s="95"/>
      <c r="O477" s="95"/>
      <c r="P477" s="105"/>
      <c r="Q477" s="105"/>
      <c r="R477" s="105"/>
      <c r="S477" s="105"/>
      <c r="T477" s="105"/>
      <c r="U477" s="105"/>
      <c r="V477" s="105"/>
      <c r="W477" s="105"/>
      <c r="X477" s="105"/>
      <c r="Y477" s="105"/>
      <c r="Z477" s="105"/>
    </row>
    <row r="478" spans="1:26">
      <c r="A478" s="87" t="str">
        <f t="shared" si="1"/>
        <v/>
      </c>
      <c r="B478" s="2"/>
      <c r="C478" s="87"/>
      <c r="D478" s="87"/>
      <c r="E478" s="87"/>
      <c r="F478" s="87"/>
      <c r="G478" s="87"/>
      <c r="H478" s="87"/>
      <c r="I478" s="87"/>
      <c r="J478" s="102"/>
      <c r="K478" s="103"/>
      <c r="L478" s="104"/>
      <c r="M478" s="95"/>
      <c r="N478" s="95"/>
      <c r="O478" s="9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  <c r="Z478" s="105"/>
    </row>
    <row r="479" spans="1:26">
      <c r="A479" s="87" t="str">
        <f t="shared" si="1"/>
        <v/>
      </c>
      <c r="B479" s="2"/>
      <c r="C479" s="87"/>
      <c r="D479" s="87"/>
      <c r="E479" s="87"/>
      <c r="F479" s="87"/>
      <c r="G479" s="87"/>
      <c r="H479" s="87"/>
      <c r="I479" s="87"/>
      <c r="J479" s="102"/>
      <c r="K479" s="103"/>
      <c r="L479" s="104"/>
      <c r="M479" s="95"/>
      <c r="N479" s="95"/>
      <c r="O479" s="95"/>
      <c r="P479" s="105"/>
      <c r="Q479" s="105"/>
      <c r="R479" s="105"/>
      <c r="S479" s="105"/>
      <c r="T479" s="105"/>
      <c r="U479" s="105"/>
      <c r="V479" s="105"/>
      <c r="W479" s="105"/>
      <c r="X479" s="105"/>
      <c r="Y479" s="105"/>
      <c r="Z479" s="105"/>
    </row>
    <row r="480" spans="1:26">
      <c r="A480" s="87" t="str">
        <f t="shared" si="1"/>
        <v/>
      </c>
      <c r="B480" s="2"/>
      <c r="C480" s="87"/>
      <c r="D480" s="87"/>
      <c r="E480" s="87"/>
      <c r="F480" s="87"/>
      <c r="G480" s="87"/>
      <c r="H480" s="87"/>
      <c r="I480" s="87"/>
      <c r="J480" s="102"/>
      <c r="K480" s="103"/>
      <c r="L480" s="104"/>
      <c r="M480" s="95"/>
      <c r="N480" s="95"/>
      <c r="O480" s="95"/>
      <c r="P480" s="105"/>
      <c r="Q480" s="105"/>
      <c r="R480" s="105"/>
      <c r="S480" s="105"/>
      <c r="T480" s="105"/>
      <c r="U480" s="105"/>
      <c r="V480" s="105"/>
      <c r="W480" s="105"/>
      <c r="X480" s="105"/>
      <c r="Y480" s="105"/>
      <c r="Z480" s="105"/>
    </row>
    <row r="481" spans="1:26">
      <c r="A481" s="87" t="str">
        <f t="shared" si="1"/>
        <v/>
      </c>
      <c r="B481" s="2"/>
      <c r="C481" s="87"/>
      <c r="D481" s="87"/>
      <c r="E481" s="87"/>
      <c r="F481" s="87"/>
      <c r="G481" s="87"/>
      <c r="H481" s="87"/>
      <c r="I481" s="87"/>
      <c r="J481" s="102"/>
      <c r="K481" s="103"/>
      <c r="L481" s="104"/>
      <c r="M481" s="95"/>
      <c r="N481" s="95"/>
      <c r="O481" s="9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  <c r="Z481" s="105"/>
    </row>
    <row r="482" spans="1:26">
      <c r="A482" s="87" t="str">
        <f t="shared" si="1"/>
        <v/>
      </c>
      <c r="B482" s="2"/>
      <c r="C482" s="87"/>
      <c r="D482" s="87"/>
      <c r="E482" s="87"/>
      <c r="F482" s="87"/>
      <c r="G482" s="87"/>
      <c r="H482" s="87"/>
      <c r="I482" s="87"/>
      <c r="J482" s="102"/>
      <c r="K482" s="103"/>
      <c r="L482" s="104"/>
      <c r="M482" s="95"/>
      <c r="N482" s="95"/>
      <c r="O482" s="95"/>
      <c r="P482" s="105"/>
      <c r="Q482" s="105"/>
      <c r="R482" s="105"/>
      <c r="S482" s="105"/>
      <c r="T482" s="105"/>
      <c r="U482" s="105"/>
      <c r="V482" s="105"/>
      <c r="W482" s="105"/>
      <c r="X482" s="105"/>
      <c r="Y482" s="105"/>
      <c r="Z482" s="105"/>
    </row>
    <row r="483" spans="1:26">
      <c r="A483" s="87" t="str">
        <f t="shared" si="1"/>
        <v/>
      </c>
      <c r="B483" s="2"/>
      <c r="C483" s="87"/>
      <c r="D483" s="87"/>
      <c r="E483" s="87"/>
      <c r="F483" s="87"/>
      <c r="G483" s="87"/>
      <c r="H483" s="87"/>
      <c r="I483" s="87"/>
      <c r="J483" s="102"/>
      <c r="K483" s="103"/>
      <c r="L483" s="104"/>
      <c r="M483" s="95"/>
      <c r="N483" s="95"/>
      <c r="O483" s="95"/>
      <c r="P483" s="105"/>
      <c r="Q483" s="105"/>
      <c r="R483" s="105"/>
      <c r="S483" s="105"/>
      <c r="T483" s="105"/>
      <c r="U483" s="105"/>
      <c r="V483" s="105"/>
      <c r="W483" s="105"/>
      <c r="X483" s="105"/>
      <c r="Y483" s="105"/>
      <c r="Z483" s="105"/>
    </row>
    <row r="484" spans="1:26">
      <c r="A484" s="87" t="str">
        <f t="shared" si="1"/>
        <v/>
      </c>
      <c r="B484" s="2"/>
      <c r="C484" s="87"/>
      <c r="D484" s="87"/>
      <c r="E484" s="87"/>
      <c r="F484" s="87"/>
      <c r="G484" s="87"/>
      <c r="H484" s="87"/>
      <c r="I484" s="87"/>
      <c r="J484" s="102"/>
      <c r="K484" s="103"/>
      <c r="L484" s="104"/>
      <c r="M484" s="95"/>
      <c r="N484" s="95"/>
      <c r="O484" s="9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  <c r="Z484" s="105"/>
    </row>
    <row r="485" spans="1:26">
      <c r="A485" s="87" t="str">
        <f t="shared" si="1"/>
        <v/>
      </c>
      <c r="B485" s="2"/>
      <c r="C485" s="87"/>
      <c r="D485" s="87"/>
      <c r="E485" s="87"/>
      <c r="F485" s="87"/>
      <c r="G485" s="87"/>
      <c r="H485" s="87"/>
      <c r="I485" s="87"/>
      <c r="J485" s="102"/>
      <c r="K485" s="103"/>
      <c r="L485" s="104"/>
      <c r="M485" s="95"/>
      <c r="N485" s="95"/>
      <c r="O485" s="95"/>
      <c r="P485" s="105"/>
      <c r="Q485" s="105"/>
      <c r="R485" s="105"/>
      <c r="S485" s="105"/>
      <c r="T485" s="105"/>
      <c r="U485" s="105"/>
      <c r="V485" s="105"/>
      <c r="W485" s="105"/>
      <c r="X485" s="105"/>
      <c r="Y485" s="105"/>
      <c r="Z485" s="105"/>
    </row>
    <row r="486" spans="1:26">
      <c r="A486" s="87" t="str">
        <f t="shared" si="1"/>
        <v/>
      </c>
      <c r="B486" s="2"/>
      <c r="C486" s="87"/>
      <c r="D486" s="87"/>
      <c r="E486" s="87"/>
      <c r="F486" s="87"/>
      <c r="G486" s="87"/>
      <c r="H486" s="87"/>
      <c r="I486" s="87"/>
      <c r="J486" s="102"/>
      <c r="K486" s="103"/>
      <c r="L486" s="104"/>
      <c r="M486" s="95"/>
      <c r="N486" s="95"/>
      <c r="O486" s="9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  <c r="Z486" s="105"/>
    </row>
    <row r="487" spans="1:26">
      <c r="A487" s="87" t="str">
        <f t="shared" si="1"/>
        <v/>
      </c>
      <c r="B487" s="2"/>
      <c r="C487" s="87"/>
      <c r="D487" s="87"/>
      <c r="E487" s="87"/>
      <c r="F487" s="87"/>
      <c r="G487" s="87"/>
      <c r="H487" s="87"/>
      <c r="I487" s="87"/>
      <c r="J487" s="102"/>
      <c r="K487" s="103"/>
      <c r="L487" s="104"/>
      <c r="M487" s="95"/>
      <c r="N487" s="95"/>
      <c r="O487" s="95"/>
      <c r="P487" s="105"/>
      <c r="Q487" s="105"/>
      <c r="R487" s="105"/>
      <c r="S487" s="105"/>
      <c r="T487" s="105"/>
      <c r="U487" s="105"/>
      <c r="V487" s="105"/>
      <c r="W487" s="105"/>
      <c r="X487" s="105"/>
      <c r="Y487" s="105"/>
      <c r="Z487" s="105"/>
    </row>
    <row r="488" spans="1:26">
      <c r="A488" s="87" t="str">
        <f t="shared" si="1"/>
        <v/>
      </c>
      <c r="B488" s="2"/>
      <c r="C488" s="87"/>
      <c r="D488" s="87"/>
      <c r="E488" s="87"/>
      <c r="F488" s="87"/>
      <c r="G488" s="87"/>
      <c r="H488" s="87"/>
      <c r="I488" s="87"/>
      <c r="J488" s="102"/>
      <c r="K488" s="103"/>
      <c r="L488" s="104"/>
      <c r="M488" s="95"/>
      <c r="N488" s="95"/>
      <c r="O488" s="9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  <c r="Z488" s="105"/>
    </row>
    <row r="489" spans="1:26">
      <c r="A489" s="87" t="str">
        <f t="shared" si="1"/>
        <v/>
      </c>
      <c r="B489" s="2"/>
      <c r="C489" s="87"/>
      <c r="D489" s="87"/>
      <c r="E489" s="87"/>
      <c r="F489" s="87"/>
      <c r="G489" s="87"/>
      <c r="H489" s="87"/>
      <c r="I489" s="87"/>
      <c r="J489" s="102"/>
      <c r="K489" s="103"/>
      <c r="L489" s="104"/>
      <c r="M489" s="95"/>
      <c r="N489" s="95"/>
      <c r="O489" s="95"/>
      <c r="P489" s="105"/>
      <c r="Q489" s="105"/>
      <c r="R489" s="105"/>
      <c r="S489" s="105"/>
      <c r="T489" s="105"/>
      <c r="U489" s="105"/>
      <c r="V489" s="105"/>
      <c r="W489" s="105"/>
      <c r="X489" s="105"/>
      <c r="Y489" s="105"/>
      <c r="Z489" s="105"/>
    </row>
    <row r="490" spans="1:26">
      <c r="A490" s="87" t="str">
        <f t="shared" si="1"/>
        <v/>
      </c>
      <c r="B490" s="2"/>
      <c r="C490" s="87"/>
      <c r="D490" s="87"/>
      <c r="E490" s="87"/>
      <c r="F490" s="87"/>
      <c r="G490" s="87"/>
      <c r="H490" s="87"/>
      <c r="I490" s="87"/>
      <c r="J490" s="102"/>
      <c r="K490" s="103"/>
      <c r="L490" s="104"/>
      <c r="M490" s="95"/>
      <c r="N490" s="95"/>
      <c r="O490" s="95"/>
      <c r="P490" s="105"/>
      <c r="Q490" s="105"/>
      <c r="R490" s="105"/>
      <c r="S490" s="105"/>
      <c r="T490" s="105"/>
      <c r="U490" s="105"/>
      <c r="V490" s="105"/>
      <c r="W490" s="105"/>
      <c r="X490" s="105"/>
      <c r="Y490" s="105"/>
      <c r="Z490" s="105"/>
    </row>
    <row r="491" spans="1:26">
      <c r="A491" s="87" t="str">
        <f t="shared" si="1"/>
        <v/>
      </c>
      <c r="B491" s="2"/>
      <c r="C491" s="87"/>
      <c r="D491" s="87"/>
      <c r="E491" s="87"/>
      <c r="F491" s="87"/>
      <c r="G491" s="87"/>
      <c r="H491" s="87"/>
      <c r="I491" s="87"/>
      <c r="J491" s="102"/>
      <c r="K491" s="103"/>
      <c r="L491" s="104"/>
      <c r="M491" s="95"/>
      <c r="N491" s="95"/>
      <c r="O491" s="95"/>
      <c r="P491" s="105"/>
      <c r="Q491" s="105"/>
      <c r="R491" s="105"/>
      <c r="S491" s="105"/>
      <c r="T491" s="105"/>
      <c r="U491" s="105"/>
      <c r="V491" s="105"/>
      <c r="W491" s="105"/>
      <c r="X491" s="105"/>
      <c r="Y491" s="105"/>
      <c r="Z491" s="105"/>
    </row>
    <row r="492" spans="1:26">
      <c r="A492" s="87" t="str">
        <f t="shared" si="1"/>
        <v/>
      </c>
      <c r="B492" s="2"/>
      <c r="C492" s="87"/>
      <c r="D492" s="87"/>
      <c r="E492" s="87"/>
      <c r="F492" s="87"/>
      <c r="G492" s="87"/>
      <c r="H492" s="87"/>
      <c r="I492" s="87"/>
      <c r="J492" s="102"/>
      <c r="K492" s="103"/>
      <c r="L492" s="104"/>
      <c r="M492" s="95"/>
      <c r="N492" s="95"/>
      <c r="O492" s="9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  <c r="Z492" s="105"/>
    </row>
    <row r="493" spans="1:26">
      <c r="A493" s="87" t="str">
        <f t="shared" si="1"/>
        <v/>
      </c>
      <c r="B493" s="2"/>
      <c r="C493" s="87"/>
      <c r="D493" s="87"/>
      <c r="E493" s="87"/>
      <c r="F493" s="87"/>
      <c r="G493" s="87"/>
      <c r="H493" s="87"/>
      <c r="I493" s="87"/>
      <c r="J493" s="102"/>
      <c r="K493" s="103"/>
      <c r="L493" s="104"/>
      <c r="M493" s="95"/>
      <c r="N493" s="95"/>
      <c r="O493" s="9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  <c r="Z493" s="105"/>
    </row>
    <row r="494" spans="1:26">
      <c r="A494" s="87" t="str">
        <f t="shared" si="1"/>
        <v/>
      </c>
      <c r="B494" s="2"/>
      <c r="C494" s="87"/>
      <c r="D494" s="87"/>
      <c r="E494" s="87"/>
      <c r="F494" s="87"/>
      <c r="G494" s="87"/>
      <c r="H494" s="87"/>
      <c r="I494" s="87"/>
      <c r="J494" s="102"/>
      <c r="K494" s="103"/>
      <c r="L494" s="104"/>
      <c r="M494" s="95"/>
      <c r="N494" s="95"/>
      <c r="O494" s="95"/>
      <c r="P494" s="105"/>
      <c r="Q494" s="105"/>
      <c r="R494" s="105"/>
      <c r="S494" s="105"/>
      <c r="T494" s="105"/>
      <c r="U494" s="105"/>
      <c r="V494" s="105"/>
      <c r="W494" s="105"/>
      <c r="X494" s="105"/>
      <c r="Y494" s="105"/>
      <c r="Z494" s="105"/>
    </row>
    <row r="495" spans="1:26">
      <c r="A495" s="87" t="str">
        <f t="shared" si="1"/>
        <v/>
      </c>
      <c r="B495" s="2"/>
      <c r="C495" s="87"/>
      <c r="D495" s="87"/>
      <c r="E495" s="87"/>
      <c r="F495" s="87"/>
      <c r="G495" s="87"/>
      <c r="H495" s="87"/>
      <c r="I495" s="87"/>
      <c r="J495" s="102"/>
      <c r="K495" s="103"/>
      <c r="L495" s="104"/>
      <c r="M495" s="95"/>
      <c r="N495" s="95"/>
      <c r="O495" s="95"/>
      <c r="P495" s="105"/>
      <c r="Q495" s="105"/>
      <c r="R495" s="105"/>
      <c r="S495" s="105"/>
      <c r="T495" s="105"/>
      <c r="U495" s="105"/>
      <c r="V495" s="105"/>
      <c r="W495" s="105"/>
      <c r="X495" s="105"/>
      <c r="Y495" s="105"/>
      <c r="Z495" s="105"/>
    </row>
    <row r="496" spans="1:26">
      <c r="A496" s="87" t="str">
        <f t="shared" si="1"/>
        <v/>
      </c>
      <c r="B496" s="2"/>
      <c r="C496" s="87"/>
      <c r="D496" s="87"/>
      <c r="E496" s="87"/>
      <c r="F496" s="87"/>
      <c r="G496" s="87"/>
      <c r="H496" s="87"/>
      <c r="I496" s="87"/>
      <c r="J496" s="102"/>
      <c r="K496" s="103"/>
      <c r="L496" s="104"/>
      <c r="M496" s="95"/>
      <c r="N496" s="95"/>
      <c r="O496" s="9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  <c r="Z496" s="105"/>
    </row>
    <row r="497" spans="1:26">
      <c r="A497" s="87" t="str">
        <f t="shared" si="1"/>
        <v/>
      </c>
      <c r="B497" s="2"/>
      <c r="C497" s="87"/>
      <c r="D497" s="87"/>
      <c r="E497" s="87"/>
      <c r="F497" s="87"/>
      <c r="G497" s="87"/>
      <c r="H497" s="87"/>
      <c r="I497" s="87"/>
      <c r="J497" s="102"/>
      <c r="K497" s="103"/>
      <c r="L497" s="104"/>
      <c r="M497" s="95"/>
      <c r="N497" s="95"/>
      <c r="O497" s="95"/>
      <c r="P497" s="105"/>
      <c r="Q497" s="105"/>
      <c r="R497" s="105"/>
      <c r="S497" s="105"/>
      <c r="T497" s="105"/>
      <c r="U497" s="105"/>
      <c r="V497" s="105"/>
      <c r="W497" s="105"/>
      <c r="X497" s="105"/>
      <c r="Y497" s="105"/>
      <c r="Z497" s="105"/>
    </row>
    <row r="498" spans="1:26">
      <c r="A498" s="87" t="str">
        <f t="shared" si="1"/>
        <v/>
      </c>
      <c r="B498" s="2"/>
      <c r="C498" s="87"/>
      <c r="D498" s="87"/>
      <c r="E498" s="87"/>
      <c r="F498" s="87"/>
      <c r="G498" s="87"/>
      <c r="H498" s="87"/>
      <c r="I498" s="87"/>
      <c r="J498" s="102"/>
      <c r="K498" s="103"/>
      <c r="L498" s="104"/>
      <c r="M498" s="95"/>
      <c r="N498" s="95"/>
      <c r="O498" s="9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  <c r="Z498" s="105"/>
    </row>
    <row r="499" spans="1:26">
      <c r="A499" s="87" t="str">
        <f t="shared" si="1"/>
        <v/>
      </c>
      <c r="B499" s="2"/>
      <c r="C499" s="87"/>
      <c r="D499" s="87"/>
      <c r="E499" s="87"/>
      <c r="F499" s="87"/>
      <c r="G499" s="87"/>
      <c r="H499" s="87"/>
      <c r="I499" s="87"/>
      <c r="J499" s="102"/>
      <c r="K499" s="103"/>
      <c r="L499" s="104"/>
      <c r="M499" s="95"/>
      <c r="N499" s="95"/>
      <c r="O499" s="9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  <c r="Z499" s="105"/>
    </row>
    <row r="500" spans="1:26">
      <c r="A500" s="87" t="str">
        <f t="shared" si="1"/>
        <v/>
      </c>
      <c r="B500" s="2"/>
      <c r="C500" s="87"/>
      <c r="D500" s="87"/>
      <c r="E500" s="87"/>
      <c r="F500" s="87"/>
      <c r="G500" s="87"/>
      <c r="H500" s="87"/>
      <c r="I500" s="87"/>
      <c r="J500" s="102"/>
      <c r="K500" s="103"/>
      <c r="L500" s="104"/>
      <c r="M500" s="95"/>
      <c r="N500" s="95"/>
      <c r="O500" s="9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  <c r="Z500" s="105"/>
    </row>
    <row r="501" spans="1:26">
      <c r="A501" s="87" t="str">
        <f t="shared" si="1"/>
        <v/>
      </c>
      <c r="B501" s="2"/>
      <c r="C501" s="87"/>
      <c r="D501" s="87"/>
      <c r="E501" s="87"/>
      <c r="F501" s="87"/>
      <c r="G501" s="87"/>
      <c r="H501" s="87"/>
      <c r="I501" s="87"/>
      <c r="J501" s="102"/>
      <c r="K501" s="103"/>
      <c r="L501" s="104"/>
      <c r="M501" s="95"/>
      <c r="N501" s="95"/>
      <c r="O501" s="9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  <c r="Z501" s="105"/>
    </row>
    <row r="502" spans="1:26">
      <c r="A502" s="87" t="str">
        <f t="shared" si="1"/>
        <v/>
      </c>
      <c r="B502" s="2"/>
      <c r="C502" s="87"/>
      <c r="D502" s="87"/>
      <c r="E502" s="87"/>
      <c r="F502" s="87"/>
      <c r="G502" s="87"/>
      <c r="H502" s="87"/>
      <c r="I502" s="87"/>
      <c r="J502" s="102"/>
      <c r="K502" s="103"/>
      <c r="L502" s="104"/>
      <c r="M502" s="95"/>
      <c r="N502" s="95"/>
      <c r="O502" s="9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  <c r="Z502" s="105"/>
    </row>
    <row r="503" spans="1:26">
      <c r="A503" s="87" t="str">
        <f t="shared" si="1"/>
        <v/>
      </c>
      <c r="B503" s="2"/>
      <c r="C503" s="87"/>
      <c r="D503" s="87"/>
      <c r="E503" s="87"/>
      <c r="F503" s="87"/>
      <c r="G503" s="87"/>
      <c r="H503" s="87"/>
      <c r="I503" s="87"/>
      <c r="J503" s="102"/>
      <c r="K503" s="103"/>
      <c r="L503" s="104"/>
      <c r="M503" s="95"/>
      <c r="N503" s="95"/>
      <c r="O503" s="9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  <c r="Z503" s="105"/>
    </row>
    <row r="504" spans="1:26">
      <c r="A504" s="87" t="str">
        <f t="shared" si="1"/>
        <v/>
      </c>
      <c r="B504" s="2"/>
      <c r="C504" s="87"/>
      <c r="D504" s="87"/>
      <c r="E504" s="87"/>
      <c r="F504" s="87"/>
      <c r="G504" s="87"/>
      <c r="H504" s="87"/>
      <c r="I504" s="87"/>
      <c r="J504" s="102"/>
      <c r="K504" s="103"/>
      <c r="L504" s="104"/>
      <c r="M504" s="95"/>
      <c r="N504" s="95"/>
      <c r="O504" s="9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  <c r="Z504" s="105"/>
    </row>
    <row r="505" spans="1:26">
      <c r="A505" s="87" t="str">
        <f t="shared" si="1"/>
        <v/>
      </c>
      <c r="B505" s="2"/>
      <c r="C505" s="87"/>
      <c r="D505" s="87"/>
      <c r="E505" s="87"/>
      <c r="F505" s="87"/>
      <c r="G505" s="87"/>
      <c r="H505" s="87"/>
      <c r="I505" s="87"/>
      <c r="J505" s="102"/>
      <c r="K505" s="103"/>
      <c r="L505" s="104"/>
      <c r="M505" s="95"/>
      <c r="N505" s="95"/>
      <c r="O505" s="9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  <c r="Z505" s="105"/>
    </row>
    <row r="506" spans="1:26">
      <c r="A506" s="87" t="str">
        <f t="shared" si="1"/>
        <v/>
      </c>
      <c r="B506" s="2"/>
      <c r="C506" s="87"/>
      <c r="D506" s="87"/>
      <c r="E506" s="87"/>
      <c r="F506" s="87"/>
      <c r="G506" s="87"/>
      <c r="H506" s="87"/>
      <c r="I506" s="87"/>
      <c r="J506" s="102"/>
      <c r="K506" s="103"/>
      <c r="L506" s="104"/>
      <c r="M506" s="95"/>
      <c r="N506" s="95"/>
      <c r="O506" s="9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  <c r="Z506" s="105"/>
    </row>
    <row r="507" spans="1:26">
      <c r="A507" s="87" t="str">
        <f t="shared" si="1"/>
        <v/>
      </c>
      <c r="B507" s="2"/>
      <c r="C507" s="87"/>
      <c r="D507" s="87"/>
      <c r="E507" s="87"/>
      <c r="F507" s="87"/>
      <c r="G507" s="87"/>
      <c r="H507" s="87"/>
      <c r="I507" s="87"/>
      <c r="J507" s="102"/>
      <c r="K507" s="103"/>
      <c r="L507" s="104"/>
      <c r="M507" s="95"/>
      <c r="N507" s="95"/>
      <c r="O507" s="9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  <c r="Z507" s="105"/>
    </row>
    <row r="508" spans="1:26">
      <c r="A508" s="87" t="str">
        <f t="shared" si="1"/>
        <v/>
      </c>
      <c r="B508" s="2"/>
      <c r="C508" s="87"/>
      <c r="D508" s="87"/>
      <c r="E508" s="87"/>
      <c r="F508" s="87"/>
      <c r="G508" s="87"/>
      <c r="H508" s="87"/>
      <c r="I508" s="87"/>
      <c r="J508" s="102"/>
      <c r="K508" s="103"/>
      <c r="L508" s="104"/>
      <c r="M508" s="95"/>
      <c r="N508" s="95"/>
      <c r="O508" s="9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  <c r="Z508" s="105"/>
    </row>
    <row r="509" spans="1:26">
      <c r="A509" s="87" t="str">
        <f t="shared" si="1"/>
        <v/>
      </c>
      <c r="B509" s="2"/>
      <c r="C509" s="87"/>
      <c r="D509" s="87"/>
      <c r="E509" s="87"/>
      <c r="F509" s="87"/>
      <c r="G509" s="87"/>
      <c r="H509" s="87"/>
      <c r="I509" s="87"/>
      <c r="J509" s="102"/>
      <c r="K509" s="103"/>
      <c r="L509" s="104"/>
      <c r="M509" s="95"/>
      <c r="N509" s="95"/>
      <c r="O509" s="9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  <c r="Z509" s="105"/>
    </row>
    <row r="510" spans="1:26">
      <c r="A510" s="87" t="str">
        <f t="shared" si="1"/>
        <v/>
      </c>
      <c r="B510" s="2"/>
      <c r="C510" s="87"/>
      <c r="D510" s="87"/>
      <c r="E510" s="87"/>
      <c r="F510" s="87"/>
      <c r="G510" s="87"/>
      <c r="H510" s="87"/>
      <c r="I510" s="87"/>
      <c r="J510" s="102"/>
      <c r="K510" s="103"/>
      <c r="L510" s="104"/>
      <c r="M510" s="95"/>
      <c r="N510" s="95"/>
      <c r="O510" s="9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  <c r="Z510" s="105"/>
    </row>
    <row r="511" spans="1:26">
      <c r="A511" s="87" t="str">
        <f t="shared" si="1"/>
        <v/>
      </c>
      <c r="B511" s="2"/>
      <c r="C511" s="87"/>
      <c r="D511" s="87"/>
      <c r="E511" s="87"/>
      <c r="F511" s="87"/>
      <c r="G511" s="87"/>
      <c r="H511" s="87"/>
      <c r="I511" s="87"/>
      <c r="J511" s="102"/>
      <c r="K511" s="103"/>
      <c r="L511" s="104"/>
      <c r="M511" s="95"/>
      <c r="N511" s="95"/>
      <c r="O511" s="9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  <c r="Z511" s="105"/>
    </row>
    <row r="512" spans="1:26">
      <c r="A512" s="87" t="str">
        <f t="shared" si="1"/>
        <v/>
      </c>
      <c r="B512" s="2"/>
      <c r="C512" s="87"/>
      <c r="D512" s="87"/>
      <c r="E512" s="87"/>
      <c r="F512" s="87"/>
      <c r="G512" s="87"/>
      <c r="H512" s="87"/>
      <c r="I512" s="87"/>
      <c r="J512" s="102"/>
      <c r="K512" s="103"/>
      <c r="L512" s="104"/>
      <c r="M512" s="95"/>
      <c r="N512" s="95"/>
      <c r="O512" s="9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  <c r="Z512" s="105"/>
    </row>
    <row r="513" spans="1:26">
      <c r="A513" s="87" t="str">
        <f t="shared" si="1"/>
        <v/>
      </c>
      <c r="B513" s="2"/>
      <c r="C513" s="87"/>
      <c r="D513" s="87"/>
      <c r="E513" s="87"/>
      <c r="F513" s="87"/>
      <c r="G513" s="87"/>
      <c r="H513" s="87"/>
      <c r="I513" s="87"/>
      <c r="J513" s="102"/>
      <c r="K513" s="103"/>
      <c r="L513" s="104"/>
      <c r="M513" s="95"/>
      <c r="N513" s="95"/>
      <c r="O513" s="9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  <c r="Z513" s="105"/>
    </row>
    <row r="514" spans="1:26">
      <c r="A514" s="87" t="str">
        <f t="shared" ref="A514:A768" si="2">IF(B514="","",ROW()-9)</f>
        <v/>
      </c>
      <c r="B514" s="2"/>
      <c r="C514" s="87"/>
      <c r="D514" s="87"/>
      <c r="E514" s="87"/>
      <c r="F514" s="87"/>
      <c r="G514" s="87"/>
      <c r="H514" s="87"/>
      <c r="I514" s="87"/>
      <c r="J514" s="102"/>
      <c r="K514" s="103"/>
      <c r="L514" s="104"/>
      <c r="M514" s="95"/>
      <c r="N514" s="95"/>
      <c r="O514" s="9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  <c r="Z514" s="105"/>
    </row>
    <row r="515" spans="1:26">
      <c r="A515" s="87" t="str">
        <f t="shared" si="2"/>
        <v/>
      </c>
      <c r="B515" s="2"/>
      <c r="C515" s="87"/>
      <c r="D515" s="87"/>
      <c r="E515" s="87"/>
      <c r="F515" s="87"/>
      <c r="G515" s="87"/>
      <c r="H515" s="87"/>
      <c r="I515" s="87"/>
      <c r="J515" s="102"/>
      <c r="K515" s="103"/>
      <c r="L515" s="104"/>
      <c r="M515" s="95"/>
      <c r="N515" s="95"/>
      <c r="O515" s="9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  <c r="Z515" s="105"/>
    </row>
    <row r="516" spans="1:26">
      <c r="A516" s="87" t="str">
        <f t="shared" si="2"/>
        <v/>
      </c>
      <c r="B516" s="2"/>
      <c r="C516" s="87"/>
      <c r="D516" s="87"/>
      <c r="E516" s="87"/>
      <c r="F516" s="87"/>
      <c r="G516" s="87"/>
      <c r="H516" s="87"/>
      <c r="I516" s="87"/>
      <c r="J516" s="102"/>
      <c r="K516" s="103"/>
      <c r="L516" s="104"/>
      <c r="M516" s="95"/>
      <c r="N516" s="95"/>
      <c r="O516" s="9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  <c r="Z516" s="105"/>
    </row>
    <row r="517" spans="1:26">
      <c r="A517" s="87" t="str">
        <f t="shared" si="2"/>
        <v/>
      </c>
      <c r="B517" s="2"/>
      <c r="C517" s="87"/>
      <c r="D517" s="87"/>
      <c r="E517" s="87"/>
      <c r="F517" s="87"/>
      <c r="G517" s="87"/>
      <c r="H517" s="87"/>
      <c r="I517" s="87"/>
      <c r="J517" s="102"/>
      <c r="K517" s="103"/>
      <c r="L517" s="104"/>
      <c r="M517" s="95"/>
      <c r="N517" s="95"/>
      <c r="O517" s="9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  <c r="Z517" s="105"/>
    </row>
    <row r="518" spans="1:26">
      <c r="A518" s="87" t="str">
        <f t="shared" si="2"/>
        <v/>
      </c>
      <c r="B518" s="2"/>
      <c r="C518" s="87"/>
      <c r="D518" s="87"/>
      <c r="E518" s="87"/>
      <c r="F518" s="87"/>
      <c r="G518" s="87"/>
      <c r="H518" s="87"/>
      <c r="I518" s="87"/>
      <c r="J518" s="102"/>
      <c r="K518" s="103"/>
      <c r="L518" s="104"/>
      <c r="M518" s="95"/>
      <c r="N518" s="95"/>
      <c r="O518" s="95"/>
      <c r="P518" s="105"/>
      <c r="Q518" s="105"/>
      <c r="R518" s="105"/>
      <c r="S518" s="105"/>
      <c r="T518" s="105"/>
      <c r="U518" s="105"/>
      <c r="V518" s="105"/>
      <c r="W518" s="105"/>
      <c r="X518" s="105"/>
      <c r="Y518" s="105"/>
      <c r="Z518" s="105"/>
    </row>
    <row r="519" spans="1:26">
      <c r="A519" s="87" t="str">
        <f t="shared" si="2"/>
        <v/>
      </c>
      <c r="B519" s="2"/>
      <c r="C519" s="87"/>
      <c r="D519" s="87"/>
      <c r="E519" s="87"/>
      <c r="F519" s="87"/>
      <c r="G519" s="87"/>
      <c r="H519" s="87"/>
      <c r="I519" s="87"/>
      <c r="J519" s="102"/>
      <c r="K519" s="103"/>
      <c r="L519" s="104"/>
      <c r="M519" s="95"/>
      <c r="N519" s="95"/>
      <c r="O519" s="95"/>
      <c r="P519" s="105"/>
      <c r="Q519" s="105"/>
      <c r="R519" s="105"/>
      <c r="S519" s="105"/>
      <c r="T519" s="105"/>
      <c r="U519" s="105"/>
      <c r="V519" s="105"/>
      <c r="W519" s="105"/>
      <c r="X519" s="105"/>
      <c r="Y519" s="105"/>
      <c r="Z519" s="105"/>
    </row>
    <row r="520" spans="1:26">
      <c r="A520" s="87" t="str">
        <f t="shared" si="2"/>
        <v/>
      </c>
      <c r="B520" s="2"/>
      <c r="C520" s="87"/>
      <c r="D520" s="87"/>
      <c r="E520" s="87"/>
      <c r="F520" s="87"/>
      <c r="G520" s="87"/>
      <c r="H520" s="87"/>
      <c r="I520" s="87"/>
      <c r="J520" s="102"/>
      <c r="K520" s="103"/>
      <c r="L520" s="104"/>
      <c r="M520" s="95"/>
      <c r="N520" s="95"/>
      <c r="O520" s="9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  <c r="Z520" s="105"/>
    </row>
    <row r="521" spans="1:26">
      <c r="A521" s="87" t="str">
        <f t="shared" si="2"/>
        <v/>
      </c>
      <c r="B521" s="2"/>
      <c r="C521" s="87"/>
      <c r="D521" s="87"/>
      <c r="E521" s="87"/>
      <c r="F521" s="87"/>
      <c r="G521" s="87"/>
      <c r="H521" s="87"/>
      <c r="I521" s="87"/>
      <c r="J521" s="102"/>
      <c r="K521" s="103"/>
      <c r="L521" s="104"/>
      <c r="M521" s="95"/>
      <c r="N521" s="95"/>
      <c r="O521" s="95"/>
      <c r="P521" s="105"/>
      <c r="Q521" s="105"/>
      <c r="R521" s="105"/>
      <c r="S521" s="105"/>
      <c r="T521" s="105"/>
      <c r="U521" s="105"/>
      <c r="V521" s="105"/>
      <c r="W521" s="105"/>
      <c r="X521" s="105"/>
      <c r="Y521" s="105"/>
      <c r="Z521" s="105"/>
    </row>
    <row r="522" spans="1:26">
      <c r="A522" s="87" t="str">
        <f t="shared" si="2"/>
        <v/>
      </c>
      <c r="B522" s="2"/>
      <c r="C522" s="87"/>
      <c r="D522" s="87"/>
      <c r="E522" s="87"/>
      <c r="F522" s="87"/>
      <c r="G522" s="87"/>
      <c r="H522" s="87"/>
      <c r="I522" s="87"/>
      <c r="J522" s="102"/>
      <c r="K522" s="103"/>
      <c r="L522" s="104"/>
      <c r="M522" s="95"/>
      <c r="N522" s="95"/>
      <c r="O522" s="9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  <c r="Z522" s="105"/>
    </row>
    <row r="523" spans="1:26">
      <c r="A523" s="87" t="str">
        <f t="shared" si="2"/>
        <v/>
      </c>
      <c r="B523" s="2"/>
      <c r="C523" s="87"/>
      <c r="D523" s="87"/>
      <c r="E523" s="87"/>
      <c r="F523" s="87"/>
      <c r="G523" s="87"/>
      <c r="H523" s="87"/>
      <c r="I523" s="87"/>
      <c r="J523" s="102"/>
      <c r="K523" s="103"/>
      <c r="L523" s="104"/>
      <c r="M523" s="95"/>
      <c r="N523" s="95"/>
      <c r="O523" s="9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  <c r="Z523" s="105"/>
    </row>
    <row r="524" spans="1:26">
      <c r="A524" s="87" t="str">
        <f t="shared" si="2"/>
        <v/>
      </c>
      <c r="B524" s="2"/>
      <c r="C524" s="87"/>
      <c r="D524" s="87"/>
      <c r="E524" s="87"/>
      <c r="F524" s="87"/>
      <c r="G524" s="87"/>
      <c r="H524" s="87"/>
      <c r="I524" s="87"/>
      <c r="J524" s="102"/>
      <c r="K524" s="103"/>
      <c r="L524" s="104"/>
      <c r="M524" s="95"/>
      <c r="N524" s="95"/>
      <c r="O524" s="95"/>
      <c r="P524" s="105"/>
      <c r="Q524" s="105"/>
      <c r="R524" s="105"/>
      <c r="S524" s="105"/>
      <c r="T524" s="105"/>
      <c r="U524" s="105"/>
      <c r="V524" s="105"/>
      <c r="W524" s="105"/>
      <c r="X524" s="105"/>
      <c r="Y524" s="105"/>
      <c r="Z524" s="105"/>
    </row>
    <row r="525" spans="1:26">
      <c r="A525" s="87" t="str">
        <f t="shared" si="2"/>
        <v/>
      </c>
      <c r="B525" s="2"/>
      <c r="C525" s="87"/>
      <c r="D525" s="87"/>
      <c r="E525" s="87"/>
      <c r="F525" s="87"/>
      <c r="G525" s="87"/>
      <c r="H525" s="87"/>
      <c r="I525" s="87"/>
      <c r="J525" s="102"/>
      <c r="K525" s="103"/>
      <c r="L525" s="104"/>
      <c r="M525" s="95"/>
      <c r="N525" s="95"/>
      <c r="O525" s="95"/>
      <c r="P525" s="105"/>
      <c r="Q525" s="105"/>
      <c r="R525" s="105"/>
      <c r="S525" s="105"/>
      <c r="T525" s="105"/>
      <c r="U525" s="105"/>
      <c r="V525" s="105"/>
      <c r="W525" s="105"/>
      <c r="X525" s="105"/>
      <c r="Y525" s="105"/>
      <c r="Z525" s="105"/>
    </row>
    <row r="526" spans="1:26">
      <c r="A526" s="87" t="str">
        <f t="shared" si="2"/>
        <v/>
      </c>
      <c r="B526" s="2"/>
      <c r="C526" s="87"/>
      <c r="D526" s="87"/>
      <c r="E526" s="87"/>
      <c r="F526" s="87"/>
      <c r="G526" s="87"/>
      <c r="H526" s="87"/>
      <c r="I526" s="87"/>
      <c r="J526" s="102"/>
      <c r="K526" s="103"/>
      <c r="L526" s="104"/>
      <c r="M526" s="95"/>
      <c r="N526" s="95"/>
      <c r="O526" s="9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  <c r="Z526" s="105"/>
    </row>
    <row r="527" spans="1:26">
      <c r="A527" s="87" t="str">
        <f t="shared" si="2"/>
        <v/>
      </c>
      <c r="B527" s="2"/>
      <c r="C527" s="87"/>
      <c r="D527" s="87"/>
      <c r="E527" s="87"/>
      <c r="F527" s="87"/>
      <c r="G527" s="87"/>
      <c r="H527" s="87"/>
      <c r="I527" s="87"/>
      <c r="J527" s="102"/>
      <c r="K527" s="103"/>
      <c r="L527" s="104"/>
      <c r="M527" s="95"/>
      <c r="N527" s="95"/>
      <c r="O527" s="9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  <c r="Z527" s="105"/>
    </row>
    <row r="528" spans="1:26">
      <c r="A528" s="87" t="str">
        <f t="shared" si="2"/>
        <v/>
      </c>
      <c r="B528" s="2"/>
      <c r="C528" s="87"/>
      <c r="D528" s="87"/>
      <c r="E528" s="87"/>
      <c r="F528" s="87"/>
      <c r="G528" s="87"/>
      <c r="H528" s="87"/>
      <c r="I528" s="87"/>
      <c r="J528" s="102"/>
      <c r="K528" s="103"/>
      <c r="L528" s="104"/>
      <c r="M528" s="95"/>
      <c r="N528" s="95"/>
      <c r="O528" s="9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  <c r="Z528" s="105"/>
    </row>
    <row r="529" spans="1:26">
      <c r="A529" s="87" t="str">
        <f t="shared" si="2"/>
        <v/>
      </c>
      <c r="B529" s="2"/>
      <c r="C529" s="87"/>
      <c r="D529" s="87"/>
      <c r="E529" s="87"/>
      <c r="F529" s="87"/>
      <c r="G529" s="87"/>
      <c r="H529" s="87"/>
      <c r="I529" s="87"/>
      <c r="J529" s="102"/>
      <c r="K529" s="103"/>
      <c r="L529" s="104"/>
      <c r="M529" s="95"/>
      <c r="N529" s="95"/>
      <c r="O529" s="9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  <c r="Z529" s="105"/>
    </row>
    <row r="530" spans="1:26">
      <c r="A530" s="87" t="str">
        <f t="shared" si="2"/>
        <v/>
      </c>
      <c r="B530" s="2"/>
      <c r="C530" s="87"/>
      <c r="D530" s="87"/>
      <c r="E530" s="87"/>
      <c r="F530" s="87"/>
      <c r="G530" s="87"/>
      <c r="H530" s="87"/>
      <c r="I530" s="87"/>
      <c r="J530" s="102"/>
      <c r="K530" s="103"/>
      <c r="L530" s="104"/>
      <c r="M530" s="95"/>
      <c r="N530" s="95"/>
      <c r="O530" s="9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  <c r="Z530" s="105"/>
    </row>
    <row r="531" spans="1:26">
      <c r="A531" s="87" t="str">
        <f t="shared" si="2"/>
        <v/>
      </c>
      <c r="B531" s="2"/>
      <c r="C531" s="87"/>
      <c r="D531" s="87"/>
      <c r="E531" s="87"/>
      <c r="F531" s="87"/>
      <c r="G531" s="87"/>
      <c r="H531" s="87"/>
      <c r="I531" s="87"/>
      <c r="J531" s="102"/>
      <c r="K531" s="103"/>
      <c r="L531" s="104"/>
      <c r="M531" s="95"/>
      <c r="N531" s="95"/>
      <c r="O531" s="9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  <c r="Z531" s="105"/>
    </row>
    <row r="532" spans="1:26">
      <c r="A532" s="87" t="str">
        <f t="shared" si="2"/>
        <v/>
      </c>
      <c r="B532" s="2"/>
      <c r="C532" s="87"/>
      <c r="D532" s="87"/>
      <c r="E532" s="87"/>
      <c r="F532" s="87"/>
      <c r="G532" s="87"/>
      <c r="H532" s="87"/>
      <c r="I532" s="87"/>
      <c r="J532" s="102"/>
      <c r="K532" s="103"/>
      <c r="L532" s="104"/>
      <c r="M532" s="95"/>
      <c r="N532" s="95"/>
      <c r="O532" s="9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  <c r="Z532" s="105"/>
    </row>
    <row r="533" spans="1:26">
      <c r="A533" s="87" t="str">
        <f t="shared" si="2"/>
        <v/>
      </c>
      <c r="B533" s="2"/>
      <c r="C533" s="87"/>
      <c r="D533" s="87"/>
      <c r="E533" s="87"/>
      <c r="F533" s="87"/>
      <c r="G533" s="87"/>
      <c r="H533" s="87"/>
      <c r="I533" s="87"/>
      <c r="J533" s="102"/>
      <c r="K533" s="103"/>
      <c r="L533" s="104"/>
      <c r="M533" s="95"/>
      <c r="N533" s="95"/>
      <c r="O533" s="9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  <c r="Z533" s="105"/>
    </row>
    <row r="534" spans="1:26">
      <c r="A534" s="87" t="str">
        <f t="shared" si="2"/>
        <v/>
      </c>
      <c r="B534" s="2"/>
      <c r="C534" s="87"/>
      <c r="D534" s="87"/>
      <c r="E534" s="87"/>
      <c r="F534" s="87"/>
      <c r="G534" s="87"/>
      <c r="H534" s="87"/>
      <c r="I534" s="87"/>
      <c r="J534" s="102"/>
      <c r="K534" s="103"/>
      <c r="L534" s="104"/>
      <c r="M534" s="95"/>
      <c r="N534" s="95"/>
      <c r="O534" s="9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  <c r="Z534" s="105"/>
    </row>
    <row r="535" spans="1:26">
      <c r="A535" s="87" t="str">
        <f t="shared" si="2"/>
        <v/>
      </c>
      <c r="B535" s="2"/>
      <c r="C535" s="87"/>
      <c r="D535" s="87"/>
      <c r="E535" s="87"/>
      <c r="F535" s="87"/>
      <c r="G535" s="87"/>
      <c r="H535" s="87"/>
      <c r="I535" s="87"/>
      <c r="J535" s="102"/>
      <c r="K535" s="103"/>
      <c r="L535" s="104"/>
      <c r="M535" s="95"/>
      <c r="N535" s="95"/>
      <c r="O535" s="9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  <c r="Z535" s="105"/>
    </row>
    <row r="536" spans="1:26">
      <c r="A536" s="87" t="str">
        <f t="shared" si="2"/>
        <v/>
      </c>
      <c r="B536" s="2"/>
      <c r="C536" s="87"/>
      <c r="D536" s="87"/>
      <c r="E536" s="87"/>
      <c r="F536" s="87"/>
      <c r="G536" s="87"/>
      <c r="H536" s="87"/>
      <c r="I536" s="87"/>
      <c r="J536" s="102"/>
      <c r="K536" s="103"/>
      <c r="L536" s="104"/>
      <c r="M536" s="95"/>
      <c r="N536" s="95"/>
      <c r="O536" s="9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  <c r="Z536" s="105"/>
    </row>
    <row r="537" spans="1:26">
      <c r="A537" s="87" t="str">
        <f t="shared" si="2"/>
        <v/>
      </c>
      <c r="B537" s="2"/>
      <c r="C537" s="87"/>
      <c r="D537" s="87"/>
      <c r="E537" s="87"/>
      <c r="F537" s="87"/>
      <c r="G537" s="87"/>
      <c r="H537" s="87"/>
      <c r="I537" s="87"/>
      <c r="J537" s="102"/>
      <c r="K537" s="103"/>
      <c r="L537" s="104"/>
      <c r="M537" s="95"/>
      <c r="N537" s="95"/>
      <c r="O537" s="9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  <c r="Z537" s="105"/>
    </row>
    <row r="538" spans="1:26">
      <c r="A538" s="87" t="str">
        <f t="shared" si="2"/>
        <v/>
      </c>
      <c r="B538" s="2"/>
      <c r="C538" s="87"/>
      <c r="D538" s="87"/>
      <c r="E538" s="87"/>
      <c r="F538" s="87"/>
      <c r="G538" s="87"/>
      <c r="H538" s="87"/>
      <c r="I538" s="87"/>
      <c r="J538" s="102"/>
      <c r="K538" s="103"/>
      <c r="L538" s="104"/>
      <c r="M538" s="95"/>
      <c r="N538" s="95"/>
      <c r="O538" s="95"/>
      <c r="P538" s="105"/>
      <c r="Q538" s="105"/>
      <c r="R538" s="105"/>
      <c r="S538" s="105"/>
      <c r="T538" s="105"/>
      <c r="U538" s="105"/>
      <c r="V538" s="105"/>
      <c r="W538" s="105"/>
      <c r="X538" s="105"/>
      <c r="Y538" s="105"/>
      <c r="Z538" s="105"/>
    </row>
    <row r="539" spans="1:26">
      <c r="A539" s="87" t="str">
        <f t="shared" si="2"/>
        <v/>
      </c>
      <c r="B539" s="2"/>
      <c r="C539" s="87"/>
      <c r="D539" s="87"/>
      <c r="E539" s="87"/>
      <c r="F539" s="87"/>
      <c r="G539" s="87"/>
      <c r="H539" s="87"/>
      <c r="I539" s="87"/>
      <c r="J539" s="102"/>
      <c r="K539" s="103"/>
      <c r="L539" s="104"/>
      <c r="M539" s="95"/>
      <c r="N539" s="95"/>
      <c r="O539" s="9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  <c r="Z539" s="105"/>
    </row>
    <row r="540" spans="1:26">
      <c r="A540" s="87" t="str">
        <f t="shared" si="2"/>
        <v/>
      </c>
      <c r="B540" s="2"/>
      <c r="C540" s="87"/>
      <c r="D540" s="87"/>
      <c r="E540" s="87"/>
      <c r="F540" s="87"/>
      <c r="G540" s="87"/>
      <c r="H540" s="87"/>
      <c r="I540" s="87"/>
      <c r="J540" s="102"/>
      <c r="K540" s="103"/>
      <c r="L540" s="104"/>
      <c r="M540" s="95"/>
      <c r="N540" s="95"/>
      <c r="O540" s="9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  <c r="Z540" s="105"/>
    </row>
    <row r="541" spans="1:26">
      <c r="A541" s="87" t="str">
        <f t="shared" si="2"/>
        <v/>
      </c>
      <c r="B541" s="2"/>
      <c r="C541" s="87"/>
      <c r="D541" s="87"/>
      <c r="E541" s="87"/>
      <c r="F541" s="87"/>
      <c r="G541" s="87"/>
      <c r="H541" s="87"/>
      <c r="I541" s="87"/>
      <c r="J541" s="102"/>
      <c r="K541" s="103"/>
      <c r="L541" s="104"/>
      <c r="M541" s="95"/>
      <c r="N541" s="95"/>
      <c r="O541" s="9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  <c r="Z541" s="105"/>
    </row>
    <row r="542" spans="1:26">
      <c r="A542" s="87" t="str">
        <f t="shared" si="2"/>
        <v/>
      </c>
      <c r="B542" s="2"/>
      <c r="C542" s="87"/>
      <c r="D542" s="87"/>
      <c r="E542" s="87"/>
      <c r="F542" s="87"/>
      <c r="G542" s="87"/>
      <c r="H542" s="87"/>
      <c r="I542" s="87"/>
      <c r="J542" s="102"/>
      <c r="K542" s="103"/>
      <c r="L542" s="104"/>
      <c r="M542" s="95"/>
      <c r="N542" s="95"/>
      <c r="O542" s="9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  <c r="Z542" s="105"/>
    </row>
    <row r="543" spans="1:26">
      <c r="A543" s="87" t="str">
        <f t="shared" si="2"/>
        <v/>
      </c>
      <c r="B543" s="2"/>
      <c r="C543" s="87"/>
      <c r="D543" s="87"/>
      <c r="E543" s="87"/>
      <c r="F543" s="87"/>
      <c r="G543" s="87"/>
      <c r="H543" s="87"/>
      <c r="I543" s="87"/>
      <c r="J543" s="102"/>
      <c r="K543" s="103"/>
      <c r="L543" s="104"/>
      <c r="M543" s="95"/>
      <c r="N543" s="95"/>
      <c r="O543" s="9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  <c r="Z543" s="105"/>
    </row>
    <row r="544" spans="1:26">
      <c r="A544" s="87" t="str">
        <f t="shared" si="2"/>
        <v/>
      </c>
      <c r="B544" s="2"/>
      <c r="C544" s="87"/>
      <c r="D544" s="87"/>
      <c r="E544" s="87"/>
      <c r="F544" s="87"/>
      <c r="G544" s="87"/>
      <c r="H544" s="87"/>
      <c r="I544" s="87"/>
      <c r="J544" s="102"/>
      <c r="K544" s="103"/>
      <c r="L544" s="104"/>
      <c r="M544" s="95"/>
      <c r="N544" s="95"/>
      <c r="O544" s="9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  <c r="Z544" s="105"/>
    </row>
    <row r="545" spans="1:26">
      <c r="A545" s="87" t="str">
        <f t="shared" si="2"/>
        <v/>
      </c>
      <c r="B545" s="2"/>
      <c r="C545" s="87"/>
      <c r="D545" s="87"/>
      <c r="E545" s="87"/>
      <c r="F545" s="87"/>
      <c r="G545" s="87"/>
      <c r="H545" s="87"/>
      <c r="I545" s="87"/>
      <c r="J545" s="102"/>
      <c r="K545" s="103"/>
      <c r="L545" s="104"/>
      <c r="M545" s="95"/>
      <c r="N545" s="95"/>
      <c r="O545" s="9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  <c r="Z545" s="105"/>
    </row>
    <row r="546" spans="1:26">
      <c r="A546" s="87" t="str">
        <f t="shared" si="2"/>
        <v/>
      </c>
      <c r="B546" s="2"/>
      <c r="C546" s="87"/>
      <c r="D546" s="87"/>
      <c r="E546" s="87"/>
      <c r="F546" s="87"/>
      <c r="G546" s="87"/>
      <c r="H546" s="87"/>
      <c r="I546" s="87"/>
      <c r="J546" s="102"/>
      <c r="K546" s="103"/>
      <c r="L546" s="104"/>
      <c r="M546" s="95"/>
      <c r="N546" s="95"/>
      <c r="O546" s="9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  <c r="Z546" s="105"/>
    </row>
    <row r="547" spans="1:26">
      <c r="A547" s="87" t="str">
        <f t="shared" si="2"/>
        <v/>
      </c>
      <c r="B547" s="2"/>
      <c r="C547" s="87"/>
      <c r="D547" s="87"/>
      <c r="E547" s="87"/>
      <c r="F547" s="87"/>
      <c r="G547" s="87"/>
      <c r="H547" s="87"/>
      <c r="I547" s="87"/>
      <c r="J547" s="102"/>
      <c r="K547" s="103"/>
      <c r="L547" s="104"/>
      <c r="M547" s="95"/>
      <c r="N547" s="95"/>
      <c r="O547" s="9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  <c r="Z547" s="105"/>
    </row>
    <row r="548" spans="1:26">
      <c r="A548" s="87" t="str">
        <f t="shared" si="2"/>
        <v/>
      </c>
      <c r="B548" s="2"/>
      <c r="C548" s="87"/>
      <c r="D548" s="87"/>
      <c r="E548" s="87"/>
      <c r="F548" s="87"/>
      <c r="G548" s="87"/>
      <c r="H548" s="87"/>
      <c r="I548" s="87"/>
      <c r="J548" s="102"/>
      <c r="K548" s="103"/>
      <c r="L548" s="104"/>
      <c r="M548" s="95"/>
      <c r="N548" s="95"/>
      <c r="O548" s="9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  <c r="Z548" s="105"/>
    </row>
    <row r="549" spans="1:26">
      <c r="A549" s="87" t="str">
        <f t="shared" si="2"/>
        <v/>
      </c>
      <c r="B549" s="2"/>
      <c r="C549" s="87"/>
      <c r="D549" s="87"/>
      <c r="E549" s="87"/>
      <c r="F549" s="87"/>
      <c r="G549" s="87"/>
      <c r="H549" s="87"/>
      <c r="I549" s="87"/>
      <c r="J549" s="102"/>
      <c r="K549" s="103"/>
      <c r="L549" s="104"/>
      <c r="M549" s="95"/>
      <c r="N549" s="95"/>
      <c r="O549" s="9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  <c r="Z549" s="105"/>
    </row>
    <row r="550" spans="1:26">
      <c r="A550" s="87" t="str">
        <f t="shared" si="2"/>
        <v/>
      </c>
      <c r="B550" s="2"/>
      <c r="C550" s="87"/>
      <c r="D550" s="87"/>
      <c r="E550" s="87"/>
      <c r="F550" s="87"/>
      <c r="G550" s="87"/>
      <c r="H550" s="87"/>
      <c r="I550" s="87"/>
      <c r="J550" s="102"/>
      <c r="K550" s="103"/>
      <c r="L550" s="104"/>
      <c r="M550" s="95"/>
      <c r="N550" s="95"/>
      <c r="O550" s="9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  <c r="Z550" s="105"/>
    </row>
    <row r="551" spans="1:26">
      <c r="A551" s="87" t="str">
        <f t="shared" si="2"/>
        <v/>
      </c>
      <c r="B551" s="2"/>
      <c r="C551" s="87"/>
      <c r="D551" s="87"/>
      <c r="E551" s="87"/>
      <c r="F551" s="87"/>
      <c r="G551" s="87"/>
      <c r="H551" s="87"/>
      <c r="I551" s="87"/>
      <c r="J551" s="102"/>
      <c r="K551" s="103"/>
      <c r="L551" s="104"/>
      <c r="M551" s="95"/>
      <c r="N551" s="95"/>
      <c r="O551" s="95"/>
      <c r="P551" s="105"/>
      <c r="Q551" s="105"/>
      <c r="R551" s="105"/>
      <c r="S551" s="105"/>
      <c r="T551" s="105"/>
      <c r="U551" s="105"/>
      <c r="V551" s="105"/>
      <c r="W551" s="105"/>
      <c r="X551" s="105"/>
      <c r="Y551" s="105"/>
      <c r="Z551" s="105"/>
    </row>
    <row r="552" spans="1:26">
      <c r="A552" s="87" t="str">
        <f t="shared" si="2"/>
        <v/>
      </c>
      <c r="B552" s="2"/>
      <c r="C552" s="87"/>
      <c r="D552" s="87"/>
      <c r="E552" s="87"/>
      <c r="F552" s="87"/>
      <c r="G552" s="87"/>
      <c r="H552" s="87"/>
      <c r="I552" s="87"/>
      <c r="J552" s="102"/>
      <c r="K552" s="103"/>
      <c r="L552" s="104"/>
      <c r="M552" s="95"/>
      <c r="N552" s="95"/>
      <c r="O552" s="9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  <c r="Z552" s="105"/>
    </row>
    <row r="553" spans="1:26">
      <c r="A553" s="87" t="str">
        <f t="shared" si="2"/>
        <v/>
      </c>
      <c r="B553" s="2"/>
      <c r="C553" s="87"/>
      <c r="D553" s="87"/>
      <c r="E553" s="87"/>
      <c r="F553" s="87"/>
      <c r="G553" s="87"/>
      <c r="H553" s="87"/>
      <c r="I553" s="87"/>
      <c r="J553" s="102"/>
      <c r="K553" s="103"/>
      <c r="L553" s="104"/>
      <c r="M553" s="95"/>
      <c r="N553" s="95"/>
      <c r="O553" s="9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  <c r="Z553" s="105"/>
    </row>
    <row r="554" spans="1:26">
      <c r="A554" s="87" t="str">
        <f t="shared" si="2"/>
        <v/>
      </c>
      <c r="B554" s="2"/>
      <c r="C554" s="87"/>
      <c r="D554" s="87"/>
      <c r="E554" s="87"/>
      <c r="F554" s="87"/>
      <c r="G554" s="87"/>
      <c r="H554" s="87"/>
      <c r="I554" s="87"/>
      <c r="J554" s="102"/>
      <c r="K554" s="103"/>
      <c r="L554" s="104"/>
      <c r="M554" s="95"/>
      <c r="N554" s="95"/>
      <c r="O554" s="9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  <c r="Z554" s="105"/>
    </row>
    <row r="555" spans="1:26">
      <c r="A555" s="87" t="str">
        <f t="shared" si="2"/>
        <v/>
      </c>
      <c r="B555" s="2"/>
      <c r="C555" s="87"/>
      <c r="D555" s="87"/>
      <c r="E555" s="87"/>
      <c r="F555" s="87"/>
      <c r="G555" s="87"/>
      <c r="H555" s="87"/>
      <c r="I555" s="87"/>
      <c r="J555" s="102"/>
      <c r="K555" s="103"/>
      <c r="L555" s="104"/>
      <c r="M555" s="95"/>
      <c r="N555" s="95"/>
      <c r="O555" s="9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  <c r="Z555" s="105"/>
    </row>
    <row r="556" spans="1:26">
      <c r="A556" s="87" t="str">
        <f t="shared" si="2"/>
        <v/>
      </c>
      <c r="B556" s="2"/>
      <c r="C556" s="87"/>
      <c r="D556" s="87"/>
      <c r="E556" s="87"/>
      <c r="F556" s="87"/>
      <c r="G556" s="87"/>
      <c r="H556" s="87"/>
      <c r="I556" s="87"/>
      <c r="J556" s="102"/>
      <c r="K556" s="103"/>
      <c r="L556" s="104"/>
      <c r="M556" s="95"/>
      <c r="N556" s="95"/>
      <c r="O556" s="9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  <c r="Z556" s="105"/>
    </row>
    <row r="557" spans="1:26">
      <c r="A557" s="87" t="str">
        <f t="shared" si="2"/>
        <v/>
      </c>
      <c r="B557" s="2"/>
      <c r="C557" s="87"/>
      <c r="D557" s="87"/>
      <c r="E557" s="87"/>
      <c r="F557" s="87"/>
      <c r="G557" s="87"/>
      <c r="H557" s="87"/>
      <c r="I557" s="87"/>
      <c r="J557" s="102"/>
      <c r="K557" s="103"/>
      <c r="L557" s="104"/>
      <c r="M557" s="95"/>
      <c r="N557" s="95"/>
      <c r="O557" s="9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  <c r="Z557" s="105"/>
    </row>
    <row r="558" spans="1:26">
      <c r="A558" s="87" t="str">
        <f t="shared" si="2"/>
        <v/>
      </c>
      <c r="B558" s="2"/>
      <c r="C558" s="87"/>
      <c r="D558" s="87"/>
      <c r="E558" s="87"/>
      <c r="F558" s="87"/>
      <c r="G558" s="87"/>
      <c r="H558" s="87"/>
      <c r="I558" s="87"/>
      <c r="J558" s="102"/>
      <c r="K558" s="103"/>
      <c r="L558" s="104"/>
      <c r="M558" s="95"/>
      <c r="N558" s="95"/>
      <c r="O558" s="9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  <c r="Z558" s="105"/>
    </row>
    <row r="559" spans="1:26">
      <c r="A559" s="87" t="str">
        <f t="shared" si="2"/>
        <v/>
      </c>
      <c r="B559" s="2"/>
      <c r="C559" s="87"/>
      <c r="D559" s="87"/>
      <c r="E559" s="87"/>
      <c r="F559" s="87"/>
      <c r="G559" s="87"/>
      <c r="H559" s="87"/>
      <c r="I559" s="87"/>
      <c r="J559" s="102"/>
      <c r="K559" s="103"/>
      <c r="L559" s="104"/>
      <c r="M559" s="95"/>
      <c r="N559" s="95"/>
      <c r="O559" s="9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  <c r="Z559" s="105"/>
    </row>
    <row r="560" spans="1:26">
      <c r="A560" s="87" t="str">
        <f t="shared" si="2"/>
        <v/>
      </c>
      <c r="B560" s="2"/>
      <c r="C560" s="87"/>
      <c r="D560" s="87"/>
      <c r="E560" s="87"/>
      <c r="F560" s="87"/>
      <c r="G560" s="87"/>
      <c r="H560" s="87"/>
      <c r="I560" s="87"/>
      <c r="J560" s="102"/>
      <c r="K560" s="103"/>
      <c r="L560" s="104"/>
      <c r="M560" s="95"/>
      <c r="N560" s="95"/>
      <c r="O560" s="9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  <c r="Z560" s="105"/>
    </row>
    <row r="561" spans="1:26">
      <c r="A561" s="87" t="str">
        <f t="shared" si="2"/>
        <v/>
      </c>
      <c r="B561" s="2"/>
      <c r="C561" s="87"/>
      <c r="D561" s="87"/>
      <c r="E561" s="87"/>
      <c r="F561" s="87"/>
      <c r="G561" s="87"/>
      <c r="H561" s="87"/>
      <c r="I561" s="87"/>
      <c r="J561" s="102"/>
      <c r="K561" s="103"/>
      <c r="L561" s="104"/>
      <c r="M561" s="95"/>
      <c r="N561" s="95"/>
      <c r="O561" s="9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  <c r="Z561" s="105"/>
    </row>
    <row r="562" spans="1:26">
      <c r="A562" s="87" t="str">
        <f t="shared" si="2"/>
        <v/>
      </c>
      <c r="B562" s="2"/>
      <c r="C562" s="87"/>
      <c r="D562" s="87"/>
      <c r="E562" s="87"/>
      <c r="F562" s="87"/>
      <c r="G562" s="87"/>
      <c r="H562" s="87"/>
      <c r="I562" s="87"/>
      <c r="J562" s="102"/>
      <c r="K562" s="103"/>
      <c r="L562" s="104"/>
      <c r="M562" s="95"/>
      <c r="N562" s="95"/>
      <c r="O562" s="9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  <c r="Z562" s="105"/>
    </row>
    <row r="563" spans="1:26">
      <c r="A563" s="87" t="str">
        <f t="shared" si="2"/>
        <v/>
      </c>
      <c r="B563" s="2"/>
      <c r="C563" s="87"/>
      <c r="D563" s="87"/>
      <c r="E563" s="87"/>
      <c r="F563" s="87"/>
      <c r="G563" s="87"/>
      <c r="H563" s="87"/>
      <c r="I563" s="87"/>
      <c r="J563" s="102"/>
      <c r="K563" s="103"/>
      <c r="L563" s="104"/>
      <c r="M563" s="95"/>
      <c r="N563" s="95"/>
      <c r="O563" s="9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  <c r="Z563" s="105"/>
    </row>
    <row r="564" spans="1:26">
      <c r="A564" s="87" t="str">
        <f t="shared" si="2"/>
        <v/>
      </c>
      <c r="B564" s="2"/>
      <c r="C564" s="87"/>
      <c r="D564" s="87"/>
      <c r="E564" s="87"/>
      <c r="F564" s="87"/>
      <c r="G564" s="87"/>
      <c r="H564" s="87"/>
      <c r="I564" s="87"/>
      <c r="J564" s="102"/>
      <c r="K564" s="103"/>
      <c r="L564" s="104"/>
      <c r="M564" s="95"/>
      <c r="N564" s="95"/>
      <c r="O564" s="9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  <c r="Z564" s="105"/>
    </row>
    <row r="565" spans="1:26">
      <c r="A565" s="87" t="str">
        <f t="shared" si="2"/>
        <v/>
      </c>
      <c r="B565" s="2"/>
      <c r="C565" s="87"/>
      <c r="D565" s="87"/>
      <c r="E565" s="87"/>
      <c r="F565" s="87"/>
      <c r="G565" s="87"/>
      <c r="H565" s="87"/>
      <c r="I565" s="87"/>
      <c r="J565" s="102"/>
      <c r="K565" s="103"/>
      <c r="L565" s="104"/>
      <c r="M565" s="95"/>
      <c r="N565" s="95"/>
      <c r="O565" s="9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  <c r="Z565" s="105"/>
    </row>
    <row r="566" spans="1:26">
      <c r="A566" s="87" t="str">
        <f t="shared" si="2"/>
        <v/>
      </c>
      <c r="B566" s="2"/>
      <c r="C566" s="87"/>
      <c r="D566" s="87"/>
      <c r="E566" s="87"/>
      <c r="F566" s="87"/>
      <c r="G566" s="87"/>
      <c r="H566" s="87"/>
      <c r="I566" s="87"/>
      <c r="J566" s="102"/>
      <c r="K566" s="103"/>
      <c r="L566" s="104"/>
      <c r="M566" s="95"/>
      <c r="N566" s="95"/>
      <c r="O566" s="9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  <c r="Z566" s="105"/>
    </row>
    <row r="567" spans="1:26">
      <c r="A567" s="87" t="str">
        <f t="shared" si="2"/>
        <v/>
      </c>
      <c r="B567" s="2"/>
      <c r="C567" s="87"/>
      <c r="D567" s="87"/>
      <c r="E567" s="87"/>
      <c r="F567" s="87"/>
      <c r="G567" s="87"/>
      <c r="H567" s="87"/>
      <c r="I567" s="87"/>
      <c r="J567" s="102"/>
      <c r="K567" s="103"/>
      <c r="L567" s="104"/>
      <c r="M567" s="95"/>
      <c r="N567" s="95"/>
      <c r="O567" s="9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  <c r="Z567" s="105"/>
    </row>
    <row r="568" spans="1:26">
      <c r="A568" s="87" t="str">
        <f t="shared" si="2"/>
        <v/>
      </c>
      <c r="B568" s="2"/>
      <c r="C568" s="87"/>
      <c r="D568" s="87"/>
      <c r="E568" s="87"/>
      <c r="F568" s="87"/>
      <c r="G568" s="87"/>
      <c r="H568" s="87"/>
      <c r="I568" s="87"/>
      <c r="J568" s="102"/>
      <c r="K568" s="103"/>
      <c r="L568" s="104"/>
      <c r="M568" s="95"/>
      <c r="N568" s="95"/>
      <c r="O568" s="9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  <c r="Z568" s="105"/>
    </row>
    <row r="569" spans="1:26">
      <c r="A569" s="87" t="str">
        <f t="shared" si="2"/>
        <v/>
      </c>
      <c r="B569" s="2"/>
      <c r="C569" s="87"/>
      <c r="D569" s="87"/>
      <c r="E569" s="87"/>
      <c r="F569" s="87"/>
      <c r="G569" s="87"/>
      <c r="H569" s="87"/>
      <c r="I569" s="87"/>
      <c r="J569" s="102"/>
      <c r="K569" s="103"/>
      <c r="L569" s="104"/>
      <c r="M569" s="95"/>
      <c r="N569" s="95"/>
      <c r="O569" s="9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  <c r="Z569" s="105"/>
    </row>
    <row r="570" spans="1:26">
      <c r="A570" s="87" t="str">
        <f t="shared" si="2"/>
        <v/>
      </c>
      <c r="B570" s="2"/>
      <c r="C570" s="87"/>
      <c r="D570" s="87"/>
      <c r="E570" s="87"/>
      <c r="F570" s="87"/>
      <c r="G570" s="87"/>
      <c r="H570" s="87"/>
      <c r="I570" s="87"/>
      <c r="J570" s="102"/>
      <c r="K570" s="103"/>
      <c r="L570" s="104"/>
      <c r="M570" s="95"/>
      <c r="N570" s="95"/>
      <c r="O570" s="9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  <c r="Z570" s="105"/>
    </row>
    <row r="571" spans="1:26">
      <c r="A571" s="87" t="str">
        <f t="shared" si="2"/>
        <v/>
      </c>
      <c r="B571" s="2"/>
      <c r="C571" s="87"/>
      <c r="D571" s="87"/>
      <c r="E571" s="87"/>
      <c r="F571" s="87"/>
      <c r="G571" s="87"/>
      <c r="H571" s="87"/>
      <c r="I571" s="87"/>
      <c r="J571" s="102"/>
      <c r="K571" s="103"/>
      <c r="L571" s="104"/>
      <c r="M571" s="95"/>
      <c r="N571" s="95"/>
      <c r="O571" s="9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  <c r="Z571" s="105"/>
    </row>
    <row r="572" spans="1:26">
      <c r="A572" s="87" t="str">
        <f t="shared" si="2"/>
        <v/>
      </c>
      <c r="B572" s="2"/>
      <c r="C572" s="87"/>
      <c r="D572" s="87"/>
      <c r="E572" s="87"/>
      <c r="F572" s="87"/>
      <c r="G572" s="87"/>
      <c r="H572" s="87"/>
      <c r="I572" s="87"/>
      <c r="J572" s="102"/>
      <c r="K572" s="103"/>
      <c r="L572" s="104"/>
      <c r="M572" s="95"/>
      <c r="N572" s="95"/>
      <c r="O572" s="9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  <c r="Z572" s="105"/>
    </row>
    <row r="573" spans="1:26">
      <c r="A573" s="87" t="str">
        <f t="shared" si="2"/>
        <v/>
      </c>
      <c r="B573" s="2"/>
      <c r="C573" s="87"/>
      <c r="D573" s="87"/>
      <c r="E573" s="87"/>
      <c r="F573" s="87"/>
      <c r="G573" s="87"/>
      <c r="H573" s="87"/>
      <c r="I573" s="87"/>
      <c r="J573" s="102"/>
      <c r="K573" s="103"/>
      <c r="L573" s="104"/>
      <c r="M573" s="95"/>
      <c r="N573" s="95"/>
      <c r="O573" s="9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  <c r="Z573" s="105"/>
    </row>
    <row r="574" spans="1:26">
      <c r="A574" s="87" t="str">
        <f t="shared" si="2"/>
        <v/>
      </c>
      <c r="B574" s="2"/>
      <c r="C574" s="87"/>
      <c r="D574" s="87"/>
      <c r="E574" s="87"/>
      <c r="F574" s="87"/>
      <c r="G574" s="87"/>
      <c r="H574" s="87"/>
      <c r="I574" s="87"/>
      <c r="J574" s="102"/>
      <c r="K574" s="103"/>
      <c r="L574" s="104"/>
      <c r="M574" s="95"/>
      <c r="N574" s="95"/>
      <c r="O574" s="9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  <c r="Z574" s="105"/>
    </row>
    <row r="575" spans="1:26">
      <c r="A575" s="87" t="str">
        <f t="shared" si="2"/>
        <v/>
      </c>
      <c r="B575" s="2"/>
      <c r="C575" s="87"/>
      <c r="D575" s="87"/>
      <c r="E575" s="87"/>
      <c r="F575" s="87"/>
      <c r="G575" s="87"/>
      <c r="H575" s="87"/>
      <c r="I575" s="87"/>
      <c r="J575" s="102"/>
      <c r="K575" s="103"/>
      <c r="L575" s="104"/>
      <c r="M575" s="95"/>
      <c r="N575" s="95"/>
      <c r="O575" s="9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  <c r="Z575" s="105"/>
    </row>
    <row r="576" spans="1:26">
      <c r="A576" s="87" t="str">
        <f t="shared" si="2"/>
        <v/>
      </c>
      <c r="B576" s="2"/>
      <c r="C576" s="87"/>
      <c r="D576" s="87"/>
      <c r="E576" s="87"/>
      <c r="F576" s="87"/>
      <c r="G576" s="87"/>
      <c r="H576" s="87"/>
      <c r="I576" s="87"/>
      <c r="J576" s="102"/>
      <c r="K576" s="103"/>
      <c r="L576" s="104"/>
      <c r="M576" s="95"/>
      <c r="N576" s="95"/>
      <c r="O576" s="9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  <c r="Z576" s="105"/>
    </row>
    <row r="577" spans="1:26">
      <c r="A577" s="87" t="str">
        <f t="shared" si="2"/>
        <v/>
      </c>
      <c r="B577" s="2"/>
      <c r="C577" s="87"/>
      <c r="D577" s="87"/>
      <c r="E577" s="87"/>
      <c r="F577" s="87"/>
      <c r="G577" s="87"/>
      <c r="H577" s="87"/>
      <c r="I577" s="87"/>
      <c r="J577" s="102"/>
      <c r="K577" s="103"/>
      <c r="L577" s="104"/>
      <c r="M577" s="95"/>
      <c r="N577" s="95"/>
      <c r="O577" s="9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  <c r="Z577" s="105"/>
    </row>
    <row r="578" spans="1:26">
      <c r="A578" s="87" t="str">
        <f t="shared" si="2"/>
        <v/>
      </c>
      <c r="B578" s="2"/>
      <c r="C578" s="87"/>
      <c r="D578" s="87"/>
      <c r="E578" s="87"/>
      <c r="F578" s="87"/>
      <c r="G578" s="87"/>
      <c r="H578" s="87"/>
      <c r="I578" s="87"/>
      <c r="J578" s="102"/>
      <c r="K578" s="103"/>
      <c r="L578" s="104"/>
      <c r="M578" s="95"/>
      <c r="N578" s="95"/>
      <c r="O578" s="9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  <c r="Z578" s="105"/>
    </row>
    <row r="579" spans="1:26">
      <c r="A579" s="87" t="str">
        <f t="shared" si="2"/>
        <v/>
      </c>
      <c r="B579" s="2"/>
      <c r="C579" s="87"/>
      <c r="D579" s="87"/>
      <c r="E579" s="87"/>
      <c r="F579" s="87"/>
      <c r="G579" s="87"/>
      <c r="H579" s="87"/>
      <c r="I579" s="87"/>
      <c r="J579" s="102"/>
      <c r="K579" s="103"/>
      <c r="L579" s="104"/>
      <c r="M579" s="95"/>
      <c r="N579" s="95"/>
      <c r="O579" s="9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  <c r="Z579" s="105"/>
    </row>
    <row r="580" spans="1:26">
      <c r="A580" s="87" t="str">
        <f t="shared" si="2"/>
        <v/>
      </c>
      <c r="B580" s="2"/>
      <c r="C580" s="87"/>
      <c r="D580" s="87"/>
      <c r="E580" s="87"/>
      <c r="F580" s="87"/>
      <c r="G580" s="87"/>
      <c r="H580" s="87"/>
      <c r="I580" s="87"/>
      <c r="J580" s="102"/>
      <c r="K580" s="103"/>
      <c r="L580" s="104"/>
      <c r="M580" s="95"/>
      <c r="N580" s="95"/>
      <c r="O580" s="9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  <c r="Z580" s="105"/>
    </row>
    <row r="581" spans="1:26">
      <c r="A581" s="87" t="str">
        <f t="shared" si="2"/>
        <v/>
      </c>
      <c r="B581" s="2"/>
      <c r="C581" s="87"/>
      <c r="D581" s="87"/>
      <c r="E581" s="87"/>
      <c r="F581" s="87"/>
      <c r="G581" s="87"/>
      <c r="H581" s="87"/>
      <c r="I581" s="87"/>
      <c r="J581" s="102"/>
      <c r="K581" s="103"/>
      <c r="L581" s="104"/>
      <c r="M581" s="95"/>
      <c r="N581" s="95"/>
      <c r="O581" s="9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  <c r="Z581" s="105"/>
    </row>
    <row r="582" spans="1:26">
      <c r="A582" s="87" t="str">
        <f t="shared" si="2"/>
        <v/>
      </c>
      <c r="B582" s="2"/>
      <c r="C582" s="87"/>
      <c r="D582" s="87"/>
      <c r="E582" s="87"/>
      <c r="F582" s="87"/>
      <c r="G582" s="87"/>
      <c r="H582" s="87"/>
      <c r="I582" s="87"/>
      <c r="J582" s="102"/>
      <c r="K582" s="103"/>
      <c r="L582" s="104"/>
      <c r="M582" s="95"/>
      <c r="N582" s="95"/>
      <c r="O582" s="9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  <c r="Z582" s="105"/>
    </row>
    <row r="583" spans="1:26">
      <c r="A583" s="87" t="str">
        <f t="shared" si="2"/>
        <v/>
      </c>
      <c r="B583" s="2"/>
      <c r="C583" s="87"/>
      <c r="D583" s="87"/>
      <c r="E583" s="87"/>
      <c r="F583" s="87"/>
      <c r="G583" s="87"/>
      <c r="H583" s="87"/>
      <c r="I583" s="87"/>
      <c r="J583" s="102"/>
      <c r="K583" s="103"/>
      <c r="L583" s="104"/>
      <c r="M583" s="95"/>
      <c r="N583" s="95"/>
      <c r="O583" s="9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  <c r="Z583" s="105"/>
    </row>
    <row r="584" spans="1:26">
      <c r="A584" s="87" t="str">
        <f t="shared" si="2"/>
        <v/>
      </c>
      <c r="B584" s="2"/>
      <c r="C584" s="87"/>
      <c r="D584" s="87"/>
      <c r="E584" s="87"/>
      <c r="F584" s="87"/>
      <c r="G584" s="87"/>
      <c r="H584" s="87"/>
      <c r="I584" s="87"/>
      <c r="J584" s="102"/>
      <c r="K584" s="103"/>
      <c r="L584" s="104"/>
      <c r="M584" s="95"/>
      <c r="N584" s="95"/>
      <c r="O584" s="9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  <c r="Z584" s="105"/>
    </row>
    <row r="585" spans="1:26">
      <c r="A585" s="87" t="str">
        <f t="shared" si="2"/>
        <v/>
      </c>
      <c r="B585" s="2"/>
      <c r="C585" s="87"/>
      <c r="D585" s="87"/>
      <c r="E585" s="87"/>
      <c r="F585" s="87"/>
      <c r="G585" s="87"/>
      <c r="H585" s="87"/>
      <c r="I585" s="87"/>
      <c r="J585" s="102"/>
      <c r="K585" s="103"/>
      <c r="L585" s="104"/>
      <c r="M585" s="95"/>
      <c r="N585" s="95"/>
      <c r="O585" s="9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  <c r="Z585" s="105"/>
    </row>
    <row r="586" spans="1:26">
      <c r="A586" s="87" t="str">
        <f t="shared" si="2"/>
        <v/>
      </c>
      <c r="B586" s="2"/>
      <c r="C586" s="87"/>
      <c r="D586" s="87"/>
      <c r="E586" s="87"/>
      <c r="F586" s="87"/>
      <c r="G586" s="87"/>
      <c r="H586" s="87"/>
      <c r="I586" s="87"/>
      <c r="J586" s="102"/>
      <c r="K586" s="103"/>
      <c r="L586" s="104"/>
      <c r="M586" s="95"/>
      <c r="N586" s="95"/>
      <c r="O586" s="9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  <c r="Z586" s="105"/>
    </row>
    <row r="587" spans="1:26">
      <c r="A587" s="87" t="str">
        <f t="shared" si="2"/>
        <v/>
      </c>
      <c r="B587" s="2"/>
      <c r="C587" s="87"/>
      <c r="D587" s="87"/>
      <c r="E587" s="87"/>
      <c r="F587" s="87"/>
      <c r="G587" s="87"/>
      <c r="H587" s="87"/>
      <c r="I587" s="87"/>
      <c r="J587" s="102"/>
      <c r="K587" s="103"/>
      <c r="L587" s="104"/>
      <c r="M587" s="95"/>
      <c r="N587" s="95"/>
      <c r="O587" s="9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  <c r="Z587" s="105"/>
    </row>
    <row r="588" spans="1:26">
      <c r="A588" s="87" t="str">
        <f t="shared" si="2"/>
        <v/>
      </c>
      <c r="B588" s="2"/>
      <c r="C588" s="87"/>
      <c r="D588" s="87"/>
      <c r="E588" s="87"/>
      <c r="F588" s="87"/>
      <c r="G588" s="87"/>
      <c r="H588" s="87"/>
      <c r="I588" s="87"/>
      <c r="J588" s="102"/>
      <c r="K588" s="103"/>
      <c r="L588" s="104"/>
      <c r="M588" s="95"/>
      <c r="N588" s="95"/>
      <c r="O588" s="9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  <c r="Z588" s="105"/>
    </row>
    <row r="589" spans="1:26">
      <c r="A589" s="87" t="str">
        <f t="shared" si="2"/>
        <v/>
      </c>
      <c r="B589" s="2"/>
      <c r="C589" s="87"/>
      <c r="D589" s="87"/>
      <c r="E589" s="87"/>
      <c r="F589" s="87"/>
      <c r="G589" s="87"/>
      <c r="H589" s="87"/>
      <c r="I589" s="87"/>
      <c r="J589" s="102"/>
      <c r="K589" s="103"/>
      <c r="L589" s="104"/>
      <c r="M589" s="95"/>
      <c r="N589" s="95"/>
      <c r="O589" s="9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  <c r="Z589" s="105"/>
    </row>
    <row r="590" spans="1:26">
      <c r="A590" s="87" t="str">
        <f t="shared" si="2"/>
        <v/>
      </c>
      <c r="B590" s="2"/>
      <c r="C590" s="87"/>
      <c r="D590" s="87"/>
      <c r="E590" s="87"/>
      <c r="F590" s="87"/>
      <c r="G590" s="87"/>
      <c r="H590" s="87"/>
      <c r="I590" s="87"/>
      <c r="J590" s="102"/>
      <c r="K590" s="103"/>
      <c r="L590" s="104"/>
      <c r="M590" s="95"/>
      <c r="N590" s="95"/>
      <c r="O590" s="9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  <c r="Z590" s="105"/>
    </row>
    <row r="591" spans="1:26">
      <c r="A591" s="87" t="str">
        <f t="shared" si="2"/>
        <v/>
      </c>
      <c r="B591" s="2"/>
      <c r="C591" s="87"/>
      <c r="D591" s="87"/>
      <c r="E591" s="87"/>
      <c r="F591" s="87"/>
      <c r="G591" s="87"/>
      <c r="H591" s="87"/>
      <c r="I591" s="87"/>
      <c r="J591" s="102"/>
      <c r="K591" s="103"/>
      <c r="L591" s="104"/>
      <c r="M591" s="95"/>
      <c r="N591" s="95"/>
      <c r="O591" s="9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  <c r="Z591" s="105"/>
    </row>
    <row r="592" spans="1:26">
      <c r="A592" s="87" t="str">
        <f t="shared" si="2"/>
        <v/>
      </c>
      <c r="B592" s="2"/>
      <c r="C592" s="87"/>
      <c r="D592" s="87"/>
      <c r="E592" s="87"/>
      <c r="F592" s="87"/>
      <c r="G592" s="87"/>
      <c r="H592" s="87"/>
      <c r="I592" s="87"/>
      <c r="J592" s="102"/>
      <c r="K592" s="103"/>
      <c r="L592" s="104"/>
      <c r="M592" s="95"/>
      <c r="N592" s="95"/>
      <c r="O592" s="9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  <c r="Z592" s="105"/>
    </row>
    <row r="593" spans="1:26">
      <c r="A593" s="87" t="str">
        <f t="shared" si="2"/>
        <v/>
      </c>
      <c r="B593" s="2"/>
      <c r="C593" s="87"/>
      <c r="D593" s="87"/>
      <c r="E593" s="87"/>
      <c r="F593" s="87"/>
      <c r="G593" s="87"/>
      <c r="H593" s="87"/>
      <c r="I593" s="87"/>
      <c r="J593" s="102"/>
      <c r="K593" s="103"/>
      <c r="L593" s="104"/>
      <c r="M593" s="95"/>
      <c r="N593" s="95"/>
      <c r="O593" s="9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  <c r="Z593" s="105"/>
    </row>
    <row r="594" spans="1:26">
      <c r="A594" s="87" t="str">
        <f t="shared" si="2"/>
        <v/>
      </c>
      <c r="B594" s="2"/>
      <c r="C594" s="87"/>
      <c r="D594" s="87"/>
      <c r="E594" s="87"/>
      <c r="F594" s="87"/>
      <c r="G594" s="87"/>
      <c r="H594" s="87"/>
      <c r="I594" s="87"/>
      <c r="J594" s="102"/>
      <c r="K594" s="103"/>
      <c r="L594" s="104"/>
      <c r="M594" s="95"/>
      <c r="N594" s="95"/>
      <c r="O594" s="9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  <c r="Z594" s="105"/>
    </row>
    <row r="595" spans="1:26">
      <c r="A595" s="87" t="str">
        <f t="shared" si="2"/>
        <v/>
      </c>
      <c r="B595" s="2"/>
      <c r="C595" s="87"/>
      <c r="D595" s="87"/>
      <c r="E595" s="87"/>
      <c r="F595" s="87"/>
      <c r="G595" s="87"/>
      <c r="H595" s="87"/>
      <c r="I595" s="87"/>
      <c r="J595" s="102"/>
      <c r="K595" s="103"/>
      <c r="L595" s="104"/>
      <c r="M595" s="95"/>
      <c r="N595" s="95"/>
      <c r="O595" s="9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  <c r="Z595" s="105"/>
    </row>
    <row r="596" spans="1:26">
      <c r="A596" s="87" t="str">
        <f t="shared" si="2"/>
        <v/>
      </c>
      <c r="B596" s="2"/>
      <c r="C596" s="87"/>
      <c r="D596" s="87"/>
      <c r="E596" s="87"/>
      <c r="F596" s="87"/>
      <c r="G596" s="87"/>
      <c r="H596" s="87"/>
      <c r="I596" s="87"/>
      <c r="J596" s="102"/>
      <c r="K596" s="103"/>
      <c r="L596" s="104"/>
      <c r="M596" s="95"/>
      <c r="N596" s="95"/>
      <c r="O596" s="9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  <c r="Z596" s="105"/>
    </row>
    <row r="597" spans="1:26">
      <c r="A597" s="87" t="str">
        <f t="shared" si="2"/>
        <v/>
      </c>
      <c r="B597" s="2"/>
      <c r="C597" s="87"/>
      <c r="D597" s="87"/>
      <c r="E597" s="87"/>
      <c r="F597" s="87"/>
      <c r="G597" s="87"/>
      <c r="H597" s="87"/>
      <c r="I597" s="87"/>
      <c r="J597" s="102"/>
      <c r="K597" s="103"/>
      <c r="L597" s="104"/>
      <c r="M597" s="95"/>
      <c r="N597" s="95"/>
      <c r="O597" s="9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  <c r="Z597" s="105"/>
    </row>
    <row r="598" spans="1:26">
      <c r="A598" s="87" t="str">
        <f t="shared" si="2"/>
        <v/>
      </c>
      <c r="B598" s="2"/>
      <c r="C598" s="87"/>
      <c r="D598" s="87"/>
      <c r="E598" s="87"/>
      <c r="F598" s="87"/>
      <c r="G598" s="87"/>
      <c r="H598" s="87"/>
      <c r="I598" s="87"/>
      <c r="J598" s="102"/>
      <c r="K598" s="103"/>
      <c r="L598" s="104"/>
      <c r="M598" s="95"/>
      <c r="N598" s="95"/>
      <c r="O598" s="9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  <c r="Z598" s="105"/>
    </row>
    <row r="599" spans="1:26">
      <c r="A599" s="87" t="str">
        <f t="shared" si="2"/>
        <v/>
      </c>
      <c r="B599" s="2"/>
      <c r="C599" s="87"/>
      <c r="D599" s="87"/>
      <c r="E599" s="87"/>
      <c r="F599" s="87"/>
      <c r="G599" s="87"/>
      <c r="H599" s="87"/>
      <c r="I599" s="87"/>
      <c r="J599" s="102"/>
      <c r="K599" s="103"/>
      <c r="L599" s="104"/>
      <c r="M599" s="95"/>
      <c r="N599" s="95"/>
      <c r="O599" s="9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  <c r="Z599" s="105"/>
    </row>
    <row r="600" spans="1:26">
      <c r="A600" s="87" t="str">
        <f t="shared" si="2"/>
        <v/>
      </c>
      <c r="B600" s="2"/>
      <c r="C600" s="87"/>
      <c r="D600" s="87"/>
      <c r="E600" s="87"/>
      <c r="F600" s="87"/>
      <c r="G600" s="87"/>
      <c r="H600" s="87"/>
      <c r="I600" s="87"/>
      <c r="J600" s="102"/>
      <c r="K600" s="103"/>
      <c r="L600" s="104"/>
      <c r="M600" s="95"/>
      <c r="N600" s="95"/>
      <c r="O600" s="9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  <c r="Z600" s="105"/>
    </row>
    <row r="601" spans="1:26">
      <c r="A601" s="87" t="str">
        <f t="shared" si="2"/>
        <v/>
      </c>
      <c r="B601" s="2"/>
      <c r="C601" s="87"/>
      <c r="D601" s="87"/>
      <c r="E601" s="87"/>
      <c r="F601" s="87"/>
      <c r="G601" s="87"/>
      <c r="H601" s="87"/>
      <c r="I601" s="87"/>
      <c r="J601" s="102"/>
      <c r="K601" s="103"/>
      <c r="L601" s="104"/>
      <c r="M601" s="95"/>
      <c r="N601" s="95"/>
      <c r="O601" s="9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  <c r="Z601" s="105"/>
    </row>
    <row r="602" spans="1:26">
      <c r="A602" s="87" t="str">
        <f t="shared" si="2"/>
        <v/>
      </c>
      <c r="B602" s="2"/>
      <c r="C602" s="87"/>
      <c r="D602" s="87"/>
      <c r="E602" s="87"/>
      <c r="F602" s="87"/>
      <c r="G602" s="87"/>
      <c r="H602" s="87"/>
      <c r="I602" s="87"/>
      <c r="J602" s="102"/>
      <c r="K602" s="103"/>
      <c r="L602" s="104"/>
      <c r="M602" s="95"/>
      <c r="N602" s="95"/>
      <c r="O602" s="9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  <c r="Z602" s="105"/>
    </row>
    <row r="603" spans="1:26">
      <c r="A603" s="87" t="str">
        <f t="shared" si="2"/>
        <v/>
      </c>
      <c r="B603" s="2"/>
      <c r="C603" s="87"/>
      <c r="D603" s="87"/>
      <c r="E603" s="87"/>
      <c r="F603" s="87"/>
      <c r="G603" s="87"/>
      <c r="H603" s="87"/>
      <c r="I603" s="87"/>
      <c r="J603" s="102"/>
      <c r="K603" s="103"/>
      <c r="L603" s="104"/>
      <c r="M603" s="95"/>
      <c r="N603" s="95"/>
      <c r="O603" s="9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  <c r="Z603" s="105"/>
    </row>
    <row r="604" spans="1:26">
      <c r="A604" s="87" t="str">
        <f t="shared" si="2"/>
        <v/>
      </c>
      <c r="B604" s="2"/>
      <c r="C604" s="87"/>
      <c r="D604" s="87"/>
      <c r="E604" s="87"/>
      <c r="F604" s="87"/>
      <c r="G604" s="87"/>
      <c r="H604" s="87"/>
      <c r="I604" s="87"/>
      <c r="J604" s="102"/>
      <c r="K604" s="103"/>
      <c r="L604" s="104"/>
      <c r="M604" s="95"/>
      <c r="N604" s="95"/>
      <c r="O604" s="9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  <c r="Z604" s="105"/>
    </row>
    <row r="605" spans="1:26">
      <c r="A605" s="87" t="str">
        <f t="shared" si="2"/>
        <v/>
      </c>
      <c r="B605" s="2"/>
      <c r="C605" s="87"/>
      <c r="D605" s="87"/>
      <c r="E605" s="87"/>
      <c r="F605" s="87"/>
      <c r="G605" s="87"/>
      <c r="H605" s="87"/>
      <c r="I605" s="87"/>
      <c r="J605" s="102"/>
      <c r="K605" s="103"/>
      <c r="L605" s="104"/>
      <c r="M605" s="95"/>
      <c r="N605" s="95"/>
      <c r="O605" s="9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  <c r="Z605" s="105"/>
    </row>
    <row r="606" spans="1:26">
      <c r="A606" s="87" t="str">
        <f t="shared" si="2"/>
        <v/>
      </c>
      <c r="B606" s="2"/>
      <c r="C606" s="87"/>
      <c r="D606" s="87"/>
      <c r="E606" s="87"/>
      <c r="F606" s="87"/>
      <c r="G606" s="87"/>
      <c r="H606" s="87"/>
      <c r="I606" s="87"/>
      <c r="J606" s="102"/>
      <c r="K606" s="103"/>
      <c r="L606" s="104"/>
      <c r="M606" s="95"/>
      <c r="N606" s="95"/>
      <c r="O606" s="9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  <c r="Z606" s="105"/>
    </row>
    <row r="607" spans="1:26">
      <c r="A607" s="87" t="str">
        <f t="shared" si="2"/>
        <v/>
      </c>
      <c r="B607" s="2"/>
      <c r="C607" s="87"/>
      <c r="D607" s="87"/>
      <c r="E607" s="87"/>
      <c r="F607" s="87"/>
      <c r="G607" s="87"/>
      <c r="H607" s="87"/>
      <c r="I607" s="87"/>
      <c r="J607" s="102"/>
      <c r="K607" s="103"/>
      <c r="L607" s="104"/>
      <c r="M607" s="95"/>
      <c r="N607" s="95"/>
      <c r="O607" s="9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  <c r="Z607" s="105"/>
    </row>
    <row r="608" spans="1:26">
      <c r="A608" s="87" t="str">
        <f t="shared" si="2"/>
        <v/>
      </c>
      <c r="B608" s="2"/>
      <c r="C608" s="87"/>
      <c r="D608" s="87"/>
      <c r="E608" s="87"/>
      <c r="F608" s="87"/>
      <c r="G608" s="87"/>
      <c r="H608" s="87"/>
      <c r="I608" s="87"/>
      <c r="J608" s="102"/>
      <c r="K608" s="103"/>
      <c r="L608" s="104"/>
      <c r="M608" s="95"/>
      <c r="N608" s="95"/>
      <c r="O608" s="9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  <c r="Z608" s="105"/>
    </row>
    <row r="609" spans="1:26">
      <c r="A609" s="87" t="str">
        <f t="shared" si="2"/>
        <v/>
      </c>
      <c r="B609" s="2"/>
      <c r="C609" s="87"/>
      <c r="D609" s="87"/>
      <c r="E609" s="87"/>
      <c r="F609" s="87"/>
      <c r="G609" s="87"/>
      <c r="H609" s="87"/>
      <c r="I609" s="87"/>
      <c r="J609" s="102"/>
      <c r="K609" s="103"/>
      <c r="L609" s="104"/>
      <c r="M609" s="95"/>
      <c r="N609" s="95"/>
      <c r="O609" s="9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  <c r="Z609" s="105"/>
    </row>
    <row r="610" spans="1:26">
      <c r="A610" s="87" t="str">
        <f t="shared" si="2"/>
        <v/>
      </c>
      <c r="B610" s="2"/>
      <c r="C610" s="87"/>
      <c r="D610" s="87"/>
      <c r="E610" s="87"/>
      <c r="F610" s="87"/>
      <c r="G610" s="87"/>
      <c r="H610" s="87"/>
      <c r="I610" s="87"/>
      <c r="J610" s="102"/>
      <c r="K610" s="103"/>
      <c r="L610" s="104"/>
      <c r="M610" s="95"/>
      <c r="N610" s="95"/>
      <c r="O610" s="9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  <c r="Z610" s="105"/>
    </row>
    <row r="611" spans="1:26">
      <c r="A611" s="87" t="str">
        <f t="shared" si="2"/>
        <v/>
      </c>
      <c r="B611" s="2"/>
      <c r="C611" s="87"/>
      <c r="D611" s="87"/>
      <c r="E611" s="87"/>
      <c r="F611" s="87"/>
      <c r="G611" s="87"/>
      <c r="H611" s="87"/>
      <c r="I611" s="87"/>
      <c r="J611" s="102"/>
      <c r="K611" s="103"/>
      <c r="L611" s="104"/>
      <c r="M611" s="95"/>
      <c r="N611" s="95"/>
      <c r="O611" s="9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  <c r="Z611" s="105"/>
    </row>
    <row r="612" spans="1:26">
      <c r="A612" s="87" t="str">
        <f t="shared" si="2"/>
        <v/>
      </c>
      <c r="B612" s="2"/>
      <c r="C612" s="87"/>
      <c r="D612" s="87"/>
      <c r="E612" s="87"/>
      <c r="F612" s="87"/>
      <c r="G612" s="87"/>
      <c r="H612" s="87"/>
      <c r="I612" s="87"/>
      <c r="J612" s="102"/>
      <c r="K612" s="103"/>
      <c r="L612" s="104"/>
      <c r="M612" s="95"/>
      <c r="N612" s="95"/>
      <c r="O612" s="9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  <c r="Z612" s="105"/>
    </row>
    <row r="613" spans="1:26">
      <c r="A613" s="87" t="str">
        <f t="shared" si="2"/>
        <v/>
      </c>
      <c r="B613" s="2"/>
      <c r="C613" s="87"/>
      <c r="D613" s="87"/>
      <c r="E613" s="87"/>
      <c r="F613" s="87"/>
      <c r="G613" s="87"/>
      <c r="H613" s="87"/>
      <c r="I613" s="87"/>
      <c r="J613" s="102"/>
      <c r="K613" s="103"/>
      <c r="L613" s="104"/>
      <c r="M613" s="95"/>
      <c r="N613" s="95"/>
      <c r="O613" s="9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  <c r="Z613" s="105"/>
    </row>
    <row r="614" spans="1:26">
      <c r="A614" s="87" t="str">
        <f t="shared" si="2"/>
        <v/>
      </c>
      <c r="B614" s="2"/>
      <c r="C614" s="87"/>
      <c r="D614" s="87"/>
      <c r="E614" s="87"/>
      <c r="F614" s="87"/>
      <c r="G614" s="87"/>
      <c r="H614" s="87"/>
      <c r="I614" s="87"/>
      <c r="J614" s="102"/>
      <c r="K614" s="103"/>
      <c r="L614" s="104"/>
      <c r="M614" s="95"/>
      <c r="N614" s="95"/>
      <c r="O614" s="9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  <c r="Z614" s="105"/>
    </row>
    <row r="615" spans="1:26">
      <c r="A615" s="87" t="str">
        <f t="shared" si="2"/>
        <v/>
      </c>
      <c r="B615" s="2"/>
      <c r="C615" s="87"/>
      <c r="D615" s="87"/>
      <c r="E615" s="87"/>
      <c r="F615" s="87"/>
      <c r="G615" s="87"/>
      <c r="H615" s="87"/>
      <c r="I615" s="87"/>
      <c r="J615" s="102"/>
      <c r="K615" s="103"/>
      <c r="L615" s="104"/>
      <c r="M615" s="95"/>
      <c r="N615" s="95"/>
      <c r="O615" s="9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  <c r="Z615" s="105"/>
    </row>
    <row r="616" spans="1:26">
      <c r="A616" s="87" t="str">
        <f t="shared" si="2"/>
        <v/>
      </c>
      <c r="B616" s="2"/>
      <c r="C616" s="87"/>
      <c r="D616" s="87"/>
      <c r="E616" s="87"/>
      <c r="F616" s="87"/>
      <c r="G616" s="87"/>
      <c r="H616" s="87"/>
      <c r="I616" s="87"/>
      <c r="J616" s="102"/>
      <c r="K616" s="103"/>
      <c r="L616" s="104"/>
      <c r="M616" s="95"/>
      <c r="N616" s="95"/>
      <c r="O616" s="9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  <c r="Z616" s="105"/>
    </row>
    <row r="617" spans="1:26">
      <c r="A617" s="87" t="str">
        <f t="shared" si="2"/>
        <v/>
      </c>
      <c r="B617" s="2"/>
      <c r="C617" s="87"/>
      <c r="D617" s="87"/>
      <c r="E617" s="87"/>
      <c r="F617" s="87"/>
      <c r="G617" s="87"/>
      <c r="H617" s="87"/>
      <c r="I617" s="87"/>
      <c r="J617" s="102"/>
      <c r="K617" s="103"/>
      <c r="L617" s="104"/>
      <c r="M617" s="95"/>
      <c r="N617" s="95"/>
      <c r="O617" s="9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  <c r="Z617" s="105"/>
    </row>
    <row r="618" spans="1:26">
      <c r="A618" s="87" t="str">
        <f t="shared" si="2"/>
        <v/>
      </c>
      <c r="B618" s="2"/>
      <c r="C618" s="87"/>
      <c r="D618" s="87"/>
      <c r="E618" s="87"/>
      <c r="F618" s="87"/>
      <c r="G618" s="87"/>
      <c r="H618" s="87"/>
      <c r="I618" s="87"/>
      <c r="J618" s="102"/>
      <c r="K618" s="103"/>
      <c r="L618" s="104"/>
      <c r="M618" s="95"/>
      <c r="N618" s="95"/>
      <c r="O618" s="9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  <c r="Z618" s="105"/>
    </row>
    <row r="619" spans="1:26">
      <c r="A619" s="87" t="str">
        <f t="shared" si="2"/>
        <v/>
      </c>
      <c r="B619" s="2"/>
      <c r="C619" s="87"/>
      <c r="D619" s="87"/>
      <c r="E619" s="87"/>
      <c r="F619" s="87"/>
      <c r="G619" s="87"/>
      <c r="H619" s="87"/>
      <c r="I619" s="87"/>
      <c r="J619" s="102"/>
      <c r="K619" s="103"/>
      <c r="L619" s="104"/>
      <c r="M619" s="95"/>
      <c r="N619" s="95"/>
      <c r="O619" s="9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  <c r="Z619" s="105"/>
    </row>
    <row r="620" spans="1:26">
      <c r="A620" s="87" t="str">
        <f t="shared" si="2"/>
        <v/>
      </c>
      <c r="B620" s="2"/>
      <c r="C620" s="87"/>
      <c r="D620" s="87"/>
      <c r="E620" s="87"/>
      <c r="F620" s="87"/>
      <c r="G620" s="87"/>
      <c r="H620" s="87"/>
      <c r="I620" s="87"/>
      <c r="J620" s="102"/>
      <c r="K620" s="103"/>
      <c r="L620" s="104"/>
      <c r="M620" s="95"/>
      <c r="N620" s="95"/>
      <c r="O620" s="9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  <c r="Z620" s="105"/>
    </row>
    <row r="621" spans="1:26">
      <c r="A621" s="87" t="str">
        <f t="shared" si="2"/>
        <v/>
      </c>
      <c r="B621" s="2"/>
      <c r="C621" s="87"/>
      <c r="D621" s="87"/>
      <c r="E621" s="87"/>
      <c r="F621" s="87"/>
      <c r="G621" s="87"/>
      <c r="H621" s="87"/>
      <c r="I621" s="87"/>
      <c r="J621" s="102"/>
      <c r="K621" s="103"/>
      <c r="L621" s="104"/>
      <c r="M621" s="95"/>
      <c r="N621" s="95"/>
      <c r="O621" s="9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  <c r="Z621" s="105"/>
    </row>
    <row r="622" spans="1:26">
      <c r="A622" s="87" t="str">
        <f t="shared" si="2"/>
        <v/>
      </c>
      <c r="B622" s="2"/>
      <c r="C622" s="87"/>
      <c r="D622" s="87"/>
      <c r="E622" s="87"/>
      <c r="F622" s="87"/>
      <c r="G622" s="87"/>
      <c r="H622" s="87"/>
      <c r="I622" s="87"/>
      <c r="J622" s="102"/>
      <c r="K622" s="103"/>
      <c r="L622" s="104"/>
      <c r="M622" s="95"/>
      <c r="N622" s="95"/>
      <c r="O622" s="9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  <c r="Z622" s="105"/>
    </row>
    <row r="623" spans="1:26">
      <c r="A623" s="87" t="str">
        <f t="shared" si="2"/>
        <v/>
      </c>
      <c r="B623" s="2"/>
      <c r="C623" s="87"/>
      <c r="D623" s="87"/>
      <c r="E623" s="87"/>
      <c r="F623" s="87"/>
      <c r="G623" s="87"/>
      <c r="H623" s="87"/>
      <c r="I623" s="87"/>
      <c r="J623" s="102"/>
      <c r="K623" s="103"/>
      <c r="L623" s="104"/>
      <c r="M623" s="95"/>
      <c r="N623" s="95"/>
      <c r="O623" s="9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  <c r="Z623" s="105"/>
    </row>
    <row r="624" spans="1:26">
      <c r="A624" s="87" t="str">
        <f t="shared" si="2"/>
        <v/>
      </c>
      <c r="B624" s="2"/>
      <c r="C624" s="87"/>
      <c r="D624" s="87"/>
      <c r="E624" s="87"/>
      <c r="F624" s="87"/>
      <c r="G624" s="87"/>
      <c r="H624" s="87"/>
      <c r="I624" s="87"/>
      <c r="J624" s="102"/>
      <c r="K624" s="103"/>
      <c r="L624" s="104"/>
      <c r="M624" s="95"/>
      <c r="N624" s="95"/>
      <c r="O624" s="9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  <c r="Z624" s="105"/>
    </row>
    <row r="625" spans="1:26">
      <c r="A625" s="87" t="str">
        <f t="shared" si="2"/>
        <v/>
      </c>
      <c r="B625" s="2"/>
      <c r="C625" s="87"/>
      <c r="D625" s="87"/>
      <c r="E625" s="87"/>
      <c r="F625" s="87"/>
      <c r="G625" s="87"/>
      <c r="H625" s="87"/>
      <c r="I625" s="87"/>
      <c r="J625" s="102"/>
      <c r="K625" s="103"/>
      <c r="L625" s="104"/>
      <c r="M625" s="95"/>
      <c r="N625" s="95"/>
      <c r="O625" s="9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  <c r="Z625" s="105"/>
    </row>
    <row r="626" spans="1:26">
      <c r="A626" s="87" t="str">
        <f t="shared" si="2"/>
        <v/>
      </c>
      <c r="B626" s="2"/>
      <c r="C626" s="87"/>
      <c r="D626" s="87"/>
      <c r="E626" s="87"/>
      <c r="F626" s="87"/>
      <c r="G626" s="87"/>
      <c r="H626" s="87"/>
      <c r="I626" s="87"/>
      <c r="J626" s="102"/>
      <c r="K626" s="103"/>
      <c r="L626" s="104"/>
      <c r="M626" s="95"/>
      <c r="N626" s="95"/>
      <c r="O626" s="9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  <c r="Z626" s="105"/>
    </row>
    <row r="627" spans="1:26">
      <c r="A627" s="87" t="str">
        <f t="shared" si="2"/>
        <v/>
      </c>
      <c r="B627" s="2"/>
      <c r="C627" s="87"/>
      <c r="D627" s="87"/>
      <c r="E627" s="87"/>
      <c r="F627" s="87"/>
      <c r="G627" s="87"/>
      <c r="H627" s="87"/>
      <c r="I627" s="87"/>
      <c r="J627" s="102"/>
      <c r="K627" s="103"/>
      <c r="L627" s="104"/>
      <c r="M627" s="95"/>
      <c r="N627" s="95"/>
      <c r="O627" s="9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  <c r="Z627" s="105"/>
    </row>
    <row r="628" spans="1:26">
      <c r="A628" s="87" t="str">
        <f t="shared" si="2"/>
        <v/>
      </c>
      <c r="B628" s="2"/>
      <c r="C628" s="87"/>
      <c r="D628" s="87"/>
      <c r="E628" s="87"/>
      <c r="F628" s="87"/>
      <c r="G628" s="87"/>
      <c r="H628" s="87"/>
      <c r="I628" s="87"/>
      <c r="J628" s="102"/>
      <c r="K628" s="103"/>
      <c r="L628" s="104"/>
      <c r="M628" s="95"/>
      <c r="N628" s="95"/>
      <c r="O628" s="9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  <c r="Z628" s="105"/>
    </row>
    <row r="629" spans="1:26">
      <c r="A629" s="87" t="str">
        <f t="shared" si="2"/>
        <v/>
      </c>
      <c r="B629" s="2"/>
      <c r="C629" s="87"/>
      <c r="D629" s="87"/>
      <c r="E629" s="87"/>
      <c r="F629" s="87"/>
      <c r="G629" s="87"/>
      <c r="H629" s="87"/>
      <c r="I629" s="87"/>
      <c r="J629" s="102"/>
      <c r="K629" s="103"/>
      <c r="L629" s="104"/>
      <c r="M629" s="95"/>
      <c r="N629" s="95"/>
      <c r="O629" s="9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  <c r="Z629" s="105"/>
    </row>
    <row r="630" spans="1:26">
      <c r="A630" s="87" t="str">
        <f t="shared" si="2"/>
        <v/>
      </c>
      <c r="B630" s="2"/>
      <c r="C630" s="87"/>
      <c r="D630" s="87"/>
      <c r="E630" s="87"/>
      <c r="F630" s="87"/>
      <c r="G630" s="87"/>
      <c r="H630" s="87"/>
      <c r="I630" s="87"/>
      <c r="J630" s="102"/>
      <c r="K630" s="103"/>
      <c r="L630" s="104"/>
      <c r="M630" s="95"/>
      <c r="N630" s="95"/>
      <c r="O630" s="9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  <c r="Z630" s="105"/>
    </row>
    <row r="631" spans="1:26">
      <c r="A631" s="87" t="str">
        <f t="shared" si="2"/>
        <v/>
      </c>
      <c r="B631" s="2"/>
      <c r="C631" s="87"/>
      <c r="D631" s="87"/>
      <c r="E631" s="87"/>
      <c r="F631" s="87"/>
      <c r="G631" s="87"/>
      <c r="H631" s="87"/>
      <c r="I631" s="87"/>
      <c r="J631" s="102"/>
      <c r="K631" s="103"/>
      <c r="L631" s="104"/>
      <c r="M631" s="95"/>
      <c r="N631" s="95"/>
      <c r="O631" s="9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  <c r="Z631" s="105"/>
    </row>
    <row r="632" spans="1:26">
      <c r="A632" s="87" t="str">
        <f t="shared" si="2"/>
        <v/>
      </c>
      <c r="B632" s="2"/>
      <c r="C632" s="87"/>
      <c r="D632" s="87"/>
      <c r="E632" s="87"/>
      <c r="F632" s="87"/>
      <c r="G632" s="87"/>
      <c r="H632" s="87"/>
      <c r="I632" s="87"/>
      <c r="J632" s="102"/>
      <c r="K632" s="103"/>
      <c r="L632" s="104"/>
      <c r="M632" s="95"/>
      <c r="N632" s="95"/>
      <c r="O632" s="9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  <c r="Z632" s="105"/>
    </row>
    <row r="633" spans="1:26">
      <c r="A633" s="87" t="str">
        <f t="shared" si="2"/>
        <v/>
      </c>
      <c r="B633" s="2"/>
      <c r="C633" s="87"/>
      <c r="D633" s="87"/>
      <c r="E633" s="87"/>
      <c r="F633" s="87"/>
      <c r="G633" s="87"/>
      <c r="H633" s="87"/>
      <c r="I633" s="87"/>
      <c r="J633" s="102"/>
      <c r="K633" s="103"/>
      <c r="L633" s="104"/>
      <c r="M633" s="95"/>
      <c r="N633" s="95"/>
      <c r="O633" s="9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  <c r="Z633" s="105"/>
    </row>
    <row r="634" spans="1:26">
      <c r="A634" s="87" t="str">
        <f t="shared" si="2"/>
        <v/>
      </c>
      <c r="B634" s="2"/>
      <c r="C634" s="87"/>
      <c r="D634" s="87"/>
      <c r="E634" s="87"/>
      <c r="F634" s="87"/>
      <c r="G634" s="87"/>
      <c r="H634" s="87"/>
      <c r="I634" s="87"/>
      <c r="J634" s="102"/>
      <c r="K634" s="103"/>
      <c r="L634" s="104"/>
      <c r="M634" s="95"/>
      <c r="N634" s="95"/>
      <c r="O634" s="9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  <c r="Z634" s="105"/>
    </row>
    <row r="635" spans="1:26">
      <c r="A635" s="87" t="str">
        <f t="shared" si="2"/>
        <v/>
      </c>
      <c r="B635" s="2"/>
      <c r="C635" s="87"/>
      <c r="D635" s="87"/>
      <c r="E635" s="87"/>
      <c r="F635" s="87"/>
      <c r="G635" s="87"/>
      <c r="H635" s="87"/>
      <c r="I635" s="87"/>
      <c r="J635" s="102"/>
      <c r="K635" s="103"/>
      <c r="L635" s="104"/>
      <c r="M635" s="95"/>
      <c r="N635" s="95"/>
      <c r="O635" s="9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  <c r="Z635" s="105"/>
    </row>
    <row r="636" spans="1:26">
      <c r="A636" s="87" t="str">
        <f t="shared" si="2"/>
        <v/>
      </c>
      <c r="B636" s="2"/>
      <c r="C636" s="87"/>
      <c r="D636" s="87"/>
      <c r="E636" s="87"/>
      <c r="F636" s="87"/>
      <c r="G636" s="87"/>
      <c r="H636" s="87"/>
      <c r="I636" s="87"/>
      <c r="J636" s="102"/>
      <c r="K636" s="103"/>
      <c r="L636" s="104"/>
      <c r="M636" s="95"/>
      <c r="N636" s="95"/>
      <c r="O636" s="9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  <c r="Z636" s="105"/>
    </row>
    <row r="637" spans="1:26">
      <c r="A637" s="87" t="str">
        <f t="shared" si="2"/>
        <v/>
      </c>
      <c r="B637" s="2"/>
      <c r="C637" s="87"/>
      <c r="D637" s="87"/>
      <c r="E637" s="87"/>
      <c r="F637" s="87"/>
      <c r="G637" s="87"/>
      <c r="H637" s="87"/>
      <c r="I637" s="87"/>
      <c r="J637" s="102"/>
      <c r="K637" s="103"/>
      <c r="L637" s="104"/>
      <c r="M637" s="95"/>
      <c r="N637" s="95"/>
      <c r="O637" s="9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  <c r="Z637" s="105"/>
    </row>
    <row r="638" spans="1:26">
      <c r="A638" s="87" t="str">
        <f t="shared" si="2"/>
        <v/>
      </c>
      <c r="B638" s="2"/>
      <c r="C638" s="87"/>
      <c r="D638" s="87"/>
      <c r="E638" s="87"/>
      <c r="F638" s="87"/>
      <c r="G638" s="87"/>
      <c r="H638" s="87"/>
      <c r="I638" s="87"/>
      <c r="J638" s="102"/>
      <c r="K638" s="103"/>
      <c r="L638" s="104"/>
      <c r="M638" s="95"/>
      <c r="N638" s="95"/>
      <c r="O638" s="9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05"/>
    </row>
    <row r="639" spans="1:26">
      <c r="A639" s="87" t="str">
        <f t="shared" si="2"/>
        <v/>
      </c>
      <c r="B639" s="2"/>
      <c r="C639" s="87"/>
      <c r="D639" s="87"/>
      <c r="E639" s="87"/>
      <c r="F639" s="87"/>
      <c r="G639" s="87"/>
      <c r="H639" s="87"/>
      <c r="I639" s="87"/>
      <c r="J639" s="102"/>
      <c r="K639" s="103"/>
      <c r="L639" s="104"/>
      <c r="M639" s="95"/>
      <c r="N639" s="95"/>
      <c r="O639" s="9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05"/>
    </row>
    <row r="640" spans="1:26">
      <c r="A640" s="87" t="str">
        <f t="shared" si="2"/>
        <v/>
      </c>
      <c r="B640" s="2"/>
      <c r="C640" s="87"/>
      <c r="D640" s="87"/>
      <c r="E640" s="87"/>
      <c r="F640" s="87"/>
      <c r="G640" s="87"/>
      <c r="H640" s="87"/>
      <c r="I640" s="87"/>
      <c r="J640" s="102"/>
      <c r="K640" s="103"/>
      <c r="L640" s="104"/>
      <c r="M640" s="95"/>
      <c r="N640" s="95"/>
      <c r="O640" s="9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  <c r="Z640" s="105"/>
    </row>
    <row r="641" spans="1:26">
      <c r="A641" s="87" t="str">
        <f t="shared" si="2"/>
        <v/>
      </c>
      <c r="B641" s="2"/>
      <c r="C641" s="87"/>
      <c r="D641" s="87"/>
      <c r="E641" s="87"/>
      <c r="F641" s="87"/>
      <c r="G641" s="87"/>
      <c r="H641" s="87"/>
      <c r="I641" s="87"/>
      <c r="J641" s="102"/>
      <c r="K641" s="103"/>
      <c r="L641" s="104"/>
      <c r="M641" s="95"/>
      <c r="N641" s="95"/>
      <c r="O641" s="9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  <c r="Z641" s="105"/>
    </row>
    <row r="642" spans="1:26">
      <c r="A642" s="87" t="str">
        <f t="shared" si="2"/>
        <v/>
      </c>
      <c r="B642" s="2"/>
      <c r="C642" s="87"/>
      <c r="D642" s="87"/>
      <c r="E642" s="87"/>
      <c r="F642" s="87"/>
      <c r="G642" s="87"/>
      <c r="H642" s="87"/>
      <c r="I642" s="87"/>
      <c r="J642" s="102"/>
      <c r="K642" s="103"/>
      <c r="L642" s="104"/>
      <c r="M642" s="95"/>
      <c r="N642" s="95"/>
      <c r="O642" s="9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  <c r="Z642" s="105"/>
    </row>
    <row r="643" spans="1:26">
      <c r="A643" s="87" t="str">
        <f t="shared" si="2"/>
        <v/>
      </c>
      <c r="B643" s="2"/>
      <c r="C643" s="87"/>
      <c r="D643" s="87"/>
      <c r="E643" s="87"/>
      <c r="F643" s="87"/>
      <c r="G643" s="87"/>
      <c r="H643" s="87"/>
      <c r="I643" s="87"/>
      <c r="J643" s="102"/>
      <c r="K643" s="103"/>
      <c r="L643" s="104"/>
      <c r="M643" s="95"/>
      <c r="N643" s="95"/>
      <c r="O643" s="9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  <c r="Z643" s="105"/>
    </row>
    <row r="644" spans="1:26">
      <c r="A644" s="87" t="str">
        <f t="shared" si="2"/>
        <v/>
      </c>
      <c r="B644" s="2"/>
      <c r="C644" s="87"/>
      <c r="D644" s="87"/>
      <c r="E644" s="87"/>
      <c r="F644" s="87"/>
      <c r="G644" s="87"/>
      <c r="H644" s="87"/>
      <c r="I644" s="87"/>
      <c r="J644" s="102"/>
      <c r="K644" s="103"/>
      <c r="L644" s="104"/>
      <c r="M644" s="95"/>
      <c r="N644" s="95"/>
      <c r="O644" s="9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  <c r="Z644" s="105"/>
    </row>
    <row r="645" spans="1:26">
      <c r="A645" s="87" t="str">
        <f t="shared" si="2"/>
        <v/>
      </c>
      <c r="B645" s="2"/>
      <c r="C645" s="87"/>
      <c r="D645" s="87"/>
      <c r="E645" s="87"/>
      <c r="F645" s="87"/>
      <c r="G645" s="87"/>
      <c r="H645" s="87"/>
      <c r="I645" s="87"/>
      <c r="J645" s="102"/>
      <c r="K645" s="103"/>
      <c r="L645" s="104"/>
      <c r="M645" s="95"/>
      <c r="N645" s="95"/>
      <c r="O645" s="9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  <c r="Z645" s="105"/>
    </row>
    <row r="646" spans="1:26">
      <c r="A646" s="87" t="str">
        <f t="shared" si="2"/>
        <v/>
      </c>
      <c r="B646" s="2"/>
      <c r="C646" s="87"/>
      <c r="D646" s="87"/>
      <c r="E646" s="87"/>
      <c r="F646" s="87"/>
      <c r="G646" s="87"/>
      <c r="H646" s="87"/>
      <c r="I646" s="87"/>
      <c r="J646" s="102"/>
      <c r="K646" s="103"/>
      <c r="L646" s="104"/>
      <c r="M646" s="95"/>
      <c r="N646" s="95"/>
      <c r="O646" s="9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  <c r="Z646" s="105"/>
    </row>
    <row r="647" spans="1:26">
      <c r="A647" s="87" t="str">
        <f t="shared" si="2"/>
        <v/>
      </c>
      <c r="B647" s="2"/>
      <c r="C647" s="87"/>
      <c r="D647" s="87"/>
      <c r="E647" s="87"/>
      <c r="F647" s="87"/>
      <c r="G647" s="87"/>
      <c r="H647" s="87"/>
      <c r="I647" s="87"/>
      <c r="J647" s="102"/>
      <c r="K647" s="103"/>
      <c r="L647" s="104"/>
      <c r="M647" s="95"/>
      <c r="N647" s="95"/>
      <c r="O647" s="9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  <c r="Z647" s="105"/>
    </row>
    <row r="648" spans="1:26">
      <c r="A648" s="87" t="str">
        <f t="shared" si="2"/>
        <v/>
      </c>
      <c r="B648" s="2"/>
      <c r="C648" s="87"/>
      <c r="D648" s="87"/>
      <c r="E648" s="87"/>
      <c r="F648" s="87"/>
      <c r="G648" s="87"/>
      <c r="H648" s="87"/>
      <c r="I648" s="87"/>
      <c r="J648" s="102"/>
      <c r="K648" s="103"/>
      <c r="L648" s="104"/>
      <c r="M648" s="95"/>
      <c r="N648" s="95"/>
      <c r="O648" s="9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  <c r="Z648" s="105"/>
    </row>
    <row r="649" spans="1:26">
      <c r="A649" s="87" t="str">
        <f t="shared" si="2"/>
        <v/>
      </c>
      <c r="B649" s="2"/>
      <c r="C649" s="87"/>
      <c r="D649" s="87"/>
      <c r="E649" s="87"/>
      <c r="F649" s="87"/>
      <c r="G649" s="87"/>
      <c r="H649" s="87"/>
      <c r="I649" s="87"/>
      <c r="J649" s="102"/>
      <c r="K649" s="103"/>
      <c r="L649" s="104"/>
      <c r="M649" s="95"/>
      <c r="N649" s="95"/>
      <c r="O649" s="9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  <c r="Z649" s="105"/>
    </row>
    <row r="650" spans="1:26">
      <c r="A650" s="87" t="str">
        <f t="shared" si="2"/>
        <v/>
      </c>
      <c r="B650" s="2"/>
      <c r="C650" s="87"/>
      <c r="D650" s="87"/>
      <c r="E650" s="87"/>
      <c r="F650" s="87"/>
      <c r="G650" s="87"/>
      <c r="H650" s="87"/>
      <c r="I650" s="87"/>
      <c r="J650" s="102"/>
      <c r="K650" s="103"/>
      <c r="L650" s="104"/>
      <c r="M650" s="95"/>
      <c r="N650" s="95"/>
      <c r="O650" s="9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  <c r="Z650" s="105"/>
    </row>
    <row r="651" spans="1:26">
      <c r="A651" s="87" t="str">
        <f t="shared" si="2"/>
        <v/>
      </c>
      <c r="B651" s="2"/>
      <c r="C651" s="87"/>
      <c r="D651" s="87"/>
      <c r="E651" s="87"/>
      <c r="F651" s="87"/>
      <c r="G651" s="87"/>
      <c r="H651" s="87"/>
      <c r="I651" s="87"/>
      <c r="J651" s="102"/>
      <c r="K651" s="103"/>
      <c r="L651" s="104"/>
      <c r="M651" s="95"/>
      <c r="N651" s="95"/>
      <c r="O651" s="9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  <c r="Z651" s="105"/>
    </row>
    <row r="652" spans="1:26">
      <c r="A652" s="87" t="str">
        <f t="shared" si="2"/>
        <v/>
      </c>
      <c r="B652" s="2"/>
      <c r="C652" s="87"/>
      <c r="D652" s="87"/>
      <c r="E652" s="87"/>
      <c r="F652" s="87"/>
      <c r="G652" s="87"/>
      <c r="H652" s="87"/>
      <c r="I652" s="87"/>
      <c r="J652" s="102"/>
      <c r="K652" s="103"/>
      <c r="L652" s="104"/>
      <c r="M652" s="95"/>
      <c r="N652" s="95"/>
      <c r="O652" s="9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  <c r="Z652" s="105"/>
    </row>
    <row r="653" spans="1:26">
      <c r="A653" s="87" t="str">
        <f t="shared" si="2"/>
        <v/>
      </c>
      <c r="B653" s="2"/>
      <c r="C653" s="87"/>
      <c r="D653" s="87"/>
      <c r="E653" s="87"/>
      <c r="F653" s="87"/>
      <c r="G653" s="87"/>
      <c r="H653" s="87"/>
      <c r="I653" s="87"/>
      <c r="J653" s="102"/>
      <c r="K653" s="103"/>
      <c r="L653" s="104"/>
      <c r="M653" s="95"/>
      <c r="N653" s="95"/>
      <c r="O653" s="9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  <c r="Z653" s="105"/>
    </row>
    <row r="654" spans="1:26">
      <c r="A654" s="87" t="str">
        <f t="shared" si="2"/>
        <v/>
      </c>
      <c r="B654" s="2"/>
      <c r="C654" s="87"/>
      <c r="D654" s="87"/>
      <c r="E654" s="87"/>
      <c r="F654" s="87"/>
      <c r="G654" s="87"/>
      <c r="H654" s="87"/>
      <c r="I654" s="87"/>
      <c r="J654" s="102"/>
      <c r="K654" s="103"/>
      <c r="L654" s="104"/>
      <c r="M654" s="95"/>
      <c r="N654" s="95"/>
      <c r="O654" s="9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  <c r="Z654" s="105"/>
    </row>
    <row r="655" spans="1:26">
      <c r="A655" s="87" t="str">
        <f t="shared" si="2"/>
        <v/>
      </c>
      <c r="B655" s="2"/>
      <c r="C655" s="87"/>
      <c r="D655" s="87"/>
      <c r="E655" s="87"/>
      <c r="F655" s="87"/>
      <c r="G655" s="87"/>
      <c r="H655" s="87"/>
      <c r="I655" s="87"/>
      <c r="J655" s="102"/>
      <c r="K655" s="103"/>
      <c r="L655" s="104"/>
      <c r="M655" s="95"/>
      <c r="N655" s="95"/>
      <c r="O655" s="9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  <c r="Z655" s="105"/>
    </row>
    <row r="656" spans="1:26">
      <c r="A656" s="87" t="str">
        <f t="shared" si="2"/>
        <v/>
      </c>
      <c r="B656" s="2"/>
      <c r="C656" s="87"/>
      <c r="D656" s="87"/>
      <c r="E656" s="87"/>
      <c r="F656" s="87"/>
      <c r="G656" s="87"/>
      <c r="H656" s="87"/>
      <c r="I656" s="87"/>
      <c r="J656" s="102"/>
      <c r="K656" s="103"/>
      <c r="L656" s="104"/>
      <c r="M656" s="95"/>
      <c r="N656" s="95"/>
      <c r="O656" s="9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  <c r="Z656" s="105"/>
    </row>
    <row r="657" spans="1:26">
      <c r="A657" s="87" t="str">
        <f t="shared" si="2"/>
        <v/>
      </c>
      <c r="B657" s="2"/>
      <c r="C657" s="87"/>
      <c r="D657" s="87"/>
      <c r="E657" s="87"/>
      <c r="F657" s="87"/>
      <c r="G657" s="87"/>
      <c r="H657" s="87"/>
      <c r="I657" s="87"/>
      <c r="J657" s="102"/>
      <c r="K657" s="103"/>
      <c r="L657" s="104"/>
      <c r="M657" s="95"/>
      <c r="N657" s="95"/>
      <c r="O657" s="9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  <c r="Z657" s="105"/>
    </row>
    <row r="658" spans="1:26">
      <c r="A658" s="87" t="str">
        <f t="shared" si="2"/>
        <v/>
      </c>
      <c r="B658" s="2"/>
      <c r="C658" s="87"/>
      <c r="D658" s="87"/>
      <c r="E658" s="87"/>
      <c r="F658" s="87"/>
      <c r="G658" s="87"/>
      <c r="H658" s="87"/>
      <c r="I658" s="87"/>
      <c r="J658" s="102"/>
      <c r="K658" s="103"/>
      <c r="L658" s="104"/>
      <c r="M658" s="95"/>
      <c r="N658" s="95"/>
      <c r="O658" s="9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  <c r="Z658" s="105"/>
    </row>
    <row r="659" spans="1:26">
      <c r="A659" s="87" t="str">
        <f t="shared" si="2"/>
        <v/>
      </c>
      <c r="B659" s="2"/>
      <c r="C659" s="87"/>
      <c r="D659" s="87"/>
      <c r="E659" s="87"/>
      <c r="F659" s="87"/>
      <c r="G659" s="87"/>
      <c r="H659" s="87"/>
      <c r="I659" s="87"/>
      <c r="J659" s="102"/>
      <c r="K659" s="103"/>
      <c r="L659" s="104"/>
      <c r="M659" s="95"/>
      <c r="N659" s="95"/>
      <c r="O659" s="9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  <c r="Z659" s="105"/>
    </row>
    <row r="660" spans="1:26">
      <c r="A660" s="87" t="str">
        <f t="shared" si="2"/>
        <v/>
      </c>
      <c r="B660" s="2"/>
      <c r="C660" s="87"/>
      <c r="D660" s="87"/>
      <c r="E660" s="87"/>
      <c r="F660" s="87"/>
      <c r="G660" s="87"/>
      <c r="H660" s="87"/>
      <c r="I660" s="87"/>
      <c r="J660" s="102"/>
      <c r="K660" s="103"/>
      <c r="L660" s="104"/>
      <c r="M660" s="95"/>
      <c r="N660" s="95"/>
      <c r="O660" s="9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  <c r="Z660" s="105"/>
    </row>
    <row r="661" spans="1:26">
      <c r="A661" s="87" t="str">
        <f t="shared" si="2"/>
        <v/>
      </c>
      <c r="B661" s="2"/>
      <c r="C661" s="87"/>
      <c r="D661" s="87"/>
      <c r="E661" s="87"/>
      <c r="F661" s="87"/>
      <c r="G661" s="87"/>
      <c r="H661" s="87"/>
      <c r="I661" s="87"/>
      <c r="J661" s="102"/>
      <c r="K661" s="103"/>
      <c r="L661" s="104"/>
      <c r="M661" s="95"/>
      <c r="N661" s="95"/>
      <c r="O661" s="95"/>
      <c r="P661" s="105"/>
      <c r="Q661" s="105"/>
      <c r="R661" s="105"/>
      <c r="S661" s="105"/>
      <c r="T661" s="105"/>
      <c r="U661" s="105"/>
      <c r="V661" s="105"/>
      <c r="W661" s="105"/>
      <c r="X661" s="105"/>
      <c r="Y661" s="105"/>
      <c r="Z661" s="105"/>
    </row>
    <row r="662" spans="1:26">
      <c r="A662" s="87" t="str">
        <f t="shared" si="2"/>
        <v/>
      </c>
      <c r="B662" s="2"/>
      <c r="C662" s="87"/>
      <c r="D662" s="87"/>
      <c r="E662" s="87"/>
      <c r="F662" s="87"/>
      <c r="G662" s="87"/>
      <c r="H662" s="87"/>
      <c r="I662" s="87"/>
      <c r="J662" s="102"/>
      <c r="K662" s="103"/>
      <c r="L662" s="104"/>
      <c r="M662" s="95"/>
      <c r="N662" s="95"/>
      <c r="O662" s="95"/>
      <c r="P662" s="105"/>
      <c r="Q662" s="105"/>
      <c r="R662" s="105"/>
      <c r="S662" s="105"/>
      <c r="T662" s="105"/>
      <c r="U662" s="105"/>
      <c r="V662" s="105"/>
      <c r="W662" s="105"/>
      <c r="X662" s="105"/>
      <c r="Y662" s="105"/>
      <c r="Z662" s="105"/>
    </row>
    <row r="663" spans="1:26">
      <c r="A663" s="87" t="str">
        <f t="shared" si="2"/>
        <v/>
      </c>
      <c r="B663" s="2"/>
      <c r="C663" s="87"/>
      <c r="D663" s="87"/>
      <c r="E663" s="87"/>
      <c r="F663" s="87"/>
      <c r="G663" s="87"/>
      <c r="H663" s="87"/>
      <c r="I663" s="87"/>
      <c r="J663" s="102"/>
      <c r="K663" s="103"/>
      <c r="L663" s="104"/>
      <c r="M663" s="95"/>
      <c r="N663" s="95"/>
      <c r="O663" s="95"/>
      <c r="P663" s="105"/>
      <c r="Q663" s="105"/>
      <c r="R663" s="105"/>
      <c r="S663" s="105"/>
      <c r="T663" s="105"/>
      <c r="U663" s="105"/>
      <c r="V663" s="105"/>
      <c r="W663" s="105"/>
      <c r="X663" s="105"/>
      <c r="Y663" s="105"/>
      <c r="Z663" s="105"/>
    </row>
    <row r="664" spans="1:26">
      <c r="A664" s="87" t="str">
        <f t="shared" si="2"/>
        <v/>
      </c>
      <c r="B664" s="2"/>
      <c r="C664" s="87"/>
      <c r="D664" s="87"/>
      <c r="E664" s="87"/>
      <c r="F664" s="87"/>
      <c r="G664" s="87"/>
      <c r="H664" s="87"/>
      <c r="I664" s="87"/>
      <c r="J664" s="102"/>
      <c r="K664" s="103"/>
      <c r="L664" s="104"/>
      <c r="M664" s="95"/>
      <c r="N664" s="95"/>
      <c r="O664" s="95"/>
      <c r="P664" s="105"/>
      <c r="Q664" s="105"/>
      <c r="R664" s="105"/>
      <c r="S664" s="105"/>
      <c r="T664" s="105"/>
      <c r="U664" s="105"/>
      <c r="V664" s="105"/>
      <c r="W664" s="105"/>
      <c r="X664" s="105"/>
      <c r="Y664" s="105"/>
      <c r="Z664" s="105"/>
    </row>
    <row r="665" spans="1:26">
      <c r="A665" s="87" t="str">
        <f t="shared" si="2"/>
        <v/>
      </c>
      <c r="B665" s="2"/>
      <c r="C665" s="87"/>
      <c r="D665" s="87"/>
      <c r="E665" s="87"/>
      <c r="F665" s="87"/>
      <c r="G665" s="87"/>
      <c r="H665" s="87"/>
      <c r="I665" s="87"/>
      <c r="J665" s="102"/>
      <c r="K665" s="103"/>
      <c r="L665" s="104"/>
      <c r="M665" s="95"/>
      <c r="N665" s="95"/>
      <c r="O665" s="95"/>
      <c r="P665" s="105"/>
      <c r="Q665" s="105"/>
      <c r="R665" s="105"/>
      <c r="S665" s="105"/>
      <c r="T665" s="105"/>
      <c r="U665" s="105"/>
      <c r="V665" s="105"/>
      <c r="W665" s="105"/>
      <c r="X665" s="105"/>
      <c r="Y665" s="105"/>
      <c r="Z665" s="105"/>
    </row>
    <row r="666" spans="1:26">
      <c r="A666" s="87" t="str">
        <f t="shared" si="2"/>
        <v/>
      </c>
      <c r="B666" s="2"/>
      <c r="C666" s="87"/>
      <c r="D666" s="87"/>
      <c r="E666" s="87"/>
      <c r="F666" s="87"/>
      <c r="G666" s="87"/>
      <c r="H666" s="87"/>
      <c r="I666" s="87"/>
      <c r="J666" s="102"/>
      <c r="K666" s="103"/>
      <c r="L666" s="104"/>
      <c r="M666" s="95"/>
      <c r="N666" s="95"/>
      <c r="O666" s="95"/>
      <c r="P666" s="105"/>
      <c r="Q666" s="105"/>
      <c r="R666" s="105"/>
      <c r="S666" s="105"/>
      <c r="T666" s="105"/>
      <c r="U666" s="105"/>
      <c r="V666" s="105"/>
      <c r="W666" s="105"/>
      <c r="X666" s="105"/>
      <c r="Y666" s="105"/>
      <c r="Z666" s="105"/>
    </row>
    <row r="667" spans="1:26">
      <c r="A667" s="87" t="str">
        <f t="shared" si="2"/>
        <v/>
      </c>
      <c r="B667" s="2"/>
      <c r="C667" s="87"/>
      <c r="D667" s="87"/>
      <c r="E667" s="87"/>
      <c r="F667" s="87"/>
      <c r="G667" s="87"/>
      <c r="H667" s="87"/>
      <c r="I667" s="87"/>
      <c r="J667" s="102"/>
      <c r="K667" s="103"/>
      <c r="L667" s="104"/>
      <c r="M667" s="95"/>
      <c r="N667" s="95"/>
      <c r="O667" s="95"/>
      <c r="P667" s="105"/>
      <c r="Q667" s="105"/>
      <c r="R667" s="105"/>
      <c r="S667" s="105"/>
      <c r="T667" s="105"/>
      <c r="U667" s="105"/>
      <c r="V667" s="105"/>
      <c r="W667" s="105"/>
      <c r="X667" s="105"/>
      <c r="Y667" s="105"/>
      <c r="Z667" s="105"/>
    </row>
    <row r="668" spans="1:26">
      <c r="A668" s="87" t="str">
        <f t="shared" si="2"/>
        <v/>
      </c>
      <c r="B668" s="2"/>
      <c r="C668" s="87"/>
      <c r="D668" s="87"/>
      <c r="E668" s="87"/>
      <c r="F668" s="87"/>
      <c r="G668" s="87"/>
      <c r="H668" s="87"/>
      <c r="I668" s="87"/>
      <c r="J668" s="102"/>
      <c r="K668" s="103"/>
      <c r="L668" s="104"/>
      <c r="M668" s="95"/>
      <c r="N668" s="95"/>
      <c r="O668" s="9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  <c r="Z668" s="105"/>
    </row>
    <row r="669" spans="1:26">
      <c r="A669" s="87" t="str">
        <f t="shared" si="2"/>
        <v/>
      </c>
      <c r="B669" s="2"/>
      <c r="C669" s="87"/>
      <c r="D669" s="87"/>
      <c r="E669" s="87"/>
      <c r="F669" s="87"/>
      <c r="G669" s="87"/>
      <c r="H669" s="87"/>
      <c r="I669" s="87"/>
      <c r="J669" s="102"/>
      <c r="K669" s="103"/>
      <c r="L669" s="104"/>
      <c r="M669" s="95"/>
      <c r="N669" s="95"/>
      <c r="O669" s="95"/>
      <c r="P669" s="105"/>
      <c r="Q669" s="105"/>
      <c r="R669" s="105"/>
      <c r="S669" s="105"/>
      <c r="T669" s="105"/>
      <c r="U669" s="105"/>
      <c r="V669" s="105"/>
      <c r="W669" s="105"/>
      <c r="X669" s="105"/>
      <c r="Y669" s="105"/>
      <c r="Z669" s="105"/>
    </row>
    <row r="670" spans="1:26">
      <c r="A670" s="87" t="str">
        <f t="shared" si="2"/>
        <v/>
      </c>
      <c r="B670" s="2"/>
      <c r="C670" s="87"/>
      <c r="D670" s="87"/>
      <c r="E670" s="87"/>
      <c r="F670" s="87"/>
      <c r="G670" s="87"/>
      <c r="H670" s="87"/>
      <c r="I670" s="87"/>
      <c r="J670" s="102"/>
      <c r="K670" s="103"/>
      <c r="L670" s="104"/>
      <c r="M670" s="95"/>
      <c r="N670" s="95"/>
      <c r="O670" s="9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  <c r="Z670" s="105"/>
    </row>
    <row r="671" spans="1:26">
      <c r="A671" s="87" t="str">
        <f t="shared" si="2"/>
        <v/>
      </c>
      <c r="B671" s="2"/>
      <c r="C671" s="87"/>
      <c r="D671" s="87"/>
      <c r="E671" s="87"/>
      <c r="F671" s="87"/>
      <c r="G671" s="87"/>
      <c r="H671" s="87"/>
      <c r="I671" s="87"/>
      <c r="J671" s="102"/>
      <c r="K671" s="103"/>
      <c r="L671" s="104"/>
      <c r="M671" s="95"/>
      <c r="N671" s="95"/>
      <c r="O671" s="9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  <c r="Z671" s="105"/>
    </row>
    <row r="672" spans="1:26">
      <c r="A672" s="87" t="str">
        <f t="shared" si="2"/>
        <v/>
      </c>
      <c r="B672" s="2"/>
      <c r="C672" s="87"/>
      <c r="D672" s="87"/>
      <c r="E672" s="87"/>
      <c r="F672" s="87"/>
      <c r="G672" s="87"/>
      <c r="H672" s="87"/>
      <c r="I672" s="87"/>
      <c r="J672" s="102"/>
      <c r="K672" s="103"/>
      <c r="L672" s="104"/>
      <c r="M672" s="95"/>
      <c r="N672" s="95"/>
      <c r="O672" s="95"/>
      <c r="P672" s="105"/>
      <c r="Q672" s="105"/>
      <c r="R672" s="105"/>
      <c r="S672" s="105"/>
      <c r="T672" s="105"/>
      <c r="U672" s="105"/>
      <c r="V672" s="105"/>
      <c r="W672" s="105"/>
      <c r="X672" s="105"/>
      <c r="Y672" s="105"/>
      <c r="Z672" s="105"/>
    </row>
    <row r="673" spans="1:26">
      <c r="A673" s="87" t="str">
        <f t="shared" si="2"/>
        <v/>
      </c>
      <c r="B673" s="2"/>
      <c r="C673" s="87"/>
      <c r="D673" s="87"/>
      <c r="E673" s="87"/>
      <c r="F673" s="87"/>
      <c r="G673" s="87"/>
      <c r="H673" s="87"/>
      <c r="I673" s="87"/>
      <c r="J673" s="102"/>
      <c r="K673" s="103"/>
      <c r="L673" s="104"/>
      <c r="M673" s="95"/>
      <c r="N673" s="95"/>
      <c r="O673" s="9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5"/>
      <c r="Z673" s="105"/>
    </row>
    <row r="674" spans="1:26">
      <c r="A674" s="87" t="str">
        <f t="shared" si="2"/>
        <v/>
      </c>
      <c r="B674" s="2"/>
      <c r="C674" s="87"/>
      <c r="D674" s="87"/>
      <c r="E674" s="87"/>
      <c r="F674" s="87"/>
      <c r="G674" s="87"/>
      <c r="H674" s="87"/>
      <c r="I674" s="87"/>
      <c r="J674" s="102"/>
      <c r="K674" s="103"/>
      <c r="L674" s="104"/>
      <c r="M674" s="95"/>
      <c r="N674" s="95"/>
      <c r="O674" s="95"/>
      <c r="P674" s="105"/>
      <c r="Q674" s="105"/>
      <c r="R674" s="105"/>
      <c r="S674" s="105"/>
      <c r="T674" s="105"/>
      <c r="U674" s="105"/>
      <c r="V674" s="105"/>
      <c r="W674" s="105"/>
      <c r="X674" s="105"/>
      <c r="Y674" s="105"/>
      <c r="Z674" s="105"/>
    </row>
    <row r="675" spans="1:26">
      <c r="A675" s="87" t="str">
        <f t="shared" si="2"/>
        <v/>
      </c>
      <c r="B675" s="2"/>
      <c r="C675" s="87"/>
      <c r="D675" s="87"/>
      <c r="E675" s="87"/>
      <c r="F675" s="87"/>
      <c r="G675" s="87"/>
      <c r="H675" s="87"/>
      <c r="I675" s="87"/>
      <c r="J675" s="102"/>
      <c r="K675" s="103"/>
      <c r="L675" s="104"/>
      <c r="M675" s="95"/>
      <c r="N675" s="95"/>
      <c r="O675" s="95"/>
      <c r="P675" s="105"/>
      <c r="Q675" s="105"/>
      <c r="R675" s="105"/>
      <c r="S675" s="105"/>
      <c r="T675" s="105"/>
      <c r="U675" s="105"/>
      <c r="V675" s="105"/>
      <c r="W675" s="105"/>
      <c r="X675" s="105"/>
      <c r="Y675" s="105"/>
      <c r="Z675" s="105"/>
    </row>
    <row r="676" spans="1:26">
      <c r="A676" s="87" t="str">
        <f t="shared" si="2"/>
        <v/>
      </c>
      <c r="B676" s="2"/>
      <c r="C676" s="87"/>
      <c r="D676" s="87"/>
      <c r="E676" s="87"/>
      <c r="F676" s="87"/>
      <c r="G676" s="87"/>
      <c r="H676" s="87"/>
      <c r="I676" s="87"/>
      <c r="J676" s="102"/>
      <c r="K676" s="103"/>
      <c r="L676" s="104"/>
      <c r="M676" s="95"/>
      <c r="N676" s="95"/>
      <c r="O676" s="95"/>
      <c r="P676" s="105"/>
      <c r="Q676" s="105"/>
      <c r="R676" s="105"/>
      <c r="S676" s="105"/>
      <c r="T676" s="105"/>
      <c r="U676" s="105"/>
      <c r="V676" s="105"/>
      <c r="W676" s="105"/>
      <c r="X676" s="105"/>
      <c r="Y676" s="105"/>
      <c r="Z676" s="105"/>
    </row>
    <row r="677" spans="1:26">
      <c r="A677" s="87" t="str">
        <f t="shared" si="2"/>
        <v/>
      </c>
      <c r="B677" s="2"/>
      <c r="C677" s="87"/>
      <c r="D677" s="87"/>
      <c r="E677" s="87"/>
      <c r="F677" s="87"/>
      <c r="G677" s="87"/>
      <c r="H677" s="87"/>
      <c r="I677" s="87"/>
      <c r="J677" s="102"/>
      <c r="K677" s="103"/>
      <c r="L677" s="104"/>
      <c r="M677" s="95"/>
      <c r="N677" s="95"/>
      <c r="O677" s="9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  <c r="Z677" s="105"/>
    </row>
    <row r="678" spans="1:26">
      <c r="A678" s="87" t="str">
        <f t="shared" si="2"/>
        <v/>
      </c>
      <c r="B678" s="2"/>
      <c r="C678" s="87"/>
      <c r="D678" s="87"/>
      <c r="E678" s="87"/>
      <c r="F678" s="87"/>
      <c r="G678" s="87"/>
      <c r="H678" s="87"/>
      <c r="I678" s="87"/>
      <c r="J678" s="102"/>
      <c r="K678" s="103"/>
      <c r="L678" s="104"/>
      <c r="M678" s="95"/>
      <c r="N678" s="95"/>
      <c r="O678" s="95"/>
      <c r="P678" s="105"/>
      <c r="Q678" s="105"/>
      <c r="R678" s="105"/>
      <c r="S678" s="105"/>
      <c r="T678" s="105"/>
      <c r="U678" s="105"/>
      <c r="V678" s="105"/>
      <c r="W678" s="105"/>
      <c r="X678" s="105"/>
      <c r="Y678" s="105"/>
      <c r="Z678" s="105"/>
    </row>
    <row r="679" spans="1:26">
      <c r="A679" s="87" t="str">
        <f t="shared" si="2"/>
        <v/>
      </c>
      <c r="B679" s="2"/>
      <c r="C679" s="87"/>
      <c r="D679" s="87"/>
      <c r="E679" s="87"/>
      <c r="F679" s="87"/>
      <c r="G679" s="87"/>
      <c r="H679" s="87"/>
      <c r="I679" s="87"/>
      <c r="J679" s="102"/>
      <c r="K679" s="103"/>
      <c r="L679" s="104"/>
      <c r="M679" s="95"/>
      <c r="N679" s="95"/>
      <c r="O679" s="9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  <c r="Z679" s="105"/>
    </row>
    <row r="680" spans="1:26">
      <c r="A680" s="87" t="str">
        <f t="shared" si="2"/>
        <v/>
      </c>
      <c r="B680" s="2"/>
      <c r="C680" s="87"/>
      <c r="D680" s="87"/>
      <c r="E680" s="87"/>
      <c r="F680" s="87"/>
      <c r="G680" s="87"/>
      <c r="H680" s="87"/>
      <c r="I680" s="87"/>
      <c r="J680" s="102"/>
      <c r="K680" s="103"/>
      <c r="L680" s="104"/>
      <c r="M680" s="95"/>
      <c r="N680" s="95"/>
      <c r="O680" s="95"/>
      <c r="P680" s="105"/>
      <c r="Q680" s="105"/>
      <c r="R680" s="105"/>
      <c r="S680" s="105"/>
      <c r="T680" s="105"/>
      <c r="U680" s="105"/>
      <c r="V680" s="105"/>
      <c r="W680" s="105"/>
      <c r="X680" s="105"/>
      <c r="Y680" s="105"/>
      <c r="Z680" s="105"/>
    </row>
    <row r="681" spans="1:26">
      <c r="A681" s="87" t="str">
        <f t="shared" si="2"/>
        <v/>
      </c>
      <c r="B681" s="2"/>
      <c r="C681" s="87"/>
      <c r="D681" s="87"/>
      <c r="E681" s="87"/>
      <c r="F681" s="87"/>
      <c r="G681" s="87"/>
      <c r="H681" s="87"/>
      <c r="I681" s="87"/>
      <c r="J681" s="102"/>
      <c r="K681" s="103"/>
      <c r="L681" s="104"/>
      <c r="M681" s="95"/>
      <c r="N681" s="95"/>
      <c r="O681" s="95"/>
      <c r="P681" s="105"/>
      <c r="Q681" s="105"/>
      <c r="R681" s="105"/>
      <c r="S681" s="105"/>
      <c r="T681" s="105"/>
      <c r="U681" s="105"/>
      <c r="V681" s="105"/>
      <c r="W681" s="105"/>
      <c r="X681" s="105"/>
      <c r="Y681" s="105"/>
      <c r="Z681" s="105"/>
    </row>
    <row r="682" spans="1:26">
      <c r="A682" s="87" t="str">
        <f t="shared" si="2"/>
        <v/>
      </c>
      <c r="B682" s="2"/>
      <c r="C682" s="87"/>
      <c r="D682" s="87"/>
      <c r="E682" s="87"/>
      <c r="F682" s="87"/>
      <c r="G682" s="87"/>
      <c r="H682" s="87"/>
      <c r="I682" s="87"/>
      <c r="J682" s="102"/>
      <c r="K682" s="103"/>
      <c r="L682" s="104"/>
      <c r="M682" s="95"/>
      <c r="N682" s="95"/>
      <c r="O682" s="95"/>
      <c r="P682" s="105"/>
      <c r="Q682" s="105"/>
      <c r="R682" s="105"/>
      <c r="S682" s="105"/>
      <c r="T682" s="105"/>
      <c r="U682" s="105"/>
      <c r="V682" s="105"/>
      <c r="W682" s="105"/>
      <c r="X682" s="105"/>
      <c r="Y682" s="105"/>
      <c r="Z682" s="105"/>
    </row>
    <row r="683" spans="1:26">
      <c r="A683" s="87" t="str">
        <f t="shared" si="2"/>
        <v/>
      </c>
      <c r="B683" s="2"/>
      <c r="C683" s="87"/>
      <c r="D683" s="87"/>
      <c r="E683" s="87"/>
      <c r="F683" s="87"/>
      <c r="G683" s="87"/>
      <c r="H683" s="87"/>
      <c r="I683" s="87"/>
      <c r="J683" s="102"/>
      <c r="K683" s="103"/>
      <c r="L683" s="104"/>
      <c r="M683" s="95"/>
      <c r="N683" s="95"/>
      <c r="O683" s="95"/>
      <c r="P683" s="105"/>
      <c r="Q683" s="105"/>
      <c r="R683" s="105"/>
      <c r="S683" s="105"/>
      <c r="T683" s="105"/>
      <c r="U683" s="105"/>
      <c r="V683" s="105"/>
      <c r="W683" s="105"/>
      <c r="X683" s="105"/>
      <c r="Y683" s="105"/>
      <c r="Z683" s="105"/>
    </row>
    <row r="684" spans="1:26">
      <c r="A684" s="87" t="str">
        <f t="shared" si="2"/>
        <v/>
      </c>
      <c r="B684" s="2"/>
      <c r="C684" s="87"/>
      <c r="D684" s="87"/>
      <c r="E684" s="87"/>
      <c r="F684" s="87"/>
      <c r="G684" s="87"/>
      <c r="H684" s="87"/>
      <c r="I684" s="87"/>
      <c r="J684" s="102"/>
      <c r="K684" s="103"/>
      <c r="L684" s="104"/>
      <c r="M684" s="95"/>
      <c r="N684" s="95"/>
      <c r="O684" s="9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  <c r="Z684" s="105"/>
    </row>
    <row r="685" spans="1:26">
      <c r="A685" s="87" t="str">
        <f t="shared" si="2"/>
        <v/>
      </c>
      <c r="B685" s="2"/>
      <c r="C685" s="87"/>
      <c r="D685" s="87"/>
      <c r="E685" s="87"/>
      <c r="F685" s="87"/>
      <c r="G685" s="87"/>
      <c r="H685" s="87"/>
      <c r="I685" s="87"/>
      <c r="J685" s="102"/>
      <c r="K685" s="103"/>
      <c r="L685" s="104"/>
      <c r="M685" s="95"/>
      <c r="N685" s="95"/>
      <c r="O685" s="9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  <c r="Z685" s="105"/>
    </row>
    <row r="686" spans="1:26">
      <c r="A686" s="87" t="str">
        <f t="shared" si="2"/>
        <v/>
      </c>
      <c r="B686" s="2"/>
      <c r="C686" s="87"/>
      <c r="D686" s="87"/>
      <c r="E686" s="87"/>
      <c r="F686" s="87"/>
      <c r="G686" s="87"/>
      <c r="H686" s="87"/>
      <c r="I686" s="87"/>
      <c r="J686" s="102"/>
      <c r="K686" s="103"/>
      <c r="L686" s="104"/>
      <c r="M686" s="95"/>
      <c r="N686" s="95"/>
      <c r="O686" s="9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  <c r="Z686" s="105"/>
    </row>
    <row r="687" spans="1:26">
      <c r="A687" s="87" t="str">
        <f t="shared" si="2"/>
        <v/>
      </c>
      <c r="B687" s="2"/>
      <c r="C687" s="87"/>
      <c r="D687" s="87"/>
      <c r="E687" s="87"/>
      <c r="F687" s="87"/>
      <c r="G687" s="87"/>
      <c r="H687" s="87"/>
      <c r="I687" s="87"/>
      <c r="J687" s="102"/>
      <c r="K687" s="103"/>
      <c r="L687" s="104"/>
      <c r="M687" s="95"/>
      <c r="N687" s="95"/>
      <c r="O687" s="95"/>
      <c r="P687" s="105"/>
      <c r="Q687" s="105"/>
      <c r="R687" s="105"/>
      <c r="S687" s="105"/>
      <c r="T687" s="105"/>
      <c r="U687" s="105"/>
      <c r="V687" s="105"/>
      <c r="W687" s="105"/>
      <c r="X687" s="105"/>
      <c r="Y687" s="105"/>
      <c r="Z687" s="105"/>
    </row>
    <row r="688" spans="1:26">
      <c r="A688" s="87" t="str">
        <f t="shared" si="2"/>
        <v/>
      </c>
      <c r="B688" s="2"/>
      <c r="C688" s="87"/>
      <c r="D688" s="87"/>
      <c r="E688" s="87"/>
      <c r="F688" s="87"/>
      <c r="G688" s="87"/>
      <c r="H688" s="87"/>
      <c r="I688" s="87"/>
      <c r="J688" s="102"/>
      <c r="K688" s="103"/>
      <c r="L688" s="104"/>
      <c r="M688" s="95"/>
      <c r="N688" s="95"/>
      <c r="O688" s="9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  <c r="Z688" s="105"/>
    </row>
    <row r="689" spans="1:26">
      <c r="A689" s="87" t="str">
        <f t="shared" si="2"/>
        <v/>
      </c>
      <c r="B689" s="2"/>
      <c r="C689" s="87"/>
      <c r="D689" s="87"/>
      <c r="E689" s="87"/>
      <c r="F689" s="87"/>
      <c r="G689" s="87"/>
      <c r="H689" s="87"/>
      <c r="I689" s="87"/>
      <c r="J689" s="102"/>
      <c r="K689" s="103"/>
      <c r="L689" s="104"/>
      <c r="M689" s="95"/>
      <c r="N689" s="95"/>
      <c r="O689" s="95"/>
      <c r="P689" s="105"/>
      <c r="Q689" s="105"/>
      <c r="R689" s="105"/>
      <c r="S689" s="105"/>
      <c r="T689" s="105"/>
      <c r="U689" s="105"/>
      <c r="V689" s="105"/>
      <c r="W689" s="105"/>
      <c r="X689" s="105"/>
      <c r="Y689" s="105"/>
      <c r="Z689" s="105"/>
    </row>
    <row r="690" spans="1:26">
      <c r="A690" s="87" t="str">
        <f t="shared" si="2"/>
        <v/>
      </c>
      <c r="B690" s="2"/>
      <c r="C690" s="87"/>
      <c r="D690" s="87"/>
      <c r="E690" s="87"/>
      <c r="F690" s="87"/>
      <c r="G690" s="87"/>
      <c r="H690" s="87"/>
      <c r="I690" s="87"/>
      <c r="J690" s="102"/>
      <c r="K690" s="103"/>
      <c r="L690" s="104"/>
      <c r="M690" s="95"/>
      <c r="N690" s="95"/>
      <c r="O690" s="95"/>
      <c r="P690" s="105"/>
      <c r="Q690" s="105"/>
      <c r="R690" s="105"/>
      <c r="S690" s="105"/>
      <c r="T690" s="105"/>
      <c r="U690" s="105"/>
      <c r="V690" s="105"/>
      <c r="W690" s="105"/>
      <c r="X690" s="105"/>
      <c r="Y690" s="105"/>
      <c r="Z690" s="105"/>
    </row>
    <row r="691" spans="1:26">
      <c r="A691" s="87" t="str">
        <f t="shared" si="2"/>
        <v/>
      </c>
      <c r="B691" s="2"/>
      <c r="C691" s="87"/>
      <c r="D691" s="87"/>
      <c r="E691" s="87"/>
      <c r="F691" s="87"/>
      <c r="G691" s="87"/>
      <c r="H691" s="87"/>
      <c r="I691" s="87"/>
      <c r="J691" s="102"/>
      <c r="K691" s="103"/>
      <c r="L691" s="104"/>
      <c r="M691" s="95"/>
      <c r="N691" s="95"/>
      <c r="O691" s="95"/>
      <c r="P691" s="105"/>
      <c r="Q691" s="105"/>
      <c r="R691" s="105"/>
      <c r="S691" s="105"/>
      <c r="T691" s="105"/>
      <c r="U691" s="105"/>
      <c r="V691" s="105"/>
      <c r="W691" s="105"/>
      <c r="X691" s="105"/>
      <c r="Y691" s="105"/>
      <c r="Z691" s="105"/>
    </row>
    <row r="692" spans="1:26">
      <c r="A692" s="87" t="str">
        <f t="shared" si="2"/>
        <v/>
      </c>
      <c r="B692" s="2"/>
      <c r="C692" s="87"/>
      <c r="D692" s="87"/>
      <c r="E692" s="87"/>
      <c r="F692" s="87"/>
      <c r="G692" s="87"/>
      <c r="H692" s="87"/>
      <c r="I692" s="87"/>
      <c r="J692" s="102"/>
      <c r="K692" s="103"/>
      <c r="L692" s="104"/>
      <c r="M692" s="95"/>
      <c r="N692" s="95"/>
      <c r="O692" s="9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5"/>
      <c r="Z692" s="105"/>
    </row>
    <row r="693" spans="1:26">
      <c r="A693" s="87" t="str">
        <f t="shared" si="2"/>
        <v/>
      </c>
      <c r="B693" s="2"/>
      <c r="C693" s="87"/>
      <c r="D693" s="87"/>
      <c r="E693" s="87"/>
      <c r="F693" s="87"/>
      <c r="G693" s="87"/>
      <c r="H693" s="87"/>
      <c r="I693" s="87"/>
      <c r="J693" s="102"/>
      <c r="K693" s="103"/>
      <c r="L693" s="104"/>
      <c r="M693" s="95"/>
      <c r="N693" s="95"/>
      <c r="O693" s="95"/>
      <c r="P693" s="105"/>
      <c r="Q693" s="105"/>
      <c r="R693" s="105"/>
      <c r="S693" s="105"/>
      <c r="T693" s="105"/>
      <c r="U693" s="105"/>
      <c r="V693" s="105"/>
      <c r="W693" s="105"/>
      <c r="X693" s="105"/>
      <c r="Y693" s="105"/>
      <c r="Z693" s="105"/>
    </row>
    <row r="694" spans="1:26">
      <c r="A694" s="87" t="str">
        <f t="shared" si="2"/>
        <v/>
      </c>
      <c r="B694" s="2"/>
      <c r="C694" s="87"/>
      <c r="D694" s="87"/>
      <c r="E694" s="87"/>
      <c r="F694" s="87"/>
      <c r="G694" s="87"/>
      <c r="H694" s="87"/>
      <c r="I694" s="87"/>
      <c r="J694" s="102"/>
      <c r="K694" s="103"/>
      <c r="L694" s="104"/>
      <c r="M694" s="95"/>
      <c r="N694" s="95"/>
      <c r="O694" s="95"/>
      <c r="P694" s="105"/>
      <c r="Q694" s="105"/>
      <c r="R694" s="105"/>
      <c r="S694" s="105"/>
      <c r="T694" s="105"/>
      <c r="U694" s="105"/>
      <c r="V694" s="105"/>
      <c r="W694" s="105"/>
      <c r="X694" s="105"/>
      <c r="Y694" s="105"/>
      <c r="Z694" s="105"/>
    </row>
    <row r="695" spans="1:26">
      <c r="A695" s="87" t="str">
        <f t="shared" si="2"/>
        <v/>
      </c>
      <c r="B695" s="2"/>
      <c r="C695" s="87"/>
      <c r="D695" s="87"/>
      <c r="E695" s="87"/>
      <c r="F695" s="87"/>
      <c r="G695" s="87"/>
      <c r="H695" s="87"/>
      <c r="I695" s="87"/>
      <c r="J695" s="102"/>
      <c r="K695" s="103"/>
      <c r="L695" s="104"/>
      <c r="M695" s="95"/>
      <c r="N695" s="95"/>
      <c r="O695" s="95"/>
      <c r="P695" s="105"/>
      <c r="Q695" s="105"/>
      <c r="R695" s="105"/>
      <c r="S695" s="105"/>
      <c r="T695" s="105"/>
      <c r="U695" s="105"/>
      <c r="V695" s="105"/>
      <c r="W695" s="105"/>
      <c r="X695" s="105"/>
      <c r="Y695" s="105"/>
      <c r="Z695" s="105"/>
    </row>
    <row r="696" spans="1:26">
      <c r="A696" s="87" t="str">
        <f t="shared" si="2"/>
        <v/>
      </c>
      <c r="B696" s="2"/>
      <c r="C696" s="87"/>
      <c r="D696" s="87"/>
      <c r="E696" s="87"/>
      <c r="F696" s="87"/>
      <c r="G696" s="87"/>
      <c r="H696" s="87"/>
      <c r="I696" s="87"/>
      <c r="J696" s="102"/>
      <c r="K696" s="103"/>
      <c r="L696" s="104"/>
      <c r="M696" s="95"/>
      <c r="N696" s="95"/>
      <c r="O696" s="95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  <c r="Z696" s="105"/>
    </row>
    <row r="697" spans="1:26">
      <c r="A697" s="87" t="str">
        <f t="shared" si="2"/>
        <v/>
      </c>
      <c r="B697" s="2"/>
      <c r="C697" s="87"/>
      <c r="D697" s="87"/>
      <c r="E697" s="87"/>
      <c r="F697" s="87"/>
      <c r="G697" s="87"/>
      <c r="H697" s="87"/>
      <c r="I697" s="87"/>
      <c r="J697" s="102"/>
      <c r="K697" s="103"/>
      <c r="L697" s="104"/>
      <c r="M697" s="95"/>
      <c r="N697" s="95"/>
      <c r="O697" s="95"/>
      <c r="P697" s="105"/>
      <c r="Q697" s="105"/>
      <c r="R697" s="105"/>
      <c r="S697" s="105"/>
      <c r="T697" s="105"/>
      <c r="U697" s="105"/>
      <c r="V697" s="105"/>
      <c r="W697" s="105"/>
      <c r="X697" s="105"/>
      <c r="Y697" s="105"/>
      <c r="Z697" s="105"/>
    </row>
    <row r="698" spans="1:26">
      <c r="A698" s="87" t="str">
        <f t="shared" si="2"/>
        <v/>
      </c>
      <c r="B698" s="2"/>
      <c r="C698" s="87"/>
      <c r="D698" s="87"/>
      <c r="E698" s="87"/>
      <c r="F698" s="87"/>
      <c r="G698" s="87"/>
      <c r="H698" s="87"/>
      <c r="I698" s="87"/>
      <c r="J698" s="102"/>
      <c r="K698" s="103"/>
      <c r="L698" s="104"/>
      <c r="M698" s="95"/>
      <c r="N698" s="95"/>
      <c r="O698" s="9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5"/>
      <c r="Z698" s="105"/>
    </row>
    <row r="699" spans="1:26">
      <c r="A699" s="87" t="str">
        <f t="shared" si="2"/>
        <v/>
      </c>
      <c r="B699" s="2"/>
      <c r="C699" s="87"/>
      <c r="D699" s="87"/>
      <c r="E699" s="87"/>
      <c r="F699" s="87"/>
      <c r="G699" s="87"/>
      <c r="H699" s="87"/>
      <c r="I699" s="87"/>
      <c r="J699" s="102"/>
      <c r="K699" s="103"/>
      <c r="L699" s="104"/>
      <c r="M699" s="95"/>
      <c r="N699" s="95"/>
      <c r="O699" s="9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5"/>
      <c r="Z699" s="105"/>
    </row>
    <row r="700" spans="1:26">
      <c r="A700" s="87" t="str">
        <f t="shared" si="2"/>
        <v/>
      </c>
      <c r="B700" s="2"/>
      <c r="C700" s="87"/>
      <c r="D700" s="87"/>
      <c r="E700" s="87"/>
      <c r="F700" s="87"/>
      <c r="G700" s="87"/>
      <c r="H700" s="87"/>
      <c r="I700" s="87"/>
      <c r="J700" s="102"/>
      <c r="K700" s="103"/>
      <c r="L700" s="104"/>
      <c r="M700" s="95"/>
      <c r="N700" s="95"/>
      <c r="O700" s="95"/>
      <c r="P700" s="105"/>
      <c r="Q700" s="105"/>
      <c r="R700" s="105"/>
      <c r="S700" s="105"/>
      <c r="T700" s="105"/>
      <c r="U700" s="105"/>
      <c r="V700" s="105"/>
      <c r="W700" s="105"/>
      <c r="X700" s="105"/>
      <c r="Y700" s="105"/>
      <c r="Z700" s="105"/>
    </row>
    <row r="701" spans="1:26">
      <c r="A701" s="87" t="str">
        <f t="shared" si="2"/>
        <v/>
      </c>
      <c r="B701" s="2"/>
      <c r="C701" s="87"/>
      <c r="D701" s="87"/>
      <c r="E701" s="87"/>
      <c r="F701" s="87"/>
      <c r="G701" s="87"/>
      <c r="H701" s="87"/>
      <c r="I701" s="87"/>
      <c r="J701" s="102"/>
      <c r="K701" s="103"/>
      <c r="L701" s="104"/>
      <c r="M701" s="95"/>
      <c r="N701" s="95"/>
      <c r="O701" s="95"/>
      <c r="P701" s="105"/>
      <c r="Q701" s="105"/>
      <c r="R701" s="105"/>
      <c r="S701" s="105"/>
      <c r="T701" s="105"/>
      <c r="U701" s="105"/>
      <c r="V701" s="105"/>
      <c r="W701" s="105"/>
      <c r="X701" s="105"/>
      <c r="Y701" s="105"/>
      <c r="Z701" s="105"/>
    </row>
    <row r="702" spans="1:26">
      <c r="A702" s="87" t="str">
        <f t="shared" si="2"/>
        <v/>
      </c>
      <c r="B702" s="2"/>
      <c r="C702" s="87"/>
      <c r="D702" s="87"/>
      <c r="E702" s="87"/>
      <c r="F702" s="87"/>
      <c r="G702" s="87"/>
      <c r="H702" s="87"/>
      <c r="I702" s="87"/>
      <c r="J702" s="102"/>
      <c r="K702" s="103"/>
      <c r="L702" s="104"/>
      <c r="M702" s="95"/>
      <c r="N702" s="95"/>
      <c r="O702" s="95"/>
      <c r="P702" s="105"/>
      <c r="Q702" s="105"/>
      <c r="R702" s="105"/>
      <c r="S702" s="105"/>
      <c r="T702" s="105"/>
      <c r="U702" s="105"/>
      <c r="V702" s="105"/>
      <c r="W702" s="105"/>
      <c r="X702" s="105"/>
      <c r="Y702" s="105"/>
      <c r="Z702" s="105"/>
    </row>
    <row r="703" spans="1:26">
      <c r="A703" s="87" t="str">
        <f t="shared" si="2"/>
        <v/>
      </c>
      <c r="B703" s="2"/>
      <c r="C703" s="87"/>
      <c r="D703" s="87"/>
      <c r="E703" s="87"/>
      <c r="F703" s="87"/>
      <c r="G703" s="87"/>
      <c r="H703" s="87"/>
      <c r="I703" s="87"/>
      <c r="J703" s="102"/>
      <c r="K703" s="103"/>
      <c r="L703" s="104"/>
      <c r="M703" s="95"/>
      <c r="N703" s="95"/>
      <c r="O703" s="95"/>
      <c r="P703" s="105"/>
      <c r="Q703" s="105"/>
      <c r="R703" s="105"/>
      <c r="S703" s="105"/>
      <c r="T703" s="105"/>
      <c r="U703" s="105"/>
      <c r="V703" s="105"/>
      <c r="W703" s="105"/>
      <c r="X703" s="105"/>
      <c r="Y703" s="105"/>
      <c r="Z703" s="105"/>
    </row>
    <row r="704" spans="1:26">
      <c r="A704" s="87" t="str">
        <f t="shared" si="2"/>
        <v/>
      </c>
      <c r="B704" s="2"/>
      <c r="C704" s="87"/>
      <c r="D704" s="87"/>
      <c r="E704" s="87"/>
      <c r="F704" s="87"/>
      <c r="G704" s="87"/>
      <c r="H704" s="87"/>
      <c r="I704" s="87"/>
      <c r="J704" s="102"/>
      <c r="K704" s="103"/>
      <c r="L704" s="104"/>
      <c r="M704" s="95"/>
      <c r="N704" s="95"/>
      <c r="O704" s="9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  <c r="Z704" s="105"/>
    </row>
    <row r="705" spans="1:26">
      <c r="A705" s="87" t="str">
        <f t="shared" si="2"/>
        <v/>
      </c>
      <c r="B705" s="2"/>
      <c r="C705" s="87"/>
      <c r="D705" s="87"/>
      <c r="E705" s="87"/>
      <c r="F705" s="87"/>
      <c r="G705" s="87"/>
      <c r="H705" s="87"/>
      <c r="I705" s="87"/>
      <c r="J705" s="102"/>
      <c r="K705" s="103"/>
      <c r="L705" s="104"/>
      <c r="M705" s="95"/>
      <c r="N705" s="95"/>
      <c r="O705" s="95"/>
      <c r="P705" s="105"/>
      <c r="Q705" s="105"/>
      <c r="R705" s="105"/>
      <c r="S705" s="105"/>
      <c r="T705" s="105"/>
      <c r="U705" s="105"/>
      <c r="V705" s="105"/>
      <c r="W705" s="105"/>
      <c r="X705" s="105"/>
      <c r="Y705" s="105"/>
      <c r="Z705" s="105"/>
    </row>
    <row r="706" spans="1:26">
      <c r="A706" s="87" t="str">
        <f t="shared" si="2"/>
        <v/>
      </c>
      <c r="B706" s="2"/>
      <c r="C706" s="87"/>
      <c r="D706" s="87"/>
      <c r="E706" s="87"/>
      <c r="F706" s="87"/>
      <c r="G706" s="87"/>
      <c r="H706" s="87"/>
      <c r="I706" s="87"/>
      <c r="J706" s="102"/>
      <c r="K706" s="103"/>
      <c r="L706" s="104"/>
      <c r="M706" s="95"/>
      <c r="N706" s="95"/>
      <c r="O706" s="9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  <c r="Z706" s="105"/>
    </row>
    <row r="707" spans="1:26">
      <c r="A707" s="87" t="str">
        <f t="shared" si="2"/>
        <v/>
      </c>
      <c r="B707" s="2"/>
      <c r="C707" s="87"/>
      <c r="D707" s="87"/>
      <c r="E707" s="87"/>
      <c r="F707" s="87"/>
      <c r="G707" s="87"/>
      <c r="H707" s="87"/>
      <c r="I707" s="87"/>
      <c r="J707" s="102"/>
      <c r="K707" s="103"/>
      <c r="L707" s="104"/>
      <c r="M707" s="95"/>
      <c r="N707" s="95"/>
      <c r="O707" s="95"/>
      <c r="P707" s="105"/>
      <c r="Q707" s="105"/>
      <c r="R707" s="105"/>
      <c r="S707" s="105"/>
      <c r="T707" s="105"/>
      <c r="U707" s="105"/>
      <c r="V707" s="105"/>
      <c r="W707" s="105"/>
      <c r="X707" s="105"/>
      <c r="Y707" s="105"/>
      <c r="Z707" s="105"/>
    </row>
    <row r="708" spans="1:26">
      <c r="A708" s="87" t="str">
        <f t="shared" si="2"/>
        <v/>
      </c>
      <c r="B708" s="2"/>
      <c r="C708" s="87"/>
      <c r="D708" s="87"/>
      <c r="E708" s="87"/>
      <c r="F708" s="87"/>
      <c r="G708" s="87"/>
      <c r="H708" s="87"/>
      <c r="I708" s="87"/>
      <c r="J708" s="102"/>
      <c r="K708" s="103"/>
      <c r="L708" s="104"/>
      <c r="M708" s="95"/>
      <c r="N708" s="95"/>
      <c r="O708" s="95"/>
      <c r="P708" s="105"/>
      <c r="Q708" s="105"/>
      <c r="R708" s="105"/>
      <c r="S708" s="105"/>
      <c r="T708" s="105"/>
      <c r="U708" s="105"/>
      <c r="V708" s="105"/>
      <c r="W708" s="105"/>
      <c r="X708" s="105"/>
      <c r="Y708" s="105"/>
      <c r="Z708" s="105"/>
    </row>
    <row r="709" spans="1:26">
      <c r="A709" s="87" t="str">
        <f t="shared" si="2"/>
        <v/>
      </c>
      <c r="B709" s="2"/>
      <c r="C709" s="87"/>
      <c r="D709" s="87"/>
      <c r="E709" s="87"/>
      <c r="F709" s="87"/>
      <c r="G709" s="87"/>
      <c r="H709" s="87"/>
      <c r="I709" s="87"/>
      <c r="J709" s="102"/>
      <c r="K709" s="103"/>
      <c r="L709" s="104"/>
      <c r="M709" s="95"/>
      <c r="N709" s="95"/>
      <c r="O709" s="95"/>
      <c r="P709" s="105"/>
      <c r="Q709" s="105"/>
      <c r="R709" s="105"/>
      <c r="S709" s="105"/>
      <c r="T709" s="105"/>
      <c r="U709" s="105"/>
      <c r="V709" s="105"/>
      <c r="W709" s="105"/>
      <c r="X709" s="105"/>
      <c r="Y709" s="105"/>
      <c r="Z709" s="105"/>
    </row>
    <row r="710" spans="1:26">
      <c r="A710" s="87" t="str">
        <f t="shared" si="2"/>
        <v/>
      </c>
      <c r="B710" s="2"/>
      <c r="C710" s="87"/>
      <c r="D710" s="87"/>
      <c r="E710" s="87"/>
      <c r="F710" s="87"/>
      <c r="G710" s="87"/>
      <c r="H710" s="87"/>
      <c r="I710" s="87"/>
      <c r="J710" s="102"/>
      <c r="K710" s="103"/>
      <c r="L710" s="104"/>
      <c r="M710" s="95"/>
      <c r="N710" s="95"/>
      <c r="O710" s="95"/>
      <c r="P710" s="105"/>
      <c r="Q710" s="105"/>
      <c r="R710" s="105"/>
      <c r="S710" s="105"/>
      <c r="T710" s="105"/>
      <c r="U710" s="105"/>
      <c r="V710" s="105"/>
      <c r="W710" s="105"/>
      <c r="X710" s="105"/>
      <c r="Y710" s="105"/>
      <c r="Z710" s="105"/>
    </row>
    <row r="711" spans="1:26">
      <c r="A711" s="87" t="str">
        <f t="shared" si="2"/>
        <v/>
      </c>
      <c r="B711" s="2"/>
      <c r="C711" s="87"/>
      <c r="D711" s="87"/>
      <c r="E711" s="87"/>
      <c r="F711" s="87"/>
      <c r="G711" s="87"/>
      <c r="H711" s="87"/>
      <c r="I711" s="87"/>
      <c r="J711" s="102"/>
      <c r="K711" s="103"/>
      <c r="L711" s="104"/>
      <c r="M711" s="95"/>
      <c r="N711" s="95"/>
      <c r="O711" s="95"/>
      <c r="P711" s="105"/>
      <c r="Q711" s="105"/>
      <c r="R711" s="105"/>
      <c r="S711" s="105"/>
      <c r="T711" s="105"/>
      <c r="U711" s="105"/>
      <c r="V711" s="105"/>
      <c r="W711" s="105"/>
      <c r="X711" s="105"/>
      <c r="Y711" s="105"/>
      <c r="Z711" s="105"/>
    </row>
    <row r="712" spans="1:26">
      <c r="A712" s="87" t="str">
        <f t="shared" si="2"/>
        <v/>
      </c>
      <c r="B712" s="2"/>
      <c r="C712" s="87"/>
      <c r="D712" s="87"/>
      <c r="E712" s="87"/>
      <c r="F712" s="87"/>
      <c r="G712" s="87"/>
      <c r="H712" s="87"/>
      <c r="I712" s="87"/>
      <c r="J712" s="102"/>
      <c r="K712" s="103"/>
      <c r="L712" s="104"/>
      <c r="M712" s="95"/>
      <c r="N712" s="95"/>
      <c r="O712" s="9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  <c r="Z712" s="105"/>
    </row>
    <row r="713" spans="1:26">
      <c r="A713" s="87" t="str">
        <f t="shared" si="2"/>
        <v/>
      </c>
      <c r="B713" s="2"/>
      <c r="C713" s="87"/>
      <c r="D713" s="87"/>
      <c r="E713" s="87"/>
      <c r="F713" s="87"/>
      <c r="G713" s="87"/>
      <c r="H713" s="87"/>
      <c r="I713" s="87"/>
      <c r="J713" s="102"/>
      <c r="K713" s="103"/>
      <c r="L713" s="104"/>
      <c r="M713" s="95"/>
      <c r="N713" s="95"/>
      <c r="O713" s="95"/>
      <c r="P713" s="105"/>
      <c r="Q713" s="105"/>
      <c r="R713" s="105"/>
      <c r="S713" s="105"/>
      <c r="T713" s="105"/>
      <c r="U713" s="105"/>
      <c r="V713" s="105"/>
      <c r="W713" s="105"/>
      <c r="X713" s="105"/>
      <c r="Y713" s="105"/>
      <c r="Z713" s="105"/>
    </row>
    <row r="714" spans="1:26">
      <c r="A714" s="87" t="str">
        <f t="shared" si="2"/>
        <v/>
      </c>
      <c r="B714" s="2"/>
      <c r="C714" s="87"/>
      <c r="D714" s="87"/>
      <c r="E714" s="87"/>
      <c r="F714" s="87"/>
      <c r="G714" s="87"/>
      <c r="H714" s="87"/>
      <c r="I714" s="87"/>
      <c r="J714" s="102"/>
      <c r="K714" s="103"/>
      <c r="L714" s="104"/>
      <c r="M714" s="95"/>
      <c r="N714" s="95"/>
      <c r="O714" s="95"/>
      <c r="P714" s="105"/>
      <c r="Q714" s="105"/>
      <c r="R714" s="105"/>
      <c r="S714" s="105"/>
      <c r="T714" s="105"/>
      <c r="U714" s="105"/>
      <c r="V714" s="105"/>
      <c r="W714" s="105"/>
      <c r="X714" s="105"/>
      <c r="Y714" s="105"/>
      <c r="Z714" s="105"/>
    </row>
    <row r="715" spans="1:26">
      <c r="A715" s="87" t="str">
        <f t="shared" si="2"/>
        <v/>
      </c>
      <c r="B715" s="2"/>
      <c r="C715" s="87"/>
      <c r="D715" s="87"/>
      <c r="E715" s="87"/>
      <c r="F715" s="87"/>
      <c r="G715" s="87"/>
      <c r="H715" s="87"/>
      <c r="I715" s="87"/>
      <c r="J715" s="102"/>
      <c r="K715" s="103"/>
      <c r="L715" s="104"/>
      <c r="M715" s="95"/>
      <c r="N715" s="95"/>
      <c r="O715" s="95"/>
      <c r="P715" s="105"/>
      <c r="Q715" s="105"/>
      <c r="R715" s="105"/>
      <c r="S715" s="105"/>
      <c r="T715" s="105"/>
      <c r="U715" s="105"/>
      <c r="V715" s="105"/>
      <c r="W715" s="105"/>
      <c r="X715" s="105"/>
      <c r="Y715" s="105"/>
      <c r="Z715" s="105"/>
    </row>
    <row r="716" spans="1:26">
      <c r="A716" s="87" t="str">
        <f t="shared" si="2"/>
        <v/>
      </c>
      <c r="B716" s="2"/>
      <c r="C716" s="87"/>
      <c r="D716" s="87"/>
      <c r="E716" s="87"/>
      <c r="F716" s="87"/>
      <c r="G716" s="87"/>
      <c r="H716" s="87"/>
      <c r="I716" s="87"/>
      <c r="J716" s="102"/>
      <c r="K716" s="103"/>
      <c r="L716" s="104"/>
      <c r="M716" s="95"/>
      <c r="N716" s="95"/>
      <c r="O716" s="95"/>
      <c r="P716" s="105"/>
      <c r="Q716" s="105"/>
      <c r="R716" s="105"/>
      <c r="S716" s="105"/>
      <c r="T716" s="105"/>
      <c r="U716" s="105"/>
      <c r="V716" s="105"/>
      <c r="W716" s="105"/>
      <c r="X716" s="105"/>
      <c r="Y716" s="105"/>
      <c r="Z716" s="105"/>
    </row>
    <row r="717" spans="1:26">
      <c r="A717" s="87" t="str">
        <f t="shared" si="2"/>
        <v/>
      </c>
      <c r="B717" s="2"/>
      <c r="C717" s="87"/>
      <c r="D717" s="87"/>
      <c r="E717" s="87"/>
      <c r="F717" s="87"/>
      <c r="G717" s="87"/>
      <c r="H717" s="87"/>
      <c r="I717" s="87"/>
      <c r="J717" s="102"/>
      <c r="K717" s="103"/>
      <c r="L717" s="104"/>
      <c r="M717" s="95"/>
      <c r="N717" s="95"/>
      <c r="O717" s="95"/>
      <c r="P717" s="105"/>
      <c r="Q717" s="105"/>
      <c r="R717" s="105"/>
      <c r="S717" s="105"/>
      <c r="T717" s="105"/>
      <c r="U717" s="105"/>
      <c r="V717" s="105"/>
      <c r="W717" s="105"/>
      <c r="X717" s="105"/>
      <c r="Y717" s="105"/>
      <c r="Z717" s="105"/>
    </row>
    <row r="718" spans="1:26">
      <c r="A718" s="87" t="str">
        <f t="shared" si="2"/>
        <v/>
      </c>
      <c r="B718" s="2"/>
      <c r="C718" s="87"/>
      <c r="D718" s="87"/>
      <c r="E718" s="87"/>
      <c r="F718" s="87"/>
      <c r="G718" s="87"/>
      <c r="H718" s="87"/>
      <c r="I718" s="87"/>
      <c r="J718" s="102"/>
      <c r="K718" s="103"/>
      <c r="L718" s="104"/>
      <c r="M718" s="95"/>
      <c r="N718" s="95"/>
      <c r="O718" s="95"/>
      <c r="P718" s="105"/>
      <c r="Q718" s="105"/>
      <c r="R718" s="105"/>
      <c r="S718" s="105"/>
      <c r="T718" s="105"/>
      <c r="U718" s="105"/>
      <c r="V718" s="105"/>
      <c r="W718" s="105"/>
      <c r="X718" s="105"/>
      <c r="Y718" s="105"/>
      <c r="Z718" s="105"/>
    </row>
    <row r="719" spans="1:26">
      <c r="A719" s="87" t="str">
        <f t="shared" si="2"/>
        <v/>
      </c>
      <c r="B719" s="2"/>
      <c r="C719" s="87"/>
      <c r="D719" s="87"/>
      <c r="E719" s="87"/>
      <c r="F719" s="87"/>
      <c r="G719" s="87"/>
      <c r="H719" s="87"/>
      <c r="I719" s="87"/>
      <c r="J719" s="102"/>
      <c r="K719" s="103"/>
      <c r="L719" s="104"/>
      <c r="M719" s="95"/>
      <c r="N719" s="95"/>
      <c r="O719" s="95"/>
      <c r="P719" s="105"/>
      <c r="Q719" s="105"/>
      <c r="R719" s="105"/>
      <c r="S719" s="105"/>
      <c r="T719" s="105"/>
      <c r="U719" s="105"/>
      <c r="V719" s="105"/>
      <c r="W719" s="105"/>
      <c r="X719" s="105"/>
      <c r="Y719" s="105"/>
      <c r="Z719" s="105"/>
    </row>
    <row r="720" spans="1:26">
      <c r="A720" s="87" t="str">
        <f t="shared" si="2"/>
        <v/>
      </c>
      <c r="B720" s="2"/>
      <c r="C720" s="87"/>
      <c r="D720" s="87"/>
      <c r="E720" s="87"/>
      <c r="F720" s="87"/>
      <c r="G720" s="87"/>
      <c r="H720" s="87"/>
      <c r="I720" s="87"/>
      <c r="J720" s="102"/>
      <c r="K720" s="103"/>
      <c r="L720" s="104"/>
      <c r="M720" s="95"/>
      <c r="N720" s="95"/>
      <c r="O720" s="95"/>
      <c r="P720" s="105"/>
      <c r="Q720" s="105"/>
      <c r="R720" s="105"/>
      <c r="S720" s="105"/>
      <c r="T720" s="105"/>
      <c r="U720" s="105"/>
      <c r="V720" s="105"/>
      <c r="W720" s="105"/>
      <c r="X720" s="105"/>
      <c r="Y720" s="105"/>
      <c r="Z720" s="105"/>
    </row>
    <row r="721" spans="1:26">
      <c r="A721" s="87" t="str">
        <f t="shared" si="2"/>
        <v/>
      </c>
      <c r="B721" s="2"/>
      <c r="C721" s="87"/>
      <c r="D721" s="87"/>
      <c r="E721" s="87"/>
      <c r="F721" s="87"/>
      <c r="G721" s="87"/>
      <c r="H721" s="87"/>
      <c r="I721" s="87"/>
      <c r="J721" s="102"/>
      <c r="K721" s="103"/>
      <c r="L721" s="104"/>
      <c r="M721" s="95"/>
      <c r="N721" s="95"/>
      <c r="O721" s="95"/>
      <c r="P721" s="105"/>
      <c r="Q721" s="105"/>
      <c r="R721" s="105"/>
      <c r="S721" s="105"/>
      <c r="T721" s="105"/>
      <c r="U721" s="105"/>
      <c r="V721" s="105"/>
      <c r="W721" s="105"/>
      <c r="X721" s="105"/>
      <c r="Y721" s="105"/>
      <c r="Z721" s="105"/>
    </row>
    <row r="722" spans="1:26">
      <c r="A722" s="87" t="str">
        <f t="shared" si="2"/>
        <v/>
      </c>
      <c r="B722" s="2"/>
      <c r="C722" s="87"/>
      <c r="D722" s="87"/>
      <c r="E722" s="87"/>
      <c r="F722" s="87"/>
      <c r="G722" s="87"/>
      <c r="H722" s="87"/>
      <c r="I722" s="87"/>
      <c r="J722" s="102"/>
      <c r="K722" s="103"/>
      <c r="L722" s="104"/>
      <c r="M722" s="95"/>
      <c r="N722" s="95"/>
      <c r="O722" s="95"/>
      <c r="P722" s="105"/>
      <c r="Q722" s="105"/>
      <c r="R722" s="105"/>
      <c r="S722" s="105"/>
      <c r="T722" s="105"/>
      <c r="U722" s="105"/>
      <c r="V722" s="105"/>
      <c r="W722" s="105"/>
      <c r="X722" s="105"/>
      <c r="Y722" s="105"/>
      <c r="Z722" s="105"/>
    </row>
    <row r="723" spans="1:26">
      <c r="A723" s="87" t="str">
        <f t="shared" si="2"/>
        <v/>
      </c>
      <c r="B723" s="2"/>
      <c r="C723" s="87"/>
      <c r="D723" s="87"/>
      <c r="E723" s="87"/>
      <c r="F723" s="87"/>
      <c r="G723" s="87"/>
      <c r="H723" s="87"/>
      <c r="I723" s="87"/>
      <c r="J723" s="102"/>
      <c r="K723" s="103"/>
      <c r="L723" s="104"/>
      <c r="M723" s="95"/>
      <c r="N723" s="95"/>
      <c r="O723" s="95"/>
      <c r="P723" s="105"/>
      <c r="Q723" s="105"/>
      <c r="R723" s="105"/>
      <c r="S723" s="105"/>
      <c r="T723" s="105"/>
      <c r="U723" s="105"/>
      <c r="V723" s="105"/>
      <c r="W723" s="105"/>
      <c r="X723" s="105"/>
      <c r="Y723" s="105"/>
      <c r="Z723" s="105"/>
    </row>
    <row r="724" spans="1:26">
      <c r="A724" s="87" t="str">
        <f t="shared" si="2"/>
        <v/>
      </c>
      <c r="B724" s="2"/>
      <c r="C724" s="87"/>
      <c r="D724" s="87"/>
      <c r="E724" s="87"/>
      <c r="F724" s="87"/>
      <c r="G724" s="87"/>
      <c r="H724" s="87"/>
      <c r="I724" s="87"/>
      <c r="J724" s="102"/>
      <c r="K724" s="103"/>
      <c r="L724" s="104"/>
      <c r="M724" s="95"/>
      <c r="N724" s="95"/>
      <c r="O724" s="95"/>
      <c r="P724" s="105"/>
      <c r="Q724" s="105"/>
      <c r="R724" s="105"/>
      <c r="S724" s="105"/>
      <c r="T724" s="105"/>
      <c r="U724" s="105"/>
      <c r="V724" s="105"/>
      <c r="W724" s="105"/>
      <c r="X724" s="105"/>
      <c r="Y724" s="105"/>
      <c r="Z724" s="105"/>
    </row>
    <row r="725" spans="1:26">
      <c r="A725" s="87" t="str">
        <f t="shared" si="2"/>
        <v/>
      </c>
      <c r="B725" s="2"/>
      <c r="C725" s="87"/>
      <c r="D725" s="87"/>
      <c r="E725" s="87"/>
      <c r="F725" s="87"/>
      <c r="G725" s="87"/>
      <c r="H725" s="87"/>
      <c r="I725" s="87"/>
      <c r="J725" s="102"/>
      <c r="K725" s="103"/>
      <c r="L725" s="104"/>
      <c r="M725" s="95"/>
      <c r="N725" s="95"/>
      <c r="O725" s="95"/>
      <c r="P725" s="105"/>
      <c r="Q725" s="105"/>
      <c r="R725" s="105"/>
      <c r="S725" s="105"/>
      <c r="T725" s="105"/>
      <c r="U725" s="105"/>
      <c r="V725" s="105"/>
      <c r="W725" s="105"/>
      <c r="X725" s="105"/>
      <c r="Y725" s="105"/>
      <c r="Z725" s="105"/>
    </row>
    <row r="726" spans="1:26">
      <c r="A726" s="87" t="str">
        <f t="shared" si="2"/>
        <v/>
      </c>
      <c r="B726" s="2"/>
      <c r="C726" s="87"/>
      <c r="D726" s="87"/>
      <c r="E726" s="87"/>
      <c r="F726" s="87"/>
      <c r="G726" s="87"/>
      <c r="H726" s="87"/>
      <c r="I726" s="87"/>
      <c r="J726" s="102"/>
      <c r="K726" s="103"/>
      <c r="L726" s="104"/>
      <c r="M726" s="95"/>
      <c r="N726" s="95"/>
      <c r="O726" s="95"/>
      <c r="P726" s="105"/>
      <c r="Q726" s="105"/>
      <c r="R726" s="105"/>
      <c r="S726" s="105"/>
      <c r="T726" s="105"/>
      <c r="U726" s="105"/>
      <c r="V726" s="105"/>
      <c r="W726" s="105"/>
      <c r="X726" s="105"/>
      <c r="Y726" s="105"/>
      <c r="Z726" s="105"/>
    </row>
    <row r="727" spans="1:26">
      <c r="A727" s="87" t="str">
        <f t="shared" si="2"/>
        <v/>
      </c>
      <c r="B727" s="2"/>
      <c r="C727" s="87"/>
      <c r="D727" s="87"/>
      <c r="E727" s="87"/>
      <c r="F727" s="87"/>
      <c r="G727" s="87"/>
      <c r="H727" s="87"/>
      <c r="I727" s="87"/>
      <c r="J727" s="102"/>
      <c r="K727" s="103"/>
      <c r="L727" s="104"/>
      <c r="M727" s="95"/>
      <c r="N727" s="95"/>
      <c r="O727" s="95"/>
      <c r="P727" s="105"/>
      <c r="Q727" s="105"/>
      <c r="R727" s="105"/>
      <c r="S727" s="105"/>
      <c r="T727" s="105"/>
      <c r="U727" s="105"/>
      <c r="V727" s="105"/>
      <c r="W727" s="105"/>
      <c r="X727" s="105"/>
      <c r="Y727" s="105"/>
      <c r="Z727" s="105"/>
    </row>
    <row r="728" spans="1:26">
      <c r="A728" s="87" t="str">
        <f t="shared" si="2"/>
        <v/>
      </c>
      <c r="B728" s="2"/>
      <c r="C728" s="87"/>
      <c r="D728" s="87"/>
      <c r="E728" s="87"/>
      <c r="F728" s="87"/>
      <c r="G728" s="87"/>
      <c r="H728" s="87"/>
      <c r="I728" s="87"/>
      <c r="J728" s="102"/>
      <c r="K728" s="103"/>
      <c r="L728" s="104"/>
      <c r="M728" s="95"/>
      <c r="N728" s="95"/>
      <c r="O728" s="95"/>
      <c r="P728" s="105"/>
      <c r="Q728" s="105"/>
      <c r="R728" s="105"/>
      <c r="S728" s="105"/>
      <c r="T728" s="105"/>
      <c r="U728" s="105"/>
      <c r="V728" s="105"/>
      <c r="W728" s="105"/>
      <c r="X728" s="105"/>
      <c r="Y728" s="105"/>
      <c r="Z728" s="105"/>
    </row>
    <row r="729" spans="1:26">
      <c r="A729" s="87" t="str">
        <f t="shared" si="2"/>
        <v/>
      </c>
      <c r="B729" s="2"/>
      <c r="C729" s="87"/>
      <c r="D729" s="87"/>
      <c r="E729" s="87"/>
      <c r="F729" s="87"/>
      <c r="G729" s="87"/>
      <c r="H729" s="87"/>
      <c r="I729" s="87"/>
      <c r="J729" s="102"/>
      <c r="K729" s="103"/>
      <c r="L729" s="104"/>
      <c r="M729" s="95"/>
      <c r="N729" s="95"/>
      <c r="O729" s="95"/>
      <c r="P729" s="105"/>
      <c r="Q729" s="105"/>
      <c r="R729" s="105"/>
      <c r="S729" s="105"/>
      <c r="T729" s="105"/>
      <c r="U729" s="105"/>
      <c r="V729" s="105"/>
      <c r="W729" s="105"/>
      <c r="X729" s="105"/>
      <c r="Y729" s="105"/>
      <c r="Z729" s="105"/>
    </row>
    <row r="730" spans="1:26">
      <c r="A730" s="87" t="str">
        <f t="shared" si="2"/>
        <v/>
      </c>
      <c r="B730" s="2"/>
      <c r="C730" s="87"/>
      <c r="D730" s="87"/>
      <c r="E730" s="87"/>
      <c r="F730" s="87"/>
      <c r="G730" s="87"/>
      <c r="H730" s="87"/>
      <c r="I730" s="87"/>
      <c r="J730" s="102"/>
      <c r="K730" s="103"/>
      <c r="L730" s="104"/>
      <c r="M730" s="95"/>
      <c r="N730" s="95"/>
      <c r="O730" s="95"/>
      <c r="P730" s="105"/>
      <c r="Q730" s="105"/>
      <c r="R730" s="105"/>
      <c r="S730" s="105"/>
      <c r="T730" s="105"/>
      <c r="U730" s="105"/>
      <c r="V730" s="105"/>
      <c r="W730" s="105"/>
      <c r="X730" s="105"/>
      <c r="Y730" s="105"/>
      <c r="Z730" s="105"/>
    </row>
    <row r="731" spans="1:26">
      <c r="A731" s="87" t="str">
        <f t="shared" si="2"/>
        <v/>
      </c>
      <c r="B731" s="2"/>
      <c r="C731" s="87"/>
      <c r="D731" s="87"/>
      <c r="E731" s="87"/>
      <c r="F731" s="87"/>
      <c r="G731" s="87"/>
      <c r="H731" s="87"/>
      <c r="I731" s="87"/>
      <c r="J731" s="102"/>
      <c r="K731" s="103"/>
      <c r="L731" s="104"/>
      <c r="M731" s="95"/>
      <c r="N731" s="95"/>
      <c r="O731" s="95"/>
      <c r="P731" s="105"/>
      <c r="Q731" s="105"/>
      <c r="R731" s="105"/>
      <c r="S731" s="105"/>
      <c r="T731" s="105"/>
      <c r="U731" s="105"/>
      <c r="V731" s="105"/>
      <c r="W731" s="105"/>
      <c r="X731" s="105"/>
      <c r="Y731" s="105"/>
      <c r="Z731" s="105"/>
    </row>
    <row r="732" spans="1:26">
      <c r="A732" s="87" t="str">
        <f t="shared" si="2"/>
        <v/>
      </c>
      <c r="B732" s="2"/>
      <c r="C732" s="87"/>
      <c r="D732" s="87"/>
      <c r="E732" s="87"/>
      <c r="F732" s="87"/>
      <c r="G732" s="87"/>
      <c r="H732" s="87"/>
      <c r="I732" s="87"/>
      <c r="J732" s="102"/>
      <c r="K732" s="103"/>
      <c r="L732" s="104"/>
      <c r="M732" s="95"/>
      <c r="N732" s="95"/>
      <c r="O732" s="95"/>
      <c r="P732" s="105"/>
      <c r="Q732" s="105"/>
      <c r="R732" s="105"/>
      <c r="S732" s="105"/>
      <c r="T732" s="105"/>
      <c r="U732" s="105"/>
      <c r="V732" s="105"/>
      <c r="W732" s="105"/>
      <c r="X732" s="105"/>
      <c r="Y732" s="105"/>
      <c r="Z732" s="105"/>
    </row>
    <row r="733" spans="1:26">
      <c r="A733" s="87" t="str">
        <f t="shared" si="2"/>
        <v/>
      </c>
      <c r="B733" s="2"/>
      <c r="C733" s="87"/>
      <c r="D733" s="87"/>
      <c r="E733" s="87"/>
      <c r="F733" s="87"/>
      <c r="G733" s="87"/>
      <c r="H733" s="87"/>
      <c r="I733" s="87"/>
      <c r="J733" s="102"/>
      <c r="K733" s="103"/>
      <c r="L733" s="104"/>
      <c r="M733" s="95"/>
      <c r="N733" s="95"/>
      <c r="O733" s="95"/>
      <c r="P733" s="105"/>
      <c r="Q733" s="105"/>
      <c r="R733" s="105"/>
      <c r="S733" s="105"/>
      <c r="T733" s="105"/>
      <c r="U733" s="105"/>
      <c r="V733" s="105"/>
      <c r="W733" s="105"/>
      <c r="X733" s="105"/>
      <c r="Y733" s="105"/>
      <c r="Z733" s="105"/>
    </row>
    <row r="734" spans="1:26">
      <c r="A734" s="87" t="str">
        <f t="shared" si="2"/>
        <v/>
      </c>
      <c r="B734" s="2"/>
      <c r="C734" s="87"/>
      <c r="D734" s="87"/>
      <c r="E734" s="87"/>
      <c r="F734" s="87"/>
      <c r="G734" s="87"/>
      <c r="H734" s="87"/>
      <c r="I734" s="87"/>
      <c r="J734" s="102"/>
      <c r="K734" s="103"/>
      <c r="L734" s="104"/>
      <c r="M734" s="95"/>
      <c r="N734" s="95"/>
      <c r="O734" s="95"/>
      <c r="P734" s="105"/>
      <c r="Q734" s="105"/>
      <c r="R734" s="105"/>
      <c r="S734" s="105"/>
      <c r="T734" s="105"/>
      <c r="U734" s="105"/>
      <c r="V734" s="105"/>
      <c r="W734" s="105"/>
      <c r="X734" s="105"/>
      <c r="Y734" s="105"/>
      <c r="Z734" s="105"/>
    </row>
    <row r="735" spans="1:26">
      <c r="A735" s="87" t="str">
        <f t="shared" si="2"/>
        <v/>
      </c>
      <c r="B735" s="2"/>
      <c r="C735" s="87"/>
      <c r="D735" s="87"/>
      <c r="E735" s="87"/>
      <c r="F735" s="87"/>
      <c r="G735" s="87"/>
      <c r="H735" s="87"/>
      <c r="I735" s="87"/>
      <c r="J735" s="102"/>
      <c r="K735" s="103"/>
      <c r="L735" s="104"/>
      <c r="M735" s="95"/>
      <c r="N735" s="95"/>
      <c r="O735" s="95"/>
      <c r="P735" s="105"/>
      <c r="Q735" s="105"/>
      <c r="R735" s="105"/>
      <c r="S735" s="105"/>
      <c r="T735" s="105"/>
      <c r="U735" s="105"/>
      <c r="V735" s="105"/>
      <c r="W735" s="105"/>
      <c r="X735" s="105"/>
      <c r="Y735" s="105"/>
      <c r="Z735" s="105"/>
    </row>
    <row r="736" spans="1:26">
      <c r="A736" s="87" t="str">
        <f t="shared" si="2"/>
        <v/>
      </c>
      <c r="B736" s="2"/>
      <c r="C736" s="87"/>
      <c r="D736" s="87"/>
      <c r="E736" s="87"/>
      <c r="F736" s="87"/>
      <c r="G736" s="87"/>
      <c r="H736" s="87"/>
      <c r="I736" s="87"/>
      <c r="J736" s="102"/>
      <c r="K736" s="103"/>
      <c r="L736" s="104"/>
      <c r="M736" s="95"/>
      <c r="N736" s="95"/>
      <c r="O736" s="95"/>
      <c r="P736" s="105"/>
      <c r="Q736" s="105"/>
      <c r="R736" s="105"/>
      <c r="S736" s="105"/>
      <c r="T736" s="105"/>
      <c r="U736" s="105"/>
      <c r="V736" s="105"/>
      <c r="W736" s="105"/>
      <c r="X736" s="105"/>
      <c r="Y736" s="105"/>
      <c r="Z736" s="105"/>
    </row>
    <row r="737" spans="1:26">
      <c r="A737" s="87" t="str">
        <f t="shared" si="2"/>
        <v/>
      </c>
      <c r="B737" s="2"/>
      <c r="C737" s="87"/>
      <c r="D737" s="87"/>
      <c r="E737" s="87"/>
      <c r="F737" s="87"/>
      <c r="G737" s="87"/>
      <c r="H737" s="87"/>
      <c r="I737" s="87"/>
      <c r="J737" s="102"/>
      <c r="K737" s="103"/>
      <c r="L737" s="104"/>
      <c r="M737" s="95"/>
      <c r="N737" s="95"/>
      <c r="O737" s="95"/>
      <c r="P737" s="105"/>
      <c r="Q737" s="105"/>
      <c r="R737" s="105"/>
      <c r="S737" s="105"/>
      <c r="T737" s="105"/>
      <c r="U737" s="105"/>
      <c r="V737" s="105"/>
      <c r="W737" s="105"/>
      <c r="X737" s="105"/>
      <c r="Y737" s="105"/>
      <c r="Z737" s="105"/>
    </row>
    <row r="738" spans="1:26">
      <c r="A738" s="87" t="str">
        <f t="shared" si="2"/>
        <v/>
      </c>
      <c r="B738" s="2"/>
      <c r="C738" s="87"/>
      <c r="D738" s="87"/>
      <c r="E738" s="87"/>
      <c r="F738" s="87"/>
      <c r="G738" s="87"/>
      <c r="H738" s="87"/>
      <c r="I738" s="87"/>
      <c r="J738" s="102"/>
      <c r="K738" s="103"/>
      <c r="L738" s="104"/>
      <c r="M738" s="95"/>
      <c r="N738" s="95"/>
      <c r="O738" s="95"/>
      <c r="P738" s="105"/>
      <c r="Q738" s="105"/>
      <c r="R738" s="105"/>
      <c r="S738" s="105"/>
      <c r="T738" s="105"/>
      <c r="U738" s="105"/>
      <c r="V738" s="105"/>
      <c r="W738" s="105"/>
      <c r="X738" s="105"/>
      <c r="Y738" s="105"/>
      <c r="Z738" s="105"/>
    </row>
    <row r="739" spans="1:26">
      <c r="A739" s="87" t="str">
        <f t="shared" si="2"/>
        <v/>
      </c>
      <c r="B739" s="2"/>
      <c r="C739" s="87"/>
      <c r="D739" s="87"/>
      <c r="E739" s="87"/>
      <c r="F739" s="87"/>
      <c r="G739" s="87"/>
      <c r="H739" s="87"/>
      <c r="I739" s="87"/>
      <c r="J739" s="102"/>
      <c r="K739" s="103"/>
      <c r="L739" s="104"/>
      <c r="M739" s="95"/>
      <c r="N739" s="95"/>
      <c r="O739" s="95"/>
      <c r="P739" s="105"/>
      <c r="Q739" s="105"/>
      <c r="R739" s="105"/>
      <c r="S739" s="105"/>
      <c r="T739" s="105"/>
      <c r="U739" s="105"/>
      <c r="V739" s="105"/>
      <c r="W739" s="105"/>
      <c r="X739" s="105"/>
      <c r="Y739" s="105"/>
      <c r="Z739" s="105"/>
    </row>
    <row r="740" spans="1:26">
      <c r="A740" s="87" t="str">
        <f t="shared" si="2"/>
        <v/>
      </c>
      <c r="B740" s="2"/>
      <c r="C740" s="87"/>
      <c r="D740" s="87"/>
      <c r="E740" s="87"/>
      <c r="F740" s="87"/>
      <c r="G740" s="87"/>
      <c r="H740" s="87"/>
      <c r="I740" s="87"/>
      <c r="J740" s="102"/>
      <c r="K740" s="103"/>
      <c r="L740" s="104"/>
      <c r="M740" s="95"/>
      <c r="N740" s="95"/>
      <c r="O740" s="95"/>
      <c r="P740" s="105"/>
      <c r="Q740" s="105"/>
      <c r="R740" s="105"/>
      <c r="S740" s="105"/>
      <c r="T740" s="105"/>
      <c r="U740" s="105"/>
      <c r="V740" s="105"/>
      <c r="W740" s="105"/>
      <c r="X740" s="105"/>
      <c r="Y740" s="105"/>
      <c r="Z740" s="105"/>
    </row>
    <row r="741" spans="1:26">
      <c r="A741" s="87" t="str">
        <f t="shared" si="2"/>
        <v/>
      </c>
      <c r="B741" s="2"/>
      <c r="C741" s="87"/>
      <c r="D741" s="87"/>
      <c r="E741" s="87"/>
      <c r="F741" s="87"/>
      <c r="G741" s="87"/>
      <c r="H741" s="87"/>
      <c r="I741" s="87"/>
      <c r="J741" s="102"/>
      <c r="K741" s="103"/>
      <c r="L741" s="104"/>
      <c r="M741" s="95"/>
      <c r="N741" s="95"/>
      <c r="O741" s="95"/>
      <c r="P741" s="105"/>
      <c r="Q741" s="105"/>
      <c r="R741" s="105"/>
      <c r="S741" s="105"/>
      <c r="T741" s="105"/>
      <c r="U741" s="105"/>
      <c r="V741" s="105"/>
      <c r="W741" s="105"/>
      <c r="X741" s="105"/>
      <c r="Y741" s="105"/>
      <c r="Z741" s="105"/>
    </row>
    <row r="742" spans="1:26">
      <c r="A742" s="87" t="str">
        <f t="shared" si="2"/>
        <v/>
      </c>
      <c r="B742" s="2"/>
      <c r="C742" s="87"/>
      <c r="D742" s="87"/>
      <c r="E742" s="87"/>
      <c r="F742" s="87"/>
      <c r="G742" s="87"/>
      <c r="H742" s="87"/>
      <c r="I742" s="87"/>
      <c r="J742" s="102"/>
      <c r="K742" s="103"/>
      <c r="L742" s="104"/>
      <c r="M742" s="95"/>
      <c r="N742" s="95"/>
      <c r="O742" s="95"/>
      <c r="P742" s="105"/>
      <c r="Q742" s="105"/>
      <c r="R742" s="105"/>
      <c r="S742" s="105"/>
      <c r="T742" s="105"/>
      <c r="U742" s="105"/>
      <c r="V742" s="105"/>
      <c r="W742" s="105"/>
      <c r="X742" s="105"/>
      <c r="Y742" s="105"/>
      <c r="Z742" s="105"/>
    </row>
    <row r="743" spans="1:26">
      <c r="A743" s="87" t="str">
        <f t="shared" si="2"/>
        <v/>
      </c>
      <c r="B743" s="2"/>
      <c r="C743" s="87"/>
      <c r="D743" s="87"/>
      <c r="E743" s="87"/>
      <c r="F743" s="87"/>
      <c r="G743" s="87"/>
      <c r="H743" s="87"/>
      <c r="I743" s="87"/>
      <c r="J743" s="102"/>
      <c r="K743" s="103"/>
      <c r="L743" s="104"/>
      <c r="M743" s="95"/>
      <c r="N743" s="95"/>
      <c r="O743" s="95"/>
      <c r="P743" s="105"/>
      <c r="Q743" s="105"/>
      <c r="R743" s="105"/>
      <c r="S743" s="105"/>
      <c r="T743" s="105"/>
      <c r="U743" s="105"/>
      <c r="V743" s="105"/>
      <c r="W743" s="105"/>
      <c r="X743" s="105"/>
      <c r="Y743" s="105"/>
      <c r="Z743" s="105"/>
    </row>
    <row r="744" spans="1:26">
      <c r="A744" s="87" t="str">
        <f t="shared" si="2"/>
        <v/>
      </c>
      <c r="B744" s="2"/>
      <c r="C744" s="87"/>
      <c r="D744" s="87"/>
      <c r="E744" s="87"/>
      <c r="F744" s="87"/>
      <c r="G744" s="87"/>
      <c r="H744" s="87"/>
      <c r="I744" s="87"/>
      <c r="J744" s="102"/>
      <c r="K744" s="103"/>
      <c r="L744" s="104"/>
      <c r="M744" s="95"/>
      <c r="N744" s="95"/>
      <c r="O744" s="95"/>
      <c r="P744" s="105"/>
      <c r="Q744" s="105"/>
      <c r="R744" s="105"/>
      <c r="S744" s="105"/>
      <c r="T744" s="105"/>
      <c r="U744" s="105"/>
      <c r="V744" s="105"/>
      <c r="W744" s="105"/>
      <c r="X744" s="105"/>
      <c r="Y744" s="105"/>
      <c r="Z744" s="105"/>
    </row>
    <row r="745" spans="1:26">
      <c r="A745" s="87" t="str">
        <f t="shared" si="2"/>
        <v/>
      </c>
      <c r="B745" s="2"/>
      <c r="C745" s="87"/>
      <c r="D745" s="87"/>
      <c r="E745" s="87"/>
      <c r="F745" s="87"/>
      <c r="G745" s="87"/>
      <c r="H745" s="87"/>
      <c r="I745" s="87"/>
      <c r="J745" s="102"/>
      <c r="K745" s="103"/>
      <c r="L745" s="104"/>
      <c r="M745" s="95"/>
      <c r="N745" s="95"/>
      <c r="O745" s="95"/>
      <c r="P745" s="105"/>
      <c r="Q745" s="105"/>
      <c r="R745" s="105"/>
      <c r="S745" s="105"/>
      <c r="T745" s="105"/>
      <c r="U745" s="105"/>
      <c r="V745" s="105"/>
      <c r="W745" s="105"/>
      <c r="X745" s="105"/>
      <c r="Y745" s="105"/>
      <c r="Z745" s="105"/>
    </row>
    <row r="746" spans="1:26">
      <c r="A746" s="87" t="str">
        <f t="shared" si="2"/>
        <v/>
      </c>
      <c r="B746" s="2"/>
      <c r="C746" s="87"/>
      <c r="D746" s="87"/>
      <c r="E746" s="87"/>
      <c r="F746" s="87"/>
      <c r="G746" s="87"/>
      <c r="H746" s="87"/>
      <c r="I746" s="87"/>
      <c r="J746" s="102"/>
      <c r="K746" s="103"/>
      <c r="L746" s="104"/>
      <c r="M746" s="95"/>
      <c r="N746" s="95"/>
      <c r="O746" s="95"/>
      <c r="P746" s="105"/>
      <c r="Q746" s="105"/>
      <c r="R746" s="105"/>
      <c r="S746" s="105"/>
      <c r="T746" s="105"/>
      <c r="U746" s="105"/>
      <c r="V746" s="105"/>
      <c r="W746" s="105"/>
      <c r="X746" s="105"/>
      <c r="Y746" s="105"/>
      <c r="Z746" s="105"/>
    </row>
    <row r="747" spans="1:26">
      <c r="A747" s="87" t="str">
        <f t="shared" si="2"/>
        <v/>
      </c>
      <c r="B747" s="2"/>
      <c r="C747" s="87"/>
      <c r="D747" s="87"/>
      <c r="E747" s="87"/>
      <c r="F747" s="87"/>
      <c r="G747" s="87"/>
      <c r="H747" s="87"/>
      <c r="I747" s="87"/>
      <c r="J747" s="102"/>
      <c r="K747" s="103"/>
      <c r="L747" s="104"/>
      <c r="M747" s="95"/>
      <c r="N747" s="95"/>
      <c r="O747" s="95"/>
      <c r="P747" s="105"/>
      <c r="Q747" s="105"/>
      <c r="R747" s="105"/>
      <c r="S747" s="105"/>
      <c r="T747" s="105"/>
      <c r="U747" s="105"/>
      <c r="V747" s="105"/>
      <c r="W747" s="105"/>
      <c r="X747" s="105"/>
      <c r="Y747" s="105"/>
      <c r="Z747" s="105"/>
    </row>
    <row r="748" spans="1:26">
      <c r="A748" s="87" t="str">
        <f t="shared" si="2"/>
        <v/>
      </c>
      <c r="B748" s="2"/>
      <c r="C748" s="87"/>
      <c r="D748" s="87"/>
      <c r="E748" s="87"/>
      <c r="F748" s="87"/>
      <c r="G748" s="87"/>
      <c r="H748" s="87"/>
      <c r="I748" s="87"/>
      <c r="J748" s="102"/>
      <c r="K748" s="103"/>
      <c r="L748" s="104"/>
      <c r="M748" s="95"/>
      <c r="N748" s="95"/>
      <c r="O748" s="95"/>
      <c r="P748" s="105"/>
      <c r="Q748" s="105"/>
      <c r="R748" s="105"/>
      <c r="S748" s="105"/>
      <c r="T748" s="105"/>
      <c r="U748" s="105"/>
      <c r="V748" s="105"/>
      <c r="W748" s="105"/>
      <c r="X748" s="105"/>
      <c r="Y748" s="105"/>
      <c r="Z748" s="105"/>
    </row>
    <row r="749" spans="1:26">
      <c r="A749" s="87" t="str">
        <f t="shared" si="2"/>
        <v/>
      </c>
      <c r="B749" s="2"/>
      <c r="C749" s="87"/>
      <c r="D749" s="87"/>
      <c r="E749" s="87"/>
      <c r="F749" s="87"/>
      <c r="G749" s="87"/>
      <c r="H749" s="87"/>
      <c r="I749" s="87"/>
      <c r="J749" s="102"/>
      <c r="K749" s="103"/>
      <c r="L749" s="104"/>
      <c r="M749" s="95"/>
      <c r="N749" s="95"/>
      <c r="O749" s="95"/>
      <c r="P749" s="105"/>
      <c r="Q749" s="105"/>
      <c r="R749" s="105"/>
      <c r="S749" s="105"/>
      <c r="T749" s="105"/>
      <c r="U749" s="105"/>
      <c r="V749" s="105"/>
      <c r="W749" s="105"/>
      <c r="X749" s="105"/>
      <c r="Y749" s="105"/>
      <c r="Z749" s="105"/>
    </row>
    <row r="750" spans="1:26">
      <c r="A750" s="87" t="str">
        <f t="shared" si="2"/>
        <v/>
      </c>
      <c r="B750" s="2"/>
      <c r="C750" s="87"/>
      <c r="D750" s="87"/>
      <c r="E750" s="87"/>
      <c r="F750" s="87"/>
      <c r="G750" s="87"/>
      <c r="H750" s="87"/>
      <c r="I750" s="87"/>
      <c r="J750" s="102"/>
      <c r="K750" s="103"/>
      <c r="L750" s="104"/>
      <c r="M750" s="95"/>
      <c r="N750" s="95"/>
      <c r="O750" s="95"/>
      <c r="P750" s="105"/>
      <c r="Q750" s="105"/>
      <c r="R750" s="105"/>
      <c r="S750" s="105"/>
      <c r="T750" s="105"/>
      <c r="U750" s="105"/>
      <c r="V750" s="105"/>
      <c r="W750" s="105"/>
      <c r="X750" s="105"/>
      <c r="Y750" s="105"/>
      <c r="Z750" s="105"/>
    </row>
    <row r="751" spans="1:26">
      <c r="A751" s="87" t="str">
        <f t="shared" si="2"/>
        <v/>
      </c>
      <c r="B751" s="2"/>
      <c r="C751" s="87"/>
      <c r="D751" s="87"/>
      <c r="E751" s="87"/>
      <c r="F751" s="87"/>
      <c r="G751" s="87"/>
      <c r="H751" s="87"/>
      <c r="I751" s="87"/>
      <c r="J751" s="102"/>
      <c r="K751" s="103"/>
      <c r="L751" s="104"/>
      <c r="M751" s="95"/>
      <c r="N751" s="95"/>
      <c r="O751" s="95"/>
      <c r="P751" s="105"/>
      <c r="Q751" s="105"/>
      <c r="R751" s="105"/>
      <c r="S751" s="105"/>
      <c r="T751" s="105"/>
      <c r="U751" s="105"/>
      <c r="V751" s="105"/>
      <c r="W751" s="105"/>
      <c r="X751" s="105"/>
      <c r="Y751" s="105"/>
      <c r="Z751" s="105"/>
    </row>
    <row r="752" spans="1:26">
      <c r="A752" s="87" t="str">
        <f t="shared" si="2"/>
        <v/>
      </c>
      <c r="B752" s="2"/>
      <c r="C752" s="87"/>
      <c r="D752" s="87"/>
      <c r="E752" s="87"/>
      <c r="F752" s="87"/>
      <c r="G752" s="87"/>
      <c r="H752" s="87"/>
      <c r="I752" s="87"/>
      <c r="J752" s="102"/>
      <c r="K752" s="103"/>
      <c r="L752" s="104"/>
      <c r="M752" s="95"/>
      <c r="N752" s="95"/>
      <c r="O752" s="95"/>
      <c r="P752" s="105"/>
      <c r="Q752" s="105"/>
      <c r="R752" s="105"/>
      <c r="S752" s="105"/>
      <c r="T752" s="105"/>
      <c r="U752" s="105"/>
      <c r="V752" s="105"/>
      <c r="W752" s="105"/>
      <c r="X752" s="105"/>
      <c r="Y752" s="105"/>
      <c r="Z752" s="105"/>
    </row>
    <row r="753" spans="1:26">
      <c r="A753" s="87" t="str">
        <f t="shared" si="2"/>
        <v/>
      </c>
      <c r="B753" s="2"/>
      <c r="C753" s="87"/>
      <c r="D753" s="87"/>
      <c r="E753" s="87"/>
      <c r="F753" s="87"/>
      <c r="G753" s="87"/>
      <c r="H753" s="87"/>
      <c r="I753" s="87"/>
      <c r="J753" s="102"/>
      <c r="K753" s="103"/>
      <c r="L753" s="104"/>
      <c r="M753" s="95"/>
      <c r="N753" s="95"/>
      <c r="O753" s="95"/>
      <c r="P753" s="105"/>
      <c r="Q753" s="105"/>
      <c r="R753" s="105"/>
      <c r="S753" s="105"/>
      <c r="T753" s="105"/>
      <c r="U753" s="105"/>
      <c r="V753" s="105"/>
      <c r="W753" s="105"/>
      <c r="X753" s="105"/>
      <c r="Y753" s="105"/>
      <c r="Z753" s="105"/>
    </row>
    <row r="754" spans="1:26">
      <c r="A754" s="87" t="str">
        <f t="shared" si="2"/>
        <v/>
      </c>
      <c r="B754" s="2"/>
      <c r="C754" s="87"/>
      <c r="D754" s="87"/>
      <c r="E754" s="87"/>
      <c r="F754" s="87"/>
      <c r="G754" s="87"/>
      <c r="H754" s="87"/>
      <c r="I754" s="87"/>
      <c r="J754" s="102"/>
      <c r="K754" s="103"/>
      <c r="L754" s="104"/>
      <c r="M754" s="95"/>
      <c r="N754" s="95"/>
      <c r="O754" s="95"/>
      <c r="P754" s="105"/>
      <c r="Q754" s="105"/>
      <c r="R754" s="105"/>
      <c r="S754" s="105"/>
      <c r="T754" s="105"/>
      <c r="U754" s="105"/>
      <c r="V754" s="105"/>
      <c r="W754" s="105"/>
      <c r="X754" s="105"/>
      <c r="Y754" s="105"/>
      <c r="Z754" s="105"/>
    </row>
    <row r="755" spans="1:26">
      <c r="A755" s="87" t="str">
        <f t="shared" si="2"/>
        <v/>
      </c>
      <c r="B755" s="2"/>
      <c r="C755" s="87"/>
      <c r="D755" s="87"/>
      <c r="E755" s="87"/>
      <c r="F755" s="87"/>
      <c r="G755" s="87"/>
      <c r="H755" s="87"/>
      <c r="I755" s="87"/>
      <c r="J755" s="102"/>
      <c r="K755" s="103"/>
      <c r="L755" s="104"/>
      <c r="M755" s="95"/>
      <c r="N755" s="95"/>
      <c r="O755" s="95"/>
      <c r="P755" s="105"/>
      <c r="Q755" s="105"/>
      <c r="R755" s="105"/>
      <c r="S755" s="105"/>
      <c r="T755" s="105"/>
      <c r="U755" s="105"/>
      <c r="V755" s="105"/>
      <c r="W755" s="105"/>
      <c r="X755" s="105"/>
      <c r="Y755" s="105"/>
      <c r="Z755" s="105"/>
    </row>
    <row r="756" spans="1:26">
      <c r="A756" s="87" t="str">
        <f t="shared" si="2"/>
        <v/>
      </c>
      <c r="B756" s="2"/>
      <c r="C756" s="87"/>
      <c r="D756" s="87"/>
      <c r="E756" s="87"/>
      <c r="F756" s="87"/>
      <c r="G756" s="87"/>
      <c r="H756" s="87"/>
      <c r="I756" s="87"/>
      <c r="J756" s="102"/>
      <c r="K756" s="103"/>
      <c r="L756" s="104"/>
      <c r="M756" s="95"/>
      <c r="N756" s="95"/>
      <c r="O756" s="95"/>
      <c r="P756" s="105"/>
      <c r="Q756" s="105"/>
      <c r="R756" s="105"/>
      <c r="S756" s="105"/>
      <c r="T756" s="105"/>
      <c r="U756" s="105"/>
      <c r="V756" s="105"/>
      <c r="W756" s="105"/>
      <c r="X756" s="105"/>
      <c r="Y756" s="105"/>
      <c r="Z756" s="105"/>
    </row>
    <row r="757" spans="1:26">
      <c r="A757" s="87" t="str">
        <f t="shared" si="2"/>
        <v/>
      </c>
      <c r="B757" s="2"/>
      <c r="C757" s="87"/>
      <c r="D757" s="87"/>
      <c r="E757" s="87"/>
      <c r="F757" s="87"/>
      <c r="G757" s="87"/>
      <c r="H757" s="87"/>
      <c r="I757" s="87"/>
      <c r="J757" s="102"/>
      <c r="K757" s="103"/>
      <c r="L757" s="104"/>
      <c r="M757" s="95"/>
      <c r="N757" s="95"/>
      <c r="O757" s="95"/>
      <c r="P757" s="105"/>
      <c r="Q757" s="105"/>
      <c r="R757" s="105"/>
      <c r="S757" s="105"/>
      <c r="T757" s="105"/>
      <c r="U757" s="105"/>
      <c r="V757" s="105"/>
      <c r="W757" s="105"/>
      <c r="X757" s="105"/>
      <c r="Y757" s="105"/>
      <c r="Z757" s="105"/>
    </row>
    <row r="758" spans="1:26">
      <c r="A758" s="87" t="str">
        <f t="shared" si="2"/>
        <v/>
      </c>
      <c r="B758" s="2"/>
      <c r="C758" s="87"/>
      <c r="D758" s="87"/>
      <c r="E758" s="87"/>
      <c r="F758" s="87"/>
      <c r="G758" s="87"/>
      <c r="H758" s="87"/>
      <c r="I758" s="87"/>
      <c r="J758" s="102"/>
      <c r="K758" s="103"/>
      <c r="L758" s="104"/>
      <c r="M758" s="95"/>
      <c r="N758" s="95"/>
      <c r="O758" s="95"/>
      <c r="P758" s="105"/>
      <c r="Q758" s="105"/>
      <c r="R758" s="105"/>
      <c r="S758" s="105"/>
      <c r="T758" s="105"/>
      <c r="U758" s="105"/>
      <c r="V758" s="105"/>
      <c r="W758" s="105"/>
      <c r="X758" s="105"/>
      <c r="Y758" s="105"/>
      <c r="Z758" s="105"/>
    </row>
    <row r="759" spans="1:26">
      <c r="A759" s="87" t="str">
        <f t="shared" si="2"/>
        <v/>
      </c>
      <c r="B759" s="2"/>
      <c r="C759" s="87"/>
      <c r="D759" s="87"/>
      <c r="E759" s="87"/>
      <c r="F759" s="87"/>
      <c r="G759" s="87"/>
      <c r="H759" s="87"/>
      <c r="I759" s="87"/>
      <c r="J759" s="102"/>
      <c r="K759" s="103"/>
      <c r="L759" s="104"/>
      <c r="M759" s="95"/>
      <c r="N759" s="95"/>
      <c r="O759" s="95"/>
      <c r="P759" s="105"/>
      <c r="Q759" s="105"/>
      <c r="R759" s="105"/>
      <c r="S759" s="105"/>
      <c r="T759" s="105"/>
      <c r="U759" s="105"/>
      <c r="V759" s="105"/>
      <c r="W759" s="105"/>
      <c r="X759" s="105"/>
      <c r="Y759" s="105"/>
      <c r="Z759" s="105"/>
    </row>
    <row r="760" spans="1:26">
      <c r="A760" s="87" t="str">
        <f t="shared" si="2"/>
        <v/>
      </c>
      <c r="B760" s="2"/>
      <c r="C760" s="87"/>
      <c r="D760" s="87"/>
      <c r="E760" s="87"/>
      <c r="F760" s="87"/>
      <c r="G760" s="87"/>
      <c r="H760" s="87"/>
      <c r="I760" s="87"/>
      <c r="J760" s="102"/>
      <c r="K760" s="103"/>
      <c r="L760" s="104"/>
      <c r="M760" s="95"/>
      <c r="N760" s="95"/>
      <c r="O760" s="95"/>
      <c r="P760" s="105"/>
      <c r="Q760" s="105"/>
      <c r="R760" s="105"/>
      <c r="S760" s="105"/>
      <c r="T760" s="105"/>
      <c r="U760" s="105"/>
      <c r="V760" s="105"/>
      <c r="W760" s="105"/>
      <c r="X760" s="105"/>
      <c r="Y760" s="105"/>
      <c r="Z760" s="105"/>
    </row>
    <row r="761" spans="1:26">
      <c r="A761" s="87" t="str">
        <f t="shared" si="2"/>
        <v/>
      </c>
      <c r="B761" s="2"/>
      <c r="C761" s="87"/>
      <c r="D761" s="87"/>
      <c r="E761" s="87"/>
      <c r="F761" s="87"/>
      <c r="G761" s="87"/>
      <c r="H761" s="87"/>
      <c r="I761" s="87"/>
      <c r="J761" s="102"/>
      <c r="K761" s="103"/>
      <c r="L761" s="104"/>
      <c r="M761" s="95"/>
      <c r="N761" s="95"/>
      <c r="O761" s="95"/>
      <c r="P761" s="105"/>
      <c r="Q761" s="105"/>
      <c r="R761" s="105"/>
      <c r="S761" s="105"/>
      <c r="T761" s="105"/>
      <c r="U761" s="105"/>
      <c r="V761" s="105"/>
      <c r="W761" s="105"/>
      <c r="X761" s="105"/>
      <c r="Y761" s="105"/>
      <c r="Z761" s="105"/>
    </row>
    <row r="762" spans="1:26">
      <c r="A762" s="87" t="str">
        <f t="shared" si="2"/>
        <v/>
      </c>
      <c r="B762" s="2"/>
      <c r="C762" s="87"/>
      <c r="D762" s="87"/>
      <c r="E762" s="87"/>
      <c r="F762" s="87"/>
      <c r="G762" s="87"/>
      <c r="H762" s="87"/>
      <c r="I762" s="87"/>
      <c r="J762" s="102"/>
      <c r="K762" s="103"/>
      <c r="L762" s="104"/>
      <c r="M762" s="95"/>
      <c r="N762" s="95"/>
      <c r="O762" s="95"/>
      <c r="P762" s="105"/>
      <c r="Q762" s="105"/>
      <c r="R762" s="105"/>
      <c r="S762" s="105"/>
      <c r="T762" s="105"/>
      <c r="U762" s="105"/>
      <c r="V762" s="105"/>
      <c r="W762" s="105"/>
      <c r="X762" s="105"/>
      <c r="Y762" s="105"/>
      <c r="Z762" s="105"/>
    </row>
    <row r="763" spans="1:26">
      <c r="A763" s="87" t="str">
        <f t="shared" si="2"/>
        <v/>
      </c>
      <c r="B763" s="2"/>
      <c r="C763" s="87"/>
      <c r="D763" s="87"/>
      <c r="E763" s="87"/>
      <c r="F763" s="87"/>
      <c r="G763" s="87"/>
      <c r="H763" s="87"/>
      <c r="I763" s="87"/>
      <c r="J763" s="102"/>
      <c r="K763" s="103"/>
      <c r="L763" s="104"/>
      <c r="M763" s="95"/>
      <c r="N763" s="95"/>
      <c r="O763" s="95"/>
      <c r="P763" s="105"/>
      <c r="Q763" s="105"/>
      <c r="R763" s="105"/>
      <c r="S763" s="105"/>
      <c r="T763" s="105"/>
      <c r="U763" s="105"/>
      <c r="V763" s="105"/>
      <c r="W763" s="105"/>
      <c r="X763" s="105"/>
      <c r="Y763" s="105"/>
      <c r="Z763" s="105"/>
    </row>
    <row r="764" spans="1:26">
      <c r="A764" s="87" t="str">
        <f t="shared" si="2"/>
        <v/>
      </c>
      <c r="B764" s="2"/>
      <c r="C764" s="87"/>
      <c r="D764" s="87"/>
      <c r="E764" s="87"/>
      <c r="F764" s="87"/>
      <c r="G764" s="87"/>
      <c r="H764" s="87"/>
      <c r="I764" s="87"/>
      <c r="J764" s="102"/>
      <c r="K764" s="103"/>
      <c r="L764" s="104"/>
      <c r="M764" s="95"/>
      <c r="N764" s="95"/>
      <c r="O764" s="95"/>
      <c r="P764" s="105"/>
      <c r="Q764" s="105"/>
      <c r="R764" s="105"/>
      <c r="S764" s="105"/>
      <c r="T764" s="105"/>
      <c r="U764" s="105"/>
      <c r="V764" s="105"/>
      <c r="W764" s="105"/>
      <c r="X764" s="105"/>
      <c r="Y764" s="105"/>
      <c r="Z764" s="105"/>
    </row>
    <row r="765" spans="1:26">
      <c r="A765" s="87" t="str">
        <f t="shared" si="2"/>
        <v/>
      </c>
      <c r="B765" s="2"/>
      <c r="C765" s="87"/>
      <c r="D765" s="87"/>
      <c r="E765" s="87"/>
      <c r="F765" s="87"/>
      <c r="G765" s="87"/>
      <c r="H765" s="87"/>
      <c r="I765" s="87"/>
      <c r="J765" s="102"/>
      <c r="K765" s="103"/>
      <c r="L765" s="104"/>
      <c r="M765" s="95"/>
      <c r="N765" s="95"/>
      <c r="O765" s="95"/>
      <c r="P765" s="105"/>
      <c r="Q765" s="105"/>
      <c r="R765" s="105"/>
      <c r="S765" s="105"/>
      <c r="T765" s="105"/>
      <c r="U765" s="105"/>
      <c r="V765" s="105"/>
      <c r="W765" s="105"/>
      <c r="X765" s="105"/>
      <c r="Y765" s="105"/>
      <c r="Z765" s="105"/>
    </row>
    <row r="766" spans="1:26">
      <c r="A766" s="87" t="str">
        <f t="shared" si="2"/>
        <v/>
      </c>
      <c r="B766" s="2"/>
      <c r="C766" s="87"/>
      <c r="D766" s="87"/>
      <c r="E766" s="87"/>
      <c r="F766" s="87"/>
      <c r="G766" s="87"/>
      <c r="H766" s="87"/>
      <c r="I766" s="87"/>
      <c r="J766" s="102"/>
      <c r="K766" s="103"/>
      <c r="L766" s="104"/>
      <c r="M766" s="95"/>
      <c r="N766" s="95"/>
      <c r="O766" s="95"/>
      <c r="P766" s="105"/>
      <c r="Q766" s="105"/>
      <c r="R766" s="105"/>
      <c r="S766" s="105"/>
      <c r="T766" s="105"/>
      <c r="U766" s="105"/>
      <c r="V766" s="105"/>
      <c r="W766" s="105"/>
      <c r="X766" s="105"/>
      <c r="Y766" s="105"/>
      <c r="Z766" s="105"/>
    </row>
    <row r="767" spans="1:26">
      <c r="A767" s="87" t="str">
        <f t="shared" si="2"/>
        <v/>
      </c>
      <c r="B767" s="2"/>
      <c r="C767" s="87"/>
      <c r="D767" s="87"/>
      <c r="E767" s="87"/>
      <c r="F767" s="87"/>
      <c r="G767" s="87"/>
      <c r="H767" s="87"/>
      <c r="I767" s="87"/>
      <c r="J767" s="102"/>
      <c r="K767" s="103"/>
      <c r="L767" s="104"/>
      <c r="M767" s="95"/>
      <c r="N767" s="95"/>
      <c r="O767" s="95"/>
      <c r="P767" s="105"/>
      <c r="Q767" s="105"/>
      <c r="R767" s="105"/>
      <c r="S767" s="105"/>
      <c r="T767" s="105"/>
      <c r="U767" s="105"/>
      <c r="V767" s="105"/>
      <c r="W767" s="105"/>
      <c r="X767" s="105"/>
      <c r="Y767" s="105"/>
      <c r="Z767" s="105"/>
    </row>
    <row r="768" spans="1:26">
      <c r="A768" s="87" t="str">
        <f t="shared" si="2"/>
        <v/>
      </c>
      <c r="B768" s="2"/>
      <c r="C768" s="87"/>
      <c r="D768" s="87"/>
      <c r="E768" s="87"/>
      <c r="F768" s="87"/>
      <c r="G768" s="87"/>
      <c r="H768" s="87"/>
      <c r="I768" s="87"/>
      <c r="J768" s="102"/>
      <c r="K768" s="103"/>
      <c r="L768" s="104"/>
      <c r="M768" s="95"/>
      <c r="N768" s="95"/>
      <c r="O768" s="95"/>
      <c r="P768" s="105"/>
      <c r="Q768" s="105"/>
      <c r="R768" s="105"/>
      <c r="S768" s="105"/>
      <c r="T768" s="105"/>
      <c r="U768" s="105"/>
      <c r="V768" s="105"/>
      <c r="W768" s="105"/>
      <c r="X768" s="105"/>
      <c r="Y768" s="105"/>
      <c r="Z768" s="105"/>
    </row>
    <row r="769" spans="1:26">
      <c r="A769" s="87" t="str">
        <f t="shared" ref="A769:A994" si="3">IF(B769="","",ROW()-9)</f>
        <v/>
      </c>
      <c r="B769" s="2"/>
      <c r="C769" s="87"/>
      <c r="D769" s="87"/>
      <c r="E769" s="87"/>
      <c r="F769" s="87"/>
      <c r="G769" s="87"/>
      <c r="H769" s="87"/>
      <c r="I769" s="87"/>
      <c r="J769" s="102"/>
      <c r="K769" s="103"/>
      <c r="L769" s="104"/>
      <c r="M769" s="95"/>
      <c r="N769" s="95"/>
      <c r="O769" s="95"/>
      <c r="P769" s="105"/>
      <c r="Q769" s="105"/>
      <c r="R769" s="105"/>
      <c r="S769" s="105"/>
      <c r="T769" s="105"/>
      <c r="U769" s="105"/>
      <c r="V769" s="105"/>
      <c r="W769" s="105"/>
      <c r="X769" s="105"/>
      <c r="Y769" s="105"/>
      <c r="Z769" s="105"/>
    </row>
    <row r="770" spans="1:26">
      <c r="A770" s="87" t="str">
        <f t="shared" si="3"/>
        <v/>
      </c>
      <c r="B770" s="2"/>
      <c r="C770" s="87"/>
      <c r="D770" s="87"/>
      <c r="E770" s="87"/>
      <c r="F770" s="87"/>
      <c r="G770" s="87"/>
      <c r="H770" s="87"/>
      <c r="I770" s="87"/>
      <c r="J770" s="102"/>
      <c r="K770" s="103"/>
      <c r="L770" s="104"/>
      <c r="M770" s="95"/>
      <c r="N770" s="95"/>
      <c r="O770" s="95"/>
      <c r="P770" s="105"/>
      <c r="Q770" s="105"/>
      <c r="R770" s="105"/>
      <c r="S770" s="105"/>
      <c r="T770" s="105"/>
      <c r="U770" s="105"/>
      <c r="V770" s="105"/>
      <c r="W770" s="105"/>
      <c r="X770" s="105"/>
      <c r="Y770" s="105"/>
      <c r="Z770" s="105"/>
    </row>
    <row r="771" spans="1:26">
      <c r="A771" s="87" t="str">
        <f t="shared" si="3"/>
        <v/>
      </c>
      <c r="B771" s="2"/>
      <c r="C771" s="87"/>
      <c r="D771" s="87"/>
      <c r="E771" s="87"/>
      <c r="F771" s="87"/>
      <c r="G771" s="87"/>
      <c r="H771" s="87"/>
      <c r="I771" s="87"/>
      <c r="J771" s="102"/>
      <c r="K771" s="103"/>
      <c r="L771" s="104"/>
      <c r="M771" s="95"/>
      <c r="N771" s="95"/>
      <c r="O771" s="95"/>
      <c r="P771" s="105"/>
      <c r="Q771" s="105"/>
      <c r="R771" s="105"/>
      <c r="S771" s="105"/>
      <c r="T771" s="105"/>
      <c r="U771" s="105"/>
      <c r="V771" s="105"/>
      <c r="W771" s="105"/>
      <c r="X771" s="105"/>
      <c r="Y771" s="105"/>
      <c r="Z771" s="105"/>
    </row>
    <row r="772" spans="1:26">
      <c r="A772" s="87" t="str">
        <f t="shared" si="3"/>
        <v/>
      </c>
      <c r="B772" s="2"/>
      <c r="C772" s="87"/>
      <c r="D772" s="87"/>
      <c r="E772" s="87"/>
      <c r="F772" s="87"/>
      <c r="G772" s="87"/>
      <c r="H772" s="87"/>
      <c r="I772" s="87"/>
      <c r="J772" s="102"/>
      <c r="K772" s="103"/>
      <c r="L772" s="104"/>
      <c r="M772" s="95"/>
      <c r="N772" s="95"/>
      <c r="O772" s="95"/>
      <c r="P772" s="105"/>
      <c r="Q772" s="105"/>
      <c r="R772" s="105"/>
      <c r="S772" s="105"/>
      <c r="T772" s="105"/>
      <c r="U772" s="105"/>
      <c r="V772" s="105"/>
      <c r="W772" s="105"/>
      <c r="X772" s="105"/>
      <c r="Y772" s="105"/>
      <c r="Z772" s="105"/>
    </row>
    <row r="773" spans="1:26">
      <c r="A773" s="87" t="str">
        <f t="shared" si="3"/>
        <v/>
      </c>
      <c r="B773" s="2"/>
      <c r="C773" s="87"/>
      <c r="D773" s="87"/>
      <c r="E773" s="87"/>
      <c r="F773" s="87"/>
      <c r="G773" s="87"/>
      <c r="H773" s="87"/>
      <c r="I773" s="87"/>
      <c r="J773" s="102"/>
      <c r="K773" s="103"/>
      <c r="L773" s="104"/>
      <c r="M773" s="95"/>
      <c r="N773" s="95"/>
      <c r="O773" s="95"/>
      <c r="P773" s="105"/>
      <c r="Q773" s="105"/>
      <c r="R773" s="105"/>
      <c r="S773" s="105"/>
      <c r="T773" s="105"/>
      <c r="U773" s="105"/>
      <c r="V773" s="105"/>
      <c r="W773" s="105"/>
      <c r="X773" s="105"/>
      <c r="Y773" s="105"/>
      <c r="Z773" s="105"/>
    </row>
    <row r="774" spans="1:26">
      <c r="A774" s="87" t="str">
        <f t="shared" si="3"/>
        <v/>
      </c>
      <c r="B774" s="2"/>
      <c r="C774" s="87"/>
      <c r="D774" s="87"/>
      <c r="E774" s="87"/>
      <c r="F774" s="87"/>
      <c r="G774" s="87"/>
      <c r="H774" s="87"/>
      <c r="I774" s="87"/>
      <c r="J774" s="102"/>
      <c r="K774" s="103"/>
      <c r="L774" s="104"/>
      <c r="M774" s="95"/>
      <c r="N774" s="95"/>
      <c r="O774" s="95"/>
      <c r="P774" s="105"/>
      <c r="Q774" s="105"/>
      <c r="R774" s="105"/>
      <c r="S774" s="105"/>
      <c r="T774" s="105"/>
      <c r="U774" s="105"/>
      <c r="V774" s="105"/>
      <c r="W774" s="105"/>
      <c r="X774" s="105"/>
      <c r="Y774" s="105"/>
      <c r="Z774" s="105"/>
    </row>
    <row r="775" spans="1:26">
      <c r="A775" s="87" t="str">
        <f t="shared" si="3"/>
        <v/>
      </c>
      <c r="B775" s="2"/>
      <c r="C775" s="87"/>
      <c r="D775" s="87"/>
      <c r="E775" s="87"/>
      <c r="F775" s="87"/>
      <c r="G775" s="87"/>
      <c r="H775" s="87"/>
      <c r="I775" s="87"/>
      <c r="J775" s="102"/>
      <c r="K775" s="103"/>
      <c r="L775" s="104"/>
      <c r="M775" s="95"/>
      <c r="N775" s="95"/>
      <c r="O775" s="95"/>
      <c r="P775" s="105"/>
      <c r="Q775" s="105"/>
      <c r="R775" s="105"/>
      <c r="S775" s="105"/>
      <c r="T775" s="105"/>
      <c r="U775" s="105"/>
      <c r="V775" s="105"/>
      <c r="W775" s="105"/>
      <c r="X775" s="105"/>
      <c r="Y775" s="105"/>
      <c r="Z775" s="105"/>
    </row>
    <row r="776" spans="1:26">
      <c r="A776" s="87" t="str">
        <f t="shared" si="3"/>
        <v/>
      </c>
      <c r="B776" s="2"/>
      <c r="C776" s="87"/>
      <c r="D776" s="87"/>
      <c r="E776" s="87"/>
      <c r="F776" s="87"/>
      <c r="G776" s="87"/>
      <c r="H776" s="87"/>
      <c r="I776" s="87"/>
      <c r="J776" s="102"/>
      <c r="K776" s="103"/>
      <c r="L776" s="104"/>
      <c r="M776" s="95"/>
      <c r="N776" s="95"/>
      <c r="O776" s="95"/>
      <c r="P776" s="105"/>
      <c r="Q776" s="105"/>
      <c r="R776" s="105"/>
      <c r="S776" s="105"/>
      <c r="T776" s="105"/>
      <c r="U776" s="105"/>
      <c r="V776" s="105"/>
      <c r="W776" s="105"/>
      <c r="X776" s="105"/>
      <c r="Y776" s="105"/>
      <c r="Z776" s="105"/>
    </row>
    <row r="777" spans="1:26">
      <c r="A777" s="87" t="str">
        <f t="shared" si="3"/>
        <v/>
      </c>
      <c r="B777" s="2"/>
      <c r="C777" s="87"/>
      <c r="D777" s="87"/>
      <c r="E777" s="87"/>
      <c r="F777" s="87"/>
      <c r="G777" s="87"/>
      <c r="H777" s="87"/>
      <c r="I777" s="87"/>
      <c r="J777" s="102"/>
      <c r="K777" s="103"/>
      <c r="L777" s="104"/>
      <c r="M777" s="95"/>
      <c r="N777" s="95"/>
      <c r="O777" s="95"/>
      <c r="P777" s="105"/>
      <c r="Q777" s="105"/>
      <c r="R777" s="105"/>
      <c r="S777" s="105"/>
      <c r="T777" s="105"/>
      <c r="U777" s="105"/>
      <c r="V777" s="105"/>
      <c r="W777" s="105"/>
      <c r="X777" s="105"/>
      <c r="Y777" s="105"/>
      <c r="Z777" s="105"/>
    </row>
    <row r="778" spans="1:26">
      <c r="A778" s="87" t="str">
        <f t="shared" si="3"/>
        <v/>
      </c>
      <c r="B778" s="2"/>
      <c r="C778" s="87"/>
      <c r="D778" s="87"/>
      <c r="E778" s="87"/>
      <c r="F778" s="87"/>
      <c r="G778" s="87"/>
      <c r="H778" s="87"/>
      <c r="I778" s="87"/>
      <c r="J778" s="102"/>
      <c r="K778" s="103"/>
      <c r="L778" s="104"/>
      <c r="M778" s="95"/>
      <c r="N778" s="95"/>
      <c r="O778" s="95"/>
      <c r="P778" s="105"/>
      <c r="Q778" s="105"/>
      <c r="R778" s="105"/>
      <c r="S778" s="105"/>
      <c r="T778" s="105"/>
      <c r="U778" s="105"/>
      <c r="V778" s="105"/>
      <c r="W778" s="105"/>
      <c r="X778" s="105"/>
      <c r="Y778" s="105"/>
      <c r="Z778" s="105"/>
    </row>
    <row r="779" spans="1:26">
      <c r="A779" s="87" t="str">
        <f t="shared" si="3"/>
        <v/>
      </c>
      <c r="B779" s="2"/>
      <c r="C779" s="87"/>
      <c r="D779" s="87"/>
      <c r="E779" s="87"/>
      <c r="F779" s="87"/>
      <c r="G779" s="87"/>
      <c r="H779" s="87"/>
      <c r="I779" s="87"/>
      <c r="J779" s="102"/>
      <c r="K779" s="103"/>
      <c r="L779" s="104"/>
      <c r="M779" s="95"/>
      <c r="N779" s="95"/>
      <c r="O779" s="95"/>
      <c r="P779" s="105"/>
      <c r="Q779" s="105"/>
      <c r="R779" s="105"/>
      <c r="S779" s="105"/>
      <c r="T779" s="105"/>
      <c r="U779" s="105"/>
      <c r="V779" s="105"/>
      <c r="W779" s="105"/>
      <c r="X779" s="105"/>
      <c r="Y779" s="105"/>
      <c r="Z779" s="105"/>
    </row>
    <row r="780" spans="1:26">
      <c r="A780" s="87" t="str">
        <f t="shared" si="3"/>
        <v/>
      </c>
      <c r="B780" s="2"/>
      <c r="C780" s="87"/>
      <c r="D780" s="87"/>
      <c r="E780" s="87"/>
      <c r="F780" s="87"/>
      <c r="G780" s="87"/>
      <c r="H780" s="87"/>
      <c r="I780" s="87"/>
      <c r="J780" s="102"/>
      <c r="K780" s="103"/>
      <c r="L780" s="104"/>
      <c r="M780" s="95"/>
      <c r="N780" s="95"/>
      <c r="O780" s="95"/>
      <c r="P780" s="105"/>
      <c r="Q780" s="105"/>
      <c r="R780" s="105"/>
      <c r="S780" s="105"/>
      <c r="T780" s="105"/>
      <c r="U780" s="105"/>
      <c r="V780" s="105"/>
      <c r="W780" s="105"/>
      <c r="X780" s="105"/>
      <c r="Y780" s="105"/>
      <c r="Z780" s="105"/>
    </row>
    <row r="781" spans="1:26">
      <c r="A781" s="87" t="str">
        <f t="shared" si="3"/>
        <v/>
      </c>
      <c r="B781" s="2"/>
      <c r="C781" s="87"/>
      <c r="D781" s="87"/>
      <c r="E781" s="87"/>
      <c r="F781" s="87"/>
      <c r="G781" s="87"/>
      <c r="H781" s="87"/>
      <c r="I781" s="87"/>
      <c r="J781" s="102"/>
      <c r="K781" s="103"/>
      <c r="L781" s="104"/>
      <c r="M781" s="95"/>
      <c r="N781" s="95"/>
      <c r="O781" s="95"/>
      <c r="P781" s="105"/>
      <c r="Q781" s="105"/>
      <c r="R781" s="105"/>
      <c r="S781" s="105"/>
      <c r="T781" s="105"/>
      <c r="U781" s="105"/>
      <c r="V781" s="105"/>
      <c r="W781" s="105"/>
      <c r="X781" s="105"/>
      <c r="Y781" s="105"/>
      <c r="Z781" s="105"/>
    </row>
    <row r="782" spans="1:26">
      <c r="A782" s="87" t="str">
        <f t="shared" si="3"/>
        <v/>
      </c>
      <c r="B782" s="2"/>
      <c r="C782" s="87"/>
      <c r="D782" s="87"/>
      <c r="E782" s="87"/>
      <c r="F782" s="87"/>
      <c r="G782" s="87"/>
      <c r="H782" s="87"/>
      <c r="I782" s="87"/>
      <c r="J782" s="102"/>
      <c r="K782" s="103"/>
      <c r="L782" s="104"/>
      <c r="M782" s="95"/>
      <c r="N782" s="95"/>
      <c r="O782" s="95"/>
      <c r="P782" s="105"/>
      <c r="Q782" s="105"/>
      <c r="R782" s="105"/>
      <c r="S782" s="105"/>
      <c r="T782" s="105"/>
      <c r="U782" s="105"/>
      <c r="V782" s="105"/>
      <c r="W782" s="105"/>
      <c r="X782" s="105"/>
      <c r="Y782" s="105"/>
      <c r="Z782" s="105"/>
    </row>
    <row r="783" spans="1:26">
      <c r="A783" s="87" t="str">
        <f t="shared" si="3"/>
        <v/>
      </c>
      <c r="B783" s="2"/>
      <c r="C783" s="87"/>
      <c r="D783" s="87"/>
      <c r="E783" s="87"/>
      <c r="F783" s="87"/>
      <c r="G783" s="87"/>
      <c r="H783" s="87"/>
      <c r="I783" s="87"/>
      <c r="J783" s="102"/>
      <c r="K783" s="103"/>
      <c r="L783" s="104"/>
      <c r="M783" s="95"/>
      <c r="N783" s="95"/>
      <c r="O783" s="95"/>
      <c r="P783" s="105"/>
      <c r="Q783" s="105"/>
      <c r="R783" s="105"/>
      <c r="S783" s="105"/>
      <c r="T783" s="105"/>
      <c r="U783" s="105"/>
      <c r="V783" s="105"/>
      <c r="W783" s="105"/>
      <c r="X783" s="105"/>
      <c r="Y783" s="105"/>
      <c r="Z783" s="105"/>
    </row>
    <row r="784" spans="1:26">
      <c r="A784" s="87" t="str">
        <f t="shared" si="3"/>
        <v/>
      </c>
      <c r="B784" s="2"/>
      <c r="C784" s="87"/>
      <c r="D784" s="87"/>
      <c r="E784" s="87"/>
      <c r="F784" s="87"/>
      <c r="G784" s="87"/>
      <c r="H784" s="87"/>
      <c r="I784" s="87"/>
      <c r="J784" s="102"/>
      <c r="K784" s="103"/>
      <c r="L784" s="104"/>
      <c r="M784" s="95"/>
      <c r="N784" s="95"/>
      <c r="O784" s="95"/>
      <c r="P784" s="105"/>
      <c r="Q784" s="105"/>
      <c r="R784" s="105"/>
      <c r="S784" s="105"/>
      <c r="T784" s="105"/>
      <c r="U784" s="105"/>
      <c r="V784" s="105"/>
      <c r="W784" s="105"/>
      <c r="X784" s="105"/>
      <c r="Y784" s="105"/>
      <c r="Z784" s="105"/>
    </row>
    <row r="785" spans="1:26">
      <c r="A785" s="87" t="str">
        <f t="shared" si="3"/>
        <v/>
      </c>
      <c r="B785" s="2"/>
      <c r="C785" s="87"/>
      <c r="D785" s="87"/>
      <c r="E785" s="87"/>
      <c r="F785" s="87"/>
      <c r="G785" s="87"/>
      <c r="H785" s="87"/>
      <c r="I785" s="87"/>
      <c r="J785" s="102"/>
      <c r="K785" s="103"/>
      <c r="L785" s="104"/>
      <c r="M785" s="95"/>
      <c r="N785" s="95"/>
      <c r="O785" s="95"/>
      <c r="P785" s="105"/>
      <c r="Q785" s="105"/>
      <c r="R785" s="105"/>
      <c r="S785" s="105"/>
      <c r="T785" s="105"/>
      <c r="U785" s="105"/>
      <c r="V785" s="105"/>
      <c r="W785" s="105"/>
      <c r="X785" s="105"/>
      <c r="Y785" s="105"/>
      <c r="Z785" s="105"/>
    </row>
    <row r="786" spans="1:26">
      <c r="A786" s="87" t="str">
        <f t="shared" si="3"/>
        <v/>
      </c>
      <c r="B786" s="2"/>
      <c r="C786" s="87"/>
      <c r="D786" s="87"/>
      <c r="E786" s="87"/>
      <c r="F786" s="87"/>
      <c r="G786" s="87"/>
      <c r="H786" s="87"/>
      <c r="I786" s="87"/>
      <c r="J786" s="102"/>
      <c r="K786" s="103"/>
      <c r="L786" s="104"/>
      <c r="M786" s="95"/>
      <c r="N786" s="95"/>
      <c r="O786" s="95"/>
      <c r="P786" s="105"/>
      <c r="Q786" s="105"/>
      <c r="R786" s="105"/>
      <c r="S786" s="105"/>
      <c r="T786" s="105"/>
      <c r="U786" s="105"/>
      <c r="V786" s="105"/>
      <c r="W786" s="105"/>
      <c r="X786" s="105"/>
      <c r="Y786" s="105"/>
      <c r="Z786" s="105"/>
    </row>
    <row r="787" spans="1:26">
      <c r="A787" s="87" t="str">
        <f t="shared" si="3"/>
        <v/>
      </c>
      <c r="B787" s="2"/>
      <c r="C787" s="87"/>
      <c r="D787" s="87"/>
      <c r="E787" s="87"/>
      <c r="F787" s="87"/>
      <c r="G787" s="87"/>
      <c r="H787" s="87"/>
      <c r="I787" s="87"/>
      <c r="J787" s="102"/>
      <c r="K787" s="103"/>
      <c r="L787" s="104"/>
      <c r="M787" s="95"/>
      <c r="N787" s="95"/>
      <c r="O787" s="95"/>
      <c r="P787" s="105"/>
      <c r="Q787" s="105"/>
      <c r="R787" s="105"/>
      <c r="S787" s="105"/>
      <c r="T787" s="105"/>
      <c r="U787" s="105"/>
      <c r="V787" s="105"/>
      <c r="W787" s="105"/>
      <c r="X787" s="105"/>
      <c r="Y787" s="105"/>
      <c r="Z787" s="105"/>
    </row>
    <row r="788" spans="1:26">
      <c r="A788" s="87" t="str">
        <f t="shared" si="3"/>
        <v/>
      </c>
      <c r="B788" s="2"/>
      <c r="C788" s="87"/>
      <c r="D788" s="87"/>
      <c r="E788" s="87"/>
      <c r="F788" s="87"/>
      <c r="G788" s="87"/>
      <c r="H788" s="87"/>
      <c r="I788" s="87"/>
      <c r="J788" s="102"/>
      <c r="K788" s="103"/>
      <c r="L788" s="104"/>
      <c r="M788" s="95"/>
      <c r="N788" s="95"/>
      <c r="O788" s="95"/>
      <c r="P788" s="105"/>
      <c r="Q788" s="105"/>
      <c r="R788" s="105"/>
      <c r="S788" s="105"/>
      <c r="T788" s="105"/>
      <c r="U788" s="105"/>
      <c r="V788" s="105"/>
      <c r="W788" s="105"/>
      <c r="X788" s="105"/>
      <c r="Y788" s="105"/>
      <c r="Z788" s="105"/>
    </row>
    <row r="789" spans="1:26">
      <c r="A789" s="87" t="str">
        <f t="shared" si="3"/>
        <v/>
      </c>
      <c r="B789" s="2"/>
      <c r="C789" s="87"/>
      <c r="D789" s="87"/>
      <c r="E789" s="87"/>
      <c r="F789" s="87"/>
      <c r="G789" s="87"/>
      <c r="H789" s="87"/>
      <c r="I789" s="87"/>
      <c r="J789" s="102"/>
      <c r="K789" s="103"/>
      <c r="L789" s="104"/>
      <c r="M789" s="95"/>
      <c r="N789" s="95"/>
      <c r="O789" s="95"/>
      <c r="P789" s="105"/>
      <c r="Q789" s="105"/>
      <c r="R789" s="105"/>
      <c r="S789" s="105"/>
      <c r="T789" s="105"/>
      <c r="U789" s="105"/>
      <c r="V789" s="105"/>
      <c r="W789" s="105"/>
      <c r="X789" s="105"/>
      <c r="Y789" s="105"/>
      <c r="Z789" s="105"/>
    </row>
    <row r="790" spans="1:26">
      <c r="A790" s="87" t="str">
        <f t="shared" si="3"/>
        <v/>
      </c>
      <c r="B790" s="2"/>
      <c r="C790" s="87"/>
      <c r="D790" s="87"/>
      <c r="E790" s="87"/>
      <c r="F790" s="87"/>
      <c r="G790" s="87"/>
      <c r="H790" s="87"/>
      <c r="I790" s="87"/>
      <c r="J790" s="102"/>
      <c r="K790" s="103"/>
      <c r="L790" s="104"/>
      <c r="M790" s="95"/>
      <c r="N790" s="95"/>
      <c r="O790" s="95"/>
      <c r="P790" s="105"/>
      <c r="Q790" s="105"/>
      <c r="R790" s="105"/>
      <c r="S790" s="105"/>
      <c r="T790" s="105"/>
      <c r="U790" s="105"/>
      <c r="V790" s="105"/>
      <c r="W790" s="105"/>
      <c r="X790" s="105"/>
      <c r="Y790" s="105"/>
      <c r="Z790" s="105"/>
    </row>
    <row r="791" spans="1:26">
      <c r="A791" s="87" t="str">
        <f t="shared" si="3"/>
        <v/>
      </c>
      <c r="B791" s="2"/>
      <c r="C791" s="87"/>
      <c r="D791" s="87"/>
      <c r="E791" s="87"/>
      <c r="F791" s="87"/>
      <c r="G791" s="87"/>
      <c r="H791" s="87"/>
      <c r="I791" s="87"/>
      <c r="J791" s="102"/>
      <c r="K791" s="103"/>
      <c r="L791" s="104"/>
      <c r="M791" s="95"/>
      <c r="N791" s="95"/>
      <c r="O791" s="95"/>
      <c r="P791" s="105"/>
      <c r="Q791" s="105"/>
      <c r="R791" s="105"/>
      <c r="S791" s="105"/>
      <c r="T791" s="105"/>
      <c r="U791" s="105"/>
      <c r="V791" s="105"/>
      <c r="W791" s="105"/>
      <c r="X791" s="105"/>
      <c r="Y791" s="105"/>
      <c r="Z791" s="105"/>
    </row>
    <row r="792" spans="1:26">
      <c r="A792" s="87" t="str">
        <f t="shared" si="3"/>
        <v/>
      </c>
      <c r="B792" s="2"/>
      <c r="C792" s="87"/>
      <c r="D792" s="87"/>
      <c r="E792" s="87"/>
      <c r="F792" s="87"/>
      <c r="G792" s="87"/>
      <c r="H792" s="87"/>
      <c r="I792" s="87"/>
      <c r="J792" s="102"/>
      <c r="K792" s="103"/>
      <c r="L792" s="104"/>
      <c r="M792" s="95"/>
      <c r="N792" s="95"/>
      <c r="O792" s="95"/>
      <c r="P792" s="105"/>
      <c r="Q792" s="105"/>
      <c r="R792" s="105"/>
      <c r="S792" s="105"/>
      <c r="T792" s="105"/>
      <c r="U792" s="105"/>
      <c r="V792" s="105"/>
      <c r="W792" s="105"/>
      <c r="X792" s="105"/>
      <c r="Y792" s="105"/>
      <c r="Z792" s="105"/>
    </row>
    <row r="793" spans="1:26">
      <c r="A793" s="87" t="str">
        <f t="shared" si="3"/>
        <v/>
      </c>
      <c r="B793" s="2"/>
      <c r="C793" s="87"/>
      <c r="D793" s="87"/>
      <c r="E793" s="87"/>
      <c r="F793" s="87"/>
      <c r="G793" s="87"/>
      <c r="H793" s="87"/>
      <c r="I793" s="87"/>
      <c r="J793" s="102"/>
      <c r="K793" s="103"/>
      <c r="L793" s="104"/>
      <c r="M793" s="95"/>
      <c r="N793" s="95"/>
      <c r="O793" s="95"/>
      <c r="P793" s="105"/>
      <c r="Q793" s="105"/>
      <c r="R793" s="105"/>
      <c r="S793" s="105"/>
      <c r="T793" s="105"/>
      <c r="U793" s="105"/>
      <c r="V793" s="105"/>
      <c r="W793" s="105"/>
      <c r="X793" s="105"/>
      <c r="Y793" s="105"/>
      <c r="Z793" s="105"/>
    </row>
    <row r="794" spans="1:26">
      <c r="A794" s="87" t="str">
        <f t="shared" si="3"/>
        <v/>
      </c>
      <c r="B794" s="2"/>
      <c r="C794" s="87"/>
      <c r="D794" s="87"/>
      <c r="E794" s="87"/>
      <c r="F794" s="87"/>
      <c r="G794" s="87"/>
      <c r="H794" s="87"/>
      <c r="I794" s="87"/>
      <c r="J794" s="102"/>
      <c r="K794" s="103"/>
      <c r="L794" s="104"/>
      <c r="M794" s="95"/>
      <c r="N794" s="95"/>
      <c r="O794" s="95"/>
      <c r="P794" s="105"/>
      <c r="Q794" s="105"/>
      <c r="R794" s="105"/>
      <c r="S794" s="105"/>
      <c r="T794" s="105"/>
      <c r="U794" s="105"/>
      <c r="V794" s="105"/>
      <c r="W794" s="105"/>
      <c r="X794" s="105"/>
      <c r="Y794" s="105"/>
      <c r="Z794" s="105"/>
    </row>
    <row r="795" spans="1:26">
      <c r="A795" s="87" t="str">
        <f t="shared" si="3"/>
        <v/>
      </c>
      <c r="B795" s="2"/>
      <c r="C795" s="87"/>
      <c r="D795" s="87"/>
      <c r="E795" s="87"/>
      <c r="F795" s="87"/>
      <c r="G795" s="87"/>
      <c r="H795" s="87"/>
      <c r="I795" s="87"/>
      <c r="J795" s="102"/>
      <c r="K795" s="103"/>
      <c r="L795" s="104"/>
      <c r="M795" s="95"/>
      <c r="N795" s="95"/>
      <c r="O795" s="95"/>
      <c r="P795" s="105"/>
      <c r="Q795" s="105"/>
      <c r="R795" s="105"/>
      <c r="S795" s="105"/>
      <c r="T795" s="105"/>
      <c r="U795" s="105"/>
      <c r="V795" s="105"/>
      <c r="W795" s="105"/>
      <c r="X795" s="105"/>
      <c r="Y795" s="105"/>
      <c r="Z795" s="105"/>
    </row>
    <row r="796" spans="1:26">
      <c r="A796" s="87" t="str">
        <f t="shared" si="3"/>
        <v/>
      </c>
      <c r="B796" s="2"/>
      <c r="C796" s="87"/>
      <c r="D796" s="87"/>
      <c r="E796" s="87"/>
      <c r="F796" s="87"/>
      <c r="G796" s="87"/>
      <c r="H796" s="87"/>
      <c r="I796" s="87"/>
      <c r="J796" s="102"/>
      <c r="K796" s="103"/>
      <c r="L796" s="104"/>
      <c r="M796" s="95"/>
      <c r="N796" s="95"/>
      <c r="O796" s="95"/>
      <c r="P796" s="105"/>
      <c r="Q796" s="105"/>
      <c r="R796" s="105"/>
      <c r="S796" s="105"/>
      <c r="T796" s="105"/>
      <c r="U796" s="105"/>
      <c r="V796" s="105"/>
      <c r="W796" s="105"/>
      <c r="X796" s="105"/>
      <c r="Y796" s="105"/>
      <c r="Z796" s="105"/>
    </row>
    <row r="797" spans="1:26">
      <c r="A797" s="87" t="str">
        <f t="shared" si="3"/>
        <v/>
      </c>
      <c r="B797" s="2"/>
      <c r="C797" s="87"/>
      <c r="D797" s="87"/>
      <c r="E797" s="87"/>
      <c r="F797" s="87"/>
      <c r="G797" s="87"/>
      <c r="H797" s="87"/>
      <c r="I797" s="87"/>
      <c r="J797" s="102"/>
      <c r="K797" s="103"/>
      <c r="L797" s="104"/>
      <c r="M797" s="95"/>
      <c r="N797" s="95"/>
      <c r="O797" s="95"/>
      <c r="P797" s="105"/>
      <c r="Q797" s="105"/>
      <c r="R797" s="105"/>
      <c r="S797" s="105"/>
      <c r="T797" s="105"/>
      <c r="U797" s="105"/>
      <c r="V797" s="105"/>
      <c r="W797" s="105"/>
      <c r="X797" s="105"/>
      <c r="Y797" s="105"/>
      <c r="Z797" s="105"/>
    </row>
    <row r="798" spans="1:26">
      <c r="A798" s="87" t="str">
        <f t="shared" si="3"/>
        <v/>
      </c>
      <c r="B798" s="2"/>
      <c r="C798" s="87"/>
      <c r="D798" s="87"/>
      <c r="E798" s="87"/>
      <c r="F798" s="87"/>
      <c r="G798" s="87"/>
      <c r="H798" s="87"/>
      <c r="I798" s="87"/>
      <c r="J798" s="102"/>
      <c r="K798" s="103"/>
      <c r="L798" s="104"/>
      <c r="M798" s="95"/>
      <c r="N798" s="95"/>
      <c r="O798" s="95"/>
      <c r="P798" s="105"/>
      <c r="Q798" s="105"/>
      <c r="R798" s="105"/>
      <c r="S798" s="105"/>
      <c r="T798" s="105"/>
      <c r="U798" s="105"/>
      <c r="V798" s="105"/>
      <c r="W798" s="105"/>
      <c r="X798" s="105"/>
      <c r="Y798" s="105"/>
      <c r="Z798" s="105"/>
    </row>
    <row r="799" spans="1:26">
      <c r="A799" s="87" t="str">
        <f t="shared" si="3"/>
        <v/>
      </c>
      <c r="B799" s="2"/>
      <c r="C799" s="87"/>
      <c r="D799" s="87"/>
      <c r="E799" s="87"/>
      <c r="F799" s="87"/>
      <c r="G799" s="87"/>
      <c r="H799" s="87"/>
      <c r="I799" s="87"/>
      <c r="J799" s="102"/>
      <c r="K799" s="103"/>
      <c r="L799" s="104"/>
      <c r="M799" s="95"/>
      <c r="N799" s="95"/>
      <c r="O799" s="95"/>
      <c r="P799" s="105"/>
      <c r="Q799" s="105"/>
      <c r="R799" s="105"/>
      <c r="S799" s="105"/>
      <c r="T799" s="105"/>
      <c r="U799" s="105"/>
      <c r="V799" s="105"/>
      <c r="W799" s="105"/>
      <c r="X799" s="105"/>
      <c r="Y799" s="105"/>
      <c r="Z799" s="105"/>
    </row>
    <row r="800" spans="1:26">
      <c r="A800" s="87" t="str">
        <f t="shared" si="3"/>
        <v/>
      </c>
      <c r="B800" s="2"/>
      <c r="C800" s="87"/>
      <c r="D800" s="87"/>
      <c r="E800" s="87"/>
      <c r="F800" s="87"/>
      <c r="G800" s="87"/>
      <c r="H800" s="87"/>
      <c r="I800" s="87"/>
      <c r="J800" s="102"/>
      <c r="K800" s="103"/>
      <c r="L800" s="104"/>
      <c r="M800" s="95"/>
      <c r="N800" s="95"/>
      <c r="O800" s="95"/>
      <c r="P800" s="105"/>
      <c r="Q800" s="105"/>
      <c r="R800" s="105"/>
      <c r="S800" s="105"/>
      <c r="T800" s="105"/>
      <c r="U800" s="105"/>
      <c r="V800" s="105"/>
      <c r="W800" s="105"/>
      <c r="X800" s="105"/>
      <c r="Y800" s="105"/>
      <c r="Z800" s="105"/>
    </row>
    <row r="801" spans="1:26">
      <c r="A801" s="87" t="str">
        <f t="shared" si="3"/>
        <v/>
      </c>
      <c r="B801" s="2"/>
      <c r="C801" s="87"/>
      <c r="D801" s="87"/>
      <c r="E801" s="87"/>
      <c r="F801" s="87"/>
      <c r="G801" s="87"/>
      <c r="H801" s="87"/>
      <c r="I801" s="87"/>
      <c r="J801" s="102"/>
      <c r="K801" s="103"/>
      <c r="L801" s="104"/>
      <c r="M801" s="95"/>
      <c r="N801" s="95"/>
      <c r="O801" s="95"/>
      <c r="P801" s="105"/>
      <c r="Q801" s="105"/>
      <c r="R801" s="105"/>
      <c r="S801" s="105"/>
      <c r="T801" s="105"/>
      <c r="U801" s="105"/>
      <c r="V801" s="105"/>
      <c r="W801" s="105"/>
      <c r="X801" s="105"/>
      <c r="Y801" s="105"/>
      <c r="Z801" s="105"/>
    </row>
    <row r="802" spans="1:26">
      <c r="A802" s="87" t="str">
        <f t="shared" si="3"/>
        <v/>
      </c>
      <c r="B802" s="2"/>
      <c r="C802" s="87"/>
      <c r="D802" s="87"/>
      <c r="E802" s="87"/>
      <c r="F802" s="87"/>
      <c r="G802" s="87"/>
      <c r="H802" s="87"/>
      <c r="I802" s="87"/>
      <c r="J802" s="102"/>
      <c r="K802" s="103"/>
      <c r="L802" s="104"/>
      <c r="M802" s="95"/>
      <c r="N802" s="95"/>
      <c r="O802" s="95"/>
      <c r="P802" s="105"/>
      <c r="Q802" s="105"/>
      <c r="R802" s="105"/>
      <c r="S802" s="105"/>
      <c r="T802" s="105"/>
      <c r="U802" s="105"/>
      <c r="V802" s="105"/>
      <c r="W802" s="105"/>
      <c r="X802" s="105"/>
      <c r="Y802" s="105"/>
      <c r="Z802" s="105"/>
    </row>
    <row r="803" spans="1:26">
      <c r="A803" s="87" t="str">
        <f t="shared" si="3"/>
        <v/>
      </c>
      <c r="B803" s="2"/>
      <c r="C803" s="87"/>
      <c r="D803" s="87"/>
      <c r="E803" s="87"/>
      <c r="F803" s="87"/>
      <c r="G803" s="87"/>
      <c r="H803" s="87"/>
      <c r="I803" s="87"/>
      <c r="J803" s="102"/>
      <c r="K803" s="103"/>
      <c r="L803" s="104"/>
      <c r="M803" s="95"/>
      <c r="N803" s="95"/>
      <c r="O803" s="95"/>
      <c r="P803" s="105"/>
      <c r="Q803" s="105"/>
      <c r="R803" s="105"/>
      <c r="S803" s="105"/>
      <c r="T803" s="105"/>
      <c r="U803" s="105"/>
      <c r="V803" s="105"/>
      <c r="W803" s="105"/>
      <c r="X803" s="105"/>
      <c r="Y803" s="105"/>
      <c r="Z803" s="105"/>
    </row>
    <row r="804" spans="1:26">
      <c r="A804" s="87" t="str">
        <f t="shared" si="3"/>
        <v/>
      </c>
      <c r="B804" s="2"/>
      <c r="C804" s="87"/>
      <c r="D804" s="87"/>
      <c r="E804" s="87"/>
      <c r="F804" s="87"/>
      <c r="G804" s="87"/>
      <c r="H804" s="87"/>
      <c r="I804" s="87"/>
      <c r="J804" s="102"/>
      <c r="K804" s="103"/>
      <c r="L804" s="104"/>
      <c r="M804" s="95"/>
      <c r="N804" s="95"/>
      <c r="O804" s="95"/>
      <c r="P804" s="105"/>
      <c r="Q804" s="105"/>
      <c r="R804" s="105"/>
      <c r="S804" s="105"/>
      <c r="T804" s="105"/>
      <c r="U804" s="105"/>
      <c r="V804" s="105"/>
      <c r="W804" s="105"/>
      <c r="X804" s="105"/>
      <c r="Y804" s="105"/>
      <c r="Z804" s="105"/>
    </row>
    <row r="805" spans="1:26">
      <c r="A805" s="87" t="str">
        <f t="shared" si="3"/>
        <v/>
      </c>
      <c r="B805" s="2"/>
      <c r="C805" s="87"/>
      <c r="D805" s="87"/>
      <c r="E805" s="87"/>
      <c r="F805" s="87"/>
      <c r="G805" s="87"/>
      <c r="H805" s="87"/>
      <c r="I805" s="87"/>
      <c r="J805" s="102"/>
      <c r="K805" s="103"/>
      <c r="L805" s="104"/>
      <c r="M805" s="95"/>
      <c r="N805" s="95"/>
      <c r="O805" s="95"/>
      <c r="P805" s="105"/>
      <c r="Q805" s="105"/>
      <c r="R805" s="105"/>
      <c r="S805" s="105"/>
      <c r="T805" s="105"/>
      <c r="U805" s="105"/>
      <c r="V805" s="105"/>
      <c r="W805" s="105"/>
      <c r="X805" s="105"/>
      <c r="Y805" s="105"/>
      <c r="Z805" s="105"/>
    </row>
    <row r="806" spans="1:26">
      <c r="A806" s="87" t="str">
        <f t="shared" si="3"/>
        <v/>
      </c>
      <c r="B806" s="2"/>
      <c r="C806" s="87"/>
      <c r="D806" s="87"/>
      <c r="E806" s="87"/>
      <c r="F806" s="87"/>
      <c r="G806" s="87"/>
      <c r="H806" s="87"/>
      <c r="I806" s="87"/>
      <c r="J806" s="102"/>
      <c r="K806" s="103"/>
      <c r="L806" s="104"/>
      <c r="M806" s="95"/>
      <c r="N806" s="95"/>
      <c r="O806" s="95"/>
      <c r="P806" s="105"/>
      <c r="Q806" s="105"/>
      <c r="R806" s="105"/>
      <c r="S806" s="105"/>
      <c r="T806" s="105"/>
      <c r="U806" s="105"/>
      <c r="V806" s="105"/>
      <c r="W806" s="105"/>
      <c r="X806" s="105"/>
      <c r="Y806" s="105"/>
      <c r="Z806" s="105"/>
    </row>
    <row r="807" spans="1:26">
      <c r="A807" s="87" t="str">
        <f t="shared" si="3"/>
        <v/>
      </c>
      <c r="B807" s="2"/>
      <c r="C807" s="87"/>
      <c r="D807" s="87"/>
      <c r="E807" s="87"/>
      <c r="F807" s="87"/>
      <c r="G807" s="87"/>
      <c r="H807" s="87"/>
      <c r="I807" s="87"/>
      <c r="J807" s="102"/>
      <c r="K807" s="103"/>
      <c r="L807" s="104"/>
      <c r="M807" s="95"/>
      <c r="N807" s="95"/>
      <c r="O807" s="95"/>
      <c r="P807" s="105"/>
      <c r="Q807" s="105"/>
      <c r="R807" s="105"/>
      <c r="S807" s="105"/>
      <c r="T807" s="105"/>
      <c r="U807" s="105"/>
      <c r="V807" s="105"/>
      <c r="W807" s="105"/>
      <c r="X807" s="105"/>
      <c r="Y807" s="105"/>
      <c r="Z807" s="105"/>
    </row>
    <row r="808" spans="1:26">
      <c r="A808" s="87" t="str">
        <f t="shared" si="3"/>
        <v/>
      </c>
      <c r="B808" s="2"/>
      <c r="C808" s="87"/>
      <c r="D808" s="87"/>
      <c r="E808" s="87"/>
      <c r="F808" s="87"/>
      <c r="G808" s="87"/>
      <c r="H808" s="87"/>
      <c r="I808" s="87"/>
      <c r="J808" s="102"/>
      <c r="K808" s="103"/>
      <c r="L808" s="104"/>
      <c r="M808" s="95"/>
      <c r="N808" s="95"/>
      <c r="O808" s="95"/>
      <c r="P808" s="105"/>
      <c r="Q808" s="105"/>
      <c r="R808" s="105"/>
      <c r="S808" s="105"/>
      <c r="T808" s="105"/>
      <c r="U808" s="105"/>
      <c r="V808" s="105"/>
      <c r="W808" s="105"/>
      <c r="X808" s="105"/>
      <c r="Y808" s="105"/>
      <c r="Z808" s="105"/>
    </row>
    <row r="809" spans="1:26">
      <c r="A809" s="87" t="str">
        <f t="shared" si="3"/>
        <v/>
      </c>
      <c r="B809" s="2"/>
      <c r="C809" s="87"/>
      <c r="D809" s="87"/>
      <c r="E809" s="87"/>
      <c r="F809" s="87"/>
      <c r="G809" s="87"/>
      <c r="H809" s="87"/>
      <c r="I809" s="87"/>
      <c r="J809" s="102"/>
      <c r="K809" s="103"/>
      <c r="L809" s="104"/>
      <c r="M809" s="95"/>
      <c r="N809" s="95"/>
      <c r="O809" s="95"/>
      <c r="P809" s="105"/>
      <c r="Q809" s="105"/>
      <c r="R809" s="105"/>
      <c r="S809" s="105"/>
      <c r="T809" s="105"/>
      <c r="U809" s="105"/>
      <c r="V809" s="105"/>
      <c r="W809" s="105"/>
      <c r="X809" s="105"/>
      <c r="Y809" s="105"/>
      <c r="Z809" s="105"/>
    </row>
    <row r="810" spans="1:26">
      <c r="A810" s="87" t="str">
        <f t="shared" si="3"/>
        <v/>
      </c>
      <c r="B810" s="2"/>
      <c r="C810" s="87"/>
      <c r="D810" s="87"/>
      <c r="E810" s="87"/>
      <c r="F810" s="87"/>
      <c r="G810" s="87"/>
      <c r="H810" s="87"/>
      <c r="I810" s="87"/>
      <c r="J810" s="102"/>
      <c r="K810" s="103"/>
      <c r="L810" s="104"/>
      <c r="M810" s="95"/>
      <c r="N810" s="95"/>
      <c r="O810" s="95"/>
      <c r="P810" s="105"/>
      <c r="Q810" s="105"/>
      <c r="R810" s="105"/>
      <c r="S810" s="105"/>
      <c r="T810" s="105"/>
      <c r="U810" s="105"/>
      <c r="V810" s="105"/>
      <c r="W810" s="105"/>
      <c r="X810" s="105"/>
      <c r="Y810" s="105"/>
      <c r="Z810" s="105"/>
    </row>
    <row r="811" spans="1:26">
      <c r="A811" s="87" t="str">
        <f t="shared" si="3"/>
        <v/>
      </c>
      <c r="B811" s="2"/>
      <c r="C811" s="87"/>
      <c r="D811" s="87"/>
      <c r="E811" s="87"/>
      <c r="F811" s="87"/>
      <c r="G811" s="87"/>
      <c r="H811" s="87"/>
      <c r="I811" s="87"/>
      <c r="J811" s="102"/>
      <c r="K811" s="103"/>
      <c r="L811" s="104"/>
      <c r="M811" s="95"/>
      <c r="N811" s="95"/>
      <c r="O811" s="95"/>
      <c r="P811" s="105"/>
      <c r="Q811" s="105"/>
      <c r="R811" s="105"/>
      <c r="S811" s="105"/>
      <c r="T811" s="105"/>
      <c r="U811" s="105"/>
      <c r="V811" s="105"/>
      <c r="W811" s="105"/>
      <c r="X811" s="105"/>
      <c r="Y811" s="105"/>
      <c r="Z811" s="105"/>
    </row>
    <row r="812" spans="1:26">
      <c r="A812" s="87" t="str">
        <f t="shared" si="3"/>
        <v/>
      </c>
      <c r="B812" s="2"/>
      <c r="C812" s="87"/>
      <c r="D812" s="87"/>
      <c r="E812" s="87"/>
      <c r="F812" s="87"/>
      <c r="G812" s="87"/>
      <c r="H812" s="87"/>
      <c r="I812" s="87"/>
      <c r="J812" s="102"/>
      <c r="K812" s="103"/>
      <c r="L812" s="104"/>
      <c r="M812" s="95"/>
      <c r="N812" s="95"/>
      <c r="O812" s="95"/>
      <c r="P812" s="105"/>
      <c r="Q812" s="105"/>
      <c r="R812" s="105"/>
      <c r="S812" s="105"/>
      <c r="T812" s="105"/>
      <c r="U812" s="105"/>
      <c r="V812" s="105"/>
      <c r="W812" s="105"/>
      <c r="X812" s="105"/>
      <c r="Y812" s="105"/>
      <c r="Z812" s="105"/>
    </row>
    <row r="813" spans="1:26">
      <c r="A813" s="87" t="str">
        <f t="shared" si="3"/>
        <v/>
      </c>
      <c r="B813" s="2"/>
      <c r="C813" s="87"/>
      <c r="D813" s="87"/>
      <c r="E813" s="87"/>
      <c r="F813" s="87"/>
      <c r="G813" s="87"/>
      <c r="H813" s="87"/>
      <c r="I813" s="87"/>
      <c r="J813" s="102"/>
      <c r="K813" s="103"/>
      <c r="L813" s="104"/>
      <c r="M813" s="95"/>
      <c r="N813" s="95"/>
      <c r="O813" s="95"/>
      <c r="P813" s="105"/>
      <c r="Q813" s="105"/>
      <c r="R813" s="105"/>
      <c r="S813" s="105"/>
      <c r="T813" s="105"/>
      <c r="U813" s="105"/>
      <c r="V813" s="105"/>
      <c r="W813" s="105"/>
      <c r="X813" s="105"/>
      <c r="Y813" s="105"/>
      <c r="Z813" s="105"/>
    </row>
    <row r="814" spans="1:26">
      <c r="A814" s="87" t="str">
        <f t="shared" si="3"/>
        <v/>
      </c>
      <c r="B814" s="2"/>
      <c r="C814" s="87"/>
      <c r="D814" s="87"/>
      <c r="E814" s="87"/>
      <c r="F814" s="87"/>
      <c r="G814" s="87"/>
      <c r="H814" s="87"/>
      <c r="I814" s="87"/>
      <c r="J814" s="102"/>
      <c r="K814" s="103"/>
      <c r="L814" s="104"/>
      <c r="M814" s="95"/>
      <c r="N814" s="95"/>
      <c r="O814" s="95"/>
      <c r="P814" s="105"/>
      <c r="Q814" s="105"/>
      <c r="R814" s="105"/>
      <c r="S814" s="105"/>
      <c r="T814" s="105"/>
      <c r="U814" s="105"/>
      <c r="V814" s="105"/>
      <c r="W814" s="105"/>
      <c r="X814" s="105"/>
      <c r="Y814" s="105"/>
      <c r="Z814" s="105"/>
    </row>
    <row r="815" spans="1:26">
      <c r="A815" s="87" t="str">
        <f t="shared" si="3"/>
        <v/>
      </c>
      <c r="B815" s="2"/>
      <c r="C815" s="87"/>
      <c r="D815" s="87"/>
      <c r="E815" s="87"/>
      <c r="F815" s="87"/>
      <c r="G815" s="87"/>
      <c r="H815" s="87"/>
      <c r="I815" s="87"/>
      <c r="J815" s="102"/>
      <c r="K815" s="103"/>
      <c r="L815" s="104"/>
      <c r="M815" s="95"/>
      <c r="N815" s="95"/>
      <c r="O815" s="95"/>
      <c r="P815" s="105"/>
      <c r="Q815" s="105"/>
      <c r="R815" s="105"/>
      <c r="S815" s="105"/>
      <c r="T815" s="105"/>
      <c r="U815" s="105"/>
      <c r="V815" s="105"/>
      <c r="W815" s="105"/>
      <c r="X815" s="105"/>
      <c r="Y815" s="105"/>
      <c r="Z815" s="105"/>
    </row>
    <row r="816" spans="1:26">
      <c r="A816" s="87" t="str">
        <f t="shared" si="3"/>
        <v/>
      </c>
      <c r="B816" s="2"/>
      <c r="C816" s="87"/>
      <c r="D816" s="87"/>
      <c r="E816" s="87"/>
      <c r="F816" s="87"/>
      <c r="G816" s="87"/>
      <c r="H816" s="87"/>
      <c r="I816" s="87"/>
      <c r="J816" s="102"/>
      <c r="K816" s="103"/>
      <c r="L816" s="104"/>
      <c r="M816" s="95"/>
      <c r="N816" s="95"/>
      <c r="O816" s="95"/>
      <c r="P816" s="105"/>
      <c r="Q816" s="105"/>
      <c r="R816" s="105"/>
      <c r="S816" s="105"/>
      <c r="T816" s="105"/>
      <c r="U816" s="105"/>
      <c r="V816" s="105"/>
      <c r="W816" s="105"/>
      <c r="X816" s="105"/>
      <c r="Y816" s="105"/>
      <c r="Z816" s="105"/>
    </row>
    <row r="817" spans="1:26">
      <c r="A817" s="87" t="str">
        <f t="shared" si="3"/>
        <v/>
      </c>
      <c r="B817" s="2"/>
      <c r="C817" s="87"/>
      <c r="D817" s="87"/>
      <c r="E817" s="87"/>
      <c r="F817" s="87"/>
      <c r="G817" s="87"/>
      <c r="H817" s="87"/>
      <c r="I817" s="87"/>
      <c r="J817" s="102"/>
      <c r="K817" s="103"/>
      <c r="L817" s="104"/>
      <c r="M817" s="95"/>
      <c r="N817" s="95"/>
      <c r="O817" s="95"/>
      <c r="P817" s="105"/>
      <c r="Q817" s="105"/>
      <c r="R817" s="105"/>
      <c r="S817" s="105"/>
      <c r="T817" s="105"/>
      <c r="U817" s="105"/>
      <c r="V817" s="105"/>
      <c r="W817" s="105"/>
      <c r="X817" s="105"/>
      <c r="Y817" s="105"/>
      <c r="Z817" s="105"/>
    </row>
    <row r="818" spans="1:26">
      <c r="A818" s="87" t="str">
        <f t="shared" si="3"/>
        <v/>
      </c>
      <c r="B818" s="2"/>
      <c r="C818" s="87"/>
      <c r="D818" s="87"/>
      <c r="E818" s="87"/>
      <c r="F818" s="87"/>
      <c r="G818" s="87"/>
      <c r="H818" s="87"/>
      <c r="I818" s="87"/>
      <c r="J818" s="102"/>
      <c r="K818" s="103"/>
      <c r="L818" s="104"/>
      <c r="M818" s="95"/>
      <c r="N818" s="95"/>
      <c r="O818" s="95"/>
      <c r="P818" s="105"/>
      <c r="Q818" s="105"/>
      <c r="R818" s="105"/>
      <c r="S818" s="105"/>
      <c r="T818" s="105"/>
      <c r="U818" s="105"/>
      <c r="V818" s="105"/>
      <c r="W818" s="105"/>
      <c r="X818" s="105"/>
      <c r="Y818" s="105"/>
      <c r="Z818" s="105"/>
    </row>
    <row r="819" spans="1:26">
      <c r="A819" s="87" t="str">
        <f t="shared" si="3"/>
        <v/>
      </c>
      <c r="B819" s="2"/>
      <c r="C819" s="87"/>
      <c r="D819" s="87"/>
      <c r="E819" s="87"/>
      <c r="F819" s="87"/>
      <c r="G819" s="87"/>
      <c r="H819" s="87"/>
      <c r="I819" s="87"/>
      <c r="J819" s="102"/>
      <c r="K819" s="103"/>
      <c r="L819" s="104"/>
      <c r="M819" s="95"/>
      <c r="N819" s="95"/>
      <c r="O819" s="95"/>
      <c r="P819" s="105"/>
      <c r="Q819" s="105"/>
      <c r="R819" s="105"/>
      <c r="S819" s="105"/>
      <c r="T819" s="105"/>
      <c r="U819" s="105"/>
      <c r="V819" s="105"/>
      <c r="W819" s="105"/>
      <c r="X819" s="105"/>
      <c r="Y819" s="105"/>
      <c r="Z819" s="105"/>
    </row>
    <row r="820" spans="1:26">
      <c r="A820" s="87" t="str">
        <f t="shared" si="3"/>
        <v/>
      </c>
      <c r="B820" s="2"/>
      <c r="C820" s="87"/>
      <c r="D820" s="87"/>
      <c r="E820" s="87"/>
      <c r="F820" s="87"/>
      <c r="G820" s="87"/>
      <c r="H820" s="87"/>
      <c r="I820" s="87"/>
      <c r="J820" s="102"/>
      <c r="K820" s="103"/>
      <c r="L820" s="104"/>
      <c r="M820" s="95"/>
      <c r="N820" s="95"/>
      <c r="O820" s="95"/>
      <c r="P820" s="105"/>
      <c r="Q820" s="105"/>
      <c r="R820" s="105"/>
      <c r="S820" s="105"/>
      <c r="T820" s="105"/>
      <c r="U820" s="105"/>
      <c r="V820" s="105"/>
      <c r="W820" s="105"/>
      <c r="X820" s="105"/>
      <c r="Y820" s="105"/>
      <c r="Z820" s="105"/>
    </row>
    <row r="821" spans="1:26">
      <c r="A821" s="87" t="str">
        <f t="shared" si="3"/>
        <v/>
      </c>
      <c r="B821" s="2"/>
      <c r="C821" s="87"/>
      <c r="D821" s="87"/>
      <c r="E821" s="87"/>
      <c r="F821" s="87"/>
      <c r="G821" s="87"/>
      <c r="H821" s="87"/>
      <c r="I821" s="87"/>
      <c r="J821" s="102"/>
      <c r="K821" s="103"/>
      <c r="L821" s="104"/>
      <c r="M821" s="95"/>
      <c r="N821" s="95"/>
      <c r="O821" s="95"/>
      <c r="P821" s="105"/>
      <c r="Q821" s="105"/>
      <c r="R821" s="105"/>
      <c r="S821" s="105"/>
      <c r="T821" s="105"/>
      <c r="U821" s="105"/>
      <c r="V821" s="105"/>
      <c r="W821" s="105"/>
      <c r="X821" s="105"/>
      <c r="Y821" s="105"/>
      <c r="Z821" s="105"/>
    </row>
    <row r="822" spans="1:26">
      <c r="A822" s="87" t="str">
        <f t="shared" si="3"/>
        <v/>
      </c>
      <c r="B822" s="2"/>
      <c r="C822" s="87"/>
      <c r="D822" s="87"/>
      <c r="E822" s="87"/>
      <c r="F822" s="87"/>
      <c r="G822" s="87"/>
      <c r="H822" s="87"/>
      <c r="I822" s="87"/>
      <c r="J822" s="102"/>
      <c r="K822" s="103"/>
      <c r="L822" s="104"/>
      <c r="M822" s="95"/>
      <c r="N822" s="95"/>
      <c r="O822" s="95"/>
      <c r="P822" s="105"/>
      <c r="Q822" s="105"/>
      <c r="R822" s="105"/>
      <c r="S822" s="105"/>
      <c r="T822" s="105"/>
      <c r="U822" s="105"/>
      <c r="V822" s="105"/>
      <c r="W822" s="105"/>
      <c r="X822" s="105"/>
      <c r="Y822" s="105"/>
      <c r="Z822" s="105"/>
    </row>
    <row r="823" spans="1:26">
      <c r="A823" s="87" t="str">
        <f t="shared" si="3"/>
        <v/>
      </c>
      <c r="B823" s="2"/>
      <c r="C823" s="87"/>
      <c r="D823" s="87"/>
      <c r="E823" s="87"/>
      <c r="F823" s="87"/>
      <c r="G823" s="87"/>
      <c r="H823" s="87"/>
      <c r="I823" s="87"/>
      <c r="J823" s="102"/>
      <c r="K823" s="103"/>
      <c r="L823" s="104"/>
      <c r="M823" s="95"/>
      <c r="N823" s="95"/>
      <c r="O823" s="95"/>
      <c r="P823" s="105"/>
      <c r="Q823" s="105"/>
      <c r="R823" s="105"/>
      <c r="S823" s="105"/>
      <c r="T823" s="105"/>
      <c r="U823" s="105"/>
      <c r="V823" s="105"/>
      <c r="W823" s="105"/>
      <c r="X823" s="105"/>
      <c r="Y823" s="105"/>
      <c r="Z823" s="105"/>
    </row>
    <row r="824" spans="1:26">
      <c r="A824" s="87" t="str">
        <f t="shared" si="3"/>
        <v/>
      </c>
      <c r="B824" s="2"/>
      <c r="C824" s="87"/>
      <c r="D824" s="87"/>
      <c r="E824" s="87"/>
      <c r="F824" s="87"/>
      <c r="G824" s="87"/>
      <c r="H824" s="87"/>
      <c r="I824" s="87"/>
      <c r="J824" s="102"/>
      <c r="K824" s="103"/>
      <c r="L824" s="104"/>
      <c r="M824" s="95"/>
      <c r="N824" s="95"/>
      <c r="O824" s="95"/>
      <c r="P824" s="105"/>
      <c r="Q824" s="105"/>
      <c r="R824" s="105"/>
      <c r="S824" s="105"/>
      <c r="T824" s="105"/>
      <c r="U824" s="105"/>
      <c r="V824" s="105"/>
      <c r="W824" s="105"/>
      <c r="X824" s="105"/>
      <c r="Y824" s="105"/>
      <c r="Z824" s="105"/>
    </row>
    <row r="825" spans="1:26">
      <c r="A825" s="87" t="str">
        <f t="shared" si="3"/>
        <v/>
      </c>
      <c r="B825" s="2"/>
      <c r="C825" s="87"/>
      <c r="D825" s="87"/>
      <c r="E825" s="87"/>
      <c r="F825" s="87"/>
      <c r="G825" s="87"/>
      <c r="H825" s="87"/>
      <c r="I825" s="87"/>
      <c r="J825" s="102"/>
      <c r="K825" s="103"/>
      <c r="L825" s="104"/>
      <c r="M825" s="95"/>
      <c r="N825" s="95"/>
      <c r="O825" s="95"/>
      <c r="P825" s="105"/>
      <c r="Q825" s="105"/>
      <c r="R825" s="105"/>
      <c r="S825" s="105"/>
      <c r="T825" s="105"/>
      <c r="U825" s="105"/>
      <c r="V825" s="105"/>
      <c r="W825" s="105"/>
      <c r="X825" s="105"/>
      <c r="Y825" s="105"/>
      <c r="Z825" s="105"/>
    </row>
    <row r="826" spans="1:26">
      <c r="A826" s="87" t="str">
        <f t="shared" si="3"/>
        <v/>
      </c>
      <c r="B826" s="2"/>
      <c r="C826" s="87"/>
      <c r="D826" s="87"/>
      <c r="E826" s="87"/>
      <c r="F826" s="87"/>
      <c r="G826" s="87"/>
      <c r="H826" s="87"/>
      <c r="I826" s="87"/>
      <c r="J826" s="102"/>
      <c r="K826" s="103"/>
      <c r="L826" s="104"/>
      <c r="M826" s="95"/>
      <c r="N826" s="95"/>
      <c r="O826" s="95"/>
      <c r="P826" s="105"/>
      <c r="Q826" s="105"/>
      <c r="R826" s="105"/>
      <c r="S826" s="105"/>
      <c r="T826" s="105"/>
      <c r="U826" s="105"/>
      <c r="V826" s="105"/>
      <c r="W826" s="105"/>
      <c r="X826" s="105"/>
      <c r="Y826" s="105"/>
      <c r="Z826" s="105"/>
    </row>
    <row r="827" spans="1:26">
      <c r="A827" s="87" t="str">
        <f t="shared" si="3"/>
        <v/>
      </c>
      <c r="B827" s="2"/>
      <c r="C827" s="87"/>
      <c r="D827" s="87"/>
      <c r="E827" s="87"/>
      <c r="F827" s="87"/>
      <c r="G827" s="87"/>
      <c r="H827" s="87"/>
      <c r="I827" s="87"/>
      <c r="J827" s="102"/>
      <c r="K827" s="103"/>
      <c r="L827" s="104"/>
      <c r="M827" s="95"/>
      <c r="N827" s="95"/>
      <c r="O827" s="95"/>
      <c r="P827" s="105"/>
      <c r="Q827" s="105"/>
      <c r="R827" s="105"/>
      <c r="S827" s="105"/>
      <c r="T827" s="105"/>
      <c r="U827" s="105"/>
      <c r="V827" s="105"/>
      <c r="W827" s="105"/>
      <c r="X827" s="105"/>
      <c r="Y827" s="105"/>
      <c r="Z827" s="105"/>
    </row>
    <row r="828" spans="1:26">
      <c r="A828" s="87" t="str">
        <f t="shared" si="3"/>
        <v/>
      </c>
      <c r="B828" s="2"/>
      <c r="C828" s="87"/>
      <c r="D828" s="87"/>
      <c r="E828" s="87"/>
      <c r="F828" s="87"/>
      <c r="G828" s="87"/>
      <c r="H828" s="87"/>
      <c r="I828" s="87"/>
      <c r="J828" s="102"/>
      <c r="K828" s="103"/>
      <c r="L828" s="104"/>
      <c r="M828" s="95"/>
      <c r="N828" s="95"/>
      <c r="O828" s="95"/>
      <c r="P828" s="105"/>
      <c r="Q828" s="105"/>
      <c r="R828" s="105"/>
      <c r="S828" s="105"/>
      <c r="T828" s="105"/>
      <c r="U828" s="105"/>
      <c r="V828" s="105"/>
      <c r="W828" s="105"/>
      <c r="X828" s="105"/>
      <c r="Y828" s="105"/>
      <c r="Z828" s="105"/>
    </row>
    <row r="829" spans="1:26">
      <c r="A829" s="87" t="str">
        <f t="shared" si="3"/>
        <v/>
      </c>
      <c r="B829" s="2"/>
      <c r="C829" s="87"/>
      <c r="D829" s="87"/>
      <c r="E829" s="87"/>
      <c r="F829" s="87"/>
      <c r="G829" s="87"/>
      <c r="H829" s="87"/>
      <c r="I829" s="87"/>
      <c r="J829" s="102"/>
      <c r="K829" s="103"/>
      <c r="L829" s="104"/>
      <c r="M829" s="95"/>
      <c r="N829" s="95"/>
      <c r="O829" s="95"/>
      <c r="P829" s="105"/>
      <c r="Q829" s="105"/>
      <c r="R829" s="105"/>
      <c r="S829" s="105"/>
      <c r="T829" s="105"/>
      <c r="U829" s="105"/>
      <c r="V829" s="105"/>
      <c r="W829" s="105"/>
      <c r="X829" s="105"/>
      <c r="Y829" s="105"/>
      <c r="Z829" s="105"/>
    </row>
    <row r="830" spans="1:26">
      <c r="A830" s="87" t="str">
        <f t="shared" si="3"/>
        <v/>
      </c>
      <c r="B830" s="2"/>
      <c r="C830" s="87"/>
      <c r="D830" s="87"/>
      <c r="E830" s="87"/>
      <c r="F830" s="87"/>
      <c r="G830" s="87"/>
      <c r="H830" s="87"/>
      <c r="I830" s="87"/>
      <c r="J830" s="102"/>
      <c r="K830" s="103"/>
      <c r="L830" s="104"/>
      <c r="M830" s="95"/>
      <c r="N830" s="95"/>
      <c r="O830" s="95"/>
      <c r="P830" s="105"/>
      <c r="Q830" s="105"/>
      <c r="R830" s="105"/>
      <c r="S830" s="105"/>
      <c r="T830" s="105"/>
      <c r="U830" s="105"/>
      <c r="V830" s="105"/>
      <c r="W830" s="105"/>
      <c r="X830" s="105"/>
      <c r="Y830" s="105"/>
      <c r="Z830" s="105"/>
    </row>
    <row r="831" spans="1:26">
      <c r="A831" s="87" t="str">
        <f t="shared" si="3"/>
        <v/>
      </c>
      <c r="B831" s="2"/>
      <c r="C831" s="87"/>
      <c r="D831" s="87"/>
      <c r="E831" s="87"/>
      <c r="F831" s="87"/>
      <c r="G831" s="87"/>
      <c r="H831" s="87"/>
      <c r="I831" s="87"/>
      <c r="J831" s="102"/>
      <c r="K831" s="103"/>
      <c r="L831" s="104"/>
      <c r="M831" s="95"/>
      <c r="N831" s="95"/>
      <c r="O831" s="95"/>
      <c r="P831" s="105"/>
      <c r="Q831" s="105"/>
      <c r="R831" s="105"/>
      <c r="S831" s="105"/>
      <c r="T831" s="105"/>
      <c r="U831" s="105"/>
      <c r="V831" s="105"/>
      <c r="W831" s="105"/>
      <c r="X831" s="105"/>
      <c r="Y831" s="105"/>
      <c r="Z831" s="105"/>
    </row>
    <row r="832" spans="1:26">
      <c r="A832" s="87" t="str">
        <f t="shared" si="3"/>
        <v/>
      </c>
      <c r="B832" s="2"/>
      <c r="C832" s="87"/>
      <c r="D832" s="87"/>
      <c r="E832" s="87"/>
      <c r="F832" s="87"/>
      <c r="G832" s="87"/>
      <c r="H832" s="87"/>
      <c r="I832" s="87"/>
      <c r="J832" s="102"/>
      <c r="K832" s="103"/>
      <c r="L832" s="104"/>
      <c r="M832" s="95"/>
      <c r="N832" s="95"/>
      <c r="O832" s="95"/>
      <c r="P832" s="105"/>
      <c r="Q832" s="105"/>
      <c r="R832" s="105"/>
      <c r="S832" s="105"/>
      <c r="T832" s="105"/>
      <c r="U832" s="105"/>
      <c r="V832" s="105"/>
      <c r="W832" s="105"/>
      <c r="X832" s="105"/>
      <c r="Y832" s="105"/>
      <c r="Z832" s="105"/>
    </row>
    <row r="833" spans="1:26">
      <c r="A833" s="87" t="str">
        <f t="shared" si="3"/>
        <v/>
      </c>
      <c r="B833" s="2"/>
      <c r="C833" s="87"/>
      <c r="D833" s="87"/>
      <c r="E833" s="87"/>
      <c r="F833" s="87"/>
      <c r="G833" s="87"/>
      <c r="H833" s="87"/>
      <c r="I833" s="87"/>
      <c r="J833" s="102"/>
      <c r="K833" s="103"/>
      <c r="L833" s="104"/>
      <c r="M833" s="95"/>
      <c r="N833" s="95"/>
      <c r="O833" s="95"/>
      <c r="P833" s="105"/>
      <c r="Q833" s="105"/>
      <c r="R833" s="105"/>
      <c r="S833" s="105"/>
      <c r="T833" s="105"/>
      <c r="U833" s="105"/>
      <c r="V833" s="105"/>
      <c r="W833" s="105"/>
      <c r="X833" s="105"/>
      <c r="Y833" s="105"/>
      <c r="Z833" s="105"/>
    </row>
    <row r="834" spans="1:26">
      <c r="A834" s="87" t="str">
        <f t="shared" si="3"/>
        <v/>
      </c>
      <c r="B834" s="2"/>
      <c r="C834" s="87"/>
      <c r="D834" s="87"/>
      <c r="E834" s="87"/>
      <c r="F834" s="87"/>
      <c r="G834" s="87"/>
      <c r="H834" s="87"/>
      <c r="I834" s="87"/>
      <c r="J834" s="102"/>
      <c r="K834" s="103"/>
      <c r="L834" s="104"/>
      <c r="M834" s="95"/>
      <c r="N834" s="95"/>
      <c r="O834" s="95"/>
      <c r="P834" s="105"/>
      <c r="Q834" s="105"/>
      <c r="R834" s="105"/>
      <c r="S834" s="105"/>
      <c r="T834" s="105"/>
      <c r="U834" s="105"/>
      <c r="V834" s="105"/>
      <c r="W834" s="105"/>
      <c r="X834" s="105"/>
      <c r="Y834" s="105"/>
      <c r="Z834" s="105"/>
    </row>
    <row r="835" spans="1:26">
      <c r="A835" s="87" t="str">
        <f t="shared" si="3"/>
        <v/>
      </c>
      <c r="B835" s="2"/>
      <c r="C835" s="87"/>
      <c r="D835" s="87"/>
      <c r="E835" s="87"/>
      <c r="F835" s="87"/>
      <c r="G835" s="87"/>
      <c r="H835" s="87"/>
      <c r="I835" s="87"/>
      <c r="J835" s="102"/>
      <c r="K835" s="103"/>
      <c r="L835" s="104"/>
      <c r="M835" s="95"/>
      <c r="N835" s="95"/>
      <c r="O835" s="95"/>
      <c r="P835" s="105"/>
      <c r="Q835" s="105"/>
      <c r="R835" s="105"/>
      <c r="S835" s="105"/>
      <c r="T835" s="105"/>
      <c r="U835" s="105"/>
      <c r="V835" s="105"/>
      <c r="W835" s="105"/>
      <c r="X835" s="105"/>
      <c r="Y835" s="105"/>
      <c r="Z835" s="105"/>
    </row>
    <row r="836" spans="1:26">
      <c r="A836" s="87" t="str">
        <f t="shared" si="3"/>
        <v/>
      </c>
      <c r="B836" s="2"/>
      <c r="C836" s="87"/>
      <c r="D836" s="87"/>
      <c r="E836" s="87"/>
      <c r="F836" s="87"/>
      <c r="G836" s="87"/>
      <c r="H836" s="87"/>
      <c r="I836" s="87"/>
      <c r="J836" s="102"/>
      <c r="K836" s="103"/>
      <c r="L836" s="104"/>
      <c r="M836" s="95"/>
      <c r="N836" s="95"/>
      <c r="O836" s="95"/>
      <c r="P836" s="105"/>
      <c r="Q836" s="105"/>
      <c r="R836" s="105"/>
      <c r="S836" s="105"/>
      <c r="T836" s="105"/>
      <c r="U836" s="105"/>
      <c r="V836" s="105"/>
      <c r="W836" s="105"/>
      <c r="X836" s="105"/>
      <c r="Y836" s="105"/>
      <c r="Z836" s="105"/>
    </row>
    <row r="837" spans="1:26">
      <c r="A837" s="87" t="str">
        <f t="shared" si="3"/>
        <v/>
      </c>
      <c r="B837" s="2"/>
      <c r="C837" s="87"/>
      <c r="D837" s="87"/>
      <c r="E837" s="87"/>
      <c r="F837" s="87"/>
      <c r="G837" s="87"/>
      <c r="H837" s="87"/>
      <c r="I837" s="87"/>
      <c r="J837" s="102"/>
      <c r="K837" s="103"/>
      <c r="L837" s="104"/>
      <c r="M837" s="95"/>
      <c r="N837" s="95"/>
      <c r="O837" s="95"/>
      <c r="P837" s="105"/>
      <c r="Q837" s="105"/>
      <c r="R837" s="105"/>
      <c r="S837" s="105"/>
      <c r="T837" s="105"/>
      <c r="U837" s="105"/>
      <c r="V837" s="105"/>
      <c r="W837" s="105"/>
      <c r="X837" s="105"/>
      <c r="Y837" s="105"/>
      <c r="Z837" s="105"/>
    </row>
    <row r="838" spans="1:26">
      <c r="A838" s="87" t="str">
        <f t="shared" si="3"/>
        <v/>
      </c>
      <c r="B838" s="2"/>
      <c r="C838" s="87"/>
      <c r="D838" s="87"/>
      <c r="E838" s="87"/>
      <c r="F838" s="87"/>
      <c r="G838" s="87"/>
      <c r="H838" s="87"/>
      <c r="I838" s="87"/>
      <c r="J838" s="102"/>
      <c r="K838" s="103"/>
      <c r="L838" s="104"/>
      <c r="M838" s="95"/>
      <c r="N838" s="95"/>
      <c r="O838" s="95"/>
      <c r="P838" s="105"/>
      <c r="Q838" s="105"/>
      <c r="R838" s="105"/>
      <c r="S838" s="105"/>
      <c r="T838" s="105"/>
      <c r="U838" s="105"/>
      <c r="V838" s="105"/>
      <c r="W838" s="105"/>
      <c r="X838" s="105"/>
      <c r="Y838" s="105"/>
      <c r="Z838" s="105"/>
    </row>
    <row r="839" spans="1:26">
      <c r="A839" s="87" t="str">
        <f t="shared" si="3"/>
        <v/>
      </c>
      <c r="B839" s="2"/>
      <c r="C839" s="87"/>
      <c r="D839" s="87"/>
      <c r="E839" s="87"/>
      <c r="F839" s="87"/>
      <c r="G839" s="87"/>
      <c r="H839" s="87"/>
      <c r="I839" s="87"/>
      <c r="J839" s="102"/>
      <c r="K839" s="103"/>
      <c r="L839" s="104"/>
      <c r="M839" s="95"/>
      <c r="N839" s="95"/>
      <c r="O839" s="95"/>
      <c r="P839" s="105"/>
      <c r="Q839" s="105"/>
      <c r="R839" s="105"/>
      <c r="S839" s="105"/>
      <c r="T839" s="105"/>
      <c r="U839" s="105"/>
      <c r="V839" s="105"/>
      <c r="W839" s="105"/>
      <c r="X839" s="105"/>
      <c r="Y839" s="105"/>
      <c r="Z839" s="105"/>
    </row>
    <row r="840" spans="1:26">
      <c r="A840" s="87" t="str">
        <f t="shared" si="3"/>
        <v/>
      </c>
      <c r="B840" s="2"/>
      <c r="C840" s="87"/>
      <c r="D840" s="87"/>
      <c r="E840" s="87"/>
      <c r="F840" s="87"/>
      <c r="G840" s="87"/>
      <c r="H840" s="87"/>
      <c r="I840" s="87"/>
      <c r="J840" s="102"/>
      <c r="K840" s="103"/>
      <c r="L840" s="104"/>
      <c r="M840" s="95"/>
      <c r="N840" s="95"/>
      <c r="O840" s="95"/>
      <c r="P840" s="105"/>
      <c r="Q840" s="105"/>
      <c r="R840" s="105"/>
      <c r="S840" s="105"/>
      <c r="T840" s="105"/>
      <c r="U840" s="105"/>
      <c r="V840" s="105"/>
      <c r="W840" s="105"/>
      <c r="X840" s="105"/>
      <c r="Y840" s="105"/>
      <c r="Z840" s="105"/>
    </row>
    <row r="841" spans="1:26">
      <c r="A841" s="87" t="str">
        <f t="shared" si="3"/>
        <v/>
      </c>
      <c r="B841" s="2"/>
      <c r="C841" s="87"/>
      <c r="D841" s="87"/>
      <c r="E841" s="87"/>
      <c r="F841" s="87"/>
      <c r="G841" s="87"/>
      <c r="H841" s="87"/>
      <c r="I841" s="87"/>
      <c r="J841" s="102"/>
      <c r="K841" s="103"/>
      <c r="L841" s="104"/>
      <c r="M841" s="95"/>
      <c r="N841" s="95"/>
      <c r="O841" s="95"/>
      <c r="P841" s="105"/>
      <c r="Q841" s="105"/>
      <c r="R841" s="105"/>
      <c r="S841" s="105"/>
      <c r="T841" s="105"/>
      <c r="U841" s="105"/>
      <c r="V841" s="105"/>
      <c r="W841" s="105"/>
      <c r="X841" s="105"/>
      <c r="Y841" s="105"/>
      <c r="Z841" s="105"/>
    </row>
    <row r="842" spans="1:26">
      <c r="A842" s="87" t="str">
        <f t="shared" si="3"/>
        <v/>
      </c>
      <c r="B842" s="2"/>
      <c r="C842" s="87"/>
      <c r="D842" s="87"/>
      <c r="E842" s="87"/>
      <c r="F842" s="87"/>
      <c r="G842" s="87"/>
      <c r="H842" s="87"/>
      <c r="I842" s="87"/>
      <c r="J842" s="102"/>
      <c r="K842" s="103"/>
      <c r="L842" s="104"/>
      <c r="M842" s="95"/>
      <c r="N842" s="95"/>
      <c r="O842" s="95"/>
      <c r="P842" s="105"/>
      <c r="Q842" s="105"/>
      <c r="R842" s="105"/>
      <c r="S842" s="105"/>
      <c r="T842" s="105"/>
      <c r="U842" s="105"/>
      <c r="V842" s="105"/>
      <c r="W842" s="105"/>
      <c r="X842" s="105"/>
      <c r="Y842" s="105"/>
      <c r="Z842" s="105"/>
    </row>
    <row r="843" spans="1:26">
      <c r="A843" s="87" t="str">
        <f t="shared" si="3"/>
        <v/>
      </c>
      <c r="B843" s="2"/>
      <c r="C843" s="87"/>
      <c r="D843" s="87"/>
      <c r="E843" s="87"/>
      <c r="F843" s="87"/>
      <c r="G843" s="87"/>
      <c r="H843" s="87"/>
      <c r="I843" s="87"/>
      <c r="J843" s="102"/>
      <c r="K843" s="103"/>
      <c r="L843" s="104"/>
      <c r="M843" s="95"/>
      <c r="N843" s="95"/>
      <c r="O843" s="95"/>
      <c r="P843" s="105"/>
      <c r="Q843" s="105"/>
      <c r="R843" s="105"/>
      <c r="S843" s="105"/>
      <c r="T843" s="105"/>
      <c r="U843" s="105"/>
      <c r="V843" s="105"/>
      <c r="W843" s="105"/>
      <c r="X843" s="105"/>
      <c r="Y843" s="105"/>
      <c r="Z843" s="105"/>
    </row>
    <row r="844" spans="1:26">
      <c r="A844" s="87" t="str">
        <f t="shared" si="3"/>
        <v/>
      </c>
      <c r="B844" s="2"/>
      <c r="C844" s="87"/>
      <c r="D844" s="87"/>
      <c r="E844" s="87"/>
      <c r="F844" s="87"/>
      <c r="G844" s="87"/>
      <c r="H844" s="87"/>
      <c r="I844" s="87"/>
      <c r="J844" s="102"/>
      <c r="K844" s="103"/>
      <c r="L844" s="104"/>
      <c r="M844" s="95"/>
      <c r="N844" s="95"/>
      <c r="O844" s="95"/>
      <c r="P844" s="105"/>
      <c r="Q844" s="105"/>
      <c r="R844" s="105"/>
      <c r="S844" s="105"/>
      <c r="T844" s="105"/>
      <c r="U844" s="105"/>
      <c r="V844" s="105"/>
      <c r="W844" s="105"/>
      <c r="X844" s="105"/>
      <c r="Y844" s="105"/>
      <c r="Z844" s="105"/>
    </row>
    <row r="845" spans="1:26">
      <c r="A845" s="87" t="str">
        <f t="shared" si="3"/>
        <v/>
      </c>
      <c r="B845" s="2"/>
      <c r="C845" s="87"/>
      <c r="D845" s="87"/>
      <c r="E845" s="87"/>
      <c r="F845" s="87"/>
      <c r="G845" s="87"/>
      <c r="H845" s="87"/>
      <c r="I845" s="87"/>
      <c r="J845" s="102"/>
      <c r="K845" s="103"/>
      <c r="L845" s="104"/>
      <c r="M845" s="95"/>
      <c r="N845" s="95"/>
      <c r="O845" s="95"/>
      <c r="P845" s="105"/>
      <c r="Q845" s="105"/>
      <c r="R845" s="105"/>
      <c r="S845" s="105"/>
      <c r="T845" s="105"/>
      <c r="U845" s="105"/>
      <c r="V845" s="105"/>
      <c r="W845" s="105"/>
      <c r="X845" s="105"/>
      <c r="Y845" s="105"/>
      <c r="Z845" s="105"/>
    </row>
    <row r="846" spans="1:26">
      <c r="A846" s="87" t="str">
        <f t="shared" si="3"/>
        <v/>
      </c>
      <c r="B846" s="2"/>
      <c r="C846" s="87"/>
      <c r="D846" s="87"/>
      <c r="E846" s="87"/>
      <c r="F846" s="87"/>
      <c r="G846" s="87"/>
      <c r="H846" s="87"/>
      <c r="I846" s="87"/>
      <c r="J846" s="102"/>
      <c r="K846" s="103"/>
      <c r="L846" s="104"/>
      <c r="M846" s="95"/>
      <c r="N846" s="95"/>
      <c r="O846" s="95"/>
      <c r="P846" s="105"/>
      <c r="Q846" s="105"/>
      <c r="R846" s="105"/>
      <c r="S846" s="105"/>
      <c r="T846" s="105"/>
      <c r="U846" s="105"/>
      <c r="V846" s="105"/>
      <c r="W846" s="105"/>
      <c r="X846" s="105"/>
      <c r="Y846" s="105"/>
      <c r="Z846" s="105"/>
    </row>
    <row r="847" spans="1:26">
      <c r="A847" s="87" t="str">
        <f t="shared" si="3"/>
        <v/>
      </c>
      <c r="B847" s="2"/>
      <c r="C847" s="87"/>
      <c r="D847" s="87"/>
      <c r="E847" s="87"/>
      <c r="F847" s="87"/>
      <c r="G847" s="87"/>
      <c r="H847" s="87"/>
      <c r="I847" s="87"/>
      <c r="J847" s="102"/>
      <c r="K847" s="103"/>
      <c r="L847" s="104"/>
      <c r="M847" s="95"/>
      <c r="N847" s="95"/>
      <c r="O847" s="95"/>
      <c r="P847" s="105"/>
      <c r="Q847" s="105"/>
      <c r="R847" s="105"/>
      <c r="S847" s="105"/>
      <c r="T847" s="105"/>
      <c r="U847" s="105"/>
      <c r="V847" s="105"/>
      <c r="W847" s="105"/>
      <c r="X847" s="105"/>
      <c r="Y847" s="105"/>
      <c r="Z847" s="105"/>
    </row>
    <row r="848" spans="1:26">
      <c r="A848" s="87" t="str">
        <f t="shared" si="3"/>
        <v/>
      </c>
      <c r="B848" s="2"/>
      <c r="C848" s="87"/>
      <c r="D848" s="87"/>
      <c r="E848" s="87"/>
      <c r="F848" s="87"/>
      <c r="G848" s="87"/>
      <c r="H848" s="87"/>
      <c r="I848" s="87"/>
      <c r="J848" s="102"/>
      <c r="K848" s="103"/>
      <c r="L848" s="104"/>
      <c r="M848" s="95"/>
      <c r="N848" s="95"/>
      <c r="O848" s="95"/>
      <c r="P848" s="105"/>
      <c r="Q848" s="105"/>
      <c r="R848" s="105"/>
      <c r="S848" s="105"/>
      <c r="T848" s="105"/>
      <c r="U848" s="105"/>
      <c r="V848" s="105"/>
      <c r="W848" s="105"/>
      <c r="X848" s="105"/>
      <c r="Y848" s="105"/>
      <c r="Z848" s="105"/>
    </row>
    <row r="849" spans="1:26">
      <c r="A849" s="87" t="str">
        <f t="shared" si="3"/>
        <v/>
      </c>
      <c r="B849" s="2"/>
      <c r="C849" s="87"/>
      <c r="D849" s="87"/>
      <c r="E849" s="87"/>
      <c r="F849" s="87"/>
      <c r="G849" s="87"/>
      <c r="H849" s="87"/>
      <c r="I849" s="87"/>
      <c r="J849" s="102"/>
      <c r="K849" s="103"/>
      <c r="L849" s="104"/>
      <c r="M849" s="95"/>
      <c r="N849" s="95"/>
      <c r="O849" s="95"/>
      <c r="P849" s="105"/>
      <c r="Q849" s="105"/>
      <c r="R849" s="105"/>
      <c r="S849" s="105"/>
      <c r="T849" s="105"/>
      <c r="U849" s="105"/>
      <c r="V849" s="105"/>
      <c r="W849" s="105"/>
      <c r="X849" s="105"/>
      <c r="Y849" s="105"/>
      <c r="Z849" s="105"/>
    </row>
    <row r="850" spans="1:26">
      <c r="A850" s="87" t="str">
        <f t="shared" si="3"/>
        <v/>
      </c>
      <c r="B850" s="2"/>
      <c r="C850" s="87"/>
      <c r="D850" s="87"/>
      <c r="E850" s="87"/>
      <c r="F850" s="87"/>
      <c r="G850" s="87"/>
      <c r="H850" s="87"/>
      <c r="I850" s="87"/>
      <c r="J850" s="102"/>
      <c r="K850" s="103"/>
      <c r="L850" s="104"/>
      <c r="M850" s="95"/>
      <c r="N850" s="95"/>
      <c r="O850" s="95"/>
      <c r="P850" s="105"/>
      <c r="Q850" s="105"/>
      <c r="R850" s="105"/>
      <c r="S850" s="105"/>
      <c r="T850" s="105"/>
      <c r="U850" s="105"/>
      <c r="V850" s="105"/>
      <c r="W850" s="105"/>
      <c r="X850" s="105"/>
      <c r="Y850" s="105"/>
      <c r="Z850" s="105"/>
    </row>
    <row r="851" spans="1:26">
      <c r="A851" s="87" t="str">
        <f t="shared" si="3"/>
        <v/>
      </c>
      <c r="B851" s="2"/>
      <c r="C851" s="87"/>
      <c r="D851" s="87"/>
      <c r="E851" s="87"/>
      <c r="F851" s="87"/>
      <c r="G851" s="87"/>
      <c r="H851" s="87"/>
      <c r="I851" s="87"/>
      <c r="J851" s="102"/>
      <c r="K851" s="103"/>
      <c r="L851" s="104"/>
      <c r="M851" s="95"/>
      <c r="N851" s="95"/>
      <c r="O851" s="95"/>
      <c r="P851" s="105"/>
      <c r="Q851" s="105"/>
      <c r="R851" s="105"/>
      <c r="S851" s="105"/>
      <c r="T851" s="105"/>
      <c r="U851" s="105"/>
      <c r="V851" s="105"/>
      <c r="W851" s="105"/>
      <c r="X851" s="105"/>
      <c r="Y851" s="105"/>
      <c r="Z851" s="105"/>
    </row>
    <row r="852" spans="1:26">
      <c r="A852" s="87" t="str">
        <f t="shared" si="3"/>
        <v/>
      </c>
      <c r="B852" s="2"/>
      <c r="C852" s="87"/>
      <c r="D852" s="87"/>
      <c r="E852" s="87"/>
      <c r="F852" s="87"/>
      <c r="G852" s="87"/>
      <c r="H852" s="87"/>
      <c r="I852" s="87"/>
      <c r="J852" s="102"/>
      <c r="K852" s="103"/>
      <c r="L852" s="104"/>
      <c r="M852" s="95"/>
      <c r="N852" s="95"/>
      <c r="O852" s="95"/>
      <c r="P852" s="105"/>
      <c r="Q852" s="105"/>
      <c r="R852" s="105"/>
      <c r="S852" s="105"/>
      <c r="T852" s="105"/>
      <c r="U852" s="105"/>
      <c r="V852" s="105"/>
      <c r="W852" s="105"/>
      <c r="X852" s="105"/>
      <c r="Y852" s="105"/>
      <c r="Z852" s="105"/>
    </row>
    <row r="853" spans="1:26">
      <c r="A853" s="87" t="str">
        <f t="shared" si="3"/>
        <v/>
      </c>
      <c r="B853" s="2"/>
      <c r="C853" s="87"/>
      <c r="D853" s="87"/>
      <c r="E853" s="87"/>
      <c r="F853" s="87"/>
      <c r="G853" s="87"/>
      <c r="H853" s="87"/>
      <c r="I853" s="87"/>
      <c r="J853" s="102"/>
      <c r="K853" s="103"/>
      <c r="L853" s="104"/>
      <c r="M853" s="95"/>
      <c r="N853" s="95"/>
      <c r="O853" s="95"/>
      <c r="P853" s="105"/>
      <c r="Q853" s="105"/>
      <c r="R853" s="105"/>
      <c r="S853" s="105"/>
      <c r="T853" s="105"/>
      <c r="U853" s="105"/>
      <c r="V853" s="105"/>
      <c r="W853" s="105"/>
      <c r="X853" s="105"/>
      <c r="Y853" s="105"/>
      <c r="Z853" s="105"/>
    </row>
    <row r="854" spans="1:26">
      <c r="A854" s="87" t="str">
        <f t="shared" si="3"/>
        <v/>
      </c>
      <c r="B854" s="2"/>
      <c r="C854" s="87"/>
      <c r="D854" s="87"/>
      <c r="E854" s="87"/>
      <c r="F854" s="87"/>
      <c r="G854" s="87"/>
      <c r="H854" s="87"/>
      <c r="I854" s="87"/>
      <c r="J854" s="102"/>
      <c r="K854" s="103"/>
      <c r="L854" s="104"/>
      <c r="M854" s="95"/>
      <c r="N854" s="95"/>
      <c r="O854" s="95"/>
      <c r="P854" s="105"/>
      <c r="Q854" s="105"/>
      <c r="R854" s="105"/>
      <c r="S854" s="105"/>
      <c r="T854" s="105"/>
      <c r="U854" s="105"/>
      <c r="V854" s="105"/>
      <c r="W854" s="105"/>
      <c r="X854" s="105"/>
      <c r="Y854" s="105"/>
      <c r="Z854" s="105"/>
    </row>
    <row r="855" spans="1:26">
      <c r="A855" s="87" t="str">
        <f t="shared" si="3"/>
        <v/>
      </c>
      <c r="B855" s="2"/>
      <c r="C855" s="87"/>
      <c r="D855" s="87"/>
      <c r="E855" s="87"/>
      <c r="F855" s="87"/>
      <c r="G855" s="87"/>
      <c r="H855" s="87"/>
      <c r="I855" s="87"/>
      <c r="J855" s="102"/>
      <c r="K855" s="103"/>
      <c r="L855" s="104"/>
      <c r="M855" s="95"/>
      <c r="N855" s="95"/>
      <c r="O855" s="95"/>
      <c r="P855" s="105"/>
      <c r="Q855" s="105"/>
      <c r="R855" s="105"/>
      <c r="S855" s="105"/>
      <c r="T855" s="105"/>
      <c r="U855" s="105"/>
      <c r="V855" s="105"/>
      <c r="W855" s="105"/>
      <c r="X855" s="105"/>
      <c r="Y855" s="105"/>
      <c r="Z855" s="105"/>
    </row>
    <row r="856" spans="1:26">
      <c r="A856" s="87" t="str">
        <f t="shared" si="3"/>
        <v/>
      </c>
      <c r="B856" s="2"/>
      <c r="C856" s="87"/>
      <c r="D856" s="87"/>
      <c r="E856" s="87"/>
      <c r="F856" s="87"/>
      <c r="G856" s="87"/>
      <c r="H856" s="87"/>
      <c r="I856" s="87"/>
      <c r="J856" s="102"/>
      <c r="K856" s="103"/>
      <c r="L856" s="104"/>
      <c r="M856" s="95"/>
      <c r="N856" s="95"/>
      <c r="O856" s="95"/>
      <c r="P856" s="105"/>
      <c r="Q856" s="105"/>
      <c r="R856" s="105"/>
      <c r="S856" s="105"/>
      <c r="T856" s="105"/>
      <c r="U856" s="105"/>
      <c r="V856" s="105"/>
      <c r="W856" s="105"/>
      <c r="X856" s="105"/>
      <c r="Y856" s="105"/>
      <c r="Z856" s="105"/>
    </row>
    <row r="857" spans="1:26">
      <c r="A857" s="87" t="str">
        <f t="shared" si="3"/>
        <v/>
      </c>
      <c r="B857" s="2"/>
      <c r="C857" s="87"/>
      <c r="D857" s="87"/>
      <c r="E857" s="87"/>
      <c r="F857" s="87"/>
      <c r="G857" s="87"/>
      <c r="H857" s="87"/>
      <c r="I857" s="87"/>
      <c r="J857" s="102"/>
      <c r="K857" s="103"/>
      <c r="L857" s="104"/>
      <c r="M857" s="95"/>
      <c r="N857" s="95"/>
      <c r="O857" s="95"/>
      <c r="P857" s="105"/>
      <c r="Q857" s="105"/>
      <c r="R857" s="105"/>
      <c r="S857" s="105"/>
      <c r="T857" s="105"/>
      <c r="U857" s="105"/>
      <c r="V857" s="105"/>
      <c r="W857" s="105"/>
      <c r="X857" s="105"/>
      <c r="Y857" s="105"/>
      <c r="Z857" s="105"/>
    </row>
    <row r="858" spans="1:26">
      <c r="A858" s="87" t="str">
        <f t="shared" si="3"/>
        <v/>
      </c>
      <c r="B858" s="2"/>
      <c r="C858" s="87"/>
      <c r="D858" s="87"/>
      <c r="E858" s="87"/>
      <c r="F858" s="87"/>
      <c r="G858" s="87"/>
      <c r="H858" s="87"/>
      <c r="I858" s="87"/>
      <c r="J858" s="102"/>
      <c r="K858" s="103"/>
      <c r="L858" s="104"/>
      <c r="M858" s="95"/>
      <c r="N858" s="95"/>
      <c r="O858" s="95"/>
      <c r="P858" s="105"/>
      <c r="Q858" s="105"/>
      <c r="R858" s="105"/>
      <c r="S858" s="105"/>
      <c r="T858" s="105"/>
      <c r="U858" s="105"/>
      <c r="V858" s="105"/>
      <c r="W858" s="105"/>
      <c r="X858" s="105"/>
      <c r="Y858" s="105"/>
      <c r="Z858" s="105"/>
    </row>
    <row r="859" spans="1:26">
      <c r="A859" s="87" t="str">
        <f t="shared" si="3"/>
        <v/>
      </c>
      <c r="B859" s="2"/>
      <c r="C859" s="87"/>
      <c r="D859" s="87"/>
      <c r="E859" s="87"/>
      <c r="F859" s="87"/>
      <c r="G859" s="87"/>
      <c r="H859" s="87"/>
      <c r="I859" s="87"/>
      <c r="J859" s="102"/>
      <c r="K859" s="103"/>
      <c r="L859" s="104"/>
      <c r="M859" s="95"/>
      <c r="N859" s="95"/>
      <c r="O859" s="95"/>
      <c r="P859" s="105"/>
      <c r="Q859" s="105"/>
      <c r="R859" s="105"/>
      <c r="S859" s="105"/>
      <c r="T859" s="105"/>
      <c r="U859" s="105"/>
      <c r="V859" s="105"/>
      <c r="W859" s="105"/>
      <c r="X859" s="105"/>
      <c r="Y859" s="105"/>
      <c r="Z859" s="105"/>
    </row>
    <row r="860" spans="1:26">
      <c r="A860" s="87" t="str">
        <f t="shared" si="3"/>
        <v/>
      </c>
      <c r="B860" s="2"/>
      <c r="C860" s="87"/>
      <c r="D860" s="87"/>
      <c r="E860" s="87"/>
      <c r="F860" s="87"/>
      <c r="G860" s="87"/>
      <c r="H860" s="87"/>
      <c r="I860" s="87"/>
      <c r="J860" s="102"/>
      <c r="K860" s="103"/>
      <c r="L860" s="104"/>
      <c r="M860" s="95"/>
      <c r="N860" s="95"/>
      <c r="O860" s="95"/>
      <c r="P860" s="105"/>
      <c r="Q860" s="105"/>
      <c r="R860" s="105"/>
      <c r="S860" s="105"/>
      <c r="T860" s="105"/>
      <c r="U860" s="105"/>
      <c r="V860" s="105"/>
      <c r="W860" s="105"/>
      <c r="X860" s="105"/>
      <c r="Y860" s="105"/>
      <c r="Z860" s="105"/>
    </row>
    <row r="861" spans="1:26">
      <c r="A861" s="87" t="str">
        <f t="shared" si="3"/>
        <v/>
      </c>
      <c r="B861" s="2"/>
      <c r="C861" s="87"/>
      <c r="D861" s="87"/>
      <c r="E861" s="87"/>
      <c r="F861" s="87"/>
      <c r="G861" s="87"/>
      <c r="H861" s="87"/>
      <c r="I861" s="87"/>
      <c r="J861" s="102"/>
      <c r="K861" s="103"/>
      <c r="L861" s="104"/>
      <c r="M861" s="95"/>
      <c r="N861" s="95"/>
      <c r="O861" s="95"/>
      <c r="P861" s="105"/>
      <c r="Q861" s="105"/>
      <c r="R861" s="105"/>
      <c r="S861" s="105"/>
      <c r="T861" s="105"/>
      <c r="U861" s="105"/>
      <c r="V861" s="105"/>
      <c r="W861" s="105"/>
      <c r="X861" s="105"/>
      <c r="Y861" s="105"/>
      <c r="Z861" s="105"/>
    </row>
    <row r="862" spans="1:26">
      <c r="A862" s="87" t="str">
        <f t="shared" si="3"/>
        <v/>
      </c>
      <c r="B862" s="2"/>
      <c r="C862" s="87"/>
      <c r="D862" s="87"/>
      <c r="E862" s="87"/>
      <c r="F862" s="87"/>
      <c r="G862" s="87"/>
      <c r="H862" s="87"/>
      <c r="I862" s="87"/>
      <c r="J862" s="102"/>
      <c r="K862" s="103"/>
      <c r="L862" s="104"/>
      <c r="M862" s="95"/>
      <c r="N862" s="95"/>
      <c r="O862" s="95"/>
      <c r="P862" s="105"/>
      <c r="Q862" s="105"/>
      <c r="R862" s="105"/>
      <c r="S862" s="105"/>
      <c r="T862" s="105"/>
      <c r="U862" s="105"/>
      <c r="V862" s="105"/>
      <c r="W862" s="105"/>
      <c r="X862" s="105"/>
      <c r="Y862" s="105"/>
      <c r="Z862" s="105"/>
    </row>
    <row r="863" spans="1:26">
      <c r="A863" s="87" t="str">
        <f t="shared" si="3"/>
        <v/>
      </c>
      <c r="B863" s="2"/>
      <c r="C863" s="87"/>
      <c r="D863" s="87"/>
      <c r="E863" s="87"/>
      <c r="F863" s="87"/>
      <c r="G863" s="87"/>
      <c r="H863" s="87"/>
      <c r="I863" s="87"/>
      <c r="J863" s="102"/>
      <c r="K863" s="103"/>
      <c r="L863" s="104"/>
      <c r="M863" s="95"/>
      <c r="N863" s="95"/>
      <c r="O863" s="95"/>
      <c r="P863" s="105"/>
      <c r="Q863" s="105"/>
      <c r="R863" s="105"/>
      <c r="S863" s="105"/>
      <c r="T863" s="105"/>
      <c r="U863" s="105"/>
      <c r="V863" s="105"/>
      <c r="W863" s="105"/>
      <c r="X863" s="105"/>
      <c r="Y863" s="105"/>
      <c r="Z863" s="105"/>
    </row>
    <row r="864" spans="1:26">
      <c r="A864" s="87" t="str">
        <f t="shared" si="3"/>
        <v/>
      </c>
      <c r="B864" s="2"/>
      <c r="C864" s="87"/>
      <c r="D864" s="87"/>
      <c r="E864" s="87"/>
      <c r="F864" s="87"/>
      <c r="G864" s="87"/>
      <c r="H864" s="87"/>
      <c r="I864" s="87"/>
      <c r="J864" s="102"/>
      <c r="K864" s="103"/>
      <c r="L864" s="104"/>
      <c r="M864" s="95"/>
      <c r="N864" s="95"/>
      <c r="O864" s="95"/>
      <c r="P864" s="105"/>
      <c r="Q864" s="105"/>
      <c r="R864" s="105"/>
      <c r="S864" s="105"/>
      <c r="T864" s="105"/>
      <c r="U864" s="105"/>
      <c r="V864" s="105"/>
      <c r="W864" s="105"/>
      <c r="X864" s="105"/>
      <c r="Y864" s="105"/>
      <c r="Z864" s="105"/>
    </row>
    <row r="865" spans="1:26">
      <c r="A865" s="87" t="str">
        <f t="shared" si="3"/>
        <v/>
      </c>
      <c r="B865" s="2"/>
      <c r="C865" s="87"/>
      <c r="D865" s="87"/>
      <c r="E865" s="87"/>
      <c r="F865" s="87"/>
      <c r="G865" s="87"/>
      <c r="H865" s="87"/>
      <c r="I865" s="87"/>
      <c r="J865" s="102"/>
      <c r="K865" s="103"/>
      <c r="L865" s="104"/>
      <c r="M865" s="95"/>
      <c r="N865" s="95"/>
      <c r="O865" s="95"/>
      <c r="P865" s="105"/>
      <c r="Q865" s="105"/>
      <c r="R865" s="105"/>
      <c r="S865" s="105"/>
      <c r="T865" s="105"/>
      <c r="U865" s="105"/>
      <c r="V865" s="105"/>
      <c r="W865" s="105"/>
      <c r="X865" s="105"/>
      <c r="Y865" s="105"/>
      <c r="Z865" s="105"/>
    </row>
    <row r="866" spans="1:26">
      <c r="A866" s="87" t="str">
        <f t="shared" si="3"/>
        <v/>
      </c>
      <c r="B866" s="2"/>
      <c r="C866" s="87"/>
      <c r="D866" s="87"/>
      <c r="E866" s="87"/>
      <c r="F866" s="87"/>
      <c r="G866" s="87"/>
      <c r="H866" s="87"/>
      <c r="I866" s="87"/>
      <c r="J866" s="102"/>
      <c r="K866" s="103"/>
      <c r="L866" s="104"/>
      <c r="M866" s="95"/>
      <c r="N866" s="95"/>
      <c r="O866" s="95"/>
      <c r="P866" s="105"/>
      <c r="Q866" s="105"/>
      <c r="R866" s="105"/>
      <c r="S866" s="105"/>
      <c r="T866" s="105"/>
      <c r="U866" s="105"/>
      <c r="V866" s="105"/>
      <c r="W866" s="105"/>
      <c r="X866" s="105"/>
      <c r="Y866" s="105"/>
      <c r="Z866" s="105"/>
    </row>
    <row r="867" spans="1:26">
      <c r="A867" s="87" t="str">
        <f t="shared" si="3"/>
        <v/>
      </c>
      <c r="B867" s="2"/>
      <c r="C867" s="87"/>
      <c r="D867" s="87"/>
      <c r="E867" s="87"/>
      <c r="F867" s="87"/>
      <c r="G867" s="87"/>
      <c r="H867" s="87"/>
      <c r="I867" s="87"/>
      <c r="J867" s="102"/>
      <c r="K867" s="103"/>
      <c r="L867" s="104"/>
      <c r="M867" s="95"/>
      <c r="N867" s="95"/>
      <c r="O867" s="95"/>
      <c r="P867" s="105"/>
      <c r="Q867" s="105"/>
      <c r="R867" s="105"/>
      <c r="S867" s="105"/>
      <c r="T867" s="105"/>
      <c r="U867" s="105"/>
      <c r="V867" s="105"/>
      <c r="W867" s="105"/>
      <c r="X867" s="105"/>
      <c r="Y867" s="105"/>
      <c r="Z867" s="105"/>
    </row>
    <row r="868" spans="1:26">
      <c r="A868" s="87" t="str">
        <f t="shared" si="3"/>
        <v/>
      </c>
      <c r="B868" s="2"/>
      <c r="C868" s="87"/>
      <c r="D868" s="87"/>
      <c r="E868" s="87"/>
      <c r="F868" s="87"/>
      <c r="G868" s="87"/>
      <c r="H868" s="87"/>
      <c r="I868" s="87"/>
      <c r="J868" s="102"/>
      <c r="K868" s="103"/>
      <c r="L868" s="104"/>
      <c r="M868" s="95"/>
      <c r="N868" s="95"/>
      <c r="O868" s="95"/>
      <c r="P868" s="105"/>
      <c r="Q868" s="105"/>
      <c r="R868" s="105"/>
      <c r="S868" s="105"/>
      <c r="T868" s="105"/>
      <c r="U868" s="105"/>
      <c r="V868" s="105"/>
      <c r="W868" s="105"/>
      <c r="X868" s="105"/>
      <c r="Y868" s="105"/>
      <c r="Z868" s="105"/>
    </row>
    <row r="869" spans="1:26">
      <c r="A869" s="87" t="str">
        <f t="shared" si="3"/>
        <v/>
      </c>
      <c r="B869" s="2"/>
      <c r="C869" s="87"/>
      <c r="D869" s="87"/>
      <c r="E869" s="87"/>
      <c r="F869" s="87"/>
      <c r="G869" s="87"/>
      <c r="H869" s="87"/>
      <c r="I869" s="87"/>
      <c r="J869" s="102"/>
      <c r="K869" s="103"/>
      <c r="L869" s="104"/>
      <c r="M869" s="95"/>
      <c r="N869" s="95"/>
      <c r="O869" s="95"/>
      <c r="P869" s="105"/>
      <c r="Q869" s="105"/>
      <c r="R869" s="105"/>
      <c r="S869" s="105"/>
      <c r="T869" s="105"/>
      <c r="U869" s="105"/>
      <c r="V869" s="105"/>
      <c r="W869" s="105"/>
      <c r="X869" s="105"/>
      <c r="Y869" s="105"/>
      <c r="Z869" s="105"/>
    </row>
    <row r="870" spans="1:26">
      <c r="A870" s="87" t="str">
        <f t="shared" si="3"/>
        <v/>
      </c>
      <c r="B870" s="2"/>
      <c r="C870" s="87"/>
      <c r="D870" s="87"/>
      <c r="E870" s="87"/>
      <c r="F870" s="87"/>
      <c r="G870" s="87"/>
      <c r="H870" s="87"/>
      <c r="I870" s="87"/>
      <c r="J870" s="102"/>
      <c r="K870" s="103"/>
      <c r="L870" s="104"/>
      <c r="M870" s="95"/>
      <c r="N870" s="95"/>
      <c r="O870" s="95"/>
      <c r="P870" s="105"/>
      <c r="Q870" s="105"/>
      <c r="R870" s="105"/>
      <c r="S870" s="105"/>
      <c r="T870" s="105"/>
      <c r="U870" s="105"/>
      <c r="V870" s="105"/>
      <c r="W870" s="105"/>
      <c r="X870" s="105"/>
      <c r="Y870" s="105"/>
      <c r="Z870" s="105"/>
    </row>
    <row r="871" spans="1:26">
      <c r="A871" s="87" t="str">
        <f t="shared" si="3"/>
        <v/>
      </c>
      <c r="B871" s="2"/>
      <c r="C871" s="87"/>
      <c r="D871" s="87"/>
      <c r="E871" s="87"/>
      <c r="F871" s="87"/>
      <c r="G871" s="87"/>
      <c r="H871" s="87"/>
      <c r="I871" s="87"/>
      <c r="J871" s="102"/>
      <c r="K871" s="103"/>
      <c r="L871" s="104"/>
      <c r="M871" s="95"/>
      <c r="N871" s="95"/>
      <c r="O871" s="95"/>
      <c r="P871" s="105"/>
      <c r="Q871" s="105"/>
      <c r="R871" s="105"/>
      <c r="S871" s="105"/>
      <c r="T871" s="105"/>
      <c r="U871" s="105"/>
      <c r="V871" s="105"/>
      <c r="W871" s="105"/>
      <c r="X871" s="105"/>
      <c r="Y871" s="105"/>
      <c r="Z871" s="105"/>
    </row>
    <row r="872" spans="1:26">
      <c r="A872" s="87" t="str">
        <f t="shared" si="3"/>
        <v/>
      </c>
      <c r="B872" s="2"/>
      <c r="C872" s="87"/>
      <c r="D872" s="87"/>
      <c r="E872" s="87"/>
      <c r="F872" s="87"/>
      <c r="G872" s="87"/>
      <c r="H872" s="87"/>
      <c r="I872" s="87"/>
      <c r="J872" s="102"/>
      <c r="K872" s="103"/>
      <c r="L872" s="104"/>
      <c r="M872" s="95"/>
      <c r="N872" s="95"/>
      <c r="O872" s="95"/>
      <c r="P872" s="105"/>
      <c r="Q872" s="105"/>
      <c r="R872" s="105"/>
      <c r="S872" s="105"/>
      <c r="T872" s="105"/>
      <c r="U872" s="105"/>
      <c r="V872" s="105"/>
      <c r="W872" s="105"/>
      <c r="X872" s="105"/>
      <c r="Y872" s="105"/>
      <c r="Z872" s="105"/>
    </row>
    <row r="873" spans="1:26">
      <c r="A873" s="87" t="str">
        <f t="shared" si="3"/>
        <v/>
      </c>
      <c r="B873" s="2"/>
      <c r="C873" s="87"/>
      <c r="D873" s="87"/>
      <c r="E873" s="87"/>
      <c r="F873" s="87"/>
      <c r="G873" s="87"/>
      <c r="H873" s="87"/>
      <c r="I873" s="87"/>
      <c r="J873" s="102"/>
      <c r="K873" s="103"/>
      <c r="L873" s="104"/>
      <c r="M873" s="95"/>
      <c r="N873" s="95"/>
      <c r="O873" s="95"/>
      <c r="P873" s="105"/>
      <c r="Q873" s="105"/>
      <c r="R873" s="105"/>
      <c r="S873" s="105"/>
      <c r="T873" s="105"/>
      <c r="U873" s="105"/>
      <c r="V873" s="105"/>
      <c r="W873" s="105"/>
      <c r="X873" s="105"/>
      <c r="Y873" s="105"/>
      <c r="Z873" s="105"/>
    </row>
    <row r="874" spans="1:26">
      <c r="A874" s="87" t="str">
        <f t="shared" si="3"/>
        <v/>
      </c>
      <c r="B874" s="2"/>
      <c r="C874" s="87"/>
      <c r="D874" s="87"/>
      <c r="E874" s="87"/>
      <c r="F874" s="87"/>
      <c r="G874" s="87"/>
      <c r="H874" s="87"/>
      <c r="I874" s="87"/>
      <c r="J874" s="102"/>
      <c r="K874" s="103"/>
      <c r="L874" s="104"/>
      <c r="M874" s="95"/>
      <c r="N874" s="95"/>
      <c r="O874" s="95"/>
      <c r="P874" s="105"/>
      <c r="Q874" s="105"/>
      <c r="R874" s="105"/>
      <c r="S874" s="105"/>
      <c r="T874" s="105"/>
      <c r="U874" s="105"/>
      <c r="V874" s="105"/>
      <c r="W874" s="105"/>
      <c r="X874" s="105"/>
      <c r="Y874" s="105"/>
      <c r="Z874" s="105"/>
    </row>
    <row r="875" spans="1:26">
      <c r="A875" s="87" t="str">
        <f t="shared" si="3"/>
        <v/>
      </c>
      <c r="B875" s="2"/>
      <c r="C875" s="87"/>
      <c r="D875" s="87"/>
      <c r="E875" s="87"/>
      <c r="F875" s="87"/>
      <c r="G875" s="87"/>
      <c r="H875" s="87"/>
      <c r="I875" s="87"/>
      <c r="J875" s="102"/>
      <c r="K875" s="103"/>
      <c r="L875" s="104"/>
      <c r="M875" s="95"/>
      <c r="N875" s="95"/>
      <c r="O875" s="95"/>
      <c r="P875" s="105"/>
      <c r="Q875" s="105"/>
      <c r="R875" s="105"/>
      <c r="S875" s="105"/>
      <c r="T875" s="105"/>
      <c r="U875" s="105"/>
      <c r="V875" s="105"/>
      <c r="W875" s="105"/>
      <c r="X875" s="105"/>
      <c r="Y875" s="105"/>
      <c r="Z875" s="105"/>
    </row>
    <row r="876" spans="1:26">
      <c r="A876" s="87" t="str">
        <f t="shared" si="3"/>
        <v/>
      </c>
      <c r="B876" s="2"/>
      <c r="C876" s="87"/>
      <c r="D876" s="87"/>
      <c r="E876" s="87"/>
      <c r="F876" s="87"/>
      <c r="G876" s="87"/>
      <c r="H876" s="87"/>
      <c r="I876" s="87"/>
      <c r="J876" s="102"/>
      <c r="K876" s="103"/>
      <c r="L876" s="104"/>
      <c r="M876" s="95"/>
      <c r="N876" s="95"/>
      <c r="O876" s="95"/>
      <c r="P876" s="105"/>
      <c r="Q876" s="105"/>
      <c r="R876" s="105"/>
      <c r="S876" s="105"/>
      <c r="T876" s="105"/>
      <c r="U876" s="105"/>
      <c r="V876" s="105"/>
      <c r="W876" s="105"/>
      <c r="X876" s="105"/>
      <c r="Y876" s="105"/>
      <c r="Z876" s="105"/>
    </row>
    <row r="877" spans="1:26">
      <c r="A877" s="87" t="str">
        <f t="shared" si="3"/>
        <v/>
      </c>
      <c r="B877" s="2"/>
      <c r="C877" s="87"/>
      <c r="D877" s="87"/>
      <c r="E877" s="87"/>
      <c r="F877" s="87"/>
      <c r="G877" s="87"/>
      <c r="H877" s="87"/>
      <c r="I877" s="87"/>
      <c r="J877" s="102"/>
      <c r="K877" s="103"/>
      <c r="L877" s="104"/>
      <c r="M877" s="95"/>
      <c r="N877" s="95"/>
      <c r="O877" s="95"/>
      <c r="P877" s="105"/>
      <c r="Q877" s="105"/>
      <c r="R877" s="105"/>
      <c r="S877" s="105"/>
      <c r="T877" s="105"/>
      <c r="U877" s="105"/>
      <c r="V877" s="105"/>
      <c r="W877" s="105"/>
      <c r="X877" s="105"/>
      <c r="Y877" s="105"/>
      <c r="Z877" s="105"/>
    </row>
    <row r="878" spans="1:26">
      <c r="A878" s="87" t="str">
        <f t="shared" si="3"/>
        <v/>
      </c>
      <c r="B878" s="2"/>
      <c r="C878" s="87"/>
      <c r="D878" s="87"/>
      <c r="E878" s="87"/>
      <c r="F878" s="87"/>
      <c r="G878" s="87"/>
      <c r="H878" s="87"/>
      <c r="I878" s="87"/>
      <c r="J878" s="102"/>
      <c r="K878" s="103"/>
      <c r="L878" s="104"/>
      <c r="M878" s="95"/>
      <c r="N878" s="95"/>
      <c r="O878" s="95"/>
      <c r="P878" s="105"/>
      <c r="Q878" s="105"/>
      <c r="R878" s="105"/>
      <c r="S878" s="105"/>
      <c r="T878" s="105"/>
      <c r="U878" s="105"/>
      <c r="V878" s="105"/>
      <c r="W878" s="105"/>
      <c r="X878" s="105"/>
      <c r="Y878" s="105"/>
      <c r="Z878" s="105"/>
    </row>
    <row r="879" spans="1:26">
      <c r="A879" s="87" t="str">
        <f t="shared" si="3"/>
        <v/>
      </c>
      <c r="B879" s="2"/>
      <c r="C879" s="87"/>
      <c r="D879" s="87"/>
      <c r="E879" s="87"/>
      <c r="F879" s="87"/>
      <c r="G879" s="87"/>
      <c r="H879" s="87"/>
      <c r="I879" s="87"/>
      <c r="J879" s="102"/>
      <c r="K879" s="103"/>
      <c r="L879" s="104"/>
      <c r="M879" s="95"/>
      <c r="N879" s="95"/>
      <c r="O879" s="95"/>
      <c r="P879" s="105"/>
      <c r="Q879" s="105"/>
      <c r="R879" s="105"/>
      <c r="S879" s="105"/>
      <c r="T879" s="105"/>
      <c r="U879" s="105"/>
      <c r="V879" s="105"/>
      <c r="W879" s="105"/>
      <c r="X879" s="105"/>
      <c r="Y879" s="105"/>
      <c r="Z879" s="105"/>
    </row>
    <row r="880" spans="1:26">
      <c r="A880" s="87" t="str">
        <f t="shared" si="3"/>
        <v/>
      </c>
      <c r="B880" s="2"/>
      <c r="C880" s="87"/>
      <c r="D880" s="87"/>
      <c r="E880" s="87"/>
      <c r="F880" s="87"/>
      <c r="G880" s="87"/>
      <c r="H880" s="87"/>
      <c r="I880" s="87"/>
      <c r="J880" s="102"/>
      <c r="K880" s="103"/>
      <c r="L880" s="104"/>
      <c r="M880" s="95"/>
      <c r="N880" s="95"/>
      <c r="O880" s="95"/>
      <c r="P880" s="105"/>
      <c r="Q880" s="105"/>
      <c r="R880" s="105"/>
      <c r="S880" s="105"/>
      <c r="T880" s="105"/>
      <c r="U880" s="105"/>
      <c r="V880" s="105"/>
      <c r="W880" s="105"/>
      <c r="X880" s="105"/>
      <c r="Y880" s="105"/>
      <c r="Z880" s="105"/>
    </row>
    <row r="881" spans="1:26">
      <c r="A881" s="87" t="str">
        <f t="shared" si="3"/>
        <v/>
      </c>
      <c r="B881" s="2"/>
      <c r="C881" s="87"/>
      <c r="D881" s="87"/>
      <c r="E881" s="87"/>
      <c r="F881" s="87"/>
      <c r="G881" s="87"/>
      <c r="H881" s="87"/>
      <c r="I881" s="87"/>
      <c r="J881" s="102"/>
      <c r="K881" s="103"/>
      <c r="L881" s="104"/>
      <c r="M881" s="95"/>
      <c r="N881" s="95"/>
      <c r="O881" s="95"/>
      <c r="P881" s="105"/>
      <c r="Q881" s="105"/>
      <c r="R881" s="105"/>
      <c r="S881" s="105"/>
      <c r="T881" s="105"/>
      <c r="U881" s="105"/>
      <c r="V881" s="105"/>
      <c r="W881" s="105"/>
      <c r="X881" s="105"/>
      <c r="Y881" s="105"/>
      <c r="Z881" s="105"/>
    </row>
    <row r="882" spans="1:26">
      <c r="A882" s="87" t="str">
        <f t="shared" si="3"/>
        <v/>
      </c>
      <c r="B882" s="2"/>
      <c r="C882" s="87"/>
      <c r="D882" s="87"/>
      <c r="E882" s="87"/>
      <c r="F882" s="87"/>
      <c r="G882" s="87"/>
      <c r="H882" s="87"/>
      <c r="I882" s="87"/>
      <c r="J882" s="102"/>
      <c r="K882" s="103"/>
      <c r="L882" s="104"/>
      <c r="M882" s="95"/>
      <c r="N882" s="95"/>
      <c r="O882" s="95"/>
      <c r="P882" s="105"/>
      <c r="Q882" s="105"/>
      <c r="R882" s="105"/>
      <c r="S882" s="105"/>
      <c r="T882" s="105"/>
      <c r="U882" s="105"/>
      <c r="V882" s="105"/>
      <c r="W882" s="105"/>
      <c r="X882" s="105"/>
      <c r="Y882" s="105"/>
      <c r="Z882" s="105"/>
    </row>
    <row r="883" spans="1:26">
      <c r="A883" s="87" t="str">
        <f t="shared" si="3"/>
        <v/>
      </c>
      <c r="B883" s="2"/>
      <c r="C883" s="87"/>
      <c r="D883" s="87"/>
      <c r="E883" s="87"/>
      <c r="F883" s="87"/>
      <c r="G883" s="87"/>
      <c r="H883" s="87"/>
      <c r="I883" s="87"/>
      <c r="J883" s="102"/>
      <c r="K883" s="103"/>
      <c r="L883" s="104"/>
      <c r="M883" s="95"/>
      <c r="N883" s="95"/>
      <c r="O883" s="95"/>
      <c r="P883" s="105"/>
      <c r="Q883" s="105"/>
      <c r="R883" s="105"/>
      <c r="S883" s="105"/>
      <c r="T883" s="105"/>
      <c r="U883" s="105"/>
      <c r="V883" s="105"/>
      <c r="W883" s="105"/>
      <c r="X883" s="105"/>
      <c r="Y883" s="105"/>
      <c r="Z883" s="105"/>
    </row>
    <row r="884" spans="1:26">
      <c r="A884" s="87" t="str">
        <f t="shared" si="3"/>
        <v/>
      </c>
      <c r="B884" s="2"/>
      <c r="C884" s="87"/>
      <c r="D884" s="87"/>
      <c r="E884" s="87"/>
      <c r="F884" s="87"/>
      <c r="G884" s="87"/>
      <c r="H884" s="87"/>
      <c r="I884" s="87"/>
      <c r="J884" s="102"/>
      <c r="K884" s="103"/>
      <c r="L884" s="104"/>
      <c r="M884" s="95"/>
      <c r="N884" s="95"/>
      <c r="O884" s="95"/>
      <c r="P884" s="105"/>
      <c r="Q884" s="105"/>
      <c r="R884" s="105"/>
      <c r="S884" s="105"/>
      <c r="T884" s="105"/>
      <c r="U884" s="105"/>
      <c r="V884" s="105"/>
      <c r="W884" s="105"/>
      <c r="X884" s="105"/>
      <c r="Y884" s="105"/>
      <c r="Z884" s="105"/>
    </row>
    <row r="885" spans="1:26">
      <c r="A885" s="87" t="str">
        <f t="shared" si="3"/>
        <v/>
      </c>
      <c r="B885" s="2"/>
      <c r="C885" s="87"/>
      <c r="D885" s="87"/>
      <c r="E885" s="87"/>
      <c r="F885" s="87"/>
      <c r="G885" s="87"/>
      <c r="H885" s="87"/>
      <c r="I885" s="87"/>
      <c r="J885" s="102"/>
      <c r="K885" s="103"/>
      <c r="L885" s="104"/>
      <c r="M885" s="95"/>
      <c r="N885" s="95"/>
      <c r="O885" s="95"/>
      <c r="P885" s="105"/>
      <c r="Q885" s="105"/>
      <c r="R885" s="105"/>
      <c r="S885" s="105"/>
      <c r="T885" s="105"/>
      <c r="U885" s="105"/>
      <c r="V885" s="105"/>
      <c r="W885" s="105"/>
      <c r="X885" s="105"/>
      <c r="Y885" s="105"/>
      <c r="Z885" s="105"/>
    </row>
    <row r="886" spans="1:26">
      <c r="A886" s="87" t="str">
        <f t="shared" si="3"/>
        <v/>
      </c>
      <c r="B886" s="2"/>
      <c r="C886" s="87"/>
      <c r="D886" s="87"/>
      <c r="E886" s="87"/>
      <c r="F886" s="87"/>
      <c r="G886" s="87"/>
      <c r="H886" s="87"/>
      <c r="I886" s="87"/>
      <c r="J886" s="102"/>
      <c r="K886" s="103"/>
      <c r="L886" s="104"/>
      <c r="M886" s="95"/>
      <c r="N886" s="95"/>
      <c r="O886" s="95"/>
      <c r="P886" s="105"/>
      <c r="Q886" s="105"/>
      <c r="R886" s="105"/>
      <c r="S886" s="105"/>
      <c r="T886" s="105"/>
      <c r="U886" s="105"/>
      <c r="V886" s="105"/>
      <c r="W886" s="105"/>
      <c r="X886" s="105"/>
      <c r="Y886" s="105"/>
      <c r="Z886" s="105"/>
    </row>
    <row r="887" spans="1:26">
      <c r="A887" s="87" t="str">
        <f t="shared" si="3"/>
        <v/>
      </c>
      <c r="B887" s="2"/>
      <c r="C887" s="87"/>
      <c r="D887" s="87"/>
      <c r="E887" s="87"/>
      <c r="F887" s="87"/>
      <c r="G887" s="87"/>
      <c r="H887" s="87"/>
      <c r="I887" s="87"/>
      <c r="J887" s="102"/>
      <c r="K887" s="103"/>
      <c r="L887" s="104"/>
      <c r="M887" s="95"/>
      <c r="N887" s="95"/>
      <c r="O887" s="95"/>
      <c r="P887" s="105"/>
      <c r="Q887" s="105"/>
      <c r="R887" s="105"/>
      <c r="S887" s="105"/>
      <c r="T887" s="105"/>
      <c r="U887" s="105"/>
      <c r="V887" s="105"/>
      <c r="W887" s="105"/>
      <c r="X887" s="105"/>
      <c r="Y887" s="105"/>
      <c r="Z887" s="105"/>
    </row>
    <row r="888" spans="1:26">
      <c r="A888" s="87" t="str">
        <f t="shared" si="3"/>
        <v/>
      </c>
      <c r="B888" s="2"/>
      <c r="C888" s="87"/>
      <c r="D888" s="87"/>
      <c r="E888" s="87"/>
      <c r="F888" s="87"/>
      <c r="G888" s="87"/>
      <c r="H888" s="87"/>
      <c r="I888" s="87"/>
      <c r="J888" s="102"/>
      <c r="K888" s="103"/>
      <c r="L888" s="104"/>
      <c r="M888" s="95"/>
      <c r="N888" s="95"/>
      <c r="O888" s="95"/>
      <c r="P888" s="105"/>
      <c r="Q888" s="105"/>
      <c r="R888" s="105"/>
      <c r="S888" s="105"/>
      <c r="T888" s="105"/>
      <c r="U888" s="105"/>
      <c r="V888" s="105"/>
      <c r="W888" s="105"/>
      <c r="X888" s="105"/>
      <c r="Y888" s="105"/>
      <c r="Z888" s="105"/>
    </row>
    <row r="889" spans="1:26">
      <c r="A889" s="87" t="str">
        <f t="shared" si="3"/>
        <v/>
      </c>
      <c r="B889" s="2"/>
      <c r="C889" s="87"/>
      <c r="D889" s="87"/>
      <c r="E889" s="87"/>
      <c r="F889" s="87"/>
      <c r="G889" s="87"/>
      <c r="H889" s="87"/>
      <c r="I889" s="87"/>
      <c r="J889" s="102"/>
      <c r="K889" s="103"/>
      <c r="L889" s="104"/>
      <c r="M889" s="95"/>
      <c r="N889" s="95"/>
      <c r="O889" s="95"/>
      <c r="P889" s="105"/>
      <c r="Q889" s="105"/>
      <c r="R889" s="105"/>
      <c r="S889" s="105"/>
      <c r="T889" s="105"/>
      <c r="U889" s="105"/>
      <c r="V889" s="105"/>
      <c r="W889" s="105"/>
      <c r="X889" s="105"/>
      <c r="Y889" s="105"/>
      <c r="Z889" s="105"/>
    </row>
    <row r="890" spans="1:26">
      <c r="A890" s="87" t="str">
        <f t="shared" si="3"/>
        <v/>
      </c>
      <c r="B890" s="2"/>
      <c r="C890" s="87"/>
      <c r="D890" s="87"/>
      <c r="E890" s="87"/>
      <c r="F890" s="87"/>
      <c r="G890" s="87"/>
      <c r="H890" s="87"/>
      <c r="I890" s="87"/>
      <c r="J890" s="102"/>
      <c r="K890" s="103"/>
      <c r="L890" s="104"/>
      <c r="M890" s="95"/>
      <c r="N890" s="95"/>
      <c r="O890" s="95"/>
      <c r="P890" s="105"/>
      <c r="Q890" s="105"/>
      <c r="R890" s="105"/>
      <c r="S890" s="105"/>
      <c r="T890" s="105"/>
      <c r="U890" s="105"/>
      <c r="V890" s="105"/>
      <c r="W890" s="105"/>
      <c r="X890" s="105"/>
      <c r="Y890" s="105"/>
      <c r="Z890" s="105"/>
    </row>
    <row r="891" spans="1:26">
      <c r="A891" s="87" t="str">
        <f t="shared" si="3"/>
        <v/>
      </c>
      <c r="B891" s="2"/>
      <c r="C891" s="87"/>
      <c r="D891" s="87"/>
      <c r="E891" s="87"/>
      <c r="F891" s="87"/>
      <c r="G891" s="87"/>
      <c r="H891" s="87"/>
      <c r="I891" s="87"/>
      <c r="J891" s="102"/>
      <c r="K891" s="103"/>
      <c r="L891" s="104"/>
      <c r="M891" s="95"/>
      <c r="N891" s="95"/>
      <c r="O891" s="95"/>
      <c r="P891" s="105"/>
      <c r="Q891" s="105"/>
      <c r="R891" s="105"/>
      <c r="S891" s="105"/>
      <c r="T891" s="105"/>
      <c r="U891" s="105"/>
      <c r="V891" s="105"/>
      <c r="W891" s="105"/>
      <c r="X891" s="105"/>
      <c r="Y891" s="105"/>
      <c r="Z891" s="105"/>
    </row>
    <row r="892" spans="1:26">
      <c r="A892" s="87" t="str">
        <f t="shared" si="3"/>
        <v/>
      </c>
      <c r="B892" s="2"/>
      <c r="C892" s="87"/>
      <c r="D892" s="87"/>
      <c r="E892" s="87"/>
      <c r="F892" s="87"/>
      <c r="G892" s="87"/>
      <c r="H892" s="87"/>
      <c r="I892" s="87"/>
      <c r="J892" s="102"/>
      <c r="K892" s="103"/>
      <c r="L892" s="104"/>
      <c r="M892" s="95"/>
      <c r="N892" s="95"/>
      <c r="O892" s="95"/>
      <c r="P892" s="105"/>
      <c r="Q892" s="105"/>
      <c r="R892" s="105"/>
      <c r="S892" s="105"/>
      <c r="T892" s="105"/>
      <c r="U892" s="105"/>
      <c r="V892" s="105"/>
      <c r="W892" s="105"/>
      <c r="X892" s="105"/>
      <c r="Y892" s="105"/>
      <c r="Z892" s="105"/>
    </row>
    <row r="893" spans="1:26">
      <c r="A893" s="87" t="str">
        <f t="shared" si="3"/>
        <v/>
      </c>
      <c r="B893" s="2"/>
      <c r="C893" s="87"/>
      <c r="D893" s="87"/>
      <c r="E893" s="87"/>
      <c r="F893" s="87"/>
      <c r="G893" s="87"/>
      <c r="H893" s="87"/>
      <c r="I893" s="87"/>
      <c r="J893" s="102"/>
      <c r="K893" s="103"/>
      <c r="L893" s="104"/>
      <c r="M893" s="95"/>
      <c r="N893" s="95"/>
      <c r="O893" s="95"/>
      <c r="P893" s="105"/>
      <c r="Q893" s="105"/>
      <c r="R893" s="105"/>
      <c r="S893" s="105"/>
      <c r="T893" s="105"/>
      <c r="U893" s="105"/>
      <c r="V893" s="105"/>
      <c r="W893" s="105"/>
      <c r="X893" s="105"/>
      <c r="Y893" s="105"/>
      <c r="Z893" s="105"/>
    </row>
    <row r="894" spans="1:26">
      <c r="A894" s="87" t="str">
        <f t="shared" si="3"/>
        <v/>
      </c>
      <c r="B894" s="2"/>
      <c r="C894" s="87"/>
      <c r="D894" s="87"/>
      <c r="E894" s="87"/>
      <c r="F894" s="87"/>
      <c r="G894" s="87"/>
      <c r="H894" s="87"/>
      <c r="I894" s="87"/>
      <c r="J894" s="102"/>
      <c r="K894" s="103"/>
      <c r="L894" s="104"/>
      <c r="M894" s="95"/>
      <c r="N894" s="95"/>
      <c r="O894" s="95"/>
      <c r="P894" s="105"/>
      <c r="Q894" s="105"/>
      <c r="R894" s="105"/>
      <c r="S894" s="105"/>
      <c r="T894" s="105"/>
      <c r="U894" s="105"/>
      <c r="V894" s="105"/>
      <c r="W894" s="105"/>
      <c r="X894" s="105"/>
      <c r="Y894" s="105"/>
      <c r="Z894" s="105"/>
    </row>
    <row r="895" spans="1:26">
      <c r="A895" s="87" t="str">
        <f t="shared" si="3"/>
        <v/>
      </c>
      <c r="B895" s="2"/>
      <c r="C895" s="87"/>
      <c r="D895" s="87"/>
      <c r="E895" s="87"/>
      <c r="F895" s="87"/>
      <c r="G895" s="87"/>
      <c r="H895" s="87"/>
      <c r="I895" s="87"/>
      <c r="J895" s="102"/>
      <c r="K895" s="103"/>
      <c r="L895" s="104"/>
      <c r="M895" s="95"/>
      <c r="N895" s="95"/>
      <c r="O895" s="95"/>
      <c r="P895" s="105"/>
      <c r="Q895" s="105"/>
      <c r="R895" s="105"/>
      <c r="S895" s="105"/>
      <c r="T895" s="105"/>
      <c r="U895" s="105"/>
      <c r="V895" s="105"/>
      <c r="W895" s="105"/>
      <c r="X895" s="105"/>
      <c r="Y895" s="105"/>
      <c r="Z895" s="105"/>
    </row>
    <row r="896" spans="1:26">
      <c r="A896" s="87" t="str">
        <f t="shared" si="3"/>
        <v/>
      </c>
      <c r="B896" s="2"/>
      <c r="C896" s="87"/>
      <c r="D896" s="87"/>
      <c r="E896" s="87"/>
      <c r="F896" s="87"/>
      <c r="G896" s="87"/>
      <c r="H896" s="87"/>
      <c r="I896" s="87"/>
      <c r="J896" s="102"/>
      <c r="K896" s="103"/>
      <c r="L896" s="104"/>
      <c r="M896" s="95"/>
      <c r="N896" s="95"/>
      <c r="O896" s="95"/>
      <c r="P896" s="105"/>
      <c r="Q896" s="105"/>
      <c r="R896" s="105"/>
      <c r="S896" s="105"/>
      <c r="T896" s="105"/>
      <c r="U896" s="105"/>
      <c r="V896" s="105"/>
      <c r="W896" s="105"/>
      <c r="X896" s="105"/>
      <c r="Y896" s="105"/>
      <c r="Z896" s="105"/>
    </row>
    <row r="897" spans="1:26">
      <c r="A897" s="87" t="str">
        <f t="shared" si="3"/>
        <v/>
      </c>
      <c r="B897" s="2"/>
      <c r="C897" s="87"/>
      <c r="D897" s="87"/>
      <c r="E897" s="87"/>
      <c r="F897" s="87"/>
      <c r="G897" s="87"/>
      <c r="H897" s="87"/>
      <c r="I897" s="87"/>
      <c r="J897" s="102"/>
      <c r="K897" s="103"/>
      <c r="L897" s="104"/>
      <c r="M897" s="95"/>
      <c r="N897" s="95"/>
      <c r="O897" s="95"/>
      <c r="P897" s="105"/>
      <c r="Q897" s="105"/>
      <c r="R897" s="105"/>
      <c r="S897" s="105"/>
      <c r="T897" s="105"/>
      <c r="U897" s="105"/>
      <c r="V897" s="105"/>
      <c r="W897" s="105"/>
      <c r="X897" s="105"/>
      <c r="Y897" s="105"/>
      <c r="Z897" s="105"/>
    </row>
    <row r="898" spans="1:26">
      <c r="A898" s="87" t="str">
        <f t="shared" si="3"/>
        <v/>
      </c>
      <c r="B898" s="2"/>
      <c r="C898" s="87"/>
      <c r="D898" s="87"/>
      <c r="E898" s="87"/>
      <c r="F898" s="87"/>
      <c r="G898" s="87"/>
      <c r="H898" s="87"/>
      <c r="I898" s="87"/>
      <c r="J898" s="102"/>
      <c r="K898" s="103"/>
      <c r="L898" s="104"/>
      <c r="M898" s="95"/>
      <c r="N898" s="95"/>
      <c r="O898" s="95"/>
      <c r="P898" s="105"/>
      <c r="Q898" s="105"/>
      <c r="R898" s="105"/>
      <c r="S898" s="105"/>
      <c r="T898" s="105"/>
      <c r="U898" s="105"/>
      <c r="V898" s="105"/>
      <c r="W898" s="105"/>
      <c r="X898" s="105"/>
      <c r="Y898" s="105"/>
      <c r="Z898" s="105"/>
    </row>
    <row r="899" spans="1:26">
      <c r="A899" s="87" t="str">
        <f t="shared" si="3"/>
        <v/>
      </c>
      <c r="B899" s="2"/>
      <c r="C899" s="87"/>
      <c r="D899" s="87"/>
      <c r="E899" s="87"/>
      <c r="F899" s="87"/>
      <c r="G899" s="87"/>
      <c r="H899" s="87"/>
      <c r="I899" s="87"/>
      <c r="J899" s="102"/>
      <c r="K899" s="103"/>
      <c r="L899" s="104"/>
      <c r="M899" s="95"/>
      <c r="N899" s="95"/>
      <c r="O899" s="95"/>
      <c r="P899" s="105"/>
      <c r="Q899" s="105"/>
      <c r="R899" s="105"/>
      <c r="S899" s="105"/>
      <c r="T899" s="105"/>
      <c r="U899" s="105"/>
      <c r="V899" s="105"/>
      <c r="W899" s="105"/>
      <c r="X899" s="105"/>
      <c r="Y899" s="105"/>
      <c r="Z899" s="105"/>
    </row>
    <row r="900" spans="1:26">
      <c r="A900" s="87" t="str">
        <f t="shared" si="3"/>
        <v/>
      </c>
      <c r="B900" s="2"/>
      <c r="C900" s="87"/>
      <c r="D900" s="87"/>
      <c r="E900" s="87"/>
      <c r="F900" s="87"/>
      <c r="G900" s="87"/>
      <c r="H900" s="87"/>
      <c r="I900" s="87"/>
      <c r="J900" s="102"/>
      <c r="K900" s="103"/>
      <c r="L900" s="104"/>
      <c r="M900" s="95"/>
      <c r="N900" s="95"/>
      <c r="O900" s="95"/>
      <c r="P900" s="105"/>
      <c r="Q900" s="105"/>
      <c r="R900" s="105"/>
      <c r="S900" s="105"/>
      <c r="T900" s="105"/>
      <c r="U900" s="105"/>
      <c r="V900" s="105"/>
      <c r="W900" s="105"/>
      <c r="X900" s="105"/>
      <c r="Y900" s="105"/>
      <c r="Z900" s="105"/>
    </row>
    <row r="901" spans="1:26">
      <c r="A901" s="87" t="str">
        <f t="shared" si="3"/>
        <v/>
      </c>
      <c r="B901" s="2"/>
      <c r="C901" s="87"/>
      <c r="D901" s="87"/>
      <c r="E901" s="87"/>
      <c r="F901" s="87"/>
      <c r="G901" s="87"/>
      <c r="H901" s="87"/>
      <c r="I901" s="87"/>
      <c r="J901" s="102"/>
      <c r="K901" s="103"/>
      <c r="L901" s="104"/>
      <c r="M901" s="95"/>
      <c r="N901" s="95"/>
      <c r="O901" s="95"/>
      <c r="P901" s="105"/>
      <c r="Q901" s="105"/>
      <c r="R901" s="105"/>
      <c r="S901" s="105"/>
      <c r="T901" s="105"/>
      <c r="U901" s="105"/>
      <c r="V901" s="105"/>
      <c r="W901" s="105"/>
      <c r="X901" s="105"/>
      <c r="Y901" s="105"/>
      <c r="Z901" s="105"/>
    </row>
    <row r="902" spans="1:26">
      <c r="A902" s="87" t="str">
        <f t="shared" si="3"/>
        <v/>
      </c>
      <c r="B902" s="2"/>
      <c r="C902" s="87"/>
      <c r="D902" s="87"/>
      <c r="E902" s="87"/>
      <c r="F902" s="87"/>
      <c r="G902" s="87"/>
      <c r="H902" s="87"/>
      <c r="I902" s="87"/>
      <c r="J902" s="102"/>
      <c r="K902" s="103"/>
      <c r="L902" s="104"/>
      <c r="M902" s="95"/>
      <c r="N902" s="95"/>
      <c r="O902" s="95"/>
      <c r="P902" s="105"/>
      <c r="Q902" s="105"/>
      <c r="R902" s="105"/>
      <c r="S902" s="105"/>
      <c r="T902" s="105"/>
      <c r="U902" s="105"/>
      <c r="V902" s="105"/>
      <c r="W902" s="105"/>
      <c r="X902" s="105"/>
      <c r="Y902" s="105"/>
      <c r="Z902" s="105"/>
    </row>
    <row r="903" spans="1:26">
      <c r="A903" s="87" t="str">
        <f t="shared" si="3"/>
        <v/>
      </c>
      <c r="B903" s="2"/>
      <c r="C903" s="87"/>
      <c r="D903" s="87"/>
      <c r="E903" s="87"/>
      <c r="F903" s="87"/>
      <c r="G903" s="87"/>
      <c r="H903" s="87"/>
      <c r="I903" s="87"/>
      <c r="J903" s="102"/>
      <c r="K903" s="103"/>
      <c r="L903" s="104"/>
      <c r="M903" s="95"/>
      <c r="N903" s="95"/>
      <c r="O903" s="95"/>
      <c r="P903" s="105"/>
      <c r="Q903" s="105"/>
      <c r="R903" s="105"/>
      <c r="S903" s="105"/>
      <c r="T903" s="105"/>
      <c r="U903" s="105"/>
      <c r="V903" s="105"/>
      <c r="W903" s="105"/>
      <c r="X903" s="105"/>
      <c r="Y903" s="105"/>
      <c r="Z903" s="105"/>
    </row>
    <row r="904" spans="1:26">
      <c r="A904" s="87" t="str">
        <f t="shared" si="3"/>
        <v/>
      </c>
      <c r="B904" s="2"/>
      <c r="C904" s="87"/>
      <c r="D904" s="87"/>
      <c r="E904" s="87"/>
      <c r="F904" s="87"/>
      <c r="G904" s="87"/>
      <c r="H904" s="87"/>
      <c r="I904" s="87"/>
      <c r="J904" s="102"/>
      <c r="K904" s="103"/>
      <c r="L904" s="104"/>
      <c r="M904" s="95"/>
      <c r="N904" s="95"/>
      <c r="O904" s="95"/>
      <c r="P904" s="105"/>
      <c r="Q904" s="105"/>
      <c r="R904" s="105"/>
      <c r="S904" s="105"/>
      <c r="T904" s="105"/>
      <c r="U904" s="105"/>
      <c r="V904" s="105"/>
      <c r="W904" s="105"/>
      <c r="X904" s="105"/>
      <c r="Y904" s="105"/>
      <c r="Z904" s="105"/>
    </row>
    <row r="905" spans="1:26">
      <c r="A905" s="87" t="str">
        <f t="shared" si="3"/>
        <v/>
      </c>
      <c r="B905" s="2"/>
      <c r="C905" s="87"/>
      <c r="D905" s="87"/>
      <c r="E905" s="87"/>
      <c r="F905" s="87"/>
      <c r="G905" s="87"/>
      <c r="H905" s="87"/>
      <c r="I905" s="87"/>
      <c r="J905" s="102"/>
      <c r="K905" s="103"/>
      <c r="L905" s="104"/>
      <c r="M905" s="95"/>
      <c r="N905" s="95"/>
      <c r="O905" s="95"/>
      <c r="P905" s="105"/>
      <c r="Q905" s="105"/>
      <c r="R905" s="105"/>
      <c r="S905" s="105"/>
      <c r="T905" s="105"/>
      <c r="U905" s="105"/>
      <c r="V905" s="105"/>
      <c r="W905" s="105"/>
      <c r="X905" s="105"/>
      <c r="Y905" s="105"/>
      <c r="Z905" s="105"/>
    </row>
    <row r="906" spans="1:26">
      <c r="A906" s="87" t="str">
        <f t="shared" si="3"/>
        <v/>
      </c>
      <c r="B906" s="2"/>
      <c r="C906" s="87"/>
      <c r="D906" s="87"/>
      <c r="E906" s="87"/>
      <c r="F906" s="87"/>
      <c r="G906" s="87"/>
      <c r="H906" s="87"/>
      <c r="I906" s="87"/>
      <c r="J906" s="102"/>
      <c r="K906" s="103"/>
      <c r="L906" s="104"/>
      <c r="M906" s="95"/>
      <c r="N906" s="95"/>
      <c r="O906" s="95"/>
      <c r="P906" s="105"/>
      <c r="Q906" s="105"/>
      <c r="R906" s="105"/>
      <c r="S906" s="105"/>
      <c r="T906" s="105"/>
      <c r="U906" s="105"/>
      <c r="V906" s="105"/>
      <c r="W906" s="105"/>
      <c r="X906" s="105"/>
      <c r="Y906" s="105"/>
      <c r="Z906" s="105"/>
    </row>
    <row r="907" spans="1:26">
      <c r="A907" s="87" t="str">
        <f t="shared" si="3"/>
        <v/>
      </c>
      <c r="B907" s="2"/>
      <c r="C907" s="87"/>
      <c r="D907" s="87"/>
      <c r="E907" s="87"/>
      <c r="F907" s="87"/>
      <c r="G907" s="87"/>
      <c r="H907" s="87"/>
      <c r="I907" s="87"/>
      <c r="J907" s="102"/>
      <c r="K907" s="103"/>
      <c r="L907" s="104"/>
      <c r="M907" s="95"/>
      <c r="N907" s="95"/>
      <c r="O907" s="95"/>
      <c r="P907" s="105"/>
      <c r="Q907" s="105"/>
      <c r="R907" s="105"/>
      <c r="S907" s="105"/>
      <c r="T907" s="105"/>
      <c r="U907" s="105"/>
      <c r="V907" s="105"/>
      <c r="W907" s="105"/>
      <c r="X907" s="105"/>
      <c r="Y907" s="105"/>
      <c r="Z907" s="105"/>
    </row>
    <row r="908" spans="1:26">
      <c r="A908" s="87" t="str">
        <f t="shared" si="3"/>
        <v/>
      </c>
      <c r="B908" s="2"/>
      <c r="C908" s="87"/>
      <c r="D908" s="87"/>
      <c r="E908" s="87"/>
      <c r="F908" s="87"/>
      <c r="G908" s="87"/>
      <c r="H908" s="87"/>
      <c r="I908" s="87"/>
      <c r="J908" s="102"/>
      <c r="K908" s="103"/>
      <c r="L908" s="104"/>
      <c r="M908" s="95"/>
      <c r="N908" s="95"/>
      <c r="O908" s="95"/>
      <c r="P908" s="105"/>
      <c r="Q908" s="105"/>
      <c r="R908" s="105"/>
      <c r="S908" s="105"/>
      <c r="T908" s="105"/>
      <c r="U908" s="105"/>
      <c r="V908" s="105"/>
      <c r="W908" s="105"/>
      <c r="X908" s="105"/>
      <c r="Y908" s="105"/>
      <c r="Z908" s="105"/>
    </row>
    <row r="909" spans="1:26">
      <c r="A909" s="87" t="str">
        <f t="shared" si="3"/>
        <v/>
      </c>
      <c r="B909" s="2"/>
      <c r="C909" s="87"/>
      <c r="D909" s="87"/>
      <c r="E909" s="87"/>
      <c r="F909" s="87"/>
      <c r="G909" s="87"/>
      <c r="H909" s="87"/>
      <c r="I909" s="87"/>
      <c r="J909" s="102"/>
      <c r="K909" s="103"/>
      <c r="L909" s="104"/>
      <c r="M909" s="95"/>
      <c r="N909" s="95"/>
      <c r="O909" s="95"/>
      <c r="P909" s="105"/>
      <c r="Q909" s="105"/>
      <c r="R909" s="105"/>
      <c r="S909" s="105"/>
      <c r="T909" s="105"/>
      <c r="U909" s="105"/>
      <c r="V909" s="105"/>
      <c r="W909" s="105"/>
      <c r="X909" s="105"/>
      <c r="Y909" s="105"/>
      <c r="Z909" s="105"/>
    </row>
    <row r="910" spans="1:26">
      <c r="A910" s="87" t="str">
        <f t="shared" si="3"/>
        <v/>
      </c>
      <c r="B910" s="2"/>
      <c r="C910" s="87"/>
      <c r="D910" s="87"/>
      <c r="E910" s="87"/>
      <c r="F910" s="87"/>
      <c r="G910" s="87"/>
      <c r="H910" s="87"/>
      <c r="I910" s="87"/>
      <c r="J910" s="102"/>
      <c r="K910" s="103"/>
      <c r="L910" s="104"/>
      <c r="M910" s="95"/>
      <c r="N910" s="95"/>
      <c r="O910" s="95"/>
      <c r="P910" s="105"/>
      <c r="Q910" s="105"/>
      <c r="R910" s="105"/>
      <c r="S910" s="105"/>
      <c r="T910" s="105"/>
      <c r="U910" s="105"/>
      <c r="V910" s="105"/>
      <c r="W910" s="105"/>
      <c r="X910" s="105"/>
      <c r="Y910" s="105"/>
      <c r="Z910" s="105"/>
    </row>
    <row r="911" spans="1:26">
      <c r="A911" s="87" t="str">
        <f t="shared" si="3"/>
        <v/>
      </c>
      <c r="B911" s="2"/>
      <c r="C911" s="87"/>
      <c r="D911" s="87"/>
      <c r="E911" s="87"/>
      <c r="F911" s="87"/>
      <c r="G911" s="87"/>
      <c r="H911" s="87"/>
      <c r="I911" s="87"/>
      <c r="J911" s="102"/>
      <c r="K911" s="103"/>
      <c r="L911" s="104"/>
      <c r="M911" s="95"/>
      <c r="N911" s="95"/>
      <c r="O911" s="95"/>
      <c r="P911" s="105"/>
      <c r="Q911" s="105"/>
      <c r="R911" s="105"/>
      <c r="S911" s="105"/>
      <c r="T911" s="105"/>
      <c r="U911" s="105"/>
      <c r="V911" s="105"/>
      <c r="W911" s="105"/>
      <c r="X911" s="105"/>
      <c r="Y911" s="105"/>
      <c r="Z911" s="105"/>
    </row>
    <row r="912" spans="1:26">
      <c r="A912" s="87" t="str">
        <f t="shared" si="3"/>
        <v/>
      </c>
      <c r="B912" s="2"/>
      <c r="C912" s="87"/>
      <c r="D912" s="87"/>
      <c r="E912" s="87"/>
      <c r="F912" s="87"/>
      <c r="G912" s="87"/>
      <c r="H912" s="87"/>
      <c r="I912" s="87"/>
      <c r="J912" s="102"/>
      <c r="K912" s="103"/>
      <c r="L912" s="104"/>
      <c r="M912" s="95"/>
      <c r="N912" s="95"/>
      <c r="O912" s="95"/>
      <c r="P912" s="105"/>
      <c r="Q912" s="105"/>
      <c r="R912" s="105"/>
      <c r="S912" s="105"/>
      <c r="T912" s="105"/>
      <c r="U912" s="105"/>
      <c r="V912" s="105"/>
      <c r="W912" s="105"/>
      <c r="X912" s="105"/>
      <c r="Y912" s="105"/>
      <c r="Z912" s="105"/>
    </row>
    <row r="913" spans="1:26">
      <c r="A913" s="87" t="str">
        <f t="shared" si="3"/>
        <v/>
      </c>
      <c r="B913" s="2"/>
      <c r="C913" s="87"/>
      <c r="D913" s="87"/>
      <c r="E913" s="87"/>
      <c r="F913" s="87"/>
      <c r="G913" s="87"/>
      <c r="H913" s="87"/>
      <c r="I913" s="87"/>
      <c r="J913" s="102"/>
      <c r="K913" s="103"/>
      <c r="L913" s="104"/>
      <c r="M913" s="95"/>
      <c r="N913" s="95"/>
      <c r="O913" s="95"/>
      <c r="P913" s="105"/>
      <c r="Q913" s="105"/>
      <c r="R913" s="105"/>
      <c r="S913" s="105"/>
      <c r="T913" s="105"/>
      <c r="U913" s="105"/>
      <c r="V913" s="105"/>
      <c r="W913" s="105"/>
      <c r="X913" s="105"/>
      <c r="Y913" s="105"/>
      <c r="Z913" s="105"/>
    </row>
    <row r="914" spans="1:26">
      <c r="A914" s="87" t="str">
        <f t="shared" si="3"/>
        <v/>
      </c>
      <c r="B914" s="2"/>
      <c r="C914" s="87"/>
      <c r="D914" s="87"/>
      <c r="E914" s="87"/>
      <c r="F914" s="87"/>
      <c r="G914" s="87"/>
      <c r="H914" s="87"/>
      <c r="I914" s="87"/>
      <c r="J914" s="102"/>
      <c r="K914" s="103"/>
      <c r="L914" s="104"/>
      <c r="M914" s="95"/>
      <c r="N914" s="95"/>
      <c r="O914" s="95"/>
      <c r="P914" s="105"/>
      <c r="Q914" s="105"/>
      <c r="R914" s="105"/>
      <c r="S914" s="105"/>
      <c r="T914" s="105"/>
      <c r="U914" s="105"/>
      <c r="V914" s="105"/>
      <c r="W914" s="105"/>
      <c r="X914" s="105"/>
      <c r="Y914" s="105"/>
      <c r="Z914" s="105"/>
    </row>
    <row r="915" spans="1:26">
      <c r="A915" s="87" t="str">
        <f t="shared" si="3"/>
        <v/>
      </c>
      <c r="B915" s="2"/>
      <c r="C915" s="87"/>
      <c r="D915" s="87"/>
      <c r="E915" s="87"/>
      <c r="F915" s="87"/>
      <c r="G915" s="87"/>
      <c r="H915" s="87"/>
      <c r="I915" s="87"/>
      <c r="J915" s="102"/>
      <c r="K915" s="103"/>
      <c r="L915" s="104"/>
      <c r="M915" s="95"/>
      <c r="N915" s="95"/>
      <c r="O915" s="95"/>
      <c r="P915" s="105"/>
      <c r="Q915" s="105"/>
      <c r="R915" s="105"/>
      <c r="S915" s="105"/>
      <c r="T915" s="105"/>
      <c r="U915" s="105"/>
      <c r="V915" s="105"/>
      <c r="W915" s="105"/>
      <c r="X915" s="105"/>
      <c r="Y915" s="105"/>
      <c r="Z915" s="105"/>
    </row>
    <row r="916" spans="1:26">
      <c r="A916" s="87" t="str">
        <f t="shared" si="3"/>
        <v/>
      </c>
      <c r="B916" s="2"/>
      <c r="C916" s="87"/>
      <c r="D916" s="87"/>
      <c r="E916" s="87"/>
      <c r="F916" s="87"/>
      <c r="G916" s="87"/>
      <c r="H916" s="87"/>
      <c r="I916" s="87"/>
      <c r="J916" s="102"/>
      <c r="K916" s="103"/>
      <c r="L916" s="104"/>
      <c r="M916" s="95"/>
      <c r="N916" s="95"/>
      <c r="O916" s="95"/>
      <c r="P916" s="105"/>
      <c r="Q916" s="105"/>
      <c r="R916" s="105"/>
      <c r="S916" s="105"/>
      <c r="T916" s="105"/>
      <c r="U916" s="105"/>
      <c r="V916" s="105"/>
      <c r="W916" s="105"/>
      <c r="X916" s="105"/>
      <c r="Y916" s="105"/>
      <c r="Z916" s="105"/>
    </row>
    <row r="917" spans="1:26">
      <c r="A917" s="87" t="str">
        <f t="shared" si="3"/>
        <v/>
      </c>
      <c r="B917" s="2"/>
      <c r="C917" s="87"/>
      <c r="D917" s="87"/>
      <c r="E917" s="87"/>
      <c r="F917" s="87"/>
      <c r="G917" s="87"/>
      <c r="H917" s="87"/>
      <c r="I917" s="87"/>
      <c r="J917" s="102"/>
      <c r="K917" s="103"/>
      <c r="L917" s="104"/>
      <c r="M917" s="95"/>
      <c r="N917" s="95"/>
      <c r="O917" s="95"/>
      <c r="P917" s="105"/>
      <c r="Q917" s="105"/>
      <c r="R917" s="105"/>
      <c r="S917" s="105"/>
      <c r="T917" s="105"/>
      <c r="U917" s="105"/>
      <c r="V917" s="105"/>
      <c r="W917" s="105"/>
      <c r="X917" s="105"/>
      <c r="Y917" s="105"/>
      <c r="Z917" s="105"/>
    </row>
    <row r="918" spans="1:26">
      <c r="A918" s="87" t="str">
        <f t="shared" si="3"/>
        <v/>
      </c>
      <c r="B918" s="2"/>
      <c r="C918" s="87"/>
      <c r="D918" s="87"/>
      <c r="E918" s="87"/>
      <c r="F918" s="87"/>
      <c r="G918" s="87"/>
      <c r="H918" s="87"/>
      <c r="I918" s="87"/>
      <c r="J918" s="102"/>
      <c r="K918" s="103"/>
      <c r="L918" s="104"/>
      <c r="M918" s="95"/>
      <c r="N918" s="95"/>
      <c r="O918" s="95"/>
      <c r="P918" s="105"/>
      <c r="Q918" s="105"/>
      <c r="R918" s="105"/>
      <c r="S918" s="105"/>
      <c r="T918" s="105"/>
      <c r="U918" s="105"/>
      <c r="V918" s="105"/>
      <c r="W918" s="105"/>
      <c r="X918" s="105"/>
      <c r="Y918" s="105"/>
      <c r="Z918" s="105"/>
    </row>
    <row r="919" spans="1:26">
      <c r="A919" s="87" t="str">
        <f t="shared" si="3"/>
        <v/>
      </c>
      <c r="B919" s="2"/>
      <c r="C919" s="87"/>
      <c r="D919" s="87"/>
      <c r="E919" s="87"/>
      <c r="F919" s="87"/>
      <c r="G919" s="87"/>
      <c r="H919" s="87"/>
      <c r="I919" s="87"/>
      <c r="J919" s="102"/>
      <c r="K919" s="103"/>
      <c r="L919" s="104"/>
      <c r="M919" s="95"/>
      <c r="N919" s="95"/>
      <c r="O919" s="95"/>
      <c r="P919" s="105"/>
      <c r="Q919" s="105"/>
      <c r="R919" s="105"/>
      <c r="S919" s="105"/>
      <c r="T919" s="105"/>
      <c r="U919" s="105"/>
      <c r="V919" s="105"/>
      <c r="W919" s="105"/>
      <c r="X919" s="105"/>
      <c r="Y919" s="105"/>
      <c r="Z919" s="105"/>
    </row>
    <row r="920" spans="1:26">
      <c r="A920" s="87" t="str">
        <f t="shared" si="3"/>
        <v/>
      </c>
      <c r="B920" s="2"/>
      <c r="C920" s="87"/>
      <c r="D920" s="87"/>
      <c r="E920" s="87"/>
      <c r="F920" s="87"/>
      <c r="G920" s="87"/>
      <c r="H920" s="87"/>
      <c r="I920" s="87"/>
      <c r="J920" s="102"/>
      <c r="K920" s="103"/>
      <c r="L920" s="104"/>
      <c r="M920" s="95"/>
      <c r="N920" s="95"/>
      <c r="O920" s="95"/>
      <c r="P920" s="105"/>
      <c r="Q920" s="105"/>
      <c r="R920" s="105"/>
      <c r="S920" s="105"/>
      <c r="T920" s="105"/>
      <c r="U920" s="105"/>
      <c r="V920" s="105"/>
      <c r="W920" s="105"/>
      <c r="X920" s="105"/>
      <c r="Y920" s="105"/>
      <c r="Z920" s="105"/>
    </row>
    <row r="921" spans="1:26">
      <c r="A921" s="87" t="str">
        <f t="shared" si="3"/>
        <v/>
      </c>
      <c r="B921" s="2"/>
      <c r="C921" s="87"/>
      <c r="D921" s="87"/>
      <c r="E921" s="87"/>
      <c r="F921" s="87"/>
      <c r="G921" s="87"/>
      <c r="H921" s="87"/>
      <c r="I921" s="87"/>
      <c r="J921" s="102"/>
      <c r="K921" s="103"/>
      <c r="L921" s="104"/>
      <c r="M921" s="95"/>
      <c r="N921" s="95"/>
      <c r="O921" s="95"/>
      <c r="P921" s="105"/>
      <c r="Q921" s="105"/>
      <c r="R921" s="105"/>
      <c r="S921" s="105"/>
      <c r="T921" s="105"/>
      <c r="U921" s="105"/>
      <c r="V921" s="105"/>
      <c r="W921" s="105"/>
      <c r="X921" s="105"/>
      <c r="Y921" s="105"/>
      <c r="Z921" s="105"/>
    </row>
    <row r="922" spans="1:26">
      <c r="A922" s="87" t="str">
        <f t="shared" si="3"/>
        <v/>
      </c>
      <c r="B922" s="2"/>
      <c r="C922" s="87"/>
      <c r="D922" s="87"/>
      <c r="E922" s="87"/>
      <c r="F922" s="87"/>
      <c r="G922" s="87"/>
      <c r="H922" s="87"/>
      <c r="I922" s="87"/>
      <c r="J922" s="102"/>
      <c r="K922" s="103"/>
      <c r="L922" s="104"/>
      <c r="M922" s="95"/>
      <c r="N922" s="95"/>
      <c r="O922" s="95"/>
      <c r="P922" s="105"/>
      <c r="Q922" s="105"/>
      <c r="R922" s="105"/>
      <c r="S922" s="105"/>
      <c r="T922" s="105"/>
      <c r="U922" s="105"/>
      <c r="V922" s="105"/>
      <c r="W922" s="105"/>
      <c r="X922" s="105"/>
      <c r="Y922" s="105"/>
      <c r="Z922" s="105"/>
    </row>
    <row r="923" spans="1:26">
      <c r="A923" s="87" t="str">
        <f t="shared" si="3"/>
        <v/>
      </c>
      <c r="B923" s="2"/>
      <c r="C923" s="87"/>
      <c r="D923" s="87"/>
      <c r="E923" s="87"/>
      <c r="F923" s="87"/>
      <c r="G923" s="87"/>
      <c r="H923" s="87"/>
      <c r="I923" s="87"/>
      <c r="J923" s="102"/>
      <c r="K923" s="103"/>
      <c r="L923" s="104"/>
      <c r="M923" s="95"/>
      <c r="N923" s="95"/>
      <c r="O923" s="95"/>
      <c r="P923" s="105"/>
      <c r="Q923" s="105"/>
      <c r="R923" s="105"/>
      <c r="S923" s="105"/>
      <c r="T923" s="105"/>
      <c r="U923" s="105"/>
      <c r="V923" s="105"/>
      <c r="W923" s="105"/>
      <c r="X923" s="105"/>
      <c r="Y923" s="105"/>
      <c r="Z923" s="105"/>
    </row>
    <row r="924" spans="1:26">
      <c r="A924" s="87" t="str">
        <f t="shared" si="3"/>
        <v/>
      </c>
      <c r="B924" s="2"/>
      <c r="C924" s="87"/>
      <c r="D924" s="87"/>
      <c r="E924" s="87"/>
      <c r="F924" s="87"/>
      <c r="G924" s="87"/>
      <c r="H924" s="87"/>
      <c r="I924" s="87"/>
      <c r="J924" s="102"/>
      <c r="K924" s="103"/>
      <c r="L924" s="104"/>
      <c r="M924" s="95"/>
      <c r="N924" s="95"/>
      <c r="O924" s="95"/>
      <c r="P924" s="105"/>
      <c r="Q924" s="105"/>
      <c r="R924" s="105"/>
      <c r="S924" s="105"/>
      <c r="T924" s="105"/>
      <c r="U924" s="105"/>
      <c r="V924" s="105"/>
      <c r="W924" s="105"/>
      <c r="X924" s="105"/>
      <c r="Y924" s="105"/>
      <c r="Z924" s="105"/>
    </row>
    <row r="925" spans="1:26">
      <c r="A925" s="87" t="str">
        <f t="shared" si="3"/>
        <v/>
      </c>
      <c r="B925" s="2"/>
      <c r="C925" s="87"/>
      <c r="D925" s="87"/>
      <c r="E925" s="87"/>
      <c r="F925" s="87"/>
      <c r="G925" s="87"/>
      <c r="H925" s="87"/>
      <c r="I925" s="87"/>
      <c r="J925" s="102"/>
      <c r="K925" s="103"/>
      <c r="L925" s="104"/>
      <c r="M925" s="95"/>
      <c r="N925" s="95"/>
      <c r="O925" s="95"/>
      <c r="P925" s="105"/>
      <c r="Q925" s="105"/>
      <c r="R925" s="105"/>
      <c r="S925" s="105"/>
      <c r="T925" s="105"/>
      <c r="U925" s="105"/>
      <c r="V925" s="105"/>
      <c r="W925" s="105"/>
      <c r="X925" s="105"/>
      <c r="Y925" s="105"/>
      <c r="Z925" s="105"/>
    </row>
    <row r="926" spans="1:26">
      <c r="A926" s="87" t="str">
        <f t="shared" si="3"/>
        <v/>
      </c>
      <c r="B926" s="2"/>
      <c r="C926" s="87"/>
      <c r="D926" s="87"/>
      <c r="E926" s="87"/>
      <c r="F926" s="87"/>
      <c r="G926" s="87"/>
      <c r="H926" s="87"/>
      <c r="I926" s="87"/>
      <c r="J926" s="102"/>
      <c r="K926" s="103"/>
      <c r="L926" s="104"/>
      <c r="M926" s="95"/>
      <c r="N926" s="95"/>
      <c r="O926" s="95"/>
      <c r="P926" s="105"/>
      <c r="Q926" s="105"/>
      <c r="R926" s="105"/>
      <c r="S926" s="105"/>
      <c r="T926" s="105"/>
      <c r="U926" s="105"/>
      <c r="V926" s="105"/>
      <c r="W926" s="105"/>
      <c r="X926" s="105"/>
      <c r="Y926" s="105"/>
      <c r="Z926" s="105"/>
    </row>
    <row r="927" spans="1:26">
      <c r="A927" s="87" t="str">
        <f t="shared" si="3"/>
        <v/>
      </c>
      <c r="B927" s="2"/>
      <c r="C927" s="87"/>
      <c r="D927" s="87"/>
      <c r="E927" s="87"/>
      <c r="F927" s="87"/>
      <c r="G927" s="87"/>
      <c r="H927" s="87"/>
      <c r="I927" s="87"/>
      <c r="J927" s="102"/>
      <c r="K927" s="103"/>
      <c r="L927" s="104"/>
      <c r="M927" s="95"/>
      <c r="N927" s="95"/>
      <c r="O927" s="95"/>
      <c r="P927" s="105"/>
      <c r="Q927" s="105"/>
      <c r="R927" s="105"/>
      <c r="S927" s="105"/>
      <c r="T927" s="105"/>
      <c r="U927" s="105"/>
      <c r="V927" s="105"/>
      <c r="W927" s="105"/>
      <c r="X927" s="105"/>
      <c r="Y927" s="105"/>
      <c r="Z927" s="105"/>
    </row>
    <row r="928" spans="1:26">
      <c r="A928" s="87" t="str">
        <f t="shared" si="3"/>
        <v/>
      </c>
      <c r="B928" s="2"/>
      <c r="C928" s="87"/>
      <c r="D928" s="87"/>
      <c r="E928" s="87"/>
      <c r="F928" s="87"/>
      <c r="G928" s="87"/>
      <c r="H928" s="87"/>
      <c r="I928" s="87"/>
      <c r="J928" s="102"/>
      <c r="K928" s="103"/>
      <c r="L928" s="104"/>
      <c r="M928" s="95"/>
      <c r="N928" s="95"/>
      <c r="O928" s="95"/>
      <c r="P928" s="105"/>
      <c r="Q928" s="105"/>
      <c r="R928" s="105"/>
      <c r="S928" s="105"/>
      <c r="T928" s="105"/>
      <c r="U928" s="105"/>
      <c r="V928" s="105"/>
      <c r="W928" s="105"/>
      <c r="X928" s="105"/>
      <c r="Y928" s="105"/>
      <c r="Z928" s="105"/>
    </row>
    <row r="929" spans="1:26">
      <c r="A929" s="87" t="str">
        <f t="shared" si="3"/>
        <v/>
      </c>
      <c r="B929" s="2"/>
      <c r="C929" s="87"/>
      <c r="D929" s="87"/>
      <c r="E929" s="87"/>
      <c r="F929" s="87"/>
      <c r="G929" s="87"/>
      <c r="H929" s="87"/>
      <c r="I929" s="87"/>
      <c r="J929" s="102"/>
      <c r="K929" s="103"/>
      <c r="L929" s="104"/>
      <c r="M929" s="95"/>
      <c r="N929" s="95"/>
      <c r="O929" s="95"/>
      <c r="P929" s="105"/>
      <c r="Q929" s="105"/>
      <c r="R929" s="105"/>
      <c r="S929" s="105"/>
      <c r="T929" s="105"/>
      <c r="U929" s="105"/>
      <c r="V929" s="105"/>
      <c r="W929" s="105"/>
      <c r="X929" s="105"/>
      <c r="Y929" s="105"/>
      <c r="Z929" s="105"/>
    </row>
    <row r="930" spans="1:26">
      <c r="A930" s="87" t="str">
        <f t="shared" si="3"/>
        <v/>
      </c>
      <c r="B930" s="2"/>
      <c r="C930" s="87"/>
      <c r="D930" s="87"/>
      <c r="E930" s="87"/>
      <c r="F930" s="87"/>
      <c r="G930" s="87"/>
      <c r="H930" s="87"/>
      <c r="I930" s="87"/>
      <c r="J930" s="102"/>
      <c r="K930" s="103"/>
      <c r="L930" s="104"/>
      <c r="M930" s="95"/>
      <c r="N930" s="95"/>
      <c r="O930" s="95"/>
      <c r="P930" s="105"/>
      <c r="Q930" s="105"/>
      <c r="R930" s="105"/>
      <c r="S930" s="105"/>
      <c r="T930" s="105"/>
      <c r="U930" s="105"/>
      <c r="V930" s="105"/>
      <c r="W930" s="105"/>
      <c r="X930" s="105"/>
      <c r="Y930" s="105"/>
      <c r="Z930" s="105"/>
    </row>
    <row r="931" spans="1:26">
      <c r="A931" s="87" t="str">
        <f t="shared" si="3"/>
        <v/>
      </c>
      <c r="B931" s="2"/>
      <c r="C931" s="87"/>
      <c r="D931" s="87"/>
      <c r="E931" s="87"/>
      <c r="F931" s="87"/>
      <c r="G931" s="87"/>
      <c r="H931" s="87"/>
      <c r="I931" s="87"/>
      <c r="J931" s="102"/>
      <c r="K931" s="103"/>
      <c r="L931" s="104"/>
      <c r="M931" s="95"/>
      <c r="N931" s="95"/>
      <c r="O931" s="95"/>
      <c r="P931" s="105"/>
      <c r="Q931" s="105"/>
      <c r="R931" s="105"/>
      <c r="S931" s="105"/>
      <c r="T931" s="105"/>
      <c r="U931" s="105"/>
      <c r="V931" s="105"/>
      <c r="W931" s="105"/>
      <c r="X931" s="105"/>
      <c r="Y931" s="105"/>
      <c r="Z931" s="105"/>
    </row>
    <row r="932" spans="1:26">
      <c r="A932" s="87" t="str">
        <f t="shared" si="3"/>
        <v/>
      </c>
      <c r="B932" s="2"/>
      <c r="C932" s="87"/>
      <c r="D932" s="87"/>
      <c r="E932" s="87"/>
      <c r="F932" s="87"/>
      <c r="G932" s="87"/>
      <c r="H932" s="87"/>
      <c r="I932" s="87"/>
      <c r="J932" s="102"/>
      <c r="K932" s="103"/>
      <c r="L932" s="104"/>
      <c r="M932" s="95"/>
      <c r="N932" s="95"/>
      <c r="O932" s="95"/>
      <c r="P932" s="105"/>
      <c r="Q932" s="105"/>
      <c r="R932" s="105"/>
      <c r="S932" s="105"/>
      <c r="T932" s="105"/>
      <c r="U932" s="105"/>
      <c r="V932" s="105"/>
      <c r="W932" s="105"/>
      <c r="X932" s="105"/>
      <c r="Y932" s="105"/>
      <c r="Z932" s="105"/>
    </row>
    <row r="933" spans="1:26">
      <c r="A933" s="87" t="str">
        <f t="shared" si="3"/>
        <v/>
      </c>
      <c r="B933" s="2"/>
      <c r="C933" s="87"/>
      <c r="D933" s="87"/>
      <c r="E933" s="87"/>
      <c r="F933" s="87"/>
      <c r="G933" s="87"/>
      <c r="H933" s="87"/>
      <c r="I933" s="87"/>
      <c r="J933" s="102"/>
      <c r="K933" s="103"/>
      <c r="L933" s="104"/>
      <c r="M933" s="95"/>
      <c r="N933" s="95"/>
      <c r="O933" s="95"/>
      <c r="P933" s="105"/>
      <c r="Q933" s="105"/>
      <c r="R933" s="105"/>
      <c r="S933" s="105"/>
      <c r="T933" s="105"/>
      <c r="U933" s="105"/>
      <c r="V933" s="105"/>
      <c r="W933" s="105"/>
      <c r="X933" s="105"/>
      <c r="Y933" s="105"/>
      <c r="Z933" s="105"/>
    </row>
    <row r="934" spans="1:26">
      <c r="A934" s="87" t="str">
        <f t="shared" si="3"/>
        <v/>
      </c>
      <c r="B934" s="2"/>
      <c r="C934" s="87"/>
      <c r="D934" s="87"/>
      <c r="E934" s="87"/>
      <c r="F934" s="87"/>
      <c r="G934" s="87"/>
      <c r="H934" s="87"/>
      <c r="I934" s="87"/>
      <c r="J934" s="102"/>
      <c r="K934" s="103"/>
      <c r="L934" s="104"/>
      <c r="M934" s="95"/>
      <c r="N934" s="95"/>
      <c r="O934" s="95"/>
      <c r="P934" s="105"/>
      <c r="Q934" s="105"/>
      <c r="R934" s="105"/>
      <c r="S934" s="105"/>
      <c r="T934" s="105"/>
      <c r="U934" s="105"/>
      <c r="V934" s="105"/>
      <c r="W934" s="105"/>
      <c r="X934" s="105"/>
      <c r="Y934" s="105"/>
      <c r="Z934" s="105"/>
    </row>
    <row r="935" spans="1:26">
      <c r="A935" s="87" t="str">
        <f t="shared" si="3"/>
        <v/>
      </c>
      <c r="B935" s="2"/>
      <c r="C935" s="87"/>
      <c r="D935" s="87"/>
      <c r="E935" s="87"/>
      <c r="F935" s="87"/>
      <c r="G935" s="87"/>
      <c r="H935" s="87"/>
      <c r="I935" s="87"/>
      <c r="J935" s="102"/>
      <c r="K935" s="103"/>
      <c r="L935" s="104"/>
      <c r="M935" s="95"/>
      <c r="N935" s="95"/>
      <c r="O935" s="95"/>
      <c r="P935" s="105"/>
      <c r="Q935" s="105"/>
      <c r="R935" s="105"/>
      <c r="S935" s="105"/>
      <c r="T935" s="105"/>
      <c r="U935" s="105"/>
      <c r="V935" s="105"/>
      <c r="W935" s="105"/>
      <c r="X935" s="105"/>
      <c r="Y935" s="105"/>
      <c r="Z935" s="105"/>
    </row>
    <row r="936" spans="1:26">
      <c r="A936" s="87" t="str">
        <f t="shared" si="3"/>
        <v/>
      </c>
      <c r="B936" s="2"/>
      <c r="C936" s="87"/>
      <c r="D936" s="87"/>
      <c r="E936" s="87"/>
      <c r="F936" s="87"/>
      <c r="G936" s="87"/>
      <c r="H936" s="87"/>
      <c r="I936" s="87"/>
      <c r="J936" s="102"/>
      <c r="K936" s="103"/>
      <c r="L936" s="104"/>
      <c r="M936" s="95"/>
      <c r="N936" s="95"/>
      <c r="O936" s="95"/>
      <c r="P936" s="105"/>
      <c r="Q936" s="105"/>
      <c r="R936" s="105"/>
      <c r="S936" s="105"/>
      <c r="T936" s="105"/>
      <c r="U936" s="105"/>
      <c r="V936" s="105"/>
      <c r="W936" s="105"/>
      <c r="X936" s="105"/>
      <c r="Y936" s="105"/>
      <c r="Z936" s="105"/>
    </row>
    <row r="937" spans="1:26">
      <c r="A937" s="87" t="str">
        <f t="shared" si="3"/>
        <v/>
      </c>
      <c r="B937" s="2"/>
      <c r="C937" s="87"/>
      <c r="D937" s="87"/>
      <c r="E937" s="87"/>
      <c r="F937" s="87"/>
      <c r="G937" s="87"/>
      <c r="H937" s="87"/>
      <c r="I937" s="87"/>
      <c r="J937" s="102"/>
      <c r="K937" s="103"/>
      <c r="L937" s="104"/>
      <c r="M937" s="95"/>
      <c r="N937" s="95"/>
      <c r="O937" s="95"/>
      <c r="P937" s="105"/>
      <c r="Q937" s="105"/>
      <c r="R937" s="105"/>
      <c r="S937" s="105"/>
      <c r="T937" s="105"/>
      <c r="U937" s="105"/>
      <c r="V937" s="105"/>
      <c r="W937" s="105"/>
      <c r="X937" s="105"/>
      <c r="Y937" s="105"/>
      <c r="Z937" s="105"/>
    </row>
    <row r="938" spans="1:26">
      <c r="A938" s="87" t="str">
        <f t="shared" si="3"/>
        <v/>
      </c>
      <c r="B938" s="2"/>
      <c r="C938" s="87"/>
      <c r="D938" s="87"/>
      <c r="E938" s="87"/>
      <c r="F938" s="87"/>
      <c r="G938" s="87"/>
      <c r="H938" s="87"/>
      <c r="I938" s="87"/>
      <c r="J938" s="102"/>
      <c r="K938" s="103"/>
      <c r="L938" s="104"/>
      <c r="M938" s="95"/>
      <c r="N938" s="95"/>
      <c r="O938" s="95"/>
      <c r="P938" s="105"/>
      <c r="Q938" s="105"/>
      <c r="R938" s="105"/>
      <c r="S938" s="105"/>
      <c r="T938" s="105"/>
      <c r="U938" s="105"/>
      <c r="V938" s="105"/>
      <c r="W938" s="105"/>
      <c r="X938" s="105"/>
      <c r="Y938" s="105"/>
      <c r="Z938" s="105"/>
    </row>
    <row r="939" spans="1:26">
      <c r="A939" s="87" t="str">
        <f t="shared" si="3"/>
        <v/>
      </c>
      <c r="B939" s="2"/>
      <c r="C939" s="87"/>
      <c r="D939" s="87"/>
      <c r="E939" s="87"/>
      <c r="F939" s="87"/>
      <c r="G939" s="87"/>
      <c r="H939" s="87"/>
      <c r="I939" s="87"/>
      <c r="J939" s="102"/>
      <c r="K939" s="103"/>
      <c r="L939" s="104"/>
      <c r="M939" s="95"/>
      <c r="N939" s="95"/>
      <c r="O939" s="95"/>
      <c r="P939" s="105"/>
      <c r="Q939" s="105"/>
      <c r="R939" s="105"/>
      <c r="S939" s="105"/>
      <c r="T939" s="105"/>
      <c r="U939" s="105"/>
      <c r="V939" s="105"/>
      <c r="W939" s="105"/>
      <c r="X939" s="105"/>
      <c r="Y939" s="105"/>
      <c r="Z939" s="105"/>
    </row>
    <row r="940" spans="1:26">
      <c r="A940" s="87" t="str">
        <f t="shared" si="3"/>
        <v/>
      </c>
      <c r="B940" s="2"/>
      <c r="C940" s="87"/>
      <c r="D940" s="87"/>
      <c r="E940" s="87"/>
      <c r="F940" s="87"/>
      <c r="G940" s="87"/>
      <c r="H940" s="87"/>
      <c r="I940" s="87"/>
      <c r="J940" s="102"/>
      <c r="K940" s="103"/>
      <c r="L940" s="104"/>
      <c r="M940" s="95"/>
      <c r="N940" s="95"/>
      <c r="O940" s="95"/>
      <c r="P940" s="105"/>
      <c r="Q940" s="105"/>
      <c r="R940" s="105"/>
      <c r="S940" s="105"/>
      <c r="T940" s="105"/>
      <c r="U940" s="105"/>
      <c r="V940" s="105"/>
      <c r="W940" s="105"/>
      <c r="X940" s="105"/>
      <c r="Y940" s="105"/>
      <c r="Z940" s="105"/>
    </row>
    <row r="941" spans="1:26">
      <c r="A941" s="87" t="str">
        <f t="shared" si="3"/>
        <v/>
      </c>
      <c r="B941" s="2"/>
      <c r="C941" s="87"/>
      <c r="D941" s="87"/>
      <c r="E941" s="87"/>
      <c r="F941" s="87"/>
      <c r="G941" s="87"/>
      <c r="H941" s="87"/>
      <c r="I941" s="87"/>
      <c r="J941" s="102"/>
      <c r="K941" s="103"/>
      <c r="L941" s="104"/>
      <c r="M941" s="95"/>
      <c r="N941" s="95"/>
      <c r="O941" s="95"/>
      <c r="P941" s="105"/>
      <c r="Q941" s="105"/>
      <c r="R941" s="105"/>
      <c r="S941" s="105"/>
      <c r="T941" s="105"/>
      <c r="U941" s="105"/>
      <c r="V941" s="105"/>
      <c r="W941" s="105"/>
      <c r="X941" s="105"/>
      <c r="Y941" s="105"/>
      <c r="Z941" s="105"/>
    </row>
    <row r="942" spans="1:26">
      <c r="A942" s="87" t="str">
        <f t="shared" si="3"/>
        <v/>
      </c>
      <c r="B942" s="2"/>
      <c r="C942" s="87"/>
      <c r="D942" s="87"/>
      <c r="E942" s="87"/>
      <c r="F942" s="87"/>
      <c r="G942" s="87"/>
      <c r="H942" s="87"/>
      <c r="I942" s="87"/>
      <c r="J942" s="102"/>
      <c r="K942" s="103"/>
      <c r="L942" s="104"/>
      <c r="M942" s="95"/>
      <c r="N942" s="95"/>
      <c r="O942" s="95"/>
      <c r="P942" s="105"/>
      <c r="Q942" s="105"/>
      <c r="R942" s="105"/>
      <c r="S942" s="105"/>
      <c r="T942" s="105"/>
      <c r="U942" s="105"/>
      <c r="V942" s="105"/>
      <c r="W942" s="105"/>
      <c r="X942" s="105"/>
      <c r="Y942" s="105"/>
      <c r="Z942" s="105"/>
    </row>
    <row r="943" spans="1:26">
      <c r="A943" s="87" t="str">
        <f t="shared" si="3"/>
        <v/>
      </c>
      <c r="B943" s="2"/>
      <c r="C943" s="87"/>
      <c r="D943" s="87"/>
      <c r="E943" s="87"/>
      <c r="F943" s="87"/>
      <c r="G943" s="87"/>
      <c r="H943" s="87"/>
      <c r="I943" s="87"/>
      <c r="J943" s="102"/>
      <c r="K943" s="103"/>
      <c r="L943" s="104"/>
      <c r="M943" s="95"/>
      <c r="N943" s="95"/>
      <c r="O943" s="95"/>
      <c r="P943" s="105"/>
      <c r="Q943" s="105"/>
      <c r="R943" s="105"/>
      <c r="S943" s="105"/>
      <c r="T943" s="105"/>
      <c r="U943" s="105"/>
      <c r="V943" s="105"/>
      <c r="W943" s="105"/>
      <c r="X943" s="105"/>
      <c r="Y943" s="105"/>
      <c r="Z943" s="105"/>
    </row>
    <row r="944" spans="1:26">
      <c r="A944" s="87" t="str">
        <f t="shared" si="3"/>
        <v/>
      </c>
      <c r="B944" s="2"/>
      <c r="C944" s="87"/>
      <c r="D944" s="87"/>
      <c r="E944" s="87"/>
      <c r="F944" s="87"/>
      <c r="G944" s="87"/>
      <c r="H944" s="87"/>
      <c r="I944" s="87"/>
      <c r="J944" s="102"/>
      <c r="K944" s="103"/>
      <c r="L944" s="104"/>
      <c r="M944" s="95"/>
      <c r="N944" s="95"/>
      <c r="O944" s="95"/>
      <c r="P944" s="105"/>
      <c r="Q944" s="105"/>
      <c r="R944" s="105"/>
      <c r="S944" s="105"/>
      <c r="T944" s="105"/>
      <c r="U944" s="105"/>
      <c r="V944" s="105"/>
      <c r="W944" s="105"/>
      <c r="X944" s="105"/>
      <c r="Y944" s="105"/>
      <c r="Z944" s="105"/>
    </row>
    <row r="945" spans="1:26">
      <c r="A945" s="87" t="str">
        <f t="shared" si="3"/>
        <v/>
      </c>
      <c r="B945" s="2"/>
      <c r="C945" s="87"/>
      <c r="D945" s="87"/>
      <c r="E945" s="87"/>
      <c r="F945" s="87"/>
      <c r="G945" s="87"/>
      <c r="H945" s="87"/>
      <c r="I945" s="87"/>
      <c r="J945" s="102"/>
      <c r="K945" s="103"/>
      <c r="L945" s="104"/>
      <c r="M945" s="95"/>
      <c r="N945" s="95"/>
      <c r="O945" s="95"/>
      <c r="P945" s="105"/>
      <c r="Q945" s="105"/>
      <c r="R945" s="105"/>
      <c r="S945" s="105"/>
      <c r="T945" s="105"/>
      <c r="U945" s="105"/>
      <c r="V945" s="105"/>
      <c r="W945" s="105"/>
      <c r="X945" s="105"/>
      <c r="Y945" s="105"/>
      <c r="Z945" s="105"/>
    </row>
    <row r="946" spans="1:26">
      <c r="A946" s="87" t="str">
        <f t="shared" si="3"/>
        <v/>
      </c>
      <c r="B946" s="2"/>
      <c r="C946" s="87"/>
      <c r="D946" s="87"/>
      <c r="E946" s="87"/>
      <c r="F946" s="87"/>
      <c r="G946" s="87"/>
      <c r="H946" s="87"/>
      <c r="I946" s="87"/>
      <c r="J946" s="102"/>
      <c r="K946" s="103"/>
      <c r="L946" s="104"/>
      <c r="M946" s="95"/>
      <c r="N946" s="95"/>
      <c r="O946" s="95"/>
      <c r="P946" s="105"/>
      <c r="Q946" s="105"/>
      <c r="R946" s="105"/>
      <c r="S946" s="105"/>
      <c r="T946" s="105"/>
      <c r="U946" s="105"/>
      <c r="V946" s="105"/>
      <c r="W946" s="105"/>
      <c r="X946" s="105"/>
      <c r="Y946" s="105"/>
      <c r="Z946" s="105"/>
    </row>
    <row r="947" spans="1:26">
      <c r="A947" s="87" t="str">
        <f t="shared" si="3"/>
        <v/>
      </c>
      <c r="B947" s="2"/>
      <c r="C947" s="87"/>
      <c r="D947" s="87"/>
      <c r="E947" s="87"/>
      <c r="F947" s="87"/>
      <c r="G947" s="87"/>
      <c r="H947" s="87"/>
      <c r="I947" s="87"/>
      <c r="J947" s="102"/>
      <c r="K947" s="103"/>
      <c r="L947" s="104"/>
      <c r="M947" s="95"/>
      <c r="N947" s="95"/>
      <c r="O947" s="95"/>
      <c r="P947" s="105"/>
      <c r="Q947" s="105"/>
      <c r="R947" s="105"/>
      <c r="S947" s="105"/>
      <c r="T947" s="105"/>
      <c r="U947" s="105"/>
      <c r="V947" s="105"/>
      <c r="W947" s="105"/>
      <c r="X947" s="105"/>
      <c r="Y947" s="105"/>
      <c r="Z947" s="105"/>
    </row>
    <row r="948" spans="1:26">
      <c r="A948" s="87" t="str">
        <f t="shared" si="3"/>
        <v/>
      </c>
      <c r="B948" s="2"/>
      <c r="C948" s="87"/>
      <c r="D948" s="87"/>
      <c r="E948" s="87"/>
      <c r="F948" s="87"/>
      <c r="G948" s="87"/>
      <c r="H948" s="87"/>
      <c r="I948" s="87"/>
      <c r="J948" s="102"/>
      <c r="K948" s="103"/>
      <c r="L948" s="104"/>
      <c r="M948" s="95"/>
      <c r="N948" s="95"/>
      <c r="O948" s="95"/>
      <c r="P948" s="105"/>
      <c r="Q948" s="105"/>
      <c r="R948" s="105"/>
      <c r="S948" s="105"/>
      <c r="T948" s="105"/>
      <c r="U948" s="105"/>
      <c r="V948" s="105"/>
      <c r="W948" s="105"/>
      <c r="X948" s="105"/>
      <c r="Y948" s="105"/>
      <c r="Z948" s="105"/>
    </row>
    <row r="949" spans="1:26">
      <c r="A949" s="87" t="str">
        <f t="shared" si="3"/>
        <v/>
      </c>
      <c r="B949" s="2"/>
      <c r="C949" s="87"/>
      <c r="D949" s="87"/>
      <c r="E949" s="87"/>
      <c r="F949" s="87"/>
      <c r="G949" s="87"/>
      <c r="H949" s="87"/>
      <c r="I949" s="87"/>
      <c r="J949" s="102"/>
      <c r="K949" s="103"/>
      <c r="L949" s="104"/>
      <c r="M949" s="95"/>
      <c r="N949" s="95"/>
      <c r="O949" s="95"/>
      <c r="P949" s="105"/>
      <c r="Q949" s="105"/>
      <c r="R949" s="105"/>
      <c r="S949" s="105"/>
      <c r="T949" s="105"/>
      <c r="U949" s="105"/>
      <c r="V949" s="105"/>
      <c r="W949" s="105"/>
      <c r="X949" s="105"/>
      <c r="Y949" s="105"/>
      <c r="Z949" s="105"/>
    </row>
    <row r="950" spans="1:26">
      <c r="A950" s="87" t="str">
        <f t="shared" si="3"/>
        <v/>
      </c>
      <c r="B950" s="2"/>
      <c r="C950" s="87"/>
      <c r="D950" s="87"/>
      <c r="E950" s="87"/>
      <c r="F950" s="87"/>
      <c r="G950" s="87"/>
      <c r="H950" s="87"/>
      <c r="I950" s="87"/>
      <c r="J950" s="102"/>
      <c r="K950" s="103"/>
      <c r="L950" s="104"/>
      <c r="M950" s="95"/>
      <c r="N950" s="95"/>
      <c r="O950" s="95"/>
      <c r="P950" s="105"/>
      <c r="Q950" s="105"/>
      <c r="R950" s="105"/>
      <c r="S950" s="105"/>
      <c r="T950" s="105"/>
      <c r="U950" s="105"/>
      <c r="V950" s="105"/>
      <c r="W950" s="105"/>
      <c r="X950" s="105"/>
      <c r="Y950" s="105"/>
      <c r="Z950" s="105"/>
    </row>
    <row r="951" spans="1:26">
      <c r="A951" s="87" t="str">
        <f t="shared" si="3"/>
        <v/>
      </c>
      <c r="B951" s="2"/>
      <c r="C951" s="87"/>
      <c r="D951" s="87"/>
      <c r="E951" s="87"/>
      <c r="F951" s="87"/>
      <c r="G951" s="87"/>
      <c r="H951" s="87"/>
      <c r="I951" s="87"/>
      <c r="J951" s="102"/>
      <c r="K951" s="103"/>
      <c r="L951" s="104"/>
      <c r="M951" s="95"/>
      <c r="N951" s="95"/>
      <c r="O951" s="95"/>
      <c r="P951" s="105"/>
      <c r="Q951" s="105"/>
      <c r="R951" s="105"/>
      <c r="S951" s="105"/>
      <c r="T951" s="105"/>
      <c r="U951" s="105"/>
      <c r="V951" s="105"/>
      <c r="W951" s="105"/>
      <c r="X951" s="105"/>
      <c r="Y951" s="105"/>
      <c r="Z951" s="105"/>
    </row>
    <row r="952" spans="1:26">
      <c r="A952" s="87" t="str">
        <f t="shared" si="3"/>
        <v/>
      </c>
      <c r="B952" s="2"/>
      <c r="C952" s="87"/>
      <c r="D952" s="87"/>
      <c r="E952" s="87"/>
      <c r="F952" s="87"/>
      <c r="G952" s="87"/>
      <c r="H952" s="87"/>
      <c r="I952" s="87"/>
      <c r="J952" s="102"/>
      <c r="K952" s="103"/>
      <c r="L952" s="104"/>
      <c r="M952" s="95"/>
      <c r="N952" s="95"/>
      <c r="O952" s="95"/>
      <c r="P952" s="105"/>
      <c r="Q952" s="105"/>
      <c r="R952" s="105"/>
      <c r="S952" s="105"/>
      <c r="T952" s="105"/>
      <c r="U952" s="105"/>
      <c r="V952" s="105"/>
      <c r="W952" s="105"/>
      <c r="X952" s="105"/>
      <c r="Y952" s="105"/>
      <c r="Z952" s="105"/>
    </row>
    <row r="953" spans="1:26">
      <c r="A953" s="87" t="str">
        <f t="shared" si="3"/>
        <v/>
      </c>
      <c r="B953" s="2"/>
      <c r="C953" s="87"/>
      <c r="D953" s="87"/>
      <c r="E953" s="87"/>
      <c r="F953" s="87"/>
      <c r="G953" s="87"/>
      <c r="H953" s="87"/>
      <c r="I953" s="87"/>
      <c r="J953" s="102"/>
      <c r="K953" s="103"/>
      <c r="L953" s="104"/>
      <c r="M953" s="95"/>
      <c r="N953" s="95"/>
      <c r="O953" s="95"/>
      <c r="P953" s="105"/>
      <c r="Q953" s="105"/>
      <c r="R953" s="105"/>
      <c r="S953" s="105"/>
      <c r="T953" s="105"/>
      <c r="U953" s="105"/>
      <c r="V953" s="105"/>
      <c r="W953" s="105"/>
      <c r="X953" s="105"/>
      <c r="Y953" s="105"/>
      <c r="Z953" s="105"/>
    </row>
    <row r="954" spans="1:26">
      <c r="A954" s="87" t="str">
        <f t="shared" si="3"/>
        <v/>
      </c>
      <c r="B954" s="2"/>
      <c r="C954" s="87"/>
      <c r="D954" s="87"/>
      <c r="E954" s="87"/>
      <c r="F954" s="87"/>
      <c r="G954" s="87"/>
      <c r="H954" s="87"/>
      <c r="I954" s="87"/>
      <c r="J954" s="102"/>
      <c r="K954" s="103"/>
      <c r="L954" s="104"/>
      <c r="M954" s="95"/>
      <c r="N954" s="95"/>
      <c r="O954" s="95"/>
      <c r="P954" s="105"/>
      <c r="Q954" s="105"/>
      <c r="R954" s="105"/>
      <c r="S954" s="105"/>
      <c r="T954" s="105"/>
      <c r="U954" s="105"/>
      <c r="V954" s="105"/>
      <c r="W954" s="105"/>
      <c r="X954" s="105"/>
      <c r="Y954" s="105"/>
      <c r="Z954" s="105"/>
    </row>
    <row r="955" spans="1:26">
      <c r="A955" s="87" t="str">
        <f t="shared" si="3"/>
        <v/>
      </c>
      <c r="B955" s="2"/>
      <c r="C955" s="87"/>
      <c r="D955" s="87"/>
      <c r="E955" s="87"/>
      <c r="F955" s="87"/>
      <c r="G955" s="87"/>
      <c r="H955" s="87"/>
      <c r="I955" s="87"/>
      <c r="J955" s="102"/>
      <c r="K955" s="103"/>
      <c r="L955" s="104"/>
      <c r="M955" s="95"/>
      <c r="N955" s="95"/>
      <c r="O955" s="95"/>
      <c r="P955" s="105"/>
      <c r="Q955" s="105"/>
      <c r="R955" s="105"/>
      <c r="S955" s="105"/>
      <c r="T955" s="105"/>
      <c r="U955" s="105"/>
      <c r="V955" s="105"/>
      <c r="W955" s="105"/>
      <c r="X955" s="105"/>
      <c r="Y955" s="105"/>
      <c r="Z955" s="105"/>
    </row>
    <row r="956" spans="1:26">
      <c r="A956" s="87" t="str">
        <f t="shared" si="3"/>
        <v/>
      </c>
      <c r="B956" s="2"/>
      <c r="C956" s="87"/>
      <c r="D956" s="87"/>
      <c r="E956" s="87"/>
      <c r="F956" s="87"/>
      <c r="G956" s="87"/>
      <c r="H956" s="87"/>
      <c r="I956" s="87"/>
      <c r="J956" s="102"/>
      <c r="K956" s="103"/>
      <c r="L956" s="104"/>
      <c r="M956" s="95"/>
      <c r="N956" s="95"/>
      <c r="O956" s="95"/>
      <c r="P956" s="105"/>
      <c r="Q956" s="105"/>
      <c r="R956" s="105"/>
      <c r="S956" s="105"/>
      <c r="T956" s="105"/>
      <c r="U956" s="105"/>
      <c r="V956" s="105"/>
      <c r="W956" s="105"/>
      <c r="X956" s="105"/>
      <c r="Y956" s="105"/>
      <c r="Z956" s="105"/>
    </row>
    <row r="957" spans="1:26">
      <c r="A957" s="87" t="str">
        <f t="shared" si="3"/>
        <v/>
      </c>
      <c r="B957" s="2"/>
      <c r="C957" s="87"/>
      <c r="D957" s="87"/>
      <c r="E957" s="87"/>
      <c r="F957" s="87"/>
      <c r="G957" s="87"/>
      <c r="H957" s="87"/>
      <c r="I957" s="87"/>
      <c r="J957" s="102"/>
      <c r="K957" s="103"/>
      <c r="L957" s="104"/>
      <c r="M957" s="95"/>
      <c r="N957" s="95"/>
      <c r="O957" s="95"/>
      <c r="P957" s="105"/>
      <c r="Q957" s="105"/>
      <c r="R957" s="105"/>
      <c r="S957" s="105"/>
      <c r="T957" s="105"/>
      <c r="U957" s="105"/>
      <c r="V957" s="105"/>
      <c r="W957" s="105"/>
      <c r="X957" s="105"/>
      <c r="Y957" s="105"/>
      <c r="Z957" s="105"/>
    </row>
    <row r="958" spans="1:26">
      <c r="A958" s="87" t="str">
        <f t="shared" si="3"/>
        <v/>
      </c>
      <c r="B958" s="2"/>
      <c r="C958" s="87"/>
      <c r="D958" s="87"/>
      <c r="E958" s="87"/>
      <c r="F958" s="87"/>
      <c r="G958" s="87"/>
      <c r="H958" s="87"/>
      <c r="I958" s="87"/>
      <c r="J958" s="102"/>
      <c r="K958" s="103"/>
      <c r="L958" s="104"/>
      <c r="M958" s="95"/>
      <c r="N958" s="95"/>
      <c r="O958" s="95"/>
      <c r="P958" s="105"/>
      <c r="Q958" s="105"/>
      <c r="R958" s="105"/>
      <c r="S958" s="105"/>
      <c r="T958" s="105"/>
      <c r="U958" s="105"/>
      <c r="V958" s="105"/>
      <c r="W958" s="105"/>
      <c r="X958" s="105"/>
      <c r="Y958" s="105"/>
      <c r="Z958" s="105"/>
    </row>
    <row r="959" spans="1:26">
      <c r="A959" s="87" t="str">
        <f t="shared" si="3"/>
        <v/>
      </c>
      <c r="B959" s="2"/>
      <c r="C959" s="87"/>
      <c r="D959" s="87"/>
      <c r="E959" s="87"/>
      <c r="F959" s="87"/>
      <c r="G959" s="87"/>
      <c r="H959" s="87"/>
      <c r="I959" s="87"/>
      <c r="J959" s="102"/>
      <c r="K959" s="103"/>
      <c r="L959" s="104"/>
      <c r="M959" s="95"/>
      <c r="N959" s="95"/>
      <c r="O959" s="95"/>
      <c r="P959" s="105"/>
      <c r="Q959" s="105"/>
      <c r="R959" s="105"/>
      <c r="S959" s="105"/>
      <c r="T959" s="105"/>
      <c r="U959" s="105"/>
      <c r="V959" s="105"/>
      <c r="W959" s="105"/>
      <c r="X959" s="105"/>
      <c r="Y959" s="105"/>
      <c r="Z959" s="105"/>
    </row>
    <row r="960" spans="1:26">
      <c r="A960" s="87" t="str">
        <f t="shared" si="3"/>
        <v/>
      </c>
      <c r="B960" s="2"/>
      <c r="C960" s="87"/>
      <c r="D960" s="87"/>
      <c r="E960" s="87"/>
      <c r="F960" s="87"/>
      <c r="G960" s="87"/>
      <c r="H960" s="87"/>
      <c r="I960" s="87"/>
      <c r="J960" s="102"/>
      <c r="K960" s="103"/>
      <c r="L960" s="104"/>
      <c r="M960" s="95"/>
      <c r="N960" s="95"/>
      <c r="O960" s="95"/>
      <c r="P960" s="105"/>
      <c r="Q960" s="105"/>
      <c r="R960" s="105"/>
      <c r="S960" s="105"/>
      <c r="T960" s="105"/>
      <c r="U960" s="105"/>
      <c r="V960" s="105"/>
      <c r="W960" s="105"/>
      <c r="X960" s="105"/>
      <c r="Y960" s="105"/>
      <c r="Z960" s="105"/>
    </row>
    <row r="961" spans="1:26">
      <c r="A961" s="87" t="str">
        <f t="shared" si="3"/>
        <v/>
      </c>
      <c r="B961" s="2"/>
      <c r="C961" s="87"/>
      <c r="D961" s="87"/>
      <c r="E961" s="87"/>
      <c r="F961" s="87"/>
      <c r="G961" s="87"/>
      <c r="H961" s="87"/>
      <c r="I961" s="87"/>
      <c r="J961" s="102"/>
      <c r="K961" s="103"/>
      <c r="L961" s="104"/>
      <c r="M961" s="95"/>
      <c r="N961" s="95"/>
      <c r="O961" s="95"/>
      <c r="P961" s="105"/>
      <c r="Q961" s="105"/>
      <c r="R961" s="105"/>
      <c r="S961" s="105"/>
      <c r="T961" s="105"/>
      <c r="U961" s="105"/>
      <c r="V961" s="105"/>
      <c r="W961" s="105"/>
      <c r="X961" s="105"/>
      <c r="Y961" s="105"/>
      <c r="Z961" s="105"/>
    </row>
    <row r="962" spans="1:26">
      <c r="A962" s="87" t="str">
        <f t="shared" si="3"/>
        <v/>
      </c>
      <c r="B962" s="2"/>
      <c r="C962" s="87"/>
      <c r="D962" s="87"/>
      <c r="E962" s="87"/>
      <c r="F962" s="87"/>
      <c r="G962" s="87"/>
      <c r="H962" s="87"/>
      <c r="I962" s="87"/>
      <c r="J962" s="102"/>
      <c r="K962" s="103"/>
      <c r="L962" s="104"/>
      <c r="M962" s="95"/>
      <c r="N962" s="95"/>
      <c r="O962" s="95"/>
      <c r="P962" s="105"/>
      <c r="Q962" s="105"/>
      <c r="R962" s="105"/>
      <c r="S962" s="105"/>
      <c r="T962" s="105"/>
      <c r="U962" s="105"/>
      <c r="V962" s="105"/>
      <c r="W962" s="105"/>
      <c r="X962" s="105"/>
      <c r="Y962" s="105"/>
      <c r="Z962" s="105"/>
    </row>
    <row r="963" spans="1:26">
      <c r="A963" s="87" t="str">
        <f t="shared" si="3"/>
        <v/>
      </c>
      <c r="B963" s="2"/>
      <c r="C963" s="87"/>
      <c r="D963" s="87"/>
      <c r="E963" s="87"/>
      <c r="F963" s="87"/>
      <c r="G963" s="87"/>
      <c r="H963" s="87"/>
      <c r="I963" s="87"/>
      <c r="J963" s="102"/>
      <c r="K963" s="103"/>
      <c r="L963" s="104"/>
      <c r="M963" s="95"/>
      <c r="N963" s="95"/>
      <c r="O963" s="95"/>
      <c r="P963" s="105"/>
      <c r="Q963" s="105"/>
      <c r="R963" s="105"/>
      <c r="S963" s="105"/>
      <c r="T963" s="105"/>
      <c r="U963" s="105"/>
      <c r="V963" s="105"/>
      <c r="W963" s="105"/>
      <c r="X963" s="105"/>
      <c r="Y963" s="105"/>
      <c r="Z963" s="105"/>
    </row>
    <row r="964" spans="1:26">
      <c r="A964" s="87" t="str">
        <f t="shared" si="3"/>
        <v/>
      </c>
      <c r="B964" s="2"/>
      <c r="C964" s="87"/>
      <c r="D964" s="87"/>
      <c r="E964" s="87"/>
      <c r="F964" s="87"/>
      <c r="G964" s="87"/>
      <c r="H964" s="87"/>
      <c r="I964" s="87"/>
      <c r="J964" s="102"/>
      <c r="K964" s="103"/>
      <c r="L964" s="104"/>
      <c r="M964" s="95"/>
      <c r="N964" s="95"/>
      <c r="O964" s="95"/>
      <c r="P964" s="105"/>
      <c r="Q964" s="105"/>
      <c r="R964" s="105"/>
      <c r="S964" s="105"/>
      <c r="T964" s="105"/>
      <c r="U964" s="105"/>
      <c r="V964" s="105"/>
      <c r="W964" s="105"/>
      <c r="X964" s="105"/>
      <c r="Y964" s="105"/>
      <c r="Z964" s="105"/>
    </row>
    <row r="965" spans="1:26">
      <c r="A965" s="87" t="str">
        <f t="shared" si="3"/>
        <v/>
      </c>
      <c r="B965" s="2"/>
      <c r="C965" s="87"/>
      <c r="D965" s="87"/>
      <c r="E965" s="87"/>
      <c r="F965" s="87"/>
      <c r="G965" s="87"/>
      <c r="H965" s="87"/>
      <c r="I965" s="87"/>
      <c r="J965" s="102"/>
      <c r="K965" s="103"/>
      <c r="L965" s="104"/>
      <c r="M965" s="95"/>
      <c r="N965" s="95"/>
      <c r="O965" s="95"/>
      <c r="P965" s="105"/>
      <c r="Q965" s="105"/>
      <c r="R965" s="105"/>
      <c r="S965" s="105"/>
      <c r="T965" s="105"/>
      <c r="U965" s="105"/>
      <c r="V965" s="105"/>
      <c r="W965" s="105"/>
      <c r="X965" s="105"/>
      <c r="Y965" s="105"/>
      <c r="Z965" s="105"/>
    </row>
    <row r="966" spans="1:26">
      <c r="A966" s="87" t="str">
        <f t="shared" si="3"/>
        <v/>
      </c>
      <c r="B966" s="2"/>
      <c r="C966" s="87"/>
      <c r="D966" s="87"/>
      <c r="E966" s="87"/>
      <c r="F966" s="87"/>
      <c r="G966" s="87"/>
      <c r="H966" s="87"/>
      <c r="I966" s="87"/>
      <c r="J966" s="102"/>
      <c r="K966" s="103"/>
      <c r="L966" s="104"/>
      <c r="M966" s="95"/>
      <c r="N966" s="95"/>
      <c r="O966" s="95"/>
      <c r="P966" s="105"/>
      <c r="Q966" s="105"/>
      <c r="R966" s="105"/>
      <c r="S966" s="105"/>
      <c r="T966" s="105"/>
      <c r="U966" s="105"/>
      <c r="V966" s="105"/>
      <c r="W966" s="105"/>
      <c r="X966" s="105"/>
      <c r="Y966" s="105"/>
      <c r="Z966" s="105"/>
    </row>
    <row r="967" spans="1:26">
      <c r="A967" s="87" t="str">
        <f t="shared" si="3"/>
        <v/>
      </c>
      <c r="B967" s="2"/>
      <c r="C967" s="87"/>
      <c r="D967" s="87"/>
      <c r="E967" s="87"/>
      <c r="F967" s="87"/>
      <c r="G967" s="87"/>
      <c r="H967" s="87"/>
      <c r="I967" s="87"/>
      <c r="J967" s="102"/>
      <c r="K967" s="103"/>
      <c r="L967" s="104"/>
      <c r="M967" s="95"/>
      <c r="N967" s="95"/>
      <c r="O967" s="95"/>
      <c r="P967" s="105"/>
      <c r="Q967" s="105"/>
      <c r="R967" s="105"/>
      <c r="S967" s="105"/>
      <c r="T967" s="105"/>
      <c r="U967" s="105"/>
      <c r="V967" s="105"/>
      <c r="W967" s="105"/>
      <c r="X967" s="105"/>
      <c r="Y967" s="105"/>
      <c r="Z967" s="105"/>
    </row>
    <row r="968" spans="1:26">
      <c r="A968" s="87" t="str">
        <f t="shared" si="3"/>
        <v/>
      </c>
      <c r="B968" s="2"/>
      <c r="C968" s="87"/>
      <c r="D968" s="87"/>
      <c r="E968" s="87"/>
      <c r="F968" s="87"/>
      <c r="G968" s="87"/>
      <c r="H968" s="87"/>
      <c r="I968" s="87"/>
      <c r="J968" s="102"/>
      <c r="K968" s="103"/>
      <c r="L968" s="104"/>
      <c r="M968" s="95"/>
      <c r="N968" s="95"/>
      <c r="O968" s="95"/>
      <c r="P968" s="105"/>
      <c r="Q968" s="105"/>
      <c r="R968" s="105"/>
      <c r="S968" s="105"/>
      <c r="T968" s="105"/>
      <c r="U968" s="105"/>
      <c r="V968" s="105"/>
      <c r="W968" s="105"/>
      <c r="X968" s="105"/>
      <c r="Y968" s="105"/>
      <c r="Z968" s="105"/>
    </row>
    <row r="969" spans="1:26">
      <c r="A969" s="87" t="str">
        <f t="shared" si="3"/>
        <v/>
      </c>
      <c r="B969" s="2"/>
      <c r="C969" s="87"/>
      <c r="D969" s="87"/>
      <c r="E969" s="87"/>
      <c r="F969" s="87"/>
      <c r="G969" s="87"/>
      <c r="H969" s="87"/>
      <c r="I969" s="87"/>
      <c r="J969" s="102"/>
      <c r="K969" s="103"/>
      <c r="L969" s="104"/>
      <c r="M969" s="95"/>
      <c r="N969" s="95"/>
      <c r="O969" s="95"/>
      <c r="P969" s="105"/>
      <c r="Q969" s="105"/>
      <c r="R969" s="105"/>
      <c r="S969" s="105"/>
      <c r="T969" s="105"/>
      <c r="U969" s="105"/>
      <c r="V969" s="105"/>
      <c r="W969" s="105"/>
      <c r="X969" s="105"/>
      <c r="Y969" s="105"/>
      <c r="Z969" s="105"/>
    </row>
    <row r="970" spans="1:26">
      <c r="A970" s="87" t="str">
        <f t="shared" si="3"/>
        <v/>
      </c>
      <c r="B970" s="2"/>
      <c r="C970" s="87"/>
      <c r="D970" s="87"/>
      <c r="E970" s="87"/>
      <c r="F970" s="87"/>
      <c r="G970" s="87"/>
      <c r="H970" s="87"/>
      <c r="I970" s="87"/>
      <c r="J970" s="102"/>
      <c r="K970" s="103"/>
      <c r="L970" s="104"/>
      <c r="M970" s="95"/>
      <c r="N970" s="95"/>
      <c r="O970" s="95"/>
      <c r="P970" s="105"/>
      <c r="Q970" s="105"/>
      <c r="R970" s="105"/>
      <c r="S970" s="105"/>
      <c r="T970" s="105"/>
      <c r="U970" s="105"/>
      <c r="V970" s="105"/>
      <c r="W970" s="105"/>
      <c r="X970" s="105"/>
      <c r="Y970" s="105"/>
      <c r="Z970" s="105"/>
    </row>
    <row r="971" spans="1:26">
      <c r="A971" s="87" t="str">
        <f t="shared" si="3"/>
        <v/>
      </c>
      <c r="B971" s="2"/>
      <c r="C971" s="87"/>
      <c r="D971" s="87"/>
      <c r="E971" s="87"/>
      <c r="F971" s="87"/>
      <c r="G971" s="87"/>
      <c r="H971" s="87"/>
      <c r="I971" s="87"/>
      <c r="J971" s="102"/>
      <c r="K971" s="103"/>
      <c r="L971" s="104"/>
      <c r="M971" s="95"/>
      <c r="N971" s="95"/>
      <c r="O971" s="95"/>
      <c r="P971" s="105"/>
      <c r="Q971" s="105"/>
      <c r="R971" s="105"/>
      <c r="S971" s="105"/>
      <c r="T971" s="105"/>
      <c r="U971" s="105"/>
      <c r="V971" s="105"/>
      <c r="W971" s="105"/>
      <c r="X971" s="105"/>
      <c r="Y971" s="105"/>
      <c r="Z971" s="105"/>
    </row>
    <row r="972" spans="1:26">
      <c r="A972" s="87" t="str">
        <f t="shared" si="3"/>
        <v/>
      </c>
      <c r="B972" s="2"/>
      <c r="C972" s="87"/>
      <c r="D972" s="87"/>
      <c r="E972" s="87"/>
      <c r="F972" s="87"/>
      <c r="G972" s="87"/>
      <c r="H972" s="87"/>
      <c r="I972" s="87"/>
      <c r="J972" s="102"/>
      <c r="K972" s="103"/>
      <c r="L972" s="104"/>
      <c r="M972" s="95"/>
      <c r="N972" s="95"/>
      <c r="O972" s="95"/>
      <c r="P972" s="105"/>
      <c r="Q972" s="105"/>
      <c r="R972" s="105"/>
      <c r="S972" s="105"/>
      <c r="T972" s="105"/>
      <c r="U972" s="105"/>
      <c r="V972" s="105"/>
      <c r="W972" s="105"/>
      <c r="X972" s="105"/>
      <c r="Y972" s="105"/>
      <c r="Z972" s="105"/>
    </row>
    <row r="973" spans="1:26">
      <c r="A973" s="87" t="str">
        <f t="shared" si="3"/>
        <v/>
      </c>
      <c r="B973" s="2"/>
      <c r="C973" s="87"/>
      <c r="D973" s="87"/>
      <c r="E973" s="87"/>
      <c r="F973" s="87"/>
      <c r="G973" s="87"/>
      <c r="H973" s="87"/>
      <c r="I973" s="87"/>
      <c r="J973" s="102"/>
      <c r="K973" s="103"/>
      <c r="L973" s="104"/>
      <c r="M973" s="95"/>
      <c r="N973" s="95"/>
      <c r="O973" s="95"/>
      <c r="P973" s="105"/>
      <c r="Q973" s="105"/>
      <c r="R973" s="105"/>
      <c r="S973" s="105"/>
      <c r="T973" s="105"/>
      <c r="U973" s="105"/>
      <c r="V973" s="105"/>
      <c r="W973" s="105"/>
      <c r="X973" s="105"/>
      <c r="Y973" s="105"/>
      <c r="Z973" s="105"/>
    </row>
    <row r="974" spans="1:26">
      <c r="A974" s="87" t="str">
        <f t="shared" si="3"/>
        <v/>
      </c>
      <c r="B974" s="2"/>
      <c r="C974" s="87"/>
      <c r="D974" s="87"/>
      <c r="E974" s="87"/>
      <c r="F974" s="87"/>
      <c r="G974" s="87"/>
      <c r="H974" s="87"/>
      <c r="I974" s="87"/>
      <c r="J974" s="102"/>
      <c r="K974" s="103"/>
      <c r="L974" s="104"/>
      <c r="M974" s="95"/>
      <c r="N974" s="95"/>
      <c r="O974" s="95"/>
      <c r="P974" s="105"/>
      <c r="Q974" s="105"/>
      <c r="R974" s="105"/>
      <c r="S974" s="105"/>
      <c r="T974" s="105"/>
      <c r="U974" s="105"/>
      <c r="V974" s="105"/>
      <c r="W974" s="105"/>
      <c r="X974" s="105"/>
      <c r="Y974" s="105"/>
      <c r="Z974" s="105"/>
    </row>
    <row r="975" spans="1:26">
      <c r="A975" s="87" t="str">
        <f t="shared" si="3"/>
        <v/>
      </c>
      <c r="B975" s="2"/>
      <c r="C975" s="87"/>
      <c r="D975" s="87"/>
      <c r="E975" s="87"/>
      <c r="F975" s="87"/>
      <c r="G975" s="87"/>
      <c r="H975" s="87"/>
      <c r="I975" s="87"/>
      <c r="J975" s="102"/>
      <c r="K975" s="103"/>
      <c r="L975" s="104"/>
      <c r="M975" s="95"/>
      <c r="N975" s="95"/>
      <c r="O975" s="95"/>
      <c r="P975" s="105"/>
      <c r="Q975" s="105"/>
      <c r="R975" s="105"/>
      <c r="S975" s="105"/>
      <c r="T975" s="105"/>
      <c r="U975" s="105"/>
      <c r="V975" s="105"/>
      <c r="W975" s="105"/>
      <c r="X975" s="105"/>
      <c r="Y975" s="105"/>
      <c r="Z975" s="105"/>
    </row>
    <row r="976" spans="1:26">
      <c r="A976" s="87" t="str">
        <f t="shared" si="3"/>
        <v/>
      </c>
      <c r="B976" s="2"/>
      <c r="C976" s="87"/>
      <c r="D976" s="87"/>
      <c r="E976" s="87"/>
      <c r="F976" s="87"/>
      <c r="G976" s="87"/>
      <c r="H976" s="87"/>
      <c r="I976" s="87"/>
      <c r="J976" s="102"/>
      <c r="K976" s="103"/>
      <c r="L976" s="104"/>
      <c r="M976" s="95"/>
      <c r="N976" s="95"/>
      <c r="O976" s="95"/>
      <c r="P976" s="105"/>
      <c r="Q976" s="105"/>
      <c r="R976" s="105"/>
      <c r="S976" s="105"/>
      <c r="T976" s="105"/>
      <c r="U976" s="105"/>
      <c r="V976" s="105"/>
      <c r="W976" s="105"/>
      <c r="X976" s="105"/>
      <c r="Y976" s="105"/>
      <c r="Z976" s="105"/>
    </row>
    <row r="977" spans="1:26">
      <c r="A977" s="87" t="str">
        <f t="shared" si="3"/>
        <v/>
      </c>
      <c r="B977" s="2"/>
      <c r="C977" s="87"/>
      <c r="D977" s="87"/>
      <c r="E977" s="87"/>
      <c r="F977" s="87"/>
      <c r="G977" s="87"/>
      <c r="H977" s="87"/>
      <c r="I977" s="87"/>
      <c r="J977" s="102"/>
      <c r="K977" s="103"/>
      <c r="L977" s="104"/>
      <c r="M977" s="95"/>
      <c r="N977" s="95"/>
      <c r="O977" s="95"/>
      <c r="P977" s="105"/>
      <c r="Q977" s="105"/>
      <c r="R977" s="105"/>
      <c r="S977" s="105"/>
      <c r="T977" s="105"/>
      <c r="U977" s="105"/>
      <c r="V977" s="105"/>
      <c r="W977" s="105"/>
      <c r="X977" s="105"/>
      <c r="Y977" s="105"/>
      <c r="Z977" s="105"/>
    </row>
    <row r="978" spans="1:26">
      <c r="A978" s="87" t="str">
        <f t="shared" si="3"/>
        <v/>
      </c>
      <c r="B978" s="2"/>
      <c r="C978" s="87"/>
      <c r="D978" s="87"/>
      <c r="E978" s="87"/>
      <c r="F978" s="87"/>
      <c r="G978" s="87"/>
      <c r="H978" s="87"/>
      <c r="I978" s="87"/>
      <c r="J978" s="102"/>
      <c r="K978" s="103"/>
      <c r="L978" s="104"/>
      <c r="M978" s="95"/>
      <c r="N978" s="95"/>
      <c r="O978" s="95"/>
      <c r="P978" s="105"/>
      <c r="Q978" s="105"/>
      <c r="R978" s="105"/>
      <c r="S978" s="105"/>
      <c r="T978" s="105"/>
      <c r="U978" s="105"/>
      <c r="V978" s="105"/>
      <c r="W978" s="105"/>
      <c r="X978" s="105"/>
      <c r="Y978" s="105"/>
      <c r="Z978" s="105"/>
    </row>
    <row r="979" spans="1:26">
      <c r="A979" s="87" t="str">
        <f t="shared" si="3"/>
        <v/>
      </c>
      <c r="B979" s="2"/>
      <c r="C979" s="87"/>
      <c r="D979" s="87"/>
      <c r="E979" s="87"/>
      <c r="F979" s="87"/>
      <c r="G979" s="87"/>
      <c r="H979" s="87"/>
      <c r="I979" s="87"/>
      <c r="J979" s="102"/>
      <c r="K979" s="103"/>
      <c r="L979" s="104"/>
      <c r="M979" s="95"/>
      <c r="N979" s="95"/>
      <c r="O979" s="95"/>
      <c r="P979" s="105"/>
      <c r="Q979" s="105"/>
      <c r="R979" s="105"/>
      <c r="S979" s="105"/>
      <c r="T979" s="105"/>
      <c r="U979" s="105"/>
      <c r="V979" s="105"/>
      <c r="W979" s="105"/>
      <c r="X979" s="105"/>
      <c r="Y979" s="105"/>
      <c r="Z979" s="105"/>
    </row>
    <row r="980" spans="1:26">
      <c r="A980" s="87" t="str">
        <f t="shared" si="3"/>
        <v/>
      </c>
      <c r="B980" s="2"/>
      <c r="C980" s="87"/>
      <c r="D980" s="87"/>
      <c r="E980" s="87"/>
      <c r="F980" s="87"/>
      <c r="G980" s="87"/>
      <c r="H980" s="87"/>
      <c r="I980" s="87"/>
      <c r="J980" s="102"/>
      <c r="K980" s="103"/>
      <c r="L980" s="104"/>
      <c r="M980" s="95"/>
      <c r="N980" s="95"/>
      <c r="O980" s="95"/>
      <c r="P980" s="105"/>
      <c r="Q980" s="105"/>
      <c r="R980" s="105"/>
      <c r="S980" s="105"/>
      <c r="T980" s="105"/>
      <c r="U980" s="105"/>
      <c r="V980" s="105"/>
      <c r="W980" s="105"/>
      <c r="X980" s="105"/>
      <c r="Y980" s="105"/>
      <c r="Z980" s="105"/>
    </row>
    <row r="981" spans="1:26">
      <c r="A981" s="87" t="str">
        <f t="shared" si="3"/>
        <v/>
      </c>
      <c r="B981" s="2"/>
      <c r="C981" s="87"/>
      <c r="D981" s="87"/>
      <c r="E981" s="87"/>
      <c r="F981" s="87"/>
      <c r="G981" s="87"/>
      <c r="H981" s="87"/>
      <c r="I981" s="87"/>
      <c r="J981" s="102"/>
      <c r="K981" s="103"/>
      <c r="L981" s="104"/>
      <c r="M981" s="95"/>
      <c r="N981" s="95"/>
      <c r="O981" s="95"/>
      <c r="P981" s="105"/>
      <c r="Q981" s="105"/>
      <c r="R981" s="105"/>
      <c r="S981" s="105"/>
      <c r="T981" s="105"/>
      <c r="U981" s="105"/>
      <c r="V981" s="105"/>
      <c r="W981" s="105"/>
      <c r="X981" s="105"/>
      <c r="Y981" s="105"/>
      <c r="Z981" s="105"/>
    </row>
    <row r="982" spans="1:26">
      <c r="A982" s="87" t="str">
        <f t="shared" si="3"/>
        <v/>
      </c>
      <c r="B982" s="2"/>
      <c r="C982" s="87"/>
      <c r="D982" s="87"/>
      <c r="E982" s="87"/>
      <c r="F982" s="87"/>
      <c r="G982" s="87"/>
      <c r="H982" s="87"/>
      <c r="I982" s="87"/>
      <c r="J982" s="102"/>
      <c r="K982" s="103"/>
      <c r="L982" s="104"/>
      <c r="M982" s="95"/>
      <c r="N982" s="95"/>
      <c r="O982" s="95"/>
      <c r="P982" s="105"/>
      <c r="Q982" s="105"/>
      <c r="R982" s="105"/>
      <c r="S982" s="105"/>
      <c r="T982" s="105"/>
      <c r="U982" s="105"/>
      <c r="V982" s="105"/>
      <c r="W982" s="105"/>
      <c r="X982" s="105"/>
      <c r="Y982" s="105"/>
      <c r="Z982" s="105"/>
    </row>
    <row r="983" spans="1:26">
      <c r="A983" s="87" t="str">
        <f t="shared" si="3"/>
        <v/>
      </c>
      <c r="B983" s="2"/>
      <c r="C983" s="87"/>
      <c r="D983" s="87"/>
      <c r="E983" s="87"/>
      <c r="F983" s="87"/>
      <c r="G983" s="87"/>
      <c r="H983" s="87"/>
      <c r="I983" s="87"/>
      <c r="J983" s="102"/>
      <c r="K983" s="103"/>
      <c r="L983" s="104"/>
      <c r="M983" s="95"/>
      <c r="N983" s="95"/>
      <c r="O983" s="95"/>
      <c r="P983" s="105"/>
      <c r="Q983" s="105"/>
      <c r="R983" s="105"/>
      <c r="S983" s="105"/>
      <c r="T983" s="105"/>
      <c r="U983" s="105"/>
      <c r="V983" s="105"/>
      <c r="W983" s="105"/>
      <c r="X983" s="105"/>
      <c r="Y983" s="105"/>
      <c r="Z983" s="105"/>
    </row>
    <row r="984" spans="1:26">
      <c r="A984" s="87" t="str">
        <f t="shared" si="3"/>
        <v/>
      </c>
      <c r="B984" s="2"/>
      <c r="C984" s="87"/>
      <c r="D984" s="87"/>
      <c r="E984" s="87"/>
      <c r="F984" s="87"/>
      <c r="G984" s="87"/>
      <c r="H984" s="87"/>
      <c r="I984" s="87"/>
      <c r="J984" s="102"/>
      <c r="K984" s="103"/>
      <c r="L984" s="104"/>
      <c r="M984" s="95"/>
      <c r="N984" s="95"/>
      <c r="O984" s="95"/>
      <c r="P984" s="105"/>
      <c r="Q984" s="105"/>
      <c r="R984" s="105"/>
      <c r="S984" s="105"/>
      <c r="T984" s="105"/>
      <c r="U984" s="105"/>
      <c r="V984" s="105"/>
      <c r="W984" s="105"/>
      <c r="X984" s="105"/>
      <c r="Y984" s="105"/>
      <c r="Z984" s="105"/>
    </row>
    <row r="985" spans="1:26">
      <c r="A985" s="87" t="str">
        <f t="shared" si="3"/>
        <v/>
      </c>
      <c r="B985" s="2"/>
      <c r="C985" s="87"/>
      <c r="D985" s="87"/>
      <c r="E985" s="87"/>
      <c r="F985" s="87"/>
      <c r="G985" s="87"/>
      <c r="H985" s="87"/>
      <c r="I985" s="87"/>
      <c r="J985" s="102"/>
      <c r="K985" s="103"/>
      <c r="L985" s="104"/>
      <c r="M985" s="95"/>
      <c r="N985" s="95"/>
      <c r="O985" s="95"/>
      <c r="P985" s="105"/>
      <c r="Q985" s="105"/>
      <c r="R985" s="105"/>
      <c r="S985" s="105"/>
      <c r="T985" s="105"/>
      <c r="U985" s="105"/>
      <c r="V985" s="105"/>
      <c r="W985" s="105"/>
      <c r="X985" s="105"/>
      <c r="Y985" s="105"/>
      <c r="Z985" s="105"/>
    </row>
    <row r="986" spans="1:26">
      <c r="A986" s="87" t="str">
        <f t="shared" si="3"/>
        <v/>
      </c>
      <c r="B986" s="2"/>
      <c r="C986" s="87"/>
      <c r="D986" s="87"/>
      <c r="E986" s="87"/>
      <c r="F986" s="87"/>
      <c r="G986" s="87"/>
      <c r="H986" s="87"/>
      <c r="I986" s="87"/>
      <c r="J986" s="102"/>
      <c r="K986" s="103"/>
      <c r="L986" s="104"/>
      <c r="M986" s="95"/>
      <c r="N986" s="95"/>
      <c r="O986" s="95"/>
      <c r="P986" s="105"/>
      <c r="Q986" s="105"/>
      <c r="R986" s="105"/>
      <c r="S986" s="105"/>
      <c r="T986" s="105"/>
      <c r="U986" s="105"/>
      <c r="V986" s="105"/>
      <c r="W986" s="105"/>
      <c r="X986" s="105"/>
      <c r="Y986" s="105"/>
      <c r="Z986" s="105"/>
    </row>
    <row r="987" spans="1:26">
      <c r="A987" s="87" t="str">
        <f t="shared" si="3"/>
        <v/>
      </c>
      <c r="B987" s="2"/>
      <c r="C987" s="87"/>
      <c r="D987" s="87"/>
      <c r="E987" s="87"/>
      <c r="F987" s="87"/>
      <c r="G987" s="87"/>
      <c r="H987" s="87"/>
      <c r="I987" s="87"/>
      <c r="J987" s="102"/>
      <c r="K987" s="103"/>
      <c r="L987" s="104"/>
      <c r="M987" s="95"/>
      <c r="N987" s="95"/>
      <c r="O987" s="95"/>
      <c r="P987" s="105"/>
      <c r="Q987" s="105"/>
      <c r="R987" s="105"/>
      <c r="S987" s="105"/>
      <c r="T987" s="105"/>
      <c r="U987" s="105"/>
      <c r="V987" s="105"/>
      <c r="W987" s="105"/>
      <c r="X987" s="105"/>
      <c r="Y987" s="105"/>
      <c r="Z987" s="105"/>
    </row>
    <row r="988" spans="1:26">
      <c r="A988" s="87" t="str">
        <f t="shared" si="3"/>
        <v/>
      </c>
      <c r="B988" s="2"/>
      <c r="C988" s="87"/>
      <c r="D988" s="87"/>
      <c r="E988" s="87"/>
      <c r="F988" s="87"/>
      <c r="G988" s="87"/>
      <c r="H988" s="87"/>
      <c r="I988" s="87"/>
      <c r="J988" s="102"/>
      <c r="K988" s="103"/>
      <c r="L988" s="104"/>
      <c r="M988" s="95"/>
      <c r="N988" s="95"/>
      <c r="O988" s="95"/>
      <c r="P988" s="105"/>
      <c r="Q988" s="105"/>
      <c r="R988" s="105"/>
      <c r="S988" s="105"/>
      <c r="T988" s="105"/>
      <c r="U988" s="105"/>
      <c r="V988" s="105"/>
      <c r="W988" s="105"/>
      <c r="X988" s="105"/>
      <c r="Y988" s="105"/>
      <c r="Z988" s="105"/>
    </row>
    <row r="989" spans="1:26">
      <c r="A989" s="87" t="str">
        <f t="shared" si="3"/>
        <v/>
      </c>
      <c r="B989" s="2"/>
      <c r="C989" s="87"/>
      <c r="D989" s="87"/>
      <c r="E989" s="87"/>
      <c r="F989" s="87"/>
      <c r="G989" s="87"/>
      <c r="H989" s="87"/>
      <c r="I989" s="87"/>
      <c r="J989" s="102"/>
      <c r="K989" s="103"/>
      <c r="L989" s="104"/>
      <c r="M989" s="95"/>
      <c r="N989" s="95"/>
      <c r="O989" s="95"/>
      <c r="P989" s="105"/>
      <c r="Q989" s="105"/>
      <c r="R989" s="105"/>
      <c r="S989" s="105"/>
      <c r="T989" s="105"/>
      <c r="U989" s="105"/>
      <c r="V989" s="105"/>
      <c r="W989" s="105"/>
      <c r="X989" s="105"/>
      <c r="Y989" s="105"/>
      <c r="Z989" s="105"/>
    </row>
    <row r="990" spans="1:26">
      <c r="A990" s="87" t="str">
        <f t="shared" si="3"/>
        <v/>
      </c>
      <c r="B990" s="2"/>
      <c r="C990" s="87"/>
      <c r="D990" s="87"/>
      <c r="E990" s="87"/>
      <c r="F990" s="87"/>
      <c r="G990" s="87"/>
      <c r="H990" s="87"/>
      <c r="I990" s="87"/>
      <c r="J990" s="102"/>
      <c r="K990" s="103"/>
      <c r="L990" s="104"/>
      <c r="M990" s="95"/>
      <c r="N990" s="95"/>
      <c r="O990" s="95"/>
      <c r="P990" s="105"/>
      <c r="Q990" s="105"/>
      <c r="R990" s="105"/>
      <c r="S990" s="105"/>
      <c r="T990" s="105"/>
      <c r="U990" s="105"/>
      <c r="V990" s="105"/>
      <c r="W990" s="105"/>
      <c r="X990" s="105"/>
      <c r="Y990" s="105"/>
      <c r="Z990" s="105"/>
    </row>
    <row r="991" spans="1:26">
      <c r="A991" s="87" t="str">
        <f t="shared" si="3"/>
        <v/>
      </c>
      <c r="B991" s="2"/>
      <c r="C991" s="87"/>
      <c r="D991" s="87"/>
      <c r="E991" s="87"/>
      <c r="F991" s="87"/>
      <c r="G991" s="87"/>
      <c r="H991" s="87"/>
      <c r="I991" s="87"/>
      <c r="J991" s="102"/>
      <c r="K991" s="103"/>
      <c r="L991" s="104"/>
      <c r="M991" s="95"/>
      <c r="N991" s="95"/>
      <c r="O991" s="95"/>
      <c r="P991" s="105"/>
      <c r="Q991" s="105"/>
      <c r="R991" s="105"/>
      <c r="S991" s="105"/>
      <c r="T991" s="105"/>
      <c r="U991" s="105"/>
      <c r="V991" s="105"/>
      <c r="W991" s="105"/>
      <c r="X991" s="105"/>
      <c r="Y991" s="105"/>
      <c r="Z991" s="105"/>
    </row>
    <row r="992" spans="1:26">
      <c r="A992" s="87" t="str">
        <f t="shared" si="3"/>
        <v/>
      </c>
      <c r="B992" s="2"/>
      <c r="C992" s="87"/>
      <c r="D992" s="87"/>
      <c r="E992" s="87"/>
      <c r="F992" s="87"/>
      <c r="G992" s="87"/>
      <c r="H992" s="87"/>
      <c r="I992" s="87"/>
      <c r="J992" s="102"/>
      <c r="K992" s="103"/>
      <c r="L992" s="104"/>
      <c r="M992" s="95"/>
      <c r="N992" s="95"/>
      <c r="O992" s="95"/>
      <c r="P992" s="105"/>
      <c r="Q992" s="105"/>
      <c r="R992" s="105"/>
      <c r="S992" s="105"/>
      <c r="T992" s="105"/>
      <c r="U992" s="105"/>
      <c r="V992" s="105"/>
      <c r="W992" s="105"/>
      <c r="X992" s="105"/>
      <c r="Y992" s="105"/>
      <c r="Z992" s="105"/>
    </row>
    <row r="993" spans="1:26">
      <c r="A993" s="87" t="str">
        <f t="shared" si="3"/>
        <v/>
      </c>
      <c r="B993" s="2"/>
      <c r="C993" s="87"/>
      <c r="D993" s="87"/>
      <c r="E993" s="87"/>
      <c r="F993" s="87"/>
      <c r="G993" s="87"/>
      <c r="H993" s="87"/>
      <c r="I993" s="87"/>
      <c r="J993" s="102"/>
      <c r="K993" s="103"/>
      <c r="L993" s="104"/>
      <c r="M993" s="95"/>
      <c r="N993" s="95"/>
      <c r="O993" s="95"/>
      <c r="P993" s="105"/>
      <c r="Q993" s="105"/>
      <c r="R993" s="105"/>
      <c r="S993" s="105"/>
      <c r="T993" s="105"/>
      <c r="U993" s="105"/>
      <c r="V993" s="105"/>
      <c r="W993" s="105"/>
      <c r="X993" s="105"/>
      <c r="Y993" s="105"/>
      <c r="Z993" s="105"/>
    </row>
    <row r="994" spans="1:26">
      <c r="A994" s="87" t="str">
        <f t="shared" si="3"/>
        <v/>
      </c>
      <c r="B994" s="2"/>
      <c r="C994" s="87"/>
      <c r="D994" s="87"/>
      <c r="E994" s="87"/>
      <c r="F994" s="87"/>
      <c r="G994" s="87"/>
      <c r="H994" s="87"/>
      <c r="I994" s="87"/>
      <c r="J994" s="102"/>
      <c r="K994" s="103"/>
      <c r="L994" s="104"/>
      <c r="M994" s="95"/>
      <c r="N994" s="95"/>
      <c r="O994" s="95"/>
      <c r="P994" s="105"/>
      <c r="Q994" s="105"/>
      <c r="R994" s="105"/>
      <c r="S994" s="105"/>
      <c r="T994" s="105"/>
      <c r="U994" s="105"/>
      <c r="V994" s="105"/>
      <c r="W994" s="105"/>
      <c r="X994" s="105"/>
      <c r="Y994" s="105"/>
      <c r="Z994" s="105"/>
    </row>
    <row r="995" spans="1:26">
      <c r="A995" s="98"/>
      <c r="B995" s="106"/>
      <c r="C995" s="98"/>
      <c r="D995" s="98"/>
      <c r="E995" s="98"/>
      <c r="F995" s="98"/>
      <c r="G995" s="98"/>
      <c r="H995" s="98"/>
      <c r="I995" s="98"/>
      <c r="J995" s="107"/>
      <c r="K995" s="108"/>
      <c r="L995" s="109"/>
      <c r="M995" s="105"/>
      <c r="N995" s="105"/>
      <c r="O995" s="105"/>
      <c r="P995" s="105"/>
      <c r="Q995" s="105"/>
      <c r="R995" s="105"/>
      <c r="S995" s="105"/>
      <c r="T995" s="105"/>
      <c r="U995" s="105"/>
      <c r="V995" s="105"/>
      <c r="W995" s="105"/>
      <c r="X995" s="105"/>
      <c r="Y995" s="105"/>
      <c r="Z995" s="105"/>
    </row>
    <row r="996" spans="1:26">
      <c r="A996" s="98"/>
      <c r="B996" s="106"/>
      <c r="C996" s="98"/>
      <c r="D996" s="98"/>
      <c r="E996" s="98"/>
      <c r="F996" s="98"/>
      <c r="G996" s="98"/>
      <c r="H996" s="98"/>
      <c r="I996" s="98"/>
      <c r="J996" s="107"/>
      <c r="K996" s="108"/>
      <c r="L996" s="109"/>
      <c r="M996" s="105"/>
      <c r="N996" s="105"/>
      <c r="O996" s="105"/>
      <c r="P996" s="105"/>
      <c r="Q996" s="105"/>
      <c r="R996" s="105"/>
      <c r="S996" s="105"/>
      <c r="T996" s="105"/>
      <c r="U996" s="105"/>
      <c r="V996" s="105"/>
      <c r="W996" s="105"/>
      <c r="X996" s="105"/>
      <c r="Y996" s="105"/>
      <c r="Z996" s="105"/>
    </row>
    <row r="997" spans="1:26">
      <c r="A997" s="98"/>
      <c r="B997" s="106"/>
      <c r="C997" s="98"/>
      <c r="D997" s="98"/>
      <c r="E997" s="98"/>
      <c r="F997" s="98"/>
      <c r="G997" s="98"/>
      <c r="H997" s="98"/>
      <c r="I997" s="98"/>
      <c r="J997" s="107"/>
      <c r="K997" s="108"/>
      <c r="L997" s="109"/>
      <c r="M997" s="105"/>
      <c r="N997" s="105"/>
      <c r="O997" s="105"/>
      <c r="P997" s="105"/>
      <c r="Q997" s="105"/>
      <c r="R997" s="105"/>
      <c r="S997" s="105"/>
      <c r="T997" s="105"/>
      <c r="U997" s="105"/>
      <c r="V997" s="105"/>
      <c r="W997" s="105"/>
      <c r="X997" s="105"/>
      <c r="Y997" s="105"/>
      <c r="Z997" s="105"/>
    </row>
    <row r="998" spans="1:26">
      <c r="A998" s="98"/>
      <c r="B998" s="106"/>
      <c r="C998" s="98"/>
      <c r="D998" s="98"/>
      <c r="E998" s="98"/>
      <c r="F998" s="98"/>
      <c r="G998" s="98"/>
      <c r="H998" s="98"/>
      <c r="I998" s="98"/>
      <c r="J998" s="107"/>
      <c r="K998" s="108"/>
      <c r="L998" s="109"/>
      <c r="M998" s="105"/>
      <c r="N998" s="105"/>
      <c r="O998" s="105"/>
      <c r="P998" s="105"/>
      <c r="Q998" s="105"/>
      <c r="R998" s="105"/>
      <c r="S998" s="105"/>
      <c r="T998" s="105"/>
      <c r="U998" s="105"/>
      <c r="V998" s="105"/>
      <c r="W998" s="105"/>
      <c r="X998" s="105"/>
      <c r="Y998" s="105"/>
      <c r="Z998" s="105"/>
    </row>
    <row r="999" spans="1:26">
      <c r="A999" s="98"/>
      <c r="B999" s="106"/>
      <c r="C999" s="98"/>
      <c r="D999" s="98"/>
      <c r="E999" s="98"/>
      <c r="F999" s="98"/>
      <c r="G999" s="98"/>
      <c r="H999" s="98"/>
      <c r="I999" s="98"/>
      <c r="J999" s="107"/>
      <c r="K999" s="108"/>
      <c r="L999" s="109"/>
      <c r="M999" s="105"/>
      <c r="N999" s="105"/>
      <c r="O999" s="105"/>
      <c r="P999" s="105"/>
      <c r="Q999" s="105"/>
      <c r="R999" s="105"/>
      <c r="S999" s="105"/>
      <c r="T999" s="105"/>
      <c r="U999" s="105"/>
      <c r="V999" s="105"/>
      <c r="W999" s="105"/>
      <c r="X999" s="105"/>
      <c r="Y999" s="105"/>
      <c r="Z999" s="105"/>
    </row>
    <row r="1000" spans="1:26">
      <c r="A1000" s="98"/>
      <c r="B1000" s="106"/>
      <c r="C1000" s="98"/>
      <c r="D1000" s="98"/>
      <c r="E1000" s="98"/>
      <c r="F1000" s="98"/>
      <c r="G1000" s="98"/>
      <c r="H1000" s="98"/>
      <c r="I1000" s="98"/>
      <c r="J1000" s="107"/>
      <c r="K1000" s="108"/>
      <c r="L1000" s="109"/>
      <c r="M1000" s="105"/>
      <c r="N1000" s="105"/>
      <c r="O1000" s="105"/>
      <c r="P1000" s="105"/>
      <c r="Q1000" s="105"/>
      <c r="R1000" s="105"/>
      <c r="S1000" s="105"/>
      <c r="T1000" s="105"/>
      <c r="U1000" s="105"/>
      <c r="V1000" s="105"/>
      <c r="W1000" s="105"/>
      <c r="X1000" s="105"/>
      <c r="Y1000" s="105"/>
      <c r="Z1000" s="105"/>
    </row>
    <row r="1001" spans="1:26">
      <c r="A1001" s="98"/>
      <c r="B1001" s="106"/>
      <c r="C1001" s="98"/>
      <c r="D1001" s="98"/>
      <c r="E1001" s="98"/>
      <c r="F1001" s="98"/>
      <c r="G1001" s="98"/>
      <c r="H1001" s="98"/>
      <c r="I1001" s="98"/>
      <c r="J1001" s="107"/>
      <c r="K1001" s="108"/>
      <c r="L1001" s="109"/>
      <c r="M1001" s="105"/>
      <c r="N1001" s="105"/>
      <c r="O1001" s="105"/>
      <c r="P1001" s="105"/>
      <c r="Q1001" s="105"/>
      <c r="R1001" s="105"/>
      <c r="S1001" s="105"/>
      <c r="T1001" s="105"/>
      <c r="U1001" s="105"/>
      <c r="V1001" s="105"/>
      <c r="W1001" s="105"/>
      <c r="X1001" s="105"/>
      <c r="Y1001" s="105"/>
      <c r="Z1001" s="105"/>
    </row>
    <row r="1002" spans="1:26">
      <c r="A1002" s="98"/>
      <c r="B1002" s="106"/>
      <c r="C1002" s="98"/>
      <c r="D1002" s="98"/>
      <c r="E1002" s="98"/>
      <c r="F1002" s="98"/>
      <c r="G1002" s="98"/>
      <c r="H1002" s="98"/>
      <c r="I1002" s="98"/>
      <c r="J1002" s="107"/>
      <c r="K1002" s="108"/>
      <c r="L1002" s="109"/>
      <c r="M1002" s="105"/>
      <c r="N1002" s="105"/>
      <c r="O1002" s="105"/>
      <c r="P1002" s="105"/>
      <c r="Q1002" s="105"/>
      <c r="R1002" s="105"/>
      <c r="S1002" s="105"/>
      <c r="T1002" s="105"/>
      <c r="U1002" s="105"/>
      <c r="V1002" s="105"/>
      <c r="W1002" s="105"/>
      <c r="X1002" s="105"/>
      <c r="Y1002" s="105"/>
      <c r="Z1002" s="105"/>
    </row>
    <row r="1003" spans="1:26">
      <c r="A1003" s="98"/>
      <c r="B1003" s="106"/>
      <c r="C1003" s="98"/>
      <c r="D1003" s="98"/>
      <c r="E1003" s="98"/>
      <c r="F1003" s="98"/>
      <c r="G1003" s="98"/>
      <c r="H1003" s="98"/>
      <c r="I1003" s="98"/>
      <c r="J1003" s="107"/>
      <c r="K1003" s="108"/>
      <c r="L1003" s="109"/>
      <c r="M1003" s="105"/>
      <c r="N1003" s="105"/>
      <c r="O1003" s="105"/>
      <c r="P1003" s="105"/>
      <c r="Q1003" s="105"/>
      <c r="R1003" s="105"/>
      <c r="S1003" s="105"/>
      <c r="T1003" s="105"/>
      <c r="U1003" s="105"/>
      <c r="V1003" s="105"/>
      <c r="W1003" s="105"/>
      <c r="X1003" s="105"/>
      <c r="Y1003" s="105"/>
      <c r="Z1003" s="105"/>
    </row>
    <row r="1004" spans="1:26">
      <c r="A1004" s="98"/>
      <c r="B1004" s="106"/>
      <c r="C1004" s="98"/>
      <c r="D1004" s="98"/>
      <c r="E1004" s="98"/>
      <c r="F1004" s="98"/>
      <c r="G1004" s="98"/>
      <c r="H1004" s="98"/>
      <c r="I1004" s="98"/>
      <c r="J1004" s="107"/>
      <c r="K1004" s="108"/>
      <c r="L1004" s="109"/>
      <c r="M1004" s="105"/>
      <c r="N1004" s="105"/>
      <c r="O1004" s="105"/>
      <c r="P1004" s="105"/>
      <c r="Q1004" s="105"/>
      <c r="R1004" s="105"/>
      <c r="S1004" s="105"/>
      <c r="T1004" s="105"/>
      <c r="U1004" s="105"/>
      <c r="V1004" s="105"/>
      <c r="W1004" s="105"/>
      <c r="X1004" s="105"/>
      <c r="Y1004" s="105"/>
      <c r="Z1004" s="105"/>
    </row>
    <row r="1005" spans="1:26">
      <c r="A1005" s="98"/>
      <c r="B1005" s="106"/>
      <c r="C1005" s="98"/>
      <c r="D1005" s="98"/>
      <c r="E1005" s="98"/>
      <c r="F1005" s="98"/>
      <c r="G1005" s="98"/>
      <c r="H1005" s="98"/>
      <c r="I1005" s="98"/>
      <c r="J1005" s="107"/>
      <c r="K1005" s="108"/>
      <c r="L1005" s="109"/>
      <c r="M1005" s="105"/>
      <c r="N1005" s="105"/>
      <c r="O1005" s="105"/>
      <c r="P1005" s="105"/>
      <c r="Q1005" s="105"/>
      <c r="R1005" s="105"/>
      <c r="S1005" s="105"/>
      <c r="T1005" s="105"/>
      <c r="U1005" s="105"/>
      <c r="V1005" s="105"/>
      <c r="W1005" s="105"/>
      <c r="X1005" s="105"/>
      <c r="Y1005" s="105"/>
      <c r="Z1005" s="105"/>
    </row>
    <row r="1006" spans="1:26">
      <c r="A1006" s="98"/>
      <c r="B1006" s="106"/>
      <c r="C1006" s="98"/>
      <c r="D1006" s="98"/>
      <c r="E1006" s="98"/>
      <c r="F1006" s="98"/>
      <c r="G1006" s="98"/>
      <c r="H1006" s="98"/>
      <c r="I1006" s="98"/>
      <c r="J1006" s="107"/>
      <c r="K1006" s="108"/>
      <c r="L1006" s="109"/>
      <c r="M1006" s="105"/>
      <c r="N1006" s="105"/>
      <c r="O1006" s="105"/>
      <c r="P1006" s="105"/>
      <c r="Q1006" s="105"/>
      <c r="R1006" s="105"/>
      <c r="S1006" s="105"/>
      <c r="T1006" s="105"/>
      <c r="U1006" s="105"/>
      <c r="V1006" s="105"/>
      <c r="W1006" s="105"/>
      <c r="X1006" s="105"/>
      <c r="Y1006" s="105"/>
      <c r="Z1006" s="105"/>
    </row>
    <row r="1007" spans="1:26">
      <c r="A1007" s="98"/>
      <c r="B1007" s="106"/>
      <c r="C1007" s="98"/>
      <c r="D1007" s="98"/>
      <c r="E1007" s="98"/>
      <c r="F1007" s="98"/>
      <c r="G1007" s="98"/>
      <c r="H1007" s="98"/>
      <c r="I1007" s="98"/>
      <c r="J1007" s="107"/>
      <c r="K1007" s="108"/>
      <c r="L1007" s="109"/>
      <c r="M1007" s="105"/>
      <c r="N1007" s="105"/>
      <c r="O1007" s="105"/>
      <c r="P1007" s="105"/>
      <c r="Q1007" s="105"/>
      <c r="R1007" s="105"/>
      <c r="S1007" s="105"/>
      <c r="T1007" s="105"/>
      <c r="U1007" s="105"/>
      <c r="V1007" s="105"/>
      <c r="W1007" s="105"/>
      <c r="X1007" s="105"/>
      <c r="Y1007" s="105"/>
      <c r="Z1007" s="105"/>
    </row>
    <row r="1008" spans="1:26">
      <c r="A1008" s="98"/>
      <c r="B1008" s="106"/>
      <c r="C1008" s="98"/>
      <c r="D1008" s="98"/>
      <c r="E1008" s="98"/>
      <c r="F1008" s="98"/>
      <c r="G1008" s="98"/>
      <c r="H1008" s="98"/>
      <c r="I1008" s="98"/>
      <c r="J1008" s="107"/>
      <c r="K1008" s="108"/>
      <c r="L1008" s="109"/>
      <c r="M1008" s="105"/>
      <c r="N1008" s="105"/>
      <c r="O1008" s="105"/>
      <c r="P1008" s="105"/>
      <c r="Q1008" s="105"/>
      <c r="R1008" s="105"/>
      <c r="S1008" s="105"/>
      <c r="T1008" s="105"/>
      <c r="U1008" s="105"/>
      <c r="V1008" s="105"/>
      <c r="W1008" s="105"/>
      <c r="X1008" s="105"/>
      <c r="Y1008" s="105"/>
      <c r="Z1008" s="105"/>
    </row>
    <row r="1009" spans="1:26">
      <c r="A1009" s="98"/>
      <c r="B1009" s="106"/>
      <c r="C1009" s="98"/>
      <c r="D1009" s="98"/>
      <c r="E1009" s="98"/>
      <c r="F1009" s="98"/>
      <c r="G1009" s="98"/>
      <c r="H1009" s="98"/>
      <c r="I1009" s="98"/>
      <c r="J1009" s="107"/>
      <c r="K1009" s="108"/>
      <c r="L1009" s="109"/>
      <c r="M1009" s="105"/>
      <c r="N1009" s="105"/>
      <c r="O1009" s="105"/>
      <c r="P1009" s="105"/>
      <c r="Q1009" s="105"/>
      <c r="R1009" s="105"/>
      <c r="S1009" s="105"/>
      <c r="T1009" s="105"/>
      <c r="U1009" s="105"/>
      <c r="V1009" s="105"/>
      <c r="W1009" s="105"/>
      <c r="X1009" s="105"/>
      <c r="Y1009" s="105"/>
      <c r="Z1009" s="105"/>
    </row>
    <row r="1010" spans="1:26">
      <c r="A1010" s="98"/>
      <c r="B1010" s="106"/>
      <c r="C1010" s="98"/>
      <c r="D1010" s="98"/>
      <c r="E1010" s="98"/>
      <c r="F1010" s="98"/>
      <c r="G1010" s="98"/>
      <c r="H1010" s="98"/>
      <c r="I1010" s="98"/>
      <c r="J1010" s="107"/>
      <c r="K1010" s="108"/>
      <c r="L1010" s="109"/>
      <c r="M1010" s="105"/>
      <c r="N1010" s="105"/>
      <c r="O1010" s="105"/>
      <c r="P1010" s="105"/>
      <c r="Q1010" s="105"/>
      <c r="R1010" s="105"/>
      <c r="S1010" s="105"/>
      <c r="T1010" s="105"/>
      <c r="U1010" s="105"/>
      <c r="V1010" s="105"/>
      <c r="W1010" s="105"/>
      <c r="X1010" s="105"/>
      <c r="Y1010" s="105"/>
      <c r="Z1010" s="105"/>
    </row>
    <row r="1011" spans="1:26">
      <c r="A1011" s="98"/>
      <c r="B1011" s="106"/>
      <c r="C1011" s="98"/>
      <c r="D1011" s="98"/>
      <c r="E1011" s="98"/>
      <c r="F1011" s="98"/>
      <c r="G1011" s="98"/>
      <c r="H1011" s="98"/>
      <c r="I1011" s="98"/>
      <c r="J1011" s="107"/>
      <c r="K1011" s="108"/>
      <c r="L1011" s="109"/>
      <c r="M1011" s="105"/>
      <c r="N1011" s="105"/>
      <c r="O1011" s="105"/>
      <c r="P1011" s="105"/>
      <c r="Q1011" s="105"/>
      <c r="R1011" s="105"/>
      <c r="S1011" s="105"/>
      <c r="T1011" s="105"/>
      <c r="U1011" s="105"/>
      <c r="V1011" s="105"/>
      <c r="W1011" s="105"/>
      <c r="X1011" s="105"/>
      <c r="Y1011" s="105"/>
      <c r="Z1011" s="105"/>
    </row>
    <row r="1012" spans="1:26">
      <c r="A1012" s="98"/>
      <c r="B1012" s="106"/>
      <c r="C1012" s="98"/>
      <c r="D1012" s="98"/>
      <c r="E1012" s="98"/>
      <c r="F1012" s="98"/>
      <c r="G1012" s="98"/>
      <c r="H1012" s="98"/>
      <c r="I1012" s="98"/>
      <c r="J1012" s="107"/>
      <c r="K1012" s="108"/>
      <c r="L1012" s="109"/>
      <c r="M1012" s="105"/>
      <c r="N1012" s="105"/>
      <c r="O1012" s="105"/>
      <c r="P1012" s="105"/>
      <c r="Q1012" s="105"/>
      <c r="R1012" s="105"/>
      <c r="S1012" s="105"/>
      <c r="T1012" s="105"/>
      <c r="U1012" s="105"/>
      <c r="V1012" s="105"/>
      <c r="W1012" s="105"/>
      <c r="X1012" s="105"/>
      <c r="Y1012" s="105"/>
      <c r="Z1012" s="105"/>
    </row>
    <row r="1013" spans="1:26">
      <c r="A1013" s="98"/>
      <c r="B1013" s="106"/>
      <c r="C1013" s="98"/>
      <c r="D1013" s="98"/>
      <c r="E1013" s="98"/>
      <c r="F1013" s="98"/>
      <c r="G1013" s="98"/>
      <c r="H1013" s="98"/>
      <c r="I1013" s="98"/>
      <c r="J1013" s="107"/>
      <c r="K1013" s="108"/>
      <c r="L1013" s="109"/>
      <c r="M1013" s="105"/>
      <c r="N1013" s="105"/>
      <c r="O1013" s="105"/>
      <c r="P1013" s="105"/>
      <c r="Q1013" s="105"/>
      <c r="R1013" s="105"/>
      <c r="S1013" s="105"/>
      <c r="T1013" s="105"/>
      <c r="U1013" s="105"/>
      <c r="V1013" s="105"/>
      <c r="W1013" s="105"/>
      <c r="X1013" s="105"/>
      <c r="Y1013" s="105"/>
      <c r="Z1013" s="105"/>
    </row>
    <row r="1014" spans="1:26">
      <c r="A1014" s="98"/>
      <c r="B1014" s="106"/>
      <c r="C1014" s="98"/>
      <c r="D1014" s="98"/>
      <c r="E1014" s="98"/>
      <c r="F1014" s="98"/>
      <c r="G1014" s="98"/>
      <c r="H1014" s="98"/>
      <c r="I1014" s="98"/>
      <c r="J1014" s="107"/>
      <c r="K1014" s="108"/>
      <c r="L1014" s="109"/>
      <c r="M1014" s="105"/>
      <c r="N1014" s="105"/>
      <c r="O1014" s="105"/>
      <c r="P1014" s="105"/>
      <c r="Q1014" s="105"/>
      <c r="R1014" s="105"/>
      <c r="S1014" s="105"/>
      <c r="T1014" s="105"/>
      <c r="U1014" s="105"/>
      <c r="V1014" s="105"/>
      <c r="W1014" s="105"/>
      <c r="X1014" s="105"/>
      <c r="Y1014" s="105"/>
      <c r="Z1014" s="105"/>
    </row>
    <row r="1015" spans="1:26">
      <c r="A1015" s="98"/>
      <c r="B1015" s="106"/>
      <c r="C1015" s="98"/>
      <c r="D1015" s="98"/>
      <c r="E1015" s="98"/>
      <c r="F1015" s="98"/>
      <c r="G1015" s="98"/>
      <c r="H1015" s="98"/>
      <c r="I1015" s="98"/>
      <c r="J1015" s="107"/>
      <c r="K1015" s="108"/>
      <c r="L1015" s="109"/>
      <c r="M1015" s="105"/>
      <c r="N1015" s="105"/>
      <c r="O1015" s="105"/>
      <c r="P1015" s="105"/>
      <c r="Q1015" s="105"/>
      <c r="R1015" s="105"/>
      <c r="S1015" s="105"/>
      <c r="T1015" s="105"/>
      <c r="U1015" s="105"/>
      <c r="V1015" s="105"/>
      <c r="W1015" s="105"/>
      <c r="X1015" s="105"/>
      <c r="Y1015" s="105"/>
      <c r="Z1015" s="105"/>
    </row>
    <row r="1016" spans="1:26">
      <c r="A1016" s="98"/>
      <c r="B1016" s="106"/>
      <c r="C1016" s="98"/>
      <c r="D1016" s="98"/>
      <c r="E1016" s="98"/>
      <c r="F1016" s="98"/>
      <c r="G1016" s="98"/>
      <c r="H1016" s="98"/>
      <c r="I1016" s="98"/>
      <c r="J1016" s="107"/>
      <c r="K1016" s="108"/>
      <c r="L1016" s="109"/>
      <c r="M1016" s="105"/>
      <c r="N1016" s="105"/>
      <c r="O1016" s="105"/>
      <c r="P1016" s="105"/>
      <c r="Q1016" s="105"/>
      <c r="R1016" s="105"/>
      <c r="S1016" s="105"/>
      <c r="T1016" s="105"/>
      <c r="U1016" s="105"/>
      <c r="V1016" s="105"/>
      <c r="W1016" s="105"/>
      <c r="X1016" s="105"/>
      <c r="Y1016" s="105"/>
      <c r="Z1016" s="105"/>
    </row>
    <row r="1017" spans="1:26">
      <c r="A1017" s="98"/>
      <c r="B1017" s="106"/>
      <c r="C1017" s="98"/>
      <c r="D1017" s="98"/>
      <c r="E1017" s="98"/>
      <c r="F1017" s="98"/>
      <c r="G1017" s="98"/>
      <c r="H1017" s="98"/>
      <c r="I1017" s="98"/>
      <c r="J1017" s="107"/>
      <c r="K1017" s="108"/>
      <c r="L1017" s="109"/>
      <c r="M1017" s="105"/>
      <c r="N1017" s="105"/>
      <c r="O1017" s="105"/>
      <c r="P1017" s="105"/>
      <c r="Q1017" s="105"/>
      <c r="R1017" s="105"/>
      <c r="S1017" s="105"/>
      <c r="T1017" s="105"/>
      <c r="U1017" s="105"/>
      <c r="V1017" s="105"/>
      <c r="W1017" s="105"/>
      <c r="X1017" s="105"/>
      <c r="Y1017" s="105"/>
      <c r="Z1017" s="105"/>
    </row>
    <row r="1018" spans="1:26">
      <c r="A1018" s="98"/>
      <c r="B1018" s="106"/>
      <c r="C1018" s="98"/>
      <c r="D1018" s="98"/>
      <c r="E1018" s="98"/>
      <c r="F1018" s="98"/>
      <c r="G1018" s="98"/>
      <c r="H1018" s="98"/>
      <c r="I1018" s="98"/>
      <c r="J1018" s="107"/>
      <c r="K1018" s="108"/>
      <c r="L1018" s="109"/>
      <c r="M1018" s="105"/>
      <c r="N1018" s="105"/>
      <c r="O1018" s="105"/>
      <c r="P1018" s="105"/>
      <c r="Q1018" s="105"/>
      <c r="R1018" s="105"/>
      <c r="S1018" s="105"/>
      <c r="T1018" s="105"/>
      <c r="U1018" s="105"/>
      <c r="V1018" s="105"/>
      <c r="W1018" s="105"/>
      <c r="X1018" s="105"/>
      <c r="Y1018" s="105"/>
      <c r="Z1018" s="105"/>
    </row>
    <row r="1019" spans="1:26">
      <c r="A1019" s="98"/>
      <c r="B1019" s="106"/>
      <c r="C1019" s="98"/>
      <c r="D1019" s="98"/>
      <c r="E1019" s="98"/>
      <c r="F1019" s="98"/>
      <c r="G1019" s="98"/>
      <c r="H1019" s="98"/>
      <c r="I1019" s="98"/>
      <c r="J1019" s="107"/>
      <c r="K1019" s="108"/>
      <c r="L1019" s="109"/>
      <c r="M1019" s="105"/>
      <c r="N1019" s="105"/>
      <c r="O1019" s="105"/>
      <c r="P1019" s="105"/>
      <c r="Q1019" s="105"/>
      <c r="R1019" s="105"/>
      <c r="S1019" s="105"/>
      <c r="T1019" s="105"/>
      <c r="U1019" s="105"/>
      <c r="V1019" s="105"/>
      <c r="W1019" s="105"/>
      <c r="X1019" s="105"/>
      <c r="Y1019" s="105"/>
      <c r="Z1019" s="105"/>
    </row>
    <row r="1020" spans="1:26">
      <c r="A1020" s="98"/>
      <c r="B1020" s="106"/>
      <c r="C1020" s="98"/>
      <c r="D1020" s="98"/>
      <c r="E1020" s="98"/>
      <c r="F1020" s="98"/>
      <c r="G1020" s="98"/>
      <c r="H1020" s="98"/>
      <c r="I1020" s="98"/>
      <c r="J1020" s="107"/>
      <c r="K1020" s="108"/>
      <c r="L1020" s="109"/>
      <c r="M1020" s="105"/>
      <c r="N1020" s="105"/>
      <c r="O1020" s="105"/>
      <c r="P1020" s="105"/>
      <c r="Q1020" s="105"/>
      <c r="R1020" s="105"/>
      <c r="S1020" s="105"/>
      <c r="T1020" s="105"/>
      <c r="U1020" s="105"/>
      <c r="V1020" s="105"/>
      <c r="W1020" s="105"/>
      <c r="X1020" s="105"/>
      <c r="Y1020" s="105"/>
      <c r="Z1020" s="105"/>
    </row>
    <row r="1021" spans="1:26">
      <c r="A1021" s="98"/>
      <c r="B1021" s="106"/>
      <c r="C1021" s="98"/>
      <c r="D1021" s="98"/>
      <c r="E1021" s="98"/>
      <c r="F1021" s="98"/>
      <c r="G1021" s="98"/>
      <c r="H1021" s="98"/>
      <c r="I1021" s="98"/>
      <c r="J1021" s="107"/>
      <c r="K1021" s="108"/>
      <c r="L1021" s="109"/>
      <c r="M1021" s="105"/>
      <c r="N1021" s="105"/>
      <c r="O1021" s="105"/>
      <c r="P1021" s="105"/>
      <c r="Q1021" s="105"/>
      <c r="R1021" s="105"/>
      <c r="S1021" s="105"/>
      <c r="T1021" s="105"/>
      <c r="U1021" s="105"/>
      <c r="V1021" s="105"/>
      <c r="W1021" s="105"/>
      <c r="X1021" s="105"/>
      <c r="Y1021" s="105"/>
      <c r="Z1021" s="105"/>
    </row>
    <row r="1022" spans="1:26">
      <c r="A1022" s="98"/>
      <c r="B1022" s="106"/>
      <c r="C1022" s="98"/>
      <c r="D1022" s="98"/>
      <c r="E1022" s="98"/>
      <c r="F1022" s="98"/>
      <c r="G1022" s="98"/>
      <c r="H1022" s="98"/>
      <c r="I1022" s="98"/>
      <c r="J1022" s="107"/>
      <c r="K1022" s="108"/>
      <c r="L1022" s="109"/>
      <c r="M1022" s="105"/>
      <c r="N1022" s="105"/>
      <c r="O1022" s="105"/>
      <c r="P1022" s="105"/>
      <c r="Q1022" s="105"/>
      <c r="R1022" s="105"/>
      <c r="S1022" s="105"/>
      <c r="T1022" s="105"/>
      <c r="U1022" s="105"/>
      <c r="V1022" s="105"/>
      <c r="W1022" s="105"/>
      <c r="X1022" s="105"/>
      <c r="Y1022" s="105"/>
      <c r="Z1022" s="105"/>
    </row>
    <row r="1023" spans="1:26">
      <c r="A1023" s="98"/>
      <c r="B1023" s="106"/>
      <c r="C1023" s="98"/>
      <c r="D1023" s="98"/>
      <c r="E1023" s="98"/>
      <c r="F1023" s="98"/>
      <c r="G1023" s="98"/>
      <c r="H1023" s="98"/>
      <c r="I1023" s="98"/>
      <c r="J1023" s="107"/>
      <c r="K1023" s="108"/>
      <c r="L1023" s="109"/>
      <c r="M1023" s="105"/>
      <c r="N1023" s="105"/>
      <c r="O1023" s="105"/>
      <c r="P1023" s="105"/>
      <c r="Q1023" s="105"/>
      <c r="R1023" s="105"/>
      <c r="S1023" s="105"/>
      <c r="T1023" s="105"/>
      <c r="U1023" s="105"/>
      <c r="V1023" s="105"/>
      <c r="W1023" s="105"/>
      <c r="X1023" s="105"/>
      <c r="Y1023" s="105"/>
      <c r="Z1023" s="105"/>
    </row>
    <row r="1024" spans="1:26">
      <c r="A1024" s="98"/>
      <c r="B1024" s="106"/>
      <c r="C1024" s="98"/>
      <c r="D1024" s="98"/>
      <c r="E1024" s="98"/>
      <c r="F1024" s="98"/>
      <c r="G1024" s="98"/>
      <c r="H1024" s="98"/>
      <c r="I1024" s="98"/>
      <c r="J1024" s="107"/>
      <c r="K1024" s="108"/>
      <c r="L1024" s="109"/>
      <c r="M1024" s="105"/>
      <c r="N1024" s="105"/>
      <c r="O1024" s="105"/>
      <c r="P1024" s="105"/>
      <c r="Q1024" s="105"/>
      <c r="R1024" s="105"/>
      <c r="S1024" s="105"/>
      <c r="T1024" s="105"/>
      <c r="U1024" s="105"/>
      <c r="V1024" s="105"/>
      <c r="W1024" s="105"/>
      <c r="X1024" s="105"/>
      <c r="Y1024" s="105"/>
      <c r="Z1024" s="105"/>
    </row>
    <row r="1025" spans="1:26">
      <c r="A1025" s="98"/>
      <c r="B1025" s="106"/>
      <c r="C1025" s="98"/>
      <c r="D1025" s="98"/>
      <c r="E1025" s="98"/>
      <c r="F1025" s="98"/>
      <c r="G1025" s="98"/>
      <c r="H1025" s="98"/>
      <c r="I1025" s="98"/>
      <c r="J1025" s="107"/>
      <c r="K1025" s="108"/>
      <c r="L1025" s="109"/>
      <c r="M1025" s="105"/>
      <c r="N1025" s="105"/>
      <c r="O1025" s="105"/>
      <c r="P1025" s="105"/>
      <c r="Q1025" s="105"/>
      <c r="R1025" s="105"/>
      <c r="S1025" s="105"/>
      <c r="T1025" s="105"/>
      <c r="U1025" s="105"/>
      <c r="V1025" s="105"/>
      <c r="W1025" s="105"/>
      <c r="X1025" s="105"/>
      <c r="Y1025" s="105"/>
      <c r="Z1025" s="105"/>
    </row>
    <row r="1026" spans="1:26">
      <c r="A1026" s="98"/>
      <c r="B1026" s="106"/>
      <c r="C1026" s="98"/>
      <c r="D1026" s="98"/>
      <c r="E1026" s="98"/>
      <c r="F1026" s="98"/>
      <c r="G1026" s="98"/>
      <c r="H1026" s="98"/>
      <c r="I1026" s="98"/>
      <c r="J1026" s="107"/>
      <c r="K1026" s="108"/>
      <c r="L1026" s="109"/>
      <c r="M1026" s="105"/>
      <c r="N1026" s="105"/>
      <c r="O1026" s="105"/>
      <c r="P1026" s="105"/>
      <c r="Q1026" s="105"/>
      <c r="R1026" s="105"/>
      <c r="S1026" s="105"/>
      <c r="T1026" s="105"/>
      <c r="U1026" s="105"/>
      <c r="V1026" s="105"/>
      <c r="W1026" s="105"/>
      <c r="X1026" s="105"/>
      <c r="Y1026" s="105"/>
      <c r="Z1026" s="105"/>
    </row>
    <row r="1027" spans="1:26">
      <c r="A1027" s="98"/>
      <c r="B1027" s="106"/>
      <c r="C1027" s="98"/>
      <c r="D1027" s="98"/>
      <c r="E1027" s="98"/>
      <c r="F1027" s="98"/>
      <c r="G1027" s="98"/>
      <c r="H1027" s="98"/>
      <c r="I1027" s="98"/>
      <c r="J1027" s="107"/>
      <c r="K1027" s="108"/>
      <c r="L1027" s="109"/>
      <c r="M1027" s="105"/>
      <c r="N1027" s="105"/>
      <c r="O1027" s="105"/>
      <c r="P1027" s="105"/>
      <c r="Q1027" s="105"/>
      <c r="R1027" s="105"/>
      <c r="S1027" s="105"/>
      <c r="T1027" s="105"/>
      <c r="U1027" s="105"/>
      <c r="V1027" s="105"/>
      <c r="W1027" s="105"/>
      <c r="X1027" s="105"/>
      <c r="Y1027" s="105"/>
      <c r="Z1027" s="105"/>
    </row>
    <row r="1028" spans="1:26">
      <c r="A1028" s="98"/>
      <c r="B1028" s="106"/>
      <c r="C1028" s="98"/>
      <c r="D1028" s="98"/>
      <c r="E1028" s="98"/>
      <c r="F1028" s="98"/>
      <c r="G1028" s="98"/>
      <c r="H1028" s="98"/>
      <c r="I1028" s="98"/>
      <c r="J1028" s="107"/>
      <c r="K1028" s="108"/>
      <c r="L1028" s="109"/>
      <c r="M1028" s="105"/>
      <c r="N1028" s="105"/>
      <c r="O1028" s="105"/>
      <c r="P1028" s="105"/>
      <c r="Q1028" s="105"/>
      <c r="R1028" s="105"/>
      <c r="S1028" s="105"/>
      <c r="T1028" s="105"/>
      <c r="U1028" s="105"/>
      <c r="V1028" s="105"/>
      <c r="W1028" s="105"/>
      <c r="X1028" s="105"/>
      <c r="Y1028" s="105"/>
      <c r="Z1028" s="105"/>
    </row>
    <row r="1029" spans="1:26">
      <c r="A1029" s="98"/>
      <c r="B1029" s="106"/>
      <c r="C1029" s="98"/>
      <c r="D1029" s="98"/>
      <c r="E1029" s="98"/>
      <c r="F1029" s="98"/>
      <c r="G1029" s="98"/>
      <c r="H1029" s="98"/>
      <c r="I1029" s="98"/>
      <c r="J1029" s="107"/>
      <c r="K1029" s="108"/>
      <c r="L1029" s="109"/>
      <c r="M1029" s="105"/>
      <c r="N1029" s="105"/>
      <c r="O1029" s="105"/>
      <c r="P1029" s="105"/>
      <c r="Q1029" s="105"/>
      <c r="R1029" s="105"/>
      <c r="S1029" s="105"/>
      <c r="T1029" s="105"/>
      <c r="U1029" s="105"/>
      <c r="V1029" s="105"/>
      <c r="W1029" s="105"/>
      <c r="X1029" s="105"/>
      <c r="Y1029" s="105"/>
      <c r="Z1029" s="105"/>
    </row>
    <row r="1030" spans="1:26">
      <c r="A1030" s="98"/>
      <c r="B1030" s="106"/>
      <c r="C1030" s="98"/>
      <c r="D1030" s="98"/>
      <c r="E1030" s="98"/>
      <c r="F1030" s="98"/>
      <c r="G1030" s="98"/>
      <c r="H1030" s="98"/>
      <c r="I1030" s="98"/>
      <c r="J1030" s="107"/>
      <c r="K1030" s="108"/>
      <c r="L1030" s="109"/>
      <c r="M1030" s="105"/>
      <c r="N1030" s="105"/>
      <c r="O1030" s="105"/>
      <c r="P1030" s="105"/>
      <c r="Q1030" s="105"/>
      <c r="R1030" s="105"/>
      <c r="S1030" s="105"/>
      <c r="T1030" s="105"/>
      <c r="U1030" s="105"/>
      <c r="V1030" s="105"/>
      <c r="W1030" s="105"/>
      <c r="X1030" s="105"/>
      <c r="Y1030" s="105"/>
      <c r="Z1030" s="105"/>
    </row>
    <row r="1031" spans="1:26">
      <c r="A1031" s="98"/>
      <c r="B1031" s="106"/>
      <c r="C1031" s="98"/>
      <c r="D1031" s="98"/>
      <c r="E1031" s="98"/>
      <c r="F1031" s="98"/>
      <c r="G1031" s="98"/>
      <c r="H1031" s="98"/>
      <c r="I1031" s="98"/>
      <c r="J1031" s="107"/>
      <c r="K1031" s="108"/>
      <c r="L1031" s="109"/>
      <c r="M1031" s="105"/>
      <c r="N1031" s="105"/>
      <c r="O1031" s="105"/>
      <c r="P1031" s="105"/>
      <c r="Q1031" s="105"/>
      <c r="R1031" s="105"/>
      <c r="S1031" s="105"/>
      <c r="T1031" s="105"/>
      <c r="U1031" s="105"/>
      <c r="V1031" s="105"/>
      <c r="W1031" s="105"/>
      <c r="X1031" s="105"/>
      <c r="Y1031" s="105"/>
      <c r="Z1031" s="105"/>
    </row>
    <row r="1032" spans="1:26">
      <c r="A1032" s="98"/>
      <c r="B1032" s="106"/>
      <c r="C1032" s="98"/>
      <c r="D1032" s="98"/>
      <c r="E1032" s="98"/>
      <c r="F1032" s="98"/>
      <c r="G1032" s="98"/>
      <c r="H1032" s="98"/>
      <c r="I1032" s="98"/>
      <c r="J1032" s="107"/>
      <c r="K1032" s="108"/>
      <c r="L1032" s="109"/>
      <c r="M1032" s="105"/>
      <c r="N1032" s="105"/>
      <c r="O1032" s="105"/>
      <c r="P1032" s="105"/>
      <c r="Q1032" s="105"/>
      <c r="R1032" s="105"/>
      <c r="S1032" s="105"/>
      <c r="T1032" s="105"/>
      <c r="U1032" s="105"/>
      <c r="V1032" s="105"/>
      <c r="W1032" s="105"/>
      <c r="X1032" s="105"/>
      <c r="Y1032" s="105"/>
      <c r="Z1032" s="105"/>
    </row>
    <row r="1033" spans="1:26">
      <c r="A1033" s="98"/>
      <c r="B1033" s="106"/>
      <c r="C1033" s="98"/>
      <c r="D1033" s="98"/>
      <c r="E1033" s="98"/>
      <c r="F1033" s="98"/>
      <c r="G1033" s="98"/>
      <c r="H1033" s="98"/>
      <c r="I1033" s="98"/>
      <c r="J1033" s="107"/>
      <c r="K1033" s="108"/>
      <c r="L1033" s="109"/>
      <c r="M1033" s="105"/>
      <c r="N1033" s="105"/>
      <c r="O1033" s="105"/>
      <c r="P1033" s="105"/>
      <c r="Q1033" s="105"/>
      <c r="R1033" s="105"/>
      <c r="S1033" s="105"/>
      <c r="T1033" s="105"/>
      <c r="U1033" s="105"/>
      <c r="V1033" s="105"/>
      <c r="W1033" s="105"/>
      <c r="X1033" s="105"/>
      <c r="Y1033" s="105"/>
      <c r="Z1033" s="105"/>
    </row>
    <row r="1034" spans="1:26">
      <c r="A1034" s="98"/>
      <c r="B1034" s="106"/>
      <c r="C1034" s="98"/>
      <c r="D1034" s="98"/>
      <c r="E1034" s="98"/>
      <c r="F1034" s="98"/>
      <c r="G1034" s="98"/>
      <c r="H1034" s="98"/>
      <c r="I1034" s="98"/>
      <c r="J1034" s="107"/>
      <c r="K1034" s="108"/>
      <c r="L1034" s="109"/>
      <c r="M1034" s="105"/>
      <c r="N1034" s="105"/>
      <c r="O1034" s="105"/>
      <c r="P1034" s="105"/>
      <c r="Q1034" s="105"/>
      <c r="R1034" s="105"/>
      <c r="S1034" s="105"/>
      <c r="T1034" s="105"/>
      <c r="U1034" s="105"/>
      <c r="V1034" s="105"/>
      <c r="W1034" s="105"/>
      <c r="X1034" s="105"/>
      <c r="Y1034" s="105"/>
      <c r="Z1034" s="105"/>
    </row>
    <row r="1035" spans="1:26">
      <c r="A1035" s="98"/>
      <c r="B1035" s="106"/>
      <c r="C1035" s="98"/>
      <c r="D1035" s="98"/>
      <c r="E1035" s="98"/>
      <c r="F1035" s="98"/>
      <c r="G1035" s="98"/>
      <c r="H1035" s="98"/>
      <c r="I1035" s="98"/>
      <c r="J1035" s="107"/>
      <c r="K1035" s="108"/>
      <c r="L1035" s="109"/>
      <c r="M1035" s="105"/>
      <c r="N1035" s="105"/>
      <c r="O1035" s="105"/>
      <c r="P1035" s="105"/>
      <c r="Q1035" s="105"/>
      <c r="R1035" s="105"/>
      <c r="S1035" s="105"/>
      <c r="T1035" s="105"/>
      <c r="U1035" s="105"/>
      <c r="V1035" s="105"/>
      <c r="W1035" s="105"/>
      <c r="X1035" s="105"/>
      <c r="Y1035" s="105"/>
      <c r="Z1035" s="105"/>
    </row>
    <row r="1036" spans="1:26">
      <c r="A1036" s="98"/>
      <c r="B1036" s="106"/>
      <c r="C1036" s="98"/>
      <c r="D1036" s="98"/>
      <c r="E1036" s="98"/>
      <c r="F1036" s="98"/>
      <c r="G1036" s="98"/>
      <c r="H1036" s="98"/>
      <c r="I1036" s="98"/>
      <c r="J1036" s="107"/>
      <c r="K1036" s="108"/>
      <c r="L1036" s="109"/>
      <c r="M1036" s="105"/>
      <c r="N1036" s="105"/>
      <c r="O1036" s="105"/>
      <c r="P1036" s="105"/>
      <c r="Q1036" s="105"/>
      <c r="R1036" s="105"/>
      <c r="S1036" s="105"/>
      <c r="T1036" s="105"/>
      <c r="U1036" s="105"/>
      <c r="V1036" s="105"/>
      <c r="W1036" s="105"/>
      <c r="X1036" s="105"/>
      <c r="Y1036" s="105"/>
      <c r="Z1036" s="105"/>
    </row>
    <row r="1037" spans="1:26">
      <c r="A1037" s="98"/>
      <c r="B1037" s="106"/>
      <c r="C1037" s="98"/>
      <c r="D1037" s="98"/>
      <c r="E1037" s="98"/>
      <c r="F1037" s="98"/>
      <c r="G1037" s="98"/>
      <c r="H1037" s="98"/>
      <c r="I1037" s="98"/>
      <c r="J1037" s="107"/>
      <c r="K1037" s="108"/>
      <c r="L1037" s="109"/>
      <c r="M1037" s="105"/>
      <c r="N1037" s="105"/>
      <c r="O1037" s="105"/>
      <c r="P1037" s="105"/>
      <c r="Q1037" s="105"/>
      <c r="R1037" s="105"/>
      <c r="S1037" s="105"/>
      <c r="T1037" s="105"/>
      <c r="U1037" s="105"/>
      <c r="V1037" s="105"/>
      <c r="W1037" s="105"/>
      <c r="X1037" s="105"/>
      <c r="Y1037" s="105"/>
      <c r="Z1037" s="105"/>
    </row>
    <row r="1038" spans="1:26">
      <c r="A1038" s="98"/>
      <c r="B1038" s="106"/>
      <c r="C1038" s="98"/>
      <c r="D1038" s="98"/>
      <c r="E1038" s="98"/>
      <c r="F1038" s="98"/>
      <c r="G1038" s="98"/>
      <c r="H1038" s="98"/>
      <c r="I1038" s="98"/>
      <c r="J1038" s="107"/>
      <c r="K1038" s="108"/>
      <c r="L1038" s="109"/>
      <c r="M1038" s="105"/>
      <c r="N1038" s="105"/>
      <c r="O1038" s="105"/>
      <c r="P1038" s="105"/>
      <c r="Q1038" s="105"/>
      <c r="R1038" s="105"/>
      <c r="S1038" s="105"/>
      <c r="T1038" s="105"/>
      <c r="U1038" s="105"/>
      <c r="V1038" s="105"/>
      <c r="W1038" s="105"/>
      <c r="X1038" s="105"/>
      <c r="Y1038" s="105"/>
      <c r="Z1038" s="105"/>
    </row>
    <row r="1039" spans="1:26">
      <c r="A1039" s="98"/>
      <c r="B1039" s="106"/>
      <c r="C1039" s="98"/>
      <c r="D1039" s="98"/>
      <c r="E1039" s="98"/>
      <c r="F1039" s="98"/>
      <c r="G1039" s="98"/>
      <c r="H1039" s="98"/>
      <c r="I1039" s="98"/>
      <c r="J1039" s="107"/>
      <c r="K1039" s="108"/>
      <c r="L1039" s="109"/>
      <c r="M1039" s="105"/>
      <c r="N1039" s="105"/>
      <c r="O1039" s="105"/>
      <c r="P1039" s="105"/>
      <c r="Q1039" s="105"/>
      <c r="R1039" s="105"/>
      <c r="S1039" s="105"/>
      <c r="T1039" s="105"/>
      <c r="U1039" s="105"/>
      <c r="V1039" s="105"/>
      <c r="W1039" s="105"/>
      <c r="X1039" s="105"/>
      <c r="Y1039" s="105"/>
      <c r="Z1039" s="105"/>
    </row>
    <row r="1040" spans="1:26">
      <c r="A1040" s="98"/>
      <c r="B1040" s="106"/>
      <c r="C1040" s="98"/>
      <c r="D1040" s="98"/>
      <c r="E1040" s="98"/>
      <c r="F1040" s="98"/>
      <c r="G1040" s="98"/>
      <c r="H1040" s="98"/>
      <c r="I1040" s="98"/>
      <c r="J1040" s="107"/>
      <c r="K1040" s="108"/>
      <c r="L1040" s="109"/>
      <c r="M1040" s="105"/>
      <c r="N1040" s="105"/>
      <c r="O1040" s="105"/>
      <c r="P1040" s="105"/>
      <c r="Q1040" s="105"/>
      <c r="R1040" s="105"/>
      <c r="S1040" s="105"/>
      <c r="T1040" s="105"/>
      <c r="U1040" s="105"/>
      <c r="V1040" s="105"/>
      <c r="W1040" s="105"/>
      <c r="X1040" s="105"/>
      <c r="Y1040" s="105"/>
      <c r="Z1040" s="105"/>
    </row>
    <row r="1041" spans="1:26">
      <c r="A1041" s="98"/>
      <c r="B1041" s="106"/>
      <c r="C1041" s="98"/>
      <c r="D1041" s="98"/>
      <c r="E1041" s="98"/>
      <c r="F1041" s="98"/>
      <c r="G1041" s="98"/>
      <c r="H1041" s="98"/>
      <c r="I1041" s="98"/>
      <c r="J1041" s="107"/>
      <c r="K1041" s="108"/>
      <c r="L1041" s="109"/>
      <c r="M1041" s="105"/>
      <c r="N1041" s="105"/>
      <c r="O1041" s="105"/>
      <c r="P1041" s="105"/>
      <c r="Q1041" s="105"/>
      <c r="R1041" s="105"/>
      <c r="S1041" s="105"/>
      <c r="T1041" s="105"/>
      <c r="U1041" s="105"/>
      <c r="V1041" s="105"/>
      <c r="W1041" s="105"/>
      <c r="X1041" s="105"/>
      <c r="Y1041" s="105"/>
      <c r="Z1041" s="105"/>
    </row>
    <row r="1042" spans="1:26">
      <c r="A1042" s="98"/>
      <c r="B1042" s="106"/>
      <c r="C1042" s="98"/>
      <c r="D1042" s="98"/>
      <c r="E1042" s="98"/>
      <c r="F1042" s="98"/>
      <c r="G1042" s="98"/>
      <c r="H1042" s="98"/>
      <c r="I1042" s="98"/>
      <c r="J1042" s="107"/>
      <c r="K1042" s="108"/>
      <c r="L1042" s="109"/>
      <c r="M1042" s="105"/>
      <c r="N1042" s="105"/>
      <c r="O1042" s="105"/>
      <c r="P1042" s="105"/>
      <c r="Q1042" s="105"/>
      <c r="R1042" s="105"/>
      <c r="S1042" s="105"/>
      <c r="T1042" s="105"/>
      <c r="U1042" s="105"/>
      <c r="V1042" s="105"/>
      <c r="W1042" s="105"/>
      <c r="X1042" s="105"/>
      <c r="Y1042" s="105"/>
      <c r="Z1042" s="105"/>
    </row>
    <row r="1043" spans="1:26">
      <c r="A1043" s="98"/>
      <c r="B1043" s="106"/>
      <c r="C1043" s="98"/>
      <c r="D1043" s="98"/>
      <c r="E1043" s="98"/>
      <c r="F1043" s="98"/>
      <c r="G1043" s="98"/>
      <c r="H1043" s="98"/>
      <c r="I1043" s="98"/>
      <c r="J1043" s="107"/>
      <c r="K1043" s="108"/>
      <c r="L1043" s="109"/>
      <c r="M1043" s="105"/>
      <c r="N1043" s="105"/>
      <c r="O1043" s="105"/>
      <c r="P1043" s="105"/>
      <c r="Q1043" s="105"/>
      <c r="R1043" s="105"/>
      <c r="S1043" s="105"/>
      <c r="T1043" s="105"/>
      <c r="U1043" s="105"/>
      <c r="V1043" s="105"/>
      <c r="W1043" s="105"/>
      <c r="X1043" s="105"/>
      <c r="Y1043" s="105"/>
      <c r="Z1043" s="105"/>
    </row>
    <row r="1044" spans="1:26">
      <c r="A1044" s="98"/>
      <c r="B1044" s="106"/>
      <c r="C1044" s="98"/>
      <c r="D1044" s="98"/>
      <c r="E1044" s="98"/>
      <c r="F1044" s="98"/>
      <c r="G1044" s="98"/>
      <c r="H1044" s="98"/>
      <c r="I1044" s="98"/>
      <c r="J1044" s="107"/>
      <c r="K1044" s="108"/>
      <c r="L1044" s="109"/>
      <c r="M1044" s="105"/>
      <c r="N1044" s="105"/>
      <c r="O1044" s="105"/>
      <c r="P1044" s="105"/>
      <c r="Q1044" s="105"/>
      <c r="R1044" s="105"/>
      <c r="S1044" s="105"/>
      <c r="T1044" s="105"/>
      <c r="U1044" s="105"/>
      <c r="V1044" s="105"/>
      <c r="W1044" s="105"/>
      <c r="X1044" s="105"/>
      <c r="Y1044" s="105"/>
      <c r="Z1044" s="105"/>
    </row>
    <row r="1045" spans="1:26">
      <c r="A1045" s="98"/>
      <c r="B1045" s="106"/>
      <c r="C1045" s="98"/>
      <c r="D1045" s="98"/>
      <c r="E1045" s="98"/>
      <c r="F1045" s="98"/>
      <c r="G1045" s="98"/>
      <c r="H1045" s="98"/>
      <c r="I1045" s="98"/>
      <c r="J1045" s="107"/>
      <c r="K1045" s="108"/>
      <c r="L1045" s="109"/>
      <c r="M1045" s="105"/>
      <c r="N1045" s="105"/>
      <c r="O1045" s="105"/>
      <c r="P1045" s="105"/>
      <c r="Q1045" s="105"/>
      <c r="R1045" s="105"/>
      <c r="S1045" s="105"/>
      <c r="T1045" s="105"/>
      <c r="U1045" s="105"/>
      <c r="V1045" s="105"/>
      <c r="W1045" s="105"/>
      <c r="X1045" s="105"/>
      <c r="Y1045" s="105"/>
      <c r="Z1045" s="105"/>
    </row>
    <row r="1046" spans="1:26">
      <c r="A1046" s="98"/>
      <c r="B1046" s="106"/>
      <c r="C1046" s="98"/>
      <c r="D1046" s="98"/>
      <c r="E1046" s="98"/>
      <c r="F1046" s="98"/>
      <c r="G1046" s="98"/>
      <c r="H1046" s="98"/>
      <c r="I1046" s="98"/>
      <c r="J1046" s="107"/>
      <c r="K1046" s="108"/>
      <c r="L1046" s="109"/>
      <c r="M1046" s="105"/>
      <c r="N1046" s="105"/>
      <c r="O1046" s="105"/>
      <c r="P1046" s="105"/>
      <c r="Q1046" s="105"/>
      <c r="R1046" s="105"/>
      <c r="S1046" s="105"/>
      <c r="T1046" s="105"/>
      <c r="U1046" s="105"/>
      <c r="V1046" s="105"/>
      <c r="W1046" s="105"/>
      <c r="X1046" s="105"/>
      <c r="Y1046" s="105"/>
      <c r="Z1046" s="105"/>
    </row>
    <row r="1047" spans="1:26">
      <c r="A1047" s="98"/>
      <c r="B1047" s="106"/>
      <c r="C1047" s="98"/>
      <c r="D1047" s="98"/>
      <c r="E1047" s="98"/>
      <c r="F1047" s="98"/>
      <c r="G1047" s="98"/>
      <c r="H1047" s="98"/>
      <c r="I1047" s="98"/>
      <c r="J1047" s="107"/>
      <c r="K1047" s="108"/>
      <c r="L1047" s="109"/>
      <c r="M1047" s="105"/>
      <c r="N1047" s="105"/>
      <c r="O1047" s="105"/>
      <c r="P1047" s="105"/>
      <c r="Q1047" s="105"/>
      <c r="R1047" s="105"/>
      <c r="S1047" s="105"/>
      <c r="T1047" s="105"/>
      <c r="U1047" s="105"/>
      <c r="V1047" s="105"/>
      <c r="W1047" s="105"/>
      <c r="X1047" s="105"/>
      <c r="Y1047" s="105"/>
      <c r="Z1047" s="105"/>
    </row>
    <row r="1048" spans="1:26">
      <c r="A1048" s="98"/>
      <c r="B1048" s="106"/>
      <c r="C1048" s="98"/>
      <c r="D1048" s="98"/>
      <c r="E1048" s="98"/>
      <c r="F1048" s="98"/>
      <c r="G1048" s="98"/>
      <c r="H1048" s="98"/>
      <c r="I1048" s="98"/>
      <c r="J1048" s="107"/>
      <c r="K1048" s="108"/>
      <c r="L1048" s="109"/>
      <c r="M1048" s="105"/>
      <c r="N1048" s="105"/>
      <c r="O1048" s="105"/>
      <c r="P1048" s="105"/>
      <c r="Q1048" s="105"/>
      <c r="R1048" s="105"/>
      <c r="S1048" s="105"/>
      <c r="T1048" s="105"/>
      <c r="U1048" s="105"/>
      <c r="V1048" s="105"/>
      <c r="W1048" s="105"/>
      <c r="X1048" s="105"/>
      <c r="Y1048" s="105"/>
      <c r="Z1048" s="105"/>
    </row>
    <row r="1049" spans="1:26">
      <c r="A1049" s="98"/>
      <c r="B1049" s="106"/>
      <c r="C1049" s="98"/>
      <c r="D1049" s="98"/>
      <c r="E1049" s="98"/>
      <c r="F1049" s="98"/>
      <c r="G1049" s="98"/>
      <c r="H1049" s="98"/>
      <c r="I1049" s="98"/>
      <c r="J1049" s="107"/>
      <c r="K1049" s="108"/>
      <c r="L1049" s="109"/>
      <c r="M1049" s="105"/>
      <c r="N1049" s="105"/>
      <c r="O1049" s="105"/>
      <c r="P1049" s="105"/>
      <c r="Q1049" s="105"/>
      <c r="R1049" s="105"/>
      <c r="S1049" s="105"/>
      <c r="T1049" s="105"/>
      <c r="U1049" s="105"/>
      <c r="V1049" s="105"/>
      <c r="W1049" s="105"/>
      <c r="X1049" s="105"/>
      <c r="Y1049" s="105"/>
      <c r="Z1049" s="105"/>
    </row>
    <row r="1050" spans="1:26">
      <c r="A1050" s="98"/>
      <c r="B1050" s="106"/>
      <c r="C1050" s="98"/>
      <c r="D1050" s="98"/>
      <c r="E1050" s="98"/>
      <c r="F1050" s="98"/>
      <c r="G1050" s="98"/>
      <c r="H1050" s="98"/>
      <c r="I1050" s="98"/>
      <c r="J1050" s="107"/>
      <c r="K1050" s="108"/>
      <c r="L1050" s="109"/>
      <c r="M1050" s="105"/>
      <c r="N1050" s="105"/>
      <c r="O1050" s="105"/>
      <c r="P1050" s="105"/>
      <c r="Q1050" s="105"/>
      <c r="R1050" s="105"/>
      <c r="S1050" s="105"/>
      <c r="T1050" s="105"/>
      <c r="U1050" s="105"/>
      <c r="V1050" s="105"/>
      <c r="W1050" s="105"/>
      <c r="X1050" s="105"/>
      <c r="Y1050" s="105"/>
      <c r="Z1050" s="105"/>
    </row>
    <row r="1051" spans="1:26">
      <c r="A1051" s="98"/>
      <c r="B1051" s="106"/>
      <c r="C1051" s="98"/>
      <c r="D1051" s="98"/>
      <c r="E1051" s="98"/>
      <c r="F1051" s="98"/>
      <c r="G1051" s="98"/>
      <c r="H1051" s="98"/>
      <c r="I1051" s="98"/>
      <c r="J1051" s="107"/>
      <c r="K1051" s="108"/>
      <c r="L1051" s="109"/>
      <c r="M1051" s="105"/>
      <c r="N1051" s="105"/>
      <c r="O1051" s="105"/>
      <c r="P1051" s="105"/>
      <c r="Q1051" s="105"/>
      <c r="R1051" s="105"/>
      <c r="S1051" s="105"/>
      <c r="T1051" s="105"/>
      <c r="U1051" s="105"/>
      <c r="V1051" s="105"/>
      <c r="W1051" s="105"/>
      <c r="X1051" s="105"/>
      <c r="Y1051" s="105"/>
      <c r="Z1051" s="105"/>
    </row>
    <row r="1052" spans="1:26">
      <c r="A1052" s="98"/>
      <c r="B1052" s="106"/>
      <c r="C1052" s="98"/>
      <c r="D1052" s="98"/>
      <c r="E1052" s="98"/>
      <c r="F1052" s="98"/>
      <c r="G1052" s="98"/>
      <c r="H1052" s="98"/>
      <c r="I1052" s="98"/>
      <c r="J1052" s="107"/>
      <c r="K1052" s="108"/>
      <c r="L1052" s="109"/>
      <c r="M1052" s="105"/>
      <c r="N1052" s="105"/>
      <c r="O1052" s="105"/>
      <c r="P1052" s="105"/>
      <c r="Q1052" s="105"/>
      <c r="R1052" s="105"/>
      <c r="S1052" s="105"/>
      <c r="T1052" s="105"/>
      <c r="U1052" s="105"/>
      <c r="V1052" s="105"/>
      <c r="W1052" s="105"/>
      <c r="X1052" s="105"/>
      <c r="Y1052" s="105"/>
      <c r="Z1052" s="105"/>
    </row>
    <row r="1053" spans="1:26">
      <c r="A1053" s="98"/>
      <c r="B1053" s="106"/>
      <c r="C1053" s="98"/>
      <c r="D1053" s="98"/>
      <c r="E1053" s="98"/>
      <c r="F1053" s="98"/>
      <c r="G1053" s="98"/>
      <c r="H1053" s="98"/>
      <c r="I1053" s="98"/>
      <c r="J1053" s="107"/>
      <c r="K1053" s="108"/>
      <c r="L1053" s="109"/>
      <c r="M1053" s="105"/>
      <c r="N1053" s="105"/>
      <c r="O1053" s="105"/>
      <c r="P1053" s="105"/>
      <c r="Q1053" s="105"/>
      <c r="R1053" s="105"/>
      <c r="S1053" s="105"/>
      <c r="T1053" s="105"/>
      <c r="U1053" s="105"/>
      <c r="V1053" s="105"/>
      <c r="W1053" s="105"/>
      <c r="X1053" s="105"/>
      <c r="Y1053" s="105"/>
      <c r="Z1053" s="105"/>
    </row>
    <row r="1054" spans="1:26">
      <c r="A1054" s="98"/>
      <c r="B1054" s="106"/>
      <c r="C1054" s="98"/>
      <c r="D1054" s="98"/>
      <c r="E1054" s="98"/>
      <c r="F1054" s="98"/>
      <c r="G1054" s="98"/>
      <c r="H1054" s="98"/>
      <c r="I1054" s="98"/>
      <c r="J1054" s="107"/>
      <c r="K1054" s="108"/>
      <c r="L1054" s="109"/>
      <c r="M1054" s="105"/>
      <c r="N1054" s="105"/>
      <c r="O1054" s="105"/>
      <c r="P1054" s="105"/>
      <c r="Q1054" s="105"/>
      <c r="R1054" s="105"/>
      <c r="S1054" s="105"/>
      <c r="T1054" s="105"/>
      <c r="U1054" s="105"/>
      <c r="V1054" s="105"/>
      <c r="W1054" s="105"/>
      <c r="X1054" s="105"/>
      <c r="Y1054" s="105"/>
      <c r="Z1054" s="105"/>
    </row>
    <row r="1055" spans="1:26">
      <c r="A1055" s="98"/>
      <c r="B1055" s="106"/>
      <c r="C1055" s="98"/>
      <c r="D1055" s="98"/>
      <c r="E1055" s="98"/>
      <c r="F1055" s="98"/>
      <c r="G1055" s="98"/>
      <c r="H1055" s="98"/>
      <c r="I1055" s="98"/>
      <c r="J1055" s="107"/>
      <c r="K1055" s="108"/>
      <c r="L1055" s="109"/>
      <c r="M1055" s="105"/>
      <c r="N1055" s="105"/>
      <c r="O1055" s="105"/>
      <c r="P1055" s="105"/>
      <c r="Q1055" s="105"/>
      <c r="R1055" s="105"/>
      <c r="S1055" s="105"/>
      <c r="T1055" s="105"/>
      <c r="U1055" s="105"/>
      <c r="V1055" s="105"/>
      <c r="W1055" s="105"/>
      <c r="X1055" s="105"/>
      <c r="Y1055" s="105"/>
      <c r="Z1055" s="105"/>
    </row>
    <row r="1056" spans="1:26">
      <c r="A1056" s="98"/>
      <c r="B1056" s="106"/>
      <c r="C1056" s="98"/>
      <c r="D1056" s="98"/>
      <c r="E1056" s="98"/>
      <c r="F1056" s="98"/>
      <c r="G1056" s="98"/>
      <c r="H1056" s="98"/>
      <c r="I1056" s="98"/>
      <c r="J1056" s="107"/>
      <c r="K1056" s="108"/>
      <c r="L1056" s="109"/>
      <c r="M1056" s="105"/>
      <c r="N1056" s="105"/>
      <c r="O1056" s="105"/>
      <c r="P1056" s="105"/>
      <c r="Q1056" s="105"/>
      <c r="R1056" s="105"/>
      <c r="S1056" s="105"/>
      <c r="T1056" s="105"/>
      <c r="U1056" s="105"/>
      <c r="V1056" s="105"/>
      <c r="W1056" s="105"/>
      <c r="X1056" s="105"/>
      <c r="Y1056" s="105"/>
      <c r="Z1056" s="105"/>
    </row>
    <row r="1057" spans="1:26">
      <c r="A1057" s="98"/>
      <c r="B1057" s="106"/>
      <c r="C1057" s="98"/>
      <c r="D1057" s="98"/>
      <c r="E1057" s="98"/>
      <c r="F1057" s="98"/>
      <c r="G1057" s="98"/>
      <c r="H1057" s="98"/>
      <c r="I1057" s="98"/>
      <c r="J1057" s="107"/>
      <c r="K1057" s="108"/>
      <c r="L1057" s="109"/>
      <c r="M1057" s="105"/>
      <c r="N1057" s="105"/>
      <c r="O1057" s="105"/>
      <c r="P1057" s="105"/>
      <c r="Q1057" s="105"/>
      <c r="R1057" s="105"/>
      <c r="S1057" s="105"/>
      <c r="T1057" s="105"/>
      <c r="U1057" s="105"/>
      <c r="V1057" s="105"/>
      <c r="W1057" s="105"/>
      <c r="X1057" s="105"/>
      <c r="Y1057" s="105"/>
      <c r="Z1057" s="105"/>
    </row>
    <row r="1058" spans="1:26">
      <c r="A1058" s="98"/>
      <c r="B1058" s="106"/>
      <c r="C1058" s="98"/>
      <c r="D1058" s="98"/>
      <c r="E1058" s="98"/>
      <c r="F1058" s="98"/>
      <c r="G1058" s="98"/>
      <c r="H1058" s="98"/>
      <c r="I1058" s="98"/>
      <c r="J1058" s="107"/>
      <c r="K1058" s="108"/>
      <c r="L1058" s="109"/>
      <c r="M1058" s="105"/>
      <c r="N1058" s="105"/>
      <c r="O1058" s="105"/>
      <c r="P1058" s="105"/>
      <c r="Q1058" s="105"/>
      <c r="R1058" s="105"/>
      <c r="S1058" s="105"/>
      <c r="T1058" s="105"/>
      <c r="U1058" s="105"/>
      <c r="V1058" s="105"/>
      <c r="W1058" s="105"/>
      <c r="X1058" s="105"/>
      <c r="Y1058" s="105"/>
      <c r="Z1058" s="105"/>
    </row>
    <row r="1059" spans="1:26">
      <c r="A1059" s="98"/>
      <c r="B1059" s="106"/>
      <c r="C1059" s="98"/>
      <c r="D1059" s="98"/>
      <c r="E1059" s="98"/>
      <c r="F1059" s="98"/>
      <c r="G1059" s="98"/>
      <c r="H1059" s="98"/>
      <c r="I1059" s="98"/>
      <c r="J1059" s="107"/>
      <c r="K1059" s="108"/>
      <c r="L1059" s="109"/>
      <c r="M1059" s="105"/>
      <c r="N1059" s="105"/>
      <c r="O1059" s="105"/>
      <c r="P1059" s="105"/>
      <c r="Q1059" s="105"/>
      <c r="R1059" s="105"/>
      <c r="S1059" s="105"/>
      <c r="T1059" s="105"/>
      <c r="U1059" s="105"/>
      <c r="V1059" s="105"/>
      <c r="W1059" s="105"/>
      <c r="X1059" s="105"/>
      <c r="Y1059" s="105"/>
      <c r="Z1059" s="105"/>
    </row>
    <row r="1060" spans="1:26">
      <c r="A1060" s="98"/>
      <c r="B1060" s="106"/>
      <c r="C1060" s="98"/>
      <c r="D1060" s="98"/>
      <c r="E1060" s="98"/>
      <c r="F1060" s="98"/>
      <c r="G1060" s="98"/>
      <c r="H1060" s="98"/>
      <c r="I1060" s="98"/>
      <c r="J1060" s="107"/>
      <c r="K1060" s="108"/>
      <c r="L1060" s="109"/>
      <c r="M1060" s="105"/>
      <c r="N1060" s="105"/>
      <c r="O1060" s="105"/>
      <c r="P1060" s="105"/>
      <c r="Q1060" s="105"/>
      <c r="R1060" s="105"/>
      <c r="S1060" s="105"/>
      <c r="T1060" s="105"/>
      <c r="U1060" s="105"/>
      <c r="V1060" s="105"/>
      <c r="W1060" s="105"/>
      <c r="X1060" s="105"/>
      <c r="Y1060" s="105"/>
      <c r="Z1060" s="105"/>
    </row>
    <row r="1061" spans="1:26">
      <c r="A1061" s="98"/>
      <c r="B1061" s="106"/>
      <c r="C1061" s="98"/>
      <c r="D1061" s="98"/>
      <c r="E1061" s="98"/>
      <c r="F1061" s="98"/>
      <c r="G1061" s="98"/>
      <c r="H1061" s="98"/>
      <c r="I1061" s="98"/>
      <c r="J1061" s="107"/>
      <c r="K1061" s="108"/>
      <c r="L1061" s="109"/>
      <c r="M1061" s="105"/>
      <c r="N1061" s="105"/>
      <c r="O1061" s="105"/>
      <c r="P1061" s="105"/>
      <c r="Q1061" s="105"/>
      <c r="R1061" s="105"/>
      <c r="S1061" s="105"/>
      <c r="T1061" s="105"/>
      <c r="U1061" s="105"/>
      <c r="V1061" s="105"/>
      <c r="W1061" s="105"/>
      <c r="X1061" s="105"/>
      <c r="Y1061" s="105"/>
      <c r="Z1061" s="105"/>
    </row>
    <row r="1062" spans="1:26">
      <c r="A1062" s="98"/>
      <c r="B1062" s="106"/>
      <c r="C1062" s="98"/>
      <c r="D1062" s="98"/>
      <c r="E1062" s="98"/>
      <c r="F1062" s="98"/>
      <c r="G1062" s="98"/>
      <c r="H1062" s="98"/>
      <c r="I1062" s="98"/>
      <c r="J1062" s="107"/>
      <c r="K1062" s="108"/>
      <c r="L1062" s="109"/>
      <c r="M1062" s="105"/>
      <c r="N1062" s="105"/>
      <c r="O1062" s="105"/>
      <c r="P1062" s="105"/>
      <c r="Q1062" s="105"/>
      <c r="R1062" s="105"/>
      <c r="S1062" s="105"/>
      <c r="T1062" s="105"/>
      <c r="U1062" s="105"/>
      <c r="V1062" s="105"/>
      <c r="W1062" s="105"/>
      <c r="X1062" s="105"/>
      <c r="Y1062" s="105"/>
      <c r="Z1062" s="105"/>
    </row>
    <row r="1063" spans="1:26">
      <c r="A1063" s="98"/>
      <c r="B1063" s="106"/>
      <c r="C1063" s="98"/>
      <c r="D1063" s="98"/>
      <c r="E1063" s="98"/>
      <c r="F1063" s="98"/>
      <c r="G1063" s="98"/>
      <c r="H1063" s="98"/>
      <c r="I1063" s="98"/>
      <c r="J1063" s="107"/>
      <c r="K1063" s="108"/>
      <c r="L1063" s="109"/>
      <c r="M1063" s="105"/>
      <c r="N1063" s="105"/>
      <c r="O1063" s="105"/>
      <c r="P1063" s="105"/>
      <c r="Q1063" s="105"/>
      <c r="R1063" s="105"/>
      <c r="S1063" s="105"/>
      <c r="T1063" s="105"/>
      <c r="U1063" s="105"/>
      <c r="V1063" s="105"/>
      <c r="W1063" s="105"/>
      <c r="X1063" s="105"/>
      <c r="Y1063" s="105"/>
      <c r="Z1063" s="105"/>
    </row>
    <row r="1064" spans="1:26">
      <c r="A1064" s="98"/>
      <c r="B1064" s="106"/>
      <c r="C1064" s="98"/>
      <c r="D1064" s="98"/>
      <c r="E1064" s="98"/>
      <c r="F1064" s="98"/>
      <c r="G1064" s="98"/>
      <c r="H1064" s="98"/>
      <c r="I1064" s="98"/>
      <c r="J1064" s="107"/>
      <c r="K1064" s="108"/>
      <c r="L1064" s="109"/>
      <c r="M1064" s="105"/>
      <c r="N1064" s="105"/>
      <c r="O1064" s="105"/>
      <c r="P1064" s="105"/>
      <c r="Q1064" s="105"/>
      <c r="R1064" s="105"/>
      <c r="S1064" s="105"/>
      <c r="T1064" s="105"/>
      <c r="U1064" s="105"/>
      <c r="V1064" s="105"/>
      <c r="W1064" s="105"/>
      <c r="X1064" s="105"/>
      <c r="Y1064" s="105"/>
      <c r="Z1064" s="105"/>
    </row>
    <row r="1065" spans="1:26">
      <c r="A1065" s="98"/>
      <c r="B1065" s="106"/>
      <c r="C1065" s="98"/>
      <c r="D1065" s="98"/>
      <c r="E1065" s="98"/>
      <c r="F1065" s="98"/>
      <c r="G1065" s="98"/>
      <c r="H1065" s="98"/>
      <c r="I1065" s="98"/>
      <c r="J1065" s="107"/>
      <c r="K1065" s="108"/>
      <c r="L1065" s="109"/>
      <c r="M1065" s="105"/>
      <c r="N1065" s="105"/>
      <c r="O1065" s="105"/>
      <c r="P1065" s="105"/>
      <c r="Q1065" s="105"/>
      <c r="R1065" s="105"/>
      <c r="S1065" s="105"/>
      <c r="T1065" s="105"/>
      <c r="U1065" s="105"/>
      <c r="V1065" s="105"/>
      <c r="W1065" s="105"/>
      <c r="X1065" s="105"/>
      <c r="Y1065" s="105"/>
      <c r="Z1065" s="105"/>
    </row>
    <row r="1066" spans="1:26">
      <c r="A1066" s="98"/>
      <c r="B1066" s="106"/>
      <c r="C1066" s="98"/>
      <c r="D1066" s="98"/>
      <c r="E1066" s="98"/>
      <c r="F1066" s="98"/>
      <c r="G1066" s="98"/>
      <c r="H1066" s="98"/>
      <c r="I1066" s="98"/>
      <c r="J1066" s="107"/>
      <c r="K1066" s="108"/>
      <c r="L1066" s="109"/>
      <c r="M1066" s="105"/>
      <c r="N1066" s="105"/>
      <c r="O1066" s="105"/>
      <c r="P1066" s="105"/>
      <c r="Q1066" s="105"/>
      <c r="R1066" s="105"/>
      <c r="S1066" s="105"/>
      <c r="T1066" s="105"/>
      <c r="U1066" s="105"/>
      <c r="V1066" s="105"/>
      <c r="W1066" s="105"/>
      <c r="X1066" s="105"/>
      <c r="Y1066" s="105"/>
      <c r="Z1066" s="105"/>
    </row>
    <row r="1067" spans="1:26">
      <c r="A1067" s="98"/>
      <c r="B1067" s="106"/>
      <c r="C1067" s="98"/>
      <c r="D1067" s="98"/>
      <c r="E1067" s="98"/>
      <c r="F1067" s="98"/>
      <c r="G1067" s="98"/>
      <c r="H1067" s="98"/>
      <c r="I1067" s="98"/>
      <c r="J1067" s="107"/>
      <c r="K1067" s="108"/>
      <c r="L1067" s="109"/>
      <c r="M1067" s="105"/>
      <c r="N1067" s="105"/>
      <c r="O1067" s="105"/>
      <c r="P1067" s="105"/>
      <c r="Q1067" s="105"/>
      <c r="R1067" s="105"/>
      <c r="S1067" s="105"/>
      <c r="T1067" s="105"/>
      <c r="U1067" s="105"/>
      <c r="V1067" s="105"/>
      <c r="W1067" s="105"/>
      <c r="X1067" s="105"/>
      <c r="Y1067" s="105"/>
      <c r="Z1067" s="105"/>
    </row>
    <row r="1068" spans="1:26">
      <c r="A1068" s="98"/>
      <c r="B1068" s="106"/>
      <c r="C1068" s="98"/>
      <c r="D1068" s="98"/>
      <c r="E1068" s="98"/>
      <c r="F1068" s="98"/>
      <c r="G1068" s="98"/>
      <c r="H1068" s="98"/>
      <c r="I1068" s="98"/>
      <c r="J1068" s="107"/>
      <c r="K1068" s="108"/>
      <c r="L1068" s="109"/>
      <c r="M1068" s="105"/>
      <c r="N1068" s="105"/>
      <c r="O1068" s="105"/>
      <c r="P1068" s="105"/>
      <c r="Q1068" s="105"/>
      <c r="R1068" s="105"/>
      <c r="S1068" s="105"/>
      <c r="T1068" s="105"/>
      <c r="U1068" s="105"/>
      <c r="V1068" s="105"/>
      <c r="W1068" s="105"/>
      <c r="X1068" s="105"/>
      <c r="Y1068" s="105"/>
      <c r="Z1068" s="105"/>
    </row>
    <row r="1069" spans="1:26">
      <c r="A1069" s="98"/>
      <c r="B1069" s="106"/>
      <c r="C1069" s="98"/>
      <c r="D1069" s="98"/>
      <c r="E1069" s="98"/>
      <c r="F1069" s="98"/>
      <c r="G1069" s="98"/>
      <c r="H1069" s="98"/>
      <c r="I1069" s="98"/>
      <c r="J1069" s="107"/>
      <c r="K1069" s="108"/>
      <c r="L1069" s="109"/>
      <c r="M1069" s="105"/>
      <c r="N1069" s="105"/>
      <c r="O1069" s="105"/>
      <c r="P1069" s="105"/>
      <c r="Q1069" s="105"/>
      <c r="R1069" s="105"/>
      <c r="S1069" s="105"/>
      <c r="T1069" s="105"/>
      <c r="U1069" s="105"/>
      <c r="V1069" s="105"/>
      <c r="W1069" s="105"/>
      <c r="X1069" s="105"/>
      <c r="Y1069" s="105"/>
      <c r="Z1069" s="105"/>
    </row>
    <row r="1070" spans="1:26">
      <c r="A1070" s="98"/>
      <c r="B1070" s="106"/>
      <c r="C1070" s="98"/>
      <c r="D1070" s="98"/>
      <c r="E1070" s="98"/>
      <c r="F1070" s="98"/>
      <c r="G1070" s="98"/>
      <c r="H1070" s="98"/>
      <c r="I1070" s="98"/>
      <c r="J1070" s="107"/>
      <c r="K1070" s="108"/>
      <c r="L1070" s="109"/>
      <c r="M1070" s="105"/>
      <c r="N1070" s="105"/>
      <c r="O1070" s="105"/>
      <c r="P1070" s="105"/>
      <c r="Q1070" s="105"/>
      <c r="R1070" s="105"/>
      <c r="S1070" s="105"/>
      <c r="T1070" s="105"/>
      <c r="U1070" s="105"/>
      <c r="V1070" s="105"/>
      <c r="W1070" s="105"/>
      <c r="X1070" s="105"/>
      <c r="Y1070" s="105"/>
      <c r="Z1070" s="105"/>
    </row>
    <row r="1071" spans="1:26">
      <c r="A1071" s="98"/>
      <c r="B1071" s="106"/>
      <c r="C1071" s="98"/>
      <c r="D1071" s="98"/>
      <c r="E1071" s="98"/>
      <c r="F1071" s="98"/>
      <c r="G1071" s="98"/>
      <c r="H1071" s="98"/>
      <c r="I1071" s="98"/>
      <c r="J1071" s="107"/>
      <c r="K1071" s="108"/>
      <c r="L1071" s="109"/>
      <c r="M1071" s="105"/>
      <c r="N1071" s="105"/>
      <c r="O1071" s="105"/>
      <c r="P1071" s="105"/>
      <c r="Q1071" s="105"/>
      <c r="R1071" s="105"/>
      <c r="S1071" s="105"/>
      <c r="T1071" s="105"/>
      <c r="U1071" s="105"/>
      <c r="V1071" s="105"/>
      <c r="W1071" s="105"/>
      <c r="X1071" s="105"/>
      <c r="Y1071" s="105"/>
      <c r="Z1071" s="105"/>
    </row>
    <row r="1072" spans="1:26">
      <c r="A1072" s="98"/>
      <c r="B1072" s="106"/>
      <c r="C1072" s="98"/>
      <c r="D1072" s="98"/>
      <c r="E1072" s="98"/>
      <c r="F1072" s="98"/>
      <c r="G1072" s="98"/>
      <c r="H1072" s="98"/>
      <c r="I1072" s="98"/>
      <c r="J1072" s="107"/>
      <c r="K1072" s="108"/>
      <c r="L1072" s="109"/>
      <c r="M1072" s="105"/>
      <c r="N1072" s="105"/>
      <c r="O1072" s="105"/>
      <c r="P1072" s="105"/>
      <c r="Q1072" s="105"/>
      <c r="R1072" s="105"/>
      <c r="S1072" s="105"/>
      <c r="T1072" s="105"/>
      <c r="U1072" s="105"/>
      <c r="V1072" s="105"/>
      <c r="W1072" s="105"/>
      <c r="X1072" s="105"/>
      <c r="Y1072" s="105"/>
      <c r="Z1072" s="105"/>
    </row>
    <row r="1073" spans="1:26">
      <c r="A1073" s="98"/>
      <c r="B1073" s="106"/>
      <c r="C1073" s="98"/>
      <c r="D1073" s="98"/>
      <c r="E1073" s="98"/>
      <c r="F1073" s="98"/>
      <c r="G1073" s="98"/>
      <c r="H1073" s="98"/>
      <c r="I1073" s="98"/>
      <c r="J1073" s="107"/>
      <c r="K1073" s="108"/>
      <c r="L1073" s="109"/>
      <c r="M1073" s="105"/>
      <c r="N1073" s="105"/>
      <c r="O1073" s="105"/>
      <c r="P1073" s="105"/>
      <c r="Q1073" s="105"/>
      <c r="R1073" s="105"/>
      <c r="S1073" s="105"/>
      <c r="T1073" s="105"/>
      <c r="U1073" s="105"/>
      <c r="V1073" s="105"/>
      <c r="W1073" s="105"/>
      <c r="X1073" s="105"/>
      <c r="Y1073" s="105"/>
      <c r="Z1073" s="105"/>
    </row>
    <row r="1074" spans="1:26">
      <c r="A1074" s="98"/>
      <c r="B1074" s="106"/>
      <c r="C1074" s="98"/>
      <c r="D1074" s="98"/>
      <c r="E1074" s="98"/>
      <c r="F1074" s="98"/>
      <c r="G1074" s="98"/>
      <c r="H1074" s="98"/>
      <c r="I1074" s="98"/>
      <c r="J1074" s="107"/>
      <c r="K1074" s="108"/>
      <c r="L1074" s="109"/>
      <c r="M1074" s="105"/>
      <c r="N1074" s="105"/>
      <c r="O1074" s="105"/>
      <c r="P1074" s="105"/>
      <c r="Q1074" s="105"/>
      <c r="R1074" s="105"/>
      <c r="S1074" s="105"/>
      <c r="T1074" s="105"/>
      <c r="U1074" s="105"/>
      <c r="V1074" s="105"/>
      <c r="W1074" s="105"/>
      <c r="X1074" s="105"/>
      <c r="Y1074" s="105"/>
      <c r="Z1074" s="105"/>
    </row>
    <row r="1075" spans="1:26">
      <c r="A1075" s="98"/>
      <c r="B1075" s="106"/>
      <c r="C1075" s="98"/>
      <c r="D1075" s="98"/>
      <c r="E1075" s="98"/>
      <c r="F1075" s="98"/>
      <c r="G1075" s="98"/>
      <c r="H1075" s="98"/>
      <c r="I1075" s="98"/>
      <c r="J1075" s="107"/>
      <c r="K1075" s="108"/>
      <c r="L1075" s="109"/>
      <c r="M1075" s="105"/>
      <c r="N1075" s="105"/>
      <c r="O1075" s="105"/>
      <c r="P1075" s="105"/>
      <c r="Q1075" s="105"/>
      <c r="R1075" s="105"/>
      <c r="S1075" s="105"/>
      <c r="T1075" s="105"/>
      <c r="U1075" s="105"/>
      <c r="V1075" s="105"/>
      <c r="W1075" s="105"/>
      <c r="X1075" s="105"/>
      <c r="Y1075" s="105"/>
      <c r="Z1075" s="105"/>
    </row>
    <row r="1076" spans="1:26">
      <c r="A1076" s="98"/>
      <c r="B1076" s="106"/>
      <c r="C1076" s="98"/>
      <c r="D1076" s="98"/>
      <c r="E1076" s="98"/>
      <c r="F1076" s="98"/>
      <c r="G1076" s="98"/>
      <c r="H1076" s="98"/>
      <c r="I1076" s="98"/>
      <c r="J1076" s="107"/>
      <c r="K1076" s="108"/>
      <c r="L1076" s="109"/>
      <c r="M1076" s="105"/>
      <c r="N1076" s="105"/>
      <c r="O1076" s="105"/>
      <c r="P1076" s="105"/>
      <c r="Q1076" s="105"/>
      <c r="R1076" s="105"/>
      <c r="S1076" s="105"/>
      <c r="T1076" s="105"/>
      <c r="U1076" s="105"/>
      <c r="V1076" s="105"/>
      <c r="W1076" s="105"/>
      <c r="X1076" s="105"/>
      <c r="Y1076" s="105"/>
      <c r="Z1076" s="105"/>
    </row>
    <row r="1077" spans="1:26">
      <c r="A1077" s="98"/>
      <c r="B1077" s="106"/>
      <c r="C1077" s="98"/>
      <c r="D1077" s="98"/>
      <c r="E1077" s="98"/>
      <c r="F1077" s="98"/>
      <c r="G1077" s="98"/>
      <c r="H1077" s="98"/>
      <c r="I1077" s="98"/>
      <c r="J1077" s="107"/>
      <c r="K1077" s="108"/>
      <c r="L1077" s="109"/>
      <c r="M1077" s="105"/>
      <c r="N1077" s="105"/>
      <c r="O1077" s="105"/>
      <c r="P1077" s="105"/>
      <c r="Q1077" s="105"/>
      <c r="R1077" s="105"/>
      <c r="S1077" s="105"/>
      <c r="T1077" s="105"/>
      <c r="U1077" s="105"/>
      <c r="V1077" s="105"/>
      <c r="W1077" s="105"/>
      <c r="X1077" s="105"/>
      <c r="Y1077" s="105"/>
      <c r="Z1077" s="105"/>
    </row>
    <row r="1078" spans="1:26">
      <c r="A1078" s="98"/>
      <c r="B1078" s="106"/>
      <c r="C1078" s="98"/>
      <c r="D1078" s="98"/>
      <c r="E1078" s="98"/>
      <c r="F1078" s="98"/>
      <c r="G1078" s="98"/>
      <c r="H1078" s="98"/>
      <c r="I1078" s="98"/>
      <c r="J1078" s="107"/>
      <c r="K1078" s="108"/>
      <c r="L1078" s="109"/>
      <c r="M1078" s="105"/>
      <c r="N1078" s="105"/>
      <c r="O1078" s="105"/>
      <c r="P1078" s="105"/>
      <c r="Q1078" s="105"/>
      <c r="R1078" s="105"/>
      <c r="S1078" s="105"/>
      <c r="T1078" s="105"/>
      <c r="U1078" s="105"/>
      <c r="V1078" s="105"/>
      <c r="W1078" s="105"/>
      <c r="X1078" s="105"/>
      <c r="Y1078" s="105"/>
      <c r="Z1078" s="105"/>
    </row>
    <row r="1079" spans="1:26">
      <c r="A1079" s="98"/>
      <c r="B1079" s="106"/>
      <c r="C1079" s="98"/>
      <c r="D1079" s="98"/>
      <c r="E1079" s="98"/>
      <c r="F1079" s="98"/>
      <c r="G1079" s="98"/>
      <c r="H1079" s="98"/>
      <c r="I1079" s="98"/>
      <c r="J1079" s="107"/>
      <c r="K1079" s="108"/>
      <c r="L1079" s="109"/>
      <c r="M1079" s="105"/>
      <c r="N1079" s="105"/>
      <c r="O1079" s="105"/>
      <c r="P1079" s="105"/>
      <c r="Q1079" s="105"/>
      <c r="R1079" s="105"/>
      <c r="S1079" s="105"/>
      <c r="T1079" s="105"/>
      <c r="U1079" s="105"/>
      <c r="V1079" s="105"/>
      <c r="W1079" s="105"/>
      <c r="X1079" s="105"/>
      <c r="Y1079" s="105"/>
      <c r="Z1079" s="105"/>
    </row>
    <row r="1080" spans="1:26">
      <c r="A1080" s="98"/>
      <c r="B1080" s="106"/>
      <c r="C1080" s="98"/>
      <c r="D1080" s="98"/>
      <c r="E1080" s="98"/>
      <c r="F1080" s="98"/>
      <c r="G1080" s="98"/>
      <c r="H1080" s="98"/>
      <c r="I1080" s="98"/>
      <c r="J1080" s="107"/>
      <c r="K1080" s="108"/>
      <c r="L1080" s="109"/>
      <c r="M1080" s="105"/>
      <c r="N1080" s="105"/>
      <c r="O1080" s="105"/>
      <c r="P1080" s="105"/>
      <c r="Q1080" s="105"/>
      <c r="R1080" s="105"/>
      <c r="S1080" s="105"/>
      <c r="T1080" s="105"/>
      <c r="U1080" s="105"/>
      <c r="V1080" s="105"/>
      <c r="W1080" s="105"/>
      <c r="X1080" s="105"/>
      <c r="Y1080" s="105"/>
      <c r="Z1080" s="105"/>
    </row>
    <row r="1081" spans="1:26">
      <c r="A1081" s="98"/>
      <c r="B1081" s="106"/>
      <c r="C1081" s="98"/>
      <c r="D1081" s="98"/>
      <c r="E1081" s="98"/>
      <c r="F1081" s="98"/>
      <c r="G1081" s="98"/>
      <c r="H1081" s="98"/>
      <c r="I1081" s="98"/>
      <c r="J1081" s="107"/>
      <c r="K1081" s="108"/>
      <c r="L1081" s="109"/>
      <c r="M1081" s="105"/>
      <c r="N1081" s="105"/>
      <c r="O1081" s="105"/>
      <c r="P1081" s="105"/>
      <c r="Q1081" s="105"/>
      <c r="R1081" s="105"/>
      <c r="S1081" s="105"/>
      <c r="T1081" s="105"/>
      <c r="U1081" s="105"/>
      <c r="V1081" s="105"/>
      <c r="W1081" s="105"/>
      <c r="X1081" s="105"/>
      <c r="Y1081" s="105"/>
      <c r="Z1081" s="105"/>
    </row>
    <row r="1082" spans="1:26">
      <c r="A1082" s="98"/>
      <c r="B1082" s="106"/>
      <c r="C1082" s="98"/>
      <c r="D1082" s="98"/>
      <c r="E1082" s="98"/>
      <c r="F1082" s="98"/>
      <c r="G1082" s="98"/>
      <c r="H1082" s="98"/>
      <c r="I1082" s="98"/>
      <c r="J1082" s="107"/>
      <c r="K1082" s="108"/>
      <c r="L1082" s="109"/>
      <c r="M1082" s="105"/>
      <c r="N1082" s="105"/>
      <c r="O1082" s="105"/>
      <c r="P1082" s="105"/>
      <c r="Q1082" s="105"/>
      <c r="R1082" s="105"/>
      <c r="S1082" s="105"/>
      <c r="T1082" s="105"/>
      <c r="U1082" s="105"/>
      <c r="V1082" s="105"/>
      <c r="W1082" s="105"/>
      <c r="X1082" s="105"/>
      <c r="Y1082" s="105"/>
      <c r="Z1082" s="105"/>
    </row>
    <row r="1083" spans="1:26">
      <c r="A1083" s="98"/>
      <c r="B1083" s="106"/>
      <c r="C1083" s="98"/>
      <c r="D1083" s="98"/>
      <c r="E1083" s="98"/>
      <c r="F1083" s="98"/>
      <c r="G1083" s="98"/>
      <c r="H1083" s="98"/>
      <c r="I1083" s="98"/>
      <c r="J1083" s="107"/>
      <c r="K1083" s="108"/>
      <c r="L1083" s="109"/>
      <c r="M1083" s="105"/>
      <c r="N1083" s="105"/>
      <c r="O1083" s="105"/>
      <c r="P1083" s="105"/>
      <c r="Q1083" s="105"/>
      <c r="R1083" s="105"/>
      <c r="S1083" s="105"/>
      <c r="T1083" s="105"/>
      <c r="U1083" s="105"/>
      <c r="V1083" s="105"/>
      <c r="W1083" s="105"/>
      <c r="X1083" s="105"/>
      <c r="Y1083" s="105"/>
      <c r="Z1083" s="105"/>
    </row>
    <row r="1084" spans="1:26">
      <c r="A1084" s="98"/>
      <c r="B1084" s="106"/>
      <c r="C1084" s="98"/>
      <c r="D1084" s="98"/>
      <c r="E1084" s="98"/>
      <c r="F1084" s="98"/>
      <c r="G1084" s="98"/>
      <c r="H1084" s="98"/>
      <c r="I1084" s="98"/>
      <c r="J1084" s="107"/>
      <c r="K1084" s="108"/>
      <c r="L1084" s="109"/>
      <c r="M1084" s="105"/>
      <c r="N1084" s="105"/>
      <c r="O1084" s="105"/>
      <c r="P1084" s="105"/>
      <c r="Q1084" s="105"/>
      <c r="R1084" s="105"/>
      <c r="S1084" s="105"/>
      <c r="T1084" s="105"/>
      <c r="U1084" s="105"/>
      <c r="V1084" s="105"/>
      <c r="W1084" s="105"/>
      <c r="X1084" s="105"/>
      <c r="Y1084" s="105"/>
      <c r="Z1084" s="105"/>
    </row>
    <row r="1085" spans="1:26">
      <c r="A1085" s="98"/>
      <c r="B1085" s="106"/>
      <c r="C1085" s="98"/>
      <c r="D1085" s="98"/>
      <c r="E1085" s="98"/>
      <c r="F1085" s="98"/>
      <c r="G1085" s="98"/>
      <c r="H1085" s="98"/>
      <c r="I1085" s="98"/>
      <c r="J1085" s="107"/>
      <c r="K1085" s="108"/>
      <c r="L1085" s="109"/>
      <c r="M1085" s="105"/>
      <c r="N1085" s="105"/>
      <c r="O1085" s="105"/>
      <c r="P1085" s="105"/>
      <c r="Q1085" s="105"/>
      <c r="R1085" s="105"/>
      <c r="S1085" s="105"/>
      <c r="T1085" s="105"/>
      <c r="U1085" s="105"/>
      <c r="V1085" s="105"/>
      <c r="W1085" s="105"/>
      <c r="X1085" s="105"/>
      <c r="Y1085" s="105"/>
      <c r="Z1085" s="105"/>
    </row>
    <row r="1086" spans="1:26">
      <c r="A1086" s="98"/>
      <c r="B1086" s="106"/>
      <c r="C1086" s="98"/>
      <c r="D1086" s="98"/>
      <c r="E1086" s="98"/>
      <c r="F1086" s="98"/>
      <c r="G1086" s="98"/>
      <c r="H1086" s="98"/>
      <c r="I1086" s="98"/>
      <c r="J1086" s="107"/>
      <c r="K1086" s="108"/>
      <c r="L1086" s="109"/>
      <c r="M1086" s="105"/>
      <c r="N1086" s="105"/>
      <c r="O1086" s="105"/>
      <c r="P1086" s="105"/>
      <c r="Q1086" s="105"/>
      <c r="R1086" s="105"/>
      <c r="S1086" s="105"/>
      <c r="T1086" s="105"/>
      <c r="U1086" s="105"/>
      <c r="V1086" s="105"/>
      <c r="W1086" s="105"/>
      <c r="X1086" s="105"/>
      <c r="Y1086" s="105"/>
      <c r="Z1086" s="105"/>
    </row>
    <row r="1087" spans="1:26">
      <c r="A1087" s="98"/>
      <c r="B1087" s="106"/>
      <c r="C1087" s="98"/>
      <c r="D1087" s="98"/>
      <c r="E1087" s="98"/>
      <c r="F1087" s="98"/>
      <c r="G1087" s="98"/>
      <c r="H1087" s="98"/>
      <c r="I1087" s="98"/>
      <c r="J1087" s="107"/>
      <c r="K1087" s="108"/>
      <c r="L1087" s="109"/>
      <c r="M1087" s="105"/>
      <c r="N1087" s="105"/>
      <c r="O1087" s="105"/>
      <c r="P1087" s="105"/>
      <c r="Q1087" s="105"/>
      <c r="R1087" s="105"/>
      <c r="S1087" s="105"/>
      <c r="T1087" s="105"/>
      <c r="U1087" s="105"/>
      <c r="V1087" s="105"/>
      <c r="W1087" s="105"/>
      <c r="X1087" s="105"/>
      <c r="Y1087" s="105"/>
      <c r="Z1087" s="105"/>
    </row>
    <row r="1088" spans="1:26">
      <c r="A1088" s="98"/>
      <c r="B1088" s="106"/>
      <c r="C1088" s="98"/>
      <c r="D1088" s="98"/>
      <c r="E1088" s="98"/>
      <c r="F1088" s="98"/>
      <c r="G1088" s="98"/>
      <c r="H1088" s="98"/>
      <c r="I1088" s="98"/>
      <c r="J1088" s="107"/>
      <c r="K1088" s="108"/>
      <c r="L1088" s="109"/>
      <c r="M1088" s="105"/>
      <c r="N1088" s="105"/>
      <c r="O1088" s="105"/>
      <c r="P1088" s="105"/>
      <c r="Q1088" s="105"/>
      <c r="R1088" s="105"/>
      <c r="S1088" s="105"/>
      <c r="T1088" s="105"/>
      <c r="U1088" s="105"/>
      <c r="V1088" s="105"/>
      <c r="W1088" s="105"/>
      <c r="X1088" s="105"/>
      <c r="Y1088" s="105"/>
      <c r="Z1088" s="105"/>
    </row>
    <row r="1089" spans="1:26">
      <c r="A1089" s="98"/>
      <c r="B1089" s="106"/>
      <c r="C1089" s="98"/>
      <c r="D1089" s="98"/>
      <c r="E1089" s="98"/>
      <c r="F1089" s="98"/>
      <c r="G1089" s="98"/>
      <c r="H1089" s="98"/>
      <c r="I1089" s="98"/>
      <c r="J1089" s="107"/>
      <c r="K1089" s="108"/>
      <c r="L1089" s="109"/>
      <c r="M1089" s="105"/>
      <c r="N1089" s="105"/>
      <c r="O1089" s="105"/>
      <c r="P1089" s="105"/>
      <c r="Q1089" s="105"/>
      <c r="R1089" s="105"/>
      <c r="S1089" s="105"/>
      <c r="T1089" s="105"/>
      <c r="U1089" s="105"/>
      <c r="V1089" s="105"/>
      <c r="W1089" s="105"/>
      <c r="X1089" s="105"/>
      <c r="Y1089" s="105"/>
      <c r="Z1089" s="105"/>
    </row>
    <row r="1090" spans="1:26">
      <c r="A1090" s="98"/>
      <c r="B1090" s="106"/>
      <c r="C1090" s="98"/>
      <c r="D1090" s="98"/>
      <c r="E1090" s="98"/>
      <c r="F1090" s="98"/>
      <c r="G1090" s="98"/>
      <c r="H1090" s="98"/>
      <c r="I1090" s="98"/>
      <c r="J1090" s="107"/>
      <c r="K1090" s="108"/>
      <c r="L1090" s="109"/>
      <c r="M1090" s="105"/>
      <c r="N1090" s="105"/>
      <c r="O1090" s="105"/>
      <c r="P1090" s="105"/>
      <c r="Q1090" s="105"/>
      <c r="R1090" s="105"/>
      <c r="S1090" s="105"/>
      <c r="T1090" s="105"/>
      <c r="U1090" s="105"/>
      <c r="V1090" s="105"/>
      <c r="W1090" s="105"/>
      <c r="X1090" s="105"/>
      <c r="Y1090" s="105"/>
      <c r="Z1090" s="105"/>
    </row>
    <row r="1091" spans="1:26">
      <c r="A1091" s="98"/>
      <c r="B1091" s="106"/>
      <c r="C1091" s="98"/>
      <c r="D1091" s="98"/>
      <c r="E1091" s="98"/>
      <c r="F1091" s="98"/>
      <c r="G1091" s="98"/>
      <c r="H1091" s="98"/>
      <c r="I1091" s="98"/>
      <c r="J1091" s="107"/>
      <c r="K1091" s="108"/>
      <c r="L1091" s="109"/>
      <c r="M1091" s="105"/>
      <c r="N1091" s="105"/>
      <c r="O1091" s="105"/>
      <c r="P1091" s="105"/>
      <c r="Q1091" s="105"/>
      <c r="R1091" s="105"/>
      <c r="S1091" s="105"/>
      <c r="T1091" s="105"/>
      <c r="U1091" s="105"/>
      <c r="V1091" s="105"/>
      <c r="W1091" s="105"/>
      <c r="X1091" s="105"/>
      <c r="Y1091" s="105"/>
      <c r="Z1091" s="105"/>
    </row>
    <row r="1092" spans="1:26">
      <c r="A1092" s="98"/>
      <c r="B1092" s="106"/>
      <c r="C1092" s="98"/>
      <c r="D1092" s="98"/>
      <c r="E1092" s="98"/>
      <c r="F1092" s="98"/>
      <c r="G1092" s="98"/>
      <c r="H1092" s="98"/>
      <c r="I1092" s="98"/>
      <c r="J1092" s="107"/>
      <c r="K1092" s="108"/>
      <c r="L1092" s="109"/>
      <c r="M1092" s="105"/>
      <c r="N1092" s="105"/>
      <c r="O1092" s="105"/>
      <c r="P1092" s="105"/>
      <c r="Q1092" s="105"/>
      <c r="R1092" s="105"/>
      <c r="S1092" s="105"/>
      <c r="T1092" s="105"/>
      <c r="U1092" s="105"/>
      <c r="V1092" s="105"/>
      <c r="W1092" s="105"/>
      <c r="X1092" s="105"/>
      <c r="Y1092" s="105"/>
      <c r="Z1092" s="105"/>
    </row>
    <row r="1093" spans="1:26">
      <c r="A1093" s="98"/>
      <c r="B1093" s="106"/>
      <c r="C1093" s="98"/>
      <c r="D1093" s="98"/>
      <c r="E1093" s="98"/>
      <c r="F1093" s="98"/>
      <c r="G1093" s="98"/>
      <c r="H1093" s="98"/>
      <c r="I1093" s="98"/>
      <c r="J1093" s="107"/>
      <c r="K1093" s="108"/>
      <c r="L1093" s="109"/>
      <c r="M1093" s="105"/>
      <c r="N1093" s="105"/>
      <c r="O1093" s="105"/>
      <c r="P1093" s="105"/>
      <c r="Q1093" s="105"/>
      <c r="R1093" s="105"/>
      <c r="S1093" s="105"/>
      <c r="T1093" s="105"/>
      <c r="U1093" s="105"/>
      <c r="V1093" s="105"/>
      <c r="W1093" s="105"/>
      <c r="X1093" s="105"/>
      <c r="Y1093" s="105"/>
      <c r="Z1093" s="105"/>
    </row>
    <row r="1094" spans="1:26">
      <c r="A1094" s="98"/>
      <c r="B1094" s="106"/>
      <c r="C1094" s="98"/>
      <c r="D1094" s="98"/>
      <c r="E1094" s="98"/>
      <c r="F1094" s="98"/>
      <c r="G1094" s="98"/>
      <c r="H1094" s="98"/>
      <c r="I1094" s="98"/>
      <c r="J1094" s="107"/>
      <c r="K1094" s="108"/>
      <c r="L1094" s="109"/>
      <c r="M1094" s="105"/>
      <c r="N1094" s="105"/>
      <c r="O1094" s="105"/>
      <c r="P1094" s="105"/>
      <c r="Q1094" s="105"/>
      <c r="R1094" s="105"/>
      <c r="S1094" s="105"/>
      <c r="T1094" s="105"/>
      <c r="U1094" s="105"/>
      <c r="V1094" s="105"/>
      <c r="W1094" s="105"/>
      <c r="X1094" s="105"/>
      <c r="Y1094" s="105"/>
      <c r="Z1094" s="105"/>
    </row>
    <row r="1095" spans="1:26">
      <c r="A1095" s="98"/>
      <c r="B1095" s="106"/>
      <c r="C1095" s="98"/>
      <c r="D1095" s="98"/>
      <c r="E1095" s="98"/>
      <c r="F1095" s="98"/>
      <c r="G1095" s="98"/>
      <c r="H1095" s="98"/>
      <c r="I1095" s="98"/>
      <c r="J1095" s="107"/>
      <c r="K1095" s="108"/>
      <c r="L1095" s="109"/>
      <c r="M1095" s="105"/>
      <c r="N1095" s="105"/>
      <c r="O1095" s="105"/>
      <c r="P1095" s="105"/>
      <c r="Q1095" s="105"/>
      <c r="R1095" s="105"/>
      <c r="S1095" s="105"/>
      <c r="T1095" s="105"/>
      <c r="U1095" s="105"/>
      <c r="V1095" s="105"/>
      <c r="W1095" s="105"/>
      <c r="X1095" s="105"/>
      <c r="Y1095" s="105"/>
      <c r="Z1095" s="105"/>
    </row>
    <row r="1096" spans="1:26">
      <c r="A1096" s="98"/>
      <c r="B1096" s="106"/>
      <c r="C1096" s="98"/>
      <c r="D1096" s="98"/>
      <c r="E1096" s="98"/>
      <c r="F1096" s="98"/>
      <c r="G1096" s="98"/>
      <c r="H1096" s="98"/>
      <c r="I1096" s="98"/>
      <c r="J1096" s="107"/>
      <c r="K1096" s="108"/>
      <c r="L1096" s="109"/>
      <c r="M1096" s="105"/>
      <c r="N1096" s="105"/>
      <c r="O1096" s="105"/>
      <c r="P1096" s="105"/>
      <c r="Q1096" s="105"/>
      <c r="R1096" s="105"/>
      <c r="S1096" s="105"/>
      <c r="T1096" s="105"/>
      <c r="U1096" s="105"/>
      <c r="V1096" s="105"/>
      <c r="W1096" s="105"/>
      <c r="X1096" s="105"/>
      <c r="Y1096" s="105"/>
      <c r="Z1096" s="105"/>
    </row>
    <row r="1097" spans="1:26">
      <c r="A1097" s="98"/>
      <c r="B1097" s="106"/>
      <c r="C1097" s="98"/>
      <c r="D1097" s="98"/>
      <c r="E1097" s="98"/>
      <c r="F1097" s="98"/>
      <c r="G1097" s="98"/>
      <c r="H1097" s="98"/>
      <c r="I1097" s="98"/>
      <c r="J1097" s="107"/>
      <c r="K1097" s="108"/>
      <c r="L1097" s="109"/>
      <c r="M1097" s="105"/>
      <c r="N1097" s="105"/>
      <c r="O1097" s="105"/>
      <c r="P1097" s="105"/>
      <c r="Q1097" s="105"/>
      <c r="R1097" s="105"/>
      <c r="S1097" s="105"/>
      <c r="T1097" s="105"/>
      <c r="U1097" s="105"/>
      <c r="V1097" s="105"/>
      <c r="W1097" s="105"/>
      <c r="X1097" s="105"/>
      <c r="Y1097" s="105"/>
      <c r="Z1097" s="105"/>
    </row>
    <row r="1098" spans="1:26">
      <c r="A1098" s="98"/>
      <c r="B1098" s="106"/>
      <c r="C1098" s="98"/>
      <c r="D1098" s="98"/>
      <c r="E1098" s="98"/>
      <c r="F1098" s="98"/>
      <c r="G1098" s="98"/>
      <c r="H1098" s="98"/>
      <c r="I1098" s="98"/>
      <c r="J1098" s="107"/>
      <c r="K1098" s="108"/>
      <c r="L1098" s="109"/>
      <c r="M1098" s="105"/>
      <c r="N1098" s="105"/>
      <c r="O1098" s="105"/>
      <c r="P1098" s="105"/>
      <c r="Q1098" s="105"/>
      <c r="R1098" s="105"/>
      <c r="S1098" s="105"/>
      <c r="T1098" s="105"/>
      <c r="U1098" s="105"/>
      <c r="V1098" s="105"/>
      <c r="W1098" s="105"/>
      <c r="X1098" s="105"/>
      <c r="Y1098" s="105"/>
      <c r="Z1098" s="105"/>
    </row>
    <row r="1099" spans="1:26">
      <c r="A1099" s="98"/>
      <c r="B1099" s="106"/>
      <c r="C1099" s="98"/>
      <c r="D1099" s="98"/>
      <c r="E1099" s="98"/>
      <c r="F1099" s="98"/>
      <c r="G1099" s="98"/>
      <c r="H1099" s="98"/>
      <c r="I1099" s="98"/>
      <c r="J1099" s="107"/>
      <c r="K1099" s="108"/>
      <c r="L1099" s="109"/>
      <c r="M1099" s="105"/>
      <c r="N1099" s="105"/>
      <c r="O1099" s="105"/>
      <c r="P1099" s="105"/>
      <c r="Q1099" s="105"/>
      <c r="R1099" s="105"/>
      <c r="S1099" s="105"/>
      <c r="T1099" s="105"/>
      <c r="U1099" s="105"/>
      <c r="V1099" s="105"/>
      <c r="W1099" s="105"/>
      <c r="X1099" s="105"/>
      <c r="Y1099" s="105"/>
      <c r="Z1099" s="105"/>
    </row>
    <row r="1100" spans="1:26">
      <c r="A1100" s="98"/>
      <c r="B1100" s="106"/>
      <c r="C1100" s="98"/>
      <c r="D1100" s="98"/>
      <c r="E1100" s="98"/>
      <c r="F1100" s="98"/>
      <c r="G1100" s="98"/>
      <c r="H1100" s="98"/>
      <c r="I1100" s="98"/>
      <c r="J1100" s="107"/>
      <c r="K1100" s="108"/>
      <c r="L1100" s="109"/>
      <c r="M1100" s="105"/>
      <c r="N1100" s="105"/>
      <c r="O1100" s="105"/>
      <c r="P1100" s="105"/>
      <c r="Q1100" s="105"/>
      <c r="R1100" s="105"/>
      <c r="S1100" s="105"/>
      <c r="T1100" s="105"/>
      <c r="U1100" s="105"/>
      <c r="V1100" s="105"/>
      <c r="W1100" s="105"/>
      <c r="X1100" s="105"/>
      <c r="Y1100" s="105"/>
      <c r="Z1100" s="105"/>
    </row>
    <row r="1101" spans="1:26">
      <c r="A1101" s="98"/>
      <c r="B1101" s="106"/>
      <c r="C1101" s="98"/>
      <c r="D1101" s="98"/>
      <c r="E1101" s="98"/>
      <c r="F1101" s="98"/>
      <c r="G1101" s="98"/>
      <c r="H1101" s="98"/>
      <c r="I1101" s="98"/>
      <c r="J1101" s="107"/>
      <c r="K1101" s="108"/>
      <c r="L1101" s="109"/>
      <c r="M1101" s="105"/>
      <c r="N1101" s="105"/>
      <c r="O1101" s="105"/>
      <c r="P1101" s="105"/>
      <c r="Q1101" s="105"/>
      <c r="R1101" s="105"/>
      <c r="S1101" s="105"/>
      <c r="T1101" s="105"/>
      <c r="U1101" s="105"/>
      <c r="V1101" s="105"/>
      <c r="W1101" s="105"/>
      <c r="X1101" s="105"/>
      <c r="Y1101" s="105"/>
      <c r="Z1101" s="105"/>
    </row>
    <row r="1102" spans="1:26">
      <c r="A1102" s="98"/>
      <c r="B1102" s="106"/>
      <c r="C1102" s="98"/>
      <c r="D1102" s="98"/>
      <c r="E1102" s="98"/>
      <c r="F1102" s="98"/>
      <c r="G1102" s="98"/>
      <c r="H1102" s="98"/>
      <c r="I1102" s="98"/>
      <c r="J1102" s="107"/>
      <c r="K1102" s="108"/>
      <c r="L1102" s="109"/>
      <c r="M1102" s="105"/>
      <c r="N1102" s="105"/>
      <c r="O1102" s="105"/>
      <c r="P1102" s="105"/>
      <c r="Q1102" s="105"/>
      <c r="R1102" s="105"/>
      <c r="S1102" s="105"/>
      <c r="T1102" s="105"/>
      <c r="U1102" s="105"/>
      <c r="V1102" s="105"/>
      <c r="W1102" s="105"/>
      <c r="X1102" s="105"/>
      <c r="Y1102" s="105"/>
      <c r="Z1102" s="105"/>
    </row>
    <row r="1103" spans="1:26">
      <c r="A1103" s="98"/>
      <c r="B1103" s="106"/>
      <c r="C1103" s="98"/>
      <c r="D1103" s="98"/>
      <c r="E1103" s="98"/>
      <c r="F1103" s="98"/>
      <c r="G1103" s="98"/>
      <c r="H1103" s="98"/>
      <c r="I1103" s="98"/>
      <c r="J1103" s="107"/>
      <c r="K1103" s="108"/>
      <c r="L1103" s="109"/>
      <c r="M1103" s="105"/>
      <c r="N1103" s="105"/>
      <c r="O1103" s="105"/>
      <c r="P1103" s="105"/>
      <c r="Q1103" s="105"/>
      <c r="R1103" s="105"/>
      <c r="S1103" s="105"/>
      <c r="T1103" s="105"/>
      <c r="U1103" s="105"/>
      <c r="V1103" s="105"/>
      <c r="W1103" s="105"/>
      <c r="X1103" s="105"/>
      <c r="Y1103" s="105"/>
      <c r="Z1103" s="105"/>
    </row>
    <row r="1104" spans="1:26">
      <c r="A1104" s="98"/>
      <c r="B1104" s="106"/>
      <c r="C1104" s="98"/>
      <c r="D1104" s="98"/>
      <c r="E1104" s="98"/>
      <c r="F1104" s="98"/>
      <c r="G1104" s="98"/>
      <c r="H1104" s="98"/>
      <c r="I1104" s="98"/>
      <c r="J1104" s="107"/>
      <c r="K1104" s="108"/>
      <c r="L1104" s="109"/>
      <c r="M1104" s="105"/>
      <c r="N1104" s="105"/>
      <c r="O1104" s="105"/>
      <c r="P1104" s="105"/>
      <c r="Q1104" s="105"/>
      <c r="R1104" s="105"/>
      <c r="S1104" s="105"/>
      <c r="T1104" s="105"/>
      <c r="U1104" s="105"/>
      <c r="V1104" s="105"/>
      <c r="W1104" s="105"/>
      <c r="X1104" s="105"/>
      <c r="Y1104" s="105"/>
      <c r="Z1104" s="105"/>
    </row>
    <row r="1105" spans="1:26">
      <c r="A1105" s="98"/>
      <c r="B1105" s="106"/>
      <c r="C1105" s="98"/>
      <c r="D1105" s="98"/>
      <c r="E1105" s="98"/>
      <c r="F1105" s="98"/>
      <c r="G1105" s="98"/>
      <c r="H1105" s="98"/>
      <c r="I1105" s="98"/>
      <c r="J1105" s="107"/>
      <c r="K1105" s="108"/>
      <c r="L1105" s="109"/>
      <c r="M1105" s="105"/>
      <c r="N1105" s="105"/>
      <c r="O1105" s="105"/>
      <c r="P1105" s="105"/>
      <c r="Q1105" s="105"/>
      <c r="R1105" s="105"/>
      <c r="S1105" s="105"/>
      <c r="T1105" s="105"/>
      <c r="U1105" s="105"/>
      <c r="V1105" s="105"/>
      <c r="W1105" s="105"/>
      <c r="X1105" s="105"/>
      <c r="Y1105" s="105"/>
      <c r="Z1105" s="105"/>
    </row>
    <row r="1106" spans="1:26">
      <c r="A1106" s="98"/>
      <c r="B1106" s="106"/>
      <c r="C1106" s="98"/>
      <c r="D1106" s="98"/>
      <c r="E1106" s="98"/>
      <c r="F1106" s="98"/>
      <c r="G1106" s="98"/>
      <c r="H1106" s="98"/>
      <c r="I1106" s="98"/>
      <c r="J1106" s="107"/>
      <c r="K1106" s="108"/>
      <c r="L1106" s="109"/>
      <c r="M1106" s="105"/>
      <c r="N1106" s="105"/>
      <c r="O1106" s="105"/>
      <c r="P1106" s="105"/>
      <c r="Q1106" s="105"/>
      <c r="R1106" s="105"/>
      <c r="S1106" s="105"/>
      <c r="T1106" s="105"/>
      <c r="U1106" s="105"/>
      <c r="V1106" s="105"/>
      <c r="W1106" s="105"/>
      <c r="X1106" s="105"/>
      <c r="Y1106" s="105"/>
      <c r="Z1106" s="105"/>
    </row>
    <row r="1107" spans="1:26">
      <c r="A1107" s="98"/>
      <c r="B1107" s="106"/>
      <c r="C1107" s="98"/>
      <c r="D1107" s="98"/>
      <c r="E1107" s="98"/>
      <c r="F1107" s="98"/>
      <c r="G1107" s="98"/>
      <c r="H1107" s="98"/>
      <c r="I1107" s="98"/>
      <c r="J1107" s="107"/>
      <c r="K1107" s="108"/>
      <c r="L1107" s="109"/>
      <c r="M1107" s="105"/>
      <c r="N1107" s="105"/>
      <c r="O1107" s="105"/>
      <c r="P1107" s="105"/>
      <c r="Q1107" s="105"/>
      <c r="R1107" s="105"/>
      <c r="S1107" s="105"/>
      <c r="T1107" s="105"/>
      <c r="U1107" s="105"/>
      <c r="V1107" s="105"/>
      <c r="W1107" s="105"/>
      <c r="X1107" s="105"/>
      <c r="Y1107" s="105"/>
      <c r="Z1107" s="105"/>
    </row>
    <row r="1108" spans="1:26">
      <c r="A1108" s="98"/>
      <c r="B1108" s="106"/>
      <c r="C1108" s="98"/>
      <c r="D1108" s="98"/>
      <c r="E1108" s="98"/>
      <c r="F1108" s="98"/>
      <c r="G1108" s="98"/>
      <c r="H1108" s="98"/>
      <c r="I1108" s="98"/>
      <c r="J1108" s="107"/>
      <c r="K1108" s="108"/>
      <c r="L1108" s="109"/>
      <c r="M1108" s="105"/>
      <c r="N1108" s="105"/>
      <c r="O1108" s="105"/>
      <c r="P1108" s="105"/>
      <c r="Q1108" s="105"/>
      <c r="R1108" s="105"/>
      <c r="S1108" s="105"/>
      <c r="T1108" s="105"/>
      <c r="U1108" s="105"/>
      <c r="V1108" s="105"/>
      <c r="W1108" s="105"/>
      <c r="X1108" s="105"/>
      <c r="Y1108" s="105"/>
      <c r="Z1108" s="105"/>
    </row>
    <row r="1109" spans="1:26">
      <c r="A1109" s="98"/>
      <c r="B1109" s="106"/>
      <c r="C1109" s="98"/>
      <c r="D1109" s="98"/>
      <c r="E1109" s="98"/>
      <c r="F1109" s="98"/>
      <c r="G1109" s="98"/>
      <c r="H1109" s="98"/>
      <c r="I1109" s="98"/>
      <c r="J1109" s="107"/>
      <c r="K1109" s="108"/>
      <c r="L1109" s="109"/>
      <c r="M1109" s="105"/>
      <c r="N1109" s="105"/>
      <c r="O1109" s="105"/>
      <c r="P1109" s="105"/>
      <c r="Q1109" s="105"/>
      <c r="R1109" s="105"/>
      <c r="S1109" s="105"/>
      <c r="T1109" s="105"/>
      <c r="U1109" s="105"/>
      <c r="V1109" s="105"/>
      <c r="W1109" s="105"/>
      <c r="X1109" s="105"/>
      <c r="Y1109" s="105"/>
      <c r="Z1109" s="105"/>
    </row>
    <row r="1110" spans="1:26">
      <c r="A1110" s="98"/>
      <c r="B1110" s="106"/>
      <c r="C1110" s="98"/>
      <c r="D1110" s="98"/>
      <c r="E1110" s="98"/>
      <c r="F1110" s="98"/>
      <c r="G1110" s="98"/>
      <c r="H1110" s="98"/>
      <c r="I1110" s="98"/>
      <c r="J1110" s="107"/>
      <c r="K1110" s="108"/>
      <c r="L1110" s="109"/>
      <c r="M1110" s="105"/>
      <c r="N1110" s="105"/>
      <c r="O1110" s="105"/>
      <c r="P1110" s="105"/>
      <c r="Q1110" s="105"/>
      <c r="R1110" s="105"/>
      <c r="S1110" s="105"/>
      <c r="T1110" s="105"/>
      <c r="U1110" s="105"/>
      <c r="V1110" s="105"/>
      <c r="W1110" s="105"/>
      <c r="X1110" s="105"/>
      <c r="Y1110" s="105"/>
      <c r="Z1110" s="105"/>
    </row>
    <row r="1111" spans="1:26">
      <c r="A1111" s="98"/>
      <c r="B1111" s="106"/>
      <c r="C1111" s="98"/>
      <c r="D1111" s="98"/>
      <c r="E1111" s="98"/>
      <c r="F1111" s="98"/>
      <c r="G1111" s="98"/>
      <c r="H1111" s="98"/>
      <c r="I1111" s="98"/>
      <c r="J1111" s="107"/>
      <c r="K1111" s="108"/>
      <c r="L1111" s="109"/>
      <c r="M1111" s="105"/>
      <c r="N1111" s="105"/>
      <c r="O1111" s="105"/>
      <c r="P1111" s="105"/>
      <c r="Q1111" s="105"/>
      <c r="R1111" s="105"/>
      <c r="S1111" s="105"/>
      <c r="T1111" s="105"/>
      <c r="U1111" s="105"/>
      <c r="V1111" s="105"/>
      <c r="W1111" s="105"/>
      <c r="X1111" s="105"/>
      <c r="Y1111" s="105"/>
      <c r="Z1111" s="105"/>
    </row>
    <row r="1112" spans="1:26">
      <c r="A1112" s="98"/>
      <c r="B1112" s="106"/>
      <c r="C1112" s="98"/>
      <c r="D1112" s="98"/>
      <c r="E1112" s="98"/>
      <c r="F1112" s="98"/>
      <c r="G1112" s="98"/>
      <c r="H1112" s="98"/>
      <c r="I1112" s="98"/>
      <c r="J1112" s="107"/>
      <c r="K1112" s="108"/>
      <c r="L1112" s="109"/>
      <c r="M1112" s="105"/>
      <c r="N1112" s="105"/>
      <c r="O1112" s="105"/>
      <c r="P1112" s="105"/>
      <c r="Q1112" s="105"/>
      <c r="R1112" s="105"/>
      <c r="S1112" s="105"/>
      <c r="T1112" s="105"/>
      <c r="U1112" s="105"/>
      <c r="V1112" s="105"/>
      <c r="W1112" s="105"/>
      <c r="X1112" s="105"/>
      <c r="Y1112" s="105"/>
      <c r="Z1112" s="105"/>
    </row>
    <row r="1113" spans="1:26">
      <c r="A1113" s="98"/>
      <c r="B1113" s="106"/>
      <c r="C1113" s="98"/>
      <c r="D1113" s="98"/>
      <c r="E1113" s="98"/>
      <c r="F1113" s="98"/>
      <c r="G1113" s="98"/>
      <c r="H1113" s="98"/>
      <c r="I1113" s="98"/>
      <c r="J1113" s="107"/>
      <c r="K1113" s="108"/>
      <c r="L1113" s="109"/>
      <c r="M1113" s="105"/>
      <c r="N1113" s="105"/>
      <c r="O1113" s="105"/>
      <c r="P1113" s="105"/>
      <c r="Q1113" s="105"/>
      <c r="R1113" s="105"/>
      <c r="S1113" s="105"/>
      <c r="T1113" s="105"/>
      <c r="U1113" s="105"/>
      <c r="V1113" s="105"/>
      <c r="W1113" s="105"/>
      <c r="X1113" s="105"/>
      <c r="Y1113" s="105"/>
      <c r="Z1113" s="105"/>
    </row>
    <row r="1114" spans="1:26">
      <c r="A1114" s="98"/>
      <c r="B1114" s="106"/>
      <c r="C1114" s="98"/>
      <c r="D1114" s="98"/>
      <c r="E1114" s="98"/>
      <c r="F1114" s="98"/>
      <c r="G1114" s="98"/>
      <c r="H1114" s="98"/>
      <c r="I1114" s="98"/>
      <c r="J1114" s="107"/>
      <c r="K1114" s="108"/>
      <c r="L1114" s="109"/>
      <c r="M1114" s="105"/>
      <c r="N1114" s="105"/>
      <c r="O1114" s="105"/>
      <c r="P1114" s="105"/>
      <c r="Q1114" s="105"/>
      <c r="R1114" s="105"/>
      <c r="S1114" s="105"/>
      <c r="T1114" s="105"/>
      <c r="U1114" s="105"/>
      <c r="V1114" s="105"/>
      <c r="W1114" s="105"/>
      <c r="X1114" s="105"/>
      <c r="Y1114" s="105"/>
      <c r="Z1114" s="105"/>
    </row>
    <row r="1115" spans="1:26">
      <c r="A1115" s="98"/>
      <c r="B1115" s="106"/>
      <c r="C1115" s="98"/>
      <c r="D1115" s="98"/>
      <c r="E1115" s="98"/>
      <c r="F1115" s="98"/>
      <c r="G1115" s="98"/>
      <c r="H1115" s="98"/>
      <c r="I1115" s="98"/>
      <c r="J1115" s="107"/>
      <c r="K1115" s="108"/>
      <c r="L1115" s="109"/>
      <c r="M1115" s="105"/>
      <c r="N1115" s="105"/>
      <c r="O1115" s="105"/>
      <c r="P1115" s="105"/>
      <c r="Q1115" s="105"/>
      <c r="R1115" s="105"/>
      <c r="S1115" s="105"/>
      <c r="T1115" s="105"/>
      <c r="U1115" s="105"/>
      <c r="V1115" s="105"/>
      <c r="W1115" s="105"/>
      <c r="X1115" s="105"/>
      <c r="Y1115" s="105"/>
      <c r="Z1115" s="105"/>
    </row>
    <row r="1116" spans="1:26">
      <c r="A1116" s="98"/>
      <c r="B1116" s="106"/>
      <c r="C1116" s="98"/>
      <c r="D1116" s="98"/>
      <c r="E1116" s="98"/>
      <c r="F1116" s="98"/>
      <c r="G1116" s="98"/>
      <c r="H1116" s="98"/>
      <c r="I1116" s="98"/>
      <c r="J1116" s="107"/>
      <c r="K1116" s="108"/>
      <c r="L1116" s="109"/>
      <c r="M1116" s="105"/>
      <c r="N1116" s="105"/>
      <c r="O1116" s="105"/>
      <c r="P1116" s="105"/>
      <c r="Q1116" s="105"/>
      <c r="R1116" s="105"/>
      <c r="S1116" s="105"/>
      <c r="T1116" s="105"/>
      <c r="U1116" s="105"/>
      <c r="V1116" s="105"/>
      <c r="W1116" s="105"/>
      <c r="X1116" s="105"/>
      <c r="Y1116" s="105"/>
      <c r="Z1116" s="105"/>
    </row>
    <row r="1117" spans="1:26">
      <c r="A1117" s="98"/>
      <c r="B1117" s="106"/>
      <c r="C1117" s="98"/>
      <c r="D1117" s="98"/>
      <c r="E1117" s="98"/>
      <c r="F1117" s="98"/>
      <c r="G1117" s="98"/>
      <c r="H1117" s="98"/>
      <c r="I1117" s="98"/>
      <c r="J1117" s="107"/>
      <c r="K1117" s="108"/>
      <c r="L1117" s="109"/>
      <c r="M1117" s="105"/>
      <c r="N1117" s="105"/>
      <c r="O1117" s="105"/>
      <c r="P1117" s="105"/>
      <c r="Q1117" s="105"/>
      <c r="R1117" s="105"/>
      <c r="S1117" s="105"/>
      <c r="T1117" s="105"/>
      <c r="U1117" s="105"/>
      <c r="V1117" s="105"/>
      <c r="W1117" s="105"/>
      <c r="X1117" s="105"/>
      <c r="Y1117" s="105"/>
      <c r="Z1117" s="105"/>
    </row>
    <row r="1118" spans="1:26">
      <c r="A1118" s="98"/>
      <c r="B1118" s="106"/>
      <c r="C1118" s="98"/>
      <c r="D1118" s="98"/>
      <c r="E1118" s="98"/>
      <c r="F1118" s="98"/>
      <c r="G1118" s="98"/>
      <c r="H1118" s="98"/>
      <c r="I1118" s="98"/>
      <c r="J1118" s="107"/>
      <c r="K1118" s="108"/>
      <c r="L1118" s="109"/>
      <c r="M1118" s="105"/>
      <c r="N1118" s="105"/>
      <c r="O1118" s="105"/>
      <c r="P1118" s="105"/>
      <c r="Q1118" s="105"/>
      <c r="R1118" s="105"/>
      <c r="S1118" s="105"/>
      <c r="T1118" s="105"/>
      <c r="U1118" s="105"/>
      <c r="V1118" s="105"/>
      <c r="W1118" s="105"/>
      <c r="X1118" s="105"/>
      <c r="Y1118" s="105"/>
      <c r="Z1118" s="105"/>
    </row>
    <row r="1119" spans="1:26">
      <c r="A1119" s="98"/>
      <c r="B1119" s="106"/>
      <c r="C1119" s="98"/>
      <c r="D1119" s="98"/>
      <c r="E1119" s="98"/>
      <c r="F1119" s="98"/>
      <c r="G1119" s="98"/>
      <c r="H1119" s="98"/>
      <c r="I1119" s="98"/>
      <c r="J1119" s="107"/>
      <c r="K1119" s="108"/>
      <c r="L1119" s="109"/>
      <c r="M1119" s="105"/>
      <c r="N1119" s="105"/>
      <c r="O1119" s="105"/>
      <c r="P1119" s="105"/>
      <c r="Q1119" s="105"/>
      <c r="R1119" s="105"/>
      <c r="S1119" s="105"/>
      <c r="T1119" s="105"/>
      <c r="U1119" s="105"/>
      <c r="V1119" s="105"/>
      <c r="W1119" s="105"/>
      <c r="X1119" s="105"/>
      <c r="Y1119" s="105"/>
      <c r="Z1119" s="105"/>
    </row>
    <row r="1120" spans="1:26">
      <c r="A1120" s="98"/>
      <c r="B1120" s="106"/>
      <c r="C1120" s="98"/>
      <c r="D1120" s="98"/>
      <c r="E1120" s="98"/>
      <c r="F1120" s="98"/>
      <c r="G1120" s="98"/>
      <c r="H1120" s="98"/>
      <c r="I1120" s="98"/>
      <c r="J1120" s="107"/>
      <c r="K1120" s="108"/>
      <c r="L1120" s="109"/>
      <c r="M1120" s="105"/>
      <c r="N1120" s="105"/>
      <c r="O1120" s="105"/>
      <c r="P1120" s="105"/>
      <c r="Q1120" s="105"/>
      <c r="R1120" s="105"/>
      <c r="S1120" s="105"/>
      <c r="T1120" s="105"/>
      <c r="U1120" s="105"/>
      <c r="V1120" s="105"/>
      <c r="W1120" s="105"/>
      <c r="X1120" s="105"/>
      <c r="Y1120" s="105"/>
      <c r="Z1120" s="105"/>
    </row>
    <row r="1121" spans="1:26">
      <c r="A1121" s="98"/>
      <c r="B1121" s="106"/>
      <c r="C1121" s="98"/>
      <c r="D1121" s="98"/>
      <c r="E1121" s="98"/>
      <c r="F1121" s="98"/>
      <c r="G1121" s="98"/>
      <c r="H1121" s="98"/>
      <c r="I1121" s="98"/>
      <c r="J1121" s="107"/>
      <c r="K1121" s="108"/>
      <c r="L1121" s="109"/>
      <c r="M1121" s="105"/>
      <c r="N1121" s="105"/>
      <c r="O1121" s="105"/>
      <c r="P1121" s="105"/>
      <c r="Q1121" s="105"/>
      <c r="R1121" s="105"/>
      <c r="S1121" s="105"/>
      <c r="T1121" s="105"/>
      <c r="U1121" s="105"/>
      <c r="V1121" s="105"/>
      <c r="W1121" s="105"/>
      <c r="X1121" s="105"/>
      <c r="Y1121" s="105"/>
      <c r="Z1121" s="105"/>
    </row>
    <row r="1122" spans="1:26">
      <c r="A1122" s="98"/>
      <c r="B1122" s="106"/>
      <c r="C1122" s="98"/>
      <c r="D1122" s="98"/>
      <c r="E1122" s="98"/>
      <c r="F1122" s="98"/>
      <c r="G1122" s="98"/>
      <c r="H1122" s="98"/>
      <c r="I1122" s="98"/>
      <c r="J1122" s="107"/>
      <c r="K1122" s="108"/>
      <c r="L1122" s="109"/>
      <c r="M1122" s="105"/>
      <c r="N1122" s="105"/>
      <c r="O1122" s="105"/>
      <c r="P1122" s="105"/>
      <c r="Q1122" s="105"/>
      <c r="R1122" s="105"/>
      <c r="S1122" s="105"/>
      <c r="T1122" s="105"/>
      <c r="U1122" s="105"/>
      <c r="V1122" s="105"/>
      <c r="W1122" s="105"/>
      <c r="X1122" s="105"/>
      <c r="Y1122" s="105"/>
      <c r="Z1122" s="105"/>
    </row>
    <row r="1123" spans="1:26">
      <c r="A1123" s="98"/>
      <c r="B1123" s="106"/>
      <c r="C1123" s="98"/>
      <c r="D1123" s="98"/>
      <c r="E1123" s="98"/>
      <c r="F1123" s="98"/>
      <c r="G1123" s="98"/>
      <c r="H1123" s="98"/>
      <c r="I1123" s="98"/>
      <c r="J1123" s="107"/>
      <c r="K1123" s="108"/>
      <c r="L1123" s="109"/>
      <c r="M1123" s="105"/>
      <c r="N1123" s="105"/>
      <c r="O1123" s="105"/>
      <c r="P1123" s="105"/>
      <c r="Q1123" s="105"/>
      <c r="R1123" s="105"/>
      <c r="S1123" s="105"/>
      <c r="T1123" s="105"/>
      <c r="U1123" s="105"/>
      <c r="V1123" s="105"/>
      <c r="W1123" s="105"/>
      <c r="X1123" s="105"/>
      <c r="Y1123" s="105"/>
      <c r="Z1123" s="105"/>
    </row>
    <row r="1124" spans="1:26">
      <c r="A1124" s="98"/>
      <c r="B1124" s="106"/>
      <c r="C1124" s="98"/>
      <c r="D1124" s="98"/>
      <c r="E1124" s="98"/>
      <c r="F1124" s="98"/>
      <c r="G1124" s="98"/>
      <c r="H1124" s="98"/>
      <c r="I1124" s="98"/>
      <c r="J1124" s="107"/>
      <c r="K1124" s="108"/>
      <c r="L1124" s="109"/>
      <c r="M1124" s="105"/>
      <c r="N1124" s="105"/>
      <c r="O1124" s="105"/>
      <c r="P1124" s="105"/>
      <c r="Q1124" s="105"/>
      <c r="R1124" s="105"/>
      <c r="S1124" s="105"/>
      <c r="T1124" s="105"/>
      <c r="U1124" s="105"/>
      <c r="V1124" s="105"/>
      <c r="W1124" s="105"/>
      <c r="X1124" s="105"/>
      <c r="Y1124" s="105"/>
      <c r="Z1124" s="105"/>
    </row>
    <row r="1125" spans="1:26">
      <c r="A1125" s="98"/>
      <c r="B1125" s="106"/>
      <c r="C1125" s="98"/>
      <c r="D1125" s="98"/>
      <c r="E1125" s="98"/>
      <c r="F1125" s="98"/>
      <c r="G1125" s="98"/>
      <c r="H1125" s="98"/>
      <c r="I1125" s="98"/>
      <c r="J1125" s="107"/>
      <c r="K1125" s="108"/>
      <c r="L1125" s="109"/>
      <c r="M1125" s="105"/>
      <c r="N1125" s="105"/>
      <c r="O1125" s="105"/>
      <c r="P1125" s="105"/>
      <c r="Q1125" s="105"/>
      <c r="R1125" s="105"/>
      <c r="S1125" s="105"/>
      <c r="T1125" s="105"/>
      <c r="U1125" s="105"/>
      <c r="V1125" s="105"/>
      <c r="W1125" s="105"/>
      <c r="X1125" s="105"/>
      <c r="Y1125" s="105"/>
      <c r="Z1125" s="105"/>
    </row>
    <row r="1126" spans="1:26">
      <c r="A1126" s="98"/>
      <c r="B1126" s="106"/>
      <c r="C1126" s="98"/>
      <c r="D1126" s="98"/>
      <c r="E1126" s="98"/>
      <c r="F1126" s="98"/>
      <c r="G1126" s="98"/>
      <c r="H1126" s="98"/>
      <c r="I1126" s="98"/>
      <c r="J1126" s="107"/>
      <c r="K1126" s="108"/>
      <c r="L1126" s="109"/>
      <c r="M1126" s="105"/>
      <c r="N1126" s="105"/>
      <c r="O1126" s="105"/>
      <c r="P1126" s="105"/>
      <c r="Q1126" s="105"/>
      <c r="R1126" s="105"/>
      <c r="S1126" s="105"/>
      <c r="T1126" s="105"/>
      <c r="U1126" s="105"/>
      <c r="V1126" s="105"/>
      <c r="W1126" s="105"/>
      <c r="X1126" s="105"/>
      <c r="Y1126" s="105"/>
      <c r="Z1126" s="105"/>
    </row>
    <row r="1127" spans="1:26">
      <c r="A1127" s="98"/>
      <c r="B1127" s="106"/>
      <c r="C1127" s="98"/>
      <c r="D1127" s="98"/>
      <c r="E1127" s="98"/>
      <c r="F1127" s="98"/>
      <c r="G1127" s="98"/>
      <c r="H1127" s="98"/>
      <c r="I1127" s="98"/>
      <c r="J1127" s="107"/>
      <c r="K1127" s="108"/>
      <c r="L1127" s="109"/>
      <c r="M1127" s="105"/>
      <c r="N1127" s="105"/>
      <c r="O1127" s="105"/>
      <c r="P1127" s="105"/>
      <c r="Q1127" s="105"/>
      <c r="R1127" s="105"/>
      <c r="S1127" s="105"/>
      <c r="T1127" s="105"/>
      <c r="U1127" s="105"/>
      <c r="V1127" s="105"/>
      <c r="W1127" s="105"/>
      <c r="X1127" s="105"/>
      <c r="Y1127" s="105"/>
      <c r="Z1127" s="105"/>
    </row>
    <row r="1128" spans="1:26">
      <c r="A1128" s="98"/>
      <c r="B1128" s="106"/>
      <c r="C1128" s="98"/>
      <c r="D1128" s="98"/>
      <c r="E1128" s="98"/>
      <c r="F1128" s="98"/>
      <c r="G1128" s="98"/>
      <c r="H1128" s="98"/>
      <c r="I1128" s="98"/>
      <c r="J1128" s="107"/>
      <c r="K1128" s="108"/>
      <c r="L1128" s="109"/>
      <c r="M1128" s="105"/>
      <c r="N1128" s="105"/>
      <c r="O1128" s="105"/>
      <c r="P1128" s="105"/>
      <c r="Q1128" s="105"/>
      <c r="R1128" s="105"/>
      <c r="S1128" s="105"/>
      <c r="T1128" s="105"/>
      <c r="U1128" s="105"/>
      <c r="V1128" s="105"/>
      <c r="W1128" s="105"/>
      <c r="X1128" s="105"/>
      <c r="Y1128" s="105"/>
      <c r="Z1128" s="105"/>
    </row>
    <row r="1129" spans="1:26">
      <c r="A1129" s="98"/>
      <c r="B1129" s="106"/>
      <c r="C1129" s="98"/>
      <c r="D1129" s="98"/>
      <c r="E1129" s="98"/>
      <c r="F1129" s="98"/>
      <c r="G1129" s="98"/>
      <c r="H1129" s="98"/>
      <c r="I1129" s="98"/>
      <c r="J1129" s="107"/>
      <c r="K1129" s="108"/>
      <c r="L1129" s="109"/>
      <c r="M1129" s="105"/>
      <c r="N1129" s="105"/>
      <c r="O1129" s="105"/>
      <c r="P1129" s="105"/>
      <c r="Q1129" s="105"/>
      <c r="R1129" s="105"/>
      <c r="S1129" s="105"/>
      <c r="T1129" s="105"/>
      <c r="U1129" s="105"/>
      <c r="V1129" s="105"/>
      <c r="W1129" s="105"/>
      <c r="X1129" s="105"/>
      <c r="Y1129" s="105"/>
      <c r="Z1129" s="105"/>
    </row>
    <row r="1130" spans="1:26">
      <c r="A1130" s="98"/>
      <c r="B1130" s="106"/>
      <c r="C1130" s="98"/>
      <c r="D1130" s="98"/>
      <c r="E1130" s="98"/>
      <c r="F1130" s="98"/>
      <c r="G1130" s="98"/>
      <c r="H1130" s="98"/>
      <c r="I1130" s="98"/>
      <c r="J1130" s="107"/>
      <c r="K1130" s="108"/>
      <c r="L1130" s="109"/>
      <c r="M1130" s="105"/>
      <c r="N1130" s="105"/>
      <c r="O1130" s="105"/>
      <c r="P1130" s="105"/>
      <c r="Q1130" s="105"/>
      <c r="R1130" s="105"/>
      <c r="S1130" s="105"/>
      <c r="T1130" s="105"/>
      <c r="U1130" s="105"/>
      <c r="V1130" s="105"/>
      <c r="W1130" s="105"/>
      <c r="X1130" s="105"/>
      <c r="Y1130" s="105"/>
      <c r="Z1130" s="105"/>
    </row>
    <row r="1131" spans="1:26">
      <c r="A1131" s="98"/>
      <c r="B1131" s="106"/>
      <c r="C1131" s="98"/>
      <c r="D1131" s="98"/>
      <c r="E1131" s="98"/>
      <c r="F1131" s="98"/>
      <c r="G1131" s="98"/>
      <c r="H1131" s="98"/>
      <c r="I1131" s="98"/>
      <c r="J1131" s="107"/>
      <c r="K1131" s="108"/>
      <c r="L1131" s="109"/>
      <c r="M1131" s="105"/>
      <c r="N1131" s="105"/>
      <c r="O1131" s="105"/>
      <c r="P1131" s="105"/>
      <c r="Q1131" s="105"/>
      <c r="R1131" s="105"/>
      <c r="S1131" s="105"/>
      <c r="T1131" s="105"/>
      <c r="U1131" s="105"/>
      <c r="V1131" s="105"/>
      <c r="W1131" s="105"/>
      <c r="X1131" s="105"/>
      <c r="Y1131" s="105"/>
      <c r="Z1131" s="105"/>
    </row>
    <row r="1132" spans="1:26">
      <c r="A1132" s="98"/>
      <c r="B1132" s="106"/>
      <c r="C1132" s="98"/>
      <c r="D1132" s="98"/>
      <c r="E1132" s="98"/>
      <c r="F1132" s="98"/>
      <c r="G1132" s="98"/>
      <c r="H1132" s="98"/>
      <c r="I1132" s="98"/>
      <c r="J1132" s="107"/>
      <c r="K1132" s="108"/>
      <c r="L1132" s="109"/>
      <c r="M1132" s="105"/>
      <c r="N1132" s="105"/>
      <c r="O1132" s="105"/>
      <c r="P1132" s="105"/>
      <c r="Q1132" s="105"/>
      <c r="R1132" s="105"/>
      <c r="S1132" s="105"/>
      <c r="T1132" s="105"/>
      <c r="U1132" s="105"/>
      <c r="V1132" s="105"/>
      <c r="W1132" s="105"/>
      <c r="X1132" s="105"/>
      <c r="Y1132" s="105"/>
      <c r="Z1132" s="105"/>
    </row>
    <row r="1133" spans="1:26">
      <c r="A1133" s="98"/>
      <c r="B1133" s="106"/>
      <c r="C1133" s="98"/>
      <c r="D1133" s="98"/>
      <c r="E1133" s="98"/>
      <c r="F1133" s="98"/>
      <c r="G1133" s="98"/>
      <c r="H1133" s="98"/>
      <c r="I1133" s="98"/>
      <c r="J1133" s="107"/>
      <c r="K1133" s="108"/>
      <c r="L1133" s="109"/>
      <c r="M1133" s="105"/>
      <c r="N1133" s="105"/>
      <c r="O1133" s="105"/>
      <c r="P1133" s="105"/>
      <c r="Q1133" s="105"/>
      <c r="R1133" s="105"/>
      <c r="S1133" s="105"/>
      <c r="T1133" s="105"/>
      <c r="U1133" s="105"/>
      <c r="V1133" s="105"/>
      <c r="W1133" s="105"/>
      <c r="X1133" s="105"/>
      <c r="Y1133" s="105"/>
      <c r="Z1133" s="105"/>
    </row>
    <row r="1134" spans="1:26">
      <c r="A1134" s="98"/>
      <c r="B1134" s="106"/>
      <c r="C1134" s="98"/>
      <c r="D1134" s="98"/>
      <c r="E1134" s="98"/>
      <c r="F1134" s="98"/>
      <c r="G1134" s="98"/>
      <c r="H1134" s="98"/>
      <c r="I1134" s="98"/>
      <c r="J1134" s="107"/>
      <c r="K1134" s="108"/>
      <c r="L1134" s="109"/>
      <c r="M1134" s="105"/>
      <c r="N1134" s="105"/>
      <c r="O1134" s="105"/>
      <c r="P1134" s="105"/>
      <c r="Q1134" s="105"/>
      <c r="R1134" s="105"/>
      <c r="S1134" s="105"/>
      <c r="T1134" s="105"/>
      <c r="U1134" s="105"/>
      <c r="V1134" s="105"/>
      <c r="W1134" s="105"/>
      <c r="X1134" s="105"/>
      <c r="Y1134" s="105"/>
      <c r="Z1134" s="105"/>
    </row>
    <row r="1135" spans="1:26">
      <c r="A1135" s="98"/>
      <c r="B1135" s="106"/>
      <c r="C1135" s="98"/>
      <c r="D1135" s="98"/>
      <c r="E1135" s="98"/>
      <c r="F1135" s="98"/>
      <c r="G1135" s="98"/>
      <c r="H1135" s="98"/>
      <c r="I1135" s="98"/>
      <c r="J1135" s="107"/>
      <c r="K1135" s="108"/>
      <c r="L1135" s="109"/>
      <c r="M1135" s="105"/>
      <c r="N1135" s="105"/>
      <c r="O1135" s="105"/>
      <c r="P1135" s="105"/>
      <c r="Q1135" s="105"/>
      <c r="R1135" s="105"/>
      <c r="S1135" s="105"/>
      <c r="T1135" s="105"/>
      <c r="U1135" s="105"/>
      <c r="V1135" s="105"/>
      <c r="W1135" s="105"/>
      <c r="X1135" s="105"/>
      <c r="Y1135" s="105"/>
      <c r="Z1135" s="105"/>
    </row>
    <row r="1136" spans="1:26">
      <c r="A1136" s="98"/>
      <c r="B1136" s="106"/>
      <c r="C1136" s="98"/>
      <c r="D1136" s="98"/>
      <c r="E1136" s="98"/>
      <c r="F1136" s="98"/>
      <c r="G1136" s="98"/>
      <c r="H1136" s="98"/>
      <c r="I1136" s="98"/>
      <c r="J1136" s="107"/>
      <c r="K1136" s="108"/>
      <c r="L1136" s="109"/>
      <c r="M1136" s="105"/>
      <c r="N1136" s="105"/>
      <c r="O1136" s="105"/>
      <c r="P1136" s="105"/>
      <c r="Q1136" s="105"/>
      <c r="R1136" s="105"/>
      <c r="S1136" s="105"/>
      <c r="T1136" s="105"/>
      <c r="U1136" s="105"/>
      <c r="V1136" s="105"/>
      <c r="W1136" s="105"/>
      <c r="X1136" s="105"/>
      <c r="Y1136" s="105"/>
      <c r="Z1136" s="105"/>
    </row>
    <row r="1137" spans="1:26">
      <c r="A1137" s="98"/>
      <c r="B1137" s="106"/>
      <c r="C1137" s="98"/>
      <c r="D1137" s="98"/>
      <c r="E1137" s="98"/>
      <c r="F1137" s="98"/>
      <c r="G1137" s="98"/>
      <c r="H1137" s="98"/>
      <c r="I1137" s="98"/>
      <c r="J1137" s="107"/>
      <c r="K1137" s="108"/>
      <c r="L1137" s="109"/>
      <c r="M1137" s="105"/>
      <c r="N1137" s="105"/>
      <c r="O1137" s="105"/>
      <c r="P1137" s="105"/>
      <c r="Q1137" s="105"/>
      <c r="R1137" s="105"/>
      <c r="S1137" s="105"/>
      <c r="T1137" s="105"/>
      <c r="U1137" s="105"/>
      <c r="V1137" s="105"/>
      <c r="W1137" s="105"/>
      <c r="X1137" s="105"/>
      <c r="Y1137" s="105"/>
      <c r="Z1137" s="105"/>
    </row>
    <row r="1138" spans="1:26">
      <c r="A1138" s="98"/>
      <c r="B1138" s="106"/>
      <c r="C1138" s="98"/>
      <c r="D1138" s="98"/>
      <c r="E1138" s="98"/>
      <c r="F1138" s="98"/>
      <c r="G1138" s="98"/>
      <c r="H1138" s="98"/>
      <c r="I1138" s="98"/>
      <c r="J1138" s="107"/>
      <c r="K1138" s="108"/>
      <c r="L1138" s="109"/>
      <c r="M1138" s="105"/>
      <c r="N1138" s="105"/>
      <c r="O1138" s="105"/>
      <c r="P1138" s="105"/>
      <c r="Q1138" s="105"/>
      <c r="R1138" s="105"/>
      <c r="S1138" s="105"/>
      <c r="T1138" s="105"/>
      <c r="U1138" s="105"/>
      <c r="V1138" s="105"/>
      <c r="W1138" s="105"/>
      <c r="X1138" s="105"/>
      <c r="Y1138" s="105"/>
      <c r="Z1138" s="105"/>
    </row>
    <row r="1139" spans="1:26">
      <c r="A1139" s="98"/>
      <c r="B1139" s="106"/>
      <c r="C1139" s="98"/>
      <c r="D1139" s="98"/>
      <c r="E1139" s="98"/>
      <c r="F1139" s="98"/>
      <c r="G1139" s="98"/>
      <c r="H1139" s="98"/>
      <c r="I1139" s="98"/>
      <c r="J1139" s="107"/>
      <c r="K1139" s="108"/>
      <c r="L1139" s="109"/>
      <c r="M1139" s="105"/>
      <c r="N1139" s="105"/>
      <c r="O1139" s="105"/>
      <c r="P1139" s="105"/>
      <c r="Q1139" s="105"/>
      <c r="R1139" s="105"/>
      <c r="S1139" s="105"/>
      <c r="T1139" s="105"/>
      <c r="U1139" s="105"/>
      <c r="V1139" s="105"/>
      <c r="W1139" s="105"/>
      <c r="X1139" s="105"/>
      <c r="Y1139" s="105"/>
      <c r="Z1139" s="105"/>
    </row>
    <row r="1140" spans="1:26">
      <c r="A1140" s="98"/>
      <c r="B1140" s="106"/>
      <c r="C1140" s="98"/>
      <c r="D1140" s="98"/>
      <c r="E1140" s="98"/>
      <c r="F1140" s="98"/>
      <c r="G1140" s="98"/>
      <c r="H1140" s="98"/>
      <c r="I1140" s="98"/>
      <c r="J1140" s="107"/>
      <c r="K1140" s="108"/>
      <c r="L1140" s="109"/>
      <c r="M1140" s="105"/>
      <c r="N1140" s="105"/>
      <c r="O1140" s="105"/>
      <c r="P1140" s="105"/>
      <c r="Q1140" s="105"/>
      <c r="R1140" s="105"/>
      <c r="S1140" s="105"/>
      <c r="T1140" s="105"/>
      <c r="U1140" s="105"/>
      <c r="V1140" s="105"/>
      <c r="W1140" s="105"/>
      <c r="X1140" s="105"/>
      <c r="Y1140" s="105"/>
      <c r="Z1140" s="105"/>
    </row>
    <row r="1141" spans="1:26">
      <c r="A1141" s="98"/>
      <c r="B1141" s="106"/>
      <c r="C1141" s="98"/>
      <c r="D1141" s="98"/>
      <c r="E1141" s="98"/>
      <c r="F1141" s="98"/>
      <c r="G1141" s="98"/>
      <c r="H1141" s="98"/>
      <c r="I1141" s="98"/>
      <c r="J1141" s="107"/>
      <c r="K1141" s="108"/>
      <c r="L1141" s="109"/>
      <c r="M1141" s="105"/>
      <c r="N1141" s="105"/>
      <c r="O1141" s="105"/>
      <c r="P1141" s="105"/>
      <c r="Q1141" s="105"/>
      <c r="R1141" s="105"/>
      <c r="S1141" s="105"/>
      <c r="T1141" s="105"/>
      <c r="U1141" s="105"/>
      <c r="V1141" s="105"/>
      <c r="W1141" s="105"/>
      <c r="X1141" s="105"/>
      <c r="Y1141" s="105"/>
      <c r="Z1141" s="105"/>
    </row>
    <row r="1142" spans="1:26">
      <c r="A1142" s="98"/>
      <c r="B1142" s="106"/>
      <c r="C1142" s="98"/>
      <c r="D1142" s="98"/>
      <c r="E1142" s="98"/>
      <c r="F1142" s="98"/>
      <c r="G1142" s="98"/>
      <c r="H1142" s="98"/>
      <c r="I1142" s="98"/>
      <c r="J1142" s="107"/>
      <c r="K1142" s="108"/>
      <c r="L1142" s="109"/>
      <c r="M1142" s="105"/>
      <c r="N1142" s="105"/>
      <c r="O1142" s="105"/>
      <c r="P1142" s="105"/>
      <c r="Q1142" s="105"/>
      <c r="R1142" s="105"/>
      <c r="S1142" s="105"/>
      <c r="T1142" s="105"/>
      <c r="U1142" s="105"/>
      <c r="V1142" s="105"/>
      <c r="W1142" s="105"/>
      <c r="X1142" s="105"/>
      <c r="Y1142" s="105"/>
      <c r="Z1142" s="105"/>
    </row>
    <row r="1143" spans="1:26">
      <c r="A1143" s="98"/>
      <c r="B1143" s="106"/>
      <c r="C1143" s="98"/>
      <c r="D1143" s="98"/>
      <c r="E1143" s="98"/>
      <c r="F1143" s="98"/>
      <c r="G1143" s="98"/>
      <c r="H1143" s="98"/>
      <c r="I1143" s="98"/>
      <c r="J1143" s="107"/>
      <c r="K1143" s="108"/>
      <c r="L1143" s="109"/>
      <c r="M1143" s="105"/>
      <c r="N1143" s="105"/>
      <c r="O1143" s="105"/>
      <c r="P1143" s="105"/>
      <c r="Q1143" s="105"/>
      <c r="R1143" s="105"/>
      <c r="S1143" s="105"/>
      <c r="T1143" s="105"/>
      <c r="U1143" s="105"/>
      <c r="V1143" s="105"/>
      <c r="W1143" s="105"/>
      <c r="X1143" s="105"/>
      <c r="Y1143" s="105"/>
      <c r="Z1143" s="105"/>
    </row>
    <row r="1144" spans="1:26">
      <c r="A1144" s="98"/>
      <c r="B1144" s="106"/>
      <c r="C1144" s="98"/>
      <c r="D1144" s="98"/>
      <c r="E1144" s="98"/>
      <c r="F1144" s="98"/>
      <c r="G1144" s="98"/>
      <c r="H1144" s="98"/>
      <c r="I1144" s="98"/>
      <c r="J1144" s="107"/>
      <c r="K1144" s="108"/>
      <c r="L1144" s="109"/>
      <c r="M1144" s="105"/>
      <c r="N1144" s="105"/>
      <c r="O1144" s="105"/>
      <c r="P1144" s="105"/>
      <c r="Q1144" s="105"/>
      <c r="R1144" s="105"/>
      <c r="S1144" s="105"/>
      <c r="T1144" s="105"/>
      <c r="U1144" s="105"/>
      <c r="V1144" s="105"/>
      <c r="W1144" s="105"/>
      <c r="X1144" s="105"/>
      <c r="Y1144" s="105"/>
      <c r="Z1144" s="105"/>
    </row>
    <row r="1145" spans="1:26">
      <c r="A1145" s="98"/>
      <c r="B1145" s="106"/>
      <c r="C1145" s="98"/>
      <c r="D1145" s="98"/>
      <c r="E1145" s="98"/>
      <c r="F1145" s="98"/>
      <c r="G1145" s="98"/>
      <c r="H1145" s="98"/>
      <c r="I1145" s="98"/>
      <c r="J1145" s="107"/>
      <c r="K1145" s="108"/>
      <c r="L1145" s="109"/>
      <c r="M1145" s="105"/>
      <c r="N1145" s="105"/>
      <c r="O1145" s="105"/>
      <c r="P1145" s="105"/>
      <c r="Q1145" s="105"/>
      <c r="R1145" s="105"/>
      <c r="S1145" s="105"/>
      <c r="T1145" s="105"/>
      <c r="U1145" s="105"/>
      <c r="V1145" s="105"/>
      <c r="W1145" s="105"/>
      <c r="X1145" s="105"/>
      <c r="Y1145" s="105"/>
      <c r="Z1145" s="105"/>
    </row>
    <row r="1146" spans="1:26">
      <c r="A1146" s="98"/>
      <c r="B1146" s="106"/>
      <c r="C1146" s="98"/>
      <c r="D1146" s="98"/>
      <c r="E1146" s="98"/>
      <c r="F1146" s="98"/>
      <c r="G1146" s="98"/>
      <c r="H1146" s="98"/>
      <c r="I1146" s="98"/>
      <c r="J1146" s="107"/>
      <c r="K1146" s="108"/>
      <c r="L1146" s="109"/>
      <c r="M1146" s="105"/>
      <c r="N1146" s="105"/>
      <c r="O1146" s="105"/>
      <c r="P1146" s="105"/>
      <c r="Q1146" s="105"/>
      <c r="R1146" s="105"/>
      <c r="S1146" s="105"/>
      <c r="T1146" s="105"/>
      <c r="U1146" s="105"/>
      <c r="V1146" s="105"/>
      <c r="W1146" s="105"/>
      <c r="X1146" s="105"/>
      <c r="Y1146" s="105"/>
      <c r="Z1146" s="105"/>
    </row>
    <row r="1147" spans="1:26">
      <c r="A1147" s="98"/>
      <c r="B1147" s="106"/>
      <c r="C1147" s="98"/>
      <c r="D1147" s="98"/>
      <c r="E1147" s="98"/>
      <c r="F1147" s="98"/>
      <c r="G1147" s="98"/>
      <c r="H1147" s="98"/>
      <c r="I1147" s="98"/>
      <c r="J1147" s="107"/>
      <c r="K1147" s="108"/>
      <c r="L1147" s="109"/>
      <c r="M1147" s="105"/>
      <c r="N1147" s="105"/>
      <c r="O1147" s="105"/>
      <c r="P1147" s="105"/>
      <c r="Q1147" s="105"/>
      <c r="R1147" s="105"/>
      <c r="S1147" s="105"/>
      <c r="T1147" s="105"/>
      <c r="U1147" s="105"/>
      <c r="V1147" s="105"/>
      <c r="W1147" s="105"/>
      <c r="X1147" s="105"/>
      <c r="Y1147" s="105"/>
      <c r="Z1147" s="105"/>
    </row>
    <row r="1148" spans="1:26">
      <c r="A1148" s="98"/>
      <c r="B1148" s="106"/>
      <c r="C1148" s="98"/>
      <c r="D1148" s="98"/>
      <c r="E1148" s="98"/>
      <c r="F1148" s="98"/>
      <c r="G1148" s="98"/>
      <c r="H1148" s="98"/>
      <c r="I1148" s="98"/>
      <c r="J1148" s="107"/>
      <c r="K1148" s="108"/>
      <c r="L1148" s="109"/>
      <c r="M1148" s="105"/>
      <c r="N1148" s="105"/>
      <c r="O1148" s="105"/>
      <c r="P1148" s="105"/>
      <c r="Q1148" s="105"/>
      <c r="R1148" s="105"/>
      <c r="S1148" s="105"/>
      <c r="T1148" s="105"/>
      <c r="U1148" s="105"/>
      <c r="V1148" s="105"/>
      <c r="W1148" s="105"/>
      <c r="X1148" s="105"/>
      <c r="Y1148" s="105"/>
      <c r="Z1148" s="105"/>
    </row>
    <row r="1149" spans="1:26">
      <c r="A1149" s="98"/>
      <c r="B1149" s="106"/>
      <c r="C1149" s="98"/>
      <c r="D1149" s="98"/>
      <c r="E1149" s="98"/>
      <c r="F1149" s="98"/>
      <c r="G1149" s="98"/>
      <c r="H1149" s="98"/>
      <c r="I1149" s="98"/>
      <c r="J1149" s="107"/>
      <c r="K1149" s="108"/>
      <c r="L1149" s="109"/>
      <c r="M1149" s="105"/>
      <c r="N1149" s="105"/>
      <c r="O1149" s="105"/>
      <c r="P1149" s="105"/>
      <c r="Q1149" s="105"/>
      <c r="R1149" s="105"/>
      <c r="S1149" s="105"/>
      <c r="T1149" s="105"/>
      <c r="U1149" s="105"/>
      <c r="V1149" s="105"/>
      <c r="W1149" s="105"/>
      <c r="X1149" s="105"/>
      <c r="Y1149" s="105"/>
      <c r="Z1149" s="105"/>
    </row>
    <row r="1150" spans="1:26">
      <c r="A1150" s="98"/>
      <c r="B1150" s="106"/>
      <c r="C1150" s="98"/>
      <c r="D1150" s="98"/>
      <c r="E1150" s="98"/>
      <c r="F1150" s="98"/>
      <c r="G1150" s="98"/>
      <c r="H1150" s="98"/>
      <c r="I1150" s="98"/>
      <c r="J1150" s="107"/>
      <c r="K1150" s="108"/>
      <c r="L1150" s="109"/>
      <c r="M1150" s="105"/>
      <c r="N1150" s="105"/>
      <c r="O1150" s="105"/>
      <c r="P1150" s="105"/>
      <c r="Q1150" s="105"/>
      <c r="R1150" s="105"/>
      <c r="S1150" s="105"/>
      <c r="T1150" s="105"/>
      <c r="U1150" s="105"/>
      <c r="V1150" s="105"/>
      <c r="W1150" s="105"/>
      <c r="X1150" s="105"/>
      <c r="Y1150" s="105"/>
      <c r="Z1150" s="105"/>
    </row>
    <row r="1151" spans="1:26">
      <c r="A1151" s="98"/>
      <c r="B1151" s="106"/>
      <c r="C1151" s="98"/>
      <c r="D1151" s="98"/>
      <c r="E1151" s="98"/>
      <c r="F1151" s="98"/>
      <c r="G1151" s="98"/>
      <c r="H1151" s="98"/>
      <c r="I1151" s="98"/>
      <c r="J1151" s="107"/>
      <c r="K1151" s="108"/>
      <c r="L1151" s="109"/>
      <c r="M1151" s="105"/>
      <c r="N1151" s="105"/>
      <c r="O1151" s="105"/>
      <c r="P1151" s="105"/>
      <c r="Q1151" s="105"/>
      <c r="R1151" s="105"/>
      <c r="S1151" s="105"/>
      <c r="T1151" s="105"/>
      <c r="U1151" s="105"/>
      <c r="V1151" s="105"/>
      <c r="W1151" s="105"/>
      <c r="X1151" s="105"/>
      <c r="Y1151" s="105"/>
      <c r="Z1151" s="105"/>
    </row>
    <row r="1152" spans="1:26">
      <c r="A1152" s="98"/>
      <c r="B1152" s="106"/>
      <c r="C1152" s="98"/>
      <c r="D1152" s="98"/>
      <c r="E1152" s="98"/>
      <c r="F1152" s="98"/>
      <c r="G1152" s="98"/>
      <c r="H1152" s="98"/>
      <c r="I1152" s="98"/>
      <c r="J1152" s="107"/>
      <c r="K1152" s="108"/>
      <c r="L1152" s="109"/>
      <c r="M1152" s="105"/>
      <c r="N1152" s="105"/>
      <c r="O1152" s="105"/>
      <c r="P1152" s="105"/>
      <c r="Q1152" s="105"/>
      <c r="R1152" s="105"/>
      <c r="S1152" s="105"/>
      <c r="T1152" s="105"/>
      <c r="U1152" s="105"/>
      <c r="V1152" s="105"/>
      <c r="W1152" s="105"/>
      <c r="X1152" s="105"/>
      <c r="Y1152" s="105"/>
      <c r="Z1152" s="105"/>
    </row>
    <row r="1153" spans="1:26">
      <c r="A1153" s="98"/>
      <c r="B1153" s="106"/>
      <c r="C1153" s="98"/>
      <c r="D1153" s="98"/>
      <c r="E1153" s="98"/>
      <c r="F1153" s="98"/>
      <c r="G1153" s="98"/>
      <c r="H1153" s="98"/>
      <c r="I1153" s="98"/>
      <c r="J1153" s="107"/>
      <c r="K1153" s="108"/>
      <c r="L1153" s="109"/>
      <c r="M1153" s="105"/>
      <c r="N1153" s="105"/>
      <c r="O1153" s="105"/>
      <c r="P1153" s="105"/>
      <c r="Q1153" s="105"/>
      <c r="R1153" s="105"/>
      <c r="S1153" s="105"/>
      <c r="T1153" s="105"/>
      <c r="U1153" s="105"/>
      <c r="V1153" s="105"/>
      <c r="W1153" s="105"/>
      <c r="X1153" s="105"/>
      <c r="Y1153" s="105"/>
      <c r="Z1153" s="105"/>
    </row>
    <row r="1154" spans="1:26">
      <c r="A1154" s="98"/>
      <c r="B1154" s="106"/>
      <c r="C1154" s="98"/>
      <c r="D1154" s="98"/>
      <c r="E1154" s="98"/>
      <c r="F1154" s="98"/>
      <c r="G1154" s="98"/>
      <c r="H1154" s="98"/>
      <c r="I1154" s="98"/>
      <c r="J1154" s="107"/>
      <c r="K1154" s="108"/>
      <c r="L1154" s="109"/>
      <c r="M1154" s="105"/>
      <c r="N1154" s="105"/>
      <c r="O1154" s="105"/>
      <c r="P1154" s="105"/>
      <c r="Q1154" s="105"/>
      <c r="R1154" s="105"/>
      <c r="S1154" s="105"/>
      <c r="T1154" s="105"/>
      <c r="U1154" s="105"/>
      <c r="V1154" s="105"/>
      <c r="W1154" s="105"/>
      <c r="X1154" s="105"/>
      <c r="Y1154" s="105"/>
      <c r="Z1154" s="105"/>
    </row>
    <row r="1155" spans="1:26">
      <c r="A1155" s="98"/>
      <c r="B1155" s="106"/>
      <c r="C1155" s="98"/>
      <c r="D1155" s="98"/>
      <c r="E1155" s="98"/>
      <c r="F1155" s="98"/>
      <c r="G1155" s="98"/>
      <c r="H1155" s="98"/>
      <c r="I1155" s="98"/>
      <c r="J1155" s="107"/>
      <c r="K1155" s="108"/>
      <c r="L1155" s="109"/>
      <c r="M1155" s="105"/>
      <c r="N1155" s="105"/>
      <c r="O1155" s="105"/>
      <c r="P1155" s="105"/>
      <c r="Q1155" s="105"/>
      <c r="R1155" s="105"/>
      <c r="S1155" s="105"/>
      <c r="T1155" s="105"/>
      <c r="U1155" s="105"/>
      <c r="V1155" s="105"/>
      <c r="W1155" s="105"/>
      <c r="X1155" s="105"/>
      <c r="Y1155" s="105"/>
      <c r="Z1155" s="105"/>
    </row>
    <row r="1156" spans="1:26">
      <c r="A1156" s="98"/>
      <c r="B1156" s="106"/>
      <c r="C1156" s="98"/>
      <c r="D1156" s="98"/>
      <c r="E1156" s="98"/>
      <c r="F1156" s="98"/>
      <c r="G1156" s="98"/>
      <c r="H1156" s="98"/>
      <c r="I1156" s="98"/>
      <c r="J1156" s="107"/>
      <c r="K1156" s="108"/>
      <c r="L1156" s="109"/>
      <c r="M1156" s="105"/>
      <c r="N1156" s="105"/>
      <c r="O1156" s="105"/>
      <c r="P1156" s="105"/>
      <c r="Q1156" s="105"/>
      <c r="R1156" s="105"/>
      <c r="S1156" s="105"/>
      <c r="T1156" s="105"/>
      <c r="U1156" s="105"/>
      <c r="V1156" s="105"/>
      <c r="W1156" s="105"/>
      <c r="X1156" s="105"/>
      <c r="Y1156" s="105"/>
      <c r="Z1156" s="105"/>
    </row>
    <row r="1157" spans="1:26">
      <c r="A1157" s="98"/>
      <c r="B1157" s="106"/>
      <c r="C1157" s="98"/>
      <c r="D1157" s="98"/>
      <c r="E1157" s="98"/>
      <c r="F1157" s="98"/>
      <c r="G1157" s="98"/>
      <c r="H1157" s="98"/>
      <c r="I1157" s="98"/>
      <c r="J1157" s="107"/>
      <c r="K1157" s="108"/>
      <c r="L1157" s="109"/>
      <c r="M1157" s="105"/>
      <c r="N1157" s="105"/>
      <c r="O1157" s="105"/>
      <c r="P1157" s="105"/>
      <c r="Q1157" s="105"/>
      <c r="R1157" s="105"/>
      <c r="S1157" s="105"/>
      <c r="T1157" s="105"/>
      <c r="U1157" s="105"/>
      <c r="V1157" s="105"/>
      <c r="W1157" s="105"/>
      <c r="X1157" s="105"/>
      <c r="Y1157" s="105"/>
      <c r="Z1157" s="105"/>
    </row>
    <row r="1158" spans="1:26">
      <c r="A1158" s="98"/>
      <c r="B1158" s="106"/>
      <c r="C1158" s="98"/>
      <c r="D1158" s="98"/>
      <c r="E1158" s="98"/>
      <c r="F1158" s="98"/>
      <c r="G1158" s="98"/>
      <c r="H1158" s="98"/>
      <c r="I1158" s="98"/>
      <c r="J1158" s="107"/>
      <c r="K1158" s="108"/>
      <c r="L1158" s="109"/>
      <c r="M1158" s="105"/>
      <c r="N1158" s="105"/>
      <c r="O1158" s="105"/>
      <c r="P1158" s="105"/>
      <c r="Q1158" s="105"/>
      <c r="R1158" s="105"/>
      <c r="S1158" s="105"/>
      <c r="T1158" s="105"/>
      <c r="U1158" s="105"/>
      <c r="V1158" s="105"/>
      <c r="W1158" s="105"/>
      <c r="X1158" s="105"/>
      <c r="Y1158" s="105"/>
      <c r="Z1158" s="105"/>
    </row>
    <row r="1159" spans="1:26">
      <c r="A1159" s="98"/>
      <c r="B1159" s="106"/>
      <c r="C1159" s="98"/>
      <c r="D1159" s="98"/>
      <c r="E1159" s="98"/>
      <c r="F1159" s="98"/>
      <c r="G1159" s="98"/>
      <c r="H1159" s="98"/>
      <c r="I1159" s="98"/>
      <c r="J1159" s="107"/>
      <c r="K1159" s="108"/>
      <c r="L1159" s="109"/>
      <c r="M1159" s="105"/>
      <c r="N1159" s="105"/>
      <c r="O1159" s="105"/>
      <c r="P1159" s="105"/>
      <c r="Q1159" s="105"/>
      <c r="R1159" s="105"/>
      <c r="S1159" s="105"/>
      <c r="T1159" s="105"/>
      <c r="U1159" s="105"/>
      <c r="V1159" s="105"/>
      <c r="W1159" s="105"/>
      <c r="X1159" s="105"/>
      <c r="Y1159" s="105"/>
      <c r="Z1159" s="105"/>
    </row>
    <row r="1160" spans="1:26">
      <c r="A1160" s="98"/>
      <c r="B1160" s="106"/>
      <c r="C1160" s="98"/>
      <c r="D1160" s="98"/>
      <c r="E1160" s="98"/>
      <c r="F1160" s="98"/>
      <c r="G1160" s="98"/>
      <c r="H1160" s="98"/>
      <c r="I1160" s="98"/>
      <c r="J1160" s="107"/>
      <c r="K1160" s="108"/>
      <c r="L1160" s="109"/>
      <c r="M1160" s="105"/>
      <c r="N1160" s="105"/>
      <c r="O1160" s="105"/>
      <c r="P1160" s="105"/>
      <c r="Q1160" s="105"/>
      <c r="R1160" s="105"/>
      <c r="S1160" s="105"/>
      <c r="T1160" s="105"/>
      <c r="U1160" s="105"/>
      <c r="V1160" s="105"/>
      <c r="W1160" s="105"/>
      <c r="X1160" s="105"/>
      <c r="Y1160" s="105"/>
      <c r="Z1160" s="105"/>
    </row>
    <row r="1161" spans="1:26">
      <c r="A1161" s="98"/>
      <c r="B1161" s="106"/>
      <c r="C1161" s="98"/>
      <c r="D1161" s="98"/>
      <c r="E1161" s="98"/>
      <c r="F1161" s="98"/>
      <c r="G1161" s="98"/>
      <c r="H1161" s="98"/>
      <c r="I1161" s="98"/>
      <c r="J1161" s="107"/>
      <c r="K1161" s="108"/>
      <c r="L1161" s="109"/>
      <c r="M1161" s="105"/>
      <c r="N1161" s="105"/>
      <c r="O1161" s="105"/>
      <c r="P1161" s="105"/>
      <c r="Q1161" s="105"/>
      <c r="R1161" s="105"/>
      <c r="S1161" s="105"/>
      <c r="T1161" s="105"/>
      <c r="U1161" s="105"/>
      <c r="V1161" s="105"/>
      <c r="W1161" s="105"/>
      <c r="X1161" s="105"/>
      <c r="Y1161" s="105"/>
      <c r="Z1161" s="105"/>
    </row>
    <row r="1162" spans="1:26">
      <c r="A1162" s="98"/>
      <c r="B1162" s="106"/>
      <c r="C1162" s="98"/>
      <c r="D1162" s="98"/>
      <c r="E1162" s="98"/>
      <c r="F1162" s="98"/>
      <c r="G1162" s="98"/>
      <c r="H1162" s="98"/>
      <c r="I1162" s="98"/>
      <c r="J1162" s="107"/>
      <c r="K1162" s="108"/>
      <c r="L1162" s="109"/>
      <c r="M1162" s="105"/>
      <c r="N1162" s="105"/>
      <c r="O1162" s="105"/>
      <c r="P1162" s="105"/>
      <c r="Q1162" s="105"/>
      <c r="R1162" s="105"/>
      <c r="S1162" s="105"/>
      <c r="T1162" s="105"/>
      <c r="U1162" s="105"/>
      <c r="V1162" s="105"/>
      <c r="W1162" s="105"/>
      <c r="X1162" s="105"/>
      <c r="Y1162" s="105"/>
      <c r="Z1162" s="105"/>
    </row>
    <row r="1163" spans="1:26">
      <c r="A1163" s="98"/>
      <c r="B1163" s="106"/>
      <c r="C1163" s="98"/>
      <c r="D1163" s="98"/>
      <c r="E1163" s="98"/>
      <c r="F1163" s="98"/>
      <c r="G1163" s="98"/>
      <c r="H1163" s="98"/>
      <c r="I1163" s="98"/>
      <c r="J1163" s="107"/>
      <c r="K1163" s="108"/>
      <c r="L1163" s="109"/>
      <c r="M1163" s="105"/>
      <c r="N1163" s="105"/>
      <c r="O1163" s="105"/>
      <c r="P1163" s="105"/>
      <c r="Q1163" s="105"/>
      <c r="R1163" s="105"/>
      <c r="S1163" s="105"/>
      <c r="T1163" s="105"/>
      <c r="U1163" s="105"/>
      <c r="V1163" s="105"/>
      <c r="W1163" s="105"/>
      <c r="X1163" s="105"/>
      <c r="Y1163" s="105"/>
      <c r="Z1163" s="105"/>
    </row>
    <row r="1164" spans="1:26">
      <c r="A1164" s="98"/>
      <c r="B1164" s="106"/>
      <c r="C1164" s="98"/>
      <c r="D1164" s="98"/>
      <c r="E1164" s="98"/>
      <c r="F1164" s="98"/>
      <c r="G1164" s="98"/>
      <c r="H1164" s="98"/>
      <c r="I1164" s="98"/>
      <c r="J1164" s="107"/>
      <c r="K1164" s="108"/>
      <c r="L1164" s="109"/>
      <c r="M1164" s="105"/>
      <c r="N1164" s="105"/>
      <c r="O1164" s="105"/>
      <c r="P1164" s="105"/>
      <c r="Q1164" s="105"/>
      <c r="R1164" s="105"/>
      <c r="S1164" s="105"/>
      <c r="T1164" s="105"/>
      <c r="U1164" s="105"/>
      <c r="V1164" s="105"/>
      <c r="W1164" s="105"/>
      <c r="X1164" s="105"/>
      <c r="Y1164" s="105"/>
      <c r="Z1164" s="105"/>
    </row>
    <row r="1165" spans="1:26">
      <c r="A1165" s="98"/>
      <c r="B1165" s="106"/>
      <c r="C1165" s="98"/>
      <c r="D1165" s="98"/>
      <c r="E1165" s="98"/>
      <c r="F1165" s="98"/>
      <c r="G1165" s="98"/>
      <c r="H1165" s="98"/>
      <c r="I1165" s="98"/>
      <c r="J1165" s="107"/>
      <c r="K1165" s="108"/>
      <c r="L1165" s="109"/>
      <c r="M1165" s="105"/>
      <c r="N1165" s="105"/>
      <c r="O1165" s="105"/>
      <c r="P1165" s="105"/>
      <c r="Q1165" s="105"/>
      <c r="R1165" s="105"/>
      <c r="S1165" s="105"/>
      <c r="T1165" s="105"/>
      <c r="U1165" s="105"/>
      <c r="V1165" s="105"/>
      <c r="W1165" s="105"/>
      <c r="X1165" s="105"/>
      <c r="Y1165" s="105"/>
      <c r="Z1165" s="105"/>
    </row>
    <row r="1166" spans="1:26">
      <c r="A1166" s="98"/>
      <c r="B1166" s="106"/>
      <c r="C1166" s="98"/>
      <c r="D1166" s="98"/>
      <c r="E1166" s="98"/>
      <c r="F1166" s="98"/>
      <c r="G1166" s="98"/>
      <c r="H1166" s="98"/>
      <c r="I1166" s="98"/>
      <c r="J1166" s="107"/>
      <c r="K1166" s="108"/>
      <c r="L1166" s="109"/>
      <c r="M1166" s="105"/>
      <c r="N1166" s="105"/>
      <c r="O1166" s="105"/>
      <c r="P1166" s="105"/>
      <c r="Q1166" s="105"/>
      <c r="R1166" s="105"/>
      <c r="S1166" s="105"/>
      <c r="T1166" s="105"/>
      <c r="U1166" s="105"/>
      <c r="V1166" s="105"/>
      <c r="W1166" s="105"/>
      <c r="X1166" s="105"/>
      <c r="Y1166" s="105"/>
      <c r="Z1166" s="105"/>
    </row>
    <row r="1167" spans="1:26">
      <c r="A1167" s="98"/>
      <c r="B1167" s="106"/>
      <c r="C1167" s="98"/>
      <c r="D1167" s="98"/>
      <c r="E1167" s="98"/>
      <c r="F1167" s="98"/>
      <c r="G1167" s="98"/>
      <c r="H1167" s="98"/>
      <c r="I1167" s="98"/>
      <c r="J1167" s="107"/>
      <c r="K1167" s="108"/>
      <c r="L1167" s="109"/>
      <c r="M1167" s="105"/>
      <c r="N1167" s="105"/>
      <c r="O1167" s="105"/>
      <c r="P1167" s="105"/>
      <c r="Q1167" s="105"/>
      <c r="R1167" s="105"/>
      <c r="S1167" s="105"/>
      <c r="T1167" s="105"/>
      <c r="U1167" s="105"/>
      <c r="V1167" s="105"/>
      <c r="W1167" s="105"/>
      <c r="X1167" s="105"/>
      <c r="Y1167" s="105"/>
      <c r="Z1167" s="105"/>
    </row>
    <row r="1168" spans="1:26">
      <c r="A1168" s="98"/>
      <c r="B1168" s="106"/>
      <c r="C1168" s="98"/>
      <c r="D1168" s="98"/>
      <c r="E1168" s="98"/>
      <c r="F1168" s="98"/>
      <c r="G1168" s="98"/>
      <c r="H1168" s="98"/>
      <c r="I1168" s="98"/>
      <c r="J1168" s="107"/>
      <c r="K1168" s="108"/>
      <c r="L1168" s="109"/>
      <c r="M1168" s="105"/>
      <c r="N1168" s="105"/>
      <c r="O1168" s="105"/>
      <c r="P1168" s="105"/>
      <c r="Q1168" s="105"/>
      <c r="R1168" s="105"/>
      <c r="S1168" s="105"/>
      <c r="T1168" s="105"/>
      <c r="U1168" s="105"/>
      <c r="V1168" s="105"/>
      <c r="W1168" s="105"/>
      <c r="X1168" s="105"/>
      <c r="Y1168" s="105"/>
      <c r="Z1168" s="105"/>
    </row>
    <row r="1169" spans="1:26">
      <c r="A1169" s="98"/>
      <c r="B1169" s="106"/>
      <c r="C1169" s="98"/>
      <c r="D1169" s="98"/>
      <c r="E1169" s="98"/>
      <c r="F1169" s="98"/>
      <c r="G1169" s="98"/>
      <c r="H1169" s="98"/>
      <c r="I1169" s="98"/>
      <c r="J1169" s="107"/>
      <c r="K1169" s="108"/>
      <c r="L1169" s="109"/>
      <c r="M1169" s="105"/>
      <c r="N1169" s="105"/>
      <c r="O1169" s="105"/>
      <c r="P1169" s="105"/>
      <c r="Q1169" s="105"/>
      <c r="R1169" s="105"/>
      <c r="S1169" s="105"/>
      <c r="T1169" s="105"/>
      <c r="U1169" s="105"/>
      <c r="V1169" s="105"/>
      <c r="W1169" s="105"/>
      <c r="X1169" s="105"/>
      <c r="Y1169" s="105"/>
      <c r="Z1169" s="105"/>
    </row>
    <row r="1170" spans="1:26">
      <c r="A1170" s="98"/>
      <c r="B1170" s="106"/>
      <c r="C1170" s="98"/>
      <c r="D1170" s="98"/>
      <c r="E1170" s="98"/>
      <c r="F1170" s="98"/>
      <c r="G1170" s="98"/>
      <c r="H1170" s="98"/>
      <c r="I1170" s="98"/>
      <c r="J1170" s="107"/>
      <c r="K1170" s="108"/>
      <c r="L1170" s="109"/>
      <c r="M1170" s="105"/>
      <c r="N1170" s="105"/>
      <c r="O1170" s="105"/>
      <c r="P1170" s="105"/>
      <c r="Q1170" s="105"/>
      <c r="R1170" s="105"/>
      <c r="S1170" s="105"/>
      <c r="T1170" s="105"/>
      <c r="U1170" s="105"/>
      <c r="V1170" s="105"/>
      <c r="W1170" s="105"/>
      <c r="X1170" s="105"/>
      <c r="Y1170" s="105"/>
      <c r="Z1170" s="105"/>
    </row>
    <row r="1171" spans="1:26">
      <c r="A1171" s="98"/>
      <c r="B1171" s="106"/>
      <c r="C1171" s="98"/>
      <c r="D1171" s="98"/>
      <c r="E1171" s="98"/>
      <c r="F1171" s="98"/>
      <c r="G1171" s="98"/>
      <c r="H1171" s="98"/>
      <c r="I1171" s="98"/>
      <c r="J1171" s="107"/>
      <c r="K1171" s="108"/>
      <c r="L1171" s="109"/>
      <c r="M1171" s="105"/>
      <c r="N1171" s="105"/>
      <c r="O1171" s="105"/>
      <c r="P1171" s="105"/>
      <c r="Q1171" s="105"/>
      <c r="R1171" s="105"/>
      <c r="S1171" s="105"/>
      <c r="T1171" s="105"/>
      <c r="U1171" s="105"/>
      <c r="V1171" s="105"/>
      <c r="W1171" s="105"/>
      <c r="X1171" s="105"/>
      <c r="Y1171" s="105"/>
      <c r="Z1171" s="105"/>
    </row>
    <row r="1172" spans="1:26">
      <c r="A1172" s="98"/>
      <c r="B1172" s="106"/>
      <c r="C1172" s="98"/>
      <c r="D1172" s="98"/>
      <c r="E1172" s="98"/>
      <c r="F1172" s="98"/>
      <c r="G1172" s="98"/>
      <c r="H1172" s="98"/>
      <c r="I1172" s="98"/>
      <c r="J1172" s="107"/>
      <c r="K1172" s="108"/>
      <c r="L1172" s="109"/>
      <c r="M1172" s="105"/>
      <c r="N1172" s="105"/>
      <c r="O1172" s="105"/>
      <c r="P1172" s="105"/>
      <c r="Q1172" s="105"/>
      <c r="R1172" s="105"/>
      <c r="S1172" s="105"/>
      <c r="T1172" s="105"/>
      <c r="U1172" s="105"/>
      <c r="V1172" s="105"/>
      <c r="W1172" s="105"/>
      <c r="X1172" s="105"/>
      <c r="Y1172" s="105"/>
      <c r="Z1172" s="105"/>
    </row>
    <row r="1173" spans="1:26">
      <c r="A1173" s="98"/>
      <c r="B1173" s="106"/>
      <c r="C1173" s="98"/>
      <c r="D1173" s="98"/>
      <c r="E1173" s="98"/>
      <c r="F1173" s="98"/>
      <c r="G1173" s="98"/>
      <c r="H1173" s="98"/>
      <c r="I1173" s="98"/>
      <c r="J1173" s="107"/>
      <c r="K1173" s="108"/>
      <c r="L1173" s="109"/>
      <c r="M1173" s="105"/>
      <c r="N1173" s="105"/>
      <c r="O1173" s="105"/>
      <c r="P1173" s="105"/>
      <c r="Q1173" s="105"/>
      <c r="R1173" s="105"/>
      <c r="S1173" s="105"/>
      <c r="T1173" s="105"/>
      <c r="U1173" s="105"/>
      <c r="V1173" s="105"/>
      <c r="W1173" s="105"/>
      <c r="X1173" s="105"/>
      <c r="Y1173" s="105"/>
      <c r="Z1173" s="105"/>
    </row>
    <row r="1174" spans="1:26">
      <c r="A1174" s="98"/>
      <c r="B1174" s="106"/>
      <c r="C1174" s="98"/>
      <c r="D1174" s="98"/>
      <c r="E1174" s="98"/>
      <c r="F1174" s="98"/>
      <c r="G1174" s="98"/>
      <c r="H1174" s="98"/>
      <c r="I1174" s="98"/>
      <c r="J1174" s="107"/>
      <c r="K1174" s="108"/>
      <c r="L1174" s="109"/>
      <c r="M1174" s="105"/>
      <c r="N1174" s="105"/>
      <c r="O1174" s="105"/>
      <c r="P1174" s="105"/>
      <c r="Q1174" s="105"/>
      <c r="R1174" s="105"/>
      <c r="S1174" s="105"/>
      <c r="T1174" s="105"/>
      <c r="U1174" s="105"/>
      <c r="V1174" s="105"/>
      <c r="W1174" s="105"/>
      <c r="X1174" s="105"/>
      <c r="Y1174" s="105"/>
      <c r="Z1174" s="105"/>
    </row>
    <row r="1175" spans="1:26">
      <c r="A1175" s="98"/>
      <c r="B1175" s="106"/>
      <c r="C1175" s="98"/>
      <c r="D1175" s="98"/>
      <c r="E1175" s="98"/>
      <c r="F1175" s="98"/>
      <c r="G1175" s="98"/>
      <c r="H1175" s="98"/>
      <c r="I1175" s="98"/>
      <c r="J1175" s="107"/>
      <c r="K1175" s="108"/>
      <c r="L1175" s="109"/>
      <c r="M1175" s="105"/>
      <c r="N1175" s="105"/>
      <c r="O1175" s="105"/>
      <c r="P1175" s="105"/>
      <c r="Q1175" s="105"/>
      <c r="R1175" s="105"/>
      <c r="S1175" s="105"/>
      <c r="T1175" s="105"/>
      <c r="U1175" s="105"/>
      <c r="V1175" s="105"/>
      <c r="W1175" s="105"/>
      <c r="X1175" s="105"/>
      <c r="Y1175" s="105"/>
      <c r="Z1175" s="105"/>
    </row>
    <row r="1176" spans="1:26">
      <c r="A1176" s="98"/>
      <c r="B1176" s="106"/>
      <c r="C1176" s="98"/>
      <c r="D1176" s="98"/>
      <c r="E1176" s="98"/>
      <c r="F1176" s="98"/>
      <c r="G1176" s="98"/>
      <c r="H1176" s="98"/>
      <c r="I1176" s="98"/>
      <c r="J1176" s="107"/>
      <c r="K1176" s="108"/>
      <c r="L1176" s="109"/>
      <c r="M1176" s="105"/>
      <c r="N1176" s="105"/>
      <c r="O1176" s="105"/>
      <c r="P1176" s="105"/>
      <c r="Q1176" s="105"/>
      <c r="R1176" s="105"/>
      <c r="S1176" s="105"/>
      <c r="T1176" s="105"/>
      <c r="U1176" s="105"/>
      <c r="V1176" s="105"/>
      <c r="W1176" s="105"/>
      <c r="X1176" s="105"/>
      <c r="Y1176" s="105"/>
      <c r="Z1176" s="105"/>
    </row>
    <row r="1177" spans="1:26">
      <c r="A1177" s="98"/>
      <c r="B1177" s="106"/>
      <c r="C1177" s="98"/>
      <c r="D1177" s="98"/>
      <c r="E1177" s="98"/>
      <c r="F1177" s="98"/>
      <c r="G1177" s="98"/>
      <c r="H1177" s="98"/>
      <c r="I1177" s="98"/>
      <c r="J1177" s="107"/>
      <c r="K1177" s="108"/>
      <c r="L1177" s="109"/>
      <c r="M1177" s="105"/>
      <c r="N1177" s="105"/>
      <c r="O1177" s="105"/>
      <c r="P1177" s="105"/>
      <c r="Q1177" s="105"/>
      <c r="R1177" s="105"/>
      <c r="S1177" s="105"/>
      <c r="T1177" s="105"/>
      <c r="U1177" s="105"/>
      <c r="V1177" s="105"/>
      <c r="W1177" s="105"/>
      <c r="X1177" s="105"/>
      <c r="Y1177" s="105"/>
      <c r="Z1177" s="105"/>
    </row>
    <row r="1178" spans="1:26">
      <c r="A1178" s="98"/>
      <c r="B1178" s="106"/>
      <c r="C1178" s="98"/>
      <c r="D1178" s="98"/>
      <c r="E1178" s="98"/>
      <c r="F1178" s="98"/>
      <c r="G1178" s="98"/>
      <c r="H1178" s="98"/>
      <c r="I1178" s="98"/>
      <c r="J1178" s="107"/>
      <c r="K1178" s="108"/>
      <c r="L1178" s="109"/>
      <c r="M1178" s="105"/>
      <c r="N1178" s="105"/>
      <c r="O1178" s="105"/>
      <c r="P1178" s="105"/>
      <c r="Q1178" s="105"/>
      <c r="R1178" s="105"/>
      <c r="S1178" s="105"/>
      <c r="T1178" s="105"/>
      <c r="U1178" s="105"/>
      <c r="V1178" s="105"/>
      <c r="W1178" s="105"/>
      <c r="X1178" s="105"/>
      <c r="Y1178" s="105"/>
      <c r="Z1178" s="105"/>
    </row>
    <row r="1179" spans="1:26">
      <c r="A1179" s="98"/>
      <c r="B1179" s="106"/>
      <c r="C1179" s="98"/>
      <c r="D1179" s="98"/>
      <c r="E1179" s="98"/>
      <c r="F1179" s="98"/>
      <c r="G1179" s="98"/>
      <c r="H1179" s="98"/>
      <c r="I1179" s="98"/>
      <c r="J1179" s="107"/>
      <c r="K1179" s="108"/>
      <c r="L1179" s="109"/>
      <c r="M1179" s="105"/>
      <c r="N1179" s="105"/>
      <c r="O1179" s="105"/>
      <c r="P1179" s="105"/>
      <c r="Q1179" s="105"/>
      <c r="R1179" s="105"/>
      <c r="S1179" s="105"/>
      <c r="T1179" s="105"/>
      <c r="U1179" s="105"/>
      <c r="V1179" s="105"/>
      <c r="W1179" s="105"/>
      <c r="X1179" s="105"/>
      <c r="Y1179" s="105"/>
      <c r="Z1179" s="105"/>
    </row>
    <row r="1180" spans="1:26">
      <c r="A1180" s="98"/>
      <c r="B1180" s="106"/>
      <c r="C1180" s="98"/>
      <c r="D1180" s="98"/>
      <c r="E1180" s="98"/>
      <c r="F1180" s="98"/>
      <c r="G1180" s="98"/>
      <c r="H1180" s="98"/>
      <c r="I1180" s="98"/>
      <c r="J1180" s="107"/>
      <c r="K1180" s="108"/>
      <c r="L1180" s="109"/>
      <c r="M1180" s="105"/>
      <c r="N1180" s="105"/>
      <c r="O1180" s="105"/>
      <c r="P1180" s="105"/>
      <c r="Q1180" s="105"/>
      <c r="R1180" s="105"/>
      <c r="S1180" s="105"/>
      <c r="T1180" s="105"/>
      <c r="U1180" s="105"/>
      <c r="V1180" s="105"/>
      <c r="W1180" s="105"/>
      <c r="X1180" s="105"/>
      <c r="Y1180" s="105"/>
      <c r="Z1180" s="105"/>
    </row>
    <row r="1181" spans="1:26">
      <c r="A1181" s="98"/>
      <c r="B1181" s="106"/>
      <c r="C1181" s="98"/>
      <c r="D1181" s="98"/>
      <c r="E1181" s="98"/>
      <c r="F1181" s="98"/>
      <c r="G1181" s="98"/>
      <c r="H1181" s="98"/>
      <c r="I1181" s="98"/>
      <c r="J1181" s="107"/>
      <c r="K1181" s="108"/>
      <c r="L1181" s="109"/>
      <c r="M1181" s="105"/>
      <c r="N1181" s="105"/>
      <c r="O1181" s="105"/>
      <c r="P1181" s="105"/>
      <c r="Q1181" s="105"/>
      <c r="R1181" s="105"/>
      <c r="S1181" s="105"/>
      <c r="T1181" s="105"/>
      <c r="U1181" s="105"/>
      <c r="V1181" s="105"/>
      <c r="W1181" s="105"/>
      <c r="X1181" s="105"/>
      <c r="Y1181" s="105"/>
      <c r="Z1181" s="105"/>
    </row>
    <row r="1182" spans="1:26">
      <c r="A1182" s="98"/>
      <c r="B1182" s="106"/>
      <c r="C1182" s="98"/>
      <c r="D1182" s="98"/>
      <c r="E1182" s="98"/>
      <c r="F1182" s="98"/>
      <c r="G1182" s="98"/>
      <c r="H1182" s="98"/>
      <c r="I1182" s="98"/>
      <c r="J1182" s="107"/>
      <c r="K1182" s="108"/>
      <c r="L1182" s="109"/>
      <c r="M1182" s="105"/>
      <c r="N1182" s="105"/>
      <c r="O1182" s="105"/>
      <c r="P1182" s="105"/>
      <c r="Q1182" s="105"/>
      <c r="R1182" s="105"/>
      <c r="S1182" s="105"/>
      <c r="T1182" s="105"/>
      <c r="U1182" s="105"/>
      <c r="V1182" s="105"/>
      <c r="W1182" s="105"/>
      <c r="X1182" s="105"/>
      <c r="Y1182" s="105"/>
      <c r="Z1182" s="105"/>
    </row>
    <row r="1183" spans="1:26">
      <c r="A1183" s="98"/>
      <c r="B1183" s="106"/>
      <c r="C1183" s="98"/>
      <c r="D1183" s="98"/>
      <c r="E1183" s="98"/>
      <c r="F1183" s="98"/>
      <c r="G1183" s="98"/>
      <c r="H1183" s="98"/>
      <c r="I1183" s="98"/>
      <c r="J1183" s="107"/>
      <c r="K1183" s="108"/>
      <c r="L1183" s="109"/>
      <c r="M1183" s="105"/>
      <c r="N1183" s="105"/>
      <c r="O1183" s="105"/>
      <c r="P1183" s="105"/>
      <c r="Q1183" s="105"/>
      <c r="R1183" s="105"/>
      <c r="S1183" s="105"/>
      <c r="T1183" s="105"/>
      <c r="U1183" s="105"/>
      <c r="V1183" s="105"/>
      <c r="W1183" s="105"/>
      <c r="X1183" s="105"/>
      <c r="Y1183" s="105"/>
      <c r="Z1183" s="105"/>
    </row>
    <row r="1184" spans="1:26">
      <c r="A1184" s="98"/>
      <c r="B1184" s="106"/>
      <c r="C1184" s="98"/>
      <c r="D1184" s="98"/>
      <c r="E1184" s="98"/>
      <c r="F1184" s="98"/>
      <c r="G1184" s="98"/>
      <c r="H1184" s="98"/>
      <c r="I1184" s="98"/>
      <c r="J1184" s="107"/>
      <c r="K1184" s="108"/>
      <c r="L1184" s="109"/>
      <c r="M1184" s="105"/>
      <c r="N1184" s="105"/>
      <c r="O1184" s="105"/>
      <c r="P1184" s="105"/>
      <c r="Q1184" s="105"/>
      <c r="R1184" s="105"/>
      <c r="S1184" s="105"/>
      <c r="T1184" s="105"/>
      <c r="U1184" s="105"/>
      <c r="V1184" s="105"/>
      <c r="W1184" s="105"/>
      <c r="X1184" s="105"/>
      <c r="Y1184" s="105"/>
      <c r="Z1184" s="105"/>
    </row>
    <row r="1185" spans="1:26">
      <c r="A1185" s="98"/>
      <c r="B1185" s="106"/>
      <c r="C1185" s="98"/>
      <c r="D1185" s="98"/>
      <c r="E1185" s="98"/>
      <c r="F1185" s="98"/>
      <c r="G1185" s="98"/>
      <c r="H1185" s="98"/>
      <c r="I1185" s="98"/>
      <c r="J1185" s="107"/>
      <c r="K1185" s="108"/>
      <c r="L1185" s="109"/>
      <c r="M1185" s="105"/>
      <c r="N1185" s="105"/>
      <c r="O1185" s="105"/>
      <c r="P1185" s="105"/>
      <c r="Q1185" s="105"/>
      <c r="R1185" s="105"/>
      <c r="S1185" s="105"/>
      <c r="T1185" s="105"/>
      <c r="U1185" s="105"/>
      <c r="V1185" s="105"/>
      <c r="W1185" s="105"/>
      <c r="X1185" s="105"/>
      <c r="Y1185" s="105"/>
      <c r="Z1185" s="105"/>
    </row>
    <row r="1186" spans="1:26">
      <c r="A1186" s="98"/>
      <c r="B1186" s="106"/>
      <c r="C1186" s="98"/>
      <c r="D1186" s="98"/>
      <c r="E1186" s="98"/>
      <c r="F1186" s="98"/>
      <c r="G1186" s="98"/>
      <c r="H1186" s="98"/>
      <c r="I1186" s="98"/>
      <c r="J1186" s="107"/>
      <c r="K1186" s="108"/>
      <c r="L1186" s="109"/>
      <c r="M1186" s="105"/>
      <c r="N1186" s="105"/>
      <c r="O1186" s="105"/>
      <c r="P1186" s="105"/>
      <c r="Q1186" s="105"/>
      <c r="R1186" s="105"/>
      <c r="S1186" s="105"/>
      <c r="T1186" s="105"/>
      <c r="U1186" s="105"/>
      <c r="V1186" s="105"/>
      <c r="W1186" s="105"/>
      <c r="X1186" s="105"/>
      <c r="Y1186" s="105"/>
      <c r="Z1186" s="105"/>
    </row>
    <row r="1187" spans="1:26">
      <c r="A1187" s="98"/>
      <c r="B1187" s="106"/>
      <c r="C1187" s="98"/>
      <c r="D1187" s="98"/>
      <c r="E1187" s="98"/>
      <c r="F1187" s="98"/>
      <c r="G1187" s="98"/>
      <c r="H1187" s="98"/>
      <c r="I1187" s="98"/>
      <c r="J1187" s="107"/>
      <c r="K1187" s="108"/>
      <c r="L1187" s="109"/>
      <c r="M1187" s="105"/>
      <c r="N1187" s="105"/>
      <c r="O1187" s="105"/>
      <c r="P1187" s="105"/>
      <c r="Q1187" s="105"/>
      <c r="R1187" s="105"/>
      <c r="S1187" s="105"/>
      <c r="T1187" s="105"/>
      <c r="U1187" s="105"/>
      <c r="V1187" s="105"/>
      <c r="W1187" s="105"/>
      <c r="X1187" s="105"/>
      <c r="Y1187" s="105"/>
      <c r="Z1187" s="105"/>
    </row>
    <row r="1188" spans="1:26">
      <c r="A1188" s="98"/>
      <c r="B1188" s="106"/>
      <c r="C1188" s="98"/>
      <c r="D1188" s="98"/>
      <c r="E1188" s="98"/>
      <c r="F1188" s="98"/>
      <c r="G1188" s="98"/>
      <c r="H1188" s="98"/>
      <c r="I1188" s="98"/>
      <c r="J1188" s="107"/>
      <c r="K1188" s="108"/>
      <c r="L1188" s="109"/>
      <c r="M1188" s="105"/>
      <c r="N1188" s="105"/>
      <c r="O1188" s="105"/>
      <c r="P1188" s="105"/>
      <c r="Q1188" s="105"/>
      <c r="R1188" s="105"/>
      <c r="S1188" s="105"/>
      <c r="T1188" s="105"/>
      <c r="U1188" s="105"/>
      <c r="V1188" s="105"/>
      <c r="W1188" s="105"/>
      <c r="X1188" s="105"/>
      <c r="Y1188" s="105"/>
      <c r="Z1188" s="105"/>
    </row>
    <row r="1189" spans="1:26">
      <c r="A1189" s="98"/>
      <c r="B1189" s="106"/>
      <c r="C1189" s="98"/>
      <c r="D1189" s="98"/>
      <c r="E1189" s="98"/>
      <c r="F1189" s="98"/>
      <c r="G1189" s="98"/>
      <c r="H1189" s="98"/>
      <c r="I1189" s="98"/>
      <c r="J1189" s="107"/>
      <c r="K1189" s="108"/>
      <c r="L1189" s="109"/>
      <c r="M1189" s="105"/>
      <c r="N1189" s="105"/>
      <c r="O1189" s="105"/>
      <c r="P1189" s="105"/>
      <c r="Q1189" s="105"/>
      <c r="R1189" s="105"/>
      <c r="S1189" s="105"/>
      <c r="T1189" s="105"/>
      <c r="U1189" s="105"/>
      <c r="V1189" s="105"/>
      <c r="W1189" s="105"/>
      <c r="X1189" s="105"/>
      <c r="Y1189" s="105"/>
      <c r="Z1189" s="105"/>
    </row>
    <row r="1190" spans="1:26">
      <c r="A1190" s="98"/>
      <c r="B1190" s="106"/>
      <c r="C1190" s="98"/>
      <c r="D1190" s="98"/>
      <c r="E1190" s="98"/>
      <c r="F1190" s="98"/>
      <c r="G1190" s="98"/>
      <c r="H1190" s="98"/>
      <c r="I1190" s="98"/>
      <c r="J1190" s="107"/>
      <c r="K1190" s="108"/>
      <c r="L1190" s="109"/>
      <c r="M1190" s="105"/>
      <c r="N1190" s="105"/>
      <c r="O1190" s="105"/>
      <c r="P1190" s="105"/>
      <c r="Q1190" s="105"/>
      <c r="R1190" s="105"/>
      <c r="S1190" s="105"/>
      <c r="T1190" s="105"/>
      <c r="U1190" s="105"/>
      <c r="V1190" s="105"/>
      <c r="W1190" s="105"/>
      <c r="X1190" s="105"/>
      <c r="Y1190" s="105"/>
      <c r="Z1190" s="105"/>
    </row>
    <row r="1191" spans="1:26">
      <c r="A1191" s="98"/>
      <c r="B1191" s="106"/>
      <c r="C1191" s="98"/>
      <c r="D1191" s="98"/>
      <c r="E1191" s="98"/>
      <c r="F1191" s="98"/>
      <c r="G1191" s="98"/>
      <c r="H1191" s="98"/>
      <c r="I1191" s="98"/>
      <c r="J1191" s="107"/>
      <c r="K1191" s="108"/>
      <c r="L1191" s="109"/>
      <c r="M1191" s="105"/>
      <c r="N1191" s="105"/>
      <c r="O1191" s="105"/>
      <c r="P1191" s="105"/>
      <c r="Q1191" s="105"/>
      <c r="R1191" s="105"/>
      <c r="S1191" s="105"/>
      <c r="T1191" s="105"/>
      <c r="U1191" s="105"/>
      <c r="V1191" s="105"/>
      <c r="W1191" s="105"/>
      <c r="X1191" s="105"/>
      <c r="Y1191" s="105"/>
      <c r="Z1191" s="105"/>
    </row>
    <row r="1192" spans="1:26">
      <c r="A1192" s="98"/>
      <c r="B1192" s="106"/>
      <c r="C1192" s="98"/>
      <c r="D1192" s="98"/>
      <c r="E1192" s="98"/>
      <c r="F1192" s="98"/>
      <c r="G1192" s="98"/>
      <c r="H1192" s="98"/>
      <c r="I1192" s="98"/>
      <c r="J1192" s="107"/>
      <c r="K1192" s="108"/>
      <c r="L1192" s="109"/>
      <c r="M1192" s="105"/>
      <c r="N1192" s="105"/>
      <c r="O1192" s="105"/>
      <c r="P1192" s="105"/>
      <c r="Q1192" s="105"/>
      <c r="R1192" s="105"/>
      <c r="S1192" s="105"/>
      <c r="T1192" s="105"/>
      <c r="U1192" s="105"/>
      <c r="V1192" s="105"/>
      <c r="W1192" s="105"/>
      <c r="X1192" s="105"/>
      <c r="Y1192" s="105"/>
      <c r="Z1192" s="105"/>
    </row>
    <row r="1193" spans="1:26">
      <c r="A1193" s="98"/>
      <c r="B1193" s="106"/>
      <c r="C1193" s="98"/>
      <c r="D1193" s="98"/>
      <c r="E1193" s="98"/>
      <c r="F1193" s="98"/>
      <c r="G1193" s="98"/>
      <c r="H1193" s="98"/>
      <c r="I1193" s="98"/>
      <c r="J1193" s="107"/>
      <c r="K1193" s="108"/>
      <c r="L1193" s="109"/>
      <c r="M1193" s="105"/>
      <c r="N1193" s="105"/>
      <c r="O1193" s="105"/>
      <c r="P1193" s="105"/>
      <c r="Q1193" s="105"/>
      <c r="R1193" s="105"/>
      <c r="S1193" s="105"/>
      <c r="T1193" s="105"/>
      <c r="U1193" s="105"/>
      <c r="V1193" s="105"/>
      <c r="W1193" s="105"/>
      <c r="X1193" s="105"/>
      <c r="Y1193" s="105"/>
      <c r="Z1193" s="105"/>
    </row>
    <row r="1194" spans="1:26">
      <c r="A1194" s="98"/>
      <c r="B1194" s="106"/>
      <c r="C1194" s="98"/>
      <c r="D1194" s="98"/>
      <c r="E1194" s="98"/>
      <c r="F1194" s="98"/>
      <c r="G1194" s="98"/>
      <c r="H1194" s="98"/>
      <c r="I1194" s="98"/>
      <c r="J1194" s="107"/>
      <c r="K1194" s="108"/>
      <c r="L1194" s="109"/>
      <c r="M1194" s="105"/>
      <c r="N1194" s="105"/>
      <c r="O1194" s="105"/>
      <c r="P1194" s="105"/>
      <c r="Q1194" s="105"/>
      <c r="R1194" s="105"/>
      <c r="S1194" s="105"/>
      <c r="T1194" s="105"/>
      <c r="U1194" s="105"/>
      <c r="V1194" s="105"/>
      <c r="W1194" s="105"/>
      <c r="X1194" s="105"/>
      <c r="Y1194" s="105"/>
      <c r="Z1194" s="105"/>
    </row>
    <row r="1195" spans="1:26">
      <c r="A1195" s="98"/>
      <c r="B1195" s="106"/>
      <c r="C1195" s="98"/>
      <c r="D1195" s="98"/>
      <c r="E1195" s="98"/>
      <c r="F1195" s="98"/>
      <c r="G1195" s="98"/>
      <c r="H1195" s="98"/>
      <c r="I1195" s="98"/>
      <c r="J1195" s="107"/>
      <c r="K1195" s="108"/>
      <c r="L1195" s="109"/>
      <c r="M1195" s="105"/>
      <c r="N1195" s="105"/>
      <c r="O1195" s="105"/>
      <c r="P1195" s="105"/>
      <c r="Q1195" s="105"/>
      <c r="R1195" s="105"/>
      <c r="S1195" s="105"/>
      <c r="T1195" s="105"/>
      <c r="U1195" s="105"/>
      <c r="V1195" s="105"/>
      <c r="W1195" s="105"/>
      <c r="X1195" s="105"/>
      <c r="Y1195" s="105"/>
      <c r="Z1195" s="105"/>
    </row>
    <row r="1196" spans="1:26">
      <c r="A1196" s="98"/>
      <c r="B1196" s="106"/>
      <c r="C1196" s="98"/>
      <c r="D1196" s="98"/>
      <c r="E1196" s="98"/>
      <c r="F1196" s="98"/>
      <c r="G1196" s="98"/>
      <c r="H1196" s="98"/>
      <c r="I1196" s="98"/>
      <c r="J1196" s="107"/>
      <c r="K1196" s="108"/>
      <c r="L1196" s="109"/>
      <c r="M1196" s="105"/>
      <c r="N1196" s="105"/>
      <c r="O1196" s="105"/>
      <c r="P1196" s="105"/>
      <c r="Q1196" s="105"/>
      <c r="R1196" s="105"/>
      <c r="S1196" s="105"/>
      <c r="T1196" s="105"/>
      <c r="U1196" s="105"/>
      <c r="V1196" s="105"/>
      <c r="W1196" s="105"/>
      <c r="X1196" s="105"/>
      <c r="Y1196" s="105"/>
      <c r="Z1196" s="105"/>
    </row>
    <row r="1197" spans="1:26">
      <c r="A1197" s="98"/>
      <c r="B1197" s="106"/>
      <c r="C1197" s="98"/>
      <c r="D1197" s="98"/>
      <c r="E1197" s="98"/>
      <c r="F1197" s="98"/>
      <c r="G1197" s="98"/>
      <c r="H1197" s="98"/>
      <c r="I1197" s="98"/>
      <c r="J1197" s="107"/>
      <c r="K1197" s="108"/>
      <c r="L1197" s="109"/>
      <c r="M1197" s="105"/>
      <c r="N1197" s="105"/>
      <c r="O1197" s="105"/>
      <c r="P1197" s="105"/>
      <c r="Q1197" s="105"/>
      <c r="R1197" s="105"/>
      <c r="S1197" s="105"/>
      <c r="T1197" s="105"/>
      <c r="U1197" s="105"/>
      <c r="V1197" s="105"/>
      <c r="W1197" s="105"/>
      <c r="X1197" s="105"/>
      <c r="Y1197" s="105"/>
      <c r="Z1197" s="105"/>
    </row>
    <row r="1198" spans="1:26">
      <c r="A1198" s="98"/>
      <c r="B1198" s="106"/>
      <c r="C1198" s="98"/>
      <c r="D1198" s="98"/>
      <c r="E1198" s="98"/>
      <c r="F1198" s="98"/>
      <c r="G1198" s="98"/>
      <c r="H1198" s="98"/>
      <c r="I1198" s="98"/>
      <c r="J1198" s="107"/>
      <c r="K1198" s="108"/>
      <c r="L1198" s="109"/>
      <c r="M1198" s="105"/>
      <c r="N1198" s="105"/>
      <c r="O1198" s="105"/>
      <c r="P1198" s="105"/>
      <c r="Q1198" s="105"/>
      <c r="R1198" s="105"/>
      <c r="S1198" s="105"/>
      <c r="T1198" s="105"/>
      <c r="U1198" s="105"/>
      <c r="V1198" s="105"/>
      <c r="W1198" s="105"/>
      <c r="X1198" s="105"/>
      <c r="Y1198" s="105"/>
      <c r="Z1198" s="105"/>
    </row>
    <row r="1199" spans="1:26">
      <c r="A1199" s="98"/>
      <c r="B1199" s="106"/>
      <c r="C1199" s="98"/>
      <c r="D1199" s="98"/>
      <c r="E1199" s="98"/>
      <c r="F1199" s="98"/>
      <c r="G1199" s="98"/>
      <c r="H1199" s="98"/>
      <c r="I1199" s="98"/>
      <c r="J1199" s="107"/>
      <c r="K1199" s="108"/>
      <c r="L1199" s="109"/>
      <c r="M1199" s="105"/>
      <c r="N1199" s="105"/>
      <c r="O1199" s="105"/>
      <c r="P1199" s="105"/>
      <c r="Q1199" s="105"/>
      <c r="R1199" s="105"/>
      <c r="S1199" s="105"/>
      <c r="T1199" s="105"/>
      <c r="U1199" s="105"/>
      <c r="V1199" s="105"/>
      <c r="W1199" s="105"/>
      <c r="X1199" s="105"/>
      <c r="Y1199" s="105"/>
      <c r="Z1199" s="105"/>
    </row>
    <row r="1200" spans="1:26">
      <c r="A1200" s="98"/>
      <c r="B1200" s="106"/>
      <c r="C1200" s="98"/>
      <c r="D1200" s="98"/>
      <c r="E1200" s="98"/>
      <c r="F1200" s="98"/>
      <c r="G1200" s="98"/>
      <c r="H1200" s="98"/>
      <c r="I1200" s="98"/>
      <c r="J1200" s="107"/>
      <c r="K1200" s="108"/>
      <c r="L1200" s="109"/>
      <c r="M1200" s="105"/>
      <c r="N1200" s="105"/>
      <c r="O1200" s="105"/>
      <c r="P1200" s="105"/>
      <c r="Q1200" s="105"/>
      <c r="R1200" s="105"/>
      <c r="S1200" s="105"/>
      <c r="T1200" s="105"/>
      <c r="U1200" s="105"/>
      <c r="V1200" s="105"/>
      <c r="W1200" s="105"/>
      <c r="X1200" s="105"/>
      <c r="Y1200" s="105"/>
      <c r="Z1200" s="105"/>
    </row>
    <row r="1201" spans="1:26">
      <c r="A1201" s="98"/>
      <c r="B1201" s="106"/>
      <c r="C1201" s="98"/>
      <c r="D1201" s="98"/>
      <c r="E1201" s="98"/>
      <c r="F1201" s="98"/>
      <c r="G1201" s="98"/>
      <c r="H1201" s="98"/>
      <c r="I1201" s="98"/>
      <c r="J1201" s="107"/>
      <c r="K1201" s="108"/>
      <c r="L1201" s="109"/>
      <c r="M1201" s="105"/>
      <c r="N1201" s="105"/>
      <c r="O1201" s="105"/>
      <c r="P1201" s="105"/>
      <c r="Q1201" s="105"/>
      <c r="R1201" s="105"/>
      <c r="S1201" s="105"/>
      <c r="T1201" s="105"/>
      <c r="U1201" s="105"/>
      <c r="V1201" s="105"/>
      <c r="W1201" s="105"/>
      <c r="X1201" s="105"/>
      <c r="Y1201" s="105"/>
      <c r="Z1201" s="105"/>
    </row>
    <row r="1202" spans="1:26">
      <c r="A1202" s="98"/>
      <c r="B1202" s="106"/>
      <c r="C1202" s="98"/>
      <c r="D1202" s="98"/>
      <c r="E1202" s="98"/>
      <c r="F1202" s="98"/>
      <c r="G1202" s="98"/>
      <c r="H1202" s="98"/>
      <c r="I1202" s="98"/>
      <c r="J1202" s="107"/>
      <c r="K1202" s="108"/>
      <c r="L1202" s="109"/>
      <c r="M1202" s="105"/>
      <c r="N1202" s="105"/>
      <c r="O1202" s="105"/>
      <c r="P1202" s="105"/>
      <c r="Q1202" s="105"/>
      <c r="R1202" s="105"/>
      <c r="S1202" s="105"/>
      <c r="T1202" s="105"/>
      <c r="U1202" s="105"/>
      <c r="V1202" s="105"/>
      <c r="W1202" s="105"/>
      <c r="X1202" s="105"/>
      <c r="Y1202" s="105"/>
      <c r="Z1202" s="105"/>
    </row>
    <row r="1203" spans="1:26">
      <c r="A1203" s="98"/>
      <c r="B1203" s="106"/>
      <c r="C1203" s="98"/>
      <c r="D1203" s="98"/>
      <c r="E1203" s="98"/>
      <c r="F1203" s="98"/>
      <c r="G1203" s="98"/>
      <c r="H1203" s="98"/>
      <c r="I1203" s="98"/>
      <c r="J1203" s="107"/>
      <c r="K1203" s="108"/>
      <c r="L1203" s="109"/>
      <c r="M1203" s="105"/>
      <c r="N1203" s="105"/>
      <c r="O1203" s="105"/>
      <c r="P1203" s="105"/>
      <c r="Q1203" s="105"/>
      <c r="R1203" s="105"/>
      <c r="S1203" s="105"/>
      <c r="T1203" s="105"/>
      <c r="U1203" s="105"/>
      <c r="V1203" s="105"/>
      <c r="W1203" s="105"/>
      <c r="X1203" s="105"/>
      <c r="Y1203" s="105"/>
      <c r="Z1203" s="105"/>
    </row>
    <row r="1204" spans="1:26">
      <c r="A1204" s="98"/>
      <c r="B1204" s="106"/>
      <c r="C1204" s="98"/>
      <c r="D1204" s="98"/>
      <c r="E1204" s="98"/>
      <c r="F1204" s="98"/>
      <c r="G1204" s="98"/>
      <c r="H1204" s="98"/>
      <c r="I1204" s="98"/>
      <c r="J1204" s="107"/>
      <c r="K1204" s="108"/>
      <c r="L1204" s="109"/>
      <c r="M1204" s="105"/>
      <c r="N1204" s="105"/>
      <c r="O1204" s="105"/>
      <c r="P1204" s="105"/>
      <c r="Q1204" s="105"/>
      <c r="R1204" s="105"/>
      <c r="S1204" s="105"/>
      <c r="T1204" s="105"/>
      <c r="U1204" s="105"/>
      <c r="V1204" s="105"/>
      <c r="W1204" s="105"/>
      <c r="X1204" s="105"/>
      <c r="Y1204" s="105"/>
      <c r="Z1204" s="105"/>
    </row>
    <row r="1205" spans="1:26">
      <c r="A1205" s="98"/>
      <c r="B1205" s="106"/>
      <c r="C1205" s="98"/>
      <c r="D1205" s="98"/>
      <c r="E1205" s="98"/>
      <c r="F1205" s="98"/>
      <c r="G1205" s="98"/>
      <c r="H1205" s="98"/>
      <c r="I1205" s="98"/>
      <c r="J1205" s="107"/>
      <c r="K1205" s="108"/>
      <c r="L1205" s="109"/>
      <c r="M1205" s="105"/>
      <c r="N1205" s="105"/>
      <c r="O1205" s="105"/>
      <c r="P1205" s="105"/>
      <c r="Q1205" s="105"/>
      <c r="R1205" s="105"/>
      <c r="S1205" s="105"/>
      <c r="T1205" s="105"/>
      <c r="U1205" s="105"/>
      <c r="V1205" s="105"/>
      <c r="W1205" s="105"/>
      <c r="X1205" s="105"/>
      <c r="Y1205" s="105"/>
      <c r="Z1205" s="105"/>
    </row>
    <row r="1206" spans="1:26">
      <c r="A1206" s="98"/>
      <c r="B1206" s="106"/>
      <c r="C1206" s="98"/>
      <c r="D1206" s="98"/>
      <c r="E1206" s="98"/>
      <c r="F1206" s="98"/>
      <c r="G1206" s="98"/>
      <c r="H1206" s="98"/>
      <c r="I1206" s="98"/>
      <c r="J1206" s="107"/>
      <c r="K1206" s="108"/>
      <c r="L1206" s="109"/>
      <c r="M1206" s="105"/>
      <c r="N1206" s="105"/>
      <c r="O1206" s="105"/>
      <c r="P1206" s="105"/>
      <c r="Q1206" s="105"/>
      <c r="R1206" s="105"/>
      <c r="S1206" s="105"/>
      <c r="T1206" s="105"/>
      <c r="U1206" s="105"/>
      <c r="V1206" s="105"/>
      <c r="W1206" s="105"/>
      <c r="X1206" s="105"/>
      <c r="Y1206" s="105"/>
      <c r="Z1206" s="105"/>
    </row>
    <row r="1207" spans="1:26">
      <c r="A1207" s="98"/>
      <c r="B1207" s="106"/>
      <c r="C1207" s="98"/>
      <c r="D1207" s="98"/>
      <c r="E1207" s="98"/>
      <c r="F1207" s="98"/>
      <c r="G1207" s="98"/>
      <c r="H1207" s="98"/>
      <c r="I1207" s="98"/>
      <c r="J1207" s="107"/>
      <c r="K1207" s="108"/>
      <c r="L1207" s="109"/>
      <c r="M1207" s="105"/>
      <c r="N1207" s="105"/>
      <c r="O1207" s="105"/>
      <c r="P1207" s="105"/>
      <c r="Q1207" s="105"/>
      <c r="R1207" s="105"/>
      <c r="S1207" s="105"/>
      <c r="T1207" s="105"/>
      <c r="U1207" s="105"/>
      <c r="V1207" s="105"/>
      <c r="W1207" s="105"/>
      <c r="X1207" s="105"/>
      <c r="Y1207" s="105"/>
      <c r="Z1207" s="105"/>
    </row>
    <row r="1208" spans="1:26">
      <c r="A1208" s="98"/>
      <c r="B1208" s="106"/>
      <c r="C1208" s="98"/>
      <c r="D1208" s="98"/>
      <c r="E1208" s="98"/>
      <c r="F1208" s="98"/>
      <c r="G1208" s="98"/>
      <c r="H1208" s="98"/>
      <c r="I1208" s="98"/>
      <c r="J1208" s="107"/>
      <c r="K1208" s="108"/>
      <c r="L1208" s="109"/>
      <c r="M1208" s="105"/>
      <c r="N1208" s="105"/>
      <c r="O1208" s="105"/>
      <c r="P1208" s="105"/>
      <c r="Q1208" s="105"/>
      <c r="R1208" s="105"/>
      <c r="S1208" s="105"/>
      <c r="T1208" s="105"/>
      <c r="U1208" s="105"/>
      <c r="V1208" s="105"/>
      <c r="W1208" s="105"/>
      <c r="X1208" s="105"/>
      <c r="Y1208" s="105"/>
      <c r="Z1208" s="105"/>
    </row>
    <row r="1209" spans="1:26">
      <c r="A1209" s="98"/>
      <c r="B1209" s="106"/>
      <c r="C1209" s="98"/>
      <c r="D1209" s="98"/>
      <c r="E1209" s="98"/>
      <c r="F1209" s="98"/>
      <c r="G1209" s="98"/>
      <c r="H1209" s="98"/>
      <c r="I1209" s="98"/>
      <c r="J1209" s="107"/>
      <c r="K1209" s="108"/>
      <c r="L1209" s="109"/>
      <c r="M1209" s="105"/>
      <c r="N1209" s="105"/>
      <c r="O1209" s="105"/>
      <c r="P1209" s="105"/>
      <c r="Q1209" s="105"/>
      <c r="R1209" s="105"/>
      <c r="S1209" s="105"/>
      <c r="T1209" s="105"/>
      <c r="U1209" s="105"/>
      <c r="V1209" s="105"/>
      <c r="W1209" s="105"/>
      <c r="X1209" s="105"/>
      <c r="Y1209" s="105"/>
      <c r="Z1209" s="105"/>
    </row>
    <row r="1210" spans="1:26">
      <c r="A1210" s="98"/>
      <c r="B1210" s="106"/>
      <c r="C1210" s="98"/>
      <c r="D1210" s="98"/>
      <c r="E1210" s="98"/>
      <c r="F1210" s="98"/>
      <c r="G1210" s="98"/>
      <c r="H1210" s="98"/>
      <c r="I1210" s="98"/>
      <c r="J1210" s="107"/>
      <c r="K1210" s="108"/>
      <c r="L1210" s="109"/>
      <c r="M1210" s="105"/>
      <c r="N1210" s="105"/>
      <c r="O1210" s="105"/>
      <c r="P1210" s="105"/>
      <c r="Q1210" s="105"/>
      <c r="R1210" s="105"/>
      <c r="S1210" s="105"/>
      <c r="T1210" s="105"/>
      <c r="U1210" s="105"/>
      <c r="V1210" s="105"/>
      <c r="W1210" s="105"/>
      <c r="X1210" s="105"/>
      <c r="Y1210" s="105"/>
      <c r="Z1210" s="105"/>
    </row>
    <row r="1211" spans="1:26">
      <c r="A1211" s="98"/>
      <c r="B1211" s="106"/>
      <c r="C1211" s="98"/>
      <c r="D1211" s="98"/>
      <c r="E1211" s="98"/>
      <c r="F1211" s="98"/>
      <c r="G1211" s="98"/>
      <c r="H1211" s="98"/>
      <c r="I1211" s="98"/>
      <c r="J1211" s="107"/>
      <c r="K1211" s="108"/>
      <c r="L1211" s="109"/>
      <c r="M1211" s="105"/>
      <c r="N1211" s="105"/>
      <c r="O1211" s="105"/>
      <c r="P1211" s="105"/>
      <c r="Q1211" s="105"/>
      <c r="R1211" s="105"/>
      <c r="S1211" s="105"/>
      <c r="T1211" s="105"/>
      <c r="U1211" s="105"/>
      <c r="V1211" s="105"/>
      <c r="W1211" s="105"/>
      <c r="X1211" s="105"/>
      <c r="Y1211" s="105"/>
      <c r="Z1211" s="105"/>
    </row>
    <row r="1212" spans="1:26">
      <c r="A1212" s="98"/>
      <c r="B1212" s="106"/>
      <c r="C1212" s="98"/>
      <c r="D1212" s="98"/>
      <c r="E1212" s="98"/>
      <c r="F1212" s="98"/>
      <c r="G1212" s="98"/>
      <c r="H1212" s="98"/>
      <c r="I1212" s="98"/>
      <c r="J1212" s="107"/>
      <c r="K1212" s="108"/>
      <c r="L1212" s="109"/>
      <c r="M1212" s="105"/>
      <c r="N1212" s="105"/>
      <c r="O1212" s="105"/>
      <c r="P1212" s="105"/>
      <c r="Q1212" s="105"/>
      <c r="R1212" s="105"/>
      <c r="S1212" s="105"/>
      <c r="T1212" s="105"/>
      <c r="U1212" s="105"/>
      <c r="V1212" s="105"/>
      <c r="W1212" s="105"/>
      <c r="X1212" s="105"/>
      <c r="Y1212" s="105"/>
      <c r="Z1212" s="105"/>
    </row>
    <row r="1213" spans="1:26">
      <c r="A1213" s="98"/>
      <c r="B1213" s="106"/>
      <c r="C1213" s="98"/>
      <c r="D1213" s="98"/>
      <c r="E1213" s="98"/>
      <c r="F1213" s="98"/>
      <c r="G1213" s="98"/>
      <c r="H1213" s="98"/>
      <c r="I1213" s="98"/>
      <c r="J1213" s="107"/>
      <c r="K1213" s="108"/>
      <c r="L1213" s="109"/>
      <c r="M1213" s="105"/>
      <c r="N1213" s="105"/>
      <c r="O1213" s="105"/>
      <c r="P1213" s="105"/>
      <c r="Q1213" s="105"/>
      <c r="R1213" s="105"/>
      <c r="S1213" s="105"/>
      <c r="T1213" s="105"/>
      <c r="U1213" s="105"/>
      <c r="V1213" s="105"/>
      <c r="W1213" s="105"/>
      <c r="X1213" s="105"/>
      <c r="Y1213" s="105"/>
      <c r="Z1213" s="105"/>
    </row>
    <row r="1214" spans="1:26">
      <c r="A1214" s="98"/>
      <c r="B1214" s="106"/>
      <c r="C1214" s="98"/>
      <c r="D1214" s="98"/>
      <c r="E1214" s="98"/>
      <c r="F1214" s="98"/>
      <c r="G1214" s="98"/>
      <c r="H1214" s="98"/>
      <c r="I1214" s="98"/>
      <c r="J1214" s="107"/>
      <c r="K1214" s="108"/>
      <c r="L1214" s="109"/>
      <c r="M1214" s="105"/>
      <c r="N1214" s="105"/>
      <c r="O1214" s="105"/>
      <c r="P1214" s="105"/>
      <c r="Q1214" s="105"/>
      <c r="R1214" s="105"/>
      <c r="S1214" s="105"/>
      <c r="T1214" s="105"/>
      <c r="U1214" s="105"/>
      <c r="V1214" s="105"/>
      <c r="W1214" s="105"/>
      <c r="X1214" s="105"/>
      <c r="Y1214" s="105"/>
      <c r="Z1214" s="105"/>
    </row>
    <row r="1215" spans="1:26">
      <c r="A1215" s="98"/>
      <c r="B1215" s="106"/>
      <c r="C1215" s="98"/>
      <c r="D1215" s="98"/>
      <c r="E1215" s="98"/>
      <c r="F1215" s="98"/>
      <c r="G1215" s="98"/>
      <c r="H1215" s="98"/>
      <c r="I1215" s="98"/>
      <c r="J1215" s="107"/>
      <c r="K1215" s="108"/>
      <c r="L1215" s="109"/>
      <c r="M1215" s="105"/>
      <c r="N1215" s="105"/>
      <c r="O1215" s="105"/>
      <c r="P1215" s="105"/>
      <c r="Q1215" s="105"/>
      <c r="R1215" s="105"/>
      <c r="S1215" s="105"/>
      <c r="T1215" s="105"/>
      <c r="U1215" s="105"/>
      <c r="V1215" s="105"/>
      <c r="W1215" s="105"/>
      <c r="X1215" s="105"/>
      <c r="Y1215" s="105"/>
      <c r="Z1215" s="105"/>
    </row>
    <row r="1216" spans="1:26">
      <c r="A1216" s="98"/>
      <c r="B1216" s="106"/>
      <c r="C1216" s="98"/>
      <c r="D1216" s="98"/>
      <c r="E1216" s="98"/>
      <c r="F1216" s="98"/>
      <c r="G1216" s="98"/>
      <c r="H1216" s="98"/>
      <c r="I1216" s="98"/>
      <c r="J1216" s="107"/>
      <c r="K1216" s="108"/>
      <c r="L1216" s="109"/>
      <c r="M1216" s="105"/>
      <c r="N1216" s="105"/>
      <c r="O1216" s="105"/>
      <c r="P1216" s="105"/>
      <c r="Q1216" s="105"/>
      <c r="R1216" s="105"/>
      <c r="S1216" s="105"/>
      <c r="T1216" s="105"/>
      <c r="U1216" s="105"/>
      <c r="V1216" s="105"/>
      <c r="W1216" s="105"/>
      <c r="X1216" s="105"/>
      <c r="Y1216" s="105"/>
      <c r="Z1216" s="105"/>
    </row>
    <row r="1217" spans="1:26">
      <c r="A1217" s="98"/>
      <c r="B1217" s="106"/>
      <c r="C1217" s="98"/>
      <c r="D1217" s="98"/>
      <c r="E1217" s="98"/>
      <c r="F1217" s="98"/>
      <c r="G1217" s="98"/>
      <c r="H1217" s="98"/>
      <c r="I1217" s="98"/>
      <c r="J1217" s="107"/>
      <c r="K1217" s="108"/>
      <c r="L1217" s="109"/>
      <c r="M1217" s="105"/>
      <c r="N1217" s="105"/>
      <c r="O1217" s="105"/>
      <c r="P1217" s="105"/>
      <c r="Q1217" s="105"/>
      <c r="R1217" s="105"/>
      <c r="S1217" s="105"/>
      <c r="T1217" s="105"/>
      <c r="U1217" s="105"/>
      <c r="V1217" s="105"/>
      <c r="W1217" s="105"/>
      <c r="X1217" s="105"/>
      <c r="Y1217" s="105"/>
      <c r="Z1217" s="105"/>
    </row>
    <row r="1218" spans="1:26">
      <c r="A1218" s="98"/>
      <c r="B1218" s="106"/>
      <c r="C1218" s="98"/>
      <c r="D1218" s="98"/>
      <c r="E1218" s="98"/>
      <c r="F1218" s="98"/>
      <c r="G1218" s="98"/>
      <c r="H1218" s="98"/>
      <c r="I1218" s="98"/>
      <c r="J1218" s="107"/>
      <c r="K1218" s="108"/>
      <c r="L1218" s="109"/>
      <c r="M1218" s="105"/>
      <c r="N1218" s="105"/>
      <c r="O1218" s="105"/>
      <c r="P1218" s="105"/>
      <c r="Q1218" s="105"/>
      <c r="R1218" s="105"/>
      <c r="S1218" s="105"/>
      <c r="T1218" s="105"/>
      <c r="U1218" s="105"/>
      <c r="V1218" s="105"/>
      <c r="W1218" s="105"/>
      <c r="X1218" s="105"/>
      <c r="Y1218" s="105"/>
      <c r="Z1218" s="105"/>
    </row>
    <row r="1219" spans="1:26">
      <c r="A1219" s="98"/>
      <c r="B1219" s="106"/>
      <c r="C1219" s="98"/>
      <c r="D1219" s="98"/>
      <c r="E1219" s="98"/>
      <c r="F1219" s="98"/>
      <c r="G1219" s="98"/>
      <c r="H1219" s="98"/>
      <c r="I1219" s="98"/>
      <c r="J1219" s="107"/>
      <c r="K1219" s="108"/>
      <c r="L1219" s="109"/>
      <c r="M1219" s="105"/>
      <c r="N1219" s="105"/>
      <c r="O1219" s="105"/>
      <c r="P1219" s="105"/>
      <c r="Q1219" s="105"/>
      <c r="R1219" s="105"/>
      <c r="S1219" s="105"/>
      <c r="T1219" s="105"/>
      <c r="U1219" s="105"/>
      <c r="V1219" s="105"/>
      <c r="W1219" s="105"/>
      <c r="X1219" s="105"/>
      <c r="Y1219" s="105"/>
      <c r="Z1219" s="105"/>
    </row>
    <row r="1220" spans="1:26">
      <c r="A1220" s="98"/>
      <c r="B1220" s="106"/>
      <c r="C1220" s="98"/>
      <c r="D1220" s="98"/>
      <c r="E1220" s="98"/>
      <c r="F1220" s="98"/>
      <c r="G1220" s="98"/>
      <c r="H1220" s="98"/>
      <c r="I1220" s="98"/>
      <c r="J1220" s="107"/>
      <c r="K1220" s="108"/>
      <c r="L1220" s="109"/>
      <c r="M1220" s="105"/>
      <c r="N1220" s="105"/>
      <c r="O1220" s="105"/>
      <c r="P1220" s="105"/>
      <c r="Q1220" s="105"/>
      <c r="R1220" s="105"/>
      <c r="S1220" s="105"/>
      <c r="T1220" s="105"/>
      <c r="U1220" s="105"/>
      <c r="V1220" s="105"/>
      <c r="W1220" s="105"/>
      <c r="X1220" s="105"/>
      <c r="Y1220" s="105"/>
      <c r="Z1220" s="105"/>
    </row>
    <row r="1221" spans="1:26">
      <c r="A1221" s="98"/>
      <c r="B1221" s="106"/>
      <c r="C1221" s="98"/>
      <c r="D1221" s="98"/>
      <c r="E1221" s="98"/>
      <c r="F1221" s="98"/>
      <c r="G1221" s="98"/>
      <c r="H1221" s="98"/>
      <c r="I1221" s="98"/>
      <c r="J1221" s="107"/>
      <c r="K1221" s="108"/>
      <c r="L1221" s="109"/>
      <c r="M1221" s="105"/>
      <c r="N1221" s="105"/>
      <c r="O1221" s="105"/>
      <c r="P1221" s="105"/>
      <c r="Q1221" s="105"/>
      <c r="R1221" s="105"/>
      <c r="S1221" s="105"/>
      <c r="T1221" s="105"/>
      <c r="U1221" s="105"/>
      <c r="V1221" s="105"/>
      <c r="W1221" s="105"/>
      <c r="X1221" s="105"/>
      <c r="Y1221" s="105"/>
      <c r="Z1221" s="105"/>
    </row>
    <row r="1222" spans="1:26">
      <c r="A1222" s="98"/>
      <c r="B1222" s="106"/>
      <c r="C1222" s="98"/>
      <c r="D1222" s="98"/>
      <c r="E1222" s="98"/>
      <c r="F1222" s="98"/>
      <c r="G1222" s="98"/>
      <c r="H1222" s="98"/>
      <c r="I1222" s="98"/>
      <c r="J1222" s="107"/>
      <c r="K1222" s="108"/>
      <c r="L1222" s="109"/>
      <c r="M1222" s="105"/>
      <c r="N1222" s="105"/>
      <c r="O1222" s="105"/>
      <c r="P1222" s="105"/>
      <c r="Q1222" s="105"/>
      <c r="R1222" s="105"/>
      <c r="S1222" s="105"/>
      <c r="T1222" s="105"/>
      <c r="U1222" s="105"/>
      <c r="V1222" s="105"/>
      <c r="W1222" s="105"/>
      <c r="X1222" s="105"/>
      <c r="Y1222" s="105"/>
      <c r="Z1222" s="105"/>
    </row>
    <row r="1223" spans="1:26">
      <c r="A1223" s="98"/>
      <c r="B1223" s="106"/>
      <c r="C1223" s="98"/>
      <c r="D1223" s="98"/>
      <c r="E1223" s="98"/>
      <c r="F1223" s="98"/>
      <c r="G1223" s="98"/>
      <c r="H1223" s="98"/>
      <c r="I1223" s="98"/>
      <c r="J1223" s="107"/>
      <c r="K1223" s="108"/>
      <c r="L1223" s="109"/>
      <c r="M1223" s="105"/>
      <c r="N1223" s="105"/>
      <c r="O1223" s="105"/>
      <c r="P1223" s="105"/>
      <c r="Q1223" s="105"/>
      <c r="R1223" s="105"/>
      <c r="S1223" s="105"/>
      <c r="T1223" s="105"/>
      <c r="U1223" s="105"/>
      <c r="V1223" s="105"/>
      <c r="W1223" s="105"/>
      <c r="X1223" s="105"/>
      <c r="Y1223" s="105"/>
      <c r="Z1223" s="105"/>
    </row>
    <row r="1224" spans="1:26">
      <c r="A1224" s="98"/>
      <c r="B1224" s="106"/>
      <c r="C1224" s="98"/>
      <c r="D1224" s="98"/>
      <c r="E1224" s="98"/>
      <c r="F1224" s="98"/>
      <c r="G1224" s="98"/>
      <c r="H1224" s="98"/>
      <c r="I1224" s="98"/>
      <c r="J1224" s="107"/>
      <c r="K1224" s="108"/>
      <c r="L1224" s="109"/>
      <c r="M1224" s="105"/>
      <c r="N1224" s="105"/>
      <c r="O1224" s="105"/>
      <c r="P1224" s="105"/>
      <c r="Q1224" s="105"/>
      <c r="R1224" s="105"/>
      <c r="S1224" s="105"/>
      <c r="T1224" s="105"/>
      <c r="U1224" s="105"/>
      <c r="V1224" s="105"/>
      <c r="W1224" s="105"/>
      <c r="X1224" s="105"/>
      <c r="Y1224" s="105"/>
      <c r="Z1224" s="105"/>
    </row>
    <row r="1225" spans="1:26">
      <c r="A1225" s="98"/>
      <c r="B1225" s="106"/>
      <c r="C1225" s="98"/>
      <c r="D1225" s="98"/>
      <c r="E1225" s="98"/>
      <c r="F1225" s="98"/>
      <c r="G1225" s="98"/>
      <c r="H1225" s="98"/>
      <c r="I1225" s="98"/>
      <c r="J1225" s="107"/>
      <c r="K1225" s="108"/>
      <c r="L1225" s="109"/>
      <c r="M1225" s="105"/>
      <c r="N1225" s="105"/>
      <c r="O1225" s="105"/>
      <c r="P1225" s="105"/>
      <c r="Q1225" s="105"/>
      <c r="R1225" s="105"/>
      <c r="S1225" s="105"/>
      <c r="T1225" s="105"/>
      <c r="U1225" s="105"/>
      <c r="V1225" s="105"/>
      <c r="W1225" s="105"/>
      <c r="X1225" s="105"/>
      <c r="Y1225" s="105"/>
      <c r="Z1225" s="105"/>
    </row>
    <row r="1226" spans="1:26">
      <c r="A1226" s="98"/>
      <c r="B1226" s="106"/>
      <c r="C1226" s="98"/>
      <c r="D1226" s="98"/>
      <c r="E1226" s="98"/>
      <c r="F1226" s="98"/>
      <c r="G1226" s="98"/>
      <c r="H1226" s="98"/>
      <c r="I1226" s="98"/>
      <c r="J1226" s="107"/>
      <c r="K1226" s="108"/>
      <c r="L1226" s="109"/>
      <c r="M1226" s="105"/>
      <c r="N1226" s="105"/>
      <c r="O1226" s="105"/>
      <c r="P1226" s="105"/>
      <c r="Q1226" s="105"/>
      <c r="R1226" s="105"/>
      <c r="S1226" s="105"/>
      <c r="T1226" s="105"/>
      <c r="U1226" s="105"/>
      <c r="V1226" s="105"/>
      <c r="W1226" s="105"/>
      <c r="X1226" s="105"/>
      <c r="Y1226" s="105"/>
      <c r="Z1226" s="105"/>
    </row>
    <row r="1227" spans="1:26">
      <c r="A1227" s="98"/>
      <c r="B1227" s="106"/>
      <c r="C1227" s="98"/>
      <c r="D1227" s="98"/>
      <c r="E1227" s="98"/>
      <c r="F1227" s="98"/>
      <c r="G1227" s="98"/>
      <c r="H1227" s="98"/>
      <c r="I1227" s="98"/>
      <c r="J1227" s="107"/>
      <c r="K1227" s="108"/>
      <c r="L1227" s="109"/>
      <c r="M1227" s="105"/>
      <c r="N1227" s="105"/>
      <c r="O1227" s="105"/>
      <c r="P1227" s="105"/>
      <c r="Q1227" s="105"/>
      <c r="R1227" s="105"/>
      <c r="S1227" s="105"/>
      <c r="T1227" s="105"/>
      <c r="U1227" s="105"/>
      <c r="V1227" s="105"/>
      <c r="W1227" s="105"/>
      <c r="X1227" s="105"/>
      <c r="Y1227" s="105"/>
      <c r="Z1227" s="105"/>
    </row>
    <row r="1228" spans="1:26">
      <c r="A1228" s="98"/>
      <c r="B1228" s="106"/>
      <c r="C1228" s="98"/>
      <c r="D1228" s="98"/>
      <c r="E1228" s="98"/>
      <c r="F1228" s="98"/>
      <c r="G1228" s="98"/>
      <c r="H1228" s="98"/>
      <c r="I1228" s="98"/>
      <c r="J1228" s="107"/>
      <c r="K1228" s="108"/>
      <c r="L1228" s="109"/>
      <c r="M1228" s="105"/>
      <c r="N1228" s="105"/>
      <c r="O1228" s="105"/>
      <c r="P1228" s="105"/>
      <c r="Q1228" s="105"/>
      <c r="R1228" s="105"/>
      <c r="S1228" s="105"/>
      <c r="T1228" s="105"/>
      <c r="U1228" s="105"/>
      <c r="V1228" s="105"/>
      <c r="W1228" s="105"/>
      <c r="X1228" s="105"/>
      <c r="Y1228" s="105"/>
      <c r="Z1228" s="105"/>
    </row>
    <row r="1229" spans="1:26">
      <c r="A1229" s="98"/>
      <c r="B1229" s="106"/>
      <c r="C1229" s="98"/>
      <c r="D1229" s="98"/>
      <c r="E1229" s="98"/>
      <c r="F1229" s="98"/>
      <c r="G1229" s="98"/>
      <c r="H1229" s="98"/>
      <c r="I1229" s="98"/>
      <c r="J1229" s="107"/>
      <c r="K1229" s="108"/>
      <c r="L1229" s="109"/>
      <c r="M1229" s="105"/>
      <c r="N1229" s="105"/>
      <c r="O1229" s="105"/>
      <c r="P1229" s="105"/>
      <c r="Q1229" s="105"/>
      <c r="R1229" s="105"/>
      <c r="S1229" s="105"/>
      <c r="T1229" s="105"/>
      <c r="U1229" s="105"/>
      <c r="V1229" s="105"/>
      <c r="W1229" s="105"/>
      <c r="X1229" s="105"/>
      <c r="Y1229" s="105"/>
      <c r="Z1229" s="105"/>
    </row>
    <row r="1230" spans="1:26">
      <c r="A1230" s="98"/>
      <c r="B1230" s="106"/>
      <c r="C1230" s="98"/>
      <c r="D1230" s="98"/>
      <c r="E1230" s="98"/>
      <c r="F1230" s="98"/>
      <c r="G1230" s="98"/>
      <c r="H1230" s="98"/>
      <c r="I1230" s="98"/>
      <c r="J1230" s="107"/>
      <c r="K1230" s="108"/>
      <c r="L1230" s="109"/>
      <c r="M1230" s="105"/>
      <c r="N1230" s="105"/>
      <c r="O1230" s="105"/>
      <c r="P1230" s="105"/>
      <c r="Q1230" s="105"/>
      <c r="R1230" s="105"/>
      <c r="S1230" s="105"/>
      <c r="T1230" s="105"/>
      <c r="U1230" s="105"/>
      <c r="V1230" s="105"/>
      <c r="W1230" s="105"/>
      <c r="X1230" s="105"/>
      <c r="Y1230" s="105"/>
      <c r="Z1230" s="105"/>
    </row>
    <row r="1231" spans="1:26">
      <c r="A1231" s="98"/>
      <c r="B1231" s="106"/>
      <c r="C1231" s="98"/>
      <c r="D1231" s="98"/>
      <c r="E1231" s="98"/>
      <c r="F1231" s="98"/>
      <c r="G1231" s="98"/>
      <c r="H1231" s="98"/>
      <c r="I1231" s="98"/>
      <c r="J1231" s="107"/>
      <c r="K1231" s="108"/>
      <c r="L1231" s="109"/>
      <c r="M1231" s="105"/>
      <c r="N1231" s="105"/>
      <c r="O1231" s="105"/>
      <c r="P1231" s="105"/>
      <c r="Q1231" s="105"/>
      <c r="R1231" s="105"/>
      <c r="S1231" s="105"/>
      <c r="T1231" s="105"/>
      <c r="U1231" s="105"/>
      <c r="V1231" s="105"/>
      <c r="W1231" s="105"/>
      <c r="X1231" s="105"/>
      <c r="Y1231" s="105"/>
      <c r="Z1231" s="105"/>
    </row>
    <row r="1232" spans="1:26">
      <c r="A1232" s="98"/>
      <c r="B1232" s="106"/>
      <c r="C1232" s="98"/>
      <c r="D1232" s="98"/>
      <c r="E1232" s="98"/>
      <c r="F1232" s="98"/>
      <c r="G1232" s="98"/>
      <c r="H1232" s="98"/>
      <c r="I1232" s="98"/>
      <c r="J1232" s="107"/>
      <c r="K1232" s="108"/>
      <c r="L1232" s="109"/>
      <c r="M1232" s="105"/>
      <c r="N1232" s="105"/>
      <c r="O1232" s="105"/>
      <c r="P1232" s="105"/>
      <c r="Q1232" s="105"/>
      <c r="R1232" s="105"/>
      <c r="S1232" s="105"/>
      <c r="T1232" s="105"/>
      <c r="U1232" s="105"/>
      <c r="V1232" s="105"/>
      <c r="W1232" s="105"/>
      <c r="X1232" s="105"/>
      <c r="Y1232" s="105"/>
      <c r="Z1232" s="105"/>
    </row>
    <row r="1233" spans="1:26">
      <c r="A1233" s="98"/>
      <c r="B1233" s="106"/>
      <c r="C1233" s="98"/>
      <c r="D1233" s="98"/>
      <c r="E1233" s="98"/>
      <c r="F1233" s="98"/>
      <c r="G1233" s="98"/>
      <c r="H1233" s="98"/>
      <c r="I1233" s="98"/>
      <c r="J1233" s="107"/>
      <c r="K1233" s="108"/>
      <c r="L1233" s="109"/>
      <c r="M1233" s="105"/>
      <c r="N1233" s="105"/>
      <c r="O1233" s="105"/>
      <c r="P1233" s="105"/>
      <c r="Q1233" s="105"/>
      <c r="R1233" s="105"/>
      <c r="S1233" s="105"/>
      <c r="T1233" s="105"/>
      <c r="U1233" s="105"/>
      <c r="V1233" s="105"/>
      <c r="W1233" s="105"/>
      <c r="X1233" s="105"/>
      <c r="Y1233" s="105"/>
      <c r="Z1233" s="105"/>
    </row>
    <row r="1234" spans="1:26">
      <c r="A1234" s="98"/>
      <c r="B1234" s="106"/>
      <c r="C1234" s="98"/>
      <c r="D1234" s="98"/>
      <c r="E1234" s="98"/>
      <c r="F1234" s="98"/>
      <c r="G1234" s="98"/>
      <c r="H1234" s="98"/>
      <c r="I1234" s="98"/>
      <c r="J1234" s="107"/>
      <c r="K1234" s="108"/>
      <c r="L1234" s="109"/>
      <c r="M1234" s="105"/>
      <c r="N1234" s="105"/>
      <c r="O1234" s="105"/>
      <c r="P1234" s="105"/>
      <c r="Q1234" s="105"/>
      <c r="R1234" s="105"/>
      <c r="S1234" s="105"/>
      <c r="T1234" s="105"/>
      <c r="U1234" s="105"/>
      <c r="V1234" s="105"/>
      <c r="W1234" s="105"/>
      <c r="X1234" s="105"/>
      <c r="Y1234" s="105"/>
      <c r="Z1234" s="105"/>
    </row>
    <row r="1235" spans="1:26">
      <c r="A1235" s="98"/>
      <c r="B1235" s="106"/>
      <c r="C1235" s="98"/>
      <c r="D1235" s="98"/>
      <c r="E1235" s="98"/>
      <c r="F1235" s="98"/>
      <c r="G1235" s="98"/>
      <c r="H1235" s="98"/>
      <c r="I1235" s="98"/>
      <c r="J1235" s="107"/>
      <c r="K1235" s="108"/>
      <c r="L1235" s="109"/>
      <c r="M1235" s="105"/>
      <c r="N1235" s="105"/>
      <c r="O1235" s="105"/>
      <c r="P1235" s="105"/>
      <c r="Q1235" s="105"/>
      <c r="R1235" s="105"/>
      <c r="S1235" s="105"/>
      <c r="T1235" s="105"/>
      <c r="U1235" s="105"/>
      <c r="V1235" s="105"/>
      <c r="W1235" s="105"/>
      <c r="X1235" s="105"/>
      <c r="Y1235" s="105"/>
      <c r="Z1235" s="105"/>
    </row>
    <row r="1236" spans="1:26">
      <c r="A1236" s="98"/>
      <c r="B1236" s="106"/>
      <c r="C1236" s="98"/>
      <c r="D1236" s="98"/>
      <c r="E1236" s="98"/>
      <c r="F1236" s="98"/>
      <c r="G1236" s="98"/>
      <c r="H1236" s="98"/>
      <c r="I1236" s="98"/>
      <c r="J1236" s="107"/>
      <c r="K1236" s="108"/>
      <c r="L1236" s="109"/>
      <c r="M1236" s="105"/>
      <c r="N1236" s="105"/>
      <c r="O1236" s="105"/>
      <c r="P1236" s="105"/>
      <c r="Q1236" s="105"/>
      <c r="R1236" s="105"/>
      <c r="S1236" s="105"/>
      <c r="T1236" s="105"/>
      <c r="U1236" s="105"/>
      <c r="V1236" s="105"/>
      <c r="W1236" s="105"/>
      <c r="X1236" s="105"/>
      <c r="Y1236" s="105"/>
      <c r="Z1236" s="105"/>
    </row>
    <row r="1237" spans="1:26">
      <c r="A1237" s="98"/>
      <c r="B1237" s="106"/>
      <c r="C1237" s="98"/>
      <c r="D1237" s="98"/>
      <c r="E1237" s="98"/>
      <c r="F1237" s="98"/>
      <c r="G1237" s="98"/>
      <c r="H1237" s="98"/>
      <c r="I1237" s="98"/>
      <c r="J1237" s="107"/>
      <c r="K1237" s="108"/>
      <c r="L1237" s="109"/>
      <c r="M1237" s="105"/>
      <c r="N1237" s="105"/>
      <c r="O1237" s="105"/>
      <c r="P1237" s="105"/>
      <c r="Q1237" s="105"/>
      <c r="R1237" s="105"/>
      <c r="S1237" s="105"/>
      <c r="T1237" s="105"/>
      <c r="U1237" s="105"/>
      <c r="V1237" s="105"/>
      <c r="W1237" s="105"/>
      <c r="X1237" s="105"/>
      <c r="Y1237" s="105"/>
      <c r="Z1237" s="105"/>
    </row>
    <row r="1238" spans="1:26">
      <c r="A1238" s="98"/>
      <c r="B1238" s="106"/>
      <c r="C1238" s="98"/>
      <c r="D1238" s="98"/>
      <c r="E1238" s="98"/>
      <c r="F1238" s="98"/>
      <c r="G1238" s="98"/>
      <c r="H1238" s="98"/>
      <c r="I1238" s="98"/>
      <c r="J1238" s="107"/>
      <c r="K1238" s="108"/>
      <c r="L1238" s="109"/>
      <c r="M1238" s="105"/>
      <c r="N1238" s="105"/>
      <c r="O1238" s="105"/>
      <c r="P1238" s="105"/>
      <c r="Q1238" s="105"/>
      <c r="R1238" s="105"/>
      <c r="S1238" s="105"/>
      <c r="T1238" s="105"/>
      <c r="U1238" s="105"/>
      <c r="V1238" s="105"/>
      <c r="W1238" s="105"/>
      <c r="X1238" s="105"/>
      <c r="Y1238" s="105"/>
      <c r="Z1238" s="105"/>
    </row>
    <row r="1239" spans="1:26">
      <c r="A1239" s="98"/>
      <c r="B1239" s="106"/>
      <c r="C1239" s="98"/>
      <c r="D1239" s="98"/>
      <c r="E1239" s="98"/>
      <c r="F1239" s="98"/>
      <c r="G1239" s="98"/>
      <c r="H1239" s="98"/>
      <c r="I1239" s="98"/>
      <c r="J1239" s="107"/>
      <c r="K1239" s="108"/>
      <c r="L1239" s="109"/>
      <c r="M1239" s="105"/>
      <c r="N1239" s="105"/>
      <c r="O1239" s="105"/>
      <c r="P1239" s="105"/>
      <c r="Q1239" s="105"/>
      <c r="R1239" s="105"/>
      <c r="S1239" s="105"/>
      <c r="T1239" s="105"/>
      <c r="U1239" s="105"/>
      <c r="V1239" s="105"/>
      <c r="W1239" s="105"/>
      <c r="X1239" s="105"/>
      <c r="Y1239" s="105"/>
      <c r="Z1239" s="105"/>
    </row>
    <row r="1240" spans="1:26">
      <c r="A1240" s="98"/>
      <c r="B1240" s="106"/>
      <c r="C1240" s="98"/>
      <c r="D1240" s="98"/>
      <c r="E1240" s="98"/>
      <c r="F1240" s="98"/>
      <c r="G1240" s="98"/>
      <c r="H1240" s="98"/>
      <c r="I1240" s="98"/>
      <c r="J1240" s="107"/>
      <c r="K1240" s="108"/>
      <c r="L1240" s="109"/>
      <c r="M1240" s="105"/>
      <c r="N1240" s="105"/>
      <c r="O1240" s="105"/>
      <c r="P1240" s="105"/>
      <c r="Q1240" s="105"/>
      <c r="R1240" s="105"/>
      <c r="S1240" s="105"/>
      <c r="T1240" s="105"/>
      <c r="U1240" s="105"/>
      <c r="V1240" s="105"/>
      <c r="W1240" s="105"/>
      <c r="X1240" s="105"/>
      <c r="Y1240" s="105"/>
      <c r="Z1240" s="105"/>
    </row>
    <row r="1241" spans="1:26">
      <c r="A1241" s="98"/>
      <c r="B1241" s="106"/>
      <c r="C1241" s="98"/>
      <c r="D1241" s="98"/>
      <c r="E1241" s="98"/>
      <c r="F1241" s="98"/>
      <c r="G1241" s="98"/>
      <c r="H1241" s="98"/>
      <c r="I1241" s="98"/>
      <c r="J1241" s="107"/>
      <c r="K1241" s="108"/>
      <c r="L1241" s="109"/>
      <c r="M1241" s="105"/>
      <c r="N1241" s="105"/>
      <c r="O1241" s="105"/>
      <c r="P1241" s="105"/>
      <c r="Q1241" s="105"/>
      <c r="R1241" s="105"/>
      <c r="S1241" s="105"/>
      <c r="T1241" s="105"/>
      <c r="U1241" s="105"/>
      <c r="V1241" s="105"/>
      <c r="W1241" s="105"/>
      <c r="X1241" s="105"/>
      <c r="Y1241" s="105"/>
      <c r="Z1241" s="105"/>
    </row>
    <row r="1242" spans="1:26">
      <c r="A1242" s="98"/>
      <c r="B1242" s="106"/>
      <c r="C1242" s="98"/>
      <c r="D1242" s="98"/>
      <c r="E1242" s="98"/>
      <c r="F1242" s="98"/>
      <c r="G1242" s="98"/>
      <c r="H1242" s="98"/>
      <c r="I1242" s="98"/>
      <c r="J1242" s="107"/>
      <c r="K1242" s="108"/>
      <c r="L1242" s="109"/>
      <c r="M1242" s="105"/>
      <c r="N1242" s="105"/>
      <c r="O1242" s="105"/>
      <c r="P1242" s="105"/>
      <c r="Q1242" s="105"/>
      <c r="R1242" s="105"/>
      <c r="S1242" s="105"/>
      <c r="T1242" s="105"/>
      <c r="U1242" s="105"/>
      <c r="V1242" s="105"/>
      <c r="W1242" s="105"/>
      <c r="X1242" s="105"/>
      <c r="Y1242" s="105"/>
      <c r="Z1242" s="105"/>
    </row>
    <row r="1243" spans="1:26">
      <c r="A1243" s="98"/>
      <c r="B1243" s="106"/>
      <c r="C1243" s="98"/>
      <c r="D1243" s="98"/>
      <c r="E1243" s="98"/>
      <c r="F1243" s="98"/>
      <c r="G1243" s="98"/>
      <c r="H1243" s="98"/>
      <c r="I1243" s="98"/>
      <c r="J1243" s="107"/>
      <c r="K1243" s="108"/>
      <c r="L1243" s="109"/>
      <c r="M1243" s="105"/>
      <c r="N1243" s="105"/>
      <c r="O1243" s="105"/>
      <c r="P1243" s="105"/>
      <c r="Q1243" s="105"/>
      <c r="R1243" s="105"/>
      <c r="S1243" s="105"/>
      <c r="T1243" s="105"/>
      <c r="U1243" s="105"/>
      <c r="V1243" s="105"/>
      <c r="W1243" s="105"/>
      <c r="X1243" s="105"/>
      <c r="Y1243" s="105"/>
      <c r="Z1243" s="105"/>
    </row>
    <row r="1244" spans="1:26">
      <c r="A1244" s="98"/>
      <c r="B1244" s="106"/>
      <c r="C1244" s="98"/>
      <c r="D1244" s="98"/>
      <c r="E1244" s="98"/>
      <c r="F1244" s="98"/>
      <c r="G1244" s="98"/>
      <c r="H1244" s="98"/>
      <c r="I1244" s="98"/>
      <c r="J1244" s="107"/>
      <c r="K1244" s="108"/>
      <c r="L1244" s="109"/>
      <c r="M1244" s="105"/>
      <c r="N1244" s="105"/>
      <c r="O1244" s="105"/>
      <c r="P1244" s="105"/>
      <c r="Q1244" s="105"/>
      <c r="R1244" s="105"/>
      <c r="S1244" s="105"/>
      <c r="T1244" s="105"/>
      <c r="U1244" s="105"/>
      <c r="V1244" s="105"/>
      <c r="W1244" s="105"/>
      <c r="X1244" s="105"/>
      <c r="Y1244" s="105"/>
      <c r="Z1244" s="105"/>
    </row>
    <row r="1245" spans="1:26">
      <c r="A1245" s="98"/>
      <c r="B1245" s="106"/>
      <c r="C1245" s="98"/>
      <c r="D1245" s="98"/>
      <c r="E1245" s="98"/>
      <c r="F1245" s="98"/>
      <c r="G1245" s="98"/>
      <c r="H1245" s="98"/>
      <c r="I1245" s="98"/>
      <c r="J1245" s="107"/>
      <c r="K1245" s="108"/>
      <c r="L1245" s="109"/>
      <c r="M1245" s="105"/>
      <c r="N1245" s="105"/>
      <c r="O1245" s="105"/>
      <c r="P1245" s="105"/>
      <c r="Q1245" s="105"/>
      <c r="R1245" s="105"/>
      <c r="S1245" s="105"/>
      <c r="T1245" s="105"/>
      <c r="U1245" s="105"/>
      <c r="V1245" s="105"/>
      <c r="W1245" s="105"/>
      <c r="X1245" s="105"/>
      <c r="Y1245" s="105"/>
      <c r="Z1245" s="105"/>
    </row>
    <row r="1246" spans="1:26">
      <c r="A1246" s="98"/>
      <c r="B1246" s="106"/>
      <c r="C1246" s="98"/>
      <c r="D1246" s="98"/>
      <c r="E1246" s="98"/>
      <c r="F1246" s="98"/>
      <c r="G1246" s="98"/>
      <c r="H1246" s="98"/>
      <c r="I1246" s="98"/>
      <c r="J1246" s="107"/>
      <c r="K1246" s="108"/>
      <c r="L1246" s="109"/>
      <c r="M1246" s="105"/>
      <c r="N1246" s="105"/>
      <c r="O1246" s="105"/>
      <c r="P1246" s="105"/>
      <c r="Q1246" s="105"/>
      <c r="R1246" s="105"/>
      <c r="S1246" s="105"/>
      <c r="T1246" s="105"/>
      <c r="U1246" s="105"/>
      <c r="V1246" s="105"/>
      <c r="W1246" s="105"/>
      <c r="X1246" s="105"/>
      <c r="Y1246" s="105"/>
      <c r="Z1246" s="105"/>
    </row>
    <row r="1247" spans="1:26">
      <c r="A1247" s="98"/>
      <c r="B1247" s="106"/>
      <c r="C1247" s="98"/>
      <c r="D1247" s="98"/>
      <c r="E1247" s="98"/>
      <c r="F1247" s="98"/>
      <c r="G1247" s="98"/>
      <c r="H1247" s="98"/>
      <c r="I1247" s="98"/>
      <c r="J1247" s="107"/>
      <c r="K1247" s="108"/>
      <c r="L1247" s="109"/>
      <c r="M1247" s="105"/>
      <c r="N1247" s="105"/>
      <c r="O1247" s="105"/>
      <c r="P1247" s="105"/>
      <c r="Q1247" s="105"/>
      <c r="R1247" s="105"/>
      <c r="S1247" s="105"/>
      <c r="T1247" s="105"/>
      <c r="U1247" s="105"/>
      <c r="V1247" s="105"/>
      <c r="W1247" s="105"/>
      <c r="X1247" s="105"/>
      <c r="Y1247" s="105"/>
      <c r="Z1247" s="105"/>
    </row>
    <row r="1248" spans="1:26">
      <c r="A1248" s="98"/>
      <c r="B1248" s="106"/>
      <c r="C1248" s="98"/>
      <c r="D1248" s="98"/>
      <c r="E1248" s="98"/>
      <c r="F1248" s="98"/>
      <c r="G1248" s="98"/>
      <c r="H1248" s="98"/>
      <c r="I1248" s="98"/>
      <c r="J1248" s="107"/>
      <c r="K1248" s="108"/>
      <c r="L1248" s="109"/>
      <c r="M1248" s="105"/>
      <c r="N1248" s="105"/>
      <c r="O1248" s="105"/>
      <c r="P1248" s="105"/>
      <c r="Q1248" s="105"/>
      <c r="R1248" s="105"/>
      <c r="S1248" s="105"/>
      <c r="T1248" s="105"/>
      <c r="U1248" s="105"/>
      <c r="V1248" s="105"/>
      <c r="W1248" s="105"/>
      <c r="X1248" s="105"/>
      <c r="Y1248" s="105"/>
      <c r="Z1248" s="105"/>
    </row>
    <row r="1249" spans="1:26">
      <c r="A1249" s="98"/>
      <c r="B1249" s="106"/>
      <c r="C1249" s="98"/>
      <c r="D1249" s="98"/>
      <c r="E1249" s="98"/>
      <c r="F1249" s="98"/>
      <c r="G1249" s="98"/>
      <c r="H1249" s="98"/>
      <c r="I1249" s="98"/>
      <c r="J1249" s="107"/>
      <c r="K1249" s="108"/>
      <c r="L1249" s="109"/>
      <c r="M1249" s="105"/>
      <c r="N1249" s="105"/>
      <c r="O1249" s="105"/>
      <c r="P1249" s="105"/>
      <c r="Q1249" s="105"/>
      <c r="R1249" s="105"/>
      <c r="S1249" s="105"/>
      <c r="T1249" s="105"/>
      <c r="U1249" s="105"/>
      <c r="V1249" s="105"/>
      <c r="W1249" s="105"/>
      <c r="X1249" s="105"/>
      <c r="Y1249" s="105"/>
      <c r="Z1249" s="105"/>
    </row>
    <row r="1250" spans="1:26">
      <c r="A1250" s="98"/>
      <c r="B1250" s="106"/>
      <c r="C1250" s="98"/>
      <c r="D1250" s="98"/>
      <c r="E1250" s="98"/>
      <c r="F1250" s="98"/>
      <c r="G1250" s="98"/>
      <c r="H1250" s="98"/>
      <c r="I1250" s="98"/>
      <c r="J1250" s="107"/>
      <c r="K1250" s="108"/>
      <c r="L1250" s="109"/>
      <c r="M1250" s="105"/>
      <c r="N1250" s="105"/>
      <c r="O1250" s="105"/>
      <c r="P1250" s="105"/>
      <c r="Q1250" s="105"/>
      <c r="R1250" s="105"/>
      <c r="S1250" s="105"/>
      <c r="T1250" s="105"/>
      <c r="U1250" s="105"/>
      <c r="V1250" s="105"/>
      <c r="W1250" s="105"/>
      <c r="X1250" s="105"/>
      <c r="Y1250" s="105"/>
      <c r="Z1250" s="105"/>
    </row>
    <row r="1251" spans="1:26">
      <c r="A1251" s="98"/>
      <c r="B1251" s="106"/>
      <c r="C1251" s="98"/>
      <c r="D1251" s="98"/>
      <c r="E1251" s="98"/>
      <c r="F1251" s="98"/>
      <c r="G1251" s="98"/>
      <c r="H1251" s="98"/>
      <c r="I1251" s="98"/>
      <c r="J1251" s="107"/>
      <c r="K1251" s="108"/>
      <c r="L1251" s="109"/>
      <c r="M1251" s="105"/>
      <c r="N1251" s="105"/>
      <c r="O1251" s="105"/>
      <c r="P1251" s="105"/>
      <c r="Q1251" s="105"/>
      <c r="R1251" s="105"/>
      <c r="S1251" s="105"/>
      <c r="T1251" s="105"/>
      <c r="U1251" s="105"/>
      <c r="V1251" s="105"/>
      <c r="W1251" s="105"/>
      <c r="X1251" s="105"/>
      <c r="Y1251" s="105"/>
      <c r="Z1251" s="105"/>
    </row>
    <row r="1252" spans="1:26">
      <c r="A1252" s="98"/>
      <c r="B1252" s="106"/>
      <c r="C1252" s="98"/>
      <c r="D1252" s="98"/>
      <c r="E1252" s="98"/>
      <c r="F1252" s="98"/>
      <c r="G1252" s="98"/>
      <c r="H1252" s="98"/>
      <c r="I1252" s="98"/>
      <c r="J1252" s="107"/>
      <c r="K1252" s="108"/>
      <c r="L1252" s="109"/>
      <c r="M1252" s="105"/>
      <c r="N1252" s="105"/>
      <c r="O1252" s="105"/>
      <c r="P1252" s="105"/>
      <c r="Q1252" s="105"/>
      <c r="R1252" s="105"/>
      <c r="S1252" s="105"/>
      <c r="T1252" s="105"/>
      <c r="U1252" s="105"/>
      <c r="V1252" s="105"/>
      <c r="W1252" s="105"/>
      <c r="X1252" s="105"/>
      <c r="Y1252" s="105"/>
      <c r="Z1252" s="105"/>
    </row>
    <row r="1253" spans="1:26">
      <c r="A1253" s="98"/>
      <c r="B1253" s="106"/>
      <c r="C1253" s="98"/>
      <c r="D1253" s="98"/>
      <c r="E1253" s="98"/>
      <c r="F1253" s="98"/>
      <c r="G1253" s="98"/>
      <c r="H1253" s="98"/>
      <c r="I1253" s="98"/>
      <c r="J1253" s="107"/>
      <c r="K1253" s="108"/>
      <c r="L1253" s="109"/>
      <c r="M1253" s="105"/>
      <c r="N1253" s="105"/>
      <c r="O1253" s="105"/>
      <c r="P1253" s="105"/>
      <c r="Q1253" s="105"/>
      <c r="R1253" s="105"/>
      <c r="S1253" s="105"/>
      <c r="T1253" s="105"/>
      <c r="U1253" s="105"/>
      <c r="V1253" s="105"/>
      <c r="W1253" s="105"/>
      <c r="X1253" s="105"/>
      <c r="Y1253" s="105"/>
      <c r="Z1253" s="105"/>
    </row>
    <row r="1254" spans="1:26">
      <c r="A1254" s="98"/>
      <c r="B1254" s="106"/>
      <c r="C1254" s="98"/>
      <c r="D1254" s="98"/>
      <c r="E1254" s="98"/>
      <c r="F1254" s="98"/>
      <c r="G1254" s="98"/>
      <c r="H1254" s="98"/>
      <c r="I1254" s="98"/>
      <c r="J1254" s="107"/>
      <c r="K1254" s="108"/>
      <c r="L1254" s="109"/>
      <c r="M1254" s="105"/>
      <c r="N1254" s="105"/>
      <c r="O1254" s="105"/>
      <c r="P1254" s="105"/>
      <c r="Q1254" s="105"/>
      <c r="R1254" s="105"/>
      <c r="S1254" s="105"/>
      <c r="T1254" s="105"/>
      <c r="U1254" s="105"/>
      <c r="V1254" s="105"/>
      <c r="W1254" s="105"/>
      <c r="X1254" s="105"/>
      <c r="Y1254" s="105"/>
      <c r="Z1254" s="105"/>
    </row>
    <row r="1255" spans="1:26">
      <c r="A1255" s="98"/>
      <c r="B1255" s="106"/>
      <c r="C1255" s="98"/>
      <c r="D1255" s="98"/>
      <c r="E1255" s="98"/>
      <c r="F1255" s="98"/>
      <c r="G1255" s="98"/>
      <c r="H1255" s="98"/>
      <c r="I1255" s="98"/>
      <c r="J1255" s="107"/>
      <c r="K1255" s="108"/>
      <c r="L1255" s="109"/>
      <c r="M1255" s="105"/>
      <c r="N1255" s="105"/>
      <c r="O1255" s="105"/>
      <c r="P1255" s="105"/>
      <c r="Q1255" s="105"/>
      <c r="R1255" s="105"/>
      <c r="S1255" s="105"/>
      <c r="T1255" s="105"/>
      <c r="U1255" s="105"/>
      <c r="V1255" s="105"/>
      <c r="W1255" s="105"/>
      <c r="X1255" s="105"/>
      <c r="Y1255" s="105"/>
      <c r="Z1255" s="105"/>
    </row>
    <row r="1256" spans="1:26">
      <c r="A1256" s="98"/>
      <c r="B1256" s="106"/>
      <c r="C1256" s="98"/>
      <c r="D1256" s="98"/>
      <c r="E1256" s="98"/>
      <c r="F1256" s="98"/>
      <c r="G1256" s="98"/>
      <c r="H1256" s="98"/>
      <c r="I1256" s="98"/>
      <c r="J1256" s="107"/>
      <c r="K1256" s="108"/>
      <c r="L1256" s="109"/>
      <c r="M1256" s="105"/>
      <c r="N1256" s="105"/>
      <c r="O1256" s="105"/>
      <c r="P1256" s="105"/>
      <c r="Q1256" s="105"/>
      <c r="R1256" s="105"/>
      <c r="S1256" s="105"/>
      <c r="T1256" s="105"/>
      <c r="U1256" s="105"/>
      <c r="V1256" s="105"/>
      <c r="W1256" s="105"/>
      <c r="X1256" s="105"/>
      <c r="Y1256" s="105"/>
      <c r="Z1256" s="105"/>
    </row>
    <row r="1257" spans="1:26">
      <c r="A1257" s="98"/>
      <c r="B1257" s="106"/>
      <c r="C1257" s="98"/>
      <c r="D1257" s="98"/>
      <c r="E1257" s="98"/>
      <c r="F1257" s="98"/>
      <c r="G1257" s="98"/>
      <c r="H1257" s="98"/>
      <c r="I1257" s="98"/>
      <c r="J1257" s="107"/>
      <c r="K1257" s="108"/>
      <c r="L1257" s="109"/>
      <c r="M1257" s="105"/>
      <c r="N1257" s="105"/>
      <c r="O1257" s="105"/>
      <c r="P1257" s="105"/>
      <c r="Q1257" s="105"/>
      <c r="R1257" s="105"/>
      <c r="S1257" s="105"/>
      <c r="T1257" s="105"/>
      <c r="U1257" s="105"/>
      <c r="V1257" s="105"/>
      <c r="W1257" s="105"/>
      <c r="X1257" s="105"/>
      <c r="Y1257" s="105"/>
      <c r="Z1257" s="105"/>
    </row>
    <row r="1258" spans="1:26">
      <c r="A1258" s="98"/>
      <c r="B1258" s="106"/>
      <c r="C1258" s="98"/>
      <c r="D1258" s="98"/>
      <c r="E1258" s="98"/>
      <c r="F1258" s="98"/>
      <c r="G1258" s="98"/>
      <c r="H1258" s="98"/>
      <c r="I1258" s="98"/>
      <c r="J1258" s="107"/>
      <c r="K1258" s="108"/>
      <c r="L1258" s="109"/>
      <c r="M1258" s="105"/>
      <c r="N1258" s="105"/>
      <c r="O1258" s="105"/>
      <c r="P1258" s="105"/>
      <c r="Q1258" s="105"/>
      <c r="R1258" s="105"/>
      <c r="S1258" s="105"/>
      <c r="T1258" s="105"/>
      <c r="U1258" s="105"/>
      <c r="V1258" s="105"/>
      <c r="W1258" s="105"/>
      <c r="X1258" s="105"/>
      <c r="Y1258" s="105"/>
      <c r="Z1258" s="105"/>
    </row>
    <row r="1259" spans="1:26">
      <c r="A1259" s="98"/>
      <c r="B1259" s="106"/>
      <c r="C1259" s="98"/>
      <c r="D1259" s="98"/>
      <c r="E1259" s="98"/>
      <c r="F1259" s="98"/>
      <c r="G1259" s="98"/>
      <c r="H1259" s="98"/>
      <c r="I1259" s="98"/>
      <c r="J1259" s="107"/>
      <c r="K1259" s="108"/>
      <c r="L1259" s="109"/>
      <c r="M1259" s="105"/>
      <c r="N1259" s="105"/>
      <c r="O1259" s="105"/>
      <c r="P1259" s="105"/>
      <c r="Q1259" s="105"/>
      <c r="R1259" s="105"/>
      <c r="S1259" s="105"/>
      <c r="T1259" s="105"/>
      <c r="U1259" s="105"/>
      <c r="V1259" s="105"/>
      <c r="W1259" s="105"/>
      <c r="X1259" s="105"/>
      <c r="Y1259" s="105"/>
      <c r="Z1259" s="105"/>
    </row>
    <row r="1260" spans="1:26">
      <c r="A1260" s="98"/>
      <c r="B1260" s="106"/>
      <c r="C1260" s="98"/>
      <c r="D1260" s="98"/>
      <c r="E1260" s="98"/>
      <c r="F1260" s="98"/>
      <c r="G1260" s="98"/>
      <c r="H1260" s="98"/>
      <c r="I1260" s="98"/>
      <c r="J1260" s="107"/>
      <c r="K1260" s="108"/>
      <c r="L1260" s="109"/>
      <c r="M1260" s="105"/>
      <c r="N1260" s="105"/>
      <c r="O1260" s="105"/>
      <c r="P1260" s="105"/>
      <c r="Q1260" s="105"/>
      <c r="R1260" s="105"/>
      <c r="S1260" s="105"/>
      <c r="T1260" s="105"/>
      <c r="U1260" s="105"/>
      <c r="V1260" s="105"/>
      <c r="W1260" s="105"/>
      <c r="X1260" s="105"/>
      <c r="Y1260" s="105"/>
      <c r="Z1260" s="105"/>
    </row>
    <row r="1261" spans="1:26">
      <c r="A1261" s="98"/>
      <c r="B1261" s="106"/>
      <c r="C1261" s="98"/>
      <c r="D1261" s="98"/>
      <c r="E1261" s="98"/>
      <c r="F1261" s="98"/>
      <c r="G1261" s="98"/>
      <c r="H1261" s="98"/>
      <c r="I1261" s="98"/>
      <c r="J1261" s="107"/>
      <c r="K1261" s="108"/>
      <c r="L1261" s="109"/>
      <c r="M1261" s="105"/>
      <c r="N1261" s="105"/>
      <c r="O1261" s="105"/>
      <c r="P1261" s="105"/>
      <c r="Q1261" s="105"/>
      <c r="R1261" s="105"/>
      <c r="S1261" s="105"/>
      <c r="T1261" s="105"/>
      <c r="U1261" s="105"/>
      <c r="V1261" s="105"/>
      <c r="W1261" s="105"/>
      <c r="X1261" s="105"/>
      <c r="Y1261" s="105"/>
      <c r="Z1261" s="105"/>
    </row>
    <row r="1262" spans="1:26">
      <c r="A1262" s="98"/>
      <c r="B1262" s="106"/>
      <c r="C1262" s="98"/>
      <c r="D1262" s="98"/>
      <c r="E1262" s="98"/>
      <c r="F1262" s="98"/>
      <c r="G1262" s="98"/>
      <c r="H1262" s="98"/>
      <c r="I1262" s="98"/>
      <c r="J1262" s="107"/>
      <c r="K1262" s="108"/>
      <c r="L1262" s="109"/>
      <c r="M1262" s="105"/>
      <c r="N1262" s="105"/>
      <c r="O1262" s="105"/>
      <c r="P1262" s="105"/>
      <c r="Q1262" s="105"/>
      <c r="R1262" s="105"/>
      <c r="S1262" s="105"/>
      <c r="T1262" s="105"/>
      <c r="U1262" s="105"/>
      <c r="V1262" s="105"/>
      <c r="W1262" s="105"/>
      <c r="X1262" s="105"/>
      <c r="Y1262" s="105"/>
      <c r="Z1262" s="105"/>
    </row>
    <row r="1263" spans="1:26">
      <c r="A1263" s="98"/>
      <c r="B1263" s="106"/>
      <c r="C1263" s="98"/>
      <c r="D1263" s="98"/>
      <c r="E1263" s="98"/>
      <c r="F1263" s="98"/>
      <c r="G1263" s="98"/>
      <c r="H1263" s="98"/>
      <c r="I1263" s="98"/>
      <c r="J1263" s="107"/>
      <c r="K1263" s="108"/>
      <c r="L1263" s="109"/>
      <c r="M1263" s="105"/>
      <c r="N1263" s="105"/>
      <c r="O1263" s="105"/>
      <c r="P1263" s="105"/>
      <c r="Q1263" s="105"/>
      <c r="R1263" s="105"/>
      <c r="S1263" s="105"/>
      <c r="T1263" s="105"/>
      <c r="U1263" s="105"/>
      <c r="V1263" s="105"/>
      <c r="W1263" s="105"/>
      <c r="X1263" s="105"/>
      <c r="Y1263" s="105"/>
      <c r="Z1263" s="105"/>
    </row>
    <row r="1264" spans="1:26">
      <c r="A1264" s="98"/>
      <c r="B1264" s="106"/>
      <c r="C1264" s="98"/>
      <c r="D1264" s="98"/>
      <c r="E1264" s="98"/>
      <c r="F1264" s="98"/>
      <c r="G1264" s="98"/>
      <c r="H1264" s="98"/>
      <c r="I1264" s="98"/>
      <c r="J1264" s="107"/>
      <c r="K1264" s="108"/>
      <c r="L1264" s="109"/>
      <c r="M1264" s="105"/>
      <c r="N1264" s="105"/>
      <c r="O1264" s="105"/>
      <c r="P1264" s="105"/>
      <c r="Q1264" s="105"/>
      <c r="R1264" s="105"/>
      <c r="S1264" s="105"/>
      <c r="T1264" s="105"/>
      <c r="U1264" s="105"/>
      <c r="V1264" s="105"/>
      <c r="W1264" s="105"/>
      <c r="X1264" s="105"/>
      <c r="Y1264" s="105"/>
      <c r="Z1264" s="105"/>
    </row>
    <row r="1265" spans="1:26">
      <c r="A1265" s="98"/>
      <c r="B1265" s="106"/>
      <c r="C1265" s="98"/>
      <c r="D1265" s="98"/>
      <c r="E1265" s="98"/>
      <c r="F1265" s="98"/>
      <c r="G1265" s="98"/>
      <c r="H1265" s="98"/>
      <c r="I1265" s="98"/>
      <c r="J1265" s="107"/>
      <c r="K1265" s="108"/>
      <c r="L1265" s="109"/>
      <c r="M1265" s="105"/>
      <c r="N1265" s="105"/>
      <c r="O1265" s="105"/>
      <c r="P1265" s="105"/>
      <c r="Q1265" s="105"/>
      <c r="R1265" s="105"/>
      <c r="S1265" s="105"/>
      <c r="T1265" s="105"/>
      <c r="U1265" s="105"/>
      <c r="V1265" s="105"/>
      <c r="W1265" s="105"/>
      <c r="X1265" s="105"/>
      <c r="Y1265" s="105"/>
      <c r="Z1265" s="105"/>
    </row>
    <row r="1266" spans="1:26">
      <c r="A1266" s="98"/>
      <c r="B1266" s="106"/>
      <c r="C1266" s="98"/>
      <c r="D1266" s="98"/>
      <c r="E1266" s="98"/>
      <c r="F1266" s="98"/>
      <c r="G1266" s="98"/>
      <c r="H1266" s="98"/>
      <c r="I1266" s="98"/>
      <c r="J1266" s="107"/>
      <c r="K1266" s="108"/>
      <c r="L1266" s="109"/>
      <c r="M1266" s="105"/>
      <c r="N1266" s="105"/>
      <c r="O1266" s="105"/>
      <c r="P1266" s="105"/>
      <c r="Q1266" s="105"/>
      <c r="R1266" s="105"/>
      <c r="S1266" s="105"/>
      <c r="T1266" s="105"/>
      <c r="U1266" s="105"/>
      <c r="V1266" s="105"/>
      <c r="W1266" s="105"/>
      <c r="X1266" s="105"/>
      <c r="Y1266" s="105"/>
      <c r="Z1266" s="105"/>
    </row>
    <row r="1267" spans="1:26">
      <c r="A1267" s="98"/>
      <c r="B1267" s="106"/>
      <c r="C1267" s="98"/>
      <c r="D1267" s="98"/>
      <c r="E1267" s="98"/>
      <c r="F1267" s="98"/>
      <c r="G1267" s="98"/>
      <c r="H1267" s="98"/>
      <c r="I1267" s="98"/>
      <c r="J1267" s="107"/>
      <c r="K1267" s="108"/>
      <c r="L1267" s="109"/>
      <c r="M1267" s="105"/>
      <c r="N1267" s="105"/>
      <c r="O1267" s="105"/>
      <c r="P1267" s="105"/>
      <c r="Q1267" s="105"/>
      <c r="R1267" s="105"/>
      <c r="S1267" s="105"/>
      <c r="T1267" s="105"/>
      <c r="U1267" s="105"/>
      <c r="V1267" s="105"/>
      <c r="W1267" s="105"/>
      <c r="X1267" s="105"/>
      <c r="Y1267" s="105"/>
      <c r="Z1267" s="105"/>
    </row>
    <row r="1268" spans="1:26">
      <c r="A1268" s="98"/>
      <c r="B1268" s="106"/>
      <c r="C1268" s="98"/>
      <c r="D1268" s="98"/>
      <c r="E1268" s="98"/>
      <c r="F1268" s="98"/>
      <c r="G1268" s="98"/>
      <c r="H1268" s="98"/>
      <c r="I1268" s="98"/>
      <c r="J1268" s="107"/>
      <c r="K1268" s="108"/>
      <c r="L1268" s="109"/>
      <c r="M1268" s="105"/>
      <c r="N1268" s="105"/>
      <c r="O1268" s="105"/>
      <c r="P1268" s="105"/>
      <c r="Q1268" s="105"/>
      <c r="R1268" s="105"/>
      <c r="S1268" s="105"/>
      <c r="T1268" s="105"/>
      <c r="U1268" s="105"/>
      <c r="V1268" s="105"/>
      <c r="W1268" s="105"/>
      <c r="X1268" s="105"/>
      <c r="Y1268" s="105"/>
      <c r="Z1268" s="105"/>
    </row>
    <row r="1269" spans="1:26">
      <c r="A1269" s="98"/>
      <c r="B1269" s="106"/>
      <c r="C1269" s="98"/>
      <c r="D1269" s="98"/>
      <c r="E1269" s="98"/>
      <c r="F1269" s="98"/>
      <c r="G1269" s="98"/>
      <c r="H1269" s="98"/>
      <c r="I1269" s="98"/>
      <c r="J1269" s="107"/>
      <c r="K1269" s="108"/>
      <c r="L1269" s="109"/>
      <c r="M1269" s="105"/>
      <c r="N1269" s="105"/>
      <c r="O1269" s="105"/>
      <c r="P1269" s="105"/>
      <c r="Q1269" s="105"/>
      <c r="R1269" s="105"/>
      <c r="S1269" s="105"/>
      <c r="T1269" s="105"/>
      <c r="U1269" s="105"/>
      <c r="V1269" s="105"/>
      <c r="W1269" s="105"/>
      <c r="X1269" s="105"/>
      <c r="Y1269" s="105"/>
      <c r="Z1269" s="105"/>
    </row>
    <row r="1270" spans="1:26">
      <c r="A1270" s="98"/>
      <c r="B1270" s="106"/>
      <c r="C1270" s="98"/>
      <c r="D1270" s="98"/>
      <c r="E1270" s="98"/>
      <c r="F1270" s="98"/>
      <c r="G1270" s="98"/>
      <c r="H1270" s="98"/>
      <c r="I1270" s="98"/>
      <c r="J1270" s="107"/>
      <c r="K1270" s="108"/>
      <c r="L1270" s="109"/>
      <c r="M1270" s="105"/>
      <c r="N1270" s="105"/>
      <c r="O1270" s="105"/>
      <c r="P1270" s="105"/>
      <c r="Q1270" s="105"/>
      <c r="R1270" s="105"/>
      <c r="S1270" s="105"/>
      <c r="T1270" s="105"/>
      <c r="U1270" s="105"/>
      <c r="V1270" s="105"/>
      <c r="W1270" s="105"/>
      <c r="X1270" s="105"/>
      <c r="Y1270" s="105"/>
      <c r="Z1270" s="105"/>
    </row>
    <row r="1271" spans="1:26">
      <c r="A1271" s="98"/>
      <c r="B1271" s="106"/>
      <c r="C1271" s="98"/>
      <c r="D1271" s="98"/>
      <c r="E1271" s="98"/>
      <c r="F1271" s="98"/>
      <c r="G1271" s="98"/>
      <c r="H1271" s="98"/>
      <c r="I1271" s="98"/>
      <c r="J1271" s="107"/>
      <c r="K1271" s="108"/>
      <c r="L1271" s="109"/>
      <c r="M1271" s="105"/>
      <c r="N1271" s="105"/>
      <c r="O1271" s="105"/>
      <c r="P1271" s="105"/>
      <c r="Q1271" s="105"/>
      <c r="R1271" s="105"/>
      <c r="S1271" s="105"/>
      <c r="T1271" s="105"/>
      <c r="U1271" s="105"/>
      <c r="V1271" s="105"/>
      <c r="W1271" s="105"/>
      <c r="X1271" s="105"/>
      <c r="Y1271" s="105"/>
      <c r="Z1271" s="105"/>
    </row>
    <row r="1272" spans="1:26">
      <c r="A1272" s="98"/>
      <c r="B1272" s="106"/>
      <c r="C1272" s="98"/>
      <c r="D1272" s="98"/>
      <c r="E1272" s="98"/>
      <c r="F1272" s="98"/>
      <c r="G1272" s="98"/>
      <c r="H1272" s="98"/>
      <c r="I1272" s="98"/>
      <c r="J1272" s="107"/>
      <c r="K1272" s="108"/>
      <c r="L1272" s="109"/>
      <c r="M1272" s="105"/>
      <c r="N1272" s="105"/>
      <c r="O1272" s="105"/>
      <c r="P1272" s="105"/>
      <c r="Q1272" s="105"/>
      <c r="R1272" s="105"/>
      <c r="S1272" s="105"/>
      <c r="T1272" s="105"/>
      <c r="U1272" s="105"/>
      <c r="V1272" s="105"/>
      <c r="W1272" s="105"/>
      <c r="X1272" s="105"/>
      <c r="Y1272" s="105"/>
      <c r="Z1272" s="105"/>
    </row>
    <row r="1273" spans="1:26">
      <c r="A1273" s="98"/>
      <c r="B1273" s="106"/>
      <c r="C1273" s="98"/>
      <c r="D1273" s="98"/>
      <c r="E1273" s="98"/>
      <c r="F1273" s="98"/>
      <c r="G1273" s="98"/>
      <c r="H1273" s="98"/>
      <c r="I1273" s="98"/>
      <c r="J1273" s="107"/>
      <c r="K1273" s="108"/>
      <c r="L1273" s="109"/>
      <c r="M1273" s="105"/>
      <c r="N1273" s="105"/>
      <c r="O1273" s="105"/>
      <c r="P1273" s="105"/>
      <c r="Q1273" s="105"/>
      <c r="R1273" s="105"/>
      <c r="S1273" s="105"/>
      <c r="T1273" s="105"/>
      <c r="U1273" s="105"/>
      <c r="V1273" s="105"/>
      <c r="W1273" s="105"/>
      <c r="X1273" s="105"/>
      <c r="Y1273" s="105"/>
      <c r="Z1273" s="105"/>
    </row>
    <row r="1274" spans="1:26">
      <c r="A1274" s="98"/>
      <c r="B1274" s="106"/>
      <c r="C1274" s="98"/>
      <c r="D1274" s="98"/>
      <c r="E1274" s="98"/>
      <c r="F1274" s="98"/>
      <c r="G1274" s="98"/>
      <c r="H1274" s="98"/>
      <c r="I1274" s="98"/>
      <c r="J1274" s="107"/>
      <c r="K1274" s="108"/>
      <c r="L1274" s="109"/>
      <c r="M1274" s="105"/>
      <c r="N1274" s="105"/>
      <c r="O1274" s="105"/>
      <c r="P1274" s="105"/>
      <c r="Q1274" s="105"/>
      <c r="R1274" s="105"/>
      <c r="S1274" s="105"/>
      <c r="T1274" s="105"/>
      <c r="U1274" s="105"/>
      <c r="V1274" s="105"/>
      <c r="W1274" s="105"/>
      <c r="X1274" s="105"/>
      <c r="Y1274" s="105"/>
      <c r="Z1274" s="105"/>
    </row>
    <row r="1275" spans="1:26">
      <c r="A1275" s="98"/>
      <c r="B1275" s="106"/>
      <c r="C1275" s="98"/>
      <c r="D1275" s="98"/>
      <c r="E1275" s="98"/>
      <c r="F1275" s="98"/>
      <c r="G1275" s="98"/>
      <c r="H1275" s="98"/>
      <c r="I1275" s="98"/>
      <c r="J1275" s="107"/>
      <c r="K1275" s="108"/>
      <c r="L1275" s="109"/>
      <c r="M1275" s="105"/>
      <c r="N1275" s="105"/>
      <c r="O1275" s="105"/>
      <c r="P1275" s="105"/>
      <c r="Q1275" s="105"/>
      <c r="R1275" s="105"/>
      <c r="S1275" s="105"/>
      <c r="T1275" s="105"/>
      <c r="U1275" s="105"/>
      <c r="V1275" s="105"/>
      <c r="W1275" s="105"/>
      <c r="X1275" s="105"/>
      <c r="Y1275" s="105"/>
      <c r="Z1275" s="105"/>
    </row>
    <row r="1276" spans="1:26">
      <c r="A1276" s="98"/>
      <c r="B1276" s="106"/>
      <c r="C1276" s="98"/>
      <c r="D1276" s="98"/>
      <c r="E1276" s="98"/>
      <c r="F1276" s="98"/>
      <c r="G1276" s="98"/>
      <c r="H1276" s="98"/>
      <c r="I1276" s="98"/>
      <c r="J1276" s="107"/>
      <c r="K1276" s="108"/>
      <c r="L1276" s="109"/>
      <c r="M1276" s="105"/>
      <c r="N1276" s="105"/>
      <c r="O1276" s="105"/>
      <c r="P1276" s="105"/>
      <c r="Q1276" s="105"/>
      <c r="R1276" s="105"/>
      <c r="S1276" s="105"/>
      <c r="T1276" s="105"/>
      <c r="U1276" s="105"/>
      <c r="V1276" s="105"/>
      <c r="W1276" s="105"/>
      <c r="X1276" s="105"/>
      <c r="Y1276" s="105"/>
      <c r="Z1276" s="105"/>
    </row>
    <row r="1277" spans="1:26">
      <c r="A1277" s="98"/>
      <c r="B1277" s="106"/>
      <c r="C1277" s="98"/>
      <c r="D1277" s="98"/>
      <c r="E1277" s="98"/>
      <c r="F1277" s="98"/>
      <c r="G1277" s="98"/>
      <c r="H1277" s="98"/>
      <c r="I1277" s="98"/>
      <c r="J1277" s="107"/>
      <c r="K1277" s="108"/>
      <c r="L1277" s="109"/>
      <c r="M1277" s="105"/>
      <c r="N1277" s="105"/>
      <c r="O1277" s="105"/>
      <c r="P1277" s="105"/>
      <c r="Q1277" s="105"/>
      <c r="R1277" s="105"/>
      <c r="S1277" s="105"/>
      <c r="T1277" s="105"/>
      <c r="U1277" s="105"/>
      <c r="V1277" s="105"/>
      <c r="W1277" s="105"/>
      <c r="X1277" s="105"/>
      <c r="Y1277" s="105"/>
      <c r="Z1277" s="105"/>
    </row>
    <row r="1278" spans="1:26">
      <c r="A1278" s="98"/>
      <c r="B1278" s="106"/>
      <c r="C1278" s="98"/>
      <c r="D1278" s="98"/>
      <c r="E1278" s="98"/>
      <c r="F1278" s="98"/>
      <c r="G1278" s="98"/>
      <c r="H1278" s="98"/>
      <c r="I1278" s="98"/>
      <c r="J1278" s="107"/>
      <c r="K1278" s="108"/>
      <c r="L1278" s="109"/>
      <c r="M1278" s="105"/>
      <c r="N1278" s="105"/>
      <c r="O1278" s="105"/>
      <c r="P1278" s="105"/>
      <c r="Q1278" s="105"/>
      <c r="R1278" s="105"/>
      <c r="S1278" s="105"/>
      <c r="T1278" s="105"/>
      <c r="U1278" s="105"/>
      <c r="V1278" s="105"/>
      <c r="W1278" s="105"/>
      <c r="X1278" s="105"/>
      <c r="Y1278" s="105"/>
      <c r="Z1278" s="105"/>
    </row>
    <row r="1279" spans="1:26">
      <c r="A1279" s="98"/>
      <c r="B1279" s="106"/>
      <c r="C1279" s="98"/>
      <c r="D1279" s="98"/>
      <c r="E1279" s="98"/>
      <c r="F1279" s="98"/>
      <c r="G1279" s="98"/>
      <c r="H1279" s="98"/>
      <c r="I1279" s="98"/>
      <c r="J1279" s="107"/>
      <c r="K1279" s="108"/>
      <c r="L1279" s="109"/>
      <c r="M1279" s="105"/>
      <c r="N1279" s="105"/>
      <c r="O1279" s="105"/>
      <c r="P1279" s="105"/>
      <c r="Q1279" s="105"/>
      <c r="R1279" s="105"/>
      <c r="S1279" s="105"/>
      <c r="T1279" s="105"/>
      <c r="U1279" s="105"/>
      <c r="V1279" s="105"/>
      <c r="W1279" s="105"/>
      <c r="X1279" s="105"/>
      <c r="Y1279" s="105"/>
      <c r="Z1279" s="105"/>
    </row>
    <row r="1280" spans="1:26">
      <c r="A1280" s="98"/>
      <c r="B1280" s="106"/>
      <c r="C1280" s="98"/>
      <c r="D1280" s="98"/>
      <c r="E1280" s="98"/>
      <c r="F1280" s="98"/>
      <c r="G1280" s="98"/>
      <c r="H1280" s="98"/>
      <c r="I1280" s="98"/>
      <c r="J1280" s="107"/>
      <c r="K1280" s="108"/>
      <c r="L1280" s="109"/>
      <c r="M1280" s="105"/>
      <c r="N1280" s="105"/>
      <c r="O1280" s="105"/>
      <c r="P1280" s="105"/>
      <c r="Q1280" s="105"/>
      <c r="R1280" s="105"/>
      <c r="S1280" s="105"/>
      <c r="T1280" s="105"/>
      <c r="U1280" s="105"/>
      <c r="V1280" s="105"/>
      <c r="W1280" s="105"/>
      <c r="X1280" s="105"/>
      <c r="Y1280" s="105"/>
      <c r="Z1280" s="105"/>
    </row>
    <row r="1281" spans="1:26">
      <c r="A1281" s="98"/>
      <c r="B1281" s="106"/>
      <c r="C1281" s="98"/>
      <c r="D1281" s="98"/>
      <c r="E1281" s="98"/>
      <c r="F1281" s="98"/>
      <c r="G1281" s="98"/>
      <c r="H1281" s="98"/>
      <c r="I1281" s="98"/>
      <c r="J1281" s="107"/>
      <c r="K1281" s="108"/>
      <c r="L1281" s="109"/>
      <c r="M1281" s="105"/>
      <c r="N1281" s="105"/>
      <c r="O1281" s="105"/>
      <c r="P1281" s="105"/>
      <c r="Q1281" s="105"/>
      <c r="R1281" s="105"/>
      <c r="S1281" s="105"/>
      <c r="T1281" s="105"/>
      <c r="U1281" s="105"/>
      <c r="V1281" s="105"/>
      <c r="W1281" s="105"/>
      <c r="X1281" s="105"/>
      <c r="Y1281" s="105"/>
      <c r="Z1281" s="105"/>
    </row>
    <row r="1282" spans="1:26">
      <c r="A1282" s="98"/>
      <c r="B1282" s="106"/>
      <c r="C1282" s="98"/>
      <c r="D1282" s="98"/>
      <c r="E1282" s="98"/>
      <c r="F1282" s="98"/>
      <c r="G1282" s="98"/>
      <c r="H1282" s="98"/>
      <c r="I1282" s="98"/>
      <c r="J1282" s="107"/>
      <c r="K1282" s="108"/>
      <c r="L1282" s="109"/>
      <c r="M1282" s="105"/>
      <c r="N1282" s="105"/>
      <c r="O1282" s="105"/>
      <c r="P1282" s="105"/>
      <c r="Q1282" s="105"/>
      <c r="R1282" s="105"/>
      <c r="S1282" s="105"/>
      <c r="T1282" s="105"/>
      <c r="U1282" s="105"/>
      <c r="V1282" s="105"/>
      <c r="W1282" s="105"/>
      <c r="X1282" s="105"/>
      <c r="Y1282" s="105"/>
      <c r="Z1282" s="105"/>
    </row>
    <row r="1283" spans="1:26">
      <c r="A1283" s="98"/>
      <c r="B1283" s="106"/>
      <c r="C1283" s="98"/>
      <c r="D1283" s="98"/>
      <c r="E1283" s="98"/>
      <c r="F1283" s="98"/>
      <c r="G1283" s="98"/>
      <c r="H1283" s="98"/>
      <c r="I1283" s="98"/>
      <c r="J1283" s="107"/>
      <c r="K1283" s="108"/>
      <c r="L1283" s="109"/>
      <c r="M1283" s="105"/>
      <c r="N1283" s="105"/>
      <c r="O1283" s="105"/>
      <c r="P1283" s="105"/>
      <c r="Q1283" s="105"/>
      <c r="R1283" s="105"/>
      <c r="S1283" s="105"/>
      <c r="T1283" s="105"/>
      <c r="U1283" s="105"/>
      <c r="V1283" s="105"/>
      <c r="W1283" s="105"/>
      <c r="X1283" s="105"/>
      <c r="Y1283" s="105"/>
      <c r="Z1283" s="105"/>
    </row>
    <row r="1284" spans="1:26">
      <c r="A1284" s="98"/>
      <c r="B1284" s="106"/>
      <c r="C1284" s="98"/>
      <c r="D1284" s="98"/>
      <c r="E1284" s="98"/>
      <c r="F1284" s="98"/>
      <c r="G1284" s="98"/>
      <c r="H1284" s="98"/>
      <c r="I1284" s="98"/>
      <c r="J1284" s="107"/>
      <c r="K1284" s="108"/>
      <c r="L1284" s="109"/>
      <c r="M1284" s="105"/>
      <c r="N1284" s="105"/>
      <c r="O1284" s="105"/>
      <c r="P1284" s="105"/>
      <c r="Q1284" s="105"/>
      <c r="R1284" s="105"/>
      <c r="S1284" s="105"/>
      <c r="T1284" s="105"/>
      <c r="U1284" s="105"/>
      <c r="V1284" s="105"/>
      <c r="W1284" s="105"/>
      <c r="X1284" s="105"/>
      <c r="Y1284" s="105"/>
      <c r="Z1284" s="105"/>
    </row>
    <row r="1285" spans="1:26">
      <c r="A1285" s="98"/>
      <c r="B1285" s="106"/>
      <c r="C1285" s="98"/>
      <c r="D1285" s="98"/>
      <c r="E1285" s="98"/>
      <c r="F1285" s="98"/>
      <c r="G1285" s="98"/>
      <c r="H1285" s="98"/>
      <c r="I1285" s="98"/>
      <c r="J1285" s="107"/>
      <c r="K1285" s="108"/>
      <c r="L1285" s="109"/>
      <c r="M1285" s="105"/>
      <c r="N1285" s="105"/>
      <c r="O1285" s="105"/>
      <c r="P1285" s="105"/>
      <c r="Q1285" s="105"/>
      <c r="R1285" s="105"/>
      <c r="S1285" s="105"/>
      <c r="T1285" s="105"/>
      <c r="U1285" s="105"/>
      <c r="V1285" s="105"/>
      <c r="W1285" s="105"/>
      <c r="X1285" s="105"/>
      <c r="Y1285" s="105"/>
      <c r="Z1285" s="105"/>
    </row>
    <row r="1286" spans="1:26">
      <c r="A1286" s="98"/>
      <c r="B1286" s="106"/>
      <c r="C1286" s="98"/>
      <c r="D1286" s="98"/>
      <c r="E1286" s="98"/>
      <c r="F1286" s="98"/>
      <c r="G1286" s="98"/>
      <c r="H1286" s="98"/>
      <c r="I1286" s="98"/>
      <c r="J1286" s="107"/>
      <c r="K1286" s="108"/>
      <c r="L1286" s="109"/>
      <c r="M1286" s="105"/>
      <c r="N1286" s="105"/>
      <c r="O1286" s="105"/>
      <c r="P1286" s="105"/>
      <c r="Q1286" s="105"/>
      <c r="R1286" s="105"/>
      <c r="S1286" s="105"/>
      <c r="T1286" s="105"/>
      <c r="U1286" s="105"/>
      <c r="V1286" s="105"/>
      <c r="W1286" s="105"/>
      <c r="X1286" s="105"/>
      <c r="Y1286" s="105"/>
      <c r="Z1286" s="105"/>
    </row>
    <row r="1287" spans="1:26">
      <c r="A1287" s="98"/>
      <c r="B1287" s="106"/>
      <c r="C1287" s="98"/>
      <c r="D1287" s="98"/>
      <c r="E1287" s="98"/>
      <c r="F1287" s="98"/>
      <c r="G1287" s="98"/>
      <c r="H1287" s="98"/>
      <c r="I1287" s="98"/>
      <c r="J1287" s="107"/>
      <c r="K1287" s="108"/>
      <c r="L1287" s="109"/>
      <c r="M1287" s="105"/>
      <c r="N1287" s="105"/>
      <c r="O1287" s="105"/>
      <c r="P1287" s="105"/>
      <c r="Q1287" s="105"/>
      <c r="R1287" s="105"/>
      <c r="S1287" s="105"/>
      <c r="T1287" s="105"/>
      <c r="U1287" s="105"/>
      <c r="V1287" s="105"/>
      <c r="W1287" s="105"/>
      <c r="X1287" s="105"/>
      <c r="Y1287" s="105"/>
      <c r="Z1287" s="105"/>
    </row>
    <row r="1288" spans="1:26">
      <c r="A1288" s="98"/>
      <c r="B1288" s="106"/>
      <c r="C1288" s="98"/>
      <c r="D1288" s="98"/>
      <c r="E1288" s="98"/>
      <c r="F1288" s="98"/>
      <c r="G1288" s="98"/>
      <c r="H1288" s="98"/>
      <c r="I1288" s="98"/>
      <c r="J1288" s="107"/>
      <c r="K1288" s="108"/>
      <c r="L1288" s="109"/>
      <c r="M1288" s="105"/>
      <c r="N1288" s="105"/>
      <c r="O1288" s="105"/>
      <c r="P1288" s="105"/>
      <c r="Q1288" s="105"/>
      <c r="R1288" s="105"/>
      <c r="S1288" s="105"/>
      <c r="T1288" s="105"/>
      <c r="U1288" s="105"/>
      <c r="V1288" s="105"/>
      <c r="W1288" s="105"/>
      <c r="X1288" s="105"/>
      <c r="Y1288" s="105"/>
      <c r="Z1288" s="105"/>
    </row>
    <row r="1289" spans="1:26">
      <c r="A1289" s="98"/>
      <c r="B1289" s="106"/>
      <c r="C1289" s="98"/>
      <c r="D1289" s="98"/>
      <c r="E1289" s="98"/>
      <c r="F1289" s="98"/>
      <c r="G1289" s="98"/>
      <c r="H1289" s="98"/>
      <c r="I1289" s="98"/>
      <c r="J1289" s="107"/>
      <c r="K1289" s="108"/>
      <c r="L1289" s="109"/>
      <c r="M1289" s="105"/>
      <c r="N1289" s="105"/>
      <c r="O1289" s="105"/>
      <c r="P1289" s="105"/>
      <c r="Q1289" s="105"/>
      <c r="R1289" s="105"/>
      <c r="S1289" s="105"/>
      <c r="T1289" s="105"/>
      <c r="U1289" s="105"/>
      <c r="V1289" s="105"/>
      <c r="W1289" s="105"/>
      <c r="X1289" s="105"/>
      <c r="Y1289" s="105"/>
      <c r="Z1289" s="105"/>
    </row>
    <row r="1290" spans="1:26">
      <c r="A1290" s="98"/>
      <c r="B1290" s="106"/>
      <c r="C1290" s="98"/>
      <c r="D1290" s="98"/>
      <c r="E1290" s="98"/>
      <c r="F1290" s="98"/>
      <c r="G1290" s="98"/>
      <c r="H1290" s="98"/>
      <c r="I1290" s="98"/>
      <c r="J1290" s="107"/>
      <c r="K1290" s="108"/>
      <c r="L1290" s="109"/>
      <c r="M1290" s="105"/>
      <c r="N1290" s="105"/>
      <c r="O1290" s="105"/>
      <c r="P1290" s="105"/>
      <c r="Q1290" s="105"/>
      <c r="R1290" s="105"/>
      <c r="S1290" s="105"/>
      <c r="T1290" s="105"/>
      <c r="U1290" s="105"/>
      <c r="V1290" s="105"/>
      <c r="W1290" s="105"/>
      <c r="X1290" s="105"/>
      <c r="Y1290" s="105"/>
      <c r="Z1290" s="105"/>
    </row>
    <row r="1291" spans="1:26">
      <c r="A1291" s="98"/>
      <c r="B1291" s="106"/>
      <c r="C1291" s="98"/>
      <c r="D1291" s="98"/>
      <c r="E1291" s="98"/>
      <c r="F1291" s="98"/>
      <c r="G1291" s="98"/>
      <c r="H1291" s="98"/>
      <c r="I1291" s="98"/>
      <c r="J1291" s="107"/>
      <c r="K1291" s="108"/>
      <c r="L1291" s="109"/>
      <c r="M1291" s="105"/>
      <c r="N1291" s="105"/>
      <c r="O1291" s="105"/>
      <c r="P1291" s="105"/>
      <c r="Q1291" s="105"/>
      <c r="R1291" s="105"/>
      <c r="S1291" s="105"/>
      <c r="T1291" s="105"/>
      <c r="U1291" s="105"/>
      <c r="V1291" s="105"/>
      <c r="W1291" s="105"/>
      <c r="X1291" s="105"/>
      <c r="Y1291" s="105"/>
      <c r="Z1291" s="105"/>
    </row>
    <row r="1292" spans="1:26">
      <c r="A1292" s="98"/>
      <c r="B1292" s="106"/>
      <c r="C1292" s="98"/>
      <c r="D1292" s="98"/>
      <c r="E1292" s="98"/>
      <c r="F1292" s="98"/>
      <c r="G1292" s="98"/>
      <c r="H1292" s="98"/>
      <c r="I1292" s="98"/>
      <c r="J1292" s="107"/>
      <c r="K1292" s="108"/>
      <c r="L1292" s="109"/>
      <c r="M1292" s="105"/>
      <c r="N1292" s="105"/>
      <c r="O1292" s="105"/>
      <c r="P1292" s="105"/>
      <c r="Q1292" s="105"/>
      <c r="R1292" s="105"/>
      <c r="S1292" s="105"/>
      <c r="T1292" s="105"/>
      <c r="U1292" s="105"/>
      <c r="V1292" s="105"/>
      <c r="W1292" s="105"/>
      <c r="X1292" s="105"/>
      <c r="Y1292" s="105"/>
      <c r="Z1292" s="105"/>
    </row>
    <row r="1293" spans="1:26">
      <c r="A1293" s="98"/>
      <c r="B1293" s="106"/>
      <c r="C1293" s="98"/>
      <c r="D1293" s="98"/>
      <c r="E1293" s="98"/>
      <c r="F1293" s="98"/>
      <c r="G1293" s="98"/>
      <c r="H1293" s="98"/>
      <c r="I1293" s="98"/>
      <c r="J1293" s="107"/>
      <c r="K1293" s="108"/>
      <c r="L1293" s="109"/>
      <c r="M1293" s="105"/>
      <c r="N1293" s="105"/>
      <c r="O1293" s="105"/>
      <c r="P1293" s="105"/>
      <c r="Q1293" s="105"/>
      <c r="R1293" s="105"/>
      <c r="S1293" s="105"/>
      <c r="T1293" s="105"/>
      <c r="U1293" s="105"/>
      <c r="V1293" s="105"/>
      <c r="W1293" s="105"/>
      <c r="X1293" s="105"/>
      <c r="Y1293" s="105"/>
      <c r="Z1293" s="105"/>
    </row>
    <row r="1294" spans="1:26">
      <c r="A1294" s="98"/>
      <c r="B1294" s="106"/>
      <c r="C1294" s="98"/>
      <c r="D1294" s="98"/>
      <c r="E1294" s="98"/>
      <c r="F1294" s="98"/>
      <c r="G1294" s="98"/>
      <c r="H1294" s="98"/>
      <c r="I1294" s="98"/>
      <c r="J1294" s="107"/>
      <c r="K1294" s="108"/>
      <c r="L1294" s="109"/>
      <c r="M1294" s="105"/>
      <c r="N1294" s="105"/>
      <c r="O1294" s="105"/>
      <c r="P1294" s="105"/>
      <c r="Q1294" s="105"/>
      <c r="R1294" s="105"/>
      <c r="S1294" s="105"/>
      <c r="T1294" s="105"/>
      <c r="U1294" s="105"/>
      <c r="V1294" s="105"/>
      <c r="W1294" s="105"/>
      <c r="X1294" s="105"/>
      <c r="Y1294" s="105"/>
      <c r="Z1294" s="105"/>
    </row>
    <row r="1295" spans="1:26">
      <c r="A1295" s="98"/>
      <c r="B1295" s="106"/>
      <c r="C1295" s="98"/>
      <c r="D1295" s="98"/>
      <c r="E1295" s="98"/>
      <c r="F1295" s="98"/>
      <c r="G1295" s="98"/>
      <c r="H1295" s="98"/>
      <c r="I1295" s="98"/>
      <c r="J1295" s="107"/>
      <c r="K1295" s="108"/>
      <c r="L1295" s="109"/>
      <c r="M1295" s="105"/>
      <c r="N1295" s="105"/>
      <c r="O1295" s="105"/>
      <c r="P1295" s="105"/>
      <c r="Q1295" s="105"/>
      <c r="R1295" s="105"/>
      <c r="S1295" s="105"/>
      <c r="T1295" s="105"/>
      <c r="U1295" s="105"/>
      <c r="V1295" s="105"/>
      <c r="W1295" s="105"/>
      <c r="X1295" s="105"/>
      <c r="Y1295" s="105"/>
      <c r="Z1295" s="105"/>
    </row>
    <row r="1296" spans="1:26">
      <c r="A1296" s="98"/>
      <c r="B1296" s="106"/>
      <c r="C1296" s="98"/>
      <c r="D1296" s="98"/>
      <c r="E1296" s="98"/>
      <c r="F1296" s="98"/>
      <c r="G1296" s="98"/>
      <c r="H1296" s="98"/>
      <c r="I1296" s="98"/>
      <c r="J1296" s="107"/>
      <c r="K1296" s="108"/>
      <c r="L1296" s="109"/>
      <c r="M1296" s="105"/>
      <c r="N1296" s="105"/>
      <c r="O1296" s="105"/>
      <c r="P1296" s="105"/>
      <c r="Q1296" s="105"/>
      <c r="R1296" s="105"/>
      <c r="S1296" s="105"/>
      <c r="T1296" s="105"/>
      <c r="U1296" s="105"/>
      <c r="V1296" s="105"/>
      <c r="W1296" s="105"/>
      <c r="X1296" s="105"/>
      <c r="Y1296" s="105"/>
      <c r="Z1296" s="105"/>
    </row>
    <row r="1297" spans="1:26">
      <c r="A1297" s="98"/>
      <c r="B1297" s="106"/>
      <c r="C1297" s="98"/>
      <c r="D1297" s="98"/>
      <c r="E1297" s="98"/>
      <c r="F1297" s="98"/>
      <c r="G1297" s="98"/>
      <c r="H1297" s="98"/>
      <c r="I1297" s="98"/>
      <c r="J1297" s="107"/>
      <c r="K1297" s="108"/>
      <c r="L1297" s="109"/>
      <c r="M1297" s="105"/>
      <c r="N1297" s="105"/>
      <c r="O1297" s="105"/>
      <c r="P1297" s="105"/>
      <c r="Q1297" s="105"/>
      <c r="R1297" s="105"/>
      <c r="S1297" s="105"/>
      <c r="T1297" s="105"/>
      <c r="U1297" s="105"/>
      <c r="V1297" s="105"/>
      <c r="W1297" s="105"/>
      <c r="X1297" s="105"/>
      <c r="Y1297" s="105"/>
      <c r="Z1297" s="105"/>
    </row>
    <row r="1298" spans="1:26">
      <c r="A1298" s="98"/>
      <c r="B1298" s="106"/>
      <c r="C1298" s="98"/>
      <c r="D1298" s="98"/>
      <c r="E1298" s="98"/>
      <c r="F1298" s="98"/>
      <c r="G1298" s="98"/>
      <c r="H1298" s="98"/>
      <c r="I1298" s="98"/>
      <c r="J1298" s="107"/>
      <c r="K1298" s="108"/>
      <c r="L1298" s="109"/>
      <c r="M1298" s="105"/>
      <c r="N1298" s="105"/>
      <c r="O1298" s="105"/>
      <c r="P1298" s="105"/>
      <c r="Q1298" s="105"/>
      <c r="R1298" s="105"/>
      <c r="S1298" s="105"/>
      <c r="T1298" s="105"/>
      <c r="U1298" s="105"/>
      <c r="V1298" s="105"/>
      <c r="W1298" s="105"/>
      <c r="X1298" s="105"/>
      <c r="Y1298" s="105"/>
      <c r="Z1298" s="105"/>
    </row>
    <row r="1299" spans="1:26">
      <c r="A1299" s="98"/>
      <c r="B1299" s="106"/>
      <c r="C1299" s="98"/>
      <c r="D1299" s="98"/>
      <c r="E1299" s="98"/>
      <c r="F1299" s="98"/>
      <c r="G1299" s="98"/>
      <c r="H1299" s="98"/>
      <c r="I1299" s="98"/>
      <c r="J1299" s="107"/>
      <c r="K1299" s="108"/>
      <c r="L1299" s="109"/>
      <c r="M1299" s="105"/>
      <c r="N1299" s="105"/>
      <c r="O1299" s="105"/>
      <c r="P1299" s="105"/>
      <c r="Q1299" s="105"/>
      <c r="R1299" s="105"/>
      <c r="S1299" s="105"/>
      <c r="T1299" s="105"/>
      <c r="U1299" s="105"/>
      <c r="V1299" s="105"/>
      <c r="W1299" s="105"/>
      <c r="X1299" s="105"/>
      <c r="Y1299" s="105"/>
      <c r="Z1299" s="105"/>
    </row>
    <row r="1300" spans="1:26">
      <c r="A1300" s="98"/>
      <c r="B1300" s="106"/>
      <c r="C1300" s="98"/>
      <c r="D1300" s="98"/>
      <c r="E1300" s="98"/>
      <c r="F1300" s="98"/>
      <c r="G1300" s="98"/>
      <c r="H1300" s="98"/>
      <c r="I1300" s="98"/>
      <c r="J1300" s="107"/>
      <c r="K1300" s="108"/>
      <c r="L1300" s="109"/>
      <c r="M1300" s="105"/>
      <c r="N1300" s="105"/>
      <c r="O1300" s="105"/>
      <c r="P1300" s="105"/>
      <c r="Q1300" s="105"/>
      <c r="R1300" s="105"/>
      <c r="S1300" s="105"/>
      <c r="T1300" s="105"/>
      <c r="U1300" s="105"/>
      <c r="V1300" s="105"/>
      <c r="W1300" s="105"/>
      <c r="X1300" s="105"/>
      <c r="Y1300" s="105"/>
      <c r="Z1300" s="105"/>
    </row>
    <row r="1301" spans="1:26">
      <c r="A1301" s="98"/>
      <c r="B1301" s="106"/>
      <c r="C1301" s="98"/>
      <c r="D1301" s="98"/>
      <c r="E1301" s="98"/>
      <c r="F1301" s="98"/>
      <c r="G1301" s="98"/>
      <c r="H1301" s="98"/>
      <c r="I1301" s="98"/>
      <c r="J1301" s="107"/>
      <c r="K1301" s="108"/>
      <c r="L1301" s="109"/>
      <c r="M1301" s="105"/>
      <c r="N1301" s="105"/>
      <c r="O1301" s="105"/>
      <c r="P1301" s="105"/>
      <c r="Q1301" s="105"/>
      <c r="R1301" s="105"/>
      <c r="S1301" s="105"/>
      <c r="T1301" s="105"/>
      <c r="U1301" s="105"/>
      <c r="V1301" s="105"/>
      <c r="W1301" s="105"/>
      <c r="X1301" s="105"/>
      <c r="Y1301" s="105"/>
      <c r="Z1301" s="105"/>
    </row>
    <row r="1302" spans="1:26">
      <c r="A1302" s="98"/>
      <c r="B1302" s="106"/>
      <c r="C1302" s="98"/>
      <c r="D1302" s="98"/>
      <c r="E1302" s="98"/>
      <c r="F1302" s="98"/>
      <c r="G1302" s="98"/>
      <c r="H1302" s="98"/>
      <c r="I1302" s="98"/>
      <c r="J1302" s="107"/>
      <c r="K1302" s="108"/>
      <c r="L1302" s="109"/>
      <c r="M1302" s="105"/>
      <c r="N1302" s="105"/>
      <c r="O1302" s="105"/>
      <c r="P1302" s="105"/>
      <c r="Q1302" s="105"/>
      <c r="R1302" s="105"/>
      <c r="S1302" s="105"/>
      <c r="T1302" s="105"/>
      <c r="U1302" s="105"/>
      <c r="V1302" s="105"/>
      <c r="W1302" s="105"/>
      <c r="X1302" s="105"/>
      <c r="Y1302" s="105"/>
      <c r="Z1302" s="105"/>
    </row>
    <row r="1303" spans="1:26">
      <c r="A1303" s="98"/>
      <c r="B1303" s="106"/>
      <c r="C1303" s="98"/>
      <c r="D1303" s="98"/>
      <c r="E1303" s="98"/>
      <c r="F1303" s="98"/>
      <c r="G1303" s="98"/>
      <c r="H1303" s="98"/>
      <c r="I1303" s="98"/>
      <c r="J1303" s="107"/>
      <c r="K1303" s="108"/>
      <c r="L1303" s="109"/>
      <c r="M1303" s="105"/>
      <c r="N1303" s="105"/>
      <c r="O1303" s="105"/>
      <c r="P1303" s="105"/>
      <c r="Q1303" s="105"/>
      <c r="R1303" s="105"/>
      <c r="S1303" s="105"/>
      <c r="T1303" s="105"/>
      <c r="U1303" s="105"/>
      <c r="V1303" s="105"/>
      <c r="W1303" s="105"/>
      <c r="X1303" s="105"/>
      <c r="Y1303" s="105"/>
      <c r="Z1303" s="105"/>
    </row>
    <row r="1304" spans="1:26">
      <c r="A1304" s="98"/>
      <c r="B1304" s="106"/>
      <c r="C1304" s="98"/>
      <c r="D1304" s="98"/>
      <c r="E1304" s="98"/>
      <c r="F1304" s="98"/>
      <c r="G1304" s="98"/>
      <c r="H1304" s="98"/>
      <c r="I1304" s="98"/>
      <c r="J1304" s="107"/>
      <c r="K1304" s="108"/>
      <c r="L1304" s="109"/>
      <c r="M1304" s="105"/>
      <c r="N1304" s="105"/>
      <c r="O1304" s="105"/>
      <c r="P1304" s="105"/>
      <c r="Q1304" s="105"/>
      <c r="R1304" s="105"/>
      <c r="S1304" s="105"/>
      <c r="T1304" s="105"/>
      <c r="U1304" s="105"/>
      <c r="V1304" s="105"/>
      <c r="W1304" s="105"/>
      <c r="X1304" s="105"/>
      <c r="Y1304" s="105"/>
      <c r="Z1304" s="105"/>
    </row>
    <row r="1305" spans="1:26">
      <c r="A1305" s="98"/>
      <c r="B1305" s="106"/>
      <c r="C1305" s="98"/>
      <c r="D1305" s="98"/>
      <c r="E1305" s="98"/>
      <c r="F1305" s="98"/>
      <c r="G1305" s="98"/>
      <c r="H1305" s="98"/>
      <c r="I1305" s="98"/>
      <c r="J1305" s="107"/>
      <c r="K1305" s="108"/>
      <c r="L1305" s="109"/>
      <c r="M1305" s="105"/>
      <c r="N1305" s="105"/>
      <c r="O1305" s="105"/>
      <c r="P1305" s="105"/>
      <c r="Q1305" s="105"/>
      <c r="R1305" s="105"/>
      <c r="S1305" s="105"/>
      <c r="T1305" s="105"/>
      <c r="U1305" s="105"/>
      <c r="V1305" s="105"/>
      <c r="W1305" s="105"/>
      <c r="X1305" s="105"/>
      <c r="Y1305" s="105"/>
      <c r="Z1305" s="105"/>
    </row>
    <row r="1306" spans="1:26">
      <c r="A1306" s="98"/>
      <c r="B1306" s="106"/>
      <c r="C1306" s="98"/>
      <c r="D1306" s="98"/>
      <c r="E1306" s="98"/>
      <c r="F1306" s="98"/>
      <c r="G1306" s="98"/>
      <c r="H1306" s="98"/>
      <c r="I1306" s="98"/>
      <c r="J1306" s="107"/>
      <c r="K1306" s="108"/>
      <c r="L1306" s="109"/>
      <c r="M1306" s="105"/>
      <c r="N1306" s="105"/>
      <c r="O1306" s="105"/>
      <c r="P1306" s="105"/>
      <c r="Q1306" s="105"/>
      <c r="R1306" s="105"/>
      <c r="S1306" s="105"/>
      <c r="T1306" s="105"/>
      <c r="U1306" s="105"/>
      <c r="V1306" s="105"/>
      <c r="W1306" s="105"/>
      <c r="X1306" s="105"/>
      <c r="Y1306" s="105"/>
      <c r="Z1306" s="105"/>
    </row>
    <row r="1307" spans="1:26">
      <c r="A1307" s="98"/>
      <c r="B1307" s="106"/>
      <c r="C1307" s="98"/>
      <c r="D1307" s="98"/>
      <c r="E1307" s="98"/>
      <c r="F1307" s="98"/>
      <c r="G1307" s="98"/>
      <c r="H1307" s="98"/>
      <c r="I1307" s="98"/>
      <c r="J1307" s="107"/>
      <c r="K1307" s="108"/>
      <c r="L1307" s="109"/>
      <c r="M1307" s="105"/>
      <c r="N1307" s="105"/>
      <c r="O1307" s="105"/>
      <c r="P1307" s="105"/>
      <c r="Q1307" s="105"/>
      <c r="R1307" s="105"/>
      <c r="S1307" s="105"/>
      <c r="T1307" s="105"/>
      <c r="U1307" s="105"/>
      <c r="V1307" s="105"/>
      <c r="W1307" s="105"/>
      <c r="X1307" s="105"/>
      <c r="Y1307" s="105"/>
      <c r="Z1307" s="105"/>
    </row>
    <row r="1308" spans="1:26">
      <c r="A1308" s="98"/>
      <c r="B1308" s="106"/>
      <c r="C1308" s="98"/>
      <c r="D1308" s="98"/>
      <c r="E1308" s="98"/>
      <c r="F1308" s="98"/>
      <c r="G1308" s="98"/>
      <c r="H1308" s="98"/>
      <c r="I1308" s="98"/>
      <c r="J1308" s="107"/>
      <c r="K1308" s="108"/>
      <c r="L1308" s="109"/>
      <c r="M1308" s="105"/>
      <c r="N1308" s="105"/>
      <c r="O1308" s="105"/>
      <c r="P1308" s="105"/>
      <c r="Q1308" s="105"/>
      <c r="R1308" s="105"/>
      <c r="S1308" s="105"/>
      <c r="T1308" s="105"/>
      <c r="U1308" s="105"/>
      <c r="V1308" s="105"/>
      <c r="W1308" s="105"/>
      <c r="X1308" s="105"/>
      <c r="Y1308" s="105"/>
      <c r="Z1308" s="105"/>
    </row>
    <row r="1309" spans="1:26">
      <c r="A1309" s="98"/>
      <c r="B1309" s="106"/>
      <c r="C1309" s="98"/>
      <c r="D1309" s="98"/>
      <c r="E1309" s="98"/>
      <c r="F1309" s="98"/>
      <c r="G1309" s="98"/>
      <c r="H1309" s="98"/>
      <c r="I1309" s="98"/>
      <c r="J1309" s="107"/>
      <c r="K1309" s="108"/>
      <c r="L1309" s="109"/>
      <c r="M1309" s="105"/>
      <c r="N1309" s="105"/>
      <c r="O1309" s="105"/>
      <c r="P1309" s="105"/>
      <c r="Q1309" s="105"/>
      <c r="R1309" s="105"/>
      <c r="S1309" s="105"/>
      <c r="T1309" s="105"/>
      <c r="U1309" s="105"/>
      <c r="V1309" s="105"/>
      <c r="W1309" s="105"/>
      <c r="X1309" s="105"/>
      <c r="Y1309" s="105"/>
      <c r="Z1309" s="105"/>
    </row>
    <row r="1310" spans="1:26">
      <c r="A1310" s="98"/>
      <c r="B1310" s="106"/>
      <c r="C1310" s="98"/>
      <c r="D1310" s="98"/>
      <c r="E1310" s="98"/>
      <c r="F1310" s="98"/>
      <c r="G1310" s="98"/>
      <c r="H1310" s="98"/>
      <c r="I1310" s="98"/>
      <c r="J1310" s="107"/>
      <c r="K1310" s="108"/>
      <c r="L1310" s="109"/>
      <c r="M1310" s="105"/>
      <c r="N1310" s="105"/>
      <c r="O1310" s="105"/>
      <c r="P1310" s="105"/>
      <c r="Q1310" s="105"/>
      <c r="R1310" s="105"/>
      <c r="S1310" s="105"/>
      <c r="T1310" s="105"/>
      <c r="U1310" s="105"/>
      <c r="V1310" s="105"/>
      <c r="W1310" s="105"/>
      <c r="X1310" s="105"/>
      <c r="Y1310" s="105"/>
      <c r="Z1310" s="105"/>
    </row>
    <row r="1311" spans="1:26">
      <c r="A1311" s="98"/>
      <c r="B1311" s="106"/>
      <c r="C1311" s="98"/>
      <c r="D1311" s="98"/>
      <c r="E1311" s="98"/>
      <c r="F1311" s="98"/>
      <c r="G1311" s="98"/>
      <c r="H1311" s="98"/>
      <c r="I1311" s="98"/>
      <c r="J1311" s="107"/>
      <c r="K1311" s="108"/>
      <c r="L1311" s="109"/>
      <c r="M1311" s="105"/>
      <c r="N1311" s="105"/>
      <c r="O1311" s="105"/>
      <c r="P1311" s="105"/>
      <c r="Q1311" s="105"/>
      <c r="R1311" s="105"/>
      <c r="S1311" s="105"/>
      <c r="T1311" s="105"/>
      <c r="U1311" s="105"/>
      <c r="V1311" s="105"/>
      <c r="W1311" s="105"/>
      <c r="X1311" s="105"/>
      <c r="Y1311" s="105"/>
      <c r="Z1311" s="105"/>
    </row>
    <row r="1312" spans="1:26">
      <c r="A1312" s="98"/>
      <c r="B1312" s="106"/>
      <c r="C1312" s="98"/>
      <c r="D1312" s="98"/>
      <c r="E1312" s="98"/>
      <c r="F1312" s="98"/>
      <c r="G1312" s="98"/>
      <c r="H1312" s="98"/>
      <c r="I1312" s="98"/>
      <c r="J1312" s="107"/>
      <c r="K1312" s="108"/>
      <c r="L1312" s="109"/>
      <c r="M1312" s="105"/>
      <c r="N1312" s="105"/>
      <c r="O1312" s="105"/>
      <c r="P1312" s="105"/>
      <c r="Q1312" s="105"/>
      <c r="R1312" s="105"/>
      <c r="S1312" s="105"/>
      <c r="T1312" s="105"/>
      <c r="U1312" s="105"/>
      <c r="V1312" s="105"/>
      <c r="W1312" s="105"/>
      <c r="X1312" s="105"/>
      <c r="Y1312" s="105"/>
      <c r="Z1312" s="105"/>
    </row>
    <row r="1313" spans="1:26">
      <c r="A1313" s="98"/>
      <c r="B1313" s="106"/>
      <c r="C1313" s="98"/>
      <c r="D1313" s="98"/>
      <c r="E1313" s="98"/>
      <c r="F1313" s="98"/>
      <c r="G1313" s="98"/>
      <c r="H1313" s="98"/>
      <c r="I1313" s="98"/>
      <c r="J1313" s="107"/>
      <c r="K1313" s="108"/>
      <c r="L1313" s="109"/>
      <c r="M1313" s="105"/>
      <c r="N1313" s="105"/>
      <c r="O1313" s="105"/>
      <c r="P1313" s="105"/>
      <c r="Q1313" s="105"/>
      <c r="R1313" s="105"/>
      <c r="S1313" s="105"/>
      <c r="T1313" s="105"/>
      <c r="U1313" s="105"/>
      <c r="V1313" s="105"/>
      <c r="W1313" s="105"/>
      <c r="X1313" s="105"/>
      <c r="Y1313" s="105"/>
      <c r="Z1313" s="105"/>
    </row>
    <row r="1314" spans="1:26">
      <c r="A1314" s="98"/>
      <c r="B1314" s="106"/>
      <c r="C1314" s="98"/>
      <c r="D1314" s="98"/>
      <c r="E1314" s="98"/>
      <c r="F1314" s="98"/>
      <c r="G1314" s="98"/>
      <c r="H1314" s="98"/>
      <c r="I1314" s="98"/>
      <c r="J1314" s="107"/>
      <c r="K1314" s="108"/>
      <c r="L1314" s="109"/>
      <c r="M1314" s="105"/>
      <c r="N1314" s="105"/>
      <c r="O1314" s="105"/>
      <c r="P1314" s="105"/>
      <c r="Q1314" s="105"/>
      <c r="R1314" s="105"/>
      <c r="S1314" s="105"/>
      <c r="T1314" s="105"/>
      <c r="U1314" s="105"/>
      <c r="V1314" s="105"/>
      <c r="W1314" s="105"/>
      <c r="X1314" s="105"/>
      <c r="Y1314" s="105"/>
      <c r="Z1314" s="105"/>
    </row>
    <row r="1315" spans="1:26">
      <c r="A1315" s="98"/>
      <c r="B1315" s="106"/>
      <c r="C1315" s="98"/>
      <c r="D1315" s="98"/>
      <c r="E1315" s="98"/>
      <c r="F1315" s="98"/>
      <c r="G1315" s="98"/>
      <c r="H1315" s="98"/>
      <c r="I1315" s="98"/>
      <c r="J1315" s="107"/>
      <c r="K1315" s="108"/>
      <c r="L1315" s="109"/>
      <c r="M1315" s="105"/>
      <c r="N1315" s="105"/>
      <c r="O1315" s="105"/>
      <c r="P1315" s="105"/>
      <c r="Q1315" s="105"/>
      <c r="R1315" s="105"/>
      <c r="S1315" s="105"/>
      <c r="T1315" s="105"/>
      <c r="U1315" s="105"/>
      <c r="V1315" s="105"/>
      <c r="W1315" s="105"/>
      <c r="X1315" s="105"/>
      <c r="Y1315" s="105"/>
      <c r="Z1315" s="105"/>
    </row>
    <row r="1316" spans="1:26">
      <c r="A1316" s="98"/>
      <c r="B1316" s="106"/>
      <c r="C1316" s="98"/>
      <c r="D1316" s="98"/>
      <c r="E1316" s="98"/>
      <c r="F1316" s="98"/>
      <c r="G1316" s="98"/>
      <c r="H1316" s="98"/>
      <c r="I1316" s="98"/>
      <c r="J1316" s="107"/>
      <c r="K1316" s="108"/>
      <c r="L1316" s="109"/>
      <c r="M1316" s="105"/>
      <c r="N1316" s="105"/>
      <c r="O1316" s="105"/>
      <c r="P1316" s="105"/>
      <c r="Q1316" s="105"/>
      <c r="R1316" s="105"/>
      <c r="S1316" s="105"/>
      <c r="T1316" s="105"/>
      <c r="U1316" s="105"/>
      <c r="V1316" s="105"/>
      <c r="W1316" s="105"/>
      <c r="X1316" s="105"/>
      <c r="Y1316" s="105"/>
      <c r="Z1316" s="105"/>
    </row>
    <row r="1317" spans="1:26">
      <c r="A1317" s="98"/>
      <c r="B1317" s="106"/>
      <c r="C1317" s="98"/>
      <c r="D1317" s="98"/>
      <c r="E1317" s="98"/>
      <c r="F1317" s="98"/>
      <c r="G1317" s="98"/>
      <c r="H1317" s="98"/>
      <c r="I1317" s="98"/>
      <c r="J1317" s="107"/>
      <c r="K1317" s="108"/>
      <c r="L1317" s="109"/>
      <c r="M1317" s="105"/>
      <c r="N1317" s="105"/>
      <c r="O1317" s="105"/>
      <c r="P1317" s="105"/>
      <c r="Q1317" s="105"/>
      <c r="R1317" s="105"/>
      <c r="S1317" s="105"/>
      <c r="T1317" s="105"/>
      <c r="U1317" s="105"/>
      <c r="V1317" s="105"/>
      <c r="W1317" s="105"/>
      <c r="X1317" s="105"/>
      <c r="Y1317" s="105"/>
      <c r="Z1317" s="105"/>
    </row>
    <row r="1318" spans="1:26">
      <c r="A1318" s="98"/>
      <c r="B1318" s="106"/>
      <c r="C1318" s="98"/>
      <c r="D1318" s="98"/>
      <c r="E1318" s="98"/>
      <c r="F1318" s="98"/>
      <c r="G1318" s="98"/>
      <c r="H1318" s="98"/>
      <c r="I1318" s="98"/>
      <c r="J1318" s="107"/>
      <c r="K1318" s="108"/>
      <c r="L1318" s="109"/>
      <c r="M1318" s="105"/>
      <c r="N1318" s="105"/>
      <c r="O1318" s="105"/>
      <c r="P1318" s="105"/>
      <c r="Q1318" s="105"/>
      <c r="R1318" s="105"/>
      <c r="S1318" s="105"/>
      <c r="T1318" s="105"/>
      <c r="U1318" s="105"/>
      <c r="V1318" s="105"/>
      <c r="W1318" s="105"/>
      <c r="X1318" s="105"/>
      <c r="Y1318" s="105"/>
      <c r="Z1318" s="105"/>
    </row>
    <row r="1319" spans="1:26">
      <c r="A1319" s="98"/>
      <c r="B1319" s="106"/>
      <c r="C1319" s="98"/>
      <c r="D1319" s="98"/>
      <c r="E1319" s="98"/>
      <c r="F1319" s="98"/>
      <c r="G1319" s="98"/>
      <c r="H1319" s="98"/>
      <c r="I1319" s="98"/>
      <c r="J1319" s="107"/>
      <c r="K1319" s="108"/>
      <c r="L1319" s="109"/>
      <c r="M1319" s="105"/>
      <c r="N1319" s="105"/>
      <c r="O1319" s="105"/>
      <c r="P1319" s="105"/>
      <c r="Q1319" s="105"/>
      <c r="R1319" s="105"/>
      <c r="S1319" s="105"/>
      <c r="T1319" s="105"/>
      <c r="U1319" s="105"/>
      <c r="V1319" s="105"/>
      <c r="W1319" s="105"/>
      <c r="X1319" s="105"/>
      <c r="Y1319" s="105"/>
      <c r="Z1319" s="105"/>
    </row>
    <row r="1320" spans="1:26">
      <c r="A1320" s="98"/>
      <c r="B1320" s="106"/>
      <c r="C1320" s="98"/>
      <c r="D1320" s="98"/>
      <c r="E1320" s="98"/>
      <c r="F1320" s="98"/>
      <c r="G1320" s="98"/>
      <c r="H1320" s="98"/>
      <c r="I1320" s="98"/>
      <c r="J1320" s="107"/>
      <c r="K1320" s="108"/>
      <c r="L1320" s="109"/>
      <c r="M1320" s="105"/>
      <c r="N1320" s="105"/>
      <c r="O1320" s="105"/>
      <c r="P1320" s="105"/>
      <c r="Q1320" s="105"/>
      <c r="R1320" s="105"/>
      <c r="S1320" s="105"/>
      <c r="T1320" s="105"/>
      <c r="U1320" s="105"/>
      <c r="V1320" s="105"/>
      <c r="W1320" s="105"/>
      <c r="X1320" s="105"/>
      <c r="Y1320" s="105"/>
      <c r="Z1320" s="105"/>
    </row>
    <row r="1321" spans="1:26">
      <c r="A1321" s="98"/>
      <c r="B1321" s="106"/>
      <c r="C1321" s="98"/>
      <c r="D1321" s="98"/>
      <c r="E1321" s="98"/>
      <c r="F1321" s="98"/>
      <c r="G1321" s="98"/>
      <c r="H1321" s="98"/>
      <c r="I1321" s="98"/>
      <c r="J1321" s="107"/>
      <c r="K1321" s="108"/>
      <c r="L1321" s="109"/>
      <c r="M1321" s="105"/>
      <c r="N1321" s="105"/>
      <c r="O1321" s="105"/>
      <c r="P1321" s="105"/>
      <c r="Q1321" s="105"/>
      <c r="R1321" s="105"/>
      <c r="S1321" s="105"/>
      <c r="T1321" s="105"/>
      <c r="U1321" s="105"/>
      <c r="V1321" s="105"/>
      <c r="W1321" s="105"/>
      <c r="X1321" s="105"/>
      <c r="Y1321" s="105"/>
      <c r="Z1321" s="105"/>
    </row>
    <row r="1322" spans="1:26">
      <c r="A1322" s="98"/>
      <c r="B1322" s="106"/>
      <c r="C1322" s="98"/>
      <c r="D1322" s="98"/>
      <c r="E1322" s="98"/>
      <c r="F1322" s="98"/>
      <c r="G1322" s="98"/>
      <c r="H1322" s="98"/>
      <c r="I1322" s="98"/>
      <c r="J1322" s="107"/>
      <c r="K1322" s="108"/>
      <c r="L1322" s="109"/>
      <c r="M1322" s="105"/>
      <c r="N1322" s="105"/>
      <c r="O1322" s="105"/>
      <c r="P1322" s="105"/>
      <c r="Q1322" s="105"/>
      <c r="R1322" s="105"/>
      <c r="S1322" s="105"/>
      <c r="T1322" s="105"/>
      <c r="U1322" s="105"/>
      <c r="V1322" s="105"/>
      <c r="W1322" s="105"/>
      <c r="X1322" s="105"/>
      <c r="Y1322" s="105"/>
      <c r="Z1322" s="105"/>
    </row>
    <row r="1323" spans="1:26">
      <c r="A1323" s="98"/>
      <c r="B1323" s="106"/>
      <c r="C1323" s="98"/>
      <c r="D1323" s="98"/>
      <c r="E1323" s="98"/>
      <c r="F1323" s="98"/>
      <c r="G1323" s="98"/>
      <c r="H1323" s="98"/>
      <c r="I1323" s="98"/>
      <c r="J1323" s="107"/>
      <c r="K1323" s="108"/>
      <c r="L1323" s="109"/>
      <c r="M1323" s="105"/>
      <c r="N1323" s="105"/>
      <c r="O1323" s="105"/>
      <c r="P1323" s="105"/>
      <c r="Q1323" s="105"/>
      <c r="R1323" s="105"/>
      <c r="S1323" s="105"/>
      <c r="T1323" s="105"/>
      <c r="U1323" s="105"/>
      <c r="V1323" s="105"/>
      <c r="W1323" s="105"/>
      <c r="X1323" s="105"/>
      <c r="Y1323" s="105"/>
      <c r="Z1323" s="105"/>
    </row>
    <row r="1324" spans="1:26">
      <c r="A1324" s="98"/>
      <c r="B1324" s="106"/>
      <c r="C1324" s="98"/>
      <c r="D1324" s="98"/>
      <c r="E1324" s="98"/>
      <c r="F1324" s="98"/>
      <c r="G1324" s="98"/>
      <c r="H1324" s="98"/>
      <c r="I1324" s="98"/>
      <c r="J1324" s="107"/>
      <c r="K1324" s="108"/>
      <c r="L1324" s="109"/>
      <c r="M1324" s="105"/>
      <c r="N1324" s="105"/>
      <c r="O1324" s="105"/>
      <c r="P1324" s="105"/>
      <c r="Q1324" s="105"/>
      <c r="R1324" s="105"/>
      <c r="S1324" s="105"/>
      <c r="T1324" s="105"/>
      <c r="U1324" s="105"/>
      <c r="V1324" s="105"/>
      <c r="W1324" s="105"/>
      <c r="X1324" s="105"/>
      <c r="Y1324" s="105"/>
      <c r="Z1324" s="105"/>
    </row>
    <row r="1325" spans="1:26">
      <c r="A1325" s="98"/>
      <c r="B1325" s="106"/>
      <c r="C1325" s="98"/>
      <c r="D1325" s="98"/>
      <c r="E1325" s="98"/>
      <c r="F1325" s="98"/>
      <c r="G1325" s="98"/>
      <c r="H1325" s="98"/>
      <c r="I1325" s="98"/>
      <c r="J1325" s="107"/>
      <c r="K1325" s="108"/>
      <c r="L1325" s="109"/>
      <c r="M1325" s="105"/>
      <c r="N1325" s="105"/>
      <c r="O1325" s="105"/>
      <c r="P1325" s="105"/>
      <c r="Q1325" s="105"/>
      <c r="R1325" s="105"/>
      <c r="S1325" s="105"/>
      <c r="T1325" s="105"/>
      <c r="U1325" s="105"/>
      <c r="V1325" s="105"/>
      <c r="W1325" s="105"/>
      <c r="X1325" s="105"/>
      <c r="Y1325" s="105"/>
      <c r="Z1325" s="105"/>
    </row>
    <row r="1326" spans="1:26">
      <c r="A1326" s="98"/>
      <c r="B1326" s="106"/>
      <c r="C1326" s="98"/>
      <c r="D1326" s="98"/>
      <c r="E1326" s="98"/>
      <c r="F1326" s="98"/>
      <c r="G1326" s="98"/>
      <c r="H1326" s="98"/>
      <c r="I1326" s="98"/>
      <c r="J1326" s="107"/>
      <c r="K1326" s="108"/>
      <c r="L1326" s="109"/>
      <c r="M1326" s="105"/>
      <c r="N1326" s="105"/>
      <c r="O1326" s="105"/>
      <c r="P1326" s="105"/>
      <c r="Q1326" s="105"/>
      <c r="R1326" s="105"/>
      <c r="S1326" s="105"/>
      <c r="T1326" s="105"/>
      <c r="U1326" s="105"/>
      <c r="V1326" s="105"/>
      <c r="W1326" s="105"/>
      <c r="X1326" s="105"/>
      <c r="Y1326" s="105"/>
      <c r="Z1326" s="105"/>
    </row>
    <row r="1327" spans="1:26">
      <c r="A1327" s="98"/>
      <c r="B1327" s="106"/>
      <c r="C1327" s="98"/>
      <c r="D1327" s="98"/>
      <c r="E1327" s="98"/>
      <c r="F1327" s="98"/>
      <c r="G1327" s="98"/>
      <c r="H1327" s="98"/>
      <c r="I1327" s="98"/>
      <c r="J1327" s="107"/>
      <c r="K1327" s="108"/>
      <c r="L1327" s="109"/>
      <c r="M1327" s="105"/>
      <c r="N1327" s="105"/>
      <c r="O1327" s="105"/>
      <c r="P1327" s="105"/>
      <c r="Q1327" s="105"/>
      <c r="R1327" s="105"/>
      <c r="S1327" s="105"/>
      <c r="T1327" s="105"/>
      <c r="U1327" s="105"/>
      <c r="V1327" s="105"/>
      <c r="W1327" s="105"/>
      <c r="X1327" s="105"/>
      <c r="Y1327" s="105"/>
      <c r="Z1327" s="105"/>
    </row>
    <row r="1328" spans="1:26">
      <c r="A1328" s="98"/>
      <c r="B1328" s="106"/>
      <c r="C1328" s="98"/>
      <c r="D1328" s="98"/>
      <c r="E1328" s="98"/>
      <c r="F1328" s="98"/>
      <c r="G1328" s="98"/>
      <c r="H1328" s="98"/>
      <c r="I1328" s="98"/>
      <c r="J1328" s="107"/>
      <c r="K1328" s="108"/>
      <c r="L1328" s="109"/>
      <c r="M1328" s="105"/>
      <c r="N1328" s="105"/>
      <c r="O1328" s="105"/>
      <c r="P1328" s="105"/>
      <c r="Q1328" s="105"/>
      <c r="R1328" s="105"/>
      <c r="S1328" s="105"/>
      <c r="T1328" s="105"/>
      <c r="U1328" s="105"/>
      <c r="V1328" s="105"/>
      <c r="W1328" s="105"/>
      <c r="X1328" s="105"/>
      <c r="Y1328" s="105"/>
      <c r="Z1328" s="105"/>
    </row>
    <row r="1329" spans="1:26">
      <c r="A1329" s="98"/>
      <c r="B1329" s="106"/>
      <c r="C1329" s="98"/>
      <c r="D1329" s="98"/>
      <c r="E1329" s="98"/>
      <c r="F1329" s="98"/>
      <c r="G1329" s="98"/>
      <c r="H1329" s="98"/>
      <c r="I1329" s="98"/>
      <c r="J1329" s="107"/>
      <c r="K1329" s="108"/>
      <c r="L1329" s="109"/>
      <c r="M1329" s="105"/>
      <c r="N1329" s="105"/>
      <c r="O1329" s="105"/>
      <c r="P1329" s="105"/>
      <c r="Q1329" s="105"/>
      <c r="R1329" s="105"/>
      <c r="S1329" s="105"/>
      <c r="T1329" s="105"/>
      <c r="U1329" s="105"/>
      <c r="V1329" s="105"/>
      <c r="W1329" s="105"/>
      <c r="X1329" s="105"/>
      <c r="Y1329" s="105"/>
      <c r="Z1329" s="105"/>
    </row>
    <row r="1330" spans="1:26">
      <c r="A1330" s="98"/>
      <c r="B1330" s="106"/>
      <c r="C1330" s="98"/>
      <c r="D1330" s="98"/>
      <c r="E1330" s="98"/>
      <c r="F1330" s="98"/>
      <c r="G1330" s="98"/>
      <c r="H1330" s="98"/>
      <c r="I1330" s="98"/>
      <c r="J1330" s="107"/>
      <c r="K1330" s="108"/>
      <c r="L1330" s="109"/>
      <c r="M1330" s="105"/>
      <c r="N1330" s="105"/>
      <c r="O1330" s="105"/>
      <c r="P1330" s="105"/>
      <c r="Q1330" s="105"/>
      <c r="R1330" s="105"/>
      <c r="S1330" s="105"/>
      <c r="T1330" s="105"/>
      <c r="U1330" s="105"/>
      <c r="V1330" s="105"/>
      <c r="W1330" s="105"/>
      <c r="X1330" s="105"/>
      <c r="Y1330" s="105"/>
      <c r="Z1330" s="105"/>
    </row>
    <row r="1331" spans="1:26">
      <c r="A1331" s="98"/>
      <c r="B1331" s="106"/>
      <c r="C1331" s="98"/>
      <c r="D1331" s="98"/>
      <c r="E1331" s="98"/>
      <c r="F1331" s="98"/>
      <c r="G1331" s="98"/>
      <c r="H1331" s="98"/>
      <c r="I1331" s="98"/>
      <c r="J1331" s="107"/>
      <c r="K1331" s="108"/>
      <c r="L1331" s="109"/>
      <c r="M1331" s="105"/>
      <c r="N1331" s="105"/>
      <c r="O1331" s="105"/>
      <c r="P1331" s="105"/>
      <c r="Q1331" s="105"/>
      <c r="R1331" s="105"/>
      <c r="S1331" s="105"/>
      <c r="T1331" s="105"/>
      <c r="U1331" s="105"/>
      <c r="V1331" s="105"/>
      <c r="W1331" s="105"/>
      <c r="X1331" s="105"/>
      <c r="Y1331" s="105"/>
      <c r="Z1331" s="105"/>
    </row>
    <row r="1332" spans="1:26">
      <c r="A1332" s="98"/>
      <c r="B1332" s="106"/>
      <c r="C1332" s="98"/>
      <c r="D1332" s="98"/>
      <c r="E1332" s="98"/>
      <c r="F1332" s="98"/>
      <c r="G1332" s="98"/>
      <c r="H1332" s="98"/>
      <c r="I1332" s="98"/>
      <c r="J1332" s="107"/>
      <c r="K1332" s="108"/>
      <c r="L1332" s="109"/>
      <c r="M1332" s="105"/>
      <c r="N1332" s="105"/>
      <c r="O1332" s="105"/>
      <c r="P1332" s="105"/>
      <c r="Q1332" s="105"/>
      <c r="R1332" s="105"/>
      <c r="S1332" s="105"/>
      <c r="T1332" s="105"/>
      <c r="U1332" s="105"/>
      <c r="V1332" s="105"/>
      <c r="W1332" s="105"/>
      <c r="X1332" s="105"/>
      <c r="Y1332" s="105"/>
      <c r="Z1332" s="105"/>
    </row>
    <row r="1333" spans="1:26">
      <c r="A1333" s="98"/>
      <c r="B1333" s="106"/>
      <c r="C1333" s="98"/>
      <c r="D1333" s="98"/>
      <c r="E1333" s="98"/>
      <c r="F1333" s="98"/>
      <c r="G1333" s="98"/>
      <c r="H1333" s="98"/>
      <c r="I1333" s="98"/>
      <c r="J1333" s="107"/>
      <c r="K1333" s="108"/>
      <c r="L1333" s="109"/>
      <c r="M1333" s="105"/>
      <c r="N1333" s="105"/>
      <c r="O1333" s="105"/>
      <c r="P1333" s="105"/>
      <c r="Q1333" s="105"/>
      <c r="R1333" s="105"/>
      <c r="S1333" s="105"/>
      <c r="T1333" s="105"/>
      <c r="U1333" s="105"/>
      <c r="V1333" s="105"/>
      <c r="W1333" s="105"/>
      <c r="X1333" s="105"/>
      <c r="Y1333" s="105"/>
      <c r="Z1333" s="105"/>
    </row>
    <row r="1334" spans="1:26">
      <c r="A1334" s="98"/>
      <c r="B1334" s="106"/>
      <c r="C1334" s="98"/>
      <c r="D1334" s="98"/>
      <c r="E1334" s="98"/>
      <c r="F1334" s="98"/>
      <c r="G1334" s="98"/>
      <c r="H1334" s="98"/>
      <c r="I1334" s="98"/>
      <c r="J1334" s="107"/>
      <c r="K1334" s="108"/>
      <c r="L1334" s="109"/>
      <c r="M1334" s="105"/>
      <c r="N1334" s="105"/>
      <c r="O1334" s="105"/>
      <c r="P1334" s="105"/>
      <c r="Q1334" s="105"/>
      <c r="R1334" s="105"/>
      <c r="S1334" s="105"/>
      <c r="T1334" s="105"/>
      <c r="U1334" s="105"/>
      <c r="V1334" s="105"/>
      <c r="W1334" s="105"/>
      <c r="X1334" s="105"/>
      <c r="Y1334" s="105"/>
      <c r="Z1334" s="105"/>
    </row>
    <row r="1335" spans="1:26">
      <c r="A1335" s="98"/>
      <c r="B1335" s="106"/>
      <c r="C1335" s="98"/>
      <c r="D1335" s="98"/>
      <c r="E1335" s="98"/>
      <c r="F1335" s="98"/>
      <c r="G1335" s="98"/>
      <c r="H1335" s="98"/>
      <c r="I1335" s="98"/>
      <c r="J1335" s="107"/>
      <c r="K1335" s="108"/>
      <c r="L1335" s="109"/>
      <c r="M1335" s="105"/>
      <c r="N1335" s="105"/>
      <c r="O1335" s="105"/>
      <c r="P1335" s="105"/>
      <c r="Q1335" s="105"/>
      <c r="R1335" s="105"/>
      <c r="S1335" s="105"/>
      <c r="T1335" s="105"/>
      <c r="U1335" s="105"/>
      <c r="V1335" s="105"/>
      <c r="W1335" s="105"/>
      <c r="X1335" s="105"/>
      <c r="Y1335" s="105"/>
      <c r="Z1335" s="105"/>
    </row>
    <row r="1336" spans="1:26">
      <c r="A1336" s="98"/>
      <c r="B1336" s="106"/>
      <c r="C1336" s="98"/>
      <c r="D1336" s="98"/>
      <c r="E1336" s="98"/>
      <c r="F1336" s="98"/>
      <c r="G1336" s="98"/>
      <c r="H1336" s="98"/>
      <c r="I1336" s="98"/>
      <c r="J1336" s="107"/>
      <c r="K1336" s="108"/>
      <c r="L1336" s="109"/>
      <c r="M1336" s="105"/>
      <c r="N1336" s="105"/>
      <c r="O1336" s="105"/>
      <c r="P1336" s="105"/>
      <c r="Q1336" s="105"/>
      <c r="R1336" s="105"/>
      <c r="S1336" s="105"/>
      <c r="T1336" s="105"/>
      <c r="U1336" s="105"/>
      <c r="V1336" s="105"/>
      <c r="W1336" s="105"/>
      <c r="X1336" s="105"/>
      <c r="Y1336" s="105"/>
      <c r="Z1336" s="105"/>
    </row>
    <row r="1337" spans="1:26">
      <c r="A1337" s="98"/>
      <c r="B1337" s="106"/>
      <c r="C1337" s="98"/>
      <c r="D1337" s="98"/>
      <c r="E1337" s="98"/>
      <c r="F1337" s="98"/>
      <c r="G1337" s="98"/>
      <c r="H1337" s="98"/>
      <c r="I1337" s="98"/>
      <c r="J1337" s="107"/>
      <c r="K1337" s="108"/>
      <c r="L1337" s="109"/>
      <c r="M1337" s="105"/>
      <c r="N1337" s="105"/>
      <c r="O1337" s="105"/>
      <c r="P1337" s="105"/>
      <c r="Q1337" s="105"/>
      <c r="R1337" s="105"/>
      <c r="S1337" s="105"/>
      <c r="T1337" s="105"/>
      <c r="U1337" s="105"/>
      <c r="V1337" s="105"/>
      <c r="W1337" s="105"/>
      <c r="X1337" s="105"/>
      <c r="Y1337" s="105"/>
      <c r="Z1337" s="105"/>
    </row>
    <row r="1338" spans="1:26">
      <c r="A1338" s="98"/>
      <c r="B1338" s="106"/>
      <c r="C1338" s="98"/>
      <c r="D1338" s="98"/>
      <c r="E1338" s="98"/>
      <c r="F1338" s="98"/>
      <c r="G1338" s="98"/>
      <c r="H1338" s="98"/>
      <c r="I1338" s="98"/>
      <c r="J1338" s="107"/>
      <c r="K1338" s="108"/>
      <c r="L1338" s="109"/>
      <c r="M1338" s="105"/>
      <c r="N1338" s="105"/>
      <c r="O1338" s="105"/>
      <c r="P1338" s="105"/>
      <c r="Q1338" s="105"/>
      <c r="R1338" s="105"/>
      <c r="S1338" s="105"/>
      <c r="T1338" s="105"/>
      <c r="U1338" s="105"/>
      <c r="V1338" s="105"/>
      <c r="W1338" s="105"/>
      <c r="X1338" s="105"/>
      <c r="Y1338" s="105"/>
      <c r="Z1338" s="105"/>
    </row>
    <row r="1339" spans="1:26">
      <c r="A1339" s="98"/>
      <c r="B1339" s="106"/>
      <c r="C1339" s="98"/>
      <c r="D1339" s="98"/>
      <c r="E1339" s="98"/>
      <c r="F1339" s="98"/>
      <c r="G1339" s="98"/>
      <c r="H1339" s="98"/>
      <c r="I1339" s="98"/>
      <c r="J1339" s="107"/>
      <c r="K1339" s="108"/>
      <c r="L1339" s="109"/>
      <c r="M1339" s="105"/>
      <c r="N1339" s="105"/>
      <c r="O1339" s="105"/>
      <c r="P1339" s="105"/>
      <c r="Q1339" s="105"/>
      <c r="R1339" s="105"/>
      <c r="S1339" s="105"/>
      <c r="T1339" s="105"/>
      <c r="U1339" s="105"/>
      <c r="V1339" s="105"/>
      <c r="W1339" s="105"/>
      <c r="X1339" s="105"/>
      <c r="Y1339" s="105"/>
      <c r="Z1339" s="105"/>
    </row>
    <row r="1340" spans="1:26">
      <c r="A1340" s="98"/>
      <c r="B1340" s="106"/>
      <c r="C1340" s="98"/>
      <c r="D1340" s="98"/>
      <c r="E1340" s="98"/>
      <c r="F1340" s="98"/>
      <c r="G1340" s="98"/>
      <c r="H1340" s="98"/>
      <c r="I1340" s="98"/>
      <c r="J1340" s="107"/>
      <c r="K1340" s="108"/>
      <c r="L1340" s="109"/>
      <c r="M1340" s="105"/>
      <c r="N1340" s="105"/>
      <c r="O1340" s="105"/>
      <c r="P1340" s="105"/>
      <c r="Q1340" s="105"/>
      <c r="R1340" s="105"/>
      <c r="S1340" s="105"/>
      <c r="T1340" s="105"/>
      <c r="U1340" s="105"/>
      <c r="V1340" s="105"/>
      <c r="W1340" s="105"/>
      <c r="X1340" s="105"/>
      <c r="Y1340" s="105"/>
      <c r="Z1340" s="105"/>
    </row>
    <row r="1341" spans="1:26">
      <c r="A1341" s="98"/>
      <c r="B1341" s="106"/>
      <c r="C1341" s="98"/>
      <c r="D1341" s="98"/>
      <c r="E1341" s="98"/>
      <c r="F1341" s="98"/>
      <c r="G1341" s="98"/>
      <c r="H1341" s="98"/>
      <c r="I1341" s="98"/>
      <c r="J1341" s="107"/>
      <c r="K1341" s="108"/>
      <c r="L1341" s="109"/>
      <c r="M1341" s="105"/>
      <c r="N1341" s="105"/>
      <c r="O1341" s="105"/>
      <c r="P1341" s="105"/>
      <c r="Q1341" s="105"/>
      <c r="R1341" s="105"/>
      <c r="S1341" s="105"/>
      <c r="T1341" s="105"/>
      <c r="U1341" s="105"/>
      <c r="V1341" s="105"/>
      <c r="W1341" s="105"/>
      <c r="X1341" s="105"/>
      <c r="Y1341" s="105"/>
      <c r="Z1341" s="105"/>
    </row>
    <row r="1342" spans="1:26">
      <c r="A1342" s="98"/>
      <c r="B1342" s="106"/>
      <c r="C1342" s="98"/>
      <c r="D1342" s="98"/>
      <c r="E1342" s="98"/>
      <c r="F1342" s="98"/>
      <c r="G1342" s="98"/>
      <c r="H1342" s="98"/>
      <c r="I1342" s="98"/>
      <c r="J1342" s="107"/>
      <c r="K1342" s="108"/>
      <c r="L1342" s="109"/>
      <c r="M1342" s="105"/>
      <c r="N1342" s="105"/>
      <c r="O1342" s="105"/>
      <c r="P1342" s="105"/>
      <c r="Q1342" s="105"/>
      <c r="R1342" s="105"/>
      <c r="S1342" s="105"/>
      <c r="T1342" s="105"/>
      <c r="U1342" s="105"/>
      <c r="V1342" s="105"/>
      <c r="W1342" s="105"/>
      <c r="X1342" s="105"/>
      <c r="Y1342" s="105"/>
      <c r="Z1342" s="105"/>
    </row>
    <row r="1343" spans="1:26">
      <c r="A1343" s="98"/>
      <c r="B1343" s="106"/>
      <c r="C1343" s="98"/>
      <c r="D1343" s="98"/>
      <c r="E1343" s="98"/>
      <c r="F1343" s="98"/>
      <c r="G1343" s="98"/>
      <c r="H1343" s="98"/>
      <c r="I1343" s="98"/>
      <c r="J1343" s="107"/>
      <c r="K1343" s="108"/>
      <c r="L1343" s="109"/>
      <c r="M1343" s="105"/>
      <c r="N1343" s="105"/>
      <c r="O1343" s="105"/>
      <c r="P1343" s="105"/>
      <c r="Q1343" s="105"/>
      <c r="R1343" s="105"/>
      <c r="S1343" s="105"/>
      <c r="T1343" s="105"/>
      <c r="U1343" s="105"/>
      <c r="V1343" s="105"/>
      <c r="W1343" s="105"/>
      <c r="X1343" s="105"/>
      <c r="Y1343" s="105"/>
      <c r="Z1343" s="105"/>
    </row>
    <row r="1344" spans="1:26">
      <c r="A1344" s="98"/>
      <c r="B1344" s="106"/>
      <c r="C1344" s="98"/>
      <c r="D1344" s="98"/>
      <c r="E1344" s="98"/>
      <c r="F1344" s="98"/>
      <c r="G1344" s="98"/>
      <c r="H1344" s="98"/>
      <c r="I1344" s="98"/>
      <c r="J1344" s="107"/>
      <c r="K1344" s="108"/>
      <c r="L1344" s="109"/>
      <c r="M1344" s="105"/>
      <c r="N1344" s="105"/>
      <c r="O1344" s="105"/>
      <c r="P1344" s="105"/>
      <c r="Q1344" s="105"/>
      <c r="R1344" s="105"/>
      <c r="S1344" s="105"/>
      <c r="T1344" s="105"/>
      <c r="U1344" s="105"/>
      <c r="V1344" s="105"/>
      <c r="W1344" s="105"/>
      <c r="X1344" s="105"/>
      <c r="Y1344" s="105"/>
      <c r="Z1344" s="105"/>
    </row>
    <row r="1345" spans="1:26">
      <c r="A1345" s="98"/>
      <c r="B1345" s="106"/>
      <c r="C1345" s="98"/>
      <c r="D1345" s="98"/>
      <c r="E1345" s="98"/>
      <c r="F1345" s="98"/>
      <c r="G1345" s="98"/>
      <c r="H1345" s="98"/>
      <c r="I1345" s="98"/>
      <c r="J1345" s="107"/>
      <c r="K1345" s="108"/>
      <c r="L1345" s="109"/>
      <c r="M1345" s="105"/>
      <c r="N1345" s="105"/>
      <c r="O1345" s="105"/>
      <c r="P1345" s="105"/>
      <c r="Q1345" s="105"/>
      <c r="R1345" s="105"/>
      <c r="S1345" s="105"/>
      <c r="T1345" s="105"/>
      <c r="U1345" s="105"/>
      <c r="V1345" s="105"/>
      <c r="W1345" s="105"/>
      <c r="X1345" s="105"/>
      <c r="Y1345" s="105"/>
      <c r="Z1345" s="105"/>
    </row>
    <row r="1346" spans="1:26">
      <c r="A1346" s="98"/>
      <c r="B1346" s="106"/>
      <c r="C1346" s="98"/>
      <c r="D1346" s="98"/>
      <c r="E1346" s="98"/>
      <c r="F1346" s="98"/>
      <c r="G1346" s="98"/>
      <c r="H1346" s="98"/>
      <c r="I1346" s="98"/>
      <c r="J1346" s="107"/>
      <c r="K1346" s="108"/>
      <c r="L1346" s="109"/>
      <c r="M1346" s="105"/>
      <c r="N1346" s="105"/>
      <c r="O1346" s="105"/>
      <c r="P1346" s="105"/>
      <c r="Q1346" s="105"/>
      <c r="R1346" s="105"/>
      <c r="S1346" s="105"/>
      <c r="T1346" s="105"/>
      <c r="U1346" s="105"/>
      <c r="V1346" s="105"/>
      <c r="W1346" s="105"/>
      <c r="X1346" s="105"/>
      <c r="Y1346" s="105"/>
      <c r="Z1346" s="105"/>
    </row>
    <row r="1347" spans="1:26">
      <c r="A1347" s="98"/>
      <c r="B1347" s="106"/>
      <c r="C1347" s="98"/>
      <c r="D1347" s="98"/>
      <c r="E1347" s="98"/>
      <c r="F1347" s="98"/>
      <c r="G1347" s="98"/>
      <c r="H1347" s="98"/>
      <c r="I1347" s="98"/>
      <c r="J1347" s="107"/>
      <c r="K1347" s="108"/>
      <c r="L1347" s="109"/>
      <c r="M1347" s="105"/>
      <c r="N1347" s="105"/>
      <c r="O1347" s="105"/>
      <c r="P1347" s="105"/>
      <c r="Q1347" s="105"/>
      <c r="R1347" s="105"/>
      <c r="S1347" s="105"/>
      <c r="T1347" s="105"/>
      <c r="U1347" s="105"/>
      <c r="V1347" s="105"/>
      <c r="W1347" s="105"/>
      <c r="X1347" s="105"/>
      <c r="Y1347" s="105"/>
      <c r="Z1347" s="105"/>
    </row>
    <row r="1348" spans="1:26">
      <c r="A1348" s="98"/>
      <c r="B1348" s="106"/>
      <c r="C1348" s="98"/>
      <c r="D1348" s="98"/>
      <c r="E1348" s="98"/>
      <c r="F1348" s="98"/>
      <c r="G1348" s="98"/>
      <c r="H1348" s="98"/>
      <c r="I1348" s="98"/>
      <c r="J1348" s="107"/>
      <c r="K1348" s="108"/>
      <c r="L1348" s="109"/>
      <c r="M1348" s="105"/>
      <c r="N1348" s="105"/>
      <c r="O1348" s="105"/>
      <c r="P1348" s="105"/>
      <c r="Q1348" s="105"/>
      <c r="R1348" s="105"/>
      <c r="S1348" s="105"/>
      <c r="T1348" s="105"/>
      <c r="U1348" s="105"/>
      <c r="V1348" s="105"/>
      <c r="W1348" s="105"/>
      <c r="X1348" s="105"/>
      <c r="Y1348" s="105"/>
      <c r="Z1348" s="105"/>
    </row>
    <row r="1349" spans="1:26">
      <c r="A1349" s="98"/>
      <c r="B1349" s="106"/>
      <c r="C1349" s="98"/>
      <c r="D1349" s="98"/>
      <c r="E1349" s="98"/>
      <c r="F1349" s="98"/>
      <c r="G1349" s="98"/>
      <c r="H1349" s="98"/>
      <c r="I1349" s="98"/>
      <c r="J1349" s="107"/>
      <c r="K1349" s="108"/>
      <c r="L1349" s="109"/>
      <c r="M1349" s="105"/>
      <c r="N1349" s="105"/>
      <c r="O1349" s="105"/>
      <c r="P1349" s="105"/>
      <c r="Q1349" s="105"/>
      <c r="R1349" s="105"/>
      <c r="S1349" s="105"/>
      <c r="T1349" s="105"/>
      <c r="U1349" s="105"/>
      <c r="V1349" s="105"/>
      <c r="W1349" s="105"/>
      <c r="X1349" s="105"/>
      <c r="Y1349" s="105"/>
      <c r="Z1349" s="105"/>
    </row>
    <row r="1350" spans="1:26">
      <c r="A1350" s="98"/>
      <c r="B1350" s="106"/>
      <c r="C1350" s="98"/>
      <c r="D1350" s="98"/>
      <c r="E1350" s="98"/>
      <c r="F1350" s="98"/>
      <c r="G1350" s="98"/>
      <c r="H1350" s="98"/>
      <c r="I1350" s="98"/>
      <c r="J1350" s="107"/>
      <c r="K1350" s="108"/>
      <c r="L1350" s="109"/>
      <c r="M1350" s="105"/>
      <c r="N1350" s="105"/>
      <c r="O1350" s="105"/>
      <c r="P1350" s="105"/>
      <c r="Q1350" s="105"/>
      <c r="R1350" s="105"/>
      <c r="S1350" s="105"/>
      <c r="T1350" s="105"/>
      <c r="U1350" s="105"/>
      <c r="V1350" s="105"/>
      <c r="W1350" s="105"/>
      <c r="X1350" s="105"/>
      <c r="Y1350" s="105"/>
      <c r="Z1350" s="105"/>
    </row>
    <row r="1351" spans="1:26">
      <c r="A1351" s="98"/>
      <c r="B1351" s="106"/>
      <c r="C1351" s="98"/>
      <c r="D1351" s="98"/>
      <c r="E1351" s="98"/>
      <c r="F1351" s="98"/>
      <c r="G1351" s="98"/>
      <c r="H1351" s="98"/>
      <c r="I1351" s="98"/>
      <c r="J1351" s="107"/>
      <c r="K1351" s="108"/>
      <c r="L1351" s="109"/>
      <c r="M1351" s="105"/>
      <c r="N1351" s="105"/>
      <c r="O1351" s="105"/>
      <c r="P1351" s="105"/>
      <c r="Q1351" s="105"/>
      <c r="R1351" s="105"/>
      <c r="S1351" s="105"/>
      <c r="T1351" s="105"/>
      <c r="U1351" s="105"/>
      <c r="V1351" s="105"/>
      <c r="W1351" s="105"/>
      <c r="X1351" s="105"/>
      <c r="Y1351" s="105"/>
      <c r="Z1351" s="105"/>
    </row>
    <row r="1352" spans="1:26">
      <c r="A1352" s="98"/>
      <c r="B1352" s="106"/>
      <c r="C1352" s="98"/>
      <c r="D1352" s="98"/>
      <c r="E1352" s="98"/>
      <c r="F1352" s="98"/>
      <c r="G1352" s="98"/>
      <c r="H1352" s="98"/>
      <c r="I1352" s="98"/>
      <c r="J1352" s="107"/>
      <c r="K1352" s="108"/>
      <c r="L1352" s="109"/>
      <c r="M1352" s="105"/>
      <c r="N1352" s="105"/>
      <c r="O1352" s="105"/>
      <c r="P1352" s="105"/>
      <c r="Q1352" s="105"/>
      <c r="R1352" s="105"/>
      <c r="S1352" s="105"/>
      <c r="T1352" s="105"/>
      <c r="U1352" s="105"/>
      <c r="V1352" s="105"/>
      <c r="W1352" s="105"/>
      <c r="X1352" s="105"/>
      <c r="Y1352" s="105"/>
      <c r="Z1352" s="105"/>
    </row>
    <row r="1353" spans="1:26">
      <c r="A1353" s="98"/>
      <c r="B1353" s="106"/>
      <c r="C1353" s="98"/>
      <c r="D1353" s="98"/>
      <c r="E1353" s="98"/>
      <c r="F1353" s="98"/>
      <c r="G1353" s="98"/>
      <c r="H1353" s="98"/>
      <c r="I1353" s="98"/>
      <c r="J1353" s="107"/>
      <c r="K1353" s="108"/>
      <c r="L1353" s="109"/>
      <c r="M1353" s="105"/>
      <c r="N1353" s="105"/>
      <c r="O1353" s="105"/>
      <c r="P1353" s="105"/>
      <c r="Q1353" s="105"/>
      <c r="R1353" s="105"/>
      <c r="S1353" s="105"/>
      <c r="T1353" s="105"/>
      <c r="U1353" s="105"/>
      <c r="V1353" s="105"/>
      <c r="W1353" s="105"/>
      <c r="X1353" s="105"/>
      <c r="Y1353" s="105"/>
      <c r="Z1353" s="105"/>
    </row>
    <row r="1354" spans="1:26">
      <c r="A1354" s="98"/>
      <c r="B1354" s="106"/>
      <c r="C1354" s="98"/>
      <c r="D1354" s="98"/>
      <c r="E1354" s="98"/>
      <c r="F1354" s="98"/>
      <c r="G1354" s="98"/>
      <c r="H1354" s="98"/>
      <c r="I1354" s="98"/>
      <c r="J1354" s="107"/>
      <c r="K1354" s="108"/>
      <c r="L1354" s="109"/>
      <c r="M1354" s="105"/>
      <c r="N1354" s="105"/>
      <c r="O1354" s="105"/>
      <c r="P1354" s="105"/>
      <c r="Q1354" s="105"/>
      <c r="R1354" s="105"/>
      <c r="S1354" s="105"/>
      <c r="T1354" s="105"/>
      <c r="U1354" s="105"/>
      <c r="V1354" s="105"/>
      <c r="W1354" s="105"/>
      <c r="X1354" s="105"/>
      <c r="Y1354" s="105"/>
      <c r="Z1354" s="105"/>
    </row>
    <row r="1355" spans="1:26">
      <c r="A1355" s="98"/>
      <c r="B1355" s="106"/>
      <c r="C1355" s="98"/>
      <c r="D1355" s="98"/>
      <c r="E1355" s="98"/>
      <c r="F1355" s="98"/>
      <c r="G1355" s="98"/>
      <c r="H1355" s="98"/>
      <c r="I1355" s="98"/>
      <c r="J1355" s="107"/>
      <c r="K1355" s="108"/>
      <c r="L1355" s="109"/>
      <c r="M1355" s="105"/>
      <c r="N1355" s="105"/>
      <c r="O1355" s="105"/>
      <c r="P1355" s="105"/>
      <c r="Q1355" s="105"/>
      <c r="R1355" s="105"/>
      <c r="S1355" s="105"/>
      <c r="T1355" s="105"/>
      <c r="U1355" s="105"/>
      <c r="V1355" s="105"/>
      <c r="W1355" s="105"/>
      <c r="X1355" s="105"/>
      <c r="Y1355" s="105"/>
      <c r="Z1355" s="105"/>
    </row>
    <row r="1356" spans="1:26">
      <c r="A1356" s="98"/>
      <c r="B1356" s="106"/>
      <c r="C1356" s="98"/>
      <c r="D1356" s="98"/>
      <c r="E1356" s="98"/>
      <c r="F1356" s="98"/>
      <c r="G1356" s="98"/>
      <c r="H1356" s="98"/>
      <c r="I1356" s="98"/>
      <c r="J1356" s="107"/>
      <c r="K1356" s="108"/>
      <c r="L1356" s="109"/>
      <c r="M1356" s="105"/>
      <c r="N1356" s="105"/>
      <c r="O1356" s="105"/>
      <c r="P1356" s="105"/>
      <c r="Q1356" s="105"/>
      <c r="R1356" s="105"/>
      <c r="S1356" s="105"/>
      <c r="T1356" s="105"/>
      <c r="U1356" s="105"/>
      <c r="V1356" s="105"/>
      <c r="W1356" s="105"/>
      <c r="X1356" s="105"/>
      <c r="Y1356" s="105"/>
      <c r="Z1356" s="105"/>
    </row>
    <row r="1357" spans="1:26">
      <c r="A1357" s="98"/>
      <c r="B1357" s="106"/>
      <c r="C1357" s="98"/>
      <c r="D1357" s="98"/>
      <c r="E1357" s="98"/>
      <c r="F1357" s="98"/>
      <c r="G1357" s="98"/>
      <c r="H1357" s="98"/>
      <c r="I1357" s="98"/>
      <c r="J1357" s="107"/>
      <c r="K1357" s="108"/>
      <c r="L1357" s="109"/>
      <c r="M1357" s="105"/>
      <c r="N1357" s="105"/>
      <c r="O1357" s="105"/>
      <c r="P1357" s="105"/>
      <c r="Q1357" s="105"/>
      <c r="R1357" s="105"/>
      <c r="S1357" s="105"/>
      <c r="T1357" s="105"/>
      <c r="U1357" s="105"/>
      <c r="V1357" s="105"/>
      <c r="W1357" s="105"/>
      <c r="X1357" s="105"/>
      <c r="Y1357" s="105"/>
      <c r="Z1357" s="105"/>
    </row>
    <row r="1358" spans="1:26">
      <c r="A1358" s="98"/>
      <c r="B1358" s="106"/>
      <c r="C1358" s="98"/>
      <c r="D1358" s="98"/>
      <c r="E1358" s="98"/>
      <c r="F1358" s="98"/>
      <c r="G1358" s="98"/>
      <c r="H1358" s="98"/>
      <c r="I1358" s="98"/>
      <c r="J1358" s="107"/>
      <c r="K1358" s="108"/>
      <c r="L1358" s="109"/>
      <c r="M1358" s="105"/>
      <c r="N1358" s="105"/>
      <c r="O1358" s="105"/>
      <c r="P1358" s="105"/>
      <c r="Q1358" s="105"/>
      <c r="R1358" s="105"/>
      <c r="S1358" s="105"/>
      <c r="T1358" s="105"/>
      <c r="U1358" s="105"/>
      <c r="V1358" s="105"/>
      <c r="W1358" s="105"/>
      <c r="X1358" s="105"/>
      <c r="Y1358" s="105"/>
      <c r="Z1358" s="105"/>
    </row>
    <row r="1359" spans="1:26">
      <c r="A1359" s="98"/>
      <c r="B1359" s="106"/>
      <c r="C1359" s="98"/>
      <c r="D1359" s="98"/>
      <c r="E1359" s="98"/>
      <c r="F1359" s="98"/>
      <c r="G1359" s="98"/>
      <c r="H1359" s="98"/>
      <c r="I1359" s="98"/>
      <c r="J1359" s="107"/>
      <c r="K1359" s="108"/>
      <c r="L1359" s="109"/>
      <c r="M1359" s="105"/>
      <c r="N1359" s="105"/>
      <c r="O1359" s="105"/>
      <c r="P1359" s="105"/>
      <c r="Q1359" s="105"/>
      <c r="R1359" s="105"/>
      <c r="S1359" s="105"/>
      <c r="T1359" s="105"/>
      <c r="U1359" s="105"/>
      <c r="V1359" s="105"/>
      <c r="W1359" s="105"/>
      <c r="X1359" s="105"/>
      <c r="Y1359" s="105"/>
      <c r="Z1359" s="105"/>
    </row>
    <row r="1360" spans="1:26">
      <c r="A1360" s="98"/>
      <c r="B1360" s="106"/>
      <c r="C1360" s="98"/>
      <c r="D1360" s="98"/>
      <c r="E1360" s="98"/>
      <c r="F1360" s="98"/>
      <c r="G1360" s="98"/>
      <c r="H1360" s="98"/>
      <c r="I1360" s="98"/>
      <c r="J1360" s="107"/>
      <c r="K1360" s="108"/>
      <c r="L1360" s="109"/>
      <c r="M1360" s="105"/>
      <c r="N1360" s="105"/>
      <c r="O1360" s="105"/>
      <c r="P1360" s="105"/>
      <c r="Q1360" s="105"/>
      <c r="R1360" s="105"/>
      <c r="S1360" s="105"/>
      <c r="T1360" s="105"/>
      <c r="U1360" s="105"/>
      <c r="V1360" s="105"/>
      <c r="W1360" s="105"/>
      <c r="X1360" s="105"/>
      <c r="Y1360" s="105"/>
      <c r="Z1360" s="105"/>
    </row>
    <row r="1361" spans="1:26">
      <c r="A1361" s="98"/>
      <c r="B1361" s="106"/>
      <c r="C1361" s="98"/>
      <c r="D1361" s="98"/>
      <c r="E1361" s="98"/>
      <c r="F1361" s="98"/>
      <c r="G1361" s="98"/>
      <c r="H1361" s="98"/>
      <c r="I1361" s="98"/>
      <c r="J1361" s="107"/>
      <c r="K1361" s="108"/>
      <c r="L1361" s="109"/>
      <c r="M1361" s="105"/>
      <c r="N1361" s="105"/>
      <c r="O1361" s="105"/>
      <c r="P1361" s="105"/>
      <c r="Q1361" s="105"/>
      <c r="R1361" s="105"/>
      <c r="S1361" s="105"/>
      <c r="T1361" s="105"/>
      <c r="U1361" s="105"/>
      <c r="V1361" s="105"/>
      <c r="W1361" s="105"/>
      <c r="X1361" s="105"/>
      <c r="Y1361" s="105"/>
      <c r="Z1361" s="105"/>
    </row>
    <row r="1362" spans="1:26">
      <c r="A1362" s="98"/>
      <c r="B1362" s="106"/>
      <c r="C1362" s="98"/>
      <c r="D1362" s="98"/>
      <c r="E1362" s="98"/>
      <c r="F1362" s="98"/>
      <c r="G1362" s="98"/>
      <c r="H1362" s="98"/>
      <c r="I1362" s="98"/>
      <c r="J1362" s="107"/>
      <c r="K1362" s="108"/>
      <c r="L1362" s="109"/>
      <c r="M1362" s="105"/>
      <c r="N1362" s="105"/>
      <c r="O1362" s="105"/>
      <c r="P1362" s="105"/>
      <c r="Q1362" s="105"/>
      <c r="R1362" s="105"/>
      <c r="S1362" s="105"/>
      <c r="T1362" s="105"/>
      <c r="U1362" s="105"/>
      <c r="V1362" s="105"/>
      <c r="W1362" s="105"/>
      <c r="X1362" s="105"/>
      <c r="Y1362" s="105"/>
      <c r="Z1362" s="105"/>
    </row>
    <row r="1363" spans="1:26">
      <c r="A1363" s="98"/>
      <c r="B1363" s="106"/>
      <c r="C1363" s="98"/>
      <c r="D1363" s="98"/>
      <c r="E1363" s="98"/>
      <c r="F1363" s="98"/>
      <c r="G1363" s="98"/>
      <c r="H1363" s="98"/>
      <c r="I1363" s="98"/>
      <c r="J1363" s="107"/>
      <c r="K1363" s="108"/>
      <c r="L1363" s="109"/>
      <c r="M1363" s="105"/>
      <c r="N1363" s="105"/>
      <c r="O1363" s="105"/>
      <c r="P1363" s="105"/>
      <c r="Q1363" s="105"/>
      <c r="R1363" s="105"/>
      <c r="S1363" s="105"/>
      <c r="T1363" s="105"/>
      <c r="U1363" s="105"/>
      <c r="V1363" s="105"/>
      <c r="W1363" s="105"/>
      <c r="X1363" s="105"/>
      <c r="Y1363" s="105"/>
      <c r="Z1363" s="105"/>
    </row>
    <row r="1364" spans="1:26">
      <c r="A1364" s="98"/>
      <c r="B1364" s="106"/>
      <c r="C1364" s="98"/>
      <c r="D1364" s="98"/>
      <c r="E1364" s="98"/>
      <c r="F1364" s="98"/>
      <c r="G1364" s="98"/>
      <c r="H1364" s="98"/>
      <c r="I1364" s="98"/>
      <c r="J1364" s="107"/>
      <c r="K1364" s="108"/>
      <c r="L1364" s="109"/>
      <c r="M1364" s="105"/>
      <c r="N1364" s="105"/>
      <c r="O1364" s="105"/>
      <c r="P1364" s="105"/>
      <c r="Q1364" s="105"/>
      <c r="R1364" s="105"/>
      <c r="S1364" s="105"/>
      <c r="T1364" s="105"/>
      <c r="U1364" s="105"/>
      <c r="V1364" s="105"/>
      <c r="W1364" s="105"/>
      <c r="X1364" s="105"/>
      <c r="Y1364" s="105"/>
      <c r="Z1364" s="105"/>
    </row>
    <row r="1365" spans="1:26">
      <c r="A1365" s="98"/>
      <c r="B1365" s="106"/>
      <c r="C1365" s="98"/>
      <c r="D1365" s="98"/>
      <c r="E1365" s="98"/>
      <c r="F1365" s="98"/>
      <c r="G1365" s="98"/>
      <c r="H1365" s="98"/>
      <c r="I1365" s="98"/>
      <c r="J1365" s="107"/>
      <c r="K1365" s="108"/>
      <c r="L1365" s="109"/>
      <c r="M1365" s="105"/>
      <c r="N1365" s="105"/>
      <c r="O1365" s="105"/>
      <c r="P1365" s="105"/>
      <c r="Q1365" s="105"/>
      <c r="R1365" s="105"/>
      <c r="S1365" s="105"/>
      <c r="T1365" s="105"/>
      <c r="U1365" s="105"/>
      <c r="V1365" s="105"/>
      <c r="W1365" s="105"/>
      <c r="X1365" s="105"/>
      <c r="Y1365" s="105"/>
      <c r="Z1365" s="105"/>
    </row>
    <row r="1366" spans="1:26">
      <c r="A1366" s="98"/>
      <c r="B1366" s="106"/>
      <c r="C1366" s="98"/>
      <c r="D1366" s="98"/>
      <c r="E1366" s="98"/>
      <c r="F1366" s="98"/>
      <c r="G1366" s="98"/>
      <c r="H1366" s="98"/>
      <c r="I1366" s="98"/>
      <c r="J1366" s="107"/>
      <c r="K1366" s="108"/>
      <c r="L1366" s="109"/>
      <c r="M1366" s="105"/>
      <c r="N1366" s="105"/>
      <c r="O1366" s="105"/>
      <c r="P1366" s="105"/>
      <c r="Q1366" s="105"/>
      <c r="R1366" s="105"/>
      <c r="S1366" s="105"/>
      <c r="T1366" s="105"/>
      <c r="U1366" s="105"/>
      <c r="V1366" s="105"/>
      <c r="W1366" s="105"/>
      <c r="X1366" s="105"/>
      <c r="Y1366" s="105"/>
      <c r="Z1366" s="105"/>
    </row>
    <row r="1367" spans="1:26">
      <c r="A1367" s="98"/>
      <c r="B1367" s="106"/>
      <c r="C1367" s="98"/>
      <c r="D1367" s="98"/>
      <c r="E1367" s="98"/>
      <c r="F1367" s="98"/>
      <c r="G1367" s="98"/>
      <c r="H1367" s="98"/>
      <c r="I1367" s="98"/>
      <c r="J1367" s="107"/>
      <c r="K1367" s="108"/>
      <c r="L1367" s="109"/>
      <c r="M1367" s="105"/>
      <c r="N1367" s="105"/>
      <c r="O1367" s="105"/>
      <c r="P1367" s="105"/>
      <c r="Q1367" s="105"/>
      <c r="R1367" s="105"/>
      <c r="S1367" s="105"/>
      <c r="T1367" s="105"/>
      <c r="U1367" s="105"/>
      <c r="V1367" s="105"/>
      <c r="W1367" s="105"/>
      <c r="X1367" s="105"/>
      <c r="Y1367" s="105"/>
      <c r="Z1367" s="105"/>
    </row>
    <row r="1368" spans="1:26">
      <c r="A1368" s="98"/>
      <c r="B1368" s="106"/>
      <c r="C1368" s="98"/>
      <c r="D1368" s="98"/>
      <c r="E1368" s="98"/>
      <c r="F1368" s="98"/>
      <c r="G1368" s="98"/>
      <c r="H1368" s="98"/>
      <c r="I1368" s="98"/>
      <c r="J1368" s="107"/>
      <c r="K1368" s="108"/>
      <c r="L1368" s="109"/>
      <c r="M1368" s="105"/>
      <c r="N1368" s="105"/>
      <c r="O1368" s="105"/>
      <c r="P1368" s="105"/>
      <c r="Q1368" s="105"/>
      <c r="R1368" s="105"/>
      <c r="S1368" s="105"/>
      <c r="T1368" s="105"/>
      <c r="U1368" s="105"/>
      <c r="V1368" s="105"/>
      <c r="W1368" s="105"/>
      <c r="X1368" s="105"/>
      <c r="Y1368" s="105"/>
      <c r="Z1368" s="105"/>
    </row>
    <row r="1369" spans="1:26">
      <c r="A1369" s="98"/>
      <c r="B1369" s="106"/>
      <c r="C1369" s="98"/>
      <c r="D1369" s="98"/>
      <c r="E1369" s="98"/>
      <c r="F1369" s="98"/>
      <c r="G1369" s="98"/>
      <c r="H1369" s="98"/>
      <c r="I1369" s="98"/>
      <c r="J1369" s="107"/>
      <c r="K1369" s="108"/>
      <c r="L1369" s="109"/>
      <c r="M1369" s="105"/>
      <c r="N1369" s="105"/>
      <c r="O1369" s="105"/>
      <c r="P1369" s="105"/>
      <c r="Q1369" s="105"/>
      <c r="R1369" s="105"/>
      <c r="S1369" s="105"/>
      <c r="T1369" s="105"/>
      <c r="U1369" s="105"/>
      <c r="V1369" s="105"/>
      <c r="W1369" s="105"/>
      <c r="X1369" s="105"/>
      <c r="Y1369" s="105"/>
      <c r="Z1369" s="105"/>
    </row>
    <row r="1370" spans="1:26">
      <c r="A1370" s="98"/>
      <c r="B1370" s="106"/>
      <c r="C1370" s="98"/>
      <c r="D1370" s="98"/>
      <c r="E1370" s="98"/>
      <c r="F1370" s="98"/>
      <c r="G1370" s="98"/>
      <c r="H1370" s="98"/>
      <c r="I1370" s="98"/>
      <c r="J1370" s="107"/>
      <c r="K1370" s="108"/>
      <c r="L1370" s="109"/>
      <c r="M1370" s="105"/>
      <c r="N1370" s="105"/>
      <c r="O1370" s="105"/>
      <c r="P1370" s="105"/>
      <c r="Q1370" s="105"/>
      <c r="R1370" s="105"/>
      <c r="S1370" s="105"/>
      <c r="T1370" s="105"/>
      <c r="U1370" s="105"/>
      <c r="V1370" s="105"/>
      <c r="W1370" s="105"/>
      <c r="X1370" s="105"/>
      <c r="Y1370" s="105"/>
      <c r="Z1370" s="105"/>
    </row>
    <row r="1371" spans="1:26">
      <c r="A1371" s="98"/>
      <c r="B1371" s="106"/>
      <c r="C1371" s="98"/>
      <c r="D1371" s="98"/>
      <c r="E1371" s="98"/>
      <c r="F1371" s="98"/>
      <c r="G1371" s="98"/>
      <c r="H1371" s="98"/>
      <c r="I1371" s="98"/>
      <c r="J1371" s="107"/>
      <c r="K1371" s="108"/>
      <c r="L1371" s="109"/>
      <c r="M1371" s="105"/>
      <c r="N1371" s="105"/>
      <c r="O1371" s="105"/>
      <c r="P1371" s="105"/>
      <c r="Q1371" s="105"/>
      <c r="R1371" s="105"/>
      <c r="S1371" s="105"/>
      <c r="T1371" s="105"/>
      <c r="U1371" s="105"/>
      <c r="V1371" s="105"/>
      <c r="W1371" s="105"/>
      <c r="X1371" s="105"/>
      <c r="Y1371" s="105"/>
      <c r="Z1371" s="105"/>
    </row>
    <row r="1372" spans="1:26">
      <c r="A1372" s="98"/>
      <c r="B1372" s="106"/>
      <c r="C1372" s="98"/>
      <c r="D1372" s="98"/>
      <c r="E1372" s="98"/>
      <c r="F1372" s="98"/>
      <c r="G1372" s="98"/>
      <c r="H1372" s="98"/>
      <c r="I1372" s="98"/>
      <c r="J1372" s="107"/>
      <c r="K1372" s="108"/>
      <c r="L1372" s="109"/>
      <c r="M1372" s="105"/>
      <c r="N1372" s="105"/>
      <c r="O1372" s="105"/>
      <c r="P1372" s="105"/>
      <c r="Q1372" s="105"/>
      <c r="R1372" s="105"/>
      <c r="S1372" s="105"/>
      <c r="T1372" s="105"/>
      <c r="U1372" s="105"/>
      <c r="V1372" s="105"/>
      <c r="W1372" s="105"/>
      <c r="X1372" s="105"/>
      <c r="Y1372" s="105"/>
      <c r="Z1372" s="105"/>
    </row>
    <row r="1373" spans="1:26">
      <c r="A1373" s="98"/>
      <c r="B1373" s="106"/>
      <c r="C1373" s="98"/>
      <c r="D1373" s="98"/>
      <c r="E1373" s="98"/>
      <c r="F1373" s="98"/>
      <c r="G1373" s="98"/>
      <c r="H1373" s="98"/>
      <c r="I1373" s="98"/>
      <c r="J1373" s="107"/>
      <c r="K1373" s="108"/>
      <c r="L1373" s="109"/>
      <c r="M1373" s="105"/>
      <c r="N1373" s="105"/>
      <c r="O1373" s="105"/>
      <c r="P1373" s="105"/>
      <c r="Q1373" s="105"/>
      <c r="R1373" s="105"/>
      <c r="S1373" s="105"/>
      <c r="T1373" s="105"/>
      <c r="U1373" s="105"/>
      <c r="V1373" s="105"/>
      <c r="W1373" s="105"/>
      <c r="X1373" s="105"/>
      <c r="Y1373" s="105"/>
      <c r="Z1373" s="105"/>
    </row>
    <row r="1374" spans="1:26">
      <c r="A1374" s="98"/>
      <c r="B1374" s="106"/>
      <c r="C1374" s="98"/>
      <c r="D1374" s="98"/>
      <c r="E1374" s="98"/>
      <c r="F1374" s="98"/>
      <c r="G1374" s="98"/>
      <c r="H1374" s="98"/>
      <c r="I1374" s="98"/>
      <c r="J1374" s="107"/>
      <c r="K1374" s="108"/>
      <c r="L1374" s="109"/>
      <c r="M1374" s="105"/>
      <c r="N1374" s="105"/>
      <c r="O1374" s="105"/>
      <c r="P1374" s="105"/>
      <c r="Q1374" s="105"/>
      <c r="R1374" s="105"/>
      <c r="S1374" s="105"/>
      <c r="T1374" s="105"/>
      <c r="U1374" s="105"/>
      <c r="V1374" s="105"/>
      <c r="W1374" s="105"/>
      <c r="X1374" s="105"/>
      <c r="Y1374" s="105"/>
      <c r="Z1374" s="105"/>
    </row>
    <row r="1375" spans="1:26">
      <c r="A1375" s="98"/>
      <c r="B1375" s="106"/>
      <c r="C1375" s="98"/>
      <c r="D1375" s="98"/>
      <c r="E1375" s="98"/>
      <c r="F1375" s="98"/>
      <c r="G1375" s="98"/>
      <c r="H1375" s="98"/>
      <c r="I1375" s="98"/>
      <c r="J1375" s="107"/>
      <c r="K1375" s="108"/>
      <c r="L1375" s="109"/>
      <c r="M1375" s="105"/>
      <c r="N1375" s="105"/>
      <c r="O1375" s="105"/>
      <c r="P1375" s="105"/>
      <c r="Q1375" s="105"/>
      <c r="R1375" s="105"/>
      <c r="S1375" s="105"/>
      <c r="T1375" s="105"/>
      <c r="U1375" s="105"/>
      <c r="V1375" s="105"/>
      <c r="W1375" s="105"/>
      <c r="X1375" s="105"/>
      <c r="Y1375" s="105"/>
      <c r="Z1375" s="105"/>
    </row>
    <row r="1376" spans="1:26">
      <c r="A1376" s="98"/>
      <c r="B1376" s="106"/>
      <c r="C1376" s="98"/>
      <c r="D1376" s="98"/>
      <c r="E1376" s="98"/>
      <c r="F1376" s="98"/>
      <c r="G1376" s="98"/>
      <c r="H1376" s="98"/>
      <c r="I1376" s="98"/>
      <c r="J1376" s="107"/>
      <c r="K1376" s="108"/>
      <c r="L1376" s="109"/>
      <c r="M1376" s="105"/>
      <c r="N1376" s="105"/>
      <c r="O1376" s="105"/>
      <c r="P1376" s="105"/>
      <c r="Q1376" s="105"/>
      <c r="R1376" s="105"/>
      <c r="S1376" s="105"/>
      <c r="T1376" s="105"/>
      <c r="U1376" s="105"/>
      <c r="V1376" s="105"/>
      <c r="W1376" s="105"/>
      <c r="X1376" s="105"/>
      <c r="Y1376" s="105"/>
      <c r="Z1376" s="105"/>
    </row>
    <row r="1377" spans="1:26">
      <c r="A1377" s="98"/>
      <c r="B1377" s="106"/>
      <c r="C1377" s="98"/>
      <c r="D1377" s="98"/>
      <c r="E1377" s="98"/>
      <c r="F1377" s="98"/>
      <c r="G1377" s="98"/>
      <c r="H1377" s="98"/>
      <c r="I1377" s="98"/>
      <c r="J1377" s="107"/>
      <c r="K1377" s="108"/>
      <c r="L1377" s="109"/>
      <c r="M1377" s="105"/>
      <c r="N1377" s="105"/>
      <c r="O1377" s="105"/>
      <c r="P1377" s="105"/>
      <c r="Q1377" s="105"/>
      <c r="R1377" s="105"/>
      <c r="S1377" s="105"/>
      <c r="T1377" s="105"/>
      <c r="U1377" s="105"/>
      <c r="V1377" s="105"/>
      <c r="W1377" s="105"/>
      <c r="X1377" s="105"/>
      <c r="Y1377" s="105"/>
      <c r="Z1377" s="105"/>
    </row>
    <row r="1378" spans="1:26">
      <c r="A1378" s="98"/>
      <c r="B1378" s="106"/>
      <c r="C1378" s="98"/>
      <c r="D1378" s="98"/>
      <c r="E1378" s="98"/>
      <c r="F1378" s="98"/>
      <c r="G1378" s="98"/>
      <c r="H1378" s="98"/>
      <c r="I1378" s="98"/>
      <c r="J1378" s="107"/>
      <c r="K1378" s="108"/>
      <c r="L1378" s="109"/>
      <c r="M1378" s="105"/>
      <c r="N1378" s="105"/>
      <c r="O1378" s="105"/>
      <c r="P1378" s="105"/>
      <c r="Q1378" s="105"/>
      <c r="R1378" s="105"/>
      <c r="S1378" s="105"/>
      <c r="T1378" s="105"/>
      <c r="U1378" s="105"/>
      <c r="V1378" s="105"/>
      <c r="W1378" s="105"/>
      <c r="X1378" s="105"/>
      <c r="Y1378" s="105"/>
      <c r="Z1378" s="105"/>
    </row>
    <row r="1379" spans="1:26">
      <c r="A1379" s="98"/>
      <c r="B1379" s="106"/>
      <c r="C1379" s="98"/>
      <c r="D1379" s="98"/>
      <c r="E1379" s="98"/>
      <c r="F1379" s="98"/>
      <c r="G1379" s="98"/>
      <c r="H1379" s="98"/>
      <c r="I1379" s="98"/>
      <c r="J1379" s="107"/>
      <c r="K1379" s="108"/>
      <c r="L1379" s="109"/>
      <c r="M1379" s="105"/>
      <c r="N1379" s="105"/>
      <c r="O1379" s="105"/>
      <c r="P1379" s="105"/>
      <c r="Q1379" s="105"/>
      <c r="R1379" s="105"/>
      <c r="S1379" s="105"/>
      <c r="T1379" s="105"/>
      <c r="U1379" s="105"/>
      <c r="V1379" s="105"/>
      <c r="W1379" s="105"/>
      <c r="X1379" s="105"/>
      <c r="Y1379" s="105"/>
      <c r="Z1379" s="105"/>
    </row>
    <row r="1380" spans="1:26">
      <c r="A1380" s="98"/>
      <c r="B1380" s="106"/>
      <c r="C1380" s="98"/>
      <c r="D1380" s="98"/>
      <c r="E1380" s="98"/>
      <c r="F1380" s="98"/>
      <c r="G1380" s="98"/>
      <c r="H1380" s="98"/>
      <c r="I1380" s="98"/>
      <c r="J1380" s="107"/>
      <c r="K1380" s="108"/>
      <c r="L1380" s="109"/>
      <c r="M1380" s="105"/>
      <c r="N1380" s="105"/>
      <c r="O1380" s="105"/>
      <c r="P1380" s="105"/>
      <c r="Q1380" s="105"/>
      <c r="R1380" s="105"/>
      <c r="S1380" s="105"/>
      <c r="T1380" s="105"/>
      <c r="U1380" s="105"/>
      <c r="V1380" s="105"/>
      <c r="W1380" s="105"/>
      <c r="X1380" s="105"/>
      <c r="Y1380" s="105"/>
      <c r="Z1380" s="105"/>
    </row>
    <row r="1381" spans="1:26">
      <c r="A1381" s="98"/>
      <c r="B1381" s="106"/>
      <c r="C1381" s="98"/>
      <c r="D1381" s="98"/>
      <c r="E1381" s="98"/>
      <c r="F1381" s="98"/>
      <c r="G1381" s="98"/>
      <c r="H1381" s="98"/>
      <c r="I1381" s="98"/>
      <c r="J1381" s="107"/>
      <c r="K1381" s="108"/>
      <c r="L1381" s="109"/>
      <c r="M1381" s="105"/>
      <c r="N1381" s="105"/>
      <c r="O1381" s="105"/>
      <c r="P1381" s="105"/>
      <c r="Q1381" s="105"/>
      <c r="R1381" s="105"/>
      <c r="S1381" s="105"/>
      <c r="T1381" s="105"/>
      <c r="U1381" s="105"/>
      <c r="V1381" s="105"/>
      <c r="W1381" s="105"/>
      <c r="X1381" s="105"/>
      <c r="Y1381" s="105"/>
      <c r="Z1381" s="105"/>
    </row>
    <row r="1382" spans="1:26">
      <c r="A1382" s="98"/>
      <c r="B1382" s="106"/>
      <c r="C1382" s="98"/>
      <c r="D1382" s="98"/>
      <c r="E1382" s="98"/>
      <c r="F1382" s="98"/>
      <c r="G1382" s="98"/>
      <c r="H1382" s="98"/>
      <c r="I1382" s="98"/>
      <c r="J1382" s="107"/>
      <c r="K1382" s="108"/>
      <c r="L1382" s="109"/>
      <c r="M1382" s="105"/>
      <c r="N1382" s="105"/>
      <c r="O1382" s="105"/>
      <c r="P1382" s="105"/>
      <c r="Q1382" s="105"/>
      <c r="R1382" s="105"/>
      <c r="S1382" s="105"/>
      <c r="T1382" s="105"/>
      <c r="U1382" s="105"/>
      <c r="V1382" s="105"/>
      <c r="W1382" s="105"/>
      <c r="X1382" s="105"/>
      <c r="Y1382" s="105"/>
      <c r="Z1382" s="105"/>
    </row>
    <row r="1383" spans="1:26">
      <c r="A1383" s="98"/>
      <c r="B1383" s="106"/>
      <c r="C1383" s="98"/>
      <c r="D1383" s="98"/>
      <c r="E1383" s="98"/>
      <c r="F1383" s="98"/>
      <c r="G1383" s="98"/>
      <c r="H1383" s="98"/>
      <c r="I1383" s="98"/>
      <c r="J1383" s="107"/>
      <c r="K1383" s="108"/>
      <c r="L1383" s="109"/>
      <c r="M1383" s="105"/>
      <c r="N1383" s="105"/>
      <c r="O1383" s="105"/>
      <c r="P1383" s="105"/>
      <c r="Q1383" s="105"/>
      <c r="R1383" s="105"/>
      <c r="S1383" s="105"/>
      <c r="T1383" s="105"/>
      <c r="U1383" s="105"/>
      <c r="V1383" s="105"/>
      <c r="W1383" s="105"/>
      <c r="X1383" s="105"/>
      <c r="Y1383" s="105"/>
      <c r="Z1383" s="105"/>
    </row>
    <row r="1384" spans="1:26">
      <c r="A1384" s="98"/>
      <c r="B1384" s="106"/>
      <c r="C1384" s="98"/>
      <c r="D1384" s="98"/>
      <c r="E1384" s="98"/>
      <c r="F1384" s="98"/>
      <c r="G1384" s="98"/>
      <c r="H1384" s="98"/>
      <c r="I1384" s="98"/>
      <c r="J1384" s="107"/>
      <c r="K1384" s="108"/>
      <c r="L1384" s="109"/>
      <c r="M1384" s="105"/>
      <c r="N1384" s="105"/>
      <c r="O1384" s="105"/>
      <c r="P1384" s="105"/>
      <c r="Q1384" s="105"/>
      <c r="R1384" s="105"/>
      <c r="S1384" s="105"/>
      <c r="T1384" s="105"/>
      <c r="U1384" s="105"/>
      <c r="V1384" s="105"/>
      <c r="W1384" s="105"/>
      <c r="X1384" s="105"/>
      <c r="Y1384" s="105"/>
      <c r="Z1384" s="105"/>
    </row>
    <row r="1385" spans="1:26">
      <c r="A1385" s="98"/>
      <c r="B1385" s="106"/>
      <c r="C1385" s="98"/>
      <c r="D1385" s="98"/>
      <c r="E1385" s="98"/>
      <c r="F1385" s="98"/>
      <c r="G1385" s="98"/>
      <c r="H1385" s="98"/>
      <c r="I1385" s="98"/>
      <c r="J1385" s="107"/>
      <c r="K1385" s="108"/>
      <c r="L1385" s="109"/>
      <c r="M1385" s="105"/>
      <c r="N1385" s="105"/>
      <c r="O1385" s="105"/>
      <c r="P1385" s="105"/>
      <c r="Q1385" s="105"/>
      <c r="R1385" s="105"/>
      <c r="S1385" s="105"/>
      <c r="T1385" s="105"/>
      <c r="U1385" s="105"/>
      <c r="V1385" s="105"/>
      <c r="W1385" s="105"/>
      <c r="X1385" s="105"/>
      <c r="Y1385" s="105"/>
      <c r="Z1385" s="105"/>
    </row>
    <row r="1386" spans="1:26">
      <c r="A1386" s="98"/>
      <c r="B1386" s="106"/>
      <c r="C1386" s="98"/>
      <c r="D1386" s="98"/>
      <c r="E1386" s="98"/>
      <c r="F1386" s="98"/>
      <c r="G1386" s="98"/>
      <c r="H1386" s="98"/>
      <c r="I1386" s="98"/>
      <c r="J1386" s="107"/>
      <c r="K1386" s="108"/>
      <c r="L1386" s="109"/>
      <c r="M1386" s="105"/>
      <c r="N1386" s="105"/>
      <c r="O1386" s="105"/>
      <c r="P1386" s="105"/>
      <c r="Q1386" s="105"/>
      <c r="R1386" s="105"/>
      <c r="S1386" s="105"/>
      <c r="T1386" s="105"/>
      <c r="U1386" s="105"/>
      <c r="V1386" s="105"/>
      <c r="W1386" s="105"/>
      <c r="X1386" s="105"/>
      <c r="Y1386" s="105"/>
      <c r="Z1386" s="105"/>
    </row>
    <row r="1387" spans="1:26">
      <c r="A1387" s="98"/>
      <c r="B1387" s="106"/>
      <c r="C1387" s="98"/>
      <c r="D1387" s="98"/>
      <c r="E1387" s="98"/>
      <c r="F1387" s="98"/>
      <c r="G1387" s="98"/>
      <c r="H1387" s="98"/>
      <c r="I1387" s="98"/>
      <c r="J1387" s="107"/>
      <c r="K1387" s="108"/>
      <c r="L1387" s="109"/>
      <c r="M1387" s="105"/>
      <c r="N1387" s="105"/>
      <c r="O1387" s="105"/>
      <c r="P1387" s="105"/>
      <c r="Q1387" s="105"/>
      <c r="R1387" s="105"/>
      <c r="S1387" s="105"/>
      <c r="T1387" s="105"/>
      <c r="U1387" s="105"/>
      <c r="V1387" s="105"/>
      <c r="W1387" s="105"/>
      <c r="X1387" s="105"/>
      <c r="Y1387" s="105"/>
      <c r="Z1387" s="105"/>
    </row>
    <row r="1388" spans="1:26">
      <c r="A1388" s="98"/>
      <c r="B1388" s="106"/>
      <c r="C1388" s="98"/>
      <c r="D1388" s="98"/>
      <c r="E1388" s="98"/>
      <c r="F1388" s="98"/>
      <c r="G1388" s="98"/>
      <c r="H1388" s="98"/>
      <c r="I1388" s="98"/>
      <c r="J1388" s="107"/>
      <c r="K1388" s="108"/>
      <c r="L1388" s="109"/>
      <c r="M1388" s="105"/>
      <c r="N1388" s="105"/>
      <c r="O1388" s="105"/>
      <c r="P1388" s="105"/>
      <c r="Q1388" s="105"/>
      <c r="R1388" s="105"/>
      <c r="S1388" s="105"/>
      <c r="T1388" s="105"/>
      <c r="U1388" s="105"/>
      <c r="V1388" s="105"/>
      <c r="W1388" s="105"/>
      <c r="X1388" s="105"/>
      <c r="Y1388" s="105"/>
      <c r="Z1388" s="105"/>
    </row>
    <row r="1389" spans="1:26">
      <c r="A1389" s="98"/>
      <c r="B1389" s="106"/>
      <c r="C1389" s="98"/>
      <c r="D1389" s="98"/>
      <c r="E1389" s="98"/>
      <c r="F1389" s="98"/>
      <c r="G1389" s="98"/>
      <c r="H1389" s="98"/>
      <c r="I1389" s="98"/>
      <c r="J1389" s="107"/>
      <c r="K1389" s="108"/>
      <c r="L1389" s="109"/>
      <c r="M1389" s="105"/>
      <c r="N1389" s="105"/>
      <c r="O1389" s="105"/>
      <c r="P1389" s="105"/>
      <c r="Q1389" s="105"/>
      <c r="R1389" s="105"/>
      <c r="S1389" s="105"/>
      <c r="T1389" s="105"/>
      <c r="U1389" s="105"/>
      <c r="V1389" s="105"/>
      <c r="W1389" s="105"/>
      <c r="X1389" s="105"/>
      <c r="Y1389" s="105"/>
      <c r="Z1389" s="105"/>
    </row>
    <row r="1390" spans="1:26">
      <c r="A1390" s="98"/>
      <c r="B1390" s="106"/>
      <c r="C1390" s="98"/>
      <c r="D1390" s="98"/>
      <c r="E1390" s="98"/>
      <c r="F1390" s="98"/>
      <c r="G1390" s="98"/>
      <c r="H1390" s="98"/>
      <c r="I1390" s="98"/>
      <c r="J1390" s="107"/>
      <c r="K1390" s="108"/>
      <c r="L1390" s="109"/>
      <c r="M1390" s="105"/>
      <c r="N1390" s="105"/>
      <c r="O1390" s="105"/>
      <c r="P1390" s="105"/>
      <c r="Q1390" s="105"/>
      <c r="R1390" s="105"/>
      <c r="S1390" s="105"/>
      <c r="T1390" s="105"/>
      <c r="U1390" s="105"/>
      <c r="V1390" s="105"/>
      <c r="W1390" s="105"/>
      <c r="X1390" s="105"/>
      <c r="Y1390" s="105"/>
      <c r="Z1390" s="105"/>
    </row>
    <row r="1391" spans="1:26">
      <c r="A1391" s="98"/>
      <c r="B1391" s="106"/>
      <c r="C1391" s="98"/>
      <c r="D1391" s="98"/>
      <c r="E1391" s="98"/>
      <c r="F1391" s="98"/>
      <c r="G1391" s="98"/>
      <c r="H1391" s="98"/>
      <c r="I1391" s="98"/>
      <c r="J1391" s="107"/>
      <c r="K1391" s="108"/>
      <c r="L1391" s="109"/>
      <c r="M1391" s="105"/>
      <c r="N1391" s="105"/>
      <c r="O1391" s="105"/>
      <c r="P1391" s="105"/>
      <c r="Q1391" s="105"/>
      <c r="R1391" s="105"/>
      <c r="S1391" s="105"/>
      <c r="T1391" s="105"/>
      <c r="U1391" s="105"/>
      <c r="V1391" s="105"/>
      <c r="W1391" s="105"/>
      <c r="X1391" s="105"/>
      <c r="Y1391" s="105"/>
      <c r="Z1391" s="105"/>
    </row>
    <row r="1392" spans="1:26">
      <c r="A1392" s="98"/>
      <c r="B1392" s="106"/>
      <c r="C1392" s="98"/>
      <c r="D1392" s="98"/>
      <c r="E1392" s="98"/>
      <c r="F1392" s="98"/>
      <c r="G1392" s="98"/>
      <c r="H1392" s="98"/>
      <c r="I1392" s="98"/>
      <c r="J1392" s="107"/>
      <c r="K1392" s="108"/>
      <c r="L1392" s="109"/>
      <c r="M1392" s="105"/>
      <c r="N1392" s="105"/>
      <c r="O1392" s="105"/>
      <c r="P1392" s="105"/>
      <c r="Q1392" s="105"/>
      <c r="R1392" s="105"/>
      <c r="S1392" s="105"/>
      <c r="T1392" s="105"/>
      <c r="U1392" s="105"/>
      <c r="V1392" s="105"/>
      <c r="W1392" s="105"/>
      <c r="X1392" s="105"/>
      <c r="Y1392" s="105"/>
      <c r="Z1392" s="105"/>
    </row>
    <row r="1393" spans="1:26">
      <c r="A1393" s="98"/>
      <c r="B1393" s="106"/>
      <c r="C1393" s="98"/>
      <c r="D1393" s="98"/>
      <c r="E1393" s="98"/>
      <c r="F1393" s="98"/>
      <c r="G1393" s="98"/>
      <c r="H1393" s="98"/>
      <c r="I1393" s="98"/>
      <c r="J1393" s="107"/>
      <c r="K1393" s="108"/>
      <c r="L1393" s="109"/>
      <c r="M1393" s="105"/>
      <c r="N1393" s="105"/>
      <c r="O1393" s="105"/>
      <c r="P1393" s="105"/>
      <c r="Q1393" s="105"/>
      <c r="R1393" s="105"/>
      <c r="S1393" s="105"/>
      <c r="T1393" s="105"/>
      <c r="U1393" s="105"/>
      <c r="V1393" s="105"/>
      <c r="W1393" s="105"/>
      <c r="X1393" s="105"/>
      <c r="Y1393" s="105"/>
      <c r="Z1393" s="105"/>
    </row>
    <row r="1394" spans="1:26">
      <c r="A1394" s="98"/>
      <c r="B1394" s="106"/>
      <c r="C1394" s="98"/>
      <c r="D1394" s="98"/>
      <c r="E1394" s="98"/>
      <c r="F1394" s="98"/>
      <c r="G1394" s="98"/>
      <c r="H1394" s="98"/>
      <c r="I1394" s="98"/>
      <c r="J1394" s="107"/>
      <c r="K1394" s="108"/>
      <c r="L1394" s="109"/>
      <c r="M1394" s="105"/>
      <c r="N1394" s="105"/>
      <c r="O1394" s="105"/>
      <c r="P1394" s="105"/>
      <c r="Q1394" s="105"/>
      <c r="R1394" s="105"/>
      <c r="S1394" s="105"/>
      <c r="T1394" s="105"/>
      <c r="U1394" s="105"/>
      <c r="V1394" s="105"/>
      <c r="W1394" s="105"/>
      <c r="X1394" s="105"/>
      <c r="Y1394" s="105"/>
      <c r="Z1394" s="105"/>
    </row>
    <row r="1395" spans="1:26">
      <c r="A1395" s="98"/>
      <c r="B1395" s="106"/>
      <c r="C1395" s="98"/>
      <c r="D1395" s="98"/>
      <c r="E1395" s="98"/>
      <c r="F1395" s="98"/>
      <c r="G1395" s="98"/>
      <c r="H1395" s="98"/>
      <c r="I1395" s="98"/>
      <c r="J1395" s="107"/>
      <c r="K1395" s="108"/>
      <c r="L1395" s="109"/>
      <c r="M1395" s="105"/>
      <c r="N1395" s="105"/>
      <c r="O1395" s="105"/>
      <c r="P1395" s="105"/>
      <c r="Q1395" s="105"/>
      <c r="R1395" s="105"/>
      <c r="S1395" s="105"/>
      <c r="T1395" s="105"/>
      <c r="U1395" s="105"/>
      <c r="V1395" s="105"/>
      <c r="W1395" s="105"/>
      <c r="X1395" s="105"/>
      <c r="Y1395" s="105"/>
      <c r="Z1395" s="105"/>
    </row>
    <row r="1396" spans="1:26">
      <c r="A1396" s="98"/>
      <c r="B1396" s="106"/>
      <c r="C1396" s="98"/>
      <c r="D1396" s="98"/>
      <c r="E1396" s="98"/>
      <c r="F1396" s="98"/>
      <c r="G1396" s="98"/>
      <c r="H1396" s="98"/>
      <c r="I1396" s="98"/>
      <c r="J1396" s="107"/>
      <c r="K1396" s="108"/>
      <c r="L1396" s="109"/>
      <c r="M1396" s="105"/>
      <c r="N1396" s="105"/>
      <c r="O1396" s="105"/>
      <c r="P1396" s="105"/>
      <c r="Q1396" s="105"/>
      <c r="R1396" s="105"/>
      <c r="S1396" s="105"/>
      <c r="T1396" s="105"/>
      <c r="U1396" s="105"/>
      <c r="V1396" s="105"/>
      <c r="W1396" s="105"/>
      <c r="X1396" s="105"/>
      <c r="Y1396" s="105"/>
      <c r="Z1396" s="105"/>
    </row>
    <row r="1397" spans="1:26">
      <c r="A1397" s="98"/>
      <c r="B1397" s="106"/>
      <c r="C1397" s="98"/>
      <c r="D1397" s="98"/>
      <c r="E1397" s="98"/>
      <c r="F1397" s="98"/>
      <c r="G1397" s="98"/>
      <c r="H1397" s="98"/>
      <c r="I1397" s="98"/>
      <c r="J1397" s="107"/>
      <c r="K1397" s="108"/>
      <c r="L1397" s="109"/>
      <c r="M1397" s="105"/>
      <c r="N1397" s="105"/>
      <c r="O1397" s="105"/>
      <c r="P1397" s="105"/>
      <c r="Q1397" s="105"/>
      <c r="R1397" s="105"/>
      <c r="S1397" s="105"/>
      <c r="T1397" s="105"/>
      <c r="U1397" s="105"/>
      <c r="V1397" s="105"/>
      <c r="W1397" s="105"/>
      <c r="X1397" s="105"/>
      <c r="Y1397" s="105"/>
      <c r="Z1397" s="105"/>
    </row>
    <row r="1398" spans="1:26">
      <c r="A1398" s="98"/>
      <c r="B1398" s="106"/>
      <c r="C1398" s="98"/>
      <c r="D1398" s="98"/>
      <c r="E1398" s="98"/>
      <c r="F1398" s="98"/>
      <c r="G1398" s="98"/>
      <c r="H1398" s="98"/>
      <c r="I1398" s="98"/>
      <c r="J1398" s="107"/>
      <c r="K1398" s="108"/>
      <c r="L1398" s="109"/>
      <c r="M1398" s="105"/>
      <c r="N1398" s="105"/>
      <c r="O1398" s="105"/>
      <c r="P1398" s="105"/>
      <c r="Q1398" s="105"/>
      <c r="R1398" s="105"/>
      <c r="S1398" s="105"/>
      <c r="T1398" s="105"/>
      <c r="U1398" s="105"/>
      <c r="V1398" s="105"/>
      <c r="W1398" s="105"/>
      <c r="X1398" s="105"/>
      <c r="Y1398" s="105"/>
      <c r="Z1398" s="105"/>
    </row>
    <row r="1399" spans="1:26">
      <c r="A1399" s="98"/>
      <c r="B1399" s="106"/>
      <c r="C1399" s="98"/>
      <c r="D1399" s="98"/>
      <c r="E1399" s="98"/>
      <c r="F1399" s="98"/>
      <c r="G1399" s="98"/>
      <c r="H1399" s="98"/>
      <c r="I1399" s="98"/>
      <c r="J1399" s="107"/>
      <c r="K1399" s="108"/>
      <c r="L1399" s="109"/>
      <c r="M1399" s="105"/>
      <c r="N1399" s="105"/>
      <c r="O1399" s="105"/>
      <c r="P1399" s="105"/>
      <c r="Q1399" s="105"/>
      <c r="R1399" s="105"/>
      <c r="S1399" s="105"/>
      <c r="T1399" s="105"/>
      <c r="U1399" s="105"/>
      <c r="V1399" s="105"/>
      <c r="W1399" s="105"/>
      <c r="X1399" s="105"/>
      <c r="Y1399" s="105"/>
      <c r="Z1399" s="105"/>
    </row>
    <row r="1400" spans="1:26">
      <c r="A1400" s="98"/>
      <c r="B1400" s="106"/>
      <c r="C1400" s="98"/>
      <c r="D1400" s="98"/>
      <c r="E1400" s="98"/>
      <c r="F1400" s="98"/>
      <c r="G1400" s="98"/>
      <c r="H1400" s="98"/>
      <c r="I1400" s="98"/>
      <c r="J1400" s="107"/>
      <c r="K1400" s="108"/>
      <c r="L1400" s="109"/>
      <c r="M1400" s="105"/>
      <c r="N1400" s="105"/>
      <c r="O1400" s="105"/>
      <c r="P1400" s="105"/>
      <c r="Q1400" s="105"/>
      <c r="R1400" s="105"/>
      <c r="S1400" s="105"/>
      <c r="T1400" s="105"/>
      <c r="U1400" s="105"/>
      <c r="V1400" s="105"/>
      <c r="W1400" s="105"/>
      <c r="X1400" s="105"/>
      <c r="Y1400" s="105"/>
      <c r="Z1400" s="105"/>
    </row>
    <row r="1401" spans="1:26">
      <c r="A1401" s="98"/>
      <c r="B1401" s="106"/>
      <c r="C1401" s="98"/>
      <c r="D1401" s="98"/>
      <c r="E1401" s="98"/>
      <c r="F1401" s="98"/>
      <c r="G1401" s="98"/>
      <c r="H1401" s="98"/>
      <c r="I1401" s="98"/>
      <c r="J1401" s="107"/>
      <c r="K1401" s="108"/>
      <c r="L1401" s="109"/>
      <c r="M1401" s="105"/>
      <c r="N1401" s="105"/>
      <c r="O1401" s="105"/>
      <c r="P1401" s="105"/>
      <c r="Q1401" s="105"/>
      <c r="R1401" s="105"/>
      <c r="S1401" s="105"/>
      <c r="T1401" s="105"/>
      <c r="U1401" s="105"/>
      <c r="V1401" s="105"/>
      <c r="W1401" s="105"/>
      <c r="X1401" s="105"/>
      <c r="Y1401" s="105"/>
      <c r="Z1401" s="105"/>
    </row>
    <row r="1402" spans="1:26">
      <c r="A1402" s="98"/>
      <c r="B1402" s="106"/>
      <c r="C1402" s="98"/>
      <c r="D1402" s="98"/>
      <c r="E1402" s="98"/>
      <c r="F1402" s="98"/>
      <c r="G1402" s="98"/>
      <c r="H1402" s="98"/>
      <c r="I1402" s="98"/>
      <c r="J1402" s="107"/>
      <c r="K1402" s="108"/>
      <c r="L1402" s="109"/>
      <c r="M1402" s="105"/>
      <c r="N1402" s="105"/>
      <c r="O1402" s="105"/>
      <c r="P1402" s="105"/>
      <c r="Q1402" s="105"/>
      <c r="R1402" s="105"/>
      <c r="S1402" s="105"/>
      <c r="T1402" s="105"/>
      <c r="U1402" s="105"/>
      <c r="V1402" s="105"/>
      <c r="W1402" s="105"/>
      <c r="X1402" s="105"/>
      <c r="Y1402" s="105"/>
      <c r="Z1402" s="105"/>
    </row>
    <row r="1403" spans="1:26">
      <c r="A1403" s="98"/>
      <c r="B1403" s="106"/>
      <c r="C1403" s="98"/>
      <c r="D1403" s="98"/>
      <c r="E1403" s="98"/>
      <c r="F1403" s="98"/>
      <c r="G1403" s="98"/>
      <c r="H1403" s="98"/>
      <c r="I1403" s="98"/>
      <c r="J1403" s="107"/>
      <c r="K1403" s="108"/>
      <c r="L1403" s="109"/>
      <c r="M1403" s="105"/>
      <c r="N1403" s="105"/>
      <c r="O1403" s="105"/>
      <c r="P1403" s="105"/>
      <c r="Q1403" s="105"/>
      <c r="R1403" s="105"/>
      <c r="S1403" s="105"/>
      <c r="T1403" s="105"/>
      <c r="U1403" s="105"/>
      <c r="V1403" s="105"/>
      <c r="W1403" s="105"/>
      <c r="X1403" s="105"/>
      <c r="Y1403" s="105"/>
      <c r="Z1403" s="105"/>
    </row>
    <row r="1404" spans="1:26">
      <c r="A1404" s="98"/>
      <c r="B1404" s="106"/>
      <c r="C1404" s="98"/>
      <c r="D1404" s="98"/>
      <c r="E1404" s="98"/>
      <c r="F1404" s="98"/>
      <c r="G1404" s="98"/>
      <c r="H1404" s="98"/>
      <c r="I1404" s="98"/>
      <c r="J1404" s="107"/>
      <c r="K1404" s="108"/>
      <c r="L1404" s="109"/>
      <c r="M1404" s="105"/>
      <c r="N1404" s="105"/>
      <c r="O1404" s="105"/>
      <c r="P1404" s="105"/>
      <c r="Q1404" s="105"/>
      <c r="R1404" s="105"/>
      <c r="S1404" s="105"/>
      <c r="T1404" s="105"/>
      <c r="U1404" s="105"/>
      <c r="V1404" s="105"/>
      <c r="W1404" s="105"/>
      <c r="X1404" s="105"/>
      <c r="Y1404" s="105"/>
      <c r="Z1404" s="105"/>
    </row>
    <row r="1405" spans="1:26">
      <c r="A1405" s="98"/>
      <c r="B1405" s="106"/>
      <c r="C1405" s="98"/>
      <c r="D1405" s="98"/>
      <c r="E1405" s="98"/>
      <c r="F1405" s="98"/>
      <c r="G1405" s="98"/>
      <c r="H1405" s="98"/>
      <c r="I1405" s="98"/>
      <c r="J1405" s="107"/>
      <c r="K1405" s="108"/>
      <c r="L1405" s="109"/>
      <c r="M1405" s="105"/>
      <c r="N1405" s="105"/>
      <c r="O1405" s="105"/>
      <c r="P1405" s="105"/>
      <c r="Q1405" s="105"/>
      <c r="R1405" s="105"/>
      <c r="S1405" s="105"/>
      <c r="T1405" s="105"/>
      <c r="U1405" s="105"/>
      <c r="V1405" s="105"/>
      <c r="W1405" s="105"/>
      <c r="X1405" s="105"/>
      <c r="Y1405" s="105"/>
      <c r="Z1405" s="105"/>
    </row>
    <row r="1406" spans="1:26">
      <c r="A1406" s="98"/>
      <c r="B1406" s="106"/>
      <c r="C1406" s="98"/>
      <c r="D1406" s="98"/>
      <c r="E1406" s="98"/>
      <c r="F1406" s="98"/>
      <c r="G1406" s="98"/>
      <c r="H1406" s="98"/>
      <c r="I1406" s="98"/>
      <c r="J1406" s="107"/>
      <c r="K1406" s="108"/>
      <c r="L1406" s="109"/>
      <c r="M1406" s="105"/>
      <c r="N1406" s="105"/>
      <c r="O1406" s="105"/>
      <c r="P1406" s="105"/>
      <c r="Q1406" s="105"/>
      <c r="R1406" s="105"/>
      <c r="S1406" s="105"/>
      <c r="T1406" s="105"/>
      <c r="U1406" s="105"/>
      <c r="V1406" s="105"/>
      <c r="W1406" s="105"/>
      <c r="X1406" s="105"/>
      <c r="Y1406" s="105"/>
      <c r="Z1406" s="105"/>
    </row>
    <row r="1407" spans="1:26">
      <c r="A1407" s="98"/>
      <c r="B1407" s="106"/>
      <c r="C1407" s="98"/>
      <c r="D1407" s="98"/>
      <c r="E1407" s="98"/>
      <c r="F1407" s="98"/>
      <c r="G1407" s="98"/>
      <c r="H1407" s="98"/>
      <c r="I1407" s="98"/>
      <c r="J1407" s="107"/>
      <c r="K1407" s="108"/>
      <c r="L1407" s="109"/>
      <c r="M1407" s="105"/>
      <c r="N1407" s="105"/>
      <c r="O1407" s="105"/>
      <c r="P1407" s="105"/>
      <c r="Q1407" s="105"/>
      <c r="R1407" s="105"/>
      <c r="S1407" s="105"/>
      <c r="T1407" s="105"/>
      <c r="U1407" s="105"/>
      <c r="V1407" s="105"/>
      <c r="W1407" s="105"/>
      <c r="X1407" s="105"/>
      <c r="Y1407" s="105"/>
      <c r="Z1407" s="105"/>
    </row>
    <row r="1408" spans="1:26">
      <c r="A1408" s="98"/>
      <c r="B1408" s="106"/>
      <c r="C1408" s="98"/>
      <c r="D1408" s="98"/>
      <c r="E1408" s="98"/>
      <c r="F1408" s="98"/>
      <c r="G1408" s="98"/>
      <c r="H1408" s="98"/>
      <c r="I1408" s="98"/>
      <c r="J1408" s="107"/>
      <c r="K1408" s="108"/>
      <c r="L1408" s="109"/>
      <c r="M1408" s="105"/>
      <c r="N1408" s="105"/>
      <c r="O1408" s="105"/>
      <c r="P1408" s="105"/>
      <c r="Q1408" s="105"/>
      <c r="R1408" s="105"/>
      <c r="S1408" s="105"/>
      <c r="T1408" s="105"/>
      <c r="U1408" s="105"/>
      <c r="V1408" s="105"/>
      <c r="W1408" s="105"/>
      <c r="X1408" s="105"/>
      <c r="Y1408" s="105"/>
      <c r="Z1408" s="105"/>
    </row>
    <row r="1409" spans="1:26">
      <c r="A1409" s="98"/>
      <c r="B1409" s="106"/>
      <c r="C1409" s="98"/>
      <c r="D1409" s="98"/>
      <c r="E1409" s="98"/>
      <c r="F1409" s="98"/>
      <c r="G1409" s="98"/>
      <c r="H1409" s="98"/>
      <c r="I1409" s="98"/>
      <c r="J1409" s="107"/>
      <c r="K1409" s="108"/>
      <c r="L1409" s="109"/>
      <c r="M1409" s="105"/>
      <c r="N1409" s="105"/>
      <c r="O1409" s="105"/>
      <c r="P1409" s="105"/>
      <c r="Q1409" s="105"/>
      <c r="R1409" s="105"/>
      <c r="S1409" s="105"/>
      <c r="T1409" s="105"/>
      <c r="U1409" s="105"/>
      <c r="V1409" s="105"/>
      <c r="W1409" s="105"/>
      <c r="X1409" s="105"/>
      <c r="Y1409" s="105"/>
      <c r="Z1409" s="105"/>
    </row>
    <row r="1410" spans="1:26">
      <c r="A1410" s="98"/>
      <c r="B1410" s="106"/>
      <c r="C1410" s="98"/>
      <c r="D1410" s="98"/>
      <c r="E1410" s="98"/>
      <c r="F1410" s="98"/>
      <c r="G1410" s="98"/>
      <c r="H1410" s="98"/>
      <c r="I1410" s="98"/>
      <c r="J1410" s="107"/>
      <c r="K1410" s="108"/>
      <c r="L1410" s="109"/>
      <c r="M1410" s="105"/>
      <c r="N1410" s="105"/>
      <c r="O1410" s="105"/>
      <c r="P1410" s="105"/>
      <c r="Q1410" s="105"/>
      <c r="R1410" s="105"/>
      <c r="S1410" s="105"/>
      <c r="T1410" s="105"/>
      <c r="U1410" s="105"/>
      <c r="V1410" s="105"/>
      <c r="W1410" s="105"/>
      <c r="X1410" s="105"/>
      <c r="Y1410" s="105"/>
      <c r="Z1410" s="105"/>
    </row>
    <row r="1411" spans="1:26">
      <c r="A1411" s="98"/>
      <c r="B1411" s="106"/>
      <c r="C1411" s="98"/>
      <c r="D1411" s="98"/>
      <c r="E1411" s="98"/>
      <c r="F1411" s="98"/>
      <c r="G1411" s="98"/>
      <c r="H1411" s="98"/>
      <c r="I1411" s="98"/>
      <c r="J1411" s="107"/>
      <c r="K1411" s="108"/>
      <c r="L1411" s="109"/>
      <c r="M1411" s="105"/>
      <c r="N1411" s="105"/>
      <c r="O1411" s="105"/>
      <c r="P1411" s="105"/>
      <c r="Q1411" s="105"/>
      <c r="R1411" s="105"/>
      <c r="S1411" s="105"/>
      <c r="T1411" s="105"/>
      <c r="U1411" s="105"/>
      <c r="V1411" s="105"/>
      <c r="W1411" s="105"/>
      <c r="X1411" s="105"/>
      <c r="Y1411" s="105"/>
      <c r="Z1411" s="105"/>
    </row>
    <row r="1412" spans="1:26">
      <c r="A1412" s="98"/>
      <c r="B1412" s="106"/>
      <c r="C1412" s="98"/>
      <c r="D1412" s="98"/>
      <c r="E1412" s="98"/>
      <c r="F1412" s="98"/>
      <c r="G1412" s="98"/>
      <c r="H1412" s="98"/>
      <c r="I1412" s="98"/>
      <c r="J1412" s="107"/>
      <c r="K1412" s="108"/>
      <c r="L1412" s="109"/>
      <c r="M1412" s="105"/>
      <c r="N1412" s="105"/>
      <c r="O1412" s="105"/>
      <c r="P1412" s="105"/>
      <c r="Q1412" s="105"/>
      <c r="R1412" s="105"/>
      <c r="S1412" s="105"/>
      <c r="T1412" s="105"/>
      <c r="U1412" s="105"/>
      <c r="V1412" s="105"/>
      <c r="W1412" s="105"/>
      <c r="X1412" s="105"/>
      <c r="Y1412" s="105"/>
      <c r="Z1412" s="105"/>
    </row>
    <row r="1413" spans="1:26">
      <c r="A1413" s="98"/>
      <c r="B1413" s="106"/>
      <c r="C1413" s="98"/>
      <c r="D1413" s="98"/>
      <c r="E1413" s="98"/>
      <c r="F1413" s="98"/>
      <c r="G1413" s="98"/>
      <c r="H1413" s="98"/>
      <c r="I1413" s="98"/>
      <c r="J1413" s="107"/>
      <c r="K1413" s="108"/>
      <c r="L1413" s="109"/>
      <c r="M1413" s="105"/>
      <c r="N1413" s="105"/>
      <c r="O1413" s="105"/>
      <c r="P1413" s="105"/>
      <c r="Q1413" s="105"/>
      <c r="R1413" s="105"/>
      <c r="S1413" s="105"/>
      <c r="T1413" s="105"/>
      <c r="U1413" s="105"/>
      <c r="V1413" s="105"/>
      <c r="W1413" s="105"/>
      <c r="X1413" s="105"/>
      <c r="Y1413" s="105"/>
      <c r="Z1413" s="105"/>
    </row>
    <row r="1414" spans="1:26">
      <c r="A1414" s="98"/>
      <c r="B1414" s="106"/>
      <c r="C1414" s="98"/>
      <c r="D1414" s="98"/>
      <c r="E1414" s="98"/>
      <c r="F1414" s="98"/>
      <c r="G1414" s="98"/>
      <c r="H1414" s="98"/>
      <c r="I1414" s="98"/>
      <c r="J1414" s="107"/>
      <c r="K1414" s="108"/>
      <c r="L1414" s="109"/>
      <c r="M1414" s="105"/>
      <c r="N1414" s="105"/>
      <c r="O1414" s="105"/>
      <c r="P1414" s="105"/>
      <c r="Q1414" s="105"/>
      <c r="R1414" s="105"/>
      <c r="S1414" s="105"/>
      <c r="T1414" s="105"/>
      <c r="U1414" s="105"/>
      <c r="V1414" s="105"/>
      <c r="W1414" s="105"/>
      <c r="X1414" s="105"/>
      <c r="Y1414" s="105"/>
      <c r="Z1414" s="105"/>
    </row>
    <row r="1415" spans="1:26">
      <c r="A1415" s="98"/>
      <c r="B1415" s="106"/>
      <c r="C1415" s="98"/>
      <c r="D1415" s="98"/>
      <c r="E1415" s="98"/>
      <c r="F1415" s="98"/>
      <c r="G1415" s="98"/>
      <c r="H1415" s="98"/>
      <c r="I1415" s="98"/>
      <c r="J1415" s="107"/>
      <c r="K1415" s="108"/>
      <c r="L1415" s="109"/>
      <c r="M1415" s="105"/>
      <c r="N1415" s="105"/>
      <c r="O1415" s="105"/>
      <c r="P1415" s="105"/>
      <c r="Q1415" s="105"/>
      <c r="R1415" s="105"/>
      <c r="S1415" s="105"/>
      <c r="T1415" s="105"/>
      <c r="U1415" s="105"/>
      <c r="V1415" s="105"/>
      <c r="W1415" s="105"/>
      <c r="X1415" s="105"/>
      <c r="Y1415" s="105"/>
      <c r="Z1415" s="105"/>
    </row>
    <row r="1416" spans="1:26">
      <c r="A1416" s="98"/>
      <c r="B1416" s="106"/>
      <c r="C1416" s="98"/>
      <c r="D1416" s="98"/>
      <c r="E1416" s="98"/>
      <c r="F1416" s="98"/>
      <c r="G1416" s="98"/>
      <c r="H1416" s="98"/>
      <c r="I1416" s="98"/>
      <c r="J1416" s="107"/>
      <c r="K1416" s="108"/>
      <c r="L1416" s="109"/>
      <c r="M1416" s="105"/>
      <c r="N1416" s="105"/>
      <c r="O1416" s="105"/>
      <c r="P1416" s="105"/>
      <c r="Q1416" s="105"/>
      <c r="R1416" s="105"/>
      <c r="S1416" s="105"/>
      <c r="T1416" s="105"/>
      <c r="U1416" s="105"/>
      <c r="V1416" s="105"/>
      <c r="W1416" s="105"/>
      <c r="X1416" s="105"/>
      <c r="Y1416" s="105"/>
      <c r="Z1416" s="105"/>
    </row>
    <row r="1417" spans="1:26">
      <c r="A1417" s="98"/>
      <c r="B1417" s="106"/>
      <c r="C1417" s="98"/>
      <c r="D1417" s="98"/>
      <c r="E1417" s="98"/>
      <c r="F1417" s="98"/>
      <c r="G1417" s="98"/>
      <c r="H1417" s="98"/>
      <c r="I1417" s="98"/>
      <c r="J1417" s="107"/>
      <c r="K1417" s="108"/>
      <c r="L1417" s="109"/>
      <c r="M1417" s="105"/>
      <c r="N1417" s="105"/>
      <c r="O1417" s="105"/>
      <c r="P1417" s="105"/>
      <c r="Q1417" s="105"/>
      <c r="R1417" s="105"/>
      <c r="S1417" s="105"/>
      <c r="T1417" s="105"/>
      <c r="U1417" s="105"/>
      <c r="V1417" s="105"/>
      <c r="W1417" s="105"/>
      <c r="X1417" s="105"/>
      <c r="Y1417" s="105"/>
      <c r="Z1417" s="105"/>
    </row>
    <row r="1418" spans="1:26">
      <c r="A1418" s="98"/>
      <c r="B1418" s="106"/>
      <c r="C1418" s="98"/>
      <c r="D1418" s="98"/>
      <c r="E1418" s="98"/>
      <c r="F1418" s="98"/>
      <c r="G1418" s="98"/>
      <c r="H1418" s="98"/>
      <c r="I1418" s="98"/>
      <c r="J1418" s="107"/>
      <c r="K1418" s="108"/>
      <c r="L1418" s="109"/>
      <c r="M1418" s="105"/>
      <c r="N1418" s="105"/>
      <c r="O1418" s="105"/>
      <c r="P1418" s="105"/>
      <c r="Q1418" s="105"/>
      <c r="R1418" s="105"/>
      <c r="S1418" s="105"/>
      <c r="T1418" s="105"/>
      <c r="U1418" s="105"/>
      <c r="V1418" s="105"/>
      <c r="W1418" s="105"/>
      <c r="X1418" s="105"/>
      <c r="Y1418" s="105"/>
      <c r="Z1418" s="105"/>
    </row>
    <row r="1419" spans="1:26">
      <c r="A1419" s="98"/>
      <c r="B1419" s="106"/>
      <c r="C1419" s="98"/>
      <c r="D1419" s="98"/>
      <c r="E1419" s="98"/>
      <c r="F1419" s="98"/>
      <c r="G1419" s="98"/>
      <c r="H1419" s="98"/>
      <c r="I1419" s="98"/>
      <c r="J1419" s="107"/>
      <c r="K1419" s="108"/>
      <c r="L1419" s="109"/>
      <c r="M1419" s="105"/>
      <c r="N1419" s="105"/>
      <c r="O1419" s="105"/>
      <c r="P1419" s="105"/>
      <c r="Q1419" s="105"/>
      <c r="R1419" s="105"/>
      <c r="S1419" s="105"/>
      <c r="T1419" s="105"/>
      <c r="U1419" s="105"/>
      <c r="V1419" s="105"/>
      <c r="W1419" s="105"/>
      <c r="X1419" s="105"/>
      <c r="Y1419" s="105"/>
      <c r="Z1419" s="105"/>
    </row>
    <row r="1420" spans="1:26">
      <c r="A1420" s="98"/>
      <c r="B1420" s="106"/>
      <c r="C1420" s="98"/>
      <c r="D1420" s="98"/>
      <c r="E1420" s="98"/>
      <c r="F1420" s="98"/>
      <c r="G1420" s="98"/>
      <c r="H1420" s="98"/>
      <c r="I1420" s="98"/>
      <c r="J1420" s="107"/>
      <c r="K1420" s="108"/>
      <c r="L1420" s="109"/>
      <c r="M1420" s="105"/>
      <c r="N1420" s="105"/>
      <c r="O1420" s="105"/>
      <c r="P1420" s="105"/>
      <c r="Q1420" s="105"/>
      <c r="R1420" s="105"/>
      <c r="S1420" s="105"/>
      <c r="T1420" s="105"/>
      <c r="U1420" s="105"/>
      <c r="V1420" s="105"/>
      <c r="W1420" s="105"/>
      <c r="X1420" s="105"/>
      <c r="Y1420" s="105"/>
      <c r="Z1420" s="105"/>
    </row>
    <row r="1421" spans="1:26">
      <c r="A1421" s="98"/>
      <c r="B1421" s="106"/>
      <c r="C1421" s="98"/>
      <c r="D1421" s="98"/>
      <c r="E1421" s="98"/>
      <c r="F1421" s="98"/>
      <c r="G1421" s="98"/>
      <c r="H1421" s="98"/>
      <c r="I1421" s="98"/>
      <c r="J1421" s="107"/>
      <c r="K1421" s="108"/>
      <c r="L1421" s="109"/>
      <c r="M1421" s="105"/>
      <c r="N1421" s="105"/>
      <c r="O1421" s="105"/>
      <c r="P1421" s="105"/>
      <c r="Q1421" s="105"/>
      <c r="R1421" s="105"/>
      <c r="S1421" s="105"/>
      <c r="T1421" s="105"/>
      <c r="U1421" s="105"/>
      <c r="V1421" s="105"/>
      <c r="W1421" s="105"/>
      <c r="X1421" s="105"/>
      <c r="Y1421" s="105"/>
      <c r="Z1421" s="105"/>
    </row>
    <row r="1422" spans="1:26">
      <c r="A1422" s="98"/>
      <c r="B1422" s="106"/>
      <c r="C1422" s="98"/>
      <c r="D1422" s="98"/>
      <c r="E1422" s="98"/>
      <c r="F1422" s="98"/>
      <c r="G1422" s="98"/>
      <c r="H1422" s="98"/>
      <c r="I1422" s="98"/>
      <c r="J1422" s="107"/>
      <c r="K1422" s="108"/>
      <c r="L1422" s="109"/>
      <c r="M1422" s="105"/>
      <c r="N1422" s="105"/>
      <c r="O1422" s="105"/>
      <c r="P1422" s="105"/>
      <c r="Q1422" s="105"/>
      <c r="R1422" s="105"/>
      <c r="S1422" s="105"/>
      <c r="T1422" s="105"/>
      <c r="U1422" s="105"/>
      <c r="V1422" s="105"/>
      <c r="W1422" s="105"/>
      <c r="X1422" s="105"/>
      <c r="Y1422" s="105"/>
      <c r="Z1422" s="105"/>
    </row>
    <row r="1423" spans="1:26">
      <c r="A1423" s="98"/>
      <c r="B1423" s="106"/>
      <c r="C1423" s="98"/>
      <c r="D1423" s="98"/>
      <c r="E1423" s="98"/>
      <c r="F1423" s="98"/>
      <c r="G1423" s="98"/>
      <c r="H1423" s="98"/>
      <c r="I1423" s="98"/>
      <c r="J1423" s="107"/>
      <c r="K1423" s="108"/>
      <c r="L1423" s="109"/>
      <c r="M1423" s="105"/>
      <c r="N1423" s="105"/>
      <c r="O1423" s="105"/>
      <c r="P1423" s="105"/>
      <c r="Q1423" s="105"/>
      <c r="R1423" s="105"/>
      <c r="S1423" s="105"/>
      <c r="T1423" s="105"/>
      <c r="U1423" s="105"/>
      <c r="V1423" s="105"/>
      <c r="W1423" s="105"/>
      <c r="X1423" s="105"/>
      <c r="Y1423" s="105"/>
      <c r="Z1423" s="105"/>
    </row>
    <row r="1424" spans="1:26">
      <c r="A1424" s="98"/>
      <c r="B1424" s="106"/>
      <c r="C1424" s="98"/>
      <c r="D1424" s="98"/>
      <c r="E1424" s="98"/>
      <c r="F1424" s="98"/>
      <c r="G1424" s="98"/>
      <c r="H1424" s="98"/>
      <c r="I1424" s="98"/>
      <c r="J1424" s="107"/>
      <c r="K1424" s="108"/>
      <c r="L1424" s="109"/>
      <c r="M1424" s="105"/>
      <c r="N1424" s="105"/>
      <c r="O1424" s="105"/>
      <c r="P1424" s="105"/>
      <c r="Q1424" s="105"/>
      <c r="R1424" s="105"/>
      <c r="S1424" s="105"/>
      <c r="T1424" s="105"/>
      <c r="U1424" s="105"/>
      <c r="V1424" s="105"/>
      <c r="W1424" s="105"/>
      <c r="X1424" s="105"/>
      <c r="Y1424" s="105"/>
      <c r="Z1424" s="105"/>
    </row>
    <row r="1425" spans="1:26">
      <c r="A1425" s="98"/>
      <c r="B1425" s="106"/>
      <c r="C1425" s="98"/>
      <c r="D1425" s="98"/>
      <c r="E1425" s="98"/>
      <c r="F1425" s="98"/>
      <c r="G1425" s="98"/>
      <c r="H1425" s="98"/>
      <c r="I1425" s="98"/>
      <c r="J1425" s="107"/>
      <c r="K1425" s="108"/>
      <c r="L1425" s="109"/>
      <c r="M1425" s="105"/>
      <c r="N1425" s="105"/>
      <c r="O1425" s="105"/>
      <c r="P1425" s="105"/>
      <c r="Q1425" s="105"/>
      <c r="R1425" s="105"/>
      <c r="S1425" s="105"/>
      <c r="T1425" s="105"/>
      <c r="U1425" s="105"/>
      <c r="V1425" s="105"/>
      <c r="W1425" s="105"/>
      <c r="X1425" s="105"/>
      <c r="Y1425" s="105"/>
      <c r="Z1425" s="105"/>
    </row>
    <row r="1426" spans="1:26">
      <c r="A1426" s="98"/>
      <c r="B1426" s="106"/>
      <c r="C1426" s="98"/>
      <c r="D1426" s="98"/>
      <c r="E1426" s="98"/>
      <c r="F1426" s="98"/>
      <c r="G1426" s="98"/>
      <c r="H1426" s="98"/>
      <c r="I1426" s="98"/>
      <c r="J1426" s="107"/>
      <c r="K1426" s="108"/>
      <c r="L1426" s="109"/>
      <c r="M1426" s="105"/>
      <c r="N1426" s="105"/>
      <c r="O1426" s="105"/>
      <c r="P1426" s="105"/>
      <c r="Q1426" s="105"/>
      <c r="R1426" s="105"/>
      <c r="S1426" s="105"/>
      <c r="T1426" s="105"/>
      <c r="U1426" s="105"/>
      <c r="V1426" s="105"/>
      <c r="W1426" s="105"/>
      <c r="X1426" s="105"/>
      <c r="Y1426" s="105"/>
      <c r="Z1426" s="105"/>
    </row>
    <row r="1427" spans="1:26">
      <c r="A1427" s="98"/>
      <c r="B1427" s="106"/>
      <c r="C1427" s="98"/>
      <c r="D1427" s="98"/>
      <c r="E1427" s="98"/>
      <c r="F1427" s="98"/>
      <c r="G1427" s="98"/>
      <c r="H1427" s="98"/>
      <c r="I1427" s="98"/>
      <c r="J1427" s="107"/>
      <c r="K1427" s="108"/>
      <c r="L1427" s="109"/>
      <c r="M1427" s="105"/>
      <c r="N1427" s="105"/>
      <c r="O1427" s="105"/>
      <c r="P1427" s="105"/>
      <c r="Q1427" s="105"/>
      <c r="R1427" s="105"/>
      <c r="S1427" s="105"/>
      <c r="T1427" s="105"/>
      <c r="U1427" s="105"/>
      <c r="V1427" s="105"/>
      <c r="W1427" s="105"/>
      <c r="X1427" s="105"/>
      <c r="Y1427" s="105"/>
      <c r="Z1427" s="105"/>
    </row>
    <row r="1428" spans="1:26">
      <c r="A1428" s="98"/>
      <c r="B1428" s="106"/>
      <c r="C1428" s="98"/>
      <c r="D1428" s="98"/>
      <c r="E1428" s="98"/>
      <c r="F1428" s="98"/>
      <c r="G1428" s="98"/>
      <c r="H1428" s="98"/>
      <c r="I1428" s="98"/>
      <c r="J1428" s="107"/>
      <c r="K1428" s="108"/>
      <c r="L1428" s="109"/>
      <c r="M1428" s="105"/>
      <c r="N1428" s="105"/>
      <c r="O1428" s="105"/>
      <c r="P1428" s="105"/>
      <c r="Q1428" s="105"/>
      <c r="R1428" s="105"/>
      <c r="S1428" s="105"/>
      <c r="T1428" s="105"/>
      <c r="U1428" s="105"/>
      <c r="V1428" s="105"/>
      <c r="W1428" s="105"/>
      <c r="X1428" s="105"/>
      <c r="Y1428" s="105"/>
      <c r="Z1428" s="105"/>
    </row>
    <row r="1429" spans="1:26">
      <c r="A1429" s="98"/>
      <c r="B1429" s="106"/>
      <c r="C1429" s="98"/>
      <c r="D1429" s="98"/>
      <c r="E1429" s="98"/>
      <c r="F1429" s="98"/>
      <c r="G1429" s="98"/>
      <c r="H1429" s="98"/>
      <c r="I1429" s="98"/>
      <c r="J1429" s="107"/>
      <c r="K1429" s="108"/>
      <c r="L1429" s="109"/>
      <c r="M1429" s="105"/>
      <c r="N1429" s="105"/>
      <c r="O1429" s="105"/>
      <c r="P1429" s="105"/>
      <c r="Q1429" s="105"/>
      <c r="R1429" s="105"/>
      <c r="S1429" s="105"/>
      <c r="T1429" s="105"/>
      <c r="U1429" s="105"/>
      <c r="V1429" s="105"/>
      <c r="W1429" s="105"/>
      <c r="X1429" s="105"/>
      <c r="Y1429" s="105"/>
      <c r="Z1429" s="105"/>
    </row>
    <row r="1430" spans="1:26">
      <c r="A1430" s="98"/>
      <c r="B1430" s="106"/>
      <c r="C1430" s="98"/>
      <c r="D1430" s="98"/>
      <c r="E1430" s="98"/>
      <c r="F1430" s="98"/>
      <c r="G1430" s="98"/>
      <c r="H1430" s="98"/>
      <c r="I1430" s="98"/>
      <c r="J1430" s="107"/>
      <c r="K1430" s="108"/>
      <c r="L1430" s="109"/>
      <c r="M1430" s="105"/>
      <c r="N1430" s="105"/>
      <c r="O1430" s="105"/>
      <c r="P1430" s="105"/>
      <c r="Q1430" s="105"/>
      <c r="R1430" s="105"/>
      <c r="S1430" s="105"/>
      <c r="T1430" s="105"/>
      <c r="U1430" s="105"/>
      <c r="V1430" s="105"/>
      <c r="W1430" s="105"/>
      <c r="X1430" s="105"/>
      <c r="Y1430" s="105"/>
      <c r="Z1430" s="105"/>
    </row>
    <row r="1431" spans="1:26">
      <c r="A1431" s="98"/>
      <c r="B1431" s="106"/>
      <c r="C1431" s="98"/>
      <c r="D1431" s="98"/>
      <c r="E1431" s="98"/>
      <c r="F1431" s="98"/>
      <c r="G1431" s="98"/>
      <c r="H1431" s="98"/>
      <c r="I1431" s="98"/>
      <c r="J1431" s="107"/>
      <c r="K1431" s="108"/>
      <c r="L1431" s="109"/>
      <c r="M1431" s="105"/>
      <c r="N1431" s="105"/>
      <c r="O1431" s="105"/>
      <c r="P1431" s="105"/>
      <c r="Q1431" s="105"/>
      <c r="R1431" s="105"/>
      <c r="S1431" s="105"/>
      <c r="T1431" s="105"/>
      <c r="U1431" s="105"/>
      <c r="V1431" s="105"/>
      <c r="W1431" s="105"/>
      <c r="X1431" s="105"/>
      <c r="Y1431" s="105"/>
      <c r="Z1431" s="105"/>
    </row>
    <row r="1432" spans="1:26">
      <c r="A1432" s="98"/>
      <c r="B1432" s="106"/>
      <c r="C1432" s="98"/>
      <c r="D1432" s="98"/>
      <c r="E1432" s="98"/>
      <c r="F1432" s="98"/>
      <c r="G1432" s="98"/>
      <c r="H1432" s="98"/>
      <c r="I1432" s="98"/>
      <c r="J1432" s="107"/>
      <c r="K1432" s="108"/>
      <c r="L1432" s="109"/>
      <c r="M1432" s="105"/>
      <c r="N1432" s="105"/>
      <c r="O1432" s="105"/>
      <c r="P1432" s="105"/>
      <c r="Q1432" s="105"/>
      <c r="R1432" s="105"/>
      <c r="S1432" s="105"/>
      <c r="T1432" s="105"/>
      <c r="U1432" s="105"/>
      <c r="V1432" s="105"/>
      <c r="W1432" s="105"/>
      <c r="X1432" s="105"/>
      <c r="Y1432" s="105"/>
      <c r="Z1432" s="105"/>
    </row>
    <row r="1433" spans="1:26">
      <c r="A1433" s="98"/>
      <c r="B1433" s="106"/>
      <c r="C1433" s="98"/>
      <c r="D1433" s="98"/>
      <c r="E1433" s="98"/>
      <c r="F1433" s="98"/>
      <c r="G1433" s="98"/>
      <c r="H1433" s="98"/>
      <c r="I1433" s="98"/>
      <c r="J1433" s="107"/>
      <c r="K1433" s="108"/>
      <c r="L1433" s="109"/>
      <c r="M1433" s="105"/>
      <c r="N1433" s="105"/>
      <c r="O1433" s="105"/>
      <c r="P1433" s="105"/>
      <c r="Q1433" s="105"/>
      <c r="R1433" s="105"/>
      <c r="S1433" s="105"/>
      <c r="T1433" s="105"/>
      <c r="U1433" s="105"/>
      <c r="V1433" s="105"/>
      <c r="W1433" s="105"/>
      <c r="X1433" s="105"/>
      <c r="Y1433" s="105"/>
      <c r="Z1433" s="105"/>
    </row>
    <row r="1434" spans="1:26">
      <c r="A1434" s="98"/>
      <c r="B1434" s="106"/>
      <c r="C1434" s="98"/>
      <c r="D1434" s="98"/>
      <c r="E1434" s="98"/>
      <c r="F1434" s="98"/>
      <c r="G1434" s="98"/>
      <c r="H1434" s="98"/>
      <c r="I1434" s="98"/>
      <c r="J1434" s="107"/>
      <c r="K1434" s="108"/>
      <c r="L1434" s="109"/>
      <c r="M1434" s="105"/>
      <c r="N1434" s="105"/>
      <c r="O1434" s="105"/>
      <c r="P1434" s="105"/>
      <c r="Q1434" s="105"/>
      <c r="R1434" s="105"/>
      <c r="S1434" s="105"/>
      <c r="T1434" s="105"/>
      <c r="U1434" s="105"/>
      <c r="V1434" s="105"/>
      <c r="W1434" s="105"/>
      <c r="X1434" s="105"/>
      <c r="Y1434" s="105"/>
      <c r="Z1434" s="105"/>
    </row>
    <row r="1435" spans="1:26">
      <c r="A1435" s="98"/>
      <c r="B1435" s="106"/>
      <c r="C1435" s="98"/>
      <c r="D1435" s="98"/>
      <c r="E1435" s="98"/>
      <c r="F1435" s="98"/>
      <c r="G1435" s="98"/>
      <c r="H1435" s="98"/>
      <c r="I1435" s="98"/>
      <c r="J1435" s="107"/>
      <c r="K1435" s="108"/>
      <c r="L1435" s="109"/>
      <c r="M1435" s="105"/>
      <c r="N1435" s="105"/>
      <c r="O1435" s="105"/>
      <c r="P1435" s="105"/>
      <c r="Q1435" s="105"/>
      <c r="R1435" s="105"/>
      <c r="S1435" s="105"/>
      <c r="T1435" s="105"/>
      <c r="U1435" s="105"/>
      <c r="V1435" s="105"/>
      <c r="W1435" s="105"/>
      <c r="X1435" s="105"/>
      <c r="Y1435" s="105"/>
      <c r="Z1435" s="105"/>
    </row>
    <row r="1436" spans="1:26">
      <c r="A1436" s="98"/>
      <c r="B1436" s="106"/>
      <c r="C1436" s="98"/>
      <c r="D1436" s="98"/>
      <c r="E1436" s="98"/>
      <c r="F1436" s="98"/>
      <c r="G1436" s="98"/>
      <c r="H1436" s="98"/>
      <c r="I1436" s="98"/>
      <c r="J1436" s="107"/>
      <c r="K1436" s="108"/>
      <c r="L1436" s="109"/>
      <c r="M1436" s="105"/>
      <c r="N1436" s="105"/>
      <c r="O1436" s="105"/>
      <c r="P1436" s="105"/>
      <c r="Q1436" s="105"/>
      <c r="R1436" s="105"/>
      <c r="S1436" s="105"/>
      <c r="T1436" s="105"/>
      <c r="U1436" s="105"/>
      <c r="V1436" s="105"/>
      <c r="W1436" s="105"/>
      <c r="X1436" s="105"/>
      <c r="Y1436" s="105"/>
      <c r="Z1436" s="105"/>
    </row>
    <row r="1437" spans="1:26">
      <c r="A1437" s="98"/>
      <c r="B1437" s="106"/>
      <c r="C1437" s="98"/>
      <c r="D1437" s="98"/>
      <c r="E1437" s="98"/>
      <c r="F1437" s="98"/>
      <c r="G1437" s="98"/>
      <c r="H1437" s="98"/>
      <c r="I1437" s="98"/>
      <c r="J1437" s="107"/>
      <c r="K1437" s="108"/>
      <c r="L1437" s="109"/>
      <c r="M1437" s="105"/>
      <c r="N1437" s="105"/>
      <c r="O1437" s="105"/>
      <c r="P1437" s="105"/>
      <c r="Q1437" s="105"/>
      <c r="R1437" s="105"/>
      <c r="S1437" s="105"/>
      <c r="T1437" s="105"/>
      <c r="U1437" s="105"/>
      <c r="V1437" s="105"/>
      <c r="W1437" s="105"/>
      <c r="X1437" s="105"/>
      <c r="Y1437" s="105"/>
      <c r="Z1437" s="105"/>
    </row>
    <row r="1438" spans="1:26">
      <c r="A1438" s="98"/>
      <c r="B1438" s="106"/>
      <c r="C1438" s="98"/>
      <c r="D1438" s="98"/>
      <c r="E1438" s="98"/>
      <c r="F1438" s="98"/>
      <c r="G1438" s="98"/>
      <c r="H1438" s="98"/>
      <c r="I1438" s="98"/>
      <c r="J1438" s="107"/>
      <c r="K1438" s="108"/>
      <c r="L1438" s="109"/>
      <c r="M1438" s="105"/>
      <c r="N1438" s="105"/>
      <c r="O1438" s="105"/>
      <c r="P1438" s="105"/>
      <c r="Q1438" s="105"/>
      <c r="R1438" s="105"/>
      <c r="S1438" s="105"/>
      <c r="T1438" s="105"/>
      <c r="U1438" s="105"/>
      <c r="V1438" s="105"/>
      <c r="W1438" s="105"/>
      <c r="X1438" s="105"/>
      <c r="Y1438" s="105"/>
      <c r="Z1438" s="105"/>
    </row>
    <row r="1439" spans="1:26">
      <c r="A1439" s="98"/>
      <c r="B1439" s="106"/>
      <c r="C1439" s="98"/>
      <c r="D1439" s="98"/>
      <c r="E1439" s="98"/>
      <c r="F1439" s="98"/>
      <c r="G1439" s="98"/>
      <c r="H1439" s="98"/>
      <c r="I1439" s="98"/>
      <c r="J1439" s="107"/>
      <c r="K1439" s="108"/>
      <c r="L1439" s="109"/>
      <c r="M1439" s="105"/>
      <c r="N1439" s="105"/>
      <c r="O1439" s="105"/>
      <c r="P1439" s="105"/>
      <c r="Q1439" s="105"/>
      <c r="R1439" s="105"/>
      <c r="S1439" s="105"/>
      <c r="T1439" s="105"/>
      <c r="U1439" s="105"/>
      <c r="V1439" s="105"/>
      <c r="W1439" s="105"/>
      <c r="X1439" s="105"/>
      <c r="Y1439" s="105"/>
      <c r="Z1439" s="105"/>
    </row>
    <row r="1440" spans="1:26">
      <c r="A1440" s="98"/>
      <c r="B1440" s="106"/>
      <c r="C1440" s="98"/>
      <c r="D1440" s="98"/>
      <c r="E1440" s="98"/>
      <c r="F1440" s="98"/>
      <c r="G1440" s="98"/>
      <c r="H1440" s="98"/>
      <c r="I1440" s="98"/>
      <c r="J1440" s="107"/>
      <c r="K1440" s="108"/>
      <c r="L1440" s="109"/>
      <c r="M1440" s="105"/>
      <c r="N1440" s="105"/>
      <c r="O1440" s="105"/>
      <c r="P1440" s="105"/>
      <c r="Q1440" s="105"/>
      <c r="R1440" s="105"/>
      <c r="S1440" s="105"/>
      <c r="T1440" s="105"/>
      <c r="U1440" s="105"/>
      <c r="V1440" s="105"/>
      <c r="W1440" s="105"/>
      <c r="X1440" s="105"/>
      <c r="Y1440" s="105"/>
      <c r="Z1440" s="105"/>
    </row>
    <row r="1441" spans="1:26">
      <c r="A1441" s="98"/>
      <c r="B1441" s="106"/>
      <c r="C1441" s="98"/>
      <c r="D1441" s="98"/>
      <c r="E1441" s="98"/>
      <c r="F1441" s="98"/>
      <c r="G1441" s="98"/>
      <c r="H1441" s="98"/>
      <c r="I1441" s="98"/>
      <c r="J1441" s="107"/>
      <c r="K1441" s="108"/>
      <c r="L1441" s="109"/>
      <c r="M1441" s="105"/>
      <c r="N1441" s="105"/>
      <c r="O1441" s="105"/>
      <c r="P1441" s="105"/>
      <c r="Q1441" s="105"/>
      <c r="R1441" s="105"/>
      <c r="S1441" s="105"/>
      <c r="T1441" s="105"/>
      <c r="U1441" s="105"/>
      <c r="V1441" s="105"/>
      <c r="W1441" s="105"/>
      <c r="X1441" s="105"/>
      <c r="Y1441" s="105"/>
      <c r="Z1441" s="105"/>
    </row>
    <row r="1442" spans="1:26">
      <c r="A1442" s="98"/>
      <c r="B1442" s="106"/>
      <c r="C1442" s="98"/>
      <c r="D1442" s="98"/>
      <c r="E1442" s="98"/>
      <c r="F1442" s="98"/>
      <c r="G1442" s="98"/>
      <c r="H1442" s="98"/>
      <c r="I1442" s="98"/>
      <c r="J1442" s="107"/>
      <c r="K1442" s="108"/>
      <c r="L1442" s="109"/>
      <c r="M1442" s="105"/>
      <c r="N1442" s="105"/>
      <c r="O1442" s="105"/>
      <c r="P1442" s="105"/>
      <c r="Q1442" s="105"/>
      <c r="R1442" s="105"/>
      <c r="S1442" s="105"/>
      <c r="T1442" s="105"/>
      <c r="U1442" s="105"/>
      <c r="V1442" s="105"/>
      <c r="W1442" s="105"/>
      <c r="X1442" s="105"/>
      <c r="Y1442" s="105"/>
      <c r="Z1442" s="105"/>
    </row>
    <row r="1443" spans="1:26">
      <c r="A1443" s="98"/>
      <c r="B1443" s="106"/>
      <c r="C1443" s="98"/>
      <c r="D1443" s="98"/>
      <c r="E1443" s="98"/>
      <c r="F1443" s="98"/>
      <c r="G1443" s="98"/>
      <c r="H1443" s="98"/>
      <c r="I1443" s="98"/>
      <c r="J1443" s="107"/>
      <c r="K1443" s="108"/>
      <c r="L1443" s="109"/>
      <c r="M1443" s="105"/>
      <c r="N1443" s="105"/>
      <c r="O1443" s="105"/>
      <c r="P1443" s="105"/>
      <c r="Q1443" s="105"/>
      <c r="R1443" s="105"/>
      <c r="S1443" s="105"/>
      <c r="T1443" s="105"/>
      <c r="U1443" s="105"/>
      <c r="V1443" s="105"/>
      <c r="W1443" s="105"/>
      <c r="X1443" s="105"/>
      <c r="Y1443" s="105"/>
      <c r="Z1443" s="105"/>
    </row>
    <row r="1444" spans="1:26">
      <c r="A1444" s="98"/>
      <c r="B1444" s="106"/>
      <c r="C1444" s="98"/>
      <c r="D1444" s="98"/>
      <c r="E1444" s="98"/>
      <c r="F1444" s="98"/>
      <c r="G1444" s="98"/>
      <c r="H1444" s="98"/>
      <c r="I1444" s="98"/>
      <c r="J1444" s="107"/>
      <c r="K1444" s="108"/>
      <c r="L1444" s="109"/>
      <c r="M1444" s="105"/>
      <c r="N1444" s="105"/>
      <c r="O1444" s="105"/>
      <c r="P1444" s="105"/>
      <c r="Q1444" s="105"/>
      <c r="R1444" s="105"/>
      <c r="S1444" s="105"/>
      <c r="T1444" s="105"/>
      <c r="U1444" s="105"/>
      <c r="V1444" s="105"/>
      <c r="W1444" s="105"/>
      <c r="X1444" s="105"/>
      <c r="Y1444" s="105"/>
      <c r="Z1444" s="105"/>
    </row>
    <row r="1445" spans="1:26">
      <c r="A1445" s="98"/>
      <c r="B1445" s="106"/>
      <c r="C1445" s="98"/>
      <c r="D1445" s="98"/>
      <c r="E1445" s="98"/>
      <c r="F1445" s="98"/>
      <c r="G1445" s="98"/>
      <c r="H1445" s="98"/>
      <c r="I1445" s="98"/>
      <c r="J1445" s="107"/>
      <c r="K1445" s="108"/>
      <c r="L1445" s="109"/>
      <c r="M1445" s="105"/>
      <c r="N1445" s="105"/>
      <c r="O1445" s="105"/>
      <c r="P1445" s="105"/>
      <c r="Q1445" s="105"/>
      <c r="R1445" s="105"/>
      <c r="S1445" s="105"/>
      <c r="T1445" s="105"/>
      <c r="U1445" s="105"/>
      <c r="V1445" s="105"/>
      <c r="W1445" s="105"/>
      <c r="X1445" s="105"/>
      <c r="Y1445" s="105"/>
      <c r="Z1445" s="105"/>
    </row>
    <row r="1446" spans="1:26">
      <c r="A1446" s="98"/>
      <c r="B1446" s="106"/>
      <c r="C1446" s="98"/>
      <c r="D1446" s="98"/>
      <c r="E1446" s="98"/>
      <c r="F1446" s="98"/>
      <c r="G1446" s="98"/>
      <c r="H1446" s="98"/>
      <c r="I1446" s="98"/>
      <c r="J1446" s="107"/>
      <c r="K1446" s="108"/>
      <c r="L1446" s="109"/>
      <c r="M1446" s="105"/>
      <c r="N1446" s="105"/>
      <c r="O1446" s="105"/>
      <c r="P1446" s="105"/>
      <c r="Q1446" s="105"/>
      <c r="R1446" s="105"/>
      <c r="S1446" s="105"/>
      <c r="T1446" s="105"/>
      <c r="U1446" s="105"/>
      <c r="V1446" s="105"/>
      <c r="W1446" s="105"/>
      <c r="X1446" s="105"/>
      <c r="Y1446" s="105"/>
      <c r="Z1446" s="105"/>
    </row>
    <row r="1447" spans="1:26">
      <c r="A1447" s="98"/>
      <c r="B1447" s="106"/>
      <c r="C1447" s="98"/>
      <c r="D1447" s="98"/>
      <c r="E1447" s="98"/>
      <c r="F1447" s="98"/>
      <c r="G1447" s="98"/>
      <c r="H1447" s="98"/>
      <c r="I1447" s="98"/>
      <c r="J1447" s="107"/>
      <c r="K1447" s="108"/>
      <c r="L1447" s="109"/>
      <c r="M1447" s="105"/>
      <c r="N1447" s="105"/>
      <c r="O1447" s="105"/>
      <c r="P1447" s="105"/>
      <c r="Q1447" s="105"/>
      <c r="R1447" s="105"/>
      <c r="S1447" s="105"/>
      <c r="T1447" s="105"/>
      <c r="U1447" s="105"/>
      <c r="V1447" s="105"/>
      <c r="W1447" s="105"/>
      <c r="X1447" s="105"/>
      <c r="Y1447" s="105"/>
      <c r="Z1447" s="105"/>
    </row>
    <row r="1448" spans="1:26">
      <c r="A1448" s="98"/>
      <c r="B1448" s="106"/>
      <c r="C1448" s="98"/>
      <c r="D1448" s="98"/>
      <c r="E1448" s="98"/>
      <c r="F1448" s="98"/>
      <c r="G1448" s="98"/>
      <c r="H1448" s="98"/>
      <c r="I1448" s="98"/>
      <c r="J1448" s="107"/>
      <c r="K1448" s="108"/>
      <c r="L1448" s="109"/>
      <c r="M1448" s="105"/>
      <c r="N1448" s="105"/>
      <c r="O1448" s="105"/>
      <c r="P1448" s="105"/>
      <c r="Q1448" s="105"/>
      <c r="R1448" s="105"/>
      <c r="S1448" s="105"/>
      <c r="T1448" s="105"/>
      <c r="U1448" s="105"/>
      <c r="V1448" s="105"/>
      <c r="W1448" s="105"/>
      <c r="X1448" s="105"/>
      <c r="Y1448" s="105"/>
      <c r="Z1448" s="105"/>
    </row>
    <row r="1449" spans="1:26">
      <c r="A1449" s="98"/>
      <c r="B1449" s="106"/>
      <c r="C1449" s="98"/>
      <c r="D1449" s="98"/>
      <c r="E1449" s="98"/>
      <c r="F1449" s="98"/>
      <c r="G1449" s="98"/>
      <c r="H1449" s="98"/>
      <c r="I1449" s="98"/>
      <c r="J1449" s="107"/>
      <c r="K1449" s="108"/>
      <c r="L1449" s="109"/>
      <c r="M1449" s="105"/>
      <c r="N1449" s="105"/>
      <c r="O1449" s="105"/>
      <c r="P1449" s="105"/>
      <c r="Q1449" s="105"/>
      <c r="R1449" s="105"/>
      <c r="S1449" s="105"/>
      <c r="T1449" s="105"/>
      <c r="U1449" s="105"/>
      <c r="V1449" s="105"/>
      <c r="W1449" s="105"/>
      <c r="X1449" s="105"/>
      <c r="Y1449" s="105"/>
      <c r="Z1449" s="105"/>
    </row>
    <row r="1450" spans="1:26">
      <c r="A1450" s="98"/>
      <c r="B1450" s="106"/>
      <c r="C1450" s="98"/>
      <c r="D1450" s="98"/>
      <c r="E1450" s="98"/>
      <c r="F1450" s="98"/>
      <c r="G1450" s="98"/>
      <c r="H1450" s="98"/>
      <c r="I1450" s="98"/>
      <c r="J1450" s="107"/>
      <c r="K1450" s="108"/>
      <c r="L1450" s="109"/>
      <c r="M1450" s="105"/>
      <c r="N1450" s="105"/>
      <c r="O1450" s="105"/>
      <c r="P1450" s="105"/>
      <c r="Q1450" s="105"/>
      <c r="R1450" s="105"/>
      <c r="S1450" s="105"/>
      <c r="T1450" s="105"/>
      <c r="U1450" s="105"/>
      <c r="V1450" s="105"/>
      <c r="W1450" s="105"/>
      <c r="X1450" s="105"/>
      <c r="Y1450" s="105"/>
      <c r="Z1450" s="105"/>
    </row>
    <row r="1451" spans="1:26">
      <c r="A1451" s="98"/>
      <c r="B1451" s="106"/>
      <c r="C1451" s="98"/>
      <c r="D1451" s="98"/>
      <c r="E1451" s="98"/>
      <c r="F1451" s="98"/>
      <c r="G1451" s="98"/>
      <c r="H1451" s="98"/>
      <c r="I1451" s="98"/>
      <c r="J1451" s="107"/>
      <c r="K1451" s="108"/>
      <c r="L1451" s="109"/>
      <c r="M1451" s="105"/>
      <c r="N1451" s="105"/>
      <c r="O1451" s="105"/>
      <c r="P1451" s="105"/>
      <c r="Q1451" s="105"/>
      <c r="R1451" s="105"/>
      <c r="S1451" s="105"/>
      <c r="T1451" s="105"/>
      <c r="U1451" s="105"/>
      <c r="V1451" s="105"/>
      <c r="W1451" s="105"/>
      <c r="X1451" s="105"/>
      <c r="Y1451" s="105"/>
      <c r="Z1451" s="105"/>
    </row>
    <row r="1452" spans="1:26">
      <c r="A1452" s="98"/>
      <c r="B1452" s="106"/>
      <c r="C1452" s="98"/>
      <c r="D1452" s="98"/>
      <c r="E1452" s="98"/>
      <c r="F1452" s="98"/>
      <c r="G1452" s="98"/>
      <c r="H1452" s="98"/>
      <c r="I1452" s="98"/>
      <c r="J1452" s="107"/>
      <c r="K1452" s="108"/>
      <c r="L1452" s="109"/>
      <c r="M1452" s="105"/>
      <c r="N1452" s="105"/>
      <c r="O1452" s="105"/>
      <c r="P1452" s="105"/>
      <c r="Q1452" s="105"/>
      <c r="R1452" s="105"/>
      <c r="S1452" s="105"/>
      <c r="T1452" s="105"/>
      <c r="U1452" s="105"/>
      <c r="V1452" s="105"/>
      <c r="W1452" s="105"/>
      <c r="X1452" s="105"/>
      <c r="Y1452" s="105"/>
      <c r="Z1452" s="105"/>
    </row>
    <row r="1453" spans="1:26">
      <c r="A1453" s="98"/>
      <c r="B1453" s="106"/>
      <c r="C1453" s="98"/>
      <c r="D1453" s="98"/>
      <c r="E1453" s="98"/>
      <c r="F1453" s="98"/>
      <c r="G1453" s="98"/>
      <c r="H1453" s="98"/>
      <c r="I1453" s="98"/>
      <c r="J1453" s="107"/>
      <c r="K1453" s="108"/>
      <c r="L1453" s="109"/>
      <c r="M1453" s="105"/>
      <c r="N1453" s="105"/>
      <c r="O1453" s="105"/>
      <c r="P1453" s="105"/>
      <c r="Q1453" s="105"/>
      <c r="R1453" s="105"/>
      <c r="S1453" s="105"/>
      <c r="T1453" s="105"/>
      <c r="U1453" s="105"/>
      <c r="V1453" s="105"/>
      <c r="W1453" s="105"/>
      <c r="X1453" s="105"/>
      <c r="Y1453" s="105"/>
      <c r="Z1453" s="105"/>
    </row>
    <row r="1454" spans="1:26">
      <c r="A1454" s="98"/>
      <c r="B1454" s="106"/>
      <c r="C1454" s="98"/>
      <c r="D1454" s="98"/>
      <c r="E1454" s="98"/>
      <c r="F1454" s="98"/>
      <c r="G1454" s="98"/>
      <c r="H1454" s="98"/>
      <c r="I1454" s="98"/>
      <c r="J1454" s="107"/>
      <c r="K1454" s="108"/>
      <c r="L1454" s="109"/>
      <c r="M1454" s="105"/>
      <c r="N1454" s="105"/>
      <c r="O1454" s="105"/>
      <c r="P1454" s="105"/>
      <c r="Q1454" s="105"/>
      <c r="R1454" s="105"/>
      <c r="S1454" s="105"/>
      <c r="T1454" s="105"/>
      <c r="U1454" s="105"/>
      <c r="V1454" s="105"/>
      <c r="W1454" s="105"/>
      <c r="X1454" s="105"/>
      <c r="Y1454" s="105"/>
      <c r="Z1454" s="105"/>
    </row>
    <row r="1455" spans="1:26">
      <c r="A1455" s="98"/>
      <c r="B1455" s="106"/>
      <c r="C1455" s="98"/>
      <c r="D1455" s="98"/>
      <c r="E1455" s="98"/>
      <c r="F1455" s="98"/>
      <c r="G1455" s="98"/>
      <c r="H1455" s="98"/>
      <c r="I1455" s="98"/>
      <c r="J1455" s="107"/>
      <c r="K1455" s="108"/>
      <c r="L1455" s="109"/>
      <c r="M1455" s="105"/>
      <c r="N1455" s="105"/>
      <c r="O1455" s="105"/>
      <c r="P1455" s="105"/>
      <c r="Q1455" s="105"/>
      <c r="R1455" s="105"/>
      <c r="S1455" s="105"/>
      <c r="T1455" s="105"/>
      <c r="U1455" s="105"/>
      <c r="V1455" s="105"/>
      <c r="W1455" s="105"/>
      <c r="X1455" s="105"/>
      <c r="Y1455" s="105"/>
      <c r="Z1455" s="105"/>
    </row>
    <row r="1456" spans="1:26">
      <c r="A1456" s="98"/>
      <c r="B1456" s="106"/>
      <c r="C1456" s="98"/>
      <c r="D1456" s="98"/>
      <c r="E1456" s="98"/>
      <c r="F1456" s="98"/>
      <c r="G1456" s="98"/>
      <c r="H1456" s="98"/>
      <c r="I1456" s="98"/>
      <c r="J1456" s="107"/>
      <c r="K1456" s="108"/>
      <c r="L1456" s="109"/>
      <c r="M1456" s="105"/>
      <c r="N1456" s="105"/>
      <c r="O1456" s="105"/>
      <c r="P1456" s="105"/>
      <c r="Q1456" s="105"/>
      <c r="R1456" s="105"/>
      <c r="S1456" s="105"/>
      <c r="T1456" s="105"/>
      <c r="U1456" s="105"/>
      <c r="V1456" s="105"/>
      <c r="W1456" s="105"/>
      <c r="X1456" s="105"/>
      <c r="Y1456" s="105"/>
      <c r="Z1456" s="105"/>
    </row>
    <row r="1457" spans="1:26">
      <c r="A1457" s="98"/>
      <c r="B1457" s="106"/>
      <c r="C1457" s="98"/>
      <c r="D1457" s="98"/>
      <c r="E1457" s="98"/>
      <c r="F1457" s="98"/>
      <c r="G1457" s="98"/>
      <c r="H1457" s="98"/>
      <c r="I1457" s="98"/>
      <c r="J1457" s="107"/>
      <c r="K1457" s="108"/>
      <c r="L1457" s="109"/>
      <c r="M1457" s="105"/>
      <c r="N1457" s="105"/>
      <c r="O1457" s="105"/>
      <c r="P1457" s="105"/>
      <c r="Q1457" s="105"/>
      <c r="R1457" s="105"/>
      <c r="S1457" s="105"/>
      <c r="T1457" s="105"/>
      <c r="U1457" s="105"/>
      <c r="V1457" s="105"/>
      <c r="W1457" s="105"/>
      <c r="X1457" s="105"/>
      <c r="Y1457" s="105"/>
      <c r="Z1457" s="105"/>
    </row>
    <row r="1458" spans="1:26">
      <c r="A1458" s="98"/>
      <c r="B1458" s="106"/>
      <c r="C1458" s="98"/>
      <c r="D1458" s="98"/>
      <c r="E1458" s="98"/>
      <c r="F1458" s="98"/>
      <c r="G1458" s="98"/>
      <c r="H1458" s="98"/>
      <c r="I1458" s="98"/>
      <c r="J1458" s="107"/>
      <c r="K1458" s="108"/>
      <c r="L1458" s="109"/>
      <c r="M1458" s="105"/>
      <c r="N1458" s="105"/>
      <c r="O1458" s="105"/>
      <c r="P1458" s="105"/>
      <c r="Q1458" s="105"/>
      <c r="R1458" s="105"/>
      <c r="S1458" s="105"/>
      <c r="T1458" s="105"/>
      <c r="U1458" s="105"/>
      <c r="V1458" s="105"/>
      <c r="W1458" s="105"/>
      <c r="X1458" s="105"/>
      <c r="Y1458" s="105"/>
      <c r="Z1458" s="105"/>
    </row>
    <row r="1459" spans="1:26">
      <c r="A1459" s="98"/>
      <c r="B1459" s="106"/>
      <c r="C1459" s="98"/>
      <c r="D1459" s="98"/>
      <c r="E1459" s="98"/>
      <c r="F1459" s="98"/>
      <c r="G1459" s="98"/>
      <c r="H1459" s="98"/>
      <c r="I1459" s="98"/>
      <c r="J1459" s="107"/>
      <c r="K1459" s="108"/>
      <c r="L1459" s="109"/>
      <c r="M1459" s="105"/>
      <c r="N1459" s="105"/>
      <c r="O1459" s="105"/>
      <c r="P1459" s="105"/>
      <c r="Q1459" s="105"/>
      <c r="R1459" s="105"/>
      <c r="S1459" s="105"/>
      <c r="T1459" s="105"/>
      <c r="U1459" s="105"/>
      <c r="V1459" s="105"/>
      <c r="W1459" s="105"/>
      <c r="X1459" s="105"/>
      <c r="Y1459" s="105"/>
      <c r="Z1459" s="105"/>
    </row>
    <row r="1460" spans="1:26">
      <c r="A1460" s="98"/>
      <c r="B1460" s="106"/>
      <c r="C1460" s="98"/>
      <c r="D1460" s="98"/>
      <c r="E1460" s="98"/>
      <c r="F1460" s="98"/>
      <c r="G1460" s="98"/>
      <c r="H1460" s="98"/>
      <c r="I1460" s="98"/>
      <c r="J1460" s="107"/>
      <c r="K1460" s="108"/>
      <c r="L1460" s="109"/>
      <c r="M1460" s="105"/>
      <c r="N1460" s="105"/>
      <c r="O1460" s="105"/>
      <c r="P1460" s="105"/>
      <c r="Q1460" s="105"/>
      <c r="R1460" s="105"/>
      <c r="S1460" s="105"/>
      <c r="T1460" s="105"/>
      <c r="U1460" s="105"/>
      <c r="V1460" s="105"/>
      <c r="W1460" s="105"/>
      <c r="X1460" s="105"/>
      <c r="Y1460" s="105"/>
      <c r="Z1460" s="105"/>
    </row>
    <row r="1461" spans="1:26">
      <c r="A1461" s="98"/>
      <c r="B1461" s="106"/>
      <c r="C1461" s="98"/>
      <c r="D1461" s="98"/>
      <c r="E1461" s="98"/>
      <c r="F1461" s="98"/>
      <c r="G1461" s="98"/>
      <c r="H1461" s="98"/>
      <c r="I1461" s="98"/>
      <c r="J1461" s="107"/>
      <c r="K1461" s="108"/>
      <c r="L1461" s="109"/>
      <c r="M1461" s="105"/>
      <c r="N1461" s="105"/>
      <c r="O1461" s="105"/>
      <c r="P1461" s="105"/>
      <c r="Q1461" s="105"/>
      <c r="R1461" s="105"/>
      <c r="S1461" s="105"/>
      <c r="T1461" s="105"/>
      <c r="U1461" s="105"/>
      <c r="V1461" s="105"/>
      <c r="W1461" s="105"/>
      <c r="X1461" s="105"/>
      <c r="Y1461" s="105"/>
      <c r="Z1461" s="105"/>
    </row>
    <row r="1462" spans="1:26">
      <c r="A1462" s="98"/>
      <c r="B1462" s="106"/>
      <c r="C1462" s="98"/>
      <c r="D1462" s="98"/>
      <c r="E1462" s="98"/>
      <c r="F1462" s="98"/>
      <c r="G1462" s="98"/>
      <c r="H1462" s="98"/>
      <c r="I1462" s="98"/>
      <c r="J1462" s="107"/>
      <c r="K1462" s="108"/>
      <c r="L1462" s="109"/>
      <c r="M1462" s="105"/>
      <c r="N1462" s="105"/>
      <c r="O1462" s="105"/>
      <c r="P1462" s="105"/>
      <c r="Q1462" s="105"/>
      <c r="R1462" s="105"/>
      <c r="S1462" s="105"/>
      <c r="T1462" s="105"/>
      <c r="U1462" s="105"/>
      <c r="V1462" s="105"/>
      <c r="W1462" s="105"/>
      <c r="X1462" s="105"/>
      <c r="Y1462" s="105"/>
      <c r="Z1462" s="105"/>
    </row>
    <row r="1463" spans="1:26">
      <c r="A1463" s="98"/>
      <c r="B1463" s="106"/>
      <c r="C1463" s="98"/>
      <c r="D1463" s="98"/>
      <c r="E1463" s="98"/>
      <c r="F1463" s="98"/>
      <c r="G1463" s="98"/>
      <c r="H1463" s="98"/>
      <c r="I1463" s="98"/>
      <c r="J1463" s="107"/>
      <c r="K1463" s="108"/>
      <c r="L1463" s="109"/>
      <c r="M1463" s="105"/>
      <c r="N1463" s="105"/>
      <c r="O1463" s="105"/>
      <c r="P1463" s="105"/>
      <c r="Q1463" s="105"/>
      <c r="R1463" s="105"/>
      <c r="S1463" s="105"/>
      <c r="T1463" s="105"/>
      <c r="U1463" s="105"/>
      <c r="V1463" s="105"/>
      <c r="W1463" s="105"/>
      <c r="X1463" s="105"/>
      <c r="Y1463" s="105"/>
      <c r="Z1463" s="105"/>
    </row>
    <row r="1464" spans="1:26">
      <c r="A1464" s="98"/>
      <c r="B1464" s="106"/>
      <c r="C1464" s="98"/>
      <c r="D1464" s="98"/>
      <c r="E1464" s="98"/>
      <c r="F1464" s="98"/>
      <c r="G1464" s="98"/>
      <c r="H1464" s="98"/>
      <c r="I1464" s="98"/>
      <c r="J1464" s="107"/>
      <c r="K1464" s="108"/>
      <c r="L1464" s="109"/>
      <c r="M1464" s="105"/>
      <c r="N1464" s="105"/>
      <c r="O1464" s="105"/>
      <c r="P1464" s="105"/>
      <c r="Q1464" s="105"/>
      <c r="R1464" s="105"/>
      <c r="S1464" s="105"/>
      <c r="T1464" s="105"/>
      <c r="U1464" s="105"/>
      <c r="V1464" s="105"/>
      <c r="W1464" s="105"/>
      <c r="X1464" s="105"/>
      <c r="Y1464" s="105"/>
      <c r="Z1464" s="105"/>
    </row>
    <row r="1465" spans="1:26">
      <c r="A1465" s="98"/>
      <c r="B1465" s="106"/>
      <c r="C1465" s="98"/>
      <c r="D1465" s="98"/>
      <c r="E1465" s="98"/>
      <c r="F1465" s="98"/>
      <c r="G1465" s="98"/>
      <c r="H1465" s="98"/>
      <c r="I1465" s="98"/>
      <c r="J1465" s="107"/>
      <c r="K1465" s="108"/>
      <c r="L1465" s="109"/>
      <c r="M1465" s="105"/>
      <c r="N1465" s="105"/>
      <c r="O1465" s="105"/>
      <c r="P1465" s="105"/>
      <c r="Q1465" s="105"/>
      <c r="R1465" s="105"/>
      <c r="S1465" s="105"/>
      <c r="T1465" s="105"/>
      <c r="U1465" s="105"/>
      <c r="V1465" s="105"/>
      <c r="W1465" s="105"/>
      <c r="X1465" s="105"/>
      <c r="Y1465" s="105"/>
      <c r="Z1465" s="105"/>
    </row>
    <row r="1466" spans="1:26">
      <c r="A1466" s="98"/>
      <c r="B1466" s="106"/>
      <c r="C1466" s="98"/>
      <c r="D1466" s="98"/>
      <c r="E1466" s="98"/>
      <c r="F1466" s="98"/>
      <c r="G1466" s="98"/>
      <c r="H1466" s="98"/>
      <c r="I1466" s="98"/>
      <c r="J1466" s="107"/>
      <c r="K1466" s="108"/>
      <c r="L1466" s="109"/>
      <c r="M1466" s="105"/>
      <c r="N1466" s="105"/>
      <c r="O1466" s="105"/>
      <c r="P1466" s="105"/>
      <c r="Q1466" s="105"/>
      <c r="R1466" s="105"/>
      <c r="S1466" s="105"/>
      <c r="T1466" s="105"/>
      <c r="U1466" s="105"/>
      <c r="V1466" s="105"/>
      <c r="W1466" s="105"/>
      <c r="X1466" s="105"/>
      <c r="Y1466" s="105"/>
      <c r="Z1466" s="105"/>
    </row>
    <row r="1467" spans="1:26">
      <c r="A1467" s="98"/>
      <c r="B1467" s="106"/>
      <c r="C1467" s="98"/>
      <c r="D1467" s="98"/>
      <c r="E1467" s="98"/>
      <c r="F1467" s="98"/>
      <c r="G1467" s="98"/>
      <c r="H1467" s="98"/>
      <c r="I1467" s="98"/>
      <c r="J1467" s="107"/>
      <c r="K1467" s="108"/>
      <c r="L1467" s="109"/>
      <c r="M1467" s="105"/>
      <c r="N1467" s="105"/>
      <c r="O1467" s="105"/>
      <c r="P1467" s="105"/>
      <c r="Q1467" s="105"/>
      <c r="R1467" s="105"/>
      <c r="S1467" s="105"/>
      <c r="T1467" s="105"/>
      <c r="U1467" s="105"/>
      <c r="V1467" s="105"/>
      <c r="W1467" s="105"/>
      <c r="X1467" s="105"/>
      <c r="Y1467" s="105"/>
      <c r="Z1467" s="105"/>
    </row>
    <row r="1468" spans="1:26">
      <c r="A1468" s="98"/>
      <c r="B1468" s="106"/>
      <c r="C1468" s="98"/>
      <c r="D1468" s="98"/>
      <c r="E1468" s="98"/>
      <c r="F1468" s="98"/>
      <c r="G1468" s="98"/>
      <c r="H1468" s="98"/>
      <c r="I1468" s="98"/>
      <c r="J1468" s="107"/>
      <c r="K1468" s="108"/>
      <c r="L1468" s="109"/>
      <c r="M1468" s="105"/>
      <c r="N1468" s="105"/>
      <c r="O1468" s="105"/>
      <c r="P1468" s="105"/>
      <c r="Q1468" s="105"/>
      <c r="R1468" s="105"/>
      <c r="S1468" s="105"/>
      <c r="T1468" s="105"/>
      <c r="U1468" s="105"/>
      <c r="V1468" s="105"/>
      <c r="W1468" s="105"/>
      <c r="X1468" s="105"/>
      <c r="Y1468" s="105"/>
      <c r="Z1468" s="105"/>
    </row>
    <row r="1469" spans="1:26">
      <c r="A1469" s="98"/>
      <c r="B1469" s="106"/>
      <c r="C1469" s="98"/>
      <c r="D1469" s="98"/>
      <c r="E1469" s="98"/>
      <c r="F1469" s="98"/>
      <c r="G1469" s="98"/>
      <c r="H1469" s="98"/>
      <c r="I1469" s="98"/>
      <c r="J1469" s="107"/>
      <c r="K1469" s="108"/>
      <c r="L1469" s="109"/>
      <c r="M1469" s="105"/>
      <c r="N1469" s="105"/>
      <c r="O1469" s="105"/>
      <c r="P1469" s="105"/>
      <c r="Q1469" s="105"/>
      <c r="R1469" s="105"/>
      <c r="S1469" s="105"/>
      <c r="T1469" s="105"/>
      <c r="U1469" s="105"/>
      <c r="V1469" s="105"/>
      <c r="W1469" s="105"/>
      <c r="X1469" s="105"/>
      <c r="Y1469" s="105"/>
      <c r="Z1469" s="105"/>
    </row>
    <row r="1470" spans="1:26">
      <c r="A1470" s="98"/>
      <c r="B1470" s="106"/>
      <c r="C1470" s="98"/>
      <c r="D1470" s="98"/>
      <c r="E1470" s="98"/>
      <c r="F1470" s="98"/>
      <c r="G1470" s="98"/>
      <c r="H1470" s="98"/>
      <c r="I1470" s="98"/>
      <c r="J1470" s="107"/>
      <c r="K1470" s="108"/>
      <c r="L1470" s="109"/>
      <c r="M1470" s="105"/>
      <c r="N1470" s="105"/>
      <c r="O1470" s="105"/>
      <c r="P1470" s="105"/>
      <c r="Q1470" s="105"/>
      <c r="R1470" s="105"/>
      <c r="S1470" s="105"/>
      <c r="T1470" s="105"/>
      <c r="U1470" s="105"/>
      <c r="V1470" s="105"/>
      <c r="W1470" s="105"/>
      <c r="X1470" s="105"/>
      <c r="Y1470" s="105"/>
      <c r="Z1470" s="105"/>
    </row>
    <row r="1471" spans="1:26">
      <c r="A1471" s="98"/>
      <c r="B1471" s="106"/>
      <c r="C1471" s="98"/>
      <c r="D1471" s="98"/>
      <c r="E1471" s="98"/>
      <c r="F1471" s="98"/>
      <c r="G1471" s="98"/>
      <c r="H1471" s="98"/>
      <c r="I1471" s="98"/>
      <c r="J1471" s="107"/>
      <c r="K1471" s="108"/>
      <c r="L1471" s="109"/>
      <c r="M1471" s="105"/>
      <c r="N1471" s="105"/>
      <c r="O1471" s="105"/>
      <c r="P1471" s="105"/>
      <c r="Q1471" s="105"/>
      <c r="R1471" s="105"/>
      <c r="S1471" s="105"/>
      <c r="T1471" s="105"/>
      <c r="U1471" s="105"/>
      <c r="V1471" s="105"/>
      <c r="W1471" s="105"/>
      <c r="X1471" s="105"/>
      <c r="Y1471" s="105"/>
      <c r="Z1471" s="105"/>
    </row>
    <row r="1472" spans="1:26">
      <c r="A1472" s="98"/>
      <c r="B1472" s="106"/>
      <c r="C1472" s="98"/>
      <c r="D1472" s="98"/>
      <c r="E1472" s="98"/>
      <c r="F1472" s="98"/>
      <c r="G1472" s="98"/>
      <c r="H1472" s="98"/>
      <c r="I1472" s="98"/>
      <c r="J1472" s="107"/>
      <c r="K1472" s="108"/>
      <c r="L1472" s="109"/>
      <c r="M1472" s="105"/>
      <c r="N1472" s="105"/>
      <c r="O1472" s="105"/>
      <c r="P1472" s="105"/>
      <c r="Q1472" s="105"/>
      <c r="R1472" s="105"/>
      <c r="S1472" s="105"/>
      <c r="T1472" s="105"/>
      <c r="U1472" s="105"/>
      <c r="V1472" s="105"/>
      <c r="W1472" s="105"/>
      <c r="X1472" s="105"/>
      <c r="Y1472" s="105"/>
      <c r="Z1472" s="105"/>
    </row>
    <row r="1473" spans="1:26">
      <c r="A1473" s="98"/>
      <c r="B1473" s="106"/>
      <c r="C1473" s="98"/>
      <c r="D1473" s="98"/>
      <c r="E1473" s="98"/>
      <c r="F1473" s="98"/>
      <c r="G1473" s="98"/>
      <c r="H1473" s="98"/>
      <c r="I1473" s="98"/>
      <c r="J1473" s="107"/>
      <c r="K1473" s="108"/>
      <c r="L1473" s="109"/>
      <c r="M1473" s="105"/>
      <c r="N1473" s="105"/>
      <c r="O1473" s="105"/>
      <c r="P1473" s="105"/>
      <c r="Q1473" s="105"/>
      <c r="R1473" s="105"/>
      <c r="S1473" s="105"/>
      <c r="T1473" s="105"/>
      <c r="U1473" s="105"/>
      <c r="V1473" s="105"/>
      <c r="W1473" s="105"/>
      <c r="X1473" s="105"/>
      <c r="Y1473" s="105"/>
      <c r="Z1473" s="105"/>
    </row>
    <row r="1474" spans="1:26">
      <c r="A1474" s="98"/>
      <c r="B1474" s="106"/>
      <c r="C1474" s="98"/>
      <c r="D1474" s="98"/>
      <c r="E1474" s="98"/>
      <c r="F1474" s="98"/>
      <c r="G1474" s="98"/>
      <c r="H1474" s="98"/>
      <c r="I1474" s="98"/>
      <c r="J1474" s="107"/>
      <c r="K1474" s="108"/>
      <c r="L1474" s="109"/>
      <c r="M1474" s="105"/>
      <c r="N1474" s="105"/>
      <c r="O1474" s="105"/>
      <c r="P1474" s="105"/>
      <c r="Q1474" s="105"/>
      <c r="R1474" s="105"/>
      <c r="S1474" s="105"/>
      <c r="T1474" s="105"/>
      <c r="U1474" s="105"/>
      <c r="V1474" s="105"/>
      <c r="W1474" s="105"/>
      <c r="X1474" s="105"/>
      <c r="Y1474" s="105"/>
      <c r="Z1474" s="105"/>
    </row>
    <row r="1475" spans="1:26">
      <c r="A1475" s="98"/>
      <c r="B1475" s="106"/>
      <c r="C1475" s="98"/>
      <c r="D1475" s="98"/>
      <c r="E1475" s="98"/>
      <c r="F1475" s="98"/>
      <c r="G1475" s="98"/>
      <c r="H1475" s="98"/>
      <c r="I1475" s="98"/>
      <c r="J1475" s="107"/>
      <c r="K1475" s="108"/>
      <c r="L1475" s="109"/>
      <c r="M1475" s="105"/>
      <c r="N1475" s="105"/>
      <c r="O1475" s="105"/>
      <c r="P1475" s="105"/>
      <c r="Q1475" s="105"/>
      <c r="R1475" s="105"/>
      <c r="S1475" s="105"/>
      <c r="T1475" s="105"/>
      <c r="U1475" s="105"/>
      <c r="V1475" s="105"/>
      <c r="W1475" s="105"/>
      <c r="X1475" s="105"/>
      <c r="Y1475" s="105"/>
      <c r="Z1475" s="105"/>
    </row>
    <row r="1476" spans="1:26">
      <c r="A1476" s="98"/>
      <c r="B1476" s="106"/>
      <c r="C1476" s="98"/>
      <c r="D1476" s="98"/>
      <c r="E1476" s="98"/>
      <c r="F1476" s="98"/>
      <c r="G1476" s="98"/>
      <c r="H1476" s="98"/>
      <c r="I1476" s="98"/>
      <c r="J1476" s="107"/>
      <c r="K1476" s="108"/>
      <c r="L1476" s="109"/>
      <c r="M1476" s="105"/>
      <c r="N1476" s="105"/>
      <c r="O1476" s="105"/>
      <c r="P1476" s="105"/>
      <c r="Q1476" s="105"/>
      <c r="R1476" s="105"/>
      <c r="S1476" s="105"/>
      <c r="T1476" s="105"/>
      <c r="U1476" s="105"/>
      <c r="V1476" s="105"/>
      <c r="W1476" s="105"/>
      <c r="X1476" s="105"/>
      <c r="Y1476" s="105"/>
      <c r="Z1476" s="105"/>
    </row>
    <row r="1477" spans="1:26">
      <c r="A1477" s="98"/>
      <c r="B1477" s="106"/>
      <c r="C1477" s="98"/>
      <c r="D1477" s="98"/>
      <c r="E1477" s="98"/>
      <c r="F1477" s="98"/>
      <c r="G1477" s="98"/>
      <c r="H1477" s="98"/>
      <c r="I1477" s="98"/>
      <c r="J1477" s="107"/>
      <c r="K1477" s="108"/>
      <c r="L1477" s="109"/>
      <c r="M1477" s="105"/>
      <c r="N1477" s="105"/>
      <c r="O1477" s="105"/>
      <c r="P1477" s="105"/>
      <c r="Q1477" s="105"/>
      <c r="R1477" s="105"/>
      <c r="S1477" s="105"/>
      <c r="T1477" s="105"/>
      <c r="U1477" s="105"/>
      <c r="V1477" s="105"/>
      <c r="W1477" s="105"/>
      <c r="X1477" s="105"/>
      <c r="Y1477" s="105"/>
      <c r="Z1477" s="105"/>
    </row>
    <row r="1478" spans="1:26">
      <c r="A1478" s="98"/>
      <c r="B1478" s="106"/>
      <c r="C1478" s="98"/>
      <c r="D1478" s="98"/>
      <c r="E1478" s="98"/>
      <c r="F1478" s="98"/>
      <c r="G1478" s="98"/>
      <c r="H1478" s="98"/>
      <c r="I1478" s="98"/>
      <c r="J1478" s="107"/>
      <c r="K1478" s="108"/>
      <c r="L1478" s="109"/>
      <c r="M1478" s="105"/>
      <c r="N1478" s="105"/>
      <c r="O1478" s="105"/>
      <c r="P1478" s="105"/>
      <c r="Q1478" s="105"/>
      <c r="R1478" s="105"/>
      <c r="S1478" s="105"/>
      <c r="T1478" s="105"/>
      <c r="U1478" s="105"/>
      <c r="V1478" s="105"/>
      <c r="W1478" s="105"/>
      <c r="X1478" s="105"/>
      <c r="Y1478" s="105"/>
      <c r="Z1478" s="105"/>
    </row>
    <row r="1479" spans="1:26">
      <c r="A1479" s="98"/>
      <c r="B1479" s="106"/>
      <c r="C1479" s="98"/>
      <c r="D1479" s="98"/>
      <c r="E1479" s="98"/>
      <c r="F1479" s="98"/>
      <c r="G1479" s="98"/>
      <c r="H1479" s="98"/>
      <c r="I1479" s="98"/>
      <c r="J1479" s="107"/>
      <c r="K1479" s="108"/>
      <c r="L1479" s="109"/>
      <c r="M1479" s="105"/>
      <c r="N1479" s="105"/>
      <c r="O1479" s="105"/>
      <c r="P1479" s="105"/>
      <c r="Q1479" s="105"/>
      <c r="R1479" s="105"/>
      <c r="S1479" s="105"/>
      <c r="T1479" s="105"/>
      <c r="U1479" s="105"/>
      <c r="V1479" s="105"/>
      <c r="W1479" s="105"/>
      <c r="X1479" s="105"/>
      <c r="Y1479" s="105"/>
      <c r="Z1479" s="105"/>
    </row>
    <row r="1480" spans="1:26">
      <c r="A1480" s="98"/>
      <c r="B1480" s="106"/>
      <c r="C1480" s="98"/>
      <c r="D1480" s="98"/>
      <c r="E1480" s="98"/>
      <c r="F1480" s="98"/>
      <c r="G1480" s="98"/>
      <c r="H1480" s="98"/>
      <c r="I1480" s="98"/>
      <c r="J1480" s="107"/>
      <c r="K1480" s="108"/>
      <c r="L1480" s="109"/>
      <c r="M1480" s="105"/>
      <c r="N1480" s="105"/>
      <c r="O1480" s="105"/>
      <c r="P1480" s="105"/>
      <c r="Q1480" s="105"/>
      <c r="R1480" s="105"/>
      <c r="S1480" s="105"/>
      <c r="T1480" s="105"/>
      <c r="U1480" s="105"/>
      <c r="V1480" s="105"/>
      <c r="W1480" s="105"/>
      <c r="X1480" s="105"/>
      <c r="Y1480" s="105"/>
      <c r="Z1480" s="105"/>
    </row>
    <row r="1481" spans="1:26">
      <c r="A1481" s="98"/>
      <c r="B1481" s="106"/>
      <c r="C1481" s="98"/>
      <c r="D1481" s="98"/>
      <c r="E1481" s="98"/>
      <c r="F1481" s="98"/>
      <c r="G1481" s="98"/>
      <c r="H1481" s="98"/>
      <c r="I1481" s="98"/>
      <c r="J1481" s="107"/>
      <c r="K1481" s="108"/>
      <c r="L1481" s="109"/>
      <c r="M1481" s="105"/>
      <c r="N1481" s="105"/>
      <c r="O1481" s="105"/>
      <c r="P1481" s="105"/>
      <c r="Q1481" s="105"/>
      <c r="R1481" s="105"/>
      <c r="S1481" s="105"/>
      <c r="T1481" s="105"/>
      <c r="U1481" s="105"/>
      <c r="V1481" s="105"/>
      <c r="W1481" s="105"/>
      <c r="X1481" s="105"/>
      <c r="Y1481" s="105"/>
      <c r="Z1481" s="105"/>
    </row>
    <row r="1482" spans="1:26">
      <c r="A1482" s="98"/>
      <c r="B1482" s="106"/>
      <c r="C1482" s="98"/>
      <c r="D1482" s="98"/>
      <c r="E1482" s="98"/>
      <c r="F1482" s="98"/>
      <c r="G1482" s="98"/>
      <c r="H1482" s="98"/>
      <c r="I1482" s="98"/>
      <c r="J1482" s="107"/>
      <c r="K1482" s="108"/>
      <c r="L1482" s="109"/>
      <c r="M1482" s="105"/>
      <c r="N1482" s="105"/>
      <c r="O1482" s="105"/>
      <c r="P1482" s="105"/>
      <c r="Q1482" s="105"/>
      <c r="R1482" s="105"/>
      <c r="S1482" s="105"/>
      <c r="T1482" s="105"/>
      <c r="U1482" s="105"/>
      <c r="V1482" s="105"/>
      <c r="W1482" s="105"/>
      <c r="X1482" s="105"/>
      <c r="Y1482" s="105"/>
      <c r="Z1482" s="105"/>
    </row>
    <row r="1483" spans="1:26">
      <c r="A1483" s="98"/>
      <c r="B1483" s="106"/>
      <c r="C1483" s="98"/>
      <c r="D1483" s="98"/>
      <c r="E1483" s="98"/>
      <c r="F1483" s="98"/>
      <c r="G1483" s="98"/>
      <c r="H1483" s="98"/>
      <c r="I1483" s="98"/>
      <c r="J1483" s="107"/>
      <c r="K1483" s="108"/>
      <c r="L1483" s="109"/>
      <c r="M1483" s="105"/>
      <c r="N1483" s="105"/>
      <c r="O1483" s="105"/>
      <c r="P1483" s="105"/>
      <c r="Q1483" s="105"/>
      <c r="R1483" s="105"/>
      <c r="S1483" s="105"/>
      <c r="T1483" s="105"/>
      <c r="U1483" s="105"/>
      <c r="V1483" s="105"/>
      <c r="W1483" s="105"/>
      <c r="X1483" s="105"/>
      <c r="Y1483" s="105"/>
      <c r="Z1483" s="105"/>
    </row>
    <row r="1484" spans="1:26">
      <c r="A1484" s="98"/>
      <c r="B1484" s="106"/>
      <c r="C1484" s="98"/>
      <c r="D1484" s="98"/>
      <c r="E1484" s="98"/>
      <c r="F1484" s="98"/>
      <c r="G1484" s="98"/>
      <c r="H1484" s="98"/>
      <c r="I1484" s="98"/>
      <c r="J1484" s="107"/>
      <c r="K1484" s="108"/>
      <c r="L1484" s="109"/>
      <c r="M1484" s="105"/>
      <c r="N1484" s="105"/>
      <c r="O1484" s="105"/>
      <c r="P1484" s="105"/>
      <c r="Q1484" s="105"/>
      <c r="R1484" s="105"/>
      <c r="S1484" s="105"/>
      <c r="T1484" s="105"/>
      <c r="U1484" s="105"/>
      <c r="V1484" s="105"/>
      <c r="W1484" s="105"/>
      <c r="X1484" s="105"/>
      <c r="Y1484" s="105"/>
      <c r="Z1484" s="105"/>
    </row>
    <row r="1485" spans="1:26">
      <c r="A1485" s="98"/>
      <c r="B1485" s="106"/>
      <c r="C1485" s="98"/>
      <c r="D1485" s="98"/>
      <c r="E1485" s="98"/>
      <c r="F1485" s="98"/>
      <c r="G1485" s="98"/>
      <c r="H1485" s="98"/>
      <c r="I1485" s="98"/>
      <c r="J1485" s="107"/>
      <c r="K1485" s="108"/>
      <c r="L1485" s="109"/>
      <c r="M1485" s="105"/>
      <c r="N1485" s="105"/>
      <c r="O1485" s="105"/>
      <c r="P1485" s="105"/>
      <c r="Q1485" s="105"/>
      <c r="R1485" s="105"/>
      <c r="S1485" s="105"/>
      <c r="T1485" s="105"/>
      <c r="U1485" s="105"/>
      <c r="V1485" s="105"/>
      <c r="W1485" s="105"/>
      <c r="X1485" s="105"/>
      <c r="Y1485" s="105"/>
      <c r="Z1485" s="105"/>
    </row>
    <row r="1486" spans="1:26">
      <c r="A1486" s="98"/>
      <c r="B1486" s="106"/>
      <c r="C1486" s="98"/>
      <c r="D1486" s="98"/>
      <c r="E1486" s="98"/>
      <c r="F1486" s="98"/>
      <c r="G1486" s="98"/>
      <c r="H1486" s="98"/>
      <c r="I1486" s="98"/>
      <c r="J1486" s="107"/>
      <c r="K1486" s="108"/>
      <c r="L1486" s="109"/>
      <c r="M1486" s="105"/>
      <c r="N1486" s="105"/>
      <c r="O1486" s="105"/>
      <c r="P1486" s="105"/>
      <c r="Q1486" s="105"/>
      <c r="R1486" s="105"/>
      <c r="S1486" s="105"/>
      <c r="T1486" s="105"/>
      <c r="U1486" s="105"/>
      <c r="V1486" s="105"/>
      <c r="W1486" s="105"/>
      <c r="X1486" s="105"/>
      <c r="Y1486" s="105"/>
      <c r="Z1486" s="105"/>
    </row>
    <row r="1487" spans="1:26">
      <c r="A1487" s="98"/>
      <c r="B1487" s="106"/>
      <c r="C1487" s="98"/>
      <c r="D1487" s="98"/>
      <c r="E1487" s="98"/>
      <c r="F1487" s="98"/>
      <c r="G1487" s="98"/>
      <c r="H1487" s="98"/>
      <c r="I1487" s="98"/>
      <c r="J1487" s="107"/>
      <c r="K1487" s="108"/>
      <c r="L1487" s="109"/>
      <c r="M1487" s="105"/>
      <c r="N1487" s="105"/>
      <c r="O1487" s="105"/>
      <c r="P1487" s="105"/>
      <c r="Q1487" s="105"/>
      <c r="R1487" s="105"/>
      <c r="S1487" s="105"/>
      <c r="T1487" s="105"/>
      <c r="U1487" s="105"/>
      <c r="V1487" s="105"/>
      <c r="W1487" s="105"/>
      <c r="X1487" s="105"/>
      <c r="Y1487" s="105"/>
      <c r="Z1487" s="105"/>
    </row>
    <row r="1488" spans="1:26">
      <c r="A1488" s="98"/>
      <c r="B1488" s="106"/>
      <c r="C1488" s="98"/>
      <c r="D1488" s="98"/>
      <c r="E1488" s="98"/>
      <c r="F1488" s="98"/>
      <c r="G1488" s="98"/>
      <c r="H1488" s="98"/>
      <c r="I1488" s="98"/>
      <c r="J1488" s="107"/>
      <c r="K1488" s="108"/>
      <c r="L1488" s="109"/>
      <c r="M1488" s="105"/>
      <c r="N1488" s="105"/>
      <c r="O1488" s="105"/>
      <c r="P1488" s="105"/>
      <c r="Q1488" s="105"/>
      <c r="R1488" s="105"/>
      <c r="S1488" s="105"/>
      <c r="T1488" s="105"/>
      <c r="U1488" s="105"/>
      <c r="V1488" s="105"/>
      <c r="W1488" s="105"/>
      <c r="X1488" s="105"/>
      <c r="Y1488" s="105"/>
      <c r="Z1488" s="105"/>
    </row>
    <row r="1489" spans="1:26">
      <c r="A1489" s="98"/>
      <c r="B1489" s="106"/>
      <c r="C1489" s="98"/>
      <c r="D1489" s="98"/>
      <c r="E1489" s="98"/>
      <c r="F1489" s="98"/>
      <c r="G1489" s="98"/>
      <c r="H1489" s="98"/>
      <c r="I1489" s="98"/>
      <c r="J1489" s="107"/>
      <c r="K1489" s="108"/>
      <c r="L1489" s="109"/>
      <c r="M1489" s="105"/>
      <c r="N1489" s="105"/>
      <c r="O1489" s="105"/>
      <c r="P1489" s="105"/>
      <c r="Q1489" s="105"/>
      <c r="R1489" s="105"/>
      <c r="S1489" s="105"/>
      <c r="T1489" s="105"/>
      <c r="U1489" s="105"/>
      <c r="V1489" s="105"/>
      <c r="W1489" s="105"/>
      <c r="X1489" s="105"/>
      <c r="Y1489" s="105"/>
      <c r="Z1489" s="105"/>
    </row>
    <row r="1490" spans="1:26">
      <c r="A1490" s="98"/>
      <c r="B1490" s="106"/>
      <c r="C1490" s="98"/>
      <c r="D1490" s="98"/>
      <c r="E1490" s="98"/>
      <c r="F1490" s="98"/>
      <c r="G1490" s="98"/>
      <c r="H1490" s="98"/>
      <c r="I1490" s="98"/>
      <c r="J1490" s="107"/>
      <c r="K1490" s="108"/>
      <c r="L1490" s="109"/>
      <c r="M1490" s="105"/>
      <c r="N1490" s="105"/>
      <c r="O1490" s="105"/>
      <c r="P1490" s="105"/>
      <c r="Q1490" s="105"/>
      <c r="R1490" s="105"/>
      <c r="S1490" s="105"/>
      <c r="T1490" s="105"/>
      <c r="U1490" s="105"/>
      <c r="V1490" s="105"/>
      <c r="W1490" s="105"/>
      <c r="X1490" s="105"/>
      <c r="Y1490" s="105"/>
      <c r="Z1490" s="105"/>
    </row>
    <row r="1491" spans="1:26">
      <c r="A1491" s="98"/>
      <c r="B1491" s="106"/>
      <c r="C1491" s="98"/>
      <c r="D1491" s="98"/>
      <c r="E1491" s="98"/>
      <c r="F1491" s="98"/>
      <c r="G1491" s="98"/>
      <c r="H1491" s="98"/>
      <c r="I1491" s="98"/>
      <c r="J1491" s="107"/>
      <c r="K1491" s="108"/>
      <c r="L1491" s="109"/>
      <c r="M1491" s="105"/>
      <c r="N1491" s="105"/>
      <c r="O1491" s="105"/>
      <c r="P1491" s="105"/>
      <c r="Q1491" s="105"/>
      <c r="R1491" s="105"/>
      <c r="S1491" s="105"/>
      <c r="T1491" s="105"/>
      <c r="U1491" s="105"/>
      <c r="V1491" s="105"/>
      <c r="W1491" s="105"/>
      <c r="X1491" s="105"/>
      <c r="Y1491" s="105"/>
      <c r="Z1491" s="105"/>
    </row>
    <row r="1492" spans="1:26">
      <c r="A1492" s="98"/>
      <c r="B1492" s="106"/>
      <c r="C1492" s="98"/>
      <c r="D1492" s="98"/>
      <c r="E1492" s="98"/>
      <c r="F1492" s="98"/>
      <c r="G1492" s="98"/>
      <c r="H1492" s="98"/>
      <c r="I1492" s="98"/>
      <c r="J1492" s="107"/>
      <c r="K1492" s="108"/>
      <c r="L1492" s="109"/>
      <c r="M1492" s="105"/>
      <c r="N1492" s="105"/>
      <c r="O1492" s="105"/>
      <c r="P1492" s="105"/>
      <c r="Q1492" s="105"/>
      <c r="R1492" s="105"/>
      <c r="S1492" s="105"/>
      <c r="T1492" s="105"/>
      <c r="U1492" s="105"/>
      <c r="V1492" s="105"/>
      <c r="W1492" s="105"/>
      <c r="X1492" s="105"/>
      <c r="Y1492" s="105"/>
      <c r="Z1492" s="105"/>
    </row>
    <row r="1493" spans="1:26">
      <c r="A1493" s="98"/>
      <c r="B1493" s="106"/>
      <c r="C1493" s="98"/>
      <c r="D1493" s="98"/>
      <c r="E1493" s="98"/>
      <c r="F1493" s="98"/>
      <c r="G1493" s="98"/>
      <c r="H1493" s="98"/>
      <c r="I1493" s="98"/>
      <c r="J1493" s="107"/>
      <c r="K1493" s="108"/>
      <c r="L1493" s="109"/>
      <c r="M1493" s="105"/>
      <c r="N1493" s="105"/>
      <c r="O1493" s="105"/>
      <c r="P1493" s="105"/>
      <c r="Q1493" s="105"/>
      <c r="R1493" s="105"/>
      <c r="S1493" s="105"/>
      <c r="T1493" s="105"/>
      <c r="U1493" s="105"/>
      <c r="V1493" s="105"/>
      <c r="W1493" s="105"/>
      <c r="X1493" s="105"/>
      <c r="Y1493" s="105"/>
      <c r="Z1493" s="105"/>
    </row>
    <row r="1494" spans="1:26">
      <c r="A1494" s="98"/>
      <c r="B1494" s="106"/>
      <c r="C1494" s="98"/>
      <c r="D1494" s="98"/>
      <c r="E1494" s="98"/>
      <c r="F1494" s="98"/>
      <c r="G1494" s="98"/>
      <c r="H1494" s="98"/>
      <c r="I1494" s="98"/>
      <c r="J1494" s="107"/>
      <c r="K1494" s="108"/>
      <c r="L1494" s="109"/>
      <c r="M1494" s="105"/>
      <c r="N1494" s="105"/>
      <c r="O1494" s="105"/>
      <c r="P1494" s="105"/>
      <c r="Q1494" s="105"/>
      <c r="R1494" s="105"/>
      <c r="S1494" s="105"/>
      <c r="T1494" s="105"/>
      <c r="U1494" s="105"/>
      <c r="V1494" s="105"/>
      <c r="W1494" s="105"/>
      <c r="X1494" s="105"/>
      <c r="Y1494" s="105"/>
      <c r="Z1494" s="105"/>
    </row>
    <row r="1495" spans="1:26">
      <c r="A1495" s="98"/>
      <c r="B1495" s="106"/>
      <c r="C1495" s="98"/>
      <c r="D1495" s="98"/>
      <c r="E1495" s="98"/>
      <c r="F1495" s="98"/>
      <c r="G1495" s="98"/>
      <c r="H1495" s="98"/>
      <c r="I1495" s="98"/>
      <c r="J1495" s="107"/>
      <c r="K1495" s="108"/>
      <c r="L1495" s="109"/>
      <c r="M1495" s="105"/>
      <c r="N1495" s="105"/>
      <c r="O1495" s="105"/>
      <c r="P1495" s="105"/>
      <c r="Q1495" s="105"/>
      <c r="R1495" s="105"/>
      <c r="S1495" s="105"/>
      <c r="T1495" s="105"/>
      <c r="U1495" s="105"/>
      <c r="V1495" s="105"/>
      <c r="W1495" s="105"/>
      <c r="X1495" s="105"/>
      <c r="Y1495" s="105"/>
      <c r="Z1495" s="105"/>
    </row>
    <row r="1496" spans="1:26">
      <c r="A1496" s="98"/>
      <c r="B1496" s="106"/>
      <c r="C1496" s="98"/>
      <c r="D1496" s="98"/>
      <c r="E1496" s="98"/>
      <c r="F1496" s="98"/>
      <c r="G1496" s="98"/>
      <c r="H1496" s="98"/>
      <c r="I1496" s="98"/>
      <c r="J1496" s="107"/>
      <c r="K1496" s="108"/>
      <c r="L1496" s="109"/>
      <c r="M1496" s="105"/>
      <c r="N1496" s="105"/>
      <c r="O1496" s="105"/>
      <c r="P1496" s="105"/>
      <c r="Q1496" s="105"/>
      <c r="R1496" s="105"/>
      <c r="S1496" s="105"/>
      <c r="T1496" s="105"/>
      <c r="U1496" s="105"/>
      <c r="V1496" s="105"/>
      <c r="W1496" s="105"/>
      <c r="X1496" s="105"/>
      <c r="Y1496" s="105"/>
      <c r="Z1496" s="105"/>
    </row>
  </sheetData>
  <mergeCells count="2">
    <mergeCell ref="A1:O1"/>
    <mergeCell ref="C2:O2"/>
  </mergeCells>
  <conditionalFormatting sqref="B4:G1496">
    <cfRule type="expression" dxfId="25" priority="1">
      <formula>H4="Set"</formula>
    </cfRule>
  </conditionalFormatting>
  <conditionalFormatting sqref="G4:G1496">
    <cfRule type="cellIs" dxfId="24" priority="2" operator="greaterThan">
      <formula>0</formula>
    </cfRule>
  </conditionalFormatting>
  <dataValidations count="1">
    <dataValidation type="list" allowBlank="1" showErrorMessage="1" sqref="B2" xr:uid="{00000000-0002-0000-0600-000000000000}">
      <formula1>#REF!</formula1>
    </dataValidation>
  </dataValidations>
  <printOptions horizontalCentered="1" gridLines="1"/>
  <pageMargins left="0.7" right="0.7" top="0.75" bottom="0.75" header="0" footer="0"/>
  <pageSetup paperSize="9" pageOrder="overThenDown" orientation="portrait" cellComments="atEnd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J1999"/>
  <sheetViews>
    <sheetView workbookViewId="0"/>
  </sheetViews>
  <sheetFormatPr defaultColWidth="14.453125" defaultRowHeight="15" customHeight="1"/>
  <cols>
    <col min="1" max="1" width="5.54296875" customWidth="1"/>
    <col min="2" max="2" width="37.1796875" customWidth="1"/>
    <col min="3" max="3" width="32.81640625" customWidth="1"/>
    <col min="4" max="5" width="37.1796875" customWidth="1"/>
    <col min="6" max="6" width="24.26953125" customWidth="1"/>
    <col min="8" max="8" width="37.1796875" customWidth="1"/>
  </cols>
  <sheetData>
    <row r="1" spans="1:10">
      <c r="A1" s="110" t="s">
        <v>1738</v>
      </c>
      <c r="B1" s="110" t="s">
        <v>1739</v>
      </c>
      <c r="C1" s="110" t="s">
        <v>1740</v>
      </c>
      <c r="D1" s="110" t="s">
        <v>1</v>
      </c>
      <c r="E1" s="110" t="s">
        <v>1714</v>
      </c>
      <c r="F1" s="110" t="s">
        <v>1741</v>
      </c>
      <c r="G1" s="110" t="s">
        <v>1742</v>
      </c>
      <c r="H1" s="110" t="s">
        <v>1743</v>
      </c>
      <c r="I1" s="110"/>
    </row>
    <row r="2" spans="1:10">
      <c r="A2" s="107"/>
      <c r="B2" s="111" t="str">
        <f ca="1">IFERROR(__xludf.DUMMYFUNCTION("FILTER('S-FG'!B3:D1999,'S-FG'!B3:B1999&lt;&gt;"""")"),"Jet Motor Assy")</f>
        <v>Jet Motor Assy</v>
      </c>
      <c r="C2" s="111"/>
      <c r="D2" s="111" t="str">
        <f ca="1">IFERROR(__xludf.DUMMYFUNCTION("""COMPUTED_VALUE"""),"Number")</f>
        <v>Number</v>
      </c>
      <c r="E2" s="111" t="str">
        <f ca="1">IFERROR(__xludf.DUMMYFUNCTION("FILTER(RM!$C$4:$E1999,RM!$C$4:$C1999&lt;&gt;"""")"),"Transmitter with Receiver Module 2.4G0.9k")</f>
        <v>Transmitter with Receiver Module 2.4G0.9k</v>
      </c>
      <c r="F2" s="111" t="str">
        <f ca="1">IFERROR(__xludf.DUMMYFUNCTION("""COMPUTED_VALUE"""),"RAD-TRR-QX71W915")</f>
        <v>RAD-TRR-QX71W915</v>
      </c>
      <c r="G2" s="111" t="str">
        <f ca="1">IFERROR(__xludf.DUMMYFUNCTION("""COMPUTED_VALUE"""),"Robu-866205")</f>
        <v>Robu-866205</v>
      </c>
      <c r="H2" t="str">
        <f ca="1">IFERROR(__xludf.DUMMYFUNCTION("{FILTER($B$2:$D1999,$B$2:$B1999&lt;&gt;"""");FILTER($E$2:$G1999,$E$2:$E1999&lt;&gt;"""")}"),"Jet Motor Assy")</f>
        <v>Jet Motor Assy</v>
      </c>
      <c r="J2" t="str">
        <f ca="1">IFERROR(__xludf.DUMMYFUNCTION("""COMPUTED_VALUE"""),"Number")</f>
        <v>Number</v>
      </c>
    </row>
    <row r="3" spans="1:10">
      <c r="A3" s="107"/>
      <c r="B3" s="111" t="str">
        <f ca="1">IFERROR(__xludf.DUMMYFUNCTION("""COMPUTED_VALUE"""),"Power Switch Assy")</f>
        <v>Power Switch Assy</v>
      </c>
      <c r="C3" s="111"/>
      <c r="D3" s="111" t="str">
        <f ca="1">IFERROR(__xludf.DUMMYFUNCTION("""COMPUTED_VALUE"""),"Number")</f>
        <v>Number</v>
      </c>
      <c r="E3" s="111" t="str">
        <f ca="1">IFERROR(__xludf.DUMMYFUNCTION("""COMPUTED_VALUE"""),"Receiver Module R9MM (R9MM will come July25)/R9Mini ")</f>
        <v xml:space="preserve">Receiver Module R9MM (R9MM will come July25)/R9Mini </v>
      </c>
      <c r="F3" s="111" t="str">
        <f ca="1">IFERROR(__xludf.DUMMYFUNCTION("""COMPUTED_VALUE"""),"RAD-TRR-R9MI1W915")</f>
        <v>RAD-TRR-R9MI1W915</v>
      </c>
      <c r="G3" s="111" t="str">
        <f ca="1">IFERROR(__xludf.DUMMYFUNCTION("""COMPUTED_VALUE"""),"Robu-866205")</f>
        <v>Robu-866205</v>
      </c>
      <c r="H3" t="str">
        <f ca="1">IFERROR(__xludf.DUMMYFUNCTION("""COMPUTED_VALUE"""),"Power Switch Assy")</f>
        <v>Power Switch Assy</v>
      </c>
      <c r="J3" t="str">
        <f ca="1">IFERROR(__xludf.DUMMYFUNCTION("""COMPUTED_VALUE"""),"Number")</f>
        <v>Number</v>
      </c>
    </row>
    <row r="4" spans="1:10">
      <c r="A4" s="107"/>
      <c r="B4" s="111" t="str">
        <f ca="1">IFERROR(__xludf.DUMMYFUNCTION("""COMPUTED_VALUE"""),"Charging PM Assy")</f>
        <v>Charging PM Assy</v>
      </c>
      <c r="C4" s="111"/>
      <c r="D4" s="111" t="str">
        <f ca="1">IFERROR(__xludf.DUMMYFUNCTION("""COMPUTED_VALUE"""),"Number")</f>
        <v>Number</v>
      </c>
      <c r="E4" s="111" t="str">
        <f ca="1">IFERROR(__xludf.DUMMYFUNCTION("""COMPUTED_VALUE"""),"Free Wheel Diode SMD M7")</f>
        <v>Free Wheel Diode SMD M7</v>
      </c>
      <c r="F4" s="111" t="str">
        <f ca="1">IFERROR(__xludf.DUMMYFUNCTION("""COMPUTED_VALUE"""),"SIC-DIO-M7-v100i1")</f>
        <v>SIC-DIO-M7-v100i1</v>
      </c>
      <c r="G4" s="111" t="str">
        <f ca="1">IFERROR(__xludf.DUMMYFUNCTION("""COMPUTED_VALUE"""),"Robu-597541")</f>
        <v>Robu-597541</v>
      </c>
      <c r="H4" t="str">
        <f ca="1">IFERROR(__xludf.DUMMYFUNCTION("""COMPUTED_VALUE"""),"Charging PM Assy")</f>
        <v>Charging PM Assy</v>
      </c>
      <c r="J4" t="str">
        <f ca="1">IFERROR(__xludf.DUMMYFUNCTION("""COMPUTED_VALUE"""),"Number")</f>
        <v>Number</v>
      </c>
    </row>
    <row r="5" spans="1:10">
      <c r="A5" s="106"/>
      <c r="B5" s="111" t="str">
        <f ca="1">IFERROR(__xludf.DUMMYFUNCTION("""COMPUTED_VALUE"""),"Charging CM Assy")</f>
        <v>Charging CM Assy</v>
      </c>
      <c r="C5" s="111"/>
      <c r="D5" s="111" t="str">
        <f ca="1">IFERROR(__xludf.DUMMYFUNCTION("""COMPUTED_VALUE"""),"Number")</f>
        <v>Number</v>
      </c>
      <c r="E5" s="111" t="str">
        <f ca="1">IFERROR(__xludf.DUMMYFUNCTION("""COMPUTED_VALUE"""),"Schottky Diode SS310 100v1A")</f>
        <v>Schottky Diode SS310 100v1A</v>
      </c>
      <c r="F5" s="111" t="str">
        <f ca="1">IFERROR(__xludf.DUMMYFUNCTION("""COMPUTED_VALUE"""),"SIC-DIO-SS310-v100i1")</f>
        <v>SIC-DIO-SS310-v100i1</v>
      </c>
      <c r="G5" s="111" t="str">
        <f ca="1">IFERROR(__xludf.DUMMYFUNCTION("""COMPUTED_VALUE"""),"Robu-R193145")</f>
        <v>Robu-R193145</v>
      </c>
      <c r="H5" t="str">
        <f ca="1">IFERROR(__xludf.DUMMYFUNCTION("""COMPUTED_VALUE"""),"Charging CM Assy")</f>
        <v>Charging CM Assy</v>
      </c>
      <c r="J5" t="str">
        <f ca="1">IFERROR(__xludf.DUMMYFUNCTION("""COMPUTED_VALUE"""),"Number")</f>
        <v>Number</v>
      </c>
    </row>
    <row r="6" spans="1:10">
      <c r="A6" s="106"/>
      <c r="B6" s="111" t="str">
        <f ca="1">IFERROR(__xludf.DUMMYFUNCTION("""COMPUTED_VALUE"""),"STBD Signal PM Assy")</f>
        <v>STBD Signal PM Assy</v>
      </c>
      <c r="C6" s="111"/>
      <c r="D6" s="111" t="str">
        <f ca="1">IFERROR(__xludf.DUMMYFUNCTION("""COMPUTED_VALUE"""),"Number")</f>
        <v>Number</v>
      </c>
      <c r="E6" s="111" t="str">
        <f ca="1">IFERROR(__xludf.DUMMYFUNCTION("""COMPUTED_VALUE"""),"Voltage Regulator AMS1117 5.0v")</f>
        <v>Voltage Regulator AMS1117 5.0v</v>
      </c>
      <c r="F6" s="111" t="str">
        <f ca="1">IFERROR(__xludf.DUMMYFUNCTION("""COMPUTED_VALUE"""),"SIC-REG-AMS1117-5v")</f>
        <v>SIC-REG-AMS1117-5v</v>
      </c>
      <c r="G6" s="111" t="str">
        <f ca="1">IFERROR(__xludf.DUMMYFUNCTION("""COMPUTED_VALUE"""),"Robu-162035")</f>
        <v>Robu-162035</v>
      </c>
      <c r="H6" t="str">
        <f ca="1">IFERROR(__xludf.DUMMYFUNCTION("""COMPUTED_VALUE"""),"STBD Signal PM Assy")</f>
        <v>STBD Signal PM Assy</v>
      </c>
      <c r="J6" t="str">
        <f ca="1">IFERROR(__xludf.DUMMYFUNCTION("""COMPUTED_VALUE"""),"Number")</f>
        <v>Number</v>
      </c>
    </row>
    <row r="7" spans="1:10">
      <c r="A7" s="106"/>
      <c r="B7" s="111" t="str">
        <f ca="1">IFERROR(__xludf.DUMMYFUNCTION("""COMPUTED_VALUE"""),"PORT Signal PM Assy")</f>
        <v>PORT Signal PM Assy</v>
      </c>
      <c r="C7" s="111"/>
      <c r="D7" s="111" t="str">
        <f ca="1">IFERROR(__xludf.DUMMYFUNCTION("""COMPUTED_VALUE"""),"Number")</f>
        <v>Number</v>
      </c>
      <c r="E7" s="111" t="str">
        <f ca="1">IFERROR(__xludf.DUMMYFUNCTION("""COMPUTED_VALUE"""),"GPS Module NEO-6M")</f>
        <v>GPS Module NEO-6M</v>
      </c>
      <c r="F7" s="111" t="str">
        <f ca="1">IFERROR(__xludf.DUMMYFUNCTION("""COMPUTED_VALUE"""),"MOD-GNS-NEO6M")</f>
        <v>MOD-GNS-NEO6M</v>
      </c>
      <c r="G7" s="111" t="str">
        <f ca="1">IFERROR(__xludf.DUMMYFUNCTION("""COMPUTED_VALUE"""),"Neo-6M")</f>
        <v>Neo-6M</v>
      </c>
      <c r="H7" t="str">
        <f ca="1">IFERROR(__xludf.DUMMYFUNCTION("""COMPUTED_VALUE"""),"PORT Signal PM Assy")</f>
        <v>PORT Signal PM Assy</v>
      </c>
      <c r="J7" t="str">
        <f ca="1">IFERROR(__xludf.DUMMYFUNCTION("""COMPUTED_VALUE"""),"Number")</f>
        <v>Number</v>
      </c>
    </row>
    <row r="8" spans="1:10">
      <c r="A8" s="106"/>
      <c r="B8" s="111" t="str">
        <f ca="1">IFERROR(__xludf.DUMMYFUNCTION("""COMPUTED_VALUE"""),"STBD Signal CM Assy")</f>
        <v>STBD Signal CM Assy</v>
      </c>
      <c r="C8" s="111"/>
      <c r="D8" s="111" t="str">
        <f ca="1">IFERROR(__xludf.DUMMYFUNCTION("""COMPUTED_VALUE"""),"Number")</f>
        <v>Number</v>
      </c>
      <c r="E8" s="111" t="str">
        <f ca="1">IFERROR(__xludf.DUMMYFUNCTION("""COMPUTED_VALUE"""),"GPS Module LC86L")</f>
        <v>GPS Module LC86L</v>
      </c>
      <c r="F8" s="111" t="str">
        <f ca="1">IFERROR(__xludf.DUMMYFUNCTION("""COMPUTED_VALUE"""),"MOD-GNS-LC86L")</f>
        <v>MOD-GNS-LC86L</v>
      </c>
      <c r="G8" s="111" t="str">
        <f ca="1">IFERROR(__xludf.DUMMYFUNCTION("""COMPUTED_VALUE"""),"LC86L")</f>
        <v>LC86L</v>
      </c>
      <c r="H8" t="str">
        <f ca="1">IFERROR(__xludf.DUMMYFUNCTION("""COMPUTED_VALUE"""),"STBD Signal CM Assy")</f>
        <v>STBD Signal CM Assy</v>
      </c>
      <c r="J8" t="str">
        <f ca="1">IFERROR(__xludf.DUMMYFUNCTION("""COMPUTED_VALUE"""),"Number")</f>
        <v>Number</v>
      </c>
    </row>
    <row r="9" spans="1:10">
      <c r="A9" s="106"/>
      <c r="B9" s="111" t="str">
        <f ca="1">IFERROR(__xludf.DUMMYFUNCTION("""COMPUTED_VALUE"""),"PORT Signal CM Assy")</f>
        <v>PORT Signal CM Assy</v>
      </c>
      <c r="C9" s="111"/>
      <c r="D9" s="111" t="str">
        <f ca="1">IFERROR(__xludf.DUMMYFUNCTION("""COMPUTED_VALUE"""),"Number")</f>
        <v>Number</v>
      </c>
      <c r="E9" s="111" t="str">
        <f ca="1">IFERROR(__xludf.DUMMYFUNCTION("""COMPUTED_VALUE"""),"GPS Module Here3+")</f>
        <v>GPS Module Here3+</v>
      </c>
      <c r="F9" s="111" t="str">
        <f ca="1">IFERROR(__xludf.DUMMYFUNCTION("""COMPUTED_VALUE"""),"MOD-GNS-LC86L")</f>
        <v>MOD-GNS-LC86L</v>
      </c>
      <c r="G9" s="111" t="str">
        <f ca="1">IFERROR(__xludf.DUMMYFUNCTION("""COMPUTED_VALUE"""),"Here3+")</f>
        <v>Here3+</v>
      </c>
      <c r="H9" t="str">
        <f ca="1">IFERROR(__xludf.DUMMYFUNCTION("""COMPUTED_VALUE"""),"PORT Signal CM Assy")</f>
        <v>PORT Signal CM Assy</v>
      </c>
      <c r="J9" t="str">
        <f ca="1">IFERROR(__xludf.DUMMYFUNCTION("""COMPUTED_VALUE"""),"Number")</f>
        <v>Number</v>
      </c>
    </row>
    <row r="10" spans="1:10">
      <c r="A10" s="106"/>
      <c r="B10" s="111" t="str">
        <f ca="1">IFERROR(__xludf.DUMMYFUNCTION("""COMPUTED_VALUE"""),"Current Sensor Assy")</f>
        <v>Current Sensor Assy</v>
      </c>
      <c r="C10" s="111"/>
      <c r="D10" s="111" t="str">
        <f ca="1">IFERROR(__xludf.DUMMYFUNCTION("""COMPUTED_VALUE"""),"Number")</f>
        <v>Number</v>
      </c>
      <c r="E10" s="111" t="str">
        <f ca="1">IFERROR(__xludf.DUMMYFUNCTION("""COMPUTED_VALUE"""),"GPS Module BX992 Trimble")</f>
        <v>GPS Module BX992 Trimble</v>
      </c>
      <c r="F10" s="111" t="str">
        <f ca="1">IFERROR(__xludf.DUMMYFUNCTION("""COMPUTED_VALUE"""),"MOD-GNS-BX992")</f>
        <v>MOD-GNS-BX992</v>
      </c>
      <c r="G10" s="111" t="str">
        <f ca="1">IFERROR(__xludf.DUMMYFUNCTION("""COMPUTED_VALUE"""),"BX992")</f>
        <v>BX992</v>
      </c>
      <c r="H10" t="str">
        <f ca="1">IFERROR(__xludf.DUMMYFUNCTION("""COMPUTED_VALUE"""),"Current Sensor Assy")</f>
        <v>Current Sensor Assy</v>
      </c>
      <c r="J10" t="str">
        <f ca="1">IFERROR(__xludf.DUMMYFUNCTION("""COMPUTED_VALUE"""),"Number")</f>
        <v>Number</v>
      </c>
    </row>
    <row r="11" spans="1:10">
      <c r="A11" s="106"/>
      <c r="B11" s="111" t="str">
        <f ca="1">IFERROR(__xludf.DUMMYFUNCTION("""COMPUTED_VALUE"""),"RPM Sensor Assy")</f>
        <v>RPM Sensor Assy</v>
      </c>
      <c r="C11" s="111"/>
      <c r="D11" s="111" t="str">
        <f ca="1">IFERROR(__xludf.DUMMYFUNCTION("""COMPUTED_VALUE"""),"Number")</f>
        <v>Number</v>
      </c>
      <c r="E11" s="111" t="str">
        <f ca="1">IFERROR(__xludf.DUMMYFUNCTION("""COMPUTED_VALUE"""),"Bullet Connector Female 5.5mm")</f>
        <v>Bullet Connector Female 5.5mm</v>
      </c>
      <c r="F11" s="111" t="str">
        <f ca="1">IFERROR(__xludf.DUMMYFUNCTION("""COMPUTED_VALUE"""),"CON-BUL-55F")</f>
        <v>CON-BUL-55F</v>
      </c>
      <c r="G11" s="111" t="str">
        <f ca="1">IFERROR(__xludf.DUMMYFUNCTION("""COMPUTED_VALUE"""),"HV130")</f>
        <v>HV130</v>
      </c>
      <c r="H11" t="str">
        <f ca="1">IFERROR(__xludf.DUMMYFUNCTION("""COMPUTED_VALUE"""),"RPM Sensor Assy")</f>
        <v>RPM Sensor Assy</v>
      </c>
      <c r="J11" t="str">
        <f ca="1">IFERROR(__xludf.DUMMYFUNCTION("""COMPUTED_VALUE"""),"Number")</f>
        <v>Number</v>
      </c>
    </row>
    <row r="12" spans="1:10">
      <c r="A12" s="106"/>
      <c r="B12" s="111" t="str">
        <f ca="1">IFERROR(__xludf.DUMMYFUNCTION("""COMPUTED_VALUE"""),"A21 MotherBoard Assy")</f>
        <v>A21 MotherBoard Assy</v>
      </c>
      <c r="C12" s="111"/>
      <c r="D12" s="111" t="str">
        <f ca="1">IFERROR(__xludf.DUMMYFUNCTION("""COMPUTED_VALUE"""),"Number")</f>
        <v>Number</v>
      </c>
      <c r="E12" s="111" t="str">
        <f ca="1">IFERROR(__xludf.DUMMYFUNCTION("""COMPUTED_VALUE"""),"Bullet Connector Male 4mm AMASS")</f>
        <v>Bullet Connector Male 4mm AMASS</v>
      </c>
      <c r="F12" s="111" t="str">
        <f ca="1">IFERROR(__xludf.DUMMYFUNCTION("""COMPUTED_VALUE"""),"CON-BUL-4M")</f>
        <v>CON-BUL-4M</v>
      </c>
      <c r="G12" s="111" t="str">
        <f ca="1">IFERROR(__xludf.DUMMYFUNCTION("""COMPUTED_VALUE"""),"Robu-239973")</f>
        <v>Robu-239973</v>
      </c>
      <c r="H12" t="str">
        <f ca="1">IFERROR(__xludf.DUMMYFUNCTION("""COMPUTED_VALUE"""),"A21 MotherBoard Assy")</f>
        <v>A21 MotherBoard Assy</v>
      </c>
      <c r="J12" t="str">
        <f ca="1">IFERROR(__xludf.DUMMYFUNCTION("""COMPUTED_VALUE"""),"Number")</f>
        <v>Number</v>
      </c>
    </row>
    <row r="13" spans="1:10">
      <c r="A13" s="106"/>
      <c r="B13" s="111" t="str">
        <f ca="1">IFERROR(__xludf.DUMMYFUNCTION("""COMPUTED_VALUE"""),"Battery Block Assy")</f>
        <v>Battery Block Assy</v>
      </c>
      <c r="C13" s="111"/>
      <c r="D13" s="111" t="str">
        <f ca="1">IFERROR(__xludf.DUMMYFUNCTION("""COMPUTED_VALUE"""),"Number")</f>
        <v>Number</v>
      </c>
      <c r="E13" s="111" t="str">
        <f ca="1">IFERROR(__xludf.DUMMYFUNCTION("""COMPUTED_VALUE"""),"Bullet Connector Female 4mm AMASS")</f>
        <v>Bullet Connector Female 4mm AMASS</v>
      </c>
      <c r="F13" s="111" t="str">
        <f ca="1">IFERROR(__xludf.DUMMYFUNCTION("""COMPUTED_VALUE"""),"CON-BUL-4F")</f>
        <v>CON-BUL-4F</v>
      </c>
      <c r="G13" s="111" t="str">
        <f ca="1">IFERROR(__xludf.DUMMYFUNCTION("""COMPUTED_VALUE"""),"Robu-R150111")</f>
        <v>Robu-R150111</v>
      </c>
      <c r="H13" t="str">
        <f ca="1">IFERROR(__xludf.DUMMYFUNCTION("""COMPUTED_VALUE"""),"Battery Block Assy")</f>
        <v>Battery Block Assy</v>
      </c>
      <c r="J13" t="str">
        <f ca="1">IFERROR(__xludf.DUMMYFUNCTION("""COMPUTED_VALUE"""),"Number")</f>
        <v>Number</v>
      </c>
    </row>
    <row r="14" spans="1:10">
      <c r="A14" s="106"/>
      <c r="B14" s="111" t="str">
        <f ca="1">IFERROR(__xludf.DUMMYFUNCTION("""COMPUTED_VALUE"""),"STBD_ESC Assy")</f>
        <v>STBD_ESC Assy</v>
      </c>
      <c r="C14" s="111"/>
      <c r="D14" s="111" t="str">
        <f ca="1">IFERROR(__xludf.DUMMYFUNCTION("""COMPUTED_VALUE"""),"Number")</f>
        <v>Number</v>
      </c>
      <c r="E14" s="111" t="str">
        <f ca="1">IFERROR(__xludf.DUMMYFUNCTION("""COMPUTED_VALUE"""),"Bullet Connector Male 2mm AMASS")</f>
        <v>Bullet Connector Male 2mm AMASS</v>
      </c>
      <c r="F14" s="111" t="str">
        <f ca="1">IFERROR(__xludf.DUMMYFUNCTION("""COMPUTED_VALUE"""),"CON-BUL-2M")</f>
        <v>CON-BUL-2M</v>
      </c>
      <c r="G14" s="111" t="str">
        <f ca="1">IFERROR(__xludf.DUMMYFUNCTION("""COMPUTED_VALUE"""),"Robu-R150108")</f>
        <v>Robu-R150108</v>
      </c>
      <c r="H14" t="str">
        <f ca="1">IFERROR(__xludf.DUMMYFUNCTION("""COMPUTED_VALUE"""),"STBD_ESC Assy")</f>
        <v>STBD_ESC Assy</v>
      </c>
      <c r="J14" t="str">
        <f ca="1">IFERROR(__xludf.DUMMYFUNCTION("""COMPUTED_VALUE"""),"Number")</f>
        <v>Number</v>
      </c>
    </row>
    <row r="15" spans="1:10">
      <c r="A15" s="106"/>
      <c r="B15" s="111" t="str">
        <f ca="1">IFERROR(__xludf.DUMMYFUNCTION("""COMPUTED_VALUE"""),"PORT_ESC Assy")</f>
        <v>PORT_ESC Assy</v>
      </c>
      <c r="C15" s="111"/>
      <c r="D15" s="111" t="str">
        <f ca="1">IFERROR(__xludf.DUMMYFUNCTION("""COMPUTED_VALUE"""),"Number")</f>
        <v>Number</v>
      </c>
      <c r="E15" s="111" t="str">
        <f ca="1">IFERROR(__xludf.DUMMYFUNCTION("""COMPUTED_VALUE"""),"Bullet Connector Female  2mm AMASS")</f>
        <v>Bullet Connector Female  2mm AMASS</v>
      </c>
      <c r="F15" s="111" t="str">
        <f ca="1">IFERROR(__xludf.DUMMYFUNCTION("""COMPUTED_VALUE"""),"CON-BUL-2F")</f>
        <v>CON-BUL-2F</v>
      </c>
      <c r="G15" s="111" t="str">
        <f ca="1">IFERROR(__xludf.DUMMYFUNCTION("""COMPUTED_VALUE"""),"Robu-R150107")</f>
        <v>Robu-R150107</v>
      </c>
      <c r="H15" t="str">
        <f ca="1">IFERROR(__xludf.DUMMYFUNCTION("""COMPUTED_VALUE"""),"PORT_ESC Assy")</f>
        <v>PORT_ESC Assy</v>
      </c>
      <c r="J15" t="str">
        <f ca="1">IFERROR(__xludf.DUMMYFUNCTION("""COMPUTED_VALUE"""),"Number")</f>
        <v>Number</v>
      </c>
    </row>
    <row r="16" spans="1:10">
      <c r="A16" s="106"/>
      <c r="B16" s="111" t="str">
        <f ca="1">IFERROR(__xludf.DUMMYFUNCTION("""COMPUTED_VALUE"""),"STBD Battery Assy")</f>
        <v>STBD Battery Assy</v>
      </c>
      <c r="C16" s="111"/>
      <c r="D16" s="111" t="str">
        <f ca="1">IFERROR(__xludf.DUMMYFUNCTION("""COMPUTED_VALUE"""),"Number")</f>
        <v>Number</v>
      </c>
      <c r="E16" s="111" t="str">
        <f ca="1">IFERROR(__xludf.DUMMYFUNCTION("""COMPUTED_VALUE"""),"Bullet Connector Male 6mm XT-150 AMASS")</f>
        <v>Bullet Connector Male 6mm XT-150 AMASS</v>
      </c>
      <c r="F16" s="111" t="str">
        <f ca="1">IFERROR(__xludf.DUMMYFUNCTION("""COMPUTED_VALUE"""),"CON-BUL-6M")</f>
        <v>CON-BUL-6M</v>
      </c>
      <c r="G16" s="111" t="str">
        <f ca="1">IFERROR(__xludf.DUMMYFUNCTION("""COMPUTED_VALUE"""),"Robu-239520")</f>
        <v>Robu-239520</v>
      </c>
      <c r="H16" t="str">
        <f ca="1">IFERROR(__xludf.DUMMYFUNCTION("""COMPUTED_VALUE"""),"STBD Battery Assy")</f>
        <v>STBD Battery Assy</v>
      </c>
      <c r="J16" t="str">
        <f ca="1">IFERROR(__xludf.DUMMYFUNCTION("""COMPUTED_VALUE"""),"Number")</f>
        <v>Number</v>
      </c>
    </row>
    <row r="17" spans="1:10">
      <c r="A17" s="106"/>
      <c r="B17" s="111" t="str">
        <f ca="1">IFERROR(__xludf.DUMMYFUNCTION("""COMPUTED_VALUE"""),"PORT Battery Assy")</f>
        <v>PORT Battery Assy</v>
      </c>
      <c r="C17" s="111"/>
      <c r="D17" s="111" t="str">
        <f ca="1">IFERROR(__xludf.DUMMYFUNCTION("""COMPUTED_VALUE"""),"Number")</f>
        <v>Number</v>
      </c>
      <c r="E17" s="111" t="str">
        <f ca="1">IFERROR(__xludf.DUMMYFUNCTION("""COMPUTED_VALUE"""),"Bullet Connector Female  6mm XT-150 AMASS")</f>
        <v>Bullet Connector Female  6mm XT-150 AMASS</v>
      </c>
      <c r="F17" s="111" t="str">
        <f ca="1">IFERROR(__xludf.DUMMYFUNCTION("""COMPUTED_VALUE"""),"CON-BUL-6F")</f>
        <v>CON-BUL-6F</v>
      </c>
      <c r="G17" s="111" t="str">
        <f ca="1">IFERROR(__xludf.DUMMYFUNCTION("""COMPUTED_VALUE"""),"Robu-239593")</f>
        <v>Robu-239593</v>
      </c>
      <c r="H17" t="str">
        <f ca="1">IFERROR(__xludf.DUMMYFUNCTION("""COMPUTED_VALUE"""),"PORT Battery Assy")</f>
        <v>PORT Battery Assy</v>
      </c>
      <c r="J17" t="str">
        <f ca="1">IFERROR(__xludf.DUMMYFUNCTION("""COMPUTED_VALUE"""),"Number")</f>
        <v>Number</v>
      </c>
    </row>
    <row r="18" spans="1:10">
      <c r="A18" s="106"/>
      <c r="B18" s="111" t="str">
        <f ca="1">IFERROR(__xludf.DUMMYFUNCTION("""COMPUTED_VALUE"""),"Charger Box Assy")</f>
        <v>Charger Box Assy</v>
      </c>
      <c r="C18" s="111"/>
      <c r="D18" s="111" t="str">
        <f ca="1">IFERROR(__xludf.DUMMYFUNCTION("""COMPUTED_VALUE"""),"Number")</f>
        <v>Number</v>
      </c>
      <c r="E18" s="111" t="str">
        <f ca="1">IFERROR(__xludf.DUMMYFUNCTION("""COMPUTED_VALUE"""),"Bullet Connector Male 8mm AMASS")</f>
        <v>Bullet Connector Male 8mm AMASS</v>
      </c>
      <c r="F18" s="111" t="str">
        <f ca="1">IFERROR(__xludf.DUMMYFUNCTION("""COMPUTED_VALUE"""),"CON-BUL-8M")</f>
        <v>CON-BUL-8M</v>
      </c>
      <c r="G18" s="111" t="str">
        <f ca="1">IFERROR(__xludf.DUMMYFUNCTION("""COMPUTED_VALUE"""),"Robu-239739")</f>
        <v>Robu-239739</v>
      </c>
      <c r="H18" t="str">
        <f ca="1">IFERROR(__xludf.DUMMYFUNCTION("""COMPUTED_VALUE"""),"Charger Box Assy")</f>
        <v>Charger Box Assy</v>
      </c>
      <c r="J18" t="str">
        <f ca="1">IFERROR(__xludf.DUMMYFUNCTION("""COMPUTED_VALUE"""),"Number")</f>
        <v>Number</v>
      </c>
    </row>
    <row r="19" spans="1:10">
      <c r="A19" s="106"/>
      <c r="B19" s="111" t="str">
        <f ca="1">IFERROR(__xludf.DUMMYFUNCTION("""COMPUTED_VALUE"""),"Electronic Box Assy")</f>
        <v>Electronic Box Assy</v>
      </c>
      <c r="C19" s="111"/>
      <c r="D19" s="111" t="str">
        <f ca="1">IFERROR(__xludf.DUMMYFUNCTION("""COMPUTED_VALUE"""),"Number")</f>
        <v>Number</v>
      </c>
      <c r="E19" s="111" t="str">
        <f ca="1">IFERROR(__xludf.DUMMYFUNCTION("""COMPUTED_VALUE"""),"Bullet Connector Female 8mm AMASS")</f>
        <v>Bullet Connector Female 8mm AMASS</v>
      </c>
      <c r="F19" s="111" t="str">
        <f ca="1">IFERROR(__xludf.DUMMYFUNCTION("""COMPUTED_VALUE"""),"CON-BUL-8F")</f>
        <v>CON-BUL-8F</v>
      </c>
      <c r="G19" s="111" t="str">
        <f ca="1">IFERROR(__xludf.DUMMYFUNCTION("""COMPUTED_VALUE"""),"Robu-239757")</f>
        <v>Robu-239757</v>
      </c>
      <c r="H19" t="str">
        <f ca="1">IFERROR(__xludf.DUMMYFUNCTION("""COMPUTED_VALUE"""),"Electronic Box Assy")</f>
        <v>Electronic Box Assy</v>
      </c>
      <c r="J19" t="str">
        <f ca="1">IFERROR(__xludf.DUMMYFUNCTION("""COMPUTED_VALUE"""),"Number")</f>
        <v>Number</v>
      </c>
    </row>
    <row r="20" spans="1:10">
      <c r="A20" s="106"/>
      <c r="B20" s="111" t="str">
        <f ca="1">IFERROR(__xludf.DUMMYFUNCTION("""COMPUTED_VALUE"""),"FL_STBD Elec")</f>
        <v>FL_STBD Elec</v>
      </c>
      <c r="C20" s="111"/>
      <c r="D20" s="111" t="str">
        <f ca="1">IFERROR(__xludf.DUMMYFUNCTION("""COMPUTED_VALUE"""),"Number")</f>
        <v>Number</v>
      </c>
      <c r="E20" s="111" t="str">
        <f ca="1">IFERROR(__xludf.DUMMYFUNCTION("""COMPUTED_VALUE"""),"Cable - Ultra Flexible - Black 8AWG")</f>
        <v>Cable - Ultra Flexible - Black 8AWG</v>
      </c>
      <c r="F20" s="111" t="str">
        <f ca="1">IFERROR(__xludf.DUMMYFUNCTION("""COMPUTED_VALUE"""),"CAB-SIL-BLACK8AWG")</f>
        <v>CAB-SIL-BLACK8AWG</v>
      </c>
      <c r="G20" s="111" t="str">
        <f ca="1">IFERROR(__xludf.DUMMYFUNCTION("""COMPUTED_VALUE"""),"Robu-R151637")</f>
        <v>Robu-R151637</v>
      </c>
      <c r="H20" t="str">
        <f ca="1">IFERROR(__xludf.DUMMYFUNCTION("""COMPUTED_VALUE"""),"FL_STBD Elec")</f>
        <v>FL_STBD Elec</v>
      </c>
      <c r="J20" t="str">
        <f ca="1">IFERROR(__xludf.DUMMYFUNCTION("""COMPUTED_VALUE"""),"Number")</f>
        <v>Number</v>
      </c>
    </row>
    <row r="21" spans="1:10">
      <c r="A21" s="106"/>
      <c r="B21" s="111" t="str">
        <f ca="1">IFERROR(__xludf.DUMMYFUNCTION("""COMPUTED_VALUE"""),"FL_PORT Elec")</f>
        <v>FL_PORT Elec</v>
      </c>
      <c r="C21" s="111"/>
      <c r="D21" s="111" t="str">
        <f ca="1">IFERROR(__xludf.DUMMYFUNCTION("""COMPUTED_VALUE"""),"Number")</f>
        <v>Number</v>
      </c>
      <c r="E21" s="111" t="str">
        <f ca="1">IFERROR(__xludf.DUMMYFUNCTION("""COMPUTED_VALUE"""),"Cable - Ultra Flexible - Red 8AWG")</f>
        <v>Cable - Ultra Flexible - Red 8AWG</v>
      </c>
      <c r="F21" s="111" t="str">
        <f ca="1">IFERROR(__xludf.DUMMYFUNCTION("""COMPUTED_VALUE"""),"CAB-SIL-RED8AWG")</f>
        <v>CAB-SIL-RED8AWG</v>
      </c>
      <c r="G21" s="111" t="str">
        <f ca="1">IFERROR(__xludf.DUMMYFUNCTION("""COMPUTED_VALUE"""),"Robu-R151638")</f>
        <v>Robu-R151638</v>
      </c>
      <c r="H21" t="str">
        <f ca="1">IFERROR(__xludf.DUMMYFUNCTION("""COMPUTED_VALUE"""),"FL_PORT Elec")</f>
        <v>FL_PORT Elec</v>
      </c>
      <c r="J21" t="str">
        <f ca="1">IFERROR(__xludf.DUMMYFUNCTION("""COMPUTED_VALUE"""),"Number")</f>
        <v>Number</v>
      </c>
    </row>
    <row r="22" spans="1:10">
      <c r="A22" s="106"/>
      <c r="B22" s="111" t="str">
        <f ca="1">IFERROR(__xludf.DUMMYFUNCTION("""COMPUTED_VALUE"""),"FL_STBD Mech")</f>
        <v>FL_STBD Mech</v>
      </c>
      <c r="C22" s="111"/>
      <c r="D22" s="111" t="str">
        <f ca="1">IFERROR(__xludf.DUMMYFUNCTION("""COMPUTED_VALUE"""),"Number")</f>
        <v>Number</v>
      </c>
      <c r="E22" s="111" t="str">
        <f ca="1">IFERROR(__xludf.DUMMYFUNCTION("""COMPUTED_VALUE"""),"Cable - Ultra Flexible - Black 10AWG")</f>
        <v>Cable - Ultra Flexible - Black 10AWG</v>
      </c>
      <c r="F22" s="111" t="str">
        <f ca="1">IFERROR(__xludf.DUMMYFUNCTION("""COMPUTED_VALUE"""),"CAB-SIL-BLACK10AWG")</f>
        <v>CAB-SIL-BLACK10AWG</v>
      </c>
      <c r="G22" s="111"/>
      <c r="H22" t="str">
        <f ca="1">IFERROR(__xludf.DUMMYFUNCTION("""COMPUTED_VALUE"""),"FL_STBD Mech")</f>
        <v>FL_STBD Mech</v>
      </c>
      <c r="J22" t="str">
        <f ca="1">IFERROR(__xludf.DUMMYFUNCTION("""COMPUTED_VALUE"""),"Number")</f>
        <v>Number</v>
      </c>
    </row>
    <row r="23" spans="1:10">
      <c r="A23" s="106"/>
      <c r="B23" s="111" t="str">
        <f ca="1">IFERROR(__xludf.DUMMYFUNCTION("""COMPUTED_VALUE"""),"FL_PORT Mech")</f>
        <v>FL_PORT Mech</v>
      </c>
      <c r="C23" s="111"/>
      <c r="D23" s="111" t="str">
        <f ca="1">IFERROR(__xludf.DUMMYFUNCTION("""COMPUTED_VALUE"""),"Number")</f>
        <v>Number</v>
      </c>
      <c r="E23" s="111" t="str">
        <f ca="1">IFERROR(__xludf.DUMMYFUNCTION("""COMPUTED_VALUE"""),"Cable - Ultra Flexible - Red 10AWG")</f>
        <v>Cable - Ultra Flexible - Red 10AWG</v>
      </c>
      <c r="F23" s="111" t="str">
        <f ca="1">IFERROR(__xludf.DUMMYFUNCTION("""COMPUTED_VALUE"""),"CAB-SIL-RED10AWG")</f>
        <v>CAB-SIL-RED10AWG</v>
      </c>
      <c r="G23" s="111"/>
      <c r="H23" t="str">
        <f ca="1">IFERROR(__xludf.DUMMYFUNCTION("""COMPUTED_VALUE"""),"FL_PORT Mech")</f>
        <v>FL_PORT Mech</v>
      </c>
      <c r="J23" t="str">
        <f ca="1">IFERROR(__xludf.DUMMYFUNCTION("""COMPUTED_VALUE"""),"Number")</f>
        <v>Number</v>
      </c>
    </row>
    <row r="24" spans="1:10">
      <c r="A24" s="106"/>
      <c r="B24" s="111" t="str">
        <f ca="1">IFERROR(__xludf.DUMMYFUNCTION("""COMPUTED_VALUE"""),"STBD Unit Assy")</f>
        <v>STBD Unit Assy</v>
      </c>
      <c r="C24" s="111"/>
      <c r="D24" s="111" t="str">
        <f ca="1">IFERROR(__xludf.DUMMYFUNCTION("""COMPUTED_VALUE"""),"Number")</f>
        <v>Number</v>
      </c>
      <c r="E24" s="111" t="str">
        <f ca="1">IFERROR(__xludf.DUMMYFUNCTION("""COMPUTED_VALUE"""),"Cable - Ultra Flexible - Black 12AWG")</f>
        <v>Cable - Ultra Flexible - Black 12AWG</v>
      </c>
      <c r="F24" s="111" t="str">
        <f ca="1">IFERROR(__xludf.DUMMYFUNCTION("""COMPUTED_VALUE"""),"CAB-SIL-BLACK12AWG")</f>
        <v>CAB-SIL-BLACK12AWG</v>
      </c>
      <c r="G24" s="111" t="str">
        <f ca="1">IFERROR(__xludf.DUMMYFUNCTION("""COMPUTED_VALUE"""),"Robu-1824981")</f>
        <v>Robu-1824981</v>
      </c>
      <c r="H24" t="str">
        <f ca="1">IFERROR(__xludf.DUMMYFUNCTION("""COMPUTED_VALUE"""),"STBD Unit Assy")</f>
        <v>STBD Unit Assy</v>
      </c>
      <c r="J24" t="str">
        <f ca="1">IFERROR(__xludf.DUMMYFUNCTION("""COMPUTED_VALUE"""),"Number")</f>
        <v>Number</v>
      </c>
    </row>
    <row r="25" spans="1:10">
      <c r="A25" s="106"/>
      <c r="B25" s="111" t="str">
        <f ca="1">IFERROR(__xludf.DUMMYFUNCTION("""COMPUTED_VALUE"""),"PORT Unit Assy")</f>
        <v>PORT Unit Assy</v>
      </c>
      <c r="C25" s="111"/>
      <c r="D25" s="111" t="str">
        <f ca="1">IFERROR(__xludf.DUMMYFUNCTION("""COMPUTED_VALUE"""),"Number")</f>
        <v>Number</v>
      </c>
      <c r="E25" s="111" t="str">
        <f ca="1">IFERROR(__xludf.DUMMYFUNCTION("""COMPUTED_VALUE"""),"Cable - Ultra Flexible - Red 12AWG")</f>
        <v>Cable - Ultra Flexible - Red 12AWG</v>
      </c>
      <c r="F25" s="111" t="str">
        <f ca="1">IFERROR(__xludf.DUMMYFUNCTION("""COMPUTED_VALUE"""),"CAB-SIL-RED12AWG")</f>
        <v>CAB-SIL-RED12AWG</v>
      </c>
      <c r="G25" s="111" t="str">
        <f ca="1">IFERROR(__xludf.DUMMYFUNCTION("""COMPUTED_VALUE"""),"Robu-1824982")</f>
        <v>Robu-1824982</v>
      </c>
      <c r="H25" t="str">
        <f ca="1">IFERROR(__xludf.DUMMYFUNCTION("""COMPUTED_VALUE"""),"PORT Unit Assy")</f>
        <v>PORT Unit Assy</v>
      </c>
      <c r="J25" t="str">
        <f ca="1">IFERROR(__xludf.DUMMYFUNCTION("""COMPUTED_VALUE"""),"Number")</f>
        <v>Number</v>
      </c>
    </row>
    <row r="26" spans="1:10">
      <c r="A26" s="106"/>
      <c r="B26" s="111" t="str">
        <f ca="1">IFERROR(__xludf.DUMMYFUNCTION("""COMPUTED_VALUE"""),"Self Rightening Assy")</f>
        <v>Self Rightening Assy</v>
      </c>
      <c r="C26" s="111"/>
      <c r="D26" s="111" t="str">
        <f ca="1">IFERROR(__xludf.DUMMYFUNCTION("""COMPUTED_VALUE"""),"Number")</f>
        <v>Number</v>
      </c>
      <c r="E26" s="111" t="str">
        <f ca="1">IFERROR(__xludf.DUMMYFUNCTION("""COMPUTED_VALUE"""),"Cable - Ultra Flexible - Black 18 AWG")</f>
        <v>Cable - Ultra Flexible - Black 18 AWG</v>
      </c>
      <c r="F26" s="111" t="str">
        <f ca="1">IFERROR(__xludf.DUMMYFUNCTION("""COMPUTED_VALUE"""),"CAB-SIL-BLACK18AWG")</f>
        <v>CAB-SIL-BLACK18AWG</v>
      </c>
      <c r="G26" s="111"/>
      <c r="H26" t="str">
        <f ca="1">IFERROR(__xludf.DUMMYFUNCTION("""COMPUTED_VALUE"""),"Self Rightening Assy")</f>
        <v>Self Rightening Assy</v>
      </c>
      <c r="J26" t="str">
        <f ca="1">IFERROR(__xludf.DUMMYFUNCTION("""COMPUTED_VALUE"""),"Number")</f>
        <v>Number</v>
      </c>
    </row>
    <row r="27" spans="1:10">
      <c r="A27" s="106"/>
      <c r="B27" s="111" t="str">
        <f ca="1">IFERROR(__xludf.DUMMYFUNCTION("""COMPUTED_VALUE"""),"IP Remote Assy")</f>
        <v>IP Remote Assy</v>
      </c>
      <c r="C27" s="111"/>
      <c r="D27" s="111" t="str">
        <f ca="1">IFERROR(__xludf.DUMMYFUNCTION("""COMPUTED_VALUE"""),"Number")</f>
        <v>Number</v>
      </c>
      <c r="E27" s="111" t="str">
        <f ca="1">IFERROR(__xludf.DUMMYFUNCTION("""COMPUTED_VALUE"""),"Cable - Ultra Flexible - Red 18 AWG")</f>
        <v>Cable - Ultra Flexible - Red 18 AWG</v>
      </c>
      <c r="F27" s="111" t="str">
        <f ca="1">IFERROR(__xludf.DUMMYFUNCTION("""COMPUTED_VALUE"""),"CAB-SIL-RED18AWG")</f>
        <v>CAB-SIL-RED18AWG</v>
      </c>
      <c r="G27" s="111"/>
      <c r="H27" t="str">
        <f ca="1">IFERROR(__xludf.DUMMYFUNCTION("""COMPUTED_VALUE"""),"IP Remote Assy")</f>
        <v>IP Remote Assy</v>
      </c>
      <c r="J27" t="str">
        <f ca="1">IFERROR(__xludf.DUMMYFUNCTION("""COMPUTED_VALUE"""),"Number")</f>
        <v>Number</v>
      </c>
    </row>
    <row r="28" spans="1:10">
      <c r="A28" s="106"/>
      <c r="B28" s="111" t="str">
        <f ca="1">IFERROR(__xludf.DUMMYFUNCTION("""COMPUTED_VALUE"""),"IP Remote Charging Cable Assy")</f>
        <v>IP Remote Charging Cable Assy</v>
      </c>
      <c r="C28" s="111"/>
      <c r="D28" s="111" t="str">
        <f ca="1">IFERROR(__xludf.DUMMYFUNCTION("""COMPUTED_VALUE"""),"Number")</f>
        <v>Number</v>
      </c>
      <c r="E28" s="111" t="str">
        <f ca="1">IFERROR(__xludf.DUMMYFUNCTION("""COMPUTED_VALUE"""),"Cable - Ultra Flexible - Green 18 AWG")</f>
        <v>Cable - Ultra Flexible - Green 18 AWG</v>
      </c>
      <c r="F28" s="111" t="str">
        <f ca="1">IFERROR(__xludf.DUMMYFUNCTION("""COMPUTED_VALUE"""),"CAB-SIL-GREEN18AWG")</f>
        <v>CAB-SIL-GREEN18AWG</v>
      </c>
      <c r="G28" s="111"/>
      <c r="H28" t="str">
        <f ca="1">IFERROR(__xludf.DUMMYFUNCTION("""COMPUTED_VALUE"""),"IP Remote Charging Cable Assy")</f>
        <v>IP Remote Charging Cable Assy</v>
      </c>
      <c r="J28" t="str">
        <f ca="1">IFERROR(__xludf.DUMMYFUNCTION("""COMPUTED_VALUE"""),"Number")</f>
        <v>Number</v>
      </c>
    </row>
    <row r="29" spans="1:10">
      <c r="A29" s="106"/>
      <c r="B29" s="111" t="str">
        <f ca="1">IFERROR(__xludf.DUMMYFUNCTION("""COMPUTED_VALUE"""),"AMCA Elec Assy")</f>
        <v>AMCA Elec Assy</v>
      </c>
      <c r="C29" s="111"/>
      <c r="D29" s="111" t="str">
        <f ca="1">IFERROR(__xludf.DUMMYFUNCTION("""COMPUTED_VALUE"""),"Number")</f>
        <v>Number</v>
      </c>
      <c r="E29" s="111" t="str">
        <f ca="1">IFERROR(__xludf.DUMMYFUNCTION("""COMPUTED_VALUE"""),"Cable - Ultra Flexible - Black 20 AWG")</f>
        <v>Cable - Ultra Flexible - Black 20 AWG</v>
      </c>
      <c r="F29" s="111" t="str">
        <f ca="1">IFERROR(__xludf.DUMMYFUNCTION("""COMPUTED_VALUE"""),"CAB-SIL-BLACK20AWG")</f>
        <v>CAB-SIL-BLACK20AWG</v>
      </c>
      <c r="G29" s="111" t="str">
        <f ca="1">IFERROR(__xludf.DUMMYFUNCTION("""COMPUTED_VALUE"""),"Robu-1824989")</f>
        <v>Robu-1824989</v>
      </c>
      <c r="H29" t="str">
        <f ca="1">IFERROR(__xludf.DUMMYFUNCTION("""COMPUTED_VALUE"""),"AMCA Elec Assy")</f>
        <v>AMCA Elec Assy</v>
      </c>
      <c r="J29" t="str">
        <f ca="1">IFERROR(__xludf.DUMMYFUNCTION("""COMPUTED_VALUE"""),"Number")</f>
        <v>Number</v>
      </c>
    </row>
    <row r="30" spans="1:10">
      <c r="A30" s="106"/>
      <c r="B30" s="111" t="str">
        <f ca="1">IFERROR(__xludf.DUMMYFUNCTION("""COMPUTED_VALUE"""),"AMCA Mech Assy")</f>
        <v>AMCA Mech Assy</v>
      </c>
      <c r="C30" s="111"/>
      <c r="D30" s="111" t="str">
        <f ca="1">IFERROR(__xludf.DUMMYFUNCTION("""COMPUTED_VALUE"""),"Number")</f>
        <v>Number</v>
      </c>
      <c r="E30" s="111" t="str">
        <f ca="1">IFERROR(__xludf.DUMMYFUNCTION("""COMPUTED_VALUE"""),"Cable - Ultra Flexible - Green 20 AWG")</f>
        <v>Cable - Ultra Flexible - Green 20 AWG</v>
      </c>
      <c r="F30" s="111" t="str">
        <f ca="1">IFERROR(__xludf.DUMMYFUNCTION("""COMPUTED_VALUE"""),"CAB-SIL-GREEN20AWG")</f>
        <v>CAB-SIL-GREEN20AWG</v>
      </c>
      <c r="G30" s="111"/>
      <c r="H30" t="str">
        <f ca="1">IFERROR(__xludf.DUMMYFUNCTION("""COMPUTED_VALUE"""),"AMCA Mech Assy")</f>
        <v>AMCA Mech Assy</v>
      </c>
      <c r="J30" t="str">
        <f ca="1">IFERROR(__xludf.DUMMYFUNCTION("""COMPUTED_VALUE"""),"Number")</f>
        <v>Number</v>
      </c>
    </row>
    <row r="31" spans="1:10">
      <c r="A31" s="106"/>
      <c r="B31" s="111" t="str">
        <f ca="1">IFERROR(__xludf.DUMMYFUNCTION("""COMPUTED_VALUE"""),"Final Craft Assy")</f>
        <v>Final Craft Assy</v>
      </c>
      <c r="C31" s="111"/>
      <c r="D31" s="111" t="str">
        <f ca="1">IFERROR(__xludf.DUMMYFUNCTION("""COMPUTED_VALUE"""),"Number")</f>
        <v>Number</v>
      </c>
      <c r="E31" s="111" t="str">
        <f ca="1">IFERROR(__xludf.DUMMYFUNCTION("""COMPUTED_VALUE"""),"Cable - Ultra Flexible Red 20 AWG")</f>
        <v>Cable - Ultra Flexible Red 20 AWG</v>
      </c>
      <c r="F31" s="111" t="str">
        <f ca="1">IFERROR(__xludf.DUMMYFUNCTION("""COMPUTED_VALUE"""),"CAB-SIL-RED20AWG")</f>
        <v>CAB-SIL-RED20AWG</v>
      </c>
      <c r="G31" s="111" t="str">
        <f ca="1">IFERROR(__xludf.DUMMYFUNCTION("""COMPUTED_VALUE"""),"Robu-1824992")</f>
        <v>Robu-1824992</v>
      </c>
      <c r="H31" t="str">
        <f ca="1">IFERROR(__xludf.DUMMYFUNCTION("""COMPUTED_VALUE"""),"Final Craft Assy")</f>
        <v>Final Craft Assy</v>
      </c>
      <c r="J31" t="str">
        <f ca="1">IFERROR(__xludf.DUMMYFUNCTION("""COMPUTED_VALUE"""),"Number")</f>
        <v>Number</v>
      </c>
    </row>
    <row r="32" spans="1:10">
      <c r="A32" s="106"/>
      <c r="B32" s="111" t="str">
        <f ca="1">IFERROR(__xludf.DUMMYFUNCTION("""COMPUTED_VALUE"""),"Bottom Block Assy")</f>
        <v>Bottom Block Assy</v>
      </c>
      <c r="C32" s="111"/>
      <c r="D32" s="111" t="str">
        <f ca="1">IFERROR(__xludf.DUMMYFUNCTION("""COMPUTED_VALUE"""),"Number")</f>
        <v>Number</v>
      </c>
      <c r="E32" s="111" t="str">
        <f ca="1">IFERROR(__xludf.DUMMYFUNCTION("""COMPUTED_VALUE"""),"Cable - Ultra Flexible Blue 20 AWG")</f>
        <v>Cable - Ultra Flexible Blue 20 AWG</v>
      </c>
      <c r="F32" s="111" t="str">
        <f ca="1">IFERROR(__xludf.DUMMYFUNCTION("""COMPUTED_VALUE"""),"CAB-SIL-BLUE20AWG")</f>
        <v>CAB-SIL-BLUE20AWG</v>
      </c>
      <c r="G32" s="111" t="str">
        <f ca="1">IFERROR(__xludf.DUMMYFUNCTION("""COMPUTED_VALUE"""),"Robu-1824990")</f>
        <v>Robu-1824990</v>
      </c>
      <c r="H32" t="str">
        <f ca="1">IFERROR(__xludf.DUMMYFUNCTION("""COMPUTED_VALUE"""),"Bottom Block Assy")</f>
        <v>Bottom Block Assy</v>
      </c>
      <c r="J32" t="str">
        <f ca="1">IFERROR(__xludf.DUMMYFUNCTION("""COMPUTED_VALUE"""),"Number")</f>
        <v>Number</v>
      </c>
    </row>
    <row r="33" spans="1:10">
      <c r="A33" s="106"/>
      <c r="B33" s="111" t="str">
        <f ca="1">IFERROR(__xludf.DUMMYFUNCTION("""COMPUTED_VALUE"""),"STBD Aft Plate Assy")</f>
        <v>STBD Aft Plate Assy</v>
      </c>
      <c r="C33" s="111"/>
      <c r="D33" s="111" t="str">
        <f ca="1">IFERROR(__xludf.DUMMYFUNCTION("""COMPUTED_VALUE"""),"Number")</f>
        <v>Number</v>
      </c>
      <c r="E33" s="111" t="str">
        <f ca="1">IFERROR(__xludf.DUMMYFUNCTION("""COMPUTED_VALUE"""),"Water flow Sensor YFS401")</f>
        <v>Water flow Sensor YFS401</v>
      </c>
      <c r="F33" s="111" t="str">
        <f ca="1">IFERROR(__xludf.DUMMYFUNCTION("""COMPUTED_VALUE"""),"SEN-WFL-YFS401v5")</f>
        <v>SEN-WFL-YFS401v5</v>
      </c>
      <c r="G33" s="111" t="str">
        <f ca="1">IFERROR(__xludf.DUMMYFUNCTION("""COMPUTED_VALUE"""),"YFS401")</f>
        <v>YFS401</v>
      </c>
      <c r="H33" t="str">
        <f ca="1">IFERROR(__xludf.DUMMYFUNCTION("""COMPUTED_VALUE"""),"STBD Aft Plate Assy")</f>
        <v>STBD Aft Plate Assy</v>
      </c>
      <c r="J33" t="str">
        <f ca="1">IFERROR(__xludf.DUMMYFUNCTION("""COMPUTED_VALUE"""),"Number")</f>
        <v>Number</v>
      </c>
    </row>
    <row r="34" spans="1:10">
      <c r="A34" s="106"/>
      <c r="B34" s="111" t="str">
        <f ca="1">IFERROR(__xludf.DUMMYFUNCTION("""COMPUTED_VALUE"""),"PORT Aft Plate Assy")</f>
        <v>PORT Aft Plate Assy</v>
      </c>
      <c r="C34" s="111"/>
      <c r="D34" s="111" t="str">
        <f ca="1">IFERROR(__xludf.DUMMYFUNCTION("""COMPUTED_VALUE"""),"Number")</f>
        <v>Number</v>
      </c>
      <c r="E34" s="111" t="str">
        <f ca="1">IFERROR(__xludf.DUMMYFUNCTION("""COMPUTED_VALUE"""),"Water Pump 550 Diaphragm")</f>
        <v>Water Pump 550 Diaphragm</v>
      </c>
      <c r="F34" s="111" t="str">
        <f ca="1">IFERROR(__xludf.DUMMYFUNCTION("""COMPUTED_VALUE"""),"ACT-PMP-DIA550")</f>
        <v>ACT-PMP-DIA550</v>
      </c>
      <c r="G34" s="111" t="str">
        <f ca="1">IFERROR(__xludf.DUMMYFUNCTION("""COMPUTED_VALUE"""),"550 DIAPHRAGM")</f>
        <v>550 DIAPHRAGM</v>
      </c>
      <c r="H34" t="str">
        <f ca="1">IFERROR(__xludf.DUMMYFUNCTION("""COMPUTED_VALUE"""),"PORT Aft Plate Assy")</f>
        <v>PORT Aft Plate Assy</v>
      </c>
      <c r="J34" t="str">
        <f ca="1">IFERROR(__xludf.DUMMYFUNCTION("""COMPUTED_VALUE"""),"Number")</f>
        <v>Number</v>
      </c>
    </row>
    <row r="35" spans="1:10">
      <c r="A35" s="106"/>
      <c r="B35" s="111" t="str">
        <f ca="1">IFERROR(__xludf.DUMMYFUNCTION("""COMPUTED_VALUE"""),"R9MX Adapter")</f>
        <v>R9MX Adapter</v>
      </c>
      <c r="C35" s="111"/>
      <c r="D35" s="111" t="str">
        <f ca="1">IFERROR(__xludf.DUMMYFUNCTION("""COMPUTED_VALUE"""),"Number")</f>
        <v>Number</v>
      </c>
      <c r="E35" s="111" t="str">
        <f ca="1">IFERROR(__xludf.DUMMYFUNCTION("""COMPUTED_VALUE"""),"Battery Indicator - 1S Lipo")</f>
        <v>Battery Indicator - 1S Lipo</v>
      </c>
      <c r="F35" s="111" t="str">
        <f ca="1">IFERROR(__xludf.DUMMYFUNCTION("""COMPUTED_VALUE"""),"IND-LIP-1S")</f>
        <v>IND-LIP-1S</v>
      </c>
      <c r="G35" s="111"/>
      <c r="H35" t="str">
        <f ca="1">IFERROR(__xludf.DUMMYFUNCTION("""COMPUTED_VALUE"""),"R9MX Adapter")</f>
        <v>R9MX Adapter</v>
      </c>
      <c r="J35" t="str">
        <f ca="1">IFERROR(__xludf.DUMMYFUNCTION("""COMPUTED_VALUE"""),"Number")</f>
        <v>Number</v>
      </c>
    </row>
    <row r="36" spans="1:10">
      <c r="A36" s="106"/>
      <c r="B36" s="111" t="str">
        <f ca="1">IFERROR(__xludf.DUMMYFUNCTION("""COMPUTED_VALUE"""),"Final Packing")</f>
        <v>Final Packing</v>
      </c>
      <c r="C36" s="111"/>
      <c r="D36" s="111" t="str">
        <f ca="1">IFERROR(__xludf.DUMMYFUNCTION("""COMPUTED_VALUE"""),"Number")</f>
        <v>Number</v>
      </c>
      <c r="E36" s="111" t="str">
        <f ca="1">IFERROR(__xludf.DUMMYFUNCTION("""COMPUTED_VALUE"""),"Battery Indicator - 2S Lipo")</f>
        <v>Battery Indicator - 2S Lipo</v>
      </c>
      <c r="F36" s="111" t="str">
        <f ca="1">IFERROR(__xludf.DUMMYFUNCTION("""COMPUTED_VALUE"""),"IND-LIP-2S")</f>
        <v>IND-LIP-2S</v>
      </c>
      <c r="G36" s="111"/>
      <c r="H36" t="str">
        <f ca="1">IFERROR(__xludf.DUMMYFUNCTION("""COMPUTED_VALUE"""),"Final Packing")</f>
        <v>Final Packing</v>
      </c>
      <c r="J36" t="str">
        <f ca="1">IFERROR(__xludf.DUMMYFUNCTION("""COMPUTED_VALUE"""),"Number")</f>
        <v>Number</v>
      </c>
    </row>
    <row r="37" spans="1:10">
      <c r="A37" s="106"/>
      <c r="B37" s="111"/>
      <c r="C37" s="111"/>
      <c r="D37" s="111"/>
      <c r="E37" s="111" t="str">
        <f ca="1">IFERROR(__xludf.DUMMYFUNCTION("""COMPUTED_VALUE"""),"Lipo Indicator Casings")</f>
        <v>Lipo Indicator Casings</v>
      </c>
      <c r="F37" s="111" t="str">
        <f ca="1">IFERROR(__xludf.DUMMYFUNCTION("""COMPUTED_VALUE"""),"IND-LIP-CASING")</f>
        <v>IND-LIP-CASING</v>
      </c>
      <c r="G37" s="111"/>
      <c r="H37" t="str">
        <f ca="1">IFERROR(__xludf.DUMMYFUNCTION("""COMPUTED_VALUE"""),"Transmitter with Receiver Module 2.4G0.9k")</f>
        <v>Transmitter with Receiver Module 2.4G0.9k</v>
      </c>
      <c r="I37" t="str">
        <f ca="1">IFERROR(__xludf.DUMMYFUNCTION("""COMPUTED_VALUE"""),"RAD-TRR-QX71W915")</f>
        <v>RAD-TRR-QX71W915</v>
      </c>
      <c r="J37" t="str">
        <f ca="1">IFERROR(__xludf.DUMMYFUNCTION("""COMPUTED_VALUE"""),"Robu-866205")</f>
        <v>Robu-866205</v>
      </c>
    </row>
    <row r="38" spans="1:10">
      <c r="A38" s="106"/>
      <c r="B38" s="111"/>
      <c r="C38" s="111"/>
      <c r="D38" s="111"/>
      <c r="E38" s="111" t="str">
        <f ca="1">IFERROR(__xludf.DUMMYFUNCTION("""COMPUTED_VALUE"""),"Buck Converter Module  XL7015 50v")</f>
        <v>Buck Converter Module  XL7015 50v</v>
      </c>
      <c r="F38" s="111" t="str">
        <f ca="1">IFERROR(__xludf.DUMMYFUNCTION("""COMPUTED_VALUE"""),"MOD-BUK-XL7015v80i07")</f>
        <v>MOD-BUK-XL7015v80i07</v>
      </c>
      <c r="G38" s="111" t="str">
        <f ca="1">IFERROR(__xludf.DUMMYFUNCTION("""COMPUTED_VALUE"""),"XL7015")</f>
        <v>XL7015</v>
      </c>
      <c r="H38" t="str">
        <f ca="1">IFERROR(__xludf.DUMMYFUNCTION("""COMPUTED_VALUE"""),"Receiver Module R9MM (R9MM will come July25)/R9Mini ")</f>
        <v xml:space="preserve">Receiver Module R9MM (R9MM will come July25)/R9Mini </v>
      </c>
      <c r="I38" t="str">
        <f ca="1">IFERROR(__xludf.DUMMYFUNCTION("""COMPUTED_VALUE"""),"RAD-TRR-R9MI1W915")</f>
        <v>RAD-TRR-R9MI1W915</v>
      </c>
      <c r="J38" t="str">
        <f ca="1">IFERROR(__xludf.DUMMYFUNCTION("""COMPUTED_VALUE"""),"Robu-866205")</f>
        <v>Robu-866205</v>
      </c>
    </row>
    <row r="39" spans="1:10">
      <c r="A39" s="106"/>
      <c r="B39" s="111"/>
      <c r="C39" s="111"/>
      <c r="D39" s="111"/>
      <c r="E39" s="111" t="str">
        <f ca="1">IFERROR(__xludf.DUMMYFUNCTION("""COMPUTED_VALUE"""),"Buck Coverter Module LM2596HVS ")</f>
        <v xml:space="preserve">Buck Coverter Module LM2596HVS </v>
      </c>
      <c r="F39" s="111" t="str">
        <f ca="1">IFERROR(__xludf.DUMMYFUNCTION("""COMPUTED_VALUE"""),"MOD-BUK-LM2596HVSv48i2")</f>
        <v>MOD-BUK-LM2596HVSv48i2</v>
      </c>
      <c r="G39" s="111" t="str">
        <f ca="1">IFERROR(__xludf.DUMMYFUNCTION("""COMPUTED_VALUE"""),"Robu-766328")</f>
        <v>Robu-766328</v>
      </c>
      <c r="H39" t="str">
        <f ca="1">IFERROR(__xludf.DUMMYFUNCTION("""COMPUTED_VALUE"""),"Free Wheel Diode SMD M7")</f>
        <v>Free Wheel Diode SMD M7</v>
      </c>
      <c r="I39" t="str">
        <f ca="1">IFERROR(__xludf.DUMMYFUNCTION("""COMPUTED_VALUE"""),"SIC-DIO-M7-v100i1")</f>
        <v>SIC-DIO-M7-v100i1</v>
      </c>
      <c r="J39" t="str">
        <f ca="1">IFERROR(__xludf.DUMMYFUNCTION("""COMPUTED_VALUE"""),"Robu-597541")</f>
        <v>Robu-597541</v>
      </c>
    </row>
    <row r="40" spans="1:10">
      <c r="A40" s="106"/>
      <c r="B40" s="111"/>
      <c r="C40" s="111"/>
      <c r="D40" s="111"/>
      <c r="E40" s="111" t="str">
        <f ca="1">IFERROR(__xludf.DUMMYFUNCTION("""COMPUTED_VALUE"""),"Buck Converter Module XL4005 5A ")</f>
        <v xml:space="preserve">Buck Converter Module XL4005 5A </v>
      </c>
      <c r="F40" s="111" t="str">
        <f ca="1">IFERROR(__xludf.DUMMYFUNCTION("""COMPUTED_VALUE"""),"MOD-BUK-XL4005v40i5")</f>
        <v>MOD-BUK-XL4005v40i5</v>
      </c>
      <c r="G40" s="111" t="str">
        <f ca="1">IFERROR(__xludf.DUMMYFUNCTION("""COMPUTED_VALUE"""),"XL4015")</f>
        <v>XL4015</v>
      </c>
      <c r="H40" t="str">
        <f ca="1">IFERROR(__xludf.DUMMYFUNCTION("""COMPUTED_VALUE"""),"Schottky Diode SS310 100v1A")</f>
        <v>Schottky Diode SS310 100v1A</v>
      </c>
      <c r="I40" t="str">
        <f ca="1">IFERROR(__xludf.DUMMYFUNCTION("""COMPUTED_VALUE"""),"SIC-DIO-SS310-v100i1")</f>
        <v>SIC-DIO-SS310-v100i1</v>
      </c>
      <c r="J40" t="str">
        <f ca="1">IFERROR(__xludf.DUMMYFUNCTION("""COMPUTED_VALUE"""),"Robu-R193145")</f>
        <v>Robu-R193145</v>
      </c>
    </row>
    <row r="41" spans="1:10">
      <c r="A41" s="106"/>
      <c r="B41" s="111"/>
      <c r="C41" s="111"/>
      <c r="D41" s="111"/>
      <c r="E41" s="111" t="str">
        <f ca="1">IFERROR(__xludf.DUMMYFUNCTION("""COMPUTED_VALUE"""),"Buck Converter Module XL4015 5A ")</f>
        <v xml:space="preserve">Buck Converter Module XL4015 5A </v>
      </c>
      <c r="F41" s="111" t="str">
        <f ca="1">IFERROR(__xludf.DUMMYFUNCTION("""COMPUTED_VALUE"""),"MOD-BUK-XL4015v40i5")</f>
        <v>MOD-BUK-XL4015v40i5</v>
      </c>
      <c r="G41" s="111" t="str">
        <f ca="1">IFERROR(__xludf.DUMMYFUNCTION("""COMPUTED_VALUE"""),"Robu-1510171")</f>
        <v>Robu-1510171</v>
      </c>
      <c r="H41" t="str">
        <f ca="1">IFERROR(__xludf.DUMMYFUNCTION("""COMPUTED_VALUE"""),"Voltage Regulator AMS1117 5.0v")</f>
        <v>Voltage Regulator AMS1117 5.0v</v>
      </c>
      <c r="I41" t="str">
        <f ca="1">IFERROR(__xludf.DUMMYFUNCTION("""COMPUTED_VALUE"""),"SIC-REG-AMS1117-5v")</f>
        <v>SIC-REG-AMS1117-5v</v>
      </c>
      <c r="J41" t="str">
        <f ca="1">IFERROR(__xludf.DUMMYFUNCTION("""COMPUTED_VALUE"""),"Robu-162035")</f>
        <v>Robu-162035</v>
      </c>
    </row>
    <row r="42" spans="1:10">
      <c r="A42" s="106"/>
      <c r="B42" s="111"/>
      <c r="C42" s="111"/>
      <c r="D42" s="111"/>
      <c r="E42" s="111" t="str">
        <f ca="1">IFERROR(__xludf.DUMMYFUNCTION("""COMPUTED_VALUE"""),"Connector - AS150u Female AMASS")</f>
        <v>Connector - AS150u Female AMASS</v>
      </c>
      <c r="F42" s="111" t="str">
        <f ca="1">IFERROR(__xludf.DUMMYFUNCTION("""COMPUTED_VALUE"""),"CON-BTC-AS150uF")</f>
        <v>CON-BTC-AS150uF</v>
      </c>
      <c r="G42" s="111" t="str">
        <f ca="1">IFERROR(__xludf.DUMMYFUNCTION("""COMPUTED_VALUE"""),"Robu-1395034")</f>
        <v>Robu-1395034</v>
      </c>
      <c r="H42" t="str">
        <f ca="1">IFERROR(__xludf.DUMMYFUNCTION("""COMPUTED_VALUE"""),"GPS Module NEO-6M")</f>
        <v>GPS Module NEO-6M</v>
      </c>
      <c r="I42" t="str">
        <f ca="1">IFERROR(__xludf.DUMMYFUNCTION("""COMPUTED_VALUE"""),"MOD-GNS-NEO6M")</f>
        <v>MOD-GNS-NEO6M</v>
      </c>
      <c r="J42" t="str">
        <f ca="1">IFERROR(__xludf.DUMMYFUNCTION("""COMPUTED_VALUE"""),"Neo-6M")</f>
        <v>Neo-6M</v>
      </c>
    </row>
    <row r="43" spans="1:10">
      <c r="A43" s="106"/>
      <c r="B43" s="111"/>
      <c r="C43" s="111"/>
      <c r="D43" s="111"/>
      <c r="E43" s="111" t="str">
        <f ca="1">IFERROR(__xludf.DUMMYFUNCTION("""COMPUTED_VALUE"""),"Connector - AS150u Male AMASS ")</f>
        <v xml:space="preserve">Connector - AS150u Male AMASS </v>
      </c>
      <c r="F43" s="111" t="str">
        <f ca="1">IFERROR(__xludf.DUMMYFUNCTION("""COMPUTED_VALUE"""),"CON-BTC-AS150uM")</f>
        <v>CON-BTC-AS150uM</v>
      </c>
      <c r="G43" s="111" t="str">
        <f ca="1">IFERROR(__xludf.DUMMYFUNCTION("""COMPUTED_VALUE"""),"Robu-1432427")</f>
        <v>Robu-1432427</v>
      </c>
      <c r="H43" t="str">
        <f ca="1">IFERROR(__xludf.DUMMYFUNCTION("""COMPUTED_VALUE"""),"GPS Module LC86L")</f>
        <v>GPS Module LC86L</v>
      </c>
      <c r="I43" t="str">
        <f ca="1">IFERROR(__xludf.DUMMYFUNCTION("""COMPUTED_VALUE"""),"MOD-GNS-LC86L")</f>
        <v>MOD-GNS-LC86L</v>
      </c>
      <c r="J43" t="str">
        <f ca="1">IFERROR(__xludf.DUMMYFUNCTION("""COMPUTED_VALUE"""),"LC86L")</f>
        <v>LC86L</v>
      </c>
    </row>
    <row r="44" spans="1:10">
      <c r="A44" s="106"/>
      <c r="B44" s="111"/>
      <c r="C44" s="111"/>
      <c r="D44" s="111"/>
      <c r="E44" s="111" t="str">
        <f ca="1">IFERROR(__xludf.DUMMYFUNCTION("""COMPUTED_VALUE"""),"Connector - XT90 Female AMASS")</f>
        <v>Connector - XT90 Female AMASS</v>
      </c>
      <c r="F44" s="111" t="str">
        <f ca="1">IFERROR(__xludf.DUMMYFUNCTION("""COMPUTED_VALUE"""),"CON-BTC-XT90F")</f>
        <v>CON-BTC-XT90F</v>
      </c>
      <c r="G44" s="111" t="str">
        <f ca="1">IFERROR(__xludf.DUMMYFUNCTION("""COMPUTED_VALUE"""),"Robu-24729")</f>
        <v>Robu-24729</v>
      </c>
      <c r="H44" t="str">
        <f ca="1">IFERROR(__xludf.DUMMYFUNCTION("""COMPUTED_VALUE"""),"GPS Module Here3+")</f>
        <v>GPS Module Here3+</v>
      </c>
      <c r="I44" t="str">
        <f ca="1">IFERROR(__xludf.DUMMYFUNCTION("""COMPUTED_VALUE"""),"MOD-GNS-LC86L")</f>
        <v>MOD-GNS-LC86L</v>
      </c>
      <c r="J44" t="str">
        <f ca="1">IFERROR(__xludf.DUMMYFUNCTION("""COMPUTED_VALUE"""),"Here3+")</f>
        <v>Here3+</v>
      </c>
    </row>
    <row r="45" spans="1:10">
      <c r="A45" s="106"/>
      <c r="B45" s="111"/>
      <c r="C45" s="111"/>
      <c r="D45" s="111"/>
      <c r="E45" s="111" t="str">
        <f ca="1">IFERROR(__xludf.DUMMYFUNCTION("""COMPUTED_VALUE"""),"Connector - XT90 Male")</f>
        <v>Connector - XT90 Male</v>
      </c>
      <c r="F45" s="111" t="str">
        <f ca="1">IFERROR(__xludf.DUMMYFUNCTION("""COMPUTED_VALUE"""),"CON-BTC-XT90M")</f>
        <v>CON-BTC-XT90M</v>
      </c>
      <c r="G45" s="111"/>
      <c r="H45" t="str">
        <f ca="1">IFERROR(__xludf.DUMMYFUNCTION("""COMPUTED_VALUE"""),"GPS Module BX992 Trimble")</f>
        <v>GPS Module BX992 Trimble</v>
      </c>
      <c r="I45" t="str">
        <f ca="1">IFERROR(__xludf.DUMMYFUNCTION("""COMPUTED_VALUE"""),"MOD-GNS-BX992")</f>
        <v>MOD-GNS-BX992</v>
      </c>
      <c r="J45" t="str">
        <f ca="1">IFERROR(__xludf.DUMMYFUNCTION("""COMPUTED_VALUE"""),"BX992")</f>
        <v>BX992</v>
      </c>
    </row>
    <row r="46" spans="1:10">
      <c r="A46" s="106"/>
      <c r="B46" s="111"/>
      <c r="C46" s="111"/>
      <c r="D46" s="111"/>
      <c r="E46" s="111" t="str">
        <f ca="1">IFERROR(__xludf.DUMMYFUNCTION("""COMPUTED_VALUE"""),"Connector - XT30 Female AMASS")</f>
        <v>Connector - XT30 Female AMASS</v>
      </c>
      <c r="F46" s="111" t="str">
        <f ca="1">IFERROR(__xludf.DUMMYFUNCTION("""COMPUTED_VALUE"""),"CON-BTC-XT30F")</f>
        <v>CON-BTC-XT30F</v>
      </c>
      <c r="G46" s="111" t="str">
        <f ca="1">IFERROR(__xludf.DUMMYFUNCTION("""COMPUTED_VALUE"""),"Robu-875060")</f>
        <v>Robu-875060</v>
      </c>
      <c r="H46" t="str">
        <f ca="1">IFERROR(__xludf.DUMMYFUNCTION("""COMPUTED_VALUE"""),"Bullet Connector Female 5.5mm")</f>
        <v>Bullet Connector Female 5.5mm</v>
      </c>
      <c r="I46" t="str">
        <f ca="1">IFERROR(__xludf.DUMMYFUNCTION("""COMPUTED_VALUE"""),"CON-BUL-55F")</f>
        <v>CON-BUL-55F</v>
      </c>
      <c r="J46" t="str">
        <f ca="1">IFERROR(__xludf.DUMMYFUNCTION("""COMPUTED_VALUE"""),"HV130")</f>
        <v>HV130</v>
      </c>
    </row>
    <row r="47" spans="1:10">
      <c r="A47" s="106"/>
      <c r="B47" s="111"/>
      <c r="C47" s="111"/>
      <c r="D47" s="111"/>
      <c r="E47" s="111" t="str">
        <f ca="1">IFERROR(__xludf.DUMMYFUNCTION("""COMPUTED_VALUE"""),"Connector - XT30 Male AMASS")</f>
        <v>Connector - XT30 Male AMASS</v>
      </c>
      <c r="F47" s="111" t="str">
        <f ca="1">IFERROR(__xludf.DUMMYFUNCTION("""COMPUTED_VALUE"""),"CON-BTC-XT30M")</f>
        <v>CON-BTC-XT30M</v>
      </c>
      <c r="G47" s="111" t="str">
        <f ca="1">IFERROR(__xludf.DUMMYFUNCTION("""COMPUTED_VALUE"""),"Robu-875061")</f>
        <v>Robu-875061</v>
      </c>
      <c r="H47" t="str">
        <f ca="1">IFERROR(__xludf.DUMMYFUNCTION("""COMPUTED_VALUE"""),"Bullet Connector Male 4mm AMASS")</f>
        <v>Bullet Connector Male 4mm AMASS</v>
      </c>
      <c r="I47" t="str">
        <f ca="1">IFERROR(__xludf.DUMMYFUNCTION("""COMPUTED_VALUE"""),"CON-BUL-4M")</f>
        <v>CON-BUL-4M</v>
      </c>
      <c r="J47" t="str">
        <f ca="1">IFERROR(__xludf.DUMMYFUNCTION("""COMPUTED_VALUE"""),"Robu-239973")</f>
        <v>Robu-239973</v>
      </c>
    </row>
    <row r="48" spans="1:10">
      <c r="A48" s="106"/>
      <c r="B48" s="111"/>
      <c r="C48" s="111"/>
      <c r="D48" s="111"/>
      <c r="E48" s="111" t="str">
        <f ca="1">IFERROR(__xludf.DUMMYFUNCTION("""COMPUTED_VALUE"""),"Connector - XT60 Female AMASS")</f>
        <v>Connector - XT60 Female AMASS</v>
      </c>
      <c r="F48" s="111" t="str">
        <f ca="1">IFERROR(__xludf.DUMMYFUNCTION("""COMPUTED_VALUE"""),"CON-BTC-XT60F")</f>
        <v>CON-BTC-XT60F</v>
      </c>
      <c r="G48" s="111"/>
      <c r="H48" t="str">
        <f ca="1">IFERROR(__xludf.DUMMYFUNCTION("""COMPUTED_VALUE"""),"Bullet Connector Female 4mm AMASS")</f>
        <v>Bullet Connector Female 4mm AMASS</v>
      </c>
      <c r="I48" t="str">
        <f ca="1">IFERROR(__xludf.DUMMYFUNCTION("""COMPUTED_VALUE"""),"CON-BUL-4F")</f>
        <v>CON-BUL-4F</v>
      </c>
      <c r="J48" t="str">
        <f ca="1">IFERROR(__xludf.DUMMYFUNCTION("""COMPUTED_VALUE"""),"Robu-R150111")</f>
        <v>Robu-R150111</v>
      </c>
    </row>
    <row r="49" spans="1:10">
      <c r="A49" s="106"/>
      <c r="B49" s="111"/>
      <c r="C49" s="111"/>
      <c r="D49" s="111"/>
      <c r="E49" s="111" t="str">
        <f ca="1">IFERROR(__xludf.DUMMYFUNCTION("""COMPUTED_VALUE"""),"Connector - XT60 Male AMASS")</f>
        <v>Connector - XT60 Male AMASS</v>
      </c>
      <c r="F49" s="111" t="str">
        <f ca="1">IFERROR(__xludf.DUMMYFUNCTION("""COMPUTED_VALUE"""),"CON-BTC-XT60M")</f>
        <v>CON-BTC-XT60M</v>
      </c>
      <c r="G49" s="111"/>
      <c r="H49" t="str">
        <f ca="1">IFERROR(__xludf.DUMMYFUNCTION("""COMPUTED_VALUE"""),"Bullet Connector Male 2mm AMASS")</f>
        <v>Bullet Connector Male 2mm AMASS</v>
      </c>
      <c r="I49" t="str">
        <f ca="1">IFERROR(__xludf.DUMMYFUNCTION("""COMPUTED_VALUE"""),"CON-BUL-2M")</f>
        <v>CON-BUL-2M</v>
      </c>
      <c r="J49" t="str">
        <f ca="1">IFERROR(__xludf.DUMMYFUNCTION("""COMPUTED_VALUE"""),"Robu-R150108")</f>
        <v>Robu-R150108</v>
      </c>
    </row>
    <row r="50" spans="1:10">
      <c r="A50" s="106"/>
      <c r="B50" s="111"/>
      <c r="C50" s="111"/>
      <c r="D50" s="111"/>
      <c r="E50" s="111" t="str">
        <f ca="1">IFERROR(__xludf.DUMMYFUNCTION("""COMPUTED_VALUE"""),"Connector - MT30 Female")</f>
        <v>Connector - MT30 Female</v>
      </c>
      <c r="F50" s="111" t="str">
        <f ca="1">IFERROR(__xludf.DUMMYFUNCTION("""COMPUTED_VALUE"""),"CON-BTC-MT30F")</f>
        <v>CON-BTC-MT30F</v>
      </c>
      <c r="G50" s="111"/>
      <c r="H50" t="str">
        <f ca="1">IFERROR(__xludf.DUMMYFUNCTION("""COMPUTED_VALUE"""),"Bullet Connector Female  2mm AMASS")</f>
        <v>Bullet Connector Female  2mm AMASS</v>
      </c>
      <c r="I50" t="str">
        <f ca="1">IFERROR(__xludf.DUMMYFUNCTION("""COMPUTED_VALUE"""),"CON-BUL-2F")</f>
        <v>CON-BUL-2F</v>
      </c>
      <c r="J50" t="str">
        <f ca="1">IFERROR(__xludf.DUMMYFUNCTION("""COMPUTED_VALUE"""),"Robu-R150107")</f>
        <v>Robu-R150107</v>
      </c>
    </row>
    <row r="51" spans="1:10">
      <c r="A51" s="106"/>
      <c r="B51" s="111"/>
      <c r="C51" s="111"/>
      <c r="D51" s="111"/>
      <c r="E51" s="111" t="str">
        <f ca="1">IFERROR(__xludf.DUMMYFUNCTION("""COMPUTED_VALUE"""),"Converter AC/DC - 24v ")</f>
        <v xml:space="preserve">Converter AC/DC - 24v </v>
      </c>
      <c r="F51" s="111" t="str">
        <f ca="1">IFERROR(__xludf.DUMMYFUNCTION("""COMPUTED_VALUE"""),"MOD-HLK-W20v24i08")</f>
        <v>MOD-HLK-W20v24i08</v>
      </c>
      <c r="G51" s="111" t="str">
        <f ca="1">IFERROR(__xludf.DUMMYFUNCTION("""COMPUTED_VALUE"""),"HLK-20M24")</f>
        <v>HLK-20M24</v>
      </c>
      <c r="H51" t="str">
        <f ca="1">IFERROR(__xludf.DUMMYFUNCTION("""COMPUTED_VALUE"""),"Bullet Connector Male 6mm XT-150 AMASS")</f>
        <v>Bullet Connector Male 6mm XT-150 AMASS</v>
      </c>
      <c r="I51" t="str">
        <f ca="1">IFERROR(__xludf.DUMMYFUNCTION("""COMPUTED_VALUE"""),"CON-BUL-6M")</f>
        <v>CON-BUL-6M</v>
      </c>
      <c r="J51" t="str">
        <f ca="1">IFERROR(__xludf.DUMMYFUNCTION("""COMPUTED_VALUE"""),"Robu-239520")</f>
        <v>Robu-239520</v>
      </c>
    </row>
    <row r="52" spans="1:10">
      <c r="A52" s="106"/>
      <c r="B52" s="111"/>
      <c r="C52" s="111"/>
      <c r="D52" s="111"/>
      <c r="E52" s="111" t="str">
        <f ca="1">IFERROR(__xludf.DUMMYFUNCTION("""COMPUTED_VALUE"""),"Momentary Switch JCB")</f>
        <v>Momentary Switch JCB</v>
      </c>
      <c r="F52" s="111" t="str">
        <f ca="1">IFERROR(__xludf.DUMMYFUNCTION("""COMPUTED_VALUE"""),"SWI-PUS-MS16MM-PM-16MM")</f>
        <v>SWI-PUS-MS16MM-PM-16MM</v>
      </c>
      <c r="G52" s="111"/>
      <c r="H52" t="str">
        <f ca="1">IFERROR(__xludf.DUMMYFUNCTION("""COMPUTED_VALUE"""),"Bullet Connector Female  6mm XT-150 AMASS")</f>
        <v>Bullet Connector Female  6mm XT-150 AMASS</v>
      </c>
      <c r="I52" t="str">
        <f ca="1">IFERROR(__xludf.DUMMYFUNCTION("""COMPUTED_VALUE"""),"CON-BUL-6F")</f>
        <v>CON-BUL-6F</v>
      </c>
      <c r="J52" t="str">
        <f ca="1">IFERROR(__xludf.DUMMYFUNCTION("""COMPUTED_VALUE"""),"Robu-239593")</f>
        <v>Robu-239593</v>
      </c>
    </row>
    <row r="53" spans="1:10">
      <c r="A53" s="106"/>
      <c r="B53" s="111"/>
      <c r="C53" s="111"/>
      <c r="D53" s="111"/>
      <c r="E53" s="111" t="str">
        <f ca="1">IFERROR(__xludf.DUMMYFUNCTION("""COMPUTED_VALUE"""),"Latching Power Switch JCB")</f>
        <v>Latching Power Switch JCB</v>
      </c>
      <c r="F53" s="111" t="str">
        <f ca="1">IFERROR(__xludf.DUMMYFUNCTION("""COMPUTED_VALUE"""),"SWI-PUS-LS16MM-PM-16MM")</f>
        <v>SWI-PUS-LS16MM-PM-16MM</v>
      </c>
      <c r="G53" s="111"/>
      <c r="H53" t="str">
        <f ca="1">IFERROR(__xludf.DUMMYFUNCTION("""COMPUTED_VALUE"""),"Bullet Connector Male 8mm AMASS")</f>
        <v>Bullet Connector Male 8mm AMASS</v>
      </c>
      <c r="I53" t="str">
        <f ca="1">IFERROR(__xludf.DUMMYFUNCTION("""COMPUTED_VALUE"""),"CON-BUL-8M")</f>
        <v>CON-BUL-8M</v>
      </c>
      <c r="J53" t="str">
        <f ca="1">IFERROR(__xludf.DUMMYFUNCTION("""COMPUTED_VALUE"""),"Robu-239739")</f>
        <v>Robu-239739</v>
      </c>
    </row>
    <row r="54" spans="1:10">
      <c r="A54" s="106"/>
      <c r="B54" s="111"/>
      <c r="C54" s="111"/>
      <c r="D54" s="111"/>
      <c r="E54" s="111" t="str">
        <f ca="1">IFERROR(__xludf.DUMMYFUNCTION("""COMPUTED_VALUE"""),"PCB for IFU")</f>
        <v>PCB for IFU</v>
      </c>
      <c r="F54" s="111" t="str">
        <f ca="1">IFERROR(__xludf.DUMMYFUNCTION("""COMPUTED_VALUE"""),"PCB-IFU")</f>
        <v>PCB-IFU</v>
      </c>
      <c r="G54" s="111"/>
      <c r="H54" t="str">
        <f ca="1">IFERROR(__xludf.DUMMYFUNCTION("""COMPUTED_VALUE"""),"Bullet Connector Female 8mm AMASS")</f>
        <v>Bullet Connector Female 8mm AMASS</v>
      </c>
      <c r="I54" t="str">
        <f ca="1">IFERROR(__xludf.DUMMYFUNCTION("""COMPUTED_VALUE"""),"CON-BUL-8F")</f>
        <v>CON-BUL-8F</v>
      </c>
      <c r="J54" t="str">
        <f ca="1">IFERROR(__xludf.DUMMYFUNCTION("""COMPUTED_VALUE"""),"Robu-239757")</f>
        <v>Robu-239757</v>
      </c>
    </row>
    <row r="55" spans="1:10">
      <c r="A55" s="106"/>
      <c r="B55" s="111"/>
      <c r="C55" s="111"/>
      <c r="D55" s="111"/>
      <c r="E55" s="111" t="str">
        <f ca="1">IFERROR(__xludf.DUMMYFUNCTION("""COMPUTED_VALUE"""),"PCB for JCB")</f>
        <v>PCB for JCB</v>
      </c>
      <c r="F55" s="111" t="str">
        <f ca="1">IFERROR(__xludf.DUMMYFUNCTION("""COMPUTED_VALUE"""),"PCB-AMCA")</f>
        <v>PCB-AMCA</v>
      </c>
      <c r="G55" s="111"/>
      <c r="H55" t="str">
        <f ca="1">IFERROR(__xludf.DUMMYFUNCTION("""COMPUTED_VALUE"""),"Cable - Ultra Flexible - Black 8AWG")</f>
        <v>Cable - Ultra Flexible - Black 8AWG</v>
      </c>
      <c r="I55" t="str">
        <f ca="1">IFERROR(__xludf.DUMMYFUNCTION("""COMPUTED_VALUE"""),"CAB-SIL-BLACK8AWG")</f>
        <v>CAB-SIL-BLACK8AWG</v>
      </c>
      <c r="J55" t="str">
        <f ca="1">IFERROR(__xludf.DUMMYFUNCTION("""COMPUTED_VALUE"""),"Robu-R151637")</f>
        <v>Robu-R151637</v>
      </c>
    </row>
    <row r="56" spans="1:10">
      <c r="A56" s="106"/>
      <c r="B56" s="111"/>
      <c r="C56" s="111"/>
      <c r="D56" s="111"/>
      <c r="E56" s="111" t="str">
        <f ca="1">IFERROR(__xludf.DUMMYFUNCTION("""COMPUTED_VALUE"""),"PCB of STBD flash light")</f>
        <v>PCB of STBD flash light</v>
      </c>
      <c r="F56" s="111" t="str">
        <f ca="1">IFERROR(__xludf.DUMMYFUNCTION("""COMPUTED_VALUE"""),"PCB-STBD-FLASH")</f>
        <v>PCB-STBD-FLASH</v>
      </c>
      <c r="G56" s="111"/>
      <c r="H56" t="str">
        <f ca="1">IFERROR(__xludf.DUMMYFUNCTION("""COMPUTED_VALUE"""),"Cable - Ultra Flexible - Red 8AWG")</f>
        <v>Cable - Ultra Flexible - Red 8AWG</v>
      </c>
      <c r="I56" t="str">
        <f ca="1">IFERROR(__xludf.DUMMYFUNCTION("""COMPUTED_VALUE"""),"CAB-SIL-RED8AWG")</f>
        <v>CAB-SIL-RED8AWG</v>
      </c>
      <c r="J56" t="str">
        <f ca="1">IFERROR(__xludf.DUMMYFUNCTION("""COMPUTED_VALUE"""),"Robu-R151638")</f>
        <v>Robu-R151638</v>
      </c>
    </row>
    <row r="57" spans="1:10">
      <c r="A57" s="106"/>
      <c r="B57" s="111"/>
      <c r="C57" s="111"/>
      <c r="D57" s="111"/>
      <c r="E57" s="111" t="str">
        <f ca="1">IFERROR(__xludf.DUMMYFUNCTION("""COMPUTED_VALUE"""),"PCB of PORT flash light")</f>
        <v>PCB of PORT flash light</v>
      </c>
      <c r="F57" s="111" t="str">
        <f ca="1">IFERROR(__xludf.DUMMYFUNCTION("""COMPUTED_VALUE"""),"PCB-PORT-FLASH")</f>
        <v>PCB-PORT-FLASH</v>
      </c>
      <c r="G57" s="111"/>
      <c r="H57" t="str">
        <f ca="1">IFERROR(__xludf.DUMMYFUNCTION("""COMPUTED_VALUE"""),"Cable - Ultra Flexible - Black 10AWG")</f>
        <v>Cable - Ultra Flexible - Black 10AWG</v>
      </c>
      <c r="I57" t="str">
        <f ca="1">IFERROR(__xludf.DUMMYFUNCTION("""COMPUTED_VALUE"""),"CAB-SIL-BLACK10AWG")</f>
        <v>CAB-SIL-BLACK10AWG</v>
      </c>
    </row>
    <row r="58" spans="1:10">
      <c r="A58" s="106"/>
      <c r="B58" s="111"/>
      <c r="C58" s="111"/>
      <c r="D58" s="111"/>
      <c r="E58" s="111" t="str">
        <f ca="1">IFERROR(__xludf.DUMMYFUNCTION("""COMPUTED_VALUE"""),"PCB of A4 Motherboard/A42 Motherboard")</f>
        <v>PCB of A4 Motherboard/A42 Motherboard</v>
      </c>
      <c r="F58" s="111" t="str">
        <f ca="1">IFERROR(__xludf.DUMMYFUNCTION("""COMPUTED_VALUE"""),"PCB-A4MEGA328P-MUR")</f>
        <v>PCB-A4MEGA328P-MUR</v>
      </c>
      <c r="G58" s="111"/>
      <c r="H58" t="str">
        <f ca="1">IFERROR(__xludf.DUMMYFUNCTION("""COMPUTED_VALUE"""),"Cable - Ultra Flexible - Red 10AWG")</f>
        <v>Cable - Ultra Flexible - Red 10AWG</v>
      </c>
      <c r="I58" t="str">
        <f ca="1">IFERROR(__xludf.DUMMYFUNCTION("""COMPUTED_VALUE"""),"CAB-SIL-RED10AWG")</f>
        <v>CAB-SIL-RED10AWG</v>
      </c>
    </row>
    <row r="59" spans="1:10">
      <c r="A59" s="106"/>
      <c r="B59" s="111"/>
      <c r="C59" s="111"/>
      <c r="D59" s="111"/>
      <c r="E59" s="111" t="str">
        <f ca="1">IFERROR(__xludf.DUMMYFUNCTION("""COMPUTED_VALUE"""),"PCB of Current Sensor")</f>
        <v>PCB of Current Sensor</v>
      </c>
      <c r="F59" s="111" t="str">
        <f ca="1">IFERROR(__xludf.DUMMYFUNCTION("""COMPUTED_VALUE"""),"PCB-CUR-SENSOR")</f>
        <v>PCB-CUR-SENSOR</v>
      </c>
      <c r="G59" s="111"/>
      <c r="H59" t="str">
        <f ca="1">IFERROR(__xludf.DUMMYFUNCTION("""COMPUTED_VALUE"""),"Cable - Ultra Flexible - Black 12AWG")</f>
        <v>Cable - Ultra Flexible - Black 12AWG</v>
      </c>
      <c r="I59" t="str">
        <f ca="1">IFERROR(__xludf.DUMMYFUNCTION("""COMPUTED_VALUE"""),"CAB-SIL-BLACK12AWG")</f>
        <v>CAB-SIL-BLACK12AWG</v>
      </c>
      <c r="J59" t="str">
        <f ca="1">IFERROR(__xludf.DUMMYFUNCTION("""COMPUTED_VALUE"""),"Robu-1824981")</f>
        <v>Robu-1824981</v>
      </c>
    </row>
    <row r="60" spans="1:10">
      <c r="A60" s="106"/>
      <c r="B60" s="111"/>
      <c r="C60" s="111"/>
      <c r="D60" s="111"/>
      <c r="E60" s="111" t="str">
        <f ca="1">IFERROR(__xludf.DUMMYFUNCTION("""COMPUTED_VALUE"""),"PWB of Button -2")</f>
        <v>PWB of Button -2</v>
      </c>
      <c r="F60" s="111" t="str">
        <f ca="1">IFERROR(__xludf.DUMMYFUNCTION("""COMPUTED_VALUE"""),"PCB-QX7-BUTTON")</f>
        <v>PCB-QX7-BUTTON</v>
      </c>
      <c r="G60" s="111"/>
      <c r="H60" t="str">
        <f ca="1">IFERROR(__xludf.DUMMYFUNCTION("""COMPUTED_VALUE"""),"Cable - Ultra Flexible - Red 12AWG")</f>
        <v>Cable - Ultra Flexible - Red 12AWG</v>
      </c>
      <c r="I60" t="str">
        <f ca="1">IFERROR(__xludf.DUMMYFUNCTION("""COMPUTED_VALUE"""),"CAB-SIL-RED12AWG")</f>
        <v>CAB-SIL-RED12AWG</v>
      </c>
      <c r="J60" t="str">
        <f ca="1">IFERROR(__xludf.DUMMYFUNCTION("""COMPUTED_VALUE"""),"Robu-1824982")</f>
        <v>Robu-1824982</v>
      </c>
    </row>
    <row r="61" spans="1:10">
      <c r="A61" s="106"/>
      <c r="B61" s="111"/>
      <c r="C61" s="111"/>
      <c r="D61" s="111"/>
      <c r="E61" s="111" t="str">
        <f ca="1">IFERROR(__xludf.DUMMYFUNCTION("""COMPUTED_VALUE"""),"PWB for PC Inside Charger with XL4015 buck")</f>
        <v>PWB for PC Inside Charger with XL4015 buck</v>
      </c>
      <c r="F61" s="111" t="str">
        <f ca="1">IFERROR(__xludf.DUMMYFUNCTION("""COMPUTED_VALUE"""),"PCB-X16-XL4015-CHARGER")</f>
        <v>PCB-X16-XL4015-CHARGER</v>
      </c>
      <c r="G61" s="111"/>
      <c r="H61" t="str">
        <f ca="1">IFERROR(__xludf.DUMMYFUNCTION("""COMPUTED_VALUE"""),"Cable - Ultra Flexible - Black 18 AWG")</f>
        <v>Cable - Ultra Flexible - Black 18 AWG</v>
      </c>
      <c r="I61" t="str">
        <f ca="1">IFERROR(__xludf.DUMMYFUNCTION("""COMPUTED_VALUE"""),"CAB-SIL-BLACK18AWG")</f>
        <v>CAB-SIL-BLACK18AWG</v>
      </c>
    </row>
    <row r="62" spans="1:10">
      <c r="A62" s="106"/>
      <c r="B62" s="111"/>
      <c r="C62" s="111"/>
      <c r="D62" s="111"/>
      <c r="E62" s="111" t="str">
        <f ca="1">IFERROR(__xludf.DUMMYFUNCTION("""COMPUTED_VALUE"""),"PWB for Bathemetry Sensor")</f>
        <v>PWB for Bathemetry Sensor</v>
      </c>
      <c r="F62" s="111" t="str">
        <f ca="1">IFERROR(__xludf.DUMMYFUNCTION("""COMPUTED_VALUE"""),"PCB-BATHEMETRY")</f>
        <v>PCB-BATHEMETRY</v>
      </c>
      <c r="G62" s="111"/>
      <c r="H62" t="str">
        <f ca="1">IFERROR(__xludf.DUMMYFUNCTION("""COMPUTED_VALUE"""),"Cable - Ultra Flexible - Red 18 AWG")</f>
        <v>Cable - Ultra Flexible - Red 18 AWG</v>
      </c>
      <c r="I62" t="str">
        <f ca="1">IFERROR(__xludf.DUMMYFUNCTION("""COMPUTED_VALUE"""),"CAB-SIL-RED18AWG")</f>
        <v>CAB-SIL-RED18AWG</v>
      </c>
    </row>
    <row r="63" spans="1:10">
      <c r="A63" s="106"/>
      <c r="B63" s="111"/>
      <c r="C63" s="111"/>
      <c r="D63" s="111"/>
      <c r="E63" s="111" t="str">
        <f ca="1">IFERROR(__xludf.DUMMYFUNCTION("""COMPUTED_VALUE"""),"General PCB 6x4")</f>
        <v>General PCB 6x4</v>
      </c>
      <c r="F63" s="111" t="str">
        <f ca="1">IFERROR(__xludf.DUMMYFUNCTION("""COMPUTED_VALUE"""),"PCB-GEN6x4-P2054")</f>
        <v>PCB-GEN6x4-P2054</v>
      </c>
      <c r="G63" s="111"/>
      <c r="H63" t="str">
        <f ca="1">IFERROR(__xludf.DUMMYFUNCTION("""COMPUTED_VALUE"""),"Cable - Ultra Flexible - Green 18 AWG")</f>
        <v>Cable - Ultra Flexible - Green 18 AWG</v>
      </c>
      <c r="I63" t="str">
        <f ca="1">IFERROR(__xludf.DUMMYFUNCTION("""COMPUTED_VALUE"""),"CAB-SIL-GREEN18AWG")</f>
        <v>CAB-SIL-GREEN18AWG</v>
      </c>
    </row>
    <row r="64" spans="1:10">
      <c r="A64" s="106"/>
      <c r="B64" s="111"/>
      <c r="C64" s="111"/>
      <c r="D64" s="111"/>
      <c r="E64" s="111" t="str">
        <f ca="1">IFERROR(__xludf.DUMMYFUNCTION("""COMPUTED_VALUE"""),"General PCB 4X4")</f>
        <v>General PCB 4X4</v>
      </c>
      <c r="F64" s="111" t="str">
        <f ca="1">IFERROR(__xludf.DUMMYFUNCTION("""COMPUTED_VALUE"""),"PCB-GEN4x4-P2054")</f>
        <v>PCB-GEN4x4-P2054</v>
      </c>
      <c r="G64" s="111"/>
      <c r="H64" t="str">
        <f ca="1">IFERROR(__xludf.DUMMYFUNCTION("""COMPUTED_VALUE"""),"Cable - Ultra Flexible - Black 20 AWG")</f>
        <v>Cable - Ultra Flexible - Black 20 AWG</v>
      </c>
      <c r="I64" t="str">
        <f ca="1">IFERROR(__xludf.DUMMYFUNCTION("""COMPUTED_VALUE"""),"CAB-SIL-BLACK20AWG")</f>
        <v>CAB-SIL-BLACK20AWG</v>
      </c>
      <c r="J64" t="str">
        <f ca="1">IFERROR(__xludf.DUMMYFUNCTION("""COMPUTED_VALUE"""),"Robu-1824989")</f>
        <v>Robu-1824989</v>
      </c>
    </row>
    <row r="65" spans="1:10">
      <c r="A65" s="106"/>
      <c r="B65" s="111"/>
      <c r="C65" s="111"/>
      <c r="D65" s="111"/>
      <c r="E65" s="111" t="str">
        <f ca="1">IFERROR(__xludf.DUMMYFUNCTION("""COMPUTED_VALUE"""),"PCB of ROHM Buck  on Murata Foot Print")</f>
        <v>PCB of ROHM Buck  on Murata Foot Print</v>
      </c>
      <c r="F65" s="111"/>
      <c r="G65" s="111"/>
      <c r="H65" t="str">
        <f ca="1">IFERROR(__xludf.DUMMYFUNCTION("""COMPUTED_VALUE"""),"Cable - Ultra Flexible - Green 20 AWG")</f>
        <v>Cable - Ultra Flexible - Green 20 AWG</v>
      </c>
      <c r="I65" t="str">
        <f ca="1">IFERROR(__xludf.DUMMYFUNCTION("""COMPUTED_VALUE"""),"CAB-SIL-GREEN20AWG")</f>
        <v>CAB-SIL-GREEN20AWG</v>
      </c>
    </row>
    <row r="66" spans="1:10">
      <c r="A66" s="106"/>
      <c r="B66" s="111"/>
      <c r="C66" s="111"/>
      <c r="D66" s="111"/>
      <c r="E66" s="111" t="str">
        <f ca="1">IFERROR(__xludf.DUMMYFUNCTION("""COMPUTED_VALUE"""),"PCB of MP9486 on XL7015 FootPrint")</f>
        <v>PCB of MP9486 on XL7015 FootPrint</v>
      </c>
      <c r="F66" s="111" t="str">
        <f ca="1">IFERROR(__xludf.DUMMYFUNCTION("""COMPUTED_VALUE"""),"PCB-XL7015FOOT-MP9486")</f>
        <v>PCB-XL7015FOOT-MP9486</v>
      </c>
      <c r="G66" s="111"/>
      <c r="H66" t="str">
        <f ca="1">IFERROR(__xludf.DUMMYFUNCTION("""COMPUTED_VALUE"""),"Cable - Ultra Flexible Red 20 AWG")</f>
        <v>Cable - Ultra Flexible Red 20 AWG</v>
      </c>
      <c r="I66" t="str">
        <f ca="1">IFERROR(__xludf.DUMMYFUNCTION("""COMPUTED_VALUE"""),"CAB-SIL-RED20AWG")</f>
        <v>CAB-SIL-RED20AWG</v>
      </c>
      <c r="J66" t="str">
        <f ca="1">IFERROR(__xludf.DUMMYFUNCTION("""COMPUTED_VALUE"""),"Robu-1824992")</f>
        <v>Robu-1824992</v>
      </c>
    </row>
    <row r="67" spans="1:10">
      <c r="A67" s="106"/>
      <c r="B67" s="111"/>
      <c r="C67" s="111"/>
      <c r="D67" s="111"/>
      <c r="E67" s="111" t="str">
        <f ca="1">IFERROR(__xludf.DUMMYFUNCTION("""COMPUTED_VALUE"""),"AMCA Onboard Charging Circuit")</f>
        <v>AMCA Onboard Charging Circuit</v>
      </c>
      <c r="F67" s="111" t="str">
        <f ca="1">IFERROR(__xludf.DUMMYFUNCTION("""COMPUTED_VALUE"""),"PCB-ONBOARD-CHARGING")</f>
        <v>PCB-ONBOARD-CHARGING</v>
      </c>
      <c r="G67" s="111"/>
      <c r="H67" t="str">
        <f ca="1">IFERROR(__xludf.DUMMYFUNCTION("""COMPUTED_VALUE"""),"Cable - Ultra Flexible Blue 20 AWG")</f>
        <v>Cable - Ultra Flexible Blue 20 AWG</v>
      </c>
      <c r="I67" t="str">
        <f ca="1">IFERROR(__xludf.DUMMYFUNCTION("""COMPUTED_VALUE"""),"CAB-SIL-BLUE20AWG")</f>
        <v>CAB-SIL-BLUE20AWG</v>
      </c>
      <c r="J67" t="str">
        <f ca="1">IFERROR(__xludf.DUMMYFUNCTION("""COMPUTED_VALUE"""),"Robu-1824990")</f>
        <v>Robu-1824990</v>
      </c>
    </row>
    <row r="68" spans="1:10">
      <c r="A68" s="106"/>
      <c r="B68" s="111"/>
      <c r="C68" s="111"/>
      <c r="D68" s="111"/>
      <c r="E68" s="111" t="str">
        <f ca="1">IFERROR(__xludf.DUMMYFUNCTION("""COMPUTED_VALUE"""),"SBus Generator Circuit (Tailored Solution)")</f>
        <v>SBus Generator Circuit (Tailored Solution)</v>
      </c>
      <c r="F68" s="111" t="str">
        <f ca="1">IFERROR(__xludf.DUMMYFUNCTION("""COMPUTED_VALUE"""),"PCB-SBUS-NANO")</f>
        <v>PCB-SBUS-NANO</v>
      </c>
      <c r="G68" s="111"/>
      <c r="H68" t="str">
        <f ca="1">IFERROR(__xludf.DUMMYFUNCTION("""COMPUTED_VALUE"""),"Water flow Sensor YFS401")</f>
        <v>Water flow Sensor YFS401</v>
      </c>
      <c r="I68" t="str">
        <f ca="1">IFERROR(__xludf.DUMMYFUNCTION("""COMPUTED_VALUE"""),"SEN-WFL-YFS401v5")</f>
        <v>SEN-WFL-YFS401v5</v>
      </c>
      <c r="J68" t="str">
        <f ca="1">IFERROR(__xludf.DUMMYFUNCTION("""COMPUTED_VALUE"""),"YFS401")</f>
        <v>YFS401</v>
      </c>
    </row>
    <row r="69" spans="1:10">
      <c r="A69" s="106"/>
      <c r="B69" s="111"/>
      <c r="C69" s="111"/>
      <c r="D69" s="111"/>
      <c r="E69" s="111" t="str">
        <f ca="1">IFERROR(__xludf.DUMMYFUNCTION("""COMPUTED_VALUE"""),"WCS1700 CT Coil current Sensor")</f>
        <v>WCS1700 CT Coil current Sensor</v>
      </c>
      <c r="F69" s="111" t="str">
        <f ca="1">IFERROR(__xludf.DUMMYFUNCTION("""COMPUTED_VALUE"""),"SEN-CUR-WCS1700-CTi35")</f>
        <v>SEN-CUR-WCS1700-CTi35</v>
      </c>
      <c r="G69" s="111"/>
      <c r="H69" t="str">
        <f ca="1">IFERROR(__xludf.DUMMYFUNCTION("""COMPUTED_VALUE"""),"Water Pump 550 Diaphragm")</f>
        <v>Water Pump 550 Diaphragm</v>
      </c>
      <c r="I69" t="str">
        <f ca="1">IFERROR(__xludf.DUMMYFUNCTION("""COMPUTED_VALUE"""),"ACT-PMP-DIA550")</f>
        <v>ACT-PMP-DIA550</v>
      </c>
      <c r="J69" t="str">
        <f ca="1">IFERROR(__xludf.DUMMYFUNCTION("""COMPUTED_VALUE"""),"550 DIAPHRAGM")</f>
        <v>550 DIAPHRAGM</v>
      </c>
    </row>
    <row r="70" spans="1:10">
      <c r="A70" s="106"/>
      <c r="B70" s="111"/>
      <c r="C70" s="111"/>
      <c r="D70" s="111"/>
      <c r="E70" s="111" t="str">
        <f ca="1">IFERROR(__xludf.DUMMYFUNCTION("""COMPUTED_VALUE"""),"21700 Cell Holder 1x3 21.2mm bore")</f>
        <v>21700 Cell Holder 1x3 21.2mm bore</v>
      </c>
      <c r="F70" s="111" t="str">
        <f ca="1">IFERROR(__xludf.DUMMYFUNCTION("""COMPUTED_VALUE"""),"PWR-CELL-HOLDER-1x3-21700-21.2MM")</f>
        <v>PWR-CELL-HOLDER-1x3-21700-21.2MM</v>
      </c>
      <c r="G70" s="111"/>
      <c r="H70" t="str">
        <f ca="1">IFERROR(__xludf.DUMMYFUNCTION("""COMPUTED_VALUE"""),"Battery Indicator - 1S Lipo")</f>
        <v>Battery Indicator - 1S Lipo</v>
      </c>
      <c r="I70" t="str">
        <f ca="1">IFERROR(__xludf.DUMMYFUNCTION("""COMPUTED_VALUE"""),"IND-LIP-1S")</f>
        <v>IND-LIP-1S</v>
      </c>
    </row>
    <row r="71" spans="1:10">
      <c r="A71" s="106"/>
      <c r="B71" s="111"/>
      <c r="C71" s="111"/>
      <c r="D71" s="111"/>
      <c r="E71" s="111" t="str">
        <f ca="1">IFERROR(__xludf.DUMMYFUNCTION("""COMPUTED_VALUE"""),"Lithium Ion Battery Block 6X3 with Samsung 50S 21700")</f>
        <v>Lithium Ion Battery Block 6X3 with Samsung 50S 21700</v>
      </c>
      <c r="F71" s="111" t="str">
        <f ca="1">IFERROR(__xludf.DUMMYFUNCTION("""COMPUTED_VALUE"""),"PWR-BLK-6x3-50S")</f>
        <v>PWR-BLK-6x3-50S</v>
      </c>
      <c r="G71" s="111" t="str">
        <f ca="1">IFERROR(__xludf.DUMMYFUNCTION("""COMPUTED_VALUE"""),"50S")</f>
        <v>50S</v>
      </c>
      <c r="H71" t="str">
        <f ca="1">IFERROR(__xludf.DUMMYFUNCTION("""COMPUTED_VALUE"""),"Battery Indicator - 2S Lipo")</f>
        <v>Battery Indicator - 2S Lipo</v>
      </c>
      <c r="I71" t="str">
        <f ca="1">IFERROR(__xludf.DUMMYFUNCTION("""COMPUTED_VALUE"""),"IND-LIP-2S")</f>
        <v>IND-LIP-2S</v>
      </c>
    </row>
    <row r="72" spans="1:10">
      <c r="A72" s="106"/>
      <c r="B72" s="111"/>
      <c r="C72" s="111"/>
      <c r="D72" s="111"/>
      <c r="E72" s="111" t="str">
        <f ca="1">IFERROR(__xludf.DUMMYFUNCTION("""COMPUTED_VALUE"""),"Lithium Ion Battery Block 6X3 with Samsung 40T 21700")</f>
        <v>Lithium Ion Battery Block 6X3 with Samsung 40T 21700</v>
      </c>
      <c r="F72" s="111" t="str">
        <f ca="1">IFERROR(__xludf.DUMMYFUNCTION("""COMPUTED_VALUE"""),"PWR-BLK-6x3-40T")</f>
        <v>PWR-BLK-6x3-40T</v>
      </c>
      <c r="G72" s="111" t="str">
        <f ca="1">IFERROR(__xludf.DUMMYFUNCTION("""COMPUTED_VALUE"""),"40T")</f>
        <v>40T</v>
      </c>
      <c r="H72" t="str">
        <f ca="1">IFERROR(__xludf.DUMMYFUNCTION("""COMPUTED_VALUE"""),"Lipo Indicator Casings")</f>
        <v>Lipo Indicator Casings</v>
      </c>
      <c r="I72" t="str">
        <f ca="1">IFERROR(__xludf.DUMMYFUNCTION("""COMPUTED_VALUE"""),"IND-LIP-CASING")</f>
        <v>IND-LIP-CASING</v>
      </c>
    </row>
    <row r="73" spans="1:10">
      <c r="A73" s="106"/>
      <c r="B73" s="111"/>
      <c r="C73" s="111"/>
      <c r="D73" s="111"/>
      <c r="E73" s="111" t="str">
        <f ca="1">IFERROR(__xludf.DUMMYFUNCTION("""COMPUTED_VALUE"""),"Lithium Ion Battery Block 6X3 with Molicel P42A 21700")</f>
        <v>Lithium Ion Battery Block 6X3 with Molicel P42A 21700</v>
      </c>
      <c r="F73" s="111" t="str">
        <f ca="1">IFERROR(__xludf.DUMMYFUNCTION("""COMPUTED_VALUE"""),"PWR-BLK-6x3-P42A")</f>
        <v>PWR-BLK-6x3-P42A</v>
      </c>
      <c r="G73" s="111" t="str">
        <f ca="1">IFERROR(__xludf.DUMMYFUNCTION("""COMPUTED_VALUE"""),"P42A")</f>
        <v>P42A</v>
      </c>
      <c r="H73" t="str">
        <f ca="1">IFERROR(__xludf.DUMMYFUNCTION("""COMPUTED_VALUE"""),"Buck Converter Module  XL7015 50v")</f>
        <v>Buck Converter Module  XL7015 50v</v>
      </c>
      <c r="I73" t="str">
        <f ca="1">IFERROR(__xludf.DUMMYFUNCTION("""COMPUTED_VALUE"""),"MOD-BUK-XL7015v80i07")</f>
        <v>MOD-BUK-XL7015v80i07</v>
      </c>
      <c r="J73" t="str">
        <f ca="1">IFERROR(__xludf.DUMMYFUNCTION("""COMPUTED_VALUE"""),"XL7015")</f>
        <v>XL7015</v>
      </c>
    </row>
    <row r="74" spans="1:10">
      <c r="A74" s="106"/>
      <c r="B74" s="111"/>
      <c r="C74" s="111"/>
      <c r="D74" s="111"/>
      <c r="E74" s="111" t="str">
        <f ca="1">IFERROR(__xludf.DUMMYFUNCTION("""COMPUTED_VALUE"""),"Lithium Ion Cell Samsung 21700 50S")</f>
        <v>Lithium Ion Cell Samsung 21700 50S</v>
      </c>
      <c r="F74" s="111" t="str">
        <f ca="1">IFERROR(__xludf.DUMMYFUNCTION("""COMPUTED_VALUE"""),"PWR-BAR-2170-50S")</f>
        <v>PWR-BAR-2170-50S</v>
      </c>
      <c r="G74" s="111"/>
      <c r="H74" t="str">
        <f ca="1">IFERROR(__xludf.DUMMYFUNCTION("""COMPUTED_VALUE"""),"Buck Coverter Module LM2596HVS ")</f>
        <v xml:space="preserve">Buck Coverter Module LM2596HVS </v>
      </c>
      <c r="I74" t="str">
        <f ca="1">IFERROR(__xludf.DUMMYFUNCTION("""COMPUTED_VALUE"""),"MOD-BUK-LM2596HVSv48i2")</f>
        <v>MOD-BUK-LM2596HVSv48i2</v>
      </c>
      <c r="J74" t="str">
        <f ca="1">IFERROR(__xludf.DUMMYFUNCTION("""COMPUTED_VALUE"""),"Robu-766328")</f>
        <v>Robu-766328</v>
      </c>
    </row>
    <row r="75" spans="1:10">
      <c r="A75" s="106"/>
      <c r="B75" s="111"/>
      <c r="C75" s="111"/>
      <c r="D75" s="111"/>
      <c r="E75" s="111" t="str">
        <f ca="1">IFERROR(__xludf.DUMMYFUNCTION("""COMPUTED_VALUE"""),"Lithium Ion Cell Samsung 21700 40T")</f>
        <v>Lithium Ion Cell Samsung 21700 40T</v>
      </c>
      <c r="F75" s="111" t="str">
        <f ca="1">IFERROR(__xludf.DUMMYFUNCTION("""COMPUTED_VALUE"""),"PWR-BAR-2170-40T")</f>
        <v>PWR-BAR-2170-40T</v>
      </c>
      <c r="G75" s="111"/>
      <c r="H75" t="str">
        <f ca="1">IFERROR(__xludf.DUMMYFUNCTION("""COMPUTED_VALUE"""),"Buck Converter Module XL4005 5A ")</f>
        <v xml:space="preserve">Buck Converter Module XL4005 5A </v>
      </c>
      <c r="I75" t="str">
        <f ca="1">IFERROR(__xludf.DUMMYFUNCTION("""COMPUTED_VALUE"""),"MOD-BUK-XL4005v40i5")</f>
        <v>MOD-BUK-XL4005v40i5</v>
      </c>
      <c r="J75" t="str">
        <f ca="1">IFERROR(__xludf.DUMMYFUNCTION("""COMPUTED_VALUE"""),"XL4015")</f>
        <v>XL4015</v>
      </c>
    </row>
    <row r="76" spans="1:10">
      <c r="A76" s="106"/>
      <c r="B76" s="111"/>
      <c r="C76" s="111"/>
      <c r="D76" s="111"/>
      <c r="E76" s="111" t="str">
        <f ca="1">IFERROR(__xludf.DUMMYFUNCTION("""COMPUTED_VALUE"""),"Lithium Ion Cell Molicell 21700 P42A")</f>
        <v>Lithium Ion Cell Molicell 21700 P42A</v>
      </c>
      <c r="F76" s="111" t="str">
        <f ca="1">IFERROR(__xludf.DUMMYFUNCTION("""COMPUTED_VALUE"""),"PWR-BAR-2170-P42A")</f>
        <v>PWR-BAR-2170-P42A</v>
      </c>
      <c r="G76" s="111"/>
      <c r="H76" t="str">
        <f ca="1">IFERROR(__xludf.DUMMYFUNCTION("""COMPUTED_VALUE"""),"Buck Converter Module XL4015 5A ")</f>
        <v xml:space="preserve">Buck Converter Module XL4015 5A </v>
      </c>
      <c r="I76" t="str">
        <f ca="1">IFERROR(__xludf.DUMMYFUNCTION("""COMPUTED_VALUE"""),"MOD-BUK-XL4015v40i5")</f>
        <v>MOD-BUK-XL4015v40i5</v>
      </c>
      <c r="J76" t="str">
        <f ca="1">IFERROR(__xludf.DUMMYFUNCTION("""COMPUTED_VALUE"""),"Robu-1510171")</f>
        <v>Robu-1510171</v>
      </c>
    </row>
    <row r="77" spans="1:10">
      <c r="A77" s="106"/>
      <c r="B77" s="111"/>
      <c r="C77" s="111"/>
      <c r="D77" s="111"/>
      <c r="E77" s="111" t="str">
        <f ca="1">IFERROR(__xludf.DUMMYFUNCTION("""COMPUTED_VALUE"""),"Lithium Ion Cell 18650 LG-MJ1")</f>
        <v>Lithium Ion Cell 18650 LG-MJ1</v>
      </c>
      <c r="F77" s="111" t="str">
        <f ca="1">IFERROR(__xludf.DUMMYFUNCTION("""COMPUTED_VALUE"""),"PWR-BAR-1865-MJ1")</f>
        <v>PWR-BAR-1865-MJ1</v>
      </c>
      <c r="G77" s="111"/>
      <c r="H77" t="str">
        <f ca="1">IFERROR(__xludf.DUMMYFUNCTION("""COMPUTED_VALUE"""),"Connector - AS150u Female AMASS")</f>
        <v>Connector - AS150u Female AMASS</v>
      </c>
      <c r="I77" t="str">
        <f ca="1">IFERROR(__xludf.DUMMYFUNCTION("""COMPUTED_VALUE"""),"CON-BTC-AS150uF")</f>
        <v>CON-BTC-AS150uF</v>
      </c>
      <c r="J77" t="str">
        <f ca="1">IFERROR(__xludf.DUMMYFUNCTION("""COMPUTED_VALUE"""),"Robu-1395034")</f>
        <v>Robu-1395034</v>
      </c>
    </row>
    <row r="78" spans="1:10">
      <c r="A78" s="106"/>
      <c r="B78" s="111"/>
      <c r="C78" s="111"/>
      <c r="D78" s="111"/>
      <c r="E78" s="111" t="str">
        <f ca="1">IFERROR(__xludf.DUMMYFUNCTION("""COMPUTED_VALUE"""),"Lithium Ion Cell Holder 18650 SMD")</f>
        <v>Lithium Ion Cell Holder 18650 SMD</v>
      </c>
      <c r="F78" s="111" t="str">
        <f ca="1">IFERROR(__xludf.DUMMYFUNCTION("""COMPUTED_VALUE"""),"PWR-CELL-HOLDER-SMD-18650")</f>
        <v>PWR-CELL-HOLDER-SMD-18650</v>
      </c>
      <c r="G78" s="111"/>
      <c r="H78" t="str">
        <f ca="1">IFERROR(__xludf.DUMMYFUNCTION("""COMPUTED_VALUE"""),"Connector - AS150u Male AMASS ")</f>
        <v xml:space="preserve">Connector - AS150u Male AMASS </v>
      </c>
      <c r="I78" t="str">
        <f ca="1">IFERROR(__xludf.DUMMYFUNCTION("""COMPUTED_VALUE"""),"CON-BTC-AS150uM")</f>
        <v>CON-BTC-AS150uM</v>
      </c>
      <c r="J78" t="str">
        <f ca="1">IFERROR(__xludf.DUMMYFUNCTION("""COMPUTED_VALUE"""),"Robu-1432427")</f>
        <v>Robu-1432427</v>
      </c>
    </row>
    <row r="79" spans="1:10">
      <c r="A79" s="106"/>
      <c r="B79" s="111"/>
      <c r="C79" s="111"/>
      <c r="D79" s="111"/>
      <c r="E79" s="111" t="str">
        <f ca="1">IFERROR(__xludf.DUMMYFUNCTION("""COMPUTED_VALUE"""),"Cable USB Data &amp; Charging Cable 1m")</f>
        <v>Cable USB Data &amp; Charging Cable 1m</v>
      </c>
      <c r="F79" s="111" t="str">
        <f ca="1">IFERROR(__xludf.DUMMYFUNCTION("""COMPUTED_VALUE"""),"CAB-USB-1i5M24AWG")</f>
        <v>CAB-USB-1i5M24AWG</v>
      </c>
      <c r="G79" s="111"/>
      <c r="H79" t="str">
        <f ca="1">IFERROR(__xludf.DUMMYFUNCTION("""COMPUTED_VALUE"""),"Connector - XT90 Female AMASS")</f>
        <v>Connector - XT90 Female AMASS</v>
      </c>
      <c r="I79" t="str">
        <f ca="1">IFERROR(__xludf.DUMMYFUNCTION("""COMPUTED_VALUE"""),"CON-BTC-XT90F")</f>
        <v>CON-BTC-XT90F</v>
      </c>
      <c r="J79" t="str">
        <f ca="1">IFERROR(__xludf.DUMMYFUNCTION("""COMPUTED_VALUE"""),"Robu-24729")</f>
        <v>Robu-24729</v>
      </c>
    </row>
    <row r="80" spans="1:10">
      <c r="A80" s="106"/>
      <c r="B80" s="111"/>
      <c r="C80" s="111"/>
      <c r="D80" s="111"/>
      <c r="E80" s="111" t="str">
        <f ca="1">IFERROR(__xludf.DUMMYFUNCTION("""COMPUTED_VALUE"""),"Jack - DC 5.5mm Panel Mount")</f>
        <v>Jack - DC 5.5mm Panel Mount</v>
      </c>
      <c r="F80" s="111" t="str">
        <f ca="1">IFERROR(__xludf.DUMMYFUNCTION("""COMPUTED_VALUE"""),"CON-MIS-DCJACK-PM-505MM")</f>
        <v>CON-MIS-DCJACK-PM-505MM</v>
      </c>
      <c r="G80" s="111"/>
      <c r="H80" t="str">
        <f ca="1">IFERROR(__xludf.DUMMYFUNCTION("""COMPUTED_VALUE"""),"Connector - XT90 Male")</f>
        <v>Connector - XT90 Male</v>
      </c>
      <c r="I80" t="str">
        <f ca="1">IFERROR(__xludf.DUMMYFUNCTION("""COMPUTED_VALUE"""),"CON-BTC-XT90M")</f>
        <v>CON-BTC-XT90M</v>
      </c>
    </row>
    <row r="81" spans="1:10">
      <c r="A81" s="106"/>
      <c r="B81" s="111"/>
      <c r="C81" s="111"/>
      <c r="D81" s="111"/>
      <c r="E81" s="111" t="str">
        <f ca="1">IFERROR(__xludf.DUMMYFUNCTION("""COMPUTED_VALUE"""),"Lead Paste")</f>
        <v>Lead Paste</v>
      </c>
      <c r="F81" s="111" t="str">
        <f ca="1">IFERROR(__xludf.DUMMYFUNCTION("""COMPUTED_VALUE"""),"SOL-PAS-6040-ROHS")</f>
        <v>SOL-PAS-6040-ROHS</v>
      </c>
      <c r="G81" s="111"/>
      <c r="H81" t="str">
        <f ca="1">IFERROR(__xludf.DUMMYFUNCTION("""COMPUTED_VALUE"""),"Connector - XT30 Female AMASS")</f>
        <v>Connector - XT30 Female AMASS</v>
      </c>
      <c r="I81" t="str">
        <f ca="1">IFERROR(__xludf.DUMMYFUNCTION("""COMPUTED_VALUE"""),"CON-BTC-XT30F")</f>
        <v>CON-BTC-XT30F</v>
      </c>
      <c r="J81" t="str">
        <f ca="1">IFERROR(__xludf.DUMMYFUNCTION("""COMPUTED_VALUE"""),"Robu-875060")</f>
        <v>Robu-875060</v>
      </c>
    </row>
    <row r="82" spans="1:10">
      <c r="A82" s="106"/>
      <c r="B82" s="111"/>
      <c r="C82" s="111"/>
      <c r="D82" s="111"/>
      <c r="E82" s="111" t="str">
        <f ca="1">IFERROR(__xludf.DUMMYFUNCTION("""COMPUTED_VALUE"""),"Lead Wire 22AWG")</f>
        <v>Lead Wire 22AWG</v>
      </c>
      <c r="F82" s="111" t="str">
        <f ca="1">IFERROR(__xludf.DUMMYFUNCTION("""COMPUTED_VALUE"""),"SOL-WIR-6040-ROHS-22AWG")</f>
        <v>SOL-WIR-6040-ROHS-22AWG</v>
      </c>
      <c r="G82" s="111"/>
      <c r="H82" t="str">
        <f ca="1">IFERROR(__xludf.DUMMYFUNCTION("""COMPUTED_VALUE"""),"Connector - XT30 Male AMASS")</f>
        <v>Connector - XT30 Male AMASS</v>
      </c>
      <c r="I82" t="str">
        <f ca="1">IFERROR(__xludf.DUMMYFUNCTION("""COMPUTED_VALUE"""),"CON-BTC-XT30M")</f>
        <v>CON-BTC-XT30M</v>
      </c>
      <c r="J82" t="str">
        <f ca="1">IFERROR(__xludf.DUMMYFUNCTION("""COMPUTED_VALUE"""),"Robu-875061")</f>
        <v>Robu-875061</v>
      </c>
    </row>
    <row r="83" spans="1:10">
      <c r="A83" s="106"/>
      <c r="B83" s="111"/>
      <c r="C83" s="111"/>
      <c r="D83" s="111"/>
      <c r="E83" s="111" t="str">
        <f ca="1">IFERROR(__xludf.DUMMYFUNCTION("""COMPUTED_VALUE"""),"Voltage Regulator 3.3v SOT-223-4")</f>
        <v>Voltage Regulator 3.3v SOT-223-4</v>
      </c>
      <c r="F83" s="111" t="str">
        <f ca="1">IFERROR(__xludf.DUMMYFUNCTION("""COMPUTED_VALUE"""),"SIC-REG-AMS1117-33v")</f>
        <v>SIC-REG-AMS1117-33v</v>
      </c>
      <c r="G83" s="111" t="str">
        <f ca="1">IFERROR(__xludf.DUMMYFUNCTION("""COMPUTED_VALUE"""),"LD1117S33CTR")</f>
        <v>LD1117S33CTR</v>
      </c>
      <c r="H83" t="str">
        <f ca="1">IFERROR(__xludf.DUMMYFUNCTION("""COMPUTED_VALUE"""),"Connector - XT60 Female AMASS")</f>
        <v>Connector - XT60 Female AMASS</v>
      </c>
      <c r="I83" t="str">
        <f ca="1">IFERROR(__xludf.DUMMYFUNCTION("""COMPUTED_VALUE"""),"CON-BTC-XT60F")</f>
        <v>CON-BTC-XT60F</v>
      </c>
    </row>
    <row r="84" spans="1:10">
      <c r="A84" s="106"/>
      <c r="B84" s="111"/>
      <c r="C84" s="111"/>
      <c r="D84" s="111"/>
      <c r="E84" s="111" t="str">
        <f ca="1">IFERROR(__xludf.DUMMYFUNCTION("""COMPUTED_VALUE"""),"Heat Sink Pad 2mm Thickness")</f>
        <v>Heat Sink Pad 2mm Thickness</v>
      </c>
      <c r="F84" s="111" t="str">
        <f ca="1">IFERROR(__xludf.DUMMYFUNCTION("""COMPUTED_VALUE"""),"HET-PAD-SIL-2MM-1W")</f>
        <v>HET-PAD-SIL-2MM-1W</v>
      </c>
      <c r="G84" s="111" t="str">
        <f ca="1">IFERROR(__xludf.DUMMYFUNCTION("""COMPUTED_VALUE"""),"MPGCS-020-150-1.0AA")</f>
        <v>MPGCS-020-150-1.0AA</v>
      </c>
      <c r="H84" t="str">
        <f ca="1">IFERROR(__xludf.DUMMYFUNCTION("""COMPUTED_VALUE"""),"Connector - XT60 Male AMASS")</f>
        <v>Connector - XT60 Male AMASS</v>
      </c>
      <c r="I84" t="str">
        <f ca="1">IFERROR(__xludf.DUMMYFUNCTION("""COMPUTED_VALUE"""),"CON-BTC-XT60M")</f>
        <v>CON-BTC-XT60M</v>
      </c>
    </row>
    <row r="85" spans="1:10">
      <c r="A85" s="106"/>
      <c r="B85" s="111"/>
      <c r="C85" s="111"/>
      <c r="D85" s="111"/>
      <c r="E85" s="111" t="str">
        <f ca="1">IFERROR(__xludf.DUMMYFUNCTION("""COMPUTED_VALUE"""),"Heat Sink Pad 1mm Thickness")</f>
        <v>Heat Sink Pad 1mm Thickness</v>
      </c>
      <c r="F85" s="111" t="str">
        <f ca="1">IFERROR(__xludf.DUMMYFUNCTION("""COMPUTED_VALUE"""),"HET-PAD-SIL-1MM-1W")</f>
        <v>HET-PAD-SIL-1MM-1W</v>
      </c>
      <c r="G85" s="111" t="str">
        <f ca="1">IFERROR(__xludf.DUMMYFUNCTION("""COMPUTED_VALUE"""),"MPGCS-020-150-1.0AA")</f>
        <v>MPGCS-020-150-1.0AA</v>
      </c>
      <c r="H85" t="str">
        <f ca="1">IFERROR(__xludf.DUMMYFUNCTION("""COMPUTED_VALUE"""),"Connector - MT30 Female")</f>
        <v>Connector - MT30 Female</v>
      </c>
      <c r="I85" t="str">
        <f ca="1">IFERROR(__xludf.DUMMYFUNCTION("""COMPUTED_VALUE"""),"CON-BTC-MT30F")</f>
        <v>CON-BTC-MT30F</v>
      </c>
    </row>
    <row r="86" spans="1:10">
      <c r="A86" s="106"/>
      <c r="B86" s="111"/>
      <c r="C86" s="111"/>
      <c r="D86" s="111"/>
      <c r="E86" s="111" t="str">
        <f ca="1">IFERROR(__xludf.DUMMYFUNCTION("""COMPUTED_VALUE"""),"Comparator IC - LM358DT SMD")</f>
        <v>Comparator IC - LM358DT SMD</v>
      </c>
      <c r="F86" s="111" t="str">
        <f ca="1">IFERROR(__xludf.DUMMYFUNCTION("""COMPUTED_VALUE"""),"SIC-COM-LM358DT")</f>
        <v>SIC-COM-LM358DT</v>
      </c>
      <c r="G86" s="111" t="str">
        <f ca="1">IFERROR(__xludf.DUMMYFUNCTION("""COMPUTED_VALUE"""),"LM358DT")</f>
        <v>LM358DT</v>
      </c>
      <c r="H86" t="str">
        <f ca="1">IFERROR(__xludf.DUMMYFUNCTION("""COMPUTED_VALUE"""),"Converter AC/DC - 24v ")</f>
        <v xml:space="preserve">Converter AC/DC - 24v </v>
      </c>
      <c r="I86" t="str">
        <f ca="1">IFERROR(__xludf.DUMMYFUNCTION("""COMPUTED_VALUE"""),"MOD-HLK-W20v24i08")</f>
        <v>MOD-HLK-W20v24i08</v>
      </c>
      <c r="J86" t="str">
        <f ca="1">IFERROR(__xludf.DUMMYFUNCTION("""COMPUTED_VALUE"""),"HLK-20M24")</f>
        <v>HLK-20M24</v>
      </c>
    </row>
    <row r="87" spans="1:10">
      <c r="A87" s="106"/>
      <c r="B87" s="111"/>
      <c r="C87" s="111"/>
      <c r="D87" s="111"/>
      <c r="E87" s="111" t="str">
        <f ca="1">IFERROR(__xludf.DUMMYFUNCTION("""COMPUTED_VALUE"""),"Capacitor 0.1uF 0805")</f>
        <v>Capacitor 0.1uF 0805</v>
      </c>
      <c r="F87" s="111" t="str">
        <f ca="1">IFERROR(__xludf.DUMMYFUNCTION("""COMPUTED_VALUE"""),"CAP-SMD-0805-100V10P-0D1uF")</f>
        <v>CAP-SMD-0805-100V10P-0D1uF</v>
      </c>
      <c r="G87" s="111" t="str">
        <f ca="1">IFERROR(__xludf.DUMMYFUNCTION("""COMPUTED_VALUE"""),"0805B104K101CT")</f>
        <v>0805B104K101CT</v>
      </c>
      <c r="H87" t="str">
        <f ca="1">IFERROR(__xludf.DUMMYFUNCTION("""COMPUTED_VALUE"""),"Momentary Switch JCB")</f>
        <v>Momentary Switch JCB</v>
      </c>
      <c r="I87" t="str">
        <f ca="1">IFERROR(__xludf.DUMMYFUNCTION("""COMPUTED_VALUE"""),"SWI-PUS-MS16MM-PM-16MM")</f>
        <v>SWI-PUS-MS16MM-PM-16MM</v>
      </c>
    </row>
    <row r="88" spans="1:10">
      <c r="A88" s="106"/>
      <c r="B88" s="111"/>
      <c r="C88" s="111"/>
      <c r="D88" s="111"/>
      <c r="E88" s="111" t="str">
        <f ca="1">IFERROR(__xludf.DUMMYFUNCTION("""COMPUTED_VALUE"""),"Capacitor 0.01uF 0805")</f>
        <v>Capacitor 0.01uF 0805</v>
      </c>
      <c r="F88" s="111" t="str">
        <f ca="1">IFERROR(__xludf.DUMMYFUNCTION("""COMPUTED_VALUE"""),"CAP-SMD-0805-100V10P-0D01uF")</f>
        <v>CAP-SMD-0805-100V10P-0D01uF</v>
      </c>
      <c r="G88" s="111" t="str">
        <f ca="1">IFERROR(__xludf.DUMMYFUNCTION("""COMPUTED_VALUE"""),"C0805C103K1RACTU")</f>
        <v>C0805C103K1RACTU</v>
      </c>
      <c r="H88" t="str">
        <f ca="1">IFERROR(__xludf.DUMMYFUNCTION("""COMPUTED_VALUE"""),"Latching Power Switch JCB")</f>
        <v>Latching Power Switch JCB</v>
      </c>
      <c r="I88" t="str">
        <f ca="1">IFERROR(__xludf.DUMMYFUNCTION("""COMPUTED_VALUE"""),"SWI-PUS-LS16MM-PM-16MM")</f>
        <v>SWI-PUS-LS16MM-PM-16MM</v>
      </c>
    </row>
    <row r="89" spans="1:10">
      <c r="A89" s="106"/>
      <c r="B89" s="111"/>
      <c r="C89" s="111"/>
      <c r="D89" s="111"/>
      <c r="E89" s="111" t="str">
        <f ca="1">IFERROR(__xludf.DUMMYFUNCTION("""COMPUTED_VALUE"""),"LED 0805 SMD")</f>
        <v>LED 0805 SMD</v>
      </c>
      <c r="F89" s="111" t="str">
        <f ca="1">IFERROR(__xludf.DUMMYFUNCTION("""COMPUTED_VALUE"""),"IND-SMD-2D2v-RED")</f>
        <v>IND-SMD-2D2v-RED</v>
      </c>
      <c r="G89" s="111" t="str">
        <f ca="1">IFERROR(__xludf.DUMMYFUNCTION("""COMPUTED_VALUE"""),"KPTD-2012LVSURCK")</f>
        <v>KPTD-2012LVSURCK</v>
      </c>
      <c r="H89" t="str">
        <f ca="1">IFERROR(__xludf.DUMMYFUNCTION("""COMPUTED_VALUE"""),"PCB for IFU")</f>
        <v>PCB for IFU</v>
      </c>
      <c r="I89" t="str">
        <f ca="1">IFERROR(__xludf.DUMMYFUNCTION("""COMPUTED_VALUE"""),"PCB-IFU")</f>
        <v>PCB-IFU</v>
      </c>
    </row>
    <row r="90" spans="1:10">
      <c r="A90" s="106"/>
      <c r="B90" s="111"/>
      <c r="C90" s="111"/>
      <c r="D90" s="111"/>
      <c r="E90" s="111" t="str">
        <f ca="1">IFERROR(__xludf.DUMMYFUNCTION("""COMPUTED_VALUE"""),"SSR-SPDT - TS5A3157DBVR")</f>
        <v>SSR-SPDT - TS5A3157DBVR</v>
      </c>
      <c r="F90" s="111" t="str">
        <f ca="1">IFERROR(__xludf.DUMMYFUNCTION("""COMPUTED_VALUE"""),"SIC-SSR-TS5A3157DBVR")</f>
        <v>SIC-SSR-TS5A3157DBVR</v>
      </c>
      <c r="G90" s="111" t="str">
        <f ca="1">IFERROR(__xludf.DUMMYFUNCTION("""COMPUTED_VALUE"""),"TS5A3157DBVR")</f>
        <v>TS5A3157DBVR</v>
      </c>
      <c r="H90" t="str">
        <f ca="1">IFERROR(__xludf.DUMMYFUNCTION("""COMPUTED_VALUE"""),"PCB for JCB")</f>
        <v>PCB for JCB</v>
      </c>
      <c r="I90" t="str">
        <f ca="1">IFERROR(__xludf.DUMMYFUNCTION("""COMPUTED_VALUE"""),"PCB-AMCA")</f>
        <v>PCB-AMCA</v>
      </c>
    </row>
    <row r="91" spans="1:10">
      <c r="A91" s="106"/>
      <c r="B91" s="111"/>
      <c r="C91" s="111"/>
      <c r="D91" s="111"/>
      <c r="E91" s="111" t="str">
        <f ca="1">IFERROR(__xludf.DUMMYFUNCTION("""COMPUTED_VALUE"""),"Tactile Switch for IFU four leg")</f>
        <v>Tactile Switch for IFU four leg</v>
      </c>
      <c r="F91" s="111" t="str">
        <f ca="1">IFERROR(__xludf.DUMMYFUNCTION("""COMPUTED_VALUE"""),"SWI-PUS-THT-4LEG")</f>
        <v>SWI-PUS-THT-4LEG</v>
      </c>
      <c r="G91" s="111" t="str">
        <f ca="1">IFERROR(__xludf.DUMMYFUNCTION("""COMPUTED_VALUE"""),"KSR231G LFS")</f>
        <v>KSR231G LFS</v>
      </c>
      <c r="H91" t="str">
        <f ca="1">IFERROR(__xludf.DUMMYFUNCTION("""COMPUTED_VALUE"""),"PCB of STBD flash light")</f>
        <v>PCB of STBD flash light</v>
      </c>
      <c r="I91" t="str">
        <f ca="1">IFERROR(__xludf.DUMMYFUNCTION("""COMPUTED_VALUE"""),"PCB-STBD-FLASH")</f>
        <v>PCB-STBD-FLASH</v>
      </c>
    </row>
    <row r="92" spans="1:10">
      <c r="A92" s="106"/>
      <c r="B92" s="111"/>
      <c r="C92" s="111"/>
      <c r="D92" s="111"/>
      <c r="E92" s="111" t="str">
        <f ca="1">IFERROR(__xludf.DUMMYFUNCTION("""COMPUTED_VALUE"""),"LM2596HVS-ADJ Buck only IC")</f>
        <v>LM2596HVS-ADJ Buck only IC</v>
      </c>
      <c r="F92" s="111" t="str">
        <f ca="1">IFERROR(__xludf.DUMMYFUNCTION("""COMPUTED_VALUE"""),"SIC-BUK-LM2596HVS-ADJ-50v3A")</f>
        <v>SIC-BUK-LM2596HVS-ADJ-50v3A</v>
      </c>
      <c r="G92" s="111" t="str">
        <f ca="1">IFERROR(__xludf.DUMMYFUNCTION("""COMPUTED_VALUE"""),"LM2596HVS-ADJ")</f>
        <v>LM2596HVS-ADJ</v>
      </c>
      <c r="H92" t="str">
        <f ca="1">IFERROR(__xludf.DUMMYFUNCTION("""COMPUTED_VALUE"""),"PCB of PORT flash light")</f>
        <v>PCB of PORT flash light</v>
      </c>
      <c r="I92" t="str">
        <f ca="1">IFERROR(__xludf.DUMMYFUNCTION("""COMPUTED_VALUE"""),"PCB-PORT-FLASH")</f>
        <v>PCB-PORT-FLASH</v>
      </c>
    </row>
    <row r="93" spans="1:10">
      <c r="A93" s="106"/>
      <c r="B93" s="111"/>
      <c r="C93" s="111"/>
      <c r="D93" s="111"/>
      <c r="E93" s="111" t="str">
        <f ca="1">IFERROR(__xludf.DUMMYFUNCTION("""COMPUTED_VALUE"""),"MP9486AGN-Z 100v Buck converter IC")</f>
        <v>MP9486AGN-Z 100v Buck converter IC</v>
      </c>
      <c r="F93" s="111" t="str">
        <f ca="1">IFERROR(__xludf.DUMMYFUNCTION("""COMPUTED_VALUE"""),"SIC-BUK-MP9486AGN-Z-100v1A")</f>
        <v>SIC-BUK-MP9486AGN-Z-100v1A</v>
      </c>
      <c r="G93" s="111" t="str">
        <f ca="1">IFERROR(__xludf.DUMMYFUNCTION("""COMPUTED_VALUE"""),"MP9486AGN-Z")</f>
        <v>MP9486AGN-Z</v>
      </c>
      <c r="H93" t="str">
        <f ca="1">IFERROR(__xludf.DUMMYFUNCTION("""COMPUTED_VALUE"""),"PCB of A4 Motherboard/A42 Motherboard")</f>
        <v>PCB of A4 Motherboard/A42 Motherboard</v>
      </c>
      <c r="I93" t="str">
        <f ca="1">IFERROR(__xludf.DUMMYFUNCTION("""COMPUTED_VALUE"""),"PCB-A4MEGA328P-MUR")</f>
        <v>PCB-A4MEGA328P-MUR</v>
      </c>
    </row>
    <row r="94" spans="1:10">
      <c r="A94" s="106"/>
      <c r="B94" s="111"/>
      <c r="C94" s="111"/>
      <c r="D94" s="111"/>
      <c r="E94" s="111" t="str">
        <f ca="1">IFERROR(__xludf.DUMMYFUNCTION("""COMPUTED_VALUE"""),"12v Fixed Buck 18-75 In MultiCom Pro")</f>
        <v>12v Fixed Buck 18-75 In MultiCom Pro</v>
      </c>
      <c r="F94" s="111" t="str">
        <f ca="1">IFERROR(__xludf.DUMMYFUNCTION("""COMPUTED_VALUE"""),"DCC-BUK-MPRB4812LD-30W-v12i2D5")</f>
        <v>DCC-BUK-MPRB4812LD-30W-v12i2D5</v>
      </c>
      <c r="G94" s="111" t="str">
        <f ca="1">IFERROR(__xludf.DUMMYFUNCTION("""COMPUTED_VALUE"""),"MPRB4812LD-30W")</f>
        <v>MPRB4812LD-30W</v>
      </c>
      <c r="H94" t="str">
        <f ca="1">IFERROR(__xludf.DUMMYFUNCTION("""COMPUTED_VALUE"""),"PCB of Current Sensor")</f>
        <v>PCB of Current Sensor</v>
      </c>
      <c r="I94" t="str">
        <f ca="1">IFERROR(__xludf.DUMMYFUNCTION("""COMPUTED_VALUE"""),"PCB-CUR-SENSOR")</f>
        <v>PCB-CUR-SENSOR</v>
      </c>
    </row>
    <row r="95" spans="1:10">
      <c r="A95" s="106"/>
      <c r="B95" s="111"/>
      <c r="C95" s="111"/>
      <c r="D95" s="111"/>
      <c r="E95" s="111" t="str">
        <f ca="1">IFERROR(__xludf.DUMMYFUNCTION("""COMPUTED_VALUE"""),"5v Fixed Buck 18-75 In MultiCom Pro")</f>
        <v>5v Fixed Buck 18-75 In MultiCom Pro</v>
      </c>
      <c r="F95" s="111" t="str">
        <f ca="1">IFERROR(__xludf.DUMMYFUNCTION("""COMPUTED_VALUE"""),"DCC-BUK-MPRB4812LD-30W-v5i6")</f>
        <v>DCC-BUK-MPRB4812LD-30W-v5i6</v>
      </c>
      <c r="G95" s="111" t="str">
        <f ca="1">IFERROR(__xludf.DUMMYFUNCTION("""COMPUTED_VALUE"""),"MPRB4805LD-30W")</f>
        <v>MPRB4805LD-30W</v>
      </c>
      <c r="H95" t="str">
        <f ca="1">IFERROR(__xludf.DUMMYFUNCTION("""COMPUTED_VALUE"""),"PWB of Button -2")</f>
        <v>PWB of Button -2</v>
      </c>
      <c r="I95" t="str">
        <f ca="1">IFERROR(__xludf.DUMMYFUNCTION("""COMPUTED_VALUE"""),"PCB-QX7-BUTTON")</f>
        <v>PCB-QX7-BUTTON</v>
      </c>
    </row>
    <row r="96" spans="1:10">
      <c r="A96" s="106"/>
      <c r="B96" s="111"/>
      <c r="C96" s="111"/>
      <c r="D96" s="111"/>
      <c r="E96" s="111" t="str">
        <f ca="1">IFERROR(__xludf.DUMMYFUNCTION("""COMPUTED_VALUE"""),"1N4148 SMD")</f>
        <v>1N4148 SMD</v>
      </c>
      <c r="F96" s="111" t="str">
        <f ca="1">IFERROR(__xludf.DUMMYFUNCTION("""COMPUTED_VALUE"""),"SIC-DIO-1N4148-100V1A")</f>
        <v>SIC-DIO-1N4148-100V1A</v>
      </c>
      <c r="G96" s="111" t="str">
        <f ca="1">IFERROR(__xludf.DUMMYFUNCTION("""COMPUTED_VALUE"""),"1N4148W-7-F")</f>
        <v>1N4148W-7-F</v>
      </c>
      <c r="H96" t="str">
        <f ca="1">IFERROR(__xludf.DUMMYFUNCTION("""COMPUTED_VALUE"""),"PWB for PC Inside Charger with XL4015 buck")</f>
        <v>PWB for PC Inside Charger with XL4015 buck</v>
      </c>
      <c r="I96" t="str">
        <f ca="1">IFERROR(__xludf.DUMMYFUNCTION("""COMPUTED_VALUE"""),"PCB-X16-XL4015-CHARGER")</f>
        <v>PCB-X16-XL4015-CHARGER</v>
      </c>
    </row>
    <row r="97" spans="1:10">
      <c r="A97" s="106"/>
      <c r="B97" s="111"/>
      <c r="C97" s="111"/>
      <c r="D97" s="111"/>
      <c r="E97" s="111" t="str">
        <f ca="1">IFERROR(__xludf.DUMMYFUNCTION("""COMPUTED_VALUE"""),"18pF 0805 capacitor")</f>
        <v>18pF 0805 capacitor</v>
      </c>
      <c r="F97" s="111" t="str">
        <f ca="1">IFERROR(__xludf.DUMMYFUNCTION("""COMPUTED_VALUE"""),"CAP-SMD-0805-50V5P-18pF")</f>
        <v>CAP-SMD-0805-50V5P-18pF</v>
      </c>
      <c r="G97" s="111" t="str">
        <f ca="1">IFERROR(__xludf.DUMMYFUNCTION("""COMPUTED_VALUE"""),"MC0805N180J500CT")</f>
        <v>MC0805N180J500CT</v>
      </c>
      <c r="H97" t="str">
        <f ca="1">IFERROR(__xludf.DUMMYFUNCTION("""COMPUTED_VALUE"""),"PWB for Bathemetry Sensor")</f>
        <v>PWB for Bathemetry Sensor</v>
      </c>
      <c r="I97" t="str">
        <f ca="1">IFERROR(__xludf.DUMMYFUNCTION("""COMPUTED_VALUE"""),"PCB-BATHEMETRY")</f>
        <v>PCB-BATHEMETRY</v>
      </c>
    </row>
    <row r="98" spans="1:10">
      <c r="A98" s="106"/>
      <c r="B98" s="111"/>
      <c r="C98" s="111"/>
      <c r="D98" s="111"/>
      <c r="E98" s="111" t="str">
        <f ca="1">IFERROR(__xludf.DUMMYFUNCTION("""COMPUTED_VALUE"""),"10uF 0805 capacitor")</f>
        <v>10uF 0805 capacitor</v>
      </c>
      <c r="F98" s="111" t="str">
        <f ca="1">IFERROR(__xludf.DUMMYFUNCTION("""COMPUTED_VALUE"""),"CAP-SMD-0805-16V10P-10uF")</f>
        <v>CAP-SMD-0805-16V10P-10uF</v>
      </c>
      <c r="G98" s="111"/>
      <c r="H98" t="str">
        <f ca="1">IFERROR(__xludf.DUMMYFUNCTION("""COMPUTED_VALUE"""),"General PCB 6x4")</f>
        <v>General PCB 6x4</v>
      </c>
      <c r="I98" t="str">
        <f ca="1">IFERROR(__xludf.DUMMYFUNCTION("""COMPUTED_VALUE"""),"PCB-GEN6x4-P2054")</f>
        <v>PCB-GEN6x4-P2054</v>
      </c>
    </row>
    <row r="99" spans="1:10">
      <c r="A99" s="106"/>
      <c r="B99" s="111"/>
      <c r="C99" s="111"/>
      <c r="D99" s="111"/>
      <c r="E99" s="111" t="str">
        <f ca="1">IFERROR(__xludf.DUMMYFUNCTION("""COMPUTED_VALUE"""),"10uF 10v Tantalum Capacitor Case A")</f>
        <v>10uF 10v Tantalum Capacitor Case A</v>
      </c>
      <c r="F99" s="111" t="str">
        <f ca="1">IFERROR(__xludf.DUMMYFUNCTION("""COMPUTED_VALUE"""),"CAP-SMD-TANTA-10V10P-10UF")</f>
        <v>CAP-SMD-TANTA-10V10P-10UF</v>
      </c>
      <c r="G99" s="111" t="str">
        <f ca="1">IFERROR(__xludf.DUMMYFUNCTION("""COMPUTED_VALUE"""),"T491A106K010AT")</f>
        <v>T491A106K010AT</v>
      </c>
      <c r="H99" t="str">
        <f ca="1">IFERROR(__xludf.DUMMYFUNCTION("""COMPUTED_VALUE"""),"General PCB 4X4")</f>
        <v>General PCB 4X4</v>
      </c>
      <c r="I99" t="str">
        <f ca="1">IFERROR(__xludf.DUMMYFUNCTION("""COMPUTED_VALUE"""),"PCB-GEN4x4-P2054")</f>
        <v>PCB-GEN4x4-P2054</v>
      </c>
    </row>
    <row r="100" spans="1:10">
      <c r="A100" s="106"/>
      <c r="B100" s="111"/>
      <c r="C100" s="111"/>
      <c r="D100" s="111"/>
      <c r="E100" s="111" t="str">
        <f ca="1">IFERROR(__xludf.DUMMYFUNCTION("""COMPUTED_VALUE"""),"1k 0805 Resistor")</f>
        <v>1k 0805 Resistor</v>
      </c>
      <c r="F100" s="111" t="str">
        <f ca="1">IFERROR(__xludf.DUMMYFUNCTION("""COMPUTED_VALUE"""),"RES-SMD-0805-125mW5P-1k")</f>
        <v>RES-SMD-0805-125mW5P-1k</v>
      </c>
      <c r="G100" s="111" t="str">
        <f ca="1">IFERROR(__xludf.DUMMYFUNCTION("""COMPUTED_VALUE"""),"ERA6AEB102V (to be modified)")</f>
        <v>ERA6AEB102V (to be modified)</v>
      </c>
      <c r="H100" t="str">
        <f ca="1">IFERROR(__xludf.DUMMYFUNCTION("""COMPUTED_VALUE"""),"PCB of ROHM Buck  on Murata Foot Print")</f>
        <v>PCB of ROHM Buck  on Murata Foot Print</v>
      </c>
    </row>
    <row r="101" spans="1:10">
      <c r="A101" s="106"/>
      <c r="B101" s="111"/>
      <c r="C101" s="111"/>
      <c r="D101" s="111"/>
      <c r="E101" s="111" t="str">
        <f ca="1">IFERROR(__xludf.DUMMYFUNCTION("""COMPUTED_VALUE"""),"10k 0805 resistor")</f>
        <v>10k 0805 resistor</v>
      </c>
      <c r="F101" s="111" t="str">
        <f ca="1">IFERROR(__xludf.DUMMYFUNCTION("""COMPUTED_VALUE"""),"RES-SMD-0805-125mW5P-10k")</f>
        <v>RES-SMD-0805-125mW5P-10k</v>
      </c>
      <c r="G101" s="111" t="str">
        <f ca="1">IFERROR(__xludf.DUMMYFUNCTION("""COMPUTED_VALUE"""),"ERA6AEB103V (to be modified)")</f>
        <v>ERA6AEB103V (to be modified)</v>
      </c>
      <c r="H101" t="str">
        <f ca="1">IFERROR(__xludf.DUMMYFUNCTION("""COMPUTED_VALUE"""),"PCB of MP9486 on XL7015 FootPrint")</f>
        <v>PCB of MP9486 on XL7015 FootPrint</v>
      </c>
      <c r="I101" t="str">
        <f ca="1">IFERROR(__xludf.DUMMYFUNCTION("""COMPUTED_VALUE"""),"PCB-XL7015FOOT-MP9486")</f>
        <v>PCB-XL7015FOOT-MP9486</v>
      </c>
    </row>
    <row r="102" spans="1:10">
      <c r="A102" s="106"/>
      <c r="B102" s="111"/>
      <c r="C102" s="111"/>
      <c r="D102" s="111"/>
      <c r="E102" s="111" t="str">
        <f ca="1">IFERROR(__xludf.DUMMYFUNCTION("""COMPUTED_VALUE"""),"510K Resistor")</f>
        <v>510K Resistor</v>
      </c>
      <c r="F102" s="111" t="str">
        <f ca="1">IFERROR(__xludf.DUMMYFUNCTION("""COMPUTED_VALUE"""),"RES-SMD-0805-125mW5P-510k")</f>
        <v>RES-SMD-0805-125mW5P-510k</v>
      </c>
      <c r="G102" s="111"/>
      <c r="H102" t="str">
        <f ca="1">IFERROR(__xludf.DUMMYFUNCTION("""COMPUTED_VALUE"""),"AMCA Onboard Charging Circuit")</f>
        <v>AMCA Onboard Charging Circuit</v>
      </c>
      <c r="I102" t="str">
        <f ca="1">IFERROR(__xludf.DUMMYFUNCTION("""COMPUTED_VALUE"""),"PCB-ONBOARD-CHARGING")</f>
        <v>PCB-ONBOARD-CHARGING</v>
      </c>
    </row>
    <row r="103" spans="1:10">
      <c r="A103" s="106"/>
      <c r="B103" s="111"/>
      <c r="C103" s="111"/>
      <c r="D103" s="111"/>
      <c r="E103" s="111" t="str">
        <f ca="1">IFERROR(__xludf.DUMMYFUNCTION("""COMPUTED_VALUE"""),"560K Resistor")</f>
        <v>560K Resistor</v>
      </c>
      <c r="F103" s="111" t="str">
        <f ca="1">IFERROR(__xludf.DUMMYFUNCTION("""COMPUTED_VALUE"""),"RES-SMD-0805-125mW5P-560k")</f>
        <v>RES-SMD-0805-125mW5P-560k</v>
      </c>
      <c r="G103" s="111" t="str">
        <f ca="1">IFERROR(__xludf.DUMMYFUNCTION("""COMPUTED_VALUE"""),"MCWR08X564 JTL (to be modified)")</f>
        <v>MCWR08X564 JTL (to be modified)</v>
      </c>
      <c r="H103" t="str">
        <f ca="1">IFERROR(__xludf.DUMMYFUNCTION("""COMPUTED_VALUE"""),"SBus Generator Circuit (Tailored Solution)")</f>
        <v>SBus Generator Circuit (Tailored Solution)</v>
      </c>
      <c r="I103" t="str">
        <f ca="1">IFERROR(__xludf.DUMMYFUNCTION("""COMPUTED_VALUE"""),"PCB-SBUS-NANO")</f>
        <v>PCB-SBUS-NANO</v>
      </c>
    </row>
    <row r="104" spans="1:10">
      <c r="A104" s="106"/>
      <c r="B104" s="111"/>
      <c r="C104" s="111"/>
      <c r="D104" s="111"/>
      <c r="E104" s="111" t="str">
        <f ca="1">IFERROR(__xludf.DUMMYFUNCTION("""COMPUTED_VALUE"""),"330E 0805 Resistor")</f>
        <v>330E 0805 Resistor</v>
      </c>
      <c r="F104" s="111" t="str">
        <f ca="1">IFERROR(__xludf.DUMMYFUNCTION("""COMPUTED_VALUE"""),"RES-SMD-0805-125mW1P-330E")</f>
        <v>RES-SMD-0805-125mW1P-330E</v>
      </c>
      <c r="G104" s="111" t="str">
        <f ca="1">IFERROR(__xludf.DUMMYFUNCTION("""COMPUTED_VALUE"""),"MCWR08X3300FTL (to be modified)")</f>
        <v>MCWR08X3300FTL (to be modified)</v>
      </c>
      <c r="H104" t="str">
        <f ca="1">IFERROR(__xludf.DUMMYFUNCTION("""COMPUTED_VALUE"""),"WCS1700 CT Coil current Sensor")</f>
        <v>WCS1700 CT Coil current Sensor</v>
      </c>
      <c r="I104" t="str">
        <f ca="1">IFERROR(__xludf.DUMMYFUNCTION("""COMPUTED_VALUE"""),"SEN-CUR-WCS1700-CTi35")</f>
        <v>SEN-CUR-WCS1700-CTi35</v>
      </c>
    </row>
    <row r="105" spans="1:10">
      <c r="A105" s="106"/>
      <c r="B105" s="111"/>
      <c r="C105" s="111"/>
      <c r="D105" s="111"/>
      <c r="E105" s="111" t="str">
        <f ca="1">IFERROR(__xludf.DUMMYFUNCTION("""COMPUTED_VALUE"""),"22E 3W 2512 SMD Resistor ")</f>
        <v xml:space="preserve">22E 3W 2512 SMD Resistor </v>
      </c>
      <c r="F105" s="111" t="str">
        <f ca="1">IFERROR(__xludf.DUMMYFUNCTION("""COMPUTED_VALUE"""),"RES-SMD-0805-3W1P-22E")</f>
        <v>RES-SMD-0805-3W1P-22E</v>
      </c>
      <c r="G105" s="111" t="str">
        <f ca="1">IFERROR(__xludf.DUMMYFUNCTION("""COMPUTED_VALUE"""),"352222RJT/CGS")</f>
        <v>352222RJT/CGS</v>
      </c>
      <c r="H105" t="str">
        <f ca="1">IFERROR(__xludf.DUMMYFUNCTION("""COMPUTED_VALUE"""),"21700 Cell Holder 1x3 21.2mm bore")</f>
        <v>21700 Cell Holder 1x3 21.2mm bore</v>
      </c>
      <c r="I105" t="str">
        <f ca="1">IFERROR(__xludf.DUMMYFUNCTION("""COMPUTED_VALUE"""),"PWR-CELL-HOLDER-1x3-21700-21.2MM")</f>
        <v>PWR-CELL-HOLDER-1x3-21700-21.2MM</v>
      </c>
    </row>
    <row r="106" spans="1:10">
      <c r="A106" s="106"/>
      <c r="B106" s="111"/>
      <c r="C106" s="111"/>
      <c r="D106" s="111"/>
      <c r="E106" s="111" t="str">
        <f ca="1">IFERROR(__xludf.DUMMYFUNCTION("""COMPUTED_VALUE"""),"Murata 12v 4.5A buck")</f>
        <v>Murata 12v 4.5A buck</v>
      </c>
      <c r="F106" s="111"/>
      <c r="G106" s="111" t="str">
        <f ca="1">IFERROR(__xludf.DUMMYFUNCTION("""COMPUTED_VALUE"""),"UWS-12/4.5-Q48N-C/")</f>
        <v>UWS-12/4.5-Q48N-C/</v>
      </c>
      <c r="H106" t="str">
        <f ca="1">IFERROR(__xludf.DUMMYFUNCTION("""COMPUTED_VALUE"""),"Lithium Ion Battery Block 6X3 with Samsung 50S 21700")</f>
        <v>Lithium Ion Battery Block 6X3 with Samsung 50S 21700</v>
      </c>
      <c r="I106" t="str">
        <f ca="1">IFERROR(__xludf.DUMMYFUNCTION("""COMPUTED_VALUE"""),"PWR-BLK-6x3-50S")</f>
        <v>PWR-BLK-6x3-50S</v>
      </c>
      <c r="J106" t="str">
        <f ca="1">IFERROR(__xludf.DUMMYFUNCTION("""COMPUTED_VALUE"""),"50S")</f>
        <v>50S</v>
      </c>
    </row>
    <row r="107" spans="1:10">
      <c r="A107" s="106"/>
      <c r="B107" s="111"/>
      <c r="C107" s="111"/>
      <c r="D107" s="111"/>
      <c r="E107" s="111" t="str">
        <f ca="1">IFERROR(__xludf.DUMMYFUNCTION("""COMPUTED_VALUE"""),"Murata 5v 10A buck")</f>
        <v>Murata 5v 10A buck</v>
      </c>
      <c r="F107" s="111"/>
      <c r="G107" s="111" t="str">
        <f ca="1">IFERROR(__xludf.DUMMYFUNCTION("""COMPUTED_VALUE"""),"UWS-5/10-Q48N-C/")</f>
        <v>UWS-5/10-Q48N-C/</v>
      </c>
      <c r="H107" t="str">
        <f ca="1">IFERROR(__xludf.DUMMYFUNCTION("""COMPUTED_VALUE"""),"Lithium Ion Battery Block 6X3 with Samsung 40T 21700")</f>
        <v>Lithium Ion Battery Block 6X3 with Samsung 40T 21700</v>
      </c>
      <c r="I107" t="str">
        <f ca="1">IFERROR(__xludf.DUMMYFUNCTION("""COMPUTED_VALUE"""),"PWR-BLK-6x3-40T")</f>
        <v>PWR-BLK-6x3-40T</v>
      </c>
      <c r="J107" t="str">
        <f ca="1">IFERROR(__xludf.DUMMYFUNCTION("""COMPUTED_VALUE"""),"40T")</f>
        <v>40T</v>
      </c>
    </row>
    <row r="108" spans="1:10">
      <c r="A108" s="106"/>
      <c r="B108" s="111"/>
      <c r="C108" s="111"/>
      <c r="D108" s="111"/>
      <c r="E108" s="111" t="str">
        <f ca="1">IFERROR(__xludf.DUMMYFUNCTION("""COMPUTED_VALUE"""),"1 MOhm Multitrim Pot 3296 ")</f>
        <v xml:space="preserve">1 MOhm Multitrim Pot 3296 </v>
      </c>
      <c r="F108" s="111"/>
      <c r="G108" s="111"/>
      <c r="H108" t="str">
        <f ca="1">IFERROR(__xludf.DUMMYFUNCTION("""COMPUTED_VALUE"""),"Lithium Ion Battery Block 6X3 with Molicel P42A 21700")</f>
        <v>Lithium Ion Battery Block 6X3 with Molicel P42A 21700</v>
      </c>
      <c r="I108" t="str">
        <f ca="1">IFERROR(__xludf.DUMMYFUNCTION("""COMPUTED_VALUE"""),"PWR-BLK-6x3-P42A")</f>
        <v>PWR-BLK-6x3-P42A</v>
      </c>
      <c r="J108" t="str">
        <f ca="1">IFERROR(__xludf.DUMMYFUNCTION("""COMPUTED_VALUE"""),"P42A")</f>
        <v>P42A</v>
      </c>
    </row>
    <row r="109" spans="1:10">
      <c r="A109" s="106"/>
      <c r="B109" s="111"/>
      <c r="C109" s="111"/>
      <c r="D109" s="111"/>
      <c r="E109" s="111" t="str">
        <f ca="1">IFERROR(__xludf.DUMMYFUNCTION("""COMPUTED_VALUE"""),"1K MultiTrikm Pot 3296 Resistor")</f>
        <v>1K MultiTrikm Pot 3296 Resistor</v>
      </c>
      <c r="F109" s="111"/>
      <c r="G109" s="111"/>
      <c r="H109" t="str">
        <f ca="1">IFERROR(__xludf.DUMMYFUNCTION("""COMPUTED_VALUE"""),"Lithium Ion Cell Samsung 21700 50S")</f>
        <v>Lithium Ion Cell Samsung 21700 50S</v>
      </c>
      <c r="I109" t="str">
        <f ca="1">IFERROR(__xludf.DUMMYFUNCTION("""COMPUTED_VALUE"""),"PWR-BAR-2170-50S")</f>
        <v>PWR-BAR-2170-50S</v>
      </c>
    </row>
    <row r="110" spans="1:10">
      <c r="A110" s="106"/>
      <c r="B110" s="111"/>
      <c r="C110" s="111"/>
      <c r="D110" s="111"/>
      <c r="E110" s="111" t="str">
        <f ca="1">IFERROR(__xludf.DUMMYFUNCTION("""COMPUTED_VALUE"""),"2K 3296 Resistor")</f>
        <v>2K 3296 Resistor</v>
      </c>
      <c r="F110" s="111"/>
      <c r="G110" s="111"/>
      <c r="H110" t="str">
        <f ca="1">IFERROR(__xludf.DUMMYFUNCTION("""COMPUTED_VALUE"""),"Lithium Ion Cell Samsung 21700 40T")</f>
        <v>Lithium Ion Cell Samsung 21700 40T</v>
      </c>
      <c r="I110" t="str">
        <f ca="1">IFERROR(__xludf.DUMMYFUNCTION("""COMPUTED_VALUE"""),"PWR-BAR-2170-40T")</f>
        <v>PWR-BAR-2170-40T</v>
      </c>
    </row>
    <row r="111" spans="1:10">
      <c r="A111" s="106"/>
      <c r="B111" s="111"/>
      <c r="C111" s="111"/>
      <c r="D111" s="111"/>
      <c r="E111" s="111" t="str">
        <f ca="1">IFERROR(__xludf.DUMMYFUNCTION("""COMPUTED_VALUE"""),"5 W 1 Ω Resistor")</f>
        <v>5 W 1 Ω Resistor</v>
      </c>
      <c r="F111" s="111"/>
      <c r="G111" s="111"/>
      <c r="H111" t="str">
        <f ca="1">IFERROR(__xludf.DUMMYFUNCTION("""COMPUTED_VALUE"""),"Lithium Ion Cell Molicell 21700 P42A")</f>
        <v>Lithium Ion Cell Molicell 21700 P42A</v>
      </c>
      <c r="I111" t="str">
        <f ca="1">IFERROR(__xludf.DUMMYFUNCTION("""COMPUTED_VALUE"""),"PWR-BAR-2170-P42A")</f>
        <v>PWR-BAR-2170-P42A</v>
      </c>
    </row>
    <row r="112" spans="1:10">
      <c r="A112" s="106"/>
      <c r="B112" s="111"/>
      <c r="C112" s="111"/>
      <c r="D112" s="111"/>
      <c r="E112" s="111" t="str">
        <f ca="1">IFERROR(__xludf.DUMMYFUNCTION("""COMPUTED_VALUE"""),"5 W 5 Ω Resistor")</f>
        <v>5 W 5 Ω Resistor</v>
      </c>
      <c r="F112" s="111"/>
      <c r="G112" s="111"/>
      <c r="H112" t="str">
        <f ca="1">IFERROR(__xludf.DUMMYFUNCTION("""COMPUTED_VALUE"""),"Lithium Ion Cell 18650 LG-MJ1")</f>
        <v>Lithium Ion Cell 18650 LG-MJ1</v>
      </c>
      <c r="I112" t="str">
        <f ca="1">IFERROR(__xludf.DUMMYFUNCTION("""COMPUTED_VALUE"""),"PWR-BAR-1865-MJ1")</f>
        <v>PWR-BAR-1865-MJ1</v>
      </c>
    </row>
    <row r="113" spans="1:10">
      <c r="A113" s="106"/>
      <c r="B113" s="111"/>
      <c r="C113" s="111"/>
      <c r="D113" s="111"/>
      <c r="E113" s="111" t="str">
        <f ca="1">IFERROR(__xludf.DUMMYFUNCTION("""COMPUTED_VALUE"""),"Capacitor Electrolytic 10uF 63v 2.54mm pitch")</f>
        <v>Capacitor Electrolytic 10uF 63v 2.54mm pitch</v>
      </c>
      <c r="F113" s="111"/>
      <c r="G113" s="111"/>
      <c r="H113" t="str">
        <f ca="1">IFERROR(__xludf.DUMMYFUNCTION("""COMPUTED_VALUE"""),"Lithium Ion Cell Holder 18650 SMD")</f>
        <v>Lithium Ion Cell Holder 18650 SMD</v>
      </c>
      <c r="I113" t="str">
        <f ca="1">IFERROR(__xludf.DUMMYFUNCTION("""COMPUTED_VALUE"""),"PWR-CELL-HOLDER-SMD-18650")</f>
        <v>PWR-CELL-HOLDER-SMD-18650</v>
      </c>
    </row>
    <row r="114" spans="1:10">
      <c r="A114" s="106"/>
      <c r="B114" s="111"/>
      <c r="C114" s="111"/>
      <c r="D114" s="111"/>
      <c r="E114" s="111" t="str">
        <f ca="1">IFERROR(__xludf.DUMMYFUNCTION("""COMPUTED_VALUE"""),"Relay Power SPST 23A-24v ")</f>
        <v xml:space="preserve">Relay Power SPST 23A-24v </v>
      </c>
      <c r="F114" s="111" t="str">
        <f ca="1">IFERROR(__xludf.DUMMYFUNCTION("""COMPUTED_VALUE"""),"REL-PWR-SPST-24v-V63i23")</f>
        <v>REL-PWR-SPST-24v-V63i23</v>
      </c>
      <c r="G114" s="111" t="str">
        <f ca="1">IFERROR(__xludf.DUMMYFUNCTION("""COMPUTED_VALUE"""),"G2RL-1A-E2-CV-HA DC24")</f>
        <v>G2RL-1A-E2-CV-HA DC24</v>
      </c>
      <c r="H114" t="str">
        <f ca="1">IFERROR(__xludf.DUMMYFUNCTION("""COMPUTED_VALUE"""),"Cable USB Data &amp; Charging Cable 1m")</f>
        <v>Cable USB Data &amp; Charging Cable 1m</v>
      </c>
      <c r="I114" t="str">
        <f ca="1">IFERROR(__xludf.DUMMYFUNCTION("""COMPUTED_VALUE"""),"CAB-USB-1i5M24AWG")</f>
        <v>CAB-USB-1i5M24AWG</v>
      </c>
    </row>
    <row r="115" spans="1:10">
      <c r="A115" s="106"/>
      <c r="B115" s="111"/>
      <c r="C115" s="111"/>
      <c r="D115" s="111"/>
      <c r="E115" s="111" t="str">
        <f ca="1">IFERROR(__xludf.DUMMYFUNCTION("""COMPUTED_VALUE"""),"Fuse 500mA")</f>
        <v>Fuse 500mA</v>
      </c>
      <c r="F115" s="111"/>
      <c r="G115" s="111"/>
      <c r="H115" t="str">
        <f ca="1">IFERROR(__xludf.DUMMYFUNCTION("""COMPUTED_VALUE"""),"Jack - DC 5.5mm Panel Mount")</f>
        <v>Jack - DC 5.5mm Panel Mount</v>
      </c>
      <c r="I115" t="str">
        <f ca="1">IFERROR(__xludf.DUMMYFUNCTION("""COMPUTED_VALUE"""),"CON-MIS-DCJACK-PM-505MM")</f>
        <v>CON-MIS-DCJACK-PM-505MM</v>
      </c>
    </row>
    <row r="116" spans="1:10">
      <c r="A116" s="106"/>
      <c r="B116" s="111"/>
      <c r="C116" s="111"/>
      <c r="D116" s="111"/>
      <c r="E116" s="111" t="str">
        <f ca="1">IFERROR(__xludf.DUMMYFUNCTION("""COMPUTED_VALUE"""),"MCP3208 Analog to Digital Conv.")</f>
        <v>MCP3208 Analog to Digital Conv.</v>
      </c>
      <c r="F116" s="111" t="str">
        <f ca="1">IFERROR(__xludf.DUMMYFUNCTION("""COMPUTED_VALUE"""),"SIC-ADC-MCP3208-5V8CH")</f>
        <v>SIC-ADC-MCP3208-5V8CH</v>
      </c>
      <c r="G116" s="111" t="str">
        <f ca="1">IFERROR(__xludf.DUMMYFUNCTION("""COMPUTED_VALUE"""),"MCP3208-CI/SL")</f>
        <v>MCP3208-CI/SL</v>
      </c>
      <c r="H116" t="str">
        <f ca="1">IFERROR(__xludf.DUMMYFUNCTION("""COMPUTED_VALUE"""),"Lead Paste")</f>
        <v>Lead Paste</v>
      </c>
      <c r="I116" t="str">
        <f ca="1">IFERROR(__xludf.DUMMYFUNCTION("""COMPUTED_VALUE"""),"SOL-PAS-6040-ROHS")</f>
        <v>SOL-PAS-6040-ROHS</v>
      </c>
    </row>
    <row r="117" spans="1:10">
      <c r="A117" s="106"/>
      <c r="B117" s="111"/>
      <c r="C117" s="111"/>
      <c r="D117" s="111"/>
      <c r="E117" s="111" t="str">
        <f ca="1">IFERROR(__xludf.DUMMYFUNCTION("""COMPUTED_VALUE"""),"33uH 3.5A SMD Inductor")</f>
        <v>33uH 3.5A SMD Inductor</v>
      </c>
      <c r="F117" s="111" t="str">
        <f ca="1">IFERROR(__xludf.DUMMYFUNCTION("""COMPUTED_VALUE"""),"IDR-SMD-SPM7054-uH33i3.5")</f>
        <v>IDR-SMD-SPM7054-uH33i3.5</v>
      </c>
      <c r="G117" s="111" t="str">
        <f ca="1">IFERROR(__xludf.DUMMYFUNCTION("""COMPUTED_VALUE"""),"SPM7054VC-330M-D")</f>
        <v>SPM7054VC-330M-D</v>
      </c>
      <c r="H117" t="str">
        <f ca="1">IFERROR(__xludf.DUMMYFUNCTION("""COMPUTED_VALUE"""),"Lead Wire 22AWG")</f>
        <v>Lead Wire 22AWG</v>
      </c>
      <c r="I117" t="str">
        <f ca="1">IFERROR(__xludf.DUMMYFUNCTION("""COMPUTED_VALUE"""),"SOL-WIR-6040-ROHS-22AWG")</f>
        <v>SOL-WIR-6040-ROHS-22AWG</v>
      </c>
    </row>
    <row r="118" spans="1:10">
      <c r="A118" s="106"/>
      <c r="B118" s="111"/>
      <c r="C118" s="111"/>
      <c r="D118" s="111"/>
      <c r="E118" s="111" t="str">
        <f ca="1">IFERROR(__xludf.DUMMYFUNCTION("""COMPUTED_VALUE"""),"LM61 Temperature Sensor")</f>
        <v>LM61 Temperature Sensor</v>
      </c>
      <c r="F118" s="111" t="str">
        <f ca="1">IFERROR(__xludf.DUMMYFUNCTION("""COMPUTED_VALUE"""),"SEN-TEM-LM61")</f>
        <v>SEN-TEM-LM61</v>
      </c>
      <c r="G118" s="111" t="str">
        <f ca="1">IFERROR(__xludf.DUMMYFUNCTION("""COMPUTED_VALUE"""),"LM61BIZ/NOPB")</f>
        <v>LM61BIZ/NOPB</v>
      </c>
      <c r="H118" t="str">
        <f ca="1">IFERROR(__xludf.DUMMYFUNCTION("""COMPUTED_VALUE"""),"Voltage Regulator 3.3v SOT-223-4")</f>
        <v>Voltage Regulator 3.3v SOT-223-4</v>
      </c>
      <c r="I118" t="str">
        <f ca="1">IFERROR(__xludf.DUMMYFUNCTION("""COMPUTED_VALUE"""),"SIC-REG-AMS1117-33v")</f>
        <v>SIC-REG-AMS1117-33v</v>
      </c>
      <c r="J118" t="str">
        <f ca="1">IFERROR(__xludf.DUMMYFUNCTION("""COMPUTED_VALUE"""),"LD1117S33CTR")</f>
        <v>LD1117S33CTR</v>
      </c>
    </row>
    <row r="119" spans="1:10">
      <c r="A119" s="106"/>
      <c r="B119" s="111"/>
      <c r="C119" s="111"/>
      <c r="D119" s="111"/>
      <c r="E119" s="111" t="str">
        <f ca="1">IFERROR(__xludf.DUMMYFUNCTION("""COMPUTED_VALUE"""),"47k 0805 PANASONIC")</f>
        <v>47k 0805 PANASONIC</v>
      </c>
      <c r="F119" s="111" t="str">
        <f ca="1">IFERROR(__xludf.DUMMYFUNCTION("""COMPUTED_VALUE"""),"RES-SMD-0805-125mW5P-47k")</f>
        <v>RES-SMD-0805-125mW5P-47k</v>
      </c>
      <c r="G119" s="111" t="str">
        <f ca="1">IFERROR(__xludf.DUMMYFUNCTION("""COMPUTED_VALUE"""),"ERJ6GEYJ473V / MCWR08X4702FTL")</f>
        <v>ERJ6GEYJ473V / MCWR08X4702FTL</v>
      </c>
      <c r="H119" t="str">
        <f ca="1">IFERROR(__xludf.DUMMYFUNCTION("""COMPUTED_VALUE"""),"Heat Sink Pad 2mm Thickness")</f>
        <v>Heat Sink Pad 2mm Thickness</v>
      </c>
      <c r="I119" t="str">
        <f ca="1">IFERROR(__xludf.DUMMYFUNCTION("""COMPUTED_VALUE"""),"HET-PAD-SIL-2MM-1W")</f>
        <v>HET-PAD-SIL-2MM-1W</v>
      </c>
      <c r="J119" t="str">
        <f ca="1">IFERROR(__xludf.DUMMYFUNCTION("""COMPUTED_VALUE"""),"MPGCS-020-150-1.0AA")</f>
        <v>MPGCS-020-150-1.0AA</v>
      </c>
    </row>
    <row r="120" spans="1:10">
      <c r="A120" s="106"/>
      <c r="B120" s="111"/>
      <c r="C120" s="111"/>
      <c r="D120" s="111"/>
      <c r="E120" s="111" t="str">
        <f ca="1">IFERROR(__xludf.DUMMYFUNCTION("""COMPUTED_VALUE"""),"47k 0805 BOURNS")</f>
        <v>47k 0805 BOURNS</v>
      </c>
      <c r="F120" s="111" t="str">
        <f ca="1">IFERROR(__xludf.DUMMYFUNCTION("""COMPUTED_VALUE"""),"RES-SMD-0805-125mW5P-47k")</f>
        <v>RES-SMD-0805-125mW5P-47k</v>
      </c>
      <c r="G120" s="111" t="str">
        <f ca="1">IFERROR(__xludf.DUMMYFUNCTION("""COMPUTED_VALUE"""),"ERJ6GEYJ473V / MCWR08X4702FTL")</f>
        <v>ERJ6GEYJ473V / MCWR08X4702FTL</v>
      </c>
      <c r="H120" t="str">
        <f ca="1">IFERROR(__xludf.DUMMYFUNCTION("""COMPUTED_VALUE"""),"Heat Sink Pad 1mm Thickness")</f>
        <v>Heat Sink Pad 1mm Thickness</v>
      </c>
      <c r="I120" t="str">
        <f ca="1">IFERROR(__xludf.DUMMYFUNCTION("""COMPUTED_VALUE"""),"HET-PAD-SIL-1MM-1W")</f>
        <v>HET-PAD-SIL-1MM-1W</v>
      </c>
      <c r="J120" t="str">
        <f ca="1">IFERROR(__xludf.DUMMYFUNCTION("""COMPUTED_VALUE"""),"MPGCS-020-150-1.0AA")</f>
        <v>MPGCS-020-150-1.0AA</v>
      </c>
    </row>
    <row r="121" spans="1:10">
      <c r="A121" s="106"/>
      <c r="B121" s="111"/>
      <c r="C121" s="111"/>
      <c r="D121" s="111"/>
      <c r="E121" s="111" t="str">
        <f ca="1">IFERROR(__xludf.DUMMYFUNCTION("""COMPUTED_VALUE"""),"47k 0805 MURATA")</f>
        <v>47k 0805 MURATA</v>
      </c>
      <c r="F121" s="111" t="str">
        <f ca="1">IFERROR(__xludf.DUMMYFUNCTION("""COMPUTED_VALUE"""),"RES-SMD-0805-125mW5P-47k")</f>
        <v>RES-SMD-0805-125mW5P-47k</v>
      </c>
      <c r="G121" s="111" t="str">
        <f ca="1">IFERROR(__xludf.DUMMYFUNCTION("""COMPUTED_VALUE"""),"ERJ6GEYJ473V / MCWR08X4702FTL")</f>
        <v>ERJ6GEYJ473V / MCWR08X4702FTL</v>
      </c>
      <c r="H121" t="str">
        <f ca="1">IFERROR(__xludf.DUMMYFUNCTION("""COMPUTED_VALUE"""),"Comparator IC - LM358DT SMD")</f>
        <v>Comparator IC - LM358DT SMD</v>
      </c>
      <c r="I121" t="str">
        <f ca="1">IFERROR(__xludf.DUMMYFUNCTION("""COMPUTED_VALUE"""),"SIC-COM-LM358DT")</f>
        <v>SIC-COM-LM358DT</v>
      </c>
      <c r="J121" t="str">
        <f ca="1">IFERROR(__xludf.DUMMYFUNCTION("""COMPUTED_VALUE"""),"LM358DT")</f>
        <v>LM358DT</v>
      </c>
    </row>
    <row r="122" spans="1:10">
      <c r="A122" s="106"/>
      <c r="B122" s="111"/>
      <c r="C122" s="111"/>
      <c r="D122" s="111"/>
      <c r="E122" s="111" t="str">
        <f ca="1">IFERROR(__xludf.DUMMYFUNCTION("""COMPUTED_VALUE"""),"20k 0805 PANASONIC")</f>
        <v>20k 0805 PANASONIC</v>
      </c>
      <c r="F122" s="111" t="str">
        <f ca="1">IFERROR(__xludf.DUMMYFUNCTION("""COMPUTED_VALUE"""),"RES-SMD-0805-125mW5P-20k")</f>
        <v>RES-SMD-0805-125mW5P-20k</v>
      </c>
      <c r="G122" s="111" t="str">
        <f ca="1">IFERROR(__xludf.DUMMYFUNCTION("""COMPUTED_VALUE"""),"ERJ-P06F2002V/")</f>
        <v>ERJ-P06F2002V/</v>
      </c>
      <c r="H122" t="str">
        <f ca="1">IFERROR(__xludf.DUMMYFUNCTION("""COMPUTED_VALUE"""),"Capacitor 0.1uF 0805")</f>
        <v>Capacitor 0.1uF 0805</v>
      </c>
      <c r="I122" t="str">
        <f ca="1">IFERROR(__xludf.DUMMYFUNCTION("""COMPUTED_VALUE"""),"CAP-SMD-0805-100V10P-0D1uF")</f>
        <v>CAP-SMD-0805-100V10P-0D1uF</v>
      </c>
      <c r="J122" t="str">
        <f ca="1">IFERROR(__xludf.DUMMYFUNCTION("""COMPUTED_VALUE"""),"0805B104K101CT")</f>
        <v>0805B104K101CT</v>
      </c>
    </row>
    <row r="123" spans="1:10">
      <c r="A123" s="106"/>
      <c r="B123" s="111"/>
      <c r="C123" s="111"/>
      <c r="D123" s="111"/>
      <c r="E123" s="111" t="str">
        <f ca="1">IFERROR(__xludf.DUMMYFUNCTION("""COMPUTED_VALUE"""),"20k 0805 Panasonic (no more manufactured)")</f>
        <v>20k 0805 Panasonic (no more manufactured)</v>
      </c>
      <c r="F123" s="111" t="str">
        <f ca="1">IFERROR(__xludf.DUMMYFUNCTION("""COMPUTED_VALUE"""),"RES-SMD-0805-125mW5P-20k")</f>
        <v>RES-SMD-0805-125mW5P-20k</v>
      </c>
      <c r="G123" s="111" t="str">
        <f ca="1">IFERROR(__xludf.DUMMYFUNCTION("""COMPUTED_VALUE"""),"ERJ-PB6D2002V")</f>
        <v>ERJ-PB6D2002V</v>
      </c>
      <c r="H123" t="str">
        <f ca="1">IFERROR(__xludf.DUMMYFUNCTION("""COMPUTED_VALUE"""),"Capacitor 0.01uF 0805")</f>
        <v>Capacitor 0.01uF 0805</v>
      </c>
      <c r="I123" t="str">
        <f ca="1">IFERROR(__xludf.DUMMYFUNCTION("""COMPUTED_VALUE"""),"CAP-SMD-0805-100V10P-0D01uF")</f>
        <v>CAP-SMD-0805-100V10P-0D01uF</v>
      </c>
      <c r="J123" t="str">
        <f ca="1">IFERROR(__xludf.DUMMYFUNCTION("""COMPUTED_VALUE"""),"C0805C103K1RACTU")</f>
        <v>C0805C103K1RACTU</v>
      </c>
    </row>
    <row r="124" spans="1:10">
      <c r="A124" s="106"/>
      <c r="B124" s="111"/>
      <c r="C124" s="111"/>
      <c r="D124" s="111"/>
      <c r="E124" s="111" t="str">
        <f ca="1">IFERROR(__xludf.DUMMYFUNCTION("""COMPUTED_VALUE"""),"30k 0805 Yageo")</f>
        <v>30k 0805 Yageo</v>
      </c>
      <c r="F124" s="111" t="str">
        <f ca="1">IFERROR(__xludf.DUMMYFUNCTION("""COMPUTED_VALUE"""),"RES-SMD-0805-125mW5P-30k")</f>
        <v>RES-SMD-0805-125mW5P-30k</v>
      </c>
      <c r="G124" s="111" t="str">
        <f ca="1">IFERROR(__xludf.DUMMYFUNCTION("""COMPUTED_VALUE"""),"RT0805FRE0730KL-YAGEO")</f>
        <v>RT0805FRE0730KL-YAGEO</v>
      </c>
      <c r="H124" t="str">
        <f ca="1">IFERROR(__xludf.DUMMYFUNCTION("""COMPUTED_VALUE"""),"LED 0805 SMD")</f>
        <v>LED 0805 SMD</v>
      </c>
      <c r="I124" t="str">
        <f ca="1">IFERROR(__xludf.DUMMYFUNCTION("""COMPUTED_VALUE"""),"IND-SMD-2D2v-RED")</f>
        <v>IND-SMD-2D2v-RED</v>
      </c>
      <c r="J124" t="str">
        <f ca="1">IFERROR(__xludf.DUMMYFUNCTION("""COMPUTED_VALUE"""),"KPTD-2012LVSURCK")</f>
        <v>KPTD-2012LVSURCK</v>
      </c>
    </row>
    <row r="125" spans="1:10">
      <c r="A125" s="106"/>
      <c r="B125" s="111"/>
      <c r="C125" s="111"/>
      <c r="D125" s="111"/>
      <c r="E125" s="111" t="str">
        <f ca="1">IFERROR(__xludf.DUMMYFUNCTION("""COMPUTED_VALUE"""),"470k 0805 PANASONIC")</f>
        <v>470k 0805 PANASONIC</v>
      </c>
      <c r="F125" s="111" t="str">
        <f ca="1">IFERROR(__xludf.DUMMYFUNCTION("""COMPUTED_VALUE"""),"RES-SMD-0805-500mW5P-470k")</f>
        <v>RES-SMD-0805-500mW5P-470k</v>
      </c>
      <c r="G125" s="111" t="str">
        <f ca="1">IFERROR(__xludf.DUMMYFUNCTION("""COMPUTED_VALUE"""),"ERJUP6F4703V")</f>
        <v>ERJUP6F4703V</v>
      </c>
      <c r="H125" t="str">
        <f ca="1">IFERROR(__xludf.DUMMYFUNCTION("""COMPUTED_VALUE"""),"SSR-SPDT - TS5A3157DBVR")</f>
        <v>SSR-SPDT - TS5A3157DBVR</v>
      </c>
      <c r="I125" t="str">
        <f ca="1">IFERROR(__xludf.DUMMYFUNCTION("""COMPUTED_VALUE"""),"SIC-SSR-TS5A3157DBVR")</f>
        <v>SIC-SSR-TS5A3157DBVR</v>
      </c>
      <c r="J125" t="str">
        <f ca="1">IFERROR(__xludf.DUMMYFUNCTION("""COMPUTED_VALUE"""),"TS5A3157DBVR")</f>
        <v>TS5A3157DBVR</v>
      </c>
    </row>
    <row r="126" spans="1:10">
      <c r="A126" s="106"/>
      <c r="B126" s="111"/>
      <c r="C126" s="111"/>
      <c r="D126" s="111"/>
      <c r="E126" s="111" t="str">
        <f ca="1">IFERROR(__xludf.DUMMYFUNCTION("""COMPUTED_VALUE"""),"470k 0805 BOURNS")</f>
        <v>470k 0805 BOURNS</v>
      </c>
      <c r="F126" s="111" t="str">
        <f ca="1">IFERROR(__xludf.DUMMYFUNCTION("""COMPUTED_VALUE"""),"RES-SMD-0805-125mW5P-470k")</f>
        <v>RES-SMD-0805-125mW5P-470k</v>
      </c>
      <c r="G126" s="111" t="str">
        <f ca="1">IFERROR(__xludf.DUMMYFUNCTION("""COMPUTED_VALUE"""),"ERJUP6F4703V / MCWR08X4703FTL")</f>
        <v>ERJUP6F4703V / MCWR08X4703FTL</v>
      </c>
      <c r="H126" t="str">
        <f ca="1">IFERROR(__xludf.DUMMYFUNCTION("""COMPUTED_VALUE"""),"Tactile Switch for IFU four leg")</f>
        <v>Tactile Switch for IFU four leg</v>
      </c>
      <c r="I126" t="str">
        <f ca="1">IFERROR(__xludf.DUMMYFUNCTION("""COMPUTED_VALUE"""),"SWI-PUS-THT-4LEG")</f>
        <v>SWI-PUS-THT-4LEG</v>
      </c>
      <c r="J126" t="str">
        <f ca="1">IFERROR(__xludf.DUMMYFUNCTION("""COMPUTED_VALUE"""),"KSR231G LFS")</f>
        <v>KSR231G LFS</v>
      </c>
    </row>
    <row r="127" spans="1:10">
      <c r="A127" s="106"/>
      <c r="B127" s="111"/>
      <c r="C127" s="111"/>
      <c r="D127" s="111"/>
      <c r="E127" s="111" t="str">
        <f ca="1">IFERROR(__xludf.DUMMYFUNCTION("""COMPUTED_VALUE"""),"470k 0805 MURATA")</f>
        <v>470k 0805 MURATA</v>
      </c>
      <c r="F127" s="111" t="str">
        <f ca="1">IFERROR(__xludf.DUMMYFUNCTION("""COMPUTED_VALUE"""),"RES-SMD-0805-125mW5P-470k")</f>
        <v>RES-SMD-0805-125mW5P-470k</v>
      </c>
      <c r="G127" s="111" t="str">
        <f ca="1">IFERROR(__xludf.DUMMYFUNCTION("""COMPUTED_VALUE"""),"ERJUP6F4703V / MCWR08X4703FTL")</f>
        <v>ERJUP6F4703V / MCWR08X4703FTL</v>
      </c>
      <c r="H127" t="str">
        <f ca="1">IFERROR(__xludf.DUMMYFUNCTION("""COMPUTED_VALUE"""),"LM2596HVS-ADJ Buck only IC")</f>
        <v>LM2596HVS-ADJ Buck only IC</v>
      </c>
      <c r="I127" t="str">
        <f ca="1">IFERROR(__xludf.DUMMYFUNCTION("""COMPUTED_VALUE"""),"SIC-BUK-LM2596HVS-ADJ-50v3A")</f>
        <v>SIC-BUK-LM2596HVS-ADJ-50v3A</v>
      </c>
      <c r="J127" t="str">
        <f ca="1">IFERROR(__xludf.DUMMYFUNCTION("""COMPUTED_VALUE"""),"LM2596HVS-ADJ")</f>
        <v>LM2596HVS-ADJ</v>
      </c>
    </row>
    <row r="128" spans="1:10">
      <c r="A128" s="106"/>
      <c r="B128" s="111"/>
      <c r="C128" s="111"/>
      <c r="D128" s="111"/>
      <c r="E128" s="111" t="str">
        <f ca="1">IFERROR(__xludf.DUMMYFUNCTION("""COMPUTED_VALUE"""),"15K 0805 Commercial quality")</f>
        <v>15K 0805 Commercial quality</v>
      </c>
      <c r="F128" s="111" t="str">
        <f ca="1">IFERROR(__xludf.DUMMYFUNCTION("""COMPUTED_VALUE"""),"RES-SMD-0805-125mW5P-15k")</f>
        <v>RES-SMD-0805-125mW5P-15k</v>
      </c>
      <c r="G128" s="111" t="str">
        <f ca="1">IFERROR(__xludf.DUMMYFUNCTION("""COMPUTED_VALUE"""),"N/A")</f>
        <v>N/A</v>
      </c>
      <c r="H128" t="str">
        <f ca="1">IFERROR(__xludf.DUMMYFUNCTION("""COMPUTED_VALUE"""),"MP9486AGN-Z 100v Buck converter IC")</f>
        <v>MP9486AGN-Z 100v Buck converter IC</v>
      </c>
      <c r="I128" t="str">
        <f ca="1">IFERROR(__xludf.DUMMYFUNCTION("""COMPUTED_VALUE"""),"SIC-BUK-MP9486AGN-Z-100v1A")</f>
        <v>SIC-BUK-MP9486AGN-Z-100v1A</v>
      </c>
      <c r="J128" t="str">
        <f ca="1">IFERROR(__xludf.DUMMYFUNCTION("""COMPUTED_VALUE"""),"MP9486AGN-Z")</f>
        <v>MP9486AGN-Z</v>
      </c>
    </row>
    <row r="129" spans="1:10">
      <c r="A129" s="106"/>
      <c r="B129" s="111"/>
      <c r="C129" s="111"/>
      <c r="D129" s="111"/>
      <c r="E129" s="111" t="str">
        <f ca="1">IFERROR(__xludf.DUMMYFUNCTION("""COMPUTED_VALUE"""),"1uF 0805 PANASONIC")</f>
        <v>1uF 0805 PANASONIC</v>
      </c>
      <c r="F129" s="111" t="str">
        <f ca="1">IFERROR(__xludf.DUMMYFUNCTION("""COMPUTED_VALUE"""),"CAP-SMD-0805-25V10P-1uF")</f>
        <v>CAP-SMD-0805-25V10P-1uF</v>
      </c>
      <c r="G129" s="111" t="str">
        <f ca="1">IFERROR(__xludf.DUMMYFUNCTION("""COMPUTED_VALUE"""),"GCM21BR71E105KA56L")</f>
        <v>GCM21BR71E105KA56L</v>
      </c>
      <c r="H129" t="str">
        <f ca="1">IFERROR(__xludf.DUMMYFUNCTION("""COMPUTED_VALUE"""),"12v Fixed Buck 18-75 In MultiCom Pro")</f>
        <v>12v Fixed Buck 18-75 In MultiCom Pro</v>
      </c>
      <c r="I129" t="str">
        <f ca="1">IFERROR(__xludf.DUMMYFUNCTION("""COMPUTED_VALUE"""),"DCC-BUK-MPRB4812LD-30W-v12i2D5")</f>
        <v>DCC-BUK-MPRB4812LD-30W-v12i2D5</v>
      </c>
      <c r="J129" t="str">
        <f ca="1">IFERROR(__xludf.DUMMYFUNCTION("""COMPUTED_VALUE"""),"MPRB4812LD-30W")</f>
        <v>MPRB4812LD-30W</v>
      </c>
    </row>
    <row r="130" spans="1:10">
      <c r="A130" s="106"/>
      <c r="B130" s="111"/>
      <c r="C130" s="111"/>
      <c r="D130" s="111"/>
      <c r="E130" s="111" t="str">
        <f ca="1">IFERROR(__xludf.DUMMYFUNCTION("""COMPUTED_VALUE"""),"16MHz Crystal oscillator")</f>
        <v>16MHz Crystal oscillator</v>
      </c>
      <c r="F130" s="111" t="str">
        <f ca="1">IFERROR(__xludf.DUMMYFUNCTION("""COMPUTED_VALUE"""),"OSC-SMD-ABM3-16MHZ-18pF")</f>
        <v>OSC-SMD-ABM3-16MHZ-18pF</v>
      </c>
      <c r="G130" s="111" t="str">
        <f ca="1">IFERROR(__xludf.DUMMYFUNCTION("""COMPUTED_VALUE"""),"ABM3-16.000MHZ-B2-T")</f>
        <v>ABM3-16.000MHZ-B2-T</v>
      </c>
      <c r="H130" t="str">
        <f ca="1">IFERROR(__xludf.DUMMYFUNCTION("""COMPUTED_VALUE"""),"5v Fixed Buck 18-75 In MultiCom Pro")</f>
        <v>5v Fixed Buck 18-75 In MultiCom Pro</v>
      </c>
      <c r="I130" t="str">
        <f ca="1">IFERROR(__xludf.DUMMYFUNCTION("""COMPUTED_VALUE"""),"DCC-BUK-MPRB4812LD-30W-v5i6")</f>
        <v>DCC-BUK-MPRB4812LD-30W-v5i6</v>
      </c>
      <c r="J130" t="str">
        <f ca="1">IFERROR(__xludf.DUMMYFUNCTION("""COMPUTED_VALUE"""),"MPRB4805LD-30W")</f>
        <v>MPRB4805LD-30W</v>
      </c>
    </row>
    <row r="131" spans="1:10">
      <c r="A131" s="106"/>
      <c r="B131" s="111"/>
      <c r="C131" s="111"/>
      <c r="D131" s="111"/>
      <c r="E131" s="111" t="str">
        <f ca="1">IFERROR(__xludf.DUMMYFUNCTION("""COMPUTED_VALUE"""),"Buffer IC ULN2004 SMA")</f>
        <v>Buffer IC ULN2004 SMA</v>
      </c>
      <c r="F131" s="111" t="str">
        <f ca="1">IFERROR(__xludf.DUMMYFUNCTION("""COMPUTED_VALUE"""),"SIC-AMP-SMD-ULN2004D-50V05A7CH")</f>
        <v>SIC-AMP-SMD-ULN2004D-50V05A7CH</v>
      </c>
      <c r="G131" s="111" t="str">
        <f ca="1">IFERROR(__xludf.DUMMYFUNCTION("""COMPUTED_VALUE"""),"ULN2004D1013TR")</f>
        <v>ULN2004D1013TR</v>
      </c>
      <c r="H131" t="str">
        <f ca="1">IFERROR(__xludf.DUMMYFUNCTION("""COMPUTED_VALUE"""),"1N4148 SMD")</f>
        <v>1N4148 SMD</v>
      </c>
      <c r="I131" t="str">
        <f ca="1">IFERROR(__xludf.DUMMYFUNCTION("""COMPUTED_VALUE"""),"SIC-DIO-1N4148-100V1A")</f>
        <v>SIC-DIO-1N4148-100V1A</v>
      </c>
      <c r="J131" t="str">
        <f ca="1">IFERROR(__xludf.DUMMYFUNCTION("""COMPUTED_VALUE"""),"1N4148W-7-F")</f>
        <v>1N4148W-7-F</v>
      </c>
    </row>
    <row r="132" spans="1:10">
      <c r="A132" s="106"/>
      <c r="B132" s="111"/>
      <c r="C132" s="111"/>
      <c r="D132" s="111"/>
      <c r="E132" s="111" t="str">
        <f ca="1">IFERROR(__xludf.DUMMYFUNCTION("""COMPUTED_VALUE"""),"SSR AQW282SX")</f>
        <v>SSR AQW282SX</v>
      </c>
      <c r="F132" s="111" t="str">
        <f ca="1">IFERROR(__xludf.DUMMYFUNCTION("""COMPUTED_VALUE"""),"SIC-SSR-AQW282SX-63vD35A-2CH")</f>
        <v>SIC-SSR-AQW282SX-63vD35A-2CH</v>
      </c>
      <c r="G132" s="111" t="str">
        <f ca="1">IFERROR(__xludf.DUMMYFUNCTION("""COMPUTED_VALUE"""),"AQW282SX")</f>
        <v>AQW282SX</v>
      </c>
      <c r="H132" t="str">
        <f ca="1">IFERROR(__xludf.DUMMYFUNCTION("""COMPUTED_VALUE"""),"18pF 0805 capacitor")</f>
        <v>18pF 0805 capacitor</v>
      </c>
      <c r="I132" t="str">
        <f ca="1">IFERROR(__xludf.DUMMYFUNCTION("""COMPUTED_VALUE"""),"CAP-SMD-0805-50V5P-18pF")</f>
        <v>CAP-SMD-0805-50V5P-18pF</v>
      </c>
      <c r="J132" t="str">
        <f ca="1">IFERROR(__xludf.DUMMYFUNCTION("""COMPUTED_VALUE"""),"MC0805N180J500CT")</f>
        <v>MC0805N180J500CT</v>
      </c>
    </row>
    <row r="133" spans="1:10">
      <c r="A133" s="106"/>
      <c r="B133" s="111"/>
      <c r="C133" s="111"/>
      <c r="D133" s="111"/>
      <c r="E133" s="111" t="str">
        <f ca="1">IFERROR(__xludf.DUMMYFUNCTION("""COMPUTED_VALUE"""),"Atmega328P Controller")</f>
        <v>Atmega328P Controller</v>
      </c>
      <c r="F133" s="111" t="str">
        <f ca="1">IFERROR(__xludf.DUMMYFUNCTION("""COMPUTED_VALUE"""),"SIC-MPU-TQFP-ATMEGA328PAN")</f>
        <v>SIC-MPU-TQFP-ATMEGA328PAN</v>
      </c>
      <c r="G133" s="111" t="str">
        <f ca="1">IFERROR(__xludf.DUMMYFUNCTION("""COMPUTED_VALUE"""),"ATMEGA328P-AN")</f>
        <v>ATMEGA328P-AN</v>
      </c>
      <c r="H133" t="str">
        <f ca="1">IFERROR(__xludf.DUMMYFUNCTION("""COMPUTED_VALUE"""),"10uF 0805 capacitor")</f>
        <v>10uF 0805 capacitor</v>
      </c>
      <c r="I133" t="str">
        <f ca="1">IFERROR(__xludf.DUMMYFUNCTION("""COMPUTED_VALUE"""),"CAP-SMD-0805-16V10P-10uF")</f>
        <v>CAP-SMD-0805-16V10P-10uF</v>
      </c>
    </row>
    <row r="134" spans="1:10">
      <c r="A134" s="106"/>
      <c r="B134" s="111"/>
      <c r="C134" s="111"/>
      <c r="D134" s="111"/>
      <c r="E134" s="111" t="str">
        <f ca="1">IFERROR(__xludf.DUMMYFUNCTION("""COMPUTED_VALUE"""),"Power Relay 120A 12v Y7")</f>
        <v>Power Relay 120A 12v Y7</v>
      </c>
      <c r="F134" s="111"/>
      <c r="G134" s="111" t="str">
        <f ca="1">IFERROR(__xludf.DUMMYFUNCTION("""COMPUTED_VALUE"""),"HE1AN-W-DC12V-Y7")</f>
        <v>HE1AN-W-DC12V-Y7</v>
      </c>
      <c r="H134" t="str">
        <f ca="1">IFERROR(__xludf.DUMMYFUNCTION("""COMPUTED_VALUE"""),"10uF 10v Tantalum Capacitor Case A")</f>
        <v>10uF 10v Tantalum Capacitor Case A</v>
      </c>
      <c r="I134" t="str">
        <f ca="1">IFERROR(__xludf.DUMMYFUNCTION("""COMPUTED_VALUE"""),"CAP-SMD-TANTA-10V10P-10UF")</f>
        <v>CAP-SMD-TANTA-10V10P-10UF</v>
      </c>
      <c r="J134" t="str">
        <f ca="1">IFERROR(__xludf.DUMMYFUNCTION("""COMPUTED_VALUE"""),"T491A106K010AT")</f>
        <v>T491A106K010AT</v>
      </c>
    </row>
    <row r="135" spans="1:10">
      <c r="A135" s="106"/>
      <c r="B135" s="111"/>
      <c r="C135" s="111"/>
      <c r="D135" s="111"/>
      <c r="E135" s="111" t="str">
        <f ca="1">IFERROR(__xludf.DUMMYFUNCTION("""COMPUTED_VALUE"""),"Power Relay 90A 12v Y6")</f>
        <v>Power Relay 90A 12v Y6</v>
      </c>
      <c r="F135" s="111" t="str">
        <f ca="1">IFERROR(__xludf.DUMMYFUNCTION("""COMPUTED_VALUE"""),"REL-PWR-SPST-12v-V63i90")</f>
        <v>REL-PWR-SPST-12v-V63i90</v>
      </c>
      <c r="G135" s="111" t="str">
        <f ca="1">IFERROR(__xludf.DUMMYFUNCTION("""COMPUTED_VALUE"""),"HE1AN-W-DC12V-Y6")</f>
        <v>HE1AN-W-DC12V-Y6</v>
      </c>
      <c r="H135" t="str">
        <f ca="1">IFERROR(__xludf.DUMMYFUNCTION("""COMPUTED_VALUE"""),"1k 0805 Resistor")</f>
        <v>1k 0805 Resistor</v>
      </c>
      <c r="I135" t="str">
        <f ca="1">IFERROR(__xludf.DUMMYFUNCTION("""COMPUTED_VALUE"""),"RES-SMD-0805-125mW5P-1k")</f>
        <v>RES-SMD-0805-125mW5P-1k</v>
      </c>
      <c r="J135" t="str">
        <f ca="1">IFERROR(__xludf.DUMMYFUNCTION("""COMPUTED_VALUE"""),"ERA6AEB102V (to be modified)")</f>
        <v>ERA6AEB102V (to be modified)</v>
      </c>
    </row>
    <row r="136" spans="1:10">
      <c r="A136" s="106"/>
      <c r="B136" s="111"/>
      <c r="C136" s="111"/>
      <c r="D136" s="111"/>
      <c r="E136" s="111" t="str">
        <f ca="1">IFERROR(__xludf.DUMMYFUNCTION("""COMPUTED_VALUE"""),"Relay SPST 5A-12v")</f>
        <v>Relay SPST 5A-12v</v>
      </c>
      <c r="F136" s="111" t="str">
        <f ca="1">IFERROR(__xludf.DUMMYFUNCTION("""COMPUTED_VALUE"""),"REL-SIG-SPST-12v-V63i5")</f>
        <v>REL-SIG-SPST-12v-V63i5</v>
      </c>
      <c r="G136" s="111" t="str">
        <f ca="1">IFERROR(__xludf.DUMMYFUNCTION("""COMPUTED_VALUE"""),"G5NB-1A-E-12DC")</f>
        <v>G5NB-1A-E-12DC</v>
      </c>
      <c r="H136" t="str">
        <f ca="1">IFERROR(__xludf.DUMMYFUNCTION("""COMPUTED_VALUE"""),"10k 0805 resistor")</f>
        <v>10k 0805 resistor</v>
      </c>
      <c r="I136" t="str">
        <f ca="1">IFERROR(__xludf.DUMMYFUNCTION("""COMPUTED_VALUE"""),"RES-SMD-0805-125mW5P-10k")</f>
        <v>RES-SMD-0805-125mW5P-10k</v>
      </c>
      <c r="J136" t="str">
        <f ca="1">IFERROR(__xludf.DUMMYFUNCTION("""COMPUTED_VALUE"""),"ERA6AEB103V (to be modified)")</f>
        <v>ERA6AEB103V (to be modified)</v>
      </c>
    </row>
    <row r="137" spans="1:10">
      <c r="A137" s="106"/>
      <c r="B137" s="111"/>
      <c r="C137" s="111"/>
      <c r="D137" s="111"/>
      <c r="E137" s="111" t="str">
        <f ca="1">IFERROR(__xludf.DUMMYFUNCTION("""COMPUTED_VALUE"""),"Relay DPDT 1A-24v")</f>
        <v>Relay DPDT 1A-24v</v>
      </c>
      <c r="F137" s="111" t="str">
        <f ca="1">IFERROR(__xludf.DUMMYFUNCTION("""COMPUTED_VALUE"""),"REL-SIG-DPDT-24v-V63i1")</f>
        <v>REL-SIG-DPDT-24v-V63i1</v>
      </c>
      <c r="G137" s="111" t="str">
        <f ca="1">IFERROR(__xludf.DUMMYFUNCTION("""COMPUTED_VALUE"""),"G5V-2-H1-24VDC")</f>
        <v>G5V-2-H1-24VDC</v>
      </c>
      <c r="H137" t="str">
        <f ca="1">IFERROR(__xludf.DUMMYFUNCTION("""COMPUTED_VALUE"""),"510K Resistor")</f>
        <v>510K Resistor</v>
      </c>
      <c r="I137" t="str">
        <f ca="1">IFERROR(__xludf.DUMMYFUNCTION("""COMPUTED_VALUE"""),"RES-SMD-0805-125mW5P-510k")</f>
        <v>RES-SMD-0805-125mW5P-510k</v>
      </c>
    </row>
    <row r="138" spans="1:10">
      <c r="A138" s="106"/>
      <c r="B138" s="111"/>
      <c r="C138" s="111"/>
      <c r="D138" s="111"/>
      <c r="E138" s="111" t="str">
        <f ca="1">IFERROR(__xludf.DUMMYFUNCTION("""COMPUTED_VALUE"""),"Relay SPST 5A-24v")</f>
        <v>Relay SPST 5A-24v</v>
      </c>
      <c r="F138" s="111" t="str">
        <f ca="1">IFERROR(__xludf.DUMMYFUNCTION("""COMPUTED_VALUE"""),"REL-SIG-SPST-24v-V63i5")</f>
        <v>REL-SIG-SPST-24v-V63i5</v>
      </c>
      <c r="G138" s="111" t="str">
        <f ca="1">IFERROR(__xludf.DUMMYFUNCTION("""COMPUTED_VALUE"""),"G5NB-1A-E-24VDC")</f>
        <v>G5NB-1A-E-24VDC</v>
      </c>
      <c r="H138" t="str">
        <f ca="1">IFERROR(__xludf.DUMMYFUNCTION("""COMPUTED_VALUE"""),"560K Resistor")</f>
        <v>560K Resistor</v>
      </c>
      <c r="I138" t="str">
        <f ca="1">IFERROR(__xludf.DUMMYFUNCTION("""COMPUTED_VALUE"""),"RES-SMD-0805-125mW5P-560k")</f>
        <v>RES-SMD-0805-125mW5P-560k</v>
      </c>
      <c r="J138" t="str">
        <f ca="1">IFERROR(__xludf.DUMMYFUNCTION("""COMPUTED_VALUE"""),"MCWR08X564 JTL (to be modified)")</f>
        <v>MCWR08X564 JTL (to be modified)</v>
      </c>
    </row>
    <row r="139" spans="1:10">
      <c r="A139" s="106"/>
      <c r="B139" s="111"/>
      <c r="C139" s="111"/>
      <c r="D139" s="111"/>
      <c r="E139" s="111" t="str">
        <f ca="1">IFERROR(__xludf.DUMMYFUNCTION("""COMPUTED_VALUE"""),"5v 3A Power adapter DC Plug Orange")</f>
        <v>5v 3A Power adapter DC Plug Orange</v>
      </c>
      <c r="F139" s="111"/>
      <c r="G139" s="111"/>
      <c r="H139" t="str">
        <f ca="1">IFERROR(__xludf.DUMMYFUNCTION("""COMPUTED_VALUE"""),"330E 0805 Resistor")</f>
        <v>330E 0805 Resistor</v>
      </c>
      <c r="I139" t="str">
        <f ca="1">IFERROR(__xludf.DUMMYFUNCTION("""COMPUTED_VALUE"""),"RES-SMD-0805-125mW1P-330E")</f>
        <v>RES-SMD-0805-125mW1P-330E</v>
      </c>
      <c r="J139" t="str">
        <f ca="1">IFERROR(__xludf.DUMMYFUNCTION("""COMPUTED_VALUE"""),"MCWR08X3300FTL (to be modified)")</f>
        <v>MCWR08X3300FTL (to be modified)</v>
      </c>
    </row>
    <row r="140" spans="1:10">
      <c r="A140" s="106"/>
      <c r="B140" s="111"/>
      <c r="C140" s="111"/>
      <c r="D140" s="111"/>
      <c r="E140" s="111" t="str">
        <f ca="1">IFERROR(__xludf.DUMMYFUNCTION("""COMPUTED_VALUE"""),"5v 3A Power adapter DC Plug Ordinary")</f>
        <v>5v 3A Power adapter DC Plug Ordinary</v>
      </c>
      <c r="F140" s="111"/>
      <c r="G140" s="111"/>
      <c r="H140" t="str">
        <f ca="1">IFERROR(__xludf.DUMMYFUNCTION("""COMPUTED_VALUE"""),"22E 3W 2512 SMD Resistor ")</f>
        <v xml:space="preserve">22E 3W 2512 SMD Resistor </v>
      </c>
      <c r="I140" t="str">
        <f ca="1">IFERROR(__xludf.DUMMYFUNCTION("""COMPUTED_VALUE"""),"RES-SMD-0805-3W1P-22E")</f>
        <v>RES-SMD-0805-3W1P-22E</v>
      </c>
      <c r="J140" t="str">
        <f ca="1">IFERROR(__xludf.DUMMYFUNCTION("""COMPUTED_VALUE"""),"352222RJT/CGS")</f>
        <v>352222RJT/CGS</v>
      </c>
    </row>
    <row r="141" spans="1:10">
      <c r="A141" s="106"/>
      <c r="B141" s="111"/>
      <c r="C141" s="111"/>
      <c r="D141" s="111"/>
      <c r="E141" s="111" t="str">
        <f ca="1">IFERROR(__xludf.DUMMYFUNCTION("""COMPUTED_VALUE"""),"9v 2A Power adapter DC Plug Orange")</f>
        <v>9v 2A Power adapter DC Plug Orange</v>
      </c>
      <c r="F141" s="111"/>
      <c r="G141" s="111"/>
      <c r="H141" t="str">
        <f ca="1">IFERROR(__xludf.DUMMYFUNCTION("""COMPUTED_VALUE"""),"Murata 12v 4.5A buck")</f>
        <v>Murata 12v 4.5A buck</v>
      </c>
      <c r="J141" t="str">
        <f ca="1">IFERROR(__xludf.DUMMYFUNCTION("""COMPUTED_VALUE"""),"UWS-12/4.5-Q48N-C/")</f>
        <v>UWS-12/4.5-Q48N-C/</v>
      </c>
    </row>
    <row r="142" spans="1:10">
      <c r="A142" s="106"/>
      <c r="B142" s="111"/>
      <c r="C142" s="111"/>
      <c r="D142" s="111"/>
      <c r="E142" s="111" t="str">
        <f ca="1">IFERROR(__xludf.DUMMYFUNCTION("""COMPUTED_VALUE"""),"SD Card 32GB")</f>
        <v>SD Card 32GB</v>
      </c>
      <c r="F142" s="111" t="str">
        <f ca="1">IFERROR(__xludf.DUMMYFUNCTION("""COMPUTED_VALUE"""),"MOD-SDCARD-32GB-CLASS10A")</f>
        <v>MOD-SDCARD-32GB-CLASS10A</v>
      </c>
      <c r="G142" s="111"/>
      <c r="H142" t="str">
        <f ca="1">IFERROR(__xludf.DUMMYFUNCTION("""COMPUTED_VALUE"""),"Murata 5v 10A buck")</f>
        <v>Murata 5v 10A buck</v>
      </c>
      <c r="J142" t="str">
        <f ca="1">IFERROR(__xludf.DUMMYFUNCTION("""COMPUTED_VALUE"""),"UWS-5/10-Q48N-C/")</f>
        <v>UWS-5/10-Q48N-C/</v>
      </c>
    </row>
    <row r="143" spans="1:10">
      <c r="A143" s="106"/>
      <c r="B143" s="111"/>
      <c r="C143" s="111"/>
      <c r="D143" s="111"/>
      <c r="E143" s="111" t="str">
        <f ca="1">IFERROR(__xludf.DUMMYFUNCTION("""COMPUTED_VALUE"""),"16pin IC base")</f>
        <v>16pin IC base</v>
      </c>
      <c r="F143" s="111"/>
      <c r="G143" s="111"/>
      <c r="H143" t="str">
        <f ca="1">IFERROR(__xludf.DUMMYFUNCTION("""COMPUTED_VALUE"""),"1 MOhm Multitrim Pot 3296 ")</f>
        <v xml:space="preserve">1 MOhm Multitrim Pot 3296 </v>
      </c>
    </row>
    <row r="144" spans="1:10">
      <c r="A144" s="106"/>
      <c r="B144" s="111"/>
      <c r="C144" s="111"/>
      <c r="D144" s="111"/>
      <c r="E144" s="111" t="str">
        <f ca="1">IFERROR(__xludf.DUMMYFUNCTION("""COMPUTED_VALUE"""),"BlueTooth Module")</f>
        <v>BlueTooth Module</v>
      </c>
      <c r="F144" s="111" t="str">
        <f ca="1">IFERROR(__xludf.DUMMYFUNCTION("""COMPUTED_VALUE"""),"MOD-BLE-HC05")</f>
        <v>MOD-BLE-HC05</v>
      </c>
      <c r="G144" s="111" t="str">
        <f ca="1">IFERROR(__xludf.DUMMYFUNCTION("""COMPUTED_VALUE"""),"HC-05")</f>
        <v>HC-05</v>
      </c>
      <c r="H144" t="str">
        <f ca="1">IFERROR(__xludf.DUMMYFUNCTION("""COMPUTED_VALUE"""),"1K MultiTrikm Pot 3296 Resistor")</f>
        <v>1K MultiTrikm Pot 3296 Resistor</v>
      </c>
    </row>
    <row r="145" spans="1:10">
      <c r="A145" s="106"/>
      <c r="B145" s="111"/>
      <c r="C145" s="111"/>
      <c r="D145" s="111"/>
      <c r="E145" s="111" t="str">
        <f ca="1">IFERROR(__xludf.DUMMYFUNCTION("""COMPUTED_VALUE"""),"22E Resistor")</f>
        <v>22E Resistor</v>
      </c>
      <c r="F145" s="111" t="str">
        <f ca="1">IFERROR(__xludf.DUMMYFUNCTION("""COMPUTED_VALUE"""),"RES-THT-20MM-2W10P-22E")</f>
        <v>RES-THT-20MM-2W10P-22E</v>
      </c>
      <c r="G145" s="111"/>
      <c r="H145" t="str">
        <f ca="1">IFERROR(__xludf.DUMMYFUNCTION("""COMPUTED_VALUE"""),"2K 3296 Resistor")</f>
        <v>2K 3296 Resistor</v>
      </c>
    </row>
    <row r="146" spans="1:10">
      <c r="A146" s="106"/>
      <c r="B146" s="111"/>
      <c r="C146" s="111"/>
      <c r="D146" s="111"/>
      <c r="E146" s="111" t="str">
        <f ca="1">IFERROR(__xludf.DUMMYFUNCTION("""COMPUTED_VALUE"""),"iMAx B3 Charger")</f>
        <v>iMAx B3 Charger</v>
      </c>
      <c r="F146" s="111"/>
      <c r="G146" s="111"/>
      <c r="H146" t="str">
        <f ca="1">IFERROR(__xludf.DUMMYFUNCTION("""COMPUTED_VALUE"""),"5 W 1 Ω Resistor")</f>
        <v>5 W 1 Ω Resistor</v>
      </c>
    </row>
    <row r="147" spans="1:10">
      <c r="A147" s="106"/>
      <c r="B147" s="111"/>
      <c r="C147" s="111"/>
      <c r="D147" s="111"/>
      <c r="E147" s="111" t="str">
        <f ca="1">IFERROR(__xludf.DUMMYFUNCTION("""COMPUTED_VALUE"""),"9v Piezo Electric Buzzer")</f>
        <v>9v Piezo Electric Buzzer</v>
      </c>
      <c r="F147" s="111"/>
      <c r="G147" s="111"/>
      <c r="H147" t="str">
        <f ca="1">IFERROR(__xludf.DUMMYFUNCTION("""COMPUTED_VALUE"""),"5 W 5 Ω Resistor")</f>
        <v>5 W 5 Ω Resistor</v>
      </c>
    </row>
    <row r="148" spans="1:10">
      <c r="A148" s="106"/>
      <c r="B148" s="111"/>
      <c r="C148" s="111"/>
      <c r="D148" s="111"/>
      <c r="E148" s="111" t="str">
        <f ca="1">IFERROR(__xludf.DUMMYFUNCTION("""COMPUTED_VALUE"""),"Female Bergstrip 40x1 2.54mm")</f>
        <v>Female Bergstrip 40x1 2.54mm</v>
      </c>
      <c r="F148" s="111" t="str">
        <f ca="1">IFERROR(__xludf.DUMMYFUNCTION("""COMPUTED_VALUE"""),"CON-BRG-40X1-F2.54MM")</f>
        <v>CON-BRG-40X1-F2.54MM</v>
      </c>
      <c r="G148" s="111"/>
      <c r="H148" t="str">
        <f ca="1">IFERROR(__xludf.DUMMYFUNCTION("""COMPUTED_VALUE"""),"Capacitor Electrolytic 10uF 63v 2.54mm pitch")</f>
        <v>Capacitor Electrolytic 10uF 63v 2.54mm pitch</v>
      </c>
    </row>
    <row r="149" spans="1:10">
      <c r="A149" s="106"/>
      <c r="B149" s="111"/>
      <c r="C149" s="111"/>
      <c r="D149" s="111"/>
      <c r="E149" s="111" t="str">
        <f ca="1">IFERROR(__xludf.DUMMYFUNCTION("""COMPUTED_VALUE"""),"Male Bergstrip 40x1 2.54mm")</f>
        <v>Male Bergstrip 40x1 2.54mm</v>
      </c>
      <c r="F149" s="111" t="str">
        <f ca="1">IFERROR(__xludf.DUMMYFUNCTION("""COMPUTED_VALUE"""),"CON-BRG-40X1-M2.54MM")</f>
        <v>CON-BRG-40X1-M2.54MM</v>
      </c>
      <c r="G149" s="111"/>
      <c r="H149" t="str">
        <f ca="1">IFERROR(__xludf.DUMMYFUNCTION("""COMPUTED_VALUE"""),"Relay Power SPST 23A-24v ")</f>
        <v xml:space="preserve">Relay Power SPST 23A-24v </v>
      </c>
      <c r="I149" t="str">
        <f ca="1">IFERROR(__xludf.DUMMYFUNCTION("""COMPUTED_VALUE"""),"REL-PWR-SPST-24v-V63i23")</f>
        <v>REL-PWR-SPST-24v-V63i23</v>
      </c>
      <c r="J149" t="str">
        <f ca="1">IFERROR(__xludf.DUMMYFUNCTION("""COMPUTED_VALUE"""),"G2RL-1A-E2-CV-HA DC24")</f>
        <v>G2RL-1A-E2-CV-HA DC24</v>
      </c>
    </row>
    <row r="150" spans="1:10">
      <c r="A150" s="106"/>
      <c r="B150" s="111"/>
      <c r="C150" s="111"/>
      <c r="D150" s="111"/>
      <c r="E150" s="111" t="str">
        <f ca="1">IFERROR(__xludf.DUMMYFUNCTION("""COMPUTED_VALUE"""),"Male Bergstrip Right angle strip 40x1 2.54mm")</f>
        <v>Male Bergstrip Right angle strip 40x1 2.54mm</v>
      </c>
      <c r="F150" s="111"/>
      <c r="G150" s="111"/>
      <c r="H150" t="str">
        <f ca="1">IFERROR(__xludf.DUMMYFUNCTION("""COMPUTED_VALUE"""),"Fuse 500mA")</f>
        <v>Fuse 500mA</v>
      </c>
    </row>
    <row r="151" spans="1:10">
      <c r="A151" s="106"/>
      <c r="B151" s="111"/>
      <c r="C151" s="111"/>
      <c r="D151" s="111"/>
      <c r="E151" s="111" t="str">
        <f ca="1">IFERROR(__xludf.DUMMYFUNCTION("""COMPUTED_VALUE"""),"Male Bergstrip Right angle strip 40x2 2.54mm")</f>
        <v>Male Bergstrip Right angle strip 40x2 2.54mm</v>
      </c>
      <c r="F151" s="111"/>
      <c r="G151" s="111"/>
      <c r="H151" t="str">
        <f ca="1">IFERROR(__xludf.DUMMYFUNCTION("""COMPUTED_VALUE"""),"MCP3208 Analog to Digital Conv.")</f>
        <v>MCP3208 Analog to Digital Conv.</v>
      </c>
      <c r="I151" t="str">
        <f ca="1">IFERROR(__xludf.DUMMYFUNCTION("""COMPUTED_VALUE"""),"SIC-ADC-MCP3208-5V8CH")</f>
        <v>SIC-ADC-MCP3208-5V8CH</v>
      </c>
      <c r="J151" t="str">
        <f ca="1">IFERROR(__xludf.DUMMYFUNCTION("""COMPUTED_VALUE"""),"MCP3208-CI/SL")</f>
        <v>MCP3208-CI/SL</v>
      </c>
    </row>
    <row r="152" spans="1:10">
      <c r="A152" s="106"/>
      <c r="B152" s="111"/>
      <c r="C152" s="111"/>
      <c r="D152" s="111"/>
      <c r="E152" s="111" t="str">
        <f ca="1">IFERROR(__xludf.DUMMYFUNCTION("""COMPUTED_VALUE"""),"Female Bergstrip 40x1 2.0mm")</f>
        <v>Female Bergstrip 40x1 2.0mm</v>
      </c>
      <c r="F152" s="111" t="str">
        <f ca="1">IFERROR(__xludf.DUMMYFUNCTION("""COMPUTED_VALUE"""),"CON-BRG-40X1-F2MM")</f>
        <v>CON-BRG-40X1-F2MM</v>
      </c>
      <c r="G152" s="111"/>
      <c r="H152" t="str">
        <f ca="1">IFERROR(__xludf.DUMMYFUNCTION("""COMPUTED_VALUE"""),"33uH 3.5A SMD Inductor")</f>
        <v>33uH 3.5A SMD Inductor</v>
      </c>
      <c r="I152" t="str">
        <f ca="1">IFERROR(__xludf.DUMMYFUNCTION("""COMPUTED_VALUE"""),"IDR-SMD-SPM7054-uH33i3.5")</f>
        <v>IDR-SMD-SPM7054-uH33i3.5</v>
      </c>
      <c r="J152" t="str">
        <f ca="1">IFERROR(__xludf.DUMMYFUNCTION("""COMPUTED_VALUE"""),"SPM7054VC-330M-D")</f>
        <v>SPM7054VC-330M-D</v>
      </c>
    </row>
    <row r="153" spans="1:10">
      <c r="A153" s="106"/>
      <c r="B153" s="111"/>
      <c r="C153" s="111"/>
      <c r="D153" s="111"/>
      <c r="E153" s="111" t="str">
        <f ca="1">IFERROR(__xludf.DUMMYFUNCTION("""COMPUTED_VALUE"""),"Male Bergstrip 40x1 2.0mm")</f>
        <v>Male Bergstrip 40x1 2.0mm</v>
      </c>
      <c r="F153" s="111" t="str">
        <f ca="1">IFERROR(__xludf.DUMMYFUNCTION("""COMPUTED_VALUE"""),"CON-BRG-40X1-M2MM")</f>
        <v>CON-BRG-40X1-M2MM</v>
      </c>
      <c r="G153" s="111"/>
      <c r="H153" t="str">
        <f ca="1">IFERROR(__xludf.DUMMYFUNCTION("""COMPUTED_VALUE"""),"LM61 Temperature Sensor")</f>
        <v>LM61 Temperature Sensor</v>
      </c>
      <c r="I153" t="str">
        <f ca="1">IFERROR(__xludf.DUMMYFUNCTION("""COMPUTED_VALUE"""),"SEN-TEM-LM61")</f>
        <v>SEN-TEM-LM61</v>
      </c>
      <c r="J153" t="str">
        <f ca="1">IFERROR(__xludf.DUMMYFUNCTION("""COMPUTED_VALUE"""),"LM61BIZ/NOPB")</f>
        <v>LM61BIZ/NOPB</v>
      </c>
    </row>
    <row r="154" spans="1:10">
      <c r="A154" s="106"/>
      <c r="B154" s="111"/>
      <c r="C154" s="111"/>
      <c r="D154" s="111"/>
      <c r="E154" s="111" t="str">
        <f ca="1">IFERROR(__xludf.DUMMYFUNCTION("""COMPUTED_VALUE"""),"Conformal Coating")</f>
        <v>Conformal Coating</v>
      </c>
      <c r="F154" s="111" t="str">
        <f ca="1">IFERROR(__xludf.DUMMYFUNCTION("""COMPUTED_VALUE"""),"EAC-CONFORMAL")</f>
        <v>EAC-CONFORMAL</v>
      </c>
      <c r="G154" s="111"/>
      <c r="H154" t="str">
        <f ca="1">IFERROR(__xludf.DUMMYFUNCTION("""COMPUTED_VALUE"""),"47k 0805 PANASONIC")</f>
        <v>47k 0805 PANASONIC</v>
      </c>
      <c r="I154" t="str">
        <f ca="1">IFERROR(__xludf.DUMMYFUNCTION("""COMPUTED_VALUE"""),"RES-SMD-0805-125mW5P-47k")</f>
        <v>RES-SMD-0805-125mW5P-47k</v>
      </c>
      <c r="J154" t="str">
        <f ca="1">IFERROR(__xludf.DUMMYFUNCTION("""COMPUTED_VALUE"""),"ERJ6GEYJ473V / MCWR08X4702FTL")</f>
        <v>ERJ6GEYJ473V / MCWR08X4702FTL</v>
      </c>
    </row>
    <row r="155" spans="1:10">
      <c r="A155" s="106"/>
      <c r="B155" s="111"/>
      <c r="C155" s="111"/>
      <c r="D155" s="111"/>
      <c r="E155" s="111" t="str">
        <f ca="1">IFERROR(__xludf.DUMMYFUNCTION("""COMPUTED_VALUE"""),"Conformal Coating Loctite 3900")</f>
        <v>Conformal Coating Loctite 3900</v>
      </c>
      <c r="F155" s="111" t="str">
        <f ca="1">IFERROR(__xludf.DUMMYFUNCTION("""COMPUTED_VALUE"""),"EAC-CONFORMAL-LOC3900")</f>
        <v>EAC-CONFORMAL-LOC3900</v>
      </c>
      <c r="G155" s="111"/>
      <c r="H155" t="str">
        <f ca="1">IFERROR(__xludf.DUMMYFUNCTION("""COMPUTED_VALUE"""),"47k 0805 BOURNS")</f>
        <v>47k 0805 BOURNS</v>
      </c>
      <c r="I155" t="str">
        <f ca="1">IFERROR(__xludf.DUMMYFUNCTION("""COMPUTED_VALUE"""),"RES-SMD-0805-125mW5P-47k")</f>
        <v>RES-SMD-0805-125mW5P-47k</v>
      </c>
      <c r="J155" t="str">
        <f ca="1">IFERROR(__xludf.DUMMYFUNCTION("""COMPUTED_VALUE"""),"ERJ6GEYJ473V / MCWR08X4702FTL")</f>
        <v>ERJ6GEYJ473V / MCWR08X4702FTL</v>
      </c>
    </row>
    <row r="156" spans="1:10">
      <c r="A156" s="106"/>
      <c r="B156" s="111"/>
      <c r="C156" s="111"/>
      <c r="D156" s="111"/>
      <c r="E156" s="111" t="str">
        <f ca="1">IFERROR(__xludf.DUMMYFUNCTION("""COMPUTED_VALUE"""),"Connector Male 3 pin 2510")</f>
        <v>Connector Male 3 pin 2510</v>
      </c>
      <c r="F156" s="111" t="str">
        <f ca="1">IFERROR(__xludf.DUMMYFUNCTION("""COMPUTED_VALUE"""),"CON-RMC-M3")</f>
        <v>CON-RMC-M3</v>
      </c>
      <c r="G156" s="111"/>
      <c r="H156" t="str">
        <f ca="1">IFERROR(__xludf.DUMMYFUNCTION("""COMPUTED_VALUE"""),"47k 0805 MURATA")</f>
        <v>47k 0805 MURATA</v>
      </c>
      <c r="I156" t="str">
        <f ca="1">IFERROR(__xludf.DUMMYFUNCTION("""COMPUTED_VALUE"""),"RES-SMD-0805-125mW5P-47k")</f>
        <v>RES-SMD-0805-125mW5P-47k</v>
      </c>
      <c r="J156" t="str">
        <f ca="1">IFERROR(__xludf.DUMMYFUNCTION("""COMPUTED_VALUE"""),"ERJ6GEYJ473V / MCWR08X4702FTL")</f>
        <v>ERJ6GEYJ473V / MCWR08X4702FTL</v>
      </c>
    </row>
    <row r="157" spans="1:10">
      <c r="A157" s="106"/>
      <c r="B157" s="111"/>
      <c r="C157" s="111"/>
      <c r="D157" s="111"/>
      <c r="E157" s="111" t="str">
        <f ca="1">IFERROR(__xludf.DUMMYFUNCTION("""COMPUTED_VALUE"""),"Connector Male 5 pin 2510")</f>
        <v>Connector Male 5 pin 2510</v>
      </c>
      <c r="F157" s="111" t="str">
        <f ca="1">IFERROR(__xludf.DUMMYFUNCTION("""COMPUTED_VALUE"""),"CON-RMC-M5")</f>
        <v>CON-RMC-M5</v>
      </c>
      <c r="G157" s="111"/>
      <c r="H157" t="str">
        <f ca="1">IFERROR(__xludf.DUMMYFUNCTION("""COMPUTED_VALUE"""),"20k 0805 PANASONIC")</f>
        <v>20k 0805 PANASONIC</v>
      </c>
      <c r="I157" t="str">
        <f ca="1">IFERROR(__xludf.DUMMYFUNCTION("""COMPUTED_VALUE"""),"RES-SMD-0805-125mW5P-20k")</f>
        <v>RES-SMD-0805-125mW5P-20k</v>
      </c>
      <c r="J157" t="str">
        <f ca="1">IFERROR(__xludf.DUMMYFUNCTION("""COMPUTED_VALUE"""),"ERJ-P06F2002V/")</f>
        <v>ERJ-P06F2002V/</v>
      </c>
    </row>
    <row r="158" spans="1:10">
      <c r="A158" s="106"/>
      <c r="B158" s="111"/>
      <c r="C158" s="111"/>
      <c r="D158" s="111"/>
      <c r="E158" s="111" t="str">
        <f ca="1">IFERROR(__xludf.DUMMYFUNCTION("""COMPUTED_VALUE"""),"5 pin Female 2510 Cable 15cm one sided ")</f>
        <v xml:space="preserve">5 pin Female 2510 Cable 15cm one sided </v>
      </c>
      <c r="F158" s="111" t="str">
        <f ca="1">IFERROR(__xludf.DUMMYFUNCTION("""COMPUTED_VALUE"""),"CON-CABLE-RMC-M5-OPEN")</f>
        <v>CON-CABLE-RMC-M5-OPEN</v>
      </c>
      <c r="G158" s="111"/>
      <c r="H158" t="str">
        <f ca="1">IFERROR(__xludf.DUMMYFUNCTION("""COMPUTED_VALUE"""),"20k 0805 Panasonic (no more manufactured)")</f>
        <v>20k 0805 Panasonic (no more manufactured)</v>
      </c>
      <c r="I158" t="str">
        <f ca="1">IFERROR(__xludf.DUMMYFUNCTION("""COMPUTED_VALUE"""),"RES-SMD-0805-125mW5P-20k")</f>
        <v>RES-SMD-0805-125mW5P-20k</v>
      </c>
      <c r="J158" t="str">
        <f ca="1">IFERROR(__xludf.DUMMYFUNCTION("""COMPUTED_VALUE"""),"ERJ-PB6D2002V")</f>
        <v>ERJ-PB6D2002V</v>
      </c>
    </row>
    <row r="159" spans="1:10">
      <c r="A159" s="106"/>
      <c r="B159" s="111"/>
      <c r="C159" s="111"/>
      <c r="D159" s="111"/>
      <c r="E159" s="111" t="str">
        <f ca="1">IFERROR(__xludf.DUMMYFUNCTION("""COMPUTED_VALUE"""),"3 pin 3 yrd power cord")</f>
        <v>3 pin 3 yrd power cord</v>
      </c>
      <c r="F159" s="111"/>
      <c r="G159" s="111"/>
      <c r="H159" t="str">
        <f ca="1">IFERROR(__xludf.DUMMYFUNCTION("""COMPUTED_VALUE"""),"30k 0805 Yageo")</f>
        <v>30k 0805 Yageo</v>
      </c>
      <c r="I159" t="str">
        <f ca="1">IFERROR(__xludf.DUMMYFUNCTION("""COMPUTED_VALUE"""),"RES-SMD-0805-125mW5P-30k")</f>
        <v>RES-SMD-0805-125mW5P-30k</v>
      </c>
      <c r="J159" t="str">
        <f ca="1">IFERROR(__xludf.DUMMYFUNCTION("""COMPUTED_VALUE"""),"RT0805FRE0730KL-YAGEO")</f>
        <v>RT0805FRE0730KL-YAGEO</v>
      </c>
    </row>
    <row r="160" spans="1:10">
      <c r="A160" s="106"/>
      <c r="B160" s="111"/>
      <c r="C160" s="111"/>
      <c r="D160" s="111"/>
      <c r="E160" s="111" t="str">
        <f ca="1">IFERROR(__xludf.DUMMYFUNCTION("""COMPUTED_VALUE"""),"2 pin JST-XH housing")</f>
        <v>2 pin JST-XH housing</v>
      </c>
      <c r="F160" s="111" t="str">
        <f ca="1">IFERROR(__xludf.DUMMYFUNCTION("""COMPUTED_VALUE"""),"CON-JXH-HOS-F2")</f>
        <v>CON-JXH-HOS-F2</v>
      </c>
      <c r="G160" s="111"/>
      <c r="H160" t="str">
        <f ca="1">IFERROR(__xludf.DUMMYFUNCTION("""COMPUTED_VALUE"""),"470k 0805 PANASONIC")</f>
        <v>470k 0805 PANASONIC</v>
      </c>
      <c r="I160" t="str">
        <f ca="1">IFERROR(__xludf.DUMMYFUNCTION("""COMPUTED_VALUE"""),"RES-SMD-0805-500mW5P-470k")</f>
        <v>RES-SMD-0805-500mW5P-470k</v>
      </c>
      <c r="J160" t="str">
        <f ca="1">IFERROR(__xludf.DUMMYFUNCTION("""COMPUTED_VALUE"""),"ERJUP6F4703V")</f>
        <v>ERJUP6F4703V</v>
      </c>
    </row>
    <row r="161" spans="1:10">
      <c r="A161" s="106"/>
      <c r="B161" s="111"/>
      <c r="C161" s="111"/>
      <c r="D161" s="111"/>
      <c r="E161" s="111" t="str">
        <f ca="1">IFERROR(__xludf.DUMMYFUNCTION("""COMPUTED_VALUE"""),"3 pin JST-XH housing")</f>
        <v>3 pin JST-XH housing</v>
      </c>
      <c r="F161" s="111" t="str">
        <f ca="1">IFERROR(__xludf.DUMMYFUNCTION("""COMPUTED_VALUE"""),"CON-JXH-HOS-F3")</f>
        <v>CON-JXH-HOS-F3</v>
      </c>
      <c r="G161" s="111"/>
      <c r="H161" t="str">
        <f ca="1">IFERROR(__xludf.DUMMYFUNCTION("""COMPUTED_VALUE"""),"470k 0805 BOURNS")</f>
        <v>470k 0805 BOURNS</v>
      </c>
      <c r="I161" t="str">
        <f ca="1">IFERROR(__xludf.DUMMYFUNCTION("""COMPUTED_VALUE"""),"RES-SMD-0805-125mW5P-470k")</f>
        <v>RES-SMD-0805-125mW5P-470k</v>
      </c>
      <c r="J161" t="str">
        <f ca="1">IFERROR(__xludf.DUMMYFUNCTION("""COMPUTED_VALUE"""),"ERJUP6F4703V / MCWR08X4703FTL")</f>
        <v>ERJUP6F4703V / MCWR08X4703FTL</v>
      </c>
    </row>
    <row r="162" spans="1:10">
      <c r="A162" s="106"/>
      <c r="B162" s="111"/>
      <c r="C162" s="111"/>
      <c r="D162" s="111"/>
      <c r="E162" s="111" t="str">
        <f ca="1">IFERROR(__xludf.DUMMYFUNCTION("""COMPUTED_VALUE"""),"Connector Housing 13 pin JST-XH")</f>
        <v>Connector Housing 13 pin JST-XH</v>
      </c>
      <c r="F162" s="111" t="str">
        <f ca="1">IFERROR(__xludf.DUMMYFUNCTION("""COMPUTED_VALUE"""),"CON-JXH-HOS-F13")</f>
        <v>CON-JXH-HOS-F13</v>
      </c>
      <c r="G162" s="111"/>
      <c r="H162" t="str">
        <f ca="1">IFERROR(__xludf.DUMMYFUNCTION("""COMPUTED_VALUE"""),"470k 0805 MURATA")</f>
        <v>470k 0805 MURATA</v>
      </c>
      <c r="I162" t="str">
        <f ca="1">IFERROR(__xludf.DUMMYFUNCTION("""COMPUTED_VALUE"""),"RES-SMD-0805-125mW5P-470k")</f>
        <v>RES-SMD-0805-125mW5P-470k</v>
      </c>
      <c r="J162" t="str">
        <f ca="1">IFERROR(__xludf.DUMMYFUNCTION("""COMPUTED_VALUE"""),"ERJUP6F4703V / MCWR08X4703FTL")</f>
        <v>ERJUP6F4703V / MCWR08X4703FTL</v>
      </c>
    </row>
    <row r="163" spans="1:10">
      <c r="A163" s="106"/>
      <c r="B163" s="111"/>
      <c r="C163" s="111"/>
      <c r="D163" s="111"/>
      <c r="E163" s="111" t="str">
        <f ca="1">IFERROR(__xludf.DUMMYFUNCTION("""COMPUTED_VALUE"""),"Connector Housing 15 pin JST-XH")</f>
        <v>Connector Housing 15 pin JST-XH</v>
      </c>
      <c r="F163" s="111" t="str">
        <f ca="1">IFERROR(__xludf.DUMMYFUNCTION("""COMPUTED_VALUE"""),"CON-JXH-HOS-F15")</f>
        <v>CON-JXH-HOS-F15</v>
      </c>
      <c r="G163" s="111"/>
      <c r="H163" t="str">
        <f ca="1">IFERROR(__xludf.DUMMYFUNCTION("""COMPUTED_VALUE"""),"15K 0805 Commercial quality")</f>
        <v>15K 0805 Commercial quality</v>
      </c>
      <c r="I163" t="str">
        <f ca="1">IFERROR(__xludf.DUMMYFUNCTION("""COMPUTED_VALUE"""),"RES-SMD-0805-125mW5P-15k")</f>
        <v>RES-SMD-0805-125mW5P-15k</v>
      </c>
      <c r="J163" t="str">
        <f ca="1">IFERROR(__xludf.DUMMYFUNCTION("""COMPUTED_VALUE"""),"N/A")</f>
        <v>N/A</v>
      </c>
    </row>
    <row r="164" spans="1:10">
      <c r="A164" s="106"/>
      <c r="B164" s="111"/>
      <c r="C164" s="111"/>
      <c r="D164" s="111"/>
      <c r="E164" s="111" t="str">
        <f ca="1">IFERROR(__xludf.DUMMYFUNCTION("""COMPUTED_VALUE"""),"Connector Male 2 pin JST-XH Top Entry")</f>
        <v>Connector Male 2 pin JST-XH Top Entry</v>
      </c>
      <c r="F164" s="111" t="str">
        <f ca="1">IFERROR(__xludf.DUMMYFUNCTION("""COMPUTED_VALUE"""),"CON-JXH-TOP-M2")</f>
        <v>CON-JXH-TOP-M2</v>
      </c>
      <c r="G164" s="111"/>
      <c r="H164" t="str">
        <f ca="1">IFERROR(__xludf.DUMMYFUNCTION("""COMPUTED_VALUE"""),"1uF 0805 PANASONIC")</f>
        <v>1uF 0805 PANASONIC</v>
      </c>
      <c r="I164" t="str">
        <f ca="1">IFERROR(__xludf.DUMMYFUNCTION("""COMPUTED_VALUE"""),"CAP-SMD-0805-25V10P-1uF")</f>
        <v>CAP-SMD-0805-25V10P-1uF</v>
      </c>
      <c r="J164" t="str">
        <f ca="1">IFERROR(__xludf.DUMMYFUNCTION("""COMPUTED_VALUE"""),"GCM21BR71E105KA56L")</f>
        <v>GCM21BR71E105KA56L</v>
      </c>
    </row>
    <row r="165" spans="1:10">
      <c r="A165" s="106"/>
      <c r="B165" s="111"/>
      <c r="C165" s="111"/>
      <c r="D165" s="111"/>
      <c r="E165" s="111" t="str">
        <f ca="1">IFERROR(__xludf.DUMMYFUNCTION("""COMPUTED_VALUE"""),"2 pin JST-XH male top entry RED")</f>
        <v>2 pin JST-XH male top entry RED</v>
      </c>
      <c r="F165" s="111"/>
      <c r="G165" s="111"/>
      <c r="H165" t="str">
        <f ca="1">IFERROR(__xludf.DUMMYFUNCTION("""COMPUTED_VALUE"""),"16MHz Crystal oscillator")</f>
        <v>16MHz Crystal oscillator</v>
      </c>
      <c r="I165" t="str">
        <f ca="1">IFERROR(__xludf.DUMMYFUNCTION("""COMPUTED_VALUE"""),"OSC-SMD-ABM3-16MHZ-18pF")</f>
        <v>OSC-SMD-ABM3-16MHZ-18pF</v>
      </c>
      <c r="J165" t="str">
        <f ca="1">IFERROR(__xludf.DUMMYFUNCTION("""COMPUTED_VALUE"""),"ABM3-16.000MHZ-B2-T")</f>
        <v>ABM3-16.000MHZ-B2-T</v>
      </c>
    </row>
    <row r="166" spans="1:10">
      <c r="A166" s="106"/>
      <c r="B166" s="111"/>
      <c r="C166" s="111"/>
      <c r="D166" s="111"/>
      <c r="E166" s="111" t="str">
        <f ca="1">IFERROR(__xludf.DUMMYFUNCTION("""COMPUTED_VALUE"""),"2 pin JST-XH male side entry")</f>
        <v>2 pin JST-XH male side entry</v>
      </c>
      <c r="F166" s="111"/>
      <c r="G166" s="111"/>
      <c r="H166" t="str">
        <f ca="1">IFERROR(__xludf.DUMMYFUNCTION("""COMPUTED_VALUE"""),"Buffer IC ULN2004 SMA")</f>
        <v>Buffer IC ULN2004 SMA</v>
      </c>
      <c r="I166" t="str">
        <f ca="1">IFERROR(__xludf.DUMMYFUNCTION("""COMPUTED_VALUE"""),"SIC-AMP-SMD-ULN2004D-50V05A7CH")</f>
        <v>SIC-AMP-SMD-ULN2004D-50V05A7CH</v>
      </c>
      <c r="J166" t="str">
        <f ca="1">IFERROR(__xludf.DUMMYFUNCTION("""COMPUTED_VALUE"""),"ULN2004D1013TR")</f>
        <v>ULN2004D1013TR</v>
      </c>
    </row>
    <row r="167" spans="1:10">
      <c r="A167" s="106"/>
      <c r="B167" s="111"/>
      <c r="C167" s="111"/>
      <c r="D167" s="111"/>
      <c r="E167" s="111" t="str">
        <f ca="1">IFERROR(__xludf.DUMMYFUNCTION("""COMPUTED_VALUE"""),"3 pin JST-XH male top entry")</f>
        <v>3 pin JST-XH male top entry</v>
      </c>
      <c r="F167" s="111" t="str">
        <f ca="1">IFERROR(__xludf.DUMMYFUNCTION("""COMPUTED_VALUE"""),"CON-JXH-TOP-M3")</f>
        <v>CON-JXH-TOP-M3</v>
      </c>
      <c r="G167" s="111"/>
      <c r="H167" t="str">
        <f ca="1">IFERROR(__xludf.DUMMYFUNCTION("""COMPUTED_VALUE"""),"SSR AQW282SX")</f>
        <v>SSR AQW282SX</v>
      </c>
      <c r="I167" t="str">
        <f ca="1">IFERROR(__xludf.DUMMYFUNCTION("""COMPUTED_VALUE"""),"SIC-SSR-AQW282SX-63vD35A-2CH")</f>
        <v>SIC-SSR-AQW282SX-63vD35A-2CH</v>
      </c>
      <c r="J167" t="str">
        <f ca="1">IFERROR(__xludf.DUMMYFUNCTION("""COMPUTED_VALUE"""),"AQW282SX")</f>
        <v>AQW282SX</v>
      </c>
    </row>
    <row r="168" spans="1:10">
      <c r="A168" s="106"/>
      <c r="B168" s="111"/>
      <c r="C168" s="111"/>
      <c r="D168" s="111"/>
      <c r="E168" s="111" t="str">
        <f ca="1">IFERROR(__xludf.DUMMYFUNCTION("""COMPUTED_VALUE"""),"4 pin JST-XH housing")</f>
        <v>4 pin JST-XH housing</v>
      </c>
      <c r="F168" s="111"/>
      <c r="G168" s="111"/>
      <c r="H168" t="str">
        <f ca="1">IFERROR(__xludf.DUMMYFUNCTION("""COMPUTED_VALUE"""),"Atmega328P Controller")</f>
        <v>Atmega328P Controller</v>
      </c>
      <c r="I168" t="str">
        <f ca="1">IFERROR(__xludf.DUMMYFUNCTION("""COMPUTED_VALUE"""),"SIC-MPU-TQFP-ATMEGA328PAN")</f>
        <v>SIC-MPU-TQFP-ATMEGA328PAN</v>
      </c>
      <c r="J168" t="str">
        <f ca="1">IFERROR(__xludf.DUMMYFUNCTION("""COMPUTED_VALUE"""),"ATMEGA328P-AN")</f>
        <v>ATMEGA328P-AN</v>
      </c>
    </row>
    <row r="169" spans="1:10">
      <c r="A169" s="106"/>
      <c r="B169" s="111"/>
      <c r="C169" s="111"/>
      <c r="D169" s="111"/>
      <c r="E169" s="111" t="str">
        <f ca="1">IFERROR(__xludf.DUMMYFUNCTION("""COMPUTED_VALUE"""),"4 pin JST-XH male top entry")</f>
        <v>4 pin JST-XH male top entry</v>
      </c>
      <c r="F169" s="111"/>
      <c r="G169" s="111"/>
      <c r="H169" t="str">
        <f ca="1">IFERROR(__xludf.DUMMYFUNCTION("""COMPUTED_VALUE"""),"Power Relay 120A 12v Y7")</f>
        <v>Power Relay 120A 12v Y7</v>
      </c>
      <c r="J169" t="str">
        <f ca="1">IFERROR(__xludf.DUMMYFUNCTION("""COMPUTED_VALUE"""),"HE1AN-W-DC12V-Y7")</f>
        <v>HE1AN-W-DC12V-Y7</v>
      </c>
    </row>
    <row r="170" spans="1:10">
      <c r="A170" s="106"/>
      <c r="B170" s="111"/>
      <c r="C170" s="111"/>
      <c r="D170" s="111"/>
      <c r="E170" s="111" t="str">
        <f ca="1">IFERROR(__xludf.DUMMYFUNCTION("""COMPUTED_VALUE"""),"4 pin JST-XH male side entry")</f>
        <v>4 pin JST-XH male side entry</v>
      </c>
      <c r="F170" s="111"/>
      <c r="G170" s="111"/>
      <c r="H170" t="str">
        <f ca="1">IFERROR(__xludf.DUMMYFUNCTION("""COMPUTED_VALUE"""),"Power Relay 90A 12v Y6")</f>
        <v>Power Relay 90A 12v Y6</v>
      </c>
      <c r="I170" t="str">
        <f ca="1">IFERROR(__xludf.DUMMYFUNCTION("""COMPUTED_VALUE"""),"REL-PWR-SPST-12v-V63i90")</f>
        <v>REL-PWR-SPST-12v-V63i90</v>
      </c>
      <c r="J170" t="str">
        <f ca="1">IFERROR(__xludf.DUMMYFUNCTION("""COMPUTED_VALUE"""),"HE1AN-W-DC12V-Y6")</f>
        <v>HE1AN-W-DC12V-Y6</v>
      </c>
    </row>
    <row r="171" spans="1:10">
      <c r="A171" s="106"/>
      <c r="B171" s="111"/>
      <c r="C171" s="111"/>
      <c r="D171" s="111"/>
      <c r="E171" s="111" t="str">
        <f ca="1">IFERROR(__xludf.DUMMYFUNCTION("""COMPUTED_VALUE"""),"5 pin JST-XH housing")</f>
        <v>5 pin JST-XH housing</v>
      </c>
      <c r="F171" s="111"/>
      <c r="G171" s="111"/>
      <c r="H171" t="str">
        <f ca="1">IFERROR(__xludf.DUMMYFUNCTION("""COMPUTED_VALUE"""),"Relay SPST 5A-12v")</f>
        <v>Relay SPST 5A-12v</v>
      </c>
      <c r="I171" t="str">
        <f ca="1">IFERROR(__xludf.DUMMYFUNCTION("""COMPUTED_VALUE"""),"REL-SIG-SPST-12v-V63i5")</f>
        <v>REL-SIG-SPST-12v-V63i5</v>
      </c>
      <c r="J171" t="str">
        <f ca="1">IFERROR(__xludf.DUMMYFUNCTION("""COMPUTED_VALUE"""),"G5NB-1A-E-12DC")</f>
        <v>G5NB-1A-E-12DC</v>
      </c>
    </row>
    <row r="172" spans="1:10">
      <c r="A172" s="106"/>
      <c r="B172" s="111"/>
      <c r="C172" s="111"/>
      <c r="D172" s="111"/>
      <c r="E172" s="111" t="str">
        <f ca="1">IFERROR(__xludf.DUMMYFUNCTION("""COMPUTED_VALUE"""),"5 pin JST-XH male top entry")</f>
        <v>5 pin JST-XH male top entry</v>
      </c>
      <c r="F172" s="111"/>
      <c r="G172" s="111"/>
      <c r="H172" t="str">
        <f ca="1">IFERROR(__xludf.DUMMYFUNCTION("""COMPUTED_VALUE"""),"Relay DPDT 1A-24v")</f>
        <v>Relay DPDT 1A-24v</v>
      </c>
      <c r="I172" t="str">
        <f ca="1">IFERROR(__xludf.DUMMYFUNCTION("""COMPUTED_VALUE"""),"REL-SIG-DPDT-24v-V63i1")</f>
        <v>REL-SIG-DPDT-24v-V63i1</v>
      </c>
      <c r="J172" t="str">
        <f ca="1">IFERROR(__xludf.DUMMYFUNCTION("""COMPUTED_VALUE"""),"G5V-2-H1-24VDC")</f>
        <v>G5V-2-H1-24VDC</v>
      </c>
    </row>
    <row r="173" spans="1:10">
      <c r="A173" s="106"/>
      <c r="B173" s="111"/>
      <c r="C173" s="111"/>
      <c r="D173" s="111"/>
      <c r="E173" s="111" t="str">
        <f ca="1">IFERROR(__xludf.DUMMYFUNCTION("""COMPUTED_VALUE"""),"6 pin JST-XH housing")</f>
        <v>6 pin JST-XH housing</v>
      </c>
      <c r="F173" s="111"/>
      <c r="G173" s="111"/>
      <c r="H173" t="str">
        <f ca="1">IFERROR(__xludf.DUMMYFUNCTION("""COMPUTED_VALUE"""),"Relay SPST 5A-24v")</f>
        <v>Relay SPST 5A-24v</v>
      </c>
      <c r="I173" t="str">
        <f ca="1">IFERROR(__xludf.DUMMYFUNCTION("""COMPUTED_VALUE"""),"REL-SIG-SPST-24v-V63i5")</f>
        <v>REL-SIG-SPST-24v-V63i5</v>
      </c>
      <c r="J173" t="str">
        <f ca="1">IFERROR(__xludf.DUMMYFUNCTION("""COMPUTED_VALUE"""),"G5NB-1A-E-24VDC")</f>
        <v>G5NB-1A-E-24VDC</v>
      </c>
    </row>
    <row r="174" spans="1:10">
      <c r="A174" s="106"/>
      <c r="B174" s="111"/>
      <c r="C174" s="111"/>
      <c r="D174" s="111"/>
      <c r="E174" s="111" t="str">
        <f ca="1">IFERROR(__xludf.DUMMYFUNCTION("""COMPUTED_VALUE"""),"6 pin JST-XH male top entry")</f>
        <v>6 pin JST-XH male top entry</v>
      </c>
      <c r="F174" s="111"/>
      <c r="G174" s="111"/>
      <c r="H174" t="str">
        <f ca="1">IFERROR(__xludf.DUMMYFUNCTION("""COMPUTED_VALUE"""),"5v 3A Power adapter DC Plug Orange")</f>
        <v>5v 3A Power adapter DC Plug Orange</v>
      </c>
    </row>
    <row r="175" spans="1:10">
      <c r="A175" s="106"/>
      <c r="B175" s="111"/>
      <c r="C175" s="111"/>
      <c r="D175" s="111"/>
      <c r="E175" s="111" t="str">
        <f ca="1">IFERROR(__xludf.DUMMYFUNCTION("""COMPUTED_VALUE"""),"2510 Crimping pins")</f>
        <v>2510 Crimping pins</v>
      </c>
      <c r="F175" s="111"/>
      <c r="G175" s="111"/>
      <c r="H175" t="str">
        <f ca="1">IFERROR(__xludf.DUMMYFUNCTION("""COMPUTED_VALUE"""),"5v 3A Power adapter DC Plug Ordinary")</f>
        <v>5v 3A Power adapter DC Plug Ordinary</v>
      </c>
    </row>
    <row r="176" spans="1:10">
      <c r="A176" s="106"/>
      <c r="B176" s="111"/>
      <c r="C176" s="111"/>
      <c r="D176" s="111"/>
      <c r="E176" s="111" t="str">
        <f ca="1">IFERROR(__xludf.DUMMYFUNCTION("""COMPUTED_VALUE"""),"Connector Male 13 pin JST-XH Top Entry")</f>
        <v>Connector Male 13 pin JST-XH Top Entry</v>
      </c>
      <c r="F176" s="111" t="str">
        <f ca="1">IFERROR(__xludf.DUMMYFUNCTION("""COMPUTED_VALUE"""),"CON-JXH-TOP-M13")</f>
        <v>CON-JXH-TOP-M13</v>
      </c>
      <c r="G176" s="111"/>
      <c r="H176" t="str">
        <f ca="1">IFERROR(__xludf.DUMMYFUNCTION("""COMPUTED_VALUE"""),"9v 2A Power adapter DC Plug Orange")</f>
        <v>9v 2A Power adapter DC Plug Orange</v>
      </c>
    </row>
    <row r="177" spans="1:10">
      <c r="A177" s="106"/>
      <c r="B177" s="111"/>
      <c r="C177" s="111"/>
      <c r="D177" s="111"/>
      <c r="E177" s="111" t="str">
        <f ca="1">IFERROR(__xludf.DUMMYFUNCTION("""COMPUTED_VALUE"""),"Connector Male 15 pin JST-XH Top Entry")</f>
        <v>Connector Male 15 pin JST-XH Top Entry</v>
      </c>
      <c r="F177" s="111" t="str">
        <f ca="1">IFERROR(__xludf.DUMMYFUNCTION("""COMPUTED_VALUE"""),"CON-JXH-TOP-M15")</f>
        <v>CON-JXH-TOP-M15</v>
      </c>
      <c r="G177" s="111"/>
      <c r="H177" t="str">
        <f ca="1">IFERROR(__xludf.DUMMYFUNCTION("""COMPUTED_VALUE"""),"SD Card 32GB")</f>
        <v>SD Card 32GB</v>
      </c>
      <c r="I177" t="str">
        <f ca="1">IFERROR(__xludf.DUMMYFUNCTION("""COMPUTED_VALUE"""),"MOD-SDCARD-32GB-CLASS10A")</f>
        <v>MOD-SDCARD-32GB-CLASS10A</v>
      </c>
    </row>
    <row r="178" spans="1:10">
      <c r="A178" s="106"/>
      <c r="B178" s="111"/>
      <c r="C178" s="111"/>
      <c r="D178" s="111"/>
      <c r="E178" s="111" t="str">
        <f ca="1">IFERROR(__xludf.DUMMYFUNCTION("""COMPUTED_VALUE"""),"JST-XH Crimping pins")</f>
        <v>JST-XH Crimping pins</v>
      </c>
      <c r="F178" s="111"/>
      <c r="G178" s="111"/>
      <c r="H178" t="str">
        <f ca="1">IFERROR(__xludf.DUMMYFUNCTION("""COMPUTED_VALUE"""),"16pin IC base")</f>
        <v>16pin IC base</v>
      </c>
    </row>
    <row r="179" spans="1:10">
      <c r="A179" s="106"/>
      <c r="B179" s="111"/>
      <c r="C179" s="111"/>
      <c r="D179" s="111"/>
      <c r="E179" s="111" t="str">
        <f ca="1">IFERROR(__xludf.DUMMYFUNCTION("""COMPUTED_VALUE"""),"JST-XH Crimping pins Gold Finger")</f>
        <v>JST-XH Crimping pins Gold Finger</v>
      </c>
      <c r="F179" s="111"/>
      <c r="G179" s="111"/>
      <c r="H179" t="str">
        <f ca="1">IFERROR(__xludf.DUMMYFUNCTION("""COMPUTED_VALUE"""),"BlueTooth Module")</f>
        <v>BlueTooth Module</v>
      </c>
      <c r="I179" t="str">
        <f ca="1">IFERROR(__xludf.DUMMYFUNCTION("""COMPUTED_VALUE"""),"MOD-BLE-HC05")</f>
        <v>MOD-BLE-HC05</v>
      </c>
      <c r="J179" t="str">
        <f ca="1">IFERROR(__xludf.DUMMYFUNCTION("""COMPUTED_VALUE"""),"HC-05")</f>
        <v>HC-05</v>
      </c>
    </row>
    <row r="180" spans="1:10">
      <c r="A180" s="106"/>
      <c r="B180" s="111"/>
      <c r="C180" s="111"/>
      <c r="D180" s="111"/>
      <c r="E180" s="111" t="str">
        <f ca="1">IFERROR(__xludf.DUMMYFUNCTION("""COMPUTED_VALUE"""),"Cable Crimped JST-XH One Side Red 25cm 14/38 Wire")</f>
        <v>Cable Crimped JST-XH One Side Red 25cm 14/38 Wire</v>
      </c>
      <c r="F180" s="111" t="str">
        <f ca="1">IFERROR(__xludf.DUMMYFUNCTION("""COMPUTED_VALUE"""),"CAB-CRI-2511RED25CM14/38")</f>
        <v>CAB-CRI-2511RED25CM14/38</v>
      </c>
      <c r="G180" s="111"/>
      <c r="H180" t="str">
        <f ca="1">IFERROR(__xludf.DUMMYFUNCTION("""COMPUTED_VALUE"""),"22E Resistor")</f>
        <v>22E Resistor</v>
      </c>
      <c r="I180" t="str">
        <f ca="1">IFERROR(__xludf.DUMMYFUNCTION("""COMPUTED_VALUE"""),"RES-THT-20MM-2W10P-22E")</f>
        <v>RES-THT-20MM-2W10P-22E</v>
      </c>
    </row>
    <row r="181" spans="1:10">
      <c r="A181" s="106"/>
      <c r="B181" s="111"/>
      <c r="C181" s="111"/>
      <c r="D181" s="111"/>
      <c r="E181" s="111" t="str">
        <f ca="1">IFERROR(__xludf.DUMMYFUNCTION("""COMPUTED_VALUE"""),"Cable Crimped JST-XH One Side Green 25cm 14/38 wire")</f>
        <v>Cable Crimped JST-XH One Side Green 25cm 14/38 wire</v>
      </c>
      <c r="F181" s="111" t="str">
        <f ca="1">IFERROR(__xludf.DUMMYFUNCTION("""COMPUTED_VALUE"""),"CAB-CRI-2511GREEN25CM14/38")</f>
        <v>CAB-CRI-2511GREEN25CM14/38</v>
      </c>
      <c r="G181" s="111"/>
      <c r="H181" t="str">
        <f ca="1">IFERROR(__xludf.DUMMYFUNCTION("""COMPUTED_VALUE"""),"iMAx B3 Charger")</f>
        <v>iMAx B3 Charger</v>
      </c>
    </row>
    <row r="182" spans="1:10">
      <c r="A182" s="106"/>
      <c r="B182" s="111"/>
      <c r="C182" s="111"/>
      <c r="D182" s="111"/>
      <c r="E182" s="111" t="str">
        <f ca="1">IFERROR(__xludf.DUMMYFUNCTION("""COMPUTED_VALUE"""),"Cable Crimped JST-XH One Side Black 25cm 14/38 wire")</f>
        <v>Cable Crimped JST-XH One Side Black 25cm 14/38 wire</v>
      </c>
      <c r="F182" s="111" t="str">
        <f ca="1">IFERROR(__xludf.DUMMYFUNCTION("""COMPUTED_VALUE"""),"CAB-CRI-2511BLACK25CM14/38")</f>
        <v>CAB-CRI-2511BLACK25CM14/38</v>
      </c>
      <c r="G182" s="111"/>
      <c r="H182" t="str">
        <f ca="1">IFERROR(__xludf.DUMMYFUNCTION("""COMPUTED_VALUE"""),"9v Piezo Electric Buzzer")</f>
        <v>9v Piezo Electric Buzzer</v>
      </c>
    </row>
    <row r="183" spans="1:10">
      <c r="A183" s="106"/>
      <c r="B183" s="111"/>
      <c r="C183" s="111"/>
      <c r="D183" s="111"/>
      <c r="E183" s="111" t="str">
        <f ca="1">IFERROR(__xludf.DUMMYFUNCTION("""COMPUTED_VALUE"""),"Cable Crimped JST One Side Black 10cm")</f>
        <v>Cable Crimped JST One Side Black 10cm</v>
      </c>
      <c r="F183" s="111" t="str">
        <f ca="1">IFERROR(__xludf.DUMMYFUNCTION("""COMPUTED_VALUE"""),"CAB-CRI-2515BLACK10CM14/38")</f>
        <v>CAB-CRI-2515BLACK10CM14/38</v>
      </c>
      <c r="G183" s="111"/>
      <c r="H183" t="str">
        <f ca="1">IFERROR(__xludf.DUMMYFUNCTION("""COMPUTED_VALUE"""),"Female Bergstrip 40x1 2.54mm")</f>
        <v>Female Bergstrip 40x1 2.54mm</v>
      </c>
      <c r="I183" t="str">
        <f ca="1">IFERROR(__xludf.DUMMYFUNCTION("""COMPUTED_VALUE"""),"CON-BRG-40X1-F2.54MM")</f>
        <v>CON-BRG-40X1-F2.54MM</v>
      </c>
    </row>
    <row r="184" spans="1:10">
      <c r="A184" s="106"/>
      <c r="B184" s="111"/>
      <c r="C184" s="111"/>
      <c r="D184" s="111"/>
      <c r="E184" s="111" t="str">
        <f ca="1">IFERROR(__xludf.DUMMYFUNCTION("""COMPUTED_VALUE"""),"Cable Crimped JST One Side Green 10cm")</f>
        <v>Cable Crimped JST One Side Green 10cm</v>
      </c>
      <c r="F184" s="111" t="str">
        <f ca="1">IFERROR(__xludf.DUMMYFUNCTION("""COMPUTED_VALUE"""),"CAB-CRI-2515GREEN10CM14/38")</f>
        <v>CAB-CRI-2515GREEN10CM14/38</v>
      </c>
      <c r="G184" s="111"/>
      <c r="H184" t="str">
        <f ca="1">IFERROR(__xludf.DUMMYFUNCTION("""COMPUTED_VALUE"""),"Male Bergstrip 40x1 2.54mm")</f>
        <v>Male Bergstrip 40x1 2.54mm</v>
      </c>
      <c r="I184" t="str">
        <f ca="1">IFERROR(__xludf.DUMMYFUNCTION("""COMPUTED_VALUE"""),"CON-BRG-40X1-M2.54MM")</f>
        <v>CON-BRG-40X1-M2.54MM</v>
      </c>
    </row>
    <row r="185" spans="1:10">
      <c r="A185" s="106"/>
      <c r="B185" s="111"/>
      <c r="C185" s="111"/>
      <c r="D185" s="111"/>
      <c r="E185" s="111" t="str">
        <f ca="1">IFERROR(__xludf.DUMMYFUNCTION("""COMPUTED_VALUE"""),"Cable Crimped JST One Side Violet 10cm")</f>
        <v>Cable Crimped JST One Side Violet 10cm</v>
      </c>
      <c r="F185" s="111" t="str">
        <f ca="1">IFERROR(__xludf.DUMMYFUNCTION("""COMPUTED_VALUE"""),"CAB-CRI-2515VOILET10CM14/38")</f>
        <v>CAB-CRI-2515VOILET10CM14/38</v>
      </c>
      <c r="G185" s="111"/>
      <c r="H185" t="str">
        <f ca="1">IFERROR(__xludf.DUMMYFUNCTION("""COMPUTED_VALUE"""),"Male Bergstrip Right angle strip 40x1 2.54mm")</f>
        <v>Male Bergstrip Right angle strip 40x1 2.54mm</v>
      </c>
    </row>
    <row r="186" spans="1:10">
      <c r="A186" s="106"/>
      <c r="B186" s="111"/>
      <c r="C186" s="111"/>
      <c r="D186" s="111"/>
      <c r="E186" s="111" t="str">
        <f ca="1">IFERROR(__xludf.DUMMYFUNCTION("""COMPUTED_VALUE"""),"Cable Crimped JST One Side Yellow 10cm")</f>
        <v>Cable Crimped JST One Side Yellow 10cm</v>
      </c>
      <c r="F186" s="111" t="str">
        <f ca="1">IFERROR(__xludf.DUMMYFUNCTION("""COMPUTED_VALUE"""),"CAB-CRI-2515YELLOW10CM14/38")</f>
        <v>CAB-CRI-2515YELLOW10CM14/38</v>
      </c>
      <c r="G186" s="111"/>
      <c r="H186" t="str">
        <f ca="1">IFERROR(__xludf.DUMMYFUNCTION("""COMPUTED_VALUE"""),"Male Bergstrip Right angle strip 40x2 2.54mm")</f>
        <v>Male Bergstrip Right angle strip 40x2 2.54mm</v>
      </c>
    </row>
    <row r="187" spans="1:10">
      <c r="A187" s="106"/>
      <c r="B187" s="111"/>
      <c r="C187" s="111"/>
      <c r="D187" s="111"/>
      <c r="E187" s="111" t="str">
        <f ca="1">IFERROR(__xludf.DUMMYFUNCTION("""COMPUTED_VALUE"""),"Cable Crimped JST One Side Sky Blue 10cm")</f>
        <v>Cable Crimped JST One Side Sky Blue 10cm</v>
      </c>
      <c r="F187" s="111" t="str">
        <f ca="1">IFERROR(__xludf.DUMMYFUNCTION("""COMPUTED_VALUE"""),"CAB-CRI-2515SBLUE10CM14/38")</f>
        <v>CAB-CRI-2515SBLUE10CM14/38</v>
      </c>
      <c r="G187" s="111"/>
      <c r="H187" t="str">
        <f ca="1">IFERROR(__xludf.DUMMYFUNCTION("""COMPUTED_VALUE"""),"Female Bergstrip 40x1 2.0mm")</f>
        <v>Female Bergstrip 40x1 2.0mm</v>
      </c>
      <c r="I187" t="str">
        <f ca="1">IFERROR(__xludf.DUMMYFUNCTION("""COMPUTED_VALUE"""),"CON-BRG-40X1-F2MM")</f>
        <v>CON-BRG-40X1-F2MM</v>
      </c>
    </row>
    <row r="188" spans="1:10">
      <c r="A188" s="106"/>
      <c r="B188" s="111"/>
      <c r="C188" s="111"/>
      <c r="D188" s="111"/>
      <c r="E188" s="111" t="str">
        <f ca="1">IFERROR(__xludf.DUMMYFUNCTION("""COMPUTED_VALUE"""),"Cable Crimped JST One Side Pink 10cm")</f>
        <v>Cable Crimped JST One Side Pink 10cm</v>
      </c>
      <c r="F188" s="111" t="str">
        <f ca="1">IFERROR(__xludf.DUMMYFUNCTION("""COMPUTED_VALUE"""),"CAB-CRI-2515PINK10CM14/38")</f>
        <v>CAB-CRI-2515PINK10CM14/38</v>
      </c>
      <c r="G188" s="111"/>
      <c r="H188" t="str">
        <f ca="1">IFERROR(__xludf.DUMMYFUNCTION("""COMPUTED_VALUE"""),"Male Bergstrip 40x1 2.0mm")</f>
        <v>Male Bergstrip 40x1 2.0mm</v>
      </c>
      <c r="I188" t="str">
        <f ca="1">IFERROR(__xludf.DUMMYFUNCTION("""COMPUTED_VALUE"""),"CON-BRG-40X1-M2MM")</f>
        <v>CON-BRG-40X1-M2MM</v>
      </c>
    </row>
    <row r="189" spans="1:10">
      <c r="A189" s="106"/>
      <c r="B189" s="111"/>
      <c r="C189" s="111"/>
      <c r="D189" s="111"/>
      <c r="E189" s="111" t="str">
        <f ca="1">IFERROR(__xludf.DUMMYFUNCTION("""COMPUTED_VALUE"""),"Cable Crimped JST One Side Orange 10cm")</f>
        <v>Cable Crimped JST One Side Orange 10cm</v>
      </c>
      <c r="F189" s="111" t="str">
        <f ca="1">IFERROR(__xludf.DUMMYFUNCTION("""COMPUTED_VALUE"""),"CAB-CRI-2515ORANGE10CM14/38")</f>
        <v>CAB-CRI-2515ORANGE10CM14/38</v>
      </c>
      <c r="G189" s="111"/>
      <c r="H189" t="str">
        <f ca="1">IFERROR(__xludf.DUMMYFUNCTION("""COMPUTED_VALUE"""),"Conformal Coating")</f>
        <v>Conformal Coating</v>
      </c>
      <c r="I189" t="str">
        <f ca="1">IFERROR(__xludf.DUMMYFUNCTION("""COMPUTED_VALUE"""),"EAC-CONFORMAL")</f>
        <v>EAC-CONFORMAL</v>
      </c>
    </row>
    <row r="190" spans="1:10">
      <c r="A190" s="106"/>
      <c r="B190" s="111"/>
      <c r="C190" s="111"/>
      <c r="D190" s="111"/>
      <c r="E190" s="111" t="str">
        <f ca="1">IFERROR(__xludf.DUMMYFUNCTION("""COMPUTED_VALUE"""),"Cable Crimped JST One Side Dark Blue 10cm")</f>
        <v>Cable Crimped JST One Side Dark Blue 10cm</v>
      </c>
      <c r="F190" s="111" t="str">
        <f ca="1">IFERROR(__xludf.DUMMYFUNCTION("""COMPUTED_VALUE"""),"CAB-CRI-2515DBLUE10CM14/38")</f>
        <v>CAB-CRI-2515DBLUE10CM14/38</v>
      </c>
      <c r="G190" s="111"/>
      <c r="H190" t="str">
        <f ca="1">IFERROR(__xludf.DUMMYFUNCTION("""COMPUTED_VALUE"""),"Conformal Coating Loctite 3900")</f>
        <v>Conformal Coating Loctite 3900</v>
      </c>
      <c r="I190" t="str">
        <f ca="1">IFERROR(__xludf.DUMMYFUNCTION("""COMPUTED_VALUE"""),"EAC-CONFORMAL-LOC3900")</f>
        <v>EAC-CONFORMAL-LOC3900</v>
      </c>
    </row>
    <row r="191" spans="1:10">
      <c r="A191" s="106"/>
      <c r="B191" s="111"/>
      <c r="C191" s="111"/>
      <c r="D191" s="111"/>
      <c r="E191" s="111" t="str">
        <f ca="1">IFERROR(__xludf.DUMMYFUNCTION("""COMPUTED_VALUE"""),"Cable Crimped JST One Side Light Brown 10cm")</f>
        <v>Cable Crimped JST One Side Light Brown 10cm</v>
      </c>
      <c r="F191" s="111" t="str">
        <f ca="1">IFERROR(__xludf.DUMMYFUNCTION("""COMPUTED_VALUE"""),"CAB-CRI-2515LBROWN10CM14/38")</f>
        <v>CAB-CRI-2515LBROWN10CM14/38</v>
      </c>
      <c r="G191" s="111"/>
      <c r="H191" t="str">
        <f ca="1">IFERROR(__xludf.DUMMYFUNCTION("""COMPUTED_VALUE"""),"Connector Male 3 pin 2510")</f>
        <v>Connector Male 3 pin 2510</v>
      </c>
      <c r="I191" t="str">
        <f ca="1">IFERROR(__xludf.DUMMYFUNCTION("""COMPUTED_VALUE"""),"CON-RMC-M3")</f>
        <v>CON-RMC-M3</v>
      </c>
    </row>
    <row r="192" spans="1:10">
      <c r="A192" s="106"/>
      <c r="B192" s="111"/>
      <c r="C192" s="111"/>
      <c r="D192" s="111"/>
      <c r="E192" s="111" t="str">
        <f ca="1">IFERROR(__xludf.DUMMYFUNCTION("""COMPUTED_VALUE"""),"Cable Crimped JST One Side Dark Brown 10cm")</f>
        <v>Cable Crimped JST One Side Dark Brown 10cm</v>
      </c>
      <c r="F192" s="111" t="str">
        <f ca="1">IFERROR(__xludf.DUMMYFUNCTION("""COMPUTED_VALUE"""),"CAB-CRI-2515DBROWN10CM14/38")</f>
        <v>CAB-CRI-2515DBROWN10CM14/38</v>
      </c>
      <c r="G192" s="111"/>
      <c r="H192" t="str">
        <f ca="1">IFERROR(__xludf.DUMMYFUNCTION("""COMPUTED_VALUE"""),"Connector Male 5 pin 2510")</f>
        <v>Connector Male 5 pin 2510</v>
      </c>
      <c r="I192" t="str">
        <f ca="1">IFERROR(__xludf.DUMMYFUNCTION("""COMPUTED_VALUE"""),"CON-RMC-M5")</f>
        <v>CON-RMC-M5</v>
      </c>
    </row>
    <row r="193" spans="1:9">
      <c r="A193" s="106"/>
      <c r="B193" s="111"/>
      <c r="C193" s="111"/>
      <c r="D193" s="111"/>
      <c r="E193" s="111" t="str">
        <f ca="1">IFERROR(__xludf.DUMMYFUNCTION("""COMPUTED_VALUE"""),"Cable Crimped JST One Side White with Red Strip 10cm")</f>
        <v>Cable Crimped JST One Side White with Red Strip 10cm</v>
      </c>
      <c r="F193" s="111" t="str">
        <f ca="1">IFERROR(__xludf.DUMMYFUNCTION("""COMPUTED_VALUE"""),"CAB-CRI-2515WHITERED10CM14/38")</f>
        <v>CAB-CRI-2515WHITERED10CM14/38</v>
      </c>
      <c r="G193" s="111"/>
      <c r="H193" t="str">
        <f ca="1">IFERROR(__xludf.DUMMYFUNCTION("""COMPUTED_VALUE"""),"5 pin Female 2510 Cable 15cm one sided ")</f>
        <v xml:space="preserve">5 pin Female 2510 Cable 15cm one sided </v>
      </c>
      <c r="I193" t="str">
        <f ca="1">IFERROR(__xludf.DUMMYFUNCTION("""COMPUTED_VALUE"""),"CON-CABLE-RMC-M5-OPEN")</f>
        <v>CON-CABLE-RMC-M5-OPEN</v>
      </c>
    </row>
    <row r="194" spans="1:9">
      <c r="A194" s="106"/>
      <c r="B194" s="111"/>
      <c r="C194" s="111"/>
      <c r="D194" s="111"/>
      <c r="E194" s="111" t="str">
        <f ca="1">IFERROR(__xludf.DUMMYFUNCTION("""COMPUTED_VALUE"""),"Cable Crimped JST One Side White with Black Strip 10cm")</f>
        <v>Cable Crimped JST One Side White with Black Strip 10cm</v>
      </c>
      <c r="F194" s="111" t="str">
        <f ca="1">IFERROR(__xludf.DUMMYFUNCTION("""COMPUTED_VALUE"""),"CAB-CRI-2515WHITEBLACK10CM14/38")</f>
        <v>CAB-CRI-2515WHITEBLACK10CM14/38</v>
      </c>
      <c r="G194" s="111"/>
      <c r="H194" t="str">
        <f ca="1">IFERROR(__xludf.DUMMYFUNCTION("""COMPUTED_VALUE"""),"3 pin 3 yrd power cord")</f>
        <v>3 pin 3 yrd power cord</v>
      </c>
    </row>
    <row r="195" spans="1:9">
      <c r="A195" s="106"/>
      <c r="B195" s="111"/>
      <c r="C195" s="111"/>
      <c r="D195" s="111"/>
      <c r="E195" s="111" t="str">
        <f ca="1">IFERROR(__xludf.DUMMYFUNCTION("""COMPUTED_VALUE"""),"Cable Crimped JST One Side White 10cm")</f>
        <v>Cable Crimped JST One Side White 10cm</v>
      </c>
      <c r="F195" s="111" t="str">
        <f ca="1">IFERROR(__xludf.DUMMYFUNCTION("""COMPUTED_VALUE"""),"CAB-CRI-2515WHITE10CM14/38")</f>
        <v>CAB-CRI-2515WHITE10CM14/38</v>
      </c>
      <c r="G195" s="111"/>
      <c r="H195" t="str">
        <f ca="1">IFERROR(__xludf.DUMMYFUNCTION("""COMPUTED_VALUE"""),"2 pin JST-XH housing")</f>
        <v>2 pin JST-XH housing</v>
      </c>
      <c r="I195" t="str">
        <f ca="1">IFERROR(__xludf.DUMMYFUNCTION("""COMPUTED_VALUE"""),"CON-JXH-HOS-F2")</f>
        <v>CON-JXH-HOS-F2</v>
      </c>
    </row>
    <row r="196" spans="1:9">
      <c r="A196" s="106"/>
      <c r="B196" s="111"/>
      <c r="C196" s="111"/>
      <c r="D196" s="111"/>
      <c r="E196" s="111" t="str">
        <f ca="1">IFERROR(__xludf.DUMMYFUNCTION("""COMPUTED_VALUE"""),"Cable Crimped JST One Side Red 10cm")</f>
        <v>Cable Crimped JST One Side Red 10cm</v>
      </c>
      <c r="F196" s="111" t="str">
        <f ca="1">IFERROR(__xludf.DUMMYFUNCTION("""COMPUTED_VALUE"""),"CAB-CRI-2515RED10CM14/38")</f>
        <v>CAB-CRI-2515RED10CM14/38</v>
      </c>
      <c r="G196" s="111"/>
      <c r="H196" t="str">
        <f ca="1">IFERROR(__xludf.DUMMYFUNCTION("""COMPUTED_VALUE"""),"3 pin JST-XH housing")</f>
        <v>3 pin JST-XH housing</v>
      </c>
      <c r="I196" t="str">
        <f ca="1">IFERROR(__xludf.DUMMYFUNCTION("""COMPUTED_VALUE"""),"CON-JXH-HOS-F3")</f>
        <v>CON-JXH-HOS-F3</v>
      </c>
    </row>
    <row r="197" spans="1:9">
      <c r="A197" s="106"/>
      <c r="B197" s="111"/>
      <c r="C197" s="111"/>
      <c r="D197" s="111"/>
      <c r="E197" s="111" t="str">
        <f ca="1">IFERROR(__xludf.DUMMYFUNCTION("""COMPUTED_VALUE"""),"Cable Crimped JST One Side Light Grey 10cm")</f>
        <v>Cable Crimped JST One Side Light Grey 10cm</v>
      </c>
      <c r="F197" s="111" t="str">
        <f ca="1">IFERROR(__xludf.DUMMYFUNCTION("""COMPUTED_VALUE"""),"CAB-CRI-2515LGREY10CM14/38")</f>
        <v>CAB-CRI-2515LGREY10CM14/38</v>
      </c>
      <c r="G197" s="111"/>
      <c r="H197" t="str">
        <f ca="1">IFERROR(__xludf.DUMMYFUNCTION("""COMPUTED_VALUE"""),"Connector Housing 13 pin JST-XH")</f>
        <v>Connector Housing 13 pin JST-XH</v>
      </c>
      <c r="I197" t="str">
        <f ca="1">IFERROR(__xludf.DUMMYFUNCTION("""COMPUTED_VALUE"""),"CON-JXH-HOS-F13")</f>
        <v>CON-JXH-HOS-F13</v>
      </c>
    </row>
    <row r="198" spans="1:9">
      <c r="A198" s="106"/>
      <c r="B198" s="111"/>
      <c r="C198" s="111"/>
      <c r="D198" s="111"/>
      <c r="E198" s="111" t="str">
        <f ca="1">IFERROR(__xludf.DUMMYFUNCTION("""COMPUTED_VALUE"""),"Cable Crimped JST One Side Dark Grey 10cm")</f>
        <v>Cable Crimped JST One Side Dark Grey 10cm</v>
      </c>
      <c r="F198" s="111" t="str">
        <f ca="1">IFERROR(__xludf.DUMMYFUNCTION("""COMPUTED_VALUE"""),"CAB-CRI-2515DGREY10CM14/38")</f>
        <v>CAB-CRI-2515DGREY10CM14/38</v>
      </c>
      <c r="G198" s="111"/>
      <c r="H198" t="str">
        <f ca="1">IFERROR(__xludf.DUMMYFUNCTION("""COMPUTED_VALUE"""),"Connector Housing 15 pin JST-XH")</f>
        <v>Connector Housing 15 pin JST-XH</v>
      </c>
      <c r="I198" t="str">
        <f ca="1">IFERROR(__xludf.DUMMYFUNCTION("""COMPUTED_VALUE"""),"CON-JXH-HOS-F15")</f>
        <v>CON-JXH-HOS-F15</v>
      </c>
    </row>
    <row r="199" spans="1:9">
      <c r="A199" s="106"/>
      <c r="B199" s="111"/>
      <c r="C199" s="111"/>
      <c r="D199" s="111"/>
      <c r="E199" s="111" t="str">
        <f ca="1">IFERROR(__xludf.DUMMYFUNCTION("""COMPUTED_VALUE"""),"Cable Crimped JST One Side Cyan 10cm")</f>
        <v>Cable Crimped JST One Side Cyan 10cm</v>
      </c>
      <c r="F199" s="111" t="str">
        <f ca="1">IFERROR(__xludf.DUMMYFUNCTION("""COMPUTED_VALUE"""),"CAB-CRI-2515CYAN10CM14/38")</f>
        <v>CAB-CRI-2515CYAN10CM14/38</v>
      </c>
      <c r="G199" s="111"/>
      <c r="H199" t="str">
        <f ca="1">IFERROR(__xludf.DUMMYFUNCTION("""COMPUTED_VALUE"""),"Connector Male 2 pin JST-XH Top Entry")</f>
        <v>Connector Male 2 pin JST-XH Top Entry</v>
      </c>
      <c r="I199" t="str">
        <f ca="1">IFERROR(__xludf.DUMMYFUNCTION("""COMPUTED_VALUE"""),"CON-JXH-TOP-M2")</f>
        <v>CON-JXH-TOP-M2</v>
      </c>
    </row>
    <row r="200" spans="1:9">
      <c r="A200" s="106"/>
      <c r="B200" s="111"/>
      <c r="C200" s="111"/>
      <c r="D200" s="111"/>
      <c r="E200" s="111" t="str">
        <f ca="1">IFERROR(__xludf.DUMMYFUNCTION("""COMPUTED_VALUE"""),"Cable Crimped JST One Side Dark Parrot Green 10cm")</f>
        <v>Cable Crimped JST One Side Dark Parrot Green 10cm</v>
      </c>
      <c r="F200" s="111" t="str">
        <f ca="1">IFERROR(__xludf.DUMMYFUNCTION("""COMPUTED_VALUE"""),"CAB-CRI-2515PGREEN10CM14/38")</f>
        <v>CAB-CRI-2515PGREEN10CM14/38</v>
      </c>
      <c r="G200" s="111"/>
      <c r="H200" t="str">
        <f ca="1">IFERROR(__xludf.DUMMYFUNCTION("""COMPUTED_VALUE"""),"2 pin JST-XH male top entry RED")</f>
        <v>2 pin JST-XH male top entry RED</v>
      </c>
    </row>
    <row r="201" spans="1:9">
      <c r="A201" s="106"/>
      <c r="B201" s="111"/>
      <c r="C201" s="111"/>
      <c r="D201" s="111"/>
      <c r="E201" s="111" t="str">
        <f ca="1">IFERROR(__xludf.DUMMYFUNCTION("""COMPUTED_VALUE"""),"Cable Balancing Microfit")</f>
        <v>Cable Balancing Microfit</v>
      </c>
      <c r="F201" s="111" t="str">
        <f ca="1">IFERROR(__xludf.DUMMYFUNCTION("""COMPUTED_VALUE"""),"CAB-BAL-MFIT20CM20WGISDT")</f>
        <v>CAB-BAL-MFIT20CM20WGISDT</v>
      </c>
      <c r="G201" s="111"/>
      <c r="H201" t="str">
        <f ca="1">IFERROR(__xludf.DUMMYFUNCTION("""COMPUTED_VALUE"""),"2 pin JST-XH male side entry")</f>
        <v>2 pin JST-XH male side entry</v>
      </c>
    </row>
    <row r="202" spans="1:9">
      <c r="A202" s="106"/>
      <c r="B202" s="111"/>
      <c r="C202" s="111"/>
      <c r="D202" s="111"/>
      <c r="E202" s="111" t="str">
        <f ca="1">IFERROR(__xludf.DUMMYFUNCTION("""COMPUTED_VALUE"""),"Tactile switch for Reset Two Leg")</f>
        <v>Tactile switch for Reset Two Leg</v>
      </c>
      <c r="F202" s="111" t="str">
        <f ca="1">IFERROR(__xludf.DUMMYFUNCTION("""COMPUTED_VALUE"""),"SWI-PUS-SMD-2LEG")</f>
        <v>SWI-PUS-SMD-2LEG</v>
      </c>
      <c r="G202" s="111" t="str">
        <f ca="1">IFERROR(__xludf.DUMMYFUNCTION("""COMPUTED_VALUE"""),"KSR231G LFS")</f>
        <v>KSR231G LFS</v>
      </c>
      <c r="H202" t="str">
        <f ca="1">IFERROR(__xludf.DUMMYFUNCTION("""COMPUTED_VALUE"""),"3 pin JST-XH male top entry")</f>
        <v>3 pin JST-XH male top entry</v>
      </c>
      <c r="I202" t="str">
        <f ca="1">IFERROR(__xludf.DUMMYFUNCTION("""COMPUTED_VALUE"""),"CON-JXH-TOP-M3")</f>
        <v>CON-JXH-TOP-M3</v>
      </c>
    </row>
    <row r="203" spans="1:9">
      <c r="A203" s="106"/>
      <c r="B203" s="111"/>
      <c r="C203" s="111"/>
      <c r="D203" s="111"/>
      <c r="E203" s="111" t="str">
        <f ca="1">IFERROR(__xludf.DUMMYFUNCTION("""COMPUTED_VALUE"""),"Antenna 915MHz ")</f>
        <v xml:space="preserve">Antenna 915MHz </v>
      </c>
      <c r="F203" s="111" t="str">
        <f ca="1">IFERROR(__xludf.DUMMYFUNCTION("""COMPUTED_VALUE"""),"RAD-ANT-OMPCH1W915")</f>
        <v>RAD-ANT-OMPCH1W915</v>
      </c>
      <c r="G203" s="111"/>
      <c r="H203" t="str">
        <f ca="1">IFERROR(__xludf.DUMMYFUNCTION("""COMPUTED_VALUE"""),"4 pin JST-XH housing")</f>
        <v>4 pin JST-XH housing</v>
      </c>
    </row>
    <row r="204" spans="1:9">
      <c r="A204" s="106"/>
      <c r="B204" s="111"/>
      <c r="C204" s="111"/>
      <c r="D204" s="111"/>
      <c r="E204" s="111" t="str">
        <f ca="1">IFERROR(__xludf.DUMMYFUNCTION("""COMPUTED_VALUE"""),"Cable Extension Converter Ipex4 to SMA (for R9MM ipex4) 15cm")</f>
        <v>Cable Extension Converter Ipex4 to SMA (for R9MM ipex4) 15cm</v>
      </c>
      <c r="F204" s="111" t="str">
        <f ca="1">IFERROR(__xludf.DUMMYFUNCTION("""COMPUTED_VALUE"""),"CAB-CAX-SMAFtoIPEX11.13")</f>
        <v>CAB-CAX-SMAFtoIPEX11.13</v>
      </c>
      <c r="G204" s="111" t="str">
        <f ca="1">IFERROR(__xludf.DUMMYFUNCTION("""COMPUTED_VALUE"""),"Robu: 1675004")</f>
        <v>Robu: 1675004</v>
      </c>
      <c r="H204" t="str">
        <f ca="1">IFERROR(__xludf.DUMMYFUNCTION("""COMPUTED_VALUE"""),"4 pin JST-XH male top entry")</f>
        <v>4 pin JST-XH male top entry</v>
      </c>
    </row>
    <row r="205" spans="1:9">
      <c r="A205" s="106"/>
      <c r="B205" s="111"/>
      <c r="C205" s="111"/>
      <c r="D205" s="111"/>
      <c r="E205" s="111" t="str">
        <f ca="1">IFERROR(__xludf.DUMMYFUNCTION("""COMPUTED_VALUE"""),"Cable Extension R9M Antenna - RP-SMA to Open 20cm")</f>
        <v>Cable Extension R9M Antenna - RP-SMA to Open 20cm</v>
      </c>
      <c r="F205" s="111" t="str">
        <f ca="1">IFERROR(__xludf.DUMMYFUNCTION("""COMPUTED_VALUE"""),"CAB-CAX-RPSMAFtoOPEN1.13")</f>
        <v>CAB-CAX-RPSMAFtoOPEN1.13</v>
      </c>
      <c r="G205" s="111"/>
      <c r="H205" t="str">
        <f ca="1">IFERROR(__xludf.DUMMYFUNCTION("""COMPUTED_VALUE"""),"4 pin JST-XH male side entry")</f>
        <v>4 pin JST-XH male side entry</v>
      </c>
    </row>
    <row r="206" spans="1:9">
      <c r="A206" s="106"/>
      <c r="B206" s="111"/>
      <c r="C206" s="111"/>
      <c r="D206" s="111"/>
      <c r="E206" s="111" t="str">
        <f ca="1">IFERROR(__xludf.DUMMYFUNCTION("""COMPUTED_VALUE"""),"RP-SMA Female inline connector for RG174")</f>
        <v>RP-SMA Female inline connector for RG174</v>
      </c>
      <c r="F206" s="111"/>
      <c r="G206" s="111"/>
      <c r="H206" t="str">
        <f ca="1">IFERROR(__xludf.DUMMYFUNCTION("""COMPUTED_VALUE"""),"5 pin JST-XH housing")</f>
        <v>5 pin JST-XH housing</v>
      </c>
    </row>
    <row r="207" spans="1:9">
      <c r="A207" s="106"/>
      <c r="B207" s="111"/>
      <c r="C207" s="111"/>
      <c r="D207" s="111"/>
      <c r="E207" s="111" t="str">
        <f ca="1">IFERROR(__xludf.DUMMYFUNCTION("""COMPUTED_VALUE"""),"RP-SMA Male inline connector for RG174")</f>
        <v>RP-SMA Male inline connector for RG174</v>
      </c>
      <c r="F207" s="111"/>
      <c r="G207" s="111"/>
      <c r="H207" t="str">
        <f ca="1">IFERROR(__xludf.DUMMYFUNCTION("""COMPUTED_VALUE"""),"5 pin JST-XH male top entry")</f>
        <v>5 pin JST-XH male top entry</v>
      </c>
    </row>
    <row r="208" spans="1:9">
      <c r="A208" s="106"/>
      <c r="B208" s="111"/>
      <c r="C208" s="111"/>
      <c r="D208" s="111"/>
      <c r="E208" s="111" t="str">
        <f ca="1">IFERROR(__xludf.DUMMYFUNCTION("""COMPUTED_VALUE"""),"RP-SMA Female inline connector for RG142")</f>
        <v>RP-SMA Female inline connector for RG142</v>
      </c>
      <c r="F208" s="111"/>
      <c r="G208" s="111"/>
      <c r="H208" t="str">
        <f ca="1">IFERROR(__xludf.DUMMYFUNCTION("""COMPUTED_VALUE"""),"6 pin JST-XH housing")</f>
        <v>6 pin JST-XH housing</v>
      </c>
    </row>
    <row r="209" spans="1:9">
      <c r="A209" s="106"/>
      <c r="B209" s="111"/>
      <c r="C209" s="111"/>
      <c r="D209" s="111"/>
      <c r="E209" s="111" t="str">
        <f ca="1">IFERROR(__xludf.DUMMYFUNCTION("""COMPUTED_VALUE"""),"RP-SMA Male inline connector for RG142")</f>
        <v>RP-SMA Male inline connector for RG142</v>
      </c>
      <c r="F209" s="111"/>
      <c r="G209" s="111"/>
      <c r="H209" t="str">
        <f ca="1">IFERROR(__xludf.DUMMYFUNCTION("""COMPUTED_VALUE"""),"6 pin JST-XH male top entry")</f>
        <v>6 pin JST-XH male top entry</v>
      </c>
    </row>
    <row r="210" spans="1:9">
      <c r="A210" s="106"/>
      <c r="B210" s="111"/>
      <c r="C210" s="111"/>
      <c r="D210" s="111"/>
      <c r="E210" s="111" t="str">
        <f ca="1">IFERROR(__xludf.DUMMYFUNCTION("""COMPUTED_VALUE"""),"SMA Female inline connector for RG174")</f>
        <v>SMA Female inline connector for RG174</v>
      </c>
      <c r="F210" s="111"/>
      <c r="G210" s="111"/>
      <c r="H210" t="str">
        <f ca="1">IFERROR(__xludf.DUMMYFUNCTION("""COMPUTED_VALUE"""),"2510 Crimping pins")</f>
        <v>2510 Crimping pins</v>
      </c>
    </row>
    <row r="211" spans="1:9">
      <c r="A211" s="106"/>
      <c r="B211" s="111"/>
      <c r="C211" s="111"/>
      <c r="D211" s="111"/>
      <c r="E211" s="111" t="str">
        <f ca="1">IFERROR(__xludf.DUMMYFUNCTION("""COMPUTED_VALUE"""),"SMA Male inline connector for RG174")</f>
        <v>SMA Male inline connector for RG174</v>
      </c>
      <c r="F211" s="111"/>
      <c r="G211" s="111"/>
      <c r="H211" t="str">
        <f ca="1">IFERROR(__xludf.DUMMYFUNCTION("""COMPUTED_VALUE"""),"Connector Male 13 pin JST-XH Top Entry")</f>
        <v>Connector Male 13 pin JST-XH Top Entry</v>
      </c>
      <c r="I211" t="str">
        <f ca="1">IFERROR(__xludf.DUMMYFUNCTION("""COMPUTED_VALUE"""),"CON-JXH-TOP-M13")</f>
        <v>CON-JXH-TOP-M13</v>
      </c>
    </row>
    <row r="212" spans="1:9">
      <c r="A212" s="106"/>
      <c r="B212" s="111"/>
      <c r="C212" s="111"/>
      <c r="D212" s="111"/>
      <c r="E212" s="111" t="str">
        <f ca="1">IFERROR(__xludf.DUMMYFUNCTION("""COMPUTED_VALUE"""),"SMA Female inline connector for RG142")</f>
        <v>SMA Female inline connector for RG142</v>
      </c>
      <c r="F212" s="111"/>
      <c r="G212" s="111"/>
      <c r="H212" t="str">
        <f ca="1">IFERROR(__xludf.DUMMYFUNCTION("""COMPUTED_VALUE"""),"Connector Male 15 pin JST-XH Top Entry")</f>
        <v>Connector Male 15 pin JST-XH Top Entry</v>
      </c>
      <c r="I212" t="str">
        <f ca="1">IFERROR(__xludf.DUMMYFUNCTION("""COMPUTED_VALUE"""),"CON-JXH-TOP-M15")</f>
        <v>CON-JXH-TOP-M15</v>
      </c>
    </row>
    <row r="213" spans="1:9">
      <c r="A213" s="106"/>
      <c r="B213" s="111"/>
      <c r="C213" s="111"/>
      <c r="D213" s="111"/>
      <c r="E213" s="111" t="str">
        <f ca="1">IFERROR(__xludf.DUMMYFUNCTION("""COMPUTED_VALUE"""),"SMA Male connector inline for RG142")</f>
        <v>SMA Male connector inline for RG142</v>
      </c>
      <c r="F213" s="111"/>
      <c r="G213" s="111"/>
      <c r="H213" t="str">
        <f ca="1">IFERROR(__xludf.DUMMYFUNCTION("""COMPUTED_VALUE"""),"JST-XH Crimping pins")</f>
        <v>JST-XH Crimping pins</v>
      </c>
    </row>
    <row r="214" spans="1:9">
      <c r="A214" s="106"/>
      <c r="B214" s="111"/>
      <c r="C214" s="111"/>
      <c r="D214" s="111"/>
      <c r="E214" s="111" t="str">
        <f ca="1">IFERROR(__xludf.DUMMYFUNCTION("""COMPUTED_VALUE"""),"RG174 Coaxial cable ")</f>
        <v xml:space="preserve">RG174 Coaxial cable </v>
      </c>
      <c r="F214" s="111"/>
      <c r="G214" s="111"/>
      <c r="H214" t="str">
        <f ca="1">IFERROR(__xludf.DUMMYFUNCTION("""COMPUTED_VALUE"""),"JST-XH Crimping pins Gold Finger")</f>
        <v>JST-XH Crimping pins Gold Finger</v>
      </c>
    </row>
    <row r="215" spans="1:9">
      <c r="A215" s="106"/>
      <c r="B215" s="111"/>
      <c r="C215" s="111"/>
      <c r="D215" s="111"/>
      <c r="E215" s="111" t="str">
        <f ca="1">IFERROR(__xludf.DUMMYFUNCTION("""COMPUTED_VALUE"""),"RG142 Coaxial cable ")</f>
        <v xml:space="preserve">RG142 Coaxial cable </v>
      </c>
      <c r="F215" s="111"/>
      <c r="G215" s="111"/>
      <c r="H215" t="str">
        <f ca="1">IFERROR(__xludf.DUMMYFUNCTION("""COMPUTED_VALUE"""),"Cable Crimped JST-XH One Side Red 25cm 14/38 Wire")</f>
        <v>Cable Crimped JST-XH One Side Red 25cm 14/38 Wire</v>
      </c>
      <c r="I215" t="str">
        <f ca="1">IFERROR(__xludf.DUMMYFUNCTION("""COMPUTED_VALUE"""),"CAB-CRI-2511RED25CM14/38")</f>
        <v>CAB-CRI-2511RED25CM14/38</v>
      </c>
    </row>
    <row r="216" spans="1:9">
      <c r="A216" s="106"/>
      <c r="B216" s="111"/>
      <c r="C216" s="111"/>
      <c r="D216" s="111"/>
      <c r="E216" s="111" t="str">
        <f ca="1">IFERROR(__xludf.DUMMYFUNCTION("""COMPUTED_VALUE"""),"25Core Wire 14/38")</f>
        <v>25Core Wire 14/38</v>
      </c>
      <c r="F216" s="111"/>
      <c r="G216" s="111"/>
      <c r="H216" t="str">
        <f ca="1">IFERROR(__xludf.DUMMYFUNCTION("""COMPUTED_VALUE"""),"Cable Crimped JST-XH One Side Green 25cm 14/38 wire")</f>
        <v>Cable Crimped JST-XH One Side Green 25cm 14/38 wire</v>
      </c>
      <c r="I216" t="str">
        <f ca="1">IFERROR(__xludf.DUMMYFUNCTION("""COMPUTED_VALUE"""),"CAB-CRI-2511GREEN25CM14/38")</f>
        <v>CAB-CRI-2511GREEN25CM14/38</v>
      </c>
    </row>
    <row r="217" spans="1:9">
      <c r="A217" s="106"/>
      <c r="B217" s="111"/>
      <c r="C217" s="111"/>
      <c r="D217" s="111"/>
      <c r="E217" s="111" t="str">
        <f ca="1">IFERROR(__xludf.DUMMYFUNCTION("""COMPUTED_VALUE"""),"20 Core Wire 14/38")</f>
        <v>20 Core Wire 14/38</v>
      </c>
      <c r="F217" s="111" t="str">
        <f ca="1">IFERROR(__xludf.DUMMYFUNCTION("""COMPUTED_VALUE"""),"CAB-MCO-20C14/38LENChetan")</f>
        <v>CAB-MCO-20C14/38LENChetan</v>
      </c>
      <c r="G217" s="111"/>
      <c r="H217" t="str">
        <f ca="1">IFERROR(__xludf.DUMMYFUNCTION("""COMPUTED_VALUE"""),"Cable Crimped JST-XH One Side Black 25cm 14/38 wire")</f>
        <v>Cable Crimped JST-XH One Side Black 25cm 14/38 wire</v>
      </c>
      <c r="I217" t="str">
        <f ca="1">IFERROR(__xludf.DUMMYFUNCTION("""COMPUTED_VALUE"""),"CAB-CRI-2511BLACK25CM14/38")</f>
        <v>CAB-CRI-2511BLACK25CM14/38</v>
      </c>
    </row>
    <row r="218" spans="1:9">
      <c r="A218" s="106"/>
      <c r="B218" s="111"/>
      <c r="C218" s="111"/>
      <c r="D218" s="111"/>
      <c r="E218" s="111" t="str">
        <f ca="1">IFERROR(__xludf.DUMMYFUNCTION("""COMPUTED_VALUE"""),"16 Core Wire 14/38")</f>
        <v>16 Core Wire 14/38</v>
      </c>
      <c r="F218" s="111" t="str">
        <f ca="1">IFERROR(__xludf.DUMMYFUNCTION("""COMPUTED_VALUE"""),"CAB-MCO-16C14/38LENChetan")</f>
        <v>CAB-MCO-16C14/38LENChetan</v>
      </c>
      <c r="G218" s="111"/>
      <c r="H218" t="str">
        <f ca="1">IFERROR(__xludf.DUMMYFUNCTION("""COMPUTED_VALUE"""),"Cable Crimped JST One Side Black 10cm")</f>
        <v>Cable Crimped JST One Side Black 10cm</v>
      </c>
      <c r="I218" t="str">
        <f ca="1">IFERROR(__xludf.DUMMYFUNCTION("""COMPUTED_VALUE"""),"CAB-CRI-2515BLACK10CM14/38")</f>
        <v>CAB-CRI-2515BLACK10CM14/38</v>
      </c>
    </row>
    <row r="219" spans="1:9">
      <c r="A219" s="106"/>
      <c r="B219" s="111"/>
      <c r="C219" s="111"/>
      <c r="D219" s="111"/>
      <c r="E219" s="111" t="str">
        <f ca="1">IFERROR(__xludf.DUMMYFUNCTION("""COMPUTED_VALUE"""),"12 Core Wire 14/38")</f>
        <v>12 Core Wire 14/38</v>
      </c>
      <c r="F219" s="111" t="str">
        <f ca="1">IFERROR(__xludf.DUMMYFUNCTION("""COMPUTED_VALUE"""),"CAB-MCO-12C14/38LENChetan")</f>
        <v>CAB-MCO-12C14/38LENChetan</v>
      </c>
      <c r="G219" s="111"/>
      <c r="H219" t="str">
        <f ca="1">IFERROR(__xludf.DUMMYFUNCTION("""COMPUTED_VALUE"""),"Cable Crimped JST One Side Green 10cm")</f>
        <v>Cable Crimped JST One Side Green 10cm</v>
      </c>
      <c r="I219" t="str">
        <f ca="1">IFERROR(__xludf.DUMMYFUNCTION("""COMPUTED_VALUE"""),"CAB-CRI-2515GREEN10CM14/38")</f>
        <v>CAB-CRI-2515GREEN10CM14/38</v>
      </c>
    </row>
    <row r="220" spans="1:9">
      <c r="A220" s="106"/>
      <c r="B220" s="111"/>
      <c r="C220" s="111"/>
      <c r="D220" s="111"/>
      <c r="E220" s="111" t="str">
        <f ca="1">IFERROR(__xludf.DUMMYFUNCTION("""COMPUTED_VALUE"""),"10 Core Wire 14/38")</f>
        <v>10 Core Wire 14/38</v>
      </c>
      <c r="F220" s="111" t="str">
        <f ca="1">IFERROR(__xludf.DUMMYFUNCTION("""COMPUTED_VALUE"""),"CAB-MCO-10C14/38LENChetan")</f>
        <v>CAB-MCO-10C14/38LENChetan</v>
      </c>
      <c r="G220" s="111"/>
      <c r="H220" t="str">
        <f ca="1">IFERROR(__xludf.DUMMYFUNCTION("""COMPUTED_VALUE"""),"Cable Crimped JST One Side Violet 10cm")</f>
        <v>Cable Crimped JST One Side Violet 10cm</v>
      </c>
      <c r="I220" t="str">
        <f ca="1">IFERROR(__xludf.DUMMYFUNCTION("""COMPUTED_VALUE"""),"CAB-CRI-2515VOILET10CM14/38")</f>
        <v>CAB-CRI-2515VOILET10CM14/38</v>
      </c>
    </row>
    <row r="221" spans="1:9">
      <c r="A221" s="106"/>
      <c r="B221" s="111"/>
      <c r="C221" s="111"/>
      <c r="D221" s="111"/>
      <c r="E221" s="111" t="str">
        <f ca="1">IFERROR(__xludf.DUMMYFUNCTION("""COMPUTED_VALUE"""),"8 Core Wire 14/38")</f>
        <v>8 Core Wire 14/38</v>
      </c>
      <c r="F221" s="111" t="str">
        <f ca="1">IFERROR(__xludf.DUMMYFUNCTION("""COMPUTED_VALUE"""),"CAB-MCO-8C14/38LENChetan")</f>
        <v>CAB-MCO-8C14/38LENChetan</v>
      </c>
      <c r="G221" s="111"/>
      <c r="H221" t="str">
        <f ca="1">IFERROR(__xludf.DUMMYFUNCTION("""COMPUTED_VALUE"""),"Cable Crimped JST One Side Yellow 10cm")</f>
        <v>Cable Crimped JST One Side Yellow 10cm</v>
      </c>
      <c r="I221" t="str">
        <f ca="1">IFERROR(__xludf.DUMMYFUNCTION("""COMPUTED_VALUE"""),"CAB-CRI-2515YELLOW10CM14/38")</f>
        <v>CAB-CRI-2515YELLOW10CM14/38</v>
      </c>
    </row>
    <row r="222" spans="1:9">
      <c r="A222" s="106"/>
      <c r="B222" s="111"/>
      <c r="C222" s="111"/>
      <c r="D222" s="111"/>
      <c r="E222" s="111" t="str">
        <f ca="1">IFERROR(__xludf.DUMMYFUNCTION("""COMPUTED_VALUE"""),"6 Core Wire 14/38")</f>
        <v>6 Core Wire 14/38</v>
      </c>
      <c r="F222" s="111" t="str">
        <f ca="1">IFERROR(__xludf.DUMMYFUNCTION("""COMPUTED_VALUE"""),"CAB-MCO-6C14/38LENChetan")</f>
        <v>CAB-MCO-6C14/38LENChetan</v>
      </c>
      <c r="G222" s="111"/>
      <c r="H222" t="str">
        <f ca="1">IFERROR(__xludf.DUMMYFUNCTION("""COMPUTED_VALUE"""),"Cable Crimped JST One Side Sky Blue 10cm")</f>
        <v>Cable Crimped JST One Side Sky Blue 10cm</v>
      </c>
      <c r="I222" t="str">
        <f ca="1">IFERROR(__xludf.DUMMYFUNCTION("""COMPUTED_VALUE"""),"CAB-CRI-2515SBLUE10CM14/38")</f>
        <v>CAB-CRI-2515SBLUE10CM14/38</v>
      </c>
    </row>
    <row r="223" spans="1:9">
      <c r="A223" s="106"/>
      <c r="B223" s="111"/>
      <c r="C223" s="111"/>
      <c r="D223" s="111"/>
      <c r="E223" s="111" t="str">
        <f ca="1">IFERROR(__xludf.DUMMYFUNCTION("""COMPUTED_VALUE"""),"Red 14/38 Wire")</f>
        <v>Red 14/38 Wire</v>
      </c>
      <c r="F223" s="111" t="str">
        <f ca="1">IFERROR(__xludf.DUMMYFUNCTION("""COMPUTED_VALUE"""),"CAB-SCO-1C14/38LENChetan-Red")</f>
        <v>CAB-SCO-1C14/38LENChetan-Red</v>
      </c>
      <c r="G223" s="111"/>
      <c r="H223" t="str">
        <f ca="1">IFERROR(__xludf.DUMMYFUNCTION("""COMPUTED_VALUE"""),"Cable Crimped JST One Side Pink 10cm")</f>
        <v>Cable Crimped JST One Side Pink 10cm</v>
      </c>
      <c r="I223" t="str">
        <f ca="1">IFERROR(__xludf.DUMMYFUNCTION("""COMPUTED_VALUE"""),"CAB-CRI-2515PINK10CM14/38")</f>
        <v>CAB-CRI-2515PINK10CM14/38</v>
      </c>
    </row>
    <row r="224" spans="1:9">
      <c r="A224" s="106"/>
      <c r="B224" s="111"/>
      <c r="C224" s="111"/>
      <c r="D224" s="111"/>
      <c r="E224" s="111" t="str">
        <f ca="1">IFERROR(__xludf.DUMMYFUNCTION("""COMPUTED_VALUE"""),"Black 14/38 Wire")</f>
        <v>Black 14/38 Wire</v>
      </c>
      <c r="F224" s="111" t="str">
        <f ca="1">IFERROR(__xludf.DUMMYFUNCTION("""COMPUTED_VALUE"""),"CAB-SCO-1C14/38LENChetan-Black")</f>
        <v>CAB-SCO-1C14/38LENChetan-Black</v>
      </c>
      <c r="G224" s="111"/>
      <c r="H224" t="str">
        <f ca="1">IFERROR(__xludf.DUMMYFUNCTION("""COMPUTED_VALUE"""),"Cable Crimped JST One Side Orange 10cm")</f>
        <v>Cable Crimped JST One Side Orange 10cm</v>
      </c>
      <c r="I224" t="str">
        <f ca="1">IFERROR(__xludf.DUMMYFUNCTION("""COMPUTED_VALUE"""),"CAB-CRI-2515ORANGE10CM14/38")</f>
        <v>CAB-CRI-2515ORANGE10CM14/38</v>
      </c>
    </row>
    <row r="225" spans="1:10">
      <c r="A225" s="106"/>
      <c r="B225" s="111"/>
      <c r="C225" s="111"/>
      <c r="D225" s="111"/>
      <c r="E225" s="111" t="str">
        <f ca="1">IFERROR(__xludf.DUMMYFUNCTION("""COMPUTED_VALUE"""),"Yellow 14/38 Wire")</f>
        <v>Yellow 14/38 Wire</v>
      </c>
      <c r="F225" s="111" t="str">
        <f ca="1">IFERROR(__xludf.DUMMYFUNCTION("""COMPUTED_VALUE"""),"CAB-SCO-1C14/38LENChetan-Yellow")</f>
        <v>CAB-SCO-1C14/38LENChetan-Yellow</v>
      </c>
      <c r="G225" s="111"/>
      <c r="H225" t="str">
        <f ca="1">IFERROR(__xludf.DUMMYFUNCTION("""COMPUTED_VALUE"""),"Cable Crimped JST One Side Dark Blue 10cm")</f>
        <v>Cable Crimped JST One Side Dark Blue 10cm</v>
      </c>
      <c r="I225" t="str">
        <f ca="1">IFERROR(__xludf.DUMMYFUNCTION("""COMPUTED_VALUE"""),"CAB-CRI-2515DBLUE10CM14/38")</f>
        <v>CAB-CRI-2515DBLUE10CM14/38</v>
      </c>
    </row>
    <row r="226" spans="1:10">
      <c r="A226" s="106"/>
      <c r="B226" s="111"/>
      <c r="C226" s="111"/>
      <c r="D226" s="111"/>
      <c r="E226" s="111" t="str">
        <f ca="1">IFERROR(__xludf.DUMMYFUNCTION("""COMPUTED_VALUE"""),"White 14/38 Wire")</f>
        <v>White 14/38 Wire</v>
      </c>
      <c r="F226" s="111" t="str">
        <f ca="1">IFERROR(__xludf.DUMMYFUNCTION("""COMPUTED_VALUE"""),"CAB-SCO-1C14/38LENChetan-White")</f>
        <v>CAB-SCO-1C14/38LENChetan-White</v>
      </c>
      <c r="G226" s="111"/>
      <c r="H226" t="str">
        <f ca="1">IFERROR(__xludf.DUMMYFUNCTION("""COMPUTED_VALUE"""),"Cable Crimped JST One Side Light Brown 10cm")</f>
        <v>Cable Crimped JST One Side Light Brown 10cm</v>
      </c>
      <c r="I226" t="str">
        <f ca="1">IFERROR(__xludf.DUMMYFUNCTION("""COMPUTED_VALUE"""),"CAB-CRI-2515LBROWN10CM14/38")</f>
        <v>CAB-CRI-2515LBROWN10CM14/38</v>
      </c>
    </row>
    <row r="227" spans="1:10">
      <c r="A227" s="106"/>
      <c r="B227" s="111"/>
      <c r="C227" s="111"/>
      <c r="D227" s="111"/>
      <c r="E227" s="111" t="str">
        <f ca="1">IFERROR(__xludf.DUMMYFUNCTION("""COMPUTED_VALUE"""),"Sky Blue 14/38 Wire")</f>
        <v>Sky Blue 14/38 Wire</v>
      </c>
      <c r="F227" s="111" t="str">
        <f ca="1">IFERROR(__xludf.DUMMYFUNCTION("""COMPUTED_VALUE"""),"CAB-SCO-1C14/38LENChetan-SkyBlue")</f>
        <v>CAB-SCO-1C14/38LENChetan-SkyBlue</v>
      </c>
      <c r="G227" s="111"/>
      <c r="H227" t="str">
        <f ca="1">IFERROR(__xludf.DUMMYFUNCTION("""COMPUTED_VALUE"""),"Cable Crimped JST One Side Dark Brown 10cm")</f>
        <v>Cable Crimped JST One Side Dark Brown 10cm</v>
      </c>
      <c r="I227" t="str">
        <f ca="1">IFERROR(__xludf.DUMMYFUNCTION("""COMPUTED_VALUE"""),"CAB-CRI-2515DBROWN10CM14/38")</f>
        <v>CAB-CRI-2515DBROWN10CM14/38</v>
      </c>
    </row>
    <row r="228" spans="1:10">
      <c r="A228" s="106"/>
      <c r="B228" s="111"/>
      <c r="C228" s="111"/>
      <c r="D228" s="111"/>
      <c r="E228" s="111" t="str">
        <f ca="1">IFERROR(__xludf.DUMMYFUNCTION("""COMPUTED_VALUE"""),"Dark Blue 14/38 Wire")</f>
        <v>Dark Blue 14/38 Wire</v>
      </c>
      <c r="F228" s="111" t="str">
        <f ca="1">IFERROR(__xludf.DUMMYFUNCTION("""COMPUTED_VALUE"""),"CAB-SCO-1C14/38LENChetan-DarkBlue")</f>
        <v>CAB-SCO-1C14/38LENChetan-DarkBlue</v>
      </c>
      <c r="G228" s="111"/>
      <c r="H228" t="str">
        <f ca="1">IFERROR(__xludf.DUMMYFUNCTION("""COMPUTED_VALUE"""),"Cable Crimped JST One Side White with Red Strip 10cm")</f>
        <v>Cable Crimped JST One Side White with Red Strip 10cm</v>
      </c>
      <c r="I228" t="str">
        <f ca="1">IFERROR(__xludf.DUMMYFUNCTION("""COMPUTED_VALUE"""),"CAB-CRI-2515WHITERED10CM14/38")</f>
        <v>CAB-CRI-2515WHITERED10CM14/38</v>
      </c>
    </row>
    <row r="229" spans="1:10">
      <c r="A229" s="106"/>
      <c r="B229" s="111"/>
      <c r="C229" s="111"/>
      <c r="D229" s="111"/>
      <c r="E229" s="111" t="str">
        <f ca="1">IFERROR(__xludf.DUMMYFUNCTION("""COMPUTED_VALUE"""),"Orange 14/38 Wire")</f>
        <v>Orange 14/38 Wire</v>
      </c>
      <c r="F229" s="111" t="str">
        <f ca="1">IFERROR(__xludf.DUMMYFUNCTION("""COMPUTED_VALUE"""),"CAB-SCO-1C14/38LENChetan-Orange")</f>
        <v>CAB-SCO-1C14/38LENChetan-Orange</v>
      </c>
      <c r="G229" s="111"/>
      <c r="H229" t="str">
        <f ca="1">IFERROR(__xludf.DUMMYFUNCTION("""COMPUTED_VALUE"""),"Cable Crimped JST One Side White with Black Strip 10cm")</f>
        <v>Cable Crimped JST One Side White with Black Strip 10cm</v>
      </c>
      <c r="I229" t="str">
        <f ca="1">IFERROR(__xludf.DUMMYFUNCTION("""COMPUTED_VALUE"""),"CAB-CRI-2515WHITEBLACK10CM14/38")</f>
        <v>CAB-CRI-2515WHITEBLACK10CM14/38</v>
      </c>
    </row>
    <row r="230" spans="1:10">
      <c r="A230" s="106"/>
      <c r="B230" s="111"/>
      <c r="C230" s="111"/>
      <c r="D230" s="111"/>
      <c r="E230" s="111" t="str">
        <f ca="1">IFERROR(__xludf.DUMMYFUNCTION("""COMPUTED_VALUE"""),"Green 14/38 Wire")</f>
        <v>Green 14/38 Wire</v>
      </c>
      <c r="F230" s="111" t="str">
        <f ca="1">IFERROR(__xludf.DUMMYFUNCTION("""COMPUTED_VALUE"""),"CAB-SCO-1C14/38LENChetan-Green")</f>
        <v>CAB-SCO-1C14/38LENChetan-Green</v>
      </c>
      <c r="G230" s="111"/>
      <c r="H230" t="str">
        <f ca="1">IFERROR(__xludf.DUMMYFUNCTION("""COMPUTED_VALUE"""),"Cable Crimped JST One Side White 10cm")</f>
        <v>Cable Crimped JST One Side White 10cm</v>
      </c>
      <c r="I230" t="str">
        <f ca="1">IFERROR(__xludf.DUMMYFUNCTION("""COMPUTED_VALUE"""),"CAB-CRI-2515WHITE10CM14/38")</f>
        <v>CAB-CRI-2515WHITE10CM14/38</v>
      </c>
    </row>
    <row r="231" spans="1:10">
      <c r="A231" s="106"/>
      <c r="B231" s="111"/>
      <c r="C231" s="111"/>
      <c r="D231" s="111"/>
      <c r="E231" s="111" t="str">
        <f ca="1">IFERROR(__xludf.DUMMYFUNCTION("""COMPUTED_VALUE"""),"Purple 14/38 Wire")</f>
        <v>Purple 14/38 Wire</v>
      </c>
      <c r="F231" s="111" t="str">
        <f ca="1">IFERROR(__xludf.DUMMYFUNCTION("""COMPUTED_VALUE"""),"CAB-SCO-1C14/38LENChetan-Purple")</f>
        <v>CAB-SCO-1C14/38LENChetan-Purple</v>
      </c>
      <c r="G231" s="111"/>
      <c r="H231" t="str">
        <f ca="1">IFERROR(__xludf.DUMMYFUNCTION("""COMPUTED_VALUE"""),"Cable Crimped JST One Side Red 10cm")</f>
        <v>Cable Crimped JST One Side Red 10cm</v>
      </c>
      <c r="I231" t="str">
        <f ca="1">IFERROR(__xludf.DUMMYFUNCTION("""COMPUTED_VALUE"""),"CAB-CRI-2515RED10CM14/38")</f>
        <v>CAB-CRI-2515RED10CM14/38</v>
      </c>
    </row>
    <row r="232" spans="1:10">
      <c r="A232" s="106"/>
      <c r="B232" s="111"/>
      <c r="C232" s="111"/>
      <c r="D232" s="111"/>
      <c r="E232" s="111" t="str">
        <f ca="1">IFERROR(__xludf.DUMMYFUNCTION("""COMPUTED_VALUE"""),"Brown 14/38 Wire")</f>
        <v>Brown 14/38 Wire</v>
      </c>
      <c r="F232" s="111" t="str">
        <f ca="1">IFERROR(__xludf.DUMMYFUNCTION("""COMPUTED_VALUE"""),"CAB-SCO-1C14/38LENChetan-Brown")</f>
        <v>CAB-SCO-1C14/38LENChetan-Brown</v>
      </c>
      <c r="G232" s="111"/>
      <c r="H232" t="str">
        <f ca="1">IFERROR(__xludf.DUMMYFUNCTION("""COMPUTED_VALUE"""),"Cable Crimped JST One Side Light Grey 10cm")</f>
        <v>Cable Crimped JST One Side Light Grey 10cm</v>
      </c>
      <c r="I232" t="str">
        <f ca="1">IFERROR(__xludf.DUMMYFUNCTION("""COMPUTED_VALUE"""),"CAB-CRI-2515LGREY10CM14/38")</f>
        <v>CAB-CRI-2515LGREY10CM14/38</v>
      </c>
    </row>
    <row r="233" spans="1:10">
      <c r="A233" s="106"/>
      <c r="B233" s="111"/>
      <c r="C233" s="111"/>
      <c r="D233" s="111"/>
      <c r="E233" s="111" t="str">
        <f ca="1">IFERROR(__xludf.DUMMYFUNCTION("""COMPUTED_VALUE"""),"D. Brown 14/38 Wire")</f>
        <v>D. Brown 14/38 Wire</v>
      </c>
      <c r="F233" s="111" t="str">
        <f ca="1">IFERROR(__xludf.DUMMYFUNCTION("""COMPUTED_VALUE"""),"CAB-SCO-1C14/38LENChetan-DarkBrown")</f>
        <v>CAB-SCO-1C14/38LENChetan-DarkBrown</v>
      </c>
      <c r="G233" s="111"/>
      <c r="H233" t="str">
        <f ca="1">IFERROR(__xludf.DUMMYFUNCTION("""COMPUTED_VALUE"""),"Cable Crimped JST One Side Dark Grey 10cm")</f>
        <v>Cable Crimped JST One Side Dark Grey 10cm</v>
      </c>
      <c r="I233" t="str">
        <f ca="1">IFERROR(__xludf.DUMMYFUNCTION("""COMPUTED_VALUE"""),"CAB-CRI-2515DGREY10CM14/38")</f>
        <v>CAB-CRI-2515DGREY10CM14/38</v>
      </c>
    </row>
    <row r="234" spans="1:10">
      <c r="A234" s="106"/>
      <c r="B234" s="111"/>
      <c r="C234" s="111"/>
      <c r="D234" s="111"/>
      <c r="E234" s="111" t="str">
        <f ca="1">IFERROR(__xludf.DUMMYFUNCTION("""COMPUTED_VALUE"""),"Cyan 14/38 Wire")</f>
        <v>Cyan 14/38 Wire</v>
      </c>
      <c r="F234" s="111" t="str">
        <f ca="1">IFERROR(__xludf.DUMMYFUNCTION("""COMPUTED_VALUE"""),"CAB-SCO-1C14/38LENChetan-Cyan")</f>
        <v>CAB-SCO-1C14/38LENChetan-Cyan</v>
      </c>
      <c r="G234" s="111"/>
      <c r="H234" t="str">
        <f ca="1">IFERROR(__xludf.DUMMYFUNCTION("""COMPUTED_VALUE"""),"Cable Crimped JST One Side Cyan 10cm")</f>
        <v>Cable Crimped JST One Side Cyan 10cm</v>
      </c>
      <c r="I234" t="str">
        <f ca="1">IFERROR(__xludf.DUMMYFUNCTION("""COMPUTED_VALUE"""),"CAB-CRI-2515CYAN10CM14/38")</f>
        <v>CAB-CRI-2515CYAN10CM14/38</v>
      </c>
    </row>
    <row r="235" spans="1:10">
      <c r="A235" s="106"/>
      <c r="B235" s="111"/>
      <c r="C235" s="111"/>
      <c r="D235" s="111"/>
      <c r="E235" s="111" t="str">
        <f ca="1">IFERROR(__xludf.DUMMYFUNCTION("""COMPUTED_VALUE"""),"ParrotGreen 14/38 Wire")</f>
        <v>ParrotGreen 14/38 Wire</v>
      </c>
      <c r="F235" s="111" t="str">
        <f ca="1">IFERROR(__xludf.DUMMYFUNCTION("""COMPUTED_VALUE"""),"CAB-SCO-1C14/38LENChetan-ParrotGreen")</f>
        <v>CAB-SCO-1C14/38LENChetan-ParrotGreen</v>
      </c>
      <c r="G235" s="111"/>
      <c r="H235" t="str">
        <f ca="1">IFERROR(__xludf.DUMMYFUNCTION("""COMPUTED_VALUE"""),"Cable Crimped JST One Side Dark Parrot Green 10cm")</f>
        <v>Cable Crimped JST One Side Dark Parrot Green 10cm</v>
      </c>
      <c r="I235" t="str">
        <f ca="1">IFERROR(__xludf.DUMMYFUNCTION("""COMPUTED_VALUE"""),"CAB-CRI-2515PGREEN10CM14/38")</f>
        <v>CAB-CRI-2515PGREEN10CM14/38</v>
      </c>
    </row>
    <row r="236" spans="1:10">
      <c r="A236" s="106"/>
      <c r="B236" s="111"/>
      <c r="C236" s="111"/>
      <c r="D236" s="111"/>
      <c r="E236" s="111" t="str">
        <f ca="1">IFERROR(__xludf.DUMMYFUNCTION("""COMPUTED_VALUE"""),"Pink 14/38 Wire")</f>
        <v>Pink 14/38 Wire</v>
      </c>
      <c r="F236" s="111" t="str">
        <f ca="1">IFERROR(__xludf.DUMMYFUNCTION("""COMPUTED_VALUE"""),"CAB-SCO-1C14/38LENChetan-Pink")</f>
        <v>CAB-SCO-1C14/38LENChetan-Pink</v>
      </c>
      <c r="G236" s="111"/>
      <c r="H236" t="str">
        <f ca="1">IFERROR(__xludf.DUMMYFUNCTION("""COMPUTED_VALUE"""),"Cable Balancing Microfit")</f>
        <v>Cable Balancing Microfit</v>
      </c>
      <c r="I236" t="str">
        <f ca="1">IFERROR(__xludf.DUMMYFUNCTION("""COMPUTED_VALUE"""),"CAB-BAL-MFIT20CM20WGISDT")</f>
        <v>CAB-BAL-MFIT20CM20WGISDT</v>
      </c>
    </row>
    <row r="237" spans="1:10">
      <c r="A237" s="106"/>
      <c r="B237" s="111"/>
      <c r="C237" s="111"/>
      <c r="D237" s="111"/>
      <c r="E237" s="111" t="str">
        <f ca="1">IFERROR(__xludf.DUMMYFUNCTION("""COMPUTED_VALUE"""),"White Red 14/38 Wire")</f>
        <v>White Red 14/38 Wire</v>
      </c>
      <c r="F237" s="111" t="str">
        <f ca="1">IFERROR(__xludf.DUMMYFUNCTION("""COMPUTED_VALUE"""),"CAB-SCO-1C14/38LENChetan-WhiteRed")</f>
        <v>CAB-SCO-1C14/38LENChetan-WhiteRed</v>
      </c>
      <c r="G237" s="111"/>
      <c r="H237" t="str">
        <f ca="1">IFERROR(__xludf.DUMMYFUNCTION("""COMPUTED_VALUE"""),"Tactile switch for Reset Two Leg")</f>
        <v>Tactile switch for Reset Two Leg</v>
      </c>
      <c r="I237" t="str">
        <f ca="1">IFERROR(__xludf.DUMMYFUNCTION("""COMPUTED_VALUE"""),"SWI-PUS-SMD-2LEG")</f>
        <v>SWI-PUS-SMD-2LEG</v>
      </c>
      <c r="J237" t="str">
        <f ca="1">IFERROR(__xludf.DUMMYFUNCTION("""COMPUTED_VALUE"""),"KSR231G LFS")</f>
        <v>KSR231G LFS</v>
      </c>
    </row>
    <row r="238" spans="1:10">
      <c r="A238" s="106"/>
      <c r="B238" s="111"/>
      <c r="C238" s="111"/>
      <c r="D238" s="111"/>
      <c r="E238" s="111" t="str">
        <f ca="1">IFERROR(__xludf.DUMMYFUNCTION("""COMPUTED_VALUE"""),"White Black 14/38 Wire")</f>
        <v>White Black 14/38 Wire</v>
      </c>
      <c r="F238" s="111" t="str">
        <f ca="1">IFERROR(__xludf.DUMMYFUNCTION("""COMPUTED_VALUE"""),"CAB-SCO-1C14/38LENChetan-WhiteBlack")</f>
        <v>CAB-SCO-1C14/38LENChetan-WhiteBlack</v>
      </c>
      <c r="G238" s="111"/>
      <c r="H238" t="str">
        <f ca="1">IFERROR(__xludf.DUMMYFUNCTION("""COMPUTED_VALUE"""),"Antenna 915MHz ")</f>
        <v xml:space="preserve">Antenna 915MHz </v>
      </c>
      <c r="I238" t="str">
        <f ca="1">IFERROR(__xludf.DUMMYFUNCTION("""COMPUTED_VALUE"""),"RAD-ANT-OMPCH1W915")</f>
        <v>RAD-ANT-OMPCH1W915</v>
      </c>
    </row>
    <row r="239" spans="1:10">
      <c r="A239" s="106"/>
      <c r="B239" s="111"/>
      <c r="C239" s="111"/>
      <c r="D239" s="111"/>
      <c r="E239" s="111" t="str">
        <f ca="1">IFERROR(__xludf.DUMMYFUNCTION("""COMPUTED_VALUE"""),"Light Grey 14/38 Wire")</f>
        <v>Light Grey 14/38 Wire</v>
      </c>
      <c r="F239" s="111" t="str">
        <f ca="1">IFERROR(__xludf.DUMMYFUNCTION("""COMPUTED_VALUE"""),"CAB-SCO-1C14/38LENChetan-Grey")</f>
        <v>CAB-SCO-1C14/38LENChetan-Grey</v>
      </c>
      <c r="G239" s="111"/>
      <c r="H239" t="str">
        <f ca="1">IFERROR(__xludf.DUMMYFUNCTION("""COMPUTED_VALUE"""),"Cable Extension Converter Ipex4 to SMA (for R9MM ipex4) 15cm")</f>
        <v>Cable Extension Converter Ipex4 to SMA (for R9MM ipex4) 15cm</v>
      </c>
      <c r="I239" t="str">
        <f ca="1">IFERROR(__xludf.DUMMYFUNCTION("""COMPUTED_VALUE"""),"CAB-CAX-SMAFtoIPEX11.13")</f>
        <v>CAB-CAX-SMAFtoIPEX11.13</v>
      </c>
      <c r="J239" t="str">
        <f ca="1">IFERROR(__xludf.DUMMYFUNCTION("""COMPUTED_VALUE"""),"Robu: 1675004")</f>
        <v>Robu: 1675004</v>
      </c>
    </row>
    <row r="240" spans="1:10">
      <c r="A240" s="106"/>
      <c r="B240" s="111"/>
      <c r="C240" s="111"/>
      <c r="D240" s="111"/>
      <c r="E240" s="111" t="str">
        <f ca="1">IFERROR(__xludf.DUMMYFUNCTION("""COMPUTED_VALUE"""),"Dark Grey 14/38 Wire")</f>
        <v>Dark Grey 14/38 Wire</v>
      </c>
      <c r="F240" s="111" t="str">
        <f ca="1">IFERROR(__xludf.DUMMYFUNCTION("""COMPUTED_VALUE"""),"CAB-SCO-1C14/38LENChetan-DarkGrey")</f>
        <v>CAB-SCO-1C14/38LENChetan-DarkGrey</v>
      </c>
      <c r="G240" s="111"/>
      <c r="H240" t="str">
        <f ca="1">IFERROR(__xludf.DUMMYFUNCTION("""COMPUTED_VALUE"""),"Cable Extension R9M Antenna - RP-SMA to Open 20cm")</f>
        <v>Cable Extension R9M Antenna - RP-SMA to Open 20cm</v>
      </c>
      <c r="I240" t="str">
        <f ca="1">IFERROR(__xludf.DUMMYFUNCTION("""COMPUTED_VALUE"""),"CAB-CAX-RPSMAFtoOPEN1.13")</f>
        <v>CAB-CAX-RPSMAFtoOPEN1.13</v>
      </c>
    </row>
    <row r="241" spans="1:9">
      <c r="A241" s="106"/>
      <c r="B241" s="111"/>
      <c r="C241" s="111"/>
      <c r="D241" s="111"/>
      <c r="E241" s="111" t="str">
        <f ca="1">IFERROR(__xludf.DUMMYFUNCTION("""COMPUTED_VALUE"""),"Aft plate Acrylic for Template")</f>
        <v>Aft plate Acrylic for Template</v>
      </c>
      <c r="F241" s="111" t="str">
        <f ca="1">IFERROR(__xludf.DUMMYFUNCTION("""COMPUTED_VALUE"""),"FAB-TEM-AFT-SSLIFE")</f>
        <v>FAB-TEM-AFT-SSLIFE</v>
      </c>
      <c r="G241" s="111"/>
      <c r="H241" t="str">
        <f ca="1">IFERROR(__xludf.DUMMYFUNCTION("""COMPUTED_VALUE"""),"RP-SMA Female inline connector for RG174")</f>
        <v>RP-SMA Female inline connector for RG174</v>
      </c>
    </row>
    <row r="242" spans="1:9">
      <c r="A242" s="106"/>
      <c r="B242" s="111"/>
      <c r="C242" s="111"/>
      <c r="D242" s="111"/>
      <c r="E242" s="111" t="str">
        <f ca="1">IFERROR(__xludf.DUMMYFUNCTION("""COMPUTED_VALUE"""),"Battery Charger - Lithium 12S Lipo 1000Watt X16")</f>
        <v>Battery Charger - Lithium 12S Lipo 1000Watt X16</v>
      </c>
      <c r="F242" s="111" t="str">
        <f ca="1">IFERROR(__xludf.DUMMYFUNCTION("""COMPUTED_VALUE"""),"MOD-CHG-X16-220VAC-16Si20-2CH")</f>
        <v>MOD-CHG-X16-220VAC-16Si20-2CH</v>
      </c>
      <c r="G242" s="111" t="str">
        <f ca="1">IFERROR(__xludf.DUMMYFUNCTION("""COMPUTED_VALUE"""),"X16")</f>
        <v>X16</v>
      </c>
      <c r="H242" t="str">
        <f ca="1">IFERROR(__xludf.DUMMYFUNCTION("""COMPUTED_VALUE"""),"RP-SMA Male inline connector for RG174")</f>
        <v>RP-SMA Male inline connector for RG174</v>
      </c>
    </row>
    <row r="243" spans="1:9">
      <c r="A243" s="106"/>
      <c r="B243" s="111"/>
      <c r="C243" s="111"/>
      <c r="D243" s="111"/>
      <c r="E243" s="111" t="str">
        <f ca="1">IFERROR(__xludf.DUMMYFUNCTION("""COMPUTED_VALUE"""),"8S Lipo Charger ISDT Q8")</f>
        <v>8S Lipo Charger ISDT Q8</v>
      </c>
      <c r="F243" s="111"/>
      <c r="G243" s="111"/>
      <c r="H243" t="str">
        <f ca="1">IFERROR(__xludf.DUMMYFUNCTION("""COMPUTED_VALUE"""),"RP-SMA Female inline connector for RG142")</f>
        <v>RP-SMA Female inline connector for RG142</v>
      </c>
    </row>
    <row r="244" spans="1:9">
      <c r="A244" s="106"/>
      <c r="B244" s="111"/>
      <c r="C244" s="111"/>
      <c r="D244" s="111"/>
      <c r="E244" s="111" t="str">
        <f ca="1">IFERROR(__xludf.DUMMYFUNCTION("""COMPUTED_VALUE"""),"Battery Charger - Lithium 4S Lipo ISDT PD60")</f>
        <v>Battery Charger - Lithium 4S Lipo ISDT PD60</v>
      </c>
      <c r="F244" s="111" t="str">
        <f ca="1">IFERROR(__xludf.DUMMYFUNCTION("""COMPUTED_VALUE"""),"MOD-CHG-PD60-V5i6-4Si6-1CH")</f>
        <v>MOD-CHG-PD60-V5i6-4Si6-1CH</v>
      </c>
      <c r="G244" s="111"/>
      <c r="H244" t="str">
        <f ca="1">IFERROR(__xludf.DUMMYFUNCTION("""COMPUTED_VALUE"""),"RP-SMA Male inline connector for RG142")</f>
        <v>RP-SMA Male inline connector for RG142</v>
      </c>
    </row>
    <row r="245" spans="1:9">
      <c r="A245" s="106"/>
      <c r="B245" s="111"/>
      <c r="C245" s="111"/>
      <c r="D245" s="111"/>
      <c r="E245" s="111" t="str">
        <f ca="1">IFERROR(__xludf.DUMMYFUNCTION("""COMPUTED_VALUE"""),"SaifSeasLIfe Hull 8kg Orange")</f>
        <v>SaifSeasLIfe Hull 8kg Orange</v>
      </c>
      <c r="F245" s="111" t="str">
        <f ca="1">IFERROR(__xludf.DUMMYFUNCTION("""COMPUTED_VALUE"""),"FAB-ROT-HULL-8KG-ORANGE")</f>
        <v>FAB-ROT-HULL-8KG-ORANGE</v>
      </c>
      <c r="G245" s="111"/>
      <c r="H245" t="str">
        <f ca="1">IFERROR(__xludf.DUMMYFUNCTION("""COMPUTED_VALUE"""),"SMA Female inline connector for RG174")</f>
        <v>SMA Female inline connector for RG174</v>
      </c>
    </row>
    <row r="246" spans="1:9">
      <c r="A246" s="106"/>
      <c r="B246" s="111"/>
      <c r="C246" s="111"/>
      <c r="D246" s="111"/>
      <c r="E246" s="111" t="str">
        <f ca="1">IFERROR(__xludf.DUMMYFUNCTION("""COMPUTED_VALUE"""),"JCB Body cum mounting frame")</f>
        <v>JCB Body cum mounting frame</v>
      </c>
      <c r="F246" s="111"/>
      <c r="G246" s="111"/>
      <c r="H246" t="str">
        <f ca="1">IFERROR(__xludf.DUMMYFUNCTION("""COMPUTED_VALUE"""),"SMA Male inline connector for RG174")</f>
        <v>SMA Male inline connector for RG174</v>
      </c>
    </row>
    <row r="247" spans="1:9">
      <c r="A247" s="106"/>
      <c r="B247" s="111"/>
      <c r="C247" s="111"/>
      <c r="D247" s="111"/>
      <c r="E247" s="111" t="str">
        <f ca="1">IFERROR(__xludf.DUMMYFUNCTION("""COMPUTED_VALUE"""),"SaifSeasLife Self Righting Structure")</f>
        <v>SaifSeasLife Self Righting Structure</v>
      </c>
      <c r="F247" s="111" t="str">
        <f ca="1">IFERROR(__xludf.DUMMYFUNCTION("""COMPUTED_VALUE"""),"FAB-ROT-SRSTRUCT-ORANGE")</f>
        <v>FAB-ROT-SRSTRUCT-ORANGE</v>
      </c>
      <c r="G247" s="111"/>
      <c r="H247" t="str">
        <f ca="1">IFERROR(__xludf.DUMMYFUNCTION("""COMPUTED_VALUE"""),"SMA Female inline connector for RG142")</f>
        <v>SMA Female inline connector for RG142</v>
      </c>
    </row>
    <row r="248" spans="1:9">
      <c r="A248" s="106"/>
      <c r="B248" s="111"/>
      <c r="C248" s="111"/>
      <c r="D248" s="111"/>
      <c r="E248" s="111" t="str">
        <f ca="1">IFERROR(__xludf.DUMMYFUNCTION("""COMPUTED_VALUE"""),"SaifSeasLife Self Righting Pillow")</f>
        <v>SaifSeasLife Self Righting Pillow</v>
      </c>
      <c r="F248" s="111" t="str">
        <f ca="1">IFERROR(__xludf.DUMMYFUNCTION("""COMPUTED_VALUE"""),"FAB-ROT-SRPILLOW-ORANGE")</f>
        <v>FAB-ROT-SRPILLOW-ORANGE</v>
      </c>
      <c r="G248" s="111"/>
      <c r="H248" t="str">
        <f ca="1">IFERROR(__xludf.DUMMYFUNCTION("""COMPUTED_VALUE"""),"SMA Male connector inline for RG142")</f>
        <v>SMA Male connector inline for RG142</v>
      </c>
    </row>
    <row r="249" spans="1:9">
      <c r="A249" s="106"/>
      <c r="B249" s="111"/>
      <c r="C249" s="111"/>
      <c r="D249" s="111"/>
      <c r="E249" s="111" t="str">
        <f ca="1">IFERROR(__xludf.DUMMYFUNCTION("""COMPUTED_VALUE"""),"Coupling Hood")</f>
        <v>Coupling Hood</v>
      </c>
      <c r="F249" s="111"/>
      <c r="G249" s="111"/>
      <c r="H249" t="str">
        <f ca="1">IFERROR(__xludf.DUMMYFUNCTION("""COMPUTED_VALUE"""),"RG174 Coaxial cable ")</f>
        <v xml:space="preserve">RG174 Coaxial cable </v>
      </c>
    </row>
    <row r="250" spans="1:9">
      <c r="A250" s="106"/>
      <c r="B250" s="111"/>
      <c r="C250" s="111"/>
      <c r="D250" s="111"/>
      <c r="E250" s="111" t="str">
        <f ca="1">IFERROR(__xludf.DUMMYFUNCTION("""COMPUTED_VALUE"""),"2mm FRP 60x70mm with 18 mm hole")</f>
        <v>2mm FRP 60x70mm with 18 mm hole</v>
      </c>
      <c r="F250" s="111" t="str">
        <f ca="1">IFERROR(__xludf.DUMMYFUNCTION("""COMPUTED_VALUE"""),"FAB-MCN-60x70-2mmFRP-18mmHole")</f>
        <v>FAB-MCN-60x70-2mmFRP-18mmHole</v>
      </c>
      <c r="G250" s="111"/>
      <c r="H250" t="str">
        <f ca="1">IFERROR(__xludf.DUMMYFUNCTION("""COMPUTED_VALUE"""),"RG142 Coaxial cable ")</f>
        <v xml:space="preserve">RG142 Coaxial cable </v>
      </c>
    </row>
    <row r="251" spans="1:9">
      <c r="A251" s="106"/>
      <c r="B251" s="111"/>
      <c r="C251" s="111"/>
      <c r="D251" s="111"/>
      <c r="E251" s="111" t="str">
        <f ca="1">IFERROR(__xludf.DUMMYFUNCTION("""COMPUTED_VALUE"""),"1mm FRP 55x65mm")</f>
        <v>1mm FRP 55x65mm</v>
      </c>
      <c r="F251" s="111" t="str">
        <f ca="1">IFERROR(__xludf.DUMMYFUNCTION("""COMPUTED_VALUE"""),"FAB-MCN-55x65-1mmFRP")</f>
        <v>FAB-MCN-55x65-1mmFRP</v>
      </c>
      <c r="G251" s="111"/>
      <c r="H251" t="str">
        <f ca="1">IFERROR(__xludf.DUMMYFUNCTION("""COMPUTED_VALUE"""),"25Core Wire 14/38")</f>
        <v>25Core Wire 14/38</v>
      </c>
    </row>
    <row r="252" spans="1:9">
      <c r="A252" s="106"/>
      <c r="B252" s="111"/>
      <c r="C252" s="111"/>
      <c r="D252" s="111"/>
      <c r="E252" s="111" t="str">
        <f ca="1">IFERROR(__xludf.DUMMYFUNCTION("""COMPUTED_VALUE"""),"flow sensor Clamp")</f>
        <v>flow sensor Clamp</v>
      </c>
      <c r="F252" s="111"/>
      <c r="G252" s="111"/>
      <c r="H252" t="str">
        <f ca="1">IFERROR(__xludf.DUMMYFUNCTION("""COMPUTED_VALUE"""),"20 Core Wire 14/38")</f>
        <v>20 Core Wire 14/38</v>
      </c>
      <c r="I252" t="str">
        <f ca="1">IFERROR(__xludf.DUMMYFUNCTION("""COMPUTED_VALUE"""),"CAB-MCO-20C14/38LENChetan")</f>
        <v>CAB-MCO-20C14/38LENChetan</v>
      </c>
    </row>
    <row r="253" spans="1:9">
      <c r="A253" s="106"/>
      <c r="B253" s="111"/>
      <c r="C253" s="111"/>
      <c r="D253" s="111"/>
      <c r="E253" s="111" t="str">
        <f ca="1">IFERROR(__xludf.DUMMYFUNCTION("""COMPUTED_VALUE"""),"Battery Clamp 6S 3P")</f>
        <v>Battery Clamp 6S 3P</v>
      </c>
      <c r="F253" s="111" t="str">
        <f ca="1">IFERROR(__xludf.DUMMYFUNCTION("""COMPUTED_VALUE"""),"FAB-MCN-6S3P-CLAMP")</f>
        <v>FAB-MCN-6S3P-CLAMP</v>
      </c>
      <c r="G253" s="111"/>
      <c r="H253" t="str">
        <f ca="1">IFERROR(__xludf.DUMMYFUNCTION("""COMPUTED_VALUE"""),"16 Core Wire 14/38")</f>
        <v>16 Core Wire 14/38</v>
      </c>
      <c r="I253" t="str">
        <f ca="1">IFERROR(__xludf.DUMMYFUNCTION("""COMPUTED_VALUE"""),"CAB-MCO-16C14/38LENChetan")</f>
        <v>CAB-MCO-16C14/38LENChetan</v>
      </c>
    </row>
    <row r="254" spans="1:9">
      <c r="A254" s="106"/>
      <c r="B254" s="111"/>
      <c r="C254" s="111"/>
      <c r="D254" s="111"/>
      <c r="E254" s="111" t="str">
        <f ca="1">IFERROR(__xludf.DUMMYFUNCTION("""COMPUTED_VALUE"""),"Electronic Box Top Lid")</f>
        <v>Electronic Box Top Lid</v>
      </c>
      <c r="F254" s="111" t="str">
        <f ca="1">IFERROR(__xludf.DUMMYFUNCTION("""COMPUTED_VALUE"""),"FAB-IJM-ElecBox-TopLid")</f>
        <v>FAB-IJM-ElecBox-TopLid</v>
      </c>
      <c r="G254" s="111"/>
      <c r="H254" t="str">
        <f ca="1">IFERROR(__xludf.DUMMYFUNCTION("""COMPUTED_VALUE"""),"12 Core Wire 14/38")</f>
        <v>12 Core Wire 14/38</v>
      </c>
      <c r="I254" t="str">
        <f ca="1">IFERROR(__xludf.DUMMYFUNCTION("""COMPUTED_VALUE"""),"CAB-MCO-12C14/38LENChetan")</f>
        <v>CAB-MCO-12C14/38LENChetan</v>
      </c>
    </row>
    <row r="255" spans="1:9">
      <c r="A255" s="106"/>
      <c r="B255" s="111"/>
      <c r="C255" s="111"/>
      <c r="D255" s="111"/>
      <c r="E255" s="111" t="str">
        <f ca="1">IFERROR(__xludf.DUMMYFUNCTION("""COMPUTED_VALUE"""),"Kangaroo Box")</f>
        <v>Kangaroo Box</v>
      </c>
      <c r="F255" s="111" t="str">
        <f ca="1">IFERROR(__xludf.DUMMYFUNCTION("""COMPUTED_VALUE"""),"FAB-IJM-Kangaroo-Box")</f>
        <v>FAB-IJM-Kangaroo-Box</v>
      </c>
      <c r="G255" s="111"/>
      <c r="H255" t="str">
        <f ca="1">IFERROR(__xludf.DUMMYFUNCTION("""COMPUTED_VALUE"""),"10 Core Wire 14/38")</f>
        <v>10 Core Wire 14/38</v>
      </c>
      <c r="I255" t="str">
        <f ca="1">IFERROR(__xludf.DUMMYFUNCTION("""COMPUTED_VALUE"""),"CAB-MCO-10C14/38LENChetan")</f>
        <v>CAB-MCO-10C14/38LENChetan</v>
      </c>
    </row>
    <row r="256" spans="1:9">
      <c r="A256" s="106"/>
      <c r="B256" s="111"/>
      <c r="C256" s="111"/>
      <c r="D256" s="111"/>
      <c r="E256" s="111" t="str">
        <f ca="1">IFERROR(__xludf.DUMMYFUNCTION("""COMPUTED_VALUE"""),"Kangaroo Lid Cover")</f>
        <v>Kangaroo Lid Cover</v>
      </c>
      <c r="F256" s="111" t="str">
        <f ca="1">IFERROR(__xludf.DUMMYFUNCTION("""COMPUTED_VALUE"""),"FAB-IJM-Kangaroo-TopLid")</f>
        <v>FAB-IJM-Kangaroo-TopLid</v>
      </c>
      <c r="G256" s="111"/>
      <c r="H256" t="str">
        <f ca="1">IFERROR(__xludf.DUMMYFUNCTION("""COMPUTED_VALUE"""),"8 Core Wire 14/38")</f>
        <v>8 Core Wire 14/38</v>
      </c>
      <c r="I256" t="str">
        <f ca="1">IFERROR(__xludf.DUMMYFUNCTION("""COMPUTED_VALUE"""),"CAB-MCO-8C14/38LENChetan")</f>
        <v>CAB-MCO-8C14/38LENChetan</v>
      </c>
    </row>
    <row r="257" spans="1:9">
      <c r="A257" s="106"/>
      <c r="B257" s="111"/>
      <c r="C257" s="111"/>
      <c r="D257" s="111"/>
      <c r="E257" s="111" t="str">
        <f ca="1">IFERROR(__xludf.DUMMYFUNCTION("""COMPUTED_VALUE"""),"Battery holding foam block Side (115×80×35)")</f>
        <v>Battery holding foam block Side (115×80×35)</v>
      </c>
      <c r="F257" s="111"/>
      <c r="G257" s="111"/>
      <c r="H257" t="str">
        <f ca="1">IFERROR(__xludf.DUMMYFUNCTION("""COMPUTED_VALUE"""),"6 Core Wire 14/38")</f>
        <v>6 Core Wire 14/38</v>
      </c>
      <c r="I257" t="str">
        <f ca="1">IFERROR(__xludf.DUMMYFUNCTION("""COMPUTED_VALUE"""),"CAB-MCO-6C14/38LENChetan")</f>
        <v>CAB-MCO-6C14/38LENChetan</v>
      </c>
    </row>
    <row r="258" spans="1:9">
      <c r="A258" s="106"/>
      <c r="B258" s="111"/>
      <c r="C258" s="111"/>
      <c r="D258" s="111"/>
      <c r="E258" s="111" t="str">
        <f ca="1">IFERROR(__xludf.DUMMYFUNCTION("""COMPUTED_VALUE"""),"Battery holding foam block Upside (80×80×35)")</f>
        <v>Battery holding foam block Upside (80×80×35)</v>
      </c>
      <c r="F258" s="111"/>
      <c r="G258" s="111"/>
      <c r="H258" t="str">
        <f ca="1">IFERROR(__xludf.DUMMYFUNCTION("""COMPUTED_VALUE"""),"Red 14/38 Wire")</f>
        <v>Red 14/38 Wire</v>
      </c>
      <c r="I258" t="str">
        <f ca="1">IFERROR(__xludf.DUMMYFUNCTION("""COMPUTED_VALUE"""),"CAB-SCO-1C14/38LENChetan-Red")</f>
        <v>CAB-SCO-1C14/38LENChetan-Red</v>
      </c>
    </row>
    <row r="259" spans="1:9">
      <c r="A259" s="106"/>
      <c r="B259" s="111"/>
      <c r="C259" s="111"/>
      <c r="D259" s="111"/>
      <c r="E259" s="111" t="str">
        <f ca="1">IFERROR(__xludf.DUMMYFUNCTION("""COMPUTED_VALUE"""),"EPE Packing for Battery Clamping UP on jet plate (150×80×20)")</f>
        <v>EPE Packing for Battery Clamping UP on jet plate (150×80×20)</v>
      </c>
      <c r="F259" s="111" t="str">
        <f ca="1">IFERROR(__xludf.DUMMYFUNCTION("""COMPUTED_VALUE"""),"EPE-20mm-150x80")</f>
        <v>EPE-20mm-150x80</v>
      </c>
      <c r="G259" s="111"/>
      <c r="H259" t="str">
        <f ca="1">IFERROR(__xludf.DUMMYFUNCTION("""COMPUTED_VALUE"""),"Black 14/38 Wire")</f>
        <v>Black 14/38 Wire</v>
      </c>
      <c r="I259" t="str">
        <f ca="1">IFERROR(__xludf.DUMMYFUNCTION("""COMPUTED_VALUE"""),"CAB-SCO-1C14/38LENChetan-Black")</f>
        <v>CAB-SCO-1C14/38LENChetan-Black</v>
      </c>
    </row>
    <row r="260" spans="1:9">
      <c r="A260" s="106"/>
      <c r="B260" s="111"/>
      <c r="C260" s="111"/>
      <c r="D260" s="111"/>
      <c r="E260" s="111" t="str">
        <f ca="1">IFERROR(__xludf.DUMMYFUNCTION("""COMPUTED_VALUE"""),"EPE Packing for Battery Clamping B&amp;F on jet plate (80×80×10)")</f>
        <v>EPE Packing for Battery Clamping B&amp;F on jet plate (80×80×10)</v>
      </c>
      <c r="F260" s="111" t="str">
        <f ca="1">IFERROR(__xludf.DUMMYFUNCTION("""COMPUTED_VALUE"""),"EPE-10mm-80x80")</f>
        <v>EPE-10mm-80x80</v>
      </c>
      <c r="G260" s="111"/>
      <c r="H260" t="str">
        <f ca="1">IFERROR(__xludf.DUMMYFUNCTION("""COMPUTED_VALUE"""),"Yellow 14/38 Wire")</f>
        <v>Yellow 14/38 Wire</v>
      </c>
      <c r="I260" t="str">
        <f ca="1">IFERROR(__xludf.DUMMYFUNCTION("""COMPUTED_VALUE"""),"CAB-SCO-1C14/38LENChetan-Yellow")</f>
        <v>CAB-SCO-1C14/38LENChetan-Yellow</v>
      </c>
    </row>
    <row r="261" spans="1:9">
      <c r="A261" s="106"/>
      <c r="B261" s="111"/>
      <c r="C261" s="111"/>
      <c r="D261" s="111"/>
      <c r="E261" s="111" t="str">
        <f ca="1">IFERROR(__xludf.DUMMYFUNCTION("""COMPUTED_VALUE"""),"EPE Packing for Electronic Box Under (150x230x25 in mm)")</f>
        <v>EPE Packing for Electronic Box Under (150x230x25 in mm)</v>
      </c>
      <c r="F261" s="111" t="str">
        <f ca="1">IFERROR(__xludf.DUMMYFUNCTION("""COMPUTED_VALUE"""),"EPE-25mm-150x230")</f>
        <v>EPE-25mm-150x230</v>
      </c>
      <c r="G261" s="111"/>
      <c r="H261" t="str">
        <f ca="1">IFERROR(__xludf.DUMMYFUNCTION("""COMPUTED_VALUE"""),"White 14/38 Wire")</f>
        <v>White 14/38 Wire</v>
      </c>
      <c r="I261" t="str">
        <f ca="1">IFERROR(__xludf.DUMMYFUNCTION("""COMPUTED_VALUE"""),"CAB-SCO-1C14/38LENChetan-White")</f>
        <v>CAB-SCO-1C14/38LENChetan-White</v>
      </c>
    </row>
    <row r="262" spans="1:9">
      <c r="A262" s="106"/>
      <c r="B262" s="111"/>
      <c r="C262" s="111"/>
      <c r="D262" s="111"/>
      <c r="E262" s="111" t="str">
        <f ca="1">IFERROR(__xludf.DUMMYFUNCTION("""COMPUTED_VALUE"""),"EPE Packing for Electronic Box Above (125x40x25 in mm)")</f>
        <v>EPE Packing for Electronic Box Above (125x40x25 in mm)</v>
      </c>
      <c r="F262" s="111" t="str">
        <f ca="1">IFERROR(__xludf.DUMMYFUNCTION("""COMPUTED_VALUE"""),"EPE-30mm-150x80")</f>
        <v>EPE-30mm-150x80</v>
      </c>
      <c r="G262" s="111"/>
      <c r="H262" t="str">
        <f ca="1">IFERROR(__xludf.DUMMYFUNCTION("""COMPUTED_VALUE"""),"Sky Blue 14/38 Wire")</f>
        <v>Sky Blue 14/38 Wire</v>
      </c>
      <c r="I262" t="str">
        <f ca="1">IFERROR(__xludf.DUMMYFUNCTION("""COMPUTED_VALUE"""),"CAB-SCO-1C14/38LENChetan-SkyBlue")</f>
        <v>CAB-SCO-1C14/38LENChetan-SkyBlue</v>
      </c>
    </row>
    <row r="263" spans="1:9">
      <c r="A263" s="106"/>
      <c r="B263" s="111"/>
      <c r="C263" s="111"/>
      <c r="D263" s="111"/>
      <c r="E263" s="111" t="str">
        <f ca="1">IFERROR(__xludf.DUMMYFUNCTION("""COMPUTED_VALUE"""),"Cable Zip ties 100x3 MultiCompro")</f>
        <v>Cable Zip ties 100x3 MultiCompro</v>
      </c>
      <c r="F263" s="111" t="str">
        <f ca="1">IFERROR(__xludf.DUMMYFUNCTION("""COMPUTED_VALUE"""),"COR-ZIP-100M3M-MULTICOMPRO")</f>
        <v>COR-ZIP-100M3M-MULTICOMPRO</v>
      </c>
      <c r="G263" s="111"/>
      <c r="H263" t="str">
        <f ca="1">IFERROR(__xludf.DUMMYFUNCTION("""COMPUTED_VALUE"""),"Dark Blue 14/38 Wire")</f>
        <v>Dark Blue 14/38 Wire</v>
      </c>
      <c r="I263" t="str">
        <f ca="1">IFERROR(__xludf.DUMMYFUNCTION("""COMPUTED_VALUE"""),"CAB-SCO-1C14/38LENChetan-DarkBlue")</f>
        <v>CAB-SCO-1C14/38LENChetan-DarkBlue</v>
      </c>
    </row>
    <row r="264" spans="1:9">
      <c r="A264" s="106"/>
      <c r="B264" s="111"/>
      <c r="C264" s="111"/>
      <c r="D264" s="111"/>
      <c r="E264" s="111" t="str">
        <f ca="1">IFERROR(__xludf.DUMMYFUNCTION("""COMPUTED_VALUE"""),"Zip ties 200m")</f>
        <v>Zip ties 200m</v>
      </c>
      <c r="F264" s="111"/>
      <c r="G264" s="111"/>
      <c r="H264" t="str">
        <f ca="1">IFERROR(__xludf.DUMMYFUNCTION("""COMPUTED_VALUE"""),"Orange 14/38 Wire")</f>
        <v>Orange 14/38 Wire</v>
      </c>
      <c r="I264" t="str">
        <f ca="1">IFERROR(__xludf.DUMMYFUNCTION("""COMPUTED_VALUE"""),"CAB-SCO-1C14/38LENChetan-Orange")</f>
        <v>CAB-SCO-1C14/38LENChetan-Orange</v>
      </c>
    </row>
    <row r="265" spans="1:9">
      <c r="A265" s="106"/>
      <c r="B265" s="111"/>
      <c r="C265" s="111"/>
      <c r="D265" s="111"/>
      <c r="E265" s="111" t="str">
        <f ca="1">IFERROR(__xludf.DUMMYFUNCTION("""COMPUTED_VALUE"""),"Zip ties 250m Regular")</f>
        <v>Zip ties 250m Regular</v>
      </c>
      <c r="F265" s="111" t="str">
        <f ca="1">IFERROR(__xludf.DUMMYFUNCTION("""COMPUTED_VALUE"""),"COR-ZIP-250M3M-COMM")</f>
        <v>COR-ZIP-250M3M-COMM</v>
      </c>
      <c r="G265" s="111"/>
      <c r="H265" t="str">
        <f ca="1">IFERROR(__xludf.DUMMYFUNCTION("""COMPUTED_VALUE"""),"Green 14/38 Wire")</f>
        <v>Green 14/38 Wire</v>
      </c>
      <c r="I265" t="str">
        <f ca="1">IFERROR(__xludf.DUMMYFUNCTION("""COMPUTED_VALUE"""),"CAB-SCO-1C14/38LENChetan-Green")</f>
        <v>CAB-SCO-1C14/38LENChetan-Green</v>
      </c>
    </row>
    <row r="266" spans="1:9">
      <c r="A266" s="106"/>
      <c r="B266" s="111"/>
      <c r="C266" s="111"/>
      <c r="D266" s="111"/>
      <c r="E266" s="111" t="str">
        <f ca="1">IFERROR(__xludf.DUMMYFUNCTION("""COMPUTED_VALUE"""),"Zip ties 300m")</f>
        <v>Zip ties 300m</v>
      </c>
      <c r="F266" s="111" t="str">
        <f ca="1">IFERROR(__xludf.DUMMYFUNCTION("""COMPUTED_VALUE"""),"COR-ZIP-300M3M-COMM")</f>
        <v>COR-ZIP-300M3M-COMM</v>
      </c>
      <c r="G266" s="111"/>
      <c r="H266" t="str">
        <f ca="1">IFERROR(__xludf.DUMMYFUNCTION("""COMPUTED_VALUE"""),"Purple 14/38 Wire")</f>
        <v>Purple 14/38 Wire</v>
      </c>
      <c r="I266" t="str">
        <f ca="1">IFERROR(__xludf.DUMMYFUNCTION("""COMPUTED_VALUE"""),"CAB-SCO-1C14/38LENChetan-Purple")</f>
        <v>CAB-SCO-1C14/38LENChetan-Purple</v>
      </c>
    </row>
    <row r="267" spans="1:9">
      <c r="A267" s="106"/>
      <c r="B267" s="111"/>
      <c r="C267" s="111"/>
      <c r="D267" s="111"/>
      <c r="E267" s="111" t="str">
        <f ca="1">IFERROR(__xludf.DUMMYFUNCTION("""COMPUTED_VALUE"""),"Ferrite Core")</f>
        <v>Ferrite Core</v>
      </c>
      <c r="F267" s="111" t="str">
        <f ca="1">IFERROR(__xludf.DUMMYFUNCTION("""COMPUTED_VALUE"""),"EAC-TOR-CF199T1306C")</f>
        <v>EAC-TOR-CF199T1306C</v>
      </c>
      <c r="G267" s="111" t="str">
        <f ca="1">IFERROR(__xludf.DUMMYFUNCTION("""COMPUTED_VALUE"""),"CF199T1306C")</f>
        <v>CF199T1306C</v>
      </c>
      <c r="H267" t="str">
        <f ca="1">IFERROR(__xludf.DUMMYFUNCTION("""COMPUTED_VALUE"""),"Brown 14/38 Wire")</f>
        <v>Brown 14/38 Wire</v>
      </c>
      <c r="I267" t="str">
        <f ca="1">IFERROR(__xludf.DUMMYFUNCTION("""COMPUTED_VALUE"""),"CAB-SCO-1C14/38LENChetan-Brown")</f>
        <v>CAB-SCO-1C14/38LENChetan-Brown</v>
      </c>
    </row>
    <row r="268" spans="1:9">
      <c r="A268" s="106"/>
      <c r="B268" s="111"/>
      <c r="C268" s="111"/>
      <c r="D268" s="111"/>
      <c r="E268" s="111" t="str">
        <f ca="1">IFERROR(__xludf.DUMMYFUNCTION("""COMPUTED_VALUE"""),"Connector Circular PM Male SY21-15 Pin ")</f>
        <v xml:space="preserve">Connector Circular PM Male SY21-15 Pin </v>
      </c>
      <c r="F268" s="111" t="str">
        <f ca="1">IFERROR(__xludf.DUMMYFUNCTION("""COMPUTED_VALUE"""),"CON-CRC-SY21BY-PM-M15PL67")</f>
        <v>CON-CRC-SY21BY-PM-M15PL67</v>
      </c>
      <c r="G268" s="111" t="str">
        <f ca="1">IFERROR(__xludf.DUMMYFUNCTION("""COMPUTED_VALUE"""),"SY2112/P15-1N")</f>
        <v>SY2112/P15-1N</v>
      </c>
      <c r="H268" t="str">
        <f ca="1">IFERROR(__xludf.DUMMYFUNCTION("""COMPUTED_VALUE"""),"D. Brown 14/38 Wire")</f>
        <v>D. Brown 14/38 Wire</v>
      </c>
      <c r="I268" t="str">
        <f ca="1">IFERROR(__xludf.DUMMYFUNCTION("""COMPUTED_VALUE"""),"CAB-SCO-1C14/38LENChetan-DarkBrown")</f>
        <v>CAB-SCO-1C14/38LENChetan-DarkBrown</v>
      </c>
    </row>
    <row r="269" spans="1:9">
      <c r="A269" s="106"/>
      <c r="B269" s="111"/>
      <c r="C269" s="111"/>
      <c r="D269" s="111"/>
      <c r="E269" s="111" t="str">
        <f ca="1">IFERROR(__xludf.DUMMYFUNCTION("""COMPUTED_VALUE"""),"Connector Circular CM Female SY21-15 Pin ")</f>
        <v xml:space="preserve">Connector Circular CM Female SY21-15 Pin </v>
      </c>
      <c r="F269" s="111" t="str">
        <f ca="1">IFERROR(__xludf.DUMMYFUNCTION("""COMPUTED_VALUE"""),"CON-CRC-SY21BY-CM-F15PL67")</f>
        <v>CON-CRC-SY21BY-CM-F15PL67</v>
      </c>
      <c r="G269" s="111" t="str">
        <f ca="1">IFERROR(__xludf.DUMMYFUNCTION("""COMPUTED_VALUE"""),"SY2116/S15II-1N")</f>
        <v>SY2116/S15II-1N</v>
      </c>
      <c r="H269" t="str">
        <f ca="1">IFERROR(__xludf.DUMMYFUNCTION("""COMPUTED_VALUE"""),"Cyan 14/38 Wire")</f>
        <v>Cyan 14/38 Wire</v>
      </c>
      <c r="I269" t="str">
        <f ca="1">IFERROR(__xludf.DUMMYFUNCTION("""COMPUTED_VALUE"""),"CAB-SCO-1C14/38LENChetan-Cyan")</f>
        <v>CAB-SCO-1C14/38LENChetan-Cyan</v>
      </c>
    </row>
    <row r="270" spans="1:9">
      <c r="A270" s="106"/>
      <c r="B270" s="111"/>
      <c r="C270" s="111"/>
      <c r="D270" s="111"/>
      <c r="E270" s="111" t="str">
        <f ca="1">IFERROR(__xludf.DUMMYFUNCTION("""COMPUTED_VALUE"""),"Connector Circular CM Metal Male WY20 - 15 Pin")</f>
        <v>Connector Circular CM Metal Male WY20 - 15 Pin</v>
      </c>
      <c r="F270" s="111" t="str">
        <f ca="1">IFERROR(__xludf.DUMMYFUNCTION("""COMPUTED_VALUE"""),"CON-CRC-WY20BY-PM-M15PL67")</f>
        <v>CON-CRC-WY20BY-PM-M15PL67</v>
      </c>
      <c r="G270" s="111"/>
      <c r="H270" t="str">
        <f ca="1">IFERROR(__xludf.DUMMYFUNCTION("""COMPUTED_VALUE"""),"ParrotGreen 14/38 Wire")</f>
        <v>ParrotGreen 14/38 Wire</v>
      </c>
      <c r="I270" t="str">
        <f ca="1">IFERROR(__xludf.DUMMYFUNCTION("""COMPUTED_VALUE"""),"CAB-SCO-1C14/38LENChetan-ParrotGreen")</f>
        <v>CAB-SCO-1C14/38LENChetan-ParrotGreen</v>
      </c>
    </row>
    <row r="271" spans="1:9">
      <c r="A271" s="106"/>
      <c r="B271" s="111"/>
      <c r="C271" s="111"/>
      <c r="D271" s="111"/>
      <c r="E271" s="111" t="str">
        <f ca="1">IFERROR(__xludf.DUMMYFUNCTION("""COMPUTED_VALUE"""),"Connector Circular PM Metal Female WY20 - 15 Pin")</f>
        <v>Connector Circular PM Metal Female WY20 - 15 Pin</v>
      </c>
      <c r="F271" s="111" t="str">
        <f ca="1">IFERROR(__xludf.DUMMYFUNCTION("""COMPUTED_VALUE"""),"CON-CRC-WY20BY-CM-F15PL67")</f>
        <v>CON-CRC-WY20BY-CM-F15PL67</v>
      </c>
      <c r="G271" s="111"/>
      <c r="H271" t="str">
        <f ca="1">IFERROR(__xludf.DUMMYFUNCTION("""COMPUTED_VALUE"""),"Pink 14/38 Wire")</f>
        <v>Pink 14/38 Wire</v>
      </c>
      <c r="I271" t="str">
        <f ca="1">IFERROR(__xludf.DUMMYFUNCTION("""COMPUTED_VALUE"""),"CAB-SCO-1C14/38LENChetan-Pink")</f>
        <v>CAB-SCO-1C14/38LENChetan-Pink</v>
      </c>
    </row>
    <row r="272" spans="1:9">
      <c r="A272" s="106"/>
      <c r="B272" s="111"/>
      <c r="C272" s="111"/>
      <c r="D272" s="111"/>
      <c r="E272" s="111" t="str">
        <f ca="1">IFERROR(__xludf.DUMMYFUNCTION("""COMPUTED_VALUE"""),"Connector SY21-15 pin panel mount(Female) OLD")</f>
        <v>Connector SY21-15 pin panel mount(Female) OLD</v>
      </c>
      <c r="F272" s="111" t="str">
        <f ca="1">IFERROR(__xludf.DUMMYFUNCTION("""COMPUTED_VALUE"""),"CON-CRC-SY21BY-PM-F15PL67")</f>
        <v>CON-CRC-SY21BY-PM-F15PL67</v>
      </c>
      <c r="G272" s="111" t="str">
        <f ca="1">IFERROR(__xludf.DUMMYFUNCTION("""COMPUTED_VALUE"""),"SY2112/S15-1N")</f>
        <v>SY2112/S15-1N</v>
      </c>
      <c r="H272" t="str">
        <f ca="1">IFERROR(__xludf.DUMMYFUNCTION("""COMPUTED_VALUE"""),"White Red 14/38 Wire")</f>
        <v>White Red 14/38 Wire</v>
      </c>
      <c r="I272" t="str">
        <f ca="1">IFERROR(__xludf.DUMMYFUNCTION("""COMPUTED_VALUE"""),"CAB-SCO-1C14/38LENChetan-WhiteRed")</f>
        <v>CAB-SCO-1C14/38LENChetan-WhiteRed</v>
      </c>
    </row>
    <row r="273" spans="1:10">
      <c r="A273" s="106"/>
      <c r="B273" s="111"/>
      <c r="C273" s="111"/>
      <c r="D273" s="111"/>
      <c r="E273" s="111" t="str">
        <f ca="1">IFERROR(__xludf.DUMMYFUNCTION("""COMPUTED_VALUE"""),"Connector SY21-15 pin Cable Mount(Male) OLD")</f>
        <v>Connector SY21-15 pin Cable Mount(Male) OLD</v>
      </c>
      <c r="F273" s="111" t="str">
        <f ca="1">IFERROR(__xludf.DUMMYFUNCTION("""COMPUTED_VALUE"""),"CON-CRC-SY21BY-CM-M15PL67")</f>
        <v>CON-CRC-SY21BY-CM-M15PL67</v>
      </c>
      <c r="G273" s="111" t="str">
        <f ca="1">IFERROR(__xludf.DUMMYFUNCTION("""COMPUTED_VALUE"""),"SY2116/P15II-1N")</f>
        <v>SY2116/P15II-1N</v>
      </c>
      <c r="H273" t="str">
        <f ca="1">IFERROR(__xludf.DUMMYFUNCTION("""COMPUTED_VALUE"""),"White Black 14/38 Wire")</f>
        <v>White Black 14/38 Wire</v>
      </c>
      <c r="I273" t="str">
        <f ca="1">IFERROR(__xludf.DUMMYFUNCTION("""COMPUTED_VALUE"""),"CAB-SCO-1C14/38LENChetan-WhiteBlack")</f>
        <v>CAB-SCO-1C14/38LENChetan-WhiteBlack</v>
      </c>
    </row>
    <row r="274" spans="1:10">
      <c r="A274" s="106"/>
      <c r="B274" s="111"/>
      <c r="C274" s="111"/>
      <c r="D274" s="111"/>
      <c r="E274" s="111" t="str">
        <f ca="1">IFERROR(__xludf.DUMMYFUNCTION("""COMPUTED_VALUE"""),"Connector Circular CM Metal Male WY-28")</f>
        <v>Connector Circular CM Metal Male WY-28</v>
      </c>
      <c r="F274" s="111" t="str">
        <f ca="1">IFERROR(__xludf.DUMMYFUNCTION("""COMPUTED_VALUE"""),"CON-CRC-WY28BY-CM-M26AL67-RA")</f>
        <v>CON-CRC-WY28BY-CM-M26AL67-RA</v>
      </c>
      <c r="G274" s="111" t="str">
        <f ca="1">IFERROR(__xludf.DUMMYFUNCTION("""COMPUTED_VALUE"""),"WY28J26TE1")</f>
        <v>WY28J26TE1</v>
      </c>
      <c r="H274" t="str">
        <f ca="1">IFERROR(__xludf.DUMMYFUNCTION("""COMPUTED_VALUE"""),"Light Grey 14/38 Wire")</f>
        <v>Light Grey 14/38 Wire</v>
      </c>
      <c r="I274" t="str">
        <f ca="1">IFERROR(__xludf.DUMMYFUNCTION("""COMPUTED_VALUE"""),"CAB-SCO-1C14/38LENChetan-Grey")</f>
        <v>CAB-SCO-1C14/38LENChetan-Grey</v>
      </c>
    </row>
    <row r="275" spans="1:10">
      <c r="A275" s="106"/>
      <c r="B275" s="111"/>
      <c r="C275" s="111"/>
      <c r="D275" s="111"/>
      <c r="E275" s="111" t="str">
        <f ca="1">IFERROR(__xludf.DUMMYFUNCTION("""COMPUTED_VALUE"""),"Connector Circular PM Metal Female WY-28")</f>
        <v>Connector Circular PM Metal Female WY-28</v>
      </c>
      <c r="F275" s="111" t="str">
        <f ca="1">IFERROR(__xludf.DUMMYFUNCTION("""COMPUTED_VALUE"""),"CON-CRC-WY28BY-CM-F26AL67")</f>
        <v>CON-CRC-WY28BY-CM-F26AL67</v>
      </c>
      <c r="G275" s="111" t="str">
        <f ca="1">IFERROR(__xludf.DUMMYFUNCTION("""COMPUTED_VALUE"""),"WY28K26ZM1")</f>
        <v>WY28K26ZM1</v>
      </c>
      <c r="H275" t="str">
        <f ca="1">IFERROR(__xludf.DUMMYFUNCTION("""COMPUTED_VALUE"""),"Dark Grey 14/38 Wire")</f>
        <v>Dark Grey 14/38 Wire</v>
      </c>
      <c r="I275" t="str">
        <f ca="1">IFERROR(__xludf.DUMMYFUNCTION("""COMPUTED_VALUE"""),"CAB-SCO-1C14/38LENChetan-DarkGrey")</f>
        <v>CAB-SCO-1C14/38LENChetan-DarkGrey</v>
      </c>
    </row>
    <row r="276" spans="1:10">
      <c r="A276" s="106"/>
      <c r="B276" s="111"/>
      <c r="C276" s="111"/>
      <c r="D276" s="111"/>
      <c r="E276" s="111" t="str">
        <f ca="1">IFERROR(__xludf.DUMMYFUNCTION("""COMPUTED_VALUE"""),"Connector Circular Push Pull CM Male SA12 9pin")</f>
        <v>Connector Circular Push Pull CM Male SA12 9pin</v>
      </c>
      <c r="F276" s="111" t="str">
        <f ca="1">IFERROR(__xludf.DUMMYFUNCTION("""COMPUTED_VALUE"""),"CON-CRC-SA12PF-CM-M9AL67-ST")</f>
        <v>CON-CRC-SA12PF-CM-M9AL67-ST</v>
      </c>
      <c r="G276" s="111" t="str">
        <f ca="1">IFERROR(__xludf.DUMMYFUNCTION("""COMPUTED_VALUE"""),"SA1210/P9IB")</f>
        <v>SA1210/P9IB</v>
      </c>
      <c r="H276" t="str">
        <f ca="1">IFERROR(__xludf.DUMMYFUNCTION("""COMPUTED_VALUE"""),"Aft plate Acrylic for Template")</f>
        <v>Aft plate Acrylic for Template</v>
      </c>
      <c r="I276" t="str">
        <f ca="1">IFERROR(__xludf.DUMMYFUNCTION("""COMPUTED_VALUE"""),"FAB-TEM-AFT-SSLIFE")</f>
        <v>FAB-TEM-AFT-SSLIFE</v>
      </c>
    </row>
    <row r="277" spans="1:10">
      <c r="A277" s="106"/>
      <c r="B277" s="111"/>
      <c r="C277" s="111"/>
      <c r="D277" s="111"/>
      <c r="E277" s="111" t="str">
        <f ca="1">IFERROR(__xludf.DUMMYFUNCTION("""COMPUTED_VALUE"""),"Connector Circular Push Pull PM Female SA12 9pin")</f>
        <v>Connector Circular Push Pull PM Female SA12 9pin</v>
      </c>
      <c r="F277" s="111" t="str">
        <f ca="1">IFERROR(__xludf.DUMMYFUNCTION("""COMPUTED_VALUE"""),"CON-CRC-SA12PF-PM-F9AL67-ST")</f>
        <v>CON-CRC-SA12PF-PM-F9AL67-ST</v>
      </c>
      <c r="G277" s="111" t="str">
        <f ca="1">IFERROR(__xludf.DUMMYFUNCTION("""COMPUTED_VALUE"""),"SA1212/S9B")</f>
        <v>SA1212/S9B</v>
      </c>
      <c r="H277" t="str">
        <f ca="1">IFERROR(__xludf.DUMMYFUNCTION("""COMPUTED_VALUE"""),"Battery Charger - Lithium 12S Lipo 1000Watt X16")</f>
        <v>Battery Charger - Lithium 12S Lipo 1000Watt X16</v>
      </c>
      <c r="I277" t="str">
        <f ca="1">IFERROR(__xludf.DUMMYFUNCTION("""COMPUTED_VALUE"""),"MOD-CHG-X16-220VAC-16Si20-2CH")</f>
        <v>MOD-CHG-X16-220VAC-16Si20-2CH</v>
      </c>
      <c r="J277" t="str">
        <f ca="1">IFERROR(__xludf.DUMMYFUNCTION("""COMPUTED_VALUE"""),"X16")</f>
        <v>X16</v>
      </c>
    </row>
    <row r="278" spans="1:10">
      <c r="A278" s="106"/>
      <c r="B278" s="111"/>
      <c r="C278" s="111"/>
      <c r="D278" s="111"/>
      <c r="E278" s="111" t="str">
        <f ca="1">IFERROR(__xludf.DUMMYFUNCTION("""COMPUTED_VALUE"""),"Connector Circular Push Pull CM Female SA12 9pin")</f>
        <v>Connector Circular Push Pull CM Female SA12 9pin</v>
      </c>
      <c r="F278" s="111" t="str">
        <f ca="1">IFERROR(__xludf.DUMMYFUNCTION("""COMPUTED_VALUE"""),"CON-CRC-SA12PF-CM-F9AL67-ST")</f>
        <v>CON-CRC-SA12PF-CM-F9AL67-ST</v>
      </c>
      <c r="G278" s="111" t="str">
        <f ca="1">IFERROR(__xludf.DUMMYFUNCTION("""COMPUTED_VALUE"""),"SA1211/S9IB")</f>
        <v>SA1211/S9IB</v>
      </c>
      <c r="H278" t="str">
        <f ca="1">IFERROR(__xludf.DUMMYFUNCTION("""COMPUTED_VALUE"""),"8S Lipo Charger ISDT Q8")</f>
        <v>8S Lipo Charger ISDT Q8</v>
      </c>
    </row>
    <row r="279" spans="1:10">
      <c r="A279" s="106"/>
      <c r="B279" s="111"/>
      <c r="C279" s="111"/>
      <c r="D279" s="111"/>
      <c r="E279" s="111" t="str">
        <f ca="1">IFERROR(__xludf.DUMMYFUNCTION("""COMPUTED_VALUE"""),"WK20-15 IP68 CM Metal Connector Male")</f>
        <v>WK20-15 IP68 CM Metal Connector Male</v>
      </c>
      <c r="F279" s="111"/>
      <c r="G279" s="111" t="str">
        <f ca="1">IFERROR(__xludf.DUMMYFUNCTION("""COMPUTED_VALUE"""),"WK20J15TE1I")</f>
        <v>WK20J15TE1I</v>
      </c>
      <c r="H279" t="str">
        <f ca="1">IFERROR(__xludf.DUMMYFUNCTION("""COMPUTED_VALUE"""),"Battery Charger - Lithium 4S Lipo ISDT PD60")</f>
        <v>Battery Charger - Lithium 4S Lipo ISDT PD60</v>
      </c>
      <c r="I279" t="str">
        <f ca="1">IFERROR(__xludf.DUMMYFUNCTION("""COMPUTED_VALUE"""),"MOD-CHG-PD60-V5i6-4Si6-1CH")</f>
        <v>MOD-CHG-PD60-V5i6-4Si6-1CH</v>
      </c>
    </row>
    <row r="280" spans="1:10">
      <c r="A280" s="106"/>
      <c r="B280" s="111"/>
      <c r="C280" s="111"/>
      <c r="D280" s="111"/>
      <c r="E280" s="111" t="str">
        <f ca="1">IFERROR(__xludf.DUMMYFUNCTION("""COMPUTED_VALUE"""),"WK20-15 IP68 CM Metal Connector Female")</f>
        <v>WK20-15 IP68 CM Metal Connector Female</v>
      </c>
      <c r="F280" s="111"/>
      <c r="G280" s="111" t="str">
        <f ca="1">IFERROR(__xludf.DUMMYFUNCTION("""COMPUTED_VALUE"""),"WK20K15TE1I")</f>
        <v>WK20K15TE1I</v>
      </c>
      <c r="H280" t="str">
        <f ca="1">IFERROR(__xludf.DUMMYFUNCTION("""COMPUTED_VALUE"""),"SaifSeasLIfe Hull 8kg Orange")</f>
        <v>SaifSeasLIfe Hull 8kg Orange</v>
      </c>
      <c r="I280" t="str">
        <f ca="1">IFERROR(__xludf.DUMMYFUNCTION("""COMPUTED_VALUE"""),"FAB-ROT-HULL-8KG-ORANGE")</f>
        <v>FAB-ROT-HULL-8KG-ORANGE</v>
      </c>
    </row>
    <row r="281" spans="1:10">
      <c r="A281" s="106"/>
      <c r="B281" s="111"/>
      <c r="C281" s="111"/>
      <c r="D281" s="111"/>
      <c r="E281" s="111" t="str">
        <f ca="1">IFERROR(__xludf.DUMMYFUNCTION("""COMPUTED_VALUE"""),"WK20-15 IP68 PM Metal connector (Female)")</f>
        <v>WK20-15 IP68 PM Metal connector (Female)</v>
      </c>
      <c r="F281" s="111"/>
      <c r="G281" s="111" t="str">
        <f ca="1">IFERROR(__xludf.DUMMYFUNCTION("""COMPUTED_VALUE"""),"WK20K15ZM1")</f>
        <v>WK20K15ZM1</v>
      </c>
      <c r="H281" t="str">
        <f ca="1">IFERROR(__xludf.DUMMYFUNCTION("""COMPUTED_VALUE"""),"JCB Body cum mounting frame")</f>
        <v>JCB Body cum mounting frame</v>
      </c>
    </row>
    <row r="282" spans="1:10">
      <c r="A282" s="106"/>
      <c r="B282" s="111"/>
      <c r="C282" s="111"/>
      <c r="D282" s="111"/>
      <c r="E282" s="111" t="str">
        <f ca="1">IFERROR(__xludf.DUMMYFUNCTION("""COMPUTED_VALUE"""),"WK20-15 IP68 PM Metal connector (Male)")</f>
        <v>WK20-15 IP68 PM Metal connector (Male)</v>
      </c>
      <c r="F282" s="111"/>
      <c r="G282" s="111" t="str">
        <f ca="1">IFERROR(__xludf.DUMMYFUNCTION("""COMPUTED_VALUE"""),"WK20J15ZM1")</f>
        <v>WK20J15ZM1</v>
      </c>
      <c r="H282" t="str">
        <f ca="1">IFERROR(__xludf.DUMMYFUNCTION("""COMPUTED_VALUE"""),"SaifSeasLife Self Righting Structure")</f>
        <v>SaifSeasLife Self Righting Structure</v>
      </c>
      <c r="I282" t="str">
        <f ca="1">IFERROR(__xludf.DUMMYFUNCTION("""COMPUTED_VALUE"""),"FAB-ROT-SRSTRUCT-ORANGE")</f>
        <v>FAB-ROT-SRSTRUCT-ORANGE</v>
      </c>
    </row>
    <row r="283" spans="1:10">
      <c r="A283" s="106"/>
      <c r="B283" s="111"/>
      <c r="C283" s="111"/>
      <c r="D283" s="111"/>
      <c r="E283" s="111" t="str">
        <f ca="1">IFERROR(__xludf.DUMMYFUNCTION("""COMPUTED_VALUE"""),"Connector Circular Plug Clip Lock CM Female LP24 24-Pin")</f>
        <v>Connector Circular Plug Clip Lock CM Female LP24 24-Pin</v>
      </c>
      <c r="F283" s="111" t="str">
        <f ca="1">IFERROR(__xludf.DUMMYFUNCTION("""COMPUTED_VALUE"""),"CON-CRS-LP24PF-CM-F24PL67-ST")</f>
        <v>CON-CRS-LP24PF-CM-F24PL67-ST</v>
      </c>
      <c r="G283" s="111" t="str">
        <f ca="1">IFERROR(__xludf.DUMMYFUNCTION("""COMPUTED_VALUE"""),"LP24-J24PE-01-001")</f>
        <v>LP24-J24PE-01-001</v>
      </c>
      <c r="H283" t="str">
        <f ca="1">IFERROR(__xludf.DUMMYFUNCTION("""COMPUTED_VALUE"""),"SaifSeasLife Self Righting Pillow")</f>
        <v>SaifSeasLife Self Righting Pillow</v>
      </c>
      <c r="I283" t="str">
        <f ca="1">IFERROR(__xludf.DUMMYFUNCTION("""COMPUTED_VALUE"""),"FAB-ROT-SRPILLOW-ORANGE")</f>
        <v>FAB-ROT-SRPILLOW-ORANGE</v>
      </c>
    </row>
    <row r="284" spans="1:10">
      <c r="A284" s="106"/>
      <c r="B284" s="111"/>
      <c r="C284" s="111"/>
      <c r="D284" s="111"/>
      <c r="E284" s="111" t="str">
        <f ca="1">IFERROR(__xludf.DUMMYFUNCTION("""COMPUTED_VALUE"""),"Connector Circular Socket Clip Lock PM Male LP24 24 Pin")</f>
        <v>Connector Circular Socket Clip Lock PM Male LP24 24 Pin</v>
      </c>
      <c r="F284" s="111" t="str">
        <f ca="1">IFERROR(__xludf.DUMMYFUNCTION("""COMPUTED_VALUE"""),"CON-CRS-LP24PF-PM-M24PL67")</f>
        <v>CON-CRS-LP24PF-PM-M24PL67</v>
      </c>
      <c r="G284" s="111" t="str">
        <f ca="1">IFERROR(__xludf.DUMMYFUNCTION("""COMPUTED_VALUE"""),"LP24-C24SX-03-401")</f>
        <v>LP24-C24SX-03-401</v>
      </c>
      <c r="H284" t="str">
        <f ca="1">IFERROR(__xludf.DUMMYFUNCTION("""COMPUTED_VALUE"""),"Coupling Hood")</f>
        <v>Coupling Hood</v>
      </c>
    </row>
    <row r="285" spans="1:10">
      <c r="A285" s="106"/>
      <c r="B285" s="111"/>
      <c r="C285" s="111"/>
      <c r="D285" s="111"/>
      <c r="E285" s="111" t="str">
        <f ca="1">IFERROR(__xludf.DUMMYFUNCTION("""COMPUTED_VALUE"""),"LP12 3 pin plug male clip lock CM")</f>
        <v>LP12 3 pin plug male clip lock CM</v>
      </c>
      <c r="F285" s="111" t="str">
        <f ca="1">IFERROR(__xludf.DUMMYFUNCTION("""COMPUTED_VALUE"""),"CON-CRS-LP12PF-CM-M3PL67-ST")</f>
        <v>CON-CRS-LP12PF-CM-M3PL67-ST</v>
      </c>
      <c r="G285" s="111" t="str">
        <f ca="1">IFERROR(__xludf.DUMMYFUNCTION("""COMPUTED_VALUE"""),"LP-12- C03PE-02-001")</f>
        <v>LP-12- C03PE-02-001</v>
      </c>
      <c r="H285" t="str">
        <f ca="1">IFERROR(__xludf.DUMMYFUNCTION("""COMPUTED_VALUE"""),"2mm FRP 60x70mm with 18 mm hole")</f>
        <v>2mm FRP 60x70mm with 18 mm hole</v>
      </c>
      <c r="I285" t="str">
        <f ca="1">IFERROR(__xludf.DUMMYFUNCTION("""COMPUTED_VALUE"""),"FAB-MCN-60x70-2mmFRP-18mmHole")</f>
        <v>FAB-MCN-60x70-2mmFRP-18mmHole</v>
      </c>
    </row>
    <row r="286" spans="1:10">
      <c r="A286" s="106"/>
      <c r="B286" s="111"/>
      <c r="C286" s="111"/>
      <c r="D286" s="111"/>
      <c r="E286" s="111" t="str">
        <f ca="1">IFERROR(__xludf.DUMMYFUNCTION("""COMPUTED_VALUE"""),"LP12 3 pin socket female clip lock PM")</f>
        <v>LP12 3 pin socket female clip lock PM</v>
      </c>
      <c r="F286" s="111" t="str">
        <f ca="1">IFERROR(__xludf.DUMMYFUNCTION("""COMPUTED_VALUE"""),"CON-CRS-LP12PF-PM-F3PL67-ST")</f>
        <v>CON-CRS-LP12PF-PM-F3PL67-ST</v>
      </c>
      <c r="G286" s="111" t="str">
        <f ca="1">IFERROR(__xludf.DUMMYFUNCTION("""COMPUTED_VALUE"""),"LP-12- J03SX-02-101")</f>
        <v>LP-12- J03SX-02-101</v>
      </c>
      <c r="H286" t="str">
        <f ca="1">IFERROR(__xludf.DUMMYFUNCTION("""COMPUTED_VALUE"""),"1mm FRP 55x65mm")</f>
        <v>1mm FRP 55x65mm</v>
      </c>
      <c r="I286" t="str">
        <f ca="1">IFERROR(__xludf.DUMMYFUNCTION("""COMPUTED_VALUE"""),"FAB-MCN-55x65-1mmFRP")</f>
        <v>FAB-MCN-55x65-1mmFRP</v>
      </c>
    </row>
    <row r="287" spans="1:10">
      <c r="A287" s="106"/>
      <c r="B287" s="111"/>
      <c r="C287" s="111"/>
      <c r="D287" s="111"/>
      <c r="E287" s="111" t="str">
        <f ca="1">IFERROR(__xludf.DUMMYFUNCTION("""COMPUTED_VALUE"""),"LP12 4 pin plug male clip lock CM")</f>
        <v>LP12 4 pin plug male clip lock CM</v>
      </c>
      <c r="F287" s="111" t="str">
        <f ca="1">IFERROR(__xludf.DUMMYFUNCTION("""COMPUTED_VALUE"""),"CON-CRS-LP12PF-CM-M4PL67-ST")</f>
        <v>CON-CRS-LP12PF-CM-M4PL67-ST</v>
      </c>
      <c r="G287" s="111" t="str">
        <f ca="1">IFERROR(__xludf.DUMMYFUNCTION("""COMPUTED_VALUE"""),"LP-12-C04PE-02-001")</f>
        <v>LP-12-C04PE-02-001</v>
      </c>
      <c r="H287" t="str">
        <f ca="1">IFERROR(__xludf.DUMMYFUNCTION("""COMPUTED_VALUE"""),"flow sensor Clamp")</f>
        <v>flow sensor Clamp</v>
      </c>
    </row>
    <row r="288" spans="1:10">
      <c r="A288" s="106"/>
      <c r="B288" s="111"/>
      <c r="C288" s="111"/>
      <c r="D288" s="111"/>
      <c r="E288" s="111" t="str">
        <f ca="1">IFERROR(__xludf.DUMMYFUNCTION("""COMPUTED_VALUE"""),"LP12 4 pin socket female clip lock PM")</f>
        <v>LP12 4 pin socket female clip lock PM</v>
      </c>
      <c r="F288" s="111" t="str">
        <f ca="1">IFERROR(__xludf.DUMMYFUNCTION("""COMPUTED_VALUE"""),"CON-CRS-LP12PF-PM-F4PL67-ST")</f>
        <v>CON-CRS-LP12PF-PM-F4PL67-ST</v>
      </c>
      <c r="G288" s="111" t="str">
        <f ca="1">IFERROR(__xludf.DUMMYFUNCTION("""COMPUTED_VALUE"""),"LP-12-J04SX-03-001")</f>
        <v>LP-12-J04SX-03-001</v>
      </c>
      <c r="H288" t="str">
        <f ca="1">IFERROR(__xludf.DUMMYFUNCTION("""COMPUTED_VALUE"""),"Battery Clamp 6S 3P")</f>
        <v>Battery Clamp 6S 3P</v>
      </c>
      <c r="I288" t="str">
        <f ca="1">IFERROR(__xludf.DUMMYFUNCTION("""COMPUTED_VALUE"""),"FAB-MCN-6S3P-CLAMP")</f>
        <v>FAB-MCN-6S3P-CLAMP</v>
      </c>
    </row>
    <row r="289" spans="1:10">
      <c r="A289" s="106"/>
      <c r="B289" s="111"/>
      <c r="C289" s="111"/>
      <c r="D289" s="111"/>
      <c r="E289" s="111" t="str">
        <f ca="1">IFERROR(__xludf.DUMMYFUNCTION("""COMPUTED_VALUE"""),"LP12 6 pin plug male clip lock CM")</f>
        <v>LP12 6 pin plug male clip lock CM</v>
      </c>
      <c r="F289" s="111" t="str">
        <f ca="1">IFERROR(__xludf.DUMMYFUNCTION("""COMPUTED_VALUE"""),"CON-CRS-LP12PF-CM-M6PL67-ST")</f>
        <v>CON-CRS-LP12PF-CM-M6PL67-ST</v>
      </c>
      <c r="G289" s="111" t="str">
        <f ca="1">IFERROR(__xludf.DUMMYFUNCTION("""COMPUTED_VALUE"""),"LP-12-C06PE-02-001")</f>
        <v>LP-12-C06PE-02-001</v>
      </c>
      <c r="H289" t="str">
        <f ca="1">IFERROR(__xludf.DUMMYFUNCTION("""COMPUTED_VALUE"""),"Electronic Box Top Lid")</f>
        <v>Electronic Box Top Lid</v>
      </c>
      <c r="I289" t="str">
        <f ca="1">IFERROR(__xludf.DUMMYFUNCTION("""COMPUTED_VALUE"""),"FAB-IJM-ElecBox-TopLid")</f>
        <v>FAB-IJM-ElecBox-TopLid</v>
      </c>
    </row>
    <row r="290" spans="1:10">
      <c r="A290" s="106"/>
      <c r="B290" s="111"/>
      <c r="C290" s="111"/>
      <c r="D290" s="111"/>
      <c r="E290" s="111" t="str">
        <f ca="1">IFERROR(__xludf.DUMMYFUNCTION("""COMPUTED_VALUE"""),"LP12 6 pin socket female clip lock CM")</f>
        <v>LP12 6 pin socket female clip lock CM</v>
      </c>
      <c r="F290" s="111" t="str">
        <f ca="1">IFERROR(__xludf.DUMMYFUNCTION("""COMPUTED_VALUE"""),"CON-CRS-LP12PF-CM-F6PL67-ST")</f>
        <v>CON-CRS-LP12PF-CM-F6PL67-ST</v>
      </c>
      <c r="G290" s="111" t="str">
        <f ca="1">IFERROR(__xludf.DUMMYFUNCTION("""COMPUTED_VALUE"""),"LP-12-J06PP-03-001")</f>
        <v>LP-12-J06PP-03-001</v>
      </c>
      <c r="H290" t="str">
        <f ca="1">IFERROR(__xludf.DUMMYFUNCTION("""COMPUTED_VALUE"""),"Kangaroo Box")</f>
        <v>Kangaroo Box</v>
      </c>
      <c r="I290" t="str">
        <f ca="1">IFERROR(__xludf.DUMMYFUNCTION("""COMPUTED_VALUE"""),"FAB-IJM-Kangaroo-Box")</f>
        <v>FAB-IJM-Kangaroo-Box</v>
      </c>
    </row>
    <row r="291" spans="1:10">
      <c r="A291" s="106"/>
      <c r="B291" s="111"/>
      <c r="C291" s="111"/>
      <c r="D291" s="111"/>
      <c r="E291" s="111" t="str">
        <f ca="1">IFERROR(__xludf.DUMMYFUNCTION("""COMPUTED_VALUE"""),"LP12 8 pin plug male clip lock CM")</f>
        <v>LP12 8 pin plug male clip lock CM</v>
      </c>
      <c r="F291" s="111" t="str">
        <f ca="1">IFERROR(__xludf.DUMMYFUNCTION("""COMPUTED_VALUE"""),"CON-CRS-LP12PF-CM-M8PL67-ST")</f>
        <v>CON-CRS-LP12PF-CM-M8PL67-ST</v>
      </c>
      <c r="G291" s="111" t="str">
        <f ca="1">IFERROR(__xludf.DUMMYFUNCTION("""COMPUTED_VALUE"""),"LP-12-C08PE-02-001")</f>
        <v>LP-12-C08PE-02-001</v>
      </c>
      <c r="H291" t="str">
        <f ca="1">IFERROR(__xludf.DUMMYFUNCTION("""COMPUTED_VALUE"""),"Kangaroo Lid Cover")</f>
        <v>Kangaroo Lid Cover</v>
      </c>
      <c r="I291" t="str">
        <f ca="1">IFERROR(__xludf.DUMMYFUNCTION("""COMPUTED_VALUE"""),"FAB-IJM-Kangaroo-TopLid")</f>
        <v>FAB-IJM-Kangaroo-TopLid</v>
      </c>
    </row>
    <row r="292" spans="1:10">
      <c r="A292" s="106"/>
      <c r="B292" s="111"/>
      <c r="C292" s="111"/>
      <c r="D292" s="111"/>
      <c r="E292" s="111" t="str">
        <f ca="1">IFERROR(__xludf.DUMMYFUNCTION("""COMPUTED_VALUE"""),"LP12 8 pin socket female clip lock PM")</f>
        <v>LP12 8 pin socket female clip lock PM</v>
      </c>
      <c r="F292" s="111" t="str">
        <f ca="1">IFERROR(__xludf.DUMMYFUNCTION("""COMPUTED_VALUE"""),"CON-CRS-LP12PF-PM-F8PL67-ST")</f>
        <v>CON-CRS-LP12PF-PM-F8PL67-ST</v>
      </c>
      <c r="G292" s="111" t="str">
        <f ca="1">IFERROR(__xludf.DUMMYFUNCTION("""COMPUTED_VALUE"""),"LP-12-J08SX-03-001")</f>
        <v>LP-12-J08SX-03-001</v>
      </c>
      <c r="H292" t="str">
        <f ca="1">IFERROR(__xludf.DUMMYFUNCTION("""COMPUTED_VALUE"""),"Battery holding foam block Side (115×80×35)")</f>
        <v>Battery holding foam block Side (115×80×35)</v>
      </c>
    </row>
    <row r="293" spans="1:10">
      <c r="A293" s="106"/>
      <c r="B293" s="111"/>
      <c r="C293" s="111"/>
      <c r="D293" s="111"/>
      <c r="E293" s="111" t="str">
        <f ca="1">IFERROR(__xludf.DUMMYFUNCTION("""COMPUTED_VALUE"""),"Water tank for JCB")</f>
        <v>Water tank for JCB</v>
      </c>
      <c r="F293" s="111"/>
      <c r="G293" s="111"/>
      <c r="H293" t="str">
        <f ca="1">IFERROR(__xludf.DUMMYFUNCTION("""COMPUTED_VALUE"""),"Battery holding foam block Upside (80×80×35)")</f>
        <v>Battery holding foam block Upside (80×80×35)</v>
      </c>
    </row>
    <row r="294" spans="1:10">
      <c r="A294" s="106"/>
      <c r="B294" s="111"/>
      <c r="C294" s="111"/>
      <c r="D294" s="111"/>
      <c r="E294" s="111" t="str">
        <f ca="1">IFERROR(__xludf.DUMMYFUNCTION("""COMPUTED_VALUE"""),"Leak Probe Sponge - BlueRobotics ")</f>
        <v xml:space="preserve">Leak Probe Sponge - BlueRobotics </v>
      </c>
      <c r="F294" s="111" t="str">
        <f ca="1">IFERROR(__xludf.DUMMYFUNCTION("""COMPUTED_VALUE"""),"SEN-LEK-BLUEROBOTICS-PROB")</f>
        <v>SEN-LEK-BLUEROBOTICS-PROB</v>
      </c>
      <c r="G294" s="111" t="str">
        <f ca="1">IFERROR(__xludf.DUMMYFUNCTION("""COMPUTED_VALUE"""),"BR-100954")</f>
        <v>BR-100954</v>
      </c>
      <c r="H294" t="str">
        <f ca="1">IFERROR(__xludf.DUMMYFUNCTION("""COMPUTED_VALUE"""),"EPE Packing for Battery Clamping UP on jet plate (150×80×20)")</f>
        <v>EPE Packing for Battery Clamping UP on jet plate (150×80×20)</v>
      </c>
      <c r="I294" t="str">
        <f ca="1">IFERROR(__xludf.DUMMYFUNCTION("""COMPUTED_VALUE"""),"EPE-20mm-150x80")</f>
        <v>EPE-20mm-150x80</v>
      </c>
    </row>
    <row r="295" spans="1:10">
      <c r="A295" s="106"/>
      <c r="B295" s="111"/>
      <c r="C295" s="111"/>
      <c r="D295" s="111"/>
      <c r="E295" s="111" t="str">
        <f ca="1">IFERROR(__xludf.DUMMYFUNCTION("""COMPUTED_VALUE"""),"Indicator Panel Mount - BlueRobotics ")</f>
        <v xml:space="preserve">Indicator Panel Mount - BlueRobotics </v>
      </c>
      <c r="F295" s="111" t="str">
        <f ca="1">IFERROR(__xludf.DUMMYFUNCTION("""COMPUTED_VALUE"""),"IND-PAM-Al68-12V")</f>
        <v>IND-PAM-Al68-12V</v>
      </c>
      <c r="G295" s="111" t="str">
        <f ca="1">IFERROR(__xludf.DUMMYFUNCTION("""COMPUTED_VALUE"""),"BR-100551-001")</f>
        <v>BR-100551-001</v>
      </c>
      <c r="H295" t="str">
        <f ca="1">IFERROR(__xludf.DUMMYFUNCTION("""COMPUTED_VALUE"""),"EPE Packing for Battery Clamping B&amp;F on jet plate (80×80×10)")</f>
        <v>EPE Packing for Battery Clamping B&amp;F on jet plate (80×80×10)</v>
      </c>
      <c r="I295" t="str">
        <f ca="1">IFERROR(__xludf.DUMMYFUNCTION("""COMPUTED_VALUE"""),"EPE-10mm-80x80")</f>
        <v>EPE-10mm-80x80</v>
      </c>
    </row>
    <row r="296" spans="1:10">
      <c r="A296" s="106"/>
      <c r="B296" s="111"/>
      <c r="C296" s="111"/>
      <c r="D296" s="111"/>
      <c r="E296" s="111" t="str">
        <f ca="1">IFERROR(__xludf.DUMMYFUNCTION("""COMPUTED_VALUE"""),"Rotary Main Switch - BlueRobotics - IP68 ")</f>
        <v xml:space="preserve">Rotary Main Switch - BlueRobotics - IP68 </v>
      </c>
      <c r="F296" s="111" t="str">
        <f ca="1">IFERROR(__xludf.DUMMYFUNCTION("""COMPUTED_VALUE"""),"SWI-ROT-BLUEROBOTICS-v63i5")</f>
        <v>SWI-ROT-BLUEROBOTICS-v63i5</v>
      </c>
      <c r="G296" s="111" t="str">
        <f ca="1">IFERROR(__xludf.DUMMYFUNCTION("""COMPUTED_VALUE"""),"BR-100433")</f>
        <v>BR-100433</v>
      </c>
      <c r="H296" t="str">
        <f ca="1">IFERROR(__xludf.DUMMYFUNCTION("""COMPUTED_VALUE"""),"EPE Packing for Electronic Box Under (150x230x25 in mm)")</f>
        <v>EPE Packing for Electronic Box Under (150x230x25 in mm)</v>
      </c>
      <c r="I296" t="str">
        <f ca="1">IFERROR(__xludf.DUMMYFUNCTION("""COMPUTED_VALUE"""),"EPE-25mm-150x230")</f>
        <v>EPE-25mm-150x230</v>
      </c>
    </row>
    <row r="297" spans="1:10">
      <c r="A297" s="106"/>
      <c r="B297" s="111"/>
      <c r="C297" s="111"/>
      <c r="D297" s="111"/>
      <c r="E297" s="111" t="str">
        <f ca="1">IFERROR(__xludf.DUMMYFUNCTION("""COMPUTED_VALUE"""),"LED SMD Red 2835 1W")</f>
        <v>LED SMD Red 2835 1W</v>
      </c>
      <c r="F297" s="111" t="str">
        <f ca="1">IFERROR(__xludf.DUMMYFUNCTION("""COMPUTED_VALUE"""),"IND-SMD-W1LEG-RD")</f>
        <v>IND-SMD-W1LEG-RD</v>
      </c>
      <c r="G297" s="111" t="str">
        <f ca="1">IFERROR(__xludf.DUMMYFUNCTION("""COMPUTED_VALUE"""),"1w 350mA Emitter Red")</f>
        <v>1w 350mA Emitter Red</v>
      </c>
      <c r="H297" t="str">
        <f ca="1">IFERROR(__xludf.DUMMYFUNCTION("""COMPUTED_VALUE"""),"EPE Packing for Electronic Box Above (125x40x25 in mm)")</f>
        <v>EPE Packing for Electronic Box Above (125x40x25 in mm)</v>
      </c>
      <c r="I297" t="str">
        <f ca="1">IFERROR(__xludf.DUMMYFUNCTION("""COMPUTED_VALUE"""),"EPE-30mm-150x80")</f>
        <v>EPE-30mm-150x80</v>
      </c>
    </row>
    <row r="298" spans="1:10">
      <c r="A298" s="106"/>
      <c r="B298" s="111"/>
      <c r="C298" s="111"/>
      <c r="D298" s="111"/>
      <c r="E298" s="111" t="str">
        <f ca="1">IFERROR(__xludf.DUMMYFUNCTION("""COMPUTED_VALUE"""),"LED SMD Green 2835 1W")</f>
        <v>LED SMD Green 2835 1W</v>
      </c>
      <c r="F298" s="111" t="str">
        <f ca="1">IFERROR(__xludf.DUMMYFUNCTION("""COMPUTED_VALUE"""),"IND-SMD-W1LEG-GR")</f>
        <v>IND-SMD-W1LEG-GR</v>
      </c>
      <c r="G298" s="111" t="str">
        <f ca="1">IFERROR(__xludf.DUMMYFUNCTION("""COMPUTED_VALUE"""),"1w 350mA Emitter Green")</f>
        <v>1w 350mA Emitter Green</v>
      </c>
      <c r="H298" t="str">
        <f ca="1">IFERROR(__xludf.DUMMYFUNCTION("""COMPUTED_VALUE"""),"Cable Zip ties 100x3 MultiCompro")</f>
        <v>Cable Zip ties 100x3 MultiCompro</v>
      </c>
      <c r="I298" t="str">
        <f ca="1">IFERROR(__xludf.DUMMYFUNCTION("""COMPUTED_VALUE"""),"COR-ZIP-100M3M-MULTICOMPRO")</f>
        <v>COR-ZIP-100M3M-MULTICOMPRO</v>
      </c>
    </row>
    <row r="299" spans="1:10">
      <c r="A299" s="106"/>
      <c r="B299" s="111"/>
      <c r="C299" s="111"/>
      <c r="D299" s="111"/>
      <c r="E299" s="111" t="str">
        <f ca="1">IFERROR(__xludf.DUMMYFUNCTION("""COMPUTED_VALUE"""),"Bolt Self Tap Screw No. 4 M4x6.5 Philips SS304 - Remote")</f>
        <v>Bolt Self Tap Screw No. 4 M4x6.5 Philips SS304 - Remote</v>
      </c>
      <c r="F299" s="111" t="str">
        <f ca="1">IFERROR(__xludf.DUMMYFUNCTION("""COMPUTED_VALUE"""),"FAS-TAP-4No605MPH304SS")</f>
        <v>FAS-TAP-4No605MPH304SS</v>
      </c>
      <c r="G299" s="111"/>
      <c r="H299" t="str">
        <f ca="1">IFERROR(__xludf.DUMMYFUNCTION("""COMPUTED_VALUE"""),"Zip ties 200m")</f>
        <v>Zip ties 200m</v>
      </c>
    </row>
    <row r="300" spans="1:10">
      <c r="A300" s="106"/>
      <c r="B300" s="111"/>
      <c r="C300" s="111"/>
      <c r="D300" s="111"/>
      <c r="E300" s="111" t="str">
        <f ca="1">IFERROR(__xludf.DUMMYFUNCTION("""COMPUTED_VALUE"""),"M2x9.5 Selp tapping SS304 - Remote")</f>
        <v>M2x9.5 Selp tapping SS304 - Remote</v>
      </c>
      <c r="F300" s="111" t="str">
        <f ca="1">IFERROR(__xludf.DUMMYFUNCTION("""COMPUTED_VALUE"""),"FAS-TAP-2No605MPH304SS")</f>
        <v>FAS-TAP-2No605MPH304SS</v>
      </c>
      <c r="G300" s="111"/>
      <c r="H300" t="str">
        <f ca="1">IFERROR(__xludf.DUMMYFUNCTION("""COMPUTED_VALUE"""),"Zip ties 250m Regular")</f>
        <v>Zip ties 250m Regular</v>
      </c>
      <c r="I300" t="str">
        <f ca="1">IFERROR(__xludf.DUMMYFUNCTION("""COMPUTED_VALUE"""),"COR-ZIP-250M3M-COMM")</f>
        <v>COR-ZIP-250M3M-COMM</v>
      </c>
    </row>
    <row r="301" spans="1:10">
      <c r="A301" s="106"/>
      <c r="B301" s="111"/>
      <c r="C301" s="111"/>
      <c r="D301" s="111"/>
      <c r="E301" s="111" t="str">
        <f ca="1">IFERROR(__xludf.DUMMYFUNCTION("""COMPUTED_VALUE"""),"Bolt M3x6 CSK Phillips - Flashing Lights (PCB)")</f>
        <v>Bolt M3x6 CSK Phillips - Flashing Lights (PCB)</v>
      </c>
      <c r="F301" s="111" t="str">
        <f ca="1">IFERROR(__xludf.DUMMYFUNCTION("""COMPUTED_VALUE"""),"FAS-BLT-CSK-3M50M-PH-304SS")</f>
        <v>FAS-BLT-CSK-3M50M-PH-304SS</v>
      </c>
      <c r="G301" s="111"/>
      <c r="H301" t="str">
        <f ca="1">IFERROR(__xludf.DUMMYFUNCTION("""COMPUTED_VALUE"""),"Zip ties 300m")</f>
        <v>Zip ties 300m</v>
      </c>
      <c r="I301" t="str">
        <f ca="1">IFERROR(__xludf.DUMMYFUNCTION("""COMPUTED_VALUE"""),"COR-ZIP-300M3M-COMM")</f>
        <v>COR-ZIP-300M3M-COMM</v>
      </c>
    </row>
    <row r="302" spans="1:10">
      <c r="A302" s="106"/>
      <c r="B302" s="111"/>
      <c r="C302" s="111"/>
      <c r="D302" s="111"/>
      <c r="E302" s="111" t="str">
        <f ca="1">IFERROR(__xludf.DUMMYFUNCTION("""COMPUTED_VALUE"""),"M3x6 Allen Head")</f>
        <v>M3x6 Allen Head</v>
      </c>
      <c r="F302" s="111" t="str">
        <f ca="1">IFERROR(__xludf.DUMMYFUNCTION("""COMPUTED_VALUE"""),"FAS-BLT-ALN-3M6M-HX-304SS")</f>
        <v>FAS-BLT-ALN-3M6M-HX-304SS</v>
      </c>
      <c r="G302" s="111"/>
      <c r="H302" t="str">
        <f ca="1">IFERROR(__xludf.DUMMYFUNCTION("""COMPUTED_VALUE"""),"Ferrite Core")</f>
        <v>Ferrite Core</v>
      </c>
      <c r="I302" t="str">
        <f ca="1">IFERROR(__xludf.DUMMYFUNCTION("""COMPUTED_VALUE"""),"EAC-TOR-CF199T1306C")</f>
        <v>EAC-TOR-CF199T1306C</v>
      </c>
      <c r="J302" t="str">
        <f ca="1">IFERROR(__xludf.DUMMYFUNCTION("""COMPUTED_VALUE"""),"CF199T1306C")</f>
        <v>CF199T1306C</v>
      </c>
    </row>
    <row r="303" spans="1:10">
      <c r="A303" s="106"/>
      <c r="B303" s="111"/>
      <c r="C303" s="111"/>
      <c r="D303" s="111"/>
      <c r="E303" s="111" t="str">
        <f ca="1">IFERROR(__xludf.DUMMYFUNCTION("""COMPUTED_VALUE"""),"Bolt M3x8 CSK Phillips - Inlet Block Mesh")</f>
        <v>Bolt M3x8 CSK Phillips - Inlet Block Mesh</v>
      </c>
      <c r="F303" s="111" t="str">
        <f ca="1">IFERROR(__xludf.DUMMYFUNCTION("""COMPUTED_VALUE"""),"FAS-BLT-CSK-3M8M-PH-304SS")</f>
        <v>FAS-BLT-CSK-3M8M-PH-304SS</v>
      </c>
      <c r="G303" s="111"/>
      <c r="H303" t="str">
        <f ca="1">IFERROR(__xludf.DUMMYFUNCTION("""COMPUTED_VALUE"""),"Connector Circular PM Male SY21-15 Pin ")</f>
        <v xml:space="preserve">Connector Circular PM Male SY21-15 Pin </v>
      </c>
      <c r="I303" t="str">
        <f ca="1">IFERROR(__xludf.DUMMYFUNCTION("""COMPUTED_VALUE"""),"CON-CRC-SY21BY-PM-M15PL67")</f>
        <v>CON-CRC-SY21BY-PM-M15PL67</v>
      </c>
      <c r="J303" t="str">
        <f ca="1">IFERROR(__xludf.DUMMYFUNCTION("""COMPUTED_VALUE"""),"SY2112/P15-1N")</f>
        <v>SY2112/P15-1N</v>
      </c>
    </row>
    <row r="304" spans="1:10">
      <c r="A304" s="106"/>
      <c r="B304" s="111"/>
      <c r="C304" s="111"/>
      <c r="D304" s="111"/>
      <c r="E304" s="111" t="str">
        <f ca="1">IFERROR(__xludf.DUMMYFUNCTION("""COMPUTED_VALUE"""),"Bolt Button Head M3x8 SS 304 Flashing Lights")</f>
        <v>Bolt Button Head M3x8 SS 304 Flashing Lights</v>
      </c>
      <c r="F304" s="111" t="str">
        <f ca="1">IFERROR(__xludf.DUMMYFUNCTION("""COMPUTED_VALUE"""),"FAS-BLT-BUT-3M8M-HX-304SS")</f>
        <v>FAS-BLT-BUT-3M8M-HX-304SS</v>
      </c>
      <c r="G304" s="111"/>
      <c r="H304" t="str">
        <f ca="1">IFERROR(__xludf.DUMMYFUNCTION("""COMPUTED_VALUE"""),"Connector Circular CM Female SY21-15 Pin ")</f>
        <v xml:space="preserve">Connector Circular CM Female SY21-15 Pin </v>
      </c>
      <c r="I304" t="str">
        <f ca="1">IFERROR(__xludf.DUMMYFUNCTION("""COMPUTED_VALUE"""),"CON-CRC-SY21BY-CM-F15PL67")</f>
        <v>CON-CRC-SY21BY-CM-F15PL67</v>
      </c>
      <c r="J304" t="str">
        <f ca="1">IFERROR(__xludf.DUMMYFUNCTION("""COMPUTED_VALUE"""),"SY2116/S15II-1N")</f>
        <v>SY2116/S15II-1N</v>
      </c>
    </row>
    <row r="305" spans="1:10">
      <c r="A305" s="106"/>
      <c r="B305" s="111"/>
      <c r="C305" s="111"/>
      <c r="D305" s="111"/>
      <c r="E305" s="111" t="str">
        <f ca="1">IFERROR(__xludf.DUMMYFUNCTION("""COMPUTED_VALUE"""),"M3x12 CSK Phillips - Charger Panel")</f>
        <v>M3x12 CSK Phillips - Charger Panel</v>
      </c>
      <c r="F305" s="111" t="str">
        <f ca="1">IFERROR(__xludf.DUMMYFUNCTION("""COMPUTED_VALUE"""),"FAS-BLT-CSK-3M12M-PH-304SS")</f>
        <v>FAS-BLT-CSK-3M12M-PH-304SS</v>
      </c>
      <c r="G305" s="111"/>
      <c r="H305" t="str">
        <f ca="1">IFERROR(__xludf.DUMMYFUNCTION("""COMPUTED_VALUE"""),"Connector Circular CM Metal Male WY20 - 15 Pin")</f>
        <v>Connector Circular CM Metal Male WY20 - 15 Pin</v>
      </c>
      <c r="I305" t="str">
        <f ca="1">IFERROR(__xludf.DUMMYFUNCTION("""COMPUTED_VALUE"""),"CON-CRC-WY20BY-PM-M15PL67")</f>
        <v>CON-CRC-WY20BY-PM-M15PL67</v>
      </c>
    </row>
    <row r="306" spans="1:10">
      <c r="A306" s="106"/>
      <c r="B306" s="111"/>
      <c r="C306" s="111"/>
      <c r="D306" s="111"/>
      <c r="E306" s="111" t="str">
        <f ca="1">IFERROR(__xludf.DUMMYFUNCTION("""COMPUTED_VALUE"""),"M3x12 Allen Head")</f>
        <v>M3x12 Allen Head</v>
      </c>
      <c r="F306" s="111" t="str">
        <f ca="1">IFERROR(__xludf.DUMMYFUNCTION("""COMPUTED_VALUE"""),"FAS-BLT-ALN-3M12M-HX-304SS")</f>
        <v>FAS-BLT-ALN-3M12M-HX-304SS</v>
      </c>
      <c r="G306" s="111"/>
      <c r="H306" t="str">
        <f ca="1">IFERROR(__xludf.DUMMYFUNCTION("""COMPUTED_VALUE"""),"Connector Circular PM Metal Female WY20 - 15 Pin")</f>
        <v>Connector Circular PM Metal Female WY20 - 15 Pin</v>
      </c>
      <c r="I306" t="str">
        <f ca="1">IFERROR(__xludf.DUMMYFUNCTION("""COMPUTED_VALUE"""),"CON-CRC-WY20BY-CM-F15PL67")</f>
        <v>CON-CRC-WY20BY-CM-F15PL67</v>
      </c>
    </row>
    <row r="307" spans="1:10">
      <c r="A307" s="106"/>
      <c r="B307" s="111"/>
      <c r="C307" s="111"/>
      <c r="D307" s="111"/>
      <c r="E307" s="111" t="str">
        <f ca="1">IFERROR(__xludf.DUMMYFUNCTION("""COMPUTED_VALUE"""),"Bolt M3x30 CSK Phillips SS 304 - ESC")</f>
        <v>Bolt M3x30 CSK Phillips SS 304 - ESC</v>
      </c>
      <c r="F307" s="111" t="str">
        <f ca="1">IFERROR(__xludf.DUMMYFUNCTION("""COMPUTED_VALUE"""),"FAS-BLT-CSK-3M20M-PH-304SS")</f>
        <v>FAS-BLT-CSK-3M20M-PH-304SS</v>
      </c>
      <c r="G307" s="111"/>
      <c r="H307" t="str">
        <f ca="1">IFERROR(__xludf.DUMMYFUNCTION("""COMPUTED_VALUE"""),"Connector SY21-15 pin panel mount(Female) OLD")</f>
        <v>Connector SY21-15 pin panel mount(Female) OLD</v>
      </c>
      <c r="I307" t="str">
        <f ca="1">IFERROR(__xludf.DUMMYFUNCTION("""COMPUTED_VALUE"""),"CON-CRC-SY21BY-PM-F15PL67")</f>
        <v>CON-CRC-SY21BY-PM-F15PL67</v>
      </c>
      <c r="J307" t="str">
        <f ca="1">IFERROR(__xludf.DUMMYFUNCTION("""COMPUTED_VALUE"""),"SY2112/S15-1N")</f>
        <v>SY2112/S15-1N</v>
      </c>
    </row>
    <row r="308" spans="1:10">
      <c r="A308" s="106"/>
      <c r="B308" s="111"/>
      <c r="C308" s="111"/>
      <c r="D308" s="111"/>
      <c r="E308" s="111" t="str">
        <f ca="1">IFERROR(__xludf.DUMMYFUNCTION("""COMPUTED_VALUE"""),"M3x8 Allen Head")</f>
        <v>M3x8 Allen Head</v>
      </c>
      <c r="F308" s="111" t="str">
        <f ca="1">IFERROR(__xludf.DUMMYFUNCTION("""COMPUTED_VALUE"""),"FAS-BLT-ALN-3M8M-HX-304SS")</f>
        <v>FAS-BLT-ALN-3M8M-HX-304SS</v>
      </c>
      <c r="G308" s="111"/>
      <c r="H308" t="str">
        <f ca="1">IFERROR(__xludf.DUMMYFUNCTION("""COMPUTED_VALUE"""),"Connector SY21-15 pin Cable Mount(Male) OLD")</f>
        <v>Connector SY21-15 pin Cable Mount(Male) OLD</v>
      </c>
      <c r="I308" t="str">
        <f ca="1">IFERROR(__xludf.DUMMYFUNCTION("""COMPUTED_VALUE"""),"CON-CRC-SY21BY-CM-M15PL67")</f>
        <v>CON-CRC-SY21BY-CM-M15PL67</v>
      </c>
      <c r="J308" t="str">
        <f ca="1">IFERROR(__xludf.DUMMYFUNCTION("""COMPUTED_VALUE"""),"SY2116/P15II-1N")</f>
        <v>SY2116/P15II-1N</v>
      </c>
    </row>
    <row r="309" spans="1:10">
      <c r="A309" s="106"/>
      <c r="B309" s="111"/>
      <c r="C309" s="111"/>
      <c r="D309" s="111"/>
      <c r="E309" s="111" t="str">
        <f ca="1">IFERROR(__xludf.DUMMYFUNCTION("""COMPUTED_VALUE"""),"Washer Plain M3x10x1 SS 304 - Charger Panel")</f>
        <v>Washer Plain M3x10x1 SS 304 - Charger Panel</v>
      </c>
      <c r="F309" s="111" t="str">
        <f ca="1">IFERROR(__xludf.DUMMYFUNCTION("""COMPUTED_VALUE"""),"FAS-WAS-PWS-3M10M1M-304SS")</f>
        <v>FAS-WAS-PWS-3M10M1M-304SS</v>
      </c>
      <c r="G309" s="111"/>
      <c r="H309" t="str">
        <f ca="1">IFERROR(__xludf.DUMMYFUNCTION("""COMPUTED_VALUE"""),"Connector Circular CM Metal Male WY-28")</f>
        <v>Connector Circular CM Metal Male WY-28</v>
      </c>
      <c r="I309" t="str">
        <f ca="1">IFERROR(__xludf.DUMMYFUNCTION("""COMPUTED_VALUE"""),"CON-CRC-WY28BY-CM-M26AL67-RA")</f>
        <v>CON-CRC-WY28BY-CM-M26AL67-RA</v>
      </c>
      <c r="J309" t="str">
        <f ca="1">IFERROR(__xludf.DUMMYFUNCTION("""COMPUTED_VALUE"""),"WY28J26TE1")</f>
        <v>WY28J26TE1</v>
      </c>
    </row>
    <row r="310" spans="1:10">
      <c r="A310" s="106"/>
      <c r="B310" s="111"/>
      <c r="C310" s="111"/>
      <c r="D310" s="111"/>
      <c r="E310" s="111" t="str">
        <f ca="1">IFERROR(__xludf.DUMMYFUNCTION("""COMPUTED_VALUE"""),"M3x10 CSK ")</f>
        <v xml:space="preserve">M3x10 CSK </v>
      </c>
      <c r="F310" s="111"/>
      <c r="G310" s="111"/>
      <c r="H310" t="str">
        <f ca="1">IFERROR(__xludf.DUMMYFUNCTION("""COMPUTED_VALUE"""),"Connector Circular PM Metal Female WY-28")</f>
        <v>Connector Circular PM Metal Female WY-28</v>
      </c>
      <c r="I310" t="str">
        <f ca="1">IFERROR(__xludf.DUMMYFUNCTION("""COMPUTED_VALUE"""),"CON-CRC-WY28BY-CM-F26AL67")</f>
        <v>CON-CRC-WY28BY-CM-F26AL67</v>
      </c>
      <c r="J310" t="str">
        <f ca="1">IFERROR(__xludf.DUMMYFUNCTION("""COMPUTED_VALUE"""),"WY28K26ZM1")</f>
        <v>WY28K26ZM1</v>
      </c>
    </row>
    <row r="311" spans="1:10">
      <c r="A311" s="106"/>
      <c r="B311" s="111"/>
      <c r="C311" s="111"/>
      <c r="D311" s="111"/>
      <c r="E311" s="111" t="str">
        <f ca="1">IFERROR(__xludf.DUMMYFUNCTION("""COMPUTED_VALUE"""),"Washer Spring  M3x8x1 SS 304")</f>
        <v>Washer Spring  M3x8x1 SS 304</v>
      </c>
      <c r="F311" s="111" t="str">
        <f ca="1">IFERROR(__xludf.DUMMYFUNCTION("""COMPUTED_VALUE"""),"FAS-WAS-SPWS-3M8M1M-304SS")</f>
        <v>FAS-WAS-SPWS-3M8M1M-304SS</v>
      </c>
      <c r="G311" s="111"/>
      <c r="H311" t="str">
        <f ca="1">IFERROR(__xludf.DUMMYFUNCTION("""COMPUTED_VALUE"""),"Connector Circular Push Pull CM Male SA12 9pin")</f>
        <v>Connector Circular Push Pull CM Male SA12 9pin</v>
      </c>
      <c r="I311" t="str">
        <f ca="1">IFERROR(__xludf.DUMMYFUNCTION("""COMPUTED_VALUE"""),"CON-CRC-SA12PF-CM-M9AL67-ST")</f>
        <v>CON-CRC-SA12PF-CM-M9AL67-ST</v>
      </c>
      <c r="J311" t="str">
        <f ca="1">IFERROR(__xludf.DUMMYFUNCTION("""COMPUTED_VALUE"""),"SA1210/P9IB")</f>
        <v>SA1210/P9IB</v>
      </c>
    </row>
    <row r="312" spans="1:10">
      <c r="A312" s="106"/>
      <c r="B312" s="111"/>
      <c r="C312" s="111"/>
      <c r="D312" s="111"/>
      <c r="E312" s="111" t="str">
        <f ca="1">IFERROR(__xludf.DUMMYFUNCTION("""COMPUTED_VALUE"""),"M3x5 Grub Screws")</f>
        <v>M3x5 Grub Screws</v>
      </c>
      <c r="F312" s="111" t="str">
        <f ca="1">IFERROR(__xludf.DUMMYFUNCTION("""COMPUTED_VALUE"""),"FAS-GRB-3M5M-HX-304SS")</f>
        <v>FAS-GRB-3M5M-HX-304SS</v>
      </c>
      <c r="G312" s="111"/>
      <c r="H312" t="str">
        <f ca="1">IFERROR(__xludf.DUMMYFUNCTION("""COMPUTED_VALUE"""),"Connector Circular Push Pull PM Female SA12 9pin")</f>
        <v>Connector Circular Push Pull PM Female SA12 9pin</v>
      </c>
      <c r="I312" t="str">
        <f ca="1">IFERROR(__xludf.DUMMYFUNCTION("""COMPUTED_VALUE"""),"CON-CRC-SA12PF-PM-F9AL67-ST")</f>
        <v>CON-CRC-SA12PF-PM-F9AL67-ST</v>
      </c>
      <c r="J312" t="str">
        <f ca="1">IFERROR(__xludf.DUMMYFUNCTION("""COMPUTED_VALUE"""),"SA1212/S9B")</f>
        <v>SA1212/S9B</v>
      </c>
    </row>
    <row r="313" spans="1:10">
      <c r="A313" s="106"/>
      <c r="B313" s="111"/>
      <c r="C313" s="111"/>
      <c r="D313" s="111"/>
      <c r="E313" s="111" t="str">
        <f ca="1">IFERROR(__xludf.DUMMYFUNCTION("""COMPUTED_VALUE"""),"Bolt CSK Head M4x8 Phillips SS 304")</f>
        <v>Bolt CSK Head M4x8 Phillips SS 304</v>
      </c>
      <c r="F313" s="111" t="str">
        <f ca="1">IFERROR(__xludf.DUMMYFUNCTION("""COMPUTED_VALUE"""),"FAS-BLT-CSK-4M8M-PH-304SS")</f>
        <v>FAS-BLT-CSK-4M8M-PH-304SS</v>
      </c>
      <c r="G313" s="111"/>
      <c r="H313" t="str">
        <f ca="1">IFERROR(__xludf.DUMMYFUNCTION("""COMPUTED_VALUE"""),"Connector Circular Push Pull CM Female SA12 9pin")</f>
        <v>Connector Circular Push Pull CM Female SA12 9pin</v>
      </c>
      <c r="I313" t="str">
        <f ca="1">IFERROR(__xludf.DUMMYFUNCTION("""COMPUTED_VALUE"""),"CON-CRC-SA12PF-CM-F9AL67-ST")</f>
        <v>CON-CRC-SA12PF-CM-F9AL67-ST</v>
      </c>
      <c r="J313" t="str">
        <f ca="1">IFERROR(__xludf.DUMMYFUNCTION("""COMPUTED_VALUE"""),"SA1211/S9IB")</f>
        <v>SA1211/S9IB</v>
      </c>
    </row>
    <row r="314" spans="1:10">
      <c r="A314" s="106"/>
      <c r="B314" s="111"/>
      <c r="C314" s="111"/>
      <c r="D314" s="111"/>
      <c r="E314" s="111" t="str">
        <f ca="1">IFERROR(__xludf.DUMMYFUNCTION("""COMPUTED_VALUE"""),"Bolt CSK Head M4x8 Phillips GI")</f>
        <v>Bolt CSK Head M4x8 Phillips GI</v>
      </c>
      <c r="F314" s="111" t="str">
        <f ca="1">IFERROR(__xludf.DUMMYFUNCTION("""COMPUTED_VALUE"""),"FAS-BLT-CSK-4M8M-PH-GI")</f>
        <v>FAS-BLT-CSK-4M8M-PH-GI</v>
      </c>
      <c r="G314" s="111"/>
      <c r="H314" t="str">
        <f ca="1">IFERROR(__xludf.DUMMYFUNCTION("""COMPUTED_VALUE"""),"WK20-15 IP68 CM Metal Connector Male")</f>
        <v>WK20-15 IP68 CM Metal Connector Male</v>
      </c>
      <c r="J314" t="str">
        <f ca="1">IFERROR(__xludf.DUMMYFUNCTION("""COMPUTED_VALUE"""),"WK20J15TE1I")</f>
        <v>WK20J15TE1I</v>
      </c>
    </row>
    <row r="315" spans="1:10">
      <c r="A315" s="106"/>
      <c r="B315" s="111"/>
      <c r="C315" s="111"/>
      <c r="D315" s="111"/>
      <c r="E315" s="111" t="str">
        <f ca="1">IFERROR(__xludf.DUMMYFUNCTION("""COMPUTED_VALUE"""),"M4 Hex Nut")</f>
        <v>M4 Hex Nut</v>
      </c>
      <c r="F315" s="111" t="str">
        <f ca="1">IFERROR(__xludf.DUMMYFUNCTION("""COMPUTED_VALUE"""),"FAS-NUT-4M-HEX-SS304")</f>
        <v>FAS-NUT-4M-HEX-SS304</v>
      </c>
      <c r="G315" s="111"/>
      <c r="H315" t="str">
        <f ca="1">IFERROR(__xludf.DUMMYFUNCTION("""COMPUTED_VALUE"""),"WK20-15 IP68 CM Metal Connector Female")</f>
        <v>WK20-15 IP68 CM Metal Connector Female</v>
      </c>
      <c r="J315" t="str">
        <f ca="1">IFERROR(__xludf.DUMMYFUNCTION("""COMPUTED_VALUE"""),"WK20K15TE1I")</f>
        <v>WK20K15TE1I</v>
      </c>
    </row>
    <row r="316" spans="1:10">
      <c r="A316" s="106"/>
      <c r="B316" s="111"/>
      <c r="C316" s="111"/>
      <c r="D316" s="111"/>
      <c r="E316" s="111" t="str">
        <f ca="1">IFERROR(__xludf.DUMMYFUNCTION("""COMPUTED_VALUE"""),"Bolt M2x15 Allen Head SS3042")</f>
        <v>Bolt M2x15 Allen Head SS3042</v>
      </c>
      <c r="F316" s="111" t="str">
        <f ca="1">IFERROR(__xludf.DUMMYFUNCTION("""COMPUTED_VALUE"""),"FAS-BLT-ALN-2M15M-HX-304SS")</f>
        <v>FAS-BLT-ALN-2M15M-HX-304SS</v>
      </c>
      <c r="G316" s="111"/>
      <c r="H316" t="str">
        <f ca="1">IFERROR(__xludf.DUMMYFUNCTION("""COMPUTED_VALUE"""),"WK20-15 IP68 PM Metal connector (Female)")</f>
        <v>WK20-15 IP68 PM Metal connector (Female)</v>
      </c>
      <c r="J316" t="str">
        <f ca="1">IFERROR(__xludf.DUMMYFUNCTION("""COMPUTED_VALUE"""),"WK20K15ZM1")</f>
        <v>WK20K15ZM1</v>
      </c>
    </row>
    <row r="317" spans="1:10">
      <c r="A317" s="106"/>
      <c r="B317" s="111"/>
      <c r="C317" s="111"/>
      <c r="D317" s="111"/>
      <c r="E317" s="111" t="str">
        <f ca="1">IFERROR(__xludf.DUMMYFUNCTION("""COMPUTED_VALUE"""),"M2x12 Allen Cap")</f>
        <v>M2x12 Allen Cap</v>
      </c>
      <c r="F317" s="111" t="str">
        <f ca="1">IFERROR(__xludf.DUMMYFUNCTION("""COMPUTED_VALUE"""),"FAS-BLT-ALN-2M12M-HX-304SS")</f>
        <v>FAS-BLT-ALN-2M12M-HX-304SS</v>
      </c>
      <c r="G317" s="111"/>
      <c r="H317" t="str">
        <f ca="1">IFERROR(__xludf.DUMMYFUNCTION("""COMPUTED_VALUE"""),"WK20-15 IP68 PM Metal connector (Male)")</f>
        <v>WK20-15 IP68 PM Metal connector (Male)</v>
      </c>
      <c r="J317" t="str">
        <f ca="1">IFERROR(__xludf.DUMMYFUNCTION("""COMPUTED_VALUE"""),"WK20J15ZM1")</f>
        <v>WK20J15ZM1</v>
      </c>
    </row>
    <row r="318" spans="1:10">
      <c r="A318" s="106"/>
      <c r="B318" s="111"/>
      <c r="C318" s="111"/>
      <c r="D318" s="111"/>
      <c r="E318" s="111" t="str">
        <f ca="1">IFERROR(__xludf.DUMMYFUNCTION("""COMPUTED_VALUE"""),"Bolt CSK Head M4x10 Phillips SS 304")</f>
        <v>Bolt CSK Head M4x10 Phillips SS 304</v>
      </c>
      <c r="F318" s="111" t="str">
        <f ca="1">IFERROR(__xludf.DUMMYFUNCTION("""COMPUTED_VALUE"""),"FAS-BLT-CSK-4M10M-PH-304SS")</f>
        <v>FAS-BLT-CSK-4M10M-PH-304SS</v>
      </c>
      <c r="G318" s="111"/>
      <c r="H318" t="str">
        <f ca="1">IFERROR(__xludf.DUMMYFUNCTION("""COMPUTED_VALUE"""),"Connector Circular Plug Clip Lock CM Female LP24 24-Pin")</f>
        <v>Connector Circular Plug Clip Lock CM Female LP24 24-Pin</v>
      </c>
      <c r="I318" t="str">
        <f ca="1">IFERROR(__xludf.DUMMYFUNCTION("""COMPUTED_VALUE"""),"CON-CRS-LP24PF-CM-F24PL67-ST")</f>
        <v>CON-CRS-LP24PF-CM-F24PL67-ST</v>
      </c>
      <c r="J318" t="str">
        <f ca="1">IFERROR(__xludf.DUMMYFUNCTION("""COMPUTED_VALUE"""),"LP24-J24PE-01-001")</f>
        <v>LP24-J24PE-01-001</v>
      </c>
    </row>
    <row r="319" spans="1:10">
      <c r="A319" s="106"/>
      <c r="B319" s="111"/>
      <c r="C319" s="111"/>
      <c r="D319" s="111"/>
      <c r="E319" s="111" t="str">
        <f ca="1">IFERROR(__xludf.DUMMYFUNCTION("""COMPUTED_VALUE"""),"M4x20 CSK Phillips - Electronic Box top lid")</f>
        <v>M4x20 CSK Phillips - Electronic Box top lid</v>
      </c>
      <c r="F319" s="111" t="str">
        <f ca="1">IFERROR(__xludf.DUMMYFUNCTION("""COMPUTED_VALUE"""),"FAS-BLT-CSK-4M20M-PH-304SS")</f>
        <v>FAS-BLT-CSK-4M20M-PH-304SS</v>
      </c>
      <c r="G319" s="111"/>
      <c r="H319" t="str">
        <f ca="1">IFERROR(__xludf.DUMMYFUNCTION("""COMPUTED_VALUE"""),"Connector Circular Socket Clip Lock PM Male LP24 24 Pin")</f>
        <v>Connector Circular Socket Clip Lock PM Male LP24 24 Pin</v>
      </c>
      <c r="I319" t="str">
        <f ca="1">IFERROR(__xludf.DUMMYFUNCTION("""COMPUTED_VALUE"""),"CON-CRS-LP24PF-PM-M24PL67")</f>
        <v>CON-CRS-LP24PF-PM-M24PL67</v>
      </c>
      <c r="J319" t="str">
        <f ca="1">IFERROR(__xludf.DUMMYFUNCTION("""COMPUTED_VALUE"""),"LP24-C24SX-03-401")</f>
        <v>LP24-C24SX-03-401</v>
      </c>
    </row>
    <row r="320" spans="1:10">
      <c r="A320" s="106"/>
      <c r="B320" s="111"/>
      <c r="C320" s="111"/>
      <c r="D320" s="111"/>
      <c r="E320" s="111" t="str">
        <f ca="1">IFERROR(__xludf.DUMMYFUNCTION("""COMPUTED_VALUE"""),"M4x20 Plain Washer")</f>
        <v>M4x20 Plain Washer</v>
      </c>
      <c r="F320" s="111" t="str">
        <f ca="1">IFERROR(__xludf.DUMMYFUNCTION("""COMPUTED_VALUE"""),"FAS-WAS-PWS-4M20M1M-304SS")</f>
        <v>FAS-WAS-PWS-4M20M1M-304SS</v>
      </c>
      <c r="G320" s="111"/>
      <c r="H320" t="str">
        <f ca="1">IFERROR(__xludf.DUMMYFUNCTION("""COMPUTED_VALUE"""),"LP12 3 pin plug male clip lock CM")</f>
        <v>LP12 3 pin plug male clip lock CM</v>
      </c>
      <c r="I320" t="str">
        <f ca="1">IFERROR(__xludf.DUMMYFUNCTION("""COMPUTED_VALUE"""),"CON-CRS-LP12PF-CM-M3PL67-ST")</f>
        <v>CON-CRS-LP12PF-CM-M3PL67-ST</v>
      </c>
      <c r="J320" t="str">
        <f ca="1">IFERROR(__xludf.DUMMYFUNCTION("""COMPUTED_VALUE"""),"LP-12- C03PE-02-001")</f>
        <v>LP-12- C03PE-02-001</v>
      </c>
    </row>
    <row r="321" spans="1:10">
      <c r="A321" s="106"/>
      <c r="B321" s="111"/>
      <c r="C321" s="111"/>
      <c r="D321" s="111"/>
      <c r="E321" s="111" t="str">
        <f ca="1">IFERROR(__xludf.DUMMYFUNCTION("""COMPUTED_VALUE"""),"M4x20 Button Head")</f>
        <v>M4x20 Button Head</v>
      </c>
      <c r="F321" s="111" t="str">
        <f ca="1">IFERROR(__xludf.DUMMYFUNCTION("""COMPUTED_VALUE"""),"FAS-BLT-BUT-4M20M-HX-304SS")</f>
        <v>FAS-BLT-BUT-4M20M-HX-304SS</v>
      </c>
      <c r="G321" s="111"/>
      <c r="H321" t="str">
        <f ca="1">IFERROR(__xludf.DUMMYFUNCTION("""COMPUTED_VALUE"""),"LP12 3 pin socket female clip lock PM")</f>
        <v>LP12 3 pin socket female clip lock PM</v>
      </c>
      <c r="I321" t="str">
        <f ca="1">IFERROR(__xludf.DUMMYFUNCTION("""COMPUTED_VALUE"""),"CON-CRS-LP12PF-PM-F3PL67-ST")</f>
        <v>CON-CRS-LP12PF-PM-F3PL67-ST</v>
      </c>
      <c r="J321" t="str">
        <f ca="1">IFERROR(__xludf.DUMMYFUNCTION("""COMPUTED_VALUE"""),"LP-12- J03SX-02-101")</f>
        <v>LP-12- J03SX-02-101</v>
      </c>
    </row>
    <row r="322" spans="1:10">
      <c r="A322" s="106"/>
      <c r="B322" s="111"/>
      <c r="C322" s="111"/>
      <c r="D322" s="111"/>
      <c r="E322" s="111" t="str">
        <f ca="1">IFERROR(__xludf.DUMMYFUNCTION("""COMPUTED_VALUE"""),"Bolt Allen Head M4x12 SS 304 - Motor Mount")</f>
        <v>Bolt Allen Head M4x12 SS 304 - Motor Mount</v>
      </c>
      <c r="F322" s="111" t="str">
        <f ca="1">IFERROR(__xludf.DUMMYFUNCTION("""COMPUTED_VALUE"""),"FAS-BLT-ALN-4M12M-HX-304SS")</f>
        <v>FAS-BLT-ALN-4M12M-HX-304SS</v>
      </c>
      <c r="G322" s="111"/>
      <c r="H322" t="str">
        <f ca="1">IFERROR(__xludf.DUMMYFUNCTION("""COMPUTED_VALUE"""),"LP12 4 pin plug male clip lock CM")</f>
        <v>LP12 4 pin plug male clip lock CM</v>
      </c>
      <c r="I322" t="str">
        <f ca="1">IFERROR(__xludf.DUMMYFUNCTION("""COMPUTED_VALUE"""),"CON-CRS-LP12PF-CM-M4PL67-ST")</f>
        <v>CON-CRS-LP12PF-CM-M4PL67-ST</v>
      </c>
      <c r="J322" t="str">
        <f ca="1">IFERROR(__xludf.DUMMYFUNCTION("""COMPUTED_VALUE"""),"LP-12-C04PE-02-001")</f>
        <v>LP-12-C04PE-02-001</v>
      </c>
    </row>
    <row r="323" spans="1:10">
      <c r="A323" s="106"/>
      <c r="B323" s="111"/>
      <c r="C323" s="111"/>
      <c r="D323" s="111"/>
      <c r="E323" s="111" t="str">
        <f ca="1">IFERROR(__xludf.DUMMYFUNCTION("""COMPUTED_VALUE"""),"Bolt Allen Head M4x16 SS 304 - Aft Plate")</f>
        <v>Bolt Allen Head M4x16 SS 304 - Aft Plate</v>
      </c>
      <c r="F323" s="111" t="str">
        <f ca="1">IFERROR(__xludf.DUMMYFUNCTION("""COMPUTED_VALUE"""),"FAS-BLT-ALN-4M16M-HX-304SS")</f>
        <v>FAS-BLT-ALN-4M16M-HX-304SS</v>
      </c>
      <c r="G323" s="111"/>
      <c r="H323" t="str">
        <f ca="1">IFERROR(__xludf.DUMMYFUNCTION("""COMPUTED_VALUE"""),"LP12 4 pin socket female clip lock PM")</f>
        <v>LP12 4 pin socket female clip lock PM</v>
      </c>
      <c r="I323" t="str">
        <f ca="1">IFERROR(__xludf.DUMMYFUNCTION("""COMPUTED_VALUE"""),"CON-CRS-LP12PF-PM-F4PL67-ST")</f>
        <v>CON-CRS-LP12PF-PM-F4PL67-ST</v>
      </c>
      <c r="J323" t="str">
        <f ca="1">IFERROR(__xludf.DUMMYFUNCTION("""COMPUTED_VALUE"""),"LP-12-J04SX-03-001")</f>
        <v>LP-12-J04SX-03-001</v>
      </c>
    </row>
    <row r="324" spans="1:10">
      <c r="A324" s="106"/>
      <c r="B324" s="111"/>
      <c r="C324" s="111"/>
      <c r="D324" s="111"/>
      <c r="E324" s="111" t="str">
        <f ca="1">IFERROR(__xludf.DUMMYFUNCTION("""COMPUTED_VALUE"""),"M4x16 CSK Philips")</f>
        <v>M4x16 CSK Philips</v>
      </c>
      <c r="F324" s="111"/>
      <c r="G324" s="111"/>
      <c r="H324" t="str">
        <f ca="1">IFERROR(__xludf.DUMMYFUNCTION("""COMPUTED_VALUE"""),"LP12 6 pin plug male clip lock CM")</f>
        <v>LP12 6 pin plug male clip lock CM</v>
      </c>
      <c r="I324" t="str">
        <f ca="1">IFERROR(__xludf.DUMMYFUNCTION("""COMPUTED_VALUE"""),"CON-CRS-LP12PF-CM-M6PL67-ST")</f>
        <v>CON-CRS-LP12PF-CM-M6PL67-ST</v>
      </c>
      <c r="J324" t="str">
        <f ca="1">IFERROR(__xludf.DUMMYFUNCTION("""COMPUTED_VALUE"""),"LP-12-C06PE-02-001")</f>
        <v>LP-12-C06PE-02-001</v>
      </c>
    </row>
    <row r="325" spans="1:10">
      <c r="A325" s="106"/>
      <c r="B325" s="111"/>
      <c r="C325" s="111"/>
      <c r="D325" s="111"/>
      <c r="E325" s="111" t="str">
        <f ca="1">IFERROR(__xludf.DUMMYFUNCTION("""COMPUTED_VALUE"""),"M4x6 pan Combi - Jet Assy")</f>
        <v>M4x6 pan Combi - Jet Assy</v>
      </c>
      <c r="F325" s="111" t="str">
        <f ca="1">IFERROR(__xludf.DUMMYFUNCTION("""COMPUTED_VALUE"""),"FAS-BLT-PAN-4M6M-PH-304SS")</f>
        <v>FAS-BLT-PAN-4M6M-PH-304SS</v>
      </c>
      <c r="G325" s="111"/>
      <c r="H325" t="str">
        <f ca="1">IFERROR(__xludf.DUMMYFUNCTION("""COMPUTED_VALUE"""),"LP12 6 pin socket female clip lock CM")</f>
        <v>LP12 6 pin socket female clip lock CM</v>
      </c>
      <c r="I325" t="str">
        <f ca="1">IFERROR(__xludf.DUMMYFUNCTION("""COMPUTED_VALUE"""),"CON-CRS-LP12PF-CM-F6PL67-ST")</f>
        <v>CON-CRS-LP12PF-CM-F6PL67-ST</v>
      </c>
      <c r="J325" t="str">
        <f ca="1">IFERROR(__xludf.DUMMYFUNCTION("""COMPUTED_VALUE"""),"LP-12-J06PP-03-001")</f>
        <v>LP-12-J06PP-03-001</v>
      </c>
    </row>
    <row r="326" spans="1:10">
      <c r="A326" s="106"/>
      <c r="B326" s="111"/>
      <c r="C326" s="111"/>
      <c r="D326" s="111"/>
      <c r="E326" s="111" t="str">
        <f ca="1">IFERROR(__xludf.DUMMYFUNCTION("""COMPUTED_VALUE"""),"M4x8 Pan Combi")</f>
        <v>M4x8 Pan Combi</v>
      </c>
      <c r="F326" s="111" t="str">
        <f ca="1">IFERROR(__xludf.DUMMYFUNCTION("""COMPUTED_VALUE"""),"FAS-BLT-PAN-4M8M-PH-304SS")</f>
        <v>FAS-BLT-PAN-4M8M-PH-304SS</v>
      </c>
      <c r="G326" s="111"/>
      <c r="H326" t="str">
        <f ca="1">IFERROR(__xludf.DUMMYFUNCTION("""COMPUTED_VALUE"""),"LP12 8 pin plug male clip lock CM")</f>
        <v>LP12 8 pin plug male clip lock CM</v>
      </c>
      <c r="I326" t="str">
        <f ca="1">IFERROR(__xludf.DUMMYFUNCTION("""COMPUTED_VALUE"""),"CON-CRS-LP12PF-CM-M8PL67-ST")</f>
        <v>CON-CRS-LP12PF-CM-M8PL67-ST</v>
      </c>
      <c r="J326" t="str">
        <f ca="1">IFERROR(__xludf.DUMMYFUNCTION("""COMPUTED_VALUE"""),"LP-12-C08PE-02-001")</f>
        <v>LP-12-C08PE-02-001</v>
      </c>
    </row>
    <row r="327" spans="1:10">
      <c r="A327" s="106"/>
      <c r="B327" s="111"/>
      <c r="C327" s="111"/>
      <c r="D327" s="111"/>
      <c r="E327" s="111" t="str">
        <f ca="1">IFERROR(__xludf.DUMMYFUNCTION("""COMPUTED_VALUE"""),"M4x16 Pan Combi")</f>
        <v>M4x16 Pan Combi</v>
      </c>
      <c r="F327" s="111" t="str">
        <f ca="1">IFERROR(__xludf.DUMMYFUNCTION("""COMPUTED_VALUE"""),"FAS-BLT-PAN-4M16M-PH-304SS")</f>
        <v>FAS-BLT-PAN-4M16M-PH-304SS</v>
      </c>
      <c r="G327" s="111"/>
      <c r="H327" t="str">
        <f ca="1">IFERROR(__xludf.DUMMYFUNCTION("""COMPUTED_VALUE"""),"LP12 8 pin socket female clip lock PM")</f>
        <v>LP12 8 pin socket female clip lock PM</v>
      </c>
      <c r="I327" t="str">
        <f ca="1">IFERROR(__xludf.DUMMYFUNCTION("""COMPUTED_VALUE"""),"CON-CRS-LP12PF-PM-F8PL67-ST")</f>
        <v>CON-CRS-LP12PF-PM-F8PL67-ST</v>
      </c>
      <c r="J327" t="str">
        <f ca="1">IFERROR(__xludf.DUMMYFUNCTION("""COMPUTED_VALUE"""),"LP-12-J08SX-03-001")</f>
        <v>LP-12-J08SX-03-001</v>
      </c>
    </row>
    <row r="328" spans="1:10">
      <c r="A328" s="106"/>
      <c r="B328" s="111"/>
      <c r="C328" s="111"/>
      <c r="D328" s="111"/>
      <c r="E328" s="111" t="str">
        <f ca="1">IFERROR(__xludf.DUMMYFUNCTION("""COMPUTED_VALUE"""),"M4x10 Allen head")</f>
        <v>M4x10 Allen head</v>
      </c>
      <c r="F328" s="111" t="str">
        <f ca="1">IFERROR(__xludf.DUMMYFUNCTION("""COMPUTED_VALUE"""),"FAS-BLT-ALN-4M10M-HX-304SS")</f>
        <v>FAS-BLT-ALN-4M10M-HX-304SS</v>
      </c>
      <c r="G328" s="111"/>
      <c r="H328" t="str">
        <f ca="1">IFERROR(__xludf.DUMMYFUNCTION("""COMPUTED_VALUE"""),"Water tank for JCB")</f>
        <v>Water tank for JCB</v>
      </c>
    </row>
    <row r="329" spans="1:10">
      <c r="A329" s="106"/>
      <c r="B329" s="111"/>
      <c r="C329" s="111"/>
      <c r="D329" s="111"/>
      <c r="E329" s="111" t="str">
        <f ca="1">IFERROR(__xludf.DUMMYFUNCTION("""COMPUTED_VALUE"""),"M4x30 Allen head")</f>
        <v>M4x30 Allen head</v>
      </c>
      <c r="F329" s="111" t="str">
        <f ca="1">IFERROR(__xludf.DUMMYFUNCTION("""COMPUTED_VALUE"""),"FAS-BLT-ALN-4M30M-HX-304SS")</f>
        <v>FAS-BLT-ALN-4M30M-HX-304SS</v>
      </c>
      <c r="G329" s="111"/>
      <c r="H329" t="str">
        <f ca="1">IFERROR(__xludf.DUMMYFUNCTION("""COMPUTED_VALUE"""),"Leak Probe Sponge - BlueRobotics ")</f>
        <v xml:space="preserve">Leak Probe Sponge - BlueRobotics </v>
      </c>
      <c r="I329" t="str">
        <f ca="1">IFERROR(__xludf.DUMMYFUNCTION("""COMPUTED_VALUE"""),"SEN-LEK-BLUEROBOTICS-PROB")</f>
        <v>SEN-LEK-BLUEROBOTICS-PROB</v>
      </c>
      <c r="J329" t="str">
        <f ca="1">IFERROR(__xludf.DUMMYFUNCTION("""COMPUTED_VALUE"""),"BR-100954")</f>
        <v>BR-100954</v>
      </c>
    </row>
    <row r="330" spans="1:10">
      <c r="A330" s="106"/>
      <c r="B330" s="111"/>
      <c r="C330" s="111"/>
      <c r="D330" s="111"/>
      <c r="E330" s="111" t="str">
        <f ca="1">IFERROR(__xludf.DUMMYFUNCTION("""COMPUTED_VALUE"""),"M4x30 Button Head")</f>
        <v>M4x30 Button Head</v>
      </c>
      <c r="F330" s="111" t="str">
        <f ca="1">IFERROR(__xludf.DUMMYFUNCTION("""COMPUTED_VALUE"""),"FAS-BLT-BUT-4M30M-HX-304SS")</f>
        <v>FAS-BLT-BUT-4M30M-HX-304SS</v>
      </c>
      <c r="G330" s="111"/>
      <c r="H330" t="str">
        <f ca="1">IFERROR(__xludf.DUMMYFUNCTION("""COMPUTED_VALUE"""),"Indicator Panel Mount - BlueRobotics ")</f>
        <v xml:space="preserve">Indicator Panel Mount - BlueRobotics </v>
      </c>
      <c r="I330" t="str">
        <f ca="1">IFERROR(__xludf.DUMMYFUNCTION("""COMPUTED_VALUE"""),"IND-PAM-Al68-12V")</f>
        <v>IND-PAM-Al68-12V</v>
      </c>
      <c r="J330" t="str">
        <f ca="1">IFERROR(__xludf.DUMMYFUNCTION("""COMPUTED_VALUE"""),"BR-100551-001")</f>
        <v>BR-100551-001</v>
      </c>
    </row>
    <row r="331" spans="1:10">
      <c r="A331" s="106"/>
      <c r="B331" s="111"/>
      <c r="C331" s="111"/>
      <c r="D331" s="111"/>
      <c r="E331" s="111" t="str">
        <f ca="1">IFERROR(__xludf.DUMMYFUNCTION("""COMPUTED_VALUE"""),"M4X40 Allen head")</f>
        <v>M4X40 Allen head</v>
      </c>
      <c r="F331" s="111" t="str">
        <f ca="1">IFERROR(__xludf.DUMMYFUNCTION("""COMPUTED_VALUE"""),"FAS-BLT-ALN-4M40M-HX-304SS")</f>
        <v>FAS-BLT-ALN-4M40M-HX-304SS</v>
      </c>
      <c r="G331" s="111"/>
      <c r="H331" t="str">
        <f ca="1">IFERROR(__xludf.DUMMYFUNCTION("""COMPUTED_VALUE"""),"Rotary Main Switch - BlueRobotics - IP68 ")</f>
        <v xml:space="preserve">Rotary Main Switch - BlueRobotics - IP68 </v>
      </c>
      <c r="I331" t="str">
        <f ca="1">IFERROR(__xludf.DUMMYFUNCTION("""COMPUTED_VALUE"""),"SWI-ROT-BLUEROBOTICS-v63i5")</f>
        <v>SWI-ROT-BLUEROBOTICS-v63i5</v>
      </c>
      <c r="J331" t="str">
        <f ca="1">IFERROR(__xludf.DUMMYFUNCTION("""COMPUTED_VALUE"""),"BR-100433")</f>
        <v>BR-100433</v>
      </c>
    </row>
    <row r="332" spans="1:10">
      <c r="A332" s="106"/>
      <c r="B332" s="111"/>
      <c r="C332" s="111"/>
      <c r="D332" s="111"/>
      <c r="E332" s="111" t="str">
        <f ca="1">IFERROR(__xludf.DUMMYFUNCTION("""COMPUTED_VALUE"""),"M4x20 Pan Combi Washers GI for wooden box Padlock")</f>
        <v>M4x20 Pan Combi Washers GI for wooden box Padlock</v>
      </c>
      <c r="F332" s="111" t="str">
        <f ca="1">IFERROR(__xludf.DUMMYFUNCTION("""COMPUTED_VALUE"""),"FAS-BLT-PANCOMBI-4M20M-GI")</f>
        <v>FAS-BLT-PANCOMBI-4M20M-GI</v>
      </c>
      <c r="G332" s="111"/>
      <c r="H332" t="str">
        <f ca="1">IFERROR(__xludf.DUMMYFUNCTION("""COMPUTED_VALUE"""),"LED SMD Red 2835 1W")</f>
        <v>LED SMD Red 2835 1W</v>
      </c>
      <c r="I332" t="str">
        <f ca="1">IFERROR(__xludf.DUMMYFUNCTION("""COMPUTED_VALUE"""),"IND-SMD-W1LEG-RD")</f>
        <v>IND-SMD-W1LEG-RD</v>
      </c>
      <c r="J332" t="str">
        <f ca="1">IFERROR(__xludf.DUMMYFUNCTION("""COMPUTED_VALUE"""),"1w 350mA Emitter Red")</f>
        <v>1w 350mA Emitter Red</v>
      </c>
    </row>
    <row r="333" spans="1:10">
      <c r="A333" s="106"/>
      <c r="B333" s="111"/>
      <c r="C333" s="111"/>
      <c r="D333" s="111"/>
      <c r="E333" s="111" t="str">
        <f ca="1">IFERROR(__xludf.DUMMYFUNCTION("""COMPUTED_VALUE"""),"M4x30 Pan Combi Washer GI for wooden Padlock")</f>
        <v>M4x30 Pan Combi Washer GI for wooden Padlock</v>
      </c>
      <c r="F333" s="111" t="str">
        <f ca="1">IFERROR(__xludf.DUMMYFUNCTION("""COMPUTED_VALUE"""),"FAS-BLT-PANCOMBI-4M30M-GI")</f>
        <v>FAS-BLT-PANCOMBI-4M30M-GI</v>
      </c>
      <c r="G333" s="111"/>
      <c r="H333" t="str">
        <f ca="1">IFERROR(__xludf.DUMMYFUNCTION("""COMPUTED_VALUE"""),"LED SMD Green 2835 1W")</f>
        <v>LED SMD Green 2835 1W</v>
      </c>
      <c r="I333" t="str">
        <f ca="1">IFERROR(__xludf.DUMMYFUNCTION("""COMPUTED_VALUE"""),"IND-SMD-W1LEG-GR")</f>
        <v>IND-SMD-W1LEG-GR</v>
      </c>
      <c r="J333" t="str">
        <f ca="1">IFERROR(__xludf.DUMMYFUNCTION("""COMPUTED_VALUE"""),"1w 350mA Emitter Green")</f>
        <v>1w 350mA Emitter Green</v>
      </c>
    </row>
    <row r="334" spans="1:10">
      <c r="A334" s="106"/>
      <c r="B334" s="111"/>
      <c r="C334" s="111"/>
      <c r="D334" s="111"/>
      <c r="E334" s="111" t="str">
        <f ca="1">IFERROR(__xludf.DUMMYFUNCTION("""COMPUTED_VALUE"""),"M4 Hex Nut GI")</f>
        <v>M4 Hex Nut GI</v>
      </c>
      <c r="F334" s="111" t="str">
        <f ca="1">IFERROR(__xludf.DUMMYFUNCTION("""COMPUTED_VALUE"""),"FAS-NUT-4M-HEX-GI")</f>
        <v>FAS-NUT-4M-HEX-GI</v>
      </c>
      <c r="G334" s="111"/>
      <c r="H334" t="str">
        <f ca="1">IFERROR(__xludf.DUMMYFUNCTION("""COMPUTED_VALUE"""),"Bolt Self Tap Screw No. 4 M4x6.5 Philips SS304 - Remote")</f>
        <v>Bolt Self Tap Screw No. 4 M4x6.5 Philips SS304 - Remote</v>
      </c>
      <c r="I334" t="str">
        <f ca="1">IFERROR(__xludf.DUMMYFUNCTION("""COMPUTED_VALUE"""),"FAS-TAP-4No605MPH304SS")</f>
        <v>FAS-TAP-4No605MPH304SS</v>
      </c>
    </row>
    <row r="335" spans="1:10">
      <c r="A335" s="106"/>
      <c r="B335" s="111"/>
      <c r="C335" s="111"/>
      <c r="D335" s="111"/>
      <c r="E335" s="111" t="str">
        <f ca="1">IFERROR(__xludf.DUMMYFUNCTION("""COMPUTED_VALUE"""),"M4x12 plain washer GI for wooden box")</f>
        <v>M4x12 plain washer GI for wooden box</v>
      </c>
      <c r="F335" s="111" t="str">
        <f ca="1">IFERROR(__xludf.DUMMYFUNCTION("""COMPUTED_VALUE"""),"FAS-WAS-PWS-4M12M1M-GI")</f>
        <v>FAS-WAS-PWS-4M12M1M-GI</v>
      </c>
      <c r="G335" s="111"/>
      <c r="H335" t="str">
        <f ca="1">IFERROR(__xludf.DUMMYFUNCTION("""COMPUTED_VALUE"""),"M2x9.5 Selp tapping SS304 - Remote")</f>
        <v>M2x9.5 Selp tapping SS304 - Remote</v>
      </c>
      <c r="I335" t="str">
        <f ca="1">IFERROR(__xludf.DUMMYFUNCTION("""COMPUTED_VALUE"""),"FAS-TAP-2No605MPH304SS")</f>
        <v>FAS-TAP-2No605MPH304SS</v>
      </c>
    </row>
    <row r="336" spans="1:10">
      <c r="A336" s="106"/>
      <c r="B336" s="111"/>
      <c r="C336" s="111"/>
      <c r="D336" s="111"/>
      <c r="E336" s="111" t="str">
        <f ca="1">IFERROR(__xludf.DUMMYFUNCTION("""COMPUTED_VALUE"""),"M5x15 plain washer")</f>
        <v>M5x15 plain washer</v>
      </c>
      <c r="F336" s="111" t="str">
        <f ca="1">IFERROR(__xludf.DUMMYFUNCTION("""COMPUTED_VALUE"""),"FAS-WAS-PWS-5M15M1M-304SS")</f>
        <v>FAS-WAS-PWS-5M15M1M-304SS</v>
      </c>
      <c r="G336" s="111"/>
      <c r="H336" t="str">
        <f ca="1">IFERROR(__xludf.DUMMYFUNCTION("""COMPUTED_VALUE"""),"Bolt M3x6 CSK Phillips - Flashing Lights (PCB)")</f>
        <v>Bolt M3x6 CSK Phillips - Flashing Lights (PCB)</v>
      </c>
      <c r="I336" t="str">
        <f ca="1">IFERROR(__xludf.DUMMYFUNCTION("""COMPUTED_VALUE"""),"FAS-BLT-CSK-3M50M-PH-304SS")</f>
        <v>FAS-BLT-CSK-3M50M-PH-304SS</v>
      </c>
    </row>
    <row r="337" spans="1:9">
      <c r="A337" s="106"/>
      <c r="B337" s="111"/>
      <c r="C337" s="111"/>
      <c r="D337" s="111"/>
      <c r="E337" s="111" t="str">
        <f ca="1">IFERROR(__xludf.DUMMYFUNCTION("""COMPUTED_VALUE"""),"M5x15 Allen Head")</f>
        <v>M5x15 Allen Head</v>
      </c>
      <c r="F337" s="111" t="str">
        <f ca="1">IFERROR(__xludf.DUMMYFUNCTION("""COMPUTED_VALUE"""),"FAS-BLT-ALN-4M15M-HX-304SS")</f>
        <v>FAS-BLT-ALN-4M15M-HX-304SS</v>
      </c>
      <c r="G337" s="111"/>
      <c r="H337" t="str">
        <f ca="1">IFERROR(__xludf.DUMMYFUNCTION("""COMPUTED_VALUE"""),"M3x6 Allen Head")</f>
        <v>M3x6 Allen Head</v>
      </c>
      <c r="I337" t="str">
        <f ca="1">IFERROR(__xludf.DUMMYFUNCTION("""COMPUTED_VALUE"""),"FAS-BLT-ALN-3M6M-HX-304SS")</f>
        <v>FAS-BLT-ALN-3M6M-HX-304SS</v>
      </c>
    </row>
    <row r="338" spans="1:9">
      <c r="A338" s="106"/>
      <c r="B338" s="111"/>
      <c r="C338" s="111"/>
      <c r="D338" s="111"/>
      <c r="E338" s="111" t="str">
        <f ca="1">IFERROR(__xludf.DUMMYFUNCTION("""COMPUTED_VALUE"""),"M5x20 Allen Head")</f>
        <v>M5x20 Allen Head</v>
      </c>
      <c r="F338" s="111" t="str">
        <f ca="1">IFERROR(__xludf.DUMMYFUNCTION("""COMPUTED_VALUE"""),"FAS-BLT-ALN-4M20M-HX-304SS")</f>
        <v>FAS-BLT-ALN-4M20M-HX-304SS</v>
      </c>
      <c r="G338" s="111"/>
      <c r="H338" t="str">
        <f ca="1">IFERROR(__xludf.DUMMYFUNCTION("""COMPUTED_VALUE"""),"Bolt M3x8 CSK Phillips - Inlet Block Mesh")</f>
        <v>Bolt M3x8 CSK Phillips - Inlet Block Mesh</v>
      </c>
      <c r="I338" t="str">
        <f ca="1">IFERROR(__xludf.DUMMYFUNCTION("""COMPUTED_VALUE"""),"FAS-BLT-CSK-3M8M-PH-304SS")</f>
        <v>FAS-BLT-CSK-3M8M-PH-304SS</v>
      </c>
    </row>
    <row r="339" spans="1:9">
      <c r="A339" s="106"/>
      <c r="B339" s="111"/>
      <c r="C339" s="111"/>
      <c r="D339" s="111"/>
      <c r="E339" s="111" t="str">
        <f ca="1">IFERROR(__xludf.DUMMYFUNCTION("""COMPUTED_VALUE"""),"M5x20 Button Head")</f>
        <v>M5x20 Button Head</v>
      </c>
      <c r="F339" s="111" t="str">
        <f ca="1">IFERROR(__xludf.DUMMYFUNCTION("""COMPUTED_VALUE"""),"FAS-BLT-BUT-4M20M-HX-304SS")</f>
        <v>FAS-BLT-BUT-4M20M-HX-304SS</v>
      </c>
      <c r="G339" s="111"/>
      <c r="H339" t="str">
        <f ca="1">IFERROR(__xludf.DUMMYFUNCTION("""COMPUTED_VALUE"""),"Bolt Button Head M3x8 SS 304 Flashing Lights")</f>
        <v>Bolt Button Head M3x8 SS 304 Flashing Lights</v>
      </c>
      <c r="I339" t="str">
        <f ca="1">IFERROR(__xludf.DUMMYFUNCTION("""COMPUTED_VALUE"""),"FAS-BLT-BUT-3M8M-HX-304SS")</f>
        <v>FAS-BLT-BUT-3M8M-HX-304SS</v>
      </c>
    </row>
    <row r="340" spans="1:9">
      <c r="A340" s="106"/>
      <c r="B340" s="111"/>
      <c r="C340" s="111"/>
      <c r="D340" s="111"/>
      <c r="E340" s="111" t="str">
        <f ca="1">IFERROR(__xludf.DUMMYFUNCTION("""COMPUTED_VALUE"""),"M5x20 Pan Combi Washers GI for wooden box ")</f>
        <v xml:space="preserve">M5x20 Pan Combi Washers GI for wooden box </v>
      </c>
      <c r="F340" s="111" t="str">
        <f ca="1">IFERROR(__xludf.DUMMYFUNCTION("""COMPUTED_VALUE"""),"FAS-BLT-PANCOMBI-5M20M-GI")</f>
        <v>FAS-BLT-PANCOMBI-5M20M-GI</v>
      </c>
      <c r="G340" s="111"/>
      <c r="H340" t="str">
        <f ca="1">IFERROR(__xludf.DUMMYFUNCTION("""COMPUTED_VALUE"""),"M3x12 CSK Phillips - Charger Panel")</f>
        <v>M3x12 CSK Phillips - Charger Panel</v>
      </c>
      <c r="I340" t="str">
        <f ca="1">IFERROR(__xludf.DUMMYFUNCTION("""COMPUTED_VALUE"""),"FAS-BLT-CSK-3M12M-PH-304SS")</f>
        <v>FAS-BLT-CSK-3M12M-PH-304SS</v>
      </c>
    </row>
    <row r="341" spans="1:9">
      <c r="A341" s="106"/>
      <c r="B341" s="111"/>
      <c r="C341" s="111"/>
      <c r="D341" s="111"/>
      <c r="E341" s="111" t="str">
        <f ca="1">IFERROR(__xludf.DUMMYFUNCTION("""COMPUTED_VALUE"""),"M5x30 Pan Combi Washer GI for wooden for hinge only")</f>
        <v>M5x30 Pan Combi Washer GI for wooden for hinge only</v>
      </c>
      <c r="F341" s="111" t="str">
        <f ca="1">IFERROR(__xludf.DUMMYFUNCTION("""COMPUTED_VALUE"""),"FAS-BLT-PANCOMBI-5M30M-GI")</f>
        <v>FAS-BLT-PANCOMBI-5M30M-GI</v>
      </c>
      <c r="G341" s="111"/>
      <c r="H341" t="str">
        <f ca="1">IFERROR(__xludf.DUMMYFUNCTION("""COMPUTED_VALUE"""),"M3x12 Allen Head")</f>
        <v>M3x12 Allen Head</v>
      </c>
      <c r="I341" t="str">
        <f ca="1">IFERROR(__xludf.DUMMYFUNCTION("""COMPUTED_VALUE"""),"FAS-BLT-ALN-3M12M-HX-304SS")</f>
        <v>FAS-BLT-ALN-3M12M-HX-304SS</v>
      </c>
    </row>
    <row r="342" spans="1:9">
      <c r="A342" s="106"/>
      <c r="B342" s="111"/>
      <c r="C342" s="111"/>
      <c r="D342" s="111"/>
      <c r="E342" s="111" t="str">
        <f ca="1">IFERROR(__xludf.DUMMYFUNCTION("""COMPUTED_VALUE"""),"M5 Hex Nut GI")</f>
        <v>M5 Hex Nut GI</v>
      </c>
      <c r="F342" s="111" t="str">
        <f ca="1">IFERROR(__xludf.DUMMYFUNCTION("""COMPUTED_VALUE"""),"FAS-NUT-5M-HEX-GI")</f>
        <v>FAS-NUT-5M-HEX-GI</v>
      </c>
      <c r="G342" s="111"/>
      <c r="H342" t="str">
        <f ca="1">IFERROR(__xludf.DUMMYFUNCTION("""COMPUTED_VALUE"""),"Bolt M3x30 CSK Phillips SS 304 - ESC")</f>
        <v>Bolt M3x30 CSK Phillips SS 304 - ESC</v>
      </c>
      <c r="I342" t="str">
        <f ca="1">IFERROR(__xludf.DUMMYFUNCTION("""COMPUTED_VALUE"""),"FAS-BLT-CSK-3M20M-PH-304SS")</f>
        <v>FAS-BLT-CSK-3M20M-PH-304SS</v>
      </c>
    </row>
    <row r="343" spans="1:9">
      <c r="A343" s="106"/>
      <c r="B343" s="111"/>
      <c r="C343" s="111"/>
      <c r="D343" s="111"/>
      <c r="E343" s="111" t="str">
        <f ca="1">IFERROR(__xludf.DUMMYFUNCTION("""COMPUTED_VALUE"""),"Bolt Allen Head M4x20 SS 304 - Jet with hull assy")</f>
        <v>Bolt Allen Head M4x20 SS 304 - Jet with hull assy</v>
      </c>
      <c r="F343" s="111" t="str">
        <f ca="1">IFERROR(__xludf.DUMMYFUNCTION("""COMPUTED_VALUE"""),"FAS-BLT-BUT-4M20M-HX-304SS")</f>
        <v>FAS-BLT-BUT-4M20M-HX-304SS</v>
      </c>
      <c r="G343" s="111"/>
      <c r="H343" t="str">
        <f ca="1">IFERROR(__xludf.DUMMYFUNCTION("""COMPUTED_VALUE"""),"M3x8 Allen Head")</f>
        <v>M3x8 Allen Head</v>
      </c>
      <c r="I343" t="str">
        <f ca="1">IFERROR(__xludf.DUMMYFUNCTION("""COMPUTED_VALUE"""),"FAS-BLT-ALN-3M8M-HX-304SS")</f>
        <v>FAS-BLT-ALN-3M8M-HX-304SS</v>
      </c>
    </row>
    <row r="344" spans="1:9">
      <c r="A344" s="106"/>
      <c r="B344" s="111"/>
      <c r="C344" s="111"/>
      <c r="D344" s="111"/>
      <c r="E344" s="111" t="str">
        <f ca="1">IFERROR(__xludf.DUMMYFUNCTION("""COMPUTED_VALUE"""),"M4X12 CSK Phillips SS 304 - Jets plate motor assy")</f>
        <v>M4X12 CSK Phillips SS 304 - Jets plate motor assy</v>
      </c>
      <c r="F344" s="111" t="str">
        <f ca="1">IFERROR(__xludf.DUMMYFUNCTION("""COMPUTED_VALUE"""),"FAS-BLT-CSK-4M12M-PH-304SS")</f>
        <v>FAS-BLT-CSK-4M12M-PH-304SS</v>
      </c>
      <c r="G344" s="111"/>
      <c r="H344" t="str">
        <f ca="1">IFERROR(__xludf.DUMMYFUNCTION("""COMPUTED_VALUE"""),"Washer Plain M3x10x1 SS 304 - Charger Panel")</f>
        <v>Washer Plain M3x10x1 SS 304 - Charger Panel</v>
      </c>
      <c r="I344" t="str">
        <f ca="1">IFERROR(__xludf.DUMMYFUNCTION("""COMPUTED_VALUE"""),"FAS-WAS-PWS-3M10M1M-304SS")</f>
        <v>FAS-WAS-PWS-3M10M1M-304SS</v>
      </c>
    </row>
    <row r="345" spans="1:9">
      <c r="A345" s="106"/>
      <c r="B345" s="111"/>
      <c r="C345" s="111"/>
      <c r="D345" s="111"/>
      <c r="E345" s="111" t="str">
        <f ca="1">IFERROR(__xludf.DUMMYFUNCTION("""COMPUTED_VALUE"""),"M4x15 Pan Combi Washer")</f>
        <v>M4x15 Pan Combi Washer</v>
      </c>
      <c r="F345" s="111"/>
      <c r="G345" s="111"/>
      <c r="H345" t="str">
        <f ca="1">IFERROR(__xludf.DUMMYFUNCTION("""COMPUTED_VALUE"""),"M3x10 CSK ")</f>
        <v xml:space="preserve">M3x10 CSK </v>
      </c>
    </row>
    <row r="346" spans="1:9">
      <c r="A346" s="106"/>
      <c r="B346" s="111"/>
      <c r="C346" s="111"/>
      <c r="D346" s="111"/>
      <c r="E346" s="111" t="str">
        <f ca="1">IFERROR(__xludf.DUMMYFUNCTION("""COMPUTED_VALUE"""),"Bolt Button Head M4x8 SS 304 ")</f>
        <v xml:space="preserve">Bolt Button Head M4x8 SS 304 </v>
      </c>
      <c r="F346" s="111" t="str">
        <f ca="1">IFERROR(__xludf.DUMMYFUNCTION("""COMPUTED_VALUE"""),"FAS-BLT-BUT-4M8M-HX-304SS")</f>
        <v>FAS-BLT-BUT-4M8M-HX-304SS</v>
      </c>
      <c r="G346" s="111"/>
      <c r="H346" t="str">
        <f ca="1">IFERROR(__xludf.DUMMYFUNCTION("""COMPUTED_VALUE"""),"Washer Spring  M3x8x1 SS 304")</f>
        <v>Washer Spring  M3x8x1 SS 304</v>
      </c>
      <c r="I346" t="str">
        <f ca="1">IFERROR(__xludf.DUMMYFUNCTION("""COMPUTED_VALUE"""),"FAS-WAS-SPWS-3M8M1M-304SS")</f>
        <v>FAS-WAS-SPWS-3M8M1M-304SS</v>
      </c>
    </row>
    <row r="347" spans="1:9">
      <c r="A347" s="106"/>
      <c r="B347" s="111"/>
      <c r="C347" s="111"/>
      <c r="D347" s="111"/>
      <c r="E347" s="111" t="str">
        <f ca="1">IFERROR(__xludf.DUMMYFUNCTION("""COMPUTED_VALUE"""),"Bolt Button Head M4x12 SS 304 - Flashing Lights")</f>
        <v>Bolt Button Head M4x12 SS 304 - Flashing Lights</v>
      </c>
      <c r="F347" s="111" t="str">
        <f ca="1">IFERROR(__xludf.DUMMYFUNCTION("""COMPUTED_VALUE"""),"FAS-BLT-BUT-4M12M-HX-304SS")</f>
        <v>FAS-BLT-BUT-4M12M-HX-304SS</v>
      </c>
      <c r="G347" s="111"/>
      <c r="H347" t="str">
        <f ca="1">IFERROR(__xludf.DUMMYFUNCTION("""COMPUTED_VALUE"""),"M3x5 Grub Screws")</f>
        <v>M3x5 Grub Screws</v>
      </c>
      <c r="I347" t="str">
        <f ca="1">IFERROR(__xludf.DUMMYFUNCTION("""COMPUTED_VALUE"""),"FAS-GRB-3M5M-HX-304SS")</f>
        <v>FAS-GRB-3M5M-HX-304SS</v>
      </c>
    </row>
    <row r="348" spans="1:9">
      <c r="A348" s="106"/>
      <c r="B348" s="111"/>
      <c r="C348" s="111"/>
      <c r="D348" s="111"/>
      <c r="E348" s="111" t="str">
        <f ca="1">IFERROR(__xludf.DUMMYFUNCTION("""COMPUTED_VALUE"""),"Bolt Pan Head Combi M4x12 SS 304 - Inlet Block with hull assy")</f>
        <v>Bolt Pan Head Combi M4x12 SS 304 - Inlet Block with hull assy</v>
      </c>
      <c r="F348" s="111" t="str">
        <f ca="1">IFERROR(__xludf.DUMMYFUNCTION("""COMPUTED_VALUE"""),"FAS-BLT-PANCOMBI-4M12M-PH-304SS")</f>
        <v>FAS-BLT-PANCOMBI-4M12M-PH-304SS</v>
      </c>
      <c r="G348" s="111"/>
      <c r="H348" t="str">
        <f ca="1">IFERROR(__xludf.DUMMYFUNCTION("""COMPUTED_VALUE"""),"Bolt CSK Head M4x8 Phillips SS 304")</f>
        <v>Bolt CSK Head M4x8 Phillips SS 304</v>
      </c>
      <c r="I348" t="str">
        <f ca="1">IFERROR(__xludf.DUMMYFUNCTION("""COMPUTED_VALUE"""),"FAS-BLT-CSK-4M8M-PH-304SS")</f>
        <v>FAS-BLT-CSK-4M8M-PH-304SS</v>
      </c>
    </row>
    <row r="349" spans="1:9">
      <c r="A349" s="106"/>
      <c r="B349" s="111"/>
      <c r="C349" s="111"/>
      <c r="D349" s="111"/>
      <c r="E349" s="111" t="str">
        <f ca="1">IFERROR(__xludf.DUMMYFUNCTION("""COMPUTED_VALUE"""),"Plain Washer M4x12x1 SS 304 - Jet with hull, Inlet block")</f>
        <v>Plain Washer M4x12x1 SS 304 - Jet with hull, Inlet block</v>
      </c>
      <c r="F349" s="111" t="str">
        <f ca="1">IFERROR(__xludf.DUMMYFUNCTION("""COMPUTED_VALUE"""),"FAS-WAS-PWS-4M12M1M-304SS")</f>
        <v>FAS-WAS-PWS-4M12M1M-304SS</v>
      </c>
      <c r="G349" s="111"/>
      <c r="H349" t="str">
        <f ca="1">IFERROR(__xludf.DUMMYFUNCTION("""COMPUTED_VALUE"""),"Bolt CSK Head M4x8 Phillips GI")</f>
        <v>Bolt CSK Head M4x8 Phillips GI</v>
      </c>
      <c r="I349" t="str">
        <f ca="1">IFERROR(__xludf.DUMMYFUNCTION("""COMPUTED_VALUE"""),"FAS-BLT-CSK-4M8M-PH-GI")</f>
        <v>FAS-BLT-CSK-4M8M-PH-GI</v>
      </c>
    </row>
    <row r="350" spans="1:9">
      <c r="A350" s="106"/>
      <c r="B350" s="111"/>
      <c r="C350" s="111"/>
      <c r="D350" s="111"/>
      <c r="E350" s="111" t="str">
        <f ca="1">IFERROR(__xludf.DUMMYFUNCTION("""COMPUTED_VALUE"""),"Spring Washer M4x8x1 SS 304 - Aft Plate")</f>
        <v>Spring Washer M4x8x1 SS 304 - Aft Plate</v>
      </c>
      <c r="F350" s="111" t="str">
        <f ca="1">IFERROR(__xludf.DUMMYFUNCTION("""COMPUTED_VALUE"""),"FAS-WAS-SWS-4M8M1M-304SS")</f>
        <v>FAS-WAS-SWS-4M8M1M-304SS</v>
      </c>
      <c r="G350" s="111"/>
      <c r="H350" t="str">
        <f ca="1">IFERROR(__xludf.DUMMYFUNCTION("""COMPUTED_VALUE"""),"M4 Hex Nut")</f>
        <v>M4 Hex Nut</v>
      </c>
      <c r="I350" t="str">
        <f ca="1">IFERROR(__xludf.DUMMYFUNCTION("""COMPUTED_VALUE"""),"FAS-NUT-4M-HEX-SS304")</f>
        <v>FAS-NUT-4M-HEX-SS304</v>
      </c>
    </row>
    <row r="351" spans="1:9">
      <c r="A351" s="106"/>
      <c r="B351" s="111"/>
      <c r="C351" s="111"/>
      <c r="D351" s="111"/>
      <c r="E351" s="111" t="str">
        <f ca="1">IFERROR(__xludf.DUMMYFUNCTION("""COMPUTED_VALUE"""),"M4 Nylock Nut SS 304")</f>
        <v>M4 Nylock Nut SS 304</v>
      </c>
      <c r="F351" s="111" t="str">
        <f ca="1">IFERROR(__xludf.DUMMYFUNCTION("""COMPUTED_VALUE"""),"FAS-NUT-4M-NYL-304SS")</f>
        <v>FAS-NUT-4M-NYL-304SS</v>
      </c>
      <c r="G351" s="111"/>
      <c r="H351" t="str">
        <f ca="1">IFERROR(__xludf.DUMMYFUNCTION("""COMPUTED_VALUE"""),"Bolt M2x15 Allen Head SS3042")</f>
        <v>Bolt M2x15 Allen Head SS3042</v>
      </c>
      <c r="I351" t="str">
        <f ca="1">IFERROR(__xludf.DUMMYFUNCTION("""COMPUTED_VALUE"""),"FAS-BLT-ALN-2M15M-HX-304SS")</f>
        <v>FAS-BLT-ALN-2M15M-HX-304SS</v>
      </c>
    </row>
    <row r="352" spans="1:9">
      <c r="A352" s="106"/>
      <c r="B352" s="111"/>
      <c r="C352" s="111"/>
      <c r="D352" s="111"/>
      <c r="E352" s="111" t="str">
        <f ca="1">IFERROR(__xludf.DUMMYFUNCTION("""COMPUTED_VALUE"""),"M3 Nylock")</f>
        <v>M3 Nylock</v>
      </c>
      <c r="F352" s="111" t="str">
        <f ca="1">IFERROR(__xludf.DUMMYFUNCTION("""COMPUTED_VALUE"""),"FAS-NUT-4M-HEX-304SS")</f>
        <v>FAS-NUT-4M-HEX-304SS</v>
      </c>
      <c r="G352" s="111"/>
      <c r="H352" t="str">
        <f ca="1">IFERROR(__xludf.DUMMYFUNCTION("""COMPUTED_VALUE"""),"M2x12 Allen Cap")</f>
        <v>M2x12 Allen Cap</v>
      </c>
      <c r="I352" t="str">
        <f ca="1">IFERROR(__xludf.DUMMYFUNCTION("""COMPUTED_VALUE"""),"FAS-BLT-ALN-2M12M-HX-304SS")</f>
        <v>FAS-BLT-ALN-2M12M-HX-304SS</v>
      </c>
    </row>
    <row r="353" spans="1:9">
      <c r="A353" s="106"/>
      <c r="B353" s="111"/>
      <c r="C353" s="111"/>
      <c r="D353" s="111"/>
      <c r="E353" s="111" t="str">
        <f ca="1">IFERROR(__xludf.DUMMYFUNCTION("""COMPUTED_VALUE"""),"Nut Square M4 SS 304 - Jet Assy")</f>
        <v>Nut Square M4 SS 304 - Jet Assy</v>
      </c>
      <c r="F353" s="111" t="str">
        <f ca="1">IFERROR(__xludf.DUMMYFUNCTION("""COMPUTED_VALUE"""),"FAS-NUT-4M-SQR-304SS")</f>
        <v>FAS-NUT-4M-SQR-304SS</v>
      </c>
      <c r="G353" s="111"/>
      <c r="H353" t="str">
        <f ca="1">IFERROR(__xludf.DUMMYFUNCTION("""COMPUTED_VALUE"""),"Bolt CSK Head M4x10 Phillips SS 304")</f>
        <v>Bolt CSK Head M4x10 Phillips SS 304</v>
      </c>
      <c r="I353" t="str">
        <f ca="1">IFERROR(__xludf.DUMMYFUNCTION("""COMPUTED_VALUE"""),"FAS-BLT-CSK-4M10M-PH-304SS")</f>
        <v>FAS-BLT-CSK-4M10M-PH-304SS</v>
      </c>
    </row>
    <row r="354" spans="1:9">
      <c r="A354" s="106"/>
      <c r="B354" s="111"/>
      <c r="C354" s="111"/>
      <c r="D354" s="111"/>
      <c r="E354" s="111" t="str">
        <f ca="1">IFERROR(__xludf.DUMMYFUNCTION("""COMPUTED_VALUE"""),"Nut Square M3 SS 304 - Charger panel")</f>
        <v>Nut Square M3 SS 304 - Charger panel</v>
      </c>
      <c r="F354" s="111" t="str">
        <f ca="1">IFERROR(__xludf.DUMMYFUNCTION("""COMPUTED_VALUE"""),"FAS-NUT-3M-SQR-304SS")</f>
        <v>FAS-NUT-3M-SQR-304SS</v>
      </c>
      <c r="G354" s="111"/>
      <c r="H354" t="str">
        <f ca="1">IFERROR(__xludf.DUMMYFUNCTION("""COMPUTED_VALUE"""),"M4x20 CSK Phillips - Electronic Box top lid")</f>
        <v>M4x20 CSK Phillips - Electronic Box top lid</v>
      </c>
      <c r="I354" t="str">
        <f ca="1">IFERROR(__xludf.DUMMYFUNCTION("""COMPUTED_VALUE"""),"FAS-BLT-CSK-4M20M-PH-304SS")</f>
        <v>FAS-BLT-CSK-4M20M-PH-304SS</v>
      </c>
    </row>
    <row r="355" spans="1:9">
      <c r="A355" s="106"/>
      <c r="B355" s="111"/>
      <c r="C355" s="111"/>
      <c r="D355" s="111"/>
      <c r="E355" s="111" t="str">
        <f ca="1">IFERROR(__xludf.DUMMYFUNCTION("""COMPUTED_VALUE"""),"M3 Hex Nuts - Charger")</f>
        <v>M3 Hex Nuts - Charger</v>
      </c>
      <c r="F355" s="111" t="str">
        <f ca="1">IFERROR(__xludf.DUMMYFUNCTION("""COMPUTED_VALUE"""),"FAS-NUT-3M-HEX-SS304")</f>
        <v>FAS-NUT-3M-HEX-SS304</v>
      </c>
      <c r="G355" s="111"/>
      <c r="H355" t="str">
        <f ca="1">IFERROR(__xludf.DUMMYFUNCTION("""COMPUTED_VALUE"""),"M4x20 Plain Washer")</f>
        <v>M4x20 Plain Washer</v>
      </c>
      <c r="I355" t="str">
        <f ca="1">IFERROR(__xludf.DUMMYFUNCTION("""COMPUTED_VALUE"""),"FAS-WAS-PWS-4M20M1M-304SS")</f>
        <v>FAS-WAS-PWS-4M20M1M-304SS</v>
      </c>
    </row>
    <row r="356" spans="1:9">
      <c r="A356" s="106"/>
      <c r="B356" s="111"/>
      <c r="C356" s="111"/>
      <c r="D356" s="111"/>
      <c r="E356" s="111" t="str">
        <f ca="1">IFERROR(__xludf.DUMMYFUNCTION("""COMPUTED_VALUE"""),"Grub Screw M4x5 SS 304 - Jet Assy")</f>
        <v>Grub Screw M4x5 SS 304 - Jet Assy</v>
      </c>
      <c r="F356" s="111" t="str">
        <f ca="1">IFERROR(__xludf.DUMMYFUNCTION("""COMPUTED_VALUE"""),"FAS-GRB-4M5M-HX-304SS")</f>
        <v>FAS-GRB-4M5M-HX-304SS</v>
      </c>
      <c r="G356" s="111"/>
      <c r="H356" t="str">
        <f ca="1">IFERROR(__xludf.DUMMYFUNCTION("""COMPUTED_VALUE"""),"M4x20 Button Head")</f>
        <v>M4x20 Button Head</v>
      </c>
      <c r="I356" t="str">
        <f ca="1">IFERROR(__xludf.DUMMYFUNCTION("""COMPUTED_VALUE"""),"FAS-BLT-BUT-4M20M-HX-304SS")</f>
        <v>FAS-BLT-BUT-4M20M-HX-304SS</v>
      </c>
    </row>
    <row r="357" spans="1:9">
      <c r="A357" s="106"/>
      <c r="B357" s="111"/>
      <c r="C357" s="111"/>
      <c r="D357" s="111"/>
      <c r="E357" s="111" t="str">
        <f ca="1">IFERROR(__xludf.DUMMYFUNCTION("""COMPUTED_VALUE"""),"M5x10 Allen Head (AMCA)")</f>
        <v>M5x10 Allen Head (AMCA)</v>
      </c>
      <c r="F357" s="111" t="str">
        <f ca="1">IFERROR(__xludf.DUMMYFUNCTION("""COMPUTED_VALUE"""),"FAS-BLT-ALN-5M10M-HX-304SS")</f>
        <v>FAS-BLT-ALN-5M10M-HX-304SS</v>
      </c>
      <c r="G357" s="111"/>
      <c r="H357" t="str">
        <f ca="1">IFERROR(__xludf.DUMMYFUNCTION("""COMPUTED_VALUE"""),"Bolt Allen Head M4x12 SS 304 - Motor Mount")</f>
        <v>Bolt Allen Head M4x12 SS 304 - Motor Mount</v>
      </c>
      <c r="I357" t="str">
        <f ca="1">IFERROR(__xludf.DUMMYFUNCTION("""COMPUTED_VALUE"""),"FAS-BLT-ALN-4M12M-HX-304SS")</f>
        <v>FAS-BLT-ALN-4M12M-HX-304SS</v>
      </c>
    </row>
    <row r="358" spans="1:9">
      <c r="A358" s="106"/>
      <c r="B358" s="111"/>
      <c r="C358" s="111"/>
      <c r="D358" s="111"/>
      <c r="E358" s="111" t="str">
        <f ca="1">IFERROR(__xludf.DUMMYFUNCTION("""COMPUTED_VALUE"""),"Bolt Pan Torx Head M5x10 SS 304")</f>
        <v>Bolt Pan Torx Head M5x10 SS 304</v>
      </c>
      <c r="F358" s="111" t="str">
        <f ca="1">IFERROR(__xludf.DUMMYFUNCTION("""COMPUTED_VALUE"""),"FAS-BLT-TRX-5M10M-T25-304SS")</f>
        <v>FAS-BLT-TRX-5M10M-T25-304SS</v>
      </c>
      <c r="G358" s="111"/>
      <c r="H358" t="str">
        <f ca="1">IFERROR(__xludf.DUMMYFUNCTION("""COMPUTED_VALUE"""),"Bolt Allen Head M4x16 SS 304 - Aft Plate")</f>
        <v>Bolt Allen Head M4x16 SS 304 - Aft Plate</v>
      </c>
      <c r="I358" t="str">
        <f ca="1">IFERROR(__xludf.DUMMYFUNCTION("""COMPUTED_VALUE"""),"FAS-BLT-ALN-4M16M-HX-304SS")</f>
        <v>FAS-BLT-ALN-4M16M-HX-304SS</v>
      </c>
    </row>
    <row r="359" spans="1:9">
      <c r="A359" s="106"/>
      <c r="B359" s="111"/>
      <c r="C359" s="111"/>
      <c r="D359" s="111"/>
      <c r="E359" s="111" t="str">
        <f ca="1">IFERROR(__xludf.DUMMYFUNCTION("""COMPUTED_VALUE"""),"Grub Screw M5x10 SS 304")</f>
        <v>Grub Screw M5x10 SS 304</v>
      </c>
      <c r="F359" s="111" t="str">
        <f ca="1">IFERROR(__xludf.DUMMYFUNCTION("""COMPUTED_VALUE"""),"FAS-GRB-4M10M-HX-304SS")</f>
        <v>FAS-GRB-4M10M-HX-304SS</v>
      </c>
      <c r="G359" s="111"/>
      <c r="H359" t="str">
        <f ca="1">IFERROR(__xludf.DUMMYFUNCTION("""COMPUTED_VALUE"""),"M4x16 CSK Philips")</f>
        <v>M4x16 CSK Philips</v>
      </c>
    </row>
    <row r="360" spans="1:9">
      <c r="A360" s="106"/>
      <c r="B360" s="111"/>
      <c r="C360" s="111"/>
      <c r="D360" s="111"/>
      <c r="E360" s="111" t="str">
        <f ca="1">IFERROR(__xludf.DUMMYFUNCTION("""COMPUTED_VALUE"""),"Grub Screws M5x5 SS304")</f>
        <v>Grub Screws M5x5 SS304</v>
      </c>
      <c r="F360" s="111" t="str">
        <f ca="1">IFERROR(__xludf.DUMMYFUNCTION("""COMPUTED_VALUE"""),"FAS-GRB-4M5M-HX-304SS")</f>
        <v>FAS-GRB-4M5M-HX-304SS</v>
      </c>
      <c r="G360" s="111"/>
      <c r="H360" t="str">
        <f ca="1">IFERROR(__xludf.DUMMYFUNCTION("""COMPUTED_VALUE"""),"M4x6 pan Combi - Jet Assy")</f>
        <v>M4x6 pan Combi - Jet Assy</v>
      </c>
      <c r="I360" t="str">
        <f ca="1">IFERROR(__xludf.DUMMYFUNCTION("""COMPUTED_VALUE"""),"FAS-BLT-PAN-4M6M-PH-304SS")</f>
        <v>FAS-BLT-PAN-4M6M-PH-304SS</v>
      </c>
    </row>
    <row r="361" spans="1:9">
      <c r="A361" s="106"/>
      <c r="B361" s="111"/>
      <c r="C361" s="111"/>
      <c r="D361" s="111"/>
      <c r="E361" s="111" t="str">
        <f ca="1">IFERROR(__xludf.DUMMYFUNCTION("""COMPUTED_VALUE"""),"M5x16 Allen Cap")</f>
        <v>M5x16 Allen Cap</v>
      </c>
      <c r="F361" s="111" t="str">
        <f ca="1">IFERROR(__xludf.DUMMYFUNCTION("""COMPUTED_VALUE"""),"FAS-BLT-ALN-5M16M-HX-304SS")</f>
        <v>FAS-BLT-ALN-5M16M-HX-304SS</v>
      </c>
      <c r="G361" s="111"/>
      <c r="H361" t="str">
        <f ca="1">IFERROR(__xludf.DUMMYFUNCTION("""COMPUTED_VALUE"""),"M4x8 Pan Combi")</f>
        <v>M4x8 Pan Combi</v>
      </c>
      <c r="I361" t="str">
        <f ca="1">IFERROR(__xludf.DUMMYFUNCTION("""COMPUTED_VALUE"""),"FAS-BLT-PAN-4M8M-PH-304SS")</f>
        <v>FAS-BLT-PAN-4M8M-PH-304SS</v>
      </c>
    </row>
    <row r="362" spans="1:9">
      <c r="A362" s="106"/>
      <c r="B362" s="111"/>
      <c r="C362" s="111"/>
      <c r="D362" s="111"/>
      <c r="E362" s="111" t="str">
        <f ca="1">IFERROR(__xludf.DUMMYFUNCTION("""COMPUTED_VALUE"""),"M5x16 Button Head")</f>
        <v>M5x16 Button Head</v>
      </c>
      <c r="F362" s="111" t="str">
        <f ca="1">IFERROR(__xludf.DUMMYFUNCTION("""COMPUTED_VALUE"""),"FAS-BLT-BUT-5M16M-HX-304SS")</f>
        <v>FAS-BLT-BUT-5M16M-HX-304SS</v>
      </c>
      <c r="G362" s="111"/>
      <c r="H362" t="str">
        <f ca="1">IFERROR(__xludf.DUMMYFUNCTION("""COMPUTED_VALUE"""),"M4x16 Pan Combi")</f>
        <v>M4x16 Pan Combi</v>
      </c>
      <c r="I362" t="str">
        <f ca="1">IFERROR(__xludf.DUMMYFUNCTION("""COMPUTED_VALUE"""),"FAS-BLT-PAN-4M16M-PH-304SS")</f>
        <v>FAS-BLT-PAN-4M16M-PH-304SS</v>
      </c>
    </row>
    <row r="363" spans="1:9">
      <c r="A363" s="106"/>
      <c r="B363" s="111"/>
      <c r="C363" s="111"/>
      <c r="D363" s="111"/>
      <c r="E363" s="111" t="str">
        <f ca="1">IFERROR(__xludf.DUMMYFUNCTION("""COMPUTED_VALUE"""),"M5x16 Plain washers")</f>
        <v>M5x16 Plain washers</v>
      </c>
      <c r="F363" s="111"/>
      <c r="G363" s="111"/>
      <c r="H363" t="str">
        <f ca="1">IFERROR(__xludf.DUMMYFUNCTION("""COMPUTED_VALUE"""),"M4x10 Allen head")</f>
        <v>M4x10 Allen head</v>
      </c>
      <c r="I363" t="str">
        <f ca="1">IFERROR(__xludf.DUMMYFUNCTION("""COMPUTED_VALUE"""),"FAS-BLT-ALN-4M10M-HX-304SS")</f>
        <v>FAS-BLT-ALN-4M10M-HX-304SS</v>
      </c>
    </row>
    <row r="364" spans="1:9">
      <c r="A364" s="106"/>
      <c r="B364" s="111"/>
      <c r="C364" s="111"/>
      <c r="D364" s="111"/>
      <c r="E364" s="111" t="str">
        <f ca="1">IFERROR(__xludf.DUMMYFUNCTION("""COMPUTED_VALUE"""),"M5x20 Allen Cap")</f>
        <v>M5x20 Allen Cap</v>
      </c>
      <c r="F364" s="111" t="str">
        <f ca="1">IFERROR(__xludf.DUMMYFUNCTION("""COMPUTED_VALUE"""),"FAS-BLT-ALN-5M10M-HX-304SS")</f>
        <v>FAS-BLT-ALN-5M10M-HX-304SS</v>
      </c>
      <c r="G364" s="111"/>
      <c r="H364" t="str">
        <f ca="1">IFERROR(__xludf.DUMMYFUNCTION("""COMPUTED_VALUE"""),"M4x30 Allen head")</f>
        <v>M4x30 Allen head</v>
      </c>
      <c r="I364" t="str">
        <f ca="1">IFERROR(__xludf.DUMMYFUNCTION("""COMPUTED_VALUE"""),"FAS-BLT-ALN-4M30M-HX-304SS")</f>
        <v>FAS-BLT-ALN-4M30M-HX-304SS</v>
      </c>
    </row>
    <row r="365" spans="1:9">
      <c r="A365" s="106"/>
      <c r="B365" s="111"/>
      <c r="C365" s="111"/>
      <c r="D365" s="111"/>
      <c r="E365" s="111" t="str">
        <f ca="1">IFERROR(__xludf.DUMMYFUNCTION("""COMPUTED_VALUE"""),"M5x50 CSK Philips")</f>
        <v>M5x50 CSK Philips</v>
      </c>
      <c r="F365" s="111" t="str">
        <f ca="1">IFERROR(__xludf.DUMMYFUNCTION("""COMPUTED_VALUE"""),"FAS-BLT-CSK-5M50M-PH-304SS")</f>
        <v>FAS-BLT-CSK-5M50M-PH-304SS</v>
      </c>
      <c r="G365" s="111"/>
      <c r="H365" t="str">
        <f ca="1">IFERROR(__xludf.DUMMYFUNCTION("""COMPUTED_VALUE"""),"M4x30 Button Head")</f>
        <v>M4x30 Button Head</v>
      </c>
      <c r="I365" t="str">
        <f ca="1">IFERROR(__xludf.DUMMYFUNCTION("""COMPUTED_VALUE"""),"FAS-BLT-BUT-4M30M-HX-304SS")</f>
        <v>FAS-BLT-BUT-4M30M-HX-304SS</v>
      </c>
    </row>
    <row r="366" spans="1:9">
      <c r="A366" s="106"/>
      <c r="B366" s="111"/>
      <c r="C366" s="111"/>
      <c r="D366" s="111"/>
      <c r="E366" s="111" t="str">
        <f ca="1">IFERROR(__xludf.DUMMYFUNCTION("""COMPUTED_VALUE"""),"M5x50 Allen Head")</f>
        <v>M5x50 Allen Head</v>
      </c>
      <c r="F366" s="111" t="str">
        <f ca="1">IFERROR(__xludf.DUMMYFUNCTION("""COMPUTED_VALUE"""),"FAS-BLT-ALN-5M50M-HX-304SS")</f>
        <v>FAS-BLT-ALN-5M50M-HX-304SS</v>
      </c>
      <c r="G366" s="111"/>
      <c r="H366" t="str">
        <f ca="1">IFERROR(__xludf.DUMMYFUNCTION("""COMPUTED_VALUE"""),"M4X40 Allen head")</f>
        <v>M4X40 Allen head</v>
      </c>
      <c r="I366" t="str">
        <f ca="1">IFERROR(__xludf.DUMMYFUNCTION("""COMPUTED_VALUE"""),"FAS-BLT-ALN-4M40M-HX-304SS")</f>
        <v>FAS-BLT-ALN-4M40M-HX-304SS</v>
      </c>
    </row>
    <row r="367" spans="1:9">
      <c r="A367" s="106"/>
      <c r="B367" s="111"/>
      <c r="C367" s="111"/>
      <c r="D367" s="111"/>
      <c r="E367" s="111" t="str">
        <f ca="1">IFERROR(__xludf.DUMMYFUNCTION("""COMPUTED_VALUE"""),"M5 Square Nuts")</f>
        <v>M5 Square Nuts</v>
      </c>
      <c r="F367" s="111" t="str">
        <f ca="1">IFERROR(__xludf.DUMMYFUNCTION("""COMPUTED_VALUE"""),"FAS-NUT-5M-SQR-304SS")</f>
        <v>FAS-NUT-5M-SQR-304SS</v>
      </c>
      <c r="G367" s="111"/>
      <c r="H367" t="str">
        <f ca="1">IFERROR(__xludf.DUMMYFUNCTION("""COMPUTED_VALUE"""),"M4x20 Pan Combi Washers GI for wooden box Padlock")</f>
        <v>M4x20 Pan Combi Washers GI for wooden box Padlock</v>
      </c>
      <c r="I367" t="str">
        <f ca="1">IFERROR(__xludf.DUMMYFUNCTION("""COMPUTED_VALUE"""),"FAS-BLT-PANCOMBI-4M20M-GI")</f>
        <v>FAS-BLT-PANCOMBI-4M20M-GI</v>
      </c>
    </row>
    <row r="368" spans="1:9">
      <c r="A368" s="106"/>
      <c r="B368" s="111"/>
      <c r="C368" s="111"/>
      <c r="D368" s="111"/>
      <c r="E368" s="111" t="str">
        <f ca="1">IFERROR(__xludf.DUMMYFUNCTION("""COMPUTED_VALUE"""),"Bolt Allen Head M6x50 SS 304")</f>
        <v>Bolt Allen Head M6x50 SS 304</v>
      </c>
      <c r="F368" s="111" t="str">
        <f ca="1">IFERROR(__xludf.DUMMYFUNCTION("""COMPUTED_VALUE"""),"FAS-BLT-ALN-6M50M-HX-304SS")</f>
        <v>FAS-BLT-ALN-6M50M-HX-304SS</v>
      </c>
      <c r="G368" s="111"/>
      <c r="H368" t="str">
        <f ca="1">IFERROR(__xludf.DUMMYFUNCTION("""COMPUTED_VALUE"""),"M4x30 Pan Combi Washer GI for wooden Padlock")</f>
        <v>M4x30 Pan Combi Washer GI for wooden Padlock</v>
      </c>
      <c r="I368" t="str">
        <f ca="1">IFERROR(__xludf.DUMMYFUNCTION("""COMPUTED_VALUE"""),"FAS-BLT-PANCOMBI-4M30M-GI")</f>
        <v>FAS-BLT-PANCOMBI-4M30M-GI</v>
      </c>
    </row>
    <row r="369" spans="1:9">
      <c r="A369" s="106"/>
      <c r="B369" s="111"/>
      <c r="C369" s="111"/>
      <c r="D369" s="111"/>
      <c r="E369" s="111" t="str">
        <f ca="1">IFERROR(__xludf.DUMMYFUNCTION("""COMPUTED_VALUE"""),"M6x50 Button Head SS304")</f>
        <v>M6x50 Button Head SS304</v>
      </c>
      <c r="F369" s="111"/>
      <c r="G369" s="111"/>
      <c r="H369" t="str">
        <f ca="1">IFERROR(__xludf.DUMMYFUNCTION("""COMPUTED_VALUE"""),"M4 Hex Nut GI")</f>
        <v>M4 Hex Nut GI</v>
      </c>
      <c r="I369" t="str">
        <f ca="1">IFERROR(__xludf.DUMMYFUNCTION("""COMPUTED_VALUE"""),"FAS-NUT-4M-HEX-GI")</f>
        <v>FAS-NUT-4M-HEX-GI</v>
      </c>
    </row>
    <row r="370" spans="1:9">
      <c r="A370" s="106"/>
      <c r="B370" s="111"/>
      <c r="C370" s="111"/>
      <c r="D370" s="111"/>
      <c r="E370" s="111" t="str">
        <f ca="1">IFERROR(__xludf.DUMMYFUNCTION("""COMPUTED_VALUE"""),"Bolt Allen Head M6x150 SS 304 - SR Pillow &amp; Structure")</f>
        <v>Bolt Allen Head M6x150 SS 304 - SR Pillow &amp; Structure</v>
      </c>
      <c r="F370" s="111" t="str">
        <f ca="1">IFERROR(__xludf.DUMMYFUNCTION("""COMPUTED_VALUE"""),"FAS-BLT-ALN-6M150M-HX-304SS")</f>
        <v>FAS-BLT-ALN-6M150M-HX-304SS</v>
      </c>
      <c r="G370" s="111"/>
      <c r="H370" t="str">
        <f ca="1">IFERROR(__xludf.DUMMYFUNCTION("""COMPUTED_VALUE"""),"M4x12 plain washer GI for wooden box")</f>
        <v>M4x12 plain washer GI for wooden box</v>
      </c>
      <c r="I370" t="str">
        <f ca="1">IFERROR(__xludf.DUMMYFUNCTION("""COMPUTED_VALUE"""),"FAS-WAS-PWS-4M12M1M-GI")</f>
        <v>FAS-WAS-PWS-4M12M1M-GI</v>
      </c>
    </row>
    <row r="371" spans="1:9">
      <c r="A371" s="106"/>
      <c r="B371" s="111"/>
      <c r="C371" s="111"/>
      <c r="D371" s="111"/>
      <c r="E371" s="111" t="str">
        <f ca="1">IFERROR(__xludf.DUMMYFUNCTION("""COMPUTED_VALUE"""),"Nut Nylock M6 SS 304 - SR Pillow &amp; Structure")</f>
        <v>Nut Nylock M6 SS 304 - SR Pillow &amp; Structure</v>
      </c>
      <c r="F371" s="111" t="str">
        <f ca="1">IFERROR(__xludf.DUMMYFUNCTION("""COMPUTED_VALUE"""),"FAS-NUT-6M-NYL-304SS")</f>
        <v>FAS-NUT-6M-NYL-304SS</v>
      </c>
      <c r="G371" s="111"/>
      <c r="H371" t="str">
        <f ca="1">IFERROR(__xludf.DUMMYFUNCTION("""COMPUTED_VALUE"""),"M5x15 plain washer")</f>
        <v>M5x15 plain washer</v>
      </c>
      <c r="I371" t="str">
        <f ca="1">IFERROR(__xludf.DUMMYFUNCTION("""COMPUTED_VALUE"""),"FAS-WAS-PWS-5M15M1M-304SS")</f>
        <v>FAS-WAS-PWS-5M15M1M-304SS</v>
      </c>
    </row>
    <row r="372" spans="1:9">
      <c r="A372" s="106"/>
      <c r="B372" s="111"/>
      <c r="C372" s="111"/>
      <c r="D372" s="111"/>
      <c r="E372" s="111" t="str">
        <f ca="1">IFERROR(__xludf.DUMMYFUNCTION("""COMPUTED_VALUE"""),"M6x16 Button Head")</f>
        <v>M6x16 Button Head</v>
      </c>
      <c r="F372" s="111" t="str">
        <f ca="1">IFERROR(__xludf.DUMMYFUNCTION("""COMPUTED_VALUE"""),"FAS-BLT-BUT-6M16M-HX-304SS")</f>
        <v>FAS-BLT-BUT-6M16M-HX-304SS</v>
      </c>
      <c r="G372" s="111"/>
      <c r="H372" t="str">
        <f ca="1">IFERROR(__xludf.DUMMYFUNCTION("""COMPUTED_VALUE"""),"M5x15 Allen Head")</f>
        <v>M5x15 Allen Head</v>
      </c>
      <c r="I372" t="str">
        <f ca="1">IFERROR(__xludf.DUMMYFUNCTION("""COMPUTED_VALUE"""),"FAS-BLT-ALN-4M15M-HX-304SS")</f>
        <v>FAS-BLT-ALN-4M15M-HX-304SS</v>
      </c>
    </row>
    <row r="373" spans="1:9">
      <c r="A373" s="106"/>
      <c r="B373" s="111"/>
      <c r="C373" s="111"/>
      <c r="D373" s="111"/>
      <c r="E373" s="111" t="str">
        <f ca="1">IFERROR(__xludf.DUMMYFUNCTION("""COMPUTED_VALUE"""),"Washer Plain M6x15x1 SS 304 - SR Pillow &amp; Structure")</f>
        <v>Washer Plain M6x15x1 SS 304 - SR Pillow &amp; Structure</v>
      </c>
      <c r="F373" s="111" t="str">
        <f ca="1">IFERROR(__xludf.DUMMYFUNCTION("""COMPUTED_VALUE"""),"FAS-WAS-PWS-6M15M1M-304SS")</f>
        <v>FAS-WAS-PWS-6M15M1M-304SS</v>
      </c>
      <c r="G373" s="111"/>
      <c r="H373" t="str">
        <f ca="1">IFERROR(__xludf.DUMMYFUNCTION("""COMPUTED_VALUE"""),"M5x20 Allen Head")</f>
        <v>M5x20 Allen Head</v>
      </c>
      <c r="I373" t="str">
        <f ca="1">IFERROR(__xludf.DUMMYFUNCTION("""COMPUTED_VALUE"""),"FAS-BLT-ALN-4M20M-HX-304SS")</f>
        <v>FAS-BLT-ALN-4M20M-HX-304SS</v>
      </c>
    </row>
    <row r="374" spans="1:9">
      <c r="A374" s="106"/>
      <c r="B374" s="111"/>
      <c r="C374" s="111"/>
      <c r="D374" s="111"/>
      <c r="E374" s="111" t="str">
        <f ca="1">IFERROR(__xludf.DUMMYFUNCTION("""COMPUTED_VALUE"""),"M6x20 Button head")</f>
        <v>M6x20 Button head</v>
      </c>
      <c r="F374" s="111" t="str">
        <f ca="1">IFERROR(__xludf.DUMMYFUNCTION("""COMPUTED_VALUE"""),"FAS-BLT-BUT-6M20M-HX-304SS")</f>
        <v>FAS-BLT-BUT-6M20M-HX-304SS</v>
      </c>
      <c r="G374" s="111"/>
      <c r="H374" t="str">
        <f ca="1">IFERROR(__xludf.DUMMYFUNCTION("""COMPUTED_VALUE"""),"M5x20 Button Head")</f>
        <v>M5x20 Button Head</v>
      </c>
      <c r="I374" t="str">
        <f ca="1">IFERROR(__xludf.DUMMYFUNCTION("""COMPUTED_VALUE"""),"FAS-BLT-BUT-4M20M-HX-304SS")</f>
        <v>FAS-BLT-BUT-4M20M-HX-304SS</v>
      </c>
    </row>
    <row r="375" spans="1:9">
      <c r="A375" s="106"/>
      <c r="B375" s="111"/>
      <c r="C375" s="111"/>
      <c r="D375" s="111"/>
      <c r="E375" s="111" t="str">
        <f ca="1">IFERROR(__xludf.DUMMYFUNCTION("""COMPUTED_VALUE"""),"M6x25 button head")</f>
        <v>M6x25 button head</v>
      </c>
      <c r="F375" s="111" t="str">
        <f ca="1">IFERROR(__xludf.DUMMYFUNCTION("""COMPUTED_VALUE"""),"FAS-BLT-BUT-6M25M-HX-304SS")</f>
        <v>FAS-BLT-BUT-6M25M-HX-304SS</v>
      </c>
      <c r="G375" s="111"/>
      <c r="H375" t="str">
        <f ca="1">IFERROR(__xludf.DUMMYFUNCTION("""COMPUTED_VALUE"""),"M5x20 Pan Combi Washers GI for wooden box ")</f>
        <v xml:space="preserve">M5x20 Pan Combi Washers GI for wooden box </v>
      </c>
      <c r="I375" t="str">
        <f ca="1">IFERROR(__xludf.DUMMYFUNCTION("""COMPUTED_VALUE"""),"FAS-BLT-PANCOMBI-5M20M-GI")</f>
        <v>FAS-BLT-PANCOMBI-5M20M-GI</v>
      </c>
    </row>
    <row r="376" spans="1:9">
      <c r="A376" s="106"/>
      <c r="B376" s="111"/>
      <c r="C376" s="111"/>
      <c r="D376" s="111"/>
      <c r="E376" s="111" t="str">
        <f ca="1">IFERROR(__xludf.DUMMYFUNCTION("""COMPUTED_VALUE"""),"Grub Screw M6x10 SS 304 - Coupling")</f>
        <v>Grub Screw M6x10 SS 304 - Coupling</v>
      </c>
      <c r="F376" s="111" t="str">
        <f ca="1">IFERROR(__xludf.DUMMYFUNCTION("""COMPUTED_VALUE"""),"FAS-GRB-4M5M-HX-SS304")</f>
        <v>FAS-GRB-4M5M-HX-SS304</v>
      </c>
      <c r="G376" s="111"/>
      <c r="H376" t="str">
        <f ca="1">IFERROR(__xludf.DUMMYFUNCTION("""COMPUTED_VALUE"""),"M5x30 Pan Combi Washer GI for wooden for hinge only")</f>
        <v>M5x30 Pan Combi Washer GI for wooden for hinge only</v>
      </c>
      <c r="I376" t="str">
        <f ca="1">IFERROR(__xludf.DUMMYFUNCTION("""COMPUTED_VALUE"""),"FAS-BLT-PANCOMBI-5M30M-GI")</f>
        <v>FAS-BLT-PANCOMBI-5M30M-GI</v>
      </c>
    </row>
    <row r="377" spans="1:9">
      <c r="A377" s="106"/>
      <c r="B377" s="111"/>
      <c r="C377" s="111"/>
      <c r="D377" s="111"/>
      <c r="E377" s="111" t="str">
        <f ca="1">IFERROR(__xludf.DUMMYFUNCTION("""COMPUTED_VALUE"""),"Nut Dome M6 SS 304")</f>
        <v>Nut Dome M6 SS 304</v>
      </c>
      <c r="F377" s="111" t="str">
        <f ca="1">IFERROR(__xludf.DUMMYFUNCTION("""COMPUTED_VALUE"""),"FAS-NUT-6M-DOM-304SS")</f>
        <v>FAS-NUT-6M-DOM-304SS</v>
      </c>
      <c r="G377" s="111"/>
      <c r="H377" t="str">
        <f ca="1">IFERROR(__xludf.DUMMYFUNCTION("""COMPUTED_VALUE"""),"M5 Hex Nut GI")</f>
        <v>M5 Hex Nut GI</v>
      </c>
      <c r="I377" t="str">
        <f ca="1">IFERROR(__xludf.DUMMYFUNCTION("""COMPUTED_VALUE"""),"FAS-NUT-5M-HEX-GI")</f>
        <v>FAS-NUT-5M-HEX-GI</v>
      </c>
    </row>
    <row r="378" spans="1:9">
      <c r="A378" s="106"/>
      <c r="B378" s="111"/>
      <c r="C378" s="111"/>
      <c r="D378" s="111"/>
      <c r="E378" s="111" t="str">
        <f ca="1">IFERROR(__xludf.DUMMYFUNCTION("""COMPUTED_VALUE"""),"M6x12 Button Head")</f>
        <v>M6x12 Button Head</v>
      </c>
      <c r="F378" s="111" t="str">
        <f ca="1">IFERROR(__xludf.DUMMYFUNCTION("""COMPUTED_VALUE"""),"FAS-BLT-BUT-6M12M-HX-304SS")</f>
        <v>FAS-BLT-BUT-6M12M-HX-304SS</v>
      </c>
      <c r="G378" s="111"/>
      <c r="H378" t="str">
        <f ca="1">IFERROR(__xludf.DUMMYFUNCTION("""COMPUTED_VALUE"""),"Bolt Allen Head M4x20 SS 304 - Jet with hull assy")</f>
        <v>Bolt Allen Head M4x20 SS 304 - Jet with hull assy</v>
      </c>
      <c r="I378" t="str">
        <f ca="1">IFERROR(__xludf.DUMMYFUNCTION("""COMPUTED_VALUE"""),"FAS-BLT-BUT-4M20M-HX-304SS")</f>
        <v>FAS-BLT-BUT-4M20M-HX-304SS</v>
      </c>
    </row>
    <row r="379" spans="1:9">
      <c r="A379" s="106"/>
      <c r="B379" s="111"/>
      <c r="C379" s="111"/>
      <c r="D379" s="111"/>
      <c r="E379" s="111" t="str">
        <f ca="1">IFERROR(__xludf.DUMMYFUNCTION("""COMPUTED_VALUE"""),"M6x30 Button Head")</f>
        <v>M6x30 Button Head</v>
      </c>
      <c r="F379" s="111" t="str">
        <f ca="1">IFERROR(__xludf.DUMMYFUNCTION("""COMPUTED_VALUE"""),"FAS-BLT-BUT-6M30M-HX-304SS")</f>
        <v>FAS-BLT-BUT-6M30M-HX-304SS</v>
      </c>
      <c r="G379" s="111"/>
      <c r="H379" t="str">
        <f ca="1">IFERROR(__xludf.DUMMYFUNCTION("""COMPUTED_VALUE"""),"M4X12 CSK Phillips SS 304 - Jets plate motor assy")</f>
        <v>M4X12 CSK Phillips SS 304 - Jets plate motor assy</v>
      </c>
      <c r="I379" t="str">
        <f ca="1">IFERROR(__xludf.DUMMYFUNCTION("""COMPUTED_VALUE"""),"FAS-BLT-CSK-4M12M-PH-304SS")</f>
        <v>FAS-BLT-CSK-4M12M-PH-304SS</v>
      </c>
    </row>
    <row r="380" spans="1:9">
      <c r="A380" s="106"/>
      <c r="B380" s="111"/>
      <c r="C380" s="111"/>
      <c r="D380" s="111"/>
      <c r="E380" s="111" t="str">
        <f ca="1">IFERROR(__xludf.DUMMYFUNCTION("""COMPUTED_VALUE"""),"M6x30 Allen Head")</f>
        <v>M6x30 Allen Head</v>
      </c>
      <c r="F380" s="111" t="str">
        <f ca="1">IFERROR(__xludf.DUMMYFUNCTION("""COMPUTED_VALUE"""),"FAS-BLT-ALN-6M30MHX-304SS")</f>
        <v>FAS-BLT-ALN-6M30MHX-304SS</v>
      </c>
      <c r="G380" s="111"/>
      <c r="H380" t="str">
        <f ca="1">IFERROR(__xludf.DUMMYFUNCTION("""COMPUTED_VALUE"""),"M4x15 Pan Combi Washer")</f>
        <v>M4x15 Pan Combi Washer</v>
      </c>
    </row>
    <row r="381" spans="1:9">
      <c r="A381" s="106"/>
      <c r="B381" s="111"/>
      <c r="C381" s="111"/>
      <c r="D381" s="111"/>
      <c r="E381" s="111" t="str">
        <f ca="1">IFERROR(__xludf.DUMMYFUNCTION("""COMPUTED_VALUE"""),"6mm Hex Nut")</f>
        <v>6mm Hex Nut</v>
      </c>
      <c r="F381" s="111" t="str">
        <f ca="1">IFERROR(__xludf.DUMMYFUNCTION("""COMPUTED_VALUE"""),"FAS-NUT-6M-HEX-SS304")</f>
        <v>FAS-NUT-6M-HEX-SS304</v>
      </c>
      <c r="G381" s="111"/>
      <c r="H381" t="str">
        <f ca="1">IFERROR(__xludf.DUMMYFUNCTION("""COMPUTED_VALUE"""),"Bolt Button Head M4x8 SS 304 ")</f>
        <v xml:space="preserve">Bolt Button Head M4x8 SS 304 </v>
      </c>
      <c r="I381" t="str">
        <f ca="1">IFERROR(__xludf.DUMMYFUNCTION("""COMPUTED_VALUE"""),"FAS-BLT-BUT-4M8M-HX-304SS")</f>
        <v>FAS-BLT-BUT-4M8M-HX-304SS</v>
      </c>
    </row>
    <row r="382" spans="1:9">
      <c r="A382" s="106"/>
      <c r="B382" s="111"/>
      <c r="C382" s="111"/>
      <c r="D382" s="111"/>
      <c r="E382" s="111" t="str">
        <f ca="1">IFERROR(__xludf.DUMMYFUNCTION("""COMPUTED_VALUE"""),"Washer Plain M8x20x2 SS 304 - SR on hull Assy")</f>
        <v>Washer Plain M8x20x2 SS 304 - SR on hull Assy</v>
      </c>
      <c r="F382" s="111" t="str">
        <f ca="1">IFERROR(__xludf.DUMMYFUNCTION("""COMPUTED_VALUE"""),"FAS-WAS-PWS-8M20M2M-304SS")</f>
        <v>FAS-WAS-PWS-8M20M2M-304SS</v>
      </c>
      <c r="G382" s="111"/>
      <c r="H382" t="str">
        <f ca="1">IFERROR(__xludf.DUMMYFUNCTION("""COMPUTED_VALUE"""),"Bolt Button Head M4x12 SS 304 - Flashing Lights")</f>
        <v>Bolt Button Head M4x12 SS 304 - Flashing Lights</v>
      </c>
      <c r="I382" t="str">
        <f ca="1">IFERROR(__xludf.DUMMYFUNCTION("""COMPUTED_VALUE"""),"FAS-BLT-BUT-4M12M-HX-304SS")</f>
        <v>FAS-BLT-BUT-4M12M-HX-304SS</v>
      </c>
    </row>
    <row r="383" spans="1:9">
      <c r="A383" s="106"/>
      <c r="B383" s="111"/>
      <c r="C383" s="111"/>
      <c r="D383" s="111"/>
      <c r="E383" s="111" t="str">
        <f ca="1">IFERROR(__xludf.DUMMYFUNCTION("""COMPUTED_VALUE"""),"Bolt Allen Head M8x25 SS 304 - SR on hull Assy")</f>
        <v>Bolt Allen Head M8x25 SS 304 - SR on hull Assy</v>
      </c>
      <c r="F383" s="111" t="str">
        <f ca="1">IFERROR(__xludf.DUMMYFUNCTION("""COMPUTED_VALUE"""),"FAS-BLT-ALN-8M25MHX-304SS")</f>
        <v>FAS-BLT-ALN-8M25MHX-304SS</v>
      </c>
      <c r="G383" s="111"/>
      <c r="H383" t="str">
        <f ca="1">IFERROR(__xludf.DUMMYFUNCTION("""COMPUTED_VALUE"""),"Bolt Pan Head Combi M4x12 SS 304 - Inlet Block with hull assy")</f>
        <v>Bolt Pan Head Combi M4x12 SS 304 - Inlet Block with hull assy</v>
      </c>
      <c r="I383" t="str">
        <f ca="1">IFERROR(__xludf.DUMMYFUNCTION("""COMPUTED_VALUE"""),"FAS-BLT-PANCOMBI-4M12M-PH-304SS")</f>
        <v>FAS-BLT-PANCOMBI-4M12M-PH-304SS</v>
      </c>
    </row>
    <row r="384" spans="1:9">
      <c r="A384" s="106"/>
      <c r="B384" s="111"/>
      <c r="C384" s="111"/>
      <c r="D384" s="111"/>
      <c r="E384" s="111" t="str">
        <f ca="1">IFERROR(__xludf.DUMMYFUNCTION("""COMPUTED_VALUE"""),"M8x25 GI Bolts")</f>
        <v>M8x25 GI Bolts</v>
      </c>
      <c r="F384" s="111"/>
      <c r="G384" s="111"/>
      <c r="H384" t="str">
        <f ca="1">IFERROR(__xludf.DUMMYFUNCTION("""COMPUTED_VALUE"""),"Plain Washer M4x12x1 SS 304 - Jet with hull, Inlet block")</f>
        <v>Plain Washer M4x12x1 SS 304 - Jet with hull, Inlet block</v>
      </c>
      <c r="I384" t="str">
        <f ca="1">IFERROR(__xludf.DUMMYFUNCTION("""COMPUTED_VALUE"""),"FAS-WAS-PWS-4M12M1M-304SS")</f>
        <v>FAS-WAS-PWS-4M12M1M-304SS</v>
      </c>
    </row>
    <row r="385" spans="1:9">
      <c r="A385" s="106"/>
      <c r="B385" s="111"/>
      <c r="C385" s="111"/>
      <c r="D385" s="111"/>
      <c r="E385" s="111" t="str">
        <f ca="1">IFERROR(__xludf.DUMMYFUNCTION("""COMPUTED_VALUE"""),"M8x25 GI Nuts")</f>
        <v>M8x25 GI Nuts</v>
      </c>
      <c r="F385" s="111"/>
      <c r="G385" s="111"/>
      <c r="H385" t="str">
        <f ca="1">IFERROR(__xludf.DUMMYFUNCTION("""COMPUTED_VALUE"""),"Spring Washer M4x8x1 SS 304 - Aft Plate")</f>
        <v>Spring Washer M4x8x1 SS 304 - Aft Plate</v>
      </c>
      <c r="I385" t="str">
        <f ca="1">IFERROR(__xludf.DUMMYFUNCTION("""COMPUTED_VALUE"""),"FAS-WAS-SWS-4M8M1M-304SS")</f>
        <v>FAS-WAS-SWS-4M8M1M-304SS</v>
      </c>
    </row>
    <row r="386" spans="1:9">
      <c r="A386" s="106"/>
      <c r="B386" s="111"/>
      <c r="C386" s="111"/>
      <c r="D386" s="111"/>
      <c r="E386" s="111" t="str">
        <f ca="1">IFERROR(__xludf.DUMMYFUNCTION("""COMPUTED_VALUE"""),"Bolt Button Head Torx M5X12 SS 304 - Kangaroo, Aft, Front Lid")</f>
        <v>Bolt Button Head Torx M5X12 SS 304 - Kangaroo, Aft, Front Lid</v>
      </c>
      <c r="F386" s="111" t="str">
        <f ca="1">IFERROR(__xludf.DUMMYFUNCTION("""COMPUTED_VALUE"""),"FAS-BLT-TRX-5M12M-T25-SS304")</f>
        <v>FAS-BLT-TRX-5M12M-T25-SS304</v>
      </c>
      <c r="G386" s="111"/>
      <c r="H386" t="str">
        <f ca="1">IFERROR(__xludf.DUMMYFUNCTION("""COMPUTED_VALUE"""),"M4 Nylock Nut SS 304")</f>
        <v>M4 Nylock Nut SS 304</v>
      </c>
      <c r="I386" t="str">
        <f ca="1">IFERROR(__xludf.DUMMYFUNCTION("""COMPUTED_VALUE"""),"FAS-NUT-4M-NYL-304SS")</f>
        <v>FAS-NUT-4M-NYL-304SS</v>
      </c>
    </row>
    <row r="387" spans="1:9">
      <c r="A387" s="106"/>
      <c r="B387" s="111"/>
      <c r="C387" s="111"/>
      <c r="D387" s="111"/>
      <c r="E387" s="111" t="str">
        <f ca="1">IFERROR(__xludf.DUMMYFUNCTION("""COMPUTED_VALUE"""),"Bolt CSK Phillips M5X12 SS 304 (Kangaroo Top Lid)")</f>
        <v>Bolt CSK Phillips M5X12 SS 304 (Kangaroo Top Lid)</v>
      </c>
      <c r="F387" s="111" t="str">
        <f ca="1">IFERROR(__xludf.DUMMYFUNCTION("""COMPUTED_VALUE"""),"FAS-BLT-CSK-5M12M-PH-304SS")</f>
        <v>FAS-BLT-CSK-5M12M-PH-304SS</v>
      </c>
      <c r="G387" s="111"/>
      <c r="H387" t="str">
        <f ca="1">IFERROR(__xludf.DUMMYFUNCTION("""COMPUTED_VALUE"""),"M3 Nylock")</f>
        <v>M3 Nylock</v>
      </c>
      <c r="I387" t="str">
        <f ca="1">IFERROR(__xludf.DUMMYFUNCTION("""COMPUTED_VALUE"""),"FAS-NUT-4M-HEX-304SS")</f>
        <v>FAS-NUT-4M-HEX-304SS</v>
      </c>
    </row>
    <row r="388" spans="1:9">
      <c r="A388" s="106"/>
      <c r="B388" s="111"/>
      <c r="C388" s="111"/>
      <c r="D388" s="111"/>
      <c r="E388" s="111" t="str">
        <f ca="1">IFERROR(__xludf.DUMMYFUNCTION("""COMPUTED_VALUE"""),"M5x12 x1.2 Plain Washers ( Kangaroo Installation)")</f>
        <v>M5x12 x1.2 Plain Washers ( Kangaroo Installation)</v>
      </c>
      <c r="F388" s="111" t="str">
        <f ca="1">IFERROR(__xludf.DUMMYFUNCTION("""COMPUTED_VALUE"""),"FAS-WAS-PWS-5M12M1.2M-304SS")</f>
        <v>FAS-WAS-PWS-5M12M1.2M-304SS</v>
      </c>
      <c r="G388" s="111"/>
      <c r="H388" t="str">
        <f ca="1">IFERROR(__xludf.DUMMYFUNCTION("""COMPUTED_VALUE"""),"Nut Square M4 SS 304 - Jet Assy")</f>
        <v>Nut Square M4 SS 304 - Jet Assy</v>
      </c>
      <c r="I388" t="str">
        <f ca="1">IFERROR(__xludf.DUMMYFUNCTION("""COMPUTED_VALUE"""),"FAS-NUT-4M-SQR-304SS")</f>
        <v>FAS-NUT-4M-SQR-304SS</v>
      </c>
    </row>
    <row r="389" spans="1:9">
      <c r="A389" s="106"/>
      <c r="B389" s="111"/>
      <c r="C389" s="111"/>
      <c r="D389" s="111"/>
      <c r="E389" s="111" t="str">
        <f ca="1">IFERROR(__xludf.DUMMYFUNCTION("""COMPUTED_VALUE"""),"M5x25 Button Head")</f>
        <v>M5x25 Button Head</v>
      </c>
      <c r="F389" s="111" t="str">
        <f ca="1">IFERROR(__xludf.DUMMYFUNCTION("""COMPUTED_VALUE"""),"FAS-BLT-BUT-5M25M-HX-304SS")</f>
        <v>FAS-BLT-BUT-5M25M-HX-304SS</v>
      </c>
      <c r="G389" s="111"/>
      <c r="H389" t="str">
        <f ca="1">IFERROR(__xludf.DUMMYFUNCTION("""COMPUTED_VALUE"""),"Nut Square M3 SS 304 - Charger panel")</f>
        <v>Nut Square M3 SS 304 - Charger panel</v>
      </c>
      <c r="I389" t="str">
        <f ca="1">IFERROR(__xludf.DUMMYFUNCTION("""COMPUTED_VALUE"""),"FAS-NUT-3M-SQR-304SS")</f>
        <v>FAS-NUT-3M-SQR-304SS</v>
      </c>
    </row>
    <row r="390" spans="1:9">
      <c r="A390" s="106"/>
      <c r="B390" s="111"/>
      <c r="C390" s="111"/>
      <c r="D390" s="111"/>
      <c r="E390" s="111" t="str">
        <f ca="1">IFERROR(__xludf.DUMMYFUNCTION("""COMPUTED_VALUE"""),"M5x25 Allen cap")</f>
        <v>M5x25 Allen cap</v>
      </c>
      <c r="F390" s="111" t="str">
        <f ca="1">IFERROR(__xludf.DUMMYFUNCTION("""COMPUTED_VALUE"""),"FAS-BLT-ALN-5M25MHX-304SS")</f>
        <v>FAS-BLT-ALN-5M25MHX-304SS</v>
      </c>
      <c r="G390" s="111"/>
      <c r="H390" t="str">
        <f ca="1">IFERROR(__xludf.DUMMYFUNCTION("""COMPUTED_VALUE"""),"M3 Hex Nuts - Charger")</f>
        <v>M3 Hex Nuts - Charger</v>
      </c>
      <c r="I390" t="str">
        <f ca="1">IFERROR(__xludf.DUMMYFUNCTION("""COMPUTED_VALUE"""),"FAS-NUT-3M-HEX-SS304")</f>
        <v>FAS-NUT-3M-HEX-SS304</v>
      </c>
    </row>
    <row r="391" spans="1:9">
      <c r="A391" s="106"/>
      <c r="B391" s="111"/>
      <c r="C391" s="111"/>
      <c r="D391" s="111"/>
      <c r="E391" s="111" t="str">
        <f ca="1">IFERROR(__xludf.DUMMYFUNCTION("""COMPUTED_VALUE"""),"2"" Cello Tape")</f>
        <v>2" Cello Tape</v>
      </c>
      <c r="F391" s="111"/>
      <c r="G391" s="111"/>
      <c r="H391" t="str">
        <f ca="1">IFERROR(__xludf.DUMMYFUNCTION("""COMPUTED_VALUE"""),"Grub Screw M4x5 SS 304 - Jet Assy")</f>
        <v>Grub Screw M4x5 SS 304 - Jet Assy</v>
      </c>
      <c r="I391" t="str">
        <f ca="1">IFERROR(__xludf.DUMMYFUNCTION("""COMPUTED_VALUE"""),"FAS-GRB-4M5M-HX-304SS")</f>
        <v>FAS-GRB-4M5M-HX-304SS</v>
      </c>
    </row>
    <row r="392" spans="1:9">
      <c r="A392" s="106"/>
      <c r="B392" s="111"/>
      <c r="C392" s="111"/>
      <c r="D392" s="111"/>
      <c r="E392" s="111" t="str">
        <f ca="1">IFERROR(__xludf.DUMMYFUNCTION("""COMPUTED_VALUE"""),"Copper Strips 3x2 Cells")</f>
        <v>Copper Strips 3x2 Cells</v>
      </c>
      <c r="F392" s="111" t="str">
        <f ca="1">IFERROR(__xludf.DUMMYFUNCTION("""COMPUTED_VALUE"""),"FAB-MCN-3S2P-CU-2170")</f>
        <v>FAB-MCN-3S2P-CU-2170</v>
      </c>
      <c r="G392" s="111"/>
      <c r="H392" t="str">
        <f ca="1">IFERROR(__xludf.DUMMYFUNCTION("""COMPUTED_VALUE"""),"M5x10 Allen Head (AMCA)")</f>
        <v>M5x10 Allen Head (AMCA)</v>
      </c>
      <c r="I392" t="str">
        <f ca="1">IFERROR(__xludf.DUMMYFUNCTION("""COMPUTED_VALUE"""),"FAS-BLT-ALN-5M10M-HX-304SS")</f>
        <v>FAS-BLT-ALN-5M10M-HX-304SS</v>
      </c>
    </row>
    <row r="393" spans="1:9">
      <c r="A393" s="106"/>
      <c r="B393" s="111"/>
      <c r="C393" s="111"/>
      <c r="D393" s="111"/>
      <c r="E393" s="111" t="str">
        <f ca="1">IFERROR(__xludf.DUMMYFUNCTION("""COMPUTED_VALUE"""),"1"" Kapton Tape")</f>
        <v>1" Kapton Tape</v>
      </c>
      <c r="F393" s="111"/>
      <c r="G393" s="111"/>
      <c r="H393" t="str">
        <f ca="1">IFERROR(__xludf.DUMMYFUNCTION("""COMPUTED_VALUE"""),"Bolt Pan Torx Head M5x10 SS 304")</f>
        <v>Bolt Pan Torx Head M5x10 SS 304</v>
      </c>
      <c r="I393" t="str">
        <f ca="1">IFERROR(__xludf.DUMMYFUNCTION("""COMPUTED_VALUE"""),"FAS-BLT-TRX-5M10M-T25-304SS")</f>
        <v>FAS-BLT-TRX-5M10M-T25-304SS</v>
      </c>
    </row>
    <row r="394" spans="1:9">
      <c r="A394" s="106"/>
      <c r="B394" s="111"/>
      <c r="C394" s="111"/>
      <c r="D394" s="111"/>
      <c r="E394" s="111" t="str">
        <f ca="1">IFERROR(__xludf.DUMMYFUNCTION("""COMPUTED_VALUE"""),"65mm Paper Separator")</f>
        <v>65mm Paper Separator</v>
      </c>
      <c r="F394" s="111"/>
      <c r="G394" s="111"/>
      <c r="H394" t="str">
        <f ca="1">IFERROR(__xludf.DUMMYFUNCTION("""COMPUTED_VALUE"""),"Grub Screw M5x10 SS 304")</f>
        <v>Grub Screw M5x10 SS 304</v>
      </c>
      <c r="I394" t="str">
        <f ca="1">IFERROR(__xludf.DUMMYFUNCTION("""COMPUTED_VALUE"""),"FAS-GRB-4M10M-HX-304SS")</f>
        <v>FAS-GRB-4M10M-HX-304SS</v>
      </c>
    </row>
    <row r="395" spans="1:9">
      <c r="A395" s="106"/>
      <c r="B395" s="111"/>
      <c r="C395" s="111"/>
      <c r="D395" s="111"/>
      <c r="E395" s="111" t="str">
        <f ca="1">IFERROR(__xludf.DUMMYFUNCTION("""COMPUTED_VALUE"""),"Barley ring for 21700 cylindrical cell")</f>
        <v>Barley ring for 21700 cylindrical cell</v>
      </c>
      <c r="F395" s="111"/>
      <c r="G395" s="111"/>
      <c r="H395" t="str">
        <f ca="1">IFERROR(__xludf.DUMMYFUNCTION("""COMPUTED_VALUE"""),"Grub Screws M5x5 SS304")</f>
        <v>Grub Screws M5x5 SS304</v>
      </c>
      <c r="I395" t="str">
        <f ca="1">IFERROR(__xludf.DUMMYFUNCTION("""COMPUTED_VALUE"""),"FAS-GRB-4M5M-HX-304SS")</f>
        <v>FAS-GRB-4M5M-HX-304SS</v>
      </c>
    </row>
    <row r="396" spans="1:9">
      <c r="A396" s="106"/>
      <c r="B396" s="111"/>
      <c r="C396" s="111"/>
      <c r="D396" s="111"/>
      <c r="E396" s="111" t="str">
        <f ca="1">IFERROR(__xludf.DUMMYFUNCTION("""COMPUTED_VALUE"""),"1S BMS")</f>
        <v>1S BMS</v>
      </c>
      <c r="F396" s="111"/>
      <c r="G396" s="111"/>
      <c r="H396" t="str">
        <f ca="1">IFERROR(__xludf.DUMMYFUNCTION("""COMPUTED_VALUE"""),"M5x16 Allen Cap")</f>
        <v>M5x16 Allen Cap</v>
      </c>
      <c r="I396" t="str">
        <f ca="1">IFERROR(__xludf.DUMMYFUNCTION("""COMPUTED_VALUE"""),"FAS-BLT-ALN-5M16M-HX-304SS")</f>
        <v>FAS-BLT-ALN-5M16M-HX-304SS</v>
      </c>
    </row>
    <row r="397" spans="1:9">
      <c r="A397" s="106"/>
      <c r="B397" s="111"/>
      <c r="C397" s="111"/>
      <c r="D397" s="111"/>
      <c r="E397" s="111" t="str">
        <f ca="1">IFERROR(__xludf.DUMMYFUNCTION("""COMPUTED_VALUE"""),"2S BMS")</f>
        <v>2S BMS</v>
      </c>
      <c r="F397" s="111"/>
      <c r="G397" s="111"/>
      <c r="H397" t="str">
        <f ca="1">IFERROR(__xludf.DUMMYFUNCTION("""COMPUTED_VALUE"""),"M5x16 Button Head")</f>
        <v>M5x16 Button Head</v>
      </c>
      <c r="I397" t="str">
        <f ca="1">IFERROR(__xludf.DUMMYFUNCTION("""COMPUTED_VALUE"""),"FAS-BLT-BUT-5M16M-HX-304SS")</f>
        <v>FAS-BLT-BUT-5M16M-HX-304SS</v>
      </c>
    </row>
    <row r="398" spans="1:9">
      <c r="A398" s="106"/>
      <c r="B398" s="111"/>
      <c r="C398" s="111"/>
      <c r="D398" s="111"/>
      <c r="E398" s="111" t="str">
        <f ca="1">IFERROR(__xludf.DUMMYFUNCTION("""COMPUTED_VALUE"""),"3S BMS")</f>
        <v>3S BMS</v>
      </c>
      <c r="F398" s="111"/>
      <c r="G398" s="111"/>
      <c r="H398" t="str">
        <f ca="1">IFERROR(__xludf.DUMMYFUNCTION("""COMPUTED_VALUE"""),"M5x16 Plain washers")</f>
        <v>M5x16 Plain washers</v>
      </c>
    </row>
    <row r="399" spans="1:9">
      <c r="A399" s="106"/>
      <c r="B399" s="111"/>
      <c r="C399" s="111"/>
      <c r="D399" s="111"/>
      <c r="E399" s="111" t="str">
        <f ca="1">IFERROR(__xludf.DUMMYFUNCTION("""COMPUTED_VALUE"""),"Soldering Lead Wire 6040 16AWG")</f>
        <v>Soldering Lead Wire 6040 16AWG</v>
      </c>
      <c r="F399" s="111" t="str">
        <f ca="1">IFERROR(__xludf.DUMMYFUNCTION("""COMPUTED_VALUE"""),"SOL-WIR-6040-ROHS-16AWG")</f>
        <v>SOL-WIR-6040-ROHS-16AWG</v>
      </c>
      <c r="G399" s="111"/>
      <c r="H399" t="str">
        <f ca="1">IFERROR(__xludf.DUMMYFUNCTION("""COMPUTED_VALUE"""),"M5x20 Allen Cap")</f>
        <v>M5x20 Allen Cap</v>
      </c>
      <c r="I399" t="str">
        <f ca="1">IFERROR(__xludf.DUMMYFUNCTION("""COMPUTED_VALUE"""),"FAS-BLT-ALN-5M10M-HX-304SS")</f>
        <v>FAS-BLT-ALN-5M10M-HX-304SS</v>
      </c>
    </row>
    <row r="400" spans="1:9">
      <c r="A400" s="106"/>
      <c r="B400" s="111"/>
      <c r="C400" s="111"/>
      <c r="D400" s="111"/>
      <c r="E400" s="111" t="str">
        <f ca="1">IFERROR(__xludf.DUMMYFUNCTION("""COMPUTED_VALUE"""),"Soldering Flux")</f>
        <v>Soldering Flux</v>
      </c>
      <c r="F400" s="111" t="str">
        <f ca="1">IFERROR(__xludf.DUMMYFUNCTION("""COMPUTED_VALUE"""),"SOL-FLX-AQUA-SOLDRON")</f>
        <v>SOL-FLX-AQUA-SOLDRON</v>
      </c>
      <c r="G400" s="111"/>
      <c r="H400" t="str">
        <f ca="1">IFERROR(__xludf.DUMMYFUNCTION("""COMPUTED_VALUE"""),"M5x50 CSK Philips")</f>
        <v>M5x50 CSK Philips</v>
      </c>
      <c r="I400" t="str">
        <f ca="1">IFERROR(__xludf.DUMMYFUNCTION("""COMPUTED_VALUE"""),"FAS-BLT-CSK-5M50M-PH-304SS")</f>
        <v>FAS-BLT-CSK-5M50M-PH-304SS</v>
      </c>
    </row>
    <row r="401" spans="1:9">
      <c r="A401" s="106"/>
      <c r="B401" s="111"/>
      <c r="C401" s="111"/>
      <c r="D401" s="111"/>
      <c r="E401" s="111" t="str">
        <f ca="1">IFERROR(__xludf.DUMMYFUNCTION("""COMPUTED_VALUE"""),"130x80x60 enclosure box")</f>
        <v>130x80x60 enclosure box</v>
      </c>
      <c r="F401" s="111"/>
      <c r="G401" s="111"/>
      <c r="H401" t="str">
        <f ca="1">IFERROR(__xludf.DUMMYFUNCTION("""COMPUTED_VALUE"""),"M5x50 Allen Head")</f>
        <v>M5x50 Allen Head</v>
      </c>
      <c r="I401" t="str">
        <f ca="1">IFERROR(__xludf.DUMMYFUNCTION("""COMPUTED_VALUE"""),"FAS-BLT-ALN-5M50M-HX-304SS")</f>
        <v>FAS-BLT-ALN-5M50M-HX-304SS</v>
      </c>
    </row>
    <row r="402" spans="1:9">
      <c r="A402" s="106"/>
      <c r="B402" s="111"/>
      <c r="C402" s="111"/>
      <c r="D402" s="111"/>
      <c r="E402" s="111" t="str">
        <f ca="1">IFERROR(__xludf.DUMMYFUNCTION("""COMPUTED_VALUE"""),"Cable gland PG-7")</f>
        <v>Cable gland PG-7</v>
      </c>
      <c r="F402" s="111" t="str">
        <f ca="1">IFERROR(__xludf.DUMMYFUNCTION("""COMPUTED_VALUE"""),"MAC-GLA-PG7-PL")</f>
        <v>MAC-GLA-PG7-PL</v>
      </c>
      <c r="G402" s="111"/>
      <c r="H402" t="str">
        <f ca="1">IFERROR(__xludf.DUMMYFUNCTION("""COMPUTED_VALUE"""),"M5 Square Nuts")</f>
        <v>M5 Square Nuts</v>
      </c>
      <c r="I402" t="str">
        <f ca="1">IFERROR(__xludf.DUMMYFUNCTION("""COMPUTED_VALUE"""),"FAS-NUT-5M-SQR-304SS")</f>
        <v>FAS-NUT-5M-SQR-304SS</v>
      </c>
    </row>
    <row r="403" spans="1:9">
      <c r="A403" s="106"/>
      <c r="B403" s="111"/>
      <c r="C403" s="111"/>
      <c r="D403" s="111"/>
      <c r="E403" s="111" t="str">
        <f ca="1">IFERROR(__xludf.DUMMYFUNCTION("""COMPUTED_VALUE"""),"PG-9 Cable Gland(PG -11)")</f>
        <v>PG-9 Cable Gland(PG -11)</v>
      </c>
      <c r="F403" s="111"/>
      <c r="G403" s="111"/>
      <c r="H403" t="str">
        <f ca="1">IFERROR(__xludf.DUMMYFUNCTION("""COMPUTED_VALUE"""),"Bolt Allen Head M6x50 SS 304")</f>
        <v>Bolt Allen Head M6x50 SS 304</v>
      </c>
      <c r="I403" t="str">
        <f ca="1">IFERROR(__xludf.DUMMYFUNCTION("""COMPUTED_VALUE"""),"FAS-BLT-ALN-6M50M-HX-304SS")</f>
        <v>FAS-BLT-ALN-6M50M-HX-304SS</v>
      </c>
    </row>
    <row r="404" spans="1:9">
      <c r="A404" s="106"/>
      <c r="B404" s="111"/>
      <c r="C404" s="111"/>
      <c r="D404" s="111"/>
      <c r="E404" s="111" t="str">
        <f ca="1">IFERROR(__xludf.DUMMYFUNCTION("""COMPUTED_VALUE"""),"PG-9 Cable Gland Metal")</f>
        <v>PG-9 Cable Gland Metal</v>
      </c>
      <c r="F404" s="111"/>
      <c r="G404" s="111"/>
      <c r="H404" t="str">
        <f ca="1">IFERROR(__xludf.DUMMYFUNCTION("""COMPUTED_VALUE"""),"M6x50 Button Head SS304")</f>
        <v>M6x50 Button Head SS304</v>
      </c>
    </row>
    <row r="405" spans="1:9">
      <c r="A405" s="106"/>
      <c r="B405" s="111"/>
      <c r="C405" s="111"/>
      <c r="D405" s="111"/>
      <c r="E405" s="111" t="str">
        <f ca="1">IFERROR(__xludf.DUMMYFUNCTION("""COMPUTED_VALUE"""),"PG-11 Cable Gland PVC")</f>
        <v>PG-11 Cable Gland PVC</v>
      </c>
      <c r="F405" s="111"/>
      <c r="G405" s="111"/>
      <c r="H405" t="str">
        <f ca="1">IFERROR(__xludf.DUMMYFUNCTION("""COMPUTED_VALUE"""),"Bolt Allen Head M6x150 SS 304 - SR Pillow &amp; Structure")</f>
        <v>Bolt Allen Head M6x150 SS 304 - SR Pillow &amp; Structure</v>
      </c>
      <c r="I405" t="str">
        <f ca="1">IFERROR(__xludf.DUMMYFUNCTION("""COMPUTED_VALUE"""),"FAS-BLT-ALN-6M150M-HX-304SS")</f>
        <v>FAS-BLT-ALN-6M150M-HX-304SS</v>
      </c>
    </row>
    <row r="406" spans="1:9">
      <c r="A406" s="106"/>
      <c r="B406" s="111"/>
      <c r="C406" s="111"/>
      <c r="D406" s="111"/>
      <c r="E406" s="111" t="str">
        <f ca="1">IFERROR(__xludf.DUMMYFUNCTION("""COMPUTED_VALUE"""),"PG-11 Cable Gland Metal")</f>
        <v>PG-11 Cable Gland Metal</v>
      </c>
      <c r="F406" s="111"/>
      <c r="G406" s="111"/>
      <c r="H406" t="str">
        <f ca="1">IFERROR(__xludf.DUMMYFUNCTION("""COMPUTED_VALUE"""),"Nut Nylock M6 SS 304 - SR Pillow &amp; Structure")</f>
        <v>Nut Nylock M6 SS 304 - SR Pillow &amp; Structure</v>
      </c>
      <c r="I406" t="str">
        <f ca="1">IFERROR(__xludf.DUMMYFUNCTION("""COMPUTED_VALUE"""),"FAS-NUT-6M-NYL-304SS")</f>
        <v>FAS-NUT-6M-NYL-304SS</v>
      </c>
    </row>
    <row r="407" spans="1:9">
      <c r="A407" s="106"/>
      <c r="B407" s="111"/>
      <c r="C407" s="111"/>
      <c r="D407" s="111"/>
      <c r="E407" s="111" t="str">
        <f ca="1">IFERROR(__xludf.DUMMYFUNCTION("""COMPUTED_VALUE"""),"Coupling Rotex14 with PUR-5 Spider Voilet")</f>
        <v>Coupling Rotex14 with PUR-5 Spider Voilet</v>
      </c>
      <c r="F407" s="111" t="str">
        <f ca="1">IFERROR(__xludf.DUMMYFUNCTION("""COMPUTED_VALUE"""),"FAB-MCN-ROT14-0D")</f>
        <v>FAB-MCN-ROT14-0D</v>
      </c>
      <c r="G407" s="111"/>
      <c r="H407" t="str">
        <f ca="1">IFERROR(__xludf.DUMMYFUNCTION("""COMPUTED_VALUE"""),"M6x16 Button Head")</f>
        <v>M6x16 Button Head</v>
      </c>
      <c r="I407" t="str">
        <f ca="1">IFERROR(__xludf.DUMMYFUNCTION("""COMPUTED_VALUE"""),"FAS-BLT-BUT-6M16M-HX-304SS")</f>
        <v>FAS-BLT-BUT-6M16M-HX-304SS</v>
      </c>
    </row>
    <row r="408" spans="1:9">
      <c r="A408" s="106"/>
      <c r="B408" s="111"/>
      <c r="C408" s="111"/>
      <c r="D408" s="111"/>
      <c r="E408" s="111" t="str">
        <f ca="1">IFERROR(__xludf.DUMMYFUNCTION("""COMPUTED_VALUE"""),"Coupling Rotex14 with PUR-5 Spider Voilet with D Cut")</f>
        <v>Coupling Rotex14 with PUR-5 Spider Voilet with D Cut</v>
      </c>
      <c r="F408" s="111" t="str">
        <f ca="1">IFERROR(__xludf.DUMMYFUNCTION("""COMPUTED_VALUE"""),"SER-MCN-ROT14-8D7F")</f>
        <v>SER-MCN-ROT14-8D7F</v>
      </c>
      <c r="G408" s="111"/>
      <c r="H408" t="str">
        <f ca="1">IFERROR(__xludf.DUMMYFUNCTION("""COMPUTED_VALUE"""),"Washer Plain M6x15x1 SS 304 - SR Pillow &amp; Structure")</f>
        <v>Washer Plain M6x15x1 SS 304 - SR Pillow &amp; Structure</v>
      </c>
      <c r="I408" t="str">
        <f ca="1">IFERROR(__xludf.DUMMYFUNCTION("""COMPUTED_VALUE"""),"FAS-WAS-PWS-6M15M1M-304SS")</f>
        <v>FAS-WAS-PWS-6M15M1M-304SS</v>
      </c>
    </row>
    <row r="409" spans="1:9">
      <c r="A409" s="106"/>
      <c r="B409" s="111"/>
      <c r="C409" s="111"/>
      <c r="D409" s="111"/>
      <c r="E409" s="111" t="str">
        <f ca="1">IFERROR(__xludf.DUMMYFUNCTION("""COMPUTED_VALUE"""),"PUR-5 Voilet Spiders")</f>
        <v>PUR-5 Voilet Spiders</v>
      </c>
      <c r="F409" s="111"/>
      <c r="G409" s="111"/>
      <c r="H409" t="str">
        <f ca="1">IFERROR(__xludf.DUMMYFUNCTION("""COMPUTED_VALUE"""),"M6x20 Button head")</f>
        <v>M6x20 Button head</v>
      </c>
      <c r="I409" t="str">
        <f ca="1">IFERROR(__xludf.DUMMYFUNCTION("""COMPUTED_VALUE"""),"FAS-BLT-BUT-6M20M-HX-304SS")</f>
        <v>FAS-BLT-BUT-6M20M-HX-304SS</v>
      </c>
    </row>
    <row r="410" spans="1:9">
      <c r="A410" s="106"/>
      <c r="B410" s="111"/>
      <c r="C410" s="111"/>
      <c r="D410" s="111"/>
      <c r="E410" s="111" t="str">
        <f ca="1">IFERROR(__xludf.DUMMYFUNCTION("""COMPUTED_VALUE"""),"Electronic Box - Shell ")</f>
        <v xml:space="preserve">Electronic Box - Shell </v>
      </c>
      <c r="F410" s="111" t="str">
        <f ca="1">IFERROR(__xludf.DUMMYFUNCTION("""COMPUTED_VALUE"""),"FAB-IJM-EBX")</f>
        <v>FAB-IJM-EBX</v>
      </c>
      <c r="G410" s="111"/>
      <c r="H410" t="str">
        <f ca="1">IFERROR(__xludf.DUMMYFUNCTION("""COMPUTED_VALUE"""),"M6x25 button head")</f>
        <v>M6x25 button head</v>
      </c>
      <c r="I410" t="str">
        <f ca="1">IFERROR(__xludf.DUMMYFUNCTION("""COMPUTED_VALUE"""),"FAS-BLT-BUT-6M25M-HX-304SS")</f>
        <v>FAS-BLT-BUT-6M25M-HX-304SS</v>
      </c>
    </row>
    <row r="411" spans="1:9">
      <c r="A411" s="106"/>
      <c r="B411" s="111"/>
      <c r="C411" s="111"/>
      <c r="D411" s="111"/>
      <c r="E411" s="111" t="str">
        <f ca="1">IFERROR(__xludf.DUMMYFUNCTION("""COMPUTED_VALUE"""),"Electronic Box - Front Lid")</f>
        <v>Electronic Box - Front Lid</v>
      </c>
      <c r="F411" s="111" t="str">
        <f ca="1">IFERROR(__xludf.DUMMYFUNCTION("""COMPUTED_VALUE"""),"FAB-IJM-FLID-LIFE")</f>
        <v>FAB-IJM-FLID-LIFE</v>
      </c>
      <c r="G411" s="111"/>
      <c r="H411" t="str">
        <f ca="1">IFERROR(__xludf.DUMMYFUNCTION("""COMPUTED_VALUE"""),"Grub Screw M6x10 SS 304 - Coupling")</f>
        <v>Grub Screw M6x10 SS 304 - Coupling</v>
      </c>
      <c r="I411" t="str">
        <f ca="1">IFERROR(__xludf.DUMMYFUNCTION("""COMPUTED_VALUE"""),"FAS-GRB-4M5M-HX-SS304")</f>
        <v>FAS-GRB-4M5M-HX-SS304</v>
      </c>
    </row>
    <row r="412" spans="1:9">
      <c r="A412" s="106"/>
      <c r="B412" s="111"/>
      <c r="C412" s="111"/>
      <c r="D412" s="111"/>
      <c r="E412" s="111" t="str">
        <f ca="1">IFERROR(__xludf.DUMMYFUNCTION("""COMPUTED_VALUE"""),"BPSPLB - Bottom Inlet Block ")</f>
        <v xml:space="preserve">BPSPLB - Bottom Inlet Block </v>
      </c>
      <c r="F412" s="111" t="str">
        <f ca="1">IFERROR(__xludf.DUMMYFUNCTION("""COMPUTED_VALUE"""),"FAB-IJM-BTM-BLOC-LIFE")</f>
        <v>FAB-IJM-BTM-BLOC-LIFE</v>
      </c>
      <c r="G412" s="111"/>
      <c r="H412" t="str">
        <f ca="1">IFERROR(__xludf.DUMMYFUNCTION("""COMPUTED_VALUE"""),"Nut Dome M6 SS 304")</f>
        <v>Nut Dome M6 SS 304</v>
      </c>
      <c r="I412" t="str">
        <f ca="1">IFERROR(__xludf.DUMMYFUNCTION("""COMPUTED_VALUE"""),"FAS-NUT-6M-DOM-304SS")</f>
        <v>FAS-NUT-6M-DOM-304SS</v>
      </c>
    </row>
    <row r="413" spans="1:9">
      <c r="A413" s="106"/>
      <c r="B413" s="111"/>
      <c r="C413" s="111"/>
      <c r="D413" s="111"/>
      <c r="E413" s="111" t="str">
        <f ca="1">IFERROR(__xludf.DUMMYFUNCTION("""COMPUTED_VALUE"""),"Remote - Packing Box with Foam")</f>
        <v>Remote - Packing Box with Foam</v>
      </c>
      <c r="F413" s="111" t="str">
        <f ca="1">IFERROR(__xludf.DUMMYFUNCTION("""COMPUTED_VALUE"""),"STW-ET2612-QX7-FOAM")</f>
        <v>STW-ET2612-QX7-FOAM</v>
      </c>
      <c r="G413" s="111" t="str">
        <f ca="1">IFERROR(__xludf.DUMMYFUNCTION("""COMPUTED_VALUE"""),"ET2612")</f>
        <v>ET2612</v>
      </c>
      <c r="H413" t="str">
        <f ca="1">IFERROR(__xludf.DUMMYFUNCTION("""COMPUTED_VALUE"""),"M6x12 Button Head")</f>
        <v>M6x12 Button Head</v>
      </c>
      <c r="I413" t="str">
        <f ca="1">IFERROR(__xludf.DUMMYFUNCTION("""COMPUTED_VALUE"""),"FAS-BLT-BUT-6M12M-HX-304SS")</f>
        <v>FAS-BLT-BUT-6M12M-HX-304SS</v>
      </c>
    </row>
    <row r="414" spans="1:9">
      <c r="A414" s="106"/>
      <c r="B414" s="111"/>
      <c r="C414" s="111"/>
      <c r="D414" s="111"/>
      <c r="E414" s="111" t="str">
        <f ca="1">IFERROR(__xludf.DUMMYFUNCTION("""COMPUTED_VALUE"""),"Remote - Upper Shell Water Proof")</f>
        <v>Remote - Upper Shell Water Proof</v>
      </c>
      <c r="F414" s="111" t="str">
        <f ca="1">IFERROR(__xludf.DUMMYFUNCTION("""COMPUTED_VALUE"""),"FAB-IJM-QX7-UPPERSHELL")</f>
        <v>FAB-IJM-QX7-UPPERSHELL</v>
      </c>
      <c r="G414" s="111"/>
      <c r="H414" t="str">
        <f ca="1">IFERROR(__xludf.DUMMYFUNCTION("""COMPUTED_VALUE"""),"M6x30 Button Head")</f>
        <v>M6x30 Button Head</v>
      </c>
      <c r="I414" t="str">
        <f ca="1">IFERROR(__xludf.DUMMYFUNCTION("""COMPUTED_VALUE"""),"FAS-BLT-BUT-6M30M-HX-304SS")</f>
        <v>FAS-BLT-BUT-6M30M-HX-304SS</v>
      </c>
    </row>
    <row r="415" spans="1:9">
      <c r="A415" s="106"/>
      <c r="B415" s="111"/>
      <c r="C415" s="111"/>
      <c r="D415" s="111"/>
      <c r="E415" s="111" t="str">
        <f ca="1">IFERROR(__xludf.DUMMYFUNCTION("""COMPUTED_VALUE"""),"Remote - Lower Shell Water Proof")</f>
        <v>Remote - Lower Shell Water Proof</v>
      </c>
      <c r="F415" s="111" t="str">
        <f ca="1">IFERROR(__xludf.DUMMYFUNCTION("""COMPUTED_VALUE"""),"FAB-IJM-QX7-LOWERSHELL")</f>
        <v>FAB-IJM-QX7-LOWERSHELL</v>
      </c>
      <c r="G415" s="111"/>
      <c r="H415" t="str">
        <f ca="1">IFERROR(__xludf.DUMMYFUNCTION("""COMPUTED_VALUE"""),"M6x30 Allen Head")</f>
        <v>M6x30 Allen Head</v>
      </c>
      <c r="I415" t="str">
        <f ca="1">IFERROR(__xludf.DUMMYFUNCTION("""COMPUTED_VALUE"""),"FAS-BLT-ALN-6M30MHX-304SS")</f>
        <v>FAS-BLT-ALN-6M30MHX-304SS</v>
      </c>
    </row>
    <row r="416" spans="1:9">
      <c r="A416" s="106"/>
      <c r="B416" s="111"/>
      <c r="C416" s="111"/>
      <c r="D416" s="111"/>
      <c r="E416" s="111" t="str">
        <f ca="1">IFERROR(__xludf.DUMMYFUNCTION("""COMPUTED_VALUE"""),"Flashing Light - Upper Glass Shell")</f>
        <v>Flashing Light - Upper Glass Shell</v>
      </c>
      <c r="F416" s="111" t="str">
        <f ca="1">IFERROR(__xludf.DUMMYFUNCTION("""COMPUTED_VALUE"""),"FAB-IJM-FLSH-GLASS")</f>
        <v>FAB-IJM-FLSH-GLASS</v>
      </c>
      <c r="G416" s="111"/>
      <c r="H416" t="str">
        <f ca="1">IFERROR(__xludf.DUMMYFUNCTION("""COMPUTED_VALUE"""),"6mm Hex Nut")</f>
        <v>6mm Hex Nut</v>
      </c>
      <c r="I416" t="str">
        <f ca="1">IFERROR(__xludf.DUMMYFUNCTION("""COMPUTED_VALUE"""),"FAS-NUT-6M-HEX-SS304")</f>
        <v>FAS-NUT-6M-HEX-SS304</v>
      </c>
    </row>
    <row r="417" spans="1:9">
      <c r="A417" s="106"/>
      <c r="B417" s="111"/>
      <c r="C417" s="111"/>
      <c r="D417" s="111"/>
      <c r="E417" s="111" t="str">
        <f ca="1">IFERROR(__xludf.DUMMYFUNCTION("""COMPUTED_VALUE"""),"Flashing Light - Bottom Plate")</f>
        <v>Flashing Light - Bottom Plate</v>
      </c>
      <c r="F417" s="111" t="str">
        <f ca="1">IFERROR(__xludf.DUMMYFUNCTION("""COMPUTED_VALUE"""),"FAB-IJM-FLSH-PLATE")</f>
        <v>FAB-IJM-FLSH-PLATE</v>
      </c>
      <c r="G417" s="111"/>
      <c r="H417" t="str">
        <f ca="1">IFERROR(__xludf.DUMMYFUNCTION("""COMPUTED_VALUE"""),"Washer Plain M8x20x2 SS 304 - SR on hull Assy")</f>
        <v>Washer Plain M8x20x2 SS 304 - SR on hull Assy</v>
      </c>
      <c r="I417" t="str">
        <f ca="1">IFERROR(__xludf.DUMMYFUNCTION("""COMPUTED_VALUE"""),"FAS-WAS-PWS-8M20M2M-304SS")</f>
        <v>FAS-WAS-PWS-8M20M2M-304SS</v>
      </c>
    </row>
    <row r="418" spans="1:9">
      <c r="A418" s="106"/>
      <c r="B418" s="111"/>
      <c r="C418" s="111"/>
      <c r="D418" s="111"/>
      <c r="E418" s="111" t="str">
        <f ca="1">IFERROR(__xludf.DUMMYFUNCTION("""COMPUTED_VALUE"""),"Electronic Box - PU Gasket ")</f>
        <v xml:space="preserve">Electronic Box - PU Gasket </v>
      </c>
      <c r="F418" s="111" t="str">
        <f ca="1">IFERROR(__xludf.DUMMYFUNCTION("""COMPUTED_VALUE"""),"FAB-GSK-EBX")</f>
        <v>FAB-GSK-EBX</v>
      </c>
      <c r="G418" s="111"/>
      <c r="H418" t="str">
        <f ca="1">IFERROR(__xludf.DUMMYFUNCTION("""COMPUTED_VALUE"""),"Bolt Allen Head M8x25 SS 304 - SR on hull Assy")</f>
        <v>Bolt Allen Head M8x25 SS 304 - SR on hull Assy</v>
      </c>
      <c r="I418" t="str">
        <f ca="1">IFERROR(__xludf.DUMMYFUNCTION("""COMPUTED_VALUE"""),"FAS-BLT-ALN-8M25MHX-304SS")</f>
        <v>FAS-BLT-ALN-8M25MHX-304SS</v>
      </c>
    </row>
    <row r="419" spans="1:9">
      <c r="A419" s="106"/>
      <c r="B419" s="111"/>
      <c r="C419" s="111"/>
      <c r="D419" s="111"/>
      <c r="E419" s="111" t="str">
        <f ca="1">IFERROR(__xludf.DUMMYFUNCTION("""COMPUTED_VALUE"""),"PU Gasket Front Lid")</f>
        <v>PU Gasket Front Lid</v>
      </c>
      <c r="F419" s="111"/>
      <c r="G419" s="111"/>
      <c r="H419" t="str">
        <f ca="1">IFERROR(__xludf.DUMMYFUNCTION("""COMPUTED_VALUE"""),"M8x25 GI Bolts")</f>
        <v>M8x25 GI Bolts</v>
      </c>
    </row>
    <row r="420" spans="1:9">
      <c r="A420" s="106"/>
      <c r="B420" s="111"/>
      <c r="C420" s="111"/>
      <c r="D420" s="111"/>
      <c r="E420" s="111" t="str">
        <f ca="1">IFERROR(__xludf.DUMMYFUNCTION("""COMPUTED_VALUE"""),"Grease")</f>
        <v>Grease</v>
      </c>
      <c r="F420" s="111"/>
      <c r="G420" s="111"/>
      <c r="H420" t="str">
        <f ca="1">IFERROR(__xludf.DUMMYFUNCTION("""COMPUTED_VALUE"""),"M8x25 GI Nuts")</f>
        <v>M8x25 GI Nuts</v>
      </c>
    </row>
    <row r="421" spans="1:9">
      <c r="A421" s="106"/>
      <c r="B421" s="111"/>
      <c r="C421" s="111"/>
      <c r="D421" s="111"/>
      <c r="E421" s="111" t="str">
        <f ca="1">IFERROR(__xludf.DUMMYFUNCTION("""COMPUTED_VALUE"""),"Heatshrink Tube 6.4:1.6 Adhesive Lined Black")</f>
        <v>Heatshrink Tube 6.4:1.6 Adhesive Lined Black</v>
      </c>
      <c r="F421" s="111" t="str">
        <f ca="1">IFERROR(__xludf.DUMMYFUNCTION("""COMPUTED_VALUE"""),"SLN-STB-6.4M-4X-BK-ADH")</f>
        <v>SLN-STB-6.4M-4X-BK-ADH</v>
      </c>
      <c r="G421" s="111"/>
      <c r="H421" t="str">
        <f ca="1">IFERROR(__xludf.DUMMYFUNCTION("""COMPUTED_VALUE"""),"Bolt Button Head Torx M5X12 SS 304 - Kangaroo, Aft, Front Lid")</f>
        <v>Bolt Button Head Torx M5X12 SS 304 - Kangaroo, Aft, Front Lid</v>
      </c>
      <c r="I421" t="str">
        <f ca="1">IFERROR(__xludf.DUMMYFUNCTION("""COMPUTED_VALUE"""),"FAS-BLT-TRX-5M12M-T25-SS304")</f>
        <v>FAS-BLT-TRX-5M12M-T25-SS304</v>
      </c>
    </row>
    <row r="422" spans="1:9">
      <c r="A422" s="106"/>
      <c r="B422" s="111"/>
      <c r="C422" s="111"/>
      <c r="D422" s="111"/>
      <c r="E422" s="111" t="str">
        <f ca="1">IFERROR(__xludf.DUMMYFUNCTION("""COMPUTED_VALUE"""),"Heatshrink Tube 9.5mm Adhesive Lined Black")</f>
        <v>Heatshrink Tube 9.5mm Adhesive Lined Black</v>
      </c>
      <c r="F422" s="111" t="str">
        <f ca="1">IFERROR(__xludf.DUMMYFUNCTION("""COMPUTED_VALUE"""),"SLN-STB-9.5M-3X-BK-ADH")</f>
        <v>SLN-STB-9.5M-3X-BK-ADH</v>
      </c>
      <c r="G422" s="111"/>
      <c r="H422" t="str">
        <f ca="1">IFERROR(__xludf.DUMMYFUNCTION("""COMPUTED_VALUE"""),"Bolt CSK Phillips M5X12 SS 304 (Kangaroo Top Lid)")</f>
        <v>Bolt CSK Phillips M5X12 SS 304 (Kangaroo Top Lid)</v>
      </c>
      <c r="I422" t="str">
        <f ca="1">IFERROR(__xludf.DUMMYFUNCTION("""COMPUTED_VALUE"""),"FAS-BLT-CSK-5M12M-PH-304SS")</f>
        <v>FAS-BLT-CSK-5M12M-PH-304SS</v>
      </c>
    </row>
    <row r="423" spans="1:9">
      <c r="A423" s="106"/>
      <c r="B423" s="111"/>
      <c r="C423" s="111"/>
      <c r="D423" s="111"/>
      <c r="E423" s="111" t="str">
        <f ca="1">IFERROR(__xludf.DUMMYFUNCTION("""COMPUTED_VALUE"""),"Heatshrink Tube 4:1 Adhesive Lined Black")</f>
        <v>Heatshrink Tube 4:1 Adhesive Lined Black</v>
      </c>
      <c r="F423" s="111" t="str">
        <f ca="1">IFERROR(__xludf.DUMMYFUNCTION("""COMPUTED_VALUE"""),"SLN-STB-4M-3X-BK-ADH")</f>
        <v>SLN-STB-4M-3X-BK-ADH</v>
      </c>
      <c r="G423" s="111"/>
      <c r="H423" t="str">
        <f ca="1">IFERROR(__xludf.DUMMYFUNCTION("""COMPUTED_VALUE"""),"M5x12 x1.2 Plain Washers ( Kangaroo Installation)")</f>
        <v>M5x12 x1.2 Plain Washers ( Kangaroo Installation)</v>
      </c>
      <c r="I423" t="str">
        <f ca="1">IFERROR(__xludf.DUMMYFUNCTION("""COMPUTED_VALUE"""),"FAS-WAS-PWS-5M12M1.2M-304SS")</f>
        <v>FAS-WAS-PWS-5M12M1.2M-304SS</v>
      </c>
    </row>
    <row r="424" spans="1:9">
      <c r="A424" s="106"/>
      <c r="B424" s="111"/>
      <c r="C424" s="111"/>
      <c r="D424" s="111"/>
      <c r="E424" s="111" t="str">
        <f ca="1">IFERROR(__xludf.DUMMYFUNCTION("""COMPUTED_VALUE"""),"HeatShrink Tube 3.2 mm Adhesive Lined Black")</f>
        <v>HeatShrink Tube 3.2 mm Adhesive Lined Black</v>
      </c>
      <c r="F424" s="111" t="str">
        <f ca="1">IFERROR(__xludf.DUMMYFUNCTION("""COMPUTED_VALUE"""),"SLN-STB-3M-3X-BK-ADH")</f>
        <v>SLN-STB-3M-3X-BK-ADH</v>
      </c>
      <c r="G424" s="111"/>
      <c r="H424" t="str">
        <f ca="1">IFERROR(__xludf.DUMMYFUNCTION("""COMPUTED_VALUE"""),"M5x25 Button Head")</f>
        <v>M5x25 Button Head</v>
      </c>
      <c r="I424" t="str">
        <f ca="1">IFERROR(__xludf.DUMMYFUNCTION("""COMPUTED_VALUE"""),"FAS-BLT-BUT-5M25M-HX-304SS")</f>
        <v>FAS-BLT-BUT-5M25M-HX-304SS</v>
      </c>
    </row>
    <row r="425" spans="1:9">
      <c r="A425" s="106"/>
      <c r="B425" s="111"/>
      <c r="C425" s="111"/>
      <c r="D425" s="111"/>
      <c r="E425" s="111" t="str">
        <f ca="1">IFERROR(__xludf.DUMMYFUNCTION("""COMPUTED_VALUE"""),"HeatShrink Tube 2:4:0:8 Adhesive Lined Black")</f>
        <v>HeatShrink Tube 2:4:0:8 Adhesive Lined Black</v>
      </c>
      <c r="F425" s="111" t="str">
        <f ca="1">IFERROR(__xludf.DUMMYFUNCTION("""COMPUTED_VALUE"""),"SLN-STB-2.4M-3X-BK-ADH")</f>
        <v>SLN-STB-2.4M-3X-BK-ADH</v>
      </c>
      <c r="G425" s="111"/>
      <c r="H425" t="str">
        <f ca="1">IFERROR(__xludf.DUMMYFUNCTION("""COMPUTED_VALUE"""),"M5x25 Allen cap")</f>
        <v>M5x25 Allen cap</v>
      </c>
      <c r="I425" t="str">
        <f ca="1">IFERROR(__xludf.DUMMYFUNCTION("""COMPUTED_VALUE"""),"FAS-BLT-ALN-5M25MHX-304SS")</f>
        <v>FAS-BLT-ALN-5M25MHX-304SS</v>
      </c>
    </row>
    <row r="426" spans="1:9">
      <c r="A426" s="106"/>
      <c r="B426" s="111"/>
      <c r="C426" s="111"/>
      <c r="D426" s="111"/>
      <c r="E426" s="111" t="str">
        <f ca="1">IFERROR(__xludf.DUMMYFUNCTION("""COMPUTED_VALUE"""),"HeatShrink Tube 12:3 Adhesive Lined Black")</f>
        <v>HeatShrink Tube 12:3 Adhesive Lined Black</v>
      </c>
      <c r="F426" s="111" t="str">
        <f ca="1">IFERROR(__xludf.DUMMYFUNCTION("""COMPUTED_VALUE"""),"SLN-STB-12M-4X-BK-ADH")</f>
        <v>SLN-STB-12M-4X-BK-ADH</v>
      </c>
      <c r="G426" s="111"/>
      <c r="H426" t="str">
        <f ca="1">IFERROR(__xludf.DUMMYFUNCTION("""COMPUTED_VALUE"""),"2"" Cello Tape")</f>
        <v>2" Cello Tape</v>
      </c>
    </row>
    <row r="427" spans="1:9">
      <c r="A427" s="106"/>
      <c r="B427" s="111"/>
      <c r="C427" s="111"/>
      <c r="D427" s="111"/>
      <c r="E427" s="111" t="str">
        <f ca="1">IFERROR(__xludf.DUMMYFUNCTION("""COMPUTED_VALUE"""),"HeatShrink Tube 4.8/1.2 Adhesive Lined Black")</f>
        <v>HeatShrink Tube 4.8/1.2 Adhesive Lined Black</v>
      </c>
      <c r="F427" s="111" t="str">
        <f ca="1">IFERROR(__xludf.DUMMYFUNCTION("""COMPUTED_VALUE"""),"SLN-STB-4.8M-4X-BK-ADH")</f>
        <v>SLN-STB-4.8M-4X-BK-ADH</v>
      </c>
      <c r="G427" s="111"/>
      <c r="H427" t="str">
        <f ca="1">IFERROR(__xludf.DUMMYFUNCTION("""COMPUTED_VALUE"""),"Copper Strips 3x2 Cells")</f>
        <v>Copper Strips 3x2 Cells</v>
      </c>
      <c r="I427" t="str">
        <f ca="1">IFERROR(__xludf.DUMMYFUNCTION("""COMPUTED_VALUE"""),"FAB-MCN-3S2P-CU-2170")</f>
        <v>FAB-MCN-3S2P-CU-2170</v>
      </c>
    </row>
    <row r="428" spans="1:9">
      <c r="A428" s="106"/>
      <c r="B428" s="111"/>
      <c r="C428" s="111"/>
      <c r="D428" s="111"/>
      <c r="E428" s="111" t="str">
        <f ca="1">IFERROR(__xludf.DUMMYFUNCTION("""COMPUTED_VALUE"""),"HeatShrink Tube 1.5mm/1.6mm")</f>
        <v>HeatShrink Tube 1.5mm/1.6mm</v>
      </c>
      <c r="F428" s="111" t="str">
        <f ca="1">IFERROR(__xludf.DUMMYFUNCTION("""COMPUTED_VALUE"""),"SLN-STB-1.6M-4X-BK")</f>
        <v>SLN-STB-1.6M-4X-BK</v>
      </c>
      <c r="G428" s="111"/>
      <c r="H428" t="str">
        <f ca="1">IFERROR(__xludf.DUMMYFUNCTION("""COMPUTED_VALUE"""),"1"" Kapton Tape")</f>
        <v>1" Kapton Tape</v>
      </c>
    </row>
    <row r="429" spans="1:9">
      <c r="A429" s="106"/>
      <c r="B429" s="111"/>
      <c r="C429" s="111"/>
      <c r="D429" s="111"/>
      <c r="E429" s="111" t="str">
        <f ca="1">IFERROR(__xludf.DUMMYFUNCTION("""COMPUTED_VALUE"""),"HeatShrink Tube 2mm")</f>
        <v>HeatShrink Tube 2mm</v>
      </c>
      <c r="F429" s="111" t="str">
        <f ca="1">IFERROR(__xludf.DUMMYFUNCTION("""COMPUTED_VALUE"""),"SLN-STB-2.0M-4X-BK")</f>
        <v>SLN-STB-2.0M-4X-BK</v>
      </c>
      <c r="G429" s="111"/>
      <c r="H429" t="str">
        <f ca="1">IFERROR(__xludf.DUMMYFUNCTION("""COMPUTED_VALUE"""),"65mm Paper Separator")</f>
        <v>65mm Paper Separator</v>
      </c>
    </row>
    <row r="430" spans="1:9">
      <c r="A430" s="106"/>
      <c r="B430" s="111"/>
      <c r="C430" s="111"/>
      <c r="D430" s="111"/>
      <c r="E430" s="111" t="str">
        <f ca="1">IFERROR(__xludf.DUMMYFUNCTION("""COMPUTED_VALUE"""),"HeatShrink Tube 100mm Black")</f>
        <v>HeatShrink Tube 100mm Black</v>
      </c>
      <c r="F430" s="111" t="str">
        <f ca="1">IFERROR(__xludf.DUMMYFUNCTION("""COMPUTED_VALUE"""),"SLN-STB-100M-2X-BK")</f>
        <v>SLN-STB-100M-2X-BK</v>
      </c>
      <c r="G430" s="111"/>
      <c r="H430" t="str">
        <f ca="1">IFERROR(__xludf.DUMMYFUNCTION("""COMPUTED_VALUE"""),"Barley ring for 21700 cylindrical cell")</f>
        <v>Barley ring for 21700 cylindrical cell</v>
      </c>
    </row>
    <row r="431" spans="1:9">
      <c r="A431" s="106"/>
      <c r="B431" s="111"/>
      <c r="C431" s="111"/>
      <c r="D431" s="111"/>
      <c r="E431" s="111" t="str">
        <f ca="1">IFERROR(__xludf.DUMMYFUNCTION("""COMPUTED_VALUE"""),"HeatShrink Tube 30mm Black")</f>
        <v>HeatShrink Tube 30mm Black</v>
      </c>
      <c r="F431" s="111" t="str">
        <f ca="1">IFERROR(__xludf.DUMMYFUNCTION("""COMPUTED_VALUE"""),"SLN-STB-30M-3X-BK")</f>
        <v>SLN-STB-30M-3X-BK</v>
      </c>
      <c r="G431" s="111"/>
      <c r="H431" t="str">
        <f ca="1">IFERROR(__xludf.DUMMYFUNCTION("""COMPUTED_VALUE"""),"1S BMS")</f>
        <v>1S BMS</v>
      </c>
    </row>
    <row r="432" spans="1:9">
      <c r="A432" s="106"/>
      <c r="B432" s="111"/>
      <c r="C432" s="111"/>
      <c r="D432" s="111"/>
      <c r="E432" s="111" t="str">
        <f ca="1">IFERROR(__xludf.DUMMYFUNCTION("""COMPUTED_VALUE"""),"Heat Shrink Sleeve 16mm Transparent")</f>
        <v>Heat Shrink Sleeve 16mm Transparent</v>
      </c>
      <c r="F432" s="111" t="str">
        <f ca="1">IFERROR(__xludf.DUMMYFUNCTION("""COMPUTED_VALUE"""),"SLN-STB-16M-2X-CL")</f>
        <v>SLN-STB-16M-2X-CL</v>
      </c>
      <c r="G432" s="111"/>
      <c r="H432" t="str">
        <f ca="1">IFERROR(__xludf.DUMMYFUNCTION("""COMPUTED_VALUE"""),"2S BMS")</f>
        <v>2S BMS</v>
      </c>
    </row>
    <row r="433" spans="1:10">
      <c r="A433" s="106"/>
      <c r="B433" s="111"/>
      <c r="C433" s="111"/>
      <c r="D433" s="111"/>
      <c r="E433" s="111" t="str">
        <f ca="1">IFERROR(__xludf.DUMMYFUNCTION("""COMPUTED_VALUE"""),"Heat Shrink Sleeve 12mm Transparent")</f>
        <v>Heat Shrink Sleeve 12mm Transparent</v>
      </c>
      <c r="F433" s="111" t="str">
        <f ca="1">IFERROR(__xludf.DUMMYFUNCTION("""COMPUTED_VALUE"""),"SLN-STB-12M-2X-CL")</f>
        <v>SLN-STB-12M-2X-CL</v>
      </c>
      <c r="G433" s="111"/>
      <c r="H433" t="str">
        <f ca="1">IFERROR(__xludf.DUMMYFUNCTION("""COMPUTED_VALUE"""),"3S BMS")</f>
        <v>3S BMS</v>
      </c>
    </row>
    <row r="434" spans="1:10">
      <c r="A434" s="106"/>
      <c r="B434" s="111"/>
      <c r="C434" s="111"/>
      <c r="D434" s="111"/>
      <c r="E434" s="111" t="str">
        <f ca="1">IFERROR(__xludf.DUMMYFUNCTION("""COMPUTED_VALUE"""),"Heat Shrink Sleeve 10mm Transparent")</f>
        <v>Heat Shrink Sleeve 10mm Transparent</v>
      </c>
      <c r="F434" s="111" t="str">
        <f ca="1">IFERROR(__xludf.DUMMYFUNCTION("""COMPUTED_VALUE"""),"SLN-STB-10M-2X-CL")</f>
        <v>SLN-STB-10M-2X-CL</v>
      </c>
      <c r="G434" s="111" t="str">
        <f ca="1">IFERROR(__xludf.DUMMYFUNCTION("""COMPUTED_VALUE""")," ")</f>
        <v xml:space="preserve"> </v>
      </c>
      <c r="H434" t="str">
        <f ca="1">IFERROR(__xludf.DUMMYFUNCTION("""COMPUTED_VALUE"""),"Soldering Lead Wire 6040 16AWG")</f>
        <v>Soldering Lead Wire 6040 16AWG</v>
      </c>
      <c r="I434" t="str">
        <f ca="1">IFERROR(__xludf.DUMMYFUNCTION("""COMPUTED_VALUE"""),"SOL-WIR-6040-ROHS-16AWG")</f>
        <v>SOL-WIR-6040-ROHS-16AWG</v>
      </c>
    </row>
    <row r="435" spans="1:10">
      <c r="A435" s="106"/>
      <c r="B435" s="111"/>
      <c r="C435" s="111"/>
      <c r="D435" s="111"/>
      <c r="E435" s="111" t="str">
        <f ca="1">IFERROR(__xludf.DUMMYFUNCTION("""COMPUTED_VALUE"""),"HeatShrink Tube 25mm")</f>
        <v>HeatShrink Tube 25mm</v>
      </c>
      <c r="F435" s="111" t="str">
        <f ca="1">IFERROR(__xludf.DUMMYFUNCTION("""COMPUTED_VALUE"""),"SLN-STB-25.0M-2X-BK")</f>
        <v>SLN-STB-25.0M-2X-BK</v>
      </c>
      <c r="G435" s="111"/>
      <c r="H435" t="str">
        <f ca="1">IFERROR(__xludf.DUMMYFUNCTION("""COMPUTED_VALUE"""),"Soldering Flux")</f>
        <v>Soldering Flux</v>
      </c>
      <c r="I435" t="str">
        <f ca="1">IFERROR(__xludf.DUMMYFUNCTION("""COMPUTED_VALUE"""),"SOL-FLX-AQUA-SOLDRON")</f>
        <v>SOL-FLX-AQUA-SOLDRON</v>
      </c>
    </row>
    <row r="436" spans="1:10">
      <c r="A436" s="106"/>
      <c r="B436" s="111"/>
      <c r="C436" s="111"/>
      <c r="D436" s="111"/>
      <c r="E436" s="111" t="str">
        <f ca="1">IFERROR(__xludf.DUMMYFUNCTION("""COMPUTED_VALUE"""),"HeatShrink Tube 125mm")</f>
        <v>HeatShrink Tube 125mm</v>
      </c>
      <c r="F436" s="111" t="str">
        <f ca="1">IFERROR(__xludf.DUMMYFUNCTION("""COMPUTED_VALUE"""),"SLN-STB-125M-2X-BK")</f>
        <v>SLN-STB-125M-2X-BK</v>
      </c>
      <c r="G436" s="111"/>
      <c r="H436" t="str">
        <f ca="1">IFERROR(__xludf.DUMMYFUNCTION("""COMPUTED_VALUE"""),"130x80x60 enclosure box")</f>
        <v>130x80x60 enclosure box</v>
      </c>
    </row>
    <row r="437" spans="1:10">
      <c r="A437" s="106"/>
      <c r="B437" s="111"/>
      <c r="C437" s="111"/>
      <c r="D437" s="111"/>
      <c r="E437" s="111" t="str">
        <f ca="1">IFERROR(__xludf.DUMMYFUNCTION("""COMPUTED_VALUE"""),"Greasing Pump")</f>
        <v>Greasing Pump</v>
      </c>
      <c r="F437" s="111"/>
      <c r="G437" s="111"/>
      <c r="H437" t="str">
        <f ca="1">IFERROR(__xludf.DUMMYFUNCTION("""COMPUTED_VALUE"""),"Cable gland PG-7")</f>
        <v>Cable gland PG-7</v>
      </c>
      <c r="I437" t="str">
        <f ca="1">IFERROR(__xludf.DUMMYFUNCTION("""COMPUTED_VALUE"""),"MAC-GLA-PG7-PL")</f>
        <v>MAC-GLA-PG7-PL</v>
      </c>
    </row>
    <row r="438" spans="1:10">
      <c r="A438" s="106"/>
      <c r="B438" s="111"/>
      <c r="C438" s="111"/>
      <c r="D438" s="111"/>
      <c r="E438" s="111" t="str">
        <f ca="1">IFERROR(__xludf.DUMMYFUNCTION("""COMPUTED_VALUE"""),"Heat Sink Paste")</f>
        <v>Heat Sink Paste</v>
      </c>
      <c r="F438" s="111" t="str">
        <f ca="1">IFERROR(__xludf.DUMMYFUNCTION("""COMPUTED_VALUE"""),"HET-PAS-SIL-1W")</f>
        <v>HET-PAS-SIL-1W</v>
      </c>
      <c r="G438" s="111"/>
      <c r="H438" t="str">
        <f ca="1">IFERROR(__xludf.DUMMYFUNCTION("""COMPUTED_VALUE"""),"PG-9 Cable Gland(PG -11)")</f>
        <v>PG-9 Cable Gland(PG -11)</v>
      </c>
    </row>
    <row r="439" spans="1:10">
      <c r="A439" s="106"/>
      <c r="B439" s="111"/>
      <c r="C439" s="111"/>
      <c r="D439" s="111"/>
      <c r="E439" s="111" t="str">
        <f ca="1">IFERROR(__xludf.DUMMYFUNCTION("""COMPUTED_VALUE"""),"Sealant Teroson MS930")</f>
        <v>Sealant Teroson MS930</v>
      </c>
      <c r="F439" s="111" t="str">
        <f ca="1">IFERROR(__xludf.DUMMYFUNCTION("""COMPUTED_VALUE"""),"SLN-SMP-MS930-400ML")</f>
        <v>SLN-SMP-MS930-400ML</v>
      </c>
      <c r="G439" s="111"/>
      <c r="H439" t="str">
        <f ca="1">IFERROR(__xludf.DUMMYFUNCTION("""COMPUTED_VALUE"""),"PG-9 Cable Gland Metal")</f>
        <v>PG-9 Cable Gland Metal</v>
      </c>
    </row>
    <row r="440" spans="1:10">
      <c r="A440" s="106"/>
      <c r="B440" s="111"/>
      <c r="C440" s="111"/>
      <c r="D440" s="111"/>
      <c r="E440" s="111" t="str">
        <f ca="1">IFERROR(__xludf.DUMMYFUNCTION("""COMPUTED_VALUE"""),"Sealant Silicon RTV 732")</f>
        <v>Sealant Silicon RTV 732</v>
      </c>
      <c r="F440" s="111" t="str">
        <f ca="1">IFERROR(__xludf.DUMMYFUNCTION("""COMPUTED_VALUE"""),"SLN-RTV-732-VISCOUS-400ML")</f>
        <v>SLN-RTV-732-VISCOUS-400ML</v>
      </c>
      <c r="G440" s="111"/>
      <c r="H440" t="str">
        <f ca="1">IFERROR(__xludf.DUMMYFUNCTION("""COMPUTED_VALUE"""),"PG-11 Cable Gland PVC")</f>
        <v>PG-11 Cable Gland PVC</v>
      </c>
    </row>
    <row r="441" spans="1:10">
      <c r="A441" s="106"/>
      <c r="B441" s="111"/>
      <c r="C441" s="111"/>
      <c r="D441" s="111"/>
      <c r="E441" s="111" t="str">
        <f ca="1">IFERROR(__xludf.DUMMYFUNCTION("""COMPUTED_VALUE"""),"Sealant Silicon RTV 734 Potting compound")</f>
        <v>Sealant Silicon RTV 734 Potting compound</v>
      </c>
      <c r="F441" s="111" t="str">
        <f ca="1">IFERROR(__xludf.DUMMYFUNCTION("""COMPUTED_VALUE"""),"SLN-RTV-734-FLOWABLE-400ML")</f>
        <v>SLN-RTV-734-FLOWABLE-400ML</v>
      </c>
      <c r="G441" s="111"/>
      <c r="H441" t="str">
        <f ca="1">IFERROR(__xludf.DUMMYFUNCTION("""COMPUTED_VALUE"""),"PG-11 Cable Gland Metal")</f>
        <v>PG-11 Cable Gland Metal</v>
      </c>
    </row>
    <row r="442" spans="1:10">
      <c r="A442" s="106"/>
      <c r="B442" s="111"/>
      <c r="C442" s="111"/>
      <c r="D442" s="111"/>
      <c r="E442" s="111" t="str">
        <f ca="1">IFERROR(__xludf.DUMMYFUNCTION("""COMPUTED_VALUE"""),"Industrial RTV Silicon Sealant for Gasketting")</f>
        <v>Industrial RTV Silicon Sealant for Gasketting</v>
      </c>
      <c r="F442" s="111"/>
      <c r="G442" s="111"/>
      <c r="H442" t="str">
        <f ca="1">IFERROR(__xludf.DUMMYFUNCTION("""COMPUTED_VALUE"""),"Coupling Rotex14 with PUR-5 Spider Voilet")</f>
        <v>Coupling Rotex14 with PUR-5 Spider Voilet</v>
      </c>
      <c r="I442" t="str">
        <f ca="1">IFERROR(__xludf.DUMMYFUNCTION("""COMPUTED_VALUE"""),"FAB-MCN-ROT14-0D")</f>
        <v>FAB-MCN-ROT14-0D</v>
      </c>
    </row>
    <row r="443" spans="1:10">
      <c r="A443" s="106"/>
      <c r="B443" s="111"/>
      <c r="C443" s="111"/>
      <c r="D443" s="111"/>
      <c r="E443" s="111" t="str">
        <f ca="1">IFERROR(__xludf.DUMMYFUNCTION("""COMPUTED_VALUE"""),"1/2"" Masking Tape")</f>
        <v>1/2" Masking Tape</v>
      </c>
      <c r="F443" s="111"/>
      <c r="G443" s="111"/>
      <c r="H443" t="str">
        <f ca="1">IFERROR(__xludf.DUMMYFUNCTION("""COMPUTED_VALUE"""),"Coupling Rotex14 with PUR-5 Spider Voilet with D Cut")</f>
        <v>Coupling Rotex14 with PUR-5 Spider Voilet with D Cut</v>
      </c>
      <c r="I443" t="str">
        <f ca="1">IFERROR(__xludf.DUMMYFUNCTION("""COMPUTED_VALUE"""),"SER-MCN-ROT14-8D7F")</f>
        <v>SER-MCN-ROT14-8D7F</v>
      </c>
    </row>
    <row r="444" spans="1:10">
      <c r="A444" s="106"/>
      <c r="B444" s="111"/>
      <c r="C444" s="111"/>
      <c r="D444" s="111"/>
      <c r="E444" s="111" t="str">
        <f ca="1">IFERROR(__xludf.DUMMYFUNCTION("""COMPUTED_VALUE"""),"3/4"" Masking Tape")</f>
        <v>3/4" Masking Tape</v>
      </c>
      <c r="F444" s="111"/>
      <c r="G444" s="111"/>
      <c r="H444" t="str">
        <f ca="1">IFERROR(__xludf.DUMMYFUNCTION("""COMPUTED_VALUE"""),"PUR-5 Voilet Spiders")</f>
        <v>PUR-5 Voilet Spiders</v>
      </c>
    </row>
    <row r="445" spans="1:10">
      <c r="A445" s="106"/>
      <c r="B445" s="111"/>
      <c r="C445" s="111"/>
      <c r="D445" s="111"/>
      <c r="E445" s="111" t="str">
        <f ca="1">IFERROR(__xludf.DUMMYFUNCTION("""COMPUTED_VALUE"""),"1"" Masking Tape")</f>
        <v>1" Masking Tape</v>
      </c>
      <c r="F445" s="111"/>
      <c r="G445" s="111"/>
      <c r="H445" t="str">
        <f ca="1">IFERROR(__xludf.DUMMYFUNCTION("""COMPUTED_VALUE"""),"Electronic Box - Shell ")</f>
        <v xml:space="preserve">Electronic Box - Shell </v>
      </c>
      <c r="I445" t="str">
        <f ca="1">IFERROR(__xludf.DUMMYFUNCTION("""COMPUTED_VALUE"""),"FAB-IJM-EBX")</f>
        <v>FAB-IJM-EBX</v>
      </c>
    </row>
    <row r="446" spans="1:10">
      <c r="A446" s="106"/>
      <c r="B446" s="111"/>
      <c r="C446" s="111"/>
      <c r="D446" s="111"/>
      <c r="E446" s="111" t="str">
        <f ca="1">IFERROR(__xludf.DUMMYFUNCTION("""COMPUTED_VALUE"""),"Masking Tape 2""")</f>
        <v>Masking Tape 2"</v>
      </c>
      <c r="F446" s="111" t="str">
        <f ca="1">IFERROR(__xludf.DUMMYFUNCTION("""COMPUTED_VALUE"""),"PKG-MASK-2IN")</f>
        <v>PKG-MASK-2IN</v>
      </c>
      <c r="G446" s="111"/>
      <c r="H446" t="str">
        <f ca="1">IFERROR(__xludf.DUMMYFUNCTION("""COMPUTED_VALUE"""),"Electronic Box - Front Lid")</f>
        <v>Electronic Box - Front Lid</v>
      </c>
      <c r="I446" t="str">
        <f ca="1">IFERROR(__xludf.DUMMYFUNCTION("""COMPUTED_VALUE"""),"FAB-IJM-FLID-LIFE")</f>
        <v>FAB-IJM-FLID-LIFE</v>
      </c>
    </row>
    <row r="447" spans="1:10">
      <c r="A447" s="106"/>
      <c r="B447" s="111"/>
      <c r="C447" s="111"/>
      <c r="D447" s="111"/>
      <c r="E447" s="111" t="str">
        <f ca="1">IFERROR(__xludf.DUMMYFUNCTION("""COMPUTED_VALUE"""),"Masking Tape 10mm")</f>
        <v>Masking Tape 10mm</v>
      </c>
      <c r="F447" s="111"/>
      <c r="G447" s="111"/>
      <c r="H447" t="str">
        <f ca="1">IFERROR(__xludf.DUMMYFUNCTION("""COMPUTED_VALUE"""),"BPSPLB - Bottom Inlet Block ")</f>
        <v xml:space="preserve">BPSPLB - Bottom Inlet Block </v>
      </c>
      <c r="I447" t="str">
        <f ca="1">IFERROR(__xludf.DUMMYFUNCTION("""COMPUTED_VALUE"""),"FAB-IJM-BTM-BLOC-LIFE")</f>
        <v>FAB-IJM-BTM-BLOC-LIFE</v>
      </c>
    </row>
    <row r="448" spans="1:10">
      <c r="A448" s="106"/>
      <c r="B448" s="111"/>
      <c r="C448" s="111"/>
      <c r="D448" s="111"/>
      <c r="E448" s="111" t="str">
        <f ca="1">IFERROR(__xludf.DUMMYFUNCTION("""COMPUTED_VALUE"""),"Masking Tape 20mm")</f>
        <v>Masking Tape 20mm</v>
      </c>
      <c r="F448" s="111"/>
      <c r="G448" s="111"/>
      <c r="H448" t="str">
        <f ca="1">IFERROR(__xludf.DUMMYFUNCTION("""COMPUTED_VALUE"""),"Remote - Packing Box with Foam")</f>
        <v>Remote - Packing Box with Foam</v>
      </c>
      <c r="I448" t="str">
        <f ca="1">IFERROR(__xludf.DUMMYFUNCTION("""COMPUTED_VALUE"""),"STW-ET2612-QX7-FOAM")</f>
        <v>STW-ET2612-QX7-FOAM</v>
      </c>
      <c r="J448" t="str">
        <f ca="1">IFERROR(__xludf.DUMMYFUNCTION("""COMPUTED_VALUE"""),"ET2612")</f>
        <v>ET2612</v>
      </c>
    </row>
    <row r="449" spans="1:9">
      <c r="A449" s="106"/>
      <c r="B449" s="111"/>
      <c r="C449" s="111"/>
      <c r="D449" s="111"/>
      <c r="E449" s="111" t="str">
        <f ca="1">IFERROR(__xludf.DUMMYFUNCTION("""COMPUTED_VALUE"""),"Duck Tape")</f>
        <v>Duck Tape</v>
      </c>
      <c r="F449" s="111"/>
      <c r="G449" s="111"/>
      <c r="H449" t="str">
        <f ca="1">IFERROR(__xludf.DUMMYFUNCTION("""COMPUTED_VALUE"""),"Remote - Upper Shell Water Proof")</f>
        <v>Remote - Upper Shell Water Proof</v>
      </c>
      <c r="I449" t="str">
        <f ca="1">IFERROR(__xludf.DUMMYFUNCTION("""COMPUTED_VALUE"""),"FAB-IJM-QX7-UPPERSHELL")</f>
        <v>FAB-IJM-QX7-UPPERSHELL</v>
      </c>
    </row>
    <row r="450" spans="1:9">
      <c r="A450" s="106"/>
      <c r="B450" s="111"/>
      <c r="C450" s="111"/>
      <c r="D450" s="111"/>
      <c r="E450" s="111" t="str">
        <f ca="1">IFERROR(__xludf.DUMMYFUNCTION("""COMPUTED_VALUE"""),"3M dual sided Tape")</f>
        <v>3M dual sided Tape</v>
      </c>
      <c r="F450" s="111"/>
      <c r="G450" s="111"/>
      <c r="H450" t="str">
        <f ca="1">IFERROR(__xludf.DUMMYFUNCTION("""COMPUTED_VALUE"""),"Remote - Lower Shell Water Proof")</f>
        <v>Remote - Lower Shell Water Proof</v>
      </c>
      <c r="I450" t="str">
        <f ca="1">IFERROR(__xludf.DUMMYFUNCTION("""COMPUTED_VALUE"""),"FAB-IJM-QX7-LOWERSHELL")</f>
        <v>FAB-IJM-QX7-LOWERSHELL</v>
      </c>
    </row>
    <row r="451" spans="1:9">
      <c r="A451" s="106"/>
      <c r="B451" s="111"/>
      <c r="C451" s="111"/>
      <c r="D451" s="111"/>
      <c r="E451" s="111" t="str">
        <f ca="1">IFERROR(__xludf.DUMMYFUNCTION("""COMPUTED_VALUE"""),"RR Tape")</f>
        <v>RR Tape</v>
      </c>
      <c r="F451" s="111" t="str">
        <f ca="1">IFERROR(__xludf.DUMMYFUNCTION("""COMPUTED_VALUE"""),"MAC-ADH-TAPE-RR")</f>
        <v>MAC-ADH-TAPE-RR</v>
      </c>
      <c r="G451" s="111"/>
      <c r="H451" t="str">
        <f ca="1">IFERROR(__xludf.DUMMYFUNCTION("""COMPUTED_VALUE"""),"Flashing Light - Upper Glass Shell")</f>
        <v>Flashing Light - Upper Glass Shell</v>
      </c>
      <c r="I451" t="str">
        <f ca="1">IFERROR(__xludf.DUMMYFUNCTION("""COMPUTED_VALUE"""),"FAB-IJM-FLSH-GLASS")</f>
        <v>FAB-IJM-FLSH-GLASS</v>
      </c>
    </row>
    <row r="452" spans="1:9">
      <c r="A452" s="106"/>
      <c r="B452" s="111"/>
      <c r="C452" s="111"/>
      <c r="D452" s="111"/>
      <c r="E452" s="111" t="str">
        <f ca="1">IFERROR(__xludf.DUMMYFUNCTION("""COMPUTED_VALUE"""),"Staples pins")</f>
        <v>Staples pins</v>
      </c>
      <c r="F452" s="111"/>
      <c r="G452" s="111"/>
      <c r="H452" t="str">
        <f ca="1">IFERROR(__xludf.DUMMYFUNCTION("""COMPUTED_VALUE"""),"Flashing Light - Bottom Plate")</f>
        <v>Flashing Light - Bottom Plate</v>
      </c>
      <c r="I452" t="str">
        <f ca="1">IFERROR(__xludf.DUMMYFUNCTION("""COMPUTED_VALUE"""),"FAB-IJM-FLSH-PLATE")</f>
        <v>FAB-IJM-FLSH-PLATE</v>
      </c>
    </row>
    <row r="453" spans="1:9">
      <c r="A453" s="106"/>
      <c r="B453" s="111"/>
      <c r="C453" s="111"/>
      <c r="D453" s="111"/>
      <c r="E453" s="111" t="str">
        <f ca="1">IFERROR(__xludf.DUMMYFUNCTION("""COMPUTED_VALUE"""),"Brass nozzle for water outlet from JCB")</f>
        <v>Brass nozzle for water outlet from JCB</v>
      </c>
      <c r="F453" s="111"/>
      <c r="G453" s="111"/>
      <c r="H453" t="str">
        <f ca="1">IFERROR(__xludf.DUMMYFUNCTION("""COMPUTED_VALUE"""),"Electronic Box - PU Gasket ")</f>
        <v xml:space="preserve">Electronic Box - PU Gasket </v>
      </c>
      <c r="I453" t="str">
        <f ca="1">IFERROR(__xludf.DUMMYFUNCTION("""COMPUTED_VALUE"""),"FAB-GSK-EBX")</f>
        <v>FAB-GSK-EBX</v>
      </c>
    </row>
    <row r="454" spans="1:9">
      <c r="A454" s="106"/>
      <c r="B454" s="111"/>
      <c r="C454" s="111"/>
      <c r="D454" s="111"/>
      <c r="E454" s="111" t="str">
        <f ca="1">IFERROR(__xludf.DUMMYFUNCTION("""COMPUTED_VALUE"""),"JCB Battery Holders 3D Print")</f>
        <v>JCB Battery Holders 3D Print</v>
      </c>
      <c r="F454" s="111"/>
      <c r="G454" s="111"/>
      <c r="H454" t="str">
        <f ca="1">IFERROR(__xludf.DUMMYFUNCTION("""COMPUTED_VALUE"""),"PU Gasket Front Lid")</f>
        <v>PU Gasket Front Lid</v>
      </c>
    </row>
    <row r="455" spans="1:9">
      <c r="A455" s="106"/>
      <c r="B455" s="111"/>
      <c r="C455" s="111"/>
      <c r="D455" s="111"/>
      <c r="E455" s="111" t="str">
        <f ca="1">IFERROR(__xludf.DUMMYFUNCTION("""COMPUTED_VALUE"""),"SS Cooling Water Outlet nozzle")</f>
        <v>SS Cooling Water Outlet nozzle</v>
      </c>
      <c r="F455" s="111"/>
      <c r="G455" s="111"/>
      <c r="H455" t="str">
        <f ca="1">IFERROR(__xludf.DUMMYFUNCTION("""COMPUTED_VALUE"""),"Grease")</f>
        <v>Grease</v>
      </c>
    </row>
    <row r="456" spans="1:9">
      <c r="A456" s="106"/>
      <c r="B456" s="111"/>
      <c r="C456" s="111"/>
      <c r="D456" s="111"/>
      <c r="E456" s="111" t="str">
        <f ca="1">IFERROR(__xludf.DUMMYFUNCTION("""COMPUTED_VALUE"""),"SS Cooling Water Inlet nozzle")</f>
        <v>SS Cooling Water Inlet nozzle</v>
      </c>
      <c r="F456" s="111"/>
      <c r="G456" s="111"/>
      <c r="H456" t="str">
        <f ca="1">IFERROR(__xludf.DUMMYFUNCTION("""COMPUTED_VALUE"""),"Heatshrink Tube 6.4:1.6 Adhesive Lined Black")</f>
        <v>Heatshrink Tube 6.4:1.6 Adhesive Lined Black</v>
      </c>
      <c r="I456" t="str">
        <f ca="1">IFERROR(__xludf.DUMMYFUNCTION("""COMPUTED_VALUE"""),"SLN-STB-6.4M-4X-BK-ADH")</f>
        <v>SLN-STB-6.4M-4X-BK-ADH</v>
      </c>
    </row>
    <row r="457" spans="1:9">
      <c r="A457" s="106"/>
      <c r="B457" s="111"/>
      <c r="C457" s="111"/>
      <c r="D457" s="111"/>
      <c r="E457" s="111" t="str">
        <f ca="1">IFERROR(__xludf.DUMMYFUNCTION("""COMPUTED_VALUE"""),"Greasing nozzle")</f>
        <v>Greasing nozzle</v>
      </c>
      <c r="F457" s="111"/>
      <c r="G457" s="111"/>
      <c r="H457" t="str">
        <f ca="1">IFERROR(__xludf.DUMMYFUNCTION("""COMPUTED_VALUE"""),"Heatshrink Tube 9.5mm Adhesive Lined Black")</f>
        <v>Heatshrink Tube 9.5mm Adhesive Lined Black</v>
      </c>
      <c r="I457" t="str">
        <f ca="1">IFERROR(__xludf.DUMMYFUNCTION("""COMPUTED_VALUE"""),"SLN-STB-9.5M-3X-BK-ADH")</f>
        <v>SLN-STB-9.5M-3X-BK-ADH</v>
      </c>
    </row>
    <row r="458" spans="1:9">
      <c r="A458" s="106"/>
      <c r="B458" s="111"/>
      <c r="C458" s="111"/>
      <c r="D458" s="111"/>
      <c r="E458" s="111" t="str">
        <f ca="1">IFERROR(__xludf.DUMMYFUNCTION("""COMPUTED_VALUE"""),"Greasing Nipple M5")</f>
        <v>Greasing Nipple M5</v>
      </c>
      <c r="F458" s="111"/>
      <c r="G458" s="111"/>
      <c r="H458" t="str">
        <f ca="1">IFERROR(__xludf.DUMMYFUNCTION("""COMPUTED_VALUE"""),"Heatshrink Tube 4:1 Adhesive Lined Black")</f>
        <v>Heatshrink Tube 4:1 Adhesive Lined Black</v>
      </c>
      <c r="I458" t="str">
        <f ca="1">IFERROR(__xludf.DUMMYFUNCTION("""COMPUTED_VALUE"""),"SLN-STB-4M-3X-BK-ADH")</f>
        <v>SLN-STB-4M-3X-BK-ADH</v>
      </c>
    </row>
    <row r="459" spans="1:9">
      <c r="A459" s="106"/>
      <c r="B459" s="111"/>
      <c r="C459" s="111"/>
      <c r="D459" s="111"/>
      <c r="E459" s="111" t="str">
        <f ca="1">IFERROR(__xludf.DUMMYFUNCTION("""COMPUTED_VALUE"""),"Nozzle on Jet")</f>
        <v>Nozzle on Jet</v>
      </c>
      <c r="F459" s="111"/>
      <c r="G459" s="111"/>
      <c r="H459" t="str">
        <f ca="1">IFERROR(__xludf.DUMMYFUNCTION("""COMPUTED_VALUE"""),"HeatShrink Tube 3.2 mm Adhesive Lined Black")</f>
        <v>HeatShrink Tube 3.2 mm Adhesive Lined Black</v>
      </c>
      <c r="I459" t="str">
        <f ca="1">IFERROR(__xludf.DUMMYFUNCTION("""COMPUTED_VALUE"""),"SLN-STB-3M-3X-BK-ADH")</f>
        <v>SLN-STB-3M-3X-BK-ADH</v>
      </c>
    </row>
    <row r="460" spans="1:9">
      <c r="A460" s="106"/>
      <c r="B460" s="111"/>
      <c r="C460" s="111"/>
      <c r="D460" s="111"/>
      <c r="E460" s="111" t="str">
        <f ca="1">IFERROR(__xludf.DUMMYFUNCTION("""COMPUTED_VALUE"""),"I52 Jet Nozzles CW used on STBD side NEW")</f>
        <v>I52 Jet Nozzles CW used on STBD side NEW</v>
      </c>
      <c r="F460" s="111"/>
      <c r="G460" s="111"/>
      <c r="H460" t="str">
        <f ca="1">IFERROR(__xludf.DUMMYFUNCTION("""COMPUTED_VALUE"""),"HeatShrink Tube 2:4:0:8 Adhesive Lined Black")</f>
        <v>HeatShrink Tube 2:4:0:8 Adhesive Lined Black</v>
      </c>
      <c r="I460" t="str">
        <f ca="1">IFERROR(__xludf.DUMMYFUNCTION("""COMPUTED_VALUE"""),"SLN-STB-2.4M-3X-BK-ADH")</f>
        <v>SLN-STB-2.4M-3X-BK-ADH</v>
      </c>
    </row>
    <row r="461" spans="1:9">
      <c r="A461" s="106"/>
      <c r="B461" s="111"/>
      <c r="C461" s="111"/>
      <c r="D461" s="111"/>
      <c r="E461" s="111" t="str">
        <f ca="1">IFERROR(__xludf.DUMMYFUNCTION("""COMPUTED_VALUE"""),"I52 Jet Nozzles CCW used on PORT side OLD")</f>
        <v>I52 Jet Nozzles CCW used on PORT side OLD</v>
      </c>
      <c r="F461" s="111"/>
      <c r="G461" s="111" t="str">
        <f ca="1">IFERROR(__xludf.DUMMYFUNCTION("""COMPUTED_VALUE"""),"f")</f>
        <v>f</v>
      </c>
      <c r="H461" t="str">
        <f ca="1">IFERROR(__xludf.DUMMYFUNCTION("""COMPUTED_VALUE"""),"HeatShrink Tube 12:3 Adhesive Lined Black")</f>
        <v>HeatShrink Tube 12:3 Adhesive Lined Black</v>
      </c>
      <c r="I461" t="str">
        <f ca="1">IFERROR(__xludf.DUMMYFUNCTION("""COMPUTED_VALUE"""),"SLN-STB-12M-4X-BK-ADH")</f>
        <v>SLN-STB-12M-4X-BK-ADH</v>
      </c>
    </row>
    <row r="462" spans="1:9">
      <c r="A462" s="106"/>
      <c r="B462" s="111"/>
      <c r="C462" s="111"/>
      <c r="D462" s="111"/>
      <c r="E462" s="111" t="str">
        <f ca="1">IFERROR(__xludf.DUMMYFUNCTION("""COMPUTED_VALUE"""),"I52 Jet Stator CW (STBD) NEW")</f>
        <v>I52 Jet Stator CW (STBD) NEW</v>
      </c>
      <c r="F462" s="111"/>
      <c r="G462" s="111"/>
      <c r="H462" t="str">
        <f ca="1">IFERROR(__xludf.DUMMYFUNCTION("""COMPUTED_VALUE"""),"HeatShrink Tube 4.8/1.2 Adhesive Lined Black")</f>
        <v>HeatShrink Tube 4.8/1.2 Adhesive Lined Black</v>
      </c>
      <c r="I462" t="str">
        <f ca="1">IFERROR(__xludf.DUMMYFUNCTION("""COMPUTED_VALUE"""),"SLN-STB-4.8M-4X-BK-ADH")</f>
        <v>SLN-STB-4.8M-4X-BK-ADH</v>
      </c>
    </row>
    <row r="463" spans="1:9">
      <c r="A463" s="106"/>
      <c r="B463" s="111"/>
      <c r="C463" s="111"/>
      <c r="D463" s="111"/>
      <c r="E463" s="111" t="str">
        <f ca="1">IFERROR(__xludf.DUMMYFUNCTION("""COMPUTED_VALUE"""),"I52 Jet Stator CCW (PORT) OLD")</f>
        <v>I52 Jet Stator CCW (PORT) OLD</v>
      </c>
      <c r="F463" s="111"/>
      <c r="G463" s="111"/>
      <c r="H463" t="str">
        <f ca="1">IFERROR(__xludf.DUMMYFUNCTION("""COMPUTED_VALUE"""),"HeatShrink Tube 1.5mm/1.6mm")</f>
        <v>HeatShrink Tube 1.5mm/1.6mm</v>
      </c>
      <c r="I463" t="str">
        <f ca="1">IFERROR(__xludf.DUMMYFUNCTION("""COMPUTED_VALUE"""),"SLN-STB-1.6M-4X-BK")</f>
        <v>SLN-STB-1.6M-4X-BK</v>
      </c>
    </row>
    <row r="464" spans="1:9">
      <c r="A464" s="106"/>
      <c r="B464" s="111"/>
      <c r="C464" s="111"/>
      <c r="D464" s="111"/>
      <c r="E464" s="111" t="str">
        <f ca="1">IFERROR(__xludf.DUMMYFUNCTION("""COMPUTED_VALUE"""),"I52 Jet Impeller CW (STBD) NEW ")</f>
        <v xml:space="preserve">I52 Jet Impeller CW (STBD) NEW </v>
      </c>
      <c r="F464" s="111"/>
      <c r="G464" s="111"/>
      <c r="H464" t="str">
        <f ca="1">IFERROR(__xludf.DUMMYFUNCTION("""COMPUTED_VALUE"""),"HeatShrink Tube 2mm")</f>
        <v>HeatShrink Tube 2mm</v>
      </c>
      <c r="I464" t="str">
        <f ca="1">IFERROR(__xludf.DUMMYFUNCTION("""COMPUTED_VALUE"""),"SLN-STB-2.0M-4X-BK")</f>
        <v>SLN-STB-2.0M-4X-BK</v>
      </c>
    </row>
    <row r="465" spans="1:10">
      <c r="A465" s="106"/>
      <c r="B465" s="111"/>
      <c r="C465" s="111"/>
      <c r="D465" s="111"/>
      <c r="E465" s="111" t="str">
        <f ca="1">IFERROR(__xludf.DUMMYFUNCTION("""COMPUTED_VALUE"""),"I52 Jet Impeller CCW (PORT) OLD")</f>
        <v>I52 Jet Impeller CCW (PORT) OLD</v>
      </c>
      <c r="F465" s="111"/>
      <c r="G465" s="111"/>
      <c r="H465" t="str">
        <f ca="1">IFERROR(__xludf.DUMMYFUNCTION("""COMPUTED_VALUE"""),"HeatShrink Tube 100mm Black")</f>
        <v>HeatShrink Tube 100mm Black</v>
      </c>
      <c r="I465" t="str">
        <f ca="1">IFERROR(__xludf.DUMMYFUNCTION("""COMPUTED_VALUE"""),"SLN-STB-100M-2X-BK")</f>
        <v>SLN-STB-100M-2X-BK</v>
      </c>
    </row>
    <row r="466" spans="1:10">
      <c r="A466" s="106"/>
      <c r="B466" s="111"/>
      <c r="C466" s="111"/>
      <c r="D466" s="111"/>
      <c r="E466" s="111" t="str">
        <f ca="1">IFERROR(__xludf.DUMMYFUNCTION("""COMPUTED_VALUE"""),"I52 Impeller Shaft")</f>
        <v>I52 Impeller Shaft</v>
      </c>
      <c r="F466" s="111"/>
      <c r="G466" s="111"/>
      <c r="H466" t="str">
        <f ca="1">IFERROR(__xludf.DUMMYFUNCTION("""COMPUTED_VALUE"""),"HeatShrink Tube 30mm Black")</f>
        <v>HeatShrink Tube 30mm Black</v>
      </c>
      <c r="I466" t="str">
        <f ca="1">IFERROR(__xludf.DUMMYFUNCTION("""COMPUTED_VALUE"""),"SLN-STB-30M-3X-BK")</f>
        <v>SLN-STB-30M-3X-BK</v>
      </c>
    </row>
    <row r="467" spans="1:10">
      <c r="A467" s="106"/>
      <c r="B467" s="111"/>
      <c r="C467" s="111"/>
      <c r="D467" s="111"/>
      <c r="E467" s="111" t="str">
        <f ca="1">IFERROR(__xludf.DUMMYFUNCTION("""COMPUTED_VALUE"""),"I52 Shaft with Teflon Bush 7mm")</f>
        <v>I52 Shaft with Teflon Bush 7mm</v>
      </c>
      <c r="F467" s="111"/>
      <c r="G467" s="111"/>
      <c r="H467" t="str">
        <f ca="1">IFERROR(__xludf.DUMMYFUNCTION("""COMPUTED_VALUE"""),"Heat Shrink Sleeve 16mm Transparent")</f>
        <v>Heat Shrink Sleeve 16mm Transparent</v>
      </c>
      <c r="I467" t="str">
        <f ca="1">IFERROR(__xludf.DUMMYFUNCTION("""COMPUTED_VALUE"""),"SLN-STB-16M-2X-CL")</f>
        <v>SLN-STB-16M-2X-CL</v>
      </c>
    </row>
    <row r="468" spans="1:10">
      <c r="A468" s="106"/>
      <c r="B468" s="111"/>
      <c r="C468" s="111"/>
      <c r="D468" s="111"/>
      <c r="E468" s="111" t="str">
        <f ca="1">IFERROR(__xludf.DUMMYFUNCTION("""COMPUTED_VALUE"""),"Self Aligning Bearing IJK-108")</f>
        <v>Self Aligning Bearing IJK-108</v>
      </c>
      <c r="F468" s="111" t="str">
        <f ca="1">IFERROR(__xludf.DUMMYFUNCTION("""COMPUTED_VALUE"""),"MAC-BEARING-IJK108")</f>
        <v>MAC-BEARING-IJK108</v>
      </c>
      <c r="G468" s="111"/>
      <c r="H468" t="str">
        <f ca="1">IFERROR(__xludf.DUMMYFUNCTION("""COMPUTED_VALUE"""),"Heat Shrink Sleeve 12mm Transparent")</f>
        <v>Heat Shrink Sleeve 12mm Transparent</v>
      </c>
      <c r="I468" t="str">
        <f ca="1">IFERROR(__xludf.DUMMYFUNCTION("""COMPUTED_VALUE"""),"SLN-STB-12M-2X-CL")</f>
        <v>SLN-STB-12M-2X-CL</v>
      </c>
    </row>
    <row r="469" spans="1:10">
      <c r="A469" s="106"/>
      <c r="B469" s="111"/>
      <c r="C469" s="111"/>
      <c r="D469" s="111"/>
      <c r="E469" s="111" t="str">
        <f ca="1">IFERROR(__xludf.DUMMYFUNCTION("""COMPUTED_VALUE"""),"Jet S52 - Aluminium Spacer No. 1 (0.9mm)")</f>
        <v>Jet S52 - Aluminium Spacer No. 1 (0.9mm)</v>
      </c>
      <c r="F469" s="111" t="str">
        <f ca="1">IFERROR(__xludf.DUMMYFUNCTION("""COMPUTED_VALUE"""),"FAB-MCN-S52-SPACER09")</f>
        <v>FAB-MCN-S52-SPACER09</v>
      </c>
      <c r="G469" s="111"/>
      <c r="H469" t="str">
        <f ca="1">IFERROR(__xludf.DUMMYFUNCTION("""COMPUTED_VALUE"""),"Heat Shrink Sleeve 10mm Transparent")</f>
        <v>Heat Shrink Sleeve 10mm Transparent</v>
      </c>
      <c r="I469" t="str">
        <f ca="1">IFERROR(__xludf.DUMMYFUNCTION("""COMPUTED_VALUE"""),"SLN-STB-10M-2X-CL")</f>
        <v>SLN-STB-10M-2X-CL</v>
      </c>
      <c r="J469" t="str">
        <f ca="1">IFERROR(__xludf.DUMMYFUNCTION("""COMPUTED_VALUE""")," ")</f>
        <v xml:space="preserve"> </v>
      </c>
    </row>
    <row r="470" spans="1:10">
      <c r="A470" s="106"/>
      <c r="B470" s="111"/>
      <c r="C470" s="111"/>
      <c r="D470" s="111"/>
      <c r="E470" s="111" t="str">
        <f ca="1">IFERROR(__xludf.DUMMYFUNCTION("""COMPUTED_VALUE"""),"Jet S52 - Aluminium Greasing Spacer")</f>
        <v>Jet S52 - Aluminium Greasing Spacer</v>
      </c>
      <c r="F470" s="111" t="str">
        <f ca="1">IFERROR(__xludf.DUMMYFUNCTION("""COMPUTED_VALUE"""),"FAB-MCN-S52-SPACERMID")</f>
        <v>FAB-MCN-S52-SPACERMID</v>
      </c>
      <c r="G470" s="111"/>
      <c r="H470" t="str">
        <f ca="1">IFERROR(__xludf.DUMMYFUNCTION("""COMPUTED_VALUE"""),"HeatShrink Tube 25mm")</f>
        <v>HeatShrink Tube 25mm</v>
      </c>
      <c r="I470" t="str">
        <f ca="1">IFERROR(__xludf.DUMMYFUNCTION("""COMPUTED_VALUE"""),"SLN-STB-25.0M-2X-BK")</f>
        <v>SLN-STB-25.0M-2X-BK</v>
      </c>
    </row>
    <row r="471" spans="1:10">
      <c r="A471" s="106"/>
      <c r="B471" s="111"/>
      <c r="C471" s="111"/>
      <c r="D471" s="111"/>
      <c r="E471" s="111" t="str">
        <f ca="1">IFERROR(__xludf.DUMMYFUNCTION("""COMPUTED_VALUE"""),"Jet S52 - Aluminium Spacer No. 2 (5.5mm)")</f>
        <v>Jet S52 - Aluminium Spacer No. 2 (5.5mm)</v>
      </c>
      <c r="F471" s="111" t="str">
        <f ca="1">IFERROR(__xludf.DUMMYFUNCTION("""COMPUTED_VALUE"""),"FAB-MCN-S52-SPACER5.5")</f>
        <v>FAB-MCN-S52-SPACER5.5</v>
      </c>
      <c r="G471" s="111"/>
      <c r="H471" t="str">
        <f ca="1">IFERROR(__xludf.DUMMYFUNCTION("""COMPUTED_VALUE"""),"HeatShrink Tube 125mm")</f>
        <v>HeatShrink Tube 125mm</v>
      </c>
      <c r="I471" t="str">
        <f ca="1">IFERROR(__xludf.DUMMYFUNCTION("""COMPUTED_VALUE"""),"SLN-STB-125M-2X-BK")</f>
        <v>SLN-STB-125M-2X-BK</v>
      </c>
    </row>
    <row r="472" spans="1:10">
      <c r="A472" s="106"/>
      <c r="B472" s="111"/>
      <c r="C472" s="111"/>
      <c r="D472" s="111"/>
      <c r="E472" s="111" t="str">
        <f ca="1">IFERROR(__xludf.DUMMYFUNCTION("""COMPUTED_VALUE"""),"Oil Seal Jet 10-18-6")</f>
        <v>Oil Seal Jet 10-18-6</v>
      </c>
      <c r="F472" s="111" t="str">
        <f ca="1">IFERROR(__xludf.DUMMYFUNCTION("""COMPUTED_VALUE"""),"MAC-OILSEAS-10-18-6")</f>
        <v>MAC-OILSEAS-10-18-6</v>
      </c>
      <c r="G472" s="111"/>
      <c r="H472" t="str">
        <f ca="1">IFERROR(__xludf.DUMMYFUNCTION("""COMPUTED_VALUE"""),"Greasing Pump")</f>
        <v>Greasing Pump</v>
      </c>
    </row>
    <row r="473" spans="1:10">
      <c r="A473" s="106"/>
      <c r="B473" s="111"/>
      <c r="C473" s="111"/>
      <c r="D473" s="111"/>
      <c r="E473" s="111" t="str">
        <f ca="1">IFERROR(__xludf.DUMMYFUNCTION("""COMPUTED_VALUE"""),"Oil Seal Stator 7-16-5")</f>
        <v>Oil Seal Stator 7-16-5</v>
      </c>
      <c r="F473" s="111" t="str">
        <f ca="1">IFERROR(__xludf.DUMMYFUNCTION("""COMPUTED_VALUE"""),"MAC-OILSEAS-7-16-5")</f>
        <v>MAC-OILSEAS-7-16-5</v>
      </c>
      <c r="G473" s="111"/>
      <c r="H473" t="str">
        <f ca="1">IFERROR(__xludf.DUMMYFUNCTION("""COMPUTED_VALUE"""),"Heat Sink Paste")</f>
        <v>Heat Sink Paste</v>
      </c>
      <c r="I473" t="str">
        <f ca="1">IFERROR(__xludf.DUMMYFUNCTION("""COMPUTED_VALUE"""),"HET-PAS-SIL-1W")</f>
        <v>HET-PAS-SIL-1W</v>
      </c>
    </row>
    <row r="474" spans="1:10">
      <c r="A474" s="106"/>
      <c r="B474" s="111"/>
      <c r="C474" s="111"/>
      <c r="D474" s="111"/>
      <c r="E474" s="111" t="str">
        <f ca="1">IFERROR(__xludf.DUMMYFUNCTION("""COMPUTED_VALUE"""),"Jet S52 - Teflon Bush 7mm")</f>
        <v>Jet S52 - Teflon Bush 7mm</v>
      </c>
      <c r="F474" s="111" t="str">
        <f ca="1">IFERROR(__xludf.DUMMYFUNCTION("""COMPUTED_VALUE"""),"FAB-MCN-S52-TFLN-12M7M")</f>
        <v>FAB-MCN-S52-TFLN-12M7M</v>
      </c>
      <c r="G474" s="111"/>
      <c r="H474" t="str">
        <f ca="1">IFERROR(__xludf.DUMMYFUNCTION("""COMPUTED_VALUE"""),"Sealant Teroson MS930")</f>
        <v>Sealant Teroson MS930</v>
      </c>
      <c r="I474" t="str">
        <f ca="1">IFERROR(__xludf.DUMMYFUNCTION("""COMPUTED_VALUE"""),"SLN-SMP-MS930-400ML")</f>
        <v>SLN-SMP-MS930-400ML</v>
      </c>
    </row>
    <row r="475" spans="1:10">
      <c r="A475" s="106"/>
      <c r="B475" s="111"/>
      <c r="C475" s="111"/>
      <c r="D475" s="111"/>
      <c r="E475" s="111" t="str">
        <f ca="1">IFERROR(__xludf.DUMMYFUNCTION("""COMPUTED_VALUE"""),"Jet I52 &amp; S52 - Teflon Bush 6mm")</f>
        <v>Jet I52 &amp; S52 - Teflon Bush 6mm</v>
      </c>
      <c r="F475" s="111" t="str">
        <f ca="1">IFERROR(__xludf.DUMMYFUNCTION("""COMPUTED_VALUE"""),"FAB-MCN-S52-TFLN-12M6M")</f>
        <v>FAB-MCN-S52-TFLN-12M6M</v>
      </c>
      <c r="G475" s="111"/>
      <c r="H475" t="str">
        <f ca="1">IFERROR(__xludf.DUMMYFUNCTION("""COMPUTED_VALUE"""),"Sealant Silicon RTV 732")</f>
        <v>Sealant Silicon RTV 732</v>
      </c>
      <c r="I475" t="str">
        <f ca="1">IFERROR(__xludf.DUMMYFUNCTION("""COMPUTED_VALUE"""),"SLN-RTV-732-VISCOUS-400ML")</f>
        <v>SLN-RTV-732-VISCOUS-400ML</v>
      </c>
    </row>
    <row r="476" spans="1:10">
      <c r="A476" s="106"/>
      <c r="B476" s="111"/>
      <c r="C476" s="111"/>
      <c r="D476" s="111"/>
      <c r="E476" s="111" t="str">
        <f ca="1">IFERROR(__xludf.DUMMYFUNCTION("""COMPUTED_VALUE"""),"Circlip Stator 17mm")</f>
        <v>Circlip Stator 17mm</v>
      </c>
      <c r="F476" s="111" t="str">
        <f ca="1">IFERROR(__xludf.DUMMYFUNCTION("""COMPUTED_VALUE"""),"MAC-CIRCLIP-18MM-SS")</f>
        <v>MAC-CIRCLIP-18MM-SS</v>
      </c>
      <c r="G476" s="111"/>
      <c r="H476" t="str">
        <f ca="1">IFERROR(__xludf.DUMMYFUNCTION("""COMPUTED_VALUE"""),"Sealant Silicon RTV 734 Potting compound")</f>
        <v>Sealant Silicon RTV 734 Potting compound</v>
      </c>
      <c r="I476" t="str">
        <f ca="1">IFERROR(__xludf.DUMMYFUNCTION("""COMPUTED_VALUE"""),"SLN-RTV-734-FLOWABLE-400ML")</f>
        <v>SLN-RTV-734-FLOWABLE-400ML</v>
      </c>
    </row>
    <row r="477" spans="1:10">
      <c r="A477" s="106"/>
      <c r="B477" s="111"/>
      <c r="C477" s="111"/>
      <c r="D477" s="111"/>
      <c r="E477" s="111" t="str">
        <f ca="1">IFERROR(__xludf.DUMMYFUNCTION("""COMPUTED_VALUE"""),"Circlip Jet 22mm")</f>
        <v>Circlip Jet 22mm</v>
      </c>
      <c r="F477" s="111" t="str">
        <f ca="1">IFERROR(__xludf.DUMMYFUNCTION("""COMPUTED_VALUE"""),"MAC-CIRCLIP-22MM-SS")</f>
        <v>MAC-CIRCLIP-22MM-SS</v>
      </c>
      <c r="G477" s="111"/>
      <c r="H477" t="str">
        <f ca="1">IFERROR(__xludf.DUMMYFUNCTION("""COMPUTED_VALUE"""),"Industrial RTV Silicon Sealant for Gasketting")</f>
        <v>Industrial RTV Silicon Sealant for Gasketting</v>
      </c>
    </row>
    <row r="478" spans="1:10">
      <c r="A478" s="106"/>
      <c r="B478" s="111"/>
      <c r="C478" s="111"/>
      <c r="D478" s="111"/>
      <c r="E478" s="111" t="str">
        <f ca="1">IFERROR(__xludf.DUMMYFUNCTION("""COMPUTED_VALUE"""),"Jet S52 - Water Jet Bare Body Aluminium Casting Ver1.0")</f>
        <v>Jet S52 - Water Jet Bare Body Aluminium Casting Ver1.0</v>
      </c>
      <c r="F478" s="111" t="str">
        <f ca="1">IFERROR(__xludf.DUMMYFUNCTION("""COMPUTED_VALUE"""),"FAB-CST-S52-V1.0")</f>
        <v>FAB-CST-S52-V1.0</v>
      </c>
      <c r="G478" s="111"/>
      <c r="H478" t="str">
        <f ca="1">IFERROR(__xludf.DUMMYFUNCTION("""COMPUTED_VALUE"""),"1/2"" Masking Tape")</f>
        <v>1/2" Masking Tape</v>
      </c>
    </row>
    <row r="479" spans="1:10">
      <c r="A479" s="106"/>
      <c r="B479" s="111"/>
      <c r="C479" s="111"/>
      <c r="D479" s="111"/>
      <c r="E479" s="111" t="str">
        <f ca="1">IFERROR(__xludf.DUMMYFUNCTION("""COMPUTED_VALUE"""),"Jet I52 - Int. Water Jet Bare Body Aluminium Heat Sand Casting Ver1.0")</f>
        <v>Jet I52 - Int. Water Jet Bare Body Aluminium Heat Sand Casting Ver1.0</v>
      </c>
      <c r="F479" s="111" t="str">
        <f ca="1">IFERROR(__xludf.DUMMYFUNCTION("""COMPUTED_VALUE"""),"FAB-CST-INT-I52-V1.0")</f>
        <v>FAB-CST-INT-I52-V1.0</v>
      </c>
      <c r="G479" s="111"/>
      <c r="H479" t="str">
        <f ca="1">IFERROR(__xludf.DUMMYFUNCTION("""COMPUTED_VALUE"""),"3/4"" Masking Tape")</f>
        <v>3/4" Masking Tape</v>
      </c>
    </row>
    <row r="480" spans="1:10">
      <c r="A480" s="106"/>
      <c r="B480" s="111"/>
      <c r="C480" s="111"/>
      <c r="D480" s="111"/>
      <c r="E480" s="111" t="str">
        <f ca="1">IFERROR(__xludf.DUMMYFUNCTION("""COMPUTED_VALUE"""),"Jet I52 - Int. Water Jet Bare Body Aluminium Heat Gravity Die Casting Ver1.1")</f>
        <v>Jet I52 - Int. Water Jet Bare Body Aluminium Heat Gravity Die Casting Ver1.1</v>
      </c>
      <c r="F480" s="111" t="str">
        <f ca="1">IFERROR(__xludf.DUMMYFUNCTION("""COMPUTED_VALUE"""),"FAB-CST-INT-I52-V1.1")</f>
        <v>FAB-CST-INT-I52-V1.1</v>
      </c>
      <c r="G480" s="111"/>
      <c r="H480" t="str">
        <f ca="1">IFERROR(__xludf.DUMMYFUNCTION("""COMPUTED_VALUE"""),"1"" Masking Tape")</f>
        <v>1" Masking Tape</v>
      </c>
    </row>
    <row r="481" spans="1:10">
      <c r="A481" s="106"/>
      <c r="B481" s="111"/>
      <c r="C481" s="111"/>
      <c r="D481" s="111"/>
      <c r="E481" s="111" t="str">
        <f ca="1">IFERROR(__xludf.DUMMYFUNCTION("""COMPUTED_VALUE"""),"Jet I52-Int. Water Jet Gravity Die Casting Mould")</f>
        <v>Jet I52-Int. Water Jet Gravity Die Casting Mould</v>
      </c>
      <c r="F481" s="111" t="str">
        <f ca="1">IFERROR(__xludf.DUMMYFUNCTION("""COMPUTED_VALUE"""),"CPTL-MLD-GDC-FAB-CST-INT-I52-V1.1")</f>
        <v>CPTL-MLD-GDC-FAB-CST-INT-I52-V1.1</v>
      </c>
      <c r="G481" s="111"/>
      <c r="H481" t="str">
        <f ca="1">IFERROR(__xludf.DUMMYFUNCTION("""COMPUTED_VALUE"""),"Masking Tape 2""")</f>
        <v>Masking Tape 2"</v>
      </c>
      <c r="I481" t="str">
        <f ca="1">IFERROR(__xludf.DUMMYFUNCTION("""COMPUTED_VALUE"""),"PKG-MASK-2IN")</f>
        <v>PKG-MASK-2IN</v>
      </c>
    </row>
    <row r="482" spans="1:10">
      <c r="A482" s="106"/>
      <c r="B482" s="111"/>
      <c r="C482" s="111"/>
      <c r="D482" s="111"/>
      <c r="E482" s="111" t="str">
        <f ca="1">IFERROR(__xludf.DUMMYFUNCTION("""COMPUTED_VALUE"""),"Jet I52 - Int. Water Jet machined Aluminium Heat Sand Casting Ver1.0")</f>
        <v>Jet I52 - Int. Water Jet machined Aluminium Heat Sand Casting Ver1.0</v>
      </c>
      <c r="F482" s="111" t="str">
        <f ca="1">IFERROR(__xludf.DUMMYFUNCTION("""COMPUTED_VALUE"""),"FAB-MCN-INT-I52-V1.0")</f>
        <v>FAB-MCN-INT-I52-V1.0</v>
      </c>
      <c r="G482" s="111"/>
      <c r="H482" t="str">
        <f ca="1">IFERROR(__xludf.DUMMYFUNCTION("""COMPUTED_VALUE"""),"Masking Tape 10mm")</f>
        <v>Masking Tape 10mm</v>
      </c>
    </row>
    <row r="483" spans="1:10">
      <c r="A483" s="106"/>
      <c r="B483" s="111"/>
      <c r="C483" s="111"/>
      <c r="D483" s="111"/>
      <c r="E483" s="111" t="str">
        <f ca="1">IFERROR(__xludf.DUMMYFUNCTION("""COMPUTED_VALUE"""),"Jet I52 - Int. Water Jet machined Aluminium Heat Gravity Die Casting Ver1.1")</f>
        <v>Jet I52 - Int. Water Jet machined Aluminium Heat Gravity Die Casting Ver1.1</v>
      </c>
      <c r="F483" s="111" t="str">
        <f ca="1">IFERROR(__xludf.DUMMYFUNCTION("""COMPUTED_VALUE"""),"FAB-MCN-INT-I52-V1.1")</f>
        <v>FAB-MCN-INT-I52-V1.1</v>
      </c>
      <c r="G483" s="111"/>
      <c r="H483" t="str">
        <f ca="1">IFERROR(__xludf.DUMMYFUNCTION("""COMPUTED_VALUE"""),"Masking Tape 20mm")</f>
        <v>Masking Tape 20mm</v>
      </c>
    </row>
    <row r="484" spans="1:10">
      <c r="A484" s="106"/>
      <c r="B484" s="111"/>
      <c r="C484" s="111"/>
      <c r="D484" s="111"/>
      <c r="E484" s="111" t="str">
        <f ca="1">IFERROR(__xludf.DUMMYFUNCTION("""COMPUTED_VALUE"""),"Jet I52- Int.Water Jet Machined Fixture Leak testing")</f>
        <v>Jet I52- Int.Water Jet Machined Fixture Leak testing</v>
      </c>
      <c r="F484" s="111" t="str">
        <f ca="1">IFERROR(__xludf.DUMMYFUNCTION("""COMPUTED_VALUE"""),"CPTL-FIX-LEK-FAB-MCN-INT-I52-V1.1")</f>
        <v>CPTL-FIX-LEK-FAB-MCN-INT-I52-V1.1</v>
      </c>
      <c r="G484" s="111"/>
      <c r="H484" t="str">
        <f ca="1">IFERROR(__xludf.DUMMYFUNCTION("""COMPUTED_VALUE"""),"Duck Tape")</f>
        <v>Duck Tape</v>
      </c>
    </row>
    <row r="485" spans="1:10">
      <c r="A485" s="106"/>
      <c r="B485" s="111"/>
      <c r="C485" s="111"/>
      <c r="D485" s="111"/>
      <c r="E485" s="111" t="str">
        <f ca="1">IFERROR(__xludf.DUMMYFUNCTION("""COMPUTED_VALUE"""),"Jet I52 - Int. Water Jet Machined Leak Test")</f>
        <v>Jet I52 - Int. Water Jet Machined Leak Test</v>
      </c>
      <c r="F485" s="111" t="str">
        <f ca="1">IFERROR(__xludf.DUMMYFUNCTION("""COMPUTED_VALUE"""),"FAB-LEK-INT-I52-V1.1")</f>
        <v>FAB-LEK-INT-I52-V1.1</v>
      </c>
      <c r="G485" s="111"/>
      <c r="H485" t="str">
        <f ca="1">IFERROR(__xludf.DUMMYFUNCTION("""COMPUTED_VALUE"""),"3M dual sided Tape")</f>
        <v>3M dual sided Tape</v>
      </c>
    </row>
    <row r="486" spans="1:10">
      <c r="A486" s="106"/>
      <c r="B486" s="111"/>
      <c r="C486" s="111"/>
      <c r="D486" s="111"/>
      <c r="E486" s="111" t="str">
        <f ca="1">IFERROR(__xludf.DUMMYFUNCTION("""COMPUTED_VALUE"""),"Jet I52-Int. Water Jet Machined Fixture Dimensional Check")</f>
        <v>Jet I52-Int. Water Jet Machined Fixture Dimensional Check</v>
      </c>
      <c r="F486" s="111" t="str">
        <f ca="1">IFERROR(__xludf.DUMMYFUNCTION("""COMPUTED_VALUE"""),"CPTL-FIX-DIMS-FAB-MCN-INT-I52-V1.1")</f>
        <v>CPTL-FIX-DIMS-FAB-MCN-INT-I52-V1.1</v>
      </c>
      <c r="G486" s="111"/>
      <c r="H486" t="str">
        <f ca="1">IFERROR(__xludf.DUMMYFUNCTION("""COMPUTED_VALUE"""),"RR Tape")</f>
        <v>RR Tape</v>
      </c>
      <c r="I486" t="str">
        <f ca="1">IFERROR(__xludf.DUMMYFUNCTION("""COMPUTED_VALUE"""),"MAC-ADH-TAPE-RR")</f>
        <v>MAC-ADH-TAPE-RR</v>
      </c>
    </row>
    <row r="487" spans="1:10">
      <c r="A487" s="106"/>
      <c r="B487" s="111"/>
      <c r="C487" s="111"/>
      <c r="D487" s="111"/>
      <c r="E487" s="111" t="str">
        <f ca="1">IFERROR(__xludf.DUMMYFUNCTION("""COMPUTED_VALUE"""),"ESC - J52-5692-Mounting Plate on Motor Ver1.0")</f>
        <v>ESC - J52-5692-Mounting Plate on Motor Ver1.0</v>
      </c>
      <c r="F487" s="111" t="str">
        <f ca="1">IFERROR(__xludf.DUMMYFUNCTION("""COMPUTED_VALUE"""),"FAB-MCN-ESC-S52-5692-PLATEM")</f>
        <v>FAB-MCN-ESC-S52-5692-PLATEM</v>
      </c>
      <c r="G487" s="111"/>
      <c r="H487" t="str">
        <f ca="1">IFERROR(__xludf.DUMMYFUNCTION("""COMPUTED_VALUE"""),"Staples pins")</f>
        <v>Staples pins</v>
      </c>
    </row>
    <row r="488" spans="1:10">
      <c r="A488" s="106"/>
      <c r="B488" s="111"/>
      <c r="C488" s="111"/>
      <c r="D488" s="111"/>
      <c r="E488" s="111" t="str">
        <f ca="1">IFERROR(__xludf.DUMMYFUNCTION("""COMPUTED_VALUE"""),"ESC - I52-5692-Mounting Plate on Motor Ver1.1")</f>
        <v>ESC - I52-5692-Mounting Plate on Motor Ver1.1</v>
      </c>
      <c r="F488" s="111" t="str">
        <f ca="1">IFERROR(__xludf.DUMMYFUNCTION("""COMPUTED_VALUE"""),"FAB-MCN-ESC-I52-5692-PLATEM")</f>
        <v>FAB-MCN-ESC-I52-5692-PLATEM</v>
      </c>
      <c r="G488" s="111"/>
      <c r="H488" t="str">
        <f ca="1">IFERROR(__xludf.DUMMYFUNCTION("""COMPUTED_VALUE"""),"Brass nozzle for water outlet from JCB")</f>
        <v>Brass nozzle for water outlet from JCB</v>
      </c>
    </row>
    <row r="489" spans="1:10">
      <c r="A489" s="106"/>
      <c r="B489" s="111"/>
      <c r="C489" s="111"/>
      <c r="D489" s="111"/>
      <c r="E489" s="111" t="str">
        <f ca="1">IFERROR(__xludf.DUMMYFUNCTION("""COMPUTED_VALUE"""),"Jet S52 - Aluminium Mounting Plate Base Plate Ver1.0")</f>
        <v>Jet S52 - Aluminium Mounting Plate Base Plate Ver1.0</v>
      </c>
      <c r="F489" s="111" t="str">
        <f ca="1">IFERROR(__xludf.DUMMYFUNCTION("""COMPUTED_VALUE"""),"FAB-MCN-S52V1-PLATEM-V1.0")</f>
        <v>FAB-MCN-S52V1-PLATEM-V1.0</v>
      </c>
      <c r="G489" s="111"/>
      <c r="H489" t="str">
        <f ca="1">IFERROR(__xludf.DUMMYFUNCTION("""COMPUTED_VALUE"""),"JCB Battery Holders 3D Print")</f>
        <v>JCB Battery Holders 3D Print</v>
      </c>
    </row>
    <row r="490" spans="1:10">
      <c r="A490" s="106"/>
      <c r="B490" s="111"/>
      <c r="C490" s="111"/>
      <c r="D490" s="111"/>
      <c r="E490" s="111" t="str">
        <f ca="1">IFERROR(__xludf.DUMMYFUNCTION("""COMPUTED_VALUE"""),"Jet washers")</f>
        <v>Jet washers</v>
      </c>
      <c r="F490" s="111"/>
      <c r="G490" s="111"/>
      <c r="H490" t="str">
        <f ca="1">IFERROR(__xludf.DUMMYFUNCTION("""COMPUTED_VALUE"""),"SS Cooling Water Outlet nozzle")</f>
        <v>SS Cooling Water Outlet nozzle</v>
      </c>
    </row>
    <row r="491" spans="1:10">
      <c r="A491" s="106"/>
      <c r="B491" s="111"/>
      <c r="C491" s="111"/>
      <c r="D491" s="111"/>
      <c r="E491" s="111" t="str">
        <f ca="1">IFERROR(__xludf.DUMMYFUNCTION("""COMPUTED_VALUE"""),"Jet I52 - FRP Mounting Base Plate Ver1.0")</f>
        <v>Jet I52 - FRP Mounting Base Plate Ver1.0</v>
      </c>
      <c r="F491" s="111" t="str">
        <f ca="1">IFERROR(__xludf.DUMMYFUNCTION("""COMPUTED_VALUE"""),"FAB-MCN-I52V1-PLATEF-V1.0")</f>
        <v>FAB-MCN-I52V1-PLATEF-V1.0</v>
      </c>
      <c r="G491" s="111"/>
      <c r="H491" t="str">
        <f ca="1">IFERROR(__xludf.DUMMYFUNCTION("""COMPUTED_VALUE"""),"SS Cooling Water Inlet nozzle")</f>
        <v>SS Cooling Water Inlet nozzle</v>
      </c>
    </row>
    <row r="492" spans="1:10">
      <c r="A492" s="106"/>
      <c r="B492" s="111"/>
      <c r="C492" s="111"/>
      <c r="D492" s="111"/>
      <c r="E492" s="111" t="str">
        <f ca="1">IFERROR(__xludf.DUMMYFUNCTION("""COMPUTED_VALUE"""),"5692-S52 Motor Mount Heatblock TOP Ver1.0 ")</f>
        <v xml:space="preserve">5692-S52 Motor Mount Heatblock TOP Ver1.0 </v>
      </c>
      <c r="F492" s="111" t="str">
        <f ca="1">IFERROR(__xludf.DUMMYFUNCTION("""COMPUTED_VALUE"""),"FAB-MCN-5692HE-S52-TMOUNT-V1.0")</f>
        <v>FAB-MCN-5692HE-S52-TMOUNT-V1.0</v>
      </c>
      <c r="G492" s="111"/>
      <c r="H492" t="str">
        <f ca="1">IFERROR(__xludf.DUMMYFUNCTION("""COMPUTED_VALUE"""),"Greasing nozzle")</f>
        <v>Greasing nozzle</v>
      </c>
    </row>
    <row r="493" spans="1:10">
      <c r="A493" s="106"/>
      <c r="B493" s="111"/>
      <c r="C493" s="111"/>
      <c r="D493" s="111"/>
      <c r="E493" s="111" t="str">
        <f ca="1">IFERROR(__xludf.DUMMYFUNCTION("""COMPUTED_VALUE"""),"5692-I52 Motor Mount Heatblock TOP Ver1.1 Integrated Jet")</f>
        <v>5692-I52 Motor Mount Heatblock TOP Ver1.1 Integrated Jet</v>
      </c>
      <c r="F493" s="111" t="str">
        <f ca="1">IFERROR(__xludf.DUMMYFUNCTION("""COMPUTED_VALUE"""),"FAB-MCN-5692HE-I52-TMOUNT-V1.1")</f>
        <v>FAB-MCN-5692HE-I52-TMOUNT-V1.1</v>
      </c>
      <c r="G493" s="111"/>
      <c r="H493" t="str">
        <f ca="1">IFERROR(__xludf.DUMMYFUNCTION("""COMPUTED_VALUE"""),"Greasing Nipple M5")</f>
        <v>Greasing Nipple M5</v>
      </c>
    </row>
    <row r="494" spans="1:10">
      <c r="A494" s="106"/>
      <c r="B494" s="111"/>
      <c r="C494" s="111"/>
      <c r="D494" s="111"/>
      <c r="E494" s="111" t="str">
        <f ca="1">IFERROR(__xludf.DUMMYFUNCTION("""COMPUTED_VALUE"""),"5692-S52 Motor mount heatblock BOTTOM Ver1.0")</f>
        <v>5692-S52 Motor mount heatblock BOTTOM Ver1.0</v>
      </c>
      <c r="F494" s="111" t="str">
        <f ca="1">IFERROR(__xludf.DUMMYFUNCTION("""COMPUTED_VALUE"""),"FAB-MCN-5692HE-S52-BMOUNT-V1.0")</f>
        <v>FAB-MCN-5692HE-S52-BMOUNT-V1.0</v>
      </c>
      <c r="G494" s="111"/>
      <c r="H494" t="str">
        <f ca="1">IFERROR(__xludf.DUMMYFUNCTION("""COMPUTED_VALUE"""),"Nozzle on Jet")</f>
        <v>Nozzle on Jet</v>
      </c>
    </row>
    <row r="495" spans="1:10">
      <c r="A495" s="106"/>
      <c r="B495" s="111"/>
      <c r="C495" s="111"/>
      <c r="D495" s="111"/>
      <c r="E495" s="111" t="str">
        <f ca="1">IFERROR(__xludf.DUMMYFUNCTION("""COMPUTED_VALUE"""),"5692-I52 Motor mount heatblock BOTTOM Ver1.1 Integrated Jet")</f>
        <v>5692-I52 Motor mount heatblock BOTTOM Ver1.1 Integrated Jet</v>
      </c>
      <c r="F495" s="111" t="str">
        <f ca="1">IFERROR(__xludf.DUMMYFUNCTION("""COMPUTED_VALUE"""),"FAB-MCN-5692HE-I52-BMOUNT-V1.1")</f>
        <v>FAB-MCN-5692HE-I52-BMOUNT-V1.1</v>
      </c>
      <c r="G495" s="111"/>
      <c r="H495" t="str">
        <f ca="1">IFERROR(__xludf.DUMMYFUNCTION("""COMPUTED_VALUE"""),"I52 Jet Nozzles CW used on STBD side NEW")</f>
        <v>I52 Jet Nozzles CW used on STBD side NEW</v>
      </c>
    </row>
    <row r="496" spans="1:10">
      <c r="A496" s="106"/>
      <c r="B496" s="111"/>
      <c r="C496" s="111"/>
      <c r="D496" s="111"/>
      <c r="E496" s="111" t="str">
        <f ca="1">IFERROR(__xludf.DUMMYFUNCTION("""COMPUTED_VALUE"""),"5692-I52 Motor mount heatblock Top/Bottom Ver1.1 Integrated Dimensional Fixture")</f>
        <v>5692-I52 Motor mount heatblock Top/Bottom Ver1.1 Integrated Dimensional Fixture</v>
      </c>
      <c r="F496" s="111" t="str">
        <f ca="1">IFERROR(__xludf.DUMMYFUNCTION("""COMPUTED_VALUE"""),"CPTL-FIX-DIMS-FAB-MCN-5692HE-I52-T/BMOUNT-V1.1")</f>
        <v>CPTL-FIX-DIMS-FAB-MCN-5692HE-I52-T/BMOUNT-V1.1</v>
      </c>
      <c r="G496" s="111"/>
      <c r="H496" t="str">
        <f ca="1">IFERROR(__xludf.DUMMYFUNCTION("""COMPUTED_VALUE"""),"I52 Jet Nozzles CCW used on PORT side OLD")</f>
        <v>I52 Jet Nozzles CCW used on PORT side OLD</v>
      </c>
      <c r="J496" t="str">
        <f ca="1">IFERROR(__xludf.DUMMYFUNCTION("""COMPUTED_VALUE"""),"f")</f>
        <v>f</v>
      </c>
    </row>
    <row r="497" spans="1:9">
      <c r="A497" s="106"/>
      <c r="B497" s="111"/>
      <c r="C497" s="111"/>
      <c r="D497" s="111"/>
      <c r="E497" s="111" t="str">
        <f ca="1">IFERROR(__xludf.DUMMYFUNCTION("""COMPUTED_VALUE"""),"Jet-I52 Top Aluminium plate for heatpipes V1.1")</f>
        <v>Jet-I52 Top Aluminium plate for heatpipes V1.1</v>
      </c>
      <c r="F497" s="111" t="str">
        <f ca="1">IFERROR(__xludf.DUMMYFUNCTION("""COMPUTED_VALUE"""),"FAB-MCN-I52-TPLATE-V1.1")</f>
        <v>FAB-MCN-I52-TPLATE-V1.1</v>
      </c>
      <c r="G497" s="111" t="str">
        <f ca="1">IFERROR(__xludf.DUMMYFUNCTION("""COMPUTED_VALUE"""),"4nos")</f>
        <v>4nos</v>
      </c>
      <c r="H497" t="str">
        <f ca="1">IFERROR(__xludf.DUMMYFUNCTION("""COMPUTED_VALUE"""),"I52 Jet Stator CW (STBD) NEW")</f>
        <v>I52 Jet Stator CW (STBD) NEW</v>
      </c>
    </row>
    <row r="498" spans="1:9">
      <c r="A498" s="106"/>
      <c r="B498" s="111"/>
      <c r="C498" s="111"/>
      <c r="D498" s="111"/>
      <c r="E498" s="111" t="str">
        <f ca="1">IFERROR(__xludf.DUMMYFUNCTION("""COMPUTED_VALUE"""),"Jet-I52 Right side Aluminium plate for heatpipes V1.1")</f>
        <v>Jet-I52 Right side Aluminium plate for heatpipes V1.1</v>
      </c>
      <c r="F498" s="111" t="str">
        <f ca="1">IFERROR(__xludf.DUMMYFUNCTION("""COMPUTED_VALUE"""),"FAB-MCN-I52-RPLATE-V1.1")</f>
        <v>FAB-MCN-I52-RPLATE-V1.1</v>
      </c>
      <c r="G498" s="111" t="str">
        <f ca="1">IFERROR(__xludf.DUMMYFUNCTION("""COMPUTED_VALUE"""),"4nos")</f>
        <v>4nos</v>
      </c>
      <c r="H498" t="str">
        <f ca="1">IFERROR(__xludf.DUMMYFUNCTION("""COMPUTED_VALUE"""),"I52 Jet Stator CCW (PORT) OLD")</f>
        <v>I52 Jet Stator CCW (PORT) OLD</v>
      </c>
    </row>
    <row r="499" spans="1:9">
      <c r="A499" s="106"/>
      <c r="B499" s="111"/>
      <c r="C499" s="111"/>
      <c r="D499" s="111"/>
      <c r="E499" s="111" t="str">
        <f ca="1">IFERROR(__xludf.DUMMYFUNCTION("""COMPUTED_VALUE"""),"Jet-I52 Left side Aluminium plate for heatpipes V1.1")</f>
        <v>Jet-I52 Left side Aluminium plate for heatpipes V1.1</v>
      </c>
      <c r="F499" s="111" t="str">
        <f ca="1">IFERROR(__xludf.DUMMYFUNCTION("""COMPUTED_VALUE"""),"FAB-MCN-I52-LPLATE-V1.1")</f>
        <v>FAB-MCN-I52-LPLATE-V1.1</v>
      </c>
      <c r="G499" s="111" t="str">
        <f ca="1">IFERROR(__xludf.DUMMYFUNCTION("""COMPUTED_VALUE"""),"4nos")</f>
        <v>4nos</v>
      </c>
      <c r="H499" t="str">
        <f ca="1">IFERROR(__xludf.DUMMYFUNCTION("""COMPUTED_VALUE"""),"I52 Jet Impeller CW (STBD) NEW ")</f>
        <v xml:space="preserve">I52 Jet Impeller CW (STBD) NEW </v>
      </c>
    </row>
    <row r="500" spans="1:9">
      <c r="A500" s="106"/>
      <c r="B500" s="111"/>
      <c r="C500" s="111"/>
      <c r="D500" s="111"/>
      <c r="E500" s="111" t="str">
        <f ca="1">IFERROR(__xludf.DUMMYFUNCTION("""COMPUTED_VALUE"""),"5692-I52 Side Aluminium plate for heatpipes V1.1")</f>
        <v>5692-I52 Side Aluminium plate for heatpipes V1.1</v>
      </c>
      <c r="F500" s="111" t="str">
        <f ca="1">IFERROR(__xludf.DUMMYFUNCTION("""COMPUTED_VALUE"""),"FAB-MCN-5692HE-RLPLATE-V1.1")</f>
        <v>FAB-MCN-5692HE-RLPLATE-V1.1</v>
      </c>
      <c r="G500" s="111" t="str">
        <f ca="1">IFERROR(__xludf.DUMMYFUNCTION("""COMPUTED_VALUE"""),"18nos")</f>
        <v>18nos</v>
      </c>
      <c r="H500" t="str">
        <f ca="1">IFERROR(__xludf.DUMMYFUNCTION("""COMPUTED_VALUE"""),"I52 Jet Impeller CCW (PORT) OLD")</f>
        <v>I52 Jet Impeller CCW (PORT) OLD</v>
      </c>
    </row>
    <row r="501" spans="1:9">
      <c r="A501" s="106"/>
      <c r="B501" s="111"/>
      <c r="C501" s="111"/>
      <c r="D501" s="111"/>
      <c r="E501" s="111" t="str">
        <f ca="1">IFERROR(__xludf.DUMMYFUNCTION("""COMPUTED_VALUE"""),"Reverse Buketing side plates")</f>
        <v>Reverse Buketing side plates</v>
      </c>
      <c r="F501" s="111" t="str">
        <f ca="1">IFERROR(__xludf.DUMMYFUNCTION("""COMPUTED_VALUE"""),"Not Needed")</f>
        <v>Not Needed</v>
      </c>
      <c r="G501" s="111"/>
      <c r="H501" t="str">
        <f ca="1">IFERROR(__xludf.DUMMYFUNCTION("""COMPUTED_VALUE"""),"I52 Impeller Shaft")</f>
        <v>I52 Impeller Shaft</v>
      </c>
    </row>
    <row r="502" spans="1:9">
      <c r="A502" s="106"/>
      <c r="B502" s="111"/>
      <c r="C502" s="111"/>
      <c r="D502" s="111"/>
      <c r="E502" s="111" t="str">
        <f ca="1">IFERROR(__xludf.DUMMYFUNCTION("""COMPUTED_VALUE"""),"Aluminium Sheet 2mm thick 4ftx2ft")</f>
        <v>Aluminium Sheet 2mm thick 4ftx2ft</v>
      </c>
      <c r="F502" s="111" t="str">
        <f ca="1">IFERROR(__xludf.DUMMYFUNCTION("""COMPUTED_VALUE"""),"Not Needed")</f>
        <v>Not Needed</v>
      </c>
      <c r="G502" s="111"/>
      <c r="H502" t="str">
        <f ca="1">IFERROR(__xludf.DUMMYFUNCTION("""COMPUTED_VALUE"""),"I52 Shaft with Teflon Bush 7mm")</f>
        <v>I52 Shaft with Teflon Bush 7mm</v>
      </c>
    </row>
    <row r="503" spans="1:9">
      <c r="A503" s="106"/>
      <c r="B503" s="111"/>
      <c r="C503" s="111"/>
      <c r="D503" s="111"/>
      <c r="E503" s="111" t="str">
        <f ca="1">IFERROR(__xludf.DUMMYFUNCTION("""COMPUTED_VALUE"""),"Heat condensor/Jet Heat Sink")</f>
        <v>Heat condensor/Jet Heat Sink</v>
      </c>
      <c r="F503" s="111" t="str">
        <f ca="1">IFERROR(__xludf.DUMMYFUNCTION("""COMPUTED_VALUE"""),"Not Needed")</f>
        <v>Not Needed</v>
      </c>
      <c r="G503" s="111"/>
      <c r="H503" t="str">
        <f ca="1">IFERROR(__xludf.DUMMYFUNCTION("""COMPUTED_VALUE"""),"Self Aligning Bearing IJK-108")</f>
        <v>Self Aligning Bearing IJK-108</v>
      </c>
      <c r="I503" t="str">
        <f ca="1">IFERROR(__xludf.DUMMYFUNCTION("""COMPUTED_VALUE"""),"MAC-BEARING-IJK108")</f>
        <v>MAC-BEARING-IJK108</v>
      </c>
    </row>
    <row r="504" spans="1:9">
      <c r="A504" s="106"/>
      <c r="B504" s="111"/>
      <c r="C504" s="111"/>
      <c r="D504" s="111"/>
      <c r="E504" s="111" t="str">
        <f ca="1">IFERROR(__xludf.DUMMYFUNCTION("""COMPUTED_VALUE"""),"Jet Heat Sink LHS 1 Thermosyphens (only for repair)")</f>
        <v>Jet Heat Sink LHS 1 Thermosyphens (only for repair)</v>
      </c>
      <c r="F504" s="111" t="str">
        <f ca="1">IFERROR(__xludf.DUMMYFUNCTION("""COMPUTED_VALUE"""),"Not Needed")</f>
        <v>Not Needed</v>
      </c>
      <c r="G504" s="111"/>
      <c r="H504" t="str">
        <f ca="1">IFERROR(__xludf.DUMMYFUNCTION("""COMPUTED_VALUE"""),"Jet S52 - Aluminium Spacer No. 1 (0.9mm)")</f>
        <v>Jet S52 - Aluminium Spacer No. 1 (0.9mm)</v>
      </c>
      <c r="I504" t="str">
        <f ca="1">IFERROR(__xludf.DUMMYFUNCTION("""COMPUTED_VALUE"""),"FAB-MCN-S52-SPACER09")</f>
        <v>FAB-MCN-S52-SPACER09</v>
      </c>
    </row>
    <row r="505" spans="1:9">
      <c r="A505" s="106"/>
      <c r="B505" s="111"/>
      <c r="C505" s="111"/>
      <c r="D505" s="111"/>
      <c r="E505" s="111" t="str">
        <f ca="1">IFERROR(__xludf.DUMMYFUNCTION("""COMPUTED_VALUE"""),"Jet Heat Sink LHS 2 Thermosyphens (only for repair)")</f>
        <v>Jet Heat Sink LHS 2 Thermosyphens (only for repair)</v>
      </c>
      <c r="F505" s="111" t="str">
        <f ca="1">IFERROR(__xludf.DUMMYFUNCTION("""COMPUTED_VALUE"""),"Not Needed")</f>
        <v>Not Needed</v>
      </c>
      <c r="G505" s="111"/>
      <c r="H505" t="str">
        <f ca="1">IFERROR(__xludf.DUMMYFUNCTION("""COMPUTED_VALUE"""),"Jet S52 - Aluminium Greasing Spacer")</f>
        <v>Jet S52 - Aluminium Greasing Spacer</v>
      </c>
      <c r="I505" t="str">
        <f ca="1">IFERROR(__xludf.DUMMYFUNCTION("""COMPUTED_VALUE"""),"FAB-MCN-S52-SPACERMID")</f>
        <v>FAB-MCN-S52-SPACERMID</v>
      </c>
    </row>
    <row r="506" spans="1:9">
      <c r="A506" s="106"/>
      <c r="B506" s="111"/>
      <c r="C506" s="111"/>
      <c r="D506" s="111"/>
      <c r="E506" s="111" t="str">
        <f ca="1">IFERROR(__xludf.DUMMYFUNCTION("""COMPUTED_VALUE"""),"Jet Heat Sink RHS 1Thermosyphens (only for repair)")</f>
        <v>Jet Heat Sink RHS 1Thermosyphens (only for repair)</v>
      </c>
      <c r="F506" s="111" t="str">
        <f ca="1">IFERROR(__xludf.DUMMYFUNCTION("""COMPUTED_VALUE"""),"Not Needed")</f>
        <v>Not Needed</v>
      </c>
      <c r="G506" s="111"/>
      <c r="H506" t="str">
        <f ca="1">IFERROR(__xludf.DUMMYFUNCTION("""COMPUTED_VALUE"""),"Jet S52 - Aluminium Spacer No. 2 (5.5mm)")</f>
        <v>Jet S52 - Aluminium Spacer No. 2 (5.5mm)</v>
      </c>
      <c r="I506" t="str">
        <f ca="1">IFERROR(__xludf.DUMMYFUNCTION("""COMPUTED_VALUE"""),"FAB-MCN-S52-SPACER5.5")</f>
        <v>FAB-MCN-S52-SPACER5.5</v>
      </c>
    </row>
    <row r="507" spans="1:9">
      <c r="A507" s="106"/>
      <c r="B507" s="111"/>
      <c r="C507" s="111"/>
      <c r="D507" s="111"/>
      <c r="E507" s="111" t="str">
        <f ca="1">IFERROR(__xludf.DUMMYFUNCTION("""COMPUTED_VALUE"""),"Jet Heat Sink RHS 2 Thermosyphens (only for repair)")</f>
        <v>Jet Heat Sink RHS 2 Thermosyphens (only for repair)</v>
      </c>
      <c r="F507" s="111" t="str">
        <f ca="1">IFERROR(__xludf.DUMMYFUNCTION("""COMPUTED_VALUE"""),"Not Needed")</f>
        <v>Not Needed</v>
      </c>
      <c r="G507" s="111"/>
      <c r="H507" t="str">
        <f ca="1">IFERROR(__xludf.DUMMYFUNCTION("""COMPUTED_VALUE"""),"Oil Seal Jet 10-18-6")</f>
        <v>Oil Seal Jet 10-18-6</v>
      </c>
      <c r="I507" t="str">
        <f ca="1">IFERROR(__xludf.DUMMYFUNCTION("""COMPUTED_VALUE"""),"MAC-OILSEAS-10-18-6")</f>
        <v>MAC-OILSEAS-10-18-6</v>
      </c>
    </row>
    <row r="508" spans="1:9">
      <c r="A508" s="106"/>
      <c r="B508" s="111"/>
      <c r="C508" s="111"/>
      <c r="D508" s="111"/>
      <c r="E508" s="111" t="str">
        <f ca="1">IFERROR(__xludf.DUMMYFUNCTION("""COMPUTED_VALUE"""),"Jet S52 Copper HeatPipes (only for repair)")</f>
        <v>Jet S52 Copper HeatPipes (only for repair)</v>
      </c>
      <c r="F508" s="111" t="str">
        <f ca="1">IFERROR(__xludf.DUMMYFUNCTION("""COMPUTED_VALUE"""),"Not Needed")</f>
        <v>Not Needed</v>
      </c>
      <c r="G508" s="111"/>
      <c r="H508" t="str">
        <f ca="1">IFERROR(__xludf.DUMMYFUNCTION("""COMPUTED_VALUE"""),"Oil Seal Stator 7-16-5")</f>
        <v>Oil Seal Stator 7-16-5</v>
      </c>
      <c r="I508" t="str">
        <f ca="1">IFERROR(__xludf.DUMMYFUNCTION("""COMPUTED_VALUE"""),"MAC-OILSEAS-7-16-5")</f>
        <v>MAC-OILSEAS-7-16-5</v>
      </c>
    </row>
    <row r="509" spans="1:9">
      <c r="A509" s="106"/>
      <c r="B509" s="111"/>
      <c r="C509" s="111"/>
      <c r="D509" s="111"/>
      <c r="E509" s="111" t="str">
        <f ca="1">IFERROR(__xludf.DUMMYFUNCTION("""COMPUTED_VALUE"""),"Hot Glue stick 11mm")</f>
        <v>Hot Glue stick 11mm</v>
      </c>
      <c r="F509" s="111" t="str">
        <f ca="1">IFERROR(__xludf.DUMMYFUNCTION("""COMPUTED_VALUE"""),"nu`")</f>
        <v>nu`</v>
      </c>
      <c r="G509" s="111"/>
      <c r="H509" t="str">
        <f ca="1">IFERROR(__xludf.DUMMYFUNCTION("""COMPUTED_VALUE"""),"Jet S52 - Teflon Bush 7mm")</f>
        <v>Jet S52 - Teflon Bush 7mm</v>
      </c>
      <c r="I509" t="str">
        <f ca="1">IFERROR(__xludf.DUMMYFUNCTION("""COMPUTED_VALUE"""),"FAB-MCN-S52-TFLN-12M7M")</f>
        <v>FAB-MCN-S52-TFLN-12M7M</v>
      </c>
    </row>
    <row r="510" spans="1:9">
      <c r="A510" s="106"/>
      <c r="B510" s="111"/>
      <c r="C510" s="111"/>
      <c r="D510" s="111"/>
      <c r="E510" s="111" t="str">
        <f ca="1">IFERROR(__xludf.DUMMYFUNCTION("""COMPUTED_VALUE"""),"Copper heatpipes 230mm Straight for I52_5692")</f>
        <v>Copper heatpipes 230mm Straight for I52_5692</v>
      </c>
      <c r="F510" s="111" t="str">
        <f ca="1">IFERROR(__xludf.DUMMYFUNCTION("""COMPUTED_VALUE"""),"FAB-MCN-CU-I52-5692-10MM230MM")</f>
        <v>FAB-MCN-CU-I52-5692-10MM230MM</v>
      </c>
      <c r="G510" s="111"/>
      <c r="H510" t="str">
        <f ca="1">IFERROR(__xludf.DUMMYFUNCTION("""COMPUTED_VALUE"""),"Jet I52 &amp; S52 - Teflon Bush 6mm")</f>
        <v>Jet I52 &amp; S52 - Teflon Bush 6mm</v>
      </c>
      <c r="I510" t="str">
        <f ca="1">IFERROR(__xludf.DUMMYFUNCTION("""COMPUTED_VALUE"""),"FAB-MCN-S52-TFLN-12M6M")</f>
        <v>FAB-MCN-S52-TFLN-12M6M</v>
      </c>
    </row>
    <row r="511" spans="1:9">
      <c r="A511" s="106"/>
      <c r="B511" s="111"/>
      <c r="C511" s="111"/>
      <c r="D511" s="111"/>
      <c r="E511" s="111" t="str">
        <f ca="1">IFERROR(__xludf.DUMMYFUNCTION("""COMPUTED_VALUE"""),"STBD Aft Plate Aluminium")</f>
        <v>STBD Aft Plate Aluminium</v>
      </c>
      <c r="F511" s="111" t="str">
        <f ca="1">IFERROR(__xludf.DUMMYFUNCTION("""COMPUTED_VALUE"""),"FAB-MCN-SAFT-SSLIFE-AL")</f>
        <v>FAB-MCN-SAFT-SSLIFE-AL</v>
      </c>
      <c r="G511" s="111"/>
      <c r="H511" t="str">
        <f ca="1">IFERROR(__xludf.DUMMYFUNCTION("""COMPUTED_VALUE"""),"Circlip Stator 17mm")</f>
        <v>Circlip Stator 17mm</v>
      </c>
      <c r="I511" t="str">
        <f ca="1">IFERROR(__xludf.DUMMYFUNCTION("""COMPUTED_VALUE"""),"MAC-CIRCLIP-18MM-SS")</f>
        <v>MAC-CIRCLIP-18MM-SS</v>
      </c>
    </row>
    <row r="512" spans="1:9">
      <c r="A512" s="106"/>
      <c r="B512" s="111"/>
      <c r="C512" s="111"/>
      <c r="D512" s="111"/>
      <c r="E512" s="111" t="str">
        <f ca="1">IFERROR(__xludf.DUMMYFUNCTION("""COMPUTED_VALUE"""),"PORT Aft Plate Aluminium")</f>
        <v>PORT Aft Plate Aluminium</v>
      </c>
      <c r="F512" s="111" t="str">
        <f ca="1">IFERROR(__xludf.DUMMYFUNCTION("""COMPUTED_VALUE"""),"FAB-MCN-PAFT-SSLIFE-AL")</f>
        <v>FAB-MCN-PAFT-SSLIFE-AL</v>
      </c>
      <c r="G512" s="111"/>
      <c r="H512" t="str">
        <f ca="1">IFERROR(__xludf.DUMMYFUNCTION("""COMPUTED_VALUE"""),"Circlip Jet 22mm")</f>
        <v>Circlip Jet 22mm</v>
      </c>
      <c r="I512" t="str">
        <f ca="1">IFERROR(__xludf.DUMMYFUNCTION("""COMPUTED_VALUE"""),"MAC-CIRCLIP-22MM-SS")</f>
        <v>MAC-CIRCLIP-22MM-SS</v>
      </c>
    </row>
    <row r="513" spans="1:9">
      <c r="A513" s="106"/>
      <c r="B513" s="111"/>
      <c r="C513" s="111"/>
      <c r="D513" s="111"/>
      <c r="E513" s="111" t="str">
        <f ca="1">IFERROR(__xludf.DUMMYFUNCTION("""COMPUTED_VALUE"""),"BPSPLB - Aft Plate - STBD IM")</f>
        <v>BPSPLB - Aft Plate - STBD IM</v>
      </c>
      <c r="F513" s="111" t="str">
        <f ca="1">IFERROR(__xludf.DUMMYFUNCTION("""COMPUTED_VALUE"""),"FAB-IJM-SAFT-SSLIFE")</f>
        <v>FAB-IJM-SAFT-SSLIFE</v>
      </c>
      <c r="G513" s="111"/>
      <c r="H513" t="str">
        <f ca="1">IFERROR(__xludf.DUMMYFUNCTION("""COMPUTED_VALUE"""),"Jet S52 - Water Jet Bare Body Aluminium Casting Ver1.0")</f>
        <v>Jet S52 - Water Jet Bare Body Aluminium Casting Ver1.0</v>
      </c>
      <c r="I513" t="str">
        <f ca="1">IFERROR(__xludf.DUMMYFUNCTION("""COMPUTED_VALUE"""),"FAB-CST-S52-V1.0")</f>
        <v>FAB-CST-S52-V1.0</v>
      </c>
    </row>
    <row r="514" spans="1:9">
      <c r="A514" s="106"/>
      <c r="B514" s="111"/>
      <c r="C514" s="111"/>
      <c r="D514" s="111"/>
      <c r="E514" s="111" t="str">
        <f ca="1">IFERROR(__xludf.DUMMYFUNCTION("""COMPUTED_VALUE"""),"BPSPLB - Aft Plate - PORT IM")</f>
        <v>BPSPLB - Aft Plate - PORT IM</v>
      </c>
      <c r="F514" s="111" t="str">
        <f ca="1">IFERROR(__xludf.DUMMYFUNCTION("""COMPUTED_VALUE"""),"FAB-IJM-PAFT-SSLIFE")</f>
        <v>FAB-IJM-PAFT-SSLIFE</v>
      </c>
      <c r="G514" s="111"/>
      <c r="H514" t="str">
        <f ca="1">IFERROR(__xludf.DUMMYFUNCTION("""COMPUTED_VALUE"""),"Jet I52 - Int. Water Jet Bare Body Aluminium Heat Sand Casting Ver1.0")</f>
        <v>Jet I52 - Int. Water Jet Bare Body Aluminium Heat Sand Casting Ver1.0</v>
      </c>
      <c r="I514" t="str">
        <f ca="1">IFERROR(__xludf.DUMMYFUNCTION("""COMPUTED_VALUE"""),"FAB-CST-INT-I52-V1.0")</f>
        <v>FAB-CST-INT-I52-V1.0</v>
      </c>
    </row>
    <row r="515" spans="1:9">
      <c r="A515" s="106"/>
      <c r="B515" s="111"/>
      <c r="C515" s="111"/>
      <c r="D515" s="111"/>
      <c r="E515" s="111" t="str">
        <f ca="1">IFERROR(__xludf.DUMMYFUNCTION("""COMPUTED_VALUE"""),"BPSPLB - Self Righting Pillow Caps 3D Printed")</f>
        <v>BPSPLB - Self Righting Pillow Caps 3D Printed</v>
      </c>
      <c r="F515" s="111" t="str">
        <f ca="1">IFERROR(__xludf.DUMMYFUNCTION("""COMPUTED_VALUE"""),"FAB-3DP-PILCAP-SSLIFE")</f>
        <v>FAB-3DP-PILCAP-SSLIFE</v>
      </c>
      <c r="G515" s="111"/>
      <c r="H515" t="str">
        <f ca="1">IFERROR(__xludf.DUMMYFUNCTION("""COMPUTED_VALUE"""),"Jet I52 - Int. Water Jet Bare Body Aluminium Heat Gravity Die Casting Ver1.1")</f>
        <v>Jet I52 - Int. Water Jet Bare Body Aluminium Heat Gravity Die Casting Ver1.1</v>
      </c>
      <c r="I515" t="str">
        <f ca="1">IFERROR(__xludf.DUMMYFUNCTION("""COMPUTED_VALUE"""),"FAB-CST-INT-I52-V1.1")</f>
        <v>FAB-CST-INT-I52-V1.1</v>
      </c>
    </row>
    <row r="516" spans="1:9">
      <c r="A516" s="106"/>
      <c r="B516" s="111"/>
      <c r="C516" s="111"/>
      <c r="D516" s="111"/>
      <c r="E516" s="111" t="str">
        <f ca="1">IFERROR(__xludf.DUMMYFUNCTION("""COMPUTED_VALUE"""),"3D printed bottom block caps")</f>
        <v>3D printed bottom block caps</v>
      </c>
      <c r="F516" s="111"/>
      <c r="G516" s="111"/>
      <c r="H516" t="str">
        <f ca="1">IFERROR(__xludf.DUMMYFUNCTION("""COMPUTED_VALUE"""),"Jet I52-Int. Water Jet Gravity Die Casting Mould")</f>
        <v>Jet I52-Int. Water Jet Gravity Die Casting Mould</v>
      </c>
      <c r="I516" t="str">
        <f ca="1">IFERROR(__xludf.DUMMYFUNCTION("""COMPUTED_VALUE"""),"CPTL-MLD-GDC-FAB-CST-INT-I52-V1.1")</f>
        <v>CPTL-MLD-GDC-FAB-CST-INT-I52-V1.1</v>
      </c>
    </row>
    <row r="517" spans="1:9">
      <c r="A517" s="106"/>
      <c r="B517" s="111"/>
      <c r="C517" s="111"/>
      <c r="D517" s="111"/>
      <c r="E517" s="111" t="str">
        <f ca="1">IFERROR(__xludf.DUMMYFUNCTION("""COMPUTED_VALUE"""),"Button spacer No. 1/1 3D Print")</f>
        <v>Button spacer No. 1/1 3D Print</v>
      </c>
      <c r="F517" s="111"/>
      <c r="G517" s="111"/>
      <c r="H517" t="str">
        <f ca="1">IFERROR(__xludf.DUMMYFUNCTION("""COMPUTED_VALUE"""),"Jet I52 - Int. Water Jet machined Aluminium Heat Sand Casting Ver1.0")</f>
        <v>Jet I52 - Int. Water Jet machined Aluminium Heat Sand Casting Ver1.0</v>
      </c>
      <c r="I517" t="str">
        <f ca="1">IFERROR(__xludf.DUMMYFUNCTION("""COMPUTED_VALUE"""),"FAB-MCN-INT-I52-V1.0")</f>
        <v>FAB-MCN-INT-I52-V1.0</v>
      </c>
    </row>
    <row r="518" spans="1:9">
      <c r="A518" s="106"/>
      <c r="B518" s="111"/>
      <c r="C518" s="111"/>
      <c r="D518" s="111"/>
      <c r="E518" s="111" t="str">
        <f ca="1">IFERROR(__xludf.DUMMYFUNCTION("""COMPUTED_VALUE"""),"Button Spacer No. 1/2 3D Print")</f>
        <v>Button Spacer No. 1/2 3D Print</v>
      </c>
      <c r="F518" s="111"/>
      <c r="G518" s="111"/>
      <c r="H518" t="str">
        <f ca="1">IFERROR(__xludf.DUMMYFUNCTION("""COMPUTED_VALUE"""),"Jet I52 - Int. Water Jet machined Aluminium Heat Gravity Die Casting Ver1.1")</f>
        <v>Jet I52 - Int. Water Jet machined Aluminium Heat Gravity Die Casting Ver1.1</v>
      </c>
      <c r="I518" t="str">
        <f ca="1">IFERROR(__xludf.DUMMYFUNCTION("""COMPUTED_VALUE"""),"FAB-MCN-INT-I52-V1.1")</f>
        <v>FAB-MCN-INT-I52-V1.1</v>
      </c>
    </row>
    <row r="519" spans="1:9">
      <c r="A519" s="106"/>
      <c r="B519" s="111"/>
      <c r="C519" s="111"/>
      <c r="D519" s="111"/>
      <c r="E519" s="111" t="str">
        <f ca="1">IFERROR(__xludf.DUMMYFUNCTION("""COMPUTED_VALUE"""),"Button Spacer No. 2 3D Print")</f>
        <v>Button Spacer No. 2 3D Print</v>
      </c>
      <c r="F519" s="111"/>
      <c r="G519" s="111"/>
      <c r="H519" t="str">
        <f ca="1">IFERROR(__xludf.DUMMYFUNCTION("""COMPUTED_VALUE"""),"Jet I52- Int.Water Jet Machined Fixture Leak testing")</f>
        <v>Jet I52- Int.Water Jet Machined Fixture Leak testing</v>
      </c>
      <c r="I519" t="str">
        <f ca="1">IFERROR(__xludf.DUMMYFUNCTION("""COMPUTED_VALUE"""),"CPTL-FIX-LEK-FAB-MCN-INT-I52-V1.1")</f>
        <v>CPTL-FIX-LEK-FAB-MCN-INT-I52-V1.1</v>
      </c>
    </row>
    <row r="520" spans="1:9">
      <c r="A520" s="106"/>
      <c r="B520" s="111"/>
      <c r="C520" s="111"/>
      <c r="D520" s="111"/>
      <c r="E520" s="111" t="str">
        <f ca="1">IFERROR(__xludf.DUMMYFUNCTION("""COMPUTED_VALUE"""),"Remote - Button No. 1 Pressure Bracket 3D Print")</f>
        <v>Remote - Button No. 1 Pressure Bracket 3D Print</v>
      </c>
      <c r="F520" s="111" t="str">
        <f ca="1">IFERROR(__xludf.DUMMYFUNCTION("""COMPUTED_VALUE"""),"FAB-3DP-QX7-PRES-BRAC")</f>
        <v>FAB-3DP-QX7-PRES-BRAC</v>
      </c>
      <c r="G520" s="111"/>
      <c r="H520" t="str">
        <f ca="1">IFERROR(__xludf.DUMMYFUNCTION("""COMPUTED_VALUE"""),"Jet I52 - Int. Water Jet Machined Leak Test")</f>
        <v>Jet I52 - Int. Water Jet Machined Leak Test</v>
      </c>
      <c r="I520" t="str">
        <f ca="1">IFERROR(__xludf.DUMMYFUNCTION("""COMPUTED_VALUE"""),"FAB-LEK-INT-I52-V1.1")</f>
        <v>FAB-LEK-INT-I52-V1.1</v>
      </c>
    </row>
    <row r="521" spans="1:9">
      <c r="A521" s="106"/>
      <c r="B521" s="111"/>
      <c r="C521" s="111"/>
      <c r="D521" s="111"/>
      <c r="E521" s="111" t="str">
        <f ca="1">IFERROR(__xludf.DUMMYFUNCTION("""COMPUTED_VALUE"""),"Remote - Battery Holding Bracket 3D Print")</f>
        <v>Remote - Battery Holding Bracket 3D Print</v>
      </c>
      <c r="F521" s="111" t="str">
        <f ca="1">IFERROR(__xludf.DUMMYFUNCTION("""COMPUTED_VALUE"""),"FAB-3DP-QX7-BAT-BRAC")</f>
        <v>FAB-3DP-QX7-BAT-BRAC</v>
      </c>
      <c r="G521" s="111"/>
      <c r="H521" t="str">
        <f ca="1">IFERROR(__xludf.DUMMYFUNCTION("""COMPUTED_VALUE"""),"Jet I52-Int. Water Jet Machined Fixture Dimensional Check")</f>
        <v>Jet I52-Int. Water Jet Machined Fixture Dimensional Check</v>
      </c>
      <c r="I521" t="str">
        <f ca="1">IFERROR(__xludf.DUMMYFUNCTION("""COMPUTED_VALUE"""),"CPTL-FIX-DIMS-FAB-MCN-INT-I52-V1.1")</f>
        <v>CPTL-FIX-DIMS-FAB-MCN-INT-I52-V1.1</v>
      </c>
    </row>
    <row r="522" spans="1:9">
      <c r="A522" s="106"/>
      <c r="B522" s="111"/>
      <c r="C522" s="111"/>
      <c r="D522" s="111"/>
      <c r="E522" s="111" t="str">
        <f ca="1">IFERROR(__xludf.DUMMYFUNCTION("""COMPUTED_VALUE"""),"Craft Battery Holding Bracket 3D Print")</f>
        <v>Craft Battery Holding Bracket 3D Print</v>
      </c>
      <c r="F522" s="111"/>
      <c r="G522" s="111"/>
      <c r="H522" t="str">
        <f ca="1">IFERROR(__xludf.DUMMYFUNCTION("""COMPUTED_VALUE"""),"ESC - J52-5692-Mounting Plate on Motor Ver1.0")</f>
        <v>ESC - J52-5692-Mounting Plate on Motor Ver1.0</v>
      </c>
      <c r="I522" t="str">
        <f ca="1">IFERROR(__xludf.DUMMYFUNCTION("""COMPUTED_VALUE"""),"FAB-MCN-ESC-S52-5692-PLATEM")</f>
        <v>FAB-MCN-ESC-S52-5692-PLATEM</v>
      </c>
    </row>
    <row r="523" spans="1:9">
      <c r="A523" s="106"/>
      <c r="B523" s="111"/>
      <c r="C523" s="111"/>
      <c r="D523" s="111"/>
      <c r="E523" s="111" t="str">
        <f ca="1">IFERROR(__xludf.DUMMYFUNCTION("""COMPUTED_VALUE"""),"Remote - Straps Lanyard")</f>
        <v>Remote - Straps Lanyard</v>
      </c>
      <c r="F523" s="111" t="str">
        <f ca="1">IFERROR(__xludf.DUMMYFUNCTION("""COMPUTED_VALUE"""),"FAB-STC-QX7-STRAP")</f>
        <v>FAB-STC-QX7-STRAP</v>
      </c>
      <c r="G523" s="111"/>
      <c r="H523" t="str">
        <f ca="1">IFERROR(__xludf.DUMMYFUNCTION("""COMPUTED_VALUE"""),"ESC - I52-5692-Mounting Plate on Motor Ver1.1")</f>
        <v>ESC - I52-5692-Mounting Plate on Motor Ver1.1</v>
      </c>
      <c r="I523" t="str">
        <f ca="1">IFERROR(__xludf.DUMMYFUNCTION("""COMPUTED_VALUE"""),"FAB-MCN-ESC-I52-5692-PLATEM")</f>
        <v>FAB-MCN-ESC-I52-5692-PLATEM</v>
      </c>
    </row>
    <row r="524" spans="1:9">
      <c r="A524" s="106"/>
      <c r="B524" s="111"/>
      <c r="C524" s="111"/>
      <c r="D524" s="111"/>
      <c r="E524" s="111" t="str">
        <f ca="1">IFERROR(__xludf.DUMMYFUNCTION("""COMPUTED_VALUE"""),"Remote Strap Holder")</f>
        <v>Remote Strap Holder</v>
      </c>
      <c r="F524" s="111"/>
      <c r="G524" s="111"/>
      <c r="H524" t="str">
        <f ca="1">IFERROR(__xludf.DUMMYFUNCTION("""COMPUTED_VALUE"""),"Jet S52 - Aluminium Mounting Plate Base Plate Ver1.0")</f>
        <v>Jet S52 - Aluminium Mounting Plate Base Plate Ver1.0</v>
      </c>
      <c r="I524" t="str">
        <f ca="1">IFERROR(__xludf.DUMMYFUNCTION("""COMPUTED_VALUE"""),"FAB-MCN-S52V1-PLATEM-V1.0")</f>
        <v>FAB-MCN-S52V1-PLATEM-V1.0</v>
      </c>
    </row>
    <row r="525" spans="1:9">
      <c r="A525" s="106"/>
      <c r="B525" s="111"/>
      <c r="C525" s="111"/>
      <c r="D525" s="111"/>
      <c r="E525" s="111" t="str">
        <f ca="1">IFERROR(__xludf.DUMMYFUNCTION("""COMPUTED_VALUE"""),"Joystick Screws")</f>
        <v>Joystick Screws</v>
      </c>
      <c r="F525" s="111"/>
      <c r="G525" s="111"/>
      <c r="H525" t="str">
        <f ca="1">IFERROR(__xludf.DUMMYFUNCTION("""COMPUTED_VALUE"""),"Jet washers")</f>
        <v>Jet washers</v>
      </c>
    </row>
    <row r="526" spans="1:9">
      <c r="A526" s="106"/>
      <c r="B526" s="111"/>
      <c r="C526" s="111"/>
      <c r="D526" s="111"/>
      <c r="E526" s="111" t="str">
        <f ca="1">IFERROR(__xludf.DUMMYFUNCTION("""COMPUTED_VALUE"""),"LCD Screen")</f>
        <v>LCD Screen</v>
      </c>
      <c r="F526" s="111"/>
      <c r="G526" s="111"/>
      <c r="H526" t="str">
        <f ca="1">IFERROR(__xludf.DUMMYFUNCTION("""COMPUTED_VALUE"""),"Jet I52 - FRP Mounting Base Plate Ver1.0")</f>
        <v>Jet I52 - FRP Mounting Base Plate Ver1.0</v>
      </c>
      <c r="I526" t="str">
        <f ca="1">IFERROR(__xludf.DUMMYFUNCTION("""COMPUTED_VALUE"""),"FAB-MCN-I52V1-PLATEF-V1.0")</f>
        <v>FAB-MCN-I52V1-PLATEF-V1.0</v>
      </c>
    </row>
    <row r="527" spans="1:9">
      <c r="A527" s="106"/>
      <c r="B527" s="111"/>
      <c r="C527" s="111"/>
      <c r="D527" s="111"/>
      <c r="E527" s="111" t="str">
        <f ca="1">IFERROR(__xludf.DUMMYFUNCTION("""COMPUTED_VALUE"""),"Remote - Antenna clamp -1 3D Print")</f>
        <v>Remote - Antenna clamp -1 3D Print</v>
      </c>
      <c r="F527" s="111" t="str">
        <f ca="1">IFERROR(__xludf.DUMMYFUNCTION("""COMPUTED_VALUE"""),"FAB-3DP-QX7-ANT-CLMP1")</f>
        <v>FAB-3DP-QX7-ANT-CLMP1</v>
      </c>
      <c r="G527" s="111"/>
      <c r="H527" t="str">
        <f ca="1">IFERROR(__xludf.DUMMYFUNCTION("""COMPUTED_VALUE"""),"5692-S52 Motor Mount Heatblock TOP Ver1.0 ")</f>
        <v xml:space="preserve">5692-S52 Motor Mount Heatblock TOP Ver1.0 </v>
      </c>
      <c r="I527" t="str">
        <f ca="1">IFERROR(__xludf.DUMMYFUNCTION("""COMPUTED_VALUE"""),"FAB-MCN-5692HE-S52-TMOUNT-V1.0")</f>
        <v>FAB-MCN-5692HE-S52-TMOUNT-V1.0</v>
      </c>
    </row>
    <row r="528" spans="1:9">
      <c r="A528" s="106"/>
      <c r="B528" s="111"/>
      <c r="C528" s="111"/>
      <c r="D528" s="111"/>
      <c r="E528" s="111" t="str">
        <f ca="1">IFERROR(__xludf.DUMMYFUNCTION("""COMPUTED_VALUE"""),"Remote - Antenna Clamp -2 3D Print")</f>
        <v>Remote - Antenna Clamp -2 3D Print</v>
      </c>
      <c r="F528" s="111" t="str">
        <f ca="1">IFERROR(__xludf.DUMMYFUNCTION("""COMPUTED_VALUE"""),"FAB-3DP-QX7-ANT-CLMP2")</f>
        <v>FAB-3DP-QX7-ANT-CLMP2</v>
      </c>
      <c r="G528" s="111"/>
      <c r="H528" t="str">
        <f ca="1">IFERROR(__xludf.DUMMYFUNCTION("""COMPUTED_VALUE"""),"5692-I52 Motor Mount Heatblock TOP Ver1.1 Integrated Jet")</f>
        <v>5692-I52 Motor Mount Heatblock TOP Ver1.1 Integrated Jet</v>
      </c>
      <c r="I528" t="str">
        <f ca="1">IFERROR(__xludf.DUMMYFUNCTION("""COMPUTED_VALUE"""),"FAB-MCN-5692HE-I52-TMOUNT-V1.1")</f>
        <v>FAB-MCN-5692HE-I52-TMOUNT-V1.1</v>
      </c>
    </row>
    <row r="529" spans="1:10">
      <c r="A529" s="106"/>
      <c r="B529" s="111"/>
      <c r="C529" s="111"/>
      <c r="D529" s="111"/>
      <c r="E529" s="111" t="str">
        <f ca="1">IFERROR(__xludf.DUMMYFUNCTION("""COMPUTED_VALUE"""),"Remote - LCD Holder Bracket 3D Print")</f>
        <v>Remote - LCD Holder Bracket 3D Print</v>
      </c>
      <c r="F529" s="111" t="str">
        <f ca="1">IFERROR(__xludf.DUMMYFUNCTION("""COMPUTED_VALUE"""),"FAB-3DP-QX7-LCD-HOLD")</f>
        <v>FAB-3DP-QX7-LCD-HOLD</v>
      </c>
      <c r="G529" s="111"/>
      <c r="H529" t="str">
        <f ca="1">IFERROR(__xludf.DUMMYFUNCTION("""COMPUTED_VALUE"""),"5692-S52 Motor mount heatblock BOTTOM Ver1.0")</f>
        <v>5692-S52 Motor mount heatblock BOTTOM Ver1.0</v>
      </c>
      <c r="I529" t="str">
        <f ca="1">IFERROR(__xludf.DUMMYFUNCTION("""COMPUTED_VALUE"""),"FAB-MCN-5692HE-S52-BMOUNT-V1.0")</f>
        <v>FAB-MCN-5692HE-S52-BMOUNT-V1.0</v>
      </c>
    </row>
    <row r="530" spans="1:10">
      <c r="A530" s="106"/>
      <c r="B530" s="111"/>
      <c r="C530" s="111"/>
      <c r="D530" s="111"/>
      <c r="E530" s="111" t="str">
        <f ca="1">IFERROR(__xludf.DUMMYFUNCTION("""COMPUTED_VALUE"""),"Charger - Panel Pillar Spacer 3D Print")</f>
        <v>Charger - Panel Pillar Spacer 3D Print</v>
      </c>
      <c r="F530" s="111" t="str">
        <f ca="1">IFERROR(__xludf.DUMMYFUNCTION("""COMPUTED_VALUE"""),"FAB-3DP-X16-EXT-PILLER")</f>
        <v>FAB-3DP-X16-EXT-PILLER</v>
      </c>
      <c r="G530" s="111"/>
      <c r="H530" t="str">
        <f ca="1">IFERROR(__xludf.DUMMYFUNCTION("""COMPUTED_VALUE"""),"5692-I52 Motor mount heatblock BOTTOM Ver1.1 Integrated Jet")</f>
        <v>5692-I52 Motor mount heatblock BOTTOM Ver1.1 Integrated Jet</v>
      </c>
      <c r="I530" t="str">
        <f ca="1">IFERROR(__xludf.DUMMYFUNCTION("""COMPUTED_VALUE"""),"FAB-MCN-5692HE-I52-BMOUNT-V1.1")</f>
        <v>FAB-MCN-5692HE-I52-BMOUNT-V1.1</v>
      </c>
    </row>
    <row r="531" spans="1:10">
      <c r="A531" s="106"/>
      <c r="B531" s="111"/>
      <c r="C531" s="111"/>
      <c r="D531" s="111"/>
      <c r="E531" s="111" t="str">
        <f ca="1">IFERROR(__xludf.DUMMYFUNCTION("""COMPUTED_VALUE"""),"Remote - IFU - Rotary Knob Box 3D Print")</f>
        <v>Remote - IFU - Rotary Knob Box 3D Print</v>
      </c>
      <c r="F531" s="111" t="str">
        <f ca="1">IFERROR(__xludf.DUMMYFUNCTION("""COMPUTED_VALUE"""),"FAB-3DP-IFU-KNOB")</f>
        <v>FAB-3DP-IFU-KNOB</v>
      </c>
      <c r="G531" s="111"/>
      <c r="H531" t="str">
        <f ca="1">IFERROR(__xludf.DUMMYFUNCTION("""COMPUTED_VALUE"""),"5692-I52 Motor mount heatblock Top/Bottom Ver1.1 Integrated Dimensional Fixture")</f>
        <v>5692-I52 Motor mount heatblock Top/Bottom Ver1.1 Integrated Dimensional Fixture</v>
      </c>
      <c r="I531" t="str">
        <f ca="1">IFERROR(__xludf.DUMMYFUNCTION("""COMPUTED_VALUE"""),"CPTL-FIX-DIMS-FAB-MCN-5692HE-I52-T/BMOUNT-V1.1")</f>
        <v>CPTL-FIX-DIMS-FAB-MCN-5692HE-I52-T/BMOUNT-V1.1</v>
      </c>
    </row>
    <row r="532" spans="1:10">
      <c r="A532" s="106"/>
      <c r="B532" s="111"/>
      <c r="C532" s="111"/>
      <c r="D532" s="111"/>
      <c r="E532" s="111" t="str">
        <f ca="1">IFERROR(__xludf.DUMMYFUNCTION("""COMPUTED_VALUE"""),"Remote - Rotary Encoder")</f>
        <v>Remote - Rotary Encoder</v>
      </c>
      <c r="F532" s="111" t="str">
        <f ca="1">IFERROR(__xludf.DUMMYFUNCTION("""COMPUTED_VALUE"""),"MOD-QX7-ENC")</f>
        <v>MOD-QX7-ENC</v>
      </c>
      <c r="G532" s="111"/>
      <c r="H532" t="str">
        <f ca="1">IFERROR(__xludf.DUMMYFUNCTION("""COMPUTED_VALUE"""),"Jet-I52 Top Aluminium plate for heatpipes V1.1")</f>
        <v>Jet-I52 Top Aluminium plate for heatpipes V1.1</v>
      </c>
      <c r="I532" t="str">
        <f ca="1">IFERROR(__xludf.DUMMYFUNCTION("""COMPUTED_VALUE"""),"FAB-MCN-I52-TPLATE-V1.1")</f>
        <v>FAB-MCN-I52-TPLATE-V1.1</v>
      </c>
      <c r="J532" t="str">
        <f ca="1">IFERROR(__xludf.DUMMYFUNCTION("""COMPUTED_VALUE"""),"4nos")</f>
        <v>4nos</v>
      </c>
    </row>
    <row r="533" spans="1:10">
      <c r="A533" s="106"/>
      <c r="B533" s="111"/>
      <c r="C533" s="111"/>
      <c r="D533" s="111"/>
      <c r="E533" s="111" t="str">
        <f ca="1">IFERROR(__xludf.DUMMYFUNCTION("""COMPUTED_VALUE"""),"Remote - IFU 3D Middle")</f>
        <v>Remote - IFU 3D Middle</v>
      </c>
      <c r="F533" s="111" t="str">
        <f ca="1">IFERROR(__xludf.DUMMYFUNCTION("""COMPUTED_VALUE"""),"FAB-3DP-IFU-MID")</f>
        <v>FAB-3DP-IFU-MID</v>
      </c>
      <c r="G533" s="111"/>
      <c r="H533" t="str">
        <f ca="1">IFERROR(__xludf.DUMMYFUNCTION("""COMPUTED_VALUE"""),"Jet-I52 Right side Aluminium plate for heatpipes V1.1")</f>
        <v>Jet-I52 Right side Aluminium plate for heatpipes V1.1</v>
      </c>
      <c r="I533" t="str">
        <f ca="1">IFERROR(__xludf.DUMMYFUNCTION("""COMPUTED_VALUE"""),"FAB-MCN-I52-RPLATE-V1.1")</f>
        <v>FAB-MCN-I52-RPLATE-V1.1</v>
      </c>
      <c r="J533" t="str">
        <f ca="1">IFERROR(__xludf.DUMMYFUNCTION("""COMPUTED_VALUE"""),"4nos")</f>
        <v>4nos</v>
      </c>
    </row>
    <row r="534" spans="1:10">
      <c r="A534" s="106"/>
      <c r="B534" s="111"/>
      <c r="C534" s="111"/>
      <c r="D534" s="111"/>
      <c r="E534" s="111" t="str">
        <f ca="1">IFERROR(__xludf.DUMMYFUNCTION("""COMPUTED_VALUE"""),"Remote - IFU Top")</f>
        <v>Remote - IFU Top</v>
      </c>
      <c r="F534" s="111" t="str">
        <f ca="1">IFERROR(__xludf.DUMMYFUNCTION("""COMPUTED_VALUE"""),"FAB-3DP-IFU-TOP")</f>
        <v>FAB-3DP-IFU-TOP</v>
      </c>
      <c r="G534" s="111"/>
      <c r="H534" t="str">
        <f ca="1">IFERROR(__xludf.DUMMYFUNCTION("""COMPUTED_VALUE"""),"Jet-I52 Left side Aluminium plate for heatpipes V1.1")</f>
        <v>Jet-I52 Left side Aluminium plate for heatpipes V1.1</v>
      </c>
      <c r="I534" t="str">
        <f ca="1">IFERROR(__xludf.DUMMYFUNCTION("""COMPUTED_VALUE"""),"FAB-MCN-I52-LPLATE-V1.1")</f>
        <v>FAB-MCN-I52-LPLATE-V1.1</v>
      </c>
      <c r="J534" t="str">
        <f ca="1">IFERROR(__xludf.DUMMYFUNCTION("""COMPUTED_VALUE"""),"4nos")</f>
        <v>4nos</v>
      </c>
    </row>
    <row r="535" spans="1:10">
      <c r="A535" s="106"/>
      <c r="B535" s="111"/>
      <c r="C535" s="111"/>
      <c r="D535" s="111"/>
      <c r="E535" s="111" t="str">
        <f ca="1">IFERROR(__xludf.DUMMYFUNCTION("""COMPUTED_VALUE"""),"Remote - IFU Bottom")</f>
        <v>Remote - IFU Bottom</v>
      </c>
      <c r="F535" s="111" t="str">
        <f ca="1">IFERROR(__xludf.DUMMYFUNCTION("""COMPUTED_VALUE"""),"FAB-3DP-IFU-BOTTOM")</f>
        <v>FAB-3DP-IFU-BOTTOM</v>
      </c>
      <c r="G535" s="111"/>
      <c r="H535" t="str">
        <f ca="1">IFERROR(__xludf.DUMMYFUNCTION("""COMPUTED_VALUE"""),"5692-I52 Side Aluminium plate for heatpipes V1.1")</f>
        <v>5692-I52 Side Aluminium plate for heatpipes V1.1</v>
      </c>
      <c r="I535" t="str">
        <f ca="1">IFERROR(__xludf.DUMMYFUNCTION("""COMPUTED_VALUE"""),"FAB-MCN-5692HE-RLPLATE-V1.1")</f>
        <v>FAB-MCN-5692HE-RLPLATE-V1.1</v>
      </c>
      <c r="J535" t="str">
        <f ca="1">IFERROR(__xludf.DUMMYFUNCTION("""COMPUTED_VALUE"""),"18nos")</f>
        <v>18nos</v>
      </c>
    </row>
    <row r="536" spans="1:10">
      <c r="A536" s="106"/>
      <c r="B536" s="111"/>
      <c r="C536" s="111"/>
      <c r="D536" s="111"/>
      <c r="E536" s="111" t="str">
        <f ca="1">IFERROR(__xludf.DUMMYFUNCTION("""COMPUTED_VALUE"""),"Motor 4092 ")</f>
        <v xml:space="preserve">Motor 4092 </v>
      </c>
      <c r="F536" s="111"/>
      <c r="G536" s="111"/>
      <c r="H536" t="str">
        <f ca="1">IFERROR(__xludf.DUMMYFUNCTION("""COMPUTED_VALUE"""),"Reverse Buketing side plates")</f>
        <v>Reverse Buketing side plates</v>
      </c>
      <c r="I536" t="str">
        <f ca="1">IFERROR(__xludf.DUMMYFUNCTION("""COMPUTED_VALUE"""),"Not Needed")</f>
        <v>Not Needed</v>
      </c>
    </row>
    <row r="537" spans="1:10">
      <c r="A537" s="106"/>
      <c r="B537" s="111"/>
      <c r="C537" s="111"/>
      <c r="D537" s="111"/>
      <c r="E537" s="111" t="str">
        <f ca="1">IFERROR(__xludf.DUMMYFUNCTION("""COMPUTED_VALUE"""),"4092 cooling jackets")</f>
        <v>4092 cooling jackets</v>
      </c>
      <c r="F537" s="111"/>
      <c r="G537" s="111"/>
      <c r="H537" t="str">
        <f ca="1">IFERROR(__xludf.DUMMYFUNCTION("""COMPUTED_VALUE"""),"Aluminium Sheet 2mm thick 4ftx2ft")</f>
        <v>Aluminium Sheet 2mm thick 4ftx2ft</v>
      </c>
      <c r="I537" t="str">
        <f ca="1">IFERROR(__xludf.DUMMYFUNCTION("""COMPUTED_VALUE"""),"Not Needed")</f>
        <v>Not Needed</v>
      </c>
    </row>
    <row r="538" spans="1:10">
      <c r="A538" s="106"/>
      <c r="B538" s="111"/>
      <c r="C538" s="111"/>
      <c r="D538" s="111"/>
      <c r="E538" s="111" t="str">
        <f ca="1">IFERROR(__xludf.DUMMYFUNCTION("""COMPUTED_VALUE"""),"Actuator - Motor 5692 495 KV")</f>
        <v>Actuator - Motor 5692 495 KV</v>
      </c>
      <c r="F538" s="111" t="str">
        <f ca="1">IFERROR(__xludf.DUMMYFUNCTION("""COMPUTED_VALUE"""),"ACT-MTR-5692KW3i5KV485LEO")</f>
        <v>ACT-MTR-5692KW3i5KV485LEO</v>
      </c>
      <c r="G538" s="111" t="str">
        <f ca="1">IFERROR(__xludf.DUMMYFUNCTION("""COMPUTED_VALUE"""),"5962 495KV")</f>
        <v>5962 495KV</v>
      </c>
      <c r="H538" t="str">
        <f ca="1">IFERROR(__xludf.DUMMYFUNCTION("""COMPUTED_VALUE"""),"Heat condensor/Jet Heat Sink")</f>
        <v>Heat condensor/Jet Heat Sink</v>
      </c>
      <c r="I538" t="str">
        <f ca="1">IFERROR(__xludf.DUMMYFUNCTION("""COMPUTED_VALUE"""),"Not Needed")</f>
        <v>Not Needed</v>
      </c>
    </row>
    <row r="539" spans="1:10">
      <c r="A539" s="106"/>
      <c r="B539" s="111"/>
      <c r="C539" s="111"/>
      <c r="D539" s="111"/>
      <c r="E539" s="111" t="str">
        <f ca="1">IFERROR(__xludf.DUMMYFUNCTION("""COMPUTED_VALUE"""),"5692 motor cooling jacket")</f>
        <v>5692 motor cooling jacket</v>
      </c>
      <c r="F539" s="111"/>
      <c r="G539" s="111"/>
      <c r="H539" t="str">
        <f ca="1">IFERROR(__xludf.DUMMYFUNCTION("""COMPUTED_VALUE"""),"Jet Heat Sink LHS 1 Thermosyphens (only for repair)")</f>
        <v>Jet Heat Sink LHS 1 Thermosyphens (only for repair)</v>
      </c>
      <c r="I539" t="str">
        <f ca="1">IFERROR(__xludf.DUMMYFUNCTION("""COMPUTED_VALUE"""),"Not Needed")</f>
        <v>Not Needed</v>
      </c>
    </row>
    <row r="540" spans="1:10">
      <c r="A540" s="106"/>
      <c r="B540" s="111"/>
      <c r="C540" s="111"/>
      <c r="D540" s="111"/>
      <c r="E540" s="111" t="str">
        <f ca="1">IFERROR(__xludf.DUMMYFUNCTION("""COMPUTED_VALUE"""),"Electronic Speed Controller - HV130 ESC")</f>
        <v>Electronic Speed Controller - HV130 ESC</v>
      </c>
      <c r="F540" s="111" t="str">
        <f ca="1">IFERROR(__xludf.DUMMYFUNCTION("""COMPUTED_VALUE"""),"MOD-ESC-HV130")</f>
        <v>MOD-ESC-HV130</v>
      </c>
      <c r="G540" s="111" t="str">
        <f ca="1">IFERROR(__xludf.DUMMYFUNCTION("""COMPUTED_VALUE"""),"HV 130")</f>
        <v>HV 130</v>
      </c>
      <c r="H540" t="str">
        <f ca="1">IFERROR(__xludf.DUMMYFUNCTION("""COMPUTED_VALUE"""),"Jet Heat Sink LHS 2 Thermosyphens (only for repair)")</f>
        <v>Jet Heat Sink LHS 2 Thermosyphens (only for repair)</v>
      </c>
      <c r="I540" t="str">
        <f ca="1">IFERROR(__xludf.DUMMYFUNCTION("""COMPUTED_VALUE"""),"Not Needed")</f>
        <v>Not Needed</v>
      </c>
    </row>
    <row r="541" spans="1:10">
      <c r="A541" s="106"/>
      <c r="B541" s="111"/>
      <c r="C541" s="111"/>
      <c r="D541" s="111"/>
      <c r="E541" s="111" t="str">
        <f ca="1">IFERROR(__xludf.DUMMYFUNCTION("""COMPUTED_VALUE"""),"8 mm OD pneaumatic pipe")</f>
        <v>8 mm OD pneaumatic pipe</v>
      </c>
      <c r="F541" s="111"/>
      <c r="G541" s="111"/>
      <c r="H541" t="str">
        <f ca="1">IFERROR(__xludf.DUMMYFUNCTION("""COMPUTED_VALUE"""),"Jet Heat Sink RHS 1Thermosyphens (only for repair)")</f>
        <v>Jet Heat Sink RHS 1Thermosyphens (only for repair)</v>
      </c>
      <c r="I541" t="str">
        <f ca="1">IFERROR(__xludf.DUMMYFUNCTION("""COMPUTED_VALUE"""),"Not Needed")</f>
        <v>Not Needed</v>
      </c>
    </row>
    <row r="542" spans="1:10">
      <c r="A542" s="106"/>
      <c r="B542" s="111"/>
      <c r="C542" s="111"/>
      <c r="D542" s="111"/>
      <c r="E542" s="111" t="str">
        <f ca="1">IFERROR(__xludf.DUMMYFUNCTION("""COMPUTED_VALUE"""),"12 to 8 right angled reducer with lock clips")</f>
        <v>12 to 8 right angled reducer with lock clips</v>
      </c>
      <c r="F542" s="111"/>
      <c r="G542" s="111"/>
      <c r="H542" t="str">
        <f ca="1">IFERROR(__xludf.DUMMYFUNCTION("""COMPUTED_VALUE"""),"Jet Heat Sink RHS 2 Thermosyphens (only for repair)")</f>
        <v>Jet Heat Sink RHS 2 Thermosyphens (only for repair)</v>
      </c>
      <c r="I542" t="str">
        <f ca="1">IFERROR(__xludf.DUMMYFUNCTION("""COMPUTED_VALUE"""),"Not Needed")</f>
        <v>Not Needed</v>
      </c>
    </row>
    <row r="543" spans="1:10">
      <c r="A543" s="106"/>
      <c r="B543" s="111"/>
      <c r="C543" s="111"/>
      <c r="D543" s="111"/>
      <c r="E543" s="111" t="str">
        <f ca="1">IFERROR(__xludf.DUMMYFUNCTION("""COMPUTED_VALUE"""),"12 to 8 right angled lock clips")</f>
        <v>12 to 8 right angled lock clips</v>
      </c>
      <c r="F543" s="111"/>
      <c r="G543" s="111"/>
      <c r="H543" t="str">
        <f ca="1">IFERROR(__xludf.DUMMYFUNCTION("""COMPUTED_VALUE"""),"Jet S52 Copper HeatPipes (only for repair)")</f>
        <v>Jet S52 Copper HeatPipes (only for repair)</v>
      </c>
      <c r="I543" t="str">
        <f ca="1">IFERROR(__xludf.DUMMYFUNCTION("""COMPUTED_VALUE"""),"Not Needed")</f>
        <v>Not Needed</v>
      </c>
    </row>
    <row r="544" spans="1:10">
      <c r="A544" s="106"/>
      <c r="B544" s="111"/>
      <c r="C544" s="111"/>
      <c r="D544" s="111"/>
      <c r="E544" s="111" t="str">
        <f ca="1">IFERROR(__xludf.DUMMYFUNCTION("""COMPUTED_VALUE"""),"12mm OD pneumatic pipe")</f>
        <v>12mm OD pneumatic pipe</v>
      </c>
      <c r="F544" s="111"/>
      <c r="G544" s="111"/>
      <c r="H544" t="str">
        <f ca="1">IFERROR(__xludf.DUMMYFUNCTION("""COMPUTED_VALUE"""),"Hot Glue stick 11mm")</f>
        <v>Hot Glue stick 11mm</v>
      </c>
      <c r="I544" t="str">
        <f ca="1">IFERROR(__xludf.DUMMYFUNCTION("""COMPUTED_VALUE"""),"nu`")</f>
        <v>nu`</v>
      </c>
    </row>
    <row r="545" spans="1:9">
      <c r="A545" s="106"/>
      <c r="B545" s="111"/>
      <c r="C545" s="111"/>
      <c r="D545" s="111"/>
      <c r="E545" s="111" t="str">
        <f ca="1">IFERROR(__xludf.DUMMYFUNCTION("""COMPUTED_VALUE"""),"Remote - Polycarbonate Glass for LCD Screen on Remote")</f>
        <v>Remote - Polycarbonate Glass for LCD Screen on Remote</v>
      </c>
      <c r="F545" s="111" t="str">
        <f ca="1">IFERROR(__xludf.DUMMYFUNCTION("""COMPUTED_VALUE"""),"FAB-QX7-IPREMOTE-GLASS")</f>
        <v>FAB-QX7-IPREMOTE-GLASS</v>
      </c>
      <c r="G545" s="111"/>
      <c r="H545" t="str">
        <f ca="1">IFERROR(__xludf.DUMMYFUNCTION("""COMPUTED_VALUE"""),"Copper heatpipes 230mm Straight for I52_5692")</f>
        <v>Copper heatpipes 230mm Straight for I52_5692</v>
      </c>
      <c r="I545" t="str">
        <f ca="1">IFERROR(__xludf.DUMMYFUNCTION("""COMPUTED_VALUE"""),"FAB-MCN-CU-I52-5692-10MM230MM")</f>
        <v>FAB-MCN-CU-I52-5692-10MM230MM</v>
      </c>
    </row>
    <row r="546" spans="1:9">
      <c r="A546" s="106"/>
      <c r="B546" s="111"/>
      <c r="C546" s="111"/>
      <c r="D546" s="111"/>
      <c r="E546" s="111" t="str">
        <f ca="1">IFERROR(__xludf.DUMMYFUNCTION("""COMPUTED_VALUE"""),"55 No. Box for chraging cable &amp; Tool box")</f>
        <v>55 No. Box for chraging cable &amp; Tool box</v>
      </c>
      <c r="F546" s="111"/>
      <c r="G546" s="111"/>
      <c r="H546" t="str">
        <f ca="1">IFERROR(__xludf.DUMMYFUNCTION("""COMPUTED_VALUE"""),"STBD Aft Plate Aluminium")</f>
        <v>STBD Aft Plate Aluminium</v>
      </c>
      <c r="I546" t="str">
        <f ca="1">IFERROR(__xludf.DUMMYFUNCTION("""COMPUTED_VALUE"""),"FAB-MCN-SAFT-SSLIFE-AL")</f>
        <v>FAB-MCN-SAFT-SSLIFE-AL</v>
      </c>
    </row>
    <row r="547" spans="1:9">
      <c r="A547" s="106"/>
      <c r="B547" s="111"/>
      <c r="C547" s="111"/>
      <c r="D547" s="111"/>
      <c r="E547" s="111" t="str">
        <f ca="1">IFERROR(__xludf.DUMMYFUNCTION("""COMPUTED_VALUE"""),"22 No. Box for SR structure screws")</f>
        <v>22 No. Box for SR structure screws</v>
      </c>
      <c r="F547" s="111"/>
      <c r="G547" s="111" t="str">
        <f ca="1">IFERROR(__xludf.DUMMYFUNCTION("""COMPUTED_VALUE"""),"                                                                                 ")</f>
        <v xml:space="preserve">                                                                                 </v>
      </c>
      <c r="H547" t="str">
        <f ca="1">IFERROR(__xludf.DUMMYFUNCTION("""COMPUTED_VALUE"""),"PORT Aft Plate Aluminium")</f>
        <v>PORT Aft Plate Aluminium</v>
      </c>
      <c r="I547" t="str">
        <f ca="1">IFERROR(__xludf.DUMMYFUNCTION("""COMPUTED_VALUE"""),"FAB-MCN-PAFT-SSLIFE-AL")</f>
        <v>FAB-MCN-PAFT-SSLIFE-AL</v>
      </c>
    </row>
    <row r="548" spans="1:9">
      <c r="A548" s="106"/>
      <c r="B548" s="111"/>
      <c r="C548" s="111"/>
      <c r="D548" s="111"/>
      <c r="E548" s="111" t="str">
        <f ca="1">IFERROR(__xludf.DUMMYFUNCTION("""COMPUTED_VALUE"""),"PTB-13 Taparia Storage Box")</f>
        <v>PTB-13 Taparia Storage Box</v>
      </c>
      <c r="F548" s="111"/>
      <c r="G548" s="111"/>
      <c r="H548" t="str">
        <f ca="1">IFERROR(__xludf.DUMMYFUNCTION("""COMPUTED_VALUE"""),"BPSPLB - Aft Plate - STBD IM")</f>
        <v>BPSPLB - Aft Plate - STBD IM</v>
      </c>
      <c r="I548" t="str">
        <f ca="1">IFERROR(__xludf.DUMMYFUNCTION("""COMPUTED_VALUE"""),"FAB-IJM-SAFT-SSLIFE")</f>
        <v>FAB-IJM-SAFT-SSLIFE</v>
      </c>
    </row>
    <row r="549" spans="1:9">
      <c r="A549" s="106"/>
      <c r="B549" s="111"/>
      <c r="C549" s="111"/>
      <c r="D549" s="111"/>
      <c r="E549" s="111" t="str">
        <f ca="1">IFERROR(__xludf.DUMMYFUNCTION("""COMPUTED_VALUE"""),"BPSPLB - Bottom Mesh 120mm x 100mm, 5""x4""")</f>
        <v>BPSPLB - Bottom Mesh 120mm x 100mm, 5"x4"</v>
      </c>
      <c r="F549" s="111" t="str">
        <f ca="1">IFERROR(__xludf.DUMMYFUNCTION("""COMPUTED_VALUE"""),"MAC-MESH-5x4M5")</f>
        <v>MAC-MESH-5x4M5</v>
      </c>
      <c r="G549" s="111"/>
      <c r="H549" t="str">
        <f ca="1">IFERROR(__xludf.DUMMYFUNCTION("""COMPUTED_VALUE"""),"BPSPLB - Aft Plate - PORT IM")</f>
        <v>BPSPLB - Aft Plate - PORT IM</v>
      </c>
      <c r="I549" t="str">
        <f ca="1">IFERROR(__xludf.DUMMYFUNCTION("""COMPUTED_VALUE"""),"FAB-IJM-PAFT-SSLIFE")</f>
        <v>FAB-IJM-PAFT-SSLIFE</v>
      </c>
    </row>
    <row r="550" spans="1:9">
      <c r="A550" s="106"/>
      <c r="B550" s="111"/>
      <c r="C550" s="111"/>
      <c r="D550" s="111"/>
      <c r="E550" s="111" t="str">
        <f ca="1">IFERROR(__xludf.DUMMYFUNCTION("""COMPUTED_VALUE"""),"Mesh with four sides brazing")</f>
        <v>Mesh with four sides brazing</v>
      </c>
      <c r="F550" s="111"/>
      <c r="G550" s="111"/>
      <c r="H550" t="str">
        <f ca="1">IFERROR(__xludf.DUMMYFUNCTION("""COMPUTED_VALUE"""),"BPSPLB - Self Righting Pillow Caps 3D Printed")</f>
        <v>BPSPLB - Self Righting Pillow Caps 3D Printed</v>
      </c>
      <c r="I550" t="str">
        <f ca="1">IFERROR(__xludf.DUMMYFUNCTION("""COMPUTED_VALUE"""),"FAB-3DP-PILCAP-SSLIFE")</f>
        <v>FAB-3DP-PILCAP-SSLIFE</v>
      </c>
    </row>
    <row r="551" spans="1:9">
      <c r="A551" s="106"/>
      <c r="B551" s="111"/>
      <c r="C551" s="111"/>
      <c r="D551" s="111"/>
      <c r="E551" s="111" t="str">
        <f ca="1">IFERROR(__xludf.DUMMYFUNCTION("""COMPUTED_VALUE"""),"BPSPLB - Air Nozzle")</f>
        <v>BPSPLB - Air Nozzle</v>
      </c>
      <c r="F551" s="111" t="str">
        <f ca="1">IFERROR(__xludf.DUMMYFUNCTION("""COMPUTED_VALUE"""),"MAC-AIR-NOZZLE")</f>
        <v>MAC-AIR-NOZZLE</v>
      </c>
      <c r="G551" s="111"/>
      <c r="H551" t="str">
        <f ca="1">IFERROR(__xludf.DUMMYFUNCTION("""COMPUTED_VALUE"""),"3D printed bottom block caps")</f>
        <v>3D printed bottom block caps</v>
      </c>
    </row>
    <row r="552" spans="1:9">
      <c r="A552" s="106"/>
      <c r="B552" s="111"/>
      <c r="C552" s="111"/>
      <c r="D552" s="111"/>
      <c r="E552" s="111" t="str">
        <f ca="1">IFERROR(__xludf.DUMMYFUNCTION("""COMPUTED_VALUE"""),"Acetone")</f>
        <v>Acetone</v>
      </c>
      <c r="F552" s="111" t="str">
        <f ca="1">IFERROR(__xludf.DUMMYFUNCTION("""COMPUTED_VALUE"""),"CHM-ACETONE")</f>
        <v>CHM-ACETONE</v>
      </c>
      <c r="G552" s="111"/>
      <c r="H552" t="str">
        <f ca="1">IFERROR(__xludf.DUMMYFUNCTION("""COMPUTED_VALUE"""),"Button spacer No. 1/1 3D Print")</f>
        <v>Button spacer No. 1/1 3D Print</v>
      </c>
    </row>
    <row r="553" spans="1:9">
      <c r="A553" s="106"/>
      <c r="B553" s="111"/>
      <c r="C553" s="111"/>
      <c r="D553" s="111"/>
      <c r="E553" s="111" t="str">
        <f ca="1">IFERROR(__xludf.DUMMYFUNCTION("""COMPUTED_VALUE"""),"Isopropyl Alcohol - IPA")</f>
        <v>Isopropyl Alcohol - IPA</v>
      </c>
      <c r="F553" s="111" t="str">
        <f ca="1">IFERROR(__xludf.DUMMYFUNCTION("""COMPUTED_VALUE"""),"CHM-IPA")</f>
        <v>CHM-IPA</v>
      </c>
      <c r="G553" s="111"/>
      <c r="H553" t="str">
        <f ca="1">IFERROR(__xludf.DUMMYFUNCTION("""COMPUTED_VALUE"""),"Button Spacer No. 1/2 3D Print")</f>
        <v>Button Spacer No. 1/2 3D Print</v>
      </c>
    </row>
    <row r="554" spans="1:9">
      <c r="A554" s="106"/>
      <c r="B554" s="111"/>
      <c r="C554" s="111"/>
      <c r="D554" s="111"/>
      <c r="E554" s="111" t="str">
        <f ca="1">IFERROR(__xludf.DUMMYFUNCTION("""COMPUTED_VALUE"""),"Foam Gasket 40mm width 5mm thick")</f>
        <v>Foam Gasket 40mm width 5mm thick</v>
      </c>
      <c r="F554" s="111"/>
      <c r="G554" s="111"/>
      <c r="H554" t="str">
        <f ca="1">IFERROR(__xludf.DUMMYFUNCTION("""COMPUTED_VALUE"""),"Button Spacer No. 2 3D Print")</f>
        <v>Button Spacer No. 2 3D Print</v>
      </c>
    </row>
    <row r="555" spans="1:9">
      <c r="A555" s="106"/>
      <c r="B555" s="111"/>
      <c r="C555" s="111"/>
      <c r="D555" s="111"/>
      <c r="E555" s="111" t="str">
        <f ca="1">IFERROR(__xludf.DUMMYFUNCTION("""COMPUTED_VALUE"""),"Poly Urethane Foam (polyols)")</f>
        <v>Poly Urethane Foam (polyols)</v>
      </c>
      <c r="F555" s="111" t="str">
        <f ca="1">IFERROR(__xludf.DUMMYFUNCTION("""COMPUTED_VALUE"""),"MAC-PUF-ISO&amp;POLYOL-40D30S")</f>
        <v>MAC-PUF-ISO&amp;POLYOL-40D30S</v>
      </c>
      <c r="G555" s="111"/>
      <c r="H555" t="str">
        <f ca="1">IFERROR(__xludf.DUMMYFUNCTION("""COMPUTED_VALUE"""),"Remote - Button No. 1 Pressure Bracket 3D Print")</f>
        <v>Remote - Button No. 1 Pressure Bracket 3D Print</v>
      </c>
      <c r="I555" t="str">
        <f ca="1">IFERROR(__xludf.DUMMYFUNCTION("""COMPUTED_VALUE"""),"FAB-3DP-QX7-PRES-BRAC")</f>
        <v>FAB-3DP-QX7-PRES-BRAC</v>
      </c>
    </row>
    <row r="556" spans="1:9">
      <c r="A556" s="106"/>
      <c r="B556" s="111"/>
      <c r="C556" s="111"/>
      <c r="D556" s="111"/>
      <c r="E556" s="111" t="str">
        <f ca="1">IFERROR(__xludf.DUMMYFUNCTION("""COMPUTED_VALUE"""),"Poly Urethane Foam (isocyanates)")</f>
        <v>Poly Urethane Foam (isocyanates)</v>
      </c>
      <c r="F556" s="111"/>
      <c r="G556" s="111"/>
      <c r="H556" t="str">
        <f ca="1">IFERROR(__xludf.DUMMYFUNCTION("""COMPUTED_VALUE"""),"Remote - Battery Holding Bracket 3D Print")</f>
        <v>Remote - Battery Holding Bracket 3D Print</v>
      </c>
      <c r="I556" t="str">
        <f ca="1">IFERROR(__xludf.DUMMYFUNCTION("""COMPUTED_VALUE"""),"FAB-3DP-QX7-BAT-BRAC")</f>
        <v>FAB-3DP-QX7-BAT-BRAC</v>
      </c>
    </row>
    <row r="557" spans="1:9">
      <c r="A557" s="106"/>
      <c r="B557" s="111"/>
      <c r="C557" s="111"/>
      <c r="D557" s="111"/>
      <c r="E557" s="111" t="str">
        <f ca="1">IFERROR(__xludf.DUMMYFUNCTION("""COMPUTED_VALUE"""),"Silicon Hose 4mm x 8mm")</f>
        <v>Silicon Hose 4mm x 8mm</v>
      </c>
      <c r="F557" s="111"/>
      <c r="G557" s="111"/>
      <c r="H557" t="str">
        <f ca="1">IFERROR(__xludf.DUMMYFUNCTION("""COMPUTED_VALUE"""),"Craft Battery Holding Bracket 3D Print")</f>
        <v>Craft Battery Holding Bracket 3D Print</v>
      </c>
    </row>
    <row r="558" spans="1:9">
      <c r="A558" s="106"/>
      <c r="B558" s="111"/>
      <c r="C558" s="111"/>
      <c r="D558" s="111"/>
      <c r="E558" s="111" t="str">
        <f ca="1">IFERROR(__xludf.DUMMYFUNCTION("""COMPUTED_VALUE"""),"Silicon Hose 3mm x 6mm")</f>
        <v>Silicon Hose 3mm x 6mm</v>
      </c>
      <c r="F558" s="111"/>
      <c r="G558" s="111"/>
      <c r="H558" t="str">
        <f ca="1">IFERROR(__xludf.DUMMYFUNCTION("""COMPUTED_VALUE"""),"Remote - Straps Lanyard")</f>
        <v>Remote - Straps Lanyard</v>
      </c>
      <c r="I558" t="str">
        <f ca="1">IFERROR(__xludf.DUMMYFUNCTION("""COMPUTED_VALUE"""),"FAB-STC-QX7-STRAP")</f>
        <v>FAB-STC-QX7-STRAP</v>
      </c>
    </row>
    <row r="559" spans="1:9">
      <c r="A559" s="106"/>
      <c r="B559" s="111"/>
      <c r="C559" s="111"/>
      <c r="D559" s="111"/>
      <c r="E559" s="111" t="str">
        <f ca="1">IFERROR(__xludf.DUMMYFUNCTION("""COMPUTED_VALUE"""),"Remote - Silicon Water Proof Rubber Boot For Joystick")</f>
        <v>Remote - Silicon Water Proof Rubber Boot For Joystick</v>
      </c>
      <c r="F559" s="111" t="str">
        <f ca="1">IFERROR(__xludf.DUMMYFUNCTION("""COMPUTED_VALUE"""),"SLN-BOOT-JOYSTICK")</f>
        <v>SLN-BOOT-JOYSTICK</v>
      </c>
      <c r="G559" s="111"/>
      <c r="H559" t="str">
        <f ca="1">IFERROR(__xludf.DUMMYFUNCTION("""COMPUTED_VALUE"""),"Remote Strap Holder")</f>
        <v>Remote Strap Holder</v>
      </c>
    </row>
    <row r="560" spans="1:9">
      <c r="A560" s="106"/>
      <c r="B560" s="111"/>
      <c r="C560" s="111"/>
      <c r="D560" s="111"/>
      <c r="E560" s="111" t="str">
        <f ca="1">IFERROR(__xludf.DUMMYFUNCTION("""COMPUTED_VALUE"""),"Remote - Silicon Water Proof Button Cover No. 1")</f>
        <v>Remote - Silicon Water Proof Button Cover No. 1</v>
      </c>
      <c r="F560" s="111" t="str">
        <f ca="1">IFERROR(__xludf.DUMMYFUNCTION("""COMPUTED_VALUE"""),"SLN-BOOT-BUTTON1")</f>
        <v>SLN-BOOT-BUTTON1</v>
      </c>
      <c r="G560" s="111"/>
      <c r="H560" t="str">
        <f ca="1">IFERROR(__xludf.DUMMYFUNCTION("""COMPUTED_VALUE"""),"Joystick Screws")</f>
        <v>Joystick Screws</v>
      </c>
    </row>
    <row r="561" spans="1:10">
      <c r="A561" s="106"/>
      <c r="B561" s="111"/>
      <c r="C561" s="111"/>
      <c r="D561" s="111"/>
      <c r="E561" s="111" t="str">
        <f ca="1">IFERROR(__xludf.DUMMYFUNCTION("""COMPUTED_VALUE"""),"Remote - Silicon Water Proof Button Cover No. 2")</f>
        <v>Remote - Silicon Water Proof Button Cover No. 2</v>
      </c>
      <c r="F561" s="111" t="str">
        <f ca="1">IFERROR(__xludf.DUMMYFUNCTION("""COMPUTED_VALUE"""),"SLN-BOOT-BUTTON2")</f>
        <v>SLN-BOOT-BUTTON2</v>
      </c>
      <c r="G561" s="111"/>
      <c r="H561" t="str">
        <f ca="1">IFERROR(__xludf.DUMMYFUNCTION("""COMPUTED_VALUE"""),"LCD Screen")</f>
        <v>LCD Screen</v>
      </c>
    </row>
    <row r="562" spans="1:10">
      <c r="A562" s="106"/>
      <c r="B562" s="111"/>
      <c r="C562" s="111"/>
      <c r="D562" s="111"/>
      <c r="E562" s="111" t="str">
        <f ca="1">IFERROR(__xludf.DUMMYFUNCTION("""COMPUTED_VALUE"""),"Foam Gasket 25mm width 3mm thick")</f>
        <v>Foam Gasket 25mm width 3mm thick</v>
      </c>
      <c r="F562" s="111"/>
      <c r="G562" s="111"/>
      <c r="H562" t="str">
        <f ca="1">IFERROR(__xludf.DUMMYFUNCTION("""COMPUTED_VALUE"""),"Remote - Antenna clamp -1 3D Print")</f>
        <v>Remote - Antenna clamp -1 3D Print</v>
      </c>
      <c r="I562" t="str">
        <f ca="1">IFERROR(__xludf.DUMMYFUNCTION("""COMPUTED_VALUE"""),"FAB-3DP-QX7-ANT-CLMP1")</f>
        <v>FAB-3DP-QX7-ANT-CLMP1</v>
      </c>
    </row>
    <row r="563" spans="1:10">
      <c r="A563" s="106"/>
      <c r="B563" s="111"/>
      <c r="C563" s="111"/>
      <c r="D563" s="111"/>
      <c r="E563" s="111" t="str">
        <f ca="1">IFERROR(__xludf.DUMMYFUNCTION("""COMPUTED_VALUE"""),"Sealant - Thread Locker 242")</f>
        <v>Sealant - Thread Locker 242</v>
      </c>
      <c r="F563" s="111" t="str">
        <f ca="1">IFERROR(__xludf.DUMMYFUNCTION("""COMPUTED_VALUE"""),"MAC-ADH-242-2MTO3M")</f>
        <v>MAC-ADH-242-2MTO3M</v>
      </c>
      <c r="G563" s="111" t="str">
        <f ca="1">IFERROR(__xludf.DUMMYFUNCTION("""COMPUTED_VALUE"""),"Loctite 242")</f>
        <v>Loctite 242</v>
      </c>
      <c r="H563" t="str">
        <f ca="1">IFERROR(__xludf.DUMMYFUNCTION("""COMPUTED_VALUE"""),"Remote - Antenna Clamp -2 3D Print")</f>
        <v>Remote - Antenna Clamp -2 3D Print</v>
      </c>
      <c r="I563" t="str">
        <f ca="1">IFERROR(__xludf.DUMMYFUNCTION("""COMPUTED_VALUE"""),"FAB-3DP-QX7-ANT-CLMP2")</f>
        <v>FAB-3DP-QX7-ANT-CLMP2</v>
      </c>
    </row>
    <row r="564" spans="1:10">
      <c r="A564" s="106"/>
      <c r="B564" s="111"/>
      <c r="C564" s="111"/>
      <c r="D564" s="111"/>
      <c r="E564" s="111" t="str">
        <f ca="1">IFERROR(__xludf.DUMMYFUNCTION("""COMPUTED_VALUE"""),"Thread locker 270")</f>
        <v>Thread locker 270</v>
      </c>
      <c r="F564" s="111"/>
      <c r="G564" s="111"/>
      <c r="H564" t="str">
        <f ca="1">IFERROR(__xludf.DUMMYFUNCTION("""COMPUTED_VALUE"""),"Remote - LCD Holder Bracket 3D Print")</f>
        <v>Remote - LCD Holder Bracket 3D Print</v>
      </c>
      <c r="I564" t="str">
        <f ca="1">IFERROR(__xludf.DUMMYFUNCTION("""COMPUTED_VALUE"""),"FAB-3DP-QX7-LCD-HOLD")</f>
        <v>FAB-3DP-QX7-LCD-HOLD</v>
      </c>
    </row>
    <row r="565" spans="1:10">
      <c r="A565" s="106"/>
      <c r="B565" s="111"/>
      <c r="C565" s="111"/>
      <c r="D565" s="111"/>
      <c r="E565" s="111" t="str">
        <f ca="1">IFERROR(__xludf.DUMMYFUNCTION("""COMPUTED_VALUE"""),"Sealant - Thread Locker 290")</f>
        <v>Sealant - Thread Locker 290</v>
      </c>
      <c r="F565" s="111" t="str">
        <f ca="1">IFERROR(__xludf.DUMMYFUNCTION("""COMPUTED_VALUE"""),"MAC-ADH-290-4MTO8M")</f>
        <v>MAC-ADH-290-4MTO8M</v>
      </c>
      <c r="G565" s="111" t="str">
        <f ca="1">IFERROR(__xludf.DUMMYFUNCTION("""COMPUTED_VALUE"""),"Loctite 290")</f>
        <v>Loctite 290</v>
      </c>
      <c r="H565" t="str">
        <f ca="1">IFERROR(__xludf.DUMMYFUNCTION("""COMPUTED_VALUE"""),"Charger - Panel Pillar Spacer 3D Print")</f>
        <v>Charger - Panel Pillar Spacer 3D Print</v>
      </c>
      <c r="I565" t="str">
        <f ca="1">IFERROR(__xludf.DUMMYFUNCTION("""COMPUTED_VALUE"""),"FAB-3DP-X16-EXT-PILLER")</f>
        <v>FAB-3DP-X16-EXT-PILLER</v>
      </c>
    </row>
    <row r="566" spans="1:10">
      <c r="A566" s="106"/>
      <c r="B566" s="111"/>
      <c r="C566" s="111"/>
      <c r="D566" s="111"/>
      <c r="E566" s="111" t="str">
        <f ca="1">IFERROR(__xludf.DUMMYFUNCTION("""COMPUTED_VALUE"""),"Thread locker primer SF 7649")</f>
        <v>Thread locker primer SF 7649</v>
      </c>
      <c r="F566" s="111" t="str">
        <f ca="1">IFERROR(__xludf.DUMMYFUNCTION("""COMPUTED_VALUE"""),"MAC-ADH-SF7649")</f>
        <v>MAC-ADH-SF7649</v>
      </c>
      <c r="G566" s="111" t="str">
        <f ca="1">IFERROR(__xludf.DUMMYFUNCTION("""COMPUTED_VALUE"""),"Loctite SF 7649")</f>
        <v>Loctite SF 7649</v>
      </c>
      <c r="H566" t="str">
        <f ca="1">IFERROR(__xludf.DUMMYFUNCTION("""COMPUTED_VALUE"""),"Remote - IFU - Rotary Knob Box 3D Print")</f>
        <v>Remote - IFU - Rotary Knob Box 3D Print</v>
      </c>
      <c r="I566" t="str">
        <f ca="1">IFERROR(__xludf.DUMMYFUNCTION("""COMPUTED_VALUE"""),"FAB-3DP-IFU-KNOB")</f>
        <v>FAB-3DP-IFU-KNOB</v>
      </c>
    </row>
    <row r="567" spans="1:10">
      <c r="A567" s="106"/>
      <c r="B567" s="111"/>
      <c r="C567" s="111"/>
      <c r="D567" s="111"/>
      <c r="E567" s="111" t="str">
        <f ca="1">IFERROR(__xludf.DUMMYFUNCTION("""COMPUTED_VALUE"""),"Sealant - Instant Adhesive 407 for EPE sticking")</f>
        <v>Sealant - Instant Adhesive 407 for EPE sticking</v>
      </c>
      <c r="F567" s="111" t="str">
        <f ca="1">IFERROR(__xludf.DUMMYFUNCTION("""COMPUTED_VALUE"""),"MAC-ADH-407-INSTA")</f>
        <v>MAC-ADH-407-INSTA</v>
      </c>
      <c r="G567" s="111"/>
      <c r="H567" t="str">
        <f ca="1">IFERROR(__xludf.DUMMYFUNCTION("""COMPUTED_VALUE"""),"Remote - Rotary Encoder")</f>
        <v>Remote - Rotary Encoder</v>
      </c>
      <c r="I567" t="str">
        <f ca="1">IFERROR(__xludf.DUMMYFUNCTION("""COMPUTED_VALUE"""),"MOD-QX7-ENC")</f>
        <v>MOD-QX7-ENC</v>
      </c>
    </row>
    <row r="568" spans="1:10">
      <c r="A568" s="106"/>
      <c r="B568" s="111"/>
      <c r="C568" s="111"/>
      <c r="D568" s="111"/>
      <c r="E568" s="111" t="str">
        <f ca="1">IFERROR(__xludf.DUMMYFUNCTION("""COMPUTED_VALUE"""),"Sealant - O-Ring - For AFT Plate, Lenght 60cm Soft Sponge Rubber 6mm Square")</f>
        <v>Sealant - O-Ring - For AFT Plate, Lenght 60cm Soft Sponge Rubber 6mm Square</v>
      </c>
      <c r="F568" s="111" t="str">
        <f ca="1">IFERROR(__xludf.DUMMYFUNCTION("""COMPUTED_VALUE"""),"SLN-ORI-60C-6MSQ")</f>
        <v>SLN-ORI-60C-6MSQ</v>
      </c>
      <c r="G568" s="111"/>
      <c r="H568" t="str">
        <f ca="1">IFERROR(__xludf.DUMMYFUNCTION("""COMPUTED_VALUE"""),"Remote - IFU 3D Middle")</f>
        <v>Remote - IFU 3D Middle</v>
      </c>
      <c r="I568" t="str">
        <f ca="1">IFERROR(__xludf.DUMMYFUNCTION("""COMPUTED_VALUE"""),"FAB-3DP-IFU-MID")</f>
        <v>FAB-3DP-IFU-MID</v>
      </c>
    </row>
    <row r="569" spans="1:10">
      <c r="A569" s="106"/>
      <c r="B569" s="111"/>
      <c r="C569" s="111"/>
      <c r="D569" s="111"/>
      <c r="E569" s="111" t="str">
        <f ca="1">IFERROR(__xludf.DUMMYFUNCTION("""COMPUTED_VALUE"""),"Sealant - O-Ring - For Kangaroo box and top cover lid 3mm round")</f>
        <v>Sealant - O-Ring - For Kangaroo box and top cover lid 3mm round</v>
      </c>
      <c r="F569" s="111" t="str">
        <f ca="1">IFERROR(__xludf.DUMMYFUNCTION("""COMPUTED_VALUE"""),"SLN-ORI-60C-3CYL")</f>
        <v>SLN-ORI-60C-3CYL</v>
      </c>
      <c r="G569" s="111"/>
      <c r="H569" t="str">
        <f ca="1">IFERROR(__xludf.DUMMYFUNCTION("""COMPUTED_VALUE"""),"Remote - IFU Top")</f>
        <v>Remote - IFU Top</v>
      </c>
      <c r="I569" t="str">
        <f ca="1">IFERROR(__xludf.DUMMYFUNCTION("""COMPUTED_VALUE"""),"FAB-3DP-IFU-TOP")</f>
        <v>FAB-3DP-IFU-TOP</v>
      </c>
    </row>
    <row r="570" spans="1:10">
      <c r="A570" s="106"/>
      <c r="B570" s="111"/>
      <c r="C570" s="111"/>
      <c r="D570" s="111"/>
      <c r="E570" s="111" t="str">
        <f ca="1">IFERROR(__xludf.DUMMYFUNCTION("""COMPUTED_VALUE"""),"Sticker - Star Board Hook Sticker")</f>
        <v>Sticker - Star Board Hook Sticker</v>
      </c>
      <c r="F570" s="111" t="str">
        <f ca="1">IFERROR(__xludf.DUMMYFUNCTION("""COMPUTED_VALUE"""),"STX-STBD-LIFTFHERE")</f>
        <v>STX-STBD-LIFTFHERE</v>
      </c>
      <c r="G570" s="111"/>
      <c r="H570" t="str">
        <f ca="1">IFERROR(__xludf.DUMMYFUNCTION("""COMPUTED_VALUE"""),"Remote - IFU Bottom")</f>
        <v>Remote - IFU Bottom</v>
      </c>
      <c r="I570" t="str">
        <f ca="1">IFERROR(__xludf.DUMMYFUNCTION("""COMPUTED_VALUE"""),"FAB-3DP-IFU-BOTTOM")</f>
        <v>FAB-3DP-IFU-BOTTOM</v>
      </c>
    </row>
    <row r="571" spans="1:10">
      <c r="A571" s="106"/>
      <c r="B571" s="111"/>
      <c r="C571" s="111"/>
      <c r="D571" s="111"/>
      <c r="E571" s="111" t="str">
        <f ca="1">IFERROR(__xludf.DUMMYFUNCTION("""COMPUTED_VALUE"""),"Sticker - Port Hook Sticker")</f>
        <v>Sticker - Port Hook Sticker</v>
      </c>
      <c r="F571" s="111" t="str">
        <f ca="1">IFERROR(__xludf.DUMMYFUNCTION("""COMPUTED_VALUE"""),"STX-PORT-LIFTFHERE")</f>
        <v>STX-PORT-LIFTFHERE</v>
      </c>
      <c r="G571" s="111"/>
      <c r="H571" t="str">
        <f ca="1">IFERROR(__xludf.DUMMYFUNCTION("""COMPUTED_VALUE"""),"Motor 4092 ")</f>
        <v xml:space="preserve">Motor 4092 </v>
      </c>
    </row>
    <row r="572" spans="1:10">
      <c r="A572" s="106"/>
      <c r="B572" s="111"/>
      <c r="C572" s="111"/>
      <c r="D572" s="111"/>
      <c r="E572" s="111" t="str">
        <f ca="1">IFERROR(__xludf.DUMMYFUNCTION("""COMPUTED_VALUE"""),"Sticker - Star Board Hold Here Sticker")</f>
        <v>Sticker - Star Board Hold Here Sticker</v>
      </c>
      <c r="F572" s="111" t="str">
        <f ca="1">IFERROR(__xludf.DUMMYFUNCTION("""COMPUTED_VALUE"""),"STX-STBD-HOLDHERE")</f>
        <v>STX-STBD-HOLDHERE</v>
      </c>
      <c r="G572" s="111"/>
      <c r="H572" t="str">
        <f ca="1">IFERROR(__xludf.DUMMYFUNCTION("""COMPUTED_VALUE"""),"4092 cooling jackets")</f>
        <v>4092 cooling jackets</v>
      </c>
    </row>
    <row r="573" spans="1:10">
      <c r="A573" s="106"/>
      <c r="B573" s="111"/>
      <c r="C573" s="111"/>
      <c r="D573" s="111"/>
      <c r="E573" s="111" t="str">
        <f ca="1">IFERROR(__xludf.DUMMYFUNCTION("""COMPUTED_VALUE"""),"Sticker - Port Hold Here Sticker")</f>
        <v>Sticker - Port Hold Here Sticker</v>
      </c>
      <c r="F573" s="111" t="str">
        <f ca="1">IFERROR(__xludf.DUMMYFUNCTION("""COMPUTED_VALUE"""),"STX-PORT-HOLDHERE")</f>
        <v>STX-PORT-HOLDHERE</v>
      </c>
      <c r="G573" s="111"/>
      <c r="H573" t="str">
        <f ca="1">IFERROR(__xludf.DUMMYFUNCTION("""COMPUTED_VALUE"""),"Actuator - Motor 5692 495 KV")</f>
        <v>Actuator - Motor 5692 495 KV</v>
      </c>
      <c r="I573" t="str">
        <f ca="1">IFERROR(__xludf.DUMMYFUNCTION("""COMPUTED_VALUE"""),"ACT-MTR-5692KW3i5KV485LEO")</f>
        <v>ACT-MTR-5692KW3i5KV485LEO</v>
      </c>
      <c r="J573" t="str">
        <f ca="1">IFERROR(__xludf.DUMMYFUNCTION("""COMPUTED_VALUE"""),"5962 495KV")</f>
        <v>5962 495KV</v>
      </c>
    </row>
    <row r="574" spans="1:10">
      <c r="A574" s="106"/>
      <c r="B574" s="111"/>
      <c r="C574" s="111"/>
      <c r="D574" s="111"/>
      <c r="E574" s="111" t="str">
        <f ca="1">IFERROR(__xludf.DUMMYFUNCTION("""COMPUTED_VALUE"""),"Sticker - Charging Process on Charger")</f>
        <v>Sticker - Charging Process on Charger</v>
      </c>
      <c r="F574" s="111" t="str">
        <f ca="1">IFERROR(__xludf.DUMMYFUNCTION("""COMPUTED_VALUE"""),"STX-PORT-HOLDHERE")</f>
        <v>STX-PORT-HOLDHERE</v>
      </c>
      <c r="G574" s="111"/>
      <c r="H574" t="str">
        <f ca="1">IFERROR(__xludf.DUMMYFUNCTION("""COMPUTED_VALUE"""),"5692 motor cooling jacket")</f>
        <v>5692 motor cooling jacket</v>
      </c>
    </row>
    <row r="575" spans="1:10">
      <c r="A575" s="106"/>
      <c r="B575" s="111"/>
      <c r="C575" s="111"/>
      <c r="D575" s="111"/>
      <c r="E575" s="111" t="str">
        <f ca="1">IFERROR(__xludf.DUMMYFUNCTION("""COMPUTED_VALUE"""),"Sticker - Wooden box Sticker")</f>
        <v>Sticker - Wooden box Sticker</v>
      </c>
      <c r="F575" s="111" t="str">
        <f ca="1">IFERROR(__xludf.DUMMYFUNCTION("""COMPUTED_VALUE"""),"STX-WOODENBOX")</f>
        <v>STX-WOODENBOX</v>
      </c>
      <c r="G575" s="111"/>
      <c r="H575" t="str">
        <f ca="1">IFERROR(__xludf.DUMMYFUNCTION("""COMPUTED_VALUE"""),"Electronic Speed Controller - HV130 ESC")</f>
        <v>Electronic Speed Controller - HV130 ESC</v>
      </c>
      <c r="I575" t="str">
        <f ca="1">IFERROR(__xludf.DUMMYFUNCTION("""COMPUTED_VALUE"""),"MOD-ESC-HV130")</f>
        <v>MOD-ESC-HV130</v>
      </c>
      <c r="J575" t="str">
        <f ca="1">IFERROR(__xludf.DUMMYFUNCTION("""COMPUTED_VALUE"""),"HV 130")</f>
        <v>HV 130</v>
      </c>
    </row>
    <row r="576" spans="1:10">
      <c r="A576" s="106"/>
      <c r="B576" s="111"/>
      <c r="C576" s="111"/>
      <c r="D576" s="111"/>
      <c r="E576" s="111" t="str">
        <f ca="1">IFERROR(__xludf.DUMMYFUNCTION("""COMPUTED_VALUE"""),"Sticker - Saifseas 3D Dome Sticker")</f>
        <v>Sticker - Saifseas 3D Dome Sticker</v>
      </c>
      <c r="F576" s="111"/>
      <c r="G576" s="111"/>
      <c r="H576" t="str">
        <f ca="1">IFERROR(__xludf.DUMMYFUNCTION("""COMPUTED_VALUE"""),"8 mm OD pneaumatic pipe")</f>
        <v>8 mm OD pneaumatic pipe</v>
      </c>
    </row>
    <row r="577" spans="1:10">
      <c r="A577" s="106"/>
      <c r="B577" s="111"/>
      <c r="C577" s="111"/>
      <c r="D577" s="111"/>
      <c r="E577" s="111" t="str">
        <f ca="1">IFERROR(__xludf.DUMMYFUNCTION("""COMPUTED_VALUE"""),"Craft Cleaning Notify Sticker")</f>
        <v>Craft Cleaning Notify Sticker</v>
      </c>
      <c r="F577" s="111" t="str">
        <f ca="1">IFERROR(__xludf.DUMMYFUNCTION("""COMPUTED_VALUE"""),"STX-CHR-CHARGEPROCESS")</f>
        <v>STX-CHR-CHARGEPROCESS</v>
      </c>
      <c r="G577" s="111"/>
      <c r="H577" t="str">
        <f ca="1">IFERROR(__xludf.DUMMYFUNCTION("""COMPUTED_VALUE"""),"12 to 8 right angled reducer with lock clips")</f>
        <v>12 to 8 right angled reducer with lock clips</v>
      </c>
    </row>
    <row r="578" spans="1:10">
      <c r="A578" s="106"/>
      <c r="B578" s="111"/>
      <c r="C578" s="111"/>
      <c r="D578" s="111"/>
      <c r="E578" s="111" t="str">
        <f ca="1">IFERROR(__xludf.DUMMYFUNCTION("""COMPUTED_VALUE"""),"Switch Stickers")</f>
        <v>Switch Stickers</v>
      </c>
      <c r="F578" s="111"/>
      <c r="G578" s="111"/>
      <c r="H578" t="str">
        <f ca="1">IFERROR(__xludf.DUMMYFUNCTION("""COMPUTED_VALUE"""),"12 to 8 right angled lock clips")</f>
        <v>12 to 8 right angled lock clips</v>
      </c>
    </row>
    <row r="579" spans="1:10">
      <c r="A579" s="106"/>
      <c r="B579" s="111"/>
      <c r="C579" s="111"/>
      <c r="D579" s="111"/>
      <c r="E579" s="111" t="str">
        <f ca="1">IFERROR(__xludf.DUMMYFUNCTION("""COMPUTED_VALUE"""),"Small Saif Seas Sticker")</f>
        <v>Small Saif Seas Sticker</v>
      </c>
      <c r="F579" s="111"/>
      <c r="G579" s="111"/>
      <c r="H579" t="str">
        <f ca="1">IFERROR(__xludf.DUMMYFUNCTION("""COMPUTED_VALUE"""),"12mm OD pneumatic pipe")</f>
        <v>12mm OD pneumatic pipe</v>
      </c>
    </row>
    <row r="580" spans="1:10">
      <c r="A580" s="106"/>
      <c r="B580" s="111"/>
      <c r="C580" s="111"/>
      <c r="D580" s="111"/>
      <c r="E580" s="111" t="str">
        <f ca="1">IFERROR(__xludf.DUMMYFUNCTION("""COMPUTED_VALUE"""),"Ferrule 185 No.")</f>
        <v>Ferrule 185 No.</v>
      </c>
      <c r="F580" s="111" t="str">
        <f ca="1">IFERROR(__xludf.DUMMYFUNCTION("""COMPUTED_VALUE"""),"MAC-FERRULE-185No")</f>
        <v>MAC-FERRULE-185No</v>
      </c>
      <c r="G580" s="111" t="str">
        <f ca="1">IFERROR(__xludf.DUMMYFUNCTION("""COMPUTED_VALUE"""),"185 No.")</f>
        <v>185 No.</v>
      </c>
      <c r="H580" t="str">
        <f ca="1">IFERROR(__xludf.DUMMYFUNCTION("""COMPUTED_VALUE"""),"Remote - Polycarbonate Glass for LCD Screen on Remote")</f>
        <v>Remote - Polycarbonate Glass for LCD Screen on Remote</v>
      </c>
      <c r="I580" t="str">
        <f ca="1">IFERROR(__xludf.DUMMYFUNCTION("""COMPUTED_VALUE"""),"FAB-QX7-IPREMOTE-GLASS")</f>
        <v>FAB-QX7-IPREMOTE-GLASS</v>
      </c>
    </row>
    <row r="581" spans="1:10">
      <c r="A581" s="106"/>
      <c r="B581" s="111"/>
      <c r="C581" s="111"/>
      <c r="D581" s="111"/>
      <c r="E581" s="111" t="str">
        <f ca="1">IFERROR(__xludf.DUMMYFUNCTION("""COMPUTED_VALUE"""),"Bouyant Rope - Double Braided 8mm")</f>
        <v>Bouyant Rope - Double Braided 8mm</v>
      </c>
      <c r="F581" s="111" t="str">
        <f ca="1">IFERROR(__xludf.DUMMYFUNCTION("""COMPUTED_VALUE"""),"COR-ROPE-DBRAIDED-8MM")</f>
        <v>COR-ROPE-DBRAIDED-8MM</v>
      </c>
      <c r="G581" s="111" t="str">
        <f ca="1">IFERROR(__xludf.DUMMYFUNCTION("""COMPUTED_VALUE"""),"8mm double braided")</f>
        <v>8mm double braided</v>
      </c>
      <c r="H581" t="str">
        <f ca="1">IFERROR(__xludf.DUMMYFUNCTION("""COMPUTED_VALUE"""),"55 No. Box for chraging cable &amp; Tool box")</f>
        <v>55 No. Box for chraging cable &amp; Tool box</v>
      </c>
    </row>
    <row r="582" spans="1:10">
      <c r="A582" s="106"/>
      <c r="B582" s="111"/>
      <c r="C582" s="111"/>
      <c r="D582" s="111"/>
      <c r="E582" s="111" t="str">
        <f ca="1">IFERROR(__xludf.DUMMYFUNCTION("""COMPUTED_VALUE"""),"Packing Wooden Hard Box")</f>
        <v>Packing Wooden Hard Box</v>
      </c>
      <c r="F582" s="111" t="str">
        <f ca="1">IFERROR(__xludf.DUMMYFUNCTION("""COMPUTED_VALUE"""),"STW-WOOD-46x35x18")</f>
        <v>STW-WOOD-46x35x18</v>
      </c>
      <c r="G582" s="111"/>
      <c r="H582" t="str">
        <f ca="1">IFERROR(__xludf.DUMMYFUNCTION("""COMPUTED_VALUE"""),"22 No. Box for SR structure screws")</f>
        <v>22 No. Box for SR structure screws</v>
      </c>
      <c r="J582" t="str">
        <f ca="1">IFERROR(__xludf.DUMMYFUNCTION("""COMPUTED_VALUE"""),"                                                                                 ")</f>
        <v xml:space="preserve">                                                                                 </v>
      </c>
    </row>
    <row r="583" spans="1:10">
      <c r="A583" s="106"/>
      <c r="B583" s="111"/>
      <c r="C583" s="111"/>
      <c r="D583" s="111"/>
      <c r="E583" s="111" t="str">
        <f ca="1">IFERROR(__xludf.DUMMYFUNCTION("""COMPUTED_VALUE"""),"4mm Allen Key")</f>
        <v>4mm Allen Key</v>
      </c>
      <c r="F583" s="111"/>
      <c r="G583" s="111"/>
      <c r="H583" t="str">
        <f ca="1">IFERROR(__xludf.DUMMYFUNCTION("""COMPUTED_VALUE"""),"PTB-13 Taparia Storage Box")</f>
        <v>PTB-13 Taparia Storage Box</v>
      </c>
    </row>
    <row r="584" spans="1:10">
      <c r="A584" s="106"/>
      <c r="B584" s="111"/>
      <c r="C584" s="111"/>
      <c r="D584" s="111"/>
      <c r="E584" s="111" t="str">
        <f ca="1">IFERROR(__xludf.DUMMYFUNCTION("""COMPUTED_VALUE"""),"5mm Allen Key")</f>
        <v>5mm Allen Key</v>
      </c>
      <c r="F584" s="111"/>
      <c r="G584" s="111"/>
      <c r="H584" t="str">
        <f ca="1">IFERROR(__xludf.DUMMYFUNCTION("""COMPUTED_VALUE"""),"BPSPLB - Bottom Mesh 120mm x 100mm, 5""x4""")</f>
        <v>BPSPLB - Bottom Mesh 120mm x 100mm, 5"x4"</v>
      </c>
      <c r="I584" t="str">
        <f ca="1">IFERROR(__xludf.DUMMYFUNCTION("""COMPUTED_VALUE"""),"MAC-MESH-5x4M5")</f>
        <v>MAC-MESH-5x4M5</v>
      </c>
    </row>
    <row r="585" spans="1:10">
      <c r="A585" s="106"/>
      <c r="B585" s="111"/>
      <c r="C585" s="111"/>
      <c r="D585" s="111"/>
      <c r="E585" s="111" t="str">
        <f ca="1">IFERROR(__xludf.DUMMYFUNCTION("""COMPUTED_VALUE"""),"6mm Allen Key")</f>
        <v>6mm Allen Key</v>
      </c>
      <c r="F585" s="111"/>
      <c r="G585" s="111"/>
      <c r="H585" t="str">
        <f ca="1">IFERROR(__xludf.DUMMYFUNCTION("""COMPUTED_VALUE"""),"Mesh with four sides brazing")</f>
        <v>Mesh with four sides brazing</v>
      </c>
    </row>
    <row r="586" spans="1:10">
      <c r="A586" s="106"/>
      <c r="B586" s="111"/>
      <c r="C586" s="111"/>
      <c r="D586" s="111"/>
      <c r="E586" s="111" t="str">
        <f ca="1">IFERROR(__xludf.DUMMYFUNCTION("""COMPUTED_VALUE"""),"T Handle 6mm Yato")</f>
        <v>T Handle 6mm Yato</v>
      </c>
      <c r="F586" s="111" t="str">
        <f ca="1">IFERROR(__xludf.DUMMYFUNCTION("""COMPUTED_VALUE"""),"TOL-THD-6MM")</f>
        <v>TOL-THD-6MM</v>
      </c>
      <c r="G586" s="111"/>
      <c r="H586" t="str">
        <f ca="1">IFERROR(__xludf.DUMMYFUNCTION("""COMPUTED_VALUE"""),"BPSPLB - Air Nozzle")</f>
        <v>BPSPLB - Air Nozzle</v>
      </c>
      <c r="I586" t="str">
        <f ca="1">IFERROR(__xludf.DUMMYFUNCTION("""COMPUTED_VALUE"""),"MAC-AIR-NOZZLE")</f>
        <v>MAC-AIR-NOZZLE</v>
      </c>
    </row>
    <row r="587" spans="1:10">
      <c r="A587" s="106"/>
      <c r="B587" s="111"/>
      <c r="C587" s="111"/>
      <c r="D587" s="111"/>
      <c r="E587" s="111" t="str">
        <f ca="1">IFERROR(__xludf.DUMMYFUNCTION("""COMPUTED_VALUE"""),"10mm Spanner ")</f>
        <v xml:space="preserve">10mm Spanner </v>
      </c>
      <c r="F587" s="111"/>
      <c r="G587" s="111"/>
      <c r="H587" t="str">
        <f ca="1">IFERROR(__xludf.DUMMYFUNCTION("""COMPUTED_VALUE"""),"Acetone")</f>
        <v>Acetone</v>
      </c>
      <c r="I587" t="str">
        <f ca="1">IFERROR(__xludf.DUMMYFUNCTION("""COMPUTED_VALUE"""),"CHM-ACETONE")</f>
        <v>CHM-ACETONE</v>
      </c>
    </row>
    <row r="588" spans="1:10">
      <c r="A588" s="106"/>
      <c r="B588" s="111"/>
      <c r="C588" s="111"/>
      <c r="D588" s="111"/>
      <c r="E588" s="111" t="str">
        <f ca="1">IFERROR(__xludf.DUMMYFUNCTION("""COMPUTED_VALUE"""),"EPE sheet 20mm 48""x72""")</f>
        <v>EPE sheet 20mm 48"x72"</v>
      </c>
      <c r="F588" s="111"/>
      <c r="G588" s="111"/>
      <c r="H588" t="str">
        <f ca="1">IFERROR(__xludf.DUMMYFUNCTION("""COMPUTED_VALUE"""),"Isopropyl Alcohol - IPA")</f>
        <v>Isopropyl Alcohol - IPA</v>
      </c>
      <c r="I588" t="str">
        <f ca="1">IFERROR(__xludf.DUMMYFUNCTION("""COMPUTED_VALUE"""),"CHM-IPA")</f>
        <v>CHM-IPA</v>
      </c>
    </row>
    <row r="589" spans="1:10">
      <c r="A589" s="106"/>
      <c r="B589" s="111"/>
      <c r="C589" s="111"/>
      <c r="D589" s="111"/>
      <c r="E589" s="111" t="str">
        <f ca="1">IFERROR(__xludf.DUMMYFUNCTION("""COMPUTED_VALUE"""),"User Manual (Kangaroo)")</f>
        <v>User Manual (Kangaroo)</v>
      </c>
      <c r="F589" s="111" t="str">
        <f ca="1">IFERROR(__xludf.DUMMYFUNCTION("""COMPUTED_VALUE"""),"GAC-USERMANUAL")</f>
        <v>GAC-USERMANUAL</v>
      </c>
      <c r="G589" s="111"/>
      <c r="H589" t="str">
        <f ca="1">IFERROR(__xludf.DUMMYFUNCTION("""COMPUTED_VALUE"""),"Foam Gasket 40mm width 5mm thick")</f>
        <v>Foam Gasket 40mm width 5mm thick</v>
      </c>
    </row>
    <row r="590" spans="1:10">
      <c r="A590" s="106"/>
      <c r="B590" s="111"/>
      <c r="C590" s="111"/>
      <c r="D590" s="111"/>
      <c r="E590" s="111" t="str">
        <f ca="1">IFERROR(__xludf.DUMMYFUNCTION("""COMPUTED_VALUE"""),"Envelope for User Manual")</f>
        <v>Envelope for User Manual</v>
      </c>
      <c r="F590" s="111" t="str">
        <f ca="1">IFERROR(__xludf.DUMMYFUNCTION("""COMPUTED_VALUE"""),"GAC-ENVELOPE")</f>
        <v>GAC-ENVELOPE</v>
      </c>
      <c r="G590" s="111"/>
      <c r="H590" t="str">
        <f ca="1">IFERROR(__xludf.DUMMYFUNCTION("""COMPUTED_VALUE"""),"Poly Urethane Foam (polyols)")</f>
        <v>Poly Urethane Foam (polyols)</v>
      </c>
      <c r="I590" t="str">
        <f ca="1">IFERROR(__xludf.DUMMYFUNCTION("""COMPUTED_VALUE"""),"MAC-PUF-ISO&amp;POLYOL-40D30S")</f>
        <v>MAC-PUF-ISO&amp;POLYOL-40D30S</v>
      </c>
    </row>
    <row r="591" spans="1:10">
      <c r="A591" s="106"/>
      <c r="B591" s="111"/>
      <c r="C591" s="111"/>
      <c r="D591" s="111"/>
      <c r="E591" s="111" t="str">
        <f ca="1">IFERROR(__xludf.DUMMYFUNCTION("""COMPUTED_VALUE"""),"Surgical Gloves")</f>
        <v>Surgical Gloves</v>
      </c>
      <c r="F591" s="111"/>
      <c r="G591" s="111"/>
      <c r="H591" t="str">
        <f ca="1">IFERROR(__xludf.DUMMYFUNCTION("""COMPUTED_VALUE"""),"Poly Urethane Foam (isocyanates)")</f>
        <v>Poly Urethane Foam (isocyanates)</v>
      </c>
    </row>
    <row r="592" spans="1:10">
      <c r="A592" s="106"/>
      <c r="B592" s="111"/>
      <c r="C592" s="111"/>
      <c r="D592" s="111"/>
      <c r="E592" s="111" t="str">
        <f ca="1">IFERROR(__xludf.DUMMYFUNCTION("""COMPUTED_VALUE"""),"Charger - X16 Extension Panel")</f>
        <v>Charger - X16 Extension Panel</v>
      </c>
      <c r="F592" s="111" t="str">
        <f ca="1">IFERROR(__xludf.DUMMYFUNCTION("""COMPUTED_VALUE"""),"FAB-INJ-X16-EXT-PANEL")</f>
        <v>FAB-INJ-X16-EXT-PANEL</v>
      </c>
      <c r="G592" s="111"/>
      <c r="H592" t="str">
        <f ca="1">IFERROR(__xludf.DUMMYFUNCTION("""COMPUTED_VALUE"""),"Silicon Hose 4mm x 8mm")</f>
        <v>Silicon Hose 4mm x 8mm</v>
      </c>
    </row>
    <row r="593" spans="1:10">
      <c r="A593" s="106"/>
      <c r="B593" s="111"/>
      <c r="C593" s="111"/>
      <c r="D593" s="111"/>
      <c r="E593" s="111" t="str">
        <f ca="1">IFERROR(__xludf.DUMMYFUNCTION("""COMPUTED_VALUE"""),"Polish Bottle")</f>
        <v>Polish Bottle</v>
      </c>
      <c r="F593" s="111"/>
      <c r="G593" s="111"/>
      <c r="H593" t="str">
        <f ca="1">IFERROR(__xludf.DUMMYFUNCTION("""COMPUTED_VALUE"""),"Silicon Hose 3mm x 6mm")</f>
        <v>Silicon Hose 3mm x 6mm</v>
      </c>
    </row>
    <row r="594" spans="1:10">
      <c r="A594" s="106"/>
      <c r="B594" s="111"/>
      <c r="C594" s="111"/>
      <c r="D594" s="111"/>
      <c r="E594" s="111" t="str">
        <f ca="1">IFERROR(__xludf.DUMMYFUNCTION("""COMPUTED_VALUE"""),"Shavison SMPS")</f>
        <v>Shavison SMPS</v>
      </c>
      <c r="F594" s="111"/>
      <c r="G594" s="111"/>
      <c r="H594" t="str">
        <f ca="1">IFERROR(__xludf.DUMMYFUNCTION("""COMPUTED_VALUE"""),"Remote - Silicon Water Proof Rubber Boot For Joystick")</f>
        <v>Remote - Silicon Water Proof Rubber Boot For Joystick</v>
      </c>
      <c r="I594" t="str">
        <f ca="1">IFERROR(__xludf.DUMMYFUNCTION("""COMPUTED_VALUE"""),"SLN-BOOT-JOYSTICK")</f>
        <v>SLN-BOOT-JOYSTICK</v>
      </c>
    </row>
    <row r="595" spans="1:10">
      <c r="A595" s="106"/>
      <c r="B595" s="111"/>
      <c r="C595" s="111"/>
      <c r="D595" s="111"/>
      <c r="E595" s="111" t="str">
        <f ca="1">IFERROR(__xludf.DUMMYFUNCTION("""COMPUTED_VALUE"""),"Wifi Adapter Microtik")</f>
        <v>Wifi Adapter Microtik</v>
      </c>
      <c r="F595" s="111"/>
      <c r="G595" s="111"/>
      <c r="H595" t="str">
        <f ca="1">IFERROR(__xludf.DUMMYFUNCTION("""COMPUTED_VALUE"""),"Remote - Silicon Water Proof Button Cover No. 1")</f>
        <v>Remote - Silicon Water Proof Button Cover No. 1</v>
      </c>
      <c r="I595" t="str">
        <f ca="1">IFERROR(__xludf.DUMMYFUNCTION("""COMPUTED_VALUE"""),"SLN-BOOT-BUTTON1")</f>
        <v>SLN-BOOT-BUTTON1</v>
      </c>
    </row>
    <row r="596" spans="1:10">
      <c r="A596" s="106"/>
      <c r="B596" s="111"/>
      <c r="C596" s="111"/>
      <c r="D596" s="111"/>
      <c r="E596" s="111" t="str">
        <f ca="1">IFERROR(__xludf.DUMMYFUNCTION("""COMPUTED_VALUE"""),"Wifi router")</f>
        <v>Wifi router</v>
      </c>
      <c r="F596" s="111"/>
      <c r="G596" s="111"/>
      <c r="H596" t="str">
        <f ca="1">IFERROR(__xludf.DUMMYFUNCTION("""COMPUTED_VALUE"""),"Remote - Silicon Water Proof Button Cover No. 2")</f>
        <v>Remote - Silicon Water Proof Button Cover No. 2</v>
      </c>
      <c r="I596" t="str">
        <f ca="1">IFERROR(__xludf.DUMMYFUNCTION("""COMPUTED_VALUE"""),"SLN-BOOT-BUTTON2")</f>
        <v>SLN-BOOT-BUTTON2</v>
      </c>
    </row>
    <row r="597" spans="1:10">
      <c r="A597" s="106"/>
      <c r="B597" s="111"/>
      <c r="C597" s="111"/>
      <c r="D597" s="111"/>
      <c r="E597" s="111" t="str">
        <f ca="1">IFERROR(__xludf.DUMMYFUNCTION("""COMPUTED_VALUE"""),"Adapter 9.13V")</f>
        <v>Adapter 9.13V</v>
      </c>
      <c r="F597" s="111"/>
      <c r="G597" s="111"/>
      <c r="H597" t="str">
        <f ca="1">IFERROR(__xludf.DUMMYFUNCTION("""COMPUTED_VALUE"""),"Foam Gasket 25mm width 3mm thick")</f>
        <v>Foam Gasket 25mm width 3mm thick</v>
      </c>
    </row>
    <row r="598" spans="1:10">
      <c r="A598" s="106"/>
      <c r="B598" s="111"/>
      <c r="C598" s="111"/>
      <c r="D598" s="111"/>
      <c r="E598" s="111" t="str">
        <f ca="1">IFERROR(__xludf.DUMMYFUNCTION("""COMPUTED_VALUE"""),"Adapter 5.19V")</f>
        <v>Adapter 5.19V</v>
      </c>
      <c r="F598" s="111"/>
      <c r="G598" s="111"/>
      <c r="H598" t="str">
        <f ca="1">IFERROR(__xludf.DUMMYFUNCTION("""COMPUTED_VALUE"""),"Sealant - Thread Locker 242")</f>
        <v>Sealant - Thread Locker 242</v>
      </c>
      <c r="I598" t="str">
        <f ca="1">IFERROR(__xludf.DUMMYFUNCTION("""COMPUTED_VALUE"""),"MAC-ADH-242-2MTO3M")</f>
        <v>MAC-ADH-242-2MTO3M</v>
      </c>
      <c r="J598" t="str">
        <f ca="1">IFERROR(__xludf.DUMMYFUNCTION("""COMPUTED_VALUE"""),"Loctite 242")</f>
        <v>Loctite 242</v>
      </c>
    </row>
    <row r="599" spans="1:10">
      <c r="A599" s="106"/>
      <c r="B599" s="111"/>
      <c r="C599" s="111"/>
      <c r="D599" s="111"/>
      <c r="E599" s="111" t="str">
        <f ca="1">IFERROR(__xludf.DUMMYFUNCTION("""COMPUTED_VALUE"""),"Roast Flash Pro bottle")</f>
        <v>Roast Flash Pro bottle</v>
      </c>
      <c r="F599" s="111"/>
      <c r="G599" s="111"/>
      <c r="H599" t="str">
        <f ca="1">IFERROR(__xludf.DUMMYFUNCTION("""COMPUTED_VALUE"""),"Thread locker 270")</f>
        <v>Thread locker 270</v>
      </c>
    </row>
    <row r="600" spans="1:10">
      <c r="A600" s="106"/>
      <c r="B600" s="111"/>
      <c r="C600" s="111"/>
      <c r="D600" s="111"/>
      <c r="E600" s="111" t="str">
        <f ca="1">IFERROR(__xludf.DUMMYFUNCTION("""COMPUTED_VALUE"""),"Syringes 50ml")</f>
        <v>Syringes 50ml</v>
      </c>
      <c r="F600" s="111"/>
      <c r="G600" s="111"/>
      <c r="H600" t="str">
        <f ca="1">IFERROR(__xludf.DUMMYFUNCTION("""COMPUTED_VALUE"""),"Sealant - Thread Locker 290")</f>
        <v>Sealant - Thread Locker 290</v>
      </c>
      <c r="I600" t="str">
        <f ca="1">IFERROR(__xludf.DUMMYFUNCTION("""COMPUTED_VALUE"""),"MAC-ADH-290-4MTO8M")</f>
        <v>MAC-ADH-290-4MTO8M</v>
      </c>
      <c r="J600" t="str">
        <f ca="1">IFERROR(__xludf.DUMMYFUNCTION("""COMPUTED_VALUE"""),"Loctite 290")</f>
        <v>Loctite 290</v>
      </c>
    </row>
    <row r="601" spans="1:10">
      <c r="A601" s="106"/>
      <c r="B601" s="111"/>
      <c r="C601" s="111"/>
      <c r="D601" s="111"/>
      <c r="E601" s="111" t="str">
        <f ca="1">IFERROR(__xludf.DUMMYFUNCTION("""COMPUTED_VALUE"""),"Syringes 20ml")</f>
        <v>Syringes 20ml</v>
      </c>
      <c r="F601" s="111"/>
      <c r="G601" s="111"/>
      <c r="H601" t="str">
        <f ca="1">IFERROR(__xludf.DUMMYFUNCTION("""COMPUTED_VALUE"""),"Thread locker primer SF 7649")</f>
        <v>Thread locker primer SF 7649</v>
      </c>
      <c r="I601" t="str">
        <f ca="1">IFERROR(__xludf.DUMMYFUNCTION("""COMPUTED_VALUE"""),"MAC-ADH-SF7649")</f>
        <v>MAC-ADH-SF7649</v>
      </c>
      <c r="J601" t="str">
        <f ca="1">IFERROR(__xludf.DUMMYFUNCTION("""COMPUTED_VALUE"""),"Loctite SF 7649")</f>
        <v>Loctite SF 7649</v>
      </c>
    </row>
    <row r="602" spans="1:10">
      <c r="A602" s="106"/>
      <c r="B602" s="111"/>
      <c r="C602" s="111"/>
      <c r="D602" s="111"/>
      <c r="E602" s="111" t="str">
        <f ca="1">IFERROR(__xludf.DUMMYFUNCTION("""COMPUTED_VALUE"""),"Syringes - 10ml")</f>
        <v>Syringes - 10ml</v>
      </c>
      <c r="F602" s="111"/>
      <c r="G602" s="111"/>
      <c r="H602" t="str">
        <f ca="1">IFERROR(__xludf.DUMMYFUNCTION("""COMPUTED_VALUE"""),"Sealant - Instant Adhesive 407 for EPE sticking")</f>
        <v>Sealant - Instant Adhesive 407 for EPE sticking</v>
      </c>
      <c r="I602" t="str">
        <f ca="1">IFERROR(__xludf.DUMMYFUNCTION("""COMPUTED_VALUE"""),"MAC-ADH-407-INSTA")</f>
        <v>MAC-ADH-407-INSTA</v>
      </c>
    </row>
    <row r="603" spans="1:10">
      <c r="A603" s="106"/>
      <c r="B603" s="111"/>
      <c r="C603" s="111"/>
      <c r="D603" s="111"/>
      <c r="E603" s="111" t="str">
        <f ca="1">IFERROR(__xludf.DUMMYFUNCTION("""COMPUTED_VALUE"""),"Syringes-3ml")</f>
        <v>Syringes-3ml</v>
      </c>
      <c r="F603" s="111"/>
      <c r="G603" s="111"/>
      <c r="H603" t="str">
        <f ca="1">IFERROR(__xludf.DUMMYFUNCTION("""COMPUTED_VALUE"""),"Sealant - O-Ring - For AFT Plate, Lenght 60cm Soft Sponge Rubber 6mm Square")</f>
        <v>Sealant - O-Ring - For AFT Plate, Lenght 60cm Soft Sponge Rubber 6mm Square</v>
      </c>
      <c r="I603" t="str">
        <f ca="1">IFERROR(__xludf.DUMMYFUNCTION("""COMPUTED_VALUE"""),"SLN-ORI-60C-6MSQ")</f>
        <v>SLN-ORI-60C-6MSQ</v>
      </c>
    </row>
    <row r="604" spans="1:10">
      <c r="A604" s="106"/>
      <c r="B604" s="111"/>
      <c r="C604" s="111"/>
      <c r="D604" s="111"/>
      <c r="E604" s="111" t="str">
        <f ca="1">IFERROR(__xludf.DUMMYFUNCTION("""COMPUTED_VALUE"""),"Syringes - 2ml")</f>
        <v>Syringes - 2ml</v>
      </c>
      <c r="F604" s="111"/>
      <c r="G604" s="111"/>
      <c r="H604" t="str">
        <f ca="1">IFERROR(__xludf.DUMMYFUNCTION("""COMPUTED_VALUE"""),"Sealant - O-Ring - For Kangaroo box and top cover lid 3mm round")</f>
        <v>Sealant - O-Ring - For Kangaroo box and top cover lid 3mm round</v>
      </c>
      <c r="I604" t="str">
        <f ca="1">IFERROR(__xludf.DUMMYFUNCTION("""COMPUTED_VALUE"""),"SLN-ORI-60C-3CYL")</f>
        <v>SLN-ORI-60C-3CYL</v>
      </c>
    </row>
    <row r="605" spans="1:10">
      <c r="A605" s="106"/>
      <c r="B605" s="111"/>
      <c r="C605" s="111"/>
      <c r="D605" s="111"/>
      <c r="E605" s="111" t="str">
        <f ca="1">IFERROR(__xludf.DUMMYFUNCTION("""COMPUTED_VALUE"""),"WD 40")</f>
        <v>WD 40</v>
      </c>
      <c r="F605" s="111"/>
      <c r="G605" s="111"/>
      <c r="H605" t="str">
        <f ca="1">IFERROR(__xludf.DUMMYFUNCTION("""COMPUTED_VALUE"""),"Sticker - Star Board Hook Sticker")</f>
        <v>Sticker - Star Board Hook Sticker</v>
      </c>
      <c r="I605" t="str">
        <f ca="1">IFERROR(__xludf.DUMMYFUNCTION("""COMPUTED_VALUE"""),"STX-STBD-LIFTFHERE")</f>
        <v>STX-STBD-LIFTFHERE</v>
      </c>
    </row>
    <row r="606" spans="1:10">
      <c r="A606" s="106"/>
      <c r="B606" s="111"/>
      <c r="C606" s="111"/>
      <c r="D606" s="111"/>
      <c r="E606" s="111" t="str">
        <f ca="1">IFERROR(__xludf.DUMMYFUNCTION("""COMPUTED_VALUE"""),"CRC 5 - 56 power spray")</f>
        <v>CRC 5 - 56 power spray</v>
      </c>
      <c r="F606" s="111"/>
      <c r="G606" s="111"/>
      <c r="H606" t="str">
        <f ca="1">IFERROR(__xludf.DUMMYFUNCTION("""COMPUTED_VALUE"""),"Sticker - Port Hook Sticker")</f>
        <v>Sticker - Port Hook Sticker</v>
      </c>
      <c r="I606" t="str">
        <f ca="1">IFERROR(__xludf.DUMMYFUNCTION("""COMPUTED_VALUE"""),"STX-PORT-LIFTFHERE")</f>
        <v>STX-PORT-LIFTFHERE</v>
      </c>
    </row>
    <row r="607" spans="1:10">
      <c r="A607" s="106"/>
      <c r="B607" s="111"/>
      <c r="C607" s="111"/>
      <c r="D607" s="111"/>
      <c r="E607" s="111" t="str">
        <f ca="1">IFERROR(__xludf.DUMMYFUNCTION("""COMPUTED_VALUE"""),"Matt Black Spray")</f>
        <v>Matt Black Spray</v>
      </c>
      <c r="F607" s="111"/>
      <c r="G607" s="111"/>
      <c r="H607" t="str">
        <f ca="1">IFERROR(__xludf.DUMMYFUNCTION("""COMPUTED_VALUE"""),"Sticker - Star Board Hold Here Sticker")</f>
        <v>Sticker - Star Board Hold Here Sticker</v>
      </c>
      <c r="I607" t="str">
        <f ca="1">IFERROR(__xludf.DUMMYFUNCTION("""COMPUTED_VALUE"""),"STX-STBD-HOLDHERE")</f>
        <v>STX-STBD-HOLDHERE</v>
      </c>
    </row>
    <row r="608" spans="1:10">
      <c r="A608" s="106"/>
      <c r="B608" s="111"/>
      <c r="C608" s="111"/>
      <c r="D608" s="111"/>
      <c r="E608" s="111" t="str">
        <f ca="1">IFERROR(__xludf.DUMMYFUNCTION("""COMPUTED_VALUE"""),"Black Spray")</f>
        <v>Black Spray</v>
      </c>
      <c r="F608" s="111"/>
      <c r="G608" s="111"/>
      <c r="H608" t="str">
        <f ca="1">IFERROR(__xludf.DUMMYFUNCTION("""COMPUTED_VALUE"""),"Sticker - Port Hold Here Sticker")</f>
        <v>Sticker - Port Hold Here Sticker</v>
      </c>
      <c r="I608" t="str">
        <f ca="1">IFERROR(__xludf.DUMMYFUNCTION("""COMPUTED_VALUE"""),"STX-PORT-HOLDHERE")</f>
        <v>STX-PORT-HOLDHERE</v>
      </c>
    </row>
    <row r="609" spans="1:10">
      <c r="A609" s="106"/>
      <c r="B609" s="111"/>
      <c r="C609" s="111"/>
      <c r="D609" s="111"/>
      <c r="E609" s="111" t="str">
        <f ca="1">IFERROR(__xludf.DUMMYFUNCTION("""COMPUTED_VALUE"""),"Extrusion Clamps 40mm")</f>
        <v>Extrusion Clamps 40mm</v>
      </c>
      <c r="F609" s="111"/>
      <c r="G609" s="111"/>
      <c r="H609" t="str">
        <f ca="1">IFERROR(__xludf.DUMMYFUNCTION("""COMPUTED_VALUE"""),"Sticker - Charging Process on Charger")</f>
        <v>Sticker - Charging Process on Charger</v>
      </c>
      <c r="I609" t="str">
        <f ca="1">IFERROR(__xludf.DUMMYFUNCTION("""COMPUTED_VALUE"""),"STX-PORT-HOLDHERE")</f>
        <v>STX-PORT-HOLDHERE</v>
      </c>
    </row>
    <row r="610" spans="1:10">
      <c r="A610" s="106"/>
      <c r="B610" s="111"/>
      <c r="C610" s="111"/>
      <c r="D610" s="111"/>
      <c r="E610" s="111" t="str">
        <f ca="1">IFERROR(__xludf.DUMMYFUNCTION("""COMPUTED_VALUE"""),"Extrusion Clamps30mm")</f>
        <v>Extrusion Clamps30mm</v>
      </c>
      <c r="F610" s="111"/>
      <c r="G610" s="111"/>
      <c r="H610" t="str">
        <f ca="1">IFERROR(__xludf.DUMMYFUNCTION("""COMPUTED_VALUE"""),"Sticker - Wooden box Sticker")</f>
        <v>Sticker - Wooden box Sticker</v>
      </c>
      <c r="I610" t="str">
        <f ca="1">IFERROR(__xludf.DUMMYFUNCTION("""COMPUTED_VALUE"""),"STX-WOODENBOX")</f>
        <v>STX-WOODENBOX</v>
      </c>
    </row>
    <row r="611" spans="1:10">
      <c r="A611" s="106"/>
      <c r="B611" s="111"/>
      <c r="C611" s="111"/>
      <c r="D611" s="111"/>
      <c r="E611" s="111" t="str">
        <f ca="1">IFERROR(__xludf.DUMMYFUNCTION("""COMPUTED_VALUE"""),"Extrusion Clamps 20mm")</f>
        <v>Extrusion Clamps 20mm</v>
      </c>
      <c r="F611" s="111"/>
      <c r="G611" s="111"/>
      <c r="H611" t="str">
        <f ca="1">IFERROR(__xludf.DUMMYFUNCTION("""COMPUTED_VALUE"""),"Sticker - Saifseas 3D Dome Sticker")</f>
        <v>Sticker - Saifseas 3D Dome Sticker</v>
      </c>
    </row>
    <row r="612" spans="1:10">
      <c r="A612" s="106"/>
      <c r="B612" s="111"/>
      <c r="C612" s="111"/>
      <c r="D612" s="111"/>
      <c r="E612" s="111" t="str">
        <f ca="1">IFERROR(__xludf.DUMMYFUNCTION("""COMPUTED_VALUE"""),"NC Thinner")</f>
        <v>NC Thinner</v>
      </c>
      <c r="F612" s="111"/>
      <c r="G612" s="111"/>
      <c r="H612" t="str">
        <f ca="1">IFERROR(__xludf.DUMMYFUNCTION("""COMPUTED_VALUE"""),"Craft Cleaning Notify Sticker")</f>
        <v>Craft Cleaning Notify Sticker</v>
      </c>
      <c r="I612" t="str">
        <f ca="1">IFERROR(__xludf.DUMMYFUNCTION("""COMPUTED_VALUE"""),"STX-CHR-CHARGEPROCESS")</f>
        <v>STX-CHR-CHARGEPROCESS</v>
      </c>
    </row>
    <row r="613" spans="1:10">
      <c r="A613" s="106"/>
      <c r="B613" s="111"/>
      <c r="C613" s="111"/>
      <c r="D613" s="111"/>
      <c r="E613" s="111" t="str">
        <f ca="1">IFERROR(__xludf.DUMMYFUNCTION("""COMPUTED_VALUE"""),"Turpentrate Oil")</f>
        <v>Turpentrate Oil</v>
      </c>
      <c r="F613" s="111"/>
      <c r="G613" s="111"/>
      <c r="H613" t="str">
        <f ca="1">IFERROR(__xludf.DUMMYFUNCTION("""COMPUTED_VALUE"""),"Switch Stickers")</f>
        <v>Switch Stickers</v>
      </c>
    </row>
    <row r="614" spans="1:10">
      <c r="A614" s="106"/>
      <c r="B614" s="111"/>
      <c r="C614" s="111"/>
      <c r="D614" s="111"/>
      <c r="E614" s="111" t="str">
        <f ca="1">IFERROR(__xludf.DUMMYFUNCTION("""COMPUTED_VALUE"""),"SW2 Spray")</f>
        <v>SW2 Spray</v>
      </c>
      <c r="F614" s="111"/>
      <c r="G614" s="111"/>
      <c r="H614" t="str">
        <f ca="1">IFERROR(__xludf.DUMMYFUNCTION("""COMPUTED_VALUE"""),"Small Saif Seas Sticker")</f>
        <v>Small Saif Seas Sticker</v>
      </c>
    </row>
    <row r="615" spans="1:10">
      <c r="A615" s="106"/>
      <c r="B615" s="111"/>
      <c r="C615" s="111"/>
      <c r="D615" s="111"/>
      <c r="E615" s="111" t="str">
        <f ca="1">IFERROR(__xludf.DUMMYFUNCTION("""COMPUTED_VALUE"""),"Spot Check SKC - 1 (Cleaner/Remover)")</f>
        <v>Spot Check SKC - 1 (Cleaner/Remover)</v>
      </c>
      <c r="F615" s="111"/>
      <c r="G615" s="111"/>
      <c r="H615" t="str">
        <f ca="1">IFERROR(__xludf.DUMMYFUNCTION("""COMPUTED_VALUE"""),"Ferrule 185 No.")</f>
        <v>Ferrule 185 No.</v>
      </c>
      <c r="I615" t="str">
        <f ca="1">IFERROR(__xludf.DUMMYFUNCTION("""COMPUTED_VALUE"""),"MAC-FERRULE-185No")</f>
        <v>MAC-FERRULE-185No</v>
      </c>
      <c r="J615" t="str">
        <f ca="1">IFERROR(__xludf.DUMMYFUNCTION("""COMPUTED_VALUE"""),"185 No.")</f>
        <v>185 No.</v>
      </c>
    </row>
    <row r="616" spans="1:10">
      <c r="A616" s="106"/>
      <c r="B616" s="111"/>
      <c r="C616" s="111"/>
      <c r="D616" s="111"/>
      <c r="E616" s="111" t="str">
        <f ca="1">IFERROR(__xludf.DUMMYFUNCTION("""COMPUTED_VALUE"""),"Teroson Gun")</f>
        <v>Teroson Gun</v>
      </c>
      <c r="F616" s="111"/>
      <c r="G616" s="111"/>
      <c r="H616" t="str">
        <f ca="1">IFERROR(__xludf.DUMMYFUNCTION("""COMPUTED_VALUE"""),"Bouyant Rope - Double Braided 8mm")</f>
        <v>Bouyant Rope - Double Braided 8mm</v>
      </c>
      <c r="I616" t="str">
        <f ca="1">IFERROR(__xludf.DUMMYFUNCTION("""COMPUTED_VALUE"""),"COR-ROPE-DBRAIDED-8MM")</f>
        <v>COR-ROPE-DBRAIDED-8MM</v>
      </c>
      <c r="J616" t="str">
        <f ca="1">IFERROR(__xludf.DUMMYFUNCTION("""COMPUTED_VALUE"""),"8mm double braided")</f>
        <v>8mm double braided</v>
      </c>
    </row>
    <row r="617" spans="1:10">
      <c r="A617" s="106"/>
      <c r="B617" s="111"/>
      <c r="C617" s="111"/>
      <c r="D617" s="111"/>
      <c r="E617" s="111" t="str">
        <f ca="1">IFERROR(__xludf.DUMMYFUNCTION("""COMPUTED_VALUE"""),"M6 Thumbolts")</f>
        <v>M6 Thumbolts</v>
      </c>
      <c r="F617" s="111"/>
      <c r="G617" s="111"/>
      <c r="H617" t="str">
        <f ca="1">IFERROR(__xludf.DUMMYFUNCTION("""COMPUTED_VALUE"""),"Packing Wooden Hard Box")</f>
        <v>Packing Wooden Hard Box</v>
      </c>
      <c r="I617" t="str">
        <f ca="1">IFERROR(__xludf.DUMMYFUNCTION("""COMPUTED_VALUE"""),"STW-WOOD-46x35x18")</f>
        <v>STW-WOOD-46x35x18</v>
      </c>
    </row>
    <row r="618" spans="1:10">
      <c r="A618" s="106"/>
      <c r="B618" s="111"/>
      <c r="C618" s="111"/>
      <c r="D618" s="111"/>
      <c r="E618" s="111" t="str">
        <f ca="1">IFERROR(__xludf.DUMMYFUNCTION("""COMPUTED_VALUE"""),"M4 Thumbolts")</f>
        <v>M4 Thumbolts</v>
      </c>
      <c r="F618" s="111"/>
      <c r="G618" s="111"/>
      <c r="H618" t="str">
        <f ca="1">IFERROR(__xludf.DUMMYFUNCTION("""COMPUTED_VALUE"""),"4mm Allen Key")</f>
        <v>4mm Allen Key</v>
      </c>
    </row>
    <row r="619" spans="1:10">
      <c r="A619" s="106"/>
      <c r="B619" s="111"/>
      <c r="C619" s="111"/>
      <c r="D619" s="111"/>
      <c r="E619" s="111" t="str">
        <f ca="1">IFERROR(__xludf.DUMMYFUNCTION("""COMPUTED_VALUE"""),"Wave Radar SeaView")</f>
        <v>Wave Radar SeaView</v>
      </c>
      <c r="F619" s="111"/>
      <c r="G619" s="111"/>
      <c r="H619" t="str">
        <f ca="1">IFERROR(__xludf.DUMMYFUNCTION("""COMPUTED_VALUE"""),"5mm Allen Key")</f>
        <v>5mm Allen Key</v>
      </c>
    </row>
    <row r="620" spans="1:10">
      <c r="A620" s="106"/>
      <c r="B620" s="111"/>
      <c r="C620" s="111"/>
      <c r="D620" s="111"/>
      <c r="E620" s="111" t="str">
        <f ca="1">IFERROR(__xludf.DUMMYFUNCTION("""COMPUTED_VALUE"""),"Altimeter")</f>
        <v>Altimeter</v>
      </c>
      <c r="F620" s="111"/>
      <c r="G620" s="111"/>
      <c r="H620" t="str">
        <f ca="1">IFERROR(__xludf.DUMMYFUNCTION("""COMPUTED_VALUE"""),"6mm Allen Key")</f>
        <v>6mm Allen Key</v>
      </c>
    </row>
    <row r="621" spans="1:10">
      <c r="A621" s="106"/>
      <c r="B621" s="111"/>
      <c r="C621" s="111"/>
      <c r="D621" s="111"/>
      <c r="E621" s="111" t="str">
        <f ca="1">IFERROR(__xludf.DUMMYFUNCTION("""COMPUTED_VALUE"""),"UDST800")</f>
        <v>UDST800</v>
      </c>
      <c r="F621" s="111"/>
      <c r="G621" s="111"/>
      <c r="H621" t="str">
        <f ca="1">IFERROR(__xludf.DUMMYFUNCTION("""COMPUTED_VALUE"""),"T Handle 6mm Yato")</f>
        <v>T Handle 6mm Yato</v>
      </c>
      <c r="I621" t="str">
        <f ca="1">IFERROR(__xludf.DUMMYFUNCTION("""COMPUTED_VALUE"""),"TOL-THD-6MM")</f>
        <v>TOL-THD-6MM</v>
      </c>
    </row>
    <row r="622" spans="1:10">
      <c r="A622" s="106"/>
      <c r="B622" s="111"/>
      <c r="C622" s="111"/>
      <c r="D622" s="111"/>
      <c r="E622" s="111" t="str">
        <f ca="1">IFERROR(__xludf.DUMMYFUNCTION("""COMPUTED_VALUE"""),"Heave Sensor (IMU) Ellipse2-A")</f>
        <v>Heave Sensor (IMU) Ellipse2-A</v>
      </c>
      <c r="F622" s="111"/>
      <c r="G622" s="111"/>
      <c r="H622" t="str">
        <f ca="1">IFERROR(__xludf.DUMMYFUNCTION("""COMPUTED_VALUE"""),"10mm Spanner ")</f>
        <v xml:space="preserve">10mm Spanner </v>
      </c>
    </row>
    <row r="623" spans="1:10">
      <c r="A623" s="106"/>
      <c r="B623" s="111"/>
      <c r="C623" s="111"/>
      <c r="D623" s="111"/>
      <c r="E623" s="111" t="str">
        <f ca="1">IFERROR(__xludf.DUMMYFUNCTION("""COMPUTED_VALUE"""),"Rim Drive Thruster 5kW (Netherlands)")</f>
        <v>Rim Drive Thruster 5kW (Netherlands)</v>
      </c>
      <c r="F623" s="111"/>
      <c r="G623" s="111"/>
      <c r="H623" t="str">
        <f ca="1">IFERROR(__xludf.DUMMYFUNCTION("""COMPUTED_VALUE"""),"EPE sheet 20mm 48""x72""")</f>
        <v>EPE sheet 20mm 48"x72"</v>
      </c>
    </row>
    <row r="624" spans="1:10">
      <c r="A624" s="106"/>
      <c r="B624" s="111"/>
      <c r="C624" s="111"/>
      <c r="D624" s="111"/>
      <c r="E624" s="111" t="str">
        <f ca="1">IFERROR(__xludf.DUMMYFUNCTION("""COMPUTED_VALUE"""),"Rim Drive Thruster ")</f>
        <v xml:space="preserve">Rim Drive Thruster </v>
      </c>
      <c r="F624" s="111"/>
      <c r="G624" s="111"/>
      <c r="H624" t="str">
        <f ca="1">IFERROR(__xludf.DUMMYFUNCTION("""COMPUTED_VALUE"""),"User Manual (Kangaroo)")</f>
        <v>User Manual (Kangaroo)</v>
      </c>
      <c r="I624" t="str">
        <f ca="1">IFERROR(__xludf.DUMMYFUNCTION("""COMPUTED_VALUE"""),"GAC-USERMANUAL")</f>
        <v>GAC-USERMANUAL</v>
      </c>
    </row>
    <row r="625" spans="1:9">
      <c r="A625" s="106"/>
      <c r="B625" s="111"/>
      <c r="C625" s="111"/>
      <c r="D625" s="111"/>
      <c r="E625" s="111" t="str">
        <f ca="1">IFERROR(__xludf.DUMMYFUNCTION("""COMPUTED_VALUE"""),"Trmble GPS Antenna")</f>
        <v>Trmble GPS Antenna</v>
      </c>
      <c r="F625" s="111"/>
      <c r="G625" s="111"/>
      <c r="H625" t="str">
        <f ca="1">IFERROR(__xludf.DUMMYFUNCTION("""COMPUTED_VALUE"""),"Envelope for User Manual")</f>
        <v>Envelope for User Manual</v>
      </c>
      <c r="I625" t="str">
        <f ca="1">IFERROR(__xludf.DUMMYFUNCTION("""COMPUTED_VALUE"""),"GAC-ENVELOPE")</f>
        <v>GAC-ENVELOPE</v>
      </c>
    </row>
    <row r="626" spans="1:9">
      <c r="A626" s="106"/>
      <c r="B626" s="111"/>
      <c r="C626" s="111"/>
      <c r="D626" s="111"/>
      <c r="E626" s="111" t="str">
        <f ca="1">IFERROR(__xludf.DUMMYFUNCTION("""COMPUTED_VALUE"""),"TNC-TNC Antenna Cable 5mtrs")</f>
        <v>TNC-TNC Antenna Cable 5mtrs</v>
      </c>
      <c r="F626" s="111"/>
      <c r="G626" s="111"/>
      <c r="H626" t="str">
        <f ca="1">IFERROR(__xludf.DUMMYFUNCTION("""COMPUTED_VALUE"""),"Surgical Gloves")</f>
        <v>Surgical Gloves</v>
      </c>
    </row>
    <row r="627" spans="1:9">
      <c r="A627" s="106"/>
      <c r="B627" s="111"/>
      <c r="C627" s="111"/>
      <c r="D627" s="111"/>
      <c r="E627" s="111" t="str">
        <f ca="1">IFERROR(__xludf.DUMMYFUNCTION("""COMPUTED_VALUE"""),"Radio 35W for GPS correction")</f>
        <v>Radio 35W for GPS correction</v>
      </c>
      <c r="F627" s="111"/>
      <c r="G627" s="111"/>
      <c r="H627" t="str">
        <f ca="1">IFERROR(__xludf.DUMMYFUNCTION("""COMPUTED_VALUE"""),"Charger - X16 Extension Panel")</f>
        <v>Charger - X16 Extension Panel</v>
      </c>
      <c r="I627" t="str">
        <f ca="1">IFERROR(__xludf.DUMMYFUNCTION("""COMPUTED_VALUE"""),"FAB-INJ-X16-EXT-PANEL")</f>
        <v>FAB-INJ-X16-EXT-PANEL</v>
      </c>
    </row>
    <row r="628" spans="1:9">
      <c r="A628" s="106"/>
      <c r="B628" s="111"/>
      <c r="C628" s="111"/>
      <c r="D628" s="111"/>
      <c r="E628" s="111" t="str">
        <f ca="1">IFERROR(__xludf.DUMMYFUNCTION("""COMPUTED_VALUE"""),"Veronte AutoPilot")</f>
        <v>Veronte AutoPilot</v>
      </c>
      <c r="F628" s="111"/>
      <c r="G628" s="111"/>
      <c r="H628" t="str">
        <f ca="1">IFERROR(__xludf.DUMMYFUNCTION("""COMPUTED_VALUE"""),"Polish Bottle")</f>
        <v>Polish Bottle</v>
      </c>
    </row>
    <row r="629" spans="1:9">
      <c r="A629" s="106"/>
      <c r="B629" s="111"/>
      <c r="C629" s="111"/>
      <c r="D629" s="111"/>
      <c r="E629" s="111" t="str">
        <f ca="1">IFERROR(__xludf.DUMMYFUNCTION("""COMPUTED_VALUE"""),"Grommet dual nozzle")</f>
        <v>Grommet dual nozzle</v>
      </c>
      <c r="F629" s="111"/>
      <c r="G629" s="111"/>
      <c r="H629" t="str">
        <f ca="1">IFERROR(__xludf.DUMMYFUNCTION("""COMPUTED_VALUE"""),"Shavison SMPS")</f>
        <v>Shavison SMPS</v>
      </c>
    </row>
    <row r="630" spans="1:9">
      <c r="A630" s="106"/>
      <c r="B630" s="111"/>
      <c r="C630" s="111"/>
      <c r="D630" s="111"/>
      <c r="E630" s="111" t="str">
        <f ca="1">IFERROR(__xludf.DUMMYFUNCTION("""COMPUTED_VALUE"""),"Grommet single nozzle")</f>
        <v>Grommet single nozzle</v>
      </c>
      <c r="F630" s="111"/>
      <c r="G630" s="111"/>
      <c r="H630" t="str">
        <f ca="1">IFERROR(__xludf.DUMMYFUNCTION("""COMPUTED_VALUE"""),"Wifi Adapter Microtik")</f>
        <v>Wifi Adapter Microtik</v>
      </c>
    </row>
    <row r="631" spans="1:9">
      <c r="A631" s="106"/>
      <c r="B631" s="111"/>
      <c r="C631" s="111"/>
      <c r="D631" s="111"/>
      <c r="E631" s="111" t="str">
        <f ca="1">IFERROR(__xludf.DUMMYFUNCTION("""COMPUTED_VALUE"""),"Rectangular Hatches")</f>
        <v>Rectangular Hatches</v>
      </c>
      <c r="F631" s="111"/>
      <c r="G631" s="111"/>
      <c r="H631" t="str">
        <f ca="1">IFERROR(__xludf.DUMMYFUNCTION("""COMPUTED_VALUE"""),"Wifi router")</f>
        <v>Wifi router</v>
      </c>
    </row>
    <row r="632" spans="1:9">
      <c r="A632" s="106"/>
      <c r="B632" s="111"/>
      <c r="C632" s="111"/>
      <c r="D632" s="111"/>
      <c r="E632" s="111" t="str">
        <f ca="1">IFERROR(__xludf.DUMMYFUNCTION("""COMPUTED_VALUE"""),"Circular Hatches")</f>
        <v>Circular Hatches</v>
      </c>
      <c r="F632" s="111"/>
      <c r="G632" s="111"/>
      <c r="H632" t="str">
        <f ca="1">IFERROR(__xludf.DUMMYFUNCTION("""COMPUTED_VALUE"""),"Adapter 9.13V")</f>
        <v>Adapter 9.13V</v>
      </c>
    </row>
    <row r="633" spans="1:9">
      <c r="A633" s="106"/>
      <c r="B633" s="111"/>
      <c r="C633" s="111"/>
      <c r="D633" s="111"/>
      <c r="E633" s="111" t="str">
        <f ca="1">IFERROR(__xludf.DUMMYFUNCTION("""COMPUTED_VALUE"""),"Pixhawk Orange")</f>
        <v>Pixhawk Orange</v>
      </c>
      <c r="F633" s="111"/>
      <c r="G633" s="111"/>
      <c r="H633" t="str">
        <f ca="1">IFERROR(__xludf.DUMMYFUNCTION("""COMPUTED_VALUE"""),"Adapter 5.19V")</f>
        <v>Adapter 5.19V</v>
      </c>
    </row>
    <row r="634" spans="1:9">
      <c r="A634" s="106"/>
      <c r="B634" s="111"/>
      <c r="C634" s="111"/>
      <c r="D634" s="111"/>
      <c r="E634" s="111" t="str">
        <f ca="1">IFERROR(__xludf.DUMMYFUNCTION("""COMPUTED_VALUE"""),"Omniscense Micro camera")</f>
        <v>Omniscense Micro camera</v>
      </c>
      <c r="F634" s="111"/>
      <c r="G634" s="111"/>
      <c r="H634" t="str">
        <f ca="1">IFERROR(__xludf.DUMMYFUNCTION("""COMPUTED_VALUE"""),"Roast Flash Pro bottle")</f>
        <v>Roast Flash Pro bottle</v>
      </c>
    </row>
    <row r="635" spans="1:9">
      <c r="A635" s="106"/>
      <c r="B635" s="111"/>
      <c r="C635" s="111"/>
      <c r="D635" s="111"/>
      <c r="E635" s="111" t="str">
        <f ca="1">IFERROR(__xludf.DUMMYFUNCTION("""COMPUTED_VALUE"""),"Speed Boat with Petrol Engine DLE Engine")</f>
        <v>Speed Boat with Petrol Engine DLE Engine</v>
      </c>
      <c r="F635" s="111"/>
      <c r="G635" s="111"/>
      <c r="H635" t="str">
        <f ca="1">IFERROR(__xludf.DUMMYFUNCTION("""COMPUTED_VALUE"""),"Syringes 50ml")</f>
        <v>Syringes 50ml</v>
      </c>
    </row>
    <row r="636" spans="1:9">
      <c r="A636" s="106"/>
      <c r="B636" s="111"/>
      <c r="C636" s="111"/>
      <c r="D636" s="111"/>
      <c r="E636" s="111" t="str">
        <f ca="1">IFERROR(__xludf.DUMMYFUNCTION("""COMPUTED_VALUE"""),"Hawk 2300 hull")</f>
        <v>Hawk 2300 hull</v>
      </c>
      <c r="F636" s="111"/>
      <c r="G636" s="111"/>
      <c r="H636" t="str">
        <f ca="1">IFERROR(__xludf.DUMMYFUNCTION("""COMPUTED_VALUE"""),"Syringes 20ml")</f>
        <v>Syringes 20ml</v>
      </c>
    </row>
    <row r="637" spans="1:9">
      <c r="A637" s="106"/>
      <c r="B637" s="111"/>
      <c r="C637" s="111"/>
      <c r="D637" s="111"/>
      <c r="E637" s="111" t="str">
        <f ca="1">IFERROR(__xludf.DUMMYFUNCTION("""COMPUTED_VALUE"""),"Hawk 2100 hull")</f>
        <v>Hawk 2100 hull</v>
      </c>
      <c r="F637" s="111"/>
      <c r="G637" s="111"/>
      <c r="H637" t="str">
        <f ca="1">IFERROR(__xludf.DUMMYFUNCTION("""COMPUTED_VALUE"""),"Syringes - 10ml")</f>
        <v>Syringes - 10ml</v>
      </c>
    </row>
    <row r="638" spans="1:9">
      <c r="A638" s="106"/>
      <c r="B638" s="111"/>
      <c r="C638" s="111"/>
      <c r="D638" s="111"/>
      <c r="E638" s="111" t="str">
        <f ca="1">IFERROR(__xludf.DUMMYFUNCTION("""COMPUTED_VALUE"""),"Hawk 1600 hull")</f>
        <v>Hawk 1600 hull</v>
      </c>
      <c r="F638" s="111"/>
      <c r="G638" s="111"/>
      <c r="H638" t="str">
        <f ca="1">IFERROR(__xludf.DUMMYFUNCTION("""COMPUTED_VALUE"""),"Syringes-3ml")</f>
        <v>Syringes-3ml</v>
      </c>
    </row>
    <row r="639" spans="1:9">
      <c r="A639" s="106"/>
      <c r="B639" s="111"/>
      <c r="C639" s="111"/>
      <c r="D639" s="111"/>
      <c r="E639" s="111" t="str">
        <f ca="1">IFERROR(__xludf.DUMMYFUNCTION("""COMPUTED_VALUE"""),"360 Degree Servo motor (MAYTECH)")</f>
        <v>360 Degree Servo motor (MAYTECH)</v>
      </c>
      <c r="F639" s="111"/>
      <c r="G639" s="111"/>
      <c r="H639" t="str">
        <f ca="1">IFERROR(__xludf.DUMMYFUNCTION("""COMPUTED_VALUE"""),"Syringes - 2ml")</f>
        <v>Syringes - 2ml</v>
      </c>
    </row>
    <row r="640" spans="1:9">
      <c r="A640" s="106"/>
      <c r="B640" s="111"/>
      <c r="C640" s="111"/>
      <c r="D640" s="111"/>
      <c r="E640" s="111" t="str">
        <f ca="1">IFERROR(__xludf.DUMMYFUNCTION("""COMPUTED_VALUE"""),"1.75mm 3D Printing Filament- Orange")</f>
        <v>1.75mm 3D Printing Filament- Orange</v>
      </c>
      <c r="F640" s="111"/>
      <c r="G640" s="111"/>
      <c r="H640" t="str">
        <f ca="1">IFERROR(__xludf.DUMMYFUNCTION("""COMPUTED_VALUE"""),"WD 40")</f>
        <v>WD 40</v>
      </c>
    </row>
    <row r="641" spans="1:8">
      <c r="A641" s="106"/>
      <c r="B641" s="111"/>
      <c r="C641" s="111"/>
      <c r="D641" s="111"/>
      <c r="E641" s="111" t="str">
        <f ca="1">IFERROR(__xludf.DUMMYFUNCTION("""COMPUTED_VALUE"""),"fuse 1amp")</f>
        <v>fuse 1amp</v>
      </c>
      <c r="F641" s="111"/>
      <c r="G641" s="111"/>
      <c r="H641" t="str">
        <f ca="1">IFERROR(__xludf.DUMMYFUNCTION("""COMPUTED_VALUE"""),"CRC 5 - 56 power spray")</f>
        <v>CRC 5 - 56 power spray</v>
      </c>
    </row>
    <row r="642" spans="1:8">
      <c r="A642" s="106"/>
      <c r="B642" s="111"/>
      <c r="C642" s="111"/>
      <c r="D642" s="111"/>
      <c r="E642" s="111" t="str">
        <f ca="1">IFERROR(__xludf.DUMMYFUNCTION("""COMPUTED_VALUE"""),"fuse10amp")</f>
        <v>fuse10amp</v>
      </c>
      <c r="F642" s="111"/>
      <c r="G642" s="111"/>
      <c r="H642" t="str">
        <f ca="1">IFERROR(__xludf.DUMMYFUNCTION("""COMPUTED_VALUE"""),"Matt Black Spray")</f>
        <v>Matt Black Spray</v>
      </c>
    </row>
    <row r="643" spans="1:8">
      <c r="A643" s="106"/>
      <c r="B643" s="111"/>
      <c r="C643" s="111"/>
      <c r="D643" s="111"/>
      <c r="E643" s="111" t="str">
        <f ca="1">IFERROR(__xludf.DUMMYFUNCTION("""COMPUTED_VALUE"""),"Servo Motor  DS5160 SSG( 60KG)")</f>
        <v>Servo Motor  DS5160 SSG( 60KG)</v>
      </c>
      <c r="F643" s="111"/>
      <c r="G643" s="111"/>
      <c r="H643" t="str">
        <f ca="1">IFERROR(__xludf.DUMMYFUNCTION("""COMPUTED_VALUE"""),"Black Spray")</f>
        <v>Black Spray</v>
      </c>
    </row>
    <row r="644" spans="1:8">
      <c r="A644" s="106"/>
      <c r="B644" s="111"/>
      <c r="C644" s="111"/>
      <c r="D644" s="111"/>
      <c r="E644" s="111" t="str">
        <f ca="1">IFERROR(__xludf.DUMMYFUNCTION("""COMPUTED_VALUE"""),"Servo Motor ST3215")</f>
        <v>Servo Motor ST3215</v>
      </c>
      <c r="F644" s="111"/>
      <c r="G644" s="111"/>
      <c r="H644" t="str">
        <f ca="1">IFERROR(__xludf.DUMMYFUNCTION("""COMPUTED_VALUE"""),"Extrusion Clamps 40mm")</f>
        <v>Extrusion Clamps 40mm</v>
      </c>
    </row>
    <row r="645" spans="1:8">
      <c r="A645" s="106"/>
      <c r="B645" s="111"/>
      <c r="C645" s="111"/>
      <c r="D645" s="111"/>
      <c r="E645" s="111" t="str">
        <f ca="1">IFERROR(__xludf.DUMMYFUNCTION("""COMPUTED_VALUE"""),"Servo Motor ES3005 30kg")</f>
        <v>Servo Motor ES3005 30kg</v>
      </c>
      <c r="F645" s="111"/>
      <c r="G645" s="111"/>
      <c r="H645" t="str">
        <f ca="1">IFERROR(__xludf.DUMMYFUNCTION("""COMPUTED_VALUE"""),"Extrusion Clamps30mm")</f>
        <v>Extrusion Clamps30mm</v>
      </c>
    </row>
    <row r="646" spans="1:8">
      <c r="A646" s="106"/>
      <c r="B646" s="111"/>
      <c r="C646" s="111"/>
      <c r="D646" s="111"/>
      <c r="E646" s="111" t="str">
        <f ca="1">IFERROR(__xludf.DUMMYFUNCTION("""COMPUTED_VALUE"""),"Pro Range OT6560 7.4V 60Kg Servo Motor")</f>
        <v>Pro Range OT6560 7.4V 60Kg Servo Motor</v>
      </c>
      <c r="F646" s="111"/>
      <c r="G646" s="111" t="str">
        <f ca="1">IFERROR(__xludf.DUMMYFUNCTION("""COMPUTED_VALUE"""),"4mtr 696")</f>
        <v>4mtr 696</v>
      </c>
      <c r="H646" t="str">
        <f ca="1">IFERROR(__xludf.DUMMYFUNCTION("""COMPUTED_VALUE"""),"Extrusion Clamps 20mm")</f>
        <v>Extrusion Clamps 20mm</v>
      </c>
    </row>
    <row r="647" spans="1:8">
      <c r="A647" s="106"/>
      <c r="B647" s="111"/>
      <c r="C647" s="111"/>
      <c r="D647" s="111"/>
      <c r="E647" s="111" t="str">
        <f ca="1">IFERROR(__xludf.DUMMYFUNCTION("""COMPUTED_VALUE"""),"Servo Motor  50Kg")</f>
        <v>Servo Motor  50Kg</v>
      </c>
      <c r="F647" s="111"/>
      <c r="G647" s="111"/>
      <c r="H647" t="str">
        <f ca="1">IFERROR(__xludf.DUMMYFUNCTION("""COMPUTED_VALUE"""),"NC Thinner")</f>
        <v>NC Thinner</v>
      </c>
    </row>
    <row r="648" spans="1:8">
      <c r="A648" s="106"/>
      <c r="B648" s="111"/>
      <c r="C648" s="111"/>
      <c r="D648" s="111"/>
      <c r="E648" s="111" t="str">
        <f ca="1">IFERROR(__xludf.DUMMYFUNCTION("""COMPUTED_VALUE"""),"Servo Motor 35 Kg")</f>
        <v>Servo Motor 35 Kg</v>
      </c>
      <c r="F648" s="111"/>
      <c r="G648" s="111"/>
      <c r="H648" t="str">
        <f ca="1">IFERROR(__xludf.DUMMYFUNCTION("""COMPUTED_VALUE"""),"Turpentrate Oil")</f>
        <v>Turpentrate Oil</v>
      </c>
    </row>
    <row r="649" spans="1:8">
      <c r="A649" s="106"/>
      <c r="B649" s="111"/>
      <c r="C649" s="111"/>
      <c r="D649" s="111"/>
      <c r="E649" s="111" t="str">
        <f ca="1">IFERROR(__xludf.DUMMYFUNCTION("""COMPUTED_VALUE"""),"Servo Motor 45kg")</f>
        <v>Servo Motor 45kg</v>
      </c>
      <c r="F649" s="111"/>
      <c r="G649" s="111"/>
      <c r="H649" t="str">
        <f ca="1">IFERROR(__xludf.DUMMYFUNCTION("""COMPUTED_VALUE"""),"SW2 Spray")</f>
        <v>SW2 Spray</v>
      </c>
    </row>
    <row r="650" spans="1:8">
      <c r="A650" s="106"/>
      <c r="B650" s="111"/>
      <c r="C650" s="111"/>
      <c r="D650" s="111"/>
      <c r="E650" s="111" t="str">
        <f ca="1">IFERROR(__xludf.DUMMYFUNCTION("""COMPUTED_VALUE"""),"Servo Motor  MG995")</f>
        <v>Servo Motor  MG995</v>
      </c>
      <c r="F650" s="111"/>
      <c r="G650" s="111"/>
      <c r="H650" t="str">
        <f ca="1">IFERROR(__xludf.DUMMYFUNCTION("""COMPUTED_VALUE"""),"Spot Check SKC - 1 (Cleaner/Remover)")</f>
        <v>Spot Check SKC - 1 (Cleaner/Remover)</v>
      </c>
    </row>
    <row r="651" spans="1:8">
      <c r="A651" s="106"/>
      <c r="B651" s="111"/>
      <c r="C651" s="111"/>
      <c r="D651" s="111"/>
      <c r="E651" s="111" t="str">
        <f ca="1">IFERROR(__xludf.DUMMYFUNCTION("""COMPUTED_VALUE"""),"Servo Motor  MG945")</f>
        <v>Servo Motor  MG945</v>
      </c>
      <c r="F651" s="111"/>
      <c r="G651" s="111"/>
      <c r="H651" t="str">
        <f ca="1">IFERROR(__xludf.DUMMYFUNCTION("""COMPUTED_VALUE"""),"Teroson Gun")</f>
        <v>Teroson Gun</v>
      </c>
    </row>
    <row r="652" spans="1:8">
      <c r="A652" s="106"/>
      <c r="B652" s="111"/>
      <c r="C652" s="111"/>
      <c r="D652" s="111"/>
      <c r="E652" s="111" t="str">
        <f ca="1">IFERROR(__xludf.DUMMYFUNCTION("""COMPUTED_VALUE"""),"Servo Motor 150Kg")</f>
        <v>Servo Motor 150Kg</v>
      </c>
      <c r="F652" s="111"/>
      <c r="G652" s="111"/>
      <c r="H652" t="str">
        <f ca="1">IFERROR(__xludf.DUMMYFUNCTION("""COMPUTED_VALUE"""),"M6 Thumbolts")</f>
        <v>M6 Thumbolts</v>
      </c>
    </row>
    <row r="653" spans="1:8">
      <c r="A653" s="106"/>
      <c r="B653" s="111"/>
      <c r="C653" s="111"/>
      <c r="D653" s="111"/>
      <c r="E653" s="111" t="str">
        <f ca="1">IFERROR(__xludf.DUMMYFUNCTION("""COMPUTED_VALUE"""),"4S BMS")</f>
        <v>4S BMS</v>
      </c>
      <c r="F653" s="111"/>
      <c r="G653" s="111"/>
      <c r="H653" t="str">
        <f ca="1">IFERROR(__xludf.DUMMYFUNCTION("""COMPUTED_VALUE"""),"M4 Thumbolts")</f>
        <v>M4 Thumbolts</v>
      </c>
    </row>
    <row r="654" spans="1:8">
      <c r="A654" s="106"/>
      <c r="B654" s="111"/>
      <c r="C654" s="111"/>
      <c r="D654" s="111"/>
      <c r="E654" s="111" t="str">
        <f ca="1">IFERROR(__xludf.DUMMYFUNCTION("""COMPUTED_VALUE"""),"6S BMS")</f>
        <v>6S BMS</v>
      </c>
      <c r="F654" s="111"/>
      <c r="G654" s="111"/>
      <c r="H654" t="str">
        <f ca="1">IFERROR(__xludf.DUMMYFUNCTION("""COMPUTED_VALUE"""),"Wave Radar SeaView")</f>
        <v>Wave Radar SeaView</v>
      </c>
    </row>
    <row r="655" spans="1:8">
      <c r="A655" s="106"/>
      <c r="B655" s="111"/>
      <c r="C655" s="111"/>
      <c r="D655" s="111"/>
      <c r="E655" s="111" t="str">
        <f ca="1">IFERROR(__xludf.DUMMYFUNCTION("""COMPUTED_VALUE"""),"Flex Kwik (Adhesive)")</f>
        <v>Flex Kwik (Adhesive)</v>
      </c>
      <c r="F655" s="111"/>
      <c r="G655" s="111"/>
      <c r="H655" t="str">
        <f ca="1">IFERROR(__xludf.DUMMYFUNCTION("""COMPUTED_VALUE"""),"Altimeter")</f>
        <v>Altimeter</v>
      </c>
    </row>
    <row r="656" spans="1:8">
      <c r="A656" s="106"/>
      <c r="B656" s="111"/>
      <c r="C656" s="111"/>
      <c r="D656" s="111"/>
      <c r="E656" s="111" t="str">
        <f ca="1">IFERROR(__xludf.DUMMYFUNCTION("""COMPUTED_VALUE"""),"Silica Gel Packet 10gms")</f>
        <v>Silica Gel Packet 10gms</v>
      </c>
      <c r="F656" s="111"/>
      <c r="G656" s="111"/>
      <c r="H656" t="str">
        <f ca="1">IFERROR(__xludf.DUMMYFUNCTION("""COMPUTED_VALUE"""),"UDST800")</f>
        <v>UDST800</v>
      </c>
    </row>
    <row r="657" spans="1:8">
      <c r="A657" s="106"/>
      <c r="B657" s="111"/>
      <c r="C657" s="111"/>
      <c r="D657" s="111"/>
      <c r="E657" s="111" t="str">
        <f ca="1">IFERROR(__xludf.DUMMYFUNCTION("""COMPUTED_VALUE"""),"QC Sticker")</f>
        <v>QC Sticker</v>
      </c>
      <c r="F657" s="111"/>
      <c r="G657" s="111"/>
      <c r="H657" t="str">
        <f ca="1">IFERROR(__xludf.DUMMYFUNCTION("""COMPUTED_VALUE"""),"Heave Sensor (IMU) Ellipse2-A")</f>
        <v>Heave Sensor (IMU) Ellipse2-A</v>
      </c>
    </row>
    <row r="658" spans="1:8">
      <c r="A658" s="106"/>
      <c r="B658" s="111"/>
      <c r="C658" s="111"/>
      <c r="D658" s="111"/>
      <c r="E658" s="111" t="str">
        <f ca="1">IFERROR(__xludf.DUMMYFUNCTION("""COMPUTED_VALUE"""),"M4 turn Buckles")</f>
        <v>M4 turn Buckles</v>
      </c>
      <c r="F658" s="111"/>
      <c r="G658" s="111"/>
      <c r="H658" t="str">
        <f ca="1">IFERROR(__xludf.DUMMYFUNCTION("""COMPUTED_VALUE"""),"Rim Drive Thruster 5kW (Netherlands)")</f>
        <v>Rim Drive Thruster 5kW (Netherlands)</v>
      </c>
    </row>
    <row r="659" spans="1:8">
      <c r="A659" s="106"/>
      <c r="B659" s="111"/>
      <c r="C659" s="111"/>
      <c r="D659" s="111"/>
      <c r="E659" s="111" t="str">
        <f ca="1">IFERROR(__xludf.DUMMYFUNCTION("""COMPUTED_VALUE"""),"Laser Toner Cartridge")</f>
        <v>Laser Toner Cartridge</v>
      </c>
      <c r="F659" s="111"/>
      <c r="G659" s="111"/>
      <c r="H659" t="str">
        <f ca="1">IFERROR(__xludf.DUMMYFUNCTION("""COMPUTED_VALUE"""),"Rim Drive Thruster ")</f>
        <v xml:space="preserve">Rim Drive Thruster </v>
      </c>
    </row>
    <row r="660" spans="1:8">
      <c r="A660" s="106"/>
      <c r="B660" s="111"/>
      <c r="C660" s="111"/>
      <c r="D660" s="111"/>
      <c r="E660" s="111" t="str">
        <f ca="1">IFERROR(__xludf.DUMMYFUNCTION("""COMPUTED_VALUE"""),"Thruster 11.2kgt")</f>
        <v>Thruster 11.2kgt</v>
      </c>
      <c r="F660" s="111"/>
      <c r="G660" s="111"/>
      <c r="H660" t="str">
        <f ca="1">IFERROR(__xludf.DUMMYFUNCTION("""COMPUTED_VALUE"""),"Trmble GPS Antenna")</f>
        <v>Trmble GPS Antenna</v>
      </c>
    </row>
    <row r="661" spans="1:8">
      <c r="A661" s="106"/>
      <c r="B661" s="111"/>
      <c r="C661" s="111"/>
      <c r="D661" s="111"/>
      <c r="E661" s="111" t="str">
        <f ca="1">IFERROR(__xludf.DUMMYFUNCTION("""COMPUTED_VALUE"""),"Pressure guage")</f>
        <v>Pressure guage</v>
      </c>
      <c r="F661" s="111"/>
      <c r="G661" s="111"/>
      <c r="H661" t="str">
        <f ca="1">IFERROR(__xludf.DUMMYFUNCTION("""COMPUTED_VALUE"""),"TNC-TNC Antenna Cable 5mtrs")</f>
        <v>TNC-TNC Antenna Cable 5mtrs</v>
      </c>
    </row>
    <row r="662" spans="1:8">
      <c r="A662" s="106"/>
      <c r="B662" s="111"/>
      <c r="C662" s="111"/>
      <c r="D662" s="111"/>
      <c r="E662" s="111" t="str">
        <f ca="1">IFERROR(__xludf.DUMMYFUNCTION("""COMPUTED_VALUE"""),"Nut driver 10mm")</f>
        <v>Nut driver 10mm</v>
      </c>
      <c r="F662" s="111"/>
      <c r="G662" s="111"/>
      <c r="H662" t="str">
        <f ca="1">IFERROR(__xludf.DUMMYFUNCTION("""COMPUTED_VALUE"""),"Radio 35W for GPS correction")</f>
        <v>Radio 35W for GPS correction</v>
      </c>
    </row>
    <row r="663" spans="1:8">
      <c r="A663" s="106"/>
      <c r="B663" s="111"/>
      <c r="C663" s="111"/>
      <c r="D663" s="111"/>
      <c r="E663" s="111" t="str">
        <f ca="1">IFERROR(__xludf.DUMMYFUNCTION("""COMPUTED_VALUE"""),"Antenna 4.9-5.9 GHz OMNI")</f>
        <v>Antenna 4.9-5.9 GHz OMNI</v>
      </c>
      <c r="F663" s="111"/>
      <c r="G663" s="111"/>
      <c r="H663" t="str">
        <f ca="1">IFERROR(__xludf.DUMMYFUNCTION("""COMPUTED_VALUE"""),"Veronte AutoPilot")</f>
        <v>Veronte AutoPilot</v>
      </c>
    </row>
    <row r="664" spans="1:8">
      <c r="A664" s="106"/>
      <c r="B664" s="111"/>
      <c r="C664" s="111"/>
      <c r="D664" s="111"/>
      <c r="E664" s="111" t="str">
        <f ca="1">IFERROR(__xludf.DUMMYFUNCTION("""COMPUTED_VALUE"""),"Antenna 4.9-5.9 GHz DIRECTIONAL")</f>
        <v>Antenna 4.9-5.9 GHz DIRECTIONAL</v>
      </c>
      <c r="F664" s="111"/>
      <c r="G664" s="111"/>
      <c r="H664" t="str">
        <f ca="1">IFERROR(__xludf.DUMMYFUNCTION("""COMPUTED_VALUE"""),"Grommet dual nozzle")</f>
        <v>Grommet dual nozzle</v>
      </c>
    </row>
    <row r="665" spans="1:8">
      <c r="A665" s="106"/>
      <c r="B665" s="111"/>
      <c r="C665" s="111"/>
      <c r="D665" s="111"/>
      <c r="E665" s="111" t="str">
        <f ca="1">IFERROR(__xludf.DUMMYFUNCTION("""COMPUTED_VALUE"""),"Antenna 433-440 MHz")</f>
        <v>Antenna 433-440 MHz</v>
      </c>
      <c r="F665" s="111"/>
      <c r="G665" s="111"/>
      <c r="H665" t="str">
        <f ca="1">IFERROR(__xludf.DUMMYFUNCTION("""COMPUTED_VALUE"""),"Grommet single nozzle")</f>
        <v>Grommet single nozzle</v>
      </c>
    </row>
    <row r="666" spans="1:8">
      <c r="A666" s="106"/>
      <c r="B666" s="111"/>
      <c r="C666" s="111"/>
      <c r="D666" s="111"/>
      <c r="E666" s="111" t="str">
        <f ca="1">IFERROR(__xludf.DUMMYFUNCTION("""COMPUTED_VALUE"""),"Jet S130")</f>
        <v>Jet S130</v>
      </c>
      <c r="F666" s="111"/>
      <c r="G666" s="111"/>
      <c r="H666" t="str">
        <f ca="1">IFERROR(__xludf.DUMMYFUNCTION("""COMPUTED_VALUE"""),"Rectangular Hatches")</f>
        <v>Rectangular Hatches</v>
      </c>
    </row>
    <row r="667" spans="1:8">
      <c r="A667" s="106"/>
      <c r="B667" s="111"/>
      <c r="C667" s="111"/>
      <c r="D667" s="111"/>
      <c r="E667" s="111" t="str">
        <f ca="1">IFERROR(__xludf.DUMMYFUNCTION("""COMPUTED_VALUE"""),"Jet S108")</f>
        <v>Jet S108</v>
      </c>
      <c r="F667" s="111"/>
      <c r="G667" s="111"/>
      <c r="H667" t="str">
        <f ca="1">IFERROR(__xludf.DUMMYFUNCTION("""COMPUTED_VALUE"""),"Circular Hatches")</f>
        <v>Circular Hatches</v>
      </c>
    </row>
    <row r="668" spans="1:8">
      <c r="A668" s="106"/>
      <c r="B668" s="111"/>
      <c r="C668" s="111"/>
      <c r="D668" s="111"/>
      <c r="E668" s="111" t="str">
        <f ca="1">IFERROR(__xludf.DUMMYFUNCTION("""COMPUTED_VALUE"""),"Jet S78")</f>
        <v>Jet S78</v>
      </c>
      <c r="F668" s="111"/>
      <c r="G668" s="111"/>
      <c r="H668" t="str">
        <f ca="1">IFERROR(__xludf.DUMMYFUNCTION("""COMPUTED_VALUE"""),"Pixhawk Orange")</f>
        <v>Pixhawk Orange</v>
      </c>
    </row>
    <row r="669" spans="1:8">
      <c r="A669" s="106"/>
      <c r="B669" s="111"/>
      <c r="C669" s="111"/>
      <c r="D669" s="111"/>
      <c r="E669" s="111" t="str">
        <f ca="1">IFERROR(__xludf.DUMMYFUNCTION("""COMPUTED_VALUE"""),"Jet S63")</f>
        <v>Jet S63</v>
      </c>
      <c r="F669" s="111"/>
      <c r="G669" s="111"/>
      <c r="H669" t="str">
        <f ca="1">IFERROR(__xludf.DUMMYFUNCTION("""COMPUTED_VALUE"""),"Omniscense Micro camera")</f>
        <v>Omniscense Micro camera</v>
      </c>
    </row>
    <row r="670" spans="1:8">
      <c r="A670" s="106"/>
      <c r="B670" s="111"/>
      <c r="C670" s="111"/>
      <c r="D670" s="111"/>
      <c r="E670" s="111" t="str">
        <f ca="1">IFERROR(__xludf.DUMMYFUNCTION("""COMPUTED_VALUE"""),"Saif Seas Battery Box ")</f>
        <v xml:space="preserve">Saif Seas Battery Box </v>
      </c>
      <c r="F670" s="111"/>
      <c r="G670" s="111"/>
      <c r="H670" t="str">
        <f ca="1">IFERROR(__xludf.DUMMYFUNCTION("""COMPUTED_VALUE"""),"Speed Boat with Petrol Engine DLE Engine")</f>
        <v>Speed Boat with Petrol Engine DLE Engine</v>
      </c>
    </row>
    <row r="671" spans="1:8">
      <c r="A671" s="106"/>
      <c r="B671" s="111"/>
      <c r="C671" s="111"/>
      <c r="D671" s="111"/>
      <c r="E671" s="111" t="str">
        <f ca="1">IFERROR(__xludf.DUMMYFUNCTION("""COMPUTED_VALUE"""),"Charger 90-250v old")</f>
        <v>Charger 90-250v old</v>
      </c>
      <c r="F671" s="111"/>
      <c r="G671" s="111"/>
      <c r="H671" t="str">
        <f ca="1">IFERROR(__xludf.DUMMYFUNCTION("""COMPUTED_VALUE"""),"Hawk 2300 hull")</f>
        <v>Hawk 2300 hull</v>
      </c>
    </row>
    <row r="672" spans="1:8">
      <c r="A672" s="106"/>
      <c r="B672" s="111"/>
      <c r="C672" s="111"/>
      <c r="D672" s="111"/>
      <c r="E672" s="111" t="str">
        <f ca="1">IFERROR(__xludf.DUMMYFUNCTION("""COMPUTED_VALUE"""),"Radiant Coolant")</f>
        <v>Radiant Coolant</v>
      </c>
      <c r="F672" s="111"/>
      <c r="G672" s="111"/>
      <c r="H672" t="str">
        <f ca="1">IFERROR(__xludf.DUMMYFUNCTION("""COMPUTED_VALUE"""),"Hawk 2100 hull")</f>
        <v>Hawk 2100 hull</v>
      </c>
    </row>
    <row r="673" spans="1:10">
      <c r="A673" s="106"/>
      <c r="B673" s="111"/>
      <c r="C673" s="111"/>
      <c r="D673" s="111"/>
      <c r="E673" s="111" t="str">
        <f ca="1">IFERROR(__xludf.DUMMYFUNCTION("""COMPUTED_VALUE"""),"Coolant (Bike)")</f>
        <v>Coolant (Bike)</v>
      </c>
      <c r="F673" s="111"/>
      <c r="G673" s="111"/>
      <c r="H673" t="str">
        <f ca="1">IFERROR(__xludf.DUMMYFUNCTION("""COMPUTED_VALUE"""),"Hawk 1600 hull")</f>
        <v>Hawk 1600 hull</v>
      </c>
    </row>
    <row r="674" spans="1:10">
      <c r="A674" s="106"/>
      <c r="B674" s="111"/>
      <c r="C674" s="111"/>
      <c r="D674" s="111"/>
      <c r="E674" s="111" t="str">
        <f ca="1">IFERROR(__xludf.DUMMYFUNCTION("""COMPUTED_VALUE"""),"Water Finding Paste")</f>
        <v>Water Finding Paste</v>
      </c>
      <c r="F674" s="111"/>
      <c r="G674" s="111"/>
      <c r="H674" t="str">
        <f ca="1">IFERROR(__xludf.DUMMYFUNCTION("""COMPUTED_VALUE"""),"360 Degree Servo motor (MAYTECH)")</f>
        <v>360 Degree Servo motor (MAYTECH)</v>
      </c>
    </row>
    <row r="675" spans="1:10">
      <c r="A675" s="106"/>
      <c r="B675" s="111"/>
      <c r="C675" s="111"/>
      <c r="D675" s="111"/>
      <c r="E675" s="111" t="str">
        <f ca="1">IFERROR(__xludf.DUMMYFUNCTION("""COMPUTED_VALUE"""),"M4 Stud Rod")</f>
        <v>M4 Stud Rod</v>
      </c>
      <c r="F675" s="111"/>
      <c r="G675" s="111"/>
      <c r="H675" t="str">
        <f ca="1">IFERROR(__xludf.DUMMYFUNCTION("""COMPUTED_VALUE"""),"1.75mm 3D Printing Filament- Orange")</f>
        <v>1.75mm 3D Printing Filament- Orange</v>
      </c>
    </row>
    <row r="676" spans="1:10">
      <c r="A676" s="106"/>
      <c r="B676" s="111"/>
      <c r="C676" s="111"/>
      <c r="D676" s="111"/>
      <c r="E676" s="111" t="str">
        <f ca="1">IFERROR(__xludf.DUMMYFUNCTION("""COMPUTED_VALUE"""),"weighing Machine ")</f>
        <v xml:space="preserve">weighing Machine </v>
      </c>
      <c r="F676" s="111"/>
      <c r="G676" s="111"/>
      <c r="H676" t="str">
        <f ca="1">IFERROR(__xludf.DUMMYFUNCTION("""COMPUTED_VALUE"""),"fuse 1amp")</f>
        <v>fuse 1amp</v>
      </c>
    </row>
    <row r="677" spans="1:10">
      <c r="A677" s="106"/>
      <c r="B677" s="111"/>
      <c r="C677" s="111"/>
      <c r="D677" s="111"/>
      <c r="E677" s="111" t="str">
        <f ca="1">IFERROR(__xludf.DUMMYFUNCTION("""COMPUTED_VALUE"""),"Enclosure Box 280x190x130 IP67")</f>
        <v>Enclosure Box 280x190x130 IP67</v>
      </c>
      <c r="F677" s="111"/>
      <c r="G677" s="111"/>
      <c r="H677" t="str">
        <f ca="1">IFERROR(__xludf.DUMMYFUNCTION("""COMPUTED_VALUE"""),"fuse10amp")</f>
        <v>fuse10amp</v>
      </c>
    </row>
    <row r="678" spans="1:10">
      <c r="A678" s="106"/>
      <c r="B678" s="111"/>
      <c r="C678" s="111"/>
      <c r="D678" s="111"/>
      <c r="E678" s="111" t="str">
        <f ca="1">IFERROR(__xludf.DUMMYFUNCTION("""COMPUTED_VALUE"""),"Enclosure Box 380x190x130 IP67")</f>
        <v>Enclosure Box 380x190x130 IP67</v>
      </c>
      <c r="F678" s="111"/>
      <c r="G678" s="111"/>
      <c r="H678" t="str">
        <f ca="1">IFERROR(__xludf.DUMMYFUNCTION("""COMPUTED_VALUE"""),"Servo Motor  DS5160 SSG( 60KG)")</f>
        <v>Servo Motor  DS5160 SSG( 60KG)</v>
      </c>
    </row>
    <row r="679" spans="1:10">
      <c r="A679" s="106"/>
      <c r="B679" s="111"/>
      <c r="C679" s="111"/>
      <c r="D679" s="111"/>
      <c r="E679" s="111" t="str">
        <f ca="1">IFERROR(__xludf.DUMMYFUNCTION("""COMPUTED_VALUE"""),"Side scanner sonar 450SS")</f>
        <v>Side scanner sonar 450SS</v>
      </c>
      <c r="F679" s="111"/>
      <c r="G679" s="111"/>
      <c r="H679" t="str">
        <f ca="1">IFERROR(__xludf.DUMMYFUNCTION("""COMPUTED_VALUE"""),"Servo Motor ST3215")</f>
        <v>Servo Motor ST3215</v>
      </c>
    </row>
    <row r="680" spans="1:10">
      <c r="A680" s="106"/>
      <c r="B680" s="111"/>
      <c r="C680" s="111"/>
      <c r="D680" s="111"/>
      <c r="E680" s="111" t="str">
        <f ca="1">IFERROR(__xludf.DUMMYFUNCTION("""COMPUTED_VALUE"""),"15.6"" TFT LCD, LED B 2000 Nits")</f>
        <v>15.6" TFT LCD, LED B 2000 Nits</v>
      </c>
      <c r="F680" s="111"/>
      <c r="G680" s="111"/>
      <c r="H680" t="str">
        <f ca="1">IFERROR(__xludf.DUMMYFUNCTION("""COMPUTED_VALUE"""),"Servo Motor ES3005 30kg")</f>
        <v>Servo Motor ES3005 30kg</v>
      </c>
    </row>
    <row r="681" spans="1:10">
      <c r="A681" s="106"/>
      <c r="B681" s="111"/>
      <c r="C681" s="111"/>
      <c r="D681" s="111"/>
      <c r="E681" s="111" t="str">
        <f ca="1">IFERROR(__xludf.DUMMYFUNCTION("""COMPUTED_VALUE"""),"15.6"" TFT LCD, LED backlight 1800 nits, FHD (1920x1080)")</f>
        <v>15.6" TFT LCD, LED backlight 1800 nits, FHD (1920x1080)</v>
      </c>
      <c r="F681" s="111"/>
      <c r="G681" s="111"/>
      <c r="H681" t="str">
        <f ca="1">IFERROR(__xludf.DUMMYFUNCTION("""COMPUTED_VALUE"""),"Pro Range OT6560 7.4V 60Kg Servo Motor")</f>
        <v>Pro Range OT6560 7.4V 60Kg Servo Motor</v>
      </c>
      <c r="J681" t="str">
        <f ca="1">IFERROR(__xludf.DUMMYFUNCTION("""COMPUTED_VALUE"""),"4mtr 696")</f>
        <v>4mtr 696</v>
      </c>
    </row>
    <row r="682" spans="1:10">
      <c r="A682" s="106"/>
      <c r="B682" s="111"/>
      <c r="C682" s="111"/>
      <c r="D682" s="111"/>
      <c r="E682" s="111" t="str">
        <f ca="1">IFERROR(__xludf.DUMMYFUNCTION("""COMPUTED_VALUE"""),"Wooden Box handles")</f>
        <v>Wooden Box handles</v>
      </c>
      <c r="F682" s="111"/>
      <c r="G682" s="111"/>
      <c r="H682" t="str">
        <f ca="1">IFERROR(__xludf.DUMMYFUNCTION("""COMPUTED_VALUE"""),"Servo Motor  50Kg")</f>
        <v>Servo Motor  50Kg</v>
      </c>
    </row>
    <row r="683" spans="1:10">
      <c r="A683" s="106"/>
      <c r="B683" s="111"/>
      <c r="C683" s="111"/>
      <c r="D683" s="111"/>
      <c r="E683" s="111" t="str">
        <f ca="1">IFERROR(__xludf.DUMMYFUNCTION("""COMPUTED_VALUE"""),"Eyelid for cradle")</f>
        <v>Eyelid for cradle</v>
      </c>
      <c r="F683" s="111"/>
      <c r="G683" s="111"/>
      <c r="H683" t="str">
        <f ca="1">IFERROR(__xludf.DUMMYFUNCTION("""COMPUTED_VALUE"""),"Servo Motor 35 Kg")</f>
        <v>Servo Motor 35 Kg</v>
      </c>
    </row>
    <row r="684" spans="1:10">
      <c r="A684" s="106"/>
      <c r="B684" s="111"/>
      <c r="C684" s="111"/>
      <c r="D684" s="111"/>
      <c r="E684" s="111" t="str">
        <f ca="1">IFERROR(__xludf.DUMMYFUNCTION("""COMPUTED_VALUE"""),"Paint remover")</f>
        <v>Paint remover</v>
      </c>
      <c r="F684" s="111"/>
      <c r="G684" s="111"/>
      <c r="H684" t="str">
        <f ca="1">IFERROR(__xludf.DUMMYFUNCTION("""COMPUTED_VALUE"""),"Servo Motor 45kg")</f>
        <v>Servo Motor 45kg</v>
      </c>
    </row>
    <row r="685" spans="1:10">
      <c r="A685" s="106"/>
      <c r="B685" s="111"/>
      <c r="C685" s="111"/>
      <c r="D685" s="111"/>
      <c r="E685" s="111" t="str">
        <f ca="1">IFERROR(__xludf.DUMMYFUNCTION("""COMPUTED_VALUE"""),"Butane Cyclinder")</f>
        <v>Butane Cyclinder</v>
      </c>
      <c r="F685" s="111"/>
      <c r="G685" s="111"/>
      <c r="H685" t="str">
        <f ca="1">IFERROR(__xludf.DUMMYFUNCTION("""COMPUTED_VALUE"""),"Servo Motor  MG995")</f>
        <v>Servo Motor  MG995</v>
      </c>
    </row>
    <row r="686" spans="1:10">
      <c r="A686" s="106"/>
      <c r="B686" s="111"/>
      <c r="C686" s="111"/>
      <c r="D686" s="111"/>
      <c r="E686" s="111" t="str">
        <f ca="1">IFERROR(__xludf.DUMMYFUNCTION("""COMPUTED_VALUE"""),"Padeyes")</f>
        <v>Padeyes</v>
      </c>
      <c r="F686" s="111"/>
      <c r="G686" s="111"/>
      <c r="H686" t="str">
        <f ca="1">IFERROR(__xludf.DUMMYFUNCTION("""COMPUTED_VALUE"""),"Servo Motor  MG945")</f>
        <v>Servo Motor  MG945</v>
      </c>
    </row>
    <row r="687" spans="1:10">
      <c r="A687" s="106"/>
      <c r="B687" s="111"/>
      <c r="C687" s="111"/>
      <c r="D687" s="111"/>
      <c r="E687" s="111" t="str">
        <f ca="1">IFERROR(__xludf.DUMMYFUNCTION("""COMPUTED_VALUE"""),"Hull Preprocess Assy")</f>
        <v>Hull Preprocess Assy</v>
      </c>
      <c r="F687" s="111"/>
      <c r="G687" s="111">
        <f ca="1">IFERROR(__xludf.DUMMYFUNCTION("""COMPUTED_VALUE"""),1)</f>
        <v>1</v>
      </c>
      <c r="H687" t="str">
        <f ca="1">IFERROR(__xludf.DUMMYFUNCTION("""COMPUTED_VALUE"""),"Servo Motor 150Kg")</f>
        <v>Servo Motor 150Kg</v>
      </c>
    </row>
    <row r="688" spans="1:10">
      <c r="A688" s="106"/>
      <c r="B688" s="111"/>
      <c r="C688" s="111"/>
      <c r="D688" s="111"/>
      <c r="E688" s="111" t="str">
        <f ca="1">IFERROR(__xludf.DUMMYFUNCTION("""COMPUTED_VALUE"""),"Jet unit Assy STBD")</f>
        <v>Jet unit Assy STBD</v>
      </c>
      <c r="F688" s="111"/>
      <c r="G688" s="111">
        <f ca="1">IFERROR(__xludf.DUMMYFUNCTION("""COMPUTED_VALUE"""),2)</f>
        <v>2</v>
      </c>
      <c r="H688" t="str">
        <f ca="1">IFERROR(__xludf.DUMMYFUNCTION("""COMPUTED_VALUE"""),"4S BMS")</f>
        <v>4S BMS</v>
      </c>
    </row>
    <row r="689" spans="1:8">
      <c r="A689" s="106"/>
      <c r="B689" s="111"/>
      <c r="C689" s="111"/>
      <c r="D689" s="111"/>
      <c r="E689" s="111" t="str">
        <f ca="1">IFERROR(__xludf.DUMMYFUNCTION("""COMPUTED_VALUE"""),"Jet unit Assy PORT")</f>
        <v>Jet unit Assy PORT</v>
      </c>
      <c r="F689" s="111"/>
      <c r="G689" s="111">
        <f ca="1">IFERROR(__xludf.DUMMYFUNCTION("""COMPUTED_VALUE"""),3)</f>
        <v>3</v>
      </c>
      <c r="H689" t="str">
        <f ca="1">IFERROR(__xludf.DUMMYFUNCTION("""COMPUTED_VALUE"""),"6S BMS")</f>
        <v>6S BMS</v>
      </c>
    </row>
    <row r="690" spans="1:8">
      <c r="A690" s="106"/>
      <c r="B690" s="111"/>
      <c r="C690" s="111"/>
      <c r="D690" s="111"/>
      <c r="E690" s="111" t="str">
        <f ca="1">IFERROR(__xludf.DUMMYFUNCTION("""COMPUTED_VALUE"""),"Jet unit Signal Cable Dest. Assy (CMD)")</f>
        <v>Jet unit Signal Cable Dest. Assy (CMD)</v>
      </c>
      <c r="F690" s="111"/>
      <c r="G690" s="111">
        <f ca="1">IFERROR(__xludf.DUMMYFUNCTION("""COMPUTED_VALUE"""),4)</f>
        <v>4</v>
      </c>
      <c r="H690" t="str">
        <f ca="1">IFERROR(__xludf.DUMMYFUNCTION("""COMPUTED_VALUE"""),"Flex Kwik (Adhesive)")</f>
        <v>Flex Kwik (Adhesive)</v>
      </c>
    </row>
    <row r="691" spans="1:8">
      <c r="A691" s="106"/>
      <c r="B691" s="111"/>
      <c r="C691" s="111"/>
      <c r="D691" s="111"/>
      <c r="E691" s="111" t="str">
        <f ca="1">IFERROR(__xludf.DUMMYFUNCTION("""COMPUTED_VALUE"""),"Jet unit Signal Cable Orig. Assy (CMO)")</f>
        <v>Jet unit Signal Cable Orig. Assy (CMO)</v>
      </c>
      <c r="F691" s="111"/>
      <c r="G691" s="111">
        <f ca="1">IFERROR(__xludf.DUMMYFUNCTION("""COMPUTED_VALUE"""),5)</f>
        <v>5</v>
      </c>
      <c r="H691" t="str">
        <f ca="1">IFERROR(__xludf.DUMMYFUNCTION("""COMPUTED_VALUE"""),"Silica Gel Packet 10gms")</f>
        <v>Silica Gel Packet 10gms</v>
      </c>
    </row>
    <row r="692" spans="1:8">
      <c r="A692" s="106"/>
      <c r="B692" s="111"/>
      <c r="C692" s="111"/>
      <c r="D692" s="111"/>
      <c r="E692" s="111" t="str">
        <f ca="1">IFERROR(__xludf.DUMMYFUNCTION("""COMPUTED_VALUE"""),"Signal Cable Assy ")</f>
        <v xml:space="preserve">Signal Cable Assy </v>
      </c>
      <c r="F692" s="111"/>
      <c r="G692" s="111">
        <f ca="1">IFERROR(__xludf.DUMMYFUNCTION("""COMPUTED_VALUE"""),6)</f>
        <v>6</v>
      </c>
      <c r="H692" t="str">
        <f ca="1">IFERROR(__xludf.DUMMYFUNCTION("""COMPUTED_VALUE"""),"QC Sticker")</f>
        <v>QC Sticker</v>
      </c>
    </row>
    <row r="693" spans="1:8">
      <c r="A693" s="106"/>
      <c r="B693" s="111"/>
      <c r="C693" s="111"/>
      <c r="D693" s="111"/>
      <c r="E693" s="111" t="str">
        <f ca="1">IFERROR(__xludf.DUMMYFUNCTION("""COMPUTED_VALUE"""),"Copper Tab Tinning Assy")</f>
        <v>Copper Tab Tinning Assy</v>
      </c>
      <c r="F693" s="111" t="str">
        <f ca="1">IFERROR(__xludf.DUMMYFUNCTION("""COMPUTED_VALUE"""),"ASSY-MCN-3S2P-CU-2170")</f>
        <v>ASSY-MCN-3S2P-CU-2170</v>
      </c>
      <c r="G693" s="111">
        <f ca="1">IFERROR(__xludf.DUMMYFUNCTION("""COMPUTED_VALUE"""),7)</f>
        <v>7</v>
      </c>
      <c r="H693" t="str">
        <f ca="1">IFERROR(__xludf.DUMMYFUNCTION("""COMPUTED_VALUE"""),"M4 turn Buckles")</f>
        <v>M4 turn Buckles</v>
      </c>
    </row>
    <row r="694" spans="1:8">
      <c r="A694" s="106"/>
      <c r="B694" s="111"/>
      <c r="C694" s="111"/>
      <c r="D694" s="111"/>
      <c r="E694" s="111" t="str">
        <f ca="1">IFERROR(__xludf.DUMMYFUNCTION("""COMPUTED_VALUE"""),"Battery Block Formation Assy")</f>
        <v>Battery Block Formation Assy</v>
      </c>
      <c r="F694" s="111"/>
      <c r="G694" s="111">
        <f ca="1">IFERROR(__xludf.DUMMYFUNCTION("""COMPUTED_VALUE"""),8)</f>
        <v>8</v>
      </c>
      <c r="H694" t="str">
        <f ca="1">IFERROR(__xludf.DUMMYFUNCTION("""COMPUTED_VALUE"""),"Laser Toner Cartridge")</f>
        <v>Laser Toner Cartridge</v>
      </c>
    </row>
    <row r="695" spans="1:8">
      <c r="A695" s="106"/>
      <c r="B695" s="111"/>
      <c r="C695" s="111"/>
      <c r="D695" s="111"/>
      <c r="E695" s="111" t="str">
        <f ca="1">IFERROR(__xludf.DUMMYFUNCTION("""COMPUTED_VALUE"""),"Battery wiring STBD Assy")</f>
        <v>Battery wiring STBD Assy</v>
      </c>
      <c r="F695" s="111"/>
      <c r="G695" s="111">
        <f ca="1">IFERROR(__xludf.DUMMYFUNCTION("""COMPUTED_VALUE"""),9)</f>
        <v>9</v>
      </c>
      <c r="H695" t="str">
        <f ca="1">IFERROR(__xludf.DUMMYFUNCTION("""COMPUTED_VALUE"""),"Thruster 11.2kgt")</f>
        <v>Thruster 11.2kgt</v>
      </c>
    </row>
    <row r="696" spans="1:8">
      <c r="A696" s="106"/>
      <c r="B696" s="111"/>
      <c r="C696" s="111"/>
      <c r="D696" s="111"/>
      <c r="E696" s="111" t="str">
        <f ca="1">IFERROR(__xludf.DUMMYFUNCTION("""COMPUTED_VALUE"""),"Battery Wiring PORT Assy ")</f>
        <v xml:space="preserve">Battery Wiring PORT Assy </v>
      </c>
      <c r="F696" s="111"/>
      <c r="G696" s="111">
        <f ca="1">IFERROR(__xludf.DUMMYFUNCTION("""COMPUTED_VALUE"""),10)</f>
        <v>10</v>
      </c>
      <c r="H696" t="str">
        <f ca="1">IFERROR(__xludf.DUMMYFUNCTION("""COMPUTED_VALUE"""),"Pressure guage")</f>
        <v>Pressure guage</v>
      </c>
    </row>
    <row r="697" spans="1:8">
      <c r="A697" s="106"/>
      <c r="B697" s="111"/>
      <c r="C697" s="111"/>
      <c r="D697" s="111"/>
      <c r="E697" s="111" t="str">
        <f ca="1">IFERROR(__xludf.DUMMYFUNCTION("""COMPUTED_VALUE"""),"IP Remote Assy")</f>
        <v>IP Remote Assy</v>
      </c>
      <c r="F697" s="111"/>
      <c r="G697" s="111">
        <f ca="1">IFERROR(__xludf.DUMMYFUNCTION("""COMPUTED_VALUE"""),11)</f>
        <v>11</v>
      </c>
      <c r="H697" t="str">
        <f ca="1">IFERROR(__xludf.DUMMYFUNCTION("""COMPUTED_VALUE"""),"Nut driver 10mm")</f>
        <v>Nut driver 10mm</v>
      </c>
    </row>
    <row r="698" spans="1:8">
      <c r="A698" s="106"/>
      <c r="B698" s="111"/>
      <c r="C698" s="111"/>
      <c r="D698" s="111"/>
      <c r="E698" s="111" t="str">
        <f ca="1">IFERROR(__xludf.DUMMYFUNCTION("""COMPUTED_VALUE"""),"ElecBox Assy")</f>
        <v>ElecBox Assy</v>
      </c>
      <c r="F698" s="111"/>
      <c r="G698" s="111">
        <f ca="1">IFERROR(__xludf.DUMMYFUNCTION("""COMPUTED_VALUE"""),12)</f>
        <v>12</v>
      </c>
      <c r="H698" t="str">
        <f ca="1">IFERROR(__xludf.DUMMYFUNCTION("""COMPUTED_VALUE"""),"Antenna 4.9-5.9 GHz OMNI")</f>
        <v>Antenna 4.9-5.9 GHz OMNI</v>
      </c>
    </row>
    <row r="699" spans="1:8">
      <c r="A699" s="106"/>
      <c r="B699" s="111"/>
      <c r="C699" s="111"/>
      <c r="D699" s="111"/>
      <c r="E699" s="111" t="str">
        <f ca="1">IFERROR(__xludf.DUMMYFUNCTION("""COMPUTED_VALUE"""),"Motherboard Assy")</f>
        <v>Motherboard Assy</v>
      </c>
      <c r="F699" s="111"/>
      <c r="G699" s="111">
        <f ca="1">IFERROR(__xludf.DUMMYFUNCTION("""COMPUTED_VALUE"""),13)</f>
        <v>13</v>
      </c>
      <c r="H699" t="str">
        <f ca="1">IFERROR(__xludf.DUMMYFUNCTION("""COMPUTED_VALUE"""),"Antenna 4.9-5.9 GHz DIRECTIONAL")</f>
        <v>Antenna 4.9-5.9 GHz DIRECTIONAL</v>
      </c>
    </row>
    <row r="700" spans="1:8">
      <c r="A700" s="106"/>
      <c r="B700" s="111"/>
      <c r="C700" s="111"/>
      <c r="D700" s="111"/>
      <c r="E700" s="111" t="str">
        <f ca="1">IFERROR(__xludf.DUMMYFUNCTION("""COMPUTED_VALUE"""),"100v Buck PCB Assy")</f>
        <v>100v Buck PCB Assy</v>
      </c>
      <c r="F700" s="111"/>
      <c r="G700" s="111">
        <f ca="1">IFERROR(__xludf.DUMMYFUNCTION("""COMPUTED_VALUE"""),14)</f>
        <v>14</v>
      </c>
      <c r="H700" t="str">
        <f ca="1">IFERROR(__xludf.DUMMYFUNCTION("""COMPUTED_VALUE"""),"Antenna 433-440 MHz")</f>
        <v>Antenna 433-440 MHz</v>
      </c>
    </row>
    <row r="701" spans="1:8">
      <c r="A701" s="106"/>
      <c r="B701" s="111"/>
      <c r="C701" s="111"/>
      <c r="D701" s="111"/>
      <c r="E701" s="111" t="str">
        <f ca="1">IFERROR(__xludf.DUMMYFUNCTION("""COMPUTED_VALUE"""),"Current Sensor Assy")</f>
        <v>Current Sensor Assy</v>
      </c>
      <c r="F701" s="111"/>
      <c r="G701" s="111">
        <f ca="1">IFERROR(__xludf.DUMMYFUNCTION("""COMPUTED_VALUE"""),15)</f>
        <v>15</v>
      </c>
      <c r="H701" t="str">
        <f ca="1">IFERROR(__xludf.DUMMYFUNCTION("""COMPUTED_VALUE"""),"Jet S130")</f>
        <v>Jet S130</v>
      </c>
    </row>
    <row r="702" spans="1:8">
      <c r="A702" s="106"/>
      <c r="B702" s="111"/>
      <c r="C702" s="111"/>
      <c r="D702" s="111"/>
      <c r="E702" s="111" t="str">
        <f ca="1">IFERROR(__xludf.DUMMYFUNCTION("""COMPUTED_VALUE"""),"Signal PM Assy")</f>
        <v>Signal PM Assy</v>
      </c>
      <c r="F702" s="111"/>
      <c r="G702" s="111">
        <f ca="1">IFERROR(__xludf.DUMMYFUNCTION("""COMPUTED_VALUE"""),16)</f>
        <v>16</v>
      </c>
      <c r="H702" t="str">
        <f ca="1">IFERROR(__xludf.DUMMYFUNCTION("""COMPUTED_VALUE"""),"Jet S108")</f>
        <v>Jet S108</v>
      </c>
    </row>
    <row r="703" spans="1:8">
      <c r="A703" s="106"/>
      <c r="B703" s="111"/>
      <c r="C703" s="111"/>
      <c r="D703" s="111"/>
      <c r="E703" s="111" t="str">
        <f ca="1">IFERROR(__xludf.DUMMYFUNCTION("""COMPUTED_VALUE"""),"Charging PM Assy")</f>
        <v>Charging PM Assy</v>
      </c>
      <c r="F703" s="111" t="str">
        <f ca="1">IFERROR(__xludf.DUMMYFUNCTION("""COMPUTED_VALUE"""),"ASYE-MCH-IP7-FLSHM-ST")</f>
        <v>ASYE-MCH-IP7-FLSHM-ST</v>
      </c>
      <c r="G703" s="111">
        <f ca="1">IFERROR(__xludf.DUMMYFUNCTION("""COMPUTED_VALUE"""),17)</f>
        <v>17</v>
      </c>
      <c r="H703" t="str">
        <f ca="1">IFERROR(__xludf.DUMMYFUNCTION("""COMPUTED_VALUE"""),"Jet S78")</f>
        <v>Jet S78</v>
      </c>
    </row>
    <row r="704" spans="1:8">
      <c r="A704" s="106"/>
      <c r="B704" s="111"/>
      <c r="C704" s="111"/>
      <c r="D704" s="111"/>
      <c r="E704" s="111" t="str">
        <f ca="1">IFERROR(__xludf.DUMMYFUNCTION("""COMPUTED_VALUE"""),"Bottom block Assy")</f>
        <v>Bottom block Assy</v>
      </c>
      <c r="F704" s="111" t="str">
        <f ca="1">IFERROR(__xludf.DUMMYFUNCTION("""COMPUTED_VALUE"""),"ASYE-MCH-IP7-FLSHM-PT")</f>
        <v>ASYE-MCH-IP7-FLSHM-PT</v>
      </c>
      <c r="G704" s="111">
        <f ca="1">IFERROR(__xludf.DUMMYFUNCTION("""COMPUTED_VALUE"""),18)</f>
        <v>18</v>
      </c>
      <c r="H704" t="str">
        <f ca="1">IFERROR(__xludf.DUMMYFUNCTION("""COMPUTED_VALUE"""),"Jet S63")</f>
        <v>Jet S63</v>
      </c>
    </row>
    <row r="705" spans="1:8">
      <c r="A705" s="106"/>
      <c r="B705" s="111"/>
      <c r="C705" s="111"/>
      <c r="D705" s="111"/>
      <c r="E705" s="111" t="str">
        <f ca="1">IFERROR(__xludf.DUMMYFUNCTION("""COMPUTED_VALUE"""),"Flashing Light Assy PORT")</f>
        <v>Flashing Light Assy PORT</v>
      </c>
      <c r="F705" s="111"/>
      <c r="G705" s="111">
        <f ca="1">IFERROR(__xludf.DUMMYFUNCTION("""COMPUTED_VALUE"""),19)</f>
        <v>19</v>
      </c>
      <c r="H705" t="str">
        <f ca="1">IFERROR(__xludf.DUMMYFUNCTION("""COMPUTED_VALUE"""),"Saif Seas Battery Box ")</f>
        <v xml:space="preserve">Saif Seas Battery Box </v>
      </c>
    </row>
    <row r="706" spans="1:8">
      <c r="A706" s="106"/>
      <c r="B706" s="111"/>
      <c r="C706" s="111"/>
      <c r="D706" s="111"/>
      <c r="E706" s="111" t="str">
        <f ca="1">IFERROR(__xludf.DUMMYFUNCTION("""COMPUTED_VALUE"""),"Flashing Light Assy STBD")</f>
        <v>Flashing Light Assy STBD</v>
      </c>
      <c r="F706" s="111"/>
      <c r="G706" s="111">
        <f ca="1">IFERROR(__xludf.DUMMYFUNCTION("""COMPUTED_VALUE"""),20)</f>
        <v>20</v>
      </c>
      <c r="H706" t="str">
        <f ca="1">IFERROR(__xludf.DUMMYFUNCTION("""COMPUTED_VALUE"""),"Charger 90-250v old")</f>
        <v>Charger 90-250v old</v>
      </c>
    </row>
    <row r="707" spans="1:8">
      <c r="A707" s="106"/>
      <c r="B707" s="111"/>
      <c r="C707" s="111"/>
      <c r="D707" s="111"/>
      <c r="E707" s="111" t="str">
        <f ca="1">IFERROR(__xludf.DUMMYFUNCTION("""COMPUTED_VALUE"""),"Kangaroo Power Wire PORT Assy")</f>
        <v>Kangaroo Power Wire PORT Assy</v>
      </c>
      <c r="F707" s="111"/>
      <c r="G707" s="111">
        <f ca="1">IFERROR(__xludf.DUMMYFUNCTION("""COMPUTED_VALUE"""),21)</f>
        <v>21</v>
      </c>
      <c r="H707" t="str">
        <f ca="1">IFERROR(__xludf.DUMMYFUNCTION("""COMPUTED_VALUE"""),"Radiant Coolant")</f>
        <v>Radiant Coolant</v>
      </c>
    </row>
    <row r="708" spans="1:8">
      <c r="A708" s="106"/>
      <c r="B708" s="111"/>
      <c r="C708" s="111"/>
      <c r="D708" s="111"/>
      <c r="E708" s="111" t="str">
        <f ca="1">IFERROR(__xludf.DUMMYFUNCTION("""COMPUTED_VALUE"""),"Kangaroo Power Wire STBD Assy")</f>
        <v>Kangaroo Power Wire STBD Assy</v>
      </c>
      <c r="F708" s="111"/>
      <c r="G708" s="111">
        <f ca="1">IFERROR(__xludf.DUMMYFUNCTION("""COMPUTED_VALUE"""),22)</f>
        <v>22</v>
      </c>
      <c r="H708" t="str">
        <f ca="1">IFERROR(__xludf.DUMMYFUNCTION("""COMPUTED_VALUE"""),"Coolant (Bike)")</f>
        <v>Coolant (Bike)</v>
      </c>
    </row>
    <row r="709" spans="1:8">
      <c r="A709" s="106"/>
      <c r="B709" s="111"/>
      <c r="C709" s="111"/>
      <c r="D709" s="111"/>
      <c r="E709" s="111" t="str">
        <f ca="1">IFERROR(__xludf.DUMMYFUNCTION("""COMPUTED_VALUE"""),"Kangaroo Box Preprocessing Assy")</f>
        <v>Kangaroo Box Preprocessing Assy</v>
      </c>
      <c r="F709" s="111"/>
      <c r="G709" s="111">
        <f ca="1">IFERROR(__xludf.DUMMYFUNCTION("""COMPUTED_VALUE"""),23)</f>
        <v>23</v>
      </c>
      <c r="H709" t="str">
        <f ca="1">IFERROR(__xludf.DUMMYFUNCTION("""COMPUTED_VALUE"""),"Water Finding Paste")</f>
        <v>Water Finding Paste</v>
      </c>
    </row>
    <row r="710" spans="1:8">
      <c r="A710" s="106"/>
      <c r="B710" s="111"/>
      <c r="C710" s="111"/>
      <c r="D710" s="111"/>
      <c r="E710" s="111" t="str">
        <f ca="1">IFERROR(__xludf.DUMMYFUNCTION("""COMPUTED_VALUE"""),"Kangaroo box PORT Assy")</f>
        <v>Kangaroo box PORT Assy</v>
      </c>
      <c r="F710" s="111"/>
      <c r="G710" s="111">
        <f ca="1">IFERROR(__xludf.DUMMYFUNCTION("""COMPUTED_VALUE"""),24)</f>
        <v>24</v>
      </c>
      <c r="H710" t="str">
        <f ca="1">IFERROR(__xludf.DUMMYFUNCTION("""COMPUTED_VALUE"""),"M4 Stud Rod")</f>
        <v>M4 Stud Rod</v>
      </c>
    </row>
    <row r="711" spans="1:8">
      <c r="A711" s="106"/>
      <c r="B711" s="111"/>
      <c r="C711" s="111"/>
      <c r="D711" s="111"/>
      <c r="E711" s="111" t="str">
        <f ca="1">IFERROR(__xludf.DUMMYFUNCTION("""COMPUTED_VALUE"""),"Kangaroo box STBD Assy")</f>
        <v>Kangaroo box STBD Assy</v>
      </c>
      <c r="F711" s="111"/>
      <c r="G711" s="111">
        <f ca="1">IFERROR(__xludf.DUMMYFUNCTION("""COMPUTED_VALUE"""),25)</f>
        <v>25</v>
      </c>
      <c r="H711" t="str">
        <f ca="1">IFERROR(__xludf.DUMMYFUNCTION("""COMPUTED_VALUE"""),"weighing Machine ")</f>
        <v xml:space="preserve">weighing Machine </v>
      </c>
    </row>
    <row r="712" spans="1:8">
      <c r="A712" s="106"/>
      <c r="B712" s="111"/>
      <c r="C712" s="111"/>
      <c r="D712" s="111"/>
      <c r="E712" s="111" t="str">
        <f ca="1">IFERROR(__xludf.DUMMYFUNCTION("""COMPUTED_VALUE"""),"Motor Mount Assy (V1.1 &amp; 5692)")</f>
        <v>Motor Mount Assy (V1.1 &amp; 5692)</v>
      </c>
      <c r="F712" s="111"/>
      <c r="G712" s="111">
        <f ca="1">IFERROR(__xludf.DUMMYFUNCTION("""COMPUTED_VALUE"""),26)</f>
        <v>26</v>
      </c>
      <c r="H712" t="str">
        <f ca="1">IFERROR(__xludf.DUMMYFUNCTION("""COMPUTED_VALUE"""),"Enclosure Box 280x190x130 IP67")</f>
        <v>Enclosure Box 280x190x130 IP67</v>
      </c>
    </row>
    <row r="713" spans="1:8">
      <c r="A713" s="106"/>
      <c r="B713" s="111"/>
      <c r="C713" s="111"/>
      <c r="D713" s="111"/>
      <c r="E713" s="111" t="str">
        <f ca="1">IFERROR(__xludf.DUMMYFUNCTION("""COMPUTED_VALUE"""),"Jet body Assy PORT")</f>
        <v>Jet body Assy PORT</v>
      </c>
      <c r="F713" s="111"/>
      <c r="G713" s="111">
        <f ca="1">IFERROR(__xludf.DUMMYFUNCTION("""COMPUTED_VALUE"""),27)</f>
        <v>27</v>
      </c>
      <c r="H713" t="str">
        <f ca="1">IFERROR(__xludf.DUMMYFUNCTION("""COMPUTED_VALUE"""),"Enclosure Box 380x190x130 IP67")</f>
        <v>Enclosure Box 380x190x130 IP67</v>
      </c>
    </row>
    <row r="714" spans="1:8">
      <c r="A714" s="106"/>
      <c r="B714" s="111"/>
      <c r="C714" s="111"/>
      <c r="D714" s="111"/>
      <c r="E714" s="111" t="str">
        <f ca="1">IFERROR(__xludf.DUMMYFUNCTION("""COMPUTED_VALUE"""),"Jet body Assy STBD")</f>
        <v>Jet body Assy STBD</v>
      </c>
      <c r="F714" s="111"/>
      <c r="G714" s="111">
        <f ca="1">IFERROR(__xludf.DUMMYFUNCTION("""COMPUTED_VALUE"""),28)</f>
        <v>28</v>
      </c>
      <c r="H714" t="str">
        <f ca="1">IFERROR(__xludf.DUMMYFUNCTION("""COMPUTED_VALUE"""),"Side scanner sonar 450SS")</f>
        <v>Side scanner sonar 450SS</v>
      </c>
    </row>
    <row r="715" spans="1:8">
      <c r="A715" s="106"/>
      <c r="B715" s="111"/>
      <c r="C715" s="111"/>
      <c r="D715" s="111"/>
      <c r="E715" s="111" t="str">
        <f ca="1">IFERROR(__xludf.DUMMYFUNCTION("""COMPUTED_VALUE"""),"Hardowood packing box")</f>
        <v>Hardowood packing box</v>
      </c>
      <c r="F715" s="111"/>
      <c r="G715" s="111">
        <f ca="1">IFERROR(__xludf.DUMMYFUNCTION("""COMPUTED_VALUE"""),29)</f>
        <v>29</v>
      </c>
      <c r="H715" t="str">
        <f ca="1">IFERROR(__xludf.DUMMYFUNCTION("""COMPUTED_VALUE"""),"15.6"" TFT LCD, LED B 2000 Nits")</f>
        <v>15.6" TFT LCD, LED B 2000 Nits</v>
      </c>
    </row>
    <row r="716" spans="1:8">
      <c r="A716" s="106"/>
      <c r="B716" s="111"/>
      <c r="C716" s="111"/>
      <c r="D716" s="111"/>
      <c r="E716" s="111" t="str">
        <f ca="1">IFERROR(__xludf.DUMMYFUNCTION("""COMPUTED_VALUE"""),"Charging Cable Assy")</f>
        <v>Charging Cable Assy</v>
      </c>
      <c r="F716" s="111"/>
      <c r="G716" s="111">
        <f ca="1">IFERROR(__xludf.DUMMYFUNCTION("""COMPUTED_VALUE"""),30)</f>
        <v>30</v>
      </c>
      <c r="H716" t="str">
        <f ca="1">IFERROR(__xludf.DUMMYFUNCTION("""COMPUTED_VALUE"""),"15.6"" TFT LCD, LED backlight 1800 nits, FHD (1920x1080)")</f>
        <v>15.6" TFT LCD, LED backlight 1800 nits, FHD (1920x1080)</v>
      </c>
    </row>
    <row r="717" spans="1:8">
      <c r="A717" s="106"/>
      <c r="B717" s="111"/>
      <c r="C717" s="111"/>
      <c r="D717" s="111"/>
      <c r="E717" s="111" t="str">
        <f ca="1">IFERROR(__xludf.DUMMYFUNCTION("""COMPUTED_VALUE"""),"IP Remote Charging PM")</f>
        <v>IP Remote Charging PM</v>
      </c>
      <c r="F717" s="111"/>
      <c r="G717" s="111">
        <f ca="1">IFERROR(__xludf.DUMMYFUNCTION("""COMPUTED_VALUE"""),31)</f>
        <v>31</v>
      </c>
      <c r="H717" t="str">
        <f ca="1">IFERROR(__xludf.DUMMYFUNCTION("""COMPUTED_VALUE"""),"Wooden Box handles")</f>
        <v>Wooden Box handles</v>
      </c>
    </row>
    <row r="718" spans="1:8">
      <c r="A718" s="106"/>
      <c r="B718" s="111"/>
      <c r="C718" s="111"/>
      <c r="D718" s="111"/>
      <c r="E718" s="111" t="str">
        <f ca="1">IFERROR(__xludf.DUMMYFUNCTION("""COMPUTED_VALUE"""),"IP Remote Charging Cable Assy")</f>
        <v>IP Remote Charging Cable Assy</v>
      </c>
      <c r="F718" s="111"/>
      <c r="G718" s="111">
        <f ca="1">IFERROR(__xludf.DUMMYFUNCTION("""COMPUTED_VALUE"""),32)</f>
        <v>32</v>
      </c>
      <c r="H718" t="str">
        <f ca="1">IFERROR(__xludf.DUMMYFUNCTION("""COMPUTED_VALUE"""),"Eyelid for cradle")</f>
        <v>Eyelid for cradle</v>
      </c>
    </row>
    <row r="719" spans="1:8">
      <c r="A719" s="106"/>
      <c r="B719" s="111"/>
      <c r="C719" s="111"/>
      <c r="D719" s="111"/>
      <c r="E719" s="111" t="str">
        <f ca="1">IFERROR(__xludf.DUMMYFUNCTION("""COMPUTED_VALUE"""),"Charger PM Assy")</f>
        <v>Charger PM Assy</v>
      </c>
      <c r="F719" s="111"/>
      <c r="G719" s="111">
        <f ca="1">IFERROR(__xludf.DUMMYFUNCTION("""COMPUTED_VALUE"""),33)</f>
        <v>33</v>
      </c>
      <c r="H719" t="str">
        <f ca="1">IFERROR(__xludf.DUMMYFUNCTION("""COMPUTED_VALUE"""),"Paint remover")</f>
        <v>Paint remover</v>
      </c>
    </row>
    <row r="720" spans="1:8">
      <c r="A720" s="106"/>
      <c r="B720" s="111"/>
      <c r="C720" s="111"/>
      <c r="D720" s="111"/>
      <c r="E720" s="111" t="str">
        <f ca="1">IFERROR(__xludf.DUMMYFUNCTION("""COMPUTED_VALUE"""),"Charger power module Assy")</f>
        <v>Charger power module Assy</v>
      </c>
      <c r="F720" s="111"/>
      <c r="G720" s="111">
        <f ca="1">IFERROR(__xludf.DUMMYFUNCTION("""COMPUTED_VALUE"""),34)</f>
        <v>34</v>
      </c>
      <c r="H720" t="str">
        <f ca="1">IFERROR(__xludf.DUMMYFUNCTION("""COMPUTED_VALUE"""),"Butane Cyclinder")</f>
        <v>Butane Cyclinder</v>
      </c>
    </row>
    <row r="721" spans="1:10">
      <c r="A721" s="106"/>
      <c r="B721" s="111"/>
      <c r="C721" s="111"/>
      <c r="D721" s="111"/>
      <c r="E721" s="111" t="str">
        <f ca="1">IFERROR(__xludf.DUMMYFUNCTION("""COMPUTED_VALUE"""),"Charger Panel Assy")</f>
        <v>Charger Panel Assy</v>
      </c>
      <c r="F721" s="111"/>
      <c r="G721" s="111">
        <f ca="1">IFERROR(__xludf.DUMMYFUNCTION("""COMPUTED_VALUE"""),35)</f>
        <v>35</v>
      </c>
      <c r="H721" t="str">
        <f ca="1">IFERROR(__xludf.DUMMYFUNCTION("""COMPUTED_VALUE"""),"Padeyes")</f>
        <v>Padeyes</v>
      </c>
    </row>
    <row r="722" spans="1:10">
      <c r="A722" s="106"/>
      <c r="B722" s="111"/>
      <c r="C722" s="111"/>
      <c r="D722" s="111"/>
      <c r="E722" s="111" t="str">
        <f ca="1">IFERROR(__xludf.DUMMYFUNCTION("""COMPUTED_VALUE"""),"ESC Assy")</f>
        <v>ESC Assy</v>
      </c>
      <c r="F722" s="111"/>
      <c r="G722" s="111">
        <f ca="1">IFERROR(__xludf.DUMMYFUNCTION("""COMPUTED_VALUE"""),36)</f>
        <v>36</v>
      </c>
      <c r="H722" t="str">
        <f ca="1">IFERROR(__xludf.DUMMYFUNCTION("""COMPUTED_VALUE"""),"Hull Preprocess Assy")</f>
        <v>Hull Preprocess Assy</v>
      </c>
      <c r="J722">
        <f ca="1">IFERROR(__xludf.DUMMYFUNCTION("""COMPUTED_VALUE"""),1)</f>
        <v>1</v>
      </c>
    </row>
    <row r="723" spans="1:10">
      <c r="A723" s="106"/>
      <c r="B723" s="111"/>
      <c r="C723" s="111"/>
      <c r="D723" s="111"/>
      <c r="E723" s="111" t="str">
        <f ca="1">IFERROR(__xludf.DUMMYFUNCTION("""COMPUTED_VALUE"""),"Self Rightening Assy")</f>
        <v>Self Rightening Assy</v>
      </c>
      <c r="F723" s="111"/>
      <c r="G723" s="111">
        <f ca="1">IFERROR(__xludf.DUMMYFUNCTION("""COMPUTED_VALUE"""),37)</f>
        <v>37</v>
      </c>
      <c r="H723" t="str">
        <f ca="1">IFERROR(__xludf.DUMMYFUNCTION("""COMPUTED_VALUE"""),"Jet unit Assy STBD")</f>
        <v>Jet unit Assy STBD</v>
      </c>
      <c r="J723">
        <f ca="1">IFERROR(__xludf.DUMMYFUNCTION("""COMPUTED_VALUE"""),2)</f>
        <v>2</v>
      </c>
    </row>
    <row r="724" spans="1:10">
      <c r="A724" s="106"/>
      <c r="B724" s="111"/>
      <c r="C724" s="111"/>
      <c r="D724" s="111"/>
      <c r="E724" s="111" t="str">
        <f ca="1">IFERROR(__xludf.DUMMYFUNCTION("""COMPUTED_VALUE"""),"SAIFSEAS LIFE Final Assy (FG)")</f>
        <v>SAIFSEAS LIFE Final Assy (FG)</v>
      </c>
      <c r="F724" s="111"/>
      <c r="G724" s="111"/>
      <c r="H724" t="str">
        <f ca="1">IFERROR(__xludf.DUMMYFUNCTION("""COMPUTED_VALUE"""),"Jet unit Assy PORT")</f>
        <v>Jet unit Assy PORT</v>
      </c>
      <c r="J724">
        <f ca="1">IFERROR(__xludf.DUMMYFUNCTION("""COMPUTED_VALUE"""),3)</f>
        <v>3</v>
      </c>
    </row>
    <row r="725" spans="1:10">
      <c r="A725" s="106"/>
      <c r="B725" s="111"/>
      <c r="C725" s="111"/>
      <c r="D725" s="111"/>
      <c r="E725" s="111"/>
      <c r="F725" s="111"/>
      <c r="G725" s="111"/>
      <c r="H725" t="str">
        <f ca="1">IFERROR(__xludf.DUMMYFUNCTION("""COMPUTED_VALUE"""),"Jet unit Signal Cable Dest. Assy (CMD)")</f>
        <v>Jet unit Signal Cable Dest. Assy (CMD)</v>
      </c>
      <c r="J725">
        <f ca="1">IFERROR(__xludf.DUMMYFUNCTION("""COMPUTED_VALUE"""),4)</f>
        <v>4</v>
      </c>
    </row>
    <row r="726" spans="1:10">
      <c r="A726" s="106"/>
      <c r="B726" s="111"/>
      <c r="C726" s="111"/>
      <c r="D726" s="111"/>
      <c r="E726" s="111"/>
      <c r="F726" s="111"/>
      <c r="G726" s="111"/>
      <c r="H726" t="str">
        <f ca="1">IFERROR(__xludf.DUMMYFUNCTION("""COMPUTED_VALUE"""),"Jet unit Signal Cable Orig. Assy (CMO)")</f>
        <v>Jet unit Signal Cable Orig. Assy (CMO)</v>
      </c>
      <c r="J726">
        <f ca="1">IFERROR(__xludf.DUMMYFUNCTION("""COMPUTED_VALUE"""),5)</f>
        <v>5</v>
      </c>
    </row>
    <row r="727" spans="1:10">
      <c r="A727" s="106"/>
      <c r="B727" s="111"/>
      <c r="C727" s="111"/>
      <c r="D727" s="111"/>
      <c r="E727" s="111"/>
      <c r="F727" s="111"/>
      <c r="G727" s="111"/>
      <c r="H727" t="str">
        <f ca="1">IFERROR(__xludf.DUMMYFUNCTION("""COMPUTED_VALUE"""),"Signal Cable Assy ")</f>
        <v xml:space="preserve">Signal Cable Assy </v>
      </c>
      <c r="J727">
        <f ca="1">IFERROR(__xludf.DUMMYFUNCTION("""COMPUTED_VALUE"""),6)</f>
        <v>6</v>
      </c>
    </row>
    <row r="728" spans="1:10">
      <c r="A728" s="106"/>
      <c r="B728" s="111"/>
      <c r="C728" s="111"/>
      <c r="D728" s="111"/>
      <c r="E728" s="111"/>
      <c r="F728" s="111"/>
      <c r="G728" s="111"/>
      <c r="H728" t="str">
        <f ca="1">IFERROR(__xludf.DUMMYFUNCTION("""COMPUTED_VALUE"""),"Copper Tab Tinning Assy")</f>
        <v>Copper Tab Tinning Assy</v>
      </c>
      <c r="I728" t="str">
        <f ca="1">IFERROR(__xludf.DUMMYFUNCTION("""COMPUTED_VALUE"""),"ASSY-MCN-3S2P-CU-2170")</f>
        <v>ASSY-MCN-3S2P-CU-2170</v>
      </c>
      <c r="J728">
        <f ca="1">IFERROR(__xludf.DUMMYFUNCTION("""COMPUTED_VALUE"""),7)</f>
        <v>7</v>
      </c>
    </row>
    <row r="729" spans="1:10">
      <c r="A729" s="106"/>
      <c r="B729" s="111"/>
      <c r="C729" s="111"/>
      <c r="D729" s="111"/>
      <c r="E729" s="111"/>
      <c r="F729" s="111"/>
      <c r="G729" s="111"/>
      <c r="H729" t="str">
        <f ca="1">IFERROR(__xludf.DUMMYFUNCTION("""COMPUTED_VALUE"""),"Battery Block Formation Assy")</f>
        <v>Battery Block Formation Assy</v>
      </c>
      <c r="J729">
        <f ca="1">IFERROR(__xludf.DUMMYFUNCTION("""COMPUTED_VALUE"""),8)</f>
        <v>8</v>
      </c>
    </row>
    <row r="730" spans="1:10">
      <c r="A730" s="106"/>
      <c r="B730" s="111"/>
      <c r="C730" s="111"/>
      <c r="D730" s="111"/>
      <c r="E730" s="111"/>
      <c r="F730" s="111"/>
      <c r="G730" s="111"/>
      <c r="H730" t="str">
        <f ca="1">IFERROR(__xludf.DUMMYFUNCTION("""COMPUTED_VALUE"""),"Battery wiring STBD Assy")</f>
        <v>Battery wiring STBD Assy</v>
      </c>
      <c r="J730">
        <f ca="1">IFERROR(__xludf.DUMMYFUNCTION("""COMPUTED_VALUE"""),9)</f>
        <v>9</v>
      </c>
    </row>
    <row r="731" spans="1:10">
      <c r="A731" s="106"/>
      <c r="B731" s="111"/>
      <c r="C731" s="111"/>
      <c r="D731" s="111"/>
      <c r="E731" s="111"/>
      <c r="F731" s="111"/>
      <c r="G731" s="111"/>
      <c r="H731" t="str">
        <f ca="1">IFERROR(__xludf.DUMMYFUNCTION("""COMPUTED_VALUE"""),"Battery Wiring PORT Assy ")</f>
        <v xml:space="preserve">Battery Wiring PORT Assy </v>
      </c>
      <c r="J731">
        <f ca="1">IFERROR(__xludf.DUMMYFUNCTION("""COMPUTED_VALUE"""),10)</f>
        <v>10</v>
      </c>
    </row>
    <row r="732" spans="1:10">
      <c r="A732" s="106"/>
      <c r="B732" s="111"/>
      <c r="C732" s="111"/>
      <c r="D732" s="111"/>
      <c r="E732" s="111"/>
      <c r="F732" s="111"/>
      <c r="G732" s="111"/>
      <c r="H732" t="str">
        <f ca="1">IFERROR(__xludf.DUMMYFUNCTION("""COMPUTED_VALUE"""),"IP Remote Assy")</f>
        <v>IP Remote Assy</v>
      </c>
      <c r="J732">
        <f ca="1">IFERROR(__xludf.DUMMYFUNCTION("""COMPUTED_VALUE"""),11)</f>
        <v>11</v>
      </c>
    </row>
    <row r="733" spans="1:10">
      <c r="A733" s="106"/>
      <c r="B733" s="111"/>
      <c r="C733" s="111"/>
      <c r="D733" s="111"/>
      <c r="E733" s="111"/>
      <c r="F733" s="111"/>
      <c r="G733" s="111"/>
      <c r="H733" t="str">
        <f ca="1">IFERROR(__xludf.DUMMYFUNCTION("""COMPUTED_VALUE"""),"ElecBox Assy")</f>
        <v>ElecBox Assy</v>
      </c>
      <c r="J733">
        <f ca="1">IFERROR(__xludf.DUMMYFUNCTION("""COMPUTED_VALUE"""),12)</f>
        <v>12</v>
      </c>
    </row>
    <row r="734" spans="1:10">
      <c r="A734" s="106"/>
      <c r="B734" s="111"/>
      <c r="C734" s="111"/>
      <c r="D734" s="111"/>
      <c r="E734" s="111"/>
      <c r="F734" s="111"/>
      <c r="G734" s="111"/>
      <c r="H734" t="str">
        <f ca="1">IFERROR(__xludf.DUMMYFUNCTION("""COMPUTED_VALUE"""),"Motherboard Assy")</f>
        <v>Motherboard Assy</v>
      </c>
      <c r="J734">
        <f ca="1">IFERROR(__xludf.DUMMYFUNCTION("""COMPUTED_VALUE"""),13)</f>
        <v>13</v>
      </c>
    </row>
    <row r="735" spans="1:10">
      <c r="A735" s="106"/>
      <c r="B735" s="111"/>
      <c r="C735" s="111"/>
      <c r="D735" s="111"/>
      <c r="E735" s="111"/>
      <c r="F735" s="111"/>
      <c r="G735" s="111"/>
      <c r="H735" t="str">
        <f ca="1">IFERROR(__xludf.DUMMYFUNCTION("""COMPUTED_VALUE"""),"100v Buck PCB Assy")</f>
        <v>100v Buck PCB Assy</v>
      </c>
      <c r="J735">
        <f ca="1">IFERROR(__xludf.DUMMYFUNCTION("""COMPUTED_VALUE"""),14)</f>
        <v>14</v>
      </c>
    </row>
    <row r="736" spans="1:10">
      <c r="A736" s="106"/>
      <c r="B736" s="111"/>
      <c r="C736" s="111"/>
      <c r="D736" s="111"/>
      <c r="E736" s="111"/>
      <c r="F736" s="111"/>
      <c r="G736" s="111"/>
      <c r="H736" t="str">
        <f ca="1">IFERROR(__xludf.DUMMYFUNCTION("""COMPUTED_VALUE"""),"Current Sensor Assy")</f>
        <v>Current Sensor Assy</v>
      </c>
      <c r="J736">
        <f ca="1">IFERROR(__xludf.DUMMYFUNCTION("""COMPUTED_VALUE"""),15)</f>
        <v>15</v>
      </c>
    </row>
    <row r="737" spans="1:10">
      <c r="A737" s="106"/>
      <c r="B737" s="111"/>
      <c r="C737" s="111"/>
      <c r="D737" s="111"/>
      <c r="E737" s="111"/>
      <c r="F737" s="111"/>
      <c r="G737" s="111"/>
      <c r="H737" t="str">
        <f ca="1">IFERROR(__xludf.DUMMYFUNCTION("""COMPUTED_VALUE"""),"Signal PM Assy")</f>
        <v>Signal PM Assy</v>
      </c>
      <c r="J737">
        <f ca="1">IFERROR(__xludf.DUMMYFUNCTION("""COMPUTED_VALUE"""),16)</f>
        <v>16</v>
      </c>
    </row>
    <row r="738" spans="1:10">
      <c r="A738" s="106"/>
      <c r="B738" s="111"/>
      <c r="C738" s="111"/>
      <c r="D738" s="111"/>
      <c r="E738" s="111"/>
      <c r="F738" s="111"/>
      <c r="G738" s="111"/>
      <c r="H738" t="str">
        <f ca="1">IFERROR(__xludf.DUMMYFUNCTION("""COMPUTED_VALUE"""),"Charging PM Assy")</f>
        <v>Charging PM Assy</v>
      </c>
      <c r="I738" t="str">
        <f ca="1">IFERROR(__xludf.DUMMYFUNCTION("""COMPUTED_VALUE"""),"ASYE-MCH-IP7-FLSHM-ST")</f>
        <v>ASYE-MCH-IP7-FLSHM-ST</v>
      </c>
      <c r="J738">
        <f ca="1">IFERROR(__xludf.DUMMYFUNCTION("""COMPUTED_VALUE"""),17)</f>
        <v>17</v>
      </c>
    </row>
    <row r="739" spans="1:10">
      <c r="A739" s="106"/>
      <c r="B739" s="111"/>
      <c r="C739" s="111"/>
      <c r="D739" s="111"/>
      <c r="E739" s="111"/>
      <c r="F739" s="111"/>
      <c r="G739" s="111"/>
      <c r="H739" t="str">
        <f ca="1">IFERROR(__xludf.DUMMYFUNCTION("""COMPUTED_VALUE"""),"Bottom block Assy")</f>
        <v>Bottom block Assy</v>
      </c>
      <c r="I739" t="str">
        <f ca="1">IFERROR(__xludf.DUMMYFUNCTION("""COMPUTED_VALUE"""),"ASYE-MCH-IP7-FLSHM-PT")</f>
        <v>ASYE-MCH-IP7-FLSHM-PT</v>
      </c>
      <c r="J739">
        <f ca="1">IFERROR(__xludf.DUMMYFUNCTION("""COMPUTED_VALUE"""),18)</f>
        <v>18</v>
      </c>
    </row>
    <row r="740" spans="1:10">
      <c r="A740" s="106"/>
      <c r="B740" s="111"/>
      <c r="C740" s="111"/>
      <c r="D740" s="111"/>
      <c r="E740" s="111"/>
      <c r="F740" s="111"/>
      <c r="G740" s="111"/>
      <c r="H740" t="str">
        <f ca="1">IFERROR(__xludf.DUMMYFUNCTION("""COMPUTED_VALUE"""),"Flashing Light Assy PORT")</f>
        <v>Flashing Light Assy PORT</v>
      </c>
      <c r="J740">
        <f ca="1">IFERROR(__xludf.DUMMYFUNCTION("""COMPUTED_VALUE"""),19)</f>
        <v>19</v>
      </c>
    </row>
    <row r="741" spans="1:10">
      <c r="A741" s="106"/>
      <c r="B741" s="111"/>
      <c r="C741" s="111"/>
      <c r="D741" s="111"/>
      <c r="E741" s="111"/>
      <c r="F741" s="111"/>
      <c r="G741" s="111"/>
      <c r="H741" t="str">
        <f ca="1">IFERROR(__xludf.DUMMYFUNCTION("""COMPUTED_VALUE"""),"Flashing Light Assy STBD")</f>
        <v>Flashing Light Assy STBD</v>
      </c>
      <c r="J741">
        <f ca="1">IFERROR(__xludf.DUMMYFUNCTION("""COMPUTED_VALUE"""),20)</f>
        <v>20</v>
      </c>
    </row>
    <row r="742" spans="1:10">
      <c r="A742" s="106"/>
      <c r="B742" s="111"/>
      <c r="C742" s="111"/>
      <c r="D742" s="111"/>
      <c r="E742" s="111"/>
      <c r="F742" s="111"/>
      <c r="G742" s="111"/>
      <c r="H742" t="str">
        <f ca="1">IFERROR(__xludf.DUMMYFUNCTION("""COMPUTED_VALUE"""),"Kangaroo Power Wire PORT Assy")</f>
        <v>Kangaroo Power Wire PORT Assy</v>
      </c>
      <c r="J742">
        <f ca="1">IFERROR(__xludf.DUMMYFUNCTION("""COMPUTED_VALUE"""),21)</f>
        <v>21</v>
      </c>
    </row>
    <row r="743" spans="1:10">
      <c r="A743" s="106"/>
      <c r="B743" s="111"/>
      <c r="C743" s="111"/>
      <c r="D743" s="111"/>
      <c r="E743" s="111"/>
      <c r="F743" s="111"/>
      <c r="G743" s="111"/>
      <c r="H743" t="str">
        <f ca="1">IFERROR(__xludf.DUMMYFUNCTION("""COMPUTED_VALUE"""),"Kangaroo Power Wire STBD Assy")</f>
        <v>Kangaroo Power Wire STBD Assy</v>
      </c>
      <c r="J743">
        <f ca="1">IFERROR(__xludf.DUMMYFUNCTION("""COMPUTED_VALUE"""),22)</f>
        <v>22</v>
      </c>
    </row>
    <row r="744" spans="1:10">
      <c r="A744" s="106"/>
      <c r="B744" s="111"/>
      <c r="C744" s="111"/>
      <c r="D744" s="111"/>
      <c r="E744" s="111"/>
      <c r="F744" s="111"/>
      <c r="G744" s="111"/>
      <c r="H744" t="str">
        <f ca="1">IFERROR(__xludf.DUMMYFUNCTION("""COMPUTED_VALUE"""),"Kangaroo Box Preprocessing Assy")</f>
        <v>Kangaroo Box Preprocessing Assy</v>
      </c>
      <c r="J744">
        <f ca="1">IFERROR(__xludf.DUMMYFUNCTION("""COMPUTED_VALUE"""),23)</f>
        <v>23</v>
      </c>
    </row>
    <row r="745" spans="1:10">
      <c r="A745" s="106"/>
      <c r="B745" s="111"/>
      <c r="C745" s="111"/>
      <c r="D745" s="111"/>
      <c r="E745" s="111"/>
      <c r="F745" s="111"/>
      <c r="G745" s="111"/>
      <c r="H745" t="str">
        <f ca="1">IFERROR(__xludf.DUMMYFUNCTION("""COMPUTED_VALUE"""),"Kangaroo box PORT Assy")</f>
        <v>Kangaroo box PORT Assy</v>
      </c>
      <c r="J745">
        <f ca="1">IFERROR(__xludf.DUMMYFUNCTION("""COMPUTED_VALUE"""),24)</f>
        <v>24</v>
      </c>
    </row>
    <row r="746" spans="1:10">
      <c r="A746" s="106"/>
      <c r="B746" s="111"/>
      <c r="C746" s="111"/>
      <c r="D746" s="111"/>
      <c r="E746" s="111"/>
      <c r="F746" s="111"/>
      <c r="G746" s="111"/>
      <c r="H746" t="str">
        <f ca="1">IFERROR(__xludf.DUMMYFUNCTION("""COMPUTED_VALUE"""),"Kangaroo box STBD Assy")</f>
        <v>Kangaroo box STBD Assy</v>
      </c>
      <c r="J746">
        <f ca="1">IFERROR(__xludf.DUMMYFUNCTION("""COMPUTED_VALUE"""),25)</f>
        <v>25</v>
      </c>
    </row>
    <row r="747" spans="1:10">
      <c r="A747" s="106"/>
      <c r="B747" s="111"/>
      <c r="C747" s="111"/>
      <c r="D747" s="111"/>
      <c r="E747" s="111"/>
      <c r="F747" s="111"/>
      <c r="G747" s="111"/>
      <c r="H747" t="str">
        <f ca="1">IFERROR(__xludf.DUMMYFUNCTION("""COMPUTED_VALUE"""),"Motor Mount Assy (V1.1 &amp; 5692)")</f>
        <v>Motor Mount Assy (V1.1 &amp; 5692)</v>
      </c>
      <c r="J747">
        <f ca="1">IFERROR(__xludf.DUMMYFUNCTION("""COMPUTED_VALUE"""),26)</f>
        <v>26</v>
      </c>
    </row>
    <row r="748" spans="1:10">
      <c r="A748" s="106"/>
      <c r="B748" s="111"/>
      <c r="C748" s="111"/>
      <c r="D748" s="111"/>
      <c r="E748" s="111"/>
      <c r="F748" s="111"/>
      <c r="G748" s="111"/>
      <c r="H748" t="str">
        <f ca="1">IFERROR(__xludf.DUMMYFUNCTION("""COMPUTED_VALUE"""),"Jet body Assy PORT")</f>
        <v>Jet body Assy PORT</v>
      </c>
      <c r="J748">
        <f ca="1">IFERROR(__xludf.DUMMYFUNCTION("""COMPUTED_VALUE"""),27)</f>
        <v>27</v>
      </c>
    </row>
    <row r="749" spans="1:10">
      <c r="A749" s="106"/>
      <c r="B749" s="111"/>
      <c r="C749" s="111"/>
      <c r="D749" s="111"/>
      <c r="E749" s="111"/>
      <c r="F749" s="111"/>
      <c r="G749" s="111"/>
      <c r="H749" t="str">
        <f ca="1">IFERROR(__xludf.DUMMYFUNCTION("""COMPUTED_VALUE"""),"Jet body Assy STBD")</f>
        <v>Jet body Assy STBD</v>
      </c>
      <c r="J749">
        <f ca="1">IFERROR(__xludf.DUMMYFUNCTION("""COMPUTED_VALUE"""),28)</f>
        <v>28</v>
      </c>
    </row>
    <row r="750" spans="1:10">
      <c r="A750" s="106"/>
      <c r="B750" s="111"/>
      <c r="C750" s="111"/>
      <c r="D750" s="111"/>
      <c r="E750" s="111"/>
      <c r="F750" s="111"/>
      <c r="G750" s="111"/>
      <c r="H750" t="str">
        <f ca="1">IFERROR(__xludf.DUMMYFUNCTION("""COMPUTED_VALUE"""),"Hardowood packing box")</f>
        <v>Hardowood packing box</v>
      </c>
      <c r="J750">
        <f ca="1">IFERROR(__xludf.DUMMYFUNCTION("""COMPUTED_VALUE"""),29)</f>
        <v>29</v>
      </c>
    </row>
    <row r="751" spans="1:10">
      <c r="A751" s="106"/>
      <c r="B751" s="111"/>
      <c r="C751" s="111"/>
      <c r="D751" s="111"/>
      <c r="E751" s="111"/>
      <c r="F751" s="111"/>
      <c r="G751" s="111"/>
      <c r="H751" t="str">
        <f ca="1">IFERROR(__xludf.DUMMYFUNCTION("""COMPUTED_VALUE"""),"Charging Cable Assy")</f>
        <v>Charging Cable Assy</v>
      </c>
      <c r="J751">
        <f ca="1">IFERROR(__xludf.DUMMYFUNCTION("""COMPUTED_VALUE"""),30)</f>
        <v>30</v>
      </c>
    </row>
    <row r="752" spans="1:10">
      <c r="A752" s="106"/>
      <c r="B752" s="111"/>
      <c r="C752" s="111"/>
      <c r="D752" s="111"/>
      <c r="E752" s="111"/>
      <c r="F752" s="111"/>
      <c r="G752" s="111"/>
      <c r="H752" t="str">
        <f ca="1">IFERROR(__xludf.DUMMYFUNCTION("""COMPUTED_VALUE"""),"IP Remote Charging PM")</f>
        <v>IP Remote Charging PM</v>
      </c>
      <c r="J752">
        <f ca="1">IFERROR(__xludf.DUMMYFUNCTION("""COMPUTED_VALUE"""),31)</f>
        <v>31</v>
      </c>
    </row>
    <row r="753" spans="1:10">
      <c r="A753" s="106"/>
      <c r="B753" s="111"/>
      <c r="C753" s="111"/>
      <c r="D753" s="111"/>
      <c r="E753" s="111"/>
      <c r="F753" s="111"/>
      <c r="G753" s="111"/>
      <c r="H753" t="str">
        <f ca="1">IFERROR(__xludf.DUMMYFUNCTION("""COMPUTED_VALUE"""),"IP Remote Charging Cable Assy")</f>
        <v>IP Remote Charging Cable Assy</v>
      </c>
      <c r="J753">
        <f ca="1">IFERROR(__xludf.DUMMYFUNCTION("""COMPUTED_VALUE"""),32)</f>
        <v>32</v>
      </c>
    </row>
    <row r="754" spans="1:10">
      <c r="A754" s="106"/>
      <c r="B754" s="111"/>
      <c r="C754" s="111"/>
      <c r="D754" s="111"/>
      <c r="E754" s="111"/>
      <c r="F754" s="111"/>
      <c r="G754" s="111"/>
      <c r="H754" t="str">
        <f ca="1">IFERROR(__xludf.DUMMYFUNCTION("""COMPUTED_VALUE"""),"Charger PM Assy")</f>
        <v>Charger PM Assy</v>
      </c>
      <c r="J754">
        <f ca="1">IFERROR(__xludf.DUMMYFUNCTION("""COMPUTED_VALUE"""),33)</f>
        <v>33</v>
      </c>
    </row>
    <row r="755" spans="1:10">
      <c r="A755" s="106"/>
      <c r="B755" s="111"/>
      <c r="C755" s="111"/>
      <c r="D755" s="111"/>
      <c r="E755" s="111"/>
      <c r="F755" s="111"/>
      <c r="G755" s="111"/>
      <c r="H755" t="str">
        <f ca="1">IFERROR(__xludf.DUMMYFUNCTION("""COMPUTED_VALUE"""),"Charger power module Assy")</f>
        <v>Charger power module Assy</v>
      </c>
      <c r="J755">
        <f ca="1">IFERROR(__xludf.DUMMYFUNCTION("""COMPUTED_VALUE"""),34)</f>
        <v>34</v>
      </c>
    </row>
    <row r="756" spans="1:10">
      <c r="A756" s="106"/>
      <c r="B756" s="111"/>
      <c r="C756" s="111"/>
      <c r="D756" s="111"/>
      <c r="E756" s="111"/>
      <c r="F756" s="111"/>
      <c r="G756" s="111"/>
      <c r="H756" t="str">
        <f ca="1">IFERROR(__xludf.DUMMYFUNCTION("""COMPUTED_VALUE"""),"Charger Panel Assy")</f>
        <v>Charger Panel Assy</v>
      </c>
      <c r="J756">
        <f ca="1">IFERROR(__xludf.DUMMYFUNCTION("""COMPUTED_VALUE"""),35)</f>
        <v>35</v>
      </c>
    </row>
    <row r="757" spans="1:10">
      <c r="A757" s="106"/>
      <c r="B757" s="111"/>
      <c r="C757" s="111"/>
      <c r="D757" s="111"/>
      <c r="E757" s="111"/>
      <c r="F757" s="111"/>
      <c r="G757" s="111"/>
      <c r="H757" t="str">
        <f ca="1">IFERROR(__xludf.DUMMYFUNCTION("""COMPUTED_VALUE"""),"ESC Assy")</f>
        <v>ESC Assy</v>
      </c>
      <c r="J757">
        <f ca="1">IFERROR(__xludf.DUMMYFUNCTION("""COMPUTED_VALUE"""),36)</f>
        <v>36</v>
      </c>
    </row>
    <row r="758" spans="1:10">
      <c r="A758" s="106"/>
      <c r="B758" s="111"/>
      <c r="C758" s="111"/>
      <c r="D758" s="111"/>
      <c r="E758" s="111"/>
      <c r="F758" s="111"/>
      <c r="G758" s="111"/>
      <c r="H758" t="str">
        <f ca="1">IFERROR(__xludf.DUMMYFUNCTION("""COMPUTED_VALUE"""),"Self Rightening Assy")</f>
        <v>Self Rightening Assy</v>
      </c>
      <c r="J758">
        <f ca="1">IFERROR(__xludf.DUMMYFUNCTION("""COMPUTED_VALUE"""),37)</f>
        <v>37</v>
      </c>
    </row>
    <row r="759" spans="1:10">
      <c r="A759" s="106"/>
      <c r="B759" s="111"/>
      <c r="C759" s="111"/>
      <c r="D759" s="111"/>
      <c r="E759" s="111"/>
      <c r="F759" s="111"/>
      <c r="G759" s="111"/>
      <c r="H759" t="str">
        <f ca="1">IFERROR(__xludf.DUMMYFUNCTION("""COMPUTED_VALUE"""),"SAIFSEAS LIFE Final Assy (FG)")</f>
        <v>SAIFSEAS LIFE Final Assy (FG)</v>
      </c>
    </row>
    <row r="760" spans="1:10">
      <c r="A760" s="106"/>
      <c r="B760" s="111"/>
      <c r="C760" s="111"/>
      <c r="D760" s="111"/>
      <c r="E760" s="111"/>
      <c r="F760" s="111"/>
      <c r="G760" s="111"/>
    </row>
    <row r="761" spans="1:10">
      <c r="A761" s="106"/>
      <c r="B761" s="111"/>
      <c r="C761" s="111"/>
      <c r="D761" s="111"/>
      <c r="E761" s="111"/>
      <c r="F761" s="111"/>
      <c r="G761" s="111"/>
    </row>
    <row r="762" spans="1:10">
      <c r="A762" s="106"/>
      <c r="B762" s="111"/>
      <c r="C762" s="111"/>
      <c r="D762" s="111"/>
      <c r="E762" s="111"/>
      <c r="F762" s="111"/>
      <c r="G762" s="111"/>
    </row>
    <row r="763" spans="1:10">
      <c r="A763" s="106"/>
      <c r="B763" s="111"/>
      <c r="C763" s="111"/>
      <c r="D763" s="111"/>
      <c r="E763" s="111"/>
      <c r="F763" s="111"/>
      <c r="G763" s="111"/>
    </row>
    <row r="764" spans="1:10">
      <c r="A764" s="106"/>
      <c r="B764" s="111"/>
      <c r="C764" s="111"/>
      <c r="D764" s="111"/>
      <c r="E764" s="111"/>
      <c r="F764" s="111"/>
      <c r="G764" s="111"/>
    </row>
    <row r="765" spans="1:10">
      <c r="A765" s="106"/>
      <c r="B765" s="111"/>
      <c r="C765" s="111"/>
      <c r="D765" s="111"/>
      <c r="E765" s="111"/>
      <c r="F765" s="111"/>
      <c r="G765" s="111"/>
    </row>
    <row r="766" spans="1:10">
      <c r="A766" s="106"/>
      <c r="B766" s="111"/>
      <c r="C766" s="111"/>
      <c r="D766" s="111"/>
      <c r="E766" s="111"/>
      <c r="F766" s="111"/>
      <c r="G766" s="111"/>
    </row>
    <row r="767" spans="1:10">
      <c r="A767" s="106"/>
      <c r="B767" s="111"/>
      <c r="C767" s="111"/>
      <c r="D767" s="111"/>
      <c r="E767" s="111"/>
      <c r="F767" s="111"/>
      <c r="G767" s="111"/>
    </row>
    <row r="768" spans="1:10">
      <c r="A768" s="106"/>
      <c r="B768" s="111"/>
      <c r="C768" s="111"/>
      <c r="D768" s="111"/>
      <c r="E768" s="111"/>
      <c r="F768" s="111"/>
      <c r="G768" s="111"/>
    </row>
    <row r="769" spans="1:7">
      <c r="A769" s="106"/>
      <c r="B769" s="111"/>
      <c r="C769" s="111"/>
      <c r="D769" s="111"/>
      <c r="E769" s="111"/>
      <c r="F769" s="111"/>
      <c r="G769" s="111"/>
    </row>
    <row r="770" spans="1:7">
      <c r="A770" s="106"/>
      <c r="B770" s="111"/>
      <c r="C770" s="111"/>
      <c r="D770" s="111"/>
      <c r="E770" s="111"/>
      <c r="F770" s="111"/>
      <c r="G770" s="111"/>
    </row>
    <row r="771" spans="1:7">
      <c r="A771" s="106"/>
      <c r="B771" s="111"/>
      <c r="C771" s="111"/>
      <c r="D771" s="111"/>
      <c r="E771" s="111"/>
      <c r="F771" s="111"/>
      <c r="G771" s="111"/>
    </row>
    <row r="772" spans="1:7">
      <c r="A772" s="106"/>
      <c r="B772" s="111"/>
      <c r="C772" s="111"/>
      <c r="D772" s="111"/>
      <c r="E772" s="111"/>
      <c r="F772" s="111"/>
      <c r="G772" s="111"/>
    </row>
    <row r="773" spans="1:7">
      <c r="A773" s="106"/>
      <c r="B773" s="111"/>
      <c r="C773" s="111"/>
      <c r="D773" s="111"/>
      <c r="E773" s="111"/>
      <c r="F773" s="111"/>
      <c r="G773" s="111"/>
    </row>
    <row r="774" spans="1:7">
      <c r="A774" s="106"/>
      <c r="B774" s="111"/>
      <c r="C774" s="111"/>
      <c r="D774" s="111"/>
      <c r="E774" s="111"/>
      <c r="F774" s="111"/>
      <c r="G774" s="111"/>
    </row>
    <row r="775" spans="1:7">
      <c r="A775" s="106"/>
      <c r="B775" s="111"/>
      <c r="C775" s="111"/>
      <c r="D775" s="111"/>
      <c r="E775" s="111"/>
      <c r="F775" s="111"/>
      <c r="G775" s="111"/>
    </row>
    <row r="776" spans="1:7">
      <c r="A776" s="106"/>
      <c r="B776" s="111"/>
      <c r="C776" s="111"/>
      <c r="D776" s="111"/>
      <c r="E776" s="111"/>
      <c r="F776" s="111"/>
      <c r="G776" s="111"/>
    </row>
    <row r="777" spans="1:7">
      <c r="A777" s="106"/>
      <c r="B777" s="111"/>
      <c r="C777" s="111"/>
      <c r="D777" s="111"/>
      <c r="E777" s="111"/>
      <c r="F777" s="111"/>
      <c r="G777" s="111"/>
    </row>
    <row r="778" spans="1:7">
      <c r="A778" s="106"/>
      <c r="B778" s="111"/>
      <c r="C778" s="111"/>
      <c r="D778" s="111"/>
      <c r="E778" s="111"/>
      <c r="F778" s="111"/>
      <c r="G778" s="111"/>
    </row>
    <row r="779" spans="1:7">
      <c r="A779" s="106"/>
      <c r="B779" s="111"/>
      <c r="C779" s="111"/>
      <c r="D779" s="111"/>
      <c r="E779" s="111"/>
      <c r="F779" s="111"/>
      <c r="G779" s="111"/>
    </row>
    <row r="780" spans="1:7">
      <c r="A780" s="106"/>
      <c r="B780" s="111"/>
      <c r="C780" s="111"/>
      <c r="D780" s="111"/>
      <c r="E780" s="111"/>
      <c r="F780" s="111"/>
      <c r="G780" s="111"/>
    </row>
    <row r="781" spans="1:7">
      <c r="A781" s="106"/>
      <c r="B781" s="111"/>
      <c r="C781" s="111"/>
      <c r="D781" s="111"/>
      <c r="E781" s="111"/>
      <c r="F781" s="111"/>
      <c r="G781" s="111"/>
    </row>
    <row r="782" spans="1:7">
      <c r="A782" s="106"/>
      <c r="B782" s="111"/>
      <c r="C782" s="111"/>
      <c r="D782" s="111"/>
      <c r="E782" s="111"/>
      <c r="F782" s="111"/>
      <c r="G782" s="111"/>
    </row>
    <row r="783" spans="1:7">
      <c r="A783" s="106"/>
      <c r="B783" s="111"/>
      <c r="C783" s="111"/>
      <c r="D783" s="111"/>
      <c r="E783" s="111"/>
      <c r="F783" s="111"/>
      <c r="G783" s="111"/>
    </row>
    <row r="784" spans="1:7">
      <c r="A784" s="106"/>
      <c r="B784" s="111"/>
      <c r="C784" s="111"/>
      <c r="D784" s="111"/>
      <c r="E784" s="111"/>
      <c r="F784" s="111"/>
      <c r="G784" s="111"/>
    </row>
    <row r="785" spans="1:7">
      <c r="A785" s="106"/>
      <c r="B785" s="111"/>
      <c r="C785" s="111"/>
      <c r="D785" s="111"/>
      <c r="E785" s="111"/>
      <c r="F785" s="111"/>
      <c r="G785" s="111"/>
    </row>
    <row r="786" spans="1:7">
      <c r="A786" s="106"/>
      <c r="B786" s="111"/>
      <c r="C786" s="111"/>
      <c r="D786" s="111"/>
      <c r="E786" s="111"/>
      <c r="F786" s="111"/>
      <c r="G786" s="111"/>
    </row>
    <row r="787" spans="1:7">
      <c r="A787" s="106"/>
      <c r="B787" s="111"/>
      <c r="C787" s="111"/>
      <c r="D787" s="111"/>
      <c r="E787" s="111"/>
      <c r="F787" s="111"/>
      <c r="G787" s="111"/>
    </row>
    <row r="788" spans="1:7">
      <c r="A788" s="106"/>
      <c r="B788" s="111"/>
      <c r="C788" s="111"/>
      <c r="D788" s="111"/>
      <c r="E788" s="111"/>
      <c r="F788" s="111"/>
      <c r="G788" s="111"/>
    </row>
    <row r="789" spans="1:7">
      <c r="A789" s="106"/>
      <c r="B789" s="111"/>
      <c r="C789" s="111"/>
      <c r="D789" s="111"/>
      <c r="E789" s="111"/>
      <c r="F789" s="111"/>
      <c r="G789" s="111"/>
    </row>
    <row r="790" spans="1:7">
      <c r="A790" s="106"/>
      <c r="B790" s="111"/>
      <c r="C790" s="111"/>
      <c r="D790" s="111"/>
      <c r="E790" s="111"/>
      <c r="F790" s="111"/>
      <c r="G790" s="111"/>
    </row>
    <row r="791" spans="1:7">
      <c r="A791" s="106"/>
      <c r="B791" s="111"/>
      <c r="C791" s="111"/>
      <c r="D791" s="111"/>
      <c r="E791" s="111"/>
      <c r="F791" s="111"/>
      <c r="G791" s="111"/>
    </row>
    <row r="792" spans="1:7">
      <c r="A792" s="106"/>
      <c r="B792" s="111"/>
      <c r="C792" s="111"/>
      <c r="D792" s="111"/>
      <c r="E792" s="111"/>
      <c r="F792" s="111"/>
      <c r="G792" s="111"/>
    </row>
    <row r="793" spans="1:7">
      <c r="A793" s="106"/>
      <c r="B793" s="111"/>
      <c r="C793" s="111"/>
      <c r="D793" s="111"/>
      <c r="E793" s="111"/>
      <c r="F793" s="111"/>
      <c r="G793" s="111"/>
    </row>
    <row r="794" spans="1:7">
      <c r="A794" s="106"/>
      <c r="B794" s="111"/>
      <c r="C794" s="111"/>
      <c r="D794" s="111"/>
      <c r="E794" s="111"/>
      <c r="F794" s="111"/>
      <c r="G794" s="111"/>
    </row>
    <row r="795" spans="1:7">
      <c r="A795" s="106"/>
      <c r="B795" s="111"/>
      <c r="C795" s="111"/>
      <c r="D795" s="111"/>
      <c r="E795" s="111"/>
      <c r="F795" s="111"/>
      <c r="G795" s="111"/>
    </row>
    <row r="796" spans="1:7">
      <c r="A796" s="106"/>
      <c r="B796" s="111"/>
      <c r="C796" s="111"/>
      <c r="D796" s="111"/>
      <c r="E796" s="111"/>
      <c r="F796" s="111"/>
      <c r="G796" s="111"/>
    </row>
    <row r="797" spans="1:7">
      <c r="A797" s="106"/>
      <c r="B797" s="111"/>
      <c r="C797" s="111"/>
      <c r="D797" s="111"/>
      <c r="E797" s="111"/>
      <c r="F797" s="111"/>
      <c r="G797" s="111"/>
    </row>
    <row r="798" spans="1:7">
      <c r="A798" s="106"/>
      <c r="B798" s="111"/>
      <c r="C798" s="111"/>
      <c r="D798" s="111"/>
      <c r="E798" s="111"/>
      <c r="F798" s="111"/>
      <c r="G798" s="111"/>
    </row>
    <row r="799" spans="1:7">
      <c r="A799" s="106"/>
      <c r="B799" s="111"/>
      <c r="C799" s="111"/>
      <c r="D799" s="111"/>
      <c r="E799" s="111"/>
      <c r="F799" s="111"/>
      <c r="G799" s="111"/>
    </row>
    <row r="800" spans="1:7">
      <c r="A800" s="106"/>
      <c r="B800" s="111"/>
      <c r="C800" s="111"/>
      <c r="D800" s="111"/>
      <c r="E800" s="111"/>
      <c r="F800" s="111"/>
      <c r="G800" s="111"/>
    </row>
    <row r="801" spans="1:7">
      <c r="A801" s="106"/>
      <c r="B801" s="111"/>
      <c r="C801" s="111"/>
      <c r="D801" s="111"/>
      <c r="E801" s="111"/>
      <c r="F801" s="111"/>
      <c r="G801" s="111"/>
    </row>
    <row r="802" spans="1:7">
      <c r="A802" s="106"/>
      <c r="B802" s="111"/>
      <c r="C802" s="111"/>
      <c r="D802" s="111"/>
      <c r="E802" s="111"/>
      <c r="F802" s="111"/>
      <c r="G802" s="111"/>
    </row>
    <row r="803" spans="1:7">
      <c r="A803" s="106"/>
      <c r="B803" s="111"/>
      <c r="C803" s="111"/>
      <c r="D803" s="111"/>
      <c r="E803" s="111"/>
      <c r="F803" s="111"/>
      <c r="G803" s="111"/>
    </row>
    <row r="804" spans="1:7">
      <c r="A804" s="106"/>
      <c r="B804" s="111"/>
      <c r="C804" s="111"/>
      <c r="D804" s="111"/>
      <c r="E804" s="111"/>
      <c r="F804" s="111"/>
      <c r="G804" s="111"/>
    </row>
    <row r="805" spans="1:7">
      <c r="A805" s="106"/>
      <c r="B805" s="111"/>
      <c r="C805" s="111"/>
      <c r="D805" s="111"/>
      <c r="E805" s="111"/>
      <c r="F805" s="111"/>
      <c r="G805" s="111"/>
    </row>
    <row r="806" spans="1:7">
      <c r="A806" s="106"/>
      <c r="B806" s="111"/>
      <c r="C806" s="111"/>
      <c r="D806" s="111"/>
      <c r="E806" s="111"/>
      <c r="F806" s="111"/>
      <c r="G806" s="111"/>
    </row>
    <row r="807" spans="1:7">
      <c r="A807" s="106"/>
      <c r="B807" s="111"/>
      <c r="C807" s="111"/>
      <c r="D807" s="111"/>
      <c r="E807" s="111"/>
      <c r="F807" s="111"/>
      <c r="G807" s="111"/>
    </row>
    <row r="808" spans="1:7">
      <c r="A808" s="106"/>
      <c r="B808" s="111"/>
      <c r="C808" s="111"/>
      <c r="D808" s="111"/>
      <c r="E808" s="111"/>
      <c r="F808" s="111"/>
      <c r="G808" s="111"/>
    </row>
    <row r="809" spans="1:7">
      <c r="A809" s="106"/>
      <c r="B809" s="111"/>
      <c r="C809" s="111"/>
      <c r="D809" s="111"/>
      <c r="E809" s="111"/>
      <c r="F809" s="111"/>
      <c r="G809" s="111"/>
    </row>
    <row r="810" spans="1:7">
      <c r="A810" s="106"/>
      <c r="B810" s="111"/>
      <c r="C810" s="111"/>
      <c r="D810" s="111"/>
      <c r="E810" s="111"/>
      <c r="F810" s="111"/>
      <c r="G810" s="111"/>
    </row>
    <row r="811" spans="1:7">
      <c r="A811" s="106"/>
      <c r="B811" s="111"/>
      <c r="C811" s="111"/>
      <c r="D811" s="111"/>
      <c r="E811" s="111"/>
      <c r="F811" s="111"/>
      <c r="G811" s="111"/>
    </row>
    <row r="812" spans="1:7">
      <c r="A812" s="106"/>
      <c r="B812" s="111"/>
      <c r="C812" s="111"/>
      <c r="D812" s="111"/>
      <c r="E812" s="111"/>
      <c r="F812" s="111"/>
      <c r="G812" s="111"/>
    </row>
    <row r="813" spans="1:7">
      <c r="A813" s="106"/>
      <c r="B813" s="111"/>
      <c r="C813" s="111"/>
      <c r="D813" s="111"/>
      <c r="E813" s="111"/>
      <c r="F813" s="111"/>
      <c r="G813" s="111"/>
    </row>
    <row r="814" spans="1:7">
      <c r="A814" s="106"/>
      <c r="B814" s="111"/>
      <c r="C814" s="111"/>
      <c r="D814" s="111"/>
      <c r="E814" s="111"/>
      <c r="F814" s="111"/>
      <c r="G814" s="111"/>
    </row>
    <row r="815" spans="1:7">
      <c r="A815" s="106"/>
      <c r="B815" s="111"/>
      <c r="C815" s="111"/>
      <c r="D815" s="111"/>
      <c r="E815" s="111"/>
      <c r="F815" s="111"/>
      <c r="G815" s="111"/>
    </row>
    <row r="816" spans="1:7">
      <c r="A816" s="106"/>
      <c r="B816" s="111"/>
      <c r="C816" s="111"/>
      <c r="D816" s="111"/>
      <c r="E816" s="111"/>
      <c r="F816" s="111"/>
      <c r="G816" s="111"/>
    </row>
    <row r="817" spans="1:7">
      <c r="A817" s="106"/>
      <c r="B817" s="111"/>
      <c r="C817" s="111"/>
      <c r="D817" s="111"/>
      <c r="E817" s="111"/>
      <c r="F817" s="111"/>
      <c r="G817" s="111"/>
    </row>
    <row r="818" spans="1:7">
      <c r="A818" s="106"/>
      <c r="B818" s="111"/>
      <c r="C818" s="111"/>
      <c r="D818" s="111"/>
      <c r="E818" s="111"/>
      <c r="F818" s="111"/>
      <c r="G818" s="111"/>
    </row>
    <row r="819" spans="1:7">
      <c r="A819" s="106"/>
      <c r="B819" s="111"/>
      <c r="C819" s="111"/>
      <c r="D819" s="111"/>
      <c r="E819" s="111"/>
      <c r="F819" s="111"/>
      <c r="G819" s="111"/>
    </row>
    <row r="820" spans="1:7">
      <c r="A820" s="106"/>
      <c r="B820" s="111"/>
      <c r="C820" s="111"/>
      <c r="D820" s="111"/>
      <c r="E820" s="111"/>
      <c r="F820" s="111"/>
      <c r="G820" s="111"/>
    </row>
    <row r="821" spans="1:7">
      <c r="A821" s="106"/>
      <c r="B821" s="111"/>
      <c r="C821" s="111"/>
      <c r="D821" s="111"/>
      <c r="E821" s="111"/>
      <c r="F821" s="111"/>
      <c r="G821" s="111"/>
    </row>
    <row r="822" spans="1:7">
      <c r="A822" s="106"/>
      <c r="B822" s="111"/>
      <c r="C822" s="111"/>
      <c r="D822" s="111"/>
      <c r="E822" s="111"/>
      <c r="F822" s="111"/>
      <c r="G822" s="111"/>
    </row>
    <row r="823" spans="1:7">
      <c r="A823" s="106"/>
      <c r="B823" s="111"/>
      <c r="C823" s="111"/>
      <c r="D823" s="111"/>
      <c r="E823" s="111"/>
      <c r="F823" s="111"/>
      <c r="G823" s="111"/>
    </row>
    <row r="824" spans="1:7">
      <c r="A824" s="106"/>
      <c r="B824" s="111"/>
      <c r="C824" s="111"/>
      <c r="D824" s="111"/>
      <c r="E824" s="111"/>
      <c r="F824" s="111"/>
      <c r="G824" s="111"/>
    </row>
    <row r="825" spans="1:7">
      <c r="A825" s="106"/>
      <c r="B825" s="111"/>
      <c r="C825" s="111"/>
      <c r="D825" s="111"/>
      <c r="E825" s="111"/>
      <c r="F825" s="111"/>
      <c r="G825" s="111"/>
    </row>
    <row r="826" spans="1:7">
      <c r="A826" s="106"/>
      <c r="B826" s="111"/>
      <c r="C826" s="111"/>
      <c r="D826" s="111"/>
      <c r="E826" s="111"/>
      <c r="F826" s="111"/>
      <c r="G826" s="111"/>
    </row>
    <row r="827" spans="1:7">
      <c r="A827" s="106"/>
      <c r="B827" s="111"/>
      <c r="C827" s="111"/>
      <c r="D827" s="111"/>
      <c r="E827" s="111"/>
      <c r="F827" s="111"/>
      <c r="G827" s="111"/>
    </row>
    <row r="828" spans="1:7">
      <c r="A828" s="106"/>
      <c r="B828" s="111"/>
      <c r="C828" s="111"/>
      <c r="D828" s="111"/>
      <c r="E828" s="111"/>
      <c r="F828" s="111"/>
      <c r="G828" s="111"/>
    </row>
    <row r="829" spans="1:7">
      <c r="A829" s="106"/>
      <c r="B829" s="111"/>
      <c r="C829" s="111"/>
      <c r="D829" s="111"/>
      <c r="E829" s="111"/>
      <c r="F829" s="111"/>
      <c r="G829" s="111"/>
    </row>
    <row r="830" spans="1:7">
      <c r="A830" s="106"/>
      <c r="B830" s="111"/>
      <c r="C830" s="111"/>
      <c r="D830" s="111"/>
      <c r="E830" s="111"/>
      <c r="F830" s="111"/>
      <c r="G830" s="111"/>
    </row>
    <row r="831" spans="1:7">
      <c r="A831" s="106"/>
      <c r="B831" s="111"/>
      <c r="C831" s="111"/>
      <c r="D831" s="111"/>
      <c r="E831" s="111"/>
      <c r="F831" s="111"/>
      <c r="G831" s="111"/>
    </row>
    <row r="832" spans="1:7">
      <c r="A832" s="106"/>
      <c r="B832" s="111"/>
      <c r="C832" s="111"/>
      <c r="D832" s="111"/>
      <c r="E832" s="111"/>
      <c r="F832" s="111"/>
      <c r="G832" s="111"/>
    </row>
    <row r="833" spans="1:7">
      <c r="A833" s="106"/>
      <c r="B833" s="111"/>
      <c r="C833" s="111"/>
      <c r="D833" s="111"/>
      <c r="E833" s="111"/>
      <c r="F833" s="111"/>
      <c r="G833" s="111"/>
    </row>
    <row r="834" spans="1:7">
      <c r="A834" s="106"/>
      <c r="B834" s="111"/>
      <c r="C834" s="111"/>
      <c r="D834" s="111"/>
      <c r="E834" s="111"/>
      <c r="F834" s="111"/>
      <c r="G834" s="111"/>
    </row>
    <row r="835" spans="1:7">
      <c r="A835" s="106"/>
      <c r="B835" s="111"/>
      <c r="C835" s="111"/>
      <c r="D835" s="111"/>
      <c r="E835" s="111"/>
      <c r="F835" s="111"/>
      <c r="G835" s="111"/>
    </row>
    <row r="836" spans="1:7">
      <c r="A836" s="106"/>
      <c r="B836" s="111"/>
      <c r="C836" s="111"/>
      <c r="D836" s="111"/>
      <c r="E836" s="111"/>
      <c r="F836" s="111"/>
      <c r="G836" s="111"/>
    </row>
    <row r="837" spans="1:7">
      <c r="A837" s="106"/>
      <c r="B837" s="111"/>
      <c r="C837" s="111"/>
      <c r="D837" s="111"/>
      <c r="E837" s="111"/>
      <c r="F837" s="111"/>
      <c r="G837" s="111"/>
    </row>
    <row r="838" spans="1:7">
      <c r="A838" s="106"/>
      <c r="B838" s="111"/>
      <c r="C838" s="111"/>
      <c r="D838" s="111"/>
      <c r="E838" s="111"/>
      <c r="F838" s="111"/>
      <c r="G838" s="111"/>
    </row>
    <row r="839" spans="1:7">
      <c r="A839" s="106"/>
      <c r="B839" s="111"/>
      <c r="C839" s="111"/>
      <c r="D839" s="111"/>
      <c r="E839" s="111"/>
      <c r="F839" s="111"/>
      <c r="G839" s="111"/>
    </row>
    <row r="840" spans="1:7">
      <c r="A840" s="106"/>
      <c r="B840" s="111"/>
      <c r="C840" s="111"/>
      <c r="D840" s="111"/>
      <c r="E840" s="111"/>
      <c r="F840" s="111"/>
      <c r="G840" s="111"/>
    </row>
    <row r="841" spans="1:7">
      <c r="A841" s="106"/>
      <c r="B841" s="111"/>
      <c r="C841" s="111"/>
      <c r="D841" s="111"/>
      <c r="E841" s="111"/>
      <c r="F841" s="111"/>
      <c r="G841" s="111"/>
    </row>
    <row r="842" spans="1:7">
      <c r="A842" s="106"/>
      <c r="B842" s="111"/>
      <c r="C842" s="111"/>
      <c r="D842" s="111"/>
      <c r="E842" s="111"/>
      <c r="F842" s="111"/>
      <c r="G842" s="111"/>
    </row>
    <row r="843" spans="1:7">
      <c r="A843" s="106"/>
      <c r="B843" s="111"/>
      <c r="C843" s="111"/>
      <c r="D843" s="111"/>
      <c r="E843" s="111"/>
      <c r="F843" s="111"/>
      <c r="G843" s="111"/>
    </row>
    <row r="844" spans="1:7">
      <c r="A844" s="106"/>
      <c r="B844" s="111"/>
      <c r="C844" s="111"/>
      <c r="D844" s="111"/>
      <c r="E844" s="111"/>
      <c r="F844" s="111"/>
      <c r="G844" s="111"/>
    </row>
    <row r="845" spans="1:7">
      <c r="A845" s="106"/>
      <c r="B845" s="111"/>
      <c r="C845" s="111"/>
      <c r="D845" s="111"/>
      <c r="E845" s="111"/>
      <c r="F845" s="111"/>
      <c r="G845" s="111"/>
    </row>
    <row r="846" spans="1:7">
      <c r="A846" s="106"/>
      <c r="B846" s="111"/>
      <c r="C846" s="111"/>
      <c r="D846" s="111"/>
      <c r="E846" s="111"/>
      <c r="F846" s="111"/>
      <c r="G846" s="111"/>
    </row>
    <row r="847" spans="1:7">
      <c r="A847" s="106"/>
      <c r="B847" s="111"/>
      <c r="C847" s="111"/>
      <c r="D847" s="111"/>
      <c r="E847" s="111"/>
      <c r="F847" s="111"/>
      <c r="G847" s="111"/>
    </row>
    <row r="848" spans="1:7">
      <c r="A848" s="106"/>
      <c r="B848" s="111"/>
      <c r="C848" s="111"/>
      <c r="D848" s="111"/>
      <c r="E848" s="111"/>
      <c r="F848" s="111"/>
      <c r="G848" s="111"/>
    </row>
    <row r="849" spans="1:7">
      <c r="A849" s="106"/>
      <c r="B849" s="111"/>
      <c r="C849" s="111"/>
      <c r="D849" s="111"/>
      <c r="E849" s="111"/>
      <c r="F849" s="111"/>
      <c r="G849" s="111"/>
    </row>
    <row r="850" spans="1:7">
      <c r="A850" s="106"/>
      <c r="B850" s="111"/>
      <c r="C850" s="111"/>
      <c r="D850" s="111"/>
      <c r="E850" s="111"/>
      <c r="F850" s="111"/>
      <c r="G850" s="111"/>
    </row>
    <row r="851" spans="1:7">
      <c r="A851" s="106"/>
      <c r="B851" s="111"/>
      <c r="C851" s="111"/>
      <c r="D851" s="111"/>
      <c r="E851" s="111"/>
      <c r="F851" s="111"/>
      <c r="G851" s="111"/>
    </row>
    <row r="852" spans="1:7">
      <c r="A852" s="106"/>
      <c r="B852" s="111"/>
      <c r="C852" s="111"/>
      <c r="D852" s="111"/>
      <c r="E852" s="111"/>
      <c r="F852" s="111"/>
      <c r="G852" s="111"/>
    </row>
    <row r="853" spans="1:7">
      <c r="A853" s="106"/>
      <c r="B853" s="111"/>
      <c r="C853" s="111"/>
      <c r="D853" s="111"/>
      <c r="E853" s="111"/>
      <c r="F853" s="111"/>
      <c r="G853" s="111"/>
    </row>
    <row r="854" spans="1:7">
      <c r="A854" s="106"/>
      <c r="B854" s="111"/>
      <c r="C854" s="111"/>
      <c r="D854" s="111"/>
      <c r="E854" s="111"/>
      <c r="F854" s="111"/>
      <c r="G854" s="111"/>
    </row>
    <row r="855" spans="1:7">
      <c r="A855" s="106"/>
      <c r="B855" s="111"/>
      <c r="C855" s="111"/>
      <c r="D855" s="111"/>
      <c r="E855" s="111"/>
      <c r="F855" s="111"/>
      <c r="G855" s="111"/>
    </row>
    <row r="856" spans="1:7">
      <c r="A856" s="106"/>
      <c r="B856" s="111"/>
      <c r="C856" s="111"/>
      <c r="D856" s="111"/>
      <c r="E856" s="111"/>
      <c r="F856" s="111"/>
      <c r="G856" s="111"/>
    </row>
    <row r="857" spans="1:7">
      <c r="A857" s="106"/>
      <c r="B857" s="111"/>
      <c r="C857" s="111"/>
      <c r="D857" s="111"/>
      <c r="E857" s="111"/>
      <c r="F857" s="111"/>
      <c r="G857" s="111"/>
    </row>
    <row r="858" spans="1:7">
      <c r="A858" s="106"/>
      <c r="B858" s="111"/>
      <c r="C858" s="111"/>
      <c r="D858" s="111"/>
      <c r="E858" s="111"/>
      <c r="F858" s="111"/>
      <c r="G858" s="111"/>
    </row>
    <row r="859" spans="1:7">
      <c r="A859" s="106"/>
      <c r="B859" s="111"/>
      <c r="C859" s="111"/>
      <c r="D859" s="111"/>
      <c r="E859" s="111"/>
      <c r="F859" s="111"/>
      <c r="G859" s="111"/>
    </row>
    <row r="860" spans="1:7">
      <c r="A860" s="106"/>
      <c r="B860" s="111"/>
      <c r="C860" s="111"/>
      <c r="D860" s="111"/>
      <c r="E860" s="111"/>
      <c r="F860" s="111"/>
      <c r="G860" s="111"/>
    </row>
    <row r="861" spans="1:7">
      <c r="A861" s="106"/>
      <c r="B861" s="111"/>
      <c r="C861" s="111"/>
      <c r="D861" s="111"/>
      <c r="E861" s="111"/>
      <c r="F861" s="111"/>
      <c r="G861" s="111"/>
    </row>
    <row r="862" spans="1:7">
      <c r="A862" s="106"/>
      <c r="B862" s="111"/>
      <c r="C862" s="111"/>
      <c r="D862" s="111"/>
      <c r="E862" s="111"/>
      <c r="F862" s="111"/>
      <c r="G862" s="111"/>
    </row>
    <row r="863" spans="1:7">
      <c r="A863" s="106"/>
      <c r="B863" s="111"/>
      <c r="C863" s="111"/>
      <c r="D863" s="111"/>
      <c r="E863" s="111"/>
      <c r="F863" s="111"/>
      <c r="G863" s="111"/>
    </row>
    <row r="864" spans="1:7">
      <c r="A864" s="106"/>
      <c r="B864" s="111"/>
      <c r="C864" s="111"/>
      <c r="D864" s="111"/>
      <c r="E864" s="111"/>
      <c r="F864" s="111"/>
      <c r="G864" s="111"/>
    </row>
    <row r="865" spans="1:7">
      <c r="A865" s="106"/>
      <c r="B865" s="111"/>
      <c r="C865" s="111"/>
      <c r="D865" s="111"/>
      <c r="E865" s="111"/>
      <c r="F865" s="111"/>
      <c r="G865" s="111"/>
    </row>
    <row r="866" spans="1:7">
      <c r="A866" s="106"/>
      <c r="B866" s="111"/>
      <c r="C866" s="111"/>
      <c r="D866" s="111"/>
      <c r="E866" s="111"/>
      <c r="F866" s="111"/>
      <c r="G866" s="111"/>
    </row>
    <row r="867" spans="1:7">
      <c r="A867" s="106"/>
      <c r="B867" s="111"/>
      <c r="C867" s="111"/>
      <c r="D867" s="111"/>
      <c r="E867" s="111"/>
      <c r="F867" s="111"/>
      <c r="G867" s="111"/>
    </row>
    <row r="868" spans="1:7">
      <c r="A868" s="106"/>
      <c r="B868" s="111"/>
      <c r="C868" s="111"/>
      <c r="D868" s="111"/>
      <c r="E868" s="111"/>
      <c r="F868" s="111"/>
      <c r="G868" s="111"/>
    </row>
    <row r="869" spans="1:7">
      <c r="A869" s="106"/>
      <c r="B869" s="111"/>
      <c r="C869" s="111"/>
      <c r="D869" s="111"/>
      <c r="E869" s="111"/>
      <c r="F869" s="111"/>
      <c r="G869" s="111"/>
    </row>
    <row r="870" spans="1:7">
      <c r="A870" s="106"/>
      <c r="B870" s="111"/>
      <c r="C870" s="111"/>
      <c r="D870" s="111"/>
      <c r="E870" s="111"/>
      <c r="F870" s="111"/>
      <c r="G870" s="111"/>
    </row>
    <row r="871" spans="1:7">
      <c r="A871" s="106"/>
      <c r="B871" s="111"/>
      <c r="C871" s="111"/>
      <c r="D871" s="111"/>
      <c r="E871" s="111"/>
      <c r="F871" s="111"/>
      <c r="G871" s="111"/>
    </row>
    <row r="872" spans="1:7">
      <c r="A872" s="106"/>
      <c r="B872" s="111"/>
      <c r="C872" s="111"/>
      <c r="D872" s="111"/>
      <c r="E872" s="111"/>
      <c r="F872" s="111"/>
      <c r="G872" s="111"/>
    </row>
    <row r="873" spans="1:7">
      <c r="A873" s="106"/>
      <c r="B873" s="111"/>
      <c r="C873" s="111"/>
      <c r="D873" s="111"/>
      <c r="E873" s="111"/>
      <c r="F873" s="111"/>
      <c r="G873" s="111"/>
    </row>
    <row r="874" spans="1:7">
      <c r="A874" s="106"/>
      <c r="B874" s="111"/>
      <c r="C874" s="111"/>
      <c r="D874" s="111"/>
      <c r="E874" s="111"/>
      <c r="F874" s="111"/>
      <c r="G874" s="111"/>
    </row>
    <row r="875" spans="1:7">
      <c r="A875" s="106"/>
      <c r="B875" s="111"/>
      <c r="C875" s="111"/>
      <c r="D875" s="111"/>
      <c r="E875" s="111"/>
      <c r="F875" s="111"/>
      <c r="G875" s="111"/>
    </row>
    <row r="876" spans="1:7">
      <c r="A876" s="106"/>
      <c r="B876" s="111"/>
      <c r="C876" s="111"/>
      <c r="D876" s="111"/>
      <c r="E876" s="111"/>
      <c r="F876" s="111"/>
      <c r="G876" s="111"/>
    </row>
    <row r="877" spans="1:7">
      <c r="A877" s="106"/>
      <c r="B877" s="111"/>
      <c r="C877" s="111"/>
      <c r="D877" s="111"/>
      <c r="E877" s="111"/>
      <c r="F877" s="111"/>
      <c r="G877" s="111"/>
    </row>
    <row r="878" spans="1:7">
      <c r="A878" s="106"/>
      <c r="B878" s="111"/>
      <c r="C878" s="111"/>
      <c r="D878" s="111"/>
      <c r="E878" s="111"/>
      <c r="F878" s="111"/>
      <c r="G878" s="111"/>
    </row>
    <row r="879" spans="1:7">
      <c r="A879" s="106"/>
      <c r="B879" s="111"/>
      <c r="C879" s="111"/>
      <c r="D879" s="111"/>
      <c r="E879" s="111"/>
      <c r="F879" s="111"/>
      <c r="G879" s="111"/>
    </row>
    <row r="880" spans="1:7">
      <c r="A880" s="106"/>
      <c r="B880" s="111"/>
      <c r="C880" s="111"/>
      <c r="D880" s="111"/>
      <c r="E880" s="111"/>
      <c r="F880" s="111"/>
      <c r="G880" s="111"/>
    </row>
    <row r="881" spans="1:7">
      <c r="A881" s="106"/>
      <c r="B881" s="111"/>
      <c r="C881" s="111"/>
      <c r="D881" s="111"/>
      <c r="E881" s="111"/>
      <c r="F881" s="111"/>
      <c r="G881" s="111"/>
    </row>
    <row r="882" spans="1:7">
      <c r="A882" s="106"/>
      <c r="B882" s="111"/>
      <c r="C882" s="111"/>
      <c r="D882" s="111"/>
      <c r="E882" s="111"/>
      <c r="F882" s="111"/>
      <c r="G882" s="111"/>
    </row>
    <row r="883" spans="1:7">
      <c r="A883" s="106"/>
      <c r="B883" s="111"/>
      <c r="C883" s="111"/>
      <c r="D883" s="111"/>
      <c r="E883" s="111"/>
      <c r="F883" s="111"/>
      <c r="G883" s="111"/>
    </row>
    <row r="884" spans="1:7">
      <c r="A884" s="106"/>
      <c r="B884" s="111"/>
      <c r="C884" s="111"/>
      <c r="D884" s="111"/>
      <c r="E884" s="111"/>
      <c r="F884" s="111"/>
      <c r="G884" s="111"/>
    </row>
    <row r="885" spans="1:7">
      <c r="A885" s="106"/>
      <c r="B885" s="111"/>
      <c r="C885" s="111"/>
      <c r="D885" s="111"/>
      <c r="E885" s="111"/>
      <c r="F885" s="111"/>
      <c r="G885" s="111"/>
    </row>
    <row r="886" spans="1:7">
      <c r="A886" s="106"/>
      <c r="B886" s="111"/>
      <c r="C886" s="111"/>
      <c r="D886" s="111"/>
      <c r="E886" s="111"/>
      <c r="F886" s="111"/>
      <c r="G886" s="111"/>
    </row>
    <row r="887" spans="1:7">
      <c r="A887" s="106"/>
      <c r="B887" s="111"/>
      <c r="C887" s="111"/>
      <c r="D887" s="111"/>
      <c r="E887" s="111"/>
      <c r="F887" s="111"/>
      <c r="G887" s="111"/>
    </row>
    <row r="888" spans="1:7">
      <c r="A888" s="106"/>
      <c r="B888" s="111"/>
      <c r="C888" s="111"/>
      <c r="D888" s="111"/>
      <c r="E888" s="111"/>
      <c r="F888" s="111"/>
      <c r="G888" s="111"/>
    </row>
    <row r="889" spans="1:7">
      <c r="A889" s="106"/>
      <c r="B889" s="111"/>
      <c r="C889" s="111"/>
      <c r="D889" s="111"/>
      <c r="E889" s="111"/>
      <c r="F889" s="111"/>
      <c r="G889" s="111"/>
    </row>
    <row r="890" spans="1:7">
      <c r="A890" s="106"/>
      <c r="B890" s="111"/>
      <c r="C890" s="111"/>
      <c r="D890" s="111"/>
      <c r="E890" s="111"/>
      <c r="F890" s="111"/>
      <c r="G890" s="111"/>
    </row>
    <row r="891" spans="1:7">
      <c r="A891" s="106"/>
      <c r="B891" s="111"/>
      <c r="C891" s="111"/>
      <c r="D891" s="111"/>
      <c r="E891" s="111"/>
      <c r="F891" s="111"/>
      <c r="G891" s="111"/>
    </row>
    <row r="892" spans="1:7">
      <c r="A892" s="106"/>
      <c r="B892" s="111"/>
      <c r="C892" s="111"/>
      <c r="D892" s="111"/>
      <c r="E892" s="111"/>
      <c r="F892" s="111"/>
      <c r="G892" s="111"/>
    </row>
    <row r="893" spans="1:7">
      <c r="A893" s="106"/>
      <c r="B893" s="111"/>
      <c r="C893" s="111"/>
      <c r="D893" s="111"/>
      <c r="E893" s="111"/>
      <c r="F893" s="111"/>
      <c r="G893" s="111"/>
    </row>
    <row r="894" spans="1:7">
      <c r="A894" s="106"/>
      <c r="B894" s="111"/>
      <c r="C894" s="111"/>
      <c r="D894" s="111"/>
      <c r="E894" s="111"/>
      <c r="F894" s="111"/>
      <c r="G894" s="111"/>
    </row>
    <row r="895" spans="1:7">
      <c r="A895" s="106"/>
      <c r="B895" s="111"/>
      <c r="C895" s="111"/>
      <c r="D895" s="111"/>
      <c r="E895" s="111"/>
      <c r="F895" s="111"/>
      <c r="G895" s="111"/>
    </row>
    <row r="896" spans="1:7">
      <c r="A896" s="106"/>
      <c r="B896" s="111"/>
      <c r="C896" s="111"/>
      <c r="D896" s="111"/>
      <c r="E896" s="111"/>
      <c r="F896" s="111"/>
      <c r="G896" s="111"/>
    </row>
    <row r="897" spans="1:7">
      <c r="A897" s="106"/>
      <c r="B897" s="111"/>
      <c r="C897" s="111"/>
      <c r="D897" s="111"/>
      <c r="E897" s="111"/>
      <c r="F897" s="111"/>
      <c r="G897" s="111"/>
    </row>
    <row r="898" spans="1:7">
      <c r="A898" s="106"/>
      <c r="B898" s="111"/>
      <c r="C898" s="111"/>
      <c r="D898" s="111"/>
      <c r="E898" s="111"/>
      <c r="F898" s="111"/>
      <c r="G898" s="111"/>
    </row>
    <row r="899" spans="1:7">
      <c r="A899" s="106"/>
      <c r="B899" s="111"/>
      <c r="C899" s="111"/>
      <c r="D899" s="111"/>
      <c r="E899" s="111"/>
      <c r="F899" s="111"/>
      <c r="G899" s="111"/>
    </row>
    <row r="900" spans="1:7">
      <c r="A900" s="106"/>
      <c r="B900" s="111"/>
      <c r="C900" s="111"/>
      <c r="D900" s="111"/>
      <c r="E900" s="111"/>
      <c r="F900" s="111"/>
      <c r="G900" s="111"/>
    </row>
    <row r="901" spans="1:7">
      <c r="A901" s="106"/>
      <c r="B901" s="111"/>
      <c r="C901" s="111"/>
      <c r="D901" s="111"/>
      <c r="E901" s="111"/>
      <c r="F901" s="111"/>
      <c r="G901" s="111"/>
    </row>
    <row r="902" spans="1:7">
      <c r="A902" s="106"/>
      <c r="B902" s="111"/>
      <c r="C902" s="111"/>
      <c r="D902" s="111"/>
      <c r="E902" s="111"/>
      <c r="F902" s="111"/>
      <c r="G902" s="111"/>
    </row>
    <row r="903" spans="1:7">
      <c r="A903" s="106"/>
      <c r="B903" s="111"/>
      <c r="C903" s="111"/>
      <c r="D903" s="111"/>
      <c r="E903" s="111"/>
      <c r="F903" s="111"/>
      <c r="G903" s="111"/>
    </row>
    <row r="904" spans="1:7">
      <c r="A904" s="106"/>
      <c r="B904" s="111"/>
      <c r="C904" s="111"/>
      <c r="D904" s="111"/>
      <c r="E904" s="111"/>
      <c r="F904" s="111"/>
      <c r="G904" s="111"/>
    </row>
    <row r="905" spans="1:7">
      <c r="A905" s="106"/>
      <c r="B905" s="111"/>
      <c r="C905" s="111"/>
      <c r="D905" s="111"/>
      <c r="E905" s="111"/>
      <c r="F905" s="111"/>
      <c r="G905" s="111"/>
    </row>
    <row r="906" spans="1:7">
      <c r="A906" s="106"/>
      <c r="B906" s="111"/>
      <c r="C906" s="111"/>
      <c r="D906" s="111"/>
      <c r="E906" s="111"/>
      <c r="F906" s="111"/>
      <c r="G906" s="111"/>
    </row>
    <row r="907" spans="1:7">
      <c r="A907" s="106"/>
      <c r="B907" s="111"/>
      <c r="C907" s="111"/>
      <c r="D907" s="111"/>
      <c r="E907" s="111"/>
      <c r="F907" s="111"/>
      <c r="G907" s="111"/>
    </row>
    <row r="908" spans="1:7">
      <c r="A908" s="106"/>
      <c r="B908" s="111"/>
      <c r="C908" s="111"/>
      <c r="D908" s="111"/>
      <c r="E908" s="111"/>
      <c r="F908" s="111"/>
      <c r="G908" s="111"/>
    </row>
    <row r="909" spans="1:7">
      <c r="A909" s="106"/>
      <c r="B909" s="111"/>
      <c r="C909" s="111"/>
      <c r="D909" s="111"/>
      <c r="E909" s="111"/>
      <c r="F909" s="111"/>
      <c r="G909" s="111"/>
    </row>
    <row r="910" spans="1:7">
      <c r="A910" s="106"/>
      <c r="B910" s="111"/>
      <c r="C910" s="111"/>
      <c r="D910" s="111"/>
      <c r="E910" s="111"/>
      <c r="F910" s="111"/>
      <c r="G910" s="111"/>
    </row>
    <row r="911" spans="1:7">
      <c r="A911" s="106"/>
      <c r="B911" s="111"/>
      <c r="C911" s="111"/>
      <c r="D911" s="111"/>
      <c r="E911" s="111"/>
      <c r="F911" s="111"/>
      <c r="G911" s="111"/>
    </row>
    <row r="912" spans="1:7">
      <c r="A912" s="106"/>
      <c r="B912" s="111"/>
      <c r="C912" s="111"/>
      <c r="D912" s="111"/>
      <c r="E912" s="111"/>
      <c r="F912" s="111"/>
      <c r="G912" s="111"/>
    </row>
    <row r="913" spans="1:7">
      <c r="A913" s="106"/>
      <c r="B913" s="111"/>
      <c r="C913" s="111"/>
      <c r="D913" s="111"/>
      <c r="E913" s="111"/>
      <c r="F913" s="111"/>
      <c r="G913" s="111"/>
    </row>
    <row r="914" spans="1:7">
      <c r="A914" s="106"/>
      <c r="B914" s="111"/>
      <c r="C914" s="111"/>
      <c r="D914" s="111"/>
      <c r="E914" s="111"/>
      <c r="F914" s="111"/>
      <c r="G914" s="111"/>
    </row>
    <row r="915" spans="1:7">
      <c r="A915" s="106"/>
      <c r="B915" s="111"/>
      <c r="C915" s="111"/>
      <c r="D915" s="111"/>
      <c r="E915" s="111"/>
      <c r="F915" s="111"/>
      <c r="G915" s="111"/>
    </row>
    <row r="916" spans="1:7">
      <c r="A916" s="106"/>
      <c r="B916" s="111"/>
      <c r="C916" s="111"/>
      <c r="D916" s="111"/>
      <c r="E916" s="111"/>
      <c r="F916" s="111"/>
      <c r="G916" s="111"/>
    </row>
    <row r="917" spans="1:7">
      <c r="A917" s="106"/>
      <c r="B917" s="111"/>
      <c r="C917" s="111"/>
      <c r="D917" s="111"/>
      <c r="E917" s="111"/>
      <c r="F917" s="111"/>
      <c r="G917" s="111"/>
    </row>
    <row r="918" spans="1:7">
      <c r="A918" s="106"/>
      <c r="B918" s="111"/>
      <c r="C918" s="111"/>
      <c r="D918" s="111"/>
      <c r="E918" s="111"/>
      <c r="F918" s="111"/>
      <c r="G918" s="111"/>
    </row>
    <row r="919" spans="1:7">
      <c r="A919" s="106"/>
      <c r="B919" s="111"/>
      <c r="C919" s="111"/>
      <c r="D919" s="111"/>
      <c r="E919" s="111"/>
      <c r="F919" s="111"/>
      <c r="G919" s="111"/>
    </row>
    <row r="920" spans="1:7">
      <c r="A920" s="106"/>
      <c r="B920" s="111"/>
      <c r="C920" s="111"/>
      <c r="D920" s="111"/>
      <c r="E920" s="111"/>
      <c r="F920" s="111"/>
      <c r="G920" s="111"/>
    </row>
    <row r="921" spans="1:7">
      <c r="A921" s="106"/>
      <c r="B921" s="111"/>
      <c r="C921" s="111"/>
      <c r="D921" s="111"/>
      <c r="E921" s="111"/>
      <c r="F921" s="111"/>
      <c r="G921" s="111"/>
    </row>
    <row r="922" spans="1:7">
      <c r="A922" s="106"/>
      <c r="B922" s="111"/>
      <c r="C922" s="111"/>
      <c r="D922" s="111"/>
      <c r="E922" s="111"/>
      <c r="F922" s="111"/>
      <c r="G922" s="111"/>
    </row>
    <row r="923" spans="1:7">
      <c r="A923" s="106"/>
      <c r="B923" s="111"/>
      <c r="C923" s="111"/>
      <c r="D923" s="111"/>
      <c r="E923" s="111"/>
      <c r="F923" s="111"/>
      <c r="G923" s="111"/>
    </row>
    <row r="924" spans="1:7">
      <c r="A924" s="106"/>
      <c r="B924" s="111"/>
      <c r="C924" s="111"/>
      <c r="D924" s="111"/>
      <c r="E924" s="111"/>
      <c r="F924" s="111"/>
      <c r="G924" s="111"/>
    </row>
    <row r="925" spans="1:7">
      <c r="A925" s="106"/>
      <c r="B925" s="111"/>
      <c r="C925" s="111"/>
      <c r="D925" s="111"/>
      <c r="E925" s="111"/>
      <c r="F925" s="111"/>
      <c r="G925" s="111"/>
    </row>
    <row r="926" spans="1:7">
      <c r="A926" s="106"/>
      <c r="B926" s="111"/>
      <c r="C926" s="111"/>
      <c r="D926" s="111"/>
      <c r="E926" s="111"/>
      <c r="F926" s="111"/>
      <c r="G926" s="111"/>
    </row>
    <row r="927" spans="1:7">
      <c r="A927" s="106"/>
      <c r="B927" s="111"/>
      <c r="C927" s="111"/>
      <c r="D927" s="111"/>
      <c r="E927" s="111"/>
      <c r="F927" s="111"/>
      <c r="G927" s="111"/>
    </row>
    <row r="928" spans="1:7">
      <c r="A928" s="106"/>
      <c r="B928" s="111"/>
      <c r="C928" s="111"/>
      <c r="D928" s="111"/>
      <c r="E928" s="111"/>
      <c r="F928" s="111"/>
      <c r="G928" s="111"/>
    </row>
    <row r="929" spans="1:7">
      <c r="A929" s="106"/>
      <c r="B929" s="111"/>
      <c r="C929" s="111"/>
      <c r="D929" s="111"/>
      <c r="E929" s="111"/>
      <c r="F929" s="111"/>
      <c r="G929" s="111"/>
    </row>
    <row r="930" spans="1:7">
      <c r="A930" s="106"/>
      <c r="B930" s="111"/>
      <c r="C930" s="111"/>
      <c r="D930" s="111"/>
      <c r="E930" s="111"/>
      <c r="F930" s="111"/>
      <c r="G930" s="111"/>
    </row>
    <row r="931" spans="1:7">
      <c r="A931" s="106"/>
      <c r="B931" s="111"/>
      <c r="C931" s="111"/>
      <c r="D931" s="111"/>
      <c r="E931" s="111"/>
      <c r="F931" s="111"/>
      <c r="G931" s="111"/>
    </row>
    <row r="932" spans="1:7">
      <c r="A932" s="106"/>
      <c r="B932" s="111"/>
      <c r="C932" s="111"/>
      <c r="D932" s="111"/>
      <c r="E932" s="111"/>
      <c r="F932" s="111"/>
      <c r="G932" s="111"/>
    </row>
    <row r="933" spans="1:7">
      <c r="A933" s="106"/>
      <c r="B933" s="111"/>
      <c r="C933" s="111"/>
      <c r="D933" s="111"/>
      <c r="E933" s="111"/>
      <c r="F933" s="111"/>
      <c r="G933" s="111"/>
    </row>
    <row r="934" spans="1:7">
      <c r="A934" s="106"/>
      <c r="B934" s="111"/>
      <c r="C934" s="111"/>
      <c r="D934" s="111"/>
      <c r="E934" s="111"/>
      <c r="F934" s="111"/>
      <c r="G934" s="111"/>
    </row>
    <row r="935" spans="1:7">
      <c r="A935" s="106"/>
      <c r="B935" s="111"/>
      <c r="C935" s="111"/>
      <c r="D935" s="111"/>
      <c r="E935" s="111"/>
      <c r="F935" s="111"/>
      <c r="G935" s="111"/>
    </row>
    <row r="936" spans="1:7">
      <c r="A936" s="106"/>
      <c r="B936" s="111"/>
      <c r="C936" s="111"/>
      <c r="D936" s="111"/>
      <c r="E936" s="111"/>
      <c r="F936" s="111"/>
      <c r="G936" s="111"/>
    </row>
    <row r="937" spans="1:7">
      <c r="A937" s="106"/>
      <c r="B937" s="111"/>
      <c r="C937" s="111"/>
      <c r="D937" s="111"/>
      <c r="E937" s="111"/>
      <c r="F937" s="111"/>
      <c r="G937" s="111"/>
    </row>
    <row r="938" spans="1:7">
      <c r="A938" s="106"/>
      <c r="B938" s="111"/>
      <c r="C938" s="111"/>
      <c r="D938" s="111"/>
      <c r="E938" s="111"/>
      <c r="F938" s="111"/>
      <c r="G938" s="111"/>
    </row>
    <row r="939" spans="1:7">
      <c r="A939" s="106"/>
      <c r="B939" s="111"/>
      <c r="C939" s="111"/>
      <c r="D939" s="111"/>
      <c r="E939" s="111"/>
      <c r="F939" s="111"/>
      <c r="G939" s="111"/>
    </row>
    <row r="940" spans="1:7">
      <c r="A940" s="106"/>
      <c r="B940" s="111"/>
      <c r="C940" s="111"/>
      <c r="D940" s="111"/>
      <c r="E940" s="111"/>
      <c r="F940" s="111"/>
      <c r="G940" s="111"/>
    </row>
    <row r="941" spans="1:7">
      <c r="A941" s="106"/>
      <c r="B941" s="111"/>
      <c r="C941" s="111"/>
      <c r="D941" s="111"/>
      <c r="E941" s="111"/>
      <c r="F941" s="111"/>
      <c r="G941" s="111"/>
    </row>
    <row r="942" spans="1:7">
      <c r="A942" s="106"/>
      <c r="B942" s="111"/>
      <c r="C942" s="111"/>
      <c r="D942" s="111"/>
      <c r="E942" s="111"/>
      <c r="F942" s="111"/>
      <c r="G942" s="111"/>
    </row>
    <row r="943" spans="1:7">
      <c r="A943" s="106"/>
      <c r="B943" s="111"/>
      <c r="C943" s="111"/>
      <c r="D943" s="111"/>
      <c r="E943" s="111"/>
      <c r="F943" s="111"/>
      <c r="G943" s="111"/>
    </row>
    <row r="944" spans="1:7">
      <c r="A944" s="106"/>
      <c r="B944" s="111"/>
      <c r="C944" s="111"/>
      <c r="D944" s="111"/>
      <c r="E944" s="111"/>
      <c r="F944" s="111"/>
      <c r="G944" s="111"/>
    </row>
    <row r="945" spans="1:7">
      <c r="A945" s="106"/>
      <c r="B945" s="111"/>
      <c r="C945" s="111"/>
      <c r="D945" s="111"/>
      <c r="E945" s="111"/>
      <c r="F945" s="111"/>
      <c r="G945" s="111"/>
    </row>
    <row r="946" spans="1:7">
      <c r="A946" s="106"/>
      <c r="B946" s="111"/>
      <c r="C946" s="111"/>
      <c r="D946" s="111"/>
      <c r="E946" s="111"/>
      <c r="F946" s="111"/>
      <c r="G946" s="111"/>
    </row>
    <row r="947" spans="1:7">
      <c r="A947" s="106"/>
      <c r="B947" s="111"/>
      <c r="C947" s="111"/>
      <c r="D947" s="111"/>
      <c r="E947" s="111"/>
      <c r="F947" s="111"/>
      <c r="G947" s="111"/>
    </row>
    <row r="948" spans="1:7">
      <c r="A948" s="106"/>
      <c r="B948" s="111"/>
      <c r="C948" s="111"/>
      <c r="D948" s="111"/>
      <c r="E948" s="111"/>
      <c r="F948" s="111"/>
      <c r="G948" s="111"/>
    </row>
    <row r="949" spans="1:7">
      <c r="A949" s="106"/>
      <c r="B949" s="111"/>
      <c r="C949" s="111"/>
      <c r="D949" s="111"/>
      <c r="E949" s="111"/>
      <c r="F949" s="111"/>
      <c r="G949" s="111"/>
    </row>
    <row r="950" spans="1:7">
      <c r="A950" s="106"/>
      <c r="B950" s="111"/>
      <c r="C950" s="111"/>
      <c r="D950" s="111"/>
      <c r="E950" s="111"/>
      <c r="F950" s="111"/>
      <c r="G950" s="111"/>
    </row>
    <row r="951" spans="1:7">
      <c r="A951" s="106"/>
      <c r="B951" s="111"/>
      <c r="C951" s="111"/>
      <c r="D951" s="111"/>
      <c r="E951" s="111"/>
      <c r="F951" s="111"/>
      <c r="G951" s="111"/>
    </row>
    <row r="952" spans="1:7">
      <c r="A952" s="106"/>
      <c r="B952" s="111"/>
      <c r="C952" s="111"/>
      <c r="D952" s="111"/>
      <c r="E952" s="111"/>
      <c r="F952" s="111"/>
      <c r="G952" s="111"/>
    </row>
    <row r="953" spans="1:7">
      <c r="A953" s="106"/>
      <c r="B953" s="111"/>
      <c r="C953" s="111"/>
      <c r="D953" s="111"/>
      <c r="E953" s="111"/>
      <c r="F953" s="111"/>
      <c r="G953" s="111"/>
    </row>
    <row r="954" spans="1:7">
      <c r="A954" s="106"/>
      <c r="B954" s="111"/>
      <c r="C954" s="111"/>
      <c r="D954" s="111"/>
      <c r="E954" s="111"/>
      <c r="F954" s="111"/>
      <c r="G954" s="111"/>
    </row>
    <row r="955" spans="1:7">
      <c r="A955" s="106"/>
      <c r="B955" s="111"/>
      <c r="C955" s="111"/>
      <c r="D955" s="111"/>
      <c r="E955" s="111"/>
      <c r="F955" s="111"/>
      <c r="G955" s="111"/>
    </row>
    <row r="956" spans="1:7">
      <c r="A956" s="106"/>
      <c r="B956" s="111"/>
      <c r="C956" s="111"/>
      <c r="D956" s="111"/>
      <c r="E956" s="111"/>
      <c r="F956" s="111"/>
      <c r="G956" s="111"/>
    </row>
    <row r="957" spans="1:7">
      <c r="A957" s="106"/>
      <c r="B957" s="111"/>
      <c r="C957" s="111"/>
      <c r="D957" s="111"/>
      <c r="E957" s="111"/>
      <c r="F957" s="111"/>
      <c r="G957" s="111"/>
    </row>
    <row r="958" spans="1:7">
      <c r="A958" s="106"/>
      <c r="B958" s="111"/>
      <c r="C958" s="111"/>
      <c r="D958" s="111"/>
      <c r="E958" s="111"/>
      <c r="F958" s="111"/>
      <c r="G958" s="111"/>
    </row>
    <row r="959" spans="1:7">
      <c r="A959" s="106"/>
      <c r="B959" s="111"/>
      <c r="C959" s="111"/>
      <c r="D959" s="111"/>
      <c r="E959" s="111"/>
      <c r="F959" s="111"/>
      <c r="G959" s="111"/>
    </row>
    <row r="960" spans="1:7">
      <c r="A960" s="106"/>
      <c r="B960" s="111"/>
      <c r="C960" s="111"/>
      <c r="D960" s="111"/>
      <c r="E960" s="111"/>
      <c r="F960" s="111"/>
      <c r="G960" s="111"/>
    </row>
    <row r="961" spans="1:7">
      <c r="A961" s="106"/>
      <c r="B961" s="111"/>
      <c r="C961" s="111"/>
      <c r="D961" s="111"/>
      <c r="E961" s="111"/>
      <c r="F961" s="111"/>
      <c r="G961" s="111"/>
    </row>
    <row r="962" spans="1:7">
      <c r="A962" s="106"/>
      <c r="B962" s="111"/>
      <c r="C962" s="111"/>
      <c r="D962" s="111"/>
      <c r="E962" s="111"/>
      <c r="F962" s="111"/>
      <c r="G962" s="111"/>
    </row>
    <row r="963" spans="1:7">
      <c r="A963" s="106"/>
      <c r="B963" s="111"/>
      <c r="C963" s="111"/>
      <c r="D963" s="111"/>
      <c r="E963" s="111"/>
      <c r="F963" s="111"/>
      <c r="G963" s="111"/>
    </row>
    <row r="964" spans="1:7">
      <c r="A964" s="106"/>
      <c r="B964" s="111"/>
      <c r="C964" s="111"/>
      <c r="D964" s="111"/>
      <c r="E964" s="111"/>
      <c r="F964" s="111"/>
      <c r="G964" s="111"/>
    </row>
    <row r="965" spans="1:7">
      <c r="A965" s="106"/>
      <c r="B965" s="111"/>
      <c r="C965" s="111"/>
      <c r="D965" s="111"/>
      <c r="E965" s="111"/>
      <c r="F965" s="111"/>
      <c r="G965" s="111"/>
    </row>
    <row r="966" spans="1:7">
      <c r="A966" s="106"/>
      <c r="B966" s="111"/>
      <c r="C966" s="111"/>
      <c r="D966" s="111"/>
      <c r="E966" s="111"/>
      <c r="F966" s="111"/>
      <c r="G966" s="111"/>
    </row>
    <row r="967" spans="1:7">
      <c r="A967" s="106"/>
      <c r="B967" s="111"/>
      <c r="C967" s="111"/>
      <c r="D967" s="111"/>
      <c r="E967" s="111"/>
      <c r="F967" s="111"/>
      <c r="G967" s="111"/>
    </row>
    <row r="968" spans="1:7">
      <c r="A968" s="106"/>
      <c r="B968" s="111"/>
      <c r="C968" s="111"/>
      <c r="D968" s="111"/>
      <c r="E968" s="111"/>
      <c r="F968" s="111"/>
      <c r="G968" s="111"/>
    </row>
    <row r="969" spans="1:7">
      <c r="A969" s="106"/>
      <c r="B969" s="111"/>
      <c r="C969" s="111"/>
      <c r="D969" s="111"/>
      <c r="E969" s="111"/>
      <c r="F969" s="111"/>
      <c r="G969" s="111"/>
    </row>
    <row r="970" spans="1:7">
      <c r="A970" s="106"/>
      <c r="B970" s="111"/>
      <c r="C970" s="111"/>
      <c r="D970" s="111"/>
      <c r="E970" s="111"/>
      <c r="F970" s="111"/>
      <c r="G970" s="111"/>
    </row>
    <row r="971" spans="1:7">
      <c r="A971" s="106"/>
      <c r="B971" s="111"/>
      <c r="C971" s="111"/>
      <c r="D971" s="111"/>
      <c r="E971" s="111"/>
      <c r="F971" s="111"/>
      <c r="G971" s="111"/>
    </row>
    <row r="972" spans="1:7">
      <c r="A972" s="106"/>
      <c r="B972" s="111"/>
      <c r="C972" s="111"/>
      <c r="D972" s="111"/>
      <c r="E972" s="111"/>
      <c r="F972" s="111"/>
      <c r="G972" s="111"/>
    </row>
    <row r="973" spans="1:7">
      <c r="A973" s="106"/>
      <c r="B973" s="111"/>
      <c r="C973" s="111"/>
      <c r="D973" s="111"/>
      <c r="E973" s="111"/>
      <c r="F973" s="111"/>
      <c r="G973" s="111"/>
    </row>
    <row r="974" spans="1:7">
      <c r="A974" s="106"/>
      <c r="B974" s="111"/>
      <c r="C974" s="111"/>
      <c r="D974" s="111"/>
      <c r="E974" s="111"/>
      <c r="F974" s="111"/>
      <c r="G974" s="111"/>
    </row>
    <row r="975" spans="1:7">
      <c r="A975" s="106"/>
      <c r="B975" s="111"/>
      <c r="C975" s="111"/>
      <c r="D975" s="111"/>
      <c r="E975" s="111"/>
      <c r="F975" s="111"/>
      <c r="G975" s="111"/>
    </row>
    <row r="976" spans="1:7">
      <c r="A976" s="106"/>
      <c r="B976" s="111"/>
      <c r="C976" s="111"/>
      <c r="D976" s="111"/>
      <c r="E976" s="111"/>
      <c r="F976" s="111"/>
      <c r="G976" s="111"/>
    </row>
    <row r="977" spans="1:7">
      <c r="A977" s="106"/>
      <c r="B977" s="111"/>
      <c r="C977" s="111"/>
      <c r="D977" s="111"/>
      <c r="E977" s="111"/>
      <c r="F977" s="111"/>
      <c r="G977" s="111"/>
    </row>
    <row r="978" spans="1:7">
      <c r="A978" s="106"/>
      <c r="B978" s="111"/>
      <c r="C978" s="111"/>
      <c r="D978" s="111"/>
      <c r="E978" s="111"/>
      <c r="F978" s="111"/>
      <c r="G978" s="111"/>
    </row>
    <row r="979" spans="1:7">
      <c r="A979" s="106"/>
      <c r="B979" s="111"/>
      <c r="C979" s="111"/>
      <c r="D979" s="111"/>
      <c r="E979" s="111"/>
      <c r="F979" s="111"/>
      <c r="G979" s="111"/>
    </row>
    <row r="980" spans="1:7">
      <c r="A980" s="106"/>
      <c r="B980" s="111"/>
      <c r="C980" s="111"/>
      <c r="D980" s="111"/>
      <c r="E980" s="111"/>
      <c r="F980" s="111"/>
      <c r="G980" s="111"/>
    </row>
    <row r="981" spans="1:7">
      <c r="A981" s="106"/>
      <c r="B981" s="111"/>
      <c r="C981" s="111"/>
      <c r="D981" s="111"/>
      <c r="E981" s="111"/>
      <c r="F981" s="111"/>
      <c r="G981" s="111"/>
    </row>
    <row r="982" spans="1:7">
      <c r="A982" s="106"/>
      <c r="B982" s="111"/>
      <c r="C982" s="111"/>
      <c r="D982" s="111"/>
      <c r="E982" s="111"/>
      <c r="F982" s="111"/>
      <c r="G982" s="111"/>
    </row>
    <row r="983" spans="1:7">
      <c r="A983" s="106"/>
      <c r="B983" s="111"/>
      <c r="C983" s="111"/>
      <c r="D983" s="111"/>
      <c r="E983" s="111"/>
      <c r="F983" s="111"/>
      <c r="G983" s="111"/>
    </row>
    <row r="984" spans="1:7">
      <c r="A984" s="106"/>
      <c r="B984" s="111"/>
      <c r="C984" s="111"/>
      <c r="D984" s="111"/>
      <c r="E984" s="111"/>
      <c r="F984" s="111"/>
      <c r="G984" s="111"/>
    </row>
    <row r="985" spans="1:7">
      <c r="A985" s="106"/>
      <c r="B985" s="111"/>
      <c r="C985" s="111"/>
      <c r="D985" s="111"/>
      <c r="E985" s="111"/>
      <c r="F985" s="111"/>
      <c r="G985" s="111"/>
    </row>
    <row r="986" spans="1:7">
      <c r="A986" s="106"/>
      <c r="B986" s="111"/>
      <c r="C986" s="111"/>
      <c r="D986" s="111"/>
      <c r="E986" s="111"/>
      <c r="F986" s="111"/>
      <c r="G986" s="111"/>
    </row>
    <row r="987" spans="1:7">
      <c r="A987" s="106"/>
      <c r="B987" s="111"/>
      <c r="C987" s="111"/>
      <c r="D987" s="111"/>
      <c r="E987" s="111"/>
      <c r="F987" s="111"/>
      <c r="G987" s="111"/>
    </row>
    <row r="988" spans="1:7">
      <c r="A988" s="106"/>
      <c r="B988" s="111"/>
      <c r="C988" s="111"/>
      <c r="D988" s="111"/>
      <c r="E988" s="111"/>
      <c r="F988" s="111"/>
      <c r="G988" s="111"/>
    </row>
    <row r="989" spans="1:7">
      <c r="A989" s="106"/>
      <c r="B989" s="111"/>
      <c r="C989" s="111"/>
      <c r="D989" s="111"/>
      <c r="E989" s="111"/>
      <c r="F989" s="111"/>
      <c r="G989" s="111"/>
    </row>
    <row r="990" spans="1:7">
      <c r="A990" s="106"/>
      <c r="B990" s="111"/>
      <c r="C990" s="111"/>
      <c r="D990" s="111"/>
      <c r="E990" s="111"/>
      <c r="F990" s="111"/>
      <c r="G990" s="111"/>
    </row>
    <row r="991" spans="1:7">
      <c r="A991" s="106"/>
      <c r="B991" s="111"/>
      <c r="C991" s="111"/>
      <c r="D991" s="111"/>
      <c r="E991" s="111"/>
      <c r="F991" s="111"/>
      <c r="G991" s="111"/>
    </row>
    <row r="992" spans="1:7">
      <c r="A992" s="106"/>
      <c r="B992" s="111"/>
      <c r="C992" s="111"/>
      <c r="D992" s="111"/>
      <c r="E992" s="111"/>
      <c r="F992" s="111"/>
      <c r="G992" s="111"/>
    </row>
    <row r="993" spans="1:7">
      <c r="A993" s="106"/>
      <c r="B993" s="111"/>
      <c r="C993" s="111"/>
      <c r="D993" s="111"/>
      <c r="E993" s="111"/>
      <c r="F993" s="111"/>
      <c r="G993" s="111"/>
    </row>
    <row r="994" spans="1:7">
      <c r="A994" s="106"/>
      <c r="B994" s="111"/>
      <c r="C994" s="111"/>
      <c r="D994" s="111"/>
      <c r="E994" s="111"/>
      <c r="F994" s="111"/>
      <c r="G994" s="111"/>
    </row>
    <row r="995" spans="1:7">
      <c r="A995" s="106"/>
      <c r="B995" s="111"/>
      <c r="C995" s="111"/>
      <c r="D995" s="111"/>
      <c r="E995" s="111"/>
      <c r="F995" s="111"/>
      <c r="G995" s="111"/>
    </row>
    <row r="996" spans="1:7">
      <c r="A996" s="106"/>
      <c r="B996" s="111"/>
      <c r="C996" s="111"/>
      <c r="D996" s="111"/>
      <c r="E996" s="111"/>
      <c r="F996" s="111"/>
      <c r="G996" s="111"/>
    </row>
    <row r="997" spans="1:7">
      <c r="A997" s="106"/>
      <c r="B997" s="111"/>
      <c r="C997" s="111"/>
      <c r="D997" s="111"/>
      <c r="E997" s="111"/>
      <c r="F997" s="111"/>
      <c r="G997" s="111"/>
    </row>
    <row r="998" spans="1:7">
      <c r="A998" s="106"/>
      <c r="B998" s="111"/>
      <c r="C998" s="111"/>
      <c r="D998" s="111"/>
      <c r="E998" s="111"/>
      <c r="F998" s="111"/>
      <c r="G998" s="111"/>
    </row>
    <row r="999" spans="1:7">
      <c r="A999" s="106"/>
      <c r="B999" s="111"/>
      <c r="C999" s="111"/>
      <c r="D999" s="111"/>
      <c r="E999" s="111"/>
      <c r="F999" s="111"/>
      <c r="G999" s="111"/>
    </row>
    <row r="1000" spans="1:7">
      <c r="A1000" s="106"/>
      <c r="B1000" s="111"/>
      <c r="C1000" s="111"/>
      <c r="D1000" s="111"/>
      <c r="E1000" s="111"/>
      <c r="F1000" s="111"/>
      <c r="G1000" s="111"/>
    </row>
    <row r="1001" spans="1:7">
      <c r="A1001" s="106"/>
      <c r="B1001" s="111"/>
      <c r="C1001" s="111"/>
      <c r="D1001" s="111"/>
      <c r="E1001" s="111"/>
      <c r="F1001" s="111"/>
      <c r="G1001" s="111"/>
    </row>
    <row r="1002" spans="1:7">
      <c r="A1002" s="106"/>
      <c r="B1002" s="111"/>
      <c r="C1002" s="111"/>
      <c r="D1002" s="111"/>
      <c r="E1002" s="111"/>
      <c r="F1002" s="111"/>
      <c r="G1002" s="111"/>
    </row>
    <row r="1003" spans="1:7">
      <c r="A1003" s="106"/>
      <c r="B1003" s="111"/>
      <c r="C1003" s="111"/>
      <c r="D1003" s="111"/>
      <c r="E1003" s="111"/>
      <c r="F1003" s="111"/>
      <c r="G1003" s="111"/>
    </row>
    <row r="1004" spans="1:7">
      <c r="A1004" s="106"/>
      <c r="B1004" s="111"/>
      <c r="C1004" s="111"/>
      <c r="D1004" s="111"/>
      <c r="E1004" s="111"/>
      <c r="F1004" s="111"/>
      <c r="G1004" s="111"/>
    </row>
    <row r="1005" spans="1:7">
      <c r="A1005" s="106"/>
      <c r="B1005" s="111"/>
      <c r="C1005" s="111"/>
      <c r="D1005" s="111"/>
      <c r="E1005" s="111"/>
      <c r="F1005" s="111"/>
      <c r="G1005" s="111"/>
    </row>
    <row r="1006" spans="1:7">
      <c r="A1006" s="106"/>
      <c r="B1006" s="111"/>
      <c r="C1006" s="111"/>
      <c r="D1006" s="111"/>
      <c r="E1006" s="111"/>
      <c r="F1006" s="111"/>
      <c r="G1006" s="111"/>
    </row>
    <row r="1007" spans="1:7">
      <c r="A1007" s="106"/>
      <c r="B1007" s="111"/>
      <c r="C1007" s="111"/>
      <c r="D1007" s="111"/>
      <c r="E1007" s="111"/>
      <c r="F1007" s="111"/>
      <c r="G1007" s="111"/>
    </row>
    <row r="1008" spans="1:7">
      <c r="A1008" s="106"/>
      <c r="B1008" s="111"/>
      <c r="C1008" s="111"/>
      <c r="D1008" s="111"/>
      <c r="E1008" s="111"/>
      <c r="F1008" s="111"/>
      <c r="G1008" s="111"/>
    </row>
    <row r="1009" spans="1:7">
      <c r="A1009" s="106"/>
      <c r="B1009" s="111"/>
      <c r="C1009" s="111"/>
      <c r="D1009" s="111"/>
      <c r="E1009" s="111"/>
      <c r="F1009" s="111"/>
      <c r="G1009" s="111"/>
    </row>
    <row r="1010" spans="1:7">
      <c r="A1010" s="106"/>
      <c r="B1010" s="111"/>
      <c r="C1010" s="111"/>
      <c r="D1010" s="111"/>
      <c r="E1010" s="111"/>
      <c r="F1010" s="111"/>
      <c r="G1010" s="111"/>
    </row>
    <row r="1011" spans="1:7">
      <c r="A1011" s="106"/>
      <c r="B1011" s="111"/>
      <c r="C1011" s="111"/>
      <c r="D1011" s="111"/>
      <c r="E1011" s="111"/>
      <c r="F1011" s="111"/>
      <c r="G1011" s="111"/>
    </row>
    <row r="1012" spans="1:7">
      <c r="A1012" s="106"/>
      <c r="B1012" s="111"/>
      <c r="C1012" s="111"/>
      <c r="D1012" s="111"/>
      <c r="E1012" s="111"/>
      <c r="F1012" s="111"/>
      <c r="G1012" s="111"/>
    </row>
    <row r="1013" spans="1:7">
      <c r="A1013" s="106"/>
      <c r="B1013" s="111"/>
      <c r="C1013" s="111"/>
      <c r="D1013" s="111"/>
      <c r="E1013" s="111"/>
      <c r="F1013" s="111"/>
      <c r="G1013" s="111"/>
    </row>
    <row r="1014" spans="1:7">
      <c r="A1014" s="106"/>
      <c r="B1014" s="111"/>
      <c r="C1014" s="111"/>
      <c r="D1014" s="111"/>
      <c r="E1014" s="111"/>
      <c r="F1014" s="111"/>
      <c r="G1014" s="111"/>
    </row>
    <row r="1015" spans="1:7">
      <c r="A1015" s="106"/>
      <c r="B1015" s="111"/>
      <c r="C1015" s="111"/>
      <c r="D1015" s="111"/>
      <c r="E1015" s="111"/>
      <c r="F1015" s="111"/>
      <c r="G1015" s="111"/>
    </row>
    <row r="1016" spans="1:7">
      <c r="A1016" s="106"/>
      <c r="B1016" s="111"/>
      <c r="C1016" s="111"/>
      <c r="D1016" s="111"/>
      <c r="E1016" s="111"/>
      <c r="F1016" s="111"/>
      <c r="G1016" s="111"/>
    </row>
    <row r="1017" spans="1:7">
      <c r="A1017" s="106"/>
      <c r="B1017" s="111"/>
      <c r="C1017" s="111"/>
      <c r="D1017" s="111"/>
      <c r="E1017" s="111"/>
      <c r="F1017" s="111"/>
      <c r="G1017" s="111"/>
    </row>
    <row r="1018" spans="1:7">
      <c r="A1018" s="106"/>
      <c r="B1018" s="111"/>
      <c r="C1018" s="111"/>
      <c r="D1018" s="111"/>
      <c r="E1018" s="111"/>
      <c r="F1018" s="111"/>
      <c r="G1018" s="111"/>
    </row>
    <row r="1019" spans="1:7">
      <c r="A1019" s="106"/>
      <c r="B1019" s="111"/>
      <c r="C1019" s="111"/>
      <c r="D1019" s="111"/>
      <c r="E1019" s="111"/>
      <c r="F1019" s="111"/>
      <c r="G1019" s="111"/>
    </row>
    <row r="1020" spans="1:7">
      <c r="A1020" s="106"/>
      <c r="B1020" s="111"/>
      <c r="C1020" s="111"/>
      <c r="D1020" s="111"/>
      <c r="E1020" s="111"/>
      <c r="F1020" s="111"/>
      <c r="G1020" s="111"/>
    </row>
    <row r="1021" spans="1:7">
      <c r="A1021" s="106"/>
      <c r="B1021" s="111"/>
      <c r="C1021" s="111"/>
      <c r="D1021" s="111"/>
      <c r="E1021" s="111"/>
      <c r="F1021" s="111"/>
      <c r="G1021" s="111"/>
    </row>
    <row r="1022" spans="1:7">
      <c r="A1022" s="106"/>
      <c r="B1022" s="111"/>
      <c r="C1022" s="111"/>
      <c r="D1022" s="111"/>
      <c r="E1022" s="111"/>
      <c r="F1022" s="111"/>
      <c r="G1022" s="111"/>
    </row>
    <row r="1023" spans="1:7">
      <c r="A1023" s="106"/>
      <c r="B1023" s="111"/>
      <c r="C1023" s="111"/>
      <c r="D1023" s="111"/>
      <c r="E1023" s="111"/>
      <c r="F1023" s="111"/>
      <c r="G1023" s="111"/>
    </row>
    <row r="1024" spans="1:7">
      <c r="A1024" s="106"/>
      <c r="B1024" s="111"/>
      <c r="C1024" s="111"/>
      <c r="D1024" s="111"/>
      <c r="E1024" s="111"/>
      <c r="F1024" s="111"/>
      <c r="G1024" s="111"/>
    </row>
    <row r="1025" spans="1:7">
      <c r="A1025" s="106"/>
      <c r="B1025" s="111"/>
      <c r="C1025" s="111"/>
      <c r="D1025" s="111"/>
      <c r="E1025" s="111"/>
      <c r="F1025" s="111"/>
      <c r="G1025" s="111"/>
    </row>
    <row r="1026" spans="1:7">
      <c r="A1026" s="106"/>
      <c r="B1026" s="111"/>
      <c r="C1026" s="111"/>
      <c r="D1026" s="111"/>
      <c r="E1026" s="111"/>
      <c r="F1026" s="111"/>
      <c r="G1026" s="111"/>
    </row>
    <row r="1027" spans="1:7">
      <c r="A1027" s="106"/>
      <c r="B1027" s="111"/>
      <c r="C1027" s="111"/>
      <c r="D1027" s="111"/>
      <c r="E1027" s="111"/>
      <c r="F1027" s="111"/>
      <c r="G1027" s="111"/>
    </row>
    <row r="1028" spans="1:7">
      <c r="A1028" s="106"/>
      <c r="B1028" s="111"/>
      <c r="C1028" s="111"/>
      <c r="D1028" s="111"/>
      <c r="E1028" s="111"/>
      <c r="F1028" s="111"/>
      <c r="G1028" s="111"/>
    </row>
    <row r="1029" spans="1:7">
      <c r="A1029" s="106"/>
      <c r="B1029" s="111"/>
      <c r="C1029" s="111"/>
      <c r="D1029" s="111"/>
      <c r="E1029" s="111"/>
      <c r="F1029" s="111"/>
      <c r="G1029" s="111"/>
    </row>
    <row r="1030" spans="1:7">
      <c r="A1030" s="106"/>
      <c r="B1030" s="111"/>
      <c r="C1030" s="111"/>
      <c r="D1030" s="111"/>
      <c r="E1030" s="111"/>
      <c r="F1030" s="111"/>
      <c r="G1030" s="111"/>
    </row>
    <row r="1031" spans="1:7">
      <c r="A1031" s="106"/>
      <c r="B1031" s="111"/>
      <c r="C1031" s="111"/>
      <c r="D1031" s="111"/>
      <c r="E1031" s="111"/>
      <c r="F1031" s="111"/>
      <c r="G1031" s="111"/>
    </row>
    <row r="1032" spans="1:7">
      <c r="A1032" s="106"/>
      <c r="B1032" s="111"/>
      <c r="C1032" s="111"/>
      <c r="D1032" s="111"/>
      <c r="E1032" s="111"/>
      <c r="F1032" s="111"/>
      <c r="G1032" s="111"/>
    </row>
    <row r="1033" spans="1:7">
      <c r="A1033" s="106"/>
      <c r="B1033" s="111"/>
      <c r="C1033" s="111"/>
      <c r="D1033" s="111"/>
      <c r="E1033" s="111"/>
      <c r="F1033" s="111"/>
      <c r="G1033" s="111"/>
    </row>
    <row r="1034" spans="1:7">
      <c r="A1034" s="106"/>
      <c r="B1034" s="111"/>
      <c r="C1034" s="111"/>
      <c r="D1034" s="111"/>
      <c r="E1034" s="111"/>
      <c r="F1034" s="111"/>
      <c r="G1034" s="111"/>
    </row>
    <row r="1035" spans="1:7">
      <c r="A1035" s="106"/>
      <c r="B1035" s="111"/>
      <c r="C1035" s="111"/>
      <c r="D1035" s="111"/>
      <c r="E1035" s="111"/>
      <c r="F1035" s="111"/>
      <c r="G1035" s="111"/>
    </row>
    <row r="1036" spans="1:7">
      <c r="A1036" s="106"/>
      <c r="B1036" s="111"/>
      <c r="C1036" s="111"/>
      <c r="D1036" s="111"/>
      <c r="E1036" s="111"/>
      <c r="F1036" s="111"/>
      <c r="G1036" s="111"/>
    </row>
    <row r="1037" spans="1:7">
      <c r="A1037" s="106"/>
      <c r="B1037" s="111"/>
      <c r="C1037" s="111"/>
      <c r="D1037" s="111"/>
      <c r="E1037" s="111"/>
      <c r="F1037" s="111"/>
      <c r="G1037" s="111"/>
    </row>
    <row r="1038" spans="1:7">
      <c r="A1038" s="106"/>
      <c r="B1038" s="111"/>
      <c r="C1038" s="111"/>
      <c r="D1038" s="111"/>
      <c r="E1038" s="111"/>
      <c r="F1038" s="111"/>
      <c r="G1038" s="111"/>
    </row>
    <row r="1039" spans="1:7">
      <c r="A1039" s="106"/>
      <c r="B1039" s="111"/>
      <c r="C1039" s="111"/>
      <c r="D1039" s="111"/>
      <c r="E1039" s="111"/>
      <c r="F1039" s="111"/>
      <c r="G1039" s="111"/>
    </row>
    <row r="1040" spans="1:7">
      <c r="A1040" s="106"/>
      <c r="B1040" s="111"/>
      <c r="C1040" s="111"/>
      <c r="D1040" s="111"/>
      <c r="E1040" s="111"/>
      <c r="F1040" s="111"/>
      <c r="G1040" s="111"/>
    </row>
    <row r="1041" spans="1:7">
      <c r="A1041" s="106"/>
      <c r="B1041" s="111"/>
      <c r="C1041" s="111"/>
      <c r="D1041" s="111"/>
      <c r="E1041" s="111"/>
      <c r="F1041" s="111"/>
      <c r="G1041" s="111"/>
    </row>
    <row r="1042" spans="1:7">
      <c r="A1042" s="106"/>
      <c r="B1042" s="111"/>
      <c r="C1042" s="111"/>
      <c r="D1042" s="111"/>
      <c r="E1042" s="111"/>
      <c r="F1042" s="111"/>
      <c r="G1042" s="111"/>
    </row>
    <row r="1043" spans="1:7">
      <c r="A1043" s="106"/>
      <c r="B1043" s="111"/>
      <c r="C1043" s="111"/>
      <c r="D1043" s="111"/>
      <c r="E1043" s="111"/>
      <c r="F1043" s="111"/>
      <c r="G1043" s="111"/>
    </row>
    <row r="1044" spans="1:7">
      <c r="A1044" s="106"/>
      <c r="B1044" s="111"/>
      <c r="C1044" s="111"/>
      <c r="D1044" s="111"/>
      <c r="E1044" s="111"/>
      <c r="F1044" s="111"/>
      <c r="G1044" s="111"/>
    </row>
    <row r="1045" spans="1:7">
      <c r="A1045" s="106"/>
      <c r="B1045" s="111"/>
      <c r="C1045" s="111"/>
      <c r="D1045" s="111"/>
      <c r="E1045" s="111"/>
      <c r="F1045" s="111"/>
      <c r="G1045" s="111"/>
    </row>
    <row r="1046" spans="1:7">
      <c r="A1046" s="106"/>
      <c r="B1046" s="111"/>
      <c r="C1046" s="111"/>
      <c r="D1046" s="111"/>
      <c r="E1046" s="111"/>
      <c r="F1046" s="111"/>
      <c r="G1046" s="111"/>
    </row>
    <row r="1047" spans="1:7">
      <c r="A1047" s="106"/>
      <c r="B1047" s="111"/>
      <c r="C1047" s="111"/>
      <c r="D1047" s="111"/>
      <c r="E1047" s="111"/>
      <c r="F1047" s="111"/>
      <c r="G1047" s="111"/>
    </row>
    <row r="1048" spans="1:7">
      <c r="A1048" s="106"/>
      <c r="B1048" s="111"/>
      <c r="C1048" s="111"/>
      <c r="D1048" s="111"/>
      <c r="E1048" s="111"/>
      <c r="F1048" s="111"/>
      <c r="G1048" s="111"/>
    </row>
    <row r="1049" spans="1:7">
      <c r="A1049" s="106"/>
      <c r="B1049" s="111"/>
      <c r="C1049" s="111"/>
      <c r="D1049" s="111"/>
      <c r="E1049" s="111"/>
      <c r="F1049" s="111"/>
      <c r="G1049" s="111"/>
    </row>
    <row r="1050" spans="1:7">
      <c r="A1050" s="106"/>
      <c r="B1050" s="111"/>
      <c r="C1050" s="111"/>
      <c r="D1050" s="111"/>
      <c r="E1050" s="111"/>
      <c r="F1050" s="111"/>
      <c r="G1050" s="111"/>
    </row>
    <row r="1051" spans="1:7">
      <c r="A1051" s="106"/>
      <c r="B1051" s="111"/>
      <c r="C1051" s="111"/>
      <c r="D1051" s="111"/>
      <c r="E1051" s="111"/>
      <c r="F1051" s="111"/>
      <c r="G1051" s="111"/>
    </row>
    <row r="1052" spans="1:7">
      <c r="A1052" s="106"/>
      <c r="B1052" s="111"/>
      <c r="C1052" s="111"/>
      <c r="D1052" s="111"/>
      <c r="E1052" s="111"/>
      <c r="F1052" s="111"/>
      <c r="G1052" s="111"/>
    </row>
    <row r="1053" spans="1:7">
      <c r="A1053" s="106"/>
      <c r="B1053" s="111"/>
      <c r="C1053" s="111"/>
      <c r="D1053" s="111"/>
      <c r="E1053" s="111"/>
      <c r="F1053" s="111"/>
      <c r="G1053" s="111"/>
    </row>
    <row r="1054" spans="1:7">
      <c r="A1054" s="106"/>
      <c r="B1054" s="111"/>
      <c r="C1054" s="111"/>
      <c r="D1054" s="111"/>
      <c r="E1054" s="111"/>
      <c r="F1054" s="111"/>
      <c r="G1054" s="111"/>
    </row>
    <row r="1055" spans="1:7">
      <c r="A1055" s="106"/>
      <c r="B1055" s="111"/>
      <c r="C1055" s="111"/>
      <c r="D1055" s="111"/>
      <c r="E1055" s="111"/>
      <c r="F1055" s="111"/>
      <c r="G1055" s="111"/>
    </row>
    <row r="1056" spans="1:7">
      <c r="A1056" s="106"/>
      <c r="B1056" s="111"/>
      <c r="C1056" s="111"/>
      <c r="D1056" s="111"/>
      <c r="E1056" s="111"/>
      <c r="F1056" s="111"/>
      <c r="G1056" s="111"/>
    </row>
    <row r="1057" spans="1:7">
      <c r="A1057" s="106"/>
      <c r="B1057" s="111"/>
      <c r="C1057" s="111"/>
      <c r="D1057" s="111"/>
      <c r="E1057" s="111"/>
      <c r="F1057" s="111"/>
      <c r="G1057" s="111"/>
    </row>
    <row r="1058" spans="1:7">
      <c r="A1058" s="106"/>
      <c r="B1058" s="111"/>
      <c r="C1058" s="111"/>
      <c r="D1058" s="111"/>
      <c r="E1058" s="111"/>
      <c r="F1058" s="111"/>
      <c r="G1058" s="111"/>
    </row>
    <row r="1059" spans="1:7">
      <c r="A1059" s="106"/>
      <c r="B1059" s="111"/>
      <c r="C1059" s="111"/>
      <c r="D1059" s="111"/>
      <c r="E1059" s="111"/>
      <c r="F1059" s="111"/>
      <c r="G1059" s="111"/>
    </row>
    <row r="1060" spans="1:7">
      <c r="A1060" s="106"/>
      <c r="B1060" s="111"/>
      <c r="C1060" s="111"/>
      <c r="D1060" s="111"/>
      <c r="E1060" s="111"/>
      <c r="F1060" s="111"/>
      <c r="G1060" s="111"/>
    </row>
    <row r="1061" spans="1:7">
      <c r="A1061" s="106"/>
      <c r="B1061" s="111"/>
      <c r="C1061" s="111"/>
      <c r="D1061" s="111"/>
      <c r="E1061" s="111"/>
      <c r="F1061" s="111"/>
      <c r="G1061" s="111"/>
    </row>
    <row r="1062" spans="1:7">
      <c r="A1062" s="106"/>
      <c r="B1062" s="111"/>
      <c r="C1062" s="111"/>
      <c r="D1062" s="111"/>
      <c r="E1062" s="111"/>
      <c r="F1062" s="111"/>
      <c r="G1062" s="111"/>
    </row>
    <row r="1063" spans="1:7">
      <c r="A1063" s="106"/>
      <c r="B1063" s="111"/>
      <c r="C1063" s="111"/>
      <c r="D1063" s="111"/>
      <c r="E1063" s="111"/>
      <c r="F1063" s="111"/>
      <c r="G1063" s="111"/>
    </row>
    <row r="1064" spans="1:7">
      <c r="A1064" s="106"/>
      <c r="B1064" s="111"/>
      <c r="C1064" s="111"/>
      <c r="D1064" s="111"/>
      <c r="E1064" s="111"/>
      <c r="F1064" s="111"/>
      <c r="G1064" s="111"/>
    </row>
    <row r="1065" spans="1:7">
      <c r="A1065" s="106"/>
      <c r="B1065" s="111"/>
      <c r="C1065" s="111"/>
      <c r="D1065" s="111"/>
      <c r="E1065" s="111"/>
      <c r="F1065" s="111"/>
      <c r="G1065" s="111"/>
    </row>
    <row r="1066" spans="1:7">
      <c r="A1066" s="106"/>
      <c r="B1066" s="111"/>
      <c r="C1066" s="111"/>
      <c r="D1066" s="111"/>
      <c r="E1066" s="111"/>
      <c r="F1066" s="111"/>
      <c r="G1066" s="111"/>
    </row>
    <row r="1067" spans="1:7">
      <c r="A1067" s="106"/>
      <c r="B1067" s="111"/>
      <c r="C1067" s="111"/>
      <c r="D1067" s="111"/>
      <c r="E1067" s="111"/>
      <c r="F1067" s="111"/>
      <c r="G1067" s="111"/>
    </row>
    <row r="1068" spans="1:7">
      <c r="A1068" s="106"/>
      <c r="B1068" s="111"/>
      <c r="C1068" s="111"/>
      <c r="D1068" s="111"/>
      <c r="E1068" s="111"/>
      <c r="F1068" s="111"/>
      <c r="G1068" s="111"/>
    </row>
    <row r="1069" spans="1:7">
      <c r="A1069" s="106"/>
      <c r="B1069" s="111"/>
      <c r="C1069" s="111"/>
      <c r="D1069" s="111"/>
      <c r="E1069" s="111"/>
      <c r="F1069" s="111"/>
      <c r="G1069" s="111"/>
    </row>
    <row r="1070" spans="1:7">
      <c r="A1070" s="106"/>
      <c r="B1070" s="111"/>
      <c r="C1070" s="111"/>
      <c r="D1070" s="111"/>
      <c r="E1070" s="111"/>
      <c r="F1070" s="111"/>
      <c r="G1070" s="111"/>
    </row>
    <row r="1071" spans="1:7">
      <c r="A1071" s="106"/>
      <c r="B1071" s="111"/>
      <c r="C1071" s="111"/>
      <c r="D1071" s="111"/>
      <c r="E1071" s="111"/>
      <c r="F1071" s="111"/>
      <c r="G1071" s="111"/>
    </row>
    <row r="1072" spans="1:7">
      <c r="A1072" s="106"/>
      <c r="B1072" s="111"/>
      <c r="C1072" s="111"/>
      <c r="D1072" s="111"/>
      <c r="E1072" s="111"/>
      <c r="F1072" s="111"/>
      <c r="G1072" s="111"/>
    </row>
    <row r="1073" spans="1:7">
      <c r="A1073" s="106"/>
      <c r="B1073" s="111"/>
      <c r="C1073" s="111"/>
      <c r="D1073" s="111"/>
      <c r="E1073" s="111"/>
      <c r="F1073" s="111"/>
      <c r="G1073" s="111"/>
    </row>
    <row r="1074" spans="1:7">
      <c r="A1074" s="106"/>
      <c r="B1074" s="111"/>
      <c r="C1074" s="111"/>
      <c r="D1074" s="111"/>
      <c r="E1074" s="111"/>
      <c r="F1074" s="111"/>
      <c r="G1074" s="111"/>
    </row>
    <row r="1075" spans="1:7">
      <c r="A1075" s="106"/>
      <c r="B1075" s="111"/>
      <c r="C1075" s="111"/>
      <c r="D1075" s="111"/>
      <c r="E1075" s="111"/>
      <c r="F1075" s="111"/>
      <c r="G1075" s="111"/>
    </row>
    <row r="1076" spans="1:7">
      <c r="A1076" s="106"/>
      <c r="B1076" s="111"/>
      <c r="C1076" s="111"/>
      <c r="D1076" s="111"/>
      <c r="E1076" s="111"/>
      <c r="F1076" s="111"/>
      <c r="G1076" s="111"/>
    </row>
    <row r="1077" spans="1:7">
      <c r="A1077" s="106"/>
      <c r="B1077" s="111"/>
      <c r="C1077" s="111"/>
      <c r="D1077" s="111"/>
      <c r="E1077" s="111"/>
      <c r="F1077" s="111"/>
      <c r="G1077" s="111"/>
    </row>
    <row r="1078" spans="1:7">
      <c r="A1078" s="106"/>
      <c r="B1078" s="111"/>
      <c r="C1078" s="111"/>
      <c r="D1078" s="111"/>
      <c r="E1078" s="111"/>
      <c r="F1078" s="111"/>
      <c r="G1078" s="111"/>
    </row>
    <row r="1079" spans="1:7">
      <c r="A1079" s="106"/>
      <c r="B1079" s="111"/>
      <c r="C1079" s="111"/>
      <c r="D1079" s="111"/>
      <c r="E1079" s="111"/>
      <c r="F1079" s="111"/>
      <c r="G1079" s="111"/>
    </row>
    <row r="1080" spans="1:7">
      <c r="A1080" s="106"/>
      <c r="B1080" s="111"/>
      <c r="C1080" s="111"/>
      <c r="D1080" s="111"/>
      <c r="E1080" s="111"/>
      <c r="F1080" s="111"/>
      <c r="G1080" s="111"/>
    </row>
    <row r="1081" spans="1:7">
      <c r="A1081" s="106"/>
      <c r="B1081" s="111"/>
      <c r="C1081" s="111"/>
      <c r="D1081" s="111"/>
      <c r="E1081" s="111"/>
      <c r="F1081" s="111"/>
      <c r="G1081" s="111"/>
    </row>
    <row r="1082" spans="1:7">
      <c r="A1082" s="106"/>
      <c r="B1082" s="111"/>
      <c r="C1082" s="111"/>
      <c r="D1082" s="111"/>
      <c r="E1082" s="111"/>
      <c r="F1082" s="111"/>
      <c r="G1082" s="111"/>
    </row>
    <row r="1083" spans="1:7">
      <c r="A1083" s="106"/>
      <c r="B1083" s="111"/>
      <c r="C1083" s="111"/>
      <c r="D1083" s="111"/>
      <c r="E1083" s="111"/>
      <c r="F1083" s="111"/>
      <c r="G1083" s="111"/>
    </row>
    <row r="1084" spans="1:7">
      <c r="A1084" s="106"/>
      <c r="B1084" s="111"/>
      <c r="C1084" s="111"/>
      <c r="D1084" s="111"/>
      <c r="E1084" s="111"/>
      <c r="F1084" s="111"/>
      <c r="G1084" s="111"/>
    </row>
    <row r="1085" spans="1:7">
      <c r="A1085" s="106"/>
      <c r="B1085" s="111"/>
      <c r="C1085" s="111"/>
      <c r="D1085" s="111"/>
      <c r="E1085" s="111"/>
      <c r="F1085" s="111"/>
      <c r="G1085" s="111"/>
    </row>
    <row r="1086" spans="1:7">
      <c r="A1086" s="106"/>
      <c r="B1086" s="111"/>
      <c r="C1086" s="111"/>
      <c r="D1086" s="111"/>
      <c r="E1086" s="111"/>
      <c r="F1086" s="111"/>
      <c r="G1086" s="111"/>
    </row>
    <row r="1087" spans="1:7">
      <c r="A1087" s="106"/>
      <c r="B1087" s="111"/>
      <c r="C1087" s="111"/>
      <c r="D1087" s="111"/>
      <c r="E1087" s="111"/>
      <c r="F1087" s="111"/>
      <c r="G1087" s="111"/>
    </row>
    <row r="1088" spans="1:7">
      <c r="A1088" s="106"/>
      <c r="B1088" s="111"/>
      <c r="C1088" s="111"/>
      <c r="D1088" s="111"/>
      <c r="E1088" s="111"/>
      <c r="F1088" s="111"/>
      <c r="G1088" s="111"/>
    </row>
    <row r="1089" spans="1:7">
      <c r="A1089" s="106"/>
      <c r="B1089" s="111"/>
      <c r="C1089" s="111"/>
      <c r="D1089" s="111"/>
      <c r="E1089" s="111"/>
      <c r="F1089" s="111"/>
      <c r="G1089" s="111"/>
    </row>
    <row r="1090" spans="1:7">
      <c r="A1090" s="106"/>
      <c r="B1090" s="111"/>
      <c r="C1090" s="111"/>
      <c r="D1090" s="111"/>
      <c r="E1090" s="111"/>
      <c r="F1090" s="111"/>
      <c r="G1090" s="111"/>
    </row>
    <row r="1091" spans="1:7">
      <c r="A1091" s="106"/>
      <c r="B1091" s="111"/>
      <c r="C1091" s="111"/>
      <c r="D1091" s="111"/>
      <c r="E1091" s="111"/>
      <c r="F1091" s="111"/>
      <c r="G1091" s="111"/>
    </row>
    <row r="1092" spans="1:7">
      <c r="A1092" s="106"/>
      <c r="B1092" s="111"/>
      <c r="C1092" s="111"/>
      <c r="D1092" s="111"/>
      <c r="E1092" s="111"/>
      <c r="F1092" s="111"/>
      <c r="G1092" s="111"/>
    </row>
    <row r="1093" spans="1:7">
      <c r="A1093" s="106"/>
      <c r="B1093" s="111"/>
      <c r="C1093" s="111"/>
      <c r="D1093" s="111"/>
      <c r="E1093" s="111"/>
      <c r="F1093" s="111"/>
      <c r="G1093" s="111"/>
    </row>
    <row r="1094" spans="1:7">
      <c r="A1094" s="106"/>
      <c r="B1094" s="111"/>
      <c r="C1094" s="111"/>
      <c r="D1094" s="111"/>
      <c r="E1094" s="111"/>
      <c r="F1094" s="111"/>
      <c r="G1094" s="111"/>
    </row>
    <row r="1095" spans="1:7">
      <c r="A1095" s="106"/>
      <c r="B1095" s="111"/>
      <c r="C1095" s="111"/>
      <c r="D1095" s="111"/>
      <c r="E1095" s="111"/>
      <c r="F1095" s="111"/>
      <c r="G1095" s="111"/>
    </row>
    <row r="1096" spans="1:7">
      <c r="A1096" s="106"/>
      <c r="B1096" s="111"/>
      <c r="C1096" s="111"/>
      <c r="D1096" s="111"/>
      <c r="E1096" s="111"/>
      <c r="F1096" s="111"/>
      <c r="G1096" s="111"/>
    </row>
    <row r="1097" spans="1:7">
      <c r="A1097" s="106"/>
      <c r="B1097" s="111"/>
      <c r="C1097" s="111"/>
      <c r="D1097" s="111"/>
      <c r="E1097" s="111"/>
      <c r="F1097" s="111"/>
      <c r="G1097" s="111"/>
    </row>
    <row r="1098" spans="1:7">
      <c r="A1098" s="106"/>
      <c r="B1098" s="111"/>
      <c r="C1098" s="111"/>
      <c r="D1098" s="111"/>
      <c r="E1098" s="111"/>
      <c r="F1098" s="111"/>
      <c r="G1098" s="111"/>
    </row>
    <row r="1099" spans="1:7">
      <c r="A1099" s="106"/>
      <c r="B1099" s="111"/>
      <c r="C1099" s="111"/>
      <c r="D1099" s="111"/>
      <c r="E1099" s="111"/>
      <c r="F1099" s="111"/>
      <c r="G1099" s="111"/>
    </row>
    <row r="1100" spans="1:7">
      <c r="A1100" s="106"/>
      <c r="B1100" s="111"/>
      <c r="C1100" s="111"/>
      <c r="D1100" s="111"/>
      <c r="E1100" s="111"/>
      <c r="F1100" s="111"/>
      <c r="G1100" s="111"/>
    </row>
    <row r="1101" spans="1:7">
      <c r="A1101" s="106"/>
      <c r="B1101" s="111"/>
      <c r="C1101" s="111"/>
      <c r="D1101" s="111"/>
      <c r="E1101" s="111"/>
      <c r="F1101" s="111"/>
      <c r="G1101" s="111"/>
    </row>
    <row r="1102" spans="1:7">
      <c r="A1102" s="106"/>
      <c r="B1102" s="111"/>
      <c r="C1102" s="111"/>
      <c r="D1102" s="111"/>
      <c r="E1102" s="111"/>
      <c r="F1102" s="111"/>
      <c r="G1102" s="111"/>
    </row>
    <row r="1103" spans="1:7">
      <c r="A1103" s="106"/>
      <c r="B1103" s="111"/>
      <c r="C1103" s="111"/>
      <c r="D1103" s="111"/>
      <c r="E1103" s="111"/>
      <c r="F1103" s="111"/>
      <c r="G1103" s="111"/>
    </row>
    <row r="1104" spans="1:7">
      <c r="A1104" s="106"/>
      <c r="B1104" s="111"/>
      <c r="C1104" s="111"/>
      <c r="D1104" s="111"/>
      <c r="E1104" s="111"/>
      <c r="F1104" s="111"/>
      <c r="G1104" s="111"/>
    </row>
    <row r="1105" spans="1:7">
      <c r="A1105" s="106"/>
      <c r="B1105" s="111"/>
      <c r="C1105" s="111"/>
      <c r="D1105" s="111"/>
      <c r="E1105" s="111"/>
      <c r="F1105" s="111"/>
      <c r="G1105" s="111"/>
    </row>
    <row r="1106" spans="1:7">
      <c r="A1106" s="106"/>
      <c r="B1106" s="111"/>
      <c r="C1106" s="111"/>
      <c r="D1106" s="111"/>
      <c r="E1106" s="111"/>
      <c r="F1106" s="111"/>
      <c r="G1106" s="111"/>
    </row>
    <row r="1107" spans="1:7">
      <c r="A1107" s="106"/>
      <c r="B1107" s="111"/>
      <c r="C1107" s="111"/>
      <c r="D1107" s="111"/>
      <c r="E1107" s="111"/>
      <c r="F1107" s="111"/>
      <c r="G1107" s="111"/>
    </row>
    <row r="1108" spans="1:7">
      <c r="A1108" s="106"/>
      <c r="B1108" s="111"/>
      <c r="C1108" s="111"/>
      <c r="D1108" s="111"/>
      <c r="E1108" s="111"/>
      <c r="F1108" s="111"/>
      <c r="G1108" s="111"/>
    </row>
    <row r="1109" spans="1:7">
      <c r="A1109" s="106"/>
      <c r="B1109" s="111"/>
      <c r="C1109" s="111"/>
      <c r="D1109" s="111"/>
      <c r="E1109" s="111"/>
      <c r="F1109" s="111"/>
      <c r="G1109" s="111"/>
    </row>
    <row r="1110" spans="1:7">
      <c r="A1110" s="106"/>
      <c r="B1110" s="111"/>
      <c r="C1110" s="111"/>
      <c r="D1110" s="111"/>
      <c r="E1110" s="111"/>
      <c r="F1110" s="111"/>
      <c r="G1110" s="111"/>
    </row>
    <row r="1111" spans="1:7">
      <c r="A1111" s="106"/>
      <c r="B1111" s="111"/>
      <c r="C1111" s="111"/>
      <c r="D1111" s="111"/>
      <c r="E1111" s="111"/>
      <c r="F1111" s="111"/>
      <c r="G1111" s="111"/>
    </row>
    <row r="1112" spans="1:7">
      <c r="A1112" s="106"/>
      <c r="B1112" s="111"/>
      <c r="C1112" s="111"/>
      <c r="D1112" s="111"/>
      <c r="E1112" s="111"/>
      <c r="F1112" s="111"/>
      <c r="G1112" s="111"/>
    </row>
    <row r="1113" spans="1:7">
      <c r="A1113" s="106"/>
      <c r="B1113" s="111"/>
      <c r="C1113" s="111"/>
      <c r="D1113" s="111"/>
      <c r="E1113" s="111"/>
      <c r="F1113" s="111"/>
      <c r="G1113" s="111"/>
    </row>
    <row r="1114" spans="1:7">
      <c r="A1114" s="106"/>
      <c r="B1114" s="111"/>
      <c r="C1114" s="111"/>
      <c r="D1114" s="111"/>
      <c r="E1114" s="111"/>
      <c r="F1114" s="111"/>
      <c r="G1114" s="111"/>
    </row>
    <row r="1115" spans="1:7">
      <c r="A1115" s="106"/>
      <c r="B1115" s="111"/>
      <c r="C1115" s="111"/>
      <c r="D1115" s="111"/>
      <c r="E1115" s="111"/>
      <c r="F1115" s="111"/>
      <c r="G1115" s="111"/>
    </row>
    <row r="1116" spans="1:7">
      <c r="A1116" s="106"/>
      <c r="B1116" s="111"/>
      <c r="C1116" s="111"/>
      <c r="D1116" s="111"/>
      <c r="E1116" s="111"/>
      <c r="F1116" s="111"/>
      <c r="G1116" s="111"/>
    </row>
    <row r="1117" spans="1:7">
      <c r="A1117" s="106"/>
      <c r="B1117" s="111"/>
      <c r="C1117" s="111"/>
      <c r="D1117" s="111"/>
      <c r="E1117" s="111"/>
      <c r="F1117" s="111"/>
      <c r="G1117" s="111"/>
    </row>
    <row r="1118" spans="1:7">
      <c r="A1118" s="106"/>
      <c r="B1118" s="111"/>
      <c r="C1118" s="111"/>
      <c r="D1118" s="111"/>
      <c r="E1118" s="111"/>
      <c r="F1118" s="111"/>
      <c r="G1118" s="111"/>
    </row>
    <row r="1119" spans="1:7">
      <c r="A1119" s="106"/>
      <c r="B1119" s="111"/>
      <c r="C1119" s="111"/>
      <c r="D1119" s="111"/>
      <c r="E1119" s="111"/>
      <c r="F1119" s="111"/>
      <c r="G1119" s="111"/>
    </row>
    <row r="1120" spans="1:7">
      <c r="A1120" s="106"/>
      <c r="B1120" s="111"/>
      <c r="C1120" s="111"/>
      <c r="D1120" s="111"/>
      <c r="E1120" s="111"/>
      <c r="F1120" s="111"/>
      <c r="G1120" s="111"/>
    </row>
    <row r="1121" spans="1:7">
      <c r="A1121" s="106"/>
      <c r="B1121" s="111"/>
      <c r="C1121" s="111"/>
      <c r="D1121" s="111"/>
      <c r="E1121" s="111"/>
      <c r="F1121" s="111"/>
      <c r="G1121" s="111"/>
    </row>
    <row r="1122" spans="1:7">
      <c r="A1122" s="106"/>
      <c r="B1122" s="111"/>
      <c r="C1122" s="111"/>
      <c r="D1122" s="111"/>
      <c r="E1122" s="111"/>
      <c r="F1122" s="111"/>
      <c r="G1122" s="111"/>
    </row>
    <row r="1123" spans="1:7">
      <c r="A1123" s="106"/>
      <c r="B1123" s="111"/>
      <c r="C1123" s="111"/>
      <c r="D1123" s="111"/>
      <c r="E1123" s="111"/>
      <c r="F1123" s="111"/>
      <c r="G1123" s="111"/>
    </row>
    <row r="1124" spans="1:7">
      <c r="A1124" s="106"/>
      <c r="B1124" s="111"/>
      <c r="C1124" s="111"/>
      <c r="D1124" s="111"/>
      <c r="E1124" s="111"/>
      <c r="F1124" s="111"/>
      <c r="G1124" s="111"/>
    </row>
    <row r="1125" spans="1:7">
      <c r="A1125" s="106"/>
      <c r="B1125" s="111"/>
      <c r="C1125" s="111"/>
      <c r="D1125" s="111"/>
      <c r="E1125" s="111"/>
      <c r="F1125" s="111"/>
      <c r="G1125" s="111"/>
    </row>
    <row r="1126" spans="1:7">
      <c r="A1126" s="106"/>
      <c r="B1126" s="111"/>
      <c r="C1126" s="111"/>
      <c r="D1126" s="111"/>
      <c r="E1126" s="111"/>
      <c r="F1126" s="111"/>
      <c r="G1126" s="111"/>
    </row>
    <row r="1127" spans="1:7">
      <c r="A1127" s="106"/>
      <c r="B1127" s="111"/>
      <c r="C1127" s="111"/>
      <c r="D1127" s="111"/>
      <c r="E1127" s="111"/>
      <c r="F1127" s="111"/>
      <c r="G1127" s="111"/>
    </row>
    <row r="1128" spans="1:7">
      <c r="A1128" s="106"/>
      <c r="B1128" s="111"/>
      <c r="C1128" s="111"/>
      <c r="D1128" s="111"/>
      <c r="E1128" s="111"/>
      <c r="F1128" s="111"/>
      <c r="G1128" s="111"/>
    </row>
    <row r="1129" spans="1:7">
      <c r="A1129" s="106"/>
      <c r="B1129" s="111"/>
      <c r="C1129" s="111"/>
      <c r="D1129" s="111"/>
      <c r="E1129" s="111"/>
      <c r="F1129" s="111"/>
      <c r="G1129" s="111"/>
    </row>
    <row r="1130" spans="1:7">
      <c r="A1130" s="106"/>
      <c r="B1130" s="111"/>
      <c r="C1130" s="111"/>
      <c r="D1130" s="111"/>
      <c r="E1130" s="111"/>
      <c r="F1130" s="111"/>
      <c r="G1130" s="111"/>
    </row>
    <row r="1131" spans="1:7">
      <c r="A1131" s="106"/>
      <c r="B1131" s="111"/>
      <c r="C1131" s="111"/>
      <c r="D1131" s="111"/>
      <c r="E1131" s="111"/>
      <c r="F1131" s="111"/>
      <c r="G1131" s="111"/>
    </row>
    <row r="1132" spans="1:7">
      <c r="A1132" s="106"/>
      <c r="B1132" s="111"/>
      <c r="C1132" s="111"/>
      <c r="D1132" s="111"/>
      <c r="E1132" s="111"/>
      <c r="F1132" s="111"/>
      <c r="G1132" s="111"/>
    </row>
    <row r="1133" spans="1:7">
      <c r="A1133" s="106"/>
      <c r="B1133" s="111"/>
      <c r="C1133" s="111"/>
      <c r="D1133" s="111"/>
      <c r="E1133" s="111"/>
      <c r="F1133" s="111"/>
      <c r="G1133" s="111"/>
    </row>
    <row r="1134" spans="1:7">
      <c r="A1134" s="106"/>
      <c r="B1134" s="111"/>
      <c r="C1134" s="111"/>
      <c r="D1134" s="111"/>
      <c r="E1134" s="111"/>
      <c r="F1134" s="111"/>
      <c r="G1134" s="111"/>
    </row>
    <row r="1135" spans="1:7">
      <c r="A1135" s="106"/>
      <c r="B1135" s="111"/>
      <c r="C1135" s="111"/>
      <c r="D1135" s="111"/>
      <c r="E1135" s="111"/>
      <c r="F1135" s="111"/>
      <c r="G1135" s="111"/>
    </row>
    <row r="1136" spans="1:7">
      <c r="A1136" s="106"/>
      <c r="B1136" s="111"/>
      <c r="C1136" s="111"/>
      <c r="D1136" s="111"/>
      <c r="E1136" s="111"/>
      <c r="F1136" s="111"/>
      <c r="G1136" s="111"/>
    </row>
    <row r="1137" spans="1:7">
      <c r="A1137" s="106"/>
      <c r="B1137" s="111"/>
      <c r="C1137" s="111"/>
      <c r="D1137" s="111"/>
      <c r="E1137" s="111"/>
      <c r="F1137" s="111"/>
      <c r="G1137" s="111"/>
    </row>
    <row r="1138" spans="1:7">
      <c r="A1138" s="106"/>
      <c r="B1138" s="111"/>
      <c r="C1138" s="111"/>
      <c r="D1138" s="111"/>
      <c r="E1138" s="111"/>
      <c r="F1138" s="111"/>
      <c r="G1138" s="111"/>
    </row>
    <row r="1139" spans="1:7">
      <c r="A1139" s="106"/>
      <c r="B1139" s="111"/>
      <c r="C1139" s="111"/>
      <c r="D1139" s="111"/>
      <c r="E1139" s="111"/>
      <c r="F1139" s="111"/>
      <c r="G1139" s="111"/>
    </row>
    <row r="1140" spans="1:7">
      <c r="A1140" s="106"/>
      <c r="B1140" s="111"/>
      <c r="C1140" s="111"/>
      <c r="D1140" s="111"/>
      <c r="E1140" s="111"/>
      <c r="F1140" s="111"/>
      <c r="G1140" s="111"/>
    </row>
    <row r="1141" spans="1:7">
      <c r="A1141" s="106"/>
      <c r="B1141" s="111"/>
      <c r="C1141" s="111"/>
      <c r="D1141" s="111"/>
      <c r="E1141" s="111"/>
      <c r="F1141" s="111"/>
      <c r="G1141" s="111"/>
    </row>
    <row r="1142" spans="1:7">
      <c r="A1142" s="106"/>
      <c r="B1142" s="111"/>
      <c r="C1142" s="111"/>
      <c r="D1142" s="111"/>
      <c r="E1142" s="111"/>
      <c r="F1142" s="111"/>
      <c r="G1142" s="111"/>
    </row>
    <row r="1143" spans="1:7">
      <c r="A1143" s="106"/>
      <c r="B1143" s="111"/>
      <c r="C1143" s="111"/>
      <c r="D1143" s="111"/>
      <c r="E1143" s="111"/>
      <c r="F1143" s="111"/>
      <c r="G1143" s="111"/>
    </row>
    <row r="1144" spans="1:7">
      <c r="A1144" s="106"/>
      <c r="B1144" s="111"/>
      <c r="C1144" s="111"/>
      <c r="D1144" s="111"/>
      <c r="E1144" s="111"/>
      <c r="F1144" s="111"/>
      <c r="G1144" s="111"/>
    </row>
    <row r="1145" spans="1:7">
      <c r="A1145" s="106"/>
      <c r="B1145" s="111"/>
      <c r="C1145" s="111"/>
      <c r="D1145" s="111"/>
      <c r="E1145" s="111"/>
      <c r="F1145" s="111"/>
      <c r="G1145" s="111"/>
    </row>
    <row r="1146" spans="1:7">
      <c r="A1146" s="106"/>
      <c r="B1146" s="111"/>
      <c r="C1146" s="111"/>
      <c r="D1146" s="111"/>
      <c r="E1146" s="111"/>
      <c r="F1146" s="111"/>
      <c r="G1146" s="111"/>
    </row>
    <row r="1147" spans="1:7">
      <c r="A1147" s="106"/>
      <c r="B1147" s="111"/>
      <c r="C1147" s="111"/>
      <c r="D1147" s="111"/>
      <c r="E1147" s="111"/>
      <c r="F1147" s="111"/>
      <c r="G1147" s="111"/>
    </row>
    <row r="1148" spans="1:7">
      <c r="A1148" s="106"/>
      <c r="B1148" s="111"/>
      <c r="C1148" s="111"/>
      <c r="D1148" s="111"/>
      <c r="E1148" s="111"/>
      <c r="F1148" s="111"/>
      <c r="G1148" s="111"/>
    </row>
    <row r="1149" spans="1:7">
      <c r="A1149" s="106"/>
      <c r="B1149" s="111"/>
      <c r="C1149" s="111"/>
      <c r="D1149" s="111"/>
      <c r="E1149" s="111"/>
      <c r="F1149" s="111"/>
      <c r="G1149" s="111"/>
    </row>
    <row r="1150" spans="1:7">
      <c r="A1150" s="106"/>
      <c r="B1150" s="111"/>
      <c r="C1150" s="111"/>
      <c r="D1150" s="111"/>
      <c r="E1150" s="111"/>
      <c r="F1150" s="111"/>
      <c r="G1150" s="111"/>
    </row>
    <row r="1151" spans="1:7">
      <c r="A1151" s="106"/>
      <c r="B1151" s="111"/>
      <c r="C1151" s="111"/>
      <c r="D1151" s="111"/>
      <c r="E1151" s="111"/>
      <c r="F1151" s="111"/>
      <c r="G1151" s="111"/>
    </row>
    <row r="1152" spans="1:7">
      <c r="A1152" s="106"/>
      <c r="B1152" s="111"/>
      <c r="C1152" s="111"/>
      <c r="D1152" s="111"/>
      <c r="E1152" s="111"/>
      <c r="F1152" s="111"/>
      <c r="G1152" s="111"/>
    </row>
    <row r="1153" spans="1:7">
      <c r="A1153" s="106"/>
      <c r="B1153" s="111"/>
      <c r="C1153" s="111"/>
      <c r="D1153" s="111"/>
      <c r="E1153" s="111"/>
      <c r="F1153" s="111"/>
      <c r="G1153" s="111"/>
    </row>
    <row r="1154" spans="1:7">
      <c r="A1154" s="106"/>
      <c r="B1154" s="111"/>
      <c r="C1154" s="111"/>
      <c r="D1154" s="111"/>
      <c r="E1154" s="111"/>
      <c r="F1154" s="111"/>
      <c r="G1154" s="111"/>
    </row>
    <row r="1155" spans="1:7">
      <c r="A1155" s="106"/>
      <c r="B1155" s="111"/>
      <c r="C1155" s="111"/>
      <c r="D1155" s="111"/>
      <c r="E1155" s="111"/>
      <c r="F1155" s="111"/>
      <c r="G1155" s="111"/>
    </row>
    <row r="1156" spans="1:7">
      <c r="A1156" s="106"/>
      <c r="B1156" s="111"/>
      <c r="C1156" s="111"/>
      <c r="D1156" s="111"/>
      <c r="E1156" s="111"/>
      <c r="F1156" s="111"/>
      <c r="G1156" s="111"/>
    </row>
    <row r="1157" spans="1:7">
      <c r="A1157" s="106"/>
      <c r="B1157" s="111"/>
      <c r="C1157" s="111"/>
      <c r="D1157" s="111"/>
      <c r="E1157" s="111"/>
      <c r="F1157" s="111"/>
      <c r="G1157" s="111"/>
    </row>
    <row r="1158" spans="1:7">
      <c r="A1158" s="106"/>
      <c r="B1158" s="111"/>
      <c r="C1158" s="111"/>
      <c r="D1158" s="111"/>
      <c r="E1158" s="111"/>
      <c r="F1158" s="111"/>
      <c r="G1158" s="111"/>
    </row>
    <row r="1159" spans="1:7">
      <c r="A1159" s="106"/>
      <c r="B1159" s="111"/>
      <c r="C1159" s="111"/>
      <c r="D1159" s="111"/>
      <c r="E1159" s="111"/>
      <c r="F1159" s="111"/>
      <c r="G1159" s="111"/>
    </row>
    <row r="1160" spans="1:7">
      <c r="A1160" s="106"/>
      <c r="B1160" s="111"/>
      <c r="C1160" s="111"/>
      <c r="D1160" s="111"/>
      <c r="E1160" s="111"/>
      <c r="F1160" s="111"/>
      <c r="G1160" s="111"/>
    </row>
    <row r="1161" spans="1:7">
      <c r="A1161" s="106"/>
      <c r="B1161" s="111"/>
      <c r="C1161" s="111"/>
      <c r="D1161" s="111"/>
      <c r="E1161" s="111"/>
      <c r="F1161" s="111"/>
      <c r="G1161" s="111"/>
    </row>
    <row r="1162" spans="1:7">
      <c r="A1162" s="106"/>
      <c r="B1162" s="111"/>
      <c r="C1162" s="111"/>
      <c r="D1162" s="111"/>
      <c r="E1162" s="111"/>
      <c r="F1162" s="111"/>
      <c r="G1162" s="111"/>
    </row>
    <row r="1163" spans="1:7">
      <c r="A1163" s="106"/>
      <c r="B1163" s="111"/>
      <c r="C1163" s="111"/>
      <c r="D1163" s="111"/>
      <c r="E1163" s="111"/>
      <c r="F1163" s="111"/>
      <c r="G1163" s="111"/>
    </row>
    <row r="1164" spans="1:7">
      <c r="A1164" s="106"/>
      <c r="B1164" s="111"/>
      <c r="C1164" s="111"/>
      <c r="D1164" s="111"/>
      <c r="E1164" s="111"/>
      <c r="F1164" s="111"/>
      <c r="G1164" s="111"/>
    </row>
    <row r="1165" spans="1:7">
      <c r="A1165" s="106"/>
      <c r="B1165" s="111"/>
      <c r="C1165" s="111"/>
      <c r="D1165" s="111"/>
      <c r="E1165" s="111"/>
      <c r="F1165" s="111"/>
      <c r="G1165" s="111"/>
    </row>
    <row r="1166" spans="1:7">
      <c r="A1166" s="106"/>
      <c r="B1166" s="111"/>
      <c r="C1166" s="111"/>
      <c r="D1166" s="111"/>
      <c r="E1166" s="111"/>
      <c r="F1166" s="111"/>
      <c r="G1166" s="111"/>
    </row>
    <row r="1167" spans="1:7">
      <c r="A1167" s="106"/>
      <c r="B1167" s="111"/>
      <c r="C1167" s="111"/>
      <c r="D1167" s="111"/>
      <c r="E1167" s="111"/>
      <c r="F1167" s="111"/>
      <c r="G1167" s="111"/>
    </row>
    <row r="1168" spans="1:7">
      <c r="A1168" s="106"/>
      <c r="B1168" s="111"/>
      <c r="C1168" s="111"/>
      <c r="D1168" s="111"/>
      <c r="E1168" s="111"/>
      <c r="F1168" s="111"/>
      <c r="G1168" s="111"/>
    </row>
    <row r="1169" spans="1:7">
      <c r="A1169" s="106"/>
      <c r="B1169" s="111"/>
      <c r="C1169" s="111"/>
      <c r="D1169" s="111"/>
      <c r="E1169" s="111"/>
      <c r="F1169" s="111"/>
      <c r="G1169" s="111"/>
    </row>
    <row r="1170" spans="1:7">
      <c r="A1170" s="106"/>
      <c r="B1170" s="111"/>
      <c r="C1170" s="111"/>
      <c r="D1170" s="111"/>
      <c r="E1170" s="111"/>
      <c r="F1170" s="111"/>
      <c r="G1170" s="111"/>
    </row>
    <row r="1171" spans="1:7">
      <c r="A1171" s="106"/>
      <c r="B1171" s="111"/>
      <c r="C1171" s="111"/>
      <c r="D1171" s="111"/>
      <c r="E1171" s="111"/>
      <c r="F1171" s="111"/>
      <c r="G1171" s="111"/>
    </row>
    <row r="1172" spans="1:7">
      <c r="A1172" s="106"/>
      <c r="B1172" s="111"/>
      <c r="C1172" s="111"/>
      <c r="D1172" s="111"/>
      <c r="E1172" s="111"/>
      <c r="F1172" s="111"/>
      <c r="G1172" s="111"/>
    </row>
    <row r="1173" spans="1:7">
      <c r="A1173" s="106"/>
      <c r="B1173" s="111"/>
      <c r="C1173" s="111"/>
      <c r="D1173" s="111"/>
      <c r="E1173" s="111"/>
      <c r="F1173" s="111"/>
      <c r="G1173" s="111"/>
    </row>
    <row r="1174" spans="1:7">
      <c r="A1174" s="106"/>
      <c r="B1174" s="111"/>
      <c r="C1174" s="111"/>
      <c r="D1174" s="111"/>
      <c r="E1174" s="111"/>
      <c r="F1174" s="111"/>
      <c r="G1174" s="111"/>
    </row>
    <row r="1175" spans="1:7">
      <c r="A1175" s="106"/>
      <c r="B1175" s="111"/>
      <c r="C1175" s="111"/>
      <c r="D1175" s="111"/>
      <c r="E1175" s="111"/>
      <c r="F1175" s="111"/>
      <c r="G1175" s="111"/>
    </row>
    <row r="1176" spans="1:7">
      <c r="A1176" s="106"/>
      <c r="B1176" s="111"/>
      <c r="C1176" s="111"/>
      <c r="D1176" s="111"/>
      <c r="E1176" s="111"/>
      <c r="F1176" s="111"/>
      <c r="G1176" s="111"/>
    </row>
    <row r="1177" spans="1:7">
      <c r="A1177" s="106"/>
      <c r="B1177" s="111"/>
      <c r="C1177" s="111"/>
      <c r="D1177" s="111"/>
      <c r="E1177" s="111"/>
      <c r="F1177" s="111"/>
      <c r="G1177" s="111"/>
    </row>
    <row r="1178" spans="1:7">
      <c r="A1178" s="106"/>
      <c r="B1178" s="111"/>
      <c r="C1178" s="111"/>
      <c r="D1178" s="111"/>
      <c r="E1178" s="111"/>
      <c r="F1178" s="111"/>
      <c r="G1178" s="111"/>
    </row>
    <row r="1179" spans="1:7">
      <c r="A1179" s="106"/>
      <c r="B1179" s="111"/>
      <c r="C1179" s="111"/>
      <c r="D1179" s="111"/>
      <c r="E1179" s="111"/>
      <c r="F1179" s="111"/>
      <c r="G1179" s="111"/>
    </row>
    <row r="1180" spans="1:7">
      <c r="A1180" s="106"/>
      <c r="B1180" s="111"/>
      <c r="C1180" s="111"/>
      <c r="D1180" s="111"/>
      <c r="E1180" s="111"/>
      <c r="F1180" s="111"/>
      <c r="G1180" s="111"/>
    </row>
    <row r="1181" spans="1:7">
      <c r="A1181" s="106"/>
      <c r="B1181" s="111"/>
      <c r="C1181" s="111"/>
      <c r="D1181" s="111"/>
      <c r="E1181" s="111"/>
      <c r="F1181" s="111"/>
      <c r="G1181" s="111"/>
    </row>
    <row r="1182" spans="1:7">
      <c r="A1182" s="106"/>
      <c r="B1182" s="111"/>
      <c r="C1182" s="111"/>
      <c r="D1182" s="111"/>
      <c r="E1182" s="111"/>
      <c r="F1182" s="111"/>
      <c r="G1182" s="111"/>
    </row>
    <row r="1183" spans="1:7">
      <c r="A1183" s="106"/>
      <c r="B1183" s="111"/>
      <c r="C1183" s="111"/>
      <c r="D1183" s="111"/>
      <c r="E1183" s="111"/>
      <c r="F1183" s="111"/>
      <c r="G1183" s="111"/>
    </row>
    <row r="1184" spans="1:7">
      <c r="A1184" s="106"/>
      <c r="B1184" s="111"/>
      <c r="C1184" s="111"/>
      <c r="D1184" s="111"/>
      <c r="E1184" s="111"/>
      <c r="F1184" s="111"/>
      <c r="G1184" s="111"/>
    </row>
    <row r="1185" spans="1:7">
      <c r="A1185" s="106"/>
      <c r="B1185" s="111"/>
      <c r="C1185" s="111"/>
      <c r="D1185" s="111"/>
      <c r="E1185" s="111"/>
      <c r="F1185" s="111"/>
      <c r="G1185" s="111"/>
    </row>
    <row r="1186" spans="1:7">
      <c r="A1186" s="106"/>
      <c r="B1186" s="111"/>
      <c r="C1186" s="111"/>
      <c r="D1186" s="111"/>
      <c r="E1186" s="111"/>
      <c r="F1186" s="111"/>
      <c r="G1186" s="111"/>
    </row>
    <row r="1187" spans="1:7">
      <c r="A1187" s="106"/>
      <c r="B1187" s="111"/>
      <c r="C1187" s="111"/>
      <c r="D1187" s="111"/>
      <c r="E1187" s="111"/>
      <c r="F1187" s="111"/>
      <c r="G1187" s="111"/>
    </row>
    <row r="1188" spans="1:7">
      <c r="A1188" s="106"/>
      <c r="B1188" s="111"/>
      <c r="C1188" s="111"/>
      <c r="D1188" s="111"/>
      <c r="E1188" s="111"/>
      <c r="F1188" s="111"/>
      <c r="G1188" s="111"/>
    </row>
    <row r="1189" spans="1:7">
      <c r="A1189" s="106"/>
      <c r="B1189" s="111"/>
      <c r="C1189" s="111"/>
      <c r="D1189" s="111"/>
      <c r="E1189" s="111"/>
      <c r="F1189" s="111"/>
      <c r="G1189" s="111"/>
    </row>
    <row r="1190" spans="1:7">
      <c r="A1190" s="106"/>
      <c r="B1190" s="111"/>
      <c r="C1190" s="111"/>
      <c r="D1190" s="111"/>
      <c r="E1190" s="111"/>
      <c r="F1190" s="111"/>
      <c r="G1190" s="111"/>
    </row>
    <row r="1191" spans="1:7">
      <c r="A1191" s="106"/>
      <c r="B1191" s="111"/>
      <c r="C1191" s="111"/>
      <c r="D1191" s="111"/>
      <c r="E1191" s="111"/>
      <c r="F1191" s="111"/>
      <c r="G1191" s="111"/>
    </row>
    <row r="1192" spans="1:7">
      <c r="A1192" s="106"/>
      <c r="B1192" s="111"/>
      <c r="C1192" s="111"/>
      <c r="D1192" s="111"/>
      <c r="E1192" s="111"/>
      <c r="F1192" s="111"/>
      <c r="G1192" s="111"/>
    </row>
    <row r="1193" spans="1:7">
      <c r="A1193" s="106"/>
      <c r="B1193" s="111"/>
      <c r="C1193" s="111"/>
      <c r="D1193" s="111"/>
      <c r="E1193" s="111"/>
      <c r="F1193" s="111"/>
      <c r="G1193" s="111"/>
    </row>
    <row r="1194" spans="1:7">
      <c r="A1194" s="106"/>
      <c r="B1194" s="111"/>
      <c r="C1194" s="111"/>
      <c r="D1194" s="111"/>
      <c r="E1194" s="111"/>
      <c r="F1194" s="111"/>
      <c r="G1194" s="111"/>
    </row>
    <row r="1195" spans="1:7">
      <c r="A1195" s="106"/>
      <c r="B1195" s="111"/>
      <c r="C1195" s="111"/>
      <c r="D1195" s="111"/>
      <c r="E1195" s="111"/>
      <c r="F1195" s="111"/>
      <c r="G1195" s="111"/>
    </row>
    <row r="1196" spans="1:7">
      <c r="A1196" s="106"/>
      <c r="B1196" s="111"/>
      <c r="C1196" s="111"/>
      <c r="D1196" s="111"/>
      <c r="E1196" s="111"/>
      <c r="F1196" s="111"/>
      <c r="G1196" s="111"/>
    </row>
    <row r="1197" spans="1:7">
      <c r="A1197" s="106"/>
      <c r="B1197" s="111"/>
      <c r="C1197" s="111"/>
      <c r="D1197" s="111"/>
      <c r="E1197" s="111"/>
      <c r="F1197" s="111"/>
      <c r="G1197" s="111"/>
    </row>
    <row r="1198" spans="1:7">
      <c r="A1198" s="106"/>
      <c r="B1198" s="111"/>
      <c r="C1198" s="111"/>
      <c r="D1198" s="111"/>
      <c r="E1198" s="111"/>
      <c r="F1198" s="111"/>
      <c r="G1198" s="111"/>
    </row>
    <row r="1199" spans="1:7">
      <c r="A1199" s="106"/>
      <c r="B1199" s="111"/>
      <c r="C1199" s="111"/>
      <c r="D1199" s="111"/>
      <c r="E1199" s="111"/>
      <c r="F1199" s="111"/>
      <c r="G1199" s="111"/>
    </row>
    <row r="1200" spans="1:7">
      <c r="A1200" s="106"/>
      <c r="B1200" s="111"/>
      <c r="C1200" s="111"/>
      <c r="D1200" s="111"/>
      <c r="E1200" s="111"/>
      <c r="F1200" s="111"/>
      <c r="G1200" s="111"/>
    </row>
    <row r="1201" spans="1:7">
      <c r="A1201" s="106"/>
      <c r="B1201" s="111"/>
      <c r="C1201" s="111"/>
      <c r="D1201" s="111"/>
      <c r="E1201" s="111"/>
      <c r="F1201" s="111"/>
      <c r="G1201" s="111"/>
    </row>
    <row r="1202" spans="1:7">
      <c r="A1202" s="106"/>
      <c r="B1202" s="111"/>
      <c r="C1202" s="111"/>
      <c r="D1202" s="111"/>
      <c r="E1202" s="111"/>
      <c r="F1202" s="111"/>
      <c r="G1202" s="111"/>
    </row>
    <row r="1203" spans="1:7">
      <c r="A1203" s="106"/>
      <c r="B1203" s="111"/>
      <c r="C1203" s="111"/>
      <c r="D1203" s="111"/>
      <c r="E1203" s="111"/>
      <c r="F1203" s="111"/>
      <c r="G1203" s="111"/>
    </row>
    <row r="1204" spans="1:7">
      <c r="A1204" s="106"/>
      <c r="B1204" s="111"/>
      <c r="C1204" s="111"/>
      <c r="D1204" s="111"/>
      <c r="E1204" s="111"/>
      <c r="F1204" s="111"/>
      <c r="G1204" s="111"/>
    </row>
    <row r="1205" spans="1:7">
      <c r="A1205" s="106"/>
      <c r="B1205" s="111"/>
      <c r="C1205" s="111"/>
      <c r="D1205" s="111"/>
      <c r="E1205" s="111"/>
      <c r="F1205" s="111"/>
      <c r="G1205" s="111"/>
    </row>
    <row r="1206" spans="1:7">
      <c r="A1206" s="106"/>
      <c r="B1206" s="111"/>
      <c r="C1206" s="111"/>
      <c r="D1206" s="111"/>
      <c r="E1206" s="111"/>
      <c r="F1206" s="111"/>
      <c r="G1206" s="111"/>
    </row>
    <row r="1207" spans="1:7">
      <c r="A1207" s="106"/>
      <c r="B1207" s="111"/>
      <c r="C1207" s="111"/>
      <c r="D1207" s="111"/>
      <c r="E1207" s="111"/>
      <c r="F1207" s="111"/>
      <c r="G1207" s="111"/>
    </row>
    <row r="1208" spans="1:7">
      <c r="A1208" s="106"/>
      <c r="B1208" s="111"/>
      <c r="C1208" s="111"/>
      <c r="D1208" s="111"/>
      <c r="E1208" s="111"/>
      <c r="F1208" s="111"/>
      <c r="G1208" s="111"/>
    </row>
    <row r="1209" spans="1:7">
      <c r="A1209" s="106"/>
      <c r="B1209" s="111"/>
      <c r="C1209" s="111"/>
      <c r="D1209" s="111"/>
      <c r="E1209" s="111"/>
      <c r="F1209" s="111"/>
      <c r="G1209" s="111"/>
    </row>
    <row r="1210" spans="1:7">
      <c r="A1210" s="106"/>
      <c r="B1210" s="111"/>
      <c r="C1210" s="111"/>
      <c r="D1210" s="111"/>
      <c r="E1210" s="111"/>
      <c r="F1210" s="111"/>
      <c r="G1210" s="111"/>
    </row>
    <row r="1211" spans="1:7">
      <c r="A1211" s="106"/>
      <c r="B1211" s="111"/>
      <c r="C1211" s="111"/>
      <c r="D1211" s="111"/>
      <c r="E1211" s="111"/>
      <c r="F1211" s="111"/>
      <c r="G1211" s="111"/>
    </row>
    <row r="1212" spans="1:7">
      <c r="A1212" s="106"/>
      <c r="B1212" s="111"/>
      <c r="C1212" s="111"/>
      <c r="D1212" s="111"/>
      <c r="E1212" s="111"/>
      <c r="F1212" s="111"/>
      <c r="G1212" s="111"/>
    </row>
    <row r="1213" spans="1:7">
      <c r="A1213" s="106"/>
      <c r="B1213" s="111"/>
      <c r="C1213" s="111"/>
      <c r="D1213" s="111"/>
      <c r="E1213" s="111"/>
      <c r="F1213" s="111"/>
      <c r="G1213" s="111"/>
    </row>
    <row r="1214" spans="1:7">
      <c r="A1214" s="106"/>
      <c r="B1214" s="111"/>
      <c r="C1214" s="111"/>
      <c r="D1214" s="111"/>
      <c r="E1214" s="111"/>
      <c r="F1214" s="111"/>
      <c r="G1214" s="111"/>
    </row>
    <row r="1215" spans="1:7">
      <c r="A1215" s="106"/>
      <c r="B1215" s="111"/>
      <c r="C1215" s="111"/>
      <c r="D1215" s="111"/>
      <c r="E1215" s="111"/>
      <c r="F1215" s="111"/>
      <c r="G1215" s="111"/>
    </row>
    <row r="1216" spans="1:7">
      <c r="A1216" s="106"/>
      <c r="B1216" s="111"/>
      <c r="C1216" s="111"/>
      <c r="D1216" s="111"/>
      <c r="E1216" s="111"/>
      <c r="F1216" s="111"/>
      <c r="G1216" s="111"/>
    </row>
    <row r="1217" spans="1:7">
      <c r="A1217" s="106"/>
      <c r="B1217" s="111"/>
      <c r="C1217" s="111"/>
      <c r="D1217" s="111"/>
      <c r="E1217" s="111"/>
      <c r="F1217" s="111"/>
      <c r="G1217" s="111"/>
    </row>
    <row r="1218" spans="1:7">
      <c r="A1218" s="106"/>
      <c r="B1218" s="111"/>
      <c r="C1218" s="111"/>
      <c r="D1218" s="111"/>
      <c r="E1218" s="111"/>
      <c r="F1218" s="111"/>
      <c r="G1218" s="111"/>
    </row>
    <row r="1219" spans="1:7">
      <c r="A1219" s="106"/>
      <c r="B1219" s="111"/>
      <c r="C1219" s="111"/>
      <c r="D1219" s="111"/>
      <c r="E1219" s="111"/>
      <c r="F1219" s="111"/>
      <c r="G1219" s="111"/>
    </row>
    <row r="1220" spans="1:7">
      <c r="A1220" s="106"/>
      <c r="B1220" s="111"/>
      <c r="C1220" s="111"/>
      <c r="D1220" s="111"/>
      <c r="E1220" s="111"/>
      <c r="F1220" s="111"/>
      <c r="G1220" s="111"/>
    </row>
    <row r="1221" spans="1:7">
      <c r="A1221" s="106"/>
      <c r="B1221" s="111"/>
      <c r="C1221" s="111"/>
      <c r="D1221" s="111"/>
      <c r="E1221" s="111"/>
      <c r="F1221" s="111"/>
      <c r="G1221" s="111"/>
    </row>
    <row r="1222" spans="1:7">
      <c r="A1222" s="106"/>
      <c r="B1222" s="111"/>
      <c r="C1222" s="111"/>
      <c r="D1222" s="111"/>
      <c r="E1222" s="111"/>
      <c r="F1222" s="111"/>
      <c r="G1222" s="111"/>
    </row>
    <row r="1223" spans="1:7">
      <c r="A1223" s="106"/>
      <c r="B1223" s="111"/>
      <c r="C1223" s="111"/>
      <c r="D1223" s="111"/>
      <c r="E1223" s="111"/>
      <c r="F1223" s="111"/>
      <c r="G1223" s="111"/>
    </row>
    <row r="1224" spans="1:7">
      <c r="A1224" s="106"/>
      <c r="B1224" s="111"/>
      <c r="C1224" s="111"/>
      <c r="D1224" s="111"/>
      <c r="E1224" s="111"/>
      <c r="F1224" s="111"/>
      <c r="G1224" s="111"/>
    </row>
    <row r="1225" spans="1:7">
      <c r="A1225" s="106"/>
      <c r="B1225" s="111"/>
      <c r="C1225" s="111"/>
      <c r="D1225" s="111"/>
      <c r="E1225" s="111"/>
      <c r="F1225" s="111"/>
      <c r="G1225" s="111"/>
    </row>
    <row r="1226" spans="1:7">
      <c r="A1226" s="106"/>
      <c r="B1226" s="111"/>
      <c r="C1226" s="111"/>
      <c r="D1226" s="111"/>
      <c r="E1226" s="111"/>
      <c r="F1226" s="111"/>
      <c r="G1226" s="111"/>
    </row>
    <row r="1227" spans="1:7">
      <c r="A1227" s="106"/>
      <c r="B1227" s="111"/>
      <c r="C1227" s="111"/>
      <c r="D1227" s="111"/>
      <c r="E1227" s="111"/>
      <c r="F1227" s="111"/>
      <c r="G1227" s="111"/>
    </row>
    <row r="1228" spans="1:7">
      <c r="A1228" s="106"/>
      <c r="B1228" s="111"/>
      <c r="C1228" s="111"/>
      <c r="D1228" s="111"/>
      <c r="E1228" s="111"/>
      <c r="F1228" s="111"/>
      <c r="G1228" s="111"/>
    </row>
    <row r="1229" spans="1:7">
      <c r="A1229" s="106"/>
      <c r="B1229" s="111"/>
      <c r="C1229" s="111"/>
      <c r="D1229" s="111"/>
      <c r="E1229" s="111"/>
      <c r="F1229" s="111"/>
      <c r="G1229" s="111"/>
    </row>
    <row r="1230" spans="1:7">
      <c r="A1230" s="106"/>
      <c r="B1230" s="111"/>
      <c r="C1230" s="111"/>
      <c r="D1230" s="111"/>
      <c r="E1230" s="111"/>
      <c r="F1230" s="111"/>
      <c r="G1230" s="111"/>
    </row>
    <row r="1231" spans="1:7">
      <c r="A1231" s="106"/>
      <c r="B1231" s="111"/>
      <c r="C1231" s="111"/>
      <c r="D1231" s="111"/>
      <c r="E1231" s="111"/>
      <c r="F1231" s="111"/>
      <c r="G1231" s="111"/>
    </row>
    <row r="1232" spans="1:7">
      <c r="A1232" s="106"/>
      <c r="B1232" s="111"/>
      <c r="C1232" s="111"/>
      <c r="D1232" s="111"/>
      <c r="E1232" s="111"/>
      <c r="F1232" s="111"/>
      <c r="G1232" s="111"/>
    </row>
    <row r="1233" spans="1:7">
      <c r="A1233" s="106"/>
      <c r="B1233" s="111"/>
      <c r="C1233" s="111"/>
      <c r="D1233" s="111"/>
      <c r="E1233" s="111"/>
      <c r="F1233" s="111"/>
      <c r="G1233" s="111"/>
    </row>
    <row r="1234" spans="1:7">
      <c r="A1234" s="106"/>
      <c r="B1234" s="111"/>
      <c r="C1234" s="111"/>
      <c r="D1234" s="111"/>
      <c r="E1234" s="111"/>
      <c r="F1234" s="111"/>
      <c r="G1234" s="111"/>
    </row>
    <row r="1235" spans="1:7">
      <c r="A1235" s="106"/>
      <c r="B1235" s="111"/>
      <c r="C1235" s="111"/>
      <c r="D1235" s="111"/>
      <c r="E1235" s="111"/>
      <c r="F1235" s="111"/>
      <c r="G1235" s="111"/>
    </row>
    <row r="1236" spans="1:7">
      <c r="A1236" s="106"/>
      <c r="B1236" s="111"/>
      <c r="C1236" s="111"/>
      <c r="D1236" s="111"/>
      <c r="E1236" s="111"/>
      <c r="F1236" s="111"/>
      <c r="G1236" s="111"/>
    </row>
    <row r="1237" spans="1:7">
      <c r="A1237" s="106"/>
      <c r="B1237" s="111"/>
      <c r="C1237" s="111"/>
      <c r="D1237" s="111"/>
      <c r="E1237" s="111"/>
      <c r="F1237" s="111"/>
      <c r="G1237" s="111"/>
    </row>
    <row r="1238" spans="1:7">
      <c r="A1238" s="106"/>
      <c r="B1238" s="111"/>
      <c r="C1238" s="111"/>
      <c r="D1238" s="111"/>
      <c r="E1238" s="111"/>
      <c r="F1238" s="111"/>
      <c r="G1238" s="111"/>
    </row>
    <row r="1239" spans="1:7">
      <c r="A1239" s="106"/>
      <c r="B1239" s="111"/>
      <c r="C1239" s="111"/>
      <c r="D1239" s="111"/>
      <c r="E1239" s="111"/>
      <c r="F1239" s="111"/>
      <c r="G1239" s="111"/>
    </row>
    <row r="1240" spans="1:7">
      <c r="A1240" s="106"/>
      <c r="B1240" s="111"/>
      <c r="C1240" s="111"/>
      <c r="D1240" s="111"/>
      <c r="E1240" s="111"/>
      <c r="F1240" s="111"/>
      <c r="G1240" s="111"/>
    </row>
    <row r="1241" spans="1:7">
      <c r="A1241" s="106"/>
      <c r="B1241" s="111"/>
      <c r="C1241" s="111"/>
      <c r="D1241" s="111"/>
      <c r="E1241" s="111"/>
      <c r="F1241" s="111"/>
      <c r="G1241" s="111"/>
    </row>
    <row r="1242" spans="1:7">
      <c r="A1242" s="106"/>
      <c r="B1242" s="111"/>
      <c r="C1242" s="111"/>
      <c r="D1242" s="111"/>
      <c r="E1242" s="111"/>
      <c r="F1242" s="111"/>
      <c r="G1242" s="111"/>
    </row>
    <row r="1243" spans="1:7">
      <c r="A1243" s="106"/>
      <c r="B1243" s="111"/>
      <c r="C1243" s="111"/>
      <c r="D1243" s="111"/>
      <c r="E1243" s="111"/>
      <c r="F1243" s="111"/>
      <c r="G1243" s="111"/>
    </row>
    <row r="1244" spans="1:7">
      <c r="A1244" s="106"/>
      <c r="B1244" s="111"/>
      <c r="C1244" s="111"/>
      <c r="D1244" s="111"/>
      <c r="E1244" s="111"/>
      <c r="F1244" s="111"/>
      <c r="G1244" s="111"/>
    </row>
    <row r="1245" spans="1:7">
      <c r="A1245" s="106"/>
      <c r="B1245" s="111"/>
      <c r="C1245" s="111"/>
      <c r="D1245" s="111"/>
      <c r="E1245" s="111"/>
      <c r="F1245" s="111"/>
      <c r="G1245" s="111"/>
    </row>
    <row r="1246" spans="1:7">
      <c r="A1246" s="106"/>
      <c r="B1246" s="111"/>
      <c r="C1246" s="111"/>
      <c r="D1246" s="111"/>
      <c r="E1246" s="111"/>
      <c r="F1246" s="111"/>
      <c r="G1246" s="111"/>
    </row>
    <row r="1247" spans="1:7">
      <c r="A1247" s="106"/>
      <c r="B1247" s="111"/>
      <c r="C1247" s="111"/>
      <c r="D1247" s="111"/>
      <c r="E1247" s="111"/>
      <c r="F1247" s="111"/>
      <c r="G1247" s="111"/>
    </row>
    <row r="1248" spans="1:7">
      <c r="A1248" s="106"/>
      <c r="B1248" s="111"/>
      <c r="C1248" s="111"/>
      <c r="D1248" s="111"/>
      <c r="E1248" s="111"/>
      <c r="F1248" s="111"/>
      <c r="G1248" s="111"/>
    </row>
    <row r="1249" spans="1:7">
      <c r="A1249" s="106"/>
      <c r="B1249" s="111"/>
      <c r="C1249" s="111"/>
      <c r="D1249" s="111"/>
      <c r="E1249" s="111"/>
      <c r="F1249" s="111"/>
      <c r="G1249" s="111"/>
    </row>
    <row r="1250" spans="1:7">
      <c r="A1250" s="106"/>
      <c r="B1250" s="111"/>
      <c r="C1250" s="111"/>
      <c r="D1250" s="111"/>
      <c r="E1250" s="111"/>
      <c r="F1250" s="111"/>
      <c r="G1250" s="111"/>
    </row>
    <row r="1251" spans="1:7">
      <c r="A1251" s="106"/>
      <c r="B1251" s="111"/>
      <c r="C1251" s="111"/>
      <c r="D1251" s="111"/>
      <c r="E1251" s="111"/>
      <c r="F1251" s="111"/>
      <c r="G1251" s="111"/>
    </row>
    <row r="1252" spans="1:7">
      <c r="A1252" s="106"/>
      <c r="B1252" s="111"/>
      <c r="C1252" s="111"/>
      <c r="D1252" s="111"/>
      <c r="E1252" s="111"/>
      <c r="F1252" s="111"/>
      <c r="G1252" s="111"/>
    </row>
    <row r="1253" spans="1:7">
      <c r="A1253" s="106"/>
      <c r="B1253" s="111"/>
      <c r="C1253" s="111"/>
      <c r="D1253" s="111"/>
      <c r="E1253" s="111"/>
      <c r="F1253" s="111"/>
      <c r="G1253" s="111"/>
    </row>
    <row r="1254" spans="1:7">
      <c r="A1254" s="106"/>
      <c r="B1254" s="111"/>
      <c r="C1254" s="111"/>
      <c r="D1254" s="111"/>
      <c r="E1254" s="111"/>
      <c r="F1254" s="111"/>
      <c r="G1254" s="111"/>
    </row>
    <row r="1255" spans="1:7">
      <c r="A1255" s="106"/>
      <c r="B1255" s="111"/>
      <c r="C1255" s="111"/>
      <c r="D1255" s="111"/>
      <c r="E1255" s="111"/>
      <c r="F1255" s="111"/>
      <c r="G1255" s="111"/>
    </row>
    <row r="1256" spans="1:7">
      <c r="A1256" s="106"/>
      <c r="B1256" s="111"/>
      <c r="C1256" s="111"/>
      <c r="D1256" s="111"/>
      <c r="E1256" s="111"/>
      <c r="F1256" s="111"/>
      <c r="G1256" s="111"/>
    </row>
    <row r="1257" spans="1:7">
      <c r="A1257" s="106"/>
      <c r="B1257" s="111"/>
      <c r="C1257" s="111"/>
      <c r="D1257" s="111"/>
      <c r="E1257" s="111"/>
      <c r="F1257" s="111"/>
      <c r="G1257" s="111"/>
    </row>
    <row r="1258" spans="1:7">
      <c r="A1258" s="106"/>
      <c r="B1258" s="111"/>
      <c r="C1258" s="111"/>
      <c r="D1258" s="111"/>
      <c r="E1258" s="111"/>
      <c r="F1258" s="111"/>
      <c r="G1258" s="111"/>
    </row>
    <row r="1259" spans="1:7">
      <c r="A1259" s="106"/>
      <c r="B1259" s="111"/>
      <c r="C1259" s="111"/>
      <c r="D1259" s="111"/>
      <c r="E1259" s="111"/>
      <c r="F1259" s="111"/>
      <c r="G1259" s="111"/>
    </row>
    <row r="1260" spans="1:7">
      <c r="A1260" s="106"/>
      <c r="B1260" s="111"/>
      <c r="C1260" s="111"/>
      <c r="D1260" s="111"/>
      <c r="E1260" s="111"/>
      <c r="F1260" s="111"/>
      <c r="G1260" s="111"/>
    </row>
    <row r="1261" spans="1:7">
      <c r="A1261" s="106"/>
      <c r="B1261" s="111"/>
      <c r="C1261" s="111"/>
      <c r="D1261" s="111"/>
      <c r="E1261" s="111"/>
      <c r="F1261" s="111"/>
      <c r="G1261" s="111"/>
    </row>
    <row r="1262" spans="1:7">
      <c r="A1262" s="106"/>
      <c r="B1262" s="111"/>
      <c r="C1262" s="111"/>
      <c r="D1262" s="111"/>
      <c r="E1262" s="111"/>
      <c r="F1262" s="111"/>
      <c r="G1262" s="111"/>
    </row>
    <row r="1263" spans="1:7">
      <c r="A1263" s="106"/>
      <c r="B1263" s="111"/>
      <c r="C1263" s="111"/>
      <c r="D1263" s="111"/>
      <c r="E1263" s="111"/>
      <c r="F1263" s="111"/>
      <c r="G1263" s="111"/>
    </row>
    <row r="1264" spans="1:7">
      <c r="A1264" s="106"/>
      <c r="B1264" s="111"/>
      <c r="C1264" s="111"/>
      <c r="D1264" s="111"/>
      <c r="E1264" s="111"/>
      <c r="F1264" s="111"/>
      <c r="G1264" s="111"/>
    </row>
    <row r="1265" spans="1:7">
      <c r="A1265" s="106"/>
      <c r="B1265" s="111"/>
      <c r="C1265" s="111"/>
      <c r="D1265" s="111"/>
      <c r="E1265" s="111"/>
      <c r="F1265" s="111"/>
      <c r="G1265" s="111"/>
    </row>
    <row r="1266" spans="1:7">
      <c r="A1266" s="106"/>
      <c r="B1266" s="111"/>
      <c r="C1266" s="111"/>
      <c r="D1266" s="111"/>
      <c r="E1266" s="111"/>
      <c r="F1266" s="111"/>
      <c r="G1266" s="111"/>
    </row>
    <row r="1267" spans="1:7">
      <c r="A1267" s="106"/>
      <c r="B1267" s="111"/>
      <c r="C1267" s="111"/>
      <c r="D1267" s="111"/>
      <c r="E1267" s="111"/>
      <c r="F1267" s="111"/>
      <c r="G1267" s="111"/>
    </row>
    <row r="1268" spans="1:7">
      <c r="A1268" s="106"/>
      <c r="B1268" s="111"/>
      <c r="C1268" s="111"/>
      <c r="D1268" s="111"/>
      <c r="E1268" s="111"/>
      <c r="F1268" s="111"/>
      <c r="G1268" s="111"/>
    </row>
    <row r="1269" spans="1:7">
      <c r="A1269" s="106"/>
      <c r="B1269" s="111"/>
      <c r="C1269" s="111"/>
      <c r="D1269" s="111"/>
      <c r="E1269" s="111"/>
      <c r="F1269" s="111"/>
      <c r="G1269" s="111"/>
    </row>
    <row r="1270" spans="1:7">
      <c r="A1270" s="106"/>
      <c r="B1270" s="111"/>
      <c r="C1270" s="111"/>
      <c r="D1270" s="111"/>
      <c r="E1270" s="111"/>
      <c r="F1270" s="111"/>
      <c r="G1270" s="111"/>
    </row>
    <row r="1271" spans="1:7">
      <c r="A1271" s="106"/>
      <c r="B1271" s="111"/>
      <c r="C1271" s="111"/>
      <c r="D1271" s="111"/>
      <c r="E1271" s="111"/>
      <c r="F1271" s="111"/>
      <c r="G1271" s="111"/>
    </row>
    <row r="1272" spans="1:7">
      <c r="A1272" s="106"/>
      <c r="B1272" s="111"/>
      <c r="C1272" s="111"/>
      <c r="D1272" s="111"/>
      <c r="E1272" s="111"/>
      <c r="F1272" s="111"/>
      <c r="G1272" s="111"/>
    </row>
    <row r="1273" spans="1:7">
      <c r="A1273" s="106"/>
      <c r="B1273" s="111"/>
      <c r="C1273" s="111"/>
      <c r="D1273" s="111"/>
      <c r="E1273" s="111"/>
      <c r="F1273" s="111"/>
      <c r="G1273" s="111"/>
    </row>
    <row r="1274" spans="1:7">
      <c r="A1274" s="106"/>
      <c r="B1274" s="111"/>
      <c r="C1274" s="111"/>
      <c r="D1274" s="111"/>
      <c r="E1274" s="111"/>
      <c r="F1274" s="111"/>
      <c r="G1274" s="111"/>
    </row>
    <row r="1275" spans="1:7">
      <c r="A1275" s="106"/>
      <c r="B1275" s="111"/>
      <c r="C1275" s="111"/>
      <c r="D1275" s="111"/>
      <c r="E1275" s="111"/>
      <c r="F1275" s="111"/>
      <c r="G1275" s="111"/>
    </row>
    <row r="1276" spans="1:7">
      <c r="A1276" s="106"/>
      <c r="B1276" s="111"/>
      <c r="C1276" s="111"/>
      <c r="D1276" s="111"/>
      <c r="E1276" s="111"/>
      <c r="F1276" s="111"/>
      <c r="G1276" s="111"/>
    </row>
    <row r="1277" spans="1:7">
      <c r="A1277" s="106"/>
      <c r="B1277" s="111"/>
      <c r="C1277" s="111"/>
      <c r="D1277" s="111"/>
      <c r="E1277" s="111"/>
      <c r="F1277" s="111"/>
      <c r="G1277" s="111"/>
    </row>
    <row r="1278" spans="1:7">
      <c r="A1278" s="106"/>
      <c r="B1278" s="111"/>
      <c r="C1278" s="111"/>
      <c r="D1278" s="111"/>
      <c r="E1278" s="111"/>
      <c r="F1278" s="111"/>
      <c r="G1278" s="111"/>
    </row>
    <row r="1279" spans="1:7">
      <c r="A1279" s="106"/>
      <c r="B1279" s="111"/>
      <c r="C1279" s="111"/>
      <c r="D1279" s="111"/>
      <c r="E1279" s="111"/>
      <c r="F1279" s="111"/>
      <c r="G1279" s="111"/>
    </row>
    <row r="1280" spans="1:7">
      <c r="A1280" s="106"/>
      <c r="B1280" s="111"/>
      <c r="C1280" s="111"/>
      <c r="D1280" s="111"/>
      <c r="E1280" s="111"/>
      <c r="F1280" s="111"/>
      <c r="G1280" s="111"/>
    </row>
    <row r="1281" spans="1:7">
      <c r="A1281" s="106"/>
      <c r="B1281" s="111"/>
      <c r="C1281" s="111"/>
      <c r="D1281" s="111"/>
      <c r="E1281" s="111"/>
      <c r="F1281" s="111"/>
      <c r="G1281" s="111"/>
    </row>
    <row r="1282" spans="1:7">
      <c r="A1282" s="106"/>
      <c r="B1282" s="111"/>
      <c r="C1282" s="111"/>
      <c r="D1282" s="111"/>
      <c r="E1282" s="111"/>
      <c r="F1282" s="111"/>
      <c r="G1282" s="111"/>
    </row>
    <row r="1283" spans="1:7">
      <c r="A1283" s="106"/>
      <c r="B1283" s="111"/>
      <c r="C1283" s="111"/>
      <c r="D1283" s="111"/>
      <c r="E1283" s="111"/>
      <c r="F1283" s="111"/>
      <c r="G1283" s="111"/>
    </row>
    <row r="1284" spans="1:7">
      <c r="A1284" s="106"/>
      <c r="B1284" s="111"/>
      <c r="C1284" s="111"/>
      <c r="D1284" s="111"/>
      <c r="E1284" s="111"/>
      <c r="F1284" s="111"/>
      <c r="G1284" s="111"/>
    </row>
    <row r="1285" spans="1:7">
      <c r="A1285" s="106"/>
      <c r="B1285" s="111"/>
      <c r="C1285" s="111"/>
      <c r="D1285" s="111"/>
      <c r="E1285" s="111"/>
      <c r="F1285" s="111"/>
      <c r="G1285" s="111"/>
    </row>
    <row r="1286" spans="1:7">
      <c r="A1286" s="106"/>
      <c r="B1286" s="111"/>
      <c r="C1286" s="111"/>
      <c r="D1286" s="111"/>
      <c r="E1286" s="111"/>
      <c r="F1286" s="111"/>
      <c r="G1286" s="111"/>
    </row>
    <row r="1287" spans="1:7">
      <c r="A1287" s="106"/>
      <c r="B1287" s="111"/>
      <c r="C1287" s="111"/>
      <c r="D1287" s="111"/>
      <c r="E1287" s="111"/>
      <c r="F1287" s="111"/>
      <c r="G1287" s="111"/>
    </row>
    <row r="1288" spans="1:7">
      <c r="A1288" s="106"/>
      <c r="B1288" s="111"/>
      <c r="C1288" s="111"/>
      <c r="D1288" s="111"/>
      <c r="E1288" s="111"/>
      <c r="F1288" s="111"/>
      <c r="G1288" s="111"/>
    </row>
    <row r="1289" spans="1:7">
      <c r="A1289" s="106"/>
      <c r="B1289" s="111"/>
      <c r="C1289" s="111"/>
      <c r="D1289" s="111"/>
      <c r="E1289" s="111"/>
      <c r="F1289" s="111"/>
      <c r="G1289" s="111"/>
    </row>
    <row r="1290" spans="1:7">
      <c r="A1290" s="106"/>
      <c r="B1290" s="111"/>
      <c r="C1290" s="111"/>
      <c r="D1290" s="111"/>
      <c r="E1290" s="111"/>
      <c r="F1290" s="111"/>
      <c r="G1290" s="111"/>
    </row>
    <row r="1291" spans="1:7">
      <c r="A1291" s="106"/>
      <c r="B1291" s="111"/>
      <c r="C1291" s="111"/>
      <c r="D1291" s="111"/>
      <c r="E1291" s="111"/>
      <c r="F1291" s="111"/>
      <c r="G1291" s="111"/>
    </row>
    <row r="1292" spans="1:7">
      <c r="A1292" s="106"/>
      <c r="B1292" s="111"/>
      <c r="C1292" s="111"/>
      <c r="D1292" s="111"/>
      <c r="E1292" s="111"/>
      <c r="F1292" s="111"/>
      <c r="G1292" s="111"/>
    </row>
    <row r="1293" spans="1:7">
      <c r="A1293" s="106"/>
      <c r="B1293" s="111"/>
      <c r="C1293" s="111"/>
      <c r="D1293" s="111"/>
      <c r="E1293" s="111"/>
      <c r="F1293" s="111"/>
      <c r="G1293" s="111"/>
    </row>
    <row r="1294" spans="1:7">
      <c r="A1294" s="106"/>
      <c r="B1294" s="111"/>
      <c r="C1294" s="111"/>
      <c r="D1294" s="111"/>
      <c r="E1294" s="111"/>
      <c r="F1294" s="111"/>
      <c r="G1294" s="111"/>
    </row>
    <row r="1295" spans="1:7">
      <c r="A1295" s="106"/>
      <c r="B1295" s="111"/>
      <c r="C1295" s="111"/>
      <c r="D1295" s="111"/>
      <c r="E1295" s="111"/>
      <c r="F1295" s="111"/>
      <c r="G1295" s="111"/>
    </row>
    <row r="1296" spans="1:7">
      <c r="A1296" s="106"/>
      <c r="B1296" s="111"/>
      <c r="C1296" s="111"/>
      <c r="D1296" s="111"/>
      <c r="E1296" s="111"/>
      <c r="F1296" s="111"/>
      <c r="G1296" s="111"/>
    </row>
    <row r="1297" spans="1:7">
      <c r="A1297" s="106"/>
      <c r="B1297" s="111"/>
      <c r="C1297" s="111"/>
      <c r="D1297" s="111"/>
      <c r="E1297" s="111"/>
      <c r="F1297" s="111"/>
      <c r="G1297" s="111"/>
    </row>
    <row r="1298" spans="1:7">
      <c r="A1298" s="106"/>
      <c r="B1298" s="111"/>
      <c r="C1298" s="111"/>
      <c r="D1298" s="111"/>
      <c r="E1298" s="111"/>
      <c r="F1298" s="111"/>
      <c r="G1298" s="111"/>
    </row>
    <row r="1299" spans="1:7">
      <c r="A1299" s="106"/>
      <c r="B1299" s="111"/>
      <c r="C1299" s="111"/>
      <c r="D1299" s="111"/>
      <c r="E1299" s="111"/>
      <c r="F1299" s="111"/>
      <c r="G1299" s="111"/>
    </row>
    <row r="1300" spans="1:7">
      <c r="A1300" s="106"/>
      <c r="B1300" s="111"/>
      <c r="C1300" s="111"/>
      <c r="D1300" s="111"/>
      <c r="E1300" s="111"/>
      <c r="F1300" s="111"/>
      <c r="G1300" s="111"/>
    </row>
    <row r="1301" spans="1:7">
      <c r="A1301" s="106"/>
      <c r="B1301" s="111"/>
      <c r="C1301" s="111"/>
      <c r="D1301" s="111"/>
      <c r="E1301" s="111"/>
      <c r="F1301" s="111"/>
      <c r="G1301" s="111"/>
    </row>
    <row r="1302" spans="1:7">
      <c r="A1302" s="106"/>
      <c r="B1302" s="111"/>
      <c r="C1302" s="111"/>
      <c r="D1302" s="111"/>
      <c r="E1302" s="111"/>
      <c r="F1302" s="111"/>
      <c r="G1302" s="111"/>
    </row>
    <row r="1303" spans="1:7">
      <c r="A1303" s="106"/>
      <c r="B1303" s="111"/>
      <c r="C1303" s="111"/>
      <c r="D1303" s="111"/>
      <c r="E1303" s="111"/>
      <c r="F1303" s="111"/>
      <c r="G1303" s="111"/>
    </row>
    <row r="1304" spans="1:7">
      <c r="A1304" s="106"/>
      <c r="B1304" s="111"/>
      <c r="C1304" s="111"/>
      <c r="D1304" s="111"/>
      <c r="E1304" s="111"/>
      <c r="F1304" s="111"/>
      <c r="G1304" s="111"/>
    </row>
    <row r="1305" spans="1:7">
      <c r="A1305" s="106"/>
      <c r="B1305" s="111"/>
      <c r="C1305" s="111"/>
      <c r="D1305" s="111"/>
      <c r="E1305" s="111"/>
      <c r="F1305" s="111"/>
      <c r="G1305" s="111"/>
    </row>
    <row r="1306" spans="1:7">
      <c r="A1306" s="106"/>
      <c r="B1306" s="111"/>
      <c r="C1306" s="111"/>
      <c r="D1306" s="111"/>
      <c r="E1306" s="111"/>
      <c r="F1306" s="111"/>
      <c r="G1306" s="111"/>
    </row>
    <row r="1307" spans="1:7">
      <c r="A1307" s="106"/>
      <c r="B1307" s="111"/>
      <c r="C1307" s="111"/>
      <c r="D1307" s="111"/>
      <c r="E1307" s="111"/>
      <c r="F1307" s="111"/>
      <c r="G1307" s="111"/>
    </row>
    <row r="1308" spans="1:7">
      <c r="A1308" s="106"/>
      <c r="B1308" s="111"/>
      <c r="C1308" s="111"/>
      <c r="D1308" s="111"/>
      <c r="E1308" s="111"/>
      <c r="F1308" s="111"/>
      <c r="G1308" s="111"/>
    </row>
    <row r="1309" spans="1:7">
      <c r="A1309" s="106"/>
      <c r="B1309" s="111"/>
      <c r="C1309" s="111"/>
      <c r="D1309" s="111"/>
      <c r="E1309" s="111"/>
      <c r="F1309" s="111"/>
      <c r="G1309" s="111"/>
    </row>
    <row r="1310" spans="1:7">
      <c r="A1310" s="106"/>
      <c r="B1310" s="111"/>
      <c r="C1310" s="111"/>
      <c r="D1310" s="111"/>
      <c r="E1310" s="111"/>
      <c r="F1310" s="111"/>
      <c r="G1310" s="111"/>
    </row>
    <row r="1311" spans="1:7">
      <c r="A1311" s="106"/>
      <c r="B1311" s="111"/>
      <c r="C1311" s="111"/>
      <c r="D1311" s="111"/>
      <c r="E1311" s="111"/>
      <c r="F1311" s="111"/>
      <c r="G1311" s="111"/>
    </row>
    <row r="1312" spans="1:7">
      <c r="A1312" s="106"/>
      <c r="B1312" s="111"/>
      <c r="C1312" s="111"/>
      <c r="D1312" s="111"/>
      <c r="E1312" s="111"/>
      <c r="F1312" s="111"/>
      <c r="G1312" s="111"/>
    </row>
    <row r="1313" spans="1:7">
      <c r="A1313" s="106"/>
      <c r="B1313" s="111"/>
      <c r="C1313" s="111"/>
      <c r="D1313" s="111"/>
      <c r="E1313" s="111"/>
      <c r="F1313" s="111"/>
      <c r="G1313" s="111"/>
    </row>
    <row r="1314" spans="1:7">
      <c r="A1314" s="106"/>
      <c r="B1314" s="111"/>
      <c r="C1314" s="111"/>
      <c r="D1314" s="111"/>
      <c r="E1314" s="111"/>
      <c r="F1314" s="111"/>
      <c r="G1314" s="111"/>
    </row>
    <row r="1315" spans="1:7">
      <c r="A1315" s="106"/>
      <c r="B1315" s="111"/>
      <c r="C1315" s="111"/>
      <c r="D1315" s="111"/>
      <c r="E1315" s="111"/>
      <c r="F1315" s="111"/>
      <c r="G1315" s="111"/>
    </row>
    <row r="1316" spans="1:7">
      <c r="A1316" s="106"/>
      <c r="B1316" s="111"/>
      <c r="C1316" s="111"/>
      <c r="D1316" s="111"/>
      <c r="E1316" s="111"/>
      <c r="F1316" s="111"/>
      <c r="G1316" s="111"/>
    </row>
    <row r="1317" spans="1:7">
      <c r="A1317" s="106"/>
      <c r="B1317" s="111"/>
      <c r="C1317" s="111"/>
      <c r="D1317" s="111"/>
      <c r="E1317" s="111"/>
      <c r="F1317" s="111"/>
      <c r="G1317" s="111"/>
    </row>
    <row r="1318" spans="1:7">
      <c r="A1318" s="106"/>
      <c r="B1318" s="111"/>
      <c r="C1318" s="111"/>
      <c r="D1318" s="111"/>
      <c r="E1318" s="111"/>
      <c r="F1318" s="111"/>
      <c r="G1318" s="111"/>
    </row>
    <row r="1319" spans="1:7">
      <c r="A1319" s="106"/>
      <c r="B1319" s="111"/>
      <c r="C1319" s="111"/>
      <c r="D1319" s="111"/>
      <c r="E1319" s="111"/>
      <c r="F1319" s="111"/>
      <c r="G1319" s="111"/>
    </row>
    <row r="1320" spans="1:7">
      <c r="A1320" s="106"/>
      <c r="B1320" s="111"/>
      <c r="C1320" s="111"/>
      <c r="D1320" s="111"/>
      <c r="E1320" s="111"/>
      <c r="F1320" s="111"/>
      <c r="G1320" s="111"/>
    </row>
    <row r="1321" spans="1:7">
      <c r="A1321" s="106"/>
      <c r="B1321" s="111"/>
      <c r="C1321" s="111"/>
      <c r="D1321" s="111"/>
      <c r="E1321" s="111"/>
      <c r="F1321" s="111"/>
      <c r="G1321" s="111"/>
    </row>
    <row r="1322" spans="1:7">
      <c r="A1322" s="106"/>
      <c r="B1322" s="111"/>
      <c r="C1322" s="111"/>
      <c r="D1322" s="111"/>
      <c r="E1322" s="111"/>
      <c r="F1322" s="111"/>
      <c r="G1322" s="111"/>
    </row>
    <row r="1323" spans="1:7">
      <c r="A1323" s="106"/>
      <c r="B1323" s="111"/>
      <c r="C1323" s="111"/>
      <c r="D1323" s="111"/>
      <c r="E1323" s="111"/>
      <c r="F1323" s="111"/>
      <c r="G1323" s="111"/>
    </row>
    <row r="1324" spans="1:7">
      <c r="A1324" s="106"/>
      <c r="B1324" s="111"/>
      <c r="C1324" s="111"/>
      <c r="D1324" s="111"/>
      <c r="E1324" s="111"/>
      <c r="F1324" s="111"/>
      <c r="G1324" s="111"/>
    </row>
    <row r="1325" spans="1:7">
      <c r="A1325" s="106"/>
      <c r="B1325" s="111"/>
      <c r="C1325" s="111"/>
      <c r="D1325" s="111"/>
      <c r="E1325" s="111"/>
      <c r="F1325" s="111"/>
      <c r="G1325" s="111"/>
    </row>
    <row r="1326" spans="1:7">
      <c r="A1326" s="106"/>
      <c r="B1326" s="111"/>
      <c r="C1326" s="111"/>
      <c r="D1326" s="111"/>
      <c r="E1326" s="111"/>
      <c r="F1326" s="111"/>
      <c r="G1326" s="111"/>
    </row>
    <row r="1327" spans="1:7">
      <c r="A1327" s="106"/>
      <c r="B1327" s="111"/>
      <c r="C1327" s="111"/>
      <c r="D1327" s="111"/>
      <c r="E1327" s="111"/>
      <c r="F1327" s="111"/>
      <c r="G1327" s="111"/>
    </row>
    <row r="1328" spans="1:7">
      <c r="A1328" s="106"/>
      <c r="B1328" s="111"/>
      <c r="C1328" s="111"/>
      <c r="D1328" s="111"/>
      <c r="E1328" s="111"/>
      <c r="F1328" s="111"/>
      <c r="G1328" s="111"/>
    </row>
    <row r="1329" spans="1:7">
      <c r="A1329" s="106"/>
      <c r="B1329" s="111"/>
      <c r="C1329" s="111"/>
      <c r="D1329" s="111"/>
      <c r="E1329" s="111"/>
      <c r="F1329" s="111"/>
      <c r="G1329" s="111"/>
    </row>
    <row r="1330" spans="1:7">
      <c r="A1330" s="106"/>
      <c r="B1330" s="111"/>
      <c r="C1330" s="111"/>
      <c r="D1330" s="111"/>
      <c r="E1330" s="111"/>
      <c r="F1330" s="111"/>
      <c r="G1330" s="111"/>
    </row>
    <row r="1331" spans="1:7">
      <c r="A1331" s="106"/>
      <c r="B1331" s="111"/>
      <c r="C1331" s="111"/>
      <c r="D1331" s="111"/>
      <c r="E1331" s="111"/>
      <c r="F1331" s="111"/>
      <c r="G1331" s="111"/>
    </row>
    <row r="1332" spans="1:7">
      <c r="A1332" s="106"/>
      <c r="B1332" s="111"/>
      <c r="C1332" s="111"/>
      <c r="D1332" s="111"/>
      <c r="E1332" s="111"/>
      <c r="F1332" s="111"/>
      <c r="G1332" s="111"/>
    </row>
    <row r="1333" spans="1:7">
      <c r="A1333" s="106"/>
      <c r="B1333" s="111"/>
      <c r="C1333" s="111"/>
      <c r="D1333" s="111"/>
      <c r="E1333" s="111"/>
      <c r="F1333" s="111"/>
      <c r="G1333" s="111"/>
    </row>
    <row r="1334" spans="1:7">
      <c r="A1334" s="106"/>
      <c r="B1334" s="111"/>
      <c r="C1334" s="111"/>
      <c r="D1334" s="111"/>
      <c r="E1334" s="111"/>
      <c r="F1334" s="111"/>
      <c r="G1334" s="111"/>
    </row>
    <row r="1335" spans="1:7">
      <c r="A1335" s="106"/>
      <c r="B1335" s="111"/>
      <c r="C1335" s="111"/>
      <c r="D1335" s="111"/>
      <c r="E1335" s="111"/>
      <c r="F1335" s="111"/>
      <c r="G1335" s="111"/>
    </row>
    <row r="1336" spans="1:7">
      <c r="A1336" s="106"/>
      <c r="B1336" s="111"/>
      <c r="C1336" s="111"/>
      <c r="D1336" s="111"/>
      <c r="E1336" s="111"/>
      <c r="F1336" s="111"/>
      <c r="G1336" s="111"/>
    </row>
    <row r="1337" spans="1:7">
      <c r="A1337" s="106"/>
      <c r="B1337" s="111"/>
      <c r="C1337" s="111"/>
      <c r="D1337" s="111"/>
      <c r="E1337" s="111"/>
      <c r="F1337" s="111"/>
      <c r="G1337" s="111"/>
    </row>
    <row r="1338" spans="1:7">
      <c r="A1338" s="106"/>
      <c r="B1338" s="111"/>
      <c r="C1338" s="111"/>
      <c r="D1338" s="111"/>
      <c r="E1338" s="111"/>
      <c r="F1338" s="111"/>
      <c r="G1338" s="111"/>
    </row>
    <row r="1339" spans="1:7">
      <c r="A1339" s="106"/>
      <c r="B1339" s="111"/>
      <c r="C1339" s="111"/>
      <c r="D1339" s="111"/>
      <c r="E1339" s="111"/>
      <c r="F1339" s="111"/>
      <c r="G1339" s="111"/>
    </row>
    <row r="1340" spans="1:7">
      <c r="A1340" s="106"/>
      <c r="B1340" s="111"/>
      <c r="C1340" s="111"/>
      <c r="D1340" s="111"/>
      <c r="E1340" s="111"/>
      <c r="F1340" s="111"/>
      <c r="G1340" s="111"/>
    </row>
    <row r="1341" spans="1:7">
      <c r="A1341" s="106"/>
      <c r="B1341" s="111"/>
      <c r="C1341" s="111"/>
      <c r="D1341" s="111"/>
      <c r="E1341" s="111"/>
      <c r="F1341" s="111"/>
      <c r="G1341" s="111"/>
    </row>
    <row r="1342" spans="1:7">
      <c r="A1342" s="106"/>
      <c r="B1342" s="111"/>
      <c r="C1342" s="111"/>
      <c r="D1342" s="111"/>
      <c r="E1342" s="111"/>
      <c r="F1342" s="111"/>
      <c r="G1342" s="111"/>
    </row>
    <row r="1343" spans="1:7">
      <c r="A1343" s="106"/>
      <c r="B1343" s="111"/>
      <c r="C1343" s="111"/>
      <c r="D1343" s="111"/>
      <c r="E1343" s="111"/>
      <c r="F1343" s="111"/>
      <c r="G1343" s="111"/>
    </row>
    <row r="1344" spans="1:7">
      <c r="A1344" s="106"/>
      <c r="B1344" s="111"/>
      <c r="C1344" s="111"/>
      <c r="D1344" s="111"/>
      <c r="E1344" s="111"/>
      <c r="F1344" s="111"/>
      <c r="G1344" s="111"/>
    </row>
    <row r="1345" spans="1:7">
      <c r="A1345" s="106"/>
      <c r="B1345" s="111"/>
      <c r="C1345" s="111"/>
      <c r="D1345" s="111"/>
      <c r="E1345" s="111"/>
      <c r="F1345" s="111"/>
      <c r="G1345" s="111"/>
    </row>
    <row r="1346" spans="1:7">
      <c r="A1346" s="106"/>
      <c r="B1346" s="111"/>
      <c r="C1346" s="111"/>
      <c r="D1346" s="111"/>
      <c r="E1346" s="111"/>
      <c r="F1346" s="111"/>
      <c r="G1346" s="111"/>
    </row>
    <row r="1347" spans="1:7">
      <c r="A1347" s="106"/>
      <c r="B1347" s="111"/>
      <c r="C1347" s="111"/>
      <c r="D1347" s="111"/>
      <c r="E1347" s="111"/>
      <c r="F1347" s="111"/>
      <c r="G1347" s="111"/>
    </row>
    <row r="1348" spans="1:7">
      <c r="A1348" s="106"/>
      <c r="B1348" s="111"/>
      <c r="C1348" s="111"/>
      <c r="D1348" s="111"/>
      <c r="E1348" s="111"/>
      <c r="F1348" s="111"/>
      <c r="G1348" s="111"/>
    </row>
    <row r="1349" spans="1:7">
      <c r="A1349" s="106"/>
      <c r="B1349" s="111"/>
      <c r="C1349" s="111"/>
      <c r="D1349" s="111"/>
      <c r="E1349" s="111"/>
      <c r="F1349" s="111"/>
      <c r="G1349" s="111"/>
    </row>
    <row r="1350" spans="1:7">
      <c r="A1350" s="106"/>
      <c r="B1350" s="111"/>
      <c r="C1350" s="111"/>
      <c r="D1350" s="111"/>
      <c r="E1350" s="111"/>
      <c r="F1350" s="111"/>
      <c r="G1350" s="111"/>
    </row>
    <row r="1351" spans="1:7">
      <c r="A1351" s="106"/>
      <c r="B1351" s="111"/>
      <c r="C1351" s="111"/>
      <c r="D1351" s="111"/>
      <c r="E1351" s="111"/>
      <c r="F1351" s="111"/>
      <c r="G1351" s="111"/>
    </row>
    <row r="1352" spans="1:7">
      <c r="A1352" s="106"/>
      <c r="B1352" s="111"/>
      <c r="C1352" s="111"/>
      <c r="D1352" s="111"/>
      <c r="E1352" s="111"/>
      <c r="F1352" s="111"/>
      <c r="G1352" s="111"/>
    </row>
    <row r="1353" spans="1:7">
      <c r="A1353" s="106"/>
      <c r="B1353" s="111"/>
      <c r="C1353" s="111"/>
      <c r="D1353" s="111"/>
      <c r="E1353" s="111"/>
      <c r="F1353" s="111"/>
      <c r="G1353" s="111"/>
    </row>
    <row r="1354" spans="1:7">
      <c r="A1354" s="106"/>
      <c r="B1354" s="111"/>
      <c r="C1354" s="111"/>
      <c r="D1354" s="111"/>
      <c r="E1354" s="111"/>
      <c r="F1354" s="111"/>
      <c r="G1354" s="111"/>
    </row>
    <row r="1355" spans="1:7">
      <c r="A1355" s="106"/>
      <c r="B1355" s="111"/>
      <c r="C1355" s="111"/>
      <c r="D1355" s="111"/>
      <c r="E1355" s="111"/>
      <c r="F1355" s="111"/>
      <c r="G1355" s="111"/>
    </row>
    <row r="1356" spans="1:7">
      <c r="A1356" s="106"/>
      <c r="B1356" s="111"/>
      <c r="C1356" s="111"/>
      <c r="D1356" s="111"/>
      <c r="E1356" s="111"/>
      <c r="F1356" s="111"/>
      <c r="G1356" s="111"/>
    </row>
    <row r="1357" spans="1:7">
      <c r="A1357" s="106"/>
      <c r="B1357" s="111"/>
      <c r="C1357" s="111"/>
      <c r="D1357" s="111"/>
      <c r="E1357" s="111"/>
      <c r="F1357" s="111"/>
      <c r="G1357" s="111"/>
    </row>
    <row r="1358" spans="1:7">
      <c r="A1358" s="106"/>
      <c r="B1358" s="111"/>
      <c r="C1358" s="111"/>
      <c r="D1358" s="111"/>
      <c r="E1358" s="111"/>
      <c r="F1358" s="111"/>
      <c r="G1358" s="111"/>
    </row>
    <row r="1359" spans="1:7">
      <c r="A1359" s="106"/>
      <c r="B1359" s="111"/>
      <c r="C1359" s="111"/>
      <c r="D1359" s="111"/>
      <c r="E1359" s="111"/>
      <c r="F1359" s="111"/>
      <c r="G1359" s="111"/>
    </row>
    <row r="1360" spans="1:7">
      <c r="A1360" s="106"/>
      <c r="B1360" s="111"/>
      <c r="C1360" s="111"/>
      <c r="D1360" s="111"/>
      <c r="E1360" s="111"/>
      <c r="F1360" s="111"/>
      <c r="G1360" s="111"/>
    </row>
    <row r="1361" spans="1:7">
      <c r="A1361" s="106"/>
      <c r="B1361" s="111"/>
      <c r="C1361" s="111"/>
      <c r="D1361" s="111"/>
      <c r="E1361" s="111"/>
      <c r="F1361" s="111"/>
      <c r="G1361" s="111"/>
    </row>
    <row r="1362" spans="1:7">
      <c r="A1362" s="106"/>
      <c r="B1362" s="111"/>
      <c r="C1362" s="111"/>
      <c r="D1362" s="111"/>
      <c r="E1362" s="111"/>
      <c r="F1362" s="111"/>
      <c r="G1362" s="111"/>
    </row>
    <row r="1363" spans="1:7">
      <c r="A1363" s="106"/>
      <c r="B1363" s="111"/>
      <c r="C1363" s="111"/>
      <c r="D1363" s="111"/>
      <c r="E1363" s="111"/>
      <c r="F1363" s="111"/>
      <c r="G1363" s="111"/>
    </row>
    <row r="1364" spans="1:7">
      <c r="A1364" s="106"/>
      <c r="B1364" s="111"/>
      <c r="C1364" s="111"/>
      <c r="D1364" s="111"/>
      <c r="E1364" s="111"/>
      <c r="F1364" s="111"/>
      <c r="G1364" s="111"/>
    </row>
    <row r="1365" spans="1:7">
      <c r="A1365" s="106"/>
      <c r="B1365" s="111"/>
      <c r="C1365" s="111"/>
      <c r="D1365" s="111"/>
      <c r="E1365" s="111"/>
      <c r="F1365" s="111"/>
      <c r="G1365" s="111"/>
    </row>
    <row r="1366" spans="1:7">
      <c r="A1366" s="106"/>
      <c r="B1366" s="111"/>
      <c r="C1366" s="111"/>
      <c r="D1366" s="111"/>
      <c r="E1366" s="111"/>
      <c r="F1366" s="111"/>
      <c r="G1366" s="111"/>
    </row>
    <row r="1367" spans="1:7">
      <c r="A1367" s="106"/>
      <c r="B1367" s="111"/>
      <c r="C1367" s="111"/>
      <c r="D1367" s="111"/>
      <c r="E1367" s="111"/>
      <c r="F1367" s="111"/>
      <c r="G1367" s="111"/>
    </row>
    <row r="1368" spans="1:7">
      <c r="A1368" s="106"/>
      <c r="B1368" s="111"/>
      <c r="C1368" s="111"/>
      <c r="D1368" s="111"/>
      <c r="E1368" s="111"/>
      <c r="F1368" s="111"/>
      <c r="G1368" s="111"/>
    </row>
    <row r="1369" spans="1:7">
      <c r="A1369" s="106"/>
      <c r="B1369" s="111"/>
      <c r="C1369" s="111"/>
      <c r="D1369" s="111"/>
      <c r="E1369" s="111"/>
      <c r="F1369" s="111"/>
      <c r="G1369" s="111"/>
    </row>
    <row r="1370" spans="1:7">
      <c r="A1370" s="106"/>
      <c r="B1370" s="111"/>
      <c r="C1370" s="111"/>
      <c r="D1370" s="111"/>
      <c r="E1370" s="111"/>
      <c r="F1370" s="111"/>
      <c r="G1370" s="111"/>
    </row>
    <row r="1371" spans="1:7">
      <c r="A1371" s="106"/>
      <c r="B1371" s="111"/>
      <c r="C1371" s="111"/>
      <c r="D1371" s="111"/>
      <c r="E1371" s="111"/>
      <c r="F1371" s="111"/>
      <c r="G1371" s="111"/>
    </row>
    <row r="1372" spans="1:7">
      <c r="A1372" s="106"/>
      <c r="B1372" s="111"/>
      <c r="C1372" s="111"/>
      <c r="D1372" s="111"/>
      <c r="E1372" s="111"/>
      <c r="F1372" s="111"/>
      <c r="G1372" s="111"/>
    </row>
    <row r="1373" spans="1:7">
      <c r="A1373" s="106"/>
      <c r="B1373" s="111"/>
      <c r="C1373" s="111"/>
      <c r="D1373" s="111"/>
      <c r="E1373" s="111"/>
      <c r="F1373" s="111"/>
      <c r="G1373" s="111"/>
    </row>
    <row r="1374" spans="1:7">
      <c r="A1374" s="106"/>
      <c r="B1374" s="111"/>
      <c r="C1374" s="111"/>
      <c r="D1374" s="111"/>
      <c r="E1374" s="111"/>
      <c r="F1374" s="111"/>
      <c r="G1374" s="111"/>
    </row>
    <row r="1375" spans="1:7">
      <c r="A1375" s="106"/>
      <c r="B1375" s="111"/>
      <c r="C1375" s="111"/>
      <c r="D1375" s="111"/>
      <c r="E1375" s="111"/>
      <c r="F1375" s="111"/>
      <c r="G1375" s="111"/>
    </row>
    <row r="1376" spans="1:7">
      <c r="A1376" s="106"/>
      <c r="B1376" s="111"/>
      <c r="C1376" s="111"/>
      <c r="D1376" s="111"/>
      <c r="E1376" s="111"/>
      <c r="F1376" s="111"/>
      <c r="G1376" s="111"/>
    </row>
    <row r="1377" spans="1:7">
      <c r="A1377" s="106"/>
      <c r="B1377" s="111"/>
      <c r="C1377" s="111"/>
      <c r="D1377" s="111"/>
      <c r="E1377" s="111"/>
      <c r="F1377" s="111"/>
      <c r="G1377" s="111"/>
    </row>
    <row r="1378" spans="1:7">
      <c r="A1378" s="106"/>
      <c r="B1378" s="111"/>
      <c r="C1378" s="111"/>
      <c r="D1378" s="111"/>
      <c r="E1378" s="111"/>
      <c r="F1378" s="111"/>
      <c r="G1378" s="111"/>
    </row>
    <row r="1379" spans="1:7">
      <c r="A1379" s="106"/>
      <c r="B1379" s="111"/>
      <c r="C1379" s="111"/>
      <c r="D1379" s="111"/>
      <c r="E1379" s="111"/>
      <c r="F1379" s="111"/>
      <c r="G1379" s="111"/>
    </row>
    <row r="1380" spans="1:7">
      <c r="A1380" s="106"/>
      <c r="B1380" s="111"/>
      <c r="C1380" s="111"/>
      <c r="D1380" s="111"/>
      <c r="E1380" s="111"/>
      <c r="F1380" s="111"/>
      <c r="G1380" s="111"/>
    </row>
    <row r="1381" spans="1:7">
      <c r="A1381" s="106"/>
      <c r="B1381" s="111"/>
      <c r="C1381" s="111"/>
      <c r="D1381" s="111"/>
      <c r="E1381" s="111"/>
      <c r="F1381" s="111"/>
      <c r="G1381" s="111"/>
    </row>
    <row r="1382" spans="1:7">
      <c r="A1382" s="106"/>
      <c r="B1382" s="111"/>
      <c r="C1382" s="111"/>
      <c r="D1382" s="111"/>
      <c r="E1382" s="111"/>
      <c r="F1382" s="111"/>
      <c r="G1382" s="111"/>
    </row>
    <row r="1383" spans="1:7">
      <c r="A1383" s="106"/>
      <c r="B1383" s="111"/>
      <c r="C1383" s="111"/>
      <c r="D1383" s="111"/>
      <c r="E1383" s="111"/>
      <c r="F1383" s="111"/>
      <c r="G1383" s="111"/>
    </row>
    <row r="1384" spans="1:7">
      <c r="A1384" s="106"/>
      <c r="B1384" s="111"/>
      <c r="C1384" s="111"/>
      <c r="D1384" s="111"/>
      <c r="E1384" s="111"/>
      <c r="F1384" s="111"/>
      <c r="G1384" s="111"/>
    </row>
    <row r="1385" spans="1:7">
      <c r="A1385" s="106"/>
      <c r="B1385" s="111"/>
      <c r="C1385" s="111"/>
      <c r="D1385" s="111"/>
      <c r="E1385" s="111"/>
      <c r="F1385" s="111"/>
      <c r="G1385" s="111"/>
    </row>
    <row r="1386" spans="1:7">
      <c r="A1386" s="106"/>
      <c r="B1386" s="111"/>
      <c r="C1386" s="111"/>
      <c r="D1386" s="111"/>
      <c r="E1386" s="111"/>
      <c r="F1386" s="111"/>
      <c r="G1386" s="111"/>
    </row>
    <row r="1387" spans="1:7">
      <c r="A1387" s="106"/>
      <c r="B1387" s="111"/>
      <c r="C1387" s="111"/>
      <c r="D1387" s="111"/>
      <c r="E1387" s="111"/>
      <c r="F1387" s="111"/>
      <c r="G1387" s="111"/>
    </row>
    <row r="1388" spans="1:7">
      <c r="A1388" s="106"/>
      <c r="B1388" s="111"/>
      <c r="C1388" s="111"/>
      <c r="D1388" s="111"/>
      <c r="E1388" s="111"/>
      <c r="F1388" s="111"/>
      <c r="G1388" s="111"/>
    </row>
    <row r="1389" spans="1:7">
      <c r="A1389" s="106"/>
      <c r="B1389" s="111"/>
      <c r="C1389" s="111"/>
      <c r="D1389" s="111"/>
      <c r="E1389" s="111"/>
      <c r="F1389" s="111"/>
      <c r="G1389" s="111"/>
    </row>
    <row r="1390" spans="1:7">
      <c r="A1390" s="106"/>
      <c r="B1390" s="111"/>
      <c r="C1390" s="111"/>
      <c r="D1390" s="111"/>
      <c r="E1390" s="111"/>
      <c r="F1390" s="111"/>
      <c r="G1390" s="111"/>
    </row>
    <row r="1391" spans="1:7">
      <c r="A1391" s="106"/>
      <c r="B1391" s="111"/>
      <c r="C1391" s="111"/>
      <c r="D1391" s="111"/>
      <c r="E1391" s="111"/>
      <c r="F1391" s="111"/>
      <c r="G1391" s="111"/>
    </row>
    <row r="1392" spans="1:7">
      <c r="A1392" s="106"/>
      <c r="B1392" s="111"/>
      <c r="C1392" s="111"/>
      <c r="D1392" s="111"/>
      <c r="E1392" s="111"/>
      <c r="F1392" s="111"/>
      <c r="G1392" s="111"/>
    </row>
    <row r="1393" spans="1:7">
      <c r="A1393" s="106"/>
      <c r="B1393" s="111"/>
      <c r="C1393" s="111"/>
      <c r="D1393" s="111"/>
      <c r="E1393" s="111"/>
      <c r="F1393" s="111"/>
      <c r="G1393" s="111"/>
    </row>
    <row r="1394" spans="1:7">
      <c r="A1394" s="106"/>
      <c r="B1394" s="111"/>
      <c r="C1394" s="111"/>
      <c r="D1394" s="111"/>
      <c r="E1394" s="111"/>
      <c r="F1394" s="111"/>
      <c r="G1394" s="111"/>
    </row>
    <row r="1395" spans="1:7">
      <c r="A1395" s="106"/>
      <c r="B1395" s="111"/>
      <c r="C1395" s="111"/>
      <c r="D1395" s="111"/>
      <c r="E1395" s="111"/>
      <c r="F1395" s="111"/>
      <c r="G1395" s="111"/>
    </row>
    <row r="1396" spans="1:7">
      <c r="A1396" s="106"/>
      <c r="B1396" s="111"/>
      <c r="C1396" s="111"/>
      <c r="D1396" s="111"/>
      <c r="E1396" s="111"/>
      <c r="F1396" s="111"/>
      <c r="G1396" s="111"/>
    </row>
    <row r="1397" spans="1:7">
      <c r="A1397" s="106"/>
      <c r="B1397" s="111"/>
      <c r="C1397" s="111"/>
      <c r="D1397" s="111"/>
      <c r="E1397" s="111"/>
      <c r="F1397" s="111"/>
      <c r="G1397" s="111"/>
    </row>
    <row r="1398" spans="1:7">
      <c r="A1398" s="106"/>
      <c r="B1398" s="111"/>
      <c r="C1398" s="111"/>
      <c r="D1398" s="111"/>
      <c r="E1398" s="111"/>
      <c r="F1398" s="111"/>
      <c r="G1398" s="111"/>
    </row>
    <row r="1399" spans="1:7">
      <c r="A1399" s="106"/>
      <c r="B1399" s="111"/>
      <c r="C1399" s="111"/>
      <c r="D1399" s="111"/>
      <c r="E1399" s="111"/>
      <c r="F1399" s="111"/>
      <c r="G1399" s="111"/>
    </row>
    <row r="1400" spans="1:7">
      <c r="A1400" s="106"/>
      <c r="B1400" s="111"/>
      <c r="C1400" s="111"/>
      <c r="D1400" s="111"/>
      <c r="E1400" s="111"/>
      <c r="F1400" s="111"/>
      <c r="G1400" s="111"/>
    </row>
    <row r="1401" spans="1:7">
      <c r="A1401" s="106"/>
      <c r="B1401" s="111"/>
      <c r="C1401" s="111"/>
      <c r="D1401" s="111"/>
      <c r="E1401" s="111"/>
      <c r="F1401" s="111"/>
      <c r="G1401" s="111"/>
    </row>
    <row r="1402" spans="1:7">
      <c r="A1402" s="106"/>
      <c r="B1402" s="111"/>
      <c r="C1402" s="111"/>
      <c r="D1402" s="111"/>
      <c r="E1402" s="111"/>
      <c r="F1402" s="111"/>
      <c r="G1402" s="111"/>
    </row>
    <row r="1403" spans="1:7">
      <c r="A1403" s="106"/>
      <c r="B1403" s="111"/>
      <c r="C1403" s="111"/>
      <c r="D1403" s="111"/>
      <c r="E1403" s="111"/>
      <c r="F1403" s="111"/>
      <c r="G1403" s="111"/>
    </row>
    <row r="1404" spans="1:7">
      <c r="A1404" s="106"/>
      <c r="B1404" s="111"/>
      <c r="C1404" s="111"/>
      <c r="D1404" s="111"/>
      <c r="E1404" s="111"/>
      <c r="F1404" s="111"/>
      <c r="G1404" s="111"/>
    </row>
    <row r="1405" spans="1:7">
      <c r="A1405" s="106"/>
      <c r="B1405" s="111"/>
      <c r="C1405" s="111"/>
      <c r="D1405" s="111"/>
      <c r="E1405" s="111"/>
      <c r="F1405" s="111"/>
      <c r="G1405" s="111"/>
    </row>
    <row r="1406" spans="1:7">
      <c r="A1406" s="106"/>
      <c r="B1406" s="111"/>
      <c r="C1406" s="111"/>
      <c r="D1406" s="111"/>
      <c r="E1406" s="111"/>
      <c r="F1406" s="111"/>
      <c r="G1406" s="111"/>
    </row>
    <row r="1407" spans="1:7">
      <c r="A1407" s="106"/>
      <c r="B1407" s="111"/>
      <c r="C1407" s="111"/>
      <c r="D1407" s="111"/>
      <c r="E1407" s="111"/>
      <c r="F1407" s="111"/>
      <c r="G1407" s="111"/>
    </row>
    <row r="1408" spans="1:7">
      <c r="A1408" s="106"/>
      <c r="B1408" s="111"/>
      <c r="C1408" s="111"/>
      <c r="D1408" s="111"/>
      <c r="E1408" s="111"/>
      <c r="F1408" s="111"/>
      <c r="G1408" s="111"/>
    </row>
    <row r="1409" spans="1:7">
      <c r="A1409" s="106"/>
      <c r="B1409" s="111"/>
      <c r="C1409" s="111"/>
      <c r="D1409" s="111"/>
      <c r="E1409" s="111"/>
      <c r="F1409" s="111"/>
      <c r="G1409" s="111"/>
    </row>
    <row r="1410" spans="1:7">
      <c r="A1410" s="106"/>
      <c r="B1410" s="111"/>
      <c r="C1410" s="111"/>
      <c r="D1410" s="111"/>
      <c r="E1410" s="111"/>
      <c r="F1410" s="111"/>
      <c r="G1410" s="111"/>
    </row>
    <row r="1411" spans="1:7">
      <c r="A1411" s="106"/>
      <c r="B1411" s="111"/>
      <c r="C1411" s="111"/>
      <c r="D1411" s="111"/>
      <c r="E1411" s="111"/>
      <c r="F1411" s="111"/>
      <c r="G1411" s="111"/>
    </row>
    <row r="1412" spans="1:7">
      <c r="A1412" s="106"/>
      <c r="B1412" s="111"/>
      <c r="C1412" s="111"/>
      <c r="D1412" s="111"/>
      <c r="E1412" s="111"/>
      <c r="F1412" s="111"/>
      <c r="G1412" s="111"/>
    </row>
    <row r="1413" spans="1:7">
      <c r="A1413" s="106"/>
      <c r="B1413" s="111"/>
      <c r="C1413" s="111"/>
      <c r="D1413" s="111"/>
      <c r="E1413" s="111"/>
      <c r="F1413" s="111"/>
      <c r="G1413" s="111"/>
    </row>
    <row r="1414" spans="1:7">
      <c r="A1414" s="106"/>
      <c r="B1414" s="111"/>
      <c r="C1414" s="111"/>
      <c r="D1414" s="111"/>
      <c r="E1414" s="111"/>
      <c r="F1414" s="111"/>
      <c r="G1414" s="111"/>
    </row>
    <row r="1415" spans="1:7">
      <c r="A1415" s="106"/>
      <c r="B1415" s="111"/>
      <c r="C1415" s="111"/>
      <c r="D1415" s="111"/>
      <c r="E1415" s="111"/>
      <c r="F1415" s="111"/>
      <c r="G1415" s="111"/>
    </row>
    <row r="1416" spans="1:7">
      <c r="A1416" s="106"/>
      <c r="B1416" s="111"/>
      <c r="C1416" s="111"/>
      <c r="D1416" s="111"/>
      <c r="E1416" s="111"/>
      <c r="F1416" s="111"/>
      <c r="G1416" s="111"/>
    </row>
    <row r="1417" spans="1:7">
      <c r="A1417" s="106"/>
      <c r="B1417" s="111"/>
      <c r="C1417" s="111"/>
      <c r="D1417" s="111"/>
      <c r="E1417" s="111"/>
      <c r="F1417" s="111"/>
      <c r="G1417" s="111"/>
    </row>
    <row r="1418" spans="1:7">
      <c r="A1418" s="106"/>
      <c r="B1418" s="111"/>
      <c r="C1418" s="111"/>
      <c r="D1418" s="111"/>
      <c r="E1418" s="111"/>
      <c r="F1418" s="111"/>
      <c r="G1418" s="111"/>
    </row>
    <row r="1419" spans="1:7">
      <c r="A1419" s="106"/>
      <c r="B1419" s="111"/>
      <c r="C1419" s="111"/>
      <c r="D1419" s="111"/>
      <c r="E1419" s="111"/>
      <c r="F1419" s="111"/>
      <c r="G1419" s="111"/>
    </row>
    <row r="1420" spans="1:7">
      <c r="A1420" s="106"/>
      <c r="B1420" s="111"/>
      <c r="C1420" s="111"/>
      <c r="D1420" s="111"/>
      <c r="E1420" s="111"/>
      <c r="F1420" s="111"/>
      <c r="G1420" s="111"/>
    </row>
    <row r="1421" spans="1:7">
      <c r="A1421" s="106"/>
      <c r="B1421" s="111"/>
      <c r="C1421" s="111"/>
      <c r="D1421" s="111"/>
      <c r="E1421" s="111"/>
      <c r="F1421" s="111"/>
      <c r="G1421" s="111"/>
    </row>
    <row r="1422" spans="1:7">
      <c r="A1422" s="106"/>
      <c r="B1422" s="111"/>
      <c r="C1422" s="111"/>
      <c r="D1422" s="111"/>
      <c r="E1422" s="111"/>
      <c r="F1422" s="111"/>
      <c r="G1422" s="111"/>
    </row>
    <row r="1423" spans="1:7">
      <c r="A1423" s="106"/>
      <c r="B1423" s="111"/>
      <c r="C1423" s="111"/>
      <c r="D1423" s="111"/>
      <c r="E1423" s="111"/>
      <c r="F1423" s="111"/>
      <c r="G1423" s="111"/>
    </row>
    <row r="1424" spans="1:7">
      <c r="A1424" s="106"/>
      <c r="B1424" s="111"/>
      <c r="C1424" s="111"/>
      <c r="D1424" s="111"/>
      <c r="E1424" s="111"/>
      <c r="F1424" s="111"/>
      <c r="G1424" s="111"/>
    </row>
    <row r="1425" spans="1:7">
      <c r="A1425" s="106"/>
      <c r="B1425" s="111"/>
      <c r="C1425" s="111"/>
      <c r="D1425" s="111"/>
      <c r="E1425" s="111"/>
      <c r="F1425" s="111"/>
      <c r="G1425" s="111"/>
    </row>
    <row r="1426" spans="1:7">
      <c r="A1426" s="106"/>
      <c r="B1426" s="111"/>
      <c r="C1426" s="111"/>
      <c r="D1426" s="111"/>
      <c r="E1426" s="111"/>
      <c r="F1426" s="111"/>
      <c r="G1426" s="111"/>
    </row>
    <row r="1427" spans="1:7">
      <c r="A1427" s="106"/>
      <c r="B1427" s="111"/>
      <c r="C1427" s="111"/>
      <c r="D1427" s="111"/>
      <c r="E1427" s="111"/>
      <c r="F1427" s="111"/>
      <c r="G1427" s="111"/>
    </row>
    <row r="1428" spans="1:7">
      <c r="A1428" s="106"/>
      <c r="B1428" s="111"/>
      <c r="C1428" s="111"/>
      <c r="D1428" s="111"/>
      <c r="E1428" s="111"/>
      <c r="F1428" s="111"/>
      <c r="G1428" s="111"/>
    </row>
    <row r="1429" spans="1:7">
      <c r="A1429" s="106"/>
      <c r="B1429" s="111"/>
      <c r="C1429" s="111"/>
      <c r="D1429" s="111"/>
      <c r="E1429" s="111"/>
      <c r="F1429" s="111"/>
      <c r="G1429" s="111"/>
    </row>
    <row r="1430" spans="1:7">
      <c r="A1430" s="106"/>
      <c r="B1430" s="111"/>
      <c r="C1430" s="111"/>
      <c r="D1430" s="111"/>
      <c r="E1430" s="111"/>
      <c r="F1430" s="111"/>
      <c r="G1430" s="111"/>
    </row>
    <row r="1431" spans="1:7">
      <c r="A1431" s="106"/>
      <c r="B1431" s="111"/>
      <c r="C1431" s="111"/>
      <c r="D1431" s="111"/>
      <c r="E1431" s="111"/>
      <c r="F1431" s="111"/>
      <c r="G1431" s="111"/>
    </row>
    <row r="1432" spans="1:7">
      <c r="A1432" s="106"/>
      <c r="B1432" s="111"/>
      <c r="C1432" s="111"/>
      <c r="D1432" s="111"/>
      <c r="E1432" s="111"/>
      <c r="F1432" s="111"/>
      <c r="G1432" s="111"/>
    </row>
    <row r="1433" spans="1:7">
      <c r="A1433" s="106"/>
      <c r="B1433" s="111"/>
      <c r="C1433" s="111"/>
      <c r="D1433" s="111"/>
      <c r="E1433" s="111"/>
      <c r="F1433" s="111"/>
      <c r="G1433" s="111"/>
    </row>
    <row r="1434" spans="1:7">
      <c r="A1434" s="106"/>
      <c r="B1434" s="111"/>
      <c r="C1434" s="111"/>
      <c r="D1434" s="111"/>
      <c r="E1434" s="111"/>
      <c r="F1434" s="111"/>
      <c r="G1434" s="111"/>
    </row>
    <row r="1435" spans="1:7">
      <c r="A1435" s="106"/>
      <c r="B1435" s="111"/>
      <c r="C1435" s="111"/>
      <c r="D1435" s="111"/>
      <c r="E1435" s="111"/>
      <c r="F1435" s="111"/>
      <c r="G1435" s="111"/>
    </row>
    <row r="1436" spans="1:7">
      <c r="A1436" s="106"/>
      <c r="B1436" s="111"/>
      <c r="C1436" s="111"/>
      <c r="D1436" s="111"/>
      <c r="E1436" s="111"/>
      <c r="F1436" s="111"/>
      <c r="G1436" s="111"/>
    </row>
    <row r="1437" spans="1:7">
      <c r="A1437" s="106"/>
      <c r="B1437" s="111"/>
      <c r="C1437" s="111"/>
      <c r="D1437" s="111"/>
      <c r="E1437" s="111"/>
      <c r="F1437" s="111"/>
      <c r="G1437" s="111"/>
    </row>
    <row r="1438" spans="1:7">
      <c r="A1438" s="106"/>
      <c r="B1438" s="111"/>
      <c r="C1438" s="111"/>
      <c r="D1438" s="111"/>
      <c r="E1438" s="111"/>
      <c r="F1438" s="111"/>
      <c r="G1438" s="111"/>
    </row>
    <row r="1439" spans="1:7">
      <c r="A1439" s="106"/>
      <c r="B1439" s="111"/>
      <c r="C1439" s="111"/>
      <c r="D1439" s="111"/>
      <c r="E1439" s="111"/>
      <c r="F1439" s="111"/>
      <c r="G1439" s="111"/>
    </row>
    <row r="1440" spans="1:7">
      <c r="A1440" s="106"/>
      <c r="B1440" s="111"/>
      <c r="C1440" s="111"/>
      <c r="D1440" s="111"/>
      <c r="E1440" s="111"/>
      <c r="F1440" s="111"/>
      <c r="G1440" s="111"/>
    </row>
    <row r="1441" spans="1:7">
      <c r="A1441" s="106"/>
      <c r="B1441" s="111"/>
      <c r="C1441" s="111"/>
      <c r="D1441" s="111"/>
      <c r="E1441" s="111"/>
      <c r="F1441" s="111"/>
      <c r="G1441" s="111"/>
    </row>
    <row r="1442" spans="1:7">
      <c r="A1442" s="106"/>
      <c r="B1442" s="111"/>
      <c r="C1442" s="111"/>
      <c r="D1442" s="111"/>
      <c r="E1442" s="111"/>
      <c r="F1442" s="111"/>
      <c r="G1442" s="111"/>
    </row>
    <row r="1443" spans="1:7">
      <c r="A1443" s="106"/>
      <c r="B1443" s="111"/>
      <c r="C1443" s="111"/>
      <c r="D1443" s="111"/>
      <c r="E1443" s="111"/>
      <c r="F1443" s="111"/>
      <c r="G1443" s="111"/>
    </row>
    <row r="1444" spans="1:7">
      <c r="A1444" s="106"/>
      <c r="B1444" s="111"/>
      <c r="C1444" s="111"/>
      <c r="D1444" s="111"/>
      <c r="E1444" s="111"/>
      <c r="F1444" s="111"/>
      <c r="G1444" s="111"/>
    </row>
    <row r="1445" spans="1:7">
      <c r="A1445" s="106"/>
      <c r="B1445" s="111"/>
      <c r="C1445" s="111"/>
      <c r="D1445" s="111"/>
      <c r="E1445" s="111"/>
      <c r="F1445" s="111"/>
      <c r="G1445" s="111"/>
    </row>
    <row r="1446" spans="1:7">
      <c r="A1446" s="106"/>
      <c r="B1446" s="111"/>
      <c r="C1446" s="111"/>
      <c r="D1446" s="111"/>
      <c r="E1446" s="111"/>
      <c r="F1446" s="111"/>
      <c r="G1446" s="111"/>
    </row>
    <row r="1447" spans="1:7">
      <c r="A1447" s="106"/>
      <c r="B1447" s="111"/>
      <c r="C1447" s="111"/>
      <c r="D1447" s="111"/>
      <c r="E1447" s="111"/>
      <c r="F1447" s="111"/>
      <c r="G1447" s="111"/>
    </row>
    <row r="1448" spans="1:7">
      <c r="A1448" s="106"/>
      <c r="B1448" s="111"/>
      <c r="C1448" s="111"/>
      <c r="D1448" s="111"/>
      <c r="E1448" s="111"/>
      <c r="F1448" s="111"/>
      <c r="G1448" s="111"/>
    </row>
    <row r="1449" spans="1:7">
      <c r="A1449" s="106"/>
      <c r="B1449" s="111"/>
      <c r="C1449" s="111"/>
      <c r="D1449" s="111"/>
      <c r="E1449" s="111"/>
      <c r="F1449" s="111"/>
      <c r="G1449" s="111"/>
    </row>
    <row r="1450" spans="1:7">
      <c r="A1450" s="106"/>
      <c r="B1450" s="111"/>
      <c r="C1450" s="111"/>
      <c r="D1450" s="111"/>
      <c r="E1450" s="111"/>
      <c r="F1450" s="111"/>
      <c r="G1450" s="111"/>
    </row>
    <row r="1451" spans="1:7">
      <c r="A1451" s="106"/>
      <c r="B1451" s="111"/>
      <c r="C1451" s="111"/>
      <c r="D1451" s="111"/>
      <c r="E1451" s="111"/>
      <c r="F1451" s="111"/>
      <c r="G1451" s="111"/>
    </row>
    <row r="1452" spans="1:7">
      <c r="A1452" s="106"/>
      <c r="B1452" s="111"/>
      <c r="C1452" s="111"/>
      <c r="D1452" s="111"/>
      <c r="E1452" s="111"/>
      <c r="F1452" s="111"/>
      <c r="G1452" s="111"/>
    </row>
    <row r="1453" spans="1:7">
      <c r="A1453" s="106"/>
      <c r="B1453" s="111"/>
      <c r="C1453" s="111"/>
      <c r="D1453" s="111"/>
      <c r="E1453" s="111"/>
      <c r="F1453" s="111"/>
      <c r="G1453" s="111"/>
    </row>
    <row r="1454" spans="1:7">
      <c r="A1454" s="106"/>
      <c r="B1454" s="111"/>
      <c r="C1454" s="111"/>
      <c r="D1454" s="111"/>
      <c r="E1454" s="111"/>
      <c r="F1454" s="111"/>
      <c r="G1454" s="111"/>
    </row>
    <row r="1455" spans="1:7">
      <c r="A1455" s="106"/>
      <c r="B1455" s="111"/>
      <c r="C1455" s="111"/>
      <c r="D1455" s="111"/>
      <c r="E1455" s="111"/>
      <c r="F1455" s="111"/>
      <c r="G1455" s="111"/>
    </row>
    <row r="1456" spans="1:7">
      <c r="A1456" s="106"/>
      <c r="B1456" s="111"/>
      <c r="C1456" s="111"/>
      <c r="D1456" s="111"/>
      <c r="E1456" s="111"/>
      <c r="F1456" s="111"/>
      <c r="G1456" s="111"/>
    </row>
    <row r="1457" spans="1:7">
      <c r="A1457" s="106"/>
      <c r="B1457" s="111"/>
      <c r="C1457" s="111"/>
      <c r="D1457" s="111"/>
      <c r="E1457" s="111"/>
      <c r="F1457" s="111"/>
      <c r="G1457" s="111"/>
    </row>
    <row r="1458" spans="1:7">
      <c r="A1458" s="106"/>
      <c r="B1458" s="111"/>
      <c r="C1458" s="111"/>
      <c r="D1458" s="111"/>
      <c r="E1458" s="111"/>
      <c r="F1458" s="111"/>
      <c r="G1458" s="111"/>
    </row>
    <row r="1459" spans="1:7">
      <c r="A1459" s="106"/>
      <c r="B1459" s="111"/>
      <c r="C1459" s="111"/>
      <c r="D1459" s="111"/>
      <c r="E1459" s="111"/>
      <c r="F1459" s="111"/>
      <c r="G1459" s="111"/>
    </row>
    <row r="1460" spans="1:7">
      <c r="A1460" s="106"/>
      <c r="B1460" s="111"/>
      <c r="C1460" s="111"/>
      <c r="D1460" s="111"/>
      <c r="E1460" s="111"/>
      <c r="F1460" s="111"/>
      <c r="G1460" s="111"/>
    </row>
    <row r="1461" spans="1:7">
      <c r="A1461" s="106"/>
      <c r="B1461" s="111"/>
      <c r="C1461" s="111"/>
      <c r="D1461" s="111"/>
      <c r="E1461" s="111"/>
      <c r="F1461" s="111"/>
      <c r="G1461" s="111"/>
    </row>
    <row r="1462" spans="1:7">
      <c r="A1462" s="106"/>
      <c r="B1462" s="111"/>
      <c r="C1462" s="111"/>
      <c r="D1462" s="111"/>
      <c r="E1462" s="111"/>
      <c r="F1462" s="111"/>
      <c r="G1462" s="111"/>
    </row>
    <row r="1463" spans="1:7">
      <c r="A1463" s="106"/>
      <c r="B1463" s="111"/>
      <c r="C1463" s="111"/>
      <c r="D1463" s="111"/>
      <c r="E1463" s="111"/>
      <c r="F1463" s="111"/>
      <c r="G1463" s="111"/>
    </row>
    <row r="1464" spans="1:7">
      <c r="A1464" s="106"/>
      <c r="B1464" s="111"/>
      <c r="C1464" s="111"/>
      <c r="D1464" s="111"/>
      <c r="E1464" s="111"/>
      <c r="F1464" s="111"/>
      <c r="G1464" s="111"/>
    </row>
    <row r="1465" spans="1:7">
      <c r="A1465" s="106"/>
      <c r="B1465" s="111"/>
      <c r="C1465" s="111"/>
      <c r="D1465" s="111"/>
      <c r="E1465" s="111"/>
      <c r="F1465" s="111"/>
      <c r="G1465" s="111"/>
    </row>
    <row r="1466" spans="1:7">
      <c r="A1466" s="106"/>
      <c r="B1466" s="111"/>
      <c r="C1466" s="111"/>
      <c r="D1466" s="111"/>
      <c r="E1466" s="111"/>
      <c r="F1466" s="111"/>
      <c r="G1466" s="111"/>
    </row>
    <row r="1467" spans="1:7">
      <c r="A1467" s="106"/>
      <c r="B1467" s="111"/>
      <c r="C1467" s="111"/>
      <c r="D1467" s="111"/>
      <c r="E1467" s="111"/>
      <c r="F1467" s="111"/>
      <c r="G1467" s="111"/>
    </row>
    <row r="1468" spans="1:7">
      <c r="A1468" s="106"/>
      <c r="B1468" s="111"/>
      <c r="C1468" s="111"/>
      <c r="D1468" s="111"/>
      <c r="E1468" s="111"/>
      <c r="F1468" s="111"/>
      <c r="G1468" s="111"/>
    </row>
    <row r="1469" spans="1:7">
      <c r="A1469" s="106"/>
      <c r="B1469" s="111"/>
      <c r="C1469" s="111"/>
      <c r="D1469" s="111"/>
      <c r="E1469" s="111"/>
      <c r="F1469" s="111"/>
      <c r="G1469" s="111"/>
    </row>
    <row r="1470" spans="1:7">
      <c r="A1470" s="106"/>
      <c r="B1470" s="111"/>
      <c r="C1470" s="111"/>
      <c r="D1470" s="111"/>
      <c r="E1470" s="111"/>
      <c r="F1470" s="111"/>
      <c r="G1470" s="111"/>
    </row>
    <row r="1471" spans="1:7">
      <c r="A1471" s="106"/>
      <c r="B1471" s="111"/>
      <c r="C1471" s="111"/>
      <c r="D1471" s="111"/>
      <c r="E1471" s="111"/>
      <c r="F1471" s="111"/>
      <c r="G1471" s="111"/>
    </row>
    <row r="1472" spans="1:7">
      <c r="A1472" s="106"/>
      <c r="B1472" s="111"/>
      <c r="C1472" s="111"/>
      <c r="D1472" s="111"/>
      <c r="E1472" s="111"/>
      <c r="F1472" s="111"/>
      <c r="G1472" s="111"/>
    </row>
    <row r="1473" spans="1:7">
      <c r="A1473" s="106"/>
      <c r="B1473" s="111"/>
      <c r="C1473" s="111"/>
      <c r="D1473" s="111"/>
      <c r="E1473" s="111"/>
      <c r="F1473" s="111"/>
      <c r="G1473" s="111"/>
    </row>
    <row r="1474" spans="1:7">
      <c r="A1474" s="106"/>
      <c r="B1474" s="111"/>
      <c r="C1474" s="111"/>
      <c r="D1474" s="111"/>
      <c r="E1474" s="111"/>
      <c r="F1474" s="111"/>
      <c r="G1474" s="111"/>
    </row>
    <row r="1475" spans="1:7">
      <c r="A1475" s="106"/>
      <c r="B1475" s="111"/>
      <c r="C1475" s="111"/>
      <c r="D1475" s="111"/>
      <c r="E1475" s="111"/>
      <c r="F1475" s="111"/>
      <c r="G1475" s="111"/>
    </row>
    <row r="1476" spans="1:7">
      <c r="A1476" s="106"/>
      <c r="B1476" s="111"/>
      <c r="C1476" s="111"/>
      <c r="D1476" s="111"/>
      <c r="E1476" s="111"/>
      <c r="F1476" s="111"/>
      <c r="G1476" s="111"/>
    </row>
    <row r="1477" spans="1:7">
      <c r="A1477" s="106"/>
      <c r="B1477" s="111"/>
      <c r="C1477" s="111"/>
      <c r="D1477" s="111"/>
      <c r="E1477" s="111"/>
      <c r="F1477" s="111"/>
      <c r="G1477" s="111"/>
    </row>
    <row r="1478" spans="1:7">
      <c r="A1478" s="106"/>
      <c r="B1478" s="111"/>
      <c r="C1478" s="111"/>
      <c r="D1478" s="111"/>
      <c r="E1478" s="111"/>
      <c r="F1478" s="111"/>
      <c r="G1478" s="111"/>
    </row>
    <row r="1479" spans="1:7">
      <c r="A1479" s="106"/>
      <c r="B1479" s="111"/>
      <c r="C1479" s="111"/>
      <c r="D1479" s="111"/>
      <c r="E1479" s="111"/>
      <c r="F1479" s="111"/>
      <c r="G1479" s="111"/>
    </row>
    <row r="1480" spans="1:7">
      <c r="A1480" s="106"/>
      <c r="B1480" s="111"/>
      <c r="C1480" s="111"/>
      <c r="D1480" s="111"/>
      <c r="E1480" s="111"/>
      <c r="F1480" s="111"/>
      <c r="G1480" s="111"/>
    </row>
    <row r="1481" spans="1:7">
      <c r="A1481" s="106"/>
      <c r="B1481" s="111"/>
      <c r="C1481" s="111"/>
      <c r="D1481" s="111"/>
      <c r="E1481" s="111"/>
      <c r="F1481" s="111"/>
      <c r="G1481" s="111"/>
    </row>
    <row r="1482" spans="1:7">
      <c r="A1482" s="106"/>
      <c r="B1482" s="111"/>
      <c r="C1482" s="111"/>
      <c r="D1482" s="111"/>
      <c r="E1482" s="111"/>
      <c r="F1482" s="111"/>
      <c r="G1482" s="111"/>
    </row>
    <row r="1483" spans="1:7">
      <c r="A1483" s="106"/>
      <c r="B1483" s="111"/>
      <c r="C1483" s="111"/>
      <c r="D1483" s="111"/>
      <c r="E1483" s="111"/>
      <c r="F1483" s="111"/>
      <c r="G1483" s="111"/>
    </row>
    <row r="1484" spans="1:7">
      <c r="A1484" s="106"/>
      <c r="B1484" s="111"/>
      <c r="C1484" s="111"/>
      <c r="D1484" s="111"/>
      <c r="E1484" s="111"/>
      <c r="F1484" s="111"/>
      <c r="G1484" s="111"/>
    </row>
    <row r="1485" spans="1:7">
      <c r="A1485" s="106"/>
      <c r="B1485" s="111"/>
      <c r="C1485" s="111"/>
      <c r="D1485" s="111"/>
      <c r="E1485" s="111"/>
      <c r="F1485" s="111"/>
      <c r="G1485" s="111"/>
    </row>
    <row r="1486" spans="1:7">
      <c r="A1486" s="106"/>
      <c r="B1486" s="111"/>
      <c r="C1486" s="111"/>
      <c r="D1486" s="111"/>
      <c r="E1486" s="111"/>
      <c r="F1486" s="111"/>
      <c r="G1486" s="111"/>
    </row>
    <row r="1487" spans="1:7">
      <c r="A1487" s="106"/>
      <c r="B1487" s="111"/>
      <c r="C1487" s="111"/>
      <c r="D1487" s="111"/>
      <c r="E1487" s="111"/>
      <c r="F1487" s="111"/>
      <c r="G1487" s="111"/>
    </row>
    <row r="1488" spans="1:7">
      <c r="A1488" s="106"/>
      <c r="B1488" s="111"/>
      <c r="C1488" s="111"/>
      <c r="D1488" s="111"/>
      <c r="E1488" s="111"/>
      <c r="F1488" s="111"/>
      <c r="G1488" s="111"/>
    </row>
    <row r="1489" spans="1:7">
      <c r="A1489" s="106"/>
      <c r="B1489" s="111"/>
      <c r="C1489" s="111"/>
      <c r="D1489" s="111"/>
      <c r="E1489" s="111"/>
      <c r="F1489" s="111"/>
      <c r="G1489" s="111"/>
    </row>
    <row r="1490" spans="1:7">
      <c r="A1490" s="106"/>
      <c r="B1490" s="111"/>
      <c r="C1490" s="111"/>
      <c r="D1490" s="111"/>
      <c r="E1490" s="111"/>
      <c r="F1490" s="111"/>
      <c r="G1490" s="111"/>
    </row>
    <row r="1491" spans="1:7">
      <c r="A1491" s="106"/>
      <c r="B1491" s="111"/>
      <c r="C1491" s="111"/>
      <c r="D1491" s="111"/>
      <c r="E1491" s="111"/>
      <c r="F1491" s="111"/>
      <c r="G1491" s="111"/>
    </row>
    <row r="1492" spans="1:7">
      <c r="A1492" s="106"/>
      <c r="B1492" s="111"/>
      <c r="C1492" s="111"/>
      <c r="D1492" s="111"/>
      <c r="E1492" s="111"/>
      <c r="F1492" s="111"/>
      <c r="G1492" s="111"/>
    </row>
    <row r="1493" spans="1:7">
      <c r="A1493" s="106"/>
      <c r="B1493" s="111"/>
      <c r="C1493" s="111"/>
      <c r="D1493" s="111"/>
      <c r="E1493" s="111"/>
      <c r="F1493" s="111"/>
      <c r="G1493" s="111"/>
    </row>
    <row r="1494" spans="1:7">
      <c r="A1494" s="106"/>
      <c r="B1494" s="111"/>
      <c r="C1494" s="111"/>
      <c r="D1494" s="111"/>
      <c r="E1494" s="111"/>
      <c r="F1494" s="111"/>
      <c r="G1494" s="111"/>
    </row>
    <row r="1495" spans="1:7">
      <c r="A1495" s="106"/>
      <c r="B1495" s="111"/>
      <c r="C1495" s="111"/>
      <c r="D1495" s="111"/>
      <c r="E1495" s="111"/>
      <c r="F1495" s="111"/>
      <c r="G1495" s="111"/>
    </row>
    <row r="1496" spans="1:7">
      <c r="A1496" s="106"/>
      <c r="B1496" s="111"/>
      <c r="C1496" s="111"/>
      <c r="D1496" s="111"/>
      <c r="E1496" s="111"/>
      <c r="F1496" s="111"/>
      <c r="G1496" s="111"/>
    </row>
    <row r="1497" spans="1:7">
      <c r="A1497" s="106"/>
      <c r="B1497" s="111"/>
      <c r="C1497" s="111"/>
      <c r="D1497" s="111"/>
      <c r="E1497" s="111"/>
      <c r="F1497" s="111"/>
      <c r="G1497" s="111"/>
    </row>
    <row r="1498" spans="1:7">
      <c r="A1498" s="106"/>
      <c r="B1498" s="111"/>
      <c r="C1498" s="111"/>
      <c r="D1498" s="111"/>
      <c r="E1498" s="111"/>
      <c r="F1498" s="111"/>
      <c r="G1498" s="111"/>
    </row>
    <row r="1499" spans="1:7">
      <c r="A1499" s="106"/>
      <c r="B1499" s="111"/>
      <c r="C1499" s="111"/>
      <c r="D1499" s="111"/>
      <c r="E1499" s="111"/>
      <c r="F1499" s="111"/>
      <c r="G1499" s="111"/>
    </row>
    <row r="1500" spans="1:7">
      <c r="A1500" s="106"/>
      <c r="B1500" s="111"/>
      <c r="C1500" s="111"/>
      <c r="D1500" s="111"/>
      <c r="E1500" s="111"/>
      <c r="F1500" s="111"/>
      <c r="G1500" s="111"/>
    </row>
    <row r="1501" spans="1:7">
      <c r="A1501" s="106"/>
      <c r="B1501" s="111"/>
      <c r="C1501" s="111"/>
      <c r="D1501" s="111"/>
      <c r="E1501" s="111"/>
      <c r="F1501" s="111"/>
      <c r="G1501" s="111"/>
    </row>
    <row r="1502" spans="1:7">
      <c r="A1502" s="106"/>
      <c r="B1502" s="111"/>
      <c r="C1502" s="111"/>
      <c r="D1502" s="111"/>
      <c r="E1502" s="111"/>
      <c r="F1502" s="111"/>
      <c r="G1502" s="111"/>
    </row>
    <row r="1503" spans="1:7">
      <c r="A1503" s="106"/>
      <c r="B1503" s="111"/>
      <c r="C1503" s="111"/>
      <c r="D1503" s="111"/>
      <c r="E1503" s="111"/>
      <c r="F1503" s="111"/>
      <c r="G1503" s="111"/>
    </row>
    <row r="1504" spans="1:7">
      <c r="A1504" s="106"/>
      <c r="B1504" s="111"/>
      <c r="C1504" s="111"/>
      <c r="D1504" s="111"/>
      <c r="E1504" s="111"/>
      <c r="F1504" s="111"/>
      <c r="G1504" s="111"/>
    </row>
    <row r="1505" spans="1:7">
      <c r="A1505" s="106"/>
      <c r="B1505" s="111"/>
      <c r="C1505" s="111"/>
      <c r="D1505" s="111"/>
      <c r="E1505" s="111"/>
      <c r="F1505" s="111"/>
      <c r="G1505" s="111"/>
    </row>
    <row r="1506" spans="1:7">
      <c r="A1506" s="106"/>
      <c r="B1506" s="111"/>
      <c r="C1506" s="111"/>
      <c r="D1506" s="111"/>
      <c r="E1506" s="111"/>
      <c r="F1506" s="111"/>
      <c r="G1506" s="111"/>
    </row>
    <row r="1507" spans="1:7">
      <c r="A1507" s="106"/>
      <c r="B1507" s="111"/>
      <c r="C1507" s="111"/>
      <c r="D1507" s="111"/>
      <c r="E1507" s="111"/>
      <c r="F1507" s="111"/>
      <c r="G1507" s="111"/>
    </row>
    <row r="1508" spans="1:7">
      <c r="A1508" s="106"/>
      <c r="B1508" s="111"/>
      <c r="C1508" s="111"/>
      <c r="D1508" s="111"/>
      <c r="E1508" s="111"/>
      <c r="F1508" s="111"/>
      <c r="G1508" s="111"/>
    </row>
    <row r="1509" spans="1:7">
      <c r="A1509" s="106"/>
      <c r="B1509" s="111"/>
      <c r="C1509" s="111"/>
      <c r="D1509" s="111"/>
      <c r="E1509" s="111"/>
      <c r="F1509" s="111"/>
      <c r="G1509" s="111"/>
    </row>
    <row r="1510" spans="1:7">
      <c r="A1510" s="106"/>
      <c r="B1510" s="111"/>
      <c r="C1510" s="111"/>
      <c r="D1510" s="111"/>
      <c r="E1510" s="111"/>
      <c r="F1510" s="111"/>
      <c r="G1510" s="111"/>
    </row>
    <row r="1511" spans="1:7">
      <c r="A1511" s="106"/>
      <c r="B1511" s="111"/>
      <c r="C1511" s="111"/>
      <c r="D1511" s="111"/>
      <c r="E1511" s="111"/>
      <c r="F1511" s="111"/>
      <c r="G1511" s="111"/>
    </row>
    <row r="1512" spans="1:7">
      <c r="A1512" s="106"/>
      <c r="B1512" s="111"/>
      <c r="C1512" s="111"/>
      <c r="D1512" s="111"/>
      <c r="E1512" s="111"/>
      <c r="F1512" s="111"/>
      <c r="G1512" s="111"/>
    </row>
    <row r="1513" spans="1:7">
      <c r="A1513" s="106"/>
      <c r="B1513" s="111"/>
      <c r="C1513" s="111"/>
      <c r="D1513" s="111"/>
      <c r="E1513" s="111"/>
      <c r="F1513" s="111"/>
      <c r="G1513" s="111"/>
    </row>
    <row r="1514" spans="1:7">
      <c r="A1514" s="106"/>
      <c r="B1514" s="111"/>
      <c r="C1514" s="111"/>
      <c r="D1514" s="111"/>
      <c r="E1514" s="111"/>
      <c r="F1514" s="111"/>
      <c r="G1514" s="111"/>
    </row>
    <row r="1515" spans="1:7">
      <c r="A1515" s="106"/>
      <c r="B1515" s="111"/>
      <c r="C1515" s="111"/>
      <c r="D1515" s="111"/>
      <c r="E1515" s="111"/>
      <c r="F1515" s="111"/>
      <c r="G1515" s="111"/>
    </row>
    <row r="1516" spans="1:7">
      <c r="A1516" s="106"/>
      <c r="B1516" s="111"/>
      <c r="C1516" s="111"/>
      <c r="D1516" s="111"/>
      <c r="E1516" s="111"/>
      <c r="F1516" s="111"/>
      <c r="G1516" s="111"/>
    </row>
    <row r="1517" spans="1:7">
      <c r="A1517" s="106"/>
      <c r="B1517" s="111"/>
      <c r="C1517" s="111"/>
      <c r="D1517" s="111"/>
      <c r="E1517" s="111"/>
      <c r="F1517" s="111"/>
      <c r="G1517" s="111"/>
    </row>
    <row r="1518" spans="1:7">
      <c r="A1518" s="106"/>
      <c r="B1518" s="111"/>
      <c r="C1518" s="111"/>
      <c r="D1518" s="111"/>
      <c r="E1518" s="111"/>
      <c r="F1518" s="111"/>
      <c r="G1518" s="111"/>
    </row>
    <row r="1519" spans="1:7">
      <c r="A1519" s="106"/>
      <c r="B1519" s="111"/>
      <c r="C1519" s="111"/>
      <c r="D1519" s="111"/>
      <c r="E1519" s="111"/>
      <c r="F1519" s="111"/>
      <c r="G1519" s="111"/>
    </row>
    <row r="1520" spans="1:7">
      <c r="A1520" s="106"/>
      <c r="B1520" s="111"/>
      <c r="C1520" s="111"/>
      <c r="D1520" s="111"/>
      <c r="E1520" s="111"/>
      <c r="F1520" s="111"/>
      <c r="G1520" s="111"/>
    </row>
    <row r="1521" spans="1:7">
      <c r="A1521" s="106"/>
      <c r="B1521" s="111"/>
      <c r="C1521" s="111"/>
      <c r="D1521" s="111"/>
      <c r="E1521" s="111"/>
      <c r="F1521" s="111"/>
      <c r="G1521" s="111"/>
    </row>
    <row r="1522" spans="1:7">
      <c r="A1522" s="106"/>
      <c r="B1522" s="111"/>
      <c r="C1522" s="111"/>
      <c r="D1522" s="111"/>
      <c r="E1522" s="111"/>
      <c r="F1522" s="111"/>
      <c r="G1522" s="111"/>
    </row>
    <row r="1523" spans="1:7">
      <c r="A1523" s="106"/>
      <c r="B1523" s="111"/>
      <c r="C1523" s="111"/>
      <c r="D1523" s="111"/>
      <c r="E1523" s="111"/>
      <c r="F1523" s="111"/>
      <c r="G1523" s="111"/>
    </row>
    <row r="1524" spans="1:7">
      <c r="A1524" s="106"/>
      <c r="B1524" s="111"/>
      <c r="C1524" s="111"/>
      <c r="D1524" s="111"/>
      <c r="E1524" s="111"/>
      <c r="F1524" s="111"/>
      <c r="G1524" s="111"/>
    </row>
    <row r="1525" spans="1:7">
      <c r="A1525" s="106"/>
      <c r="B1525" s="111"/>
      <c r="C1525" s="111"/>
      <c r="D1525" s="111"/>
      <c r="E1525" s="111"/>
      <c r="F1525" s="111"/>
      <c r="G1525" s="111"/>
    </row>
    <row r="1526" spans="1:7">
      <c r="A1526" s="106"/>
      <c r="B1526" s="111"/>
      <c r="C1526" s="111"/>
      <c r="D1526" s="111"/>
      <c r="E1526" s="111"/>
      <c r="F1526" s="111"/>
      <c r="G1526" s="111"/>
    </row>
    <row r="1527" spans="1:7">
      <c r="A1527" s="106"/>
      <c r="B1527" s="111"/>
      <c r="C1527" s="111"/>
      <c r="D1527" s="111"/>
      <c r="E1527" s="111"/>
      <c r="F1527" s="111"/>
      <c r="G1527" s="111"/>
    </row>
    <row r="1528" spans="1:7">
      <c r="A1528" s="106"/>
      <c r="B1528" s="111"/>
      <c r="C1528" s="111"/>
      <c r="D1528" s="111"/>
      <c r="E1528" s="111"/>
      <c r="F1528" s="111"/>
      <c r="G1528" s="111"/>
    </row>
    <row r="1529" spans="1:7">
      <c r="A1529" s="106"/>
      <c r="B1529" s="111"/>
      <c r="C1529" s="111"/>
      <c r="D1529" s="111"/>
      <c r="E1529" s="111"/>
      <c r="F1529" s="111"/>
      <c r="G1529" s="111"/>
    </row>
    <row r="1530" spans="1:7">
      <c r="A1530" s="106"/>
      <c r="B1530" s="111"/>
      <c r="C1530" s="111"/>
      <c r="D1530" s="111"/>
      <c r="E1530" s="111"/>
      <c r="F1530" s="111"/>
      <c r="G1530" s="111"/>
    </row>
    <row r="1531" spans="1:7">
      <c r="A1531" s="106"/>
      <c r="B1531" s="111"/>
      <c r="C1531" s="111"/>
      <c r="D1531" s="111"/>
      <c r="E1531" s="111"/>
      <c r="F1531" s="111"/>
      <c r="G1531" s="111"/>
    </row>
    <row r="1532" spans="1:7">
      <c r="A1532" s="106"/>
      <c r="B1532" s="111"/>
      <c r="C1532" s="111"/>
      <c r="D1532" s="111"/>
      <c r="E1532" s="111"/>
      <c r="F1532" s="111"/>
      <c r="G1532" s="111"/>
    </row>
    <row r="1533" spans="1:7">
      <c r="A1533" s="106"/>
      <c r="B1533" s="111"/>
      <c r="C1533" s="111"/>
      <c r="D1533" s="111"/>
      <c r="E1533" s="111"/>
      <c r="F1533" s="111"/>
      <c r="G1533" s="111"/>
    </row>
    <row r="1534" spans="1:7">
      <c r="A1534" s="106"/>
      <c r="B1534" s="111"/>
      <c r="C1534" s="111"/>
      <c r="D1534" s="111"/>
      <c r="E1534" s="111"/>
      <c r="F1534" s="111"/>
      <c r="G1534" s="111"/>
    </row>
    <row r="1535" spans="1:7">
      <c r="A1535" s="106"/>
      <c r="B1535" s="111"/>
      <c r="C1535" s="111"/>
      <c r="D1535" s="111"/>
      <c r="E1535" s="111"/>
      <c r="F1535" s="111"/>
      <c r="G1535" s="111"/>
    </row>
    <row r="1536" spans="1:7">
      <c r="A1536" s="106"/>
      <c r="B1536" s="111"/>
      <c r="C1536" s="111"/>
      <c r="D1536" s="111"/>
      <c r="E1536" s="111"/>
      <c r="F1536" s="111"/>
      <c r="G1536" s="111"/>
    </row>
    <row r="1537" spans="1:7">
      <c r="A1537" s="106"/>
      <c r="B1537" s="111"/>
      <c r="C1537" s="111"/>
      <c r="D1537" s="111"/>
      <c r="E1537" s="111"/>
      <c r="F1537" s="111"/>
      <c r="G1537" s="111"/>
    </row>
    <row r="1538" spans="1:7">
      <c r="A1538" s="106"/>
      <c r="B1538" s="111"/>
      <c r="C1538" s="111"/>
      <c r="D1538" s="111"/>
      <c r="E1538" s="111"/>
      <c r="F1538" s="111"/>
      <c r="G1538" s="111"/>
    </row>
    <row r="1539" spans="1:7">
      <c r="A1539" s="106"/>
      <c r="B1539" s="111"/>
      <c r="C1539" s="111"/>
      <c r="D1539" s="111"/>
      <c r="E1539" s="111"/>
      <c r="F1539" s="111"/>
      <c r="G1539" s="111"/>
    </row>
    <row r="1540" spans="1:7">
      <c r="A1540" s="106"/>
      <c r="B1540" s="111"/>
      <c r="C1540" s="111"/>
      <c r="D1540" s="111"/>
      <c r="E1540" s="111"/>
      <c r="F1540" s="111"/>
      <c r="G1540" s="111"/>
    </row>
    <row r="1541" spans="1:7">
      <c r="A1541" s="106"/>
      <c r="B1541" s="111"/>
      <c r="C1541" s="111"/>
      <c r="D1541" s="111"/>
      <c r="E1541" s="111"/>
      <c r="F1541" s="111"/>
      <c r="G1541" s="111"/>
    </row>
    <row r="1542" spans="1:7">
      <c r="A1542" s="106"/>
      <c r="B1542" s="111"/>
      <c r="C1542" s="111"/>
      <c r="D1542" s="111"/>
      <c r="E1542" s="111"/>
      <c r="F1542" s="111"/>
      <c r="G1542" s="111"/>
    </row>
    <row r="1543" spans="1:7">
      <c r="A1543" s="106"/>
      <c r="B1543" s="111"/>
      <c r="C1543" s="111"/>
      <c r="D1543" s="111"/>
      <c r="E1543" s="111"/>
      <c r="F1543" s="111"/>
      <c r="G1543" s="111"/>
    </row>
    <row r="1544" spans="1:7">
      <c r="A1544" s="106"/>
      <c r="B1544" s="111"/>
      <c r="C1544" s="111"/>
      <c r="D1544" s="111"/>
      <c r="E1544" s="111"/>
      <c r="F1544" s="111"/>
      <c r="G1544" s="111"/>
    </row>
    <row r="1545" spans="1:7">
      <c r="A1545" s="106"/>
      <c r="B1545" s="111"/>
      <c r="C1545" s="111"/>
      <c r="D1545" s="111"/>
      <c r="E1545" s="111"/>
      <c r="F1545" s="111"/>
      <c r="G1545" s="111"/>
    </row>
    <row r="1546" spans="1:7">
      <c r="A1546" s="106"/>
      <c r="B1546" s="111"/>
      <c r="C1546" s="111"/>
      <c r="D1546" s="111"/>
      <c r="E1546" s="111"/>
      <c r="F1546" s="111"/>
      <c r="G1546" s="111"/>
    </row>
    <row r="1547" spans="1:7">
      <c r="A1547" s="106"/>
      <c r="B1547" s="111"/>
      <c r="C1547" s="111"/>
      <c r="D1547" s="111"/>
      <c r="E1547" s="111"/>
      <c r="F1547" s="111"/>
      <c r="G1547" s="111"/>
    </row>
    <row r="1548" spans="1:7">
      <c r="A1548" s="106"/>
      <c r="B1548" s="111"/>
      <c r="C1548" s="111"/>
      <c r="D1548" s="111"/>
      <c r="E1548" s="111"/>
      <c r="F1548" s="111"/>
      <c r="G1548" s="111"/>
    </row>
    <row r="1549" spans="1:7">
      <c r="A1549" s="106"/>
      <c r="B1549" s="111"/>
      <c r="C1549" s="111"/>
      <c r="D1549" s="111"/>
      <c r="E1549" s="111"/>
      <c r="F1549" s="111"/>
      <c r="G1549" s="111"/>
    </row>
    <row r="1550" spans="1:7">
      <c r="A1550" s="106"/>
      <c r="B1550" s="111"/>
      <c r="C1550" s="111"/>
      <c r="D1550" s="111"/>
      <c r="E1550" s="111"/>
      <c r="F1550" s="111"/>
      <c r="G1550" s="111"/>
    </row>
    <row r="1551" spans="1:7">
      <c r="A1551" s="106"/>
      <c r="B1551" s="111"/>
      <c r="C1551" s="111"/>
      <c r="D1551" s="111"/>
      <c r="E1551" s="111"/>
      <c r="F1551" s="111"/>
      <c r="G1551" s="111"/>
    </row>
    <row r="1552" spans="1:7">
      <c r="A1552" s="106"/>
      <c r="B1552" s="111"/>
      <c r="C1552" s="111"/>
      <c r="D1552" s="111"/>
      <c r="E1552" s="111"/>
      <c r="F1552" s="111"/>
      <c r="G1552" s="111"/>
    </row>
    <row r="1553" spans="1:7">
      <c r="A1553" s="106"/>
      <c r="B1553" s="111"/>
      <c r="C1553" s="111"/>
      <c r="D1553" s="111"/>
      <c r="E1553" s="111"/>
      <c r="F1553" s="111"/>
      <c r="G1553" s="111"/>
    </row>
    <row r="1554" spans="1:7">
      <c r="A1554" s="106"/>
      <c r="B1554" s="111"/>
      <c r="C1554" s="111"/>
      <c r="D1554" s="111"/>
      <c r="E1554" s="111"/>
      <c r="F1554" s="111"/>
      <c r="G1554" s="111"/>
    </row>
    <row r="1555" spans="1:7">
      <c r="A1555" s="106"/>
      <c r="B1555" s="111"/>
      <c r="C1555" s="111"/>
      <c r="D1555" s="111"/>
      <c r="E1555" s="111"/>
      <c r="F1555" s="111"/>
      <c r="G1555" s="111"/>
    </row>
    <row r="1556" spans="1:7">
      <c r="A1556" s="106"/>
      <c r="B1556" s="111"/>
      <c r="C1556" s="111"/>
      <c r="D1556" s="111"/>
      <c r="E1556" s="111"/>
      <c r="F1556" s="111"/>
      <c r="G1556" s="111"/>
    </row>
    <row r="1557" spans="1:7">
      <c r="A1557" s="106"/>
      <c r="B1557" s="111"/>
      <c r="C1557" s="111"/>
      <c r="D1557" s="111"/>
      <c r="E1557" s="111"/>
      <c r="F1557" s="111"/>
      <c r="G1557" s="111"/>
    </row>
    <row r="1558" spans="1:7">
      <c r="A1558" s="106"/>
      <c r="B1558" s="111"/>
      <c r="C1558" s="111"/>
      <c r="D1558" s="111"/>
      <c r="E1558" s="111"/>
      <c r="F1558" s="111"/>
      <c r="G1558" s="111"/>
    </row>
    <row r="1559" spans="1:7">
      <c r="A1559" s="106"/>
      <c r="B1559" s="111"/>
      <c r="C1559" s="111"/>
      <c r="D1559" s="111"/>
      <c r="E1559" s="111"/>
      <c r="F1559" s="111"/>
      <c r="G1559" s="111"/>
    </row>
    <row r="1560" spans="1:7">
      <c r="A1560" s="106"/>
      <c r="B1560" s="111"/>
      <c r="C1560" s="111"/>
      <c r="D1560" s="111"/>
      <c r="E1560" s="111"/>
      <c r="F1560" s="111"/>
      <c r="G1560" s="111"/>
    </row>
    <row r="1561" spans="1:7">
      <c r="A1561" s="106"/>
      <c r="B1561" s="111"/>
      <c r="C1561" s="111"/>
      <c r="D1561" s="111"/>
      <c r="E1561" s="111"/>
      <c r="F1561" s="111"/>
      <c r="G1561" s="111"/>
    </row>
    <row r="1562" spans="1:7">
      <c r="A1562" s="106"/>
      <c r="B1562" s="111"/>
      <c r="C1562" s="111"/>
      <c r="D1562" s="111"/>
      <c r="E1562" s="111"/>
      <c r="F1562" s="111"/>
      <c r="G1562" s="111"/>
    </row>
    <row r="1563" spans="1:7">
      <c r="A1563" s="106"/>
      <c r="B1563" s="111"/>
      <c r="C1563" s="111"/>
      <c r="D1563" s="111"/>
      <c r="E1563" s="111"/>
      <c r="F1563" s="111"/>
      <c r="G1563" s="111"/>
    </row>
    <row r="1564" spans="1:7">
      <c r="A1564" s="106"/>
      <c r="B1564" s="111"/>
      <c r="C1564" s="111"/>
      <c r="D1564" s="111"/>
      <c r="E1564" s="111"/>
      <c r="F1564" s="111"/>
      <c r="G1564" s="111"/>
    </row>
    <row r="1565" spans="1:7">
      <c r="A1565" s="106"/>
      <c r="B1565" s="111"/>
      <c r="C1565" s="111"/>
      <c r="D1565" s="111"/>
      <c r="E1565" s="111"/>
      <c r="F1565" s="111"/>
      <c r="G1565" s="111"/>
    </row>
    <row r="1566" spans="1:7">
      <c r="A1566" s="106"/>
      <c r="B1566" s="111"/>
      <c r="C1566" s="111"/>
      <c r="D1566" s="111"/>
      <c r="E1566" s="111"/>
      <c r="F1566" s="111"/>
      <c r="G1566" s="111"/>
    </row>
    <row r="1567" spans="1:7">
      <c r="A1567" s="106"/>
      <c r="B1567" s="111"/>
      <c r="C1567" s="111"/>
      <c r="D1567" s="111"/>
      <c r="E1567" s="111"/>
      <c r="F1567" s="111"/>
      <c r="G1567" s="111"/>
    </row>
    <row r="1568" spans="1:7">
      <c r="A1568" s="106"/>
      <c r="B1568" s="111"/>
      <c r="C1568" s="111"/>
      <c r="D1568" s="111"/>
      <c r="E1568" s="111"/>
      <c r="F1568" s="111"/>
      <c r="G1568" s="111"/>
    </row>
    <row r="1569" spans="1:7">
      <c r="A1569" s="106"/>
      <c r="B1569" s="111"/>
      <c r="C1569" s="111"/>
      <c r="D1569" s="111"/>
      <c r="E1569" s="111"/>
      <c r="F1569" s="111"/>
      <c r="G1569" s="111"/>
    </row>
    <row r="1570" spans="1:7">
      <c r="A1570" s="106"/>
      <c r="B1570" s="111"/>
      <c r="C1570" s="111"/>
      <c r="D1570" s="111"/>
      <c r="E1570" s="111"/>
      <c r="F1570" s="111"/>
      <c r="G1570" s="111"/>
    </row>
    <row r="1571" spans="1:7">
      <c r="A1571" s="106"/>
      <c r="B1571" s="111"/>
      <c r="C1571" s="111"/>
      <c r="D1571" s="111"/>
      <c r="E1571" s="111"/>
      <c r="F1571" s="111"/>
      <c r="G1571" s="111"/>
    </row>
    <row r="1572" spans="1:7">
      <c r="A1572" s="106"/>
      <c r="B1572" s="111"/>
      <c r="C1572" s="111"/>
      <c r="D1572" s="111"/>
      <c r="E1572" s="111"/>
      <c r="F1572" s="111"/>
      <c r="G1572" s="111"/>
    </row>
    <row r="1573" spans="1:7">
      <c r="A1573" s="106"/>
      <c r="B1573" s="111"/>
      <c r="C1573" s="111"/>
      <c r="D1573" s="111"/>
      <c r="E1573" s="111"/>
      <c r="F1573" s="111"/>
      <c r="G1573" s="111"/>
    </row>
    <row r="1574" spans="1:7">
      <c r="A1574" s="106"/>
      <c r="B1574" s="111"/>
      <c r="C1574" s="111"/>
      <c r="D1574" s="111"/>
      <c r="E1574" s="111"/>
      <c r="F1574" s="111"/>
      <c r="G1574" s="111"/>
    </row>
    <row r="1575" spans="1:7">
      <c r="A1575" s="106"/>
      <c r="B1575" s="111"/>
      <c r="C1575" s="111"/>
      <c r="D1575" s="111"/>
      <c r="E1575" s="111"/>
      <c r="F1575" s="111"/>
      <c r="G1575" s="111"/>
    </row>
    <row r="1576" spans="1:7">
      <c r="A1576" s="106"/>
      <c r="B1576" s="111"/>
      <c r="C1576" s="111"/>
      <c r="D1576" s="111"/>
      <c r="E1576" s="111"/>
      <c r="F1576" s="111"/>
      <c r="G1576" s="111"/>
    </row>
    <row r="1577" spans="1:7">
      <c r="A1577" s="106"/>
      <c r="B1577" s="111"/>
      <c r="C1577" s="111"/>
      <c r="D1577" s="111"/>
      <c r="E1577" s="111"/>
      <c r="F1577" s="111"/>
      <c r="G1577" s="111"/>
    </row>
    <row r="1578" spans="1:7">
      <c r="A1578" s="106"/>
      <c r="B1578" s="111"/>
      <c r="C1578" s="111"/>
      <c r="D1578" s="111"/>
      <c r="E1578" s="111"/>
      <c r="F1578" s="111"/>
      <c r="G1578" s="111"/>
    </row>
    <row r="1579" spans="1:7">
      <c r="A1579" s="106"/>
      <c r="B1579" s="111"/>
      <c r="C1579" s="111"/>
      <c r="D1579" s="111"/>
      <c r="E1579" s="111"/>
      <c r="F1579" s="111"/>
      <c r="G1579" s="111"/>
    </row>
    <row r="1580" spans="1:7">
      <c r="A1580" s="106"/>
      <c r="B1580" s="111"/>
      <c r="C1580" s="111"/>
      <c r="D1580" s="111"/>
      <c r="E1580" s="111"/>
      <c r="F1580" s="111"/>
      <c r="G1580" s="111"/>
    </row>
    <row r="1581" spans="1:7">
      <c r="A1581" s="106"/>
      <c r="B1581" s="111"/>
      <c r="C1581" s="111"/>
      <c r="D1581" s="111"/>
      <c r="E1581" s="111"/>
      <c r="F1581" s="111"/>
      <c r="G1581" s="111"/>
    </row>
    <row r="1582" spans="1:7">
      <c r="A1582" s="106"/>
      <c r="B1582" s="111"/>
      <c r="C1582" s="111"/>
      <c r="D1582" s="111"/>
      <c r="E1582" s="111"/>
      <c r="F1582" s="111"/>
      <c r="G1582" s="111"/>
    </row>
    <row r="1583" spans="1:7">
      <c r="A1583" s="106"/>
      <c r="B1583" s="111"/>
      <c r="C1583" s="111"/>
      <c r="D1583" s="111"/>
      <c r="E1583" s="111"/>
      <c r="F1583" s="111"/>
      <c r="G1583" s="111"/>
    </row>
    <row r="1584" spans="1:7">
      <c r="A1584" s="106"/>
      <c r="B1584" s="111"/>
      <c r="C1584" s="111"/>
      <c r="D1584" s="111"/>
      <c r="E1584" s="111"/>
      <c r="F1584" s="111"/>
      <c r="G1584" s="111"/>
    </row>
    <row r="1585" spans="1:7">
      <c r="A1585" s="106"/>
      <c r="B1585" s="111"/>
      <c r="C1585" s="111"/>
      <c r="D1585" s="111"/>
      <c r="E1585" s="111"/>
      <c r="F1585" s="111"/>
      <c r="G1585" s="111"/>
    </row>
    <row r="1586" spans="1:7">
      <c r="A1586" s="106"/>
      <c r="B1586" s="111"/>
      <c r="C1586" s="111"/>
      <c r="D1586" s="111"/>
      <c r="E1586" s="111"/>
      <c r="F1586" s="111"/>
      <c r="G1586" s="111"/>
    </row>
    <row r="1587" spans="1:7">
      <c r="A1587" s="106"/>
      <c r="B1587" s="111"/>
      <c r="C1587" s="111"/>
      <c r="D1587" s="111"/>
      <c r="E1587" s="111"/>
      <c r="F1587" s="111"/>
      <c r="G1587" s="111"/>
    </row>
    <row r="1588" spans="1:7">
      <c r="A1588" s="106"/>
      <c r="B1588" s="111"/>
      <c r="C1588" s="111"/>
      <c r="D1588" s="111"/>
      <c r="E1588" s="111"/>
      <c r="F1588" s="111"/>
      <c r="G1588" s="111"/>
    </row>
    <row r="1589" spans="1:7">
      <c r="A1589" s="106"/>
      <c r="B1589" s="111"/>
      <c r="C1589" s="111"/>
      <c r="D1589" s="111"/>
      <c r="E1589" s="111"/>
      <c r="F1589" s="111"/>
      <c r="G1589" s="111"/>
    </row>
    <row r="1590" spans="1:7">
      <c r="A1590" s="106"/>
      <c r="B1590" s="111"/>
      <c r="C1590" s="111"/>
      <c r="D1590" s="111"/>
      <c r="E1590" s="111"/>
      <c r="F1590" s="111"/>
      <c r="G1590" s="111"/>
    </row>
    <row r="1591" spans="1:7">
      <c r="A1591" s="106"/>
      <c r="B1591" s="111"/>
      <c r="C1591" s="111"/>
      <c r="D1591" s="111"/>
      <c r="E1591" s="111"/>
      <c r="F1591" s="111"/>
      <c r="G1591" s="111"/>
    </row>
    <row r="1592" spans="1:7">
      <c r="A1592" s="106"/>
      <c r="B1592" s="111"/>
      <c r="C1592" s="111"/>
      <c r="D1592" s="111"/>
      <c r="E1592" s="111"/>
      <c r="F1592" s="111"/>
      <c r="G1592" s="111"/>
    </row>
    <row r="1593" spans="1:7">
      <c r="A1593" s="106"/>
      <c r="B1593" s="111"/>
      <c r="C1593" s="111"/>
      <c r="D1593" s="111"/>
      <c r="E1593" s="111"/>
      <c r="F1593" s="111"/>
      <c r="G1593" s="111"/>
    </row>
    <row r="1594" spans="1:7">
      <c r="A1594" s="106"/>
      <c r="B1594" s="111"/>
      <c r="C1594" s="111"/>
      <c r="D1594" s="111"/>
      <c r="E1594" s="111"/>
      <c r="F1594" s="111"/>
      <c r="G1594" s="111"/>
    </row>
    <row r="1595" spans="1:7">
      <c r="A1595" s="106"/>
      <c r="B1595" s="111"/>
      <c r="C1595" s="111"/>
      <c r="D1595" s="111"/>
      <c r="E1595" s="111"/>
      <c r="F1595" s="111"/>
      <c r="G1595" s="111"/>
    </row>
    <row r="1596" spans="1:7">
      <c r="A1596" s="106"/>
      <c r="B1596" s="111"/>
      <c r="C1596" s="111"/>
      <c r="D1596" s="111"/>
      <c r="E1596" s="111"/>
      <c r="F1596" s="111"/>
      <c r="G1596" s="111"/>
    </row>
    <row r="1597" spans="1:7">
      <c r="A1597" s="106"/>
      <c r="B1597" s="111"/>
      <c r="C1597" s="111"/>
      <c r="D1597" s="111"/>
      <c r="E1597" s="111"/>
      <c r="F1597" s="111"/>
      <c r="G1597" s="111"/>
    </row>
    <row r="1598" spans="1:7">
      <c r="A1598" s="106"/>
      <c r="B1598" s="111"/>
      <c r="C1598" s="111"/>
      <c r="D1598" s="111"/>
      <c r="E1598" s="111"/>
      <c r="F1598" s="111"/>
      <c r="G1598" s="111"/>
    </row>
    <row r="1599" spans="1:7">
      <c r="A1599" s="106"/>
      <c r="B1599" s="111"/>
      <c r="C1599" s="111"/>
      <c r="D1599" s="111"/>
      <c r="E1599" s="111"/>
      <c r="F1599" s="111"/>
      <c r="G1599" s="111"/>
    </row>
    <row r="1600" spans="1:7">
      <c r="A1600" s="106"/>
      <c r="B1600" s="111"/>
      <c r="C1600" s="111"/>
      <c r="D1600" s="111"/>
      <c r="E1600" s="111"/>
      <c r="F1600" s="111"/>
      <c r="G1600" s="111"/>
    </row>
    <row r="1601" spans="1:7">
      <c r="A1601" s="106"/>
      <c r="B1601" s="111"/>
      <c r="C1601" s="111"/>
      <c r="D1601" s="111"/>
      <c r="E1601" s="111"/>
      <c r="F1601" s="111"/>
      <c r="G1601" s="111"/>
    </row>
    <row r="1602" spans="1:7">
      <c r="A1602" s="106"/>
      <c r="B1602" s="111"/>
      <c r="C1602" s="111"/>
      <c r="D1602" s="111"/>
      <c r="E1602" s="111"/>
      <c r="F1602" s="111"/>
      <c r="G1602" s="111"/>
    </row>
    <row r="1603" spans="1:7">
      <c r="A1603" s="106"/>
      <c r="B1603" s="111"/>
      <c r="C1603" s="111"/>
      <c r="D1603" s="111"/>
      <c r="E1603" s="111"/>
      <c r="F1603" s="111"/>
      <c r="G1603" s="111"/>
    </row>
    <row r="1604" spans="1:7">
      <c r="A1604" s="106"/>
      <c r="B1604" s="111"/>
      <c r="C1604" s="111"/>
      <c r="D1604" s="111"/>
      <c r="E1604" s="111"/>
      <c r="F1604" s="111"/>
      <c r="G1604" s="111"/>
    </row>
    <row r="1605" spans="1:7">
      <c r="A1605" s="106"/>
      <c r="B1605" s="111"/>
      <c r="C1605" s="111"/>
      <c r="D1605" s="111"/>
      <c r="E1605" s="111"/>
      <c r="F1605" s="111"/>
      <c r="G1605" s="111"/>
    </row>
    <row r="1606" spans="1:7">
      <c r="A1606" s="106"/>
      <c r="B1606" s="111"/>
      <c r="C1606" s="111"/>
      <c r="D1606" s="111"/>
      <c r="E1606" s="111"/>
      <c r="F1606" s="111"/>
      <c r="G1606" s="111"/>
    </row>
    <row r="1607" spans="1:7">
      <c r="A1607" s="106"/>
      <c r="B1607" s="111"/>
      <c r="C1607" s="111"/>
      <c r="D1607" s="111"/>
      <c r="E1607" s="111"/>
      <c r="F1607" s="111"/>
      <c r="G1607" s="111"/>
    </row>
    <row r="1608" spans="1:7">
      <c r="A1608" s="106"/>
      <c r="B1608" s="111"/>
      <c r="C1608" s="111"/>
      <c r="D1608" s="111"/>
      <c r="E1608" s="111"/>
      <c r="F1608" s="111"/>
      <c r="G1608" s="111"/>
    </row>
    <row r="1609" spans="1:7">
      <c r="A1609" s="106"/>
      <c r="B1609" s="111"/>
      <c r="C1609" s="111"/>
      <c r="D1609" s="111"/>
      <c r="E1609" s="111"/>
      <c r="F1609" s="111"/>
      <c r="G1609" s="111"/>
    </row>
    <row r="1610" spans="1:7">
      <c r="A1610" s="106"/>
      <c r="B1610" s="111"/>
      <c r="C1610" s="111"/>
      <c r="D1610" s="111"/>
      <c r="E1610" s="111"/>
      <c r="F1610" s="111"/>
      <c r="G1610" s="111"/>
    </row>
    <row r="1611" spans="1:7">
      <c r="A1611" s="106"/>
      <c r="B1611" s="111"/>
      <c r="C1611" s="111"/>
      <c r="D1611" s="111"/>
      <c r="E1611" s="111"/>
      <c r="F1611" s="111"/>
      <c r="G1611" s="111"/>
    </row>
    <row r="1612" spans="1:7">
      <c r="A1612" s="106"/>
      <c r="B1612" s="111"/>
      <c r="C1612" s="111"/>
      <c r="D1612" s="111"/>
      <c r="E1612" s="111"/>
      <c r="F1612" s="111"/>
      <c r="G1612" s="111"/>
    </row>
    <row r="1613" spans="1:7">
      <c r="A1613" s="106"/>
      <c r="B1613" s="111"/>
      <c r="C1613" s="111"/>
      <c r="D1613" s="111"/>
      <c r="E1613" s="111"/>
      <c r="F1613" s="111"/>
      <c r="G1613" s="111"/>
    </row>
    <row r="1614" spans="1:7">
      <c r="A1614" s="106"/>
      <c r="B1614" s="111"/>
      <c r="C1614" s="111"/>
      <c r="D1614" s="111"/>
      <c r="E1614" s="111"/>
      <c r="F1614" s="111"/>
      <c r="G1614" s="111"/>
    </row>
    <row r="1615" spans="1:7">
      <c r="A1615" s="106"/>
      <c r="B1615" s="111"/>
      <c r="C1615" s="111"/>
      <c r="D1615" s="111"/>
      <c r="E1615" s="111"/>
      <c r="F1615" s="111"/>
      <c r="G1615" s="111"/>
    </row>
    <row r="1616" spans="1:7">
      <c r="A1616" s="106"/>
      <c r="B1616" s="111"/>
      <c r="C1616" s="111"/>
      <c r="D1616" s="111"/>
      <c r="E1616" s="111"/>
      <c r="F1616" s="111"/>
      <c r="G1616" s="111"/>
    </row>
    <row r="1617" spans="1:7">
      <c r="A1617" s="106"/>
      <c r="B1617" s="111"/>
      <c r="C1617" s="111"/>
      <c r="D1617" s="111"/>
      <c r="E1617" s="111"/>
      <c r="F1617" s="111"/>
      <c r="G1617" s="111"/>
    </row>
    <row r="1618" spans="1:7">
      <c r="A1618" s="106"/>
      <c r="B1618" s="111"/>
      <c r="C1618" s="111"/>
      <c r="D1618" s="111"/>
      <c r="E1618" s="111"/>
      <c r="F1618" s="111"/>
      <c r="G1618" s="111"/>
    </row>
    <row r="1619" spans="1:7">
      <c r="A1619" s="106"/>
      <c r="B1619" s="111"/>
      <c r="C1619" s="111"/>
      <c r="D1619" s="111"/>
      <c r="E1619" s="111"/>
      <c r="F1619" s="111"/>
      <c r="G1619" s="111"/>
    </row>
    <row r="1620" spans="1:7">
      <c r="A1620" s="106"/>
      <c r="B1620" s="111"/>
      <c r="C1620" s="111"/>
      <c r="D1620" s="111"/>
      <c r="E1620" s="111"/>
      <c r="F1620" s="111"/>
      <c r="G1620" s="111"/>
    </row>
    <row r="1621" spans="1:7">
      <c r="A1621" s="106"/>
      <c r="B1621" s="111"/>
      <c r="C1621" s="111"/>
      <c r="D1621" s="111"/>
      <c r="E1621" s="111"/>
      <c r="F1621" s="111"/>
      <c r="G1621" s="111"/>
    </row>
    <row r="1622" spans="1:7">
      <c r="A1622" s="106"/>
      <c r="B1622" s="111"/>
      <c r="C1622" s="111"/>
      <c r="D1622" s="111"/>
      <c r="E1622" s="111"/>
      <c r="F1622" s="111"/>
      <c r="G1622" s="111"/>
    </row>
    <row r="1623" spans="1:7">
      <c r="A1623" s="106"/>
      <c r="B1623" s="111"/>
      <c r="C1623" s="111"/>
      <c r="D1623" s="111"/>
      <c r="E1623" s="111"/>
      <c r="F1623" s="111"/>
      <c r="G1623" s="111"/>
    </row>
    <row r="1624" spans="1:7">
      <c r="A1624" s="106"/>
      <c r="B1624" s="111"/>
      <c r="C1624" s="111"/>
      <c r="D1624" s="111"/>
      <c r="E1624" s="111"/>
      <c r="F1624" s="111"/>
      <c r="G1624" s="111"/>
    </row>
    <row r="1625" spans="1:7">
      <c r="A1625" s="106"/>
      <c r="B1625" s="111"/>
      <c r="C1625" s="111"/>
      <c r="D1625" s="111"/>
      <c r="E1625" s="111"/>
      <c r="F1625" s="111"/>
      <c r="G1625" s="111"/>
    </row>
    <row r="1626" spans="1:7">
      <c r="A1626" s="106"/>
      <c r="B1626" s="111"/>
      <c r="C1626" s="111"/>
      <c r="D1626" s="111"/>
      <c r="E1626" s="111"/>
      <c r="F1626" s="111"/>
      <c r="G1626" s="111"/>
    </row>
    <row r="1627" spans="1:7">
      <c r="A1627" s="106"/>
      <c r="B1627" s="111"/>
      <c r="C1627" s="111"/>
      <c r="D1627" s="111"/>
      <c r="E1627" s="111"/>
      <c r="F1627" s="111"/>
      <c r="G1627" s="111"/>
    </row>
    <row r="1628" spans="1:7">
      <c r="A1628" s="106"/>
      <c r="B1628" s="111"/>
      <c r="C1628" s="111"/>
      <c r="D1628" s="111"/>
      <c r="E1628" s="111"/>
      <c r="F1628" s="111"/>
      <c r="G1628" s="111"/>
    </row>
    <row r="1629" spans="1:7">
      <c r="A1629" s="106"/>
      <c r="B1629" s="111"/>
      <c r="C1629" s="111"/>
      <c r="D1629" s="111"/>
      <c r="E1629" s="111"/>
      <c r="F1629" s="111"/>
      <c r="G1629" s="111"/>
    </row>
    <row r="1630" spans="1:7">
      <c r="A1630" s="106"/>
      <c r="B1630" s="111"/>
      <c r="C1630" s="111"/>
      <c r="D1630" s="111"/>
      <c r="E1630" s="111"/>
      <c r="F1630" s="111"/>
      <c r="G1630" s="111"/>
    </row>
    <row r="1631" spans="1:7">
      <c r="A1631" s="106"/>
      <c r="B1631" s="111"/>
      <c r="C1631" s="111"/>
      <c r="D1631" s="111"/>
      <c r="E1631" s="111"/>
      <c r="F1631" s="111"/>
      <c r="G1631" s="111"/>
    </row>
    <row r="1632" spans="1:7">
      <c r="A1632" s="106"/>
      <c r="B1632" s="111"/>
      <c r="C1632" s="111"/>
      <c r="D1632" s="111"/>
      <c r="E1632" s="111"/>
      <c r="F1632" s="111"/>
      <c r="G1632" s="111"/>
    </row>
    <row r="1633" spans="1:7">
      <c r="A1633" s="106"/>
      <c r="B1633" s="111"/>
      <c r="C1633" s="111"/>
      <c r="D1633" s="111"/>
      <c r="E1633" s="111"/>
      <c r="F1633" s="111"/>
      <c r="G1633" s="111"/>
    </row>
    <row r="1634" spans="1:7">
      <c r="A1634" s="106"/>
      <c r="B1634" s="111"/>
      <c r="C1634" s="111"/>
      <c r="D1634" s="111"/>
      <c r="E1634" s="111"/>
      <c r="F1634" s="111"/>
      <c r="G1634" s="111"/>
    </row>
    <row r="1635" spans="1:7">
      <c r="A1635" s="106"/>
      <c r="B1635" s="111"/>
      <c r="C1635" s="111"/>
      <c r="D1635" s="111"/>
      <c r="E1635" s="111"/>
      <c r="F1635" s="111"/>
      <c r="G1635" s="111"/>
    </row>
    <row r="1636" spans="1:7">
      <c r="A1636" s="106"/>
      <c r="B1636" s="111"/>
      <c r="C1636" s="111"/>
      <c r="D1636" s="111"/>
      <c r="E1636" s="111"/>
      <c r="F1636" s="111"/>
      <c r="G1636" s="111"/>
    </row>
    <row r="1637" spans="1:7">
      <c r="A1637" s="106"/>
      <c r="B1637" s="111"/>
      <c r="C1637" s="111"/>
      <c r="D1637" s="111"/>
      <c r="E1637" s="111"/>
      <c r="F1637" s="111"/>
      <c r="G1637" s="111"/>
    </row>
    <row r="1638" spans="1:7">
      <c r="A1638" s="106"/>
      <c r="B1638" s="111"/>
      <c r="C1638" s="111"/>
      <c r="D1638" s="111"/>
      <c r="E1638" s="111"/>
      <c r="F1638" s="111"/>
      <c r="G1638" s="111"/>
    </row>
    <row r="1639" spans="1:7">
      <c r="A1639" s="106"/>
      <c r="B1639" s="111"/>
      <c r="C1639" s="111"/>
      <c r="D1639" s="111"/>
      <c r="E1639" s="111"/>
      <c r="F1639" s="111"/>
      <c r="G1639" s="111"/>
    </row>
    <row r="1640" spans="1:7">
      <c r="A1640" s="106"/>
      <c r="B1640" s="111"/>
      <c r="C1640" s="111"/>
      <c r="D1640" s="111"/>
      <c r="E1640" s="111"/>
      <c r="F1640" s="111"/>
      <c r="G1640" s="111"/>
    </row>
    <row r="1641" spans="1:7">
      <c r="A1641" s="106"/>
      <c r="B1641" s="111"/>
      <c r="C1641" s="111"/>
      <c r="D1641" s="111"/>
      <c r="E1641" s="111"/>
      <c r="F1641" s="111"/>
      <c r="G1641" s="111"/>
    </row>
    <row r="1642" spans="1:7">
      <c r="A1642" s="106"/>
      <c r="B1642" s="111"/>
      <c r="C1642" s="111"/>
      <c r="D1642" s="111"/>
      <c r="E1642" s="111"/>
      <c r="F1642" s="111"/>
      <c r="G1642" s="111"/>
    </row>
    <row r="1643" spans="1:7">
      <c r="A1643" s="106"/>
      <c r="B1643" s="111"/>
      <c r="C1643" s="111"/>
      <c r="D1643" s="111"/>
      <c r="E1643" s="111"/>
      <c r="F1643" s="111"/>
      <c r="G1643" s="111"/>
    </row>
    <row r="1644" spans="1:7">
      <c r="A1644" s="106"/>
      <c r="B1644" s="111"/>
      <c r="C1644" s="111"/>
      <c r="D1644" s="111"/>
      <c r="E1644" s="111"/>
      <c r="F1644" s="111"/>
      <c r="G1644" s="111"/>
    </row>
    <row r="1645" spans="1:7">
      <c r="A1645" s="106"/>
      <c r="B1645" s="111"/>
      <c r="C1645" s="111"/>
      <c r="D1645" s="111"/>
      <c r="E1645" s="111"/>
      <c r="F1645" s="111"/>
      <c r="G1645" s="111"/>
    </row>
    <row r="1646" spans="1:7">
      <c r="A1646" s="106"/>
      <c r="B1646" s="111"/>
      <c r="C1646" s="111"/>
      <c r="D1646" s="111"/>
      <c r="E1646" s="111"/>
      <c r="F1646" s="111"/>
      <c r="G1646" s="111"/>
    </row>
    <row r="1647" spans="1:7">
      <c r="A1647" s="106"/>
      <c r="B1647" s="111"/>
      <c r="C1647" s="111"/>
      <c r="D1647" s="111"/>
      <c r="E1647" s="111"/>
      <c r="F1647" s="111"/>
      <c r="G1647" s="111"/>
    </row>
    <row r="1648" spans="1:7">
      <c r="A1648" s="106"/>
      <c r="B1648" s="111"/>
      <c r="C1648" s="111"/>
      <c r="D1648" s="111"/>
      <c r="E1648" s="111"/>
      <c r="F1648" s="111"/>
      <c r="G1648" s="111"/>
    </row>
    <row r="1649" spans="1:7">
      <c r="A1649" s="106"/>
      <c r="B1649" s="111"/>
      <c r="C1649" s="111"/>
      <c r="D1649" s="111"/>
      <c r="E1649" s="111"/>
      <c r="F1649" s="111"/>
      <c r="G1649" s="111"/>
    </row>
    <row r="1650" spans="1:7">
      <c r="A1650" s="106"/>
      <c r="B1650" s="111"/>
      <c r="C1650" s="111"/>
      <c r="D1650" s="111"/>
      <c r="E1650" s="111"/>
      <c r="F1650" s="111"/>
      <c r="G1650" s="111"/>
    </row>
    <row r="1651" spans="1:7">
      <c r="A1651" s="106"/>
      <c r="B1651" s="111"/>
      <c r="C1651" s="111"/>
      <c r="D1651" s="111"/>
      <c r="E1651" s="111"/>
      <c r="F1651" s="111"/>
      <c r="G1651" s="111"/>
    </row>
    <row r="1652" spans="1:7">
      <c r="A1652" s="106"/>
      <c r="B1652" s="111"/>
      <c r="C1652" s="111"/>
      <c r="D1652" s="111"/>
      <c r="E1652" s="111"/>
      <c r="F1652" s="111"/>
      <c r="G1652" s="111"/>
    </row>
    <row r="1653" spans="1:7">
      <c r="A1653" s="106"/>
      <c r="B1653" s="111"/>
      <c r="C1653" s="111"/>
      <c r="D1653" s="111"/>
      <c r="E1653" s="111"/>
      <c r="F1653" s="111"/>
      <c r="G1653" s="111"/>
    </row>
    <row r="1654" spans="1:7">
      <c r="A1654" s="106"/>
      <c r="B1654" s="111"/>
      <c r="C1654" s="111"/>
      <c r="D1654" s="111"/>
      <c r="E1654" s="111"/>
      <c r="F1654" s="111"/>
      <c r="G1654" s="111"/>
    </row>
    <row r="1655" spans="1:7">
      <c r="A1655" s="106"/>
      <c r="B1655" s="111"/>
      <c r="C1655" s="111"/>
      <c r="D1655" s="111"/>
      <c r="E1655" s="111"/>
      <c r="F1655" s="111"/>
      <c r="G1655" s="111"/>
    </row>
    <row r="1656" spans="1:7">
      <c r="A1656" s="106"/>
      <c r="B1656" s="111"/>
      <c r="C1656" s="111"/>
      <c r="D1656" s="111"/>
      <c r="E1656" s="111"/>
      <c r="F1656" s="111"/>
      <c r="G1656" s="111"/>
    </row>
    <row r="1657" spans="1:7">
      <c r="A1657" s="106"/>
      <c r="B1657" s="111"/>
      <c r="C1657" s="111"/>
      <c r="D1657" s="111"/>
      <c r="E1657" s="111"/>
      <c r="F1657" s="111"/>
      <c r="G1657" s="111"/>
    </row>
    <row r="1658" spans="1:7">
      <c r="A1658" s="106"/>
      <c r="B1658" s="111"/>
      <c r="C1658" s="111"/>
      <c r="D1658" s="111"/>
      <c r="E1658" s="111"/>
      <c r="F1658" s="111"/>
      <c r="G1658" s="111"/>
    </row>
    <row r="1659" spans="1:7">
      <c r="A1659" s="106"/>
      <c r="B1659" s="111"/>
      <c r="C1659" s="111"/>
      <c r="D1659" s="111"/>
      <c r="E1659" s="111"/>
      <c r="F1659" s="111"/>
      <c r="G1659" s="111"/>
    </row>
    <row r="1660" spans="1:7">
      <c r="A1660" s="106"/>
      <c r="B1660" s="111"/>
      <c r="C1660" s="111"/>
      <c r="D1660" s="111"/>
      <c r="E1660" s="111"/>
      <c r="F1660" s="111"/>
      <c r="G1660" s="111"/>
    </row>
    <row r="1661" spans="1:7">
      <c r="A1661" s="106"/>
      <c r="B1661" s="111"/>
      <c r="C1661" s="111"/>
      <c r="D1661" s="111"/>
      <c r="E1661" s="111"/>
      <c r="F1661" s="111"/>
      <c r="G1661" s="111"/>
    </row>
    <row r="1662" spans="1:7">
      <c r="A1662" s="106"/>
      <c r="B1662" s="111"/>
      <c r="C1662" s="111"/>
      <c r="D1662" s="111"/>
      <c r="E1662" s="111"/>
      <c r="F1662" s="111"/>
      <c r="G1662" s="111"/>
    </row>
    <row r="1663" spans="1:7">
      <c r="A1663" s="106"/>
      <c r="B1663" s="111"/>
      <c r="C1663" s="111"/>
      <c r="D1663" s="111"/>
      <c r="E1663" s="111"/>
      <c r="F1663" s="111"/>
      <c r="G1663" s="111"/>
    </row>
    <row r="1664" spans="1:7">
      <c r="A1664" s="106"/>
      <c r="B1664" s="111"/>
      <c r="C1664" s="111"/>
      <c r="D1664" s="111"/>
      <c r="E1664" s="111"/>
      <c r="F1664" s="111"/>
      <c r="G1664" s="111"/>
    </row>
    <row r="1665" spans="1:7">
      <c r="A1665" s="106"/>
      <c r="B1665" s="111"/>
      <c r="C1665" s="111"/>
      <c r="D1665" s="111"/>
      <c r="E1665" s="111"/>
      <c r="F1665" s="111"/>
      <c r="G1665" s="111"/>
    </row>
    <row r="1666" spans="1:7">
      <c r="A1666" s="106"/>
      <c r="B1666" s="111"/>
      <c r="C1666" s="111"/>
      <c r="D1666" s="111"/>
      <c r="E1666" s="111"/>
      <c r="F1666" s="111"/>
      <c r="G1666" s="111"/>
    </row>
    <row r="1667" spans="1:7">
      <c r="A1667" s="106"/>
      <c r="B1667" s="111"/>
      <c r="C1667" s="111"/>
      <c r="D1667" s="111"/>
      <c r="E1667" s="111"/>
      <c r="F1667" s="111"/>
      <c r="G1667" s="111"/>
    </row>
    <row r="1668" spans="1:7">
      <c r="A1668" s="106"/>
      <c r="B1668" s="111"/>
      <c r="C1668" s="111"/>
      <c r="D1668" s="111"/>
      <c r="E1668" s="111"/>
      <c r="F1668" s="111"/>
      <c r="G1668" s="111"/>
    </row>
    <row r="1669" spans="1:7">
      <c r="A1669" s="106"/>
      <c r="B1669" s="111"/>
      <c r="C1669" s="111"/>
      <c r="D1669" s="111"/>
      <c r="E1669" s="111"/>
      <c r="F1669" s="111"/>
      <c r="G1669" s="111"/>
    </row>
    <row r="1670" spans="1:7">
      <c r="A1670" s="106"/>
      <c r="B1670" s="111"/>
      <c r="C1670" s="111"/>
      <c r="D1670" s="111"/>
      <c r="E1670" s="111"/>
      <c r="F1670" s="111"/>
      <c r="G1670" s="111"/>
    </row>
    <row r="1671" spans="1:7">
      <c r="A1671" s="106"/>
      <c r="B1671" s="111"/>
      <c r="C1671" s="111"/>
      <c r="D1671" s="111"/>
      <c r="E1671" s="111"/>
      <c r="F1671" s="111"/>
      <c r="G1671" s="111"/>
    </row>
    <row r="1672" spans="1:7">
      <c r="A1672" s="106"/>
      <c r="B1672" s="111"/>
      <c r="C1672" s="111"/>
      <c r="D1672" s="111"/>
      <c r="E1672" s="111"/>
      <c r="F1672" s="111"/>
      <c r="G1672" s="111"/>
    </row>
    <row r="1673" spans="1:7">
      <c r="A1673" s="106"/>
      <c r="B1673" s="111"/>
      <c r="C1673" s="111"/>
      <c r="D1673" s="111"/>
      <c r="E1673" s="111"/>
      <c r="F1673" s="111"/>
      <c r="G1673" s="111"/>
    </row>
    <row r="1674" spans="1:7">
      <c r="A1674" s="106"/>
      <c r="B1674" s="111"/>
      <c r="C1674" s="111"/>
      <c r="D1674" s="111"/>
      <c r="E1674" s="111"/>
      <c r="F1674" s="111"/>
      <c r="G1674" s="111"/>
    </row>
    <row r="1675" spans="1:7">
      <c r="A1675" s="106"/>
      <c r="B1675" s="111"/>
      <c r="C1675" s="111"/>
      <c r="D1675" s="111"/>
      <c r="E1675" s="111"/>
      <c r="F1675" s="111"/>
      <c r="G1675" s="111"/>
    </row>
    <row r="1676" spans="1:7">
      <c r="A1676" s="106"/>
      <c r="B1676" s="111"/>
      <c r="C1676" s="111"/>
      <c r="D1676" s="111"/>
      <c r="E1676" s="111"/>
      <c r="F1676" s="111"/>
      <c r="G1676" s="111"/>
    </row>
    <row r="1677" spans="1:7">
      <c r="A1677" s="106"/>
      <c r="B1677" s="111"/>
      <c r="C1677" s="111"/>
      <c r="D1677" s="111"/>
      <c r="E1677" s="111"/>
      <c r="F1677" s="111"/>
      <c r="G1677" s="111"/>
    </row>
    <row r="1678" spans="1:7">
      <c r="A1678" s="106"/>
      <c r="B1678" s="111"/>
      <c r="C1678" s="111"/>
      <c r="D1678" s="111"/>
      <c r="E1678" s="111"/>
      <c r="F1678" s="111"/>
      <c r="G1678" s="111"/>
    </row>
    <row r="1679" spans="1:7">
      <c r="A1679" s="106"/>
      <c r="B1679" s="111"/>
      <c r="C1679" s="111"/>
      <c r="D1679" s="111"/>
      <c r="E1679" s="111"/>
      <c r="F1679" s="111"/>
      <c r="G1679" s="111"/>
    </row>
    <row r="1680" spans="1:7">
      <c r="A1680" s="106"/>
      <c r="B1680" s="111"/>
      <c r="C1680" s="111"/>
      <c r="D1680" s="111"/>
      <c r="E1680" s="111"/>
      <c r="F1680" s="111"/>
      <c r="G1680" s="111"/>
    </row>
    <row r="1681" spans="1:7">
      <c r="A1681" s="106"/>
      <c r="B1681" s="111"/>
      <c r="C1681" s="111"/>
      <c r="D1681" s="111"/>
      <c r="E1681" s="111"/>
      <c r="F1681" s="111"/>
      <c r="G1681" s="111"/>
    </row>
    <row r="1682" spans="1:7">
      <c r="A1682" s="106"/>
      <c r="B1682" s="111"/>
      <c r="C1682" s="111"/>
      <c r="D1682" s="111"/>
      <c r="E1682" s="111"/>
      <c r="F1682" s="111"/>
      <c r="G1682" s="111"/>
    </row>
    <row r="1683" spans="1:7">
      <c r="A1683" s="106"/>
      <c r="B1683" s="111"/>
      <c r="C1683" s="111"/>
      <c r="D1683" s="111"/>
      <c r="E1683" s="111"/>
      <c r="F1683" s="111"/>
      <c r="G1683" s="111"/>
    </row>
    <row r="1684" spans="1:7">
      <c r="A1684" s="106"/>
      <c r="B1684" s="111"/>
      <c r="C1684" s="111"/>
      <c r="D1684" s="111"/>
      <c r="E1684" s="111"/>
      <c r="F1684" s="111"/>
      <c r="G1684" s="111"/>
    </row>
    <row r="1685" spans="1:7">
      <c r="A1685" s="106"/>
      <c r="B1685" s="111"/>
      <c r="C1685" s="111"/>
      <c r="D1685" s="111"/>
      <c r="E1685" s="111"/>
      <c r="F1685" s="111"/>
      <c r="G1685" s="111"/>
    </row>
    <row r="1686" spans="1:7">
      <c r="A1686" s="106"/>
      <c r="B1686" s="111"/>
      <c r="C1686" s="111"/>
      <c r="D1686" s="111"/>
      <c r="E1686" s="111"/>
      <c r="F1686" s="111"/>
      <c r="G1686" s="111"/>
    </row>
    <row r="1687" spans="1:7">
      <c r="A1687" s="106"/>
      <c r="B1687" s="111"/>
      <c r="C1687" s="111"/>
      <c r="D1687" s="111"/>
      <c r="E1687" s="111"/>
      <c r="F1687" s="111"/>
      <c r="G1687" s="111"/>
    </row>
    <row r="1688" spans="1:7">
      <c r="A1688" s="106"/>
      <c r="B1688" s="111"/>
      <c r="C1688" s="111"/>
      <c r="D1688" s="111"/>
      <c r="E1688" s="111"/>
      <c r="F1688" s="111"/>
      <c r="G1688" s="111"/>
    </row>
    <row r="1689" spans="1:7">
      <c r="A1689" s="106"/>
      <c r="B1689" s="111"/>
      <c r="C1689" s="111"/>
      <c r="D1689" s="111"/>
      <c r="E1689" s="111"/>
      <c r="F1689" s="111"/>
      <c r="G1689" s="111"/>
    </row>
    <row r="1690" spans="1:7">
      <c r="A1690" s="106"/>
      <c r="B1690" s="111"/>
      <c r="C1690" s="111"/>
      <c r="D1690" s="111"/>
      <c r="E1690" s="111"/>
      <c r="F1690" s="111"/>
      <c r="G1690" s="111"/>
    </row>
    <row r="1691" spans="1:7">
      <c r="A1691" s="106"/>
      <c r="B1691" s="111"/>
      <c r="C1691" s="111"/>
      <c r="D1691" s="111"/>
      <c r="E1691" s="111"/>
      <c r="F1691" s="111"/>
      <c r="G1691" s="111"/>
    </row>
    <row r="1692" spans="1:7">
      <c r="A1692" s="106"/>
      <c r="B1692" s="111"/>
      <c r="C1692" s="111"/>
      <c r="D1692" s="111"/>
      <c r="E1692" s="111"/>
      <c r="F1692" s="111"/>
      <c r="G1692" s="111"/>
    </row>
    <row r="1693" spans="1:7">
      <c r="A1693" s="106"/>
      <c r="B1693" s="111"/>
      <c r="C1693" s="111"/>
      <c r="D1693" s="111"/>
      <c r="E1693" s="111"/>
      <c r="F1693" s="111"/>
      <c r="G1693" s="111"/>
    </row>
    <row r="1694" spans="1:7">
      <c r="A1694" s="106"/>
      <c r="B1694" s="111"/>
      <c r="C1694" s="111"/>
      <c r="D1694" s="111"/>
      <c r="E1694" s="111"/>
      <c r="F1694" s="111"/>
      <c r="G1694" s="111"/>
    </row>
    <row r="1695" spans="1:7">
      <c r="A1695" s="106"/>
      <c r="B1695" s="111"/>
      <c r="C1695" s="111"/>
      <c r="D1695" s="111"/>
      <c r="E1695" s="111"/>
      <c r="F1695" s="111"/>
      <c r="G1695" s="111"/>
    </row>
    <row r="1696" spans="1:7">
      <c r="A1696" s="106"/>
      <c r="B1696" s="111"/>
      <c r="C1696" s="111"/>
      <c r="D1696" s="111"/>
      <c r="E1696" s="111"/>
      <c r="F1696" s="111"/>
      <c r="G1696" s="111"/>
    </row>
    <row r="1697" spans="1:7">
      <c r="A1697" s="106"/>
      <c r="B1697" s="111"/>
      <c r="C1697" s="111"/>
      <c r="D1697" s="111"/>
      <c r="E1697" s="111"/>
      <c r="F1697" s="111"/>
      <c r="G1697" s="111"/>
    </row>
    <row r="1698" spans="1:7">
      <c r="A1698" s="106"/>
      <c r="B1698" s="111"/>
      <c r="C1698" s="111"/>
      <c r="D1698" s="111"/>
      <c r="E1698" s="111"/>
      <c r="F1698" s="111"/>
      <c r="G1698" s="111"/>
    </row>
    <row r="1699" spans="1:7">
      <c r="A1699" s="106"/>
      <c r="B1699" s="111"/>
      <c r="C1699" s="111"/>
      <c r="D1699" s="111"/>
      <c r="E1699" s="111"/>
      <c r="F1699" s="111"/>
      <c r="G1699" s="111"/>
    </row>
    <row r="1700" spans="1:7">
      <c r="A1700" s="106"/>
      <c r="B1700" s="111"/>
      <c r="C1700" s="111"/>
      <c r="D1700" s="111"/>
      <c r="E1700" s="111"/>
      <c r="F1700" s="111"/>
      <c r="G1700" s="111"/>
    </row>
    <row r="1701" spans="1:7">
      <c r="A1701" s="106"/>
      <c r="B1701" s="111"/>
      <c r="C1701" s="111"/>
      <c r="D1701" s="111"/>
      <c r="E1701" s="111"/>
      <c r="F1701" s="111"/>
      <c r="G1701" s="111"/>
    </row>
    <row r="1702" spans="1:7">
      <c r="A1702" s="106"/>
      <c r="B1702" s="111"/>
      <c r="C1702" s="111"/>
      <c r="D1702" s="111"/>
      <c r="E1702" s="111"/>
      <c r="F1702" s="111"/>
      <c r="G1702" s="111"/>
    </row>
    <row r="1703" spans="1:7">
      <c r="A1703" s="106"/>
      <c r="B1703" s="111"/>
      <c r="C1703" s="111"/>
      <c r="D1703" s="111"/>
      <c r="E1703" s="111"/>
      <c r="F1703" s="111"/>
      <c r="G1703" s="111"/>
    </row>
    <row r="1704" spans="1:7">
      <c r="A1704" s="106"/>
      <c r="B1704" s="111"/>
      <c r="C1704" s="111"/>
      <c r="D1704" s="111"/>
      <c r="E1704" s="111"/>
      <c r="F1704" s="111"/>
      <c r="G1704" s="111"/>
    </row>
    <row r="1705" spans="1:7">
      <c r="A1705" s="106"/>
      <c r="B1705" s="111"/>
      <c r="C1705" s="111"/>
      <c r="D1705" s="111"/>
      <c r="E1705" s="111"/>
      <c r="F1705" s="111"/>
      <c r="G1705" s="111"/>
    </row>
    <row r="1706" spans="1:7">
      <c r="A1706" s="106"/>
      <c r="B1706" s="111"/>
      <c r="C1706" s="111"/>
      <c r="D1706" s="111"/>
      <c r="E1706" s="111"/>
      <c r="F1706" s="111"/>
      <c r="G1706" s="111"/>
    </row>
    <row r="1707" spans="1:7">
      <c r="A1707" s="106"/>
      <c r="B1707" s="111"/>
      <c r="C1707" s="111"/>
      <c r="D1707" s="111"/>
      <c r="E1707" s="111"/>
      <c r="F1707" s="111"/>
      <c r="G1707" s="111"/>
    </row>
    <row r="1708" spans="1:7">
      <c r="A1708" s="106"/>
      <c r="B1708" s="111"/>
      <c r="C1708" s="111"/>
      <c r="D1708" s="111"/>
      <c r="E1708" s="111"/>
      <c r="F1708" s="111"/>
      <c r="G1708" s="111"/>
    </row>
    <row r="1709" spans="1:7">
      <c r="A1709" s="106"/>
      <c r="B1709" s="111"/>
      <c r="C1709" s="111"/>
      <c r="D1709" s="111"/>
      <c r="E1709" s="111"/>
      <c r="F1709" s="111"/>
      <c r="G1709" s="111"/>
    </row>
    <row r="1710" spans="1:7">
      <c r="A1710" s="106"/>
      <c r="B1710" s="111"/>
      <c r="C1710" s="111"/>
      <c r="D1710" s="111"/>
      <c r="E1710" s="111"/>
      <c r="F1710" s="111"/>
      <c r="G1710" s="111"/>
    </row>
    <row r="1711" spans="1:7">
      <c r="A1711" s="106"/>
      <c r="B1711" s="111"/>
      <c r="C1711" s="111"/>
      <c r="D1711" s="111"/>
      <c r="E1711" s="111"/>
      <c r="F1711" s="111"/>
      <c r="G1711" s="111"/>
    </row>
    <row r="1712" spans="1:7">
      <c r="A1712" s="106"/>
      <c r="B1712" s="111"/>
      <c r="C1712" s="111"/>
      <c r="D1712" s="111"/>
      <c r="E1712" s="111"/>
      <c r="F1712" s="111"/>
      <c r="G1712" s="111"/>
    </row>
    <row r="1713" spans="1:7">
      <c r="A1713" s="106"/>
      <c r="B1713" s="111"/>
      <c r="C1713" s="111"/>
      <c r="D1713" s="111"/>
      <c r="E1713" s="111"/>
      <c r="F1713" s="111"/>
      <c r="G1713" s="111"/>
    </row>
    <row r="1714" spans="1:7">
      <c r="A1714" s="106"/>
      <c r="B1714" s="111"/>
      <c r="C1714" s="111"/>
      <c r="D1714" s="111"/>
      <c r="E1714" s="111"/>
      <c r="F1714" s="111"/>
      <c r="G1714" s="111"/>
    </row>
    <row r="1715" spans="1:7">
      <c r="A1715" s="106"/>
      <c r="B1715" s="111"/>
      <c r="C1715" s="111"/>
      <c r="D1715" s="111"/>
      <c r="E1715" s="111"/>
      <c r="F1715" s="111"/>
      <c r="G1715" s="111"/>
    </row>
    <row r="1716" spans="1:7">
      <c r="A1716" s="106"/>
      <c r="B1716" s="111"/>
      <c r="C1716" s="111"/>
      <c r="D1716" s="111"/>
      <c r="E1716" s="111"/>
      <c r="F1716" s="111"/>
      <c r="G1716" s="111"/>
    </row>
    <row r="1717" spans="1:7">
      <c r="A1717" s="106"/>
      <c r="B1717" s="111"/>
      <c r="C1717" s="111"/>
      <c r="D1717" s="111"/>
      <c r="E1717" s="111"/>
      <c r="F1717" s="111"/>
      <c r="G1717" s="111"/>
    </row>
    <row r="1718" spans="1:7">
      <c r="A1718" s="106"/>
      <c r="B1718" s="111"/>
      <c r="C1718" s="111"/>
      <c r="D1718" s="111"/>
      <c r="E1718" s="111"/>
      <c r="F1718" s="111"/>
      <c r="G1718" s="111"/>
    </row>
    <row r="1719" spans="1:7">
      <c r="A1719" s="106"/>
      <c r="B1719" s="111"/>
      <c r="C1719" s="111"/>
      <c r="D1719" s="111"/>
      <c r="E1719" s="111"/>
      <c r="F1719" s="111"/>
      <c r="G1719" s="111"/>
    </row>
    <row r="1720" spans="1:7">
      <c r="A1720" s="106"/>
      <c r="B1720" s="111"/>
      <c r="C1720" s="111"/>
      <c r="D1720" s="111"/>
      <c r="E1720" s="111"/>
      <c r="F1720" s="111"/>
      <c r="G1720" s="111"/>
    </row>
    <row r="1721" spans="1:7">
      <c r="A1721" s="106"/>
      <c r="B1721" s="111"/>
      <c r="C1721" s="111"/>
      <c r="D1721" s="111"/>
      <c r="E1721" s="111"/>
      <c r="F1721" s="111"/>
      <c r="G1721" s="111"/>
    </row>
    <row r="1722" spans="1:7">
      <c r="A1722" s="106"/>
      <c r="B1722" s="111"/>
      <c r="C1722" s="111"/>
      <c r="D1722" s="111"/>
      <c r="E1722" s="111"/>
      <c r="F1722" s="111"/>
      <c r="G1722" s="111"/>
    </row>
    <row r="1723" spans="1:7">
      <c r="A1723" s="106"/>
      <c r="B1723" s="111"/>
      <c r="C1723" s="111"/>
      <c r="D1723" s="111"/>
      <c r="E1723" s="111"/>
      <c r="F1723" s="111"/>
      <c r="G1723" s="111"/>
    </row>
    <row r="1724" spans="1:7">
      <c r="A1724" s="106"/>
      <c r="B1724" s="111"/>
      <c r="C1724" s="111"/>
      <c r="D1724" s="111"/>
      <c r="E1724" s="111"/>
      <c r="F1724" s="111"/>
      <c r="G1724" s="111"/>
    </row>
    <row r="1725" spans="1:7">
      <c r="A1725" s="106"/>
      <c r="B1725" s="111"/>
      <c r="C1725" s="111"/>
      <c r="D1725" s="111"/>
      <c r="E1725" s="111"/>
      <c r="F1725" s="111"/>
      <c r="G1725" s="111"/>
    </row>
    <row r="1726" spans="1:7">
      <c r="A1726" s="106"/>
      <c r="B1726" s="111"/>
      <c r="C1726" s="111"/>
      <c r="D1726" s="111"/>
      <c r="E1726" s="111"/>
      <c r="F1726" s="111"/>
      <c r="G1726" s="111"/>
    </row>
    <row r="1727" spans="1:7">
      <c r="A1727" s="106"/>
      <c r="B1727" s="111"/>
      <c r="C1727" s="111"/>
      <c r="D1727" s="111"/>
      <c r="E1727" s="111"/>
      <c r="F1727" s="111"/>
      <c r="G1727" s="111"/>
    </row>
    <row r="1728" spans="1:7">
      <c r="A1728" s="106"/>
      <c r="B1728" s="111"/>
      <c r="C1728" s="111"/>
      <c r="D1728" s="111"/>
      <c r="E1728" s="111"/>
      <c r="F1728" s="111"/>
      <c r="G1728" s="111"/>
    </row>
    <row r="1729" spans="1:7">
      <c r="A1729" s="106"/>
      <c r="B1729" s="111"/>
      <c r="C1729" s="111"/>
      <c r="D1729" s="111"/>
      <c r="E1729" s="111"/>
      <c r="F1729" s="111"/>
      <c r="G1729" s="111"/>
    </row>
    <row r="1730" spans="1:7">
      <c r="A1730" s="106"/>
      <c r="B1730" s="111"/>
      <c r="C1730" s="111"/>
      <c r="D1730" s="111"/>
      <c r="E1730" s="111"/>
      <c r="F1730" s="111"/>
      <c r="G1730" s="111"/>
    </row>
    <row r="1731" spans="1:7">
      <c r="A1731" s="106"/>
      <c r="B1731" s="111"/>
      <c r="C1731" s="111"/>
      <c r="D1731" s="111"/>
      <c r="E1731" s="111"/>
      <c r="F1731" s="111"/>
      <c r="G1731" s="111"/>
    </row>
    <row r="1732" spans="1:7">
      <c r="A1732" s="106"/>
      <c r="B1732" s="111"/>
      <c r="C1732" s="111"/>
      <c r="D1732" s="111"/>
      <c r="E1732" s="111"/>
      <c r="F1732" s="111"/>
      <c r="G1732" s="111"/>
    </row>
    <row r="1733" spans="1:7">
      <c r="A1733" s="106"/>
      <c r="B1733" s="111"/>
      <c r="C1733" s="111"/>
      <c r="D1733" s="111"/>
      <c r="E1733" s="111"/>
      <c r="F1733" s="111"/>
      <c r="G1733" s="111"/>
    </row>
    <row r="1734" spans="1:7">
      <c r="A1734" s="106"/>
      <c r="B1734" s="111"/>
      <c r="C1734" s="111"/>
      <c r="D1734" s="111"/>
      <c r="E1734" s="111"/>
      <c r="F1734" s="111"/>
      <c r="G1734" s="111"/>
    </row>
    <row r="1735" spans="1:7">
      <c r="A1735" s="106"/>
      <c r="B1735" s="111"/>
      <c r="C1735" s="111"/>
      <c r="D1735" s="111"/>
      <c r="E1735" s="111"/>
      <c r="F1735" s="111"/>
      <c r="G1735" s="111"/>
    </row>
    <row r="1736" spans="1:7">
      <c r="A1736" s="106"/>
      <c r="B1736" s="111"/>
      <c r="C1736" s="111"/>
      <c r="D1736" s="111"/>
      <c r="E1736" s="111"/>
      <c r="F1736" s="111"/>
      <c r="G1736" s="111"/>
    </row>
    <row r="1737" spans="1:7">
      <c r="A1737" s="106"/>
      <c r="B1737" s="111"/>
      <c r="C1737" s="111"/>
      <c r="D1737" s="111"/>
      <c r="E1737" s="111"/>
      <c r="F1737" s="111"/>
      <c r="G1737" s="111"/>
    </row>
    <row r="1738" spans="1:7">
      <c r="A1738" s="106"/>
      <c r="B1738" s="111"/>
      <c r="C1738" s="111"/>
      <c r="D1738" s="111"/>
      <c r="E1738" s="111"/>
      <c r="F1738" s="111"/>
      <c r="G1738" s="111"/>
    </row>
    <row r="1739" spans="1:7">
      <c r="A1739" s="106"/>
      <c r="B1739" s="111"/>
      <c r="C1739" s="111"/>
      <c r="D1739" s="111"/>
      <c r="E1739" s="111"/>
      <c r="F1739" s="111"/>
      <c r="G1739" s="111"/>
    </row>
    <row r="1740" spans="1:7">
      <c r="A1740" s="106"/>
      <c r="B1740" s="111"/>
      <c r="C1740" s="111"/>
      <c r="D1740" s="111"/>
      <c r="E1740" s="111"/>
      <c r="F1740" s="111"/>
      <c r="G1740" s="111"/>
    </row>
    <row r="1741" spans="1:7">
      <c r="A1741" s="106"/>
      <c r="B1741" s="111"/>
      <c r="C1741" s="111"/>
      <c r="D1741" s="111"/>
      <c r="E1741" s="111"/>
      <c r="F1741" s="111"/>
      <c r="G1741" s="111"/>
    </row>
    <row r="1742" spans="1:7">
      <c r="A1742" s="106"/>
      <c r="B1742" s="111"/>
      <c r="C1742" s="111"/>
      <c r="D1742" s="111"/>
      <c r="E1742" s="111"/>
      <c r="F1742" s="111"/>
      <c r="G1742" s="111"/>
    </row>
    <row r="1743" spans="1:7">
      <c r="A1743" s="106"/>
      <c r="B1743" s="111"/>
      <c r="C1743" s="111"/>
      <c r="D1743" s="111"/>
      <c r="E1743" s="111"/>
      <c r="F1743" s="111"/>
      <c r="G1743" s="111"/>
    </row>
    <row r="1744" spans="1:7">
      <c r="A1744" s="106"/>
      <c r="B1744" s="111"/>
      <c r="C1744" s="111"/>
      <c r="D1744" s="111"/>
      <c r="E1744" s="111"/>
      <c r="F1744" s="111"/>
      <c r="G1744" s="111"/>
    </row>
    <row r="1745" spans="1:7">
      <c r="A1745" s="106"/>
      <c r="B1745" s="111"/>
      <c r="C1745" s="111"/>
      <c r="D1745" s="111"/>
      <c r="E1745" s="111"/>
      <c r="F1745" s="111"/>
      <c r="G1745" s="111"/>
    </row>
    <row r="1746" spans="1:7">
      <c r="A1746" s="106"/>
      <c r="B1746" s="111"/>
      <c r="C1746" s="111"/>
      <c r="D1746" s="111"/>
      <c r="E1746" s="111"/>
      <c r="F1746" s="111"/>
      <c r="G1746" s="111"/>
    </row>
    <row r="1747" spans="1:7">
      <c r="A1747" s="106"/>
      <c r="B1747" s="111"/>
      <c r="C1747" s="111"/>
      <c r="D1747" s="111"/>
      <c r="E1747" s="111"/>
      <c r="F1747" s="111"/>
      <c r="G1747" s="111"/>
    </row>
    <row r="1748" spans="1:7">
      <c r="A1748" s="106"/>
      <c r="B1748" s="111"/>
      <c r="C1748" s="111"/>
      <c r="D1748" s="111"/>
      <c r="E1748" s="111"/>
      <c r="F1748" s="111"/>
      <c r="G1748" s="111"/>
    </row>
    <row r="1749" spans="1:7">
      <c r="A1749" s="106"/>
      <c r="B1749" s="111"/>
      <c r="C1749" s="111"/>
      <c r="D1749" s="111"/>
      <c r="E1749" s="111"/>
      <c r="F1749" s="111"/>
      <c r="G1749" s="111"/>
    </row>
    <row r="1750" spans="1:7">
      <c r="A1750" s="106"/>
      <c r="B1750" s="111"/>
      <c r="C1750" s="111"/>
      <c r="D1750" s="111"/>
      <c r="E1750" s="111"/>
      <c r="F1750" s="111"/>
      <c r="G1750" s="111"/>
    </row>
    <row r="1751" spans="1:7">
      <c r="A1751" s="106"/>
      <c r="B1751" s="111"/>
      <c r="C1751" s="111"/>
      <c r="D1751" s="111"/>
      <c r="E1751" s="111"/>
      <c r="F1751" s="111"/>
      <c r="G1751" s="111"/>
    </row>
    <row r="1752" spans="1:7">
      <c r="A1752" s="106"/>
      <c r="B1752" s="111"/>
      <c r="C1752" s="111"/>
      <c r="D1752" s="111"/>
      <c r="E1752" s="111"/>
      <c r="F1752" s="111"/>
      <c r="G1752" s="111"/>
    </row>
    <row r="1753" spans="1:7">
      <c r="A1753" s="106"/>
      <c r="B1753" s="111"/>
      <c r="C1753" s="111"/>
      <c r="D1753" s="111"/>
      <c r="E1753" s="111"/>
      <c r="F1753" s="111"/>
      <c r="G1753" s="111"/>
    </row>
    <row r="1754" spans="1:7">
      <c r="A1754" s="106"/>
      <c r="B1754" s="111"/>
      <c r="C1754" s="111"/>
      <c r="D1754" s="111"/>
      <c r="E1754" s="111"/>
      <c r="F1754" s="111"/>
      <c r="G1754" s="111"/>
    </row>
    <row r="1755" spans="1:7">
      <c r="A1755" s="106"/>
      <c r="B1755" s="111"/>
      <c r="C1755" s="111"/>
      <c r="D1755" s="111"/>
      <c r="E1755" s="111"/>
      <c r="F1755" s="111"/>
      <c r="G1755" s="111"/>
    </row>
    <row r="1756" spans="1:7">
      <c r="A1756" s="106"/>
      <c r="B1756" s="111"/>
      <c r="C1756" s="111"/>
      <c r="D1756" s="111"/>
      <c r="E1756" s="111"/>
      <c r="F1756" s="111"/>
      <c r="G1756" s="111"/>
    </row>
    <row r="1757" spans="1:7">
      <c r="A1757" s="106"/>
      <c r="B1757" s="111"/>
      <c r="C1757" s="111"/>
      <c r="D1757" s="111"/>
      <c r="E1757" s="111"/>
      <c r="F1757" s="111"/>
      <c r="G1757" s="111"/>
    </row>
    <row r="1758" spans="1:7">
      <c r="A1758" s="106"/>
      <c r="B1758" s="111"/>
      <c r="C1758" s="111"/>
      <c r="D1758" s="111"/>
      <c r="E1758" s="111"/>
      <c r="F1758" s="111"/>
      <c r="G1758" s="111"/>
    </row>
    <row r="1759" spans="1:7">
      <c r="A1759" s="106"/>
      <c r="B1759" s="111"/>
      <c r="C1759" s="111"/>
      <c r="D1759" s="111"/>
      <c r="E1759" s="111"/>
      <c r="F1759" s="111"/>
      <c r="G1759" s="111"/>
    </row>
    <row r="1760" spans="1:7">
      <c r="A1760" s="106"/>
      <c r="B1760" s="111"/>
      <c r="C1760" s="111"/>
      <c r="D1760" s="111"/>
      <c r="E1760" s="111"/>
      <c r="F1760" s="111"/>
      <c r="G1760" s="111"/>
    </row>
    <row r="1761" spans="1:7">
      <c r="A1761" s="106"/>
      <c r="B1761" s="111"/>
      <c r="C1761" s="111"/>
      <c r="D1761" s="111"/>
      <c r="E1761" s="111"/>
      <c r="F1761" s="111"/>
      <c r="G1761" s="111"/>
    </row>
    <row r="1762" spans="1:7">
      <c r="A1762" s="106"/>
      <c r="B1762" s="111"/>
      <c r="C1762" s="111"/>
      <c r="D1762" s="111"/>
      <c r="E1762" s="111"/>
      <c r="F1762" s="111"/>
      <c r="G1762" s="111"/>
    </row>
    <row r="1763" spans="1:7">
      <c r="A1763" s="106"/>
      <c r="B1763" s="111"/>
      <c r="C1763" s="111"/>
      <c r="D1763" s="111"/>
      <c r="E1763" s="111"/>
      <c r="F1763" s="111"/>
      <c r="G1763" s="111"/>
    </row>
    <row r="1764" spans="1:7">
      <c r="A1764" s="106"/>
      <c r="B1764" s="111"/>
      <c r="C1764" s="111"/>
      <c r="D1764" s="111"/>
      <c r="E1764" s="111"/>
      <c r="F1764" s="111"/>
      <c r="G1764" s="111"/>
    </row>
    <row r="1765" spans="1:7">
      <c r="A1765" s="106"/>
      <c r="B1765" s="111"/>
      <c r="C1765" s="111"/>
      <c r="D1765" s="111"/>
      <c r="E1765" s="111"/>
      <c r="F1765" s="111"/>
      <c r="G1765" s="111"/>
    </row>
    <row r="1766" spans="1:7">
      <c r="A1766" s="106"/>
      <c r="B1766" s="111"/>
      <c r="C1766" s="111"/>
      <c r="D1766" s="111"/>
      <c r="E1766" s="111"/>
      <c r="F1766" s="111"/>
      <c r="G1766" s="111"/>
    </row>
    <row r="1767" spans="1:7">
      <c r="A1767" s="106"/>
      <c r="B1767" s="111"/>
      <c r="C1767" s="111"/>
      <c r="D1767" s="111"/>
      <c r="E1767" s="111"/>
      <c r="F1767" s="111"/>
      <c r="G1767" s="111"/>
    </row>
    <row r="1768" spans="1:7">
      <c r="A1768" s="106"/>
      <c r="B1768" s="111"/>
      <c r="C1768" s="111"/>
      <c r="D1768" s="111"/>
      <c r="E1768" s="111"/>
      <c r="F1768" s="111"/>
      <c r="G1768" s="111"/>
    </row>
    <row r="1769" spans="1:7">
      <c r="A1769" s="106"/>
      <c r="B1769" s="111"/>
      <c r="C1769" s="111"/>
      <c r="D1769" s="111"/>
      <c r="E1769" s="111"/>
      <c r="F1769" s="111"/>
      <c r="G1769" s="111"/>
    </row>
    <row r="1770" spans="1:7">
      <c r="A1770" s="106"/>
      <c r="B1770" s="111"/>
      <c r="C1770" s="111"/>
      <c r="D1770" s="111"/>
      <c r="E1770" s="111"/>
      <c r="F1770" s="111"/>
      <c r="G1770" s="111"/>
    </row>
    <row r="1771" spans="1:7">
      <c r="A1771" s="106"/>
      <c r="B1771" s="111"/>
      <c r="C1771" s="111"/>
      <c r="D1771" s="111"/>
      <c r="E1771" s="111"/>
      <c r="F1771" s="111"/>
      <c r="G1771" s="111"/>
    </row>
    <row r="1772" spans="1:7">
      <c r="A1772" s="106"/>
      <c r="B1772" s="111"/>
      <c r="C1772" s="111"/>
      <c r="D1772" s="111"/>
      <c r="E1772" s="111"/>
      <c r="F1772" s="111"/>
      <c r="G1772" s="111"/>
    </row>
    <row r="1773" spans="1:7">
      <c r="A1773" s="106"/>
      <c r="B1773" s="111"/>
      <c r="C1773" s="111"/>
      <c r="D1773" s="111"/>
      <c r="E1773" s="111"/>
      <c r="F1773" s="111"/>
      <c r="G1773" s="111"/>
    </row>
    <row r="1774" spans="1:7">
      <c r="A1774" s="106"/>
      <c r="B1774" s="111"/>
      <c r="C1774" s="111"/>
      <c r="D1774" s="111"/>
      <c r="E1774" s="111"/>
      <c r="F1774" s="111"/>
      <c r="G1774" s="111"/>
    </row>
    <row r="1775" spans="1:7">
      <c r="A1775" s="106"/>
      <c r="B1775" s="111"/>
      <c r="C1775" s="111"/>
      <c r="D1775" s="111"/>
      <c r="E1775" s="111"/>
      <c r="F1775" s="111"/>
      <c r="G1775" s="111"/>
    </row>
    <row r="1776" spans="1:7">
      <c r="A1776" s="106"/>
      <c r="B1776" s="111"/>
      <c r="C1776" s="111"/>
      <c r="D1776" s="111"/>
      <c r="E1776" s="111"/>
      <c r="F1776" s="111"/>
      <c r="G1776" s="111"/>
    </row>
    <row r="1777" spans="1:7">
      <c r="A1777" s="106"/>
      <c r="B1777" s="111"/>
      <c r="C1777" s="111"/>
      <c r="D1777" s="111"/>
      <c r="E1777" s="111"/>
      <c r="F1777" s="111"/>
      <c r="G1777" s="111"/>
    </row>
    <row r="1778" spans="1:7">
      <c r="A1778" s="106"/>
      <c r="B1778" s="111"/>
      <c r="C1778" s="111"/>
      <c r="D1778" s="111"/>
      <c r="E1778" s="111"/>
      <c r="F1778" s="111"/>
      <c r="G1778" s="111"/>
    </row>
    <row r="1779" spans="1:7">
      <c r="A1779" s="106"/>
      <c r="B1779" s="111"/>
      <c r="C1779" s="111"/>
      <c r="D1779" s="111"/>
      <c r="E1779" s="111"/>
      <c r="F1779" s="111"/>
      <c r="G1779" s="111"/>
    </row>
    <row r="1780" spans="1:7">
      <c r="A1780" s="106"/>
      <c r="B1780" s="111"/>
      <c r="C1780" s="111"/>
      <c r="D1780" s="111"/>
      <c r="E1780" s="111"/>
      <c r="F1780" s="111"/>
      <c r="G1780" s="111"/>
    </row>
    <row r="1781" spans="1:7">
      <c r="A1781" s="106"/>
      <c r="B1781" s="111"/>
      <c r="C1781" s="111"/>
      <c r="D1781" s="111"/>
      <c r="E1781" s="111"/>
      <c r="F1781" s="111"/>
      <c r="G1781" s="111"/>
    </row>
    <row r="1782" spans="1:7">
      <c r="A1782" s="106"/>
      <c r="B1782" s="111"/>
      <c r="C1782" s="111"/>
      <c r="D1782" s="111"/>
      <c r="E1782" s="111"/>
      <c r="F1782" s="111"/>
      <c r="G1782" s="111"/>
    </row>
    <row r="1783" spans="1:7">
      <c r="A1783" s="106"/>
      <c r="B1783" s="111"/>
      <c r="C1783" s="111"/>
      <c r="D1783" s="111"/>
      <c r="E1783" s="111"/>
      <c r="F1783" s="111"/>
      <c r="G1783" s="111"/>
    </row>
    <row r="1784" spans="1:7">
      <c r="A1784" s="106"/>
      <c r="B1784" s="111"/>
      <c r="C1784" s="111"/>
      <c r="D1784" s="111"/>
      <c r="E1784" s="111"/>
      <c r="F1784" s="111"/>
      <c r="G1784" s="111"/>
    </row>
    <row r="1785" spans="1:7">
      <c r="A1785" s="106"/>
      <c r="B1785" s="111"/>
      <c r="C1785" s="111"/>
      <c r="D1785" s="111"/>
      <c r="E1785" s="111"/>
      <c r="F1785" s="111"/>
      <c r="G1785" s="111"/>
    </row>
    <row r="1786" spans="1:7">
      <c r="A1786" s="106"/>
      <c r="B1786" s="111"/>
      <c r="C1786" s="111"/>
      <c r="D1786" s="111"/>
      <c r="E1786" s="111"/>
      <c r="F1786" s="111"/>
      <c r="G1786" s="111"/>
    </row>
    <row r="1787" spans="1:7">
      <c r="A1787" s="106"/>
      <c r="B1787" s="111"/>
      <c r="C1787" s="111"/>
      <c r="D1787" s="111"/>
      <c r="E1787" s="111"/>
      <c r="F1787" s="111"/>
      <c r="G1787" s="111"/>
    </row>
    <row r="1788" spans="1:7">
      <c r="A1788" s="106"/>
      <c r="B1788" s="111"/>
      <c r="C1788" s="111"/>
      <c r="D1788" s="111"/>
      <c r="E1788" s="111"/>
      <c r="F1788" s="111"/>
      <c r="G1788" s="111"/>
    </row>
    <row r="1789" spans="1:7">
      <c r="A1789" s="106"/>
      <c r="B1789" s="111"/>
      <c r="C1789" s="111"/>
      <c r="D1789" s="111"/>
      <c r="E1789" s="111"/>
      <c r="F1789" s="111"/>
      <c r="G1789" s="111"/>
    </row>
    <row r="1790" spans="1:7">
      <c r="A1790" s="106"/>
      <c r="B1790" s="111"/>
      <c r="C1790" s="111"/>
      <c r="D1790" s="111"/>
      <c r="E1790" s="111"/>
      <c r="F1790" s="111"/>
      <c r="G1790" s="111"/>
    </row>
    <row r="1791" spans="1:7">
      <c r="A1791" s="106"/>
      <c r="B1791" s="111"/>
      <c r="C1791" s="111"/>
      <c r="D1791" s="111"/>
      <c r="E1791" s="111"/>
      <c r="F1791" s="111"/>
      <c r="G1791" s="111"/>
    </row>
    <row r="1792" spans="1:7">
      <c r="A1792" s="106"/>
      <c r="B1792" s="111"/>
      <c r="C1792" s="111"/>
      <c r="D1792" s="111"/>
      <c r="E1792" s="111"/>
      <c r="F1792" s="111"/>
      <c r="G1792" s="111"/>
    </row>
    <row r="1793" spans="1:7">
      <c r="A1793" s="106"/>
      <c r="B1793" s="111"/>
      <c r="C1793" s="111"/>
      <c r="D1793" s="111"/>
      <c r="E1793" s="111"/>
      <c r="F1793" s="111"/>
      <c r="G1793" s="111"/>
    </row>
    <row r="1794" spans="1:7">
      <c r="A1794" s="106"/>
      <c r="B1794" s="111"/>
      <c r="C1794" s="111"/>
      <c r="D1794" s="111"/>
      <c r="E1794" s="111"/>
      <c r="F1794" s="111"/>
      <c r="G1794" s="111"/>
    </row>
    <row r="1795" spans="1:7">
      <c r="A1795" s="106"/>
      <c r="B1795" s="111"/>
      <c r="C1795" s="111"/>
      <c r="D1795" s="111"/>
      <c r="E1795" s="111"/>
      <c r="F1795" s="111"/>
      <c r="G1795" s="111"/>
    </row>
    <row r="1796" spans="1:7">
      <c r="A1796" s="106"/>
      <c r="B1796" s="111"/>
      <c r="C1796" s="111"/>
      <c r="D1796" s="111"/>
      <c r="E1796" s="111"/>
      <c r="F1796" s="111"/>
      <c r="G1796" s="111"/>
    </row>
    <row r="1797" spans="1:7">
      <c r="A1797" s="106"/>
      <c r="B1797" s="111"/>
      <c r="C1797" s="111"/>
      <c r="D1797" s="111"/>
      <c r="E1797" s="111"/>
      <c r="F1797" s="111"/>
      <c r="G1797" s="111"/>
    </row>
    <row r="1798" spans="1:7">
      <c r="A1798" s="106"/>
      <c r="B1798" s="111"/>
      <c r="C1798" s="111"/>
      <c r="D1798" s="111"/>
      <c r="E1798" s="111"/>
      <c r="F1798" s="111"/>
      <c r="G1798" s="111"/>
    </row>
    <row r="1799" spans="1:7">
      <c r="A1799" s="106"/>
      <c r="B1799" s="111"/>
      <c r="C1799" s="111"/>
      <c r="D1799" s="111"/>
      <c r="E1799" s="111"/>
      <c r="F1799" s="111"/>
      <c r="G1799" s="111"/>
    </row>
    <row r="1800" spans="1:7">
      <c r="A1800" s="106"/>
      <c r="B1800" s="111"/>
      <c r="C1800" s="111"/>
      <c r="D1800" s="111"/>
      <c r="E1800" s="111"/>
      <c r="F1800" s="111"/>
      <c r="G1800" s="111"/>
    </row>
    <row r="1801" spans="1:7">
      <c r="A1801" s="106"/>
      <c r="B1801" s="111"/>
      <c r="C1801" s="111"/>
      <c r="D1801" s="111"/>
      <c r="E1801" s="111"/>
      <c r="F1801" s="111"/>
      <c r="G1801" s="111"/>
    </row>
    <row r="1802" spans="1:7">
      <c r="A1802" s="106"/>
      <c r="B1802" s="111"/>
      <c r="C1802" s="111"/>
      <c r="D1802" s="111"/>
      <c r="E1802" s="111"/>
      <c r="F1802" s="111"/>
      <c r="G1802" s="111"/>
    </row>
    <row r="1803" spans="1:7">
      <c r="A1803" s="106"/>
      <c r="B1803" s="111"/>
      <c r="C1803" s="111"/>
      <c r="D1803" s="111"/>
      <c r="E1803" s="111"/>
      <c r="F1803" s="111"/>
      <c r="G1803" s="111"/>
    </row>
    <row r="1804" spans="1:7">
      <c r="A1804" s="106"/>
      <c r="B1804" s="111"/>
      <c r="C1804" s="111"/>
      <c r="D1804" s="111"/>
      <c r="E1804" s="111"/>
      <c r="F1804" s="111"/>
      <c r="G1804" s="111"/>
    </row>
    <row r="1805" spans="1:7">
      <c r="A1805" s="106"/>
      <c r="B1805" s="111"/>
      <c r="C1805" s="111"/>
      <c r="D1805" s="111"/>
      <c r="E1805" s="111"/>
      <c r="F1805" s="111"/>
      <c r="G1805" s="111"/>
    </row>
    <row r="1806" spans="1:7">
      <c r="A1806" s="106"/>
      <c r="B1806" s="111"/>
      <c r="C1806" s="111"/>
      <c r="D1806" s="111"/>
      <c r="E1806" s="111"/>
      <c r="F1806" s="111"/>
      <c r="G1806" s="111"/>
    </row>
    <row r="1807" spans="1:7">
      <c r="A1807" s="106"/>
      <c r="B1807" s="111"/>
      <c r="C1807" s="111"/>
      <c r="D1807" s="111"/>
      <c r="E1807" s="111"/>
      <c r="F1807" s="111"/>
      <c r="G1807" s="111"/>
    </row>
    <row r="1808" spans="1:7">
      <c r="A1808" s="106"/>
      <c r="B1808" s="111"/>
      <c r="C1808" s="111"/>
      <c r="D1808" s="111"/>
      <c r="E1808" s="111"/>
      <c r="F1808" s="111"/>
      <c r="G1808" s="111"/>
    </row>
    <row r="1809" spans="1:7">
      <c r="A1809" s="106"/>
      <c r="B1809" s="111"/>
      <c r="C1809" s="111"/>
      <c r="D1809" s="111"/>
      <c r="E1809" s="111"/>
      <c r="F1809" s="111"/>
      <c r="G1809" s="111"/>
    </row>
    <row r="1810" spans="1:7">
      <c r="A1810" s="106"/>
      <c r="B1810" s="111"/>
      <c r="C1810" s="111"/>
      <c r="D1810" s="111"/>
      <c r="E1810" s="111"/>
      <c r="F1810" s="111"/>
      <c r="G1810" s="111"/>
    </row>
    <row r="1811" spans="1:7">
      <c r="A1811" s="106"/>
      <c r="B1811" s="111"/>
      <c r="C1811" s="111"/>
      <c r="D1811" s="111"/>
      <c r="E1811" s="111"/>
      <c r="F1811" s="111"/>
      <c r="G1811" s="111"/>
    </row>
    <row r="1812" spans="1:7">
      <c r="A1812" s="106"/>
      <c r="B1812" s="111"/>
      <c r="C1812" s="111"/>
      <c r="D1812" s="111"/>
      <c r="E1812" s="111"/>
      <c r="F1812" s="111"/>
      <c r="G1812" s="111"/>
    </row>
    <row r="1813" spans="1:7">
      <c r="A1813" s="106"/>
      <c r="B1813" s="111"/>
      <c r="C1813" s="111"/>
      <c r="D1813" s="111"/>
      <c r="E1813" s="111"/>
      <c r="F1813" s="111"/>
      <c r="G1813" s="111"/>
    </row>
    <row r="1814" spans="1:7">
      <c r="A1814" s="106"/>
      <c r="B1814" s="111"/>
      <c r="C1814" s="111"/>
      <c r="D1814" s="111"/>
      <c r="E1814" s="111"/>
      <c r="F1814" s="111"/>
      <c r="G1814" s="111"/>
    </row>
    <row r="1815" spans="1:7">
      <c r="A1815" s="106"/>
      <c r="B1815" s="111"/>
      <c r="C1815" s="111"/>
      <c r="D1815" s="111"/>
      <c r="E1815" s="111"/>
      <c r="F1815" s="111"/>
      <c r="G1815" s="111"/>
    </row>
    <row r="1816" spans="1:7">
      <c r="A1816" s="106"/>
      <c r="B1816" s="111"/>
      <c r="C1816" s="111"/>
      <c r="D1816" s="111"/>
      <c r="E1816" s="111"/>
      <c r="F1816" s="111"/>
      <c r="G1816" s="111"/>
    </row>
    <row r="1817" spans="1:7">
      <c r="A1817" s="106"/>
      <c r="B1817" s="111"/>
      <c r="C1817" s="111"/>
      <c r="D1817" s="111"/>
      <c r="E1817" s="111"/>
      <c r="F1817" s="111"/>
      <c r="G1817" s="111"/>
    </row>
    <row r="1818" spans="1:7">
      <c r="A1818" s="106"/>
      <c r="B1818" s="111"/>
      <c r="C1818" s="111"/>
      <c r="D1818" s="111"/>
      <c r="E1818" s="111"/>
      <c r="F1818" s="111"/>
      <c r="G1818" s="111"/>
    </row>
    <row r="1819" spans="1:7">
      <c r="A1819" s="106"/>
      <c r="B1819" s="111"/>
      <c r="C1819" s="111"/>
      <c r="D1819" s="111"/>
      <c r="E1819" s="111"/>
      <c r="F1819" s="111"/>
      <c r="G1819" s="111"/>
    </row>
    <row r="1820" spans="1:7">
      <c r="A1820" s="106"/>
      <c r="B1820" s="111"/>
      <c r="C1820" s="111"/>
      <c r="D1820" s="111"/>
      <c r="E1820" s="111"/>
      <c r="F1820" s="111"/>
      <c r="G1820" s="111"/>
    </row>
    <row r="1821" spans="1:7">
      <c r="A1821" s="106"/>
      <c r="B1821" s="111"/>
      <c r="C1821" s="111"/>
      <c r="D1821" s="111"/>
      <c r="E1821" s="111"/>
      <c r="F1821" s="111"/>
      <c r="G1821" s="111"/>
    </row>
    <row r="1822" spans="1:7">
      <c r="A1822" s="106"/>
      <c r="B1822" s="111"/>
      <c r="C1822" s="111"/>
      <c r="D1822" s="111"/>
      <c r="E1822" s="111"/>
      <c r="F1822" s="111"/>
      <c r="G1822" s="111"/>
    </row>
    <row r="1823" spans="1:7">
      <c r="A1823" s="106"/>
      <c r="B1823" s="111"/>
      <c r="C1823" s="111"/>
      <c r="D1823" s="111"/>
      <c r="E1823" s="111"/>
      <c r="F1823" s="111"/>
      <c r="G1823" s="111"/>
    </row>
    <row r="1824" spans="1:7">
      <c r="A1824" s="106"/>
      <c r="B1824" s="111"/>
      <c r="C1824" s="111"/>
      <c r="D1824" s="111"/>
      <c r="E1824" s="111"/>
      <c r="F1824" s="111"/>
      <c r="G1824" s="111"/>
    </row>
    <row r="1825" spans="1:7">
      <c r="A1825" s="106"/>
      <c r="B1825" s="111"/>
      <c r="C1825" s="111"/>
      <c r="D1825" s="111"/>
      <c r="E1825" s="111"/>
      <c r="F1825" s="111"/>
      <c r="G1825" s="111"/>
    </row>
    <row r="1826" spans="1:7">
      <c r="A1826" s="106"/>
      <c r="B1826" s="111"/>
      <c r="C1826" s="111"/>
      <c r="D1826" s="111"/>
      <c r="E1826" s="111"/>
      <c r="F1826" s="111"/>
      <c r="G1826" s="111"/>
    </row>
    <row r="1827" spans="1:7">
      <c r="A1827" s="106"/>
      <c r="B1827" s="111"/>
      <c r="C1827" s="111"/>
      <c r="D1827" s="111"/>
      <c r="E1827" s="111"/>
      <c r="F1827" s="111"/>
      <c r="G1827" s="111"/>
    </row>
    <row r="1828" spans="1:7">
      <c r="A1828" s="106"/>
      <c r="B1828" s="111"/>
      <c r="C1828" s="111"/>
      <c r="D1828" s="111"/>
      <c r="E1828" s="111"/>
      <c r="F1828" s="111"/>
      <c r="G1828" s="111"/>
    </row>
    <row r="1829" spans="1:7">
      <c r="A1829" s="106"/>
      <c r="B1829" s="111"/>
      <c r="C1829" s="111"/>
      <c r="D1829" s="111"/>
      <c r="E1829" s="111"/>
      <c r="F1829" s="111"/>
      <c r="G1829" s="111"/>
    </row>
    <row r="1830" spans="1:7">
      <c r="A1830" s="106"/>
      <c r="B1830" s="111"/>
      <c r="C1830" s="111"/>
      <c r="D1830" s="111"/>
      <c r="E1830" s="111"/>
      <c r="F1830" s="111"/>
      <c r="G1830" s="111"/>
    </row>
    <row r="1831" spans="1:7">
      <c r="A1831" s="106"/>
      <c r="B1831" s="111"/>
      <c r="C1831" s="111"/>
      <c r="D1831" s="111"/>
      <c r="E1831" s="111"/>
      <c r="F1831" s="111"/>
      <c r="G1831" s="111"/>
    </row>
    <row r="1832" spans="1:7">
      <c r="A1832" s="106"/>
      <c r="B1832" s="111"/>
      <c r="C1832" s="111"/>
      <c r="D1832" s="111"/>
      <c r="E1832" s="111"/>
      <c r="F1832" s="111"/>
      <c r="G1832" s="111"/>
    </row>
    <row r="1833" spans="1:7">
      <c r="A1833" s="106"/>
      <c r="B1833" s="111"/>
      <c r="C1833" s="111"/>
      <c r="D1833" s="111"/>
      <c r="E1833" s="111"/>
      <c r="F1833" s="111"/>
      <c r="G1833" s="111"/>
    </row>
    <row r="1834" spans="1:7">
      <c r="A1834" s="106"/>
      <c r="B1834" s="111"/>
      <c r="C1834" s="111"/>
      <c r="D1834" s="111"/>
      <c r="E1834" s="111"/>
      <c r="F1834" s="111"/>
      <c r="G1834" s="111"/>
    </row>
    <row r="1835" spans="1:7">
      <c r="A1835" s="106"/>
      <c r="B1835" s="111"/>
      <c r="C1835" s="111"/>
      <c r="D1835" s="111"/>
      <c r="E1835" s="111"/>
      <c r="F1835" s="111"/>
      <c r="G1835" s="111"/>
    </row>
    <row r="1836" spans="1:7">
      <c r="A1836" s="106"/>
      <c r="B1836" s="111"/>
      <c r="C1836" s="111"/>
      <c r="D1836" s="111"/>
      <c r="E1836" s="111"/>
      <c r="F1836" s="111"/>
      <c r="G1836" s="111"/>
    </row>
    <row r="1837" spans="1:7">
      <c r="A1837" s="106"/>
      <c r="B1837" s="111"/>
      <c r="C1837" s="111"/>
      <c r="D1837" s="111"/>
      <c r="E1837" s="111"/>
      <c r="F1837" s="111"/>
      <c r="G1837" s="111"/>
    </row>
    <row r="1838" spans="1:7">
      <c r="A1838" s="106"/>
      <c r="B1838" s="111"/>
      <c r="C1838" s="111"/>
      <c r="D1838" s="111"/>
      <c r="E1838" s="111"/>
      <c r="F1838" s="111"/>
      <c r="G1838" s="111"/>
    </row>
    <row r="1839" spans="1:7">
      <c r="A1839" s="106"/>
      <c r="B1839" s="111"/>
      <c r="C1839" s="111"/>
      <c r="D1839" s="111"/>
      <c r="E1839" s="111"/>
      <c r="F1839" s="111"/>
      <c r="G1839" s="111"/>
    </row>
    <row r="1840" spans="1:7">
      <c r="A1840" s="106"/>
      <c r="B1840" s="111"/>
      <c r="C1840" s="111"/>
      <c r="D1840" s="111"/>
      <c r="E1840" s="111"/>
      <c r="F1840" s="111"/>
      <c r="G1840" s="111"/>
    </row>
    <row r="1841" spans="1:7">
      <c r="A1841" s="106"/>
      <c r="B1841" s="111"/>
      <c r="C1841" s="111"/>
      <c r="D1841" s="111"/>
      <c r="E1841" s="111"/>
      <c r="F1841" s="111"/>
      <c r="G1841" s="111"/>
    </row>
    <row r="1842" spans="1:7">
      <c r="A1842" s="106"/>
      <c r="B1842" s="111"/>
      <c r="C1842" s="111"/>
      <c r="D1842" s="111"/>
      <c r="E1842" s="111"/>
      <c r="F1842" s="111"/>
      <c r="G1842" s="111"/>
    </row>
    <row r="1843" spans="1:7">
      <c r="A1843" s="106"/>
      <c r="B1843" s="111"/>
      <c r="C1843" s="111"/>
      <c r="D1843" s="111"/>
      <c r="E1843" s="111"/>
      <c r="F1843" s="111"/>
      <c r="G1843" s="111"/>
    </row>
    <row r="1844" spans="1:7">
      <c r="A1844" s="106"/>
      <c r="B1844" s="111"/>
      <c r="C1844" s="111"/>
      <c r="D1844" s="111"/>
      <c r="E1844" s="111"/>
      <c r="F1844" s="111"/>
      <c r="G1844" s="111"/>
    </row>
    <row r="1845" spans="1:7">
      <c r="A1845" s="106"/>
      <c r="B1845" s="111"/>
      <c r="C1845" s="111"/>
      <c r="D1845" s="111"/>
      <c r="E1845" s="111"/>
      <c r="F1845" s="111"/>
      <c r="G1845" s="111"/>
    </row>
    <row r="1846" spans="1:7">
      <c r="A1846" s="106"/>
      <c r="B1846" s="111"/>
      <c r="C1846" s="111"/>
      <c r="D1846" s="111"/>
      <c r="E1846" s="111"/>
      <c r="F1846" s="111"/>
      <c r="G1846" s="111"/>
    </row>
    <row r="1847" spans="1:7">
      <c r="A1847" s="106"/>
      <c r="B1847" s="111"/>
      <c r="C1847" s="111"/>
      <c r="D1847" s="111"/>
      <c r="E1847" s="111"/>
      <c r="F1847" s="111"/>
      <c r="G1847" s="111"/>
    </row>
    <row r="1848" spans="1:7">
      <c r="A1848" s="106"/>
      <c r="B1848" s="111"/>
      <c r="C1848" s="111"/>
      <c r="D1848" s="111"/>
      <c r="E1848" s="111"/>
      <c r="F1848" s="111"/>
      <c r="G1848" s="111"/>
    </row>
    <row r="1849" spans="1:7">
      <c r="A1849" s="106"/>
      <c r="B1849" s="111"/>
      <c r="C1849" s="111"/>
      <c r="D1849" s="111"/>
      <c r="E1849" s="111"/>
      <c r="F1849" s="111"/>
      <c r="G1849" s="111"/>
    </row>
    <row r="1850" spans="1:7">
      <c r="A1850" s="106"/>
      <c r="B1850" s="111"/>
      <c r="C1850" s="111"/>
      <c r="D1850" s="111"/>
      <c r="E1850" s="111"/>
      <c r="F1850" s="111"/>
      <c r="G1850" s="111"/>
    </row>
    <row r="1851" spans="1:7">
      <c r="A1851" s="106"/>
      <c r="B1851" s="111"/>
      <c r="C1851" s="111"/>
      <c r="D1851" s="111"/>
      <c r="E1851" s="111"/>
      <c r="F1851" s="111"/>
      <c r="G1851" s="111"/>
    </row>
    <row r="1852" spans="1:7">
      <c r="A1852" s="106"/>
      <c r="B1852" s="111"/>
      <c r="C1852" s="111"/>
      <c r="D1852" s="111"/>
      <c r="E1852" s="111"/>
      <c r="F1852" s="111"/>
      <c r="G1852" s="111"/>
    </row>
    <row r="1853" spans="1:7">
      <c r="A1853" s="106"/>
      <c r="B1853" s="111"/>
      <c r="C1853" s="111"/>
      <c r="D1853" s="111"/>
      <c r="E1853" s="111"/>
      <c r="F1853" s="111"/>
      <c r="G1853" s="111"/>
    </row>
    <row r="1854" spans="1:7">
      <c r="A1854" s="106"/>
      <c r="B1854" s="111"/>
      <c r="C1854" s="111"/>
      <c r="D1854" s="111"/>
      <c r="E1854" s="111"/>
      <c r="F1854" s="111"/>
      <c r="G1854" s="111"/>
    </row>
    <row r="1855" spans="1:7">
      <c r="A1855" s="106"/>
      <c r="B1855" s="111"/>
      <c r="C1855" s="111"/>
      <c r="D1855" s="111"/>
      <c r="E1855" s="111"/>
      <c r="F1855" s="111"/>
      <c r="G1855" s="111"/>
    </row>
    <row r="1856" spans="1:7">
      <c r="A1856" s="106"/>
      <c r="B1856" s="111"/>
      <c r="C1856" s="111"/>
      <c r="D1856" s="111"/>
      <c r="E1856" s="111"/>
      <c r="F1856" s="111"/>
      <c r="G1856" s="111"/>
    </row>
    <row r="1857" spans="1:7">
      <c r="A1857" s="106"/>
      <c r="B1857" s="111"/>
      <c r="C1857" s="111"/>
      <c r="D1857" s="111"/>
      <c r="E1857" s="111"/>
      <c r="F1857" s="111"/>
      <c r="G1857" s="111"/>
    </row>
    <row r="1858" spans="1:7">
      <c r="A1858" s="106"/>
      <c r="B1858" s="111"/>
      <c r="C1858" s="111"/>
      <c r="D1858" s="111"/>
      <c r="E1858" s="111"/>
      <c r="F1858" s="111"/>
      <c r="G1858" s="111"/>
    </row>
    <row r="1859" spans="1:7">
      <c r="A1859" s="106"/>
      <c r="B1859" s="111"/>
      <c r="C1859" s="111"/>
      <c r="D1859" s="111"/>
      <c r="E1859" s="111"/>
      <c r="F1859" s="111"/>
      <c r="G1859" s="111"/>
    </row>
    <row r="1860" spans="1:7">
      <c r="A1860" s="106"/>
      <c r="B1860" s="111"/>
      <c r="C1860" s="111"/>
      <c r="D1860" s="111"/>
      <c r="E1860" s="111"/>
      <c r="F1860" s="111"/>
      <c r="G1860" s="111"/>
    </row>
    <row r="1861" spans="1:7">
      <c r="A1861" s="106"/>
      <c r="B1861" s="111"/>
      <c r="C1861" s="111"/>
      <c r="D1861" s="111"/>
      <c r="E1861" s="111"/>
      <c r="F1861" s="111"/>
      <c r="G1861" s="111"/>
    </row>
    <row r="1862" spans="1:7">
      <c r="A1862" s="106"/>
      <c r="B1862" s="111"/>
      <c r="C1862" s="111"/>
      <c r="D1862" s="111"/>
      <c r="E1862" s="111"/>
      <c r="F1862" s="111"/>
      <c r="G1862" s="111"/>
    </row>
    <row r="1863" spans="1:7">
      <c r="A1863" s="106"/>
      <c r="B1863" s="111"/>
      <c r="C1863" s="111"/>
      <c r="D1863" s="111"/>
      <c r="E1863" s="111"/>
      <c r="F1863" s="111"/>
      <c r="G1863" s="111"/>
    </row>
    <row r="1864" spans="1:7">
      <c r="A1864" s="106"/>
      <c r="B1864" s="111"/>
      <c r="C1864" s="111"/>
      <c r="D1864" s="111"/>
      <c r="E1864" s="111"/>
      <c r="F1864" s="111"/>
      <c r="G1864" s="111"/>
    </row>
    <row r="1865" spans="1:7">
      <c r="A1865" s="106"/>
      <c r="B1865" s="111"/>
      <c r="C1865" s="111"/>
      <c r="D1865" s="111"/>
      <c r="E1865" s="111"/>
      <c r="F1865" s="111"/>
      <c r="G1865" s="111"/>
    </row>
    <row r="1866" spans="1:7">
      <c r="A1866" s="106"/>
      <c r="B1866" s="111"/>
      <c r="C1866" s="111"/>
      <c r="D1866" s="111"/>
      <c r="E1866" s="111"/>
      <c r="F1866" s="111"/>
      <c r="G1866" s="111"/>
    </row>
    <row r="1867" spans="1:7">
      <c r="A1867" s="106"/>
      <c r="B1867" s="111"/>
      <c r="C1867" s="111"/>
      <c r="D1867" s="111"/>
      <c r="E1867" s="111"/>
      <c r="F1867" s="111"/>
      <c r="G1867" s="111"/>
    </row>
    <row r="1868" spans="1:7">
      <c r="A1868" s="106"/>
      <c r="B1868" s="111"/>
      <c r="C1868" s="111"/>
      <c r="D1868" s="111"/>
      <c r="E1868" s="111"/>
      <c r="F1868" s="111"/>
      <c r="G1868" s="111"/>
    </row>
    <row r="1869" spans="1:7">
      <c r="A1869" s="106"/>
      <c r="B1869" s="111"/>
      <c r="C1869" s="111"/>
      <c r="D1869" s="111"/>
      <c r="E1869" s="111"/>
      <c r="F1869" s="111"/>
      <c r="G1869" s="111"/>
    </row>
    <row r="1870" spans="1:7">
      <c r="A1870" s="106"/>
      <c r="B1870" s="111"/>
      <c r="C1870" s="111"/>
      <c r="D1870" s="111"/>
      <c r="E1870" s="111"/>
      <c r="F1870" s="111"/>
      <c r="G1870" s="111"/>
    </row>
    <row r="1871" spans="1:7">
      <c r="A1871" s="106"/>
      <c r="B1871" s="111"/>
      <c r="C1871" s="111"/>
      <c r="D1871" s="111"/>
      <c r="E1871" s="111"/>
      <c r="F1871" s="111"/>
      <c r="G1871" s="111"/>
    </row>
    <row r="1872" spans="1:7">
      <c r="A1872" s="106"/>
      <c r="B1872" s="111"/>
      <c r="C1872" s="111"/>
      <c r="D1872" s="111"/>
      <c r="E1872" s="111"/>
      <c r="F1872" s="111"/>
      <c r="G1872" s="111"/>
    </row>
    <row r="1873" spans="1:7">
      <c r="A1873" s="106"/>
      <c r="B1873" s="111"/>
      <c r="C1873" s="111"/>
      <c r="D1873" s="111"/>
      <c r="E1873" s="111"/>
      <c r="F1873" s="111"/>
      <c r="G1873" s="111"/>
    </row>
    <row r="1874" spans="1:7">
      <c r="A1874" s="106"/>
      <c r="B1874" s="111"/>
      <c r="C1874" s="111"/>
      <c r="D1874" s="111"/>
      <c r="E1874" s="111"/>
      <c r="F1874" s="111"/>
      <c r="G1874" s="111"/>
    </row>
    <row r="1875" spans="1:7">
      <c r="A1875" s="106"/>
      <c r="B1875" s="111"/>
      <c r="C1875" s="111"/>
      <c r="D1875" s="111"/>
      <c r="E1875" s="111"/>
      <c r="F1875" s="111"/>
      <c r="G1875" s="111"/>
    </row>
    <row r="1876" spans="1:7">
      <c r="A1876" s="106"/>
      <c r="B1876" s="111"/>
      <c r="C1876" s="111"/>
      <c r="D1876" s="111"/>
      <c r="E1876" s="111"/>
      <c r="F1876" s="111"/>
      <c r="G1876" s="111"/>
    </row>
    <row r="1877" spans="1:7">
      <c r="A1877" s="106"/>
      <c r="B1877" s="111"/>
      <c r="C1877" s="111"/>
      <c r="D1877" s="111"/>
      <c r="E1877" s="111"/>
      <c r="F1877" s="111"/>
      <c r="G1877" s="111"/>
    </row>
    <row r="1878" spans="1:7">
      <c r="A1878" s="106"/>
      <c r="B1878" s="111"/>
      <c r="C1878" s="111"/>
      <c r="D1878" s="111"/>
      <c r="E1878" s="111"/>
      <c r="F1878" s="111"/>
      <c r="G1878" s="111"/>
    </row>
    <row r="1879" spans="1:7">
      <c r="A1879" s="106"/>
      <c r="B1879" s="111"/>
      <c r="C1879" s="111"/>
      <c r="D1879" s="111"/>
      <c r="E1879" s="111"/>
      <c r="F1879" s="111"/>
      <c r="G1879" s="111"/>
    </row>
    <row r="1880" spans="1:7">
      <c r="A1880" s="106"/>
      <c r="B1880" s="111"/>
      <c r="C1880" s="111"/>
      <c r="D1880" s="111"/>
      <c r="E1880" s="111"/>
      <c r="F1880" s="111"/>
      <c r="G1880" s="111"/>
    </row>
    <row r="1881" spans="1:7">
      <c r="A1881" s="106"/>
      <c r="B1881" s="111"/>
      <c r="C1881" s="111"/>
      <c r="D1881" s="111"/>
      <c r="E1881" s="111"/>
      <c r="F1881" s="111"/>
      <c r="G1881" s="111"/>
    </row>
    <row r="1882" spans="1:7">
      <c r="A1882" s="106"/>
      <c r="B1882" s="111"/>
      <c r="C1882" s="111"/>
      <c r="D1882" s="111"/>
      <c r="E1882" s="111"/>
      <c r="F1882" s="111"/>
      <c r="G1882" s="111"/>
    </row>
    <row r="1883" spans="1:7">
      <c r="A1883" s="106"/>
      <c r="B1883" s="111"/>
      <c r="C1883" s="111"/>
      <c r="D1883" s="111"/>
      <c r="E1883" s="111"/>
      <c r="F1883" s="111"/>
      <c r="G1883" s="111"/>
    </row>
    <row r="1884" spans="1:7">
      <c r="A1884" s="106"/>
      <c r="B1884" s="111"/>
      <c r="C1884" s="111"/>
      <c r="D1884" s="111"/>
      <c r="E1884" s="111"/>
      <c r="F1884" s="111"/>
      <c r="G1884" s="111"/>
    </row>
    <row r="1885" spans="1:7">
      <c r="A1885" s="106"/>
      <c r="B1885" s="111"/>
      <c r="C1885" s="111"/>
      <c r="D1885" s="111"/>
      <c r="E1885" s="111"/>
      <c r="F1885" s="111"/>
      <c r="G1885" s="111"/>
    </row>
    <row r="1886" spans="1:7">
      <c r="A1886" s="106"/>
      <c r="B1886" s="111"/>
      <c r="C1886" s="111"/>
      <c r="D1886" s="111"/>
      <c r="E1886" s="111"/>
      <c r="F1886" s="111"/>
      <c r="G1886" s="111"/>
    </row>
    <row r="1887" spans="1:7">
      <c r="A1887" s="106"/>
      <c r="B1887" s="111"/>
      <c r="C1887" s="111"/>
      <c r="D1887" s="111"/>
      <c r="E1887" s="111"/>
      <c r="F1887" s="111"/>
      <c r="G1887" s="111"/>
    </row>
    <row r="1888" spans="1:7">
      <c r="A1888" s="106"/>
      <c r="B1888" s="111"/>
      <c r="C1888" s="111"/>
      <c r="D1888" s="111"/>
      <c r="E1888" s="111"/>
      <c r="F1888" s="111"/>
      <c r="G1888" s="111"/>
    </row>
    <row r="1889" spans="1:7">
      <c r="A1889" s="106"/>
      <c r="B1889" s="111"/>
      <c r="C1889" s="111"/>
      <c r="D1889" s="111"/>
      <c r="E1889" s="111"/>
      <c r="F1889" s="111"/>
      <c r="G1889" s="111"/>
    </row>
    <row r="1890" spans="1:7">
      <c r="A1890" s="106"/>
      <c r="B1890" s="111"/>
      <c r="C1890" s="111"/>
      <c r="D1890" s="111"/>
      <c r="E1890" s="111"/>
      <c r="F1890" s="111"/>
      <c r="G1890" s="111"/>
    </row>
    <row r="1891" spans="1:7">
      <c r="A1891" s="106"/>
      <c r="B1891" s="111"/>
      <c r="C1891" s="111"/>
      <c r="D1891" s="111"/>
      <c r="E1891" s="111"/>
      <c r="F1891" s="111"/>
      <c r="G1891" s="111"/>
    </row>
    <row r="1892" spans="1:7">
      <c r="A1892" s="106"/>
      <c r="B1892" s="111"/>
      <c r="C1892" s="111"/>
      <c r="D1892" s="111"/>
      <c r="E1892" s="111"/>
      <c r="F1892" s="111"/>
      <c r="G1892" s="111"/>
    </row>
    <row r="1893" spans="1:7">
      <c r="A1893" s="106"/>
      <c r="B1893" s="111"/>
      <c r="C1893" s="111"/>
      <c r="D1893" s="111"/>
      <c r="E1893" s="111"/>
      <c r="F1893" s="111"/>
      <c r="G1893" s="111"/>
    </row>
    <row r="1894" spans="1:7">
      <c r="A1894" s="106"/>
      <c r="B1894" s="111"/>
      <c r="C1894" s="111"/>
      <c r="D1894" s="111"/>
      <c r="E1894" s="111"/>
      <c r="F1894" s="111"/>
      <c r="G1894" s="111"/>
    </row>
    <row r="1895" spans="1:7">
      <c r="A1895" s="106"/>
      <c r="B1895" s="111"/>
      <c r="C1895" s="111"/>
      <c r="D1895" s="111"/>
      <c r="E1895" s="111"/>
      <c r="F1895" s="111"/>
      <c r="G1895" s="111"/>
    </row>
    <row r="1896" spans="1:7">
      <c r="A1896" s="106"/>
      <c r="B1896" s="111"/>
      <c r="C1896" s="111"/>
      <c r="D1896" s="111"/>
      <c r="E1896" s="111"/>
      <c r="F1896" s="111"/>
      <c r="G1896" s="111"/>
    </row>
    <row r="1897" spans="1:7">
      <c r="A1897" s="106"/>
      <c r="B1897" s="111"/>
      <c r="C1897" s="111"/>
      <c r="D1897" s="111"/>
      <c r="E1897" s="111"/>
      <c r="F1897" s="111"/>
      <c r="G1897" s="111"/>
    </row>
    <row r="1898" spans="1:7">
      <c r="A1898" s="106"/>
      <c r="B1898" s="111"/>
      <c r="C1898" s="111"/>
      <c r="D1898" s="111"/>
      <c r="E1898" s="111"/>
      <c r="F1898" s="111"/>
      <c r="G1898" s="111"/>
    </row>
    <row r="1899" spans="1:7">
      <c r="A1899" s="106"/>
      <c r="B1899" s="111"/>
      <c r="C1899" s="111"/>
      <c r="D1899" s="111"/>
      <c r="E1899" s="111"/>
      <c r="F1899" s="111"/>
      <c r="G1899" s="111"/>
    </row>
    <row r="1900" spans="1:7">
      <c r="A1900" s="106"/>
      <c r="B1900" s="111"/>
      <c r="C1900" s="111"/>
      <c r="D1900" s="111"/>
      <c r="E1900" s="111"/>
      <c r="F1900" s="111"/>
      <c r="G1900" s="111"/>
    </row>
    <row r="1901" spans="1:7">
      <c r="A1901" s="106"/>
      <c r="B1901" s="111"/>
      <c r="C1901" s="111"/>
      <c r="D1901" s="111"/>
      <c r="E1901" s="111"/>
      <c r="F1901" s="111"/>
      <c r="G1901" s="111"/>
    </row>
    <row r="1902" spans="1:7">
      <c r="A1902" s="106"/>
      <c r="B1902" s="111"/>
      <c r="C1902" s="111"/>
      <c r="D1902" s="111"/>
      <c r="E1902" s="111"/>
      <c r="F1902" s="111"/>
      <c r="G1902" s="111"/>
    </row>
    <row r="1903" spans="1:7">
      <c r="A1903" s="106"/>
      <c r="B1903" s="111"/>
      <c r="C1903" s="111"/>
      <c r="D1903" s="111"/>
      <c r="E1903" s="111"/>
      <c r="F1903" s="111"/>
      <c r="G1903" s="111"/>
    </row>
    <row r="1904" spans="1:7">
      <c r="A1904" s="106"/>
      <c r="B1904" s="111"/>
      <c r="C1904" s="111"/>
      <c r="D1904" s="111"/>
      <c r="E1904" s="111"/>
      <c r="F1904" s="111"/>
      <c r="G1904" s="111"/>
    </row>
    <row r="1905" spans="1:7">
      <c r="A1905" s="106"/>
      <c r="B1905" s="111"/>
      <c r="C1905" s="111"/>
      <c r="D1905" s="111"/>
      <c r="E1905" s="111"/>
      <c r="F1905" s="111"/>
      <c r="G1905" s="111"/>
    </row>
    <row r="1906" spans="1:7">
      <c r="A1906" s="106"/>
      <c r="B1906" s="111"/>
      <c r="C1906" s="111"/>
      <c r="D1906" s="111"/>
      <c r="E1906" s="111"/>
      <c r="F1906" s="111"/>
      <c r="G1906" s="111"/>
    </row>
    <row r="1907" spans="1:7">
      <c r="A1907" s="106"/>
      <c r="B1907" s="111"/>
      <c r="C1907" s="111"/>
      <c r="D1907" s="111"/>
      <c r="E1907" s="111"/>
      <c r="F1907" s="111"/>
      <c r="G1907" s="111"/>
    </row>
    <row r="1908" spans="1:7">
      <c r="A1908" s="106"/>
      <c r="B1908" s="111"/>
      <c r="C1908" s="111"/>
      <c r="D1908" s="111"/>
      <c r="E1908" s="111"/>
      <c r="F1908" s="111"/>
      <c r="G1908" s="111"/>
    </row>
    <row r="1909" spans="1:7">
      <c r="A1909" s="106"/>
      <c r="B1909" s="111"/>
      <c r="C1909" s="111"/>
      <c r="D1909" s="111"/>
      <c r="E1909" s="111"/>
      <c r="F1909" s="111"/>
      <c r="G1909" s="111"/>
    </row>
    <row r="1910" spans="1:7">
      <c r="A1910" s="106"/>
      <c r="B1910" s="111"/>
      <c r="C1910" s="111"/>
      <c r="D1910" s="111"/>
      <c r="E1910" s="111"/>
      <c r="F1910" s="111"/>
      <c r="G1910" s="111"/>
    </row>
    <row r="1911" spans="1:7">
      <c r="A1911" s="106"/>
      <c r="B1911" s="111"/>
      <c r="C1911" s="111"/>
      <c r="D1911" s="111"/>
      <c r="E1911" s="111"/>
      <c r="F1911" s="111"/>
      <c r="G1911" s="111"/>
    </row>
    <row r="1912" spans="1:7">
      <c r="A1912" s="106"/>
      <c r="B1912" s="111"/>
      <c r="C1912" s="111"/>
      <c r="D1912" s="111"/>
      <c r="E1912" s="111"/>
      <c r="F1912" s="111"/>
      <c r="G1912" s="111"/>
    </row>
    <row r="1913" spans="1:7">
      <c r="A1913" s="106"/>
      <c r="B1913" s="111"/>
      <c r="C1913" s="111"/>
      <c r="D1913" s="111"/>
      <c r="E1913" s="111"/>
      <c r="F1913" s="111"/>
      <c r="G1913" s="111"/>
    </row>
    <row r="1914" spans="1:7">
      <c r="A1914" s="106"/>
      <c r="B1914" s="111"/>
      <c r="C1914" s="111"/>
      <c r="D1914" s="111"/>
      <c r="E1914" s="111"/>
      <c r="F1914" s="111"/>
      <c r="G1914" s="111"/>
    </row>
    <row r="1915" spans="1:7">
      <c r="A1915" s="106"/>
      <c r="B1915" s="111"/>
      <c r="C1915" s="111"/>
      <c r="D1915" s="111"/>
      <c r="E1915" s="111"/>
      <c r="F1915" s="111"/>
      <c r="G1915" s="111"/>
    </row>
    <row r="1916" spans="1:7">
      <c r="A1916" s="106"/>
      <c r="B1916" s="111"/>
      <c r="C1916" s="111"/>
      <c r="D1916" s="111"/>
      <c r="E1916" s="111"/>
      <c r="F1916" s="111"/>
      <c r="G1916" s="111"/>
    </row>
    <row r="1917" spans="1:7">
      <c r="A1917" s="106"/>
      <c r="B1917" s="111"/>
      <c r="C1917" s="111"/>
      <c r="D1917" s="111"/>
      <c r="E1917" s="111"/>
      <c r="F1917" s="111"/>
      <c r="G1917" s="111"/>
    </row>
    <row r="1918" spans="1:7">
      <c r="A1918" s="106"/>
      <c r="B1918" s="111"/>
      <c r="C1918" s="111"/>
      <c r="D1918" s="111"/>
      <c r="E1918" s="111"/>
      <c r="F1918" s="111"/>
      <c r="G1918" s="111"/>
    </row>
    <row r="1919" spans="1:7">
      <c r="A1919" s="106"/>
      <c r="B1919" s="111"/>
      <c r="C1919" s="111"/>
      <c r="D1919" s="111"/>
      <c r="E1919" s="111"/>
      <c r="F1919" s="111"/>
      <c r="G1919" s="111"/>
    </row>
    <row r="1920" spans="1:7">
      <c r="A1920" s="106"/>
      <c r="B1920" s="111"/>
      <c r="C1920" s="111"/>
      <c r="D1920" s="111"/>
      <c r="E1920" s="111"/>
      <c r="F1920" s="111"/>
      <c r="G1920" s="111"/>
    </row>
    <row r="1921" spans="1:7">
      <c r="A1921" s="106"/>
      <c r="B1921" s="111"/>
      <c r="C1921" s="111"/>
      <c r="D1921" s="111"/>
      <c r="E1921" s="111"/>
      <c r="F1921" s="111"/>
      <c r="G1921" s="111"/>
    </row>
    <row r="1922" spans="1:7">
      <c r="A1922" s="106"/>
      <c r="B1922" s="111"/>
      <c r="C1922" s="111"/>
      <c r="D1922" s="111"/>
      <c r="E1922" s="111"/>
      <c r="F1922" s="111"/>
      <c r="G1922" s="111"/>
    </row>
    <row r="1923" spans="1:7">
      <c r="A1923" s="106"/>
      <c r="B1923" s="111"/>
      <c r="C1923" s="111"/>
      <c r="D1923" s="111"/>
      <c r="E1923" s="111"/>
      <c r="F1923" s="111"/>
      <c r="G1923" s="111"/>
    </row>
    <row r="1924" spans="1:7">
      <c r="A1924" s="106"/>
      <c r="B1924" s="111"/>
      <c r="C1924" s="111"/>
      <c r="D1924" s="111"/>
      <c r="E1924" s="111"/>
      <c r="F1924" s="111"/>
      <c r="G1924" s="111"/>
    </row>
    <row r="1925" spans="1:7">
      <c r="A1925" s="106"/>
      <c r="B1925" s="111"/>
      <c r="C1925" s="111"/>
      <c r="D1925" s="111"/>
      <c r="E1925" s="111"/>
      <c r="F1925" s="111"/>
      <c r="G1925" s="111"/>
    </row>
    <row r="1926" spans="1:7">
      <c r="A1926" s="106"/>
      <c r="B1926" s="111"/>
      <c r="C1926" s="111"/>
      <c r="D1926" s="111"/>
      <c r="E1926" s="111"/>
      <c r="F1926" s="111"/>
      <c r="G1926" s="111"/>
    </row>
    <row r="1927" spans="1:7">
      <c r="A1927" s="106"/>
      <c r="B1927" s="111"/>
      <c r="C1927" s="111"/>
      <c r="D1927" s="111"/>
      <c r="E1927" s="111"/>
      <c r="F1927" s="111"/>
      <c r="G1927" s="111"/>
    </row>
    <row r="1928" spans="1:7">
      <c r="A1928" s="106"/>
      <c r="B1928" s="111"/>
      <c r="C1928" s="111"/>
      <c r="D1928" s="111"/>
      <c r="E1928" s="111"/>
      <c r="F1928" s="111"/>
      <c r="G1928" s="111"/>
    </row>
    <row r="1929" spans="1:7">
      <c r="A1929" s="106"/>
      <c r="B1929" s="111"/>
      <c r="C1929" s="111"/>
      <c r="D1929" s="111"/>
      <c r="E1929" s="111"/>
      <c r="F1929" s="111"/>
      <c r="G1929" s="111"/>
    </row>
    <row r="1930" spans="1:7">
      <c r="A1930" s="106"/>
      <c r="B1930" s="111"/>
      <c r="C1930" s="111"/>
      <c r="D1930" s="111"/>
      <c r="E1930" s="111"/>
      <c r="F1930" s="111"/>
      <c r="G1930" s="111"/>
    </row>
    <row r="1931" spans="1:7">
      <c r="A1931" s="106"/>
      <c r="B1931" s="111"/>
      <c r="C1931" s="111"/>
      <c r="D1931" s="111"/>
      <c r="E1931" s="111"/>
      <c r="F1931" s="111"/>
      <c r="G1931" s="111"/>
    </row>
    <row r="1932" spans="1:7">
      <c r="A1932" s="106"/>
      <c r="B1932" s="111"/>
      <c r="C1932" s="111"/>
      <c r="D1932" s="111"/>
      <c r="E1932" s="111"/>
      <c r="F1932" s="111"/>
      <c r="G1932" s="111"/>
    </row>
    <row r="1933" spans="1:7">
      <c r="A1933" s="106"/>
      <c r="B1933" s="111"/>
      <c r="C1933" s="111"/>
      <c r="D1933" s="111"/>
      <c r="E1933" s="111"/>
      <c r="F1933" s="111"/>
      <c r="G1933" s="111"/>
    </row>
    <row r="1934" spans="1:7">
      <c r="A1934" s="106"/>
      <c r="B1934" s="111"/>
      <c r="C1934" s="111"/>
      <c r="D1934" s="111"/>
      <c r="E1934" s="111"/>
      <c r="F1934" s="111"/>
      <c r="G1934" s="111"/>
    </row>
    <row r="1935" spans="1:7">
      <c r="A1935" s="106"/>
      <c r="B1935" s="111"/>
      <c r="C1935" s="111"/>
      <c r="D1935" s="111"/>
      <c r="E1935" s="111"/>
      <c r="F1935" s="111"/>
      <c r="G1935" s="111"/>
    </row>
    <row r="1936" spans="1:7">
      <c r="A1936" s="106"/>
      <c r="B1936" s="111"/>
      <c r="C1936" s="111"/>
      <c r="D1936" s="111"/>
      <c r="E1936" s="111"/>
      <c r="F1936" s="111"/>
      <c r="G1936" s="111"/>
    </row>
    <row r="1937" spans="1:7">
      <c r="A1937" s="106"/>
      <c r="B1937" s="111"/>
      <c r="C1937" s="111"/>
      <c r="D1937" s="111"/>
      <c r="E1937" s="111"/>
      <c r="F1937" s="111"/>
      <c r="G1937" s="111"/>
    </row>
    <row r="1938" spans="1:7">
      <c r="A1938" s="106"/>
      <c r="B1938" s="111"/>
      <c r="C1938" s="111"/>
      <c r="D1938" s="111"/>
      <c r="E1938" s="111"/>
      <c r="F1938" s="111"/>
      <c r="G1938" s="111"/>
    </row>
    <row r="1939" spans="1:7">
      <c r="A1939" s="106"/>
      <c r="B1939" s="111"/>
      <c r="C1939" s="111"/>
      <c r="D1939" s="111"/>
      <c r="E1939" s="111"/>
      <c r="F1939" s="111"/>
      <c r="G1939" s="111"/>
    </row>
    <row r="1940" spans="1:7">
      <c r="A1940" s="106"/>
      <c r="B1940" s="111"/>
      <c r="C1940" s="111"/>
      <c r="D1940" s="111"/>
      <c r="E1940" s="111"/>
      <c r="F1940" s="111"/>
      <c r="G1940" s="111"/>
    </row>
    <row r="1941" spans="1:7">
      <c r="A1941" s="106"/>
      <c r="B1941" s="111"/>
      <c r="C1941" s="111"/>
      <c r="D1941" s="111"/>
      <c r="E1941" s="111"/>
      <c r="F1941" s="111"/>
      <c r="G1941" s="111"/>
    </row>
    <row r="1942" spans="1:7">
      <c r="A1942" s="106"/>
      <c r="B1942" s="111"/>
      <c r="C1942" s="111"/>
      <c r="D1942" s="111"/>
      <c r="E1942" s="111"/>
      <c r="F1942" s="111"/>
      <c r="G1942" s="111"/>
    </row>
    <row r="1943" spans="1:7">
      <c r="A1943" s="106"/>
      <c r="B1943" s="111"/>
      <c r="C1943" s="111"/>
      <c r="D1943" s="111"/>
      <c r="E1943" s="111"/>
      <c r="F1943" s="111"/>
      <c r="G1943" s="111"/>
    </row>
    <row r="1944" spans="1:7">
      <c r="A1944" s="106"/>
      <c r="B1944" s="111"/>
      <c r="C1944" s="111"/>
      <c r="D1944" s="111"/>
      <c r="E1944" s="111"/>
      <c r="F1944" s="111"/>
      <c r="G1944" s="111"/>
    </row>
    <row r="1945" spans="1:7">
      <c r="A1945" s="106"/>
      <c r="B1945" s="111"/>
      <c r="C1945" s="111"/>
      <c r="D1945" s="111"/>
      <c r="E1945" s="111"/>
      <c r="F1945" s="111"/>
      <c r="G1945" s="111"/>
    </row>
    <row r="1946" spans="1:7">
      <c r="A1946" s="106"/>
      <c r="B1946" s="111"/>
      <c r="C1946" s="111"/>
      <c r="D1946" s="111"/>
      <c r="E1946" s="111"/>
      <c r="F1946" s="111"/>
      <c r="G1946" s="111"/>
    </row>
    <row r="1947" spans="1:7">
      <c r="A1947" s="106"/>
      <c r="B1947" s="111"/>
      <c r="C1947" s="111"/>
      <c r="D1947" s="111"/>
      <c r="E1947" s="111"/>
      <c r="F1947" s="111"/>
      <c r="G1947" s="111"/>
    </row>
    <row r="1948" spans="1:7">
      <c r="A1948" s="106"/>
      <c r="B1948" s="111"/>
      <c r="C1948" s="111"/>
      <c r="D1948" s="111"/>
      <c r="E1948" s="111"/>
      <c r="F1948" s="111"/>
      <c r="G1948" s="111"/>
    </row>
    <row r="1949" spans="1:7">
      <c r="A1949" s="106"/>
      <c r="B1949" s="111"/>
      <c r="C1949" s="111"/>
      <c r="D1949" s="111"/>
      <c r="E1949" s="111"/>
      <c r="F1949" s="111"/>
      <c r="G1949" s="111"/>
    </row>
    <row r="1950" spans="1:7">
      <c r="A1950" s="106"/>
      <c r="B1950" s="111"/>
      <c r="C1950" s="111"/>
      <c r="D1950" s="111"/>
      <c r="E1950" s="111"/>
      <c r="F1950" s="111"/>
      <c r="G1950" s="111"/>
    </row>
    <row r="1951" spans="1:7">
      <c r="A1951" s="106"/>
      <c r="B1951" s="111"/>
      <c r="C1951" s="111"/>
      <c r="D1951" s="111"/>
      <c r="E1951" s="111"/>
      <c r="F1951" s="111"/>
      <c r="G1951" s="111"/>
    </row>
    <row r="1952" spans="1:7">
      <c r="A1952" s="106"/>
      <c r="B1952" s="111"/>
      <c r="C1952" s="111"/>
      <c r="D1952" s="111"/>
      <c r="E1952" s="111"/>
      <c r="F1952" s="111"/>
      <c r="G1952" s="111"/>
    </row>
    <row r="1953" spans="1:7">
      <c r="A1953" s="106"/>
      <c r="B1953" s="111"/>
      <c r="C1953" s="111"/>
      <c r="D1953" s="111"/>
      <c r="E1953" s="111"/>
      <c r="F1953" s="111"/>
      <c r="G1953" s="111"/>
    </row>
    <row r="1954" spans="1:7">
      <c r="A1954" s="106"/>
      <c r="B1954" s="111"/>
      <c r="C1954" s="111"/>
      <c r="D1954" s="111"/>
      <c r="E1954" s="111"/>
      <c r="F1954" s="111"/>
      <c r="G1954" s="111"/>
    </row>
    <row r="1955" spans="1:7">
      <c r="A1955" s="106"/>
      <c r="B1955" s="111"/>
      <c r="C1955" s="111"/>
      <c r="D1955" s="111"/>
      <c r="E1955" s="111"/>
      <c r="F1955" s="111"/>
      <c r="G1955" s="111"/>
    </row>
    <row r="1956" spans="1:7">
      <c r="A1956" s="106"/>
      <c r="B1956" s="111"/>
      <c r="C1956" s="111"/>
      <c r="D1956" s="111"/>
      <c r="E1956" s="111"/>
      <c r="F1956" s="111"/>
      <c r="G1956" s="111"/>
    </row>
    <row r="1957" spans="1:7">
      <c r="A1957" s="106"/>
      <c r="B1957" s="111"/>
      <c r="C1957" s="111"/>
      <c r="D1957" s="111"/>
      <c r="E1957" s="111"/>
      <c r="F1957" s="111"/>
      <c r="G1957" s="111"/>
    </row>
    <row r="1958" spans="1:7">
      <c r="A1958" s="106"/>
      <c r="B1958" s="111"/>
      <c r="C1958" s="111"/>
      <c r="D1958" s="111"/>
      <c r="E1958" s="111"/>
      <c r="F1958" s="111"/>
      <c r="G1958" s="111"/>
    </row>
    <row r="1959" spans="1:7">
      <c r="A1959" s="106"/>
      <c r="B1959" s="111"/>
      <c r="C1959" s="111"/>
      <c r="D1959" s="111"/>
      <c r="E1959" s="111"/>
      <c r="F1959" s="111"/>
      <c r="G1959" s="111"/>
    </row>
    <row r="1960" spans="1:7">
      <c r="A1960" s="106"/>
      <c r="B1960" s="111"/>
      <c r="C1960" s="111"/>
      <c r="D1960" s="111"/>
      <c r="E1960" s="111"/>
      <c r="F1960" s="111"/>
      <c r="G1960" s="111"/>
    </row>
    <row r="1961" spans="1:7">
      <c r="A1961" s="106"/>
      <c r="B1961" s="111"/>
      <c r="C1961" s="111"/>
      <c r="D1961" s="111"/>
      <c r="E1961" s="111"/>
      <c r="F1961" s="111"/>
      <c r="G1961" s="111"/>
    </row>
    <row r="1962" spans="1:7">
      <c r="A1962" s="106"/>
      <c r="B1962" s="111"/>
      <c r="C1962" s="111"/>
      <c r="D1962" s="111"/>
      <c r="E1962" s="111"/>
      <c r="F1962" s="111"/>
      <c r="G1962" s="111"/>
    </row>
    <row r="1963" spans="1:7">
      <c r="A1963" s="106"/>
      <c r="B1963" s="111"/>
      <c r="C1963" s="111"/>
      <c r="D1963" s="111"/>
      <c r="E1963" s="111"/>
      <c r="F1963" s="111"/>
      <c r="G1963" s="111"/>
    </row>
    <row r="1964" spans="1:7">
      <c r="A1964" s="106"/>
      <c r="B1964" s="111"/>
      <c r="C1964" s="111"/>
      <c r="D1964" s="111"/>
      <c r="E1964" s="111"/>
      <c r="F1964" s="111"/>
      <c r="G1964" s="111"/>
    </row>
    <row r="1965" spans="1:7">
      <c r="A1965" s="106"/>
      <c r="B1965" s="111"/>
      <c r="C1965" s="111"/>
      <c r="D1965" s="111"/>
      <c r="E1965" s="111"/>
      <c r="F1965" s="111"/>
      <c r="G1965" s="111"/>
    </row>
    <row r="1966" spans="1:7">
      <c r="A1966" s="106"/>
      <c r="B1966" s="111"/>
      <c r="C1966" s="111"/>
      <c r="D1966" s="111"/>
      <c r="E1966" s="111"/>
      <c r="F1966" s="111"/>
      <c r="G1966" s="111"/>
    </row>
    <row r="1967" spans="1:7">
      <c r="A1967" s="106"/>
      <c r="B1967" s="111"/>
      <c r="C1967" s="111"/>
      <c r="D1967" s="111"/>
      <c r="E1967" s="111"/>
      <c r="F1967" s="111"/>
      <c r="G1967" s="111"/>
    </row>
    <row r="1968" spans="1:7">
      <c r="A1968" s="106"/>
      <c r="B1968" s="111"/>
      <c r="C1968" s="111"/>
      <c r="D1968" s="111"/>
      <c r="E1968" s="111"/>
      <c r="F1968" s="111"/>
      <c r="G1968" s="111"/>
    </row>
    <row r="1969" spans="1:7">
      <c r="A1969" s="106"/>
      <c r="B1969" s="111"/>
      <c r="C1969" s="111"/>
      <c r="D1969" s="111"/>
      <c r="E1969" s="111"/>
      <c r="F1969" s="111"/>
      <c r="G1969" s="111"/>
    </row>
    <row r="1970" spans="1:7">
      <c r="A1970" s="106"/>
      <c r="B1970" s="111"/>
      <c r="C1970" s="111"/>
      <c r="D1970" s="111"/>
      <c r="E1970" s="111"/>
      <c r="F1970" s="111"/>
      <c r="G1970" s="111"/>
    </row>
    <row r="1971" spans="1:7">
      <c r="A1971" s="106"/>
      <c r="B1971" s="111"/>
      <c r="C1971" s="111"/>
      <c r="D1971" s="111"/>
      <c r="E1971" s="111"/>
      <c r="F1971" s="111"/>
      <c r="G1971" s="111"/>
    </row>
    <row r="1972" spans="1:7">
      <c r="A1972" s="106"/>
      <c r="B1972" s="111"/>
      <c r="C1972" s="111"/>
      <c r="D1972" s="111"/>
      <c r="E1972" s="111"/>
      <c r="F1972" s="111"/>
      <c r="G1972" s="111"/>
    </row>
    <row r="1973" spans="1:7">
      <c r="A1973" s="106"/>
      <c r="B1973" s="111"/>
      <c r="C1973" s="111"/>
      <c r="D1973" s="111"/>
      <c r="E1973" s="111"/>
      <c r="F1973" s="111"/>
      <c r="G1973" s="111"/>
    </row>
    <row r="1974" spans="1:7">
      <c r="A1974" s="106"/>
      <c r="B1974" s="111"/>
      <c r="C1974" s="111"/>
      <c r="D1974" s="111"/>
      <c r="E1974" s="111"/>
      <c r="F1974" s="111"/>
      <c r="G1974" s="111"/>
    </row>
    <row r="1975" spans="1:7">
      <c r="A1975" s="106"/>
      <c r="B1975" s="111"/>
      <c r="C1975" s="111"/>
      <c r="D1975" s="111"/>
      <c r="E1975" s="111"/>
      <c r="F1975" s="111"/>
      <c r="G1975" s="111"/>
    </row>
    <row r="1976" spans="1:7">
      <c r="A1976" s="106"/>
      <c r="B1976" s="111"/>
      <c r="C1976" s="111"/>
      <c r="D1976" s="111"/>
      <c r="E1976" s="111"/>
      <c r="F1976" s="111"/>
      <c r="G1976" s="111"/>
    </row>
    <row r="1977" spans="1:7">
      <c r="A1977" s="106"/>
      <c r="B1977" s="111"/>
      <c r="C1977" s="111"/>
      <c r="D1977" s="111"/>
      <c r="E1977" s="111"/>
      <c r="F1977" s="111"/>
      <c r="G1977" s="111"/>
    </row>
    <row r="1978" spans="1:7">
      <c r="A1978" s="106"/>
      <c r="B1978" s="111"/>
      <c r="C1978" s="111"/>
      <c r="D1978" s="111"/>
      <c r="E1978" s="111"/>
      <c r="F1978" s="111"/>
      <c r="G1978" s="111"/>
    </row>
    <row r="1979" spans="1:7">
      <c r="A1979" s="106"/>
      <c r="B1979" s="111"/>
      <c r="C1979" s="111"/>
      <c r="D1979" s="111"/>
      <c r="E1979" s="111"/>
      <c r="F1979" s="111"/>
      <c r="G1979" s="111"/>
    </row>
    <row r="1980" spans="1:7">
      <c r="A1980" s="106"/>
      <c r="B1980" s="111"/>
      <c r="C1980" s="111"/>
      <c r="D1980" s="111"/>
      <c r="E1980" s="111"/>
      <c r="F1980" s="111"/>
      <c r="G1980" s="111"/>
    </row>
    <row r="1981" spans="1:7">
      <c r="A1981" s="106"/>
      <c r="B1981" s="111"/>
      <c r="C1981" s="111"/>
      <c r="D1981" s="111"/>
      <c r="E1981" s="111"/>
      <c r="F1981" s="111"/>
      <c r="G1981" s="111"/>
    </row>
    <row r="1982" spans="1:7">
      <c r="A1982" s="106"/>
      <c r="B1982" s="111"/>
      <c r="C1982" s="111"/>
      <c r="D1982" s="111"/>
      <c r="E1982" s="111"/>
      <c r="F1982" s="111"/>
      <c r="G1982" s="111"/>
    </row>
    <row r="1983" spans="1:7">
      <c r="A1983" s="106"/>
      <c r="B1983" s="111"/>
      <c r="C1983" s="111"/>
      <c r="D1983" s="111"/>
      <c r="E1983" s="111"/>
      <c r="F1983" s="111"/>
      <c r="G1983" s="111"/>
    </row>
    <row r="1984" spans="1:7">
      <c r="A1984" s="106"/>
      <c r="B1984" s="111"/>
      <c r="C1984" s="111"/>
      <c r="D1984" s="111"/>
      <c r="E1984" s="111"/>
      <c r="F1984" s="111"/>
      <c r="G1984" s="111"/>
    </row>
    <row r="1985" spans="1:7">
      <c r="A1985" s="106"/>
      <c r="B1985" s="111"/>
      <c r="C1985" s="111"/>
      <c r="D1985" s="111"/>
      <c r="E1985" s="111"/>
      <c r="F1985" s="111"/>
      <c r="G1985" s="111"/>
    </row>
    <row r="1986" spans="1:7">
      <c r="A1986" s="106"/>
      <c r="B1986" s="111"/>
      <c r="C1986" s="111"/>
      <c r="D1986" s="111"/>
      <c r="E1986" s="111"/>
      <c r="F1986" s="111"/>
      <c r="G1986" s="111"/>
    </row>
    <row r="1987" spans="1:7">
      <c r="A1987" s="106"/>
      <c r="B1987" s="111"/>
      <c r="C1987" s="111"/>
      <c r="D1987" s="111"/>
      <c r="E1987" s="111"/>
      <c r="F1987" s="111"/>
      <c r="G1987" s="111"/>
    </row>
    <row r="1988" spans="1:7">
      <c r="A1988" s="106"/>
      <c r="B1988" s="111"/>
      <c r="C1988" s="111"/>
      <c r="D1988" s="111"/>
      <c r="E1988" s="111"/>
      <c r="F1988" s="111"/>
      <c r="G1988" s="111"/>
    </row>
    <row r="1989" spans="1:7">
      <c r="A1989" s="106"/>
      <c r="B1989" s="111"/>
      <c r="C1989" s="111"/>
      <c r="D1989" s="111"/>
      <c r="E1989" s="111"/>
      <c r="F1989" s="111"/>
      <c r="G1989" s="111"/>
    </row>
    <row r="1990" spans="1:7">
      <c r="A1990" s="106"/>
      <c r="B1990" s="111"/>
      <c r="C1990" s="111"/>
      <c r="D1990" s="111"/>
      <c r="E1990" s="111"/>
      <c r="F1990" s="111"/>
      <c r="G1990" s="111"/>
    </row>
    <row r="1991" spans="1:7">
      <c r="A1991" s="106"/>
      <c r="B1991" s="111"/>
      <c r="C1991" s="111"/>
      <c r="D1991" s="111"/>
      <c r="E1991" s="111"/>
      <c r="F1991" s="111"/>
      <c r="G1991" s="111"/>
    </row>
    <row r="1992" spans="1:7">
      <c r="A1992" s="106"/>
      <c r="B1992" s="111"/>
      <c r="C1992" s="111"/>
      <c r="D1992" s="111"/>
      <c r="E1992" s="111"/>
      <c r="F1992" s="111"/>
      <c r="G1992" s="111"/>
    </row>
    <row r="1993" spans="1:7">
      <c r="A1993" s="106"/>
      <c r="B1993" s="111"/>
      <c r="C1993" s="111"/>
      <c r="D1993" s="111"/>
      <c r="E1993" s="111"/>
      <c r="F1993" s="111"/>
      <c r="G1993" s="111"/>
    </row>
    <row r="1994" spans="1:7">
      <c r="A1994" s="106"/>
      <c r="B1994" s="111"/>
      <c r="C1994" s="111"/>
      <c r="D1994" s="111"/>
      <c r="E1994" s="111"/>
      <c r="F1994" s="111"/>
      <c r="G1994" s="111"/>
    </row>
    <row r="1995" spans="1:7">
      <c r="A1995" s="106"/>
      <c r="B1995" s="111"/>
      <c r="C1995" s="111"/>
      <c r="D1995" s="111"/>
      <c r="E1995" s="111"/>
      <c r="F1995" s="111"/>
      <c r="G1995" s="111"/>
    </row>
    <row r="1996" spans="1:7">
      <c r="A1996" s="106"/>
      <c r="B1996" s="111"/>
      <c r="C1996" s="111"/>
      <c r="D1996" s="111"/>
      <c r="E1996" s="111"/>
      <c r="F1996" s="111"/>
      <c r="G1996" s="111"/>
    </row>
    <row r="1997" spans="1:7">
      <c r="A1997" s="106"/>
      <c r="B1997" s="111"/>
      <c r="C1997" s="111"/>
      <c r="D1997" s="111"/>
      <c r="E1997" s="111"/>
      <c r="F1997" s="111"/>
      <c r="G1997" s="111"/>
    </row>
    <row r="1998" spans="1:7">
      <c r="A1998" s="106"/>
      <c r="B1998" s="111"/>
      <c r="C1998" s="111"/>
      <c r="D1998" s="111"/>
      <c r="E1998" s="111"/>
      <c r="F1998" s="111"/>
      <c r="G1998" s="111"/>
    </row>
    <row r="1999" spans="1:7">
      <c r="A1999" s="106"/>
      <c r="B1999" s="111"/>
      <c r="C1999" s="111"/>
      <c r="D1999" s="111"/>
      <c r="E1999" s="111"/>
      <c r="F1999" s="111"/>
      <c r="G1999" s="111"/>
    </row>
  </sheetData>
  <conditionalFormatting sqref="A2:A4">
    <cfRule type="expression" dxfId="23" priority="1">
      <formula>$K2="YES"</formula>
    </cfRule>
  </conditionalFormatting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H1999"/>
  <sheetViews>
    <sheetView workbookViewId="0"/>
  </sheetViews>
  <sheetFormatPr defaultColWidth="14.453125" defaultRowHeight="15" customHeight="1"/>
  <cols>
    <col min="1" max="1" width="5.54296875" customWidth="1"/>
    <col min="2" max="2" width="37.1796875" customWidth="1"/>
    <col min="3" max="3" width="32.81640625" customWidth="1"/>
    <col min="4" max="5" width="37.1796875" customWidth="1"/>
    <col min="6" max="6" width="24.26953125" customWidth="1"/>
    <col min="8" max="8" width="37.1796875" customWidth="1"/>
  </cols>
  <sheetData>
    <row r="1" spans="1:8">
      <c r="A1" s="110" t="s">
        <v>1738</v>
      </c>
      <c r="B1" s="110" t="s">
        <v>1739</v>
      </c>
      <c r="C1" s="110" t="s">
        <v>1740</v>
      </c>
      <c r="D1" s="110" t="s">
        <v>1</v>
      </c>
      <c r="E1" s="110" t="s">
        <v>1714</v>
      </c>
      <c r="F1" s="110" t="s">
        <v>1741</v>
      </c>
      <c r="G1" s="110" t="s">
        <v>1742</v>
      </c>
      <c r="H1" s="110" t="s">
        <v>1743</v>
      </c>
    </row>
    <row r="2" spans="1:8">
      <c r="A2" s="107"/>
      <c r="B2" s="111" t="str">
        <f ca="1">IFERROR(__xludf.DUMMYFUNCTION("FILTER(FG!B3:D1999,FG!B3:B1999&lt;&gt;"""")"),"Saif Seas Life - DSR")</f>
        <v>Saif Seas Life - DSR</v>
      </c>
      <c r="C2" s="111"/>
      <c r="D2" s="111" t="str">
        <f ca="1">IFERROR(__xludf.DUMMYFUNCTION("""COMPUTED_VALUE"""),"Number")</f>
        <v>Number</v>
      </c>
      <c r="E2" s="111" t="str">
        <f ca="1">IFERROR(__xludf.DUMMYFUNCTION("FILTER(RM!$C$4:$F1999,RM!$C$4:$C1999&lt;&gt;"""")"),"#REF!")</f>
        <v>#REF!</v>
      </c>
      <c r="F2" s="111"/>
      <c r="G2" s="111"/>
      <c r="H2" t="str">
        <f ca="1">IFERROR(__xludf.DUMMYFUNCTION("{FILTER($B$2:$D1999,$B$2:$B1999&lt;&gt;"""");FILTER($E$2:$G1999,$E$2:$E1999&lt;&gt;"""")}"),"#VALUE!")</f>
        <v>#VALUE!</v>
      </c>
    </row>
    <row r="3" spans="1:8">
      <c r="A3" s="107"/>
      <c r="B3" s="111"/>
      <c r="C3" s="111"/>
      <c r="D3" s="111"/>
      <c r="E3" s="111"/>
      <c r="F3" s="111"/>
      <c r="G3" s="111"/>
    </row>
    <row r="4" spans="1:8">
      <c r="A4" s="107"/>
      <c r="B4" s="111"/>
      <c r="C4" s="111"/>
      <c r="D4" s="111"/>
      <c r="E4" s="111"/>
      <c r="F4" s="111"/>
      <c r="G4" s="111"/>
    </row>
    <row r="5" spans="1:8">
      <c r="A5" s="106"/>
      <c r="B5" s="111"/>
      <c r="C5" s="111"/>
      <c r="D5" s="111"/>
      <c r="E5" s="111"/>
      <c r="F5" s="111"/>
      <c r="G5" s="111"/>
    </row>
    <row r="6" spans="1:8">
      <c r="A6" s="106"/>
      <c r="B6" s="111"/>
      <c r="C6" s="111"/>
      <c r="D6" s="111"/>
      <c r="E6" s="111"/>
      <c r="F6" s="111"/>
      <c r="G6" s="111"/>
    </row>
    <row r="7" spans="1:8">
      <c r="A7" s="106"/>
      <c r="B7" s="111"/>
      <c r="C7" s="111"/>
      <c r="D7" s="111"/>
      <c r="E7" s="111"/>
      <c r="F7" s="111"/>
      <c r="G7" s="111"/>
    </row>
    <row r="8" spans="1:8">
      <c r="A8" s="106"/>
      <c r="B8" s="111"/>
      <c r="C8" s="111"/>
      <c r="D8" s="111"/>
      <c r="E8" s="111"/>
      <c r="F8" s="111"/>
      <c r="G8" s="111"/>
    </row>
    <row r="9" spans="1:8">
      <c r="A9" s="106"/>
      <c r="B9" s="111"/>
      <c r="C9" s="111"/>
      <c r="D9" s="111"/>
      <c r="E9" s="111"/>
      <c r="F9" s="111"/>
      <c r="G9" s="111"/>
    </row>
    <row r="10" spans="1:8">
      <c r="A10" s="106"/>
      <c r="B10" s="111"/>
      <c r="C10" s="111"/>
      <c r="D10" s="111"/>
      <c r="E10" s="111"/>
      <c r="F10" s="111"/>
      <c r="G10" s="111"/>
    </row>
    <row r="11" spans="1:8">
      <c r="A11" s="106"/>
      <c r="B11" s="111"/>
      <c r="C11" s="111"/>
      <c r="D11" s="111"/>
      <c r="E11" s="111"/>
      <c r="F11" s="111"/>
      <c r="G11" s="111"/>
    </row>
    <row r="12" spans="1:8">
      <c r="A12" s="106"/>
      <c r="B12" s="111"/>
      <c r="C12" s="111"/>
      <c r="D12" s="111"/>
      <c r="E12" s="111"/>
      <c r="F12" s="111"/>
      <c r="G12" s="111"/>
    </row>
    <row r="13" spans="1:8">
      <c r="A13" s="106"/>
      <c r="B13" s="111"/>
      <c r="C13" s="111"/>
      <c r="D13" s="111"/>
      <c r="E13" s="111"/>
      <c r="F13" s="111"/>
      <c r="G13" s="111"/>
    </row>
    <row r="14" spans="1:8">
      <c r="A14" s="106"/>
      <c r="B14" s="111"/>
      <c r="C14" s="111"/>
      <c r="D14" s="111"/>
      <c r="E14" s="111"/>
      <c r="F14" s="111"/>
      <c r="G14" s="111"/>
    </row>
    <row r="15" spans="1:8">
      <c r="A15" s="106"/>
      <c r="B15" s="111"/>
      <c r="C15" s="111"/>
      <c r="D15" s="111"/>
      <c r="E15" s="111"/>
      <c r="F15" s="111"/>
      <c r="G15" s="111"/>
    </row>
    <row r="16" spans="1:8">
      <c r="A16" s="106"/>
      <c r="B16" s="111"/>
      <c r="C16" s="111"/>
      <c r="D16" s="111"/>
      <c r="E16" s="111"/>
      <c r="F16" s="111"/>
      <c r="G16" s="111"/>
    </row>
    <row r="17" spans="1:7">
      <c r="A17" s="106"/>
      <c r="B17" s="111"/>
      <c r="C17" s="111"/>
      <c r="D17" s="111"/>
      <c r="E17" s="111"/>
      <c r="F17" s="111"/>
      <c r="G17" s="111"/>
    </row>
    <row r="18" spans="1:7">
      <c r="A18" s="106"/>
      <c r="B18" s="111"/>
      <c r="C18" s="111"/>
      <c r="D18" s="111"/>
      <c r="E18" s="111"/>
      <c r="F18" s="111"/>
      <c r="G18" s="111"/>
    </row>
    <row r="19" spans="1:7">
      <c r="A19" s="106"/>
      <c r="B19" s="111"/>
      <c r="C19" s="111"/>
      <c r="D19" s="111"/>
      <c r="E19" s="111"/>
      <c r="F19" s="111"/>
      <c r="G19" s="111"/>
    </row>
    <row r="20" spans="1:7">
      <c r="A20" s="106"/>
      <c r="B20" s="111"/>
      <c r="C20" s="111"/>
      <c r="D20" s="111"/>
      <c r="E20" s="111"/>
      <c r="F20" s="111"/>
      <c r="G20" s="111"/>
    </row>
    <row r="21" spans="1:7">
      <c r="A21" s="106"/>
      <c r="B21" s="111"/>
      <c r="C21" s="111"/>
      <c r="D21" s="111"/>
      <c r="E21" s="111"/>
      <c r="F21" s="111"/>
      <c r="G21" s="111"/>
    </row>
    <row r="22" spans="1:7">
      <c r="A22" s="106"/>
      <c r="B22" s="111"/>
      <c r="C22" s="111"/>
      <c r="D22" s="111"/>
      <c r="E22" s="111"/>
      <c r="F22" s="111"/>
      <c r="G22" s="111"/>
    </row>
    <row r="23" spans="1:7">
      <c r="A23" s="106"/>
      <c r="B23" s="111"/>
      <c r="C23" s="111"/>
      <c r="D23" s="111"/>
      <c r="E23" s="111"/>
      <c r="F23" s="111"/>
      <c r="G23" s="111"/>
    </row>
    <row r="24" spans="1:7">
      <c r="A24" s="106"/>
      <c r="B24" s="111"/>
      <c r="C24" s="111"/>
      <c r="D24" s="111"/>
      <c r="E24" s="111"/>
      <c r="F24" s="111"/>
      <c r="G24" s="111"/>
    </row>
    <row r="25" spans="1:7">
      <c r="A25" s="106"/>
      <c r="B25" s="111"/>
      <c r="C25" s="111"/>
      <c r="D25" s="111"/>
      <c r="E25" s="111"/>
      <c r="F25" s="111"/>
      <c r="G25" s="111"/>
    </row>
    <row r="26" spans="1:7">
      <c r="A26" s="106"/>
      <c r="B26" s="111"/>
      <c r="C26" s="111"/>
      <c r="D26" s="111"/>
      <c r="E26" s="111"/>
      <c r="F26" s="111"/>
      <c r="G26" s="111"/>
    </row>
    <row r="27" spans="1:7">
      <c r="A27" s="106"/>
      <c r="B27" s="111"/>
      <c r="C27" s="111"/>
      <c r="D27" s="111"/>
      <c r="E27" s="111"/>
      <c r="F27" s="111"/>
      <c r="G27" s="111"/>
    </row>
    <row r="28" spans="1:7">
      <c r="A28" s="106"/>
      <c r="B28" s="111"/>
      <c r="C28" s="111"/>
      <c r="D28" s="111"/>
      <c r="E28" s="111"/>
      <c r="F28" s="111"/>
      <c r="G28" s="111"/>
    </row>
    <row r="29" spans="1:7">
      <c r="A29" s="106"/>
      <c r="B29" s="111"/>
      <c r="C29" s="111"/>
      <c r="D29" s="111"/>
      <c r="E29" s="111"/>
      <c r="F29" s="111"/>
      <c r="G29" s="111"/>
    </row>
    <row r="30" spans="1:7">
      <c r="A30" s="106"/>
      <c r="B30" s="111"/>
      <c r="C30" s="111"/>
      <c r="D30" s="111"/>
      <c r="E30" s="111"/>
      <c r="F30" s="111"/>
      <c r="G30" s="111"/>
    </row>
    <row r="31" spans="1:7">
      <c r="A31" s="106"/>
      <c r="B31" s="111"/>
      <c r="C31" s="111"/>
      <c r="D31" s="111"/>
      <c r="E31" s="111"/>
      <c r="F31" s="111"/>
      <c r="G31" s="111"/>
    </row>
    <row r="32" spans="1:7">
      <c r="A32" s="106"/>
      <c r="B32" s="111"/>
      <c r="C32" s="111"/>
      <c r="D32" s="111"/>
      <c r="E32" s="111"/>
      <c r="F32" s="111"/>
      <c r="G32" s="111"/>
    </row>
    <row r="33" spans="1:7">
      <c r="A33" s="106"/>
      <c r="B33" s="111"/>
      <c r="C33" s="111"/>
      <c r="D33" s="111"/>
      <c r="E33" s="111"/>
      <c r="F33" s="111"/>
      <c r="G33" s="111"/>
    </row>
    <row r="34" spans="1:7">
      <c r="A34" s="106"/>
      <c r="B34" s="111"/>
      <c r="C34" s="111"/>
      <c r="D34" s="111"/>
      <c r="E34" s="111"/>
      <c r="F34" s="111"/>
      <c r="G34" s="111"/>
    </row>
    <row r="35" spans="1:7">
      <c r="A35" s="106"/>
      <c r="B35" s="111"/>
      <c r="C35" s="111"/>
      <c r="D35" s="111"/>
      <c r="E35" s="111"/>
      <c r="F35" s="111"/>
      <c r="G35" s="111"/>
    </row>
    <row r="36" spans="1:7">
      <c r="A36" s="106"/>
      <c r="B36" s="111"/>
      <c r="C36" s="111"/>
      <c r="D36" s="111"/>
      <c r="E36" s="111"/>
      <c r="F36" s="111"/>
      <c r="G36" s="111"/>
    </row>
    <row r="37" spans="1:7">
      <c r="A37" s="106"/>
      <c r="B37" s="111"/>
      <c r="C37" s="111"/>
      <c r="D37" s="111"/>
      <c r="E37" s="111"/>
      <c r="F37" s="111"/>
      <c r="G37" s="111"/>
    </row>
    <row r="38" spans="1:7">
      <c r="A38" s="106"/>
      <c r="B38" s="111"/>
      <c r="C38" s="111"/>
      <c r="D38" s="111"/>
      <c r="E38" s="111"/>
      <c r="F38" s="111"/>
      <c r="G38" s="111"/>
    </row>
    <row r="39" spans="1:7">
      <c r="A39" s="106"/>
      <c r="B39" s="111"/>
      <c r="C39" s="111"/>
      <c r="D39" s="111"/>
      <c r="E39" s="111"/>
      <c r="F39" s="111"/>
      <c r="G39" s="111"/>
    </row>
    <row r="40" spans="1:7">
      <c r="A40" s="106"/>
      <c r="B40" s="111"/>
      <c r="C40" s="111"/>
      <c r="D40" s="111"/>
      <c r="E40" s="111"/>
      <c r="F40" s="111"/>
      <c r="G40" s="111"/>
    </row>
    <row r="41" spans="1:7">
      <c r="A41" s="106"/>
      <c r="B41" s="111"/>
      <c r="C41" s="111"/>
      <c r="D41" s="111"/>
      <c r="E41" s="111"/>
      <c r="F41" s="111"/>
      <c r="G41" s="111"/>
    </row>
    <row r="42" spans="1:7">
      <c r="A42" s="106"/>
      <c r="B42" s="111"/>
      <c r="C42" s="111"/>
      <c r="D42" s="111"/>
      <c r="E42" s="111"/>
      <c r="F42" s="111"/>
      <c r="G42" s="111"/>
    </row>
    <row r="43" spans="1:7">
      <c r="A43" s="106"/>
      <c r="B43" s="111"/>
      <c r="C43" s="111"/>
      <c r="D43" s="111"/>
      <c r="E43" s="111"/>
      <c r="F43" s="111"/>
      <c r="G43" s="111"/>
    </row>
    <row r="44" spans="1:7">
      <c r="A44" s="106"/>
      <c r="B44" s="111"/>
      <c r="C44" s="111"/>
      <c r="D44" s="111"/>
      <c r="E44" s="111"/>
      <c r="F44" s="111"/>
      <c r="G44" s="111"/>
    </row>
    <row r="45" spans="1:7">
      <c r="A45" s="106"/>
      <c r="B45" s="111"/>
      <c r="C45" s="111"/>
      <c r="D45" s="111"/>
      <c r="E45" s="111"/>
      <c r="F45" s="111"/>
      <c r="G45" s="111"/>
    </row>
    <row r="46" spans="1:7">
      <c r="A46" s="106"/>
      <c r="B46" s="111"/>
      <c r="C46" s="111"/>
      <c r="D46" s="111"/>
      <c r="E46" s="111"/>
      <c r="F46" s="111"/>
      <c r="G46" s="111"/>
    </row>
    <row r="47" spans="1:7">
      <c r="A47" s="106"/>
      <c r="B47" s="111"/>
      <c r="C47" s="111"/>
      <c r="D47" s="111"/>
      <c r="E47" s="111"/>
      <c r="F47" s="111"/>
      <c r="G47" s="111"/>
    </row>
    <row r="48" spans="1:7">
      <c r="A48" s="106"/>
      <c r="B48" s="111"/>
      <c r="C48" s="111"/>
      <c r="D48" s="111"/>
      <c r="E48" s="111"/>
      <c r="F48" s="111"/>
      <c r="G48" s="111"/>
    </row>
    <row r="49" spans="1:7">
      <c r="A49" s="106"/>
      <c r="B49" s="111"/>
      <c r="C49" s="111"/>
      <c r="D49" s="111"/>
      <c r="E49" s="111"/>
      <c r="F49" s="111"/>
      <c r="G49" s="111"/>
    </row>
    <row r="50" spans="1:7">
      <c r="A50" s="106"/>
      <c r="B50" s="111"/>
      <c r="C50" s="111"/>
      <c r="D50" s="111"/>
      <c r="E50" s="111"/>
      <c r="F50" s="111"/>
      <c r="G50" s="111"/>
    </row>
    <row r="51" spans="1:7">
      <c r="A51" s="106"/>
      <c r="B51" s="111"/>
      <c r="C51" s="111"/>
      <c r="D51" s="111"/>
      <c r="E51" s="111"/>
      <c r="F51" s="111"/>
      <c r="G51" s="111"/>
    </row>
    <row r="52" spans="1:7">
      <c r="A52" s="106"/>
      <c r="B52" s="111"/>
      <c r="C52" s="111"/>
      <c r="D52" s="111"/>
      <c r="E52" s="111"/>
      <c r="F52" s="111"/>
      <c r="G52" s="111"/>
    </row>
    <row r="53" spans="1:7">
      <c r="A53" s="106"/>
      <c r="B53" s="111"/>
      <c r="C53" s="111"/>
      <c r="D53" s="111"/>
      <c r="E53" s="111"/>
      <c r="F53" s="111"/>
      <c r="G53" s="111"/>
    </row>
    <row r="54" spans="1:7">
      <c r="A54" s="106"/>
      <c r="B54" s="111"/>
      <c r="C54" s="111"/>
      <c r="D54" s="111"/>
      <c r="E54" s="111"/>
      <c r="F54" s="111"/>
      <c r="G54" s="111"/>
    </row>
    <row r="55" spans="1:7">
      <c r="A55" s="106"/>
      <c r="B55" s="111"/>
      <c r="C55" s="111"/>
      <c r="D55" s="111"/>
      <c r="E55" s="111"/>
      <c r="F55" s="111"/>
      <c r="G55" s="111"/>
    </row>
    <row r="56" spans="1:7">
      <c r="A56" s="106"/>
      <c r="B56" s="111"/>
      <c r="C56" s="111"/>
      <c r="D56" s="111"/>
      <c r="E56" s="111"/>
      <c r="F56" s="111"/>
      <c r="G56" s="111"/>
    </row>
    <row r="57" spans="1:7">
      <c r="A57" s="106"/>
      <c r="B57" s="111"/>
      <c r="C57" s="111"/>
      <c r="D57" s="111"/>
      <c r="E57" s="111"/>
      <c r="F57" s="111"/>
      <c r="G57" s="111"/>
    </row>
    <row r="58" spans="1:7">
      <c r="A58" s="106"/>
      <c r="B58" s="111"/>
      <c r="C58" s="111"/>
      <c r="D58" s="111"/>
      <c r="E58" s="111"/>
      <c r="F58" s="111"/>
      <c r="G58" s="111"/>
    </row>
    <row r="59" spans="1:7">
      <c r="A59" s="106"/>
      <c r="B59" s="111"/>
      <c r="C59" s="111"/>
      <c r="D59" s="111"/>
      <c r="E59" s="111"/>
      <c r="F59" s="111"/>
      <c r="G59" s="111"/>
    </row>
    <row r="60" spans="1:7">
      <c r="A60" s="106"/>
      <c r="B60" s="111"/>
      <c r="C60" s="111"/>
      <c r="D60" s="111"/>
      <c r="E60" s="111"/>
      <c r="F60" s="111"/>
      <c r="G60" s="111"/>
    </row>
    <row r="61" spans="1:7">
      <c r="A61" s="106"/>
      <c r="B61" s="111"/>
      <c r="C61" s="111"/>
      <c r="D61" s="111"/>
      <c r="E61" s="111"/>
      <c r="F61" s="111"/>
      <c r="G61" s="111"/>
    </row>
    <row r="62" spans="1:7">
      <c r="A62" s="106"/>
      <c r="B62" s="111"/>
      <c r="C62" s="111"/>
      <c r="D62" s="111"/>
      <c r="E62" s="111"/>
      <c r="F62" s="111"/>
      <c r="G62" s="111"/>
    </row>
    <row r="63" spans="1:7">
      <c r="A63" s="106"/>
      <c r="B63" s="111"/>
      <c r="C63" s="111"/>
      <c r="D63" s="111"/>
      <c r="E63" s="111"/>
      <c r="F63" s="111"/>
      <c r="G63" s="111"/>
    </row>
    <row r="64" spans="1:7">
      <c r="A64" s="106"/>
      <c r="B64" s="111"/>
      <c r="C64" s="111"/>
      <c r="D64" s="111"/>
      <c r="E64" s="111"/>
      <c r="F64" s="111"/>
      <c r="G64" s="111"/>
    </row>
    <row r="65" spans="1:7">
      <c r="A65" s="106"/>
      <c r="B65" s="111"/>
      <c r="C65" s="111"/>
      <c r="D65" s="111"/>
      <c r="E65" s="111"/>
      <c r="F65" s="111"/>
      <c r="G65" s="111"/>
    </row>
    <row r="66" spans="1:7">
      <c r="A66" s="106"/>
      <c r="B66" s="111"/>
      <c r="C66" s="111"/>
      <c r="D66" s="111"/>
      <c r="E66" s="111"/>
      <c r="F66" s="111"/>
      <c r="G66" s="111"/>
    </row>
    <row r="67" spans="1:7">
      <c r="A67" s="106"/>
      <c r="B67" s="111"/>
      <c r="C67" s="111"/>
      <c r="D67" s="111"/>
      <c r="E67" s="111"/>
      <c r="F67" s="111"/>
      <c r="G67" s="111"/>
    </row>
    <row r="68" spans="1:7">
      <c r="A68" s="106"/>
      <c r="B68" s="111"/>
      <c r="C68" s="111"/>
      <c r="D68" s="111"/>
      <c r="E68" s="111"/>
      <c r="F68" s="111"/>
      <c r="G68" s="111"/>
    </row>
    <row r="69" spans="1:7">
      <c r="A69" s="106"/>
      <c r="B69" s="111"/>
      <c r="C69" s="111"/>
      <c r="D69" s="111"/>
      <c r="E69" s="111"/>
      <c r="F69" s="111"/>
      <c r="G69" s="111"/>
    </row>
    <row r="70" spans="1:7">
      <c r="A70" s="106"/>
      <c r="B70" s="111"/>
      <c r="C70" s="111"/>
      <c r="D70" s="111"/>
      <c r="E70" s="111"/>
      <c r="F70" s="111"/>
      <c r="G70" s="111"/>
    </row>
    <row r="71" spans="1:7">
      <c r="A71" s="106"/>
      <c r="B71" s="111"/>
      <c r="C71" s="111"/>
      <c r="D71" s="111"/>
      <c r="E71" s="111"/>
      <c r="F71" s="111"/>
      <c r="G71" s="111"/>
    </row>
    <row r="72" spans="1:7">
      <c r="A72" s="106"/>
      <c r="B72" s="111"/>
      <c r="C72" s="111"/>
      <c r="D72" s="111"/>
      <c r="E72" s="111"/>
      <c r="F72" s="111"/>
      <c r="G72" s="111"/>
    </row>
    <row r="73" spans="1:7">
      <c r="A73" s="106"/>
      <c r="B73" s="111"/>
      <c r="C73" s="111"/>
      <c r="D73" s="111"/>
      <c r="E73" s="111"/>
      <c r="F73" s="111"/>
      <c r="G73" s="111"/>
    </row>
    <row r="74" spans="1:7">
      <c r="A74" s="106"/>
      <c r="B74" s="111"/>
      <c r="C74" s="111"/>
      <c r="D74" s="111"/>
      <c r="E74" s="111"/>
      <c r="F74" s="111"/>
      <c r="G74" s="111"/>
    </row>
    <row r="75" spans="1:7">
      <c r="A75" s="106"/>
      <c r="B75" s="111"/>
      <c r="C75" s="111"/>
      <c r="D75" s="111"/>
      <c r="E75" s="111"/>
      <c r="F75" s="111"/>
      <c r="G75" s="111"/>
    </row>
    <row r="76" spans="1:7">
      <c r="A76" s="106"/>
      <c r="B76" s="111"/>
      <c r="C76" s="111"/>
      <c r="D76" s="111"/>
      <c r="E76" s="111"/>
      <c r="F76" s="111"/>
      <c r="G76" s="111"/>
    </row>
    <row r="77" spans="1:7">
      <c r="A77" s="106"/>
      <c r="B77" s="111"/>
      <c r="C77" s="111"/>
      <c r="D77" s="111"/>
      <c r="E77" s="111"/>
      <c r="F77" s="111"/>
      <c r="G77" s="111"/>
    </row>
    <row r="78" spans="1:7">
      <c r="A78" s="106"/>
      <c r="B78" s="111"/>
      <c r="C78" s="111"/>
      <c r="D78" s="111"/>
      <c r="E78" s="111"/>
      <c r="F78" s="111"/>
      <c r="G78" s="111"/>
    </row>
    <row r="79" spans="1:7">
      <c r="A79" s="106"/>
      <c r="B79" s="111"/>
      <c r="C79" s="111"/>
      <c r="D79" s="111"/>
      <c r="E79" s="111"/>
      <c r="F79" s="111"/>
      <c r="G79" s="111"/>
    </row>
    <row r="80" spans="1:7">
      <c r="A80" s="106"/>
      <c r="B80" s="111"/>
      <c r="C80" s="111"/>
      <c r="D80" s="111"/>
      <c r="E80" s="111"/>
      <c r="F80" s="111"/>
      <c r="G80" s="111"/>
    </row>
    <row r="81" spans="1:7">
      <c r="A81" s="106"/>
      <c r="B81" s="111"/>
      <c r="C81" s="111"/>
      <c r="D81" s="111"/>
      <c r="E81" s="111"/>
      <c r="F81" s="111"/>
      <c r="G81" s="111"/>
    </row>
    <row r="82" spans="1:7">
      <c r="A82" s="106"/>
      <c r="B82" s="111"/>
      <c r="C82" s="111"/>
      <c r="D82" s="111"/>
      <c r="E82" s="111"/>
      <c r="F82" s="111"/>
      <c r="G82" s="111"/>
    </row>
    <row r="83" spans="1:7">
      <c r="A83" s="106"/>
      <c r="B83" s="111"/>
      <c r="C83" s="111"/>
      <c r="D83" s="111"/>
      <c r="E83" s="111"/>
      <c r="F83" s="111"/>
      <c r="G83" s="111"/>
    </row>
    <row r="84" spans="1:7">
      <c r="A84" s="106"/>
      <c r="B84" s="111"/>
      <c r="C84" s="111"/>
      <c r="D84" s="111"/>
      <c r="E84" s="111"/>
      <c r="F84" s="111"/>
      <c r="G84" s="111"/>
    </row>
    <row r="85" spans="1:7">
      <c r="A85" s="106"/>
      <c r="B85" s="111"/>
      <c r="C85" s="111"/>
      <c r="D85" s="111"/>
      <c r="E85" s="111"/>
      <c r="F85" s="111"/>
      <c r="G85" s="111"/>
    </row>
    <row r="86" spans="1:7">
      <c r="A86" s="106"/>
      <c r="B86" s="111"/>
      <c r="C86" s="111"/>
      <c r="D86" s="111"/>
      <c r="E86" s="111"/>
      <c r="F86" s="111"/>
      <c r="G86" s="111"/>
    </row>
    <row r="87" spans="1:7">
      <c r="A87" s="106"/>
      <c r="B87" s="111"/>
      <c r="C87" s="111"/>
      <c r="D87" s="111"/>
      <c r="E87" s="111"/>
      <c r="F87" s="111"/>
      <c r="G87" s="111"/>
    </row>
    <row r="88" spans="1:7">
      <c r="A88" s="106"/>
      <c r="B88" s="111"/>
      <c r="C88" s="111"/>
      <c r="D88" s="111"/>
      <c r="E88" s="111"/>
      <c r="F88" s="111"/>
      <c r="G88" s="111"/>
    </row>
    <row r="89" spans="1:7">
      <c r="A89" s="106"/>
      <c r="B89" s="111"/>
      <c r="C89" s="111"/>
      <c r="D89" s="111"/>
      <c r="E89" s="111"/>
      <c r="F89" s="111"/>
      <c r="G89" s="111"/>
    </row>
    <row r="90" spans="1:7">
      <c r="A90" s="106"/>
      <c r="B90" s="111"/>
      <c r="C90" s="111"/>
      <c r="D90" s="111"/>
      <c r="E90" s="111"/>
      <c r="F90" s="111"/>
      <c r="G90" s="111"/>
    </row>
    <row r="91" spans="1:7">
      <c r="A91" s="106"/>
      <c r="B91" s="111"/>
      <c r="C91" s="111"/>
      <c r="D91" s="111"/>
      <c r="E91" s="111"/>
      <c r="F91" s="111"/>
      <c r="G91" s="111"/>
    </row>
    <row r="92" spans="1:7">
      <c r="A92" s="106"/>
      <c r="B92" s="111"/>
      <c r="C92" s="111"/>
      <c r="D92" s="111"/>
      <c r="E92" s="111"/>
      <c r="F92" s="111"/>
      <c r="G92" s="111"/>
    </row>
    <row r="93" spans="1:7">
      <c r="A93" s="106"/>
      <c r="B93" s="111"/>
      <c r="C93" s="111"/>
      <c r="D93" s="111"/>
      <c r="E93" s="111"/>
      <c r="F93" s="111"/>
      <c r="G93" s="111"/>
    </row>
    <row r="94" spans="1:7">
      <c r="A94" s="106"/>
      <c r="B94" s="111"/>
      <c r="C94" s="111"/>
      <c r="D94" s="111"/>
      <c r="E94" s="111"/>
      <c r="F94" s="111"/>
      <c r="G94" s="111"/>
    </row>
    <row r="95" spans="1:7">
      <c r="A95" s="106"/>
      <c r="B95" s="111"/>
      <c r="C95" s="111"/>
      <c r="D95" s="111"/>
      <c r="E95" s="111"/>
      <c r="F95" s="111"/>
      <c r="G95" s="111"/>
    </row>
    <row r="96" spans="1:7">
      <c r="A96" s="106"/>
      <c r="B96" s="111"/>
      <c r="C96" s="111"/>
      <c r="D96" s="111"/>
      <c r="E96" s="111"/>
      <c r="F96" s="111"/>
      <c r="G96" s="111"/>
    </row>
    <row r="97" spans="1:7">
      <c r="A97" s="106"/>
      <c r="B97" s="111"/>
      <c r="C97" s="111"/>
      <c r="D97" s="111"/>
      <c r="E97" s="111"/>
      <c r="F97" s="111"/>
      <c r="G97" s="111"/>
    </row>
    <row r="98" spans="1:7">
      <c r="A98" s="106"/>
      <c r="B98" s="111"/>
      <c r="C98" s="111"/>
      <c r="D98" s="111"/>
      <c r="E98" s="111"/>
      <c r="F98" s="111"/>
      <c r="G98" s="111"/>
    </row>
    <row r="99" spans="1:7">
      <c r="A99" s="106"/>
      <c r="B99" s="111"/>
      <c r="C99" s="111"/>
      <c r="D99" s="111"/>
      <c r="E99" s="111"/>
      <c r="F99" s="111"/>
      <c r="G99" s="111"/>
    </row>
    <row r="100" spans="1:7">
      <c r="A100" s="106"/>
      <c r="B100" s="111"/>
      <c r="C100" s="111"/>
      <c r="D100" s="111"/>
      <c r="E100" s="111"/>
      <c r="F100" s="111"/>
      <c r="G100" s="111"/>
    </row>
    <row r="101" spans="1:7">
      <c r="A101" s="106"/>
      <c r="B101" s="111"/>
      <c r="C101" s="111"/>
      <c r="D101" s="111"/>
      <c r="E101" s="111"/>
      <c r="F101" s="111"/>
      <c r="G101" s="111"/>
    </row>
    <row r="102" spans="1:7">
      <c r="A102" s="106"/>
      <c r="B102" s="111"/>
      <c r="C102" s="111"/>
      <c r="D102" s="111"/>
      <c r="E102" s="111"/>
      <c r="F102" s="111"/>
      <c r="G102" s="111"/>
    </row>
    <row r="103" spans="1:7">
      <c r="A103" s="106"/>
      <c r="B103" s="111"/>
      <c r="C103" s="111"/>
      <c r="D103" s="111"/>
      <c r="E103" s="111"/>
      <c r="F103" s="111"/>
      <c r="G103" s="111"/>
    </row>
    <row r="104" spans="1:7">
      <c r="A104" s="106"/>
      <c r="B104" s="111"/>
      <c r="C104" s="111"/>
      <c r="D104" s="111"/>
      <c r="E104" s="111"/>
      <c r="F104" s="111"/>
      <c r="G104" s="111"/>
    </row>
    <row r="105" spans="1:7">
      <c r="A105" s="106"/>
      <c r="B105" s="111"/>
      <c r="C105" s="111"/>
      <c r="D105" s="111"/>
      <c r="E105" s="111"/>
      <c r="F105" s="111"/>
      <c r="G105" s="111"/>
    </row>
    <row r="106" spans="1:7">
      <c r="A106" s="106"/>
      <c r="B106" s="111"/>
      <c r="C106" s="111"/>
      <c r="D106" s="111"/>
      <c r="E106" s="111"/>
      <c r="F106" s="111"/>
      <c r="G106" s="111"/>
    </row>
    <row r="107" spans="1:7">
      <c r="A107" s="106"/>
      <c r="B107" s="111"/>
      <c r="C107" s="111"/>
      <c r="D107" s="111"/>
      <c r="E107" s="111"/>
      <c r="F107" s="111"/>
      <c r="G107" s="111"/>
    </row>
    <row r="108" spans="1:7">
      <c r="A108" s="106"/>
      <c r="B108" s="111"/>
      <c r="C108" s="111"/>
      <c r="D108" s="111"/>
      <c r="E108" s="111"/>
      <c r="F108" s="111"/>
      <c r="G108" s="111"/>
    </row>
    <row r="109" spans="1:7">
      <c r="A109" s="106"/>
      <c r="B109" s="111"/>
      <c r="C109" s="111"/>
      <c r="D109" s="111"/>
      <c r="E109" s="111"/>
      <c r="F109" s="111"/>
      <c r="G109" s="111"/>
    </row>
    <row r="110" spans="1:7">
      <c r="A110" s="106"/>
      <c r="B110" s="111"/>
      <c r="C110" s="111"/>
      <c r="D110" s="111"/>
      <c r="E110" s="111"/>
      <c r="F110" s="111"/>
      <c r="G110" s="111"/>
    </row>
    <row r="111" spans="1:7">
      <c r="A111" s="106"/>
      <c r="B111" s="111"/>
      <c r="C111" s="111"/>
      <c r="D111" s="111"/>
      <c r="E111" s="111"/>
      <c r="F111" s="111"/>
      <c r="G111" s="111"/>
    </row>
    <row r="112" spans="1:7">
      <c r="A112" s="106"/>
      <c r="B112" s="111"/>
      <c r="C112" s="111"/>
      <c r="D112" s="111"/>
      <c r="E112" s="111"/>
      <c r="F112" s="111"/>
      <c r="G112" s="111"/>
    </row>
    <row r="113" spans="1:7">
      <c r="A113" s="106"/>
      <c r="B113" s="111"/>
      <c r="C113" s="111"/>
      <c r="D113" s="111"/>
      <c r="E113" s="111"/>
      <c r="F113" s="111"/>
      <c r="G113" s="111"/>
    </row>
    <row r="114" spans="1:7">
      <c r="A114" s="106"/>
      <c r="B114" s="111"/>
      <c r="C114" s="111"/>
      <c r="D114" s="111"/>
      <c r="E114" s="111"/>
      <c r="F114" s="111"/>
      <c r="G114" s="111"/>
    </row>
    <row r="115" spans="1:7">
      <c r="A115" s="106"/>
      <c r="B115" s="111"/>
      <c r="C115" s="111"/>
      <c r="D115" s="111"/>
      <c r="E115" s="111"/>
      <c r="F115" s="111"/>
      <c r="G115" s="111"/>
    </row>
    <row r="116" spans="1:7">
      <c r="A116" s="106"/>
      <c r="B116" s="111"/>
      <c r="C116" s="111"/>
      <c r="D116" s="111"/>
      <c r="E116" s="111"/>
      <c r="F116" s="111"/>
      <c r="G116" s="111"/>
    </row>
    <row r="117" spans="1:7">
      <c r="A117" s="106"/>
      <c r="B117" s="111"/>
      <c r="C117" s="111"/>
      <c r="D117" s="111"/>
      <c r="E117" s="111"/>
      <c r="F117" s="111"/>
      <c r="G117" s="111"/>
    </row>
    <row r="118" spans="1:7">
      <c r="A118" s="106"/>
      <c r="B118" s="111"/>
      <c r="C118" s="111"/>
      <c r="D118" s="111"/>
      <c r="E118" s="111"/>
      <c r="F118" s="111"/>
      <c r="G118" s="111"/>
    </row>
    <row r="119" spans="1:7">
      <c r="A119" s="106"/>
      <c r="B119" s="111"/>
      <c r="C119" s="111"/>
      <c r="D119" s="111"/>
      <c r="E119" s="111"/>
      <c r="F119" s="111"/>
      <c r="G119" s="111"/>
    </row>
    <row r="120" spans="1:7">
      <c r="A120" s="106"/>
      <c r="B120" s="111"/>
      <c r="C120" s="111"/>
      <c r="D120" s="111"/>
      <c r="E120" s="111"/>
      <c r="F120" s="111"/>
      <c r="G120" s="111"/>
    </row>
    <row r="121" spans="1:7">
      <c r="A121" s="106"/>
      <c r="B121" s="111"/>
      <c r="C121" s="111"/>
      <c r="D121" s="111"/>
      <c r="E121" s="111"/>
      <c r="F121" s="111"/>
      <c r="G121" s="111"/>
    </row>
    <row r="122" spans="1:7">
      <c r="A122" s="106"/>
      <c r="B122" s="111"/>
      <c r="C122" s="111"/>
      <c r="D122" s="111"/>
      <c r="E122" s="111"/>
      <c r="F122" s="111"/>
      <c r="G122" s="111"/>
    </row>
    <row r="123" spans="1:7">
      <c r="A123" s="106"/>
      <c r="B123" s="111"/>
      <c r="C123" s="111"/>
      <c r="D123" s="111"/>
      <c r="E123" s="111"/>
      <c r="F123" s="111"/>
      <c r="G123" s="111"/>
    </row>
    <row r="124" spans="1:7">
      <c r="A124" s="106"/>
      <c r="B124" s="111"/>
      <c r="C124" s="111"/>
      <c r="D124" s="111"/>
      <c r="E124" s="111"/>
      <c r="F124" s="111"/>
      <c r="G124" s="111"/>
    </row>
    <row r="125" spans="1:7">
      <c r="A125" s="106"/>
      <c r="B125" s="111"/>
      <c r="C125" s="111"/>
      <c r="D125" s="111"/>
      <c r="E125" s="111"/>
      <c r="F125" s="111"/>
      <c r="G125" s="111"/>
    </row>
    <row r="126" spans="1:7">
      <c r="A126" s="106"/>
      <c r="B126" s="111"/>
      <c r="C126" s="111"/>
      <c r="D126" s="111"/>
      <c r="E126" s="111"/>
      <c r="F126" s="111"/>
      <c r="G126" s="111"/>
    </row>
    <row r="127" spans="1:7">
      <c r="A127" s="106"/>
      <c r="B127" s="111"/>
      <c r="C127" s="111"/>
      <c r="D127" s="111"/>
      <c r="E127" s="111"/>
      <c r="F127" s="111"/>
      <c r="G127" s="111"/>
    </row>
    <row r="128" spans="1:7">
      <c r="A128" s="106"/>
      <c r="B128" s="111"/>
      <c r="C128" s="111"/>
      <c r="D128" s="111"/>
      <c r="E128" s="111"/>
      <c r="F128" s="111"/>
      <c r="G128" s="111"/>
    </row>
    <row r="129" spans="1:7">
      <c r="A129" s="106"/>
      <c r="B129" s="111"/>
      <c r="C129" s="111"/>
      <c r="D129" s="111"/>
      <c r="E129" s="111"/>
      <c r="F129" s="111"/>
      <c r="G129" s="111"/>
    </row>
    <row r="130" spans="1:7">
      <c r="A130" s="106"/>
      <c r="B130" s="111"/>
      <c r="C130" s="111"/>
      <c r="D130" s="111"/>
      <c r="E130" s="111"/>
      <c r="F130" s="111"/>
      <c r="G130" s="111"/>
    </row>
    <row r="131" spans="1:7">
      <c r="A131" s="106"/>
      <c r="B131" s="111"/>
      <c r="C131" s="111"/>
      <c r="D131" s="111"/>
      <c r="E131" s="111"/>
      <c r="F131" s="111"/>
      <c r="G131" s="111"/>
    </row>
    <row r="132" spans="1:7">
      <c r="A132" s="106"/>
      <c r="B132" s="111"/>
      <c r="C132" s="111"/>
      <c r="D132" s="111"/>
      <c r="E132" s="111"/>
      <c r="F132" s="111"/>
      <c r="G132" s="111"/>
    </row>
    <row r="133" spans="1:7">
      <c r="A133" s="106"/>
      <c r="B133" s="111"/>
      <c r="C133" s="111"/>
      <c r="D133" s="111"/>
      <c r="E133" s="111"/>
      <c r="F133" s="111"/>
      <c r="G133" s="111"/>
    </row>
    <row r="134" spans="1:7">
      <c r="A134" s="106"/>
      <c r="B134" s="111"/>
      <c r="C134" s="111"/>
      <c r="D134" s="111"/>
      <c r="E134" s="111"/>
      <c r="F134" s="111"/>
      <c r="G134" s="111"/>
    </row>
    <row r="135" spans="1:7">
      <c r="A135" s="106"/>
      <c r="B135" s="111"/>
      <c r="C135" s="111"/>
      <c r="D135" s="111"/>
      <c r="E135" s="111"/>
      <c r="F135" s="111"/>
      <c r="G135" s="111"/>
    </row>
    <row r="136" spans="1:7">
      <c r="A136" s="106"/>
      <c r="B136" s="111"/>
      <c r="C136" s="111"/>
      <c r="D136" s="111"/>
      <c r="E136" s="111"/>
      <c r="F136" s="111"/>
      <c r="G136" s="111"/>
    </row>
    <row r="137" spans="1:7">
      <c r="A137" s="106"/>
      <c r="B137" s="111"/>
      <c r="C137" s="111"/>
      <c r="D137" s="111"/>
      <c r="E137" s="111"/>
      <c r="F137" s="111"/>
      <c r="G137" s="111"/>
    </row>
    <row r="138" spans="1:7">
      <c r="A138" s="106"/>
      <c r="B138" s="111"/>
      <c r="C138" s="111"/>
      <c r="D138" s="111"/>
      <c r="E138" s="111"/>
      <c r="F138" s="111"/>
      <c r="G138" s="111"/>
    </row>
    <row r="139" spans="1:7">
      <c r="A139" s="106"/>
      <c r="B139" s="111"/>
      <c r="C139" s="111"/>
      <c r="D139" s="111"/>
      <c r="E139" s="111"/>
      <c r="F139" s="111"/>
      <c r="G139" s="111"/>
    </row>
    <row r="140" spans="1:7">
      <c r="A140" s="106"/>
      <c r="B140" s="111"/>
      <c r="C140" s="111"/>
      <c r="D140" s="111"/>
      <c r="E140" s="111"/>
      <c r="F140" s="111"/>
      <c r="G140" s="111"/>
    </row>
    <row r="141" spans="1:7">
      <c r="A141" s="106"/>
      <c r="B141" s="111"/>
      <c r="C141" s="111"/>
      <c r="D141" s="111"/>
      <c r="E141" s="111"/>
      <c r="F141" s="111"/>
      <c r="G141" s="111"/>
    </row>
    <row r="142" spans="1:7">
      <c r="A142" s="106"/>
      <c r="B142" s="111"/>
      <c r="C142" s="111"/>
      <c r="D142" s="111"/>
      <c r="E142" s="111"/>
      <c r="F142" s="111"/>
      <c r="G142" s="111"/>
    </row>
    <row r="143" spans="1:7">
      <c r="A143" s="106"/>
      <c r="B143" s="111"/>
      <c r="C143" s="111"/>
      <c r="D143" s="111"/>
      <c r="E143" s="111"/>
      <c r="F143" s="111"/>
      <c r="G143" s="111"/>
    </row>
    <row r="144" spans="1:7">
      <c r="A144" s="106"/>
      <c r="B144" s="111"/>
      <c r="C144" s="111"/>
      <c r="D144" s="111"/>
      <c r="E144" s="111"/>
      <c r="F144" s="111"/>
      <c r="G144" s="111"/>
    </row>
    <row r="145" spans="1:7">
      <c r="A145" s="106"/>
      <c r="B145" s="111"/>
      <c r="C145" s="111"/>
      <c r="D145" s="111"/>
      <c r="E145" s="111"/>
      <c r="F145" s="111"/>
      <c r="G145" s="111"/>
    </row>
    <row r="146" spans="1:7">
      <c r="A146" s="106"/>
      <c r="B146" s="111"/>
      <c r="C146" s="111"/>
      <c r="D146" s="111"/>
      <c r="E146" s="111"/>
      <c r="F146" s="111"/>
      <c r="G146" s="111"/>
    </row>
    <row r="147" spans="1:7">
      <c r="A147" s="106"/>
      <c r="B147" s="111"/>
      <c r="C147" s="111"/>
      <c r="D147" s="111"/>
      <c r="E147" s="111"/>
      <c r="F147" s="111"/>
      <c r="G147" s="111"/>
    </row>
    <row r="148" spans="1:7">
      <c r="A148" s="106"/>
      <c r="B148" s="111"/>
      <c r="C148" s="111"/>
      <c r="D148" s="111"/>
      <c r="E148" s="111"/>
      <c r="F148" s="111"/>
      <c r="G148" s="111"/>
    </row>
    <row r="149" spans="1:7">
      <c r="A149" s="106"/>
      <c r="B149" s="111"/>
      <c r="C149" s="111"/>
      <c r="D149" s="111"/>
      <c r="E149" s="111"/>
      <c r="F149" s="111"/>
      <c r="G149" s="111"/>
    </row>
    <row r="150" spans="1:7">
      <c r="A150" s="106"/>
      <c r="B150" s="111"/>
      <c r="C150" s="111"/>
      <c r="D150" s="111"/>
      <c r="E150" s="111"/>
      <c r="F150" s="111"/>
      <c r="G150" s="111"/>
    </row>
    <row r="151" spans="1:7">
      <c r="A151" s="106"/>
      <c r="B151" s="111"/>
      <c r="C151" s="111"/>
      <c r="D151" s="111"/>
      <c r="E151" s="111"/>
      <c r="F151" s="111"/>
      <c r="G151" s="111"/>
    </row>
    <row r="152" spans="1:7">
      <c r="A152" s="106"/>
      <c r="B152" s="111"/>
      <c r="C152" s="111"/>
      <c r="D152" s="111"/>
      <c r="E152" s="111"/>
      <c r="F152" s="111"/>
      <c r="G152" s="111"/>
    </row>
    <row r="153" spans="1:7">
      <c r="A153" s="106"/>
      <c r="B153" s="111"/>
      <c r="C153" s="111"/>
      <c r="D153" s="111"/>
      <c r="E153" s="111"/>
      <c r="F153" s="111"/>
      <c r="G153" s="111"/>
    </row>
    <row r="154" spans="1:7">
      <c r="A154" s="106"/>
      <c r="B154" s="111"/>
      <c r="C154" s="111"/>
      <c r="D154" s="111"/>
      <c r="E154" s="111"/>
      <c r="F154" s="111"/>
      <c r="G154" s="111"/>
    </row>
    <row r="155" spans="1:7">
      <c r="A155" s="106"/>
      <c r="B155" s="111"/>
      <c r="C155" s="111"/>
      <c r="D155" s="111"/>
      <c r="E155" s="111"/>
      <c r="F155" s="111"/>
      <c r="G155" s="111"/>
    </row>
    <row r="156" spans="1:7">
      <c r="A156" s="106"/>
      <c r="B156" s="111"/>
      <c r="C156" s="111"/>
      <c r="D156" s="111"/>
      <c r="E156" s="111"/>
      <c r="F156" s="111"/>
      <c r="G156" s="111"/>
    </row>
    <row r="157" spans="1:7">
      <c r="A157" s="106"/>
      <c r="B157" s="111"/>
      <c r="C157" s="111"/>
      <c r="D157" s="111"/>
      <c r="E157" s="111"/>
      <c r="F157" s="111"/>
      <c r="G157" s="111"/>
    </row>
    <row r="158" spans="1:7">
      <c r="A158" s="106"/>
      <c r="B158" s="111"/>
      <c r="C158" s="111"/>
      <c r="D158" s="111"/>
      <c r="E158" s="111"/>
      <c r="F158" s="111"/>
      <c r="G158" s="111"/>
    </row>
    <row r="159" spans="1:7">
      <c r="A159" s="106"/>
      <c r="B159" s="111"/>
      <c r="C159" s="111"/>
      <c r="D159" s="111"/>
      <c r="E159" s="111"/>
      <c r="F159" s="111"/>
      <c r="G159" s="111"/>
    </row>
    <row r="160" spans="1:7">
      <c r="A160" s="106"/>
      <c r="B160" s="111"/>
      <c r="C160" s="111"/>
      <c r="D160" s="111"/>
      <c r="E160" s="111"/>
      <c r="F160" s="111"/>
      <c r="G160" s="111"/>
    </row>
    <row r="161" spans="1:7">
      <c r="A161" s="106"/>
      <c r="B161" s="111"/>
      <c r="C161" s="111"/>
      <c r="D161" s="111"/>
      <c r="E161" s="111"/>
      <c r="F161" s="111"/>
      <c r="G161" s="111"/>
    </row>
    <row r="162" spans="1:7">
      <c r="A162" s="106"/>
      <c r="B162" s="111"/>
      <c r="C162" s="111"/>
      <c r="D162" s="111"/>
      <c r="E162" s="111"/>
      <c r="F162" s="111"/>
      <c r="G162" s="111"/>
    </row>
    <row r="163" spans="1:7">
      <c r="A163" s="106"/>
      <c r="B163" s="111"/>
      <c r="C163" s="111"/>
      <c r="D163" s="111"/>
      <c r="E163" s="111"/>
      <c r="F163" s="111"/>
      <c r="G163" s="111"/>
    </row>
    <row r="164" spans="1:7">
      <c r="A164" s="106"/>
      <c r="B164" s="111"/>
      <c r="C164" s="111"/>
      <c r="D164" s="111"/>
      <c r="E164" s="111"/>
      <c r="F164" s="111"/>
      <c r="G164" s="111"/>
    </row>
    <row r="165" spans="1:7">
      <c r="A165" s="106"/>
      <c r="B165" s="111"/>
      <c r="C165" s="111"/>
      <c r="D165" s="111"/>
      <c r="E165" s="111"/>
      <c r="F165" s="111"/>
      <c r="G165" s="111"/>
    </row>
    <row r="166" spans="1:7">
      <c r="A166" s="106"/>
      <c r="B166" s="111"/>
      <c r="C166" s="111"/>
      <c r="D166" s="111"/>
      <c r="E166" s="111"/>
      <c r="F166" s="111"/>
      <c r="G166" s="111"/>
    </row>
    <row r="167" spans="1:7">
      <c r="A167" s="106"/>
      <c r="B167" s="111"/>
      <c r="C167" s="111"/>
      <c r="D167" s="111"/>
      <c r="E167" s="111"/>
      <c r="F167" s="111"/>
      <c r="G167" s="111"/>
    </row>
    <row r="168" spans="1:7">
      <c r="A168" s="106"/>
      <c r="B168" s="111"/>
      <c r="C168" s="111"/>
      <c r="D168" s="111"/>
      <c r="E168" s="111"/>
      <c r="F168" s="111"/>
      <c r="G168" s="111"/>
    </row>
    <row r="169" spans="1:7">
      <c r="A169" s="106"/>
      <c r="B169" s="111"/>
      <c r="C169" s="111"/>
      <c r="D169" s="111"/>
      <c r="E169" s="111"/>
      <c r="F169" s="111"/>
      <c r="G169" s="111"/>
    </row>
    <row r="170" spans="1:7">
      <c r="A170" s="106"/>
      <c r="B170" s="111"/>
      <c r="C170" s="111"/>
      <c r="D170" s="111"/>
      <c r="E170" s="111"/>
      <c r="F170" s="111"/>
      <c r="G170" s="111"/>
    </row>
    <row r="171" spans="1:7">
      <c r="A171" s="106"/>
      <c r="B171" s="111"/>
      <c r="C171" s="111"/>
      <c r="D171" s="111"/>
      <c r="E171" s="111"/>
      <c r="F171" s="111"/>
      <c r="G171" s="111"/>
    </row>
    <row r="172" spans="1:7">
      <c r="A172" s="106"/>
      <c r="B172" s="111"/>
      <c r="C172" s="111"/>
      <c r="D172" s="111"/>
      <c r="E172" s="111"/>
      <c r="F172" s="111"/>
      <c r="G172" s="111"/>
    </row>
    <row r="173" spans="1:7">
      <c r="A173" s="106"/>
      <c r="B173" s="111"/>
      <c r="C173" s="111"/>
      <c r="D173" s="111"/>
      <c r="E173" s="111"/>
      <c r="F173" s="111"/>
      <c r="G173" s="111"/>
    </row>
    <row r="174" spans="1:7">
      <c r="A174" s="106"/>
      <c r="B174" s="111"/>
      <c r="C174" s="111"/>
      <c r="D174" s="111"/>
      <c r="E174" s="111"/>
      <c r="F174" s="111"/>
      <c r="G174" s="111"/>
    </row>
    <row r="175" spans="1:7">
      <c r="A175" s="106"/>
      <c r="B175" s="111"/>
      <c r="C175" s="111"/>
      <c r="D175" s="111"/>
      <c r="E175" s="111"/>
      <c r="F175" s="111"/>
      <c r="G175" s="111"/>
    </row>
    <row r="176" spans="1:7">
      <c r="A176" s="106"/>
      <c r="B176" s="111"/>
      <c r="C176" s="111"/>
      <c r="D176" s="111"/>
      <c r="E176" s="111"/>
      <c r="F176" s="111"/>
      <c r="G176" s="111"/>
    </row>
    <row r="177" spans="1:7">
      <c r="A177" s="106"/>
      <c r="B177" s="111"/>
      <c r="C177" s="111"/>
      <c r="D177" s="111"/>
      <c r="E177" s="111"/>
      <c r="F177" s="111"/>
      <c r="G177" s="111"/>
    </row>
    <row r="178" spans="1:7">
      <c r="A178" s="106"/>
      <c r="B178" s="111"/>
      <c r="C178" s="111"/>
      <c r="D178" s="111"/>
      <c r="E178" s="111"/>
      <c r="F178" s="111"/>
      <c r="G178" s="111"/>
    </row>
    <row r="179" spans="1:7">
      <c r="A179" s="106"/>
      <c r="B179" s="111"/>
      <c r="C179" s="111"/>
      <c r="D179" s="111"/>
      <c r="E179" s="111"/>
      <c r="F179" s="111"/>
      <c r="G179" s="111"/>
    </row>
    <row r="180" spans="1:7">
      <c r="A180" s="106"/>
      <c r="B180" s="111"/>
      <c r="C180" s="111"/>
      <c r="D180" s="111"/>
      <c r="E180" s="111"/>
      <c r="F180" s="111"/>
      <c r="G180" s="111"/>
    </row>
    <row r="181" spans="1:7">
      <c r="A181" s="106"/>
      <c r="B181" s="111"/>
      <c r="C181" s="111"/>
      <c r="D181" s="111"/>
      <c r="E181" s="111"/>
      <c r="F181" s="111"/>
      <c r="G181" s="111"/>
    </row>
    <row r="182" spans="1:7">
      <c r="A182" s="106"/>
      <c r="B182" s="111"/>
      <c r="C182" s="111"/>
      <c r="D182" s="111"/>
      <c r="E182" s="111"/>
      <c r="F182" s="111"/>
      <c r="G182" s="111"/>
    </row>
    <row r="183" spans="1:7">
      <c r="A183" s="106"/>
      <c r="B183" s="111"/>
      <c r="C183" s="111"/>
      <c r="D183" s="111"/>
      <c r="E183" s="111"/>
      <c r="F183" s="111"/>
      <c r="G183" s="111"/>
    </row>
    <row r="184" spans="1:7">
      <c r="A184" s="106"/>
      <c r="B184" s="111"/>
      <c r="C184" s="111"/>
      <c r="D184" s="111"/>
      <c r="E184" s="111"/>
      <c r="F184" s="111"/>
      <c r="G184" s="111"/>
    </row>
    <row r="185" spans="1:7">
      <c r="A185" s="106"/>
      <c r="B185" s="111"/>
      <c r="C185" s="111"/>
      <c r="D185" s="111"/>
      <c r="E185" s="111"/>
      <c r="F185" s="111"/>
      <c r="G185" s="111"/>
    </row>
    <row r="186" spans="1:7">
      <c r="A186" s="106"/>
      <c r="B186" s="111"/>
      <c r="C186" s="111"/>
      <c r="D186" s="111"/>
      <c r="E186" s="111"/>
      <c r="F186" s="111"/>
      <c r="G186" s="111"/>
    </row>
    <row r="187" spans="1:7">
      <c r="A187" s="106"/>
      <c r="B187" s="111"/>
      <c r="C187" s="111"/>
      <c r="D187" s="111"/>
      <c r="E187" s="111"/>
      <c r="F187" s="111"/>
      <c r="G187" s="111"/>
    </row>
    <row r="188" spans="1:7">
      <c r="A188" s="106"/>
      <c r="B188" s="111"/>
      <c r="C188" s="111"/>
      <c r="D188" s="111"/>
      <c r="E188" s="111"/>
      <c r="F188" s="111"/>
      <c r="G188" s="111"/>
    </row>
    <row r="189" spans="1:7">
      <c r="A189" s="106"/>
      <c r="B189" s="111"/>
      <c r="C189" s="111"/>
      <c r="D189" s="111"/>
      <c r="E189" s="111"/>
      <c r="F189" s="111"/>
      <c r="G189" s="111"/>
    </row>
    <row r="190" spans="1:7">
      <c r="A190" s="106"/>
      <c r="B190" s="111"/>
      <c r="C190" s="111"/>
      <c r="D190" s="111"/>
      <c r="E190" s="111"/>
      <c r="F190" s="111"/>
      <c r="G190" s="111"/>
    </row>
    <row r="191" spans="1:7">
      <c r="A191" s="106"/>
      <c r="B191" s="111"/>
      <c r="C191" s="111"/>
      <c r="D191" s="111"/>
      <c r="E191" s="111"/>
      <c r="F191" s="111"/>
      <c r="G191" s="111"/>
    </row>
    <row r="192" spans="1:7">
      <c r="A192" s="106"/>
      <c r="B192" s="111"/>
      <c r="C192" s="111"/>
      <c r="D192" s="111"/>
      <c r="E192" s="111"/>
      <c r="F192" s="111"/>
      <c r="G192" s="111"/>
    </row>
    <row r="193" spans="1:7">
      <c r="A193" s="106"/>
      <c r="B193" s="111"/>
      <c r="C193" s="111"/>
      <c r="D193" s="111"/>
      <c r="E193" s="111"/>
      <c r="F193" s="111"/>
      <c r="G193" s="111"/>
    </row>
    <row r="194" spans="1:7">
      <c r="A194" s="106"/>
      <c r="B194" s="111"/>
      <c r="C194" s="111"/>
      <c r="D194" s="111"/>
      <c r="E194" s="111"/>
      <c r="F194" s="111"/>
      <c r="G194" s="111"/>
    </row>
    <row r="195" spans="1:7">
      <c r="A195" s="106"/>
      <c r="B195" s="111"/>
      <c r="C195" s="111"/>
      <c r="D195" s="111"/>
      <c r="E195" s="111"/>
      <c r="F195" s="111"/>
      <c r="G195" s="111"/>
    </row>
    <row r="196" spans="1:7">
      <c r="A196" s="106"/>
      <c r="B196" s="111"/>
      <c r="C196" s="111"/>
      <c r="D196" s="111"/>
      <c r="E196" s="111"/>
      <c r="F196" s="111"/>
      <c r="G196" s="111"/>
    </row>
    <row r="197" spans="1:7">
      <c r="A197" s="106"/>
      <c r="B197" s="111"/>
      <c r="C197" s="111"/>
      <c r="D197" s="111"/>
      <c r="E197" s="111"/>
      <c r="F197" s="111"/>
      <c r="G197" s="111"/>
    </row>
    <row r="198" spans="1:7">
      <c r="A198" s="106"/>
      <c r="B198" s="111"/>
      <c r="C198" s="111"/>
      <c r="D198" s="111"/>
      <c r="E198" s="111"/>
      <c r="F198" s="111"/>
      <c r="G198" s="111"/>
    </row>
    <row r="199" spans="1:7">
      <c r="A199" s="106"/>
      <c r="B199" s="111"/>
      <c r="C199" s="111"/>
      <c r="D199" s="111"/>
      <c r="E199" s="111"/>
      <c r="F199" s="111"/>
      <c r="G199" s="111"/>
    </row>
    <row r="200" spans="1:7">
      <c r="A200" s="106"/>
      <c r="B200" s="111"/>
      <c r="C200" s="111"/>
      <c r="D200" s="111"/>
      <c r="E200" s="111"/>
      <c r="F200" s="111"/>
      <c r="G200" s="111"/>
    </row>
    <row r="201" spans="1:7">
      <c r="A201" s="106"/>
      <c r="B201" s="111"/>
      <c r="C201" s="111"/>
      <c r="D201" s="111"/>
      <c r="E201" s="111"/>
      <c r="F201" s="111"/>
      <c r="G201" s="111"/>
    </row>
    <row r="202" spans="1:7">
      <c r="A202" s="106"/>
      <c r="B202" s="111"/>
      <c r="C202" s="111"/>
      <c r="D202" s="111"/>
      <c r="E202" s="111"/>
      <c r="F202" s="111"/>
      <c r="G202" s="111"/>
    </row>
    <row r="203" spans="1:7">
      <c r="A203" s="106"/>
      <c r="B203" s="111"/>
      <c r="C203" s="111"/>
      <c r="D203" s="111"/>
      <c r="E203" s="111"/>
      <c r="F203" s="111"/>
      <c r="G203" s="111"/>
    </row>
    <row r="204" spans="1:7">
      <c r="A204" s="106"/>
      <c r="B204" s="111"/>
      <c r="C204" s="111"/>
      <c r="D204" s="111"/>
      <c r="E204" s="111"/>
      <c r="F204" s="111"/>
      <c r="G204" s="111"/>
    </row>
    <row r="205" spans="1:7">
      <c r="A205" s="106"/>
      <c r="B205" s="111"/>
      <c r="C205" s="111"/>
      <c r="D205" s="111"/>
      <c r="E205" s="111"/>
      <c r="F205" s="111"/>
      <c r="G205" s="111"/>
    </row>
    <row r="206" spans="1:7">
      <c r="A206" s="106"/>
      <c r="B206" s="111"/>
      <c r="C206" s="111"/>
      <c r="D206" s="111"/>
      <c r="E206" s="111"/>
      <c r="F206" s="111"/>
      <c r="G206" s="111"/>
    </row>
    <row r="207" spans="1:7">
      <c r="A207" s="106"/>
      <c r="B207" s="111"/>
      <c r="C207" s="111"/>
      <c r="D207" s="111"/>
      <c r="E207" s="111"/>
      <c r="F207" s="111"/>
      <c r="G207" s="111"/>
    </row>
    <row r="208" spans="1:7">
      <c r="A208" s="106"/>
      <c r="B208" s="111"/>
      <c r="C208" s="111"/>
      <c r="D208" s="111"/>
      <c r="E208" s="111"/>
      <c r="F208" s="111"/>
      <c r="G208" s="111"/>
    </row>
    <row r="209" spans="1:7">
      <c r="A209" s="106"/>
      <c r="B209" s="111"/>
      <c r="C209" s="111"/>
      <c r="D209" s="111"/>
      <c r="E209" s="111"/>
      <c r="F209" s="111"/>
      <c r="G209" s="111"/>
    </row>
    <row r="210" spans="1:7">
      <c r="A210" s="106"/>
      <c r="B210" s="111"/>
      <c r="C210" s="111"/>
      <c r="D210" s="111"/>
      <c r="E210" s="111"/>
      <c r="F210" s="111"/>
      <c r="G210" s="111"/>
    </row>
    <row r="211" spans="1:7">
      <c r="A211" s="106"/>
      <c r="B211" s="111"/>
      <c r="C211" s="111"/>
      <c r="D211" s="111"/>
      <c r="E211" s="111"/>
      <c r="F211" s="111"/>
      <c r="G211" s="111"/>
    </row>
    <row r="212" spans="1:7">
      <c r="A212" s="106"/>
      <c r="B212" s="111"/>
      <c r="C212" s="111"/>
      <c r="D212" s="111"/>
      <c r="E212" s="111"/>
      <c r="F212" s="111"/>
      <c r="G212" s="111"/>
    </row>
    <row r="213" spans="1:7">
      <c r="A213" s="106"/>
      <c r="B213" s="111"/>
      <c r="C213" s="111"/>
      <c r="D213" s="111"/>
      <c r="E213" s="111"/>
      <c r="F213" s="111"/>
      <c r="G213" s="111"/>
    </row>
    <row r="214" spans="1:7">
      <c r="A214" s="106"/>
      <c r="B214" s="111"/>
      <c r="C214" s="111"/>
      <c r="D214" s="111"/>
      <c r="E214" s="111"/>
      <c r="F214" s="111"/>
      <c r="G214" s="111"/>
    </row>
    <row r="215" spans="1:7">
      <c r="A215" s="106"/>
      <c r="B215" s="111"/>
      <c r="C215" s="111"/>
      <c r="D215" s="111"/>
      <c r="E215" s="111"/>
      <c r="F215" s="111"/>
      <c r="G215" s="111"/>
    </row>
    <row r="216" spans="1:7">
      <c r="A216" s="106"/>
      <c r="B216" s="111"/>
      <c r="C216" s="111"/>
      <c r="D216" s="111"/>
      <c r="E216" s="111"/>
      <c r="F216" s="111"/>
      <c r="G216" s="111"/>
    </row>
    <row r="217" spans="1:7">
      <c r="A217" s="106"/>
      <c r="B217" s="111"/>
      <c r="C217" s="111"/>
      <c r="D217" s="111"/>
      <c r="E217" s="111"/>
      <c r="F217" s="111"/>
      <c r="G217" s="111"/>
    </row>
    <row r="218" spans="1:7">
      <c r="A218" s="106"/>
      <c r="B218" s="111"/>
      <c r="C218" s="111"/>
      <c r="D218" s="111"/>
      <c r="E218" s="111"/>
      <c r="F218" s="111"/>
      <c r="G218" s="111"/>
    </row>
    <row r="219" spans="1:7">
      <c r="A219" s="106"/>
      <c r="B219" s="111"/>
      <c r="C219" s="111"/>
      <c r="D219" s="111"/>
      <c r="E219" s="111"/>
      <c r="F219" s="111"/>
      <c r="G219" s="111"/>
    </row>
    <row r="220" spans="1:7">
      <c r="A220" s="106"/>
      <c r="B220" s="111"/>
      <c r="C220" s="111"/>
      <c r="D220" s="111"/>
      <c r="E220" s="111"/>
      <c r="F220" s="111"/>
      <c r="G220" s="111"/>
    </row>
    <row r="221" spans="1:7">
      <c r="A221" s="106"/>
      <c r="B221" s="111"/>
      <c r="C221" s="111"/>
      <c r="D221" s="111"/>
      <c r="E221" s="111"/>
      <c r="F221" s="111"/>
      <c r="G221" s="111"/>
    </row>
    <row r="222" spans="1:7">
      <c r="A222" s="106"/>
      <c r="B222" s="111"/>
      <c r="C222" s="111"/>
      <c r="D222" s="111"/>
      <c r="E222" s="111"/>
      <c r="F222" s="111"/>
      <c r="G222" s="111"/>
    </row>
    <row r="223" spans="1:7">
      <c r="A223" s="106"/>
      <c r="B223" s="111"/>
      <c r="C223" s="111"/>
      <c r="D223" s="111"/>
      <c r="E223" s="111"/>
      <c r="F223" s="111"/>
      <c r="G223" s="111"/>
    </row>
    <row r="224" spans="1:7">
      <c r="A224" s="106"/>
      <c r="B224" s="111"/>
      <c r="C224" s="111"/>
      <c r="D224" s="111"/>
      <c r="E224" s="111"/>
      <c r="F224" s="111"/>
      <c r="G224" s="111"/>
    </row>
    <row r="225" spans="1:7">
      <c r="A225" s="106"/>
      <c r="B225" s="111"/>
      <c r="C225" s="111"/>
      <c r="D225" s="111"/>
      <c r="E225" s="111"/>
      <c r="F225" s="111"/>
      <c r="G225" s="111"/>
    </row>
    <row r="226" spans="1:7">
      <c r="A226" s="106"/>
      <c r="B226" s="111"/>
      <c r="C226" s="111"/>
      <c r="D226" s="111"/>
      <c r="E226" s="111"/>
      <c r="F226" s="111"/>
      <c r="G226" s="111"/>
    </row>
    <row r="227" spans="1:7">
      <c r="A227" s="106"/>
      <c r="B227" s="111"/>
      <c r="C227" s="111"/>
      <c r="D227" s="111"/>
      <c r="E227" s="111"/>
      <c r="F227" s="111"/>
      <c r="G227" s="111"/>
    </row>
    <row r="228" spans="1:7">
      <c r="A228" s="106"/>
      <c r="B228" s="111"/>
      <c r="C228" s="111"/>
      <c r="D228" s="111"/>
      <c r="E228" s="111"/>
      <c r="F228" s="111"/>
      <c r="G228" s="111"/>
    </row>
    <row r="229" spans="1:7">
      <c r="A229" s="106"/>
      <c r="B229" s="111"/>
      <c r="C229" s="111"/>
      <c r="D229" s="111"/>
      <c r="E229" s="111"/>
      <c r="F229" s="111"/>
      <c r="G229" s="111"/>
    </row>
    <row r="230" spans="1:7">
      <c r="A230" s="106"/>
      <c r="B230" s="111"/>
      <c r="C230" s="111"/>
      <c r="D230" s="111"/>
      <c r="E230" s="111"/>
      <c r="F230" s="111"/>
      <c r="G230" s="111"/>
    </row>
    <row r="231" spans="1:7">
      <c r="A231" s="106"/>
      <c r="B231" s="111"/>
      <c r="C231" s="111"/>
      <c r="D231" s="111"/>
      <c r="E231" s="111"/>
      <c r="F231" s="111"/>
      <c r="G231" s="111"/>
    </row>
    <row r="232" spans="1:7">
      <c r="A232" s="106"/>
      <c r="B232" s="111"/>
      <c r="C232" s="111"/>
      <c r="D232" s="111"/>
      <c r="E232" s="111"/>
      <c r="F232" s="111"/>
      <c r="G232" s="111"/>
    </row>
    <row r="233" spans="1:7">
      <c r="A233" s="106"/>
      <c r="B233" s="111"/>
      <c r="C233" s="111"/>
      <c r="D233" s="111"/>
      <c r="E233" s="111"/>
      <c r="F233" s="111"/>
      <c r="G233" s="111"/>
    </row>
    <row r="234" spans="1:7">
      <c r="A234" s="106"/>
      <c r="B234" s="111"/>
      <c r="C234" s="111"/>
      <c r="D234" s="111"/>
      <c r="E234" s="111"/>
      <c r="F234" s="111"/>
      <c r="G234" s="111"/>
    </row>
    <row r="235" spans="1:7">
      <c r="A235" s="106"/>
      <c r="B235" s="111"/>
      <c r="C235" s="111"/>
      <c r="D235" s="111"/>
      <c r="E235" s="111"/>
      <c r="F235" s="111"/>
      <c r="G235" s="111"/>
    </row>
    <row r="236" spans="1:7">
      <c r="A236" s="106"/>
      <c r="B236" s="111"/>
      <c r="C236" s="111"/>
      <c r="D236" s="111"/>
      <c r="E236" s="111"/>
      <c r="F236" s="111"/>
      <c r="G236" s="111"/>
    </row>
    <row r="237" spans="1:7">
      <c r="A237" s="106"/>
      <c r="B237" s="111"/>
      <c r="C237" s="111"/>
      <c r="D237" s="111"/>
      <c r="E237" s="111"/>
      <c r="F237" s="111"/>
      <c r="G237" s="111"/>
    </row>
    <row r="238" spans="1:7">
      <c r="A238" s="106"/>
      <c r="B238" s="111"/>
      <c r="C238" s="111"/>
      <c r="D238" s="111"/>
      <c r="E238" s="111"/>
      <c r="F238" s="111"/>
      <c r="G238" s="111"/>
    </row>
    <row r="239" spans="1:7">
      <c r="A239" s="106"/>
      <c r="B239" s="111"/>
      <c r="C239" s="111"/>
      <c r="D239" s="111"/>
      <c r="E239" s="111"/>
      <c r="F239" s="111"/>
      <c r="G239" s="111"/>
    </row>
    <row r="240" spans="1:7">
      <c r="A240" s="106"/>
      <c r="B240" s="111"/>
      <c r="C240" s="111"/>
      <c r="D240" s="111"/>
      <c r="E240" s="111"/>
      <c r="F240" s="111"/>
      <c r="G240" s="111"/>
    </row>
    <row r="241" spans="1:7">
      <c r="A241" s="106"/>
      <c r="B241" s="111"/>
      <c r="C241" s="111"/>
      <c r="D241" s="111"/>
      <c r="E241" s="111"/>
      <c r="F241" s="111"/>
      <c r="G241" s="111"/>
    </row>
    <row r="242" spans="1:7">
      <c r="A242" s="106"/>
      <c r="B242" s="111"/>
      <c r="C242" s="111"/>
      <c r="D242" s="111"/>
      <c r="E242" s="111"/>
      <c r="F242" s="111"/>
      <c r="G242" s="111"/>
    </row>
    <row r="243" spans="1:7">
      <c r="A243" s="106"/>
      <c r="B243" s="111"/>
      <c r="C243" s="111"/>
      <c r="D243" s="111"/>
      <c r="E243" s="111"/>
      <c r="F243" s="111"/>
      <c r="G243" s="111"/>
    </row>
    <row r="244" spans="1:7">
      <c r="A244" s="106"/>
      <c r="B244" s="111"/>
      <c r="C244" s="111"/>
      <c r="D244" s="111"/>
      <c r="E244" s="111"/>
      <c r="F244" s="111"/>
      <c r="G244" s="111"/>
    </row>
    <row r="245" spans="1:7">
      <c r="A245" s="106"/>
      <c r="B245" s="111"/>
      <c r="C245" s="111"/>
      <c r="D245" s="111"/>
      <c r="E245" s="111"/>
      <c r="F245" s="111"/>
      <c r="G245" s="111"/>
    </row>
    <row r="246" spans="1:7">
      <c r="A246" s="106"/>
      <c r="B246" s="111"/>
      <c r="C246" s="111"/>
      <c r="D246" s="111"/>
      <c r="E246" s="111"/>
      <c r="F246" s="111"/>
      <c r="G246" s="111"/>
    </row>
    <row r="247" spans="1:7">
      <c r="A247" s="106"/>
      <c r="B247" s="111"/>
      <c r="C247" s="111"/>
      <c r="D247" s="111"/>
      <c r="E247" s="111"/>
      <c r="F247" s="111"/>
      <c r="G247" s="111"/>
    </row>
    <row r="248" spans="1:7">
      <c r="A248" s="106"/>
      <c r="B248" s="111"/>
      <c r="C248" s="111"/>
      <c r="D248" s="111"/>
      <c r="E248" s="111"/>
      <c r="F248" s="111"/>
      <c r="G248" s="111"/>
    </row>
    <row r="249" spans="1:7">
      <c r="A249" s="106"/>
      <c r="B249" s="111"/>
      <c r="C249" s="111"/>
      <c r="D249" s="111"/>
      <c r="E249" s="111"/>
      <c r="F249" s="111"/>
      <c r="G249" s="111"/>
    </row>
    <row r="250" spans="1:7">
      <c r="A250" s="106"/>
      <c r="B250" s="111"/>
      <c r="C250" s="111"/>
      <c r="D250" s="111"/>
      <c r="E250" s="111"/>
      <c r="F250" s="111"/>
      <c r="G250" s="111"/>
    </row>
    <row r="251" spans="1:7">
      <c r="A251" s="106"/>
      <c r="B251" s="111"/>
      <c r="C251" s="111"/>
      <c r="D251" s="111"/>
      <c r="E251" s="111"/>
      <c r="F251" s="111"/>
      <c r="G251" s="111"/>
    </row>
    <row r="252" spans="1:7">
      <c r="A252" s="106"/>
      <c r="B252" s="111"/>
      <c r="C252" s="111"/>
      <c r="D252" s="111"/>
      <c r="E252" s="111"/>
      <c r="F252" s="111"/>
      <c r="G252" s="111"/>
    </row>
    <row r="253" spans="1:7">
      <c r="A253" s="106"/>
      <c r="B253" s="111"/>
      <c r="C253" s="111"/>
      <c r="D253" s="111"/>
      <c r="E253" s="111"/>
      <c r="F253" s="111"/>
      <c r="G253" s="111"/>
    </row>
    <row r="254" spans="1:7">
      <c r="A254" s="106"/>
      <c r="B254" s="111"/>
      <c r="C254" s="111"/>
      <c r="D254" s="111"/>
      <c r="E254" s="111"/>
      <c r="F254" s="111"/>
      <c r="G254" s="111"/>
    </row>
    <row r="255" spans="1:7">
      <c r="A255" s="106"/>
      <c r="B255" s="111"/>
      <c r="C255" s="111"/>
      <c r="D255" s="111"/>
      <c r="E255" s="111"/>
      <c r="F255" s="111"/>
      <c r="G255" s="111"/>
    </row>
    <row r="256" spans="1:7">
      <c r="A256" s="106"/>
      <c r="B256" s="111"/>
      <c r="C256" s="111"/>
      <c r="D256" s="111"/>
      <c r="E256" s="111"/>
      <c r="F256" s="111"/>
      <c r="G256" s="111"/>
    </row>
    <row r="257" spans="1:7">
      <c r="A257" s="106"/>
      <c r="B257" s="111"/>
      <c r="C257" s="111"/>
      <c r="D257" s="111"/>
      <c r="E257" s="111"/>
      <c r="F257" s="111"/>
      <c r="G257" s="111"/>
    </row>
    <row r="258" spans="1:7">
      <c r="A258" s="106"/>
      <c r="B258" s="111"/>
      <c r="C258" s="111"/>
      <c r="D258" s="111"/>
      <c r="E258" s="111"/>
      <c r="F258" s="111"/>
      <c r="G258" s="111"/>
    </row>
    <row r="259" spans="1:7">
      <c r="A259" s="106"/>
      <c r="B259" s="111"/>
      <c r="C259" s="111"/>
      <c r="D259" s="111"/>
      <c r="E259" s="111"/>
      <c r="F259" s="111"/>
      <c r="G259" s="111"/>
    </row>
    <row r="260" spans="1:7">
      <c r="A260" s="106"/>
      <c r="B260" s="111"/>
      <c r="C260" s="111"/>
      <c r="D260" s="111"/>
      <c r="E260" s="111"/>
      <c r="F260" s="111"/>
      <c r="G260" s="111"/>
    </row>
    <row r="261" spans="1:7">
      <c r="A261" s="106"/>
      <c r="B261" s="111"/>
      <c r="C261" s="111"/>
      <c r="D261" s="111"/>
      <c r="E261" s="111"/>
      <c r="F261" s="111"/>
      <c r="G261" s="111"/>
    </row>
    <row r="262" spans="1:7">
      <c r="A262" s="106"/>
      <c r="B262" s="111"/>
      <c r="C262" s="111"/>
      <c r="D262" s="111"/>
      <c r="E262" s="111"/>
      <c r="F262" s="111"/>
      <c r="G262" s="111"/>
    </row>
    <row r="263" spans="1:7">
      <c r="A263" s="106"/>
      <c r="B263" s="111"/>
      <c r="C263" s="111"/>
      <c r="D263" s="111"/>
      <c r="E263" s="111"/>
      <c r="F263" s="111"/>
      <c r="G263" s="111"/>
    </row>
    <row r="264" spans="1:7">
      <c r="A264" s="106"/>
      <c r="B264" s="111"/>
      <c r="C264" s="111"/>
      <c r="D264" s="111"/>
      <c r="E264" s="111"/>
      <c r="F264" s="111"/>
      <c r="G264" s="111"/>
    </row>
    <row r="265" spans="1:7">
      <c r="A265" s="106"/>
      <c r="B265" s="111"/>
      <c r="C265" s="111"/>
      <c r="D265" s="111"/>
      <c r="E265" s="111"/>
      <c r="F265" s="111"/>
      <c r="G265" s="111"/>
    </row>
    <row r="266" spans="1:7">
      <c r="A266" s="106"/>
      <c r="B266" s="111"/>
      <c r="C266" s="111"/>
      <c r="D266" s="111"/>
      <c r="E266" s="111"/>
      <c r="F266" s="111"/>
      <c r="G266" s="111"/>
    </row>
    <row r="267" spans="1:7">
      <c r="A267" s="106"/>
      <c r="B267" s="111"/>
      <c r="C267" s="111"/>
      <c r="D267" s="111"/>
      <c r="E267" s="111"/>
      <c r="F267" s="111"/>
      <c r="G267" s="111"/>
    </row>
    <row r="268" spans="1:7">
      <c r="A268" s="106"/>
      <c r="B268" s="111"/>
      <c r="C268" s="111"/>
      <c r="D268" s="111"/>
      <c r="E268" s="111"/>
      <c r="F268" s="111"/>
      <c r="G268" s="111"/>
    </row>
    <row r="269" spans="1:7">
      <c r="A269" s="106"/>
      <c r="B269" s="111"/>
      <c r="C269" s="111"/>
      <c r="D269" s="111"/>
      <c r="E269" s="111"/>
      <c r="F269" s="111"/>
      <c r="G269" s="111"/>
    </row>
    <row r="270" spans="1:7">
      <c r="A270" s="106"/>
      <c r="B270" s="111"/>
      <c r="C270" s="111"/>
      <c r="D270" s="111"/>
      <c r="E270" s="111"/>
      <c r="F270" s="111"/>
      <c r="G270" s="111"/>
    </row>
    <row r="271" spans="1:7">
      <c r="A271" s="106"/>
      <c r="B271" s="111"/>
      <c r="C271" s="111"/>
      <c r="D271" s="111"/>
      <c r="E271" s="111"/>
      <c r="F271" s="111"/>
      <c r="G271" s="111"/>
    </row>
    <row r="272" spans="1:7">
      <c r="A272" s="106"/>
      <c r="B272" s="111"/>
      <c r="C272" s="111"/>
      <c r="D272" s="111"/>
      <c r="E272" s="111"/>
      <c r="F272" s="111"/>
      <c r="G272" s="111"/>
    </row>
    <row r="273" spans="1:7">
      <c r="A273" s="106"/>
      <c r="B273" s="111"/>
      <c r="C273" s="111"/>
      <c r="D273" s="111"/>
      <c r="E273" s="111"/>
      <c r="F273" s="111"/>
      <c r="G273" s="111"/>
    </row>
    <row r="274" spans="1:7">
      <c r="A274" s="106"/>
      <c r="B274" s="111"/>
      <c r="C274" s="111"/>
      <c r="D274" s="111"/>
      <c r="E274" s="111"/>
      <c r="F274" s="111"/>
      <c r="G274" s="111"/>
    </row>
    <row r="275" spans="1:7">
      <c r="A275" s="106"/>
      <c r="B275" s="111"/>
      <c r="C275" s="111"/>
      <c r="D275" s="111"/>
      <c r="E275" s="111"/>
      <c r="F275" s="111"/>
      <c r="G275" s="111"/>
    </row>
    <row r="276" spans="1:7">
      <c r="A276" s="106"/>
      <c r="B276" s="111"/>
      <c r="C276" s="111"/>
      <c r="D276" s="111"/>
      <c r="E276" s="111"/>
      <c r="F276" s="111"/>
      <c r="G276" s="111"/>
    </row>
    <row r="277" spans="1:7">
      <c r="A277" s="106"/>
      <c r="B277" s="111"/>
      <c r="C277" s="111"/>
      <c r="D277" s="111"/>
      <c r="E277" s="111"/>
      <c r="F277" s="111"/>
      <c r="G277" s="111"/>
    </row>
    <row r="278" spans="1:7">
      <c r="A278" s="106"/>
      <c r="B278" s="111"/>
      <c r="C278" s="111"/>
      <c r="D278" s="111"/>
      <c r="E278" s="111"/>
      <c r="F278" s="111"/>
      <c r="G278" s="111"/>
    </row>
    <row r="279" spans="1:7">
      <c r="A279" s="106"/>
      <c r="B279" s="111"/>
      <c r="C279" s="111"/>
      <c r="D279" s="111"/>
      <c r="E279" s="111"/>
      <c r="F279" s="111"/>
      <c r="G279" s="111"/>
    </row>
    <row r="280" spans="1:7">
      <c r="A280" s="106"/>
      <c r="B280" s="111"/>
      <c r="C280" s="111"/>
      <c r="D280" s="111"/>
      <c r="E280" s="111"/>
      <c r="F280" s="111"/>
      <c r="G280" s="111"/>
    </row>
    <row r="281" spans="1:7">
      <c r="A281" s="106"/>
      <c r="B281" s="111"/>
      <c r="C281" s="111"/>
      <c r="D281" s="111"/>
      <c r="E281" s="111"/>
      <c r="F281" s="111"/>
      <c r="G281" s="111"/>
    </row>
    <row r="282" spans="1:7">
      <c r="A282" s="106"/>
      <c r="B282" s="111"/>
      <c r="C282" s="111"/>
      <c r="D282" s="111"/>
      <c r="E282" s="111"/>
      <c r="F282" s="111"/>
      <c r="G282" s="111"/>
    </row>
    <row r="283" spans="1:7">
      <c r="A283" s="106"/>
      <c r="B283" s="111"/>
      <c r="C283" s="111"/>
      <c r="D283" s="111"/>
      <c r="E283" s="111"/>
      <c r="F283" s="111"/>
      <c r="G283" s="111"/>
    </row>
    <row r="284" spans="1:7">
      <c r="A284" s="106"/>
      <c r="B284" s="111"/>
      <c r="C284" s="111"/>
      <c r="D284" s="111"/>
      <c r="E284" s="111"/>
      <c r="F284" s="111"/>
      <c r="G284" s="111"/>
    </row>
    <row r="285" spans="1:7">
      <c r="A285" s="106"/>
      <c r="B285" s="111"/>
      <c r="C285" s="111"/>
      <c r="D285" s="111"/>
      <c r="E285" s="111"/>
      <c r="F285" s="111"/>
      <c r="G285" s="111"/>
    </row>
    <row r="286" spans="1:7">
      <c r="A286" s="106"/>
      <c r="B286" s="111"/>
      <c r="C286" s="111"/>
      <c r="D286" s="111"/>
      <c r="E286" s="111"/>
      <c r="F286" s="111"/>
      <c r="G286" s="111"/>
    </row>
    <row r="287" spans="1:7">
      <c r="A287" s="106"/>
      <c r="B287" s="111"/>
      <c r="C287" s="111"/>
      <c r="D287" s="111"/>
      <c r="E287" s="111"/>
      <c r="F287" s="111"/>
      <c r="G287" s="111"/>
    </row>
    <row r="288" spans="1:7">
      <c r="A288" s="106"/>
      <c r="B288" s="111"/>
      <c r="C288" s="111"/>
      <c r="D288" s="111"/>
      <c r="E288" s="111"/>
      <c r="F288" s="111"/>
      <c r="G288" s="111"/>
    </row>
    <row r="289" spans="1:7">
      <c r="A289" s="106"/>
      <c r="B289" s="111"/>
      <c r="C289" s="111"/>
      <c r="D289" s="111"/>
      <c r="E289" s="111"/>
      <c r="F289" s="111"/>
      <c r="G289" s="111"/>
    </row>
    <row r="290" spans="1:7">
      <c r="A290" s="106"/>
      <c r="B290" s="111"/>
      <c r="C290" s="111"/>
      <c r="D290" s="111"/>
      <c r="E290" s="111"/>
      <c r="F290" s="111"/>
      <c r="G290" s="111"/>
    </row>
    <row r="291" spans="1:7">
      <c r="A291" s="106"/>
      <c r="B291" s="111"/>
      <c r="C291" s="111"/>
      <c r="D291" s="111"/>
      <c r="E291" s="111"/>
      <c r="F291" s="111"/>
      <c r="G291" s="111"/>
    </row>
    <row r="292" spans="1:7">
      <c r="A292" s="106"/>
      <c r="B292" s="111"/>
      <c r="C292" s="111"/>
      <c r="D292" s="111"/>
      <c r="E292" s="111"/>
      <c r="F292" s="111"/>
      <c r="G292" s="111"/>
    </row>
    <row r="293" spans="1:7">
      <c r="A293" s="106"/>
      <c r="B293" s="111"/>
      <c r="C293" s="111"/>
      <c r="D293" s="111"/>
      <c r="E293" s="111"/>
      <c r="F293" s="111"/>
      <c r="G293" s="111"/>
    </row>
    <row r="294" spans="1:7">
      <c r="A294" s="106"/>
      <c r="B294" s="111"/>
      <c r="C294" s="111"/>
      <c r="D294" s="111"/>
      <c r="E294" s="111"/>
      <c r="F294" s="111"/>
      <c r="G294" s="111"/>
    </row>
    <row r="295" spans="1:7">
      <c r="A295" s="106"/>
      <c r="B295" s="111"/>
      <c r="C295" s="111"/>
      <c r="D295" s="111"/>
      <c r="E295" s="111"/>
      <c r="F295" s="111"/>
      <c r="G295" s="111"/>
    </row>
    <row r="296" spans="1:7">
      <c r="A296" s="106"/>
      <c r="B296" s="111"/>
      <c r="C296" s="111"/>
      <c r="D296" s="111"/>
      <c r="E296" s="111"/>
      <c r="F296" s="111"/>
      <c r="G296" s="111"/>
    </row>
    <row r="297" spans="1:7">
      <c r="A297" s="106"/>
      <c r="B297" s="111"/>
      <c r="C297" s="111"/>
      <c r="D297" s="111"/>
      <c r="E297" s="111"/>
      <c r="F297" s="111"/>
      <c r="G297" s="111"/>
    </row>
    <row r="298" spans="1:7">
      <c r="A298" s="106"/>
      <c r="B298" s="111"/>
      <c r="C298" s="111"/>
      <c r="D298" s="111"/>
      <c r="E298" s="111"/>
      <c r="F298" s="111"/>
      <c r="G298" s="111"/>
    </row>
    <row r="299" spans="1:7">
      <c r="A299" s="106"/>
      <c r="B299" s="111"/>
      <c r="C299" s="111"/>
      <c r="D299" s="111"/>
      <c r="E299" s="111"/>
      <c r="F299" s="111"/>
      <c r="G299" s="111"/>
    </row>
    <row r="300" spans="1:7">
      <c r="A300" s="106"/>
      <c r="B300" s="111"/>
      <c r="C300" s="111"/>
      <c r="D300" s="111"/>
      <c r="E300" s="111"/>
      <c r="F300" s="111"/>
      <c r="G300" s="111"/>
    </row>
    <row r="301" spans="1:7">
      <c r="A301" s="106"/>
      <c r="B301" s="111"/>
      <c r="C301" s="111"/>
      <c r="D301" s="111"/>
      <c r="E301" s="111"/>
      <c r="F301" s="111"/>
      <c r="G301" s="111"/>
    </row>
    <row r="302" spans="1:7">
      <c r="A302" s="106"/>
      <c r="B302" s="111"/>
      <c r="C302" s="111"/>
      <c r="D302" s="111"/>
      <c r="E302" s="111"/>
      <c r="F302" s="111"/>
      <c r="G302" s="111"/>
    </row>
    <row r="303" spans="1:7">
      <c r="A303" s="106"/>
      <c r="B303" s="111"/>
      <c r="C303" s="111"/>
      <c r="D303" s="111"/>
      <c r="E303" s="111"/>
      <c r="F303" s="111"/>
      <c r="G303" s="111"/>
    </row>
    <row r="304" spans="1:7">
      <c r="A304" s="106"/>
      <c r="B304" s="111"/>
      <c r="C304" s="111"/>
      <c r="D304" s="111"/>
      <c r="E304" s="111"/>
      <c r="F304" s="111"/>
      <c r="G304" s="111"/>
    </row>
    <row r="305" spans="1:7">
      <c r="A305" s="106"/>
      <c r="B305" s="111"/>
      <c r="C305" s="111"/>
      <c r="D305" s="111"/>
      <c r="E305" s="111"/>
      <c r="F305" s="111"/>
      <c r="G305" s="111"/>
    </row>
    <row r="306" spans="1:7">
      <c r="A306" s="106"/>
      <c r="B306" s="111"/>
      <c r="C306" s="111"/>
      <c r="D306" s="111"/>
      <c r="E306" s="111"/>
      <c r="F306" s="111"/>
      <c r="G306" s="111"/>
    </row>
    <row r="307" spans="1:7">
      <c r="A307" s="106"/>
      <c r="B307" s="111"/>
      <c r="C307" s="111"/>
      <c r="D307" s="111"/>
      <c r="E307" s="111"/>
      <c r="F307" s="111"/>
      <c r="G307" s="111"/>
    </row>
    <row r="308" spans="1:7">
      <c r="A308" s="106"/>
      <c r="B308" s="111"/>
      <c r="C308" s="111"/>
      <c r="D308" s="111"/>
      <c r="E308" s="111"/>
      <c r="F308" s="111"/>
      <c r="G308" s="111"/>
    </row>
    <row r="309" spans="1:7">
      <c r="A309" s="106"/>
      <c r="B309" s="111"/>
      <c r="C309" s="111"/>
      <c r="D309" s="111"/>
      <c r="E309" s="111"/>
      <c r="F309" s="111"/>
      <c r="G309" s="111"/>
    </row>
    <row r="310" spans="1:7">
      <c r="A310" s="106"/>
      <c r="B310" s="111"/>
      <c r="C310" s="111"/>
      <c r="D310" s="111"/>
      <c r="E310" s="111"/>
      <c r="F310" s="111"/>
      <c r="G310" s="111"/>
    </row>
    <row r="311" spans="1:7">
      <c r="A311" s="106"/>
      <c r="B311" s="111"/>
      <c r="C311" s="111"/>
      <c r="D311" s="111"/>
      <c r="E311" s="111"/>
      <c r="F311" s="111"/>
      <c r="G311" s="111"/>
    </row>
    <row r="312" spans="1:7">
      <c r="A312" s="106"/>
      <c r="B312" s="111"/>
      <c r="C312" s="111"/>
      <c r="D312" s="111"/>
      <c r="E312" s="111"/>
      <c r="F312" s="111"/>
      <c r="G312" s="111"/>
    </row>
    <row r="313" spans="1:7">
      <c r="A313" s="106"/>
      <c r="B313" s="111"/>
      <c r="C313" s="111"/>
      <c r="D313" s="111"/>
      <c r="E313" s="111"/>
      <c r="F313" s="111"/>
      <c r="G313" s="111"/>
    </row>
    <row r="314" spans="1:7">
      <c r="A314" s="106"/>
      <c r="B314" s="111"/>
      <c r="C314" s="111"/>
      <c r="D314" s="111"/>
      <c r="E314" s="111"/>
      <c r="F314" s="111"/>
      <c r="G314" s="111"/>
    </row>
    <row r="315" spans="1:7">
      <c r="A315" s="106"/>
      <c r="B315" s="111"/>
      <c r="C315" s="111"/>
      <c r="D315" s="111"/>
      <c r="E315" s="111"/>
      <c r="F315" s="111"/>
      <c r="G315" s="111"/>
    </row>
    <row r="316" spans="1:7">
      <c r="A316" s="106"/>
      <c r="B316" s="111"/>
      <c r="C316" s="111"/>
      <c r="D316" s="111"/>
      <c r="E316" s="111"/>
      <c r="F316" s="111"/>
      <c r="G316" s="111"/>
    </row>
    <row r="317" spans="1:7">
      <c r="A317" s="106"/>
      <c r="B317" s="111"/>
      <c r="C317" s="111"/>
      <c r="D317" s="111"/>
      <c r="E317" s="111"/>
      <c r="F317" s="111"/>
      <c r="G317" s="111"/>
    </row>
    <row r="318" spans="1:7">
      <c r="A318" s="106"/>
      <c r="B318" s="111"/>
      <c r="C318" s="111"/>
      <c r="D318" s="111"/>
      <c r="E318" s="111"/>
      <c r="F318" s="111"/>
      <c r="G318" s="111"/>
    </row>
    <row r="319" spans="1:7">
      <c r="A319" s="106"/>
      <c r="B319" s="111"/>
      <c r="C319" s="111"/>
      <c r="D319" s="111"/>
      <c r="E319" s="111"/>
      <c r="F319" s="111"/>
      <c r="G319" s="111"/>
    </row>
    <row r="320" spans="1:7">
      <c r="A320" s="106"/>
      <c r="B320" s="111"/>
      <c r="C320" s="111"/>
      <c r="D320" s="111"/>
      <c r="E320" s="111"/>
      <c r="F320" s="111"/>
      <c r="G320" s="111"/>
    </row>
    <row r="321" spans="1:7">
      <c r="A321" s="106"/>
      <c r="B321" s="111"/>
      <c r="C321" s="111"/>
      <c r="D321" s="111"/>
      <c r="E321" s="111"/>
      <c r="F321" s="111"/>
      <c r="G321" s="111"/>
    </row>
    <row r="322" spans="1:7">
      <c r="A322" s="106"/>
      <c r="B322" s="111"/>
      <c r="C322" s="111"/>
      <c r="D322" s="111"/>
      <c r="E322" s="111"/>
      <c r="F322" s="111"/>
      <c r="G322" s="111"/>
    </row>
    <row r="323" spans="1:7">
      <c r="A323" s="106"/>
      <c r="B323" s="111"/>
      <c r="C323" s="111"/>
      <c r="D323" s="111"/>
      <c r="E323" s="111"/>
      <c r="F323" s="111"/>
      <c r="G323" s="111"/>
    </row>
    <row r="324" spans="1:7">
      <c r="A324" s="106"/>
      <c r="B324" s="111"/>
      <c r="C324" s="111"/>
      <c r="D324" s="111"/>
      <c r="E324" s="111"/>
      <c r="F324" s="111"/>
      <c r="G324" s="111"/>
    </row>
    <row r="325" spans="1:7">
      <c r="A325" s="106"/>
      <c r="B325" s="111"/>
      <c r="C325" s="111"/>
      <c r="D325" s="111"/>
      <c r="E325" s="111"/>
      <c r="F325" s="111"/>
      <c r="G325" s="111"/>
    </row>
    <row r="326" spans="1:7">
      <c r="A326" s="106"/>
      <c r="B326" s="111"/>
      <c r="C326" s="111"/>
      <c r="D326" s="111"/>
      <c r="E326" s="111"/>
      <c r="F326" s="111"/>
      <c r="G326" s="111"/>
    </row>
    <row r="327" spans="1:7">
      <c r="A327" s="106"/>
      <c r="B327" s="111"/>
      <c r="C327" s="111"/>
      <c r="D327" s="111"/>
      <c r="E327" s="111"/>
      <c r="F327" s="111"/>
      <c r="G327" s="111"/>
    </row>
    <row r="328" spans="1:7">
      <c r="A328" s="106"/>
      <c r="B328" s="111"/>
      <c r="C328" s="111"/>
      <c r="D328" s="111"/>
      <c r="E328" s="111"/>
      <c r="F328" s="111"/>
      <c r="G328" s="111"/>
    </row>
    <row r="329" spans="1:7">
      <c r="A329" s="106"/>
      <c r="B329" s="111"/>
      <c r="C329" s="111"/>
      <c r="D329" s="111"/>
      <c r="E329" s="111"/>
      <c r="F329" s="111"/>
      <c r="G329" s="111"/>
    </row>
    <row r="330" spans="1:7">
      <c r="A330" s="106"/>
      <c r="B330" s="111"/>
      <c r="C330" s="111"/>
      <c r="D330" s="111"/>
      <c r="E330" s="111"/>
      <c r="F330" s="111"/>
      <c r="G330" s="111"/>
    </row>
    <row r="331" spans="1:7">
      <c r="A331" s="106"/>
      <c r="B331" s="111"/>
      <c r="C331" s="111"/>
      <c r="D331" s="111"/>
      <c r="E331" s="111"/>
      <c r="F331" s="111"/>
      <c r="G331" s="111"/>
    </row>
    <row r="332" spans="1:7">
      <c r="A332" s="106"/>
      <c r="B332" s="111"/>
      <c r="C332" s="111"/>
      <c r="D332" s="111"/>
      <c r="E332" s="111"/>
      <c r="F332" s="111"/>
      <c r="G332" s="111"/>
    </row>
    <row r="333" spans="1:7">
      <c r="A333" s="106"/>
      <c r="B333" s="111"/>
      <c r="C333" s="111"/>
      <c r="D333" s="111"/>
      <c r="E333" s="111"/>
      <c r="F333" s="111"/>
      <c r="G333" s="111"/>
    </row>
    <row r="334" spans="1:7">
      <c r="A334" s="106"/>
      <c r="B334" s="111"/>
      <c r="C334" s="111"/>
      <c r="D334" s="111"/>
      <c r="E334" s="111"/>
      <c r="F334" s="111"/>
      <c r="G334" s="111"/>
    </row>
    <row r="335" spans="1:7">
      <c r="A335" s="106"/>
      <c r="B335" s="111"/>
      <c r="C335" s="111"/>
      <c r="D335" s="111"/>
      <c r="E335" s="111"/>
      <c r="F335" s="111"/>
      <c r="G335" s="111"/>
    </row>
    <row r="336" spans="1:7">
      <c r="A336" s="106"/>
      <c r="B336" s="111"/>
      <c r="C336" s="111"/>
      <c r="D336" s="111"/>
      <c r="E336" s="111"/>
      <c r="F336" s="111"/>
      <c r="G336" s="111"/>
    </row>
    <row r="337" spans="1:7">
      <c r="A337" s="106"/>
      <c r="B337" s="111"/>
      <c r="C337" s="111"/>
      <c r="D337" s="111"/>
      <c r="E337" s="111"/>
      <c r="F337" s="111"/>
      <c r="G337" s="111"/>
    </row>
    <row r="338" spans="1:7">
      <c r="A338" s="106"/>
      <c r="B338" s="111"/>
      <c r="C338" s="111"/>
      <c r="D338" s="111"/>
      <c r="E338" s="111"/>
      <c r="F338" s="111"/>
      <c r="G338" s="111"/>
    </row>
    <row r="339" spans="1:7">
      <c r="A339" s="106"/>
      <c r="B339" s="111"/>
      <c r="C339" s="111"/>
      <c r="D339" s="111"/>
      <c r="E339" s="111"/>
      <c r="F339" s="111"/>
      <c r="G339" s="111"/>
    </row>
    <row r="340" spans="1:7">
      <c r="A340" s="106"/>
      <c r="B340" s="111"/>
      <c r="C340" s="111"/>
      <c r="D340" s="111"/>
      <c r="E340" s="111"/>
      <c r="F340" s="111"/>
      <c r="G340" s="111"/>
    </row>
    <row r="341" spans="1:7">
      <c r="A341" s="106"/>
      <c r="B341" s="111"/>
      <c r="C341" s="111"/>
      <c r="D341" s="111"/>
      <c r="E341" s="111"/>
      <c r="F341" s="111"/>
      <c r="G341" s="111"/>
    </row>
    <row r="342" spans="1:7">
      <c r="A342" s="106"/>
      <c r="B342" s="111"/>
      <c r="C342" s="111"/>
      <c r="D342" s="111"/>
      <c r="E342" s="111"/>
      <c r="F342" s="111"/>
      <c r="G342" s="111"/>
    </row>
    <row r="343" spans="1:7">
      <c r="A343" s="106"/>
      <c r="B343" s="111"/>
      <c r="C343" s="111"/>
      <c r="D343" s="111"/>
      <c r="E343" s="111"/>
      <c r="F343" s="111"/>
      <c r="G343" s="111"/>
    </row>
    <row r="344" spans="1:7">
      <c r="A344" s="106"/>
      <c r="B344" s="111"/>
      <c r="C344" s="111"/>
      <c r="D344" s="111"/>
      <c r="E344" s="111"/>
      <c r="F344" s="111"/>
      <c r="G344" s="111"/>
    </row>
    <row r="345" spans="1:7">
      <c r="A345" s="106"/>
      <c r="B345" s="111"/>
      <c r="C345" s="111"/>
      <c r="D345" s="111"/>
      <c r="E345" s="111"/>
      <c r="F345" s="111"/>
      <c r="G345" s="111"/>
    </row>
    <row r="346" spans="1:7">
      <c r="A346" s="106"/>
      <c r="B346" s="111"/>
      <c r="C346" s="111"/>
      <c r="D346" s="111"/>
      <c r="E346" s="111"/>
      <c r="F346" s="111"/>
      <c r="G346" s="111"/>
    </row>
    <row r="347" spans="1:7">
      <c r="A347" s="106"/>
      <c r="B347" s="111"/>
      <c r="C347" s="111"/>
      <c r="D347" s="111"/>
      <c r="E347" s="111"/>
      <c r="F347" s="111"/>
      <c r="G347" s="111"/>
    </row>
    <row r="348" spans="1:7">
      <c r="A348" s="106"/>
      <c r="B348" s="111"/>
      <c r="C348" s="111"/>
      <c r="D348" s="111"/>
      <c r="E348" s="111"/>
      <c r="F348" s="111"/>
      <c r="G348" s="111"/>
    </row>
    <row r="349" spans="1:7">
      <c r="A349" s="106"/>
      <c r="B349" s="111"/>
      <c r="C349" s="111"/>
      <c r="D349" s="111"/>
      <c r="E349" s="111"/>
      <c r="F349" s="111"/>
      <c r="G349" s="111"/>
    </row>
    <row r="350" spans="1:7">
      <c r="A350" s="106"/>
      <c r="B350" s="111"/>
      <c r="C350" s="111"/>
      <c r="D350" s="111"/>
      <c r="E350" s="111"/>
      <c r="F350" s="111"/>
      <c r="G350" s="111"/>
    </row>
    <row r="351" spans="1:7">
      <c r="A351" s="106"/>
      <c r="B351" s="111"/>
      <c r="C351" s="111"/>
      <c r="D351" s="111"/>
      <c r="E351" s="111"/>
      <c r="F351" s="111"/>
      <c r="G351" s="111"/>
    </row>
    <row r="352" spans="1:7">
      <c r="A352" s="106"/>
      <c r="B352" s="111"/>
      <c r="C352" s="111"/>
      <c r="D352" s="111"/>
      <c r="E352" s="111"/>
      <c r="F352" s="111"/>
      <c r="G352" s="111"/>
    </row>
    <row r="353" spans="1:7">
      <c r="A353" s="106"/>
      <c r="B353" s="111"/>
      <c r="C353" s="111"/>
      <c r="D353" s="111"/>
      <c r="E353" s="111"/>
      <c r="F353" s="111"/>
      <c r="G353" s="111"/>
    </row>
    <row r="354" spans="1:7">
      <c r="A354" s="106"/>
      <c r="B354" s="111"/>
      <c r="C354" s="111"/>
      <c r="D354" s="111"/>
      <c r="E354" s="111"/>
      <c r="F354" s="111"/>
      <c r="G354" s="111"/>
    </row>
    <row r="355" spans="1:7">
      <c r="A355" s="106"/>
      <c r="B355" s="111"/>
      <c r="C355" s="111"/>
      <c r="D355" s="111"/>
      <c r="E355" s="111"/>
      <c r="F355" s="111"/>
      <c r="G355" s="111"/>
    </row>
    <row r="356" spans="1:7">
      <c r="A356" s="106"/>
      <c r="B356" s="111"/>
      <c r="C356" s="111"/>
      <c r="D356" s="111"/>
      <c r="E356" s="111"/>
      <c r="F356" s="111"/>
      <c r="G356" s="111"/>
    </row>
    <row r="357" spans="1:7">
      <c r="A357" s="106"/>
      <c r="B357" s="111"/>
      <c r="C357" s="111"/>
      <c r="D357" s="111"/>
      <c r="E357" s="111"/>
      <c r="F357" s="111"/>
      <c r="G357" s="111"/>
    </row>
    <row r="358" spans="1:7">
      <c r="A358" s="106"/>
      <c r="B358" s="111"/>
      <c r="C358" s="111"/>
      <c r="D358" s="111"/>
      <c r="E358" s="111"/>
      <c r="F358" s="111"/>
      <c r="G358" s="111"/>
    </row>
    <row r="359" spans="1:7">
      <c r="A359" s="106"/>
      <c r="B359" s="111"/>
      <c r="C359" s="111"/>
      <c r="D359" s="111"/>
      <c r="E359" s="111"/>
      <c r="F359" s="111"/>
      <c r="G359" s="111"/>
    </row>
    <row r="360" spans="1:7">
      <c r="A360" s="106"/>
      <c r="B360" s="111"/>
      <c r="C360" s="111"/>
      <c r="D360" s="111"/>
      <c r="E360" s="111"/>
      <c r="F360" s="111"/>
      <c r="G360" s="111"/>
    </row>
    <row r="361" spans="1:7">
      <c r="A361" s="106"/>
      <c r="B361" s="111"/>
      <c r="C361" s="111"/>
      <c r="D361" s="111"/>
      <c r="E361" s="111"/>
      <c r="F361" s="111"/>
      <c r="G361" s="111"/>
    </row>
    <row r="362" spans="1:7">
      <c r="A362" s="106"/>
      <c r="B362" s="111"/>
      <c r="C362" s="111"/>
      <c r="D362" s="111"/>
      <c r="E362" s="111"/>
      <c r="F362" s="111"/>
      <c r="G362" s="111"/>
    </row>
    <row r="363" spans="1:7">
      <c r="A363" s="106"/>
      <c r="B363" s="111"/>
      <c r="C363" s="111"/>
      <c r="D363" s="111"/>
      <c r="E363" s="111"/>
      <c r="F363" s="111"/>
      <c r="G363" s="111"/>
    </row>
    <row r="364" spans="1:7">
      <c r="A364" s="106"/>
      <c r="B364" s="111"/>
      <c r="C364" s="111"/>
      <c r="D364" s="111"/>
      <c r="E364" s="111"/>
      <c r="F364" s="111"/>
      <c r="G364" s="111"/>
    </row>
    <row r="365" spans="1:7">
      <c r="A365" s="106"/>
      <c r="B365" s="111"/>
      <c r="C365" s="111"/>
      <c r="D365" s="111"/>
      <c r="E365" s="111"/>
      <c r="F365" s="111"/>
      <c r="G365" s="111"/>
    </row>
    <row r="366" spans="1:7">
      <c r="A366" s="106"/>
      <c r="B366" s="111"/>
      <c r="C366" s="111"/>
      <c r="D366" s="111"/>
      <c r="E366" s="111"/>
      <c r="F366" s="111"/>
      <c r="G366" s="111"/>
    </row>
    <row r="367" spans="1:7">
      <c r="A367" s="106"/>
      <c r="B367" s="111"/>
      <c r="C367" s="111"/>
      <c r="D367" s="111"/>
      <c r="E367" s="111"/>
      <c r="F367" s="111"/>
      <c r="G367" s="111"/>
    </row>
    <row r="368" spans="1:7">
      <c r="A368" s="106"/>
      <c r="B368" s="111"/>
      <c r="C368" s="111"/>
      <c r="D368" s="111"/>
      <c r="E368" s="111"/>
      <c r="F368" s="111"/>
      <c r="G368" s="111"/>
    </row>
    <row r="369" spans="1:7">
      <c r="A369" s="106"/>
      <c r="B369" s="111"/>
      <c r="C369" s="111"/>
      <c r="D369" s="111"/>
      <c r="E369" s="111"/>
      <c r="F369" s="111"/>
      <c r="G369" s="111"/>
    </row>
    <row r="370" spans="1:7">
      <c r="A370" s="106"/>
      <c r="B370" s="111"/>
      <c r="C370" s="111"/>
      <c r="D370" s="111"/>
      <c r="E370" s="111"/>
      <c r="F370" s="111"/>
      <c r="G370" s="111"/>
    </row>
    <row r="371" spans="1:7">
      <c r="A371" s="106"/>
      <c r="B371" s="111"/>
      <c r="C371" s="111"/>
      <c r="D371" s="111"/>
      <c r="E371" s="111"/>
      <c r="F371" s="111"/>
      <c r="G371" s="111"/>
    </row>
    <row r="372" spans="1:7">
      <c r="A372" s="106"/>
      <c r="B372" s="111"/>
      <c r="C372" s="111"/>
      <c r="D372" s="111"/>
      <c r="E372" s="111"/>
      <c r="F372" s="111"/>
      <c r="G372" s="111"/>
    </row>
    <row r="373" spans="1:7">
      <c r="A373" s="106"/>
      <c r="B373" s="111"/>
      <c r="C373" s="111"/>
      <c r="D373" s="111"/>
      <c r="E373" s="111"/>
      <c r="F373" s="111"/>
      <c r="G373" s="111"/>
    </row>
    <row r="374" spans="1:7">
      <c r="A374" s="106"/>
      <c r="B374" s="111"/>
      <c r="C374" s="111"/>
      <c r="D374" s="111"/>
      <c r="E374" s="111"/>
      <c r="F374" s="111"/>
      <c r="G374" s="111"/>
    </row>
    <row r="375" spans="1:7">
      <c r="A375" s="106"/>
      <c r="B375" s="111"/>
      <c r="C375" s="111"/>
      <c r="D375" s="111"/>
      <c r="E375" s="111"/>
      <c r="F375" s="111"/>
      <c r="G375" s="111"/>
    </row>
    <row r="376" spans="1:7">
      <c r="A376" s="106"/>
      <c r="B376" s="111"/>
      <c r="C376" s="111"/>
      <c r="D376" s="111"/>
      <c r="E376" s="111"/>
      <c r="F376" s="111"/>
      <c r="G376" s="111"/>
    </row>
    <row r="377" spans="1:7">
      <c r="A377" s="106"/>
      <c r="B377" s="111"/>
      <c r="C377" s="111"/>
      <c r="D377" s="111"/>
      <c r="E377" s="111"/>
      <c r="F377" s="111"/>
      <c r="G377" s="111"/>
    </row>
    <row r="378" spans="1:7">
      <c r="A378" s="106"/>
      <c r="B378" s="111"/>
      <c r="C378" s="111"/>
      <c r="D378" s="111"/>
      <c r="E378" s="111"/>
      <c r="F378" s="111"/>
      <c r="G378" s="111"/>
    </row>
    <row r="379" spans="1:7">
      <c r="A379" s="106"/>
      <c r="B379" s="111"/>
      <c r="C379" s="111"/>
      <c r="D379" s="111"/>
      <c r="E379" s="111"/>
      <c r="F379" s="111"/>
      <c r="G379" s="111"/>
    </row>
    <row r="380" spans="1:7">
      <c r="A380" s="106"/>
      <c r="B380" s="111"/>
      <c r="C380" s="111"/>
      <c r="D380" s="111"/>
      <c r="E380" s="111"/>
      <c r="F380" s="111"/>
      <c r="G380" s="111"/>
    </row>
    <row r="381" spans="1:7">
      <c r="A381" s="106"/>
      <c r="B381" s="111"/>
      <c r="C381" s="111"/>
      <c r="D381" s="111"/>
      <c r="E381" s="111"/>
      <c r="F381" s="111"/>
      <c r="G381" s="111"/>
    </row>
    <row r="382" spans="1:7">
      <c r="A382" s="106"/>
      <c r="B382" s="111"/>
      <c r="C382" s="111"/>
      <c r="D382" s="111"/>
      <c r="E382" s="111"/>
      <c r="F382" s="111"/>
      <c r="G382" s="111"/>
    </row>
    <row r="383" spans="1:7">
      <c r="A383" s="106"/>
      <c r="B383" s="111"/>
      <c r="C383" s="111"/>
      <c r="D383" s="111"/>
      <c r="E383" s="111"/>
      <c r="F383" s="111"/>
      <c r="G383" s="111"/>
    </row>
    <row r="384" spans="1:7">
      <c r="A384" s="106"/>
      <c r="B384" s="111"/>
      <c r="C384" s="111"/>
      <c r="D384" s="111"/>
      <c r="E384" s="111"/>
      <c r="F384" s="111"/>
      <c r="G384" s="111"/>
    </row>
    <row r="385" spans="1:7">
      <c r="A385" s="106"/>
      <c r="B385" s="111"/>
      <c r="C385" s="111"/>
      <c r="D385" s="111"/>
      <c r="E385" s="111"/>
      <c r="F385" s="111"/>
      <c r="G385" s="111"/>
    </row>
    <row r="386" spans="1:7">
      <c r="A386" s="106"/>
      <c r="B386" s="111"/>
      <c r="C386" s="111"/>
      <c r="D386" s="111"/>
      <c r="E386" s="111"/>
      <c r="F386" s="111"/>
      <c r="G386" s="111"/>
    </row>
    <row r="387" spans="1:7">
      <c r="A387" s="106"/>
      <c r="B387" s="111"/>
      <c r="C387" s="111"/>
      <c r="D387" s="111"/>
      <c r="E387" s="111"/>
      <c r="F387" s="111"/>
      <c r="G387" s="111"/>
    </row>
    <row r="388" spans="1:7">
      <c r="A388" s="106"/>
      <c r="B388" s="111"/>
      <c r="C388" s="111"/>
      <c r="D388" s="111"/>
      <c r="E388" s="111"/>
      <c r="F388" s="111"/>
      <c r="G388" s="111"/>
    </row>
    <row r="389" spans="1:7">
      <c r="A389" s="106"/>
      <c r="B389" s="111"/>
      <c r="C389" s="111"/>
      <c r="D389" s="111"/>
      <c r="E389" s="111"/>
      <c r="F389" s="111"/>
      <c r="G389" s="111"/>
    </row>
    <row r="390" spans="1:7">
      <c r="A390" s="106"/>
      <c r="B390" s="111"/>
      <c r="C390" s="111"/>
      <c r="D390" s="111"/>
      <c r="E390" s="111"/>
      <c r="F390" s="111"/>
      <c r="G390" s="111"/>
    </row>
    <row r="391" spans="1:7">
      <c r="A391" s="106"/>
      <c r="B391" s="111"/>
      <c r="C391" s="111"/>
      <c r="D391" s="111"/>
      <c r="E391" s="111"/>
      <c r="F391" s="111"/>
      <c r="G391" s="111"/>
    </row>
    <row r="392" spans="1:7">
      <c r="A392" s="106"/>
      <c r="B392" s="111"/>
      <c r="C392" s="111"/>
      <c r="D392" s="111"/>
      <c r="E392" s="111"/>
      <c r="F392" s="111"/>
      <c r="G392" s="111"/>
    </row>
    <row r="393" spans="1:7">
      <c r="A393" s="106"/>
      <c r="B393" s="111"/>
      <c r="C393" s="111"/>
      <c r="D393" s="111"/>
      <c r="E393" s="111"/>
      <c r="F393" s="111"/>
      <c r="G393" s="111"/>
    </row>
    <row r="394" spans="1:7">
      <c r="A394" s="106"/>
      <c r="B394" s="111"/>
      <c r="C394" s="111"/>
      <c r="D394" s="111"/>
      <c r="E394" s="111"/>
      <c r="F394" s="111"/>
      <c r="G394" s="111"/>
    </row>
    <row r="395" spans="1:7">
      <c r="A395" s="106"/>
      <c r="B395" s="111"/>
      <c r="C395" s="111"/>
      <c r="D395" s="111"/>
      <c r="E395" s="111"/>
      <c r="F395" s="111"/>
      <c r="G395" s="111"/>
    </row>
    <row r="396" spans="1:7">
      <c r="A396" s="106"/>
      <c r="B396" s="111"/>
      <c r="C396" s="111"/>
      <c r="D396" s="111"/>
      <c r="E396" s="111"/>
      <c r="F396" s="111"/>
      <c r="G396" s="111"/>
    </row>
    <row r="397" spans="1:7">
      <c r="A397" s="106"/>
      <c r="B397" s="111"/>
      <c r="C397" s="111"/>
      <c r="D397" s="111"/>
      <c r="E397" s="111"/>
      <c r="F397" s="111"/>
      <c r="G397" s="111"/>
    </row>
    <row r="398" spans="1:7">
      <c r="A398" s="106"/>
      <c r="B398" s="111"/>
      <c r="C398" s="111"/>
      <c r="D398" s="111"/>
      <c r="E398" s="111"/>
      <c r="F398" s="111"/>
      <c r="G398" s="111"/>
    </row>
    <row r="399" spans="1:7">
      <c r="A399" s="106"/>
      <c r="B399" s="111"/>
      <c r="C399" s="111"/>
      <c r="D399" s="111"/>
      <c r="E399" s="111"/>
      <c r="F399" s="111"/>
      <c r="G399" s="111"/>
    </row>
    <row r="400" spans="1:7">
      <c r="A400" s="106"/>
      <c r="B400" s="111"/>
      <c r="C400" s="111"/>
      <c r="D400" s="111"/>
      <c r="E400" s="111"/>
      <c r="F400" s="111"/>
      <c r="G400" s="111"/>
    </row>
    <row r="401" spans="1:7">
      <c r="A401" s="106"/>
      <c r="B401" s="111"/>
      <c r="C401" s="111"/>
      <c r="D401" s="111"/>
      <c r="E401" s="111"/>
      <c r="F401" s="111"/>
      <c r="G401" s="111"/>
    </row>
    <row r="402" spans="1:7">
      <c r="A402" s="106"/>
      <c r="B402" s="111"/>
      <c r="C402" s="111"/>
      <c r="D402" s="111"/>
      <c r="E402" s="111"/>
      <c r="F402" s="111"/>
      <c r="G402" s="111"/>
    </row>
    <row r="403" spans="1:7">
      <c r="A403" s="106"/>
      <c r="B403" s="111"/>
      <c r="C403" s="111"/>
      <c r="D403" s="111"/>
      <c r="E403" s="111"/>
      <c r="F403" s="111"/>
      <c r="G403" s="111"/>
    </row>
    <row r="404" spans="1:7">
      <c r="A404" s="106"/>
      <c r="B404" s="111"/>
      <c r="C404" s="111"/>
      <c r="D404" s="111"/>
      <c r="E404" s="111"/>
      <c r="F404" s="111"/>
      <c r="G404" s="111"/>
    </row>
    <row r="405" spans="1:7">
      <c r="A405" s="106"/>
      <c r="B405" s="111"/>
      <c r="C405" s="111"/>
      <c r="D405" s="111"/>
      <c r="E405" s="111"/>
      <c r="F405" s="111"/>
      <c r="G405" s="111"/>
    </row>
    <row r="406" spans="1:7">
      <c r="A406" s="106"/>
      <c r="B406" s="111"/>
      <c r="C406" s="111"/>
      <c r="D406" s="111"/>
      <c r="E406" s="111"/>
      <c r="F406" s="111"/>
      <c r="G406" s="111"/>
    </row>
    <row r="407" spans="1:7">
      <c r="A407" s="106"/>
      <c r="B407" s="111"/>
      <c r="C407" s="111"/>
      <c r="D407" s="111"/>
      <c r="E407" s="111"/>
      <c r="F407" s="111"/>
      <c r="G407" s="111"/>
    </row>
    <row r="408" spans="1:7">
      <c r="A408" s="106"/>
      <c r="B408" s="111"/>
      <c r="C408" s="111"/>
      <c r="D408" s="111"/>
      <c r="E408" s="111"/>
      <c r="F408" s="111"/>
      <c r="G408" s="111"/>
    </row>
    <row r="409" spans="1:7">
      <c r="A409" s="106"/>
      <c r="B409" s="111"/>
      <c r="C409" s="111"/>
      <c r="D409" s="111"/>
      <c r="E409" s="111"/>
      <c r="F409" s="111"/>
      <c r="G409" s="111"/>
    </row>
    <row r="410" spans="1:7">
      <c r="A410" s="106"/>
      <c r="B410" s="111"/>
      <c r="C410" s="111"/>
      <c r="D410" s="111"/>
      <c r="E410" s="111"/>
      <c r="F410" s="111"/>
      <c r="G410" s="111"/>
    </row>
    <row r="411" spans="1:7">
      <c r="A411" s="106"/>
      <c r="B411" s="111"/>
      <c r="C411" s="111"/>
      <c r="D411" s="111"/>
      <c r="E411" s="111"/>
      <c r="F411" s="111"/>
      <c r="G411" s="111"/>
    </row>
    <row r="412" spans="1:7">
      <c r="A412" s="106"/>
      <c r="B412" s="111"/>
      <c r="C412" s="111"/>
      <c r="D412" s="111"/>
      <c r="E412" s="111"/>
      <c r="F412" s="111"/>
      <c r="G412" s="111"/>
    </row>
    <row r="413" spans="1:7">
      <c r="A413" s="106"/>
      <c r="B413" s="111"/>
      <c r="C413" s="111"/>
      <c r="D413" s="111"/>
      <c r="E413" s="111"/>
      <c r="F413" s="111"/>
      <c r="G413" s="111"/>
    </row>
    <row r="414" spans="1:7">
      <c r="A414" s="106"/>
      <c r="B414" s="111"/>
      <c r="C414" s="111"/>
      <c r="D414" s="111"/>
      <c r="E414" s="111"/>
      <c r="F414" s="111"/>
      <c r="G414" s="111"/>
    </row>
    <row r="415" spans="1:7">
      <c r="A415" s="106"/>
      <c r="B415" s="111"/>
      <c r="C415" s="111"/>
      <c r="D415" s="111"/>
      <c r="E415" s="111"/>
      <c r="F415" s="111"/>
      <c r="G415" s="111"/>
    </row>
    <row r="416" spans="1:7">
      <c r="A416" s="106"/>
      <c r="B416" s="111"/>
      <c r="C416" s="111"/>
      <c r="D416" s="111"/>
      <c r="E416" s="111"/>
      <c r="F416" s="111"/>
      <c r="G416" s="111"/>
    </row>
    <row r="417" spans="1:7">
      <c r="A417" s="106"/>
      <c r="B417" s="111"/>
      <c r="C417" s="111"/>
      <c r="D417" s="111"/>
      <c r="E417" s="111"/>
      <c r="F417" s="111"/>
      <c r="G417" s="111"/>
    </row>
    <row r="418" spans="1:7">
      <c r="A418" s="106"/>
      <c r="B418" s="111"/>
      <c r="C418" s="111"/>
      <c r="D418" s="111"/>
      <c r="E418" s="111"/>
      <c r="F418" s="111"/>
      <c r="G418" s="111"/>
    </row>
    <row r="419" spans="1:7">
      <c r="A419" s="106"/>
      <c r="B419" s="111"/>
      <c r="C419" s="111"/>
      <c r="D419" s="111"/>
      <c r="E419" s="111"/>
      <c r="F419" s="111"/>
      <c r="G419" s="111"/>
    </row>
    <row r="420" spans="1:7">
      <c r="A420" s="106"/>
      <c r="B420" s="111"/>
      <c r="C420" s="111"/>
      <c r="D420" s="111"/>
      <c r="E420" s="111"/>
      <c r="F420" s="111"/>
      <c r="G420" s="111"/>
    </row>
    <row r="421" spans="1:7">
      <c r="A421" s="106"/>
      <c r="B421" s="111"/>
      <c r="C421" s="111"/>
      <c r="D421" s="111"/>
      <c r="E421" s="111"/>
      <c r="F421" s="111"/>
      <c r="G421" s="111"/>
    </row>
    <row r="422" spans="1:7">
      <c r="A422" s="106"/>
      <c r="B422" s="111"/>
      <c r="C422" s="111"/>
      <c r="D422" s="111"/>
      <c r="E422" s="111"/>
      <c r="F422" s="111"/>
      <c r="G422" s="111"/>
    </row>
    <row r="423" spans="1:7">
      <c r="A423" s="106"/>
      <c r="B423" s="111"/>
      <c r="C423" s="111"/>
      <c r="D423" s="111"/>
      <c r="E423" s="111"/>
      <c r="F423" s="111"/>
      <c r="G423" s="111"/>
    </row>
    <row r="424" spans="1:7">
      <c r="A424" s="106"/>
      <c r="B424" s="111"/>
      <c r="C424" s="111"/>
      <c r="D424" s="111"/>
      <c r="E424" s="111"/>
      <c r="F424" s="111"/>
      <c r="G424" s="111"/>
    </row>
    <row r="425" spans="1:7">
      <c r="A425" s="106"/>
      <c r="B425" s="111"/>
      <c r="C425" s="111"/>
      <c r="D425" s="111"/>
      <c r="E425" s="111"/>
      <c r="F425" s="111"/>
      <c r="G425" s="111"/>
    </row>
    <row r="426" spans="1:7">
      <c r="A426" s="106"/>
      <c r="B426" s="111"/>
      <c r="C426" s="111"/>
      <c r="D426" s="111"/>
      <c r="E426" s="111"/>
      <c r="F426" s="111"/>
      <c r="G426" s="111"/>
    </row>
    <row r="427" spans="1:7">
      <c r="A427" s="106"/>
      <c r="B427" s="111"/>
      <c r="C427" s="111"/>
      <c r="D427" s="111"/>
      <c r="E427" s="111"/>
      <c r="F427" s="111"/>
      <c r="G427" s="111"/>
    </row>
    <row r="428" spans="1:7">
      <c r="A428" s="106"/>
      <c r="B428" s="111"/>
      <c r="C428" s="111"/>
      <c r="D428" s="111"/>
      <c r="E428" s="111"/>
      <c r="F428" s="111"/>
      <c r="G428" s="111"/>
    </row>
    <row r="429" spans="1:7">
      <c r="A429" s="106"/>
      <c r="B429" s="111"/>
      <c r="C429" s="111"/>
      <c r="D429" s="111"/>
      <c r="E429" s="111"/>
      <c r="F429" s="111"/>
      <c r="G429" s="111"/>
    </row>
    <row r="430" spans="1:7">
      <c r="A430" s="106"/>
      <c r="B430" s="111"/>
      <c r="C430" s="111"/>
      <c r="D430" s="111"/>
      <c r="E430" s="111"/>
      <c r="F430" s="111"/>
      <c r="G430" s="111"/>
    </row>
    <row r="431" spans="1:7">
      <c r="A431" s="106"/>
      <c r="B431" s="111"/>
      <c r="C431" s="111"/>
      <c r="D431" s="111"/>
      <c r="E431" s="111"/>
      <c r="F431" s="111"/>
      <c r="G431" s="111"/>
    </row>
    <row r="432" spans="1:7">
      <c r="A432" s="106"/>
      <c r="B432" s="111"/>
      <c r="C432" s="111"/>
      <c r="D432" s="111"/>
      <c r="E432" s="111"/>
      <c r="F432" s="111"/>
      <c r="G432" s="111"/>
    </row>
    <row r="433" spans="1:7">
      <c r="A433" s="106"/>
      <c r="B433" s="111"/>
      <c r="C433" s="111"/>
      <c r="D433" s="111"/>
      <c r="E433" s="111"/>
      <c r="F433" s="111"/>
      <c r="G433" s="111"/>
    </row>
    <row r="434" spans="1:7">
      <c r="A434" s="106"/>
      <c r="B434" s="111"/>
      <c r="C434" s="111"/>
      <c r="D434" s="111"/>
      <c r="E434" s="111"/>
      <c r="F434" s="111"/>
      <c r="G434" s="111"/>
    </row>
    <row r="435" spans="1:7">
      <c r="A435" s="106"/>
      <c r="B435" s="111"/>
      <c r="C435" s="111"/>
      <c r="D435" s="111"/>
      <c r="E435" s="111"/>
      <c r="F435" s="111"/>
      <c r="G435" s="111"/>
    </row>
    <row r="436" spans="1:7">
      <c r="A436" s="106"/>
      <c r="B436" s="111"/>
      <c r="C436" s="111"/>
      <c r="D436" s="111"/>
      <c r="E436" s="111"/>
      <c r="F436" s="111"/>
      <c r="G436" s="111"/>
    </row>
    <row r="437" spans="1:7">
      <c r="A437" s="106"/>
      <c r="B437" s="111"/>
      <c r="C437" s="111"/>
      <c r="D437" s="111"/>
      <c r="E437" s="111"/>
      <c r="F437" s="111"/>
      <c r="G437" s="111"/>
    </row>
    <row r="438" spans="1:7">
      <c r="A438" s="106"/>
      <c r="B438" s="111"/>
      <c r="C438" s="111"/>
      <c r="D438" s="111"/>
      <c r="E438" s="111"/>
      <c r="F438" s="111"/>
      <c r="G438" s="111"/>
    </row>
    <row r="439" spans="1:7">
      <c r="A439" s="106"/>
      <c r="B439" s="111"/>
      <c r="C439" s="111"/>
      <c r="D439" s="111"/>
      <c r="E439" s="111"/>
      <c r="F439" s="111"/>
      <c r="G439" s="111"/>
    </row>
    <row r="440" spans="1:7">
      <c r="A440" s="106"/>
      <c r="B440" s="111"/>
      <c r="C440" s="111"/>
      <c r="D440" s="111"/>
      <c r="E440" s="111"/>
      <c r="F440" s="111"/>
      <c r="G440" s="111"/>
    </row>
    <row r="441" spans="1:7">
      <c r="A441" s="106"/>
      <c r="B441" s="111"/>
      <c r="C441" s="111"/>
      <c r="D441" s="111"/>
      <c r="E441" s="111"/>
      <c r="F441" s="111"/>
      <c r="G441" s="111"/>
    </row>
    <row r="442" spans="1:7">
      <c r="A442" s="106"/>
      <c r="B442" s="111"/>
      <c r="C442" s="111"/>
      <c r="D442" s="111"/>
      <c r="E442" s="111"/>
      <c r="F442" s="111"/>
      <c r="G442" s="111"/>
    </row>
    <row r="443" spans="1:7">
      <c r="A443" s="106"/>
      <c r="B443" s="111"/>
      <c r="C443" s="111"/>
      <c r="D443" s="111"/>
      <c r="E443" s="111"/>
      <c r="F443" s="111"/>
      <c r="G443" s="111"/>
    </row>
    <row r="444" spans="1:7">
      <c r="A444" s="106"/>
      <c r="B444" s="111"/>
      <c r="C444" s="111"/>
      <c r="D444" s="111"/>
      <c r="E444" s="111"/>
      <c r="F444" s="111"/>
      <c r="G444" s="111"/>
    </row>
    <row r="445" spans="1:7">
      <c r="A445" s="106"/>
      <c r="B445" s="111"/>
      <c r="C445" s="111"/>
      <c r="D445" s="111"/>
      <c r="E445" s="111"/>
      <c r="F445" s="111"/>
      <c r="G445" s="111"/>
    </row>
    <row r="446" spans="1:7">
      <c r="A446" s="106"/>
      <c r="B446" s="111"/>
      <c r="C446" s="111"/>
      <c r="D446" s="111"/>
      <c r="E446" s="111"/>
      <c r="F446" s="111"/>
      <c r="G446" s="111"/>
    </row>
    <row r="447" spans="1:7">
      <c r="A447" s="106"/>
      <c r="B447" s="111"/>
      <c r="C447" s="111"/>
      <c r="D447" s="111"/>
      <c r="E447" s="111"/>
      <c r="F447" s="111"/>
      <c r="G447" s="111"/>
    </row>
    <row r="448" spans="1:7">
      <c r="A448" s="106"/>
      <c r="B448" s="111"/>
      <c r="C448" s="111"/>
      <c r="D448" s="111"/>
      <c r="E448" s="111"/>
      <c r="F448" s="111"/>
      <c r="G448" s="111"/>
    </row>
    <row r="449" spans="1:7">
      <c r="A449" s="106"/>
      <c r="B449" s="111"/>
      <c r="C449" s="111"/>
      <c r="D449" s="111"/>
      <c r="E449" s="111"/>
      <c r="F449" s="111"/>
      <c r="G449" s="111"/>
    </row>
    <row r="450" spans="1:7">
      <c r="A450" s="106"/>
      <c r="B450" s="111"/>
      <c r="C450" s="111"/>
      <c r="D450" s="111"/>
      <c r="E450" s="111"/>
      <c r="F450" s="111"/>
      <c r="G450" s="111"/>
    </row>
    <row r="451" spans="1:7">
      <c r="A451" s="106"/>
      <c r="B451" s="111"/>
      <c r="C451" s="111"/>
      <c r="D451" s="111"/>
      <c r="E451" s="111"/>
      <c r="F451" s="111"/>
      <c r="G451" s="111"/>
    </row>
    <row r="452" spans="1:7">
      <c r="A452" s="106"/>
      <c r="B452" s="111"/>
      <c r="C452" s="111"/>
      <c r="D452" s="111"/>
      <c r="E452" s="111"/>
      <c r="F452" s="111"/>
      <c r="G452" s="111"/>
    </row>
    <row r="453" spans="1:7">
      <c r="A453" s="106"/>
      <c r="B453" s="111"/>
      <c r="C453" s="111"/>
      <c r="D453" s="111"/>
      <c r="E453" s="111"/>
      <c r="F453" s="111"/>
      <c r="G453" s="111"/>
    </row>
    <row r="454" spans="1:7">
      <c r="A454" s="106"/>
      <c r="B454" s="111"/>
      <c r="C454" s="111"/>
      <c r="D454" s="111"/>
      <c r="E454" s="111"/>
      <c r="F454" s="111"/>
      <c r="G454" s="111"/>
    </row>
    <row r="455" spans="1:7">
      <c r="A455" s="106"/>
      <c r="B455" s="111"/>
      <c r="C455" s="111"/>
      <c r="D455" s="111"/>
      <c r="E455" s="111"/>
      <c r="F455" s="111"/>
      <c r="G455" s="111"/>
    </row>
    <row r="456" spans="1:7">
      <c r="A456" s="106"/>
      <c r="B456" s="111"/>
      <c r="C456" s="111"/>
      <c r="D456" s="111"/>
      <c r="E456" s="111"/>
      <c r="F456" s="111"/>
      <c r="G456" s="111"/>
    </row>
    <row r="457" spans="1:7">
      <c r="A457" s="106"/>
      <c r="B457" s="111"/>
      <c r="C457" s="111"/>
      <c r="D457" s="111"/>
      <c r="E457" s="111"/>
      <c r="F457" s="111"/>
      <c r="G457" s="111"/>
    </row>
    <row r="458" spans="1:7">
      <c r="A458" s="106"/>
      <c r="B458" s="111"/>
      <c r="C458" s="111"/>
      <c r="D458" s="111"/>
      <c r="E458" s="111"/>
      <c r="F458" s="111"/>
      <c r="G458" s="111"/>
    </row>
    <row r="459" spans="1:7">
      <c r="A459" s="106"/>
      <c r="B459" s="111"/>
      <c r="C459" s="111"/>
      <c r="D459" s="111"/>
      <c r="E459" s="111"/>
      <c r="F459" s="111"/>
      <c r="G459" s="111"/>
    </row>
    <row r="460" spans="1:7">
      <c r="A460" s="106"/>
      <c r="B460" s="111"/>
      <c r="C460" s="111"/>
      <c r="D460" s="111"/>
      <c r="E460" s="111"/>
      <c r="F460" s="111"/>
      <c r="G460" s="111"/>
    </row>
    <row r="461" spans="1:7">
      <c r="A461" s="106"/>
      <c r="B461" s="111"/>
      <c r="C461" s="111"/>
      <c r="D461" s="111"/>
      <c r="E461" s="111"/>
      <c r="F461" s="111"/>
      <c r="G461" s="111"/>
    </row>
    <row r="462" spans="1:7">
      <c r="A462" s="106"/>
      <c r="B462" s="111"/>
      <c r="C462" s="111"/>
      <c r="D462" s="111"/>
      <c r="E462" s="111"/>
      <c r="F462" s="111"/>
      <c r="G462" s="111"/>
    </row>
    <row r="463" spans="1:7">
      <c r="A463" s="106"/>
      <c r="B463" s="111"/>
      <c r="C463" s="111"/>
      <c r="D463" s="111"/>
      <c r="E463" s="111"/>
      <c r="F463" s="111"/>
      <c r="G463" s="111"/>
    </row>
    <row r="464" spans="1:7">
      <c r="A464" s="106"/>
      <c r="B464" s="111"/>
      <c r="C464" s="111"/>
      <c r="D464" s="111"/>
      <c r="E464" s="111"/>
      <c r="F464" s="111"/>
      <c r="G464" s="111"/>
    </row>
    <row r="465" spans="1:7">
      <c r="A465" s="106"/>
      <c r="B465" s="111"/>
      <c r="C465" s="111"/>
      <c r="D465" s="111"/>
      <c r="E465" s="111"/>
      <c r="F465" s="111"/>
      <c r="G465" s="111"/>
    </row>
    <row r="466" spans="1:7">
      <c r="A466" s="106"/>
      <c r="B466" s="111"/>
      <c r="C466" s="111"/>
      <c r="D466" s="111"/>
      <c r="E466" s="111"/>
      <c r="F466" s="111"/>
      <c r="G466" s="111"/>
    </row>
    <row r="467" spans="1:7">
      <c r="A467" s="106"/>
      <c r="B467" s="111"/>
      <c r="C467" s="111"/>
      <c r="D467" s="111"/>
      <c r="E467" s="111"/>
      <c r="F467" s="111"/>
      <c r="G467" s="111"/>
    </row>
    <row r="468" spans="1:7">
      <c r="A468" s="106"/>
      <c r="B468" s="111"/>
      <c r="C468" s="111"/>
      <c r="D468" s="111"/>
      <c r="E468" s="111"/>
      <c r="F468" s="111"/>
      <c r="G468" s="111"/>
    </row>
    <row r="469" spans="1:7">
      <c r="A469" s="106"/>
      <c r="B469" s="111"/>
      <c r="C469" s="111"/>
      <c r="D469" s="111"/>
      <c r="E469" s="111"/>
      <c r="F469" s="111"/>
      <c r="G469" s="111"/>
    </row>
    <row r="470" spans="1:7">
      <c r="A470" s="106"/>
      <c r="B470" s="111"/>
      <c r="C470" s="111"/>
      <c r="D470" s="111"/>
      <c r="E470" s="111"/>
      <c r="F470" s="111"/>
      <c r="G470" s="111"/>
    </row>
    <row r="471" spans="1:7">
      <c r="A471" s="106"/>
      <c r="B471" s="111"/>
      <c r="C471" s="111"/>
      <c r="D471" s="111"/>
      <c r="E471" s="111"/>
      <c r="F471" s="111"/>
      <c r="G471" s="111"/>
    </row>
    <row r="472" spans="1:7">
      <c r="A472" s="106"/>
      <c r="B472" s="111"/>
      <c r="C472" s="111"/>
      <c r="D472" s="111"/>
      <c r="E472" s="111"/>
      <c r="F472" s="111"/>
      <c r="G472" s="111"/>
    </row>
    <row r="473" spans="1:7">
      <c r="A473" s="106"/>
      <c r="B473" s="111"/>
      <c r="C473" s="111"/>
      <c r="D473" s="111"/>
      <c r="E473" s="111"/>
      <c r="F473" s="111"/>
      <c r="G473" s="111"/>
    </row>
    <row r="474" spans="1:7">
      <c r="A474" s="106"/>
      <c r="B474" s="111"/>
      <c r="C474" s="111"/>
      <c r="D474" s="111"/>
      <c r="E474" s="111"/>
      <c r="F474" s="111"/>
      <c r="G474" s="111"/>
    </row>
    <row r="475" spans="1:7">
      <c r="A475" s="106"/>
      <c r="B475" s="111"/>
      <c r="C475" s="111"/>
      <c r="D475" s="111"/>
      <c r="E475" s="111"/>
      <c r="F475" s="111"/>
      <c r="G475" s="111"/>
    </row>
    <row r="476" spans="1:7">
      <c r="A476" s="106"/>
      <c r="B476" s="111"/>
      <c r="C476" s="111"/>
      <c r="D476" s="111"/>
      <c r="E476" s="111"/>
      <c r="F476" s="111"/>
      <c r="G476" s="111"/>
    </row>
    <row r="477" spans="1:7">
      <c r="A477" s="106"/>
      <c r="B477" s="111"/>
      <c r="C477" s="111"/>
      <c r="D477" s="111"/>
      <c r="E477" s="111"/>
      <c r="F477" s="111"/>
      <c r="G477" s="111"/>
    </row>
    <row r="478" spans="1:7">
      <c r="A478" s="106"/>
      <c r="B478" s="111"/>
      <c r="C478" s="111"/>
      <c r="D478" s="111"/>
      <c r="E478" s="111"/>
      <c r="F478" s="111"/>
      <c r="G478" s="111"/>
    </row>
    <row r="479" spans="1:7">
      <c r="A479" s="106"/>
      <c r="B479" s="111"/>
      <c r="C479" s="111"/>
      <c r="D479" s="111"/>
      <c r="E479" s="111"/>
      <c r="F479" s="111"/>
      <c r="G479" s="111"/>
    </row>
    <row r="480" spans="1:7">
      <c r="A480" s="106"/>
      <c r="B480" s="111"/>
      <c r="C480" s="111"/>
      <c r="D480" s="111"/>
      <c r="E480" s="111"/>
      <c r="F480" s="111"/>
      <c r="G480" s="111"/>
    </row>
    <row r="481" spans="1:7">
      <c r="A481" s="106"/>
      <c r="B481" s="111"/>
      <c r="C481" s="111"/>
      <c r="D481" s="111"/>
      <c r="E481" s="111"/>
      <c r="F481" s="111"/>
      <c r="G481" s="111"/>
    </row>
    <row r="482" spans="1:7">
      <c r="A482" s="106"/>
      <c r="B482" s="111"/>
      <c r="C482" s="111"/>
      <c r="D482" s="111"/>
      <c r="E482" s="111"/>
      <c r="F482" s="111"/>
      <c r="G482" s="111"/>
    </row>
    <row r="483" spans="1:7">
      <c r="A483" s="106"/>
      <c r="B483" s="111"/>
      <c r="C483" s="111"/>
      <c r="D483" s="111"/>
      <c r="E483" s="111"/>
      <c r="F483" s="111"/>
      <c r="G483" s="111"/>
    </row>
    <row r="484" spans="1:7">
      <c r="A484" s="106"/>
      <c r="B484" s="111"/>
      <c r="C484" s="111"/>
      <c r="D484" s="111"/>
      <c r="E484" s="111"/>
      <c r="F484" s="111"/>
      <c r="G484" s="111"/>
    </row>
    <row r="485" spans="1:7">
      <c r="A485" s="106"/>
      <c r="B485" s="111"/>
      <c r="C485" s="111"/>
      <c r="D485" s="111"/>
      <c r="E485" s="111"/>
      <c r="F485" s="111"/>
      <c r="G485" s="111"/>
    </row>
    <row r="486" spans="1:7">
      <c r="A486" s="106"/>
      <c r="B486" s="111"/>
      <c r="C486" s="111"/>
      <c r="D486" s="111"/>
      <c r="E486" s="111"/>
      <c r="F486" s="111"/>
      <c r="G486" s="111"/>
    </row>
    <row r="487" spans="1:7">
      <c r="A487" s="106"/>
      <c r="B487" s="111"/>
      <c r="C487" s="111"/>
      <c r="D487" s="111"/>
      <c r="E487" s="111"/>
      <c r="F487" s="111"/>
      <c r="G487" s="111"/>
    </row>
    <row r="488" spans="1:7">
      <c r="A488" s="106"/>
      <c r="B488" s="111"/>
      <c r="C488" s="111"/>
      <c r="D488" s="111"/>
      <c r="E488" s="111"/>
      <c r="F488" s="111"/>
      <c r="G488" s="111"/>
    </row>
    <row r="489" spans="1:7">
      <c r="A489" s="106"/>
      <c r="B489" s="111"/>
      <c r="C489" s="111"/>
      <c r="D489" s="111"/>
      <c r="E489" s="111"/>
      <c r="F489" s="111"/>
      <c r="G489" s="111"/>
    </row>
    <row r="490" spans="1:7">
      <c r="A490" s="106"/>
      <c r="B490" s="111"/>
      <c r="C490" s="111"/>
      <c r="D490" s="111"/>
      <c r="E490" s="111"/>
      <c r="F490" s="111"/>
      <c r="G490" s="111"/>
    </row>
    <row r="491" spans="1:7">
      <c r="A491" s="106"/>
      <c r="B491" s="111"/>
      <c r="C491" s="111"/>
      <c r="D491" s="111"/>
      <c r="E491" s="111"/>
      <c r="F491" s="111"/>
      <c r="G491" s="111"/>
    </row>
    <row r="492" spans="1:7">
      <c r="A492" s="106"/>
      <c r="B492" s="111"/>
      <c r="C492" s="111"/>
      <c r="D492" s="111"/>
      <c r="E492" s="111"/>
      <c r="F492" s="111"/>
      <c r="G492" s="111"/>
    </row>
    <row r="493" spans="1:7">
      <c r="A493" s="106"/>
      <c r="B493" s="111"/>
      <c r="C493" s="111"/>
      <c r="D493" s="111"/>
      <c r="E493" s="111"/>
      <c r="F493" s="111"/>
      <c r="G493" s="111"/>
    </row>
    <row r="494" spans="1:7">
      <c r="A494" s="106"/>
      <c r="B494" s="111"/>
      <c r="C494" s="111"/>
      <c r="D494" s="111"/>
      <c r="E494" s="111"/>
      <c r="F494" s="111"/>
      <c r="G494" s="111"/>
    </row>
    <row r="495" spans="1:7">
      <c r="A495" s="106"/>
      <c r="B495" s="111"/>
      <c r="C495" s="111"/>
      <c r="D495" s="111"/>
      <c r="E495" s="111"/>
      <c r="F495" s="111"/>
      <c r="G495" s="111"/>
    </row>
    <row r="496" spans="1:7">
      <c r="A496" s="106"/>
      <c r="B496" s="111"/>
      <c r="C496" s="111"/>
      <c r="D496" s="111"/>
      <c r="E496" s="111"/>
      <c r="F496" s="111"/>
      <c r="G496" s="111"/>
    </row>
    <row r="497" spans="1:7">
      <c r="A497" s="106"/>
      <c r="B497" s="111"/>
      <c r="C497" s="111"/>
      <c r="D497" s="111"/>
      <c r="E497" s="111"/>
      <c r="F497" s="111"/>
      <c r="G497" s="111"/>
    </row>
    <row r="498" spans="1:7">
      <c r="A498" s="106"/>
      <c r="B498" s="111"/>
      <c r="C498" s="111"/>
      <c r="D498" s="111"/>
      <c r="E498" s="111"/>
      <c r="F498" s="111"/>
      <c r="G498" s="111"/>
    </row>
    <row r="499" spans="1:7">
      <c r="A499" s="106"/>
      <c r="B499" s="111"/>
      <c r="C499" s="111"/>
      <c r="D499" s="111"/>
      <c r="E499" s="111"/>
      <c r="F499" s="111"/>
      <c r="G499" s="111"/>
    </row>
    <row r="500" spans="1:7">
      <c r="A500" s="106"/>
      <c r="B500" s="111"/>
      <c r="C500" s="111"/>
      <c r="D500" s="111"/>
      <c r="E500" s="111"/>
      <c r="F500" s="111"/>
      <c r="G500" s="111"/>
    </row>
    <row r="501" spans="1:7">
      <c r="A501" s="106"/>
      <c r="B501" s="111"/>
      <c r="C501" s="111"/>
      <c r="D501" s="111"/>
      <c r="E501" s="111"/>
      <c r="F501" s="111"/>
      <c r="G501" s="111"/>
    </row>
    <row r="502" spans="1:7">
      <c r="A502" s="106"/>
      <c r="B502" s="111"/>
      <c r="C502" s="111"/>
      <c r="D502" s="111"/>
      <c r="E502" s="111"/>
      <c r="F502" s="111"/>
      <c r="G502" s="111"/>
    </row>
    <row r="503" spans="1:7">
      <c r="A503" s="106"/>
      <c r="B503" s="111"/>
      <c r="C503" s="111"/>
      <c r="D503" s="111"/>
      <c r="E503" s="111"/>
      <c r="F503" s="111"/>
      <c r="G503" s="111"/>
    </row>
    <row r="504" spans="1:7">
      <c r="A504" s="106"/>
      <c r="B504" s="111"/>
      <c r="C504" s="111"/>
      <c r="D504" s="111"/>
      <c r="E504" s="111"/>
      <c r="F504" s="111"/>
      <c r="G504" s="111"/>
    </row>
    <row r="505" spans="1:7">
      <c r="A505" s="106"/>
      <c r="B505" s="111"/>
      <c r="C505" s="111"/>
      <c r="D505" s="111"/>
      <c r="E505" s="111"/>
      <c r="F505" s="111"/>
      <c r="G505" s="111"/>
    </row>
    <row r="506" spans="1:7">
      <c r="A506" s="106"/>
      <c r="B506" s="111"/>
      <c r="C506" s="111"/>
      <c r="D506" s="111"/>
      <c r="E506" s="111"/>
      <c r="F506" s="111"/>
      <c r="G506" s="111"/>
    </row>
    <row r="507" spans="1:7">
      <c r="A507" s="106"/>
      <c r="B507" s="111"/>
      <c r="C507" s="111"/>
      <c r="D507" s="111"/>
      <c r="E507" s="111"/>
      <c r="F507" s="111"/>
      <c r="G507" s="111"/>
    </row>
    <row r="508" spans="1:7">
      <c r="A508" s="106"/>
      <c r="B508" s="111"/>
      <c r="C508" s="111"/>
      <c r="D508" s="111"/>
      <c r="E508" s="111"/>
      <c r="F508" s="111"/>
      <c r="G508" s="111"/>
    </row>
    <row r="509" spans="1:7">
      <c r="A509" s="106"/>
      <c r="B509" s="111"/>
      <c r="C509" s="111"/>
      <c r="D509" s="111"/>
      <c r="E509" s="111"/>
      <c r="F509" s="111"/>
      <c r="G509" s="111"/>
    </row>
    <row r="510" spans="1:7">
      <c r="A510" s="106"/>
      <c r="B510" s="111"/>
      <c r="C510" s="111"/>
      <c r="D510" s="111"/>
      <c r="E510" s="111"/>
      <c r="F510" s="111"/>
      <c r="G510" s="111"/>
    </row>
    <row r="511" spans="1:7">
      <c r="A511" s="106"/>
      <c r="B511" s="111"/>
      <c r="C511" s="111"/>
      <c r="D511" s="111"/>
      <c r="E511" s="111"/>
      <c r="F511" s="111"/>
      <c r="G511" s="111"/>
    </row>
    <row r="512" spans="1:7">
      <c r="A512" s="106"/>
      <c r="B512" s="111"/>
      <c r="C512" s="111"/>
      <c r="D512" s="111"/>
      <c r="E512" s="111"/>
      <c r="F512" s="111"/>
      <c r="G512" s="111"/>
    </row>
    <row r="513" spans="1:7">
      <c r="A513" s="106"/>
      <c r="B513" s="111"/>
      <c r="C513" s="111"/>
      <c r="D513" s="111"/>
      <c r="E513" s="111"/>
      <c r="F513" s="111"/>
      <c r="G513" s="111"/>
    </row>
    <row r="514" spans="1:7">
      <c r="A514" s="106"/>
      <c r="B514" s="111"/>
      <c r="C514" s="111"/>
      <c r="D514" s="111"/>
      <c r="E514" s="111"/>
      <c r="F514" s="111"/>
      <c r="G514" s="111"/>
    </row>
    <row r="515" spans="1:7">
      <c r="A515" s="106"/>
      <c r="B515" s="111"/>
      <c r="C515" s="111"/>
      <c r="D515" s="111"/>
      <c r="E515" s="111"/>
      <c r="F515" s="111"/>
      <c r="G515" s="111"/>
    </row>
    <row r="516" spans="1:7">
      <c r="A516" s="106"/>
      <c r="B516" s="111"/>
      <c r="C516" s="111"/>
      <c r="D516" s="111"/>
      <c r="E516" s="111"/>
      <c r="F516" s="111"/>
      <c r="G516" s="111"/>
    </row>
    <row r="517" spans="1:7">
      <c r="A517" s="106"/>
      <c r="B517" s="111"/>
      <c r="C517" s="111"/>
      <c r="D517" s="111"/>
      <c r="E517" s="111"/>
      <c r="F517" s="111"/>
      <c r="G517" s="111"/>
    </row>
    <row r="518" spans="1:7">
      <c r="A518" s="106"/>
      <c r="B518" s="111"/>
      <c r="C518" s="111"/>
      <c r="D518" s="111"/>
      <c r="E518" s="111"/>
      <c r="F518" s="111"/>
      <c r="G518" s="111"/>
    </row>
    <row r="519" spans="1:7">
      <c r="A519" s="106"/>
      <c r="B519" s="111"/>
      <c r="C519" s="111"/>
      <c r="D519" s="111"/>
      <c r="E519" s="111"/>
      <c r="F519" s="111"/>
      <c r="G519" s="111"/>
    </row>
    <row r="520" spans="1:7">
      <c r="A520" s="106"/>
      <c r="B520" s="111"/>
      <c r="C520" s="111"/>
      <c r="D520" s="111"/>
      <c r="E520" s="111"/>
      <c r="F520" s="111"/>
      <c r="G520" s="111"/>
    </row>
    <row r="521" spans="1:7">
      <c r="A521" s="106"/>
      <c r="B521" s="111"/>
      <c r="C521" s="111"/>
      <c r="D521" s="111"/>
      <c r="E521" s="111"/>
      <c r="F521" s="111"/>
      <c r="G521" s="111"/>
    </row>
    <row r="522" spans="1:7">
      <c r="A522" s="106"/>
      <c r="B522" s="111"/>
      <c r="C522" s="111"/>
      <c r="D522" s="111"/>
      <c r="E522" s="111"/>
      <c r="F522" s="111"/>
      <c r="G522" s="111"/>
    </row>
    <row r="523" spans="1:7">
      <c r="A523" s="106"/>
      <c r="B523" s="111"/>
      <c r="C523" s="111"/>
      <c r="D523" s="111"/>
      <c r="E523" s="111"/>
      <c r="F523" s="111"/>
      <c r="G523" s="111"/>
    </row>
    <row r="524" spans="1:7">
      <c r="A524" s="106"/>
      <c r="B524" s="111"/>
      <c r="C524" s="111"/>
      <c r="D524" s="111"/>
      <c r="E524" s="111"/>
      <c r="F524" s="111"/>
      <c r="G524" s="111"/>
    </row>
    <row r="525" spans="1:7">
      <c r="A525" s="106"/>
      <c r="B525" s="111"/>
      <c r="C525" s="111"/>
      <c r="D525" s="111"/>
      <c r="E525" s="111"/>
      <c r="F525" s="111"/>
      <c r="G525" s="111"/>
    </row>
    <row r="526" spans="1:7">
      <c r="A526" s="106"/>
      <c r="B526" s="111"/>
      <c r="C526" s="111"/>
      <c r="D526" s="111"/>
      <c r="E526" s="111"/>
      <c r="F526" s="111"/>
      <c r="G526" s="111"/>
    </row>
    <row r="527" spans="1:7">
      <c r="A527" s="106"/>
      <c r="B527" s="111"/>
      <c r="C527" s="111"/>
      <c r="D527" s="111"/>
      <c r="E527" s="111"/>
      <c r="F527" s="111"/>
      <c r="G527" s="111"/>
    </row>
    <row r="528" spans="1:7">
      <c r="A528" s="106"/>
      <c r="B528" s="111"/>
      <c r="C528" s="111"/>
      <c r="D528" s="111"/>
      <c r="E528" s="111"/>
      <c r="F528" s="111"/>
      <c r="G528" s="111"/>
    </row>
    <row r="529" spans="1:7">
      <c r="A529" s="106"/>
      <c r="B529" s="111"/>
      <c r="C529" s="111"/>
      <c r="D529" s="111"/>
      <c r="E529" s="111"/>
      <c r="F529" s="111"/>
      <c r="G529" s="111"/>
    </row>
    <row r="530" spans="1:7">
      <c r="A530" s="106"/>
      <c r="B530" s="111"/>
      <c r="C530" s="111"/>
      <c r="D530" s="111"/>
      <c r="E530" s="111"/>
      <c r="F530" s="111"/>
      <c r="G530" s="111"/>
    </row>
    <row r="531" spans="1:7">
      <c r="A531" s="106"/>
      <c r="B531" s="111"/>
      <c r="C531" s="111"/>
      <c r="D531" s="111"/>
      <c r="E531" s="111"/>
      <c r="F531" s="111"/>
      <c r="G531" s="111"/>
    </row>
    <row r="532" spans="1:7">
      <c r="A532" s="106"/>
      <c r="B532" s="111"/>
      <c r="C532" s="111"/>
      <c r="D532" s="111"/>
      <c r="E532" s="111"/>
      <c r="F532" s="111"/>
      <c r="G532" s="111"/>
    </row>
    <row r="533" spans="1:7">
      <c r="A533" s="106"/>
      <c r="B533" s="111"/>
      <c r="C533" s="111"/>
      <c r="D533" s="111"/>
      <c r="E533" s="111"/>
      <c r="F533" s="111"/>
      <c r="G533" s="111"/>
    </row>
    <row r="534" spans="1:7">
      <c r="A534" s="106"/>
      <c r="B534" s="111"/>
      <c r="C534" s="111"/>
      <c r="D534" s="111"/>
      <c r="E534" s="111"/>
      <c r="F534" s="111"/>
      <c r="G534" s="111"/>
    </row>
    <row r="535" spans="1:7">
      <c r="A535" s="106"/>
      <c r="B535" s="111"/>
      <c r="C535" s="111"/>
      <c r="D535" s="111"/>
      <c r="E535" s="111"/>
      <c r="F535" s="111"/>
      <c r="G535" s="111"/>
    </row>
    <row r="536" spans="1:7">
      <c r="A536" s="106"/>
      <c r="B536" s="111"/>
      <c r="C536" s="111"/>
      <c r="D536" s="111"/>
      <c r="E536" s="111"/>
      <c r="F536" s="111"/>
      <c r="G536" s="111"/>
    </row>
    <row r="537" spans="1:7">
      <c r="A537" s="106"/>
      <c r="B537" s="111"/>
      <c r="C537" s="111"/>
      <c r="D537" s="111"/>
      <c r="E537" s="111"/>
      <c r="F537" s="111"/>
      <c r="G537" s="111"/>
    </row>
    <row r="538" spans="1:7">
      <c r="A538" s="106"/>
      <c r="B538" s="111"/>
      <c r="C538" s="111"/>
      <c r="D538" s="111"/>
      <c r="E538" s="111"/>
      <c r="F538" s="111"/>
      <c r="G538" s="111"/>
    </row>
    <row r="539" spans="1:7">
      <c r="A539" s="106"/>
      <c r="B539" s="111"/>
      <c r="C539" s="111"/>
      <c r="D539" s="111"/>
      <c r="E539" s="111"/>
      <c r="F539" s="111"/>
      <c r="G539" s="111"/>
    </row>
    <row r="540" spans="1:7">
      <c r="A540" s="106"/>
      <c r="B540" s="111"/>
      <c r="C540" s="111"/>
      <c r="D540" s="111"/>
      <c r="E540" s="111"/>
      <c r="F540" s="111"/>
      <c r="G540" s="111"/>
    </row>
    <row r="541" spans="1:7">
      <c r="A541" s="106"/>
      <c r="B541" s="111"/>
      <c r="C541" s="111"/>
      <c r="D541" s="111"/>
      <c r="E541" s="111"/>
      <c r="F541" s="111"/>
      <c r="G541" s="111"/>
    </row>
    <row r="542" spans="1:7">
      <c r="A542" s="106"/>
      <c r="B542" s="111"/>
      <c r="C542" s="111"/>
      <c r="D542" s="111"/>
      <c r="E542" s="111"/>
      <c r="F542" s="111"/>
      <c r="G542" s="111"/>
    </row>
    <row r="543" spans="1:7">
      <c r="A543" s="106"/>
      <c r="B543" s="111"/>
      <c r="C543" s="111"/>
      <c r="D543" s="111"/>
      <c r="E543" s="111"/>
      <c r="F543" s="111"/>
      <c r="G543" s="111"/>
    </row>
    <row r="544" spans="1:7">
      <c r="A544" s="106"/>
      <c r="B544" s="111"/>
      <c r="C544" s="111"/>
      <c r="D544" s="111"/>
      <c r="E544" s="111"/>
      <c r="F544" s="111"/>
      <c r="G544" s="111"/>
    </row>
    <row r="545" spans="1:7">
      <c r="A545" s="106"/>
      <c r="B545" s="111"/>
      <c r="C545" s="111"/>
      <c r="D545" s="111"/>
      <c r="E545" s="111"/>
      <c r="F545" s="111"/>
      <c r="G545" s="111"/>
    </row>
    <row r="546" spans="1:7">
      <c r="A546" s="106"/>
      <c r="B546" s="111"/>
      <c r="C546" s="111"/>
      <c r="D546" s="111"/>
      <c r="E546" s="111"/>
      <c r="F546" s="111"/>
      <c r="G546" s="111"/>
    </row>
    <row r="547" spans="1:7">
      <c r="A547" s="106"/>
      <c r="B547" s="111"/>
      <c r="C547" s="111"/>
      <c r="D547" s="111"/>
      <c r="E547" s="111"/>
      <c r="F547" s="111"/>
      <c r="G547" s="111"/>
    </row>
    <row r="548" spans="1:7">
      <c r="A548" s="106"/>
      <c r="B548" s="111"/>
      <c r="C548" s="111"/>
      <c r="D548" s="111"/>
      <c r="E548" s="111"/>
      <c r="F548" s="111"/>
      <c r="G548" s="111"/>
    </row>
    <row r="549" spans="1:7">
      <c r="A549" s="106"/>
      <c r="B549" s="111"/>
      <c r="C549" s="111"/>
      <c r="D549" s="111"/>
      <c r="E549" s="111"/>
      <c r="F549" s="111"/>
      <c r="G549" s="111"/>
    </row>
    <row r="550" spans="1:7">
      <c r="A550" s="106"/>
      <c r="B550" s="111"/>
      <c r="C550" s="111"/>
      <c r="D550" s="111"/>
      <c r="E550" s="111"/>
      <c r="F550" s="111"/>
      <c r="G550" s="111"/>
    </row>
    <row r="551" spans="1:7">
      <c r="A551" s="106"/>
      <c r="B551" s="111"/>
      <c r="C551" s="111"/>
      <c r="D551" s="111"/>
      <c r="E551" s="111"/>
      <c r="F551" s="111"/>
      <c r="G551" s="111"/>
    </row>
    <row r="552" spans="1:7">
      <c r="A552" s="106"/>
      <c r="B552" s="111"/>
      <c r="C552" s="111"/>
      <c r="D552" s="111"/>
      <c r="E552" s="111"/>
      <c r="F552" s="111"/>
      <c r="G552" s="111"/>
    </row>
    <row r="553" spans="1:7">
      <c r="A553" s="106"/>
      <c r="B553" s="111"/>
      <c r="C553" s="111"/>
      <c r="D553" s="111"/>
      <c r="E553" s="111"/>
      <c r="F553" s="111"/>
      <c r="G553" s="111"/>
    </row>
    <row r="554" spans="1:7">
      <c r="A554" s="106"/>
      <c r="B554" s="111"/>
      <c r="C554" s="111"/>
      <c r="D554" s="111"/>
      <c r="E554" s="111"/>
      <c r="F554" s="111"/>
      <c r="G554" s="111"/>
    </row>
    <row r="555" spans="1:7">
      <c r="A555" s="106"/>
      <c r="B555" s="111"/>
      <c r="C555" s="111"/>
      <c r="D555" s="111"/>
      <c r="E555" s="111"/>
      <c r="F555" s="111"/>
      <c r="G555" s="111"/>
    </row>
    <row r="556" spans="1:7">
      <c r="A556" s="106"/>
      <c r="B556" s="111"/>
      <c r="C556" s="111"/>
      <c r="D556" s="111"/>
      <c r="E556" s="111"/>
      <c r="F556" s="111"/>
      <c r="G556" s="111"/>
    </row>
    <row r="557" spans="1:7">
      <c r="A557" s="106"/>
      <c r="B557" s="111"/>
      <c r="C557" s="111"/>
      <c r="D557" s="111"/>
      <c r="E557" s="111"/>
      <c r="F557" s="111"/>
      <c r="G557" s="111"/>
    </row>
    <row r="558" spans="1:7">
      <c r="A558" s="106"/>
      <c r="B558" s="111"/>
      <c r="C558" s="111"/>
      <c r="D558" s="111"/>
      <c r="E558" s="111"/>
      <c r="F558" s="111"/>
      <c r="G558" s="111"/>
    </row>
    <row r="559" spans="1:7">
      <c r="A559" s="106"/>
      <c r="B559" s="111"/>
      <c r="C559" s="111"/>
      <c r="D559" s="111"/>
      <c r="E559" s="111"/>
      <c r="F559" s="111"/>
      <c r="G559" s="111"/>
    </row>
    <row r="560" spans="1:7">
      <c r="A560" s="106"/>
      <c r="B560" s="111"/>
      <c r="C560" s="111"/>
      <c r="D560" s="111"/>
      <c r="E560" s="111"/>
      <c r="F560" s="111"/>
      <c r="G560" s="111"/>
    </row>
    <row r="561" spans="1:7">
      <c r="A561" s="106"/>
      <c r="B561" s="111"/>
      <c r="C561" s="111"/>
      <c r="D561" s="111"/>
      <c r="E561" s="111"/>
      <c r="F561" s="111"/>
      <c r="G561" s="111"/>
    </row>
    <row r="562" spans="1:7">
      <c r="A562" s="106"/>
      <c r="B562" s="111"/>
      <c r="C562" s="111"/>
      <c r="D562" s="111"/>
      <c r="E562" s="111"/>
      <c r="F562" s="111"/>
      <c r="G562" s="111"/>
    </row>
    <row r="563" spans="1:7">
      <c r="A563" s="106"/>
      <c r="B563" s="111"/>
      <c r="C563" s="111"/>
      <c r="D563" s="111"/>
      <c r="E563" s="111"/>
      <c r="F563" s="111"/>
      <c r="G563" s="111"/>
    </row>
    <row r="564" spans="1:7">
      <c r="A564" s="106"/>
      <c r="B564" s="111"/>
      <c r="C564" s="111"/>
      <c r="D564" s="111"/>
      <c r="E564" s="111"/>
      <c r="F564" s="111"/>
      <c r="G564" s="111"/>
    </row>
    <row r="565" spans="1:7">
      <c r="A565" s="106"/>
      <c r="B565" s="111"/>
      <c r="C565" s="111"/>
      <c r="D565" s="111"/>
      <c r="E565" s="111"/>
      <c r="F565" s="111"/>
      <c r="G565" s="111"/>
    </row>
    <row r="566" spans="1:7">
      <c r="A566" s="106"/>
      <c r="B566" s="111"/>
      <c r="C566" s="111"/>
      <c r="D566" s="111"/>
      <c r="E566" s="111"/>
      <c r="F566" s="111"/>
      <c r="G566" s="111"/>
    </row>
    <row r="567" spans="1:7">
      <c r="A567" s="106"/>
      <c r="B567" s="111"/>
      <c r="C567" s="111"/>
      <c r="D567" s="111"/>
      <c r="E567" s="111"/>
      <c r="F567" s="111"/>
      <c r="G567" s="111"/>
    </row>
    <row r="568" spans="1:7">
      <c r="A568" s="106"/>
      <c r="B568" s="111"/>
      <c r="C568" s="111"/>
      <c r="D568" s="111"/>
      <c r="E568" s="111"/>
      <c r="F568" s="111"/>
      <c r="G568" s="111"/>
    </row>
    <row r="569" spans="1:7">
      <c r="A569" s="106"/>
      <c r="B569" s="111"/>
      <c r="C569" s="111"/>
      <c r="D569" s="111"/>
      <c r="E569" s="111"/>
      <c r="F569" s="111"/>
      <c r="G569" s="111"/>
    </row>
    <row r="570" spans="1:7">
      <c r="A570" s="106"/>
      <c r="B570" s="111"/>
      <c r="C570" s="111"/>
      <c r="D570" s="111"/>
      <c r="E570" s="111"/>
      <c r="F570" s="111"/>
      <c r="G570" s="111"/>
    </row>
    <row r="571" spans="1:7">
      <c r="A571" s="106"/>
      <c r="B571" s="111"/>
      <c r="C571" s="111"/>
      <c r="D571" s="111"/>
      <c r="E571" s="111"/>
      <c r="F571" s="111"/>
      <c r="G571" s="111"/>
    </row>
    <row r="572" spans="1:7">
      <c r="A572" s="106"/>
      <c r="B572" s="111"/>
      <c r="C572" s="111"/>
      <c r="D572" s="111"/>
      <c r="E572" s="111"/>
      <c r="F572" s="111"/>
      <c r="G572" s="111"/>
    </row>
    <row r="573" spans="1:7">
      <c r="A573" s="106"/>
      <c r="B573" s="111"/>
      <c r="C573" s="111"/>
      <c r="D573" s="111"/>
      <c r="E573" s="111"/>
      <c r="F573" s="111"/>
      <c r="G573" s="111"/>
    </row>
    <row r="574" spans="1:7">
      <c r="A574" s="106"/>
      <c r="B574" s="111"/>
      <c r="C574" s="111"/>
      <c r="D574" s="111"/>
      <c r="E574" s="111"/>
      <c r="F574" s="111"/>
      <c r="G574" s="111"/>
    </row>
    <row r="575" spans="1:7">
      <c r="A575" s="106"/>
      <c r="B575" s="111"/>
      <c r="C575" s="111"/>
      <c r="D575" s="111"/>
      <c r="E575" s="111"/>
      <c r="F575" s="111"/>
      <c r="G575" s="111"/>
    </row>
    <row r="576" spans="1:7">
      <c r="A576" s="106"/>
      <c r="B576" s="111"/>
      <c r="C576" s="111"/>
      <c r="D576" s="111"/>
      <c r="E576" s="111"/>
      <c r="F576" s="111"/>
      <c r="G576" s="111"/>
    </row>
    <row r="577" spans="1:7">
      <c r="A577" s="106"/>
      <c r="B577" s="111"/>
      <c r="C577" s="111"/>
      <c r="D577" s="111"/>
      <c r="E577" s="111"/>
      <c r="F577" s="111"/>
      <c r="G577" s="111"/>
    </row>
    <row r="578" spans="1:7">
      <c r="A578" s="106"/>
      <c r="B578" s="111"/>
      <c r="C578" s="111"/>
      <c r="D578" s="111"/>
      <c r="E578" s="111"/>
      <c r="F578" s="111"/>
      <c r="G578" s="111"/>
    </row>
    <row r="579" spans="1:7">
      <c r="A579" s="106"/>
      <c r="B579" s="111"/>
      <c r="C579" s="111"/>
      <c r="D579" s="111"/>
      <c r="E579" s="111"/>
      <c r="F579" s="111"/>
      <c r="G579" s="111"/>
    </row>
    <row r="580" spans="1:7">
      <c r="A580" s="106"/>
      <c r="B580" s="111"/>
      <c r="C580" s="111"/>
      <c r="D580" s="111"/>
      <c r="E580" s="111"/>
      <c r="F580" s="111"/>
      <c r="G580" s="111"/>
    </row>
    <row r="581" spans="1:7">
      <c r="A581" s="106"/>
      <c r="B581" s="111"/>
      <c r="C581" s="111"/>
      <c r="D581" s="111"/>
      <c r="E581" s="111"/>
      <c r="F581" s="111"/>
      <c r="G581" s="111"/>
    </row>
    <row r="582" spans="1:7">
      <c r="A582" s="106"/>
      <c r="B582" s="111"/>
      <c r="C582" s="111"/>
      <c r="D582" s="111"/>
      <c r="E582" s="111"/>
      <c r="F582" s="111"/>
      <c r="G582" s="111"/>
    </row>
    <row r="583" spans="1:7">
      <c r="A583" s="106"/>
      <c r="B583" s="111"/>
      <c r="C583" s="111"/>
      <c r="D583" s="111"/>
      <c r="E583" s="111"/>
      <c r="F583" s="111"/>
      <c r="G583" s="111"/>
    </row>
    <row r="584" spans="1:7">
      <c r="A584" s="106"/>
      <c r="B584" s="111"/>
      <c r="C584" s="111"/>
      <c r="D584" s="111"/>
      <c r="E584" s="111"/>
      <c r="F584" s="111"/>
      <c r="G584" s="111"/>
    </row>
    <row r="585" spans="1:7">
      <c r="A585" s="106"/>
      <c r="B585" s="111"/>
      <c r="C585" s="111"/>
      <c r="D585" s="111"/>
      <c r="E585" s="111"/>
      <c r="F585" s="111"/>
      <c r="G585" s="111"/>
    </row>
    <row r="586" spans="1:7">
      <c r="A586" s="106"/>
      <c r="B586" s="111"/>
      <c r="C586" s="111"/>
      <c r="D586" s="111"/>
      <c r="E586" s="111"/>
      <c r="F586" s="111"/>
      <c r="G586" s="111"/>
    </row>
    <row r="587" spans="1:7">
      <c r="A587" s="106"/>
      <c r="B587" s="111"/>
      <c r="C587" s="111"/>
      <c r="D587" s="111"/>
      <c r="E587" s="111"/>
      <c r="F587" s="111"/>
      <c r="G587" s="111"/>
    </row>
    <row r="588" spans="1:7">
      <c r="A588" s="106"/>
      <c r="B588" s="111"/>
      <c r="C588" s="111"/>
      <c r="D588" s="111"/>
      <c r="E588" s="111"/>
      <c r="F588" s="111"/>
      <c r="G588" s="111"/>
    </row>
    <row r="589" spans="1:7">
      <c r="A589" s="106"/>
      <c r="B589" s="111"/>
      <c r="C589" s="111"/>
      <c r="D589" s="111"/>
      <c r="E589" s="111"/>
      <c r="F589" s="111"/>
      <c r="G589" s="111"/>
    </row>
    <row r="590" spans="1:7">
      <c r="A590" s="106"/>
      <c r="B590" s="111"/>
      <c r="C590" s="111"/>
      <c r="D590" s="111"/>
      <c r="E590" s="111"/>
      <c r="F590" s="111"/>
      <c r="G590" s="111"/>
    </row>
    <row r="591" spans="1:7">
      <c r="A591" s="106"/>
      <c r="B591" s="111"/>
      <c r="C591" s="111"/>
      <c r="D591" s="111"/>
      <c r="E591" s="111"/>
      <c r="F591" s="111"/>
      <c r="G591" s="111"/>
    </row>
    <row r="592" spans="1:7">
      <c r="A592" s="106"/>
      <c r="B592" s="111"/>
      <c r="C592" s="111"/>
      <c r="D592" s="111"/>
      <c r="E592" s="111"/>
      <c r="F592" s="111"/>
      <c r="G592" s="111"/>
    </row>
    <row r="593" spans="1:7">
      <c r="A593" s="106"/>
      <c r="B593" s="111"/>
      <c r="C593" s="111"/>
      <c r="D593" s="111"/>
      <c r="E593" s="111"/>
      <c r="F593" s="111"/>
      <c r="G593" s="111"/>
    </row>
    <row r="594" spans="1:7">
      <c r="A594" s="106"/>
      <c r="B594" s="111"/>
      <c r="C594" s="111"/>
      <c r="D594" s="111"/>
      <c r="E594" s="111"/>
      <c r="F594" s="111"/>
      <c r="G594" s="111"/>
    </row>
    <row r="595" spans="1:7">
      <c r="A595" s="106"/>
      <c r="B595" s="111"/>
      <c r="C595" s="111"/>
      <c r="D595" s="111"/>
      <c r="E595" s="111"/>
      <c r="F595" s="111"/>
      <c r="G595" s="111"/>
    </row>
    <row r="596" spans="1:7">
      <c r="A596" s="106"/>
      <c r="B596" s="111"/>
      <c r="C596" s="111"/>
      <c r="D596" s="111"/>
      <c r="E596" s="111"/>
      <c r="F596" s="111"/>
      <c r="G596" s="111"/>
    </row>
    <row r="597" spans="1:7">
      <c r="A597" s="106"/>
      <c r="B597" s="111"/>
      <c r="C597" s="111"/>
      <c r="D597" s="111"/>
      <c r="E597" s="111"/>
      <c r="F597" s="111"/>
      <c r="G597" s="111"/>
    </row>
    <row r="598" spans="1:7">
      <c r="A598" s="106"/>
      <c r="B598" s="111"/>
      <c r="C598" s="111"/>
      <c r="D598" s="111"/>
      <c r="E598" s="111"/>
      <c r="F598" s="111"/>
      <c r="G598" s="111"/>
    </row>
    <row r="599" spans="1:7">
      <c r="A599" s="106"/>
      <c r="B599" s="111"/>
      <c r="C599" s="111"/>
      <c r="D599" s="111"/>
      <c r="E599" s="111"/>
      <c r="F599" s="111"/>
      <c r="G599" s="111"/>
    </row>
    <row r="600" spans="1:7">
      <c r="A600" s="106"/>
      <c r="B600" s="111"/>
      <c r="C600" s="111"/>
      <c r="D600" s="111"/>
      <c r="E600" s="111"/>
      <c r="F600" s="111"/>
      <c r="G600" s="111"/>
    </row>
    <row r="601" spans="1:7">
      <c r="A601" s="106"/>
      <c r="B601" s="111"/>
      <c r="C601" s="111"/>
      <c r="D601" s="111"/>
      <c r="E601" s="111"/>
      <c r="F601" s="111"/>
      <c r="G601" s="111"/>
    </row>
    <row r="602" spans="1:7">
      <c r="A602" s="106"/>
      <c r="B602" s="111"/>
      <c r="C602" s="111"/>
      <c r="D602" s="111"/>
      <c r="E602" s="111"/>
      <c r="F602" s="111"/>
      <c r="G602" s="111"/>
    </row>
    <row r="603" spans="1:7">
      <c r="A603" s="106"/>
      <c r="B603" s="111"/>
      <c r="C603" s="111"/>
      <c r="D603" s="111"/>
      <c r="E603" s="111"/>
      <c r="F603" s="111"/>
      <c r="G603" s="111"/>
    </row>
    <row r="604" spans="1:7">
      <c r="A604" s="106"/>
      <c r="B604" s="111"/>
      <c r="C604" s="111"/>
      <c r="D604" s="111"/>
      <c r="E604" s="111"/>
      <c r="F604" s="111"/>
      <c r="G604" s="111"/>
    </row>
    <row r="605" spans="1:7">
      <c r="A605" s="106"/>
      <c r="B605" s="111"/>
      <c r="C605" s="111"/>
      <c r="D605" s="111"/>
      <c r="E605" s="111"/>
      <c r="F605" s="111"/>
      <c r="G605" s="111"/>
    </row>
    <row r="606" spans="1:7">
      <c r="A606" s="106"/>
      <c r="B606" s="111"/>
      <c r="C606" s="111"/>
      <c r="D606" s="111"/>
      <c r="E606" s="111"/>
      <c r="F606" s="111"/>
      <c r="G606" s="111"/>
    </row>
    <row r="607" spans="1:7">
      <c r="A607" s="106"/>
      <c r="B607" s="111"/>
      <c r="C607" s="111"/>
      <c r="D607" s="111"/>
      <c r="E607" s="111"/>
      <c r="F607" s="111"/>
      <c r="G607" s="111"/>
    </row>
    <row r="608" spans="1:7">
      <c r="A608" s="106"/>
      <c r="B608" s="111"/>
      <c r="C608" s="111"/>
      <c r="D608" s="111"/>
      <c r="E608" s="111"/>
      <c r="F608" s="111"/>
      <c r="G608" s="111"/>
    </row>
    <row r="609" spans="1:7">
      <c r="A609" s="106"/>
      <c r="B609" s="111"/>
      <c r="C609" s="111"/>
      <c r="D609" s="111"/>
      <c r="E609" s="111"/>
      <c r="F609" s="111"/>
      <c r="G609" s="111"/>
    </row>
    <row r="610" spans="1:7">
      <c r="A610" s="106"/>
      <c r="B610" s="111"/>
      <c r="C610" s="111"/>
      <c r="D610" s="111"/>
      <c r="E610" s="111"/>
      <c r="F610" s="111"/>
      <c r="G610" s="111"/>
    </row>
    <row r="611" spans="1:7">
      <c r="A611" s="106"/>
      <c r="B611" s="111"/>
      <c r="C611" s="111"/>
      <c r="D611" s="111"/>
      <c r="E611" s="111"/>
      <c r="F611" s="111"/>
      <c r="G611" s="111"/>
    </row>
    <row r="612" spans="1:7">
      <c r="A612" s="106"/>
      <c r="B612" s="111"/>
      <c r="C612" s="111"/>
      <c r="D612" s="111"/>
      <c r="E612" s="111"/>
      <c r="F612" s="111"/>
      <c r="G612" s="111"/>
    </row>
    <row r="613" spans="1:7">
      <c r="A613" s="106"/>
      <c r="B613" s="111"/>
      <c r="C613" s="111"/>
      <c r="D613" s="111"/>
      <c r="E613" s="111"/>
      <c r="F613" s="111"/>
      <c r="G613" s="111"/>
    </row>
    <row r="614" spans="1:7">
      <c r="A614" s="106"/>
      <c r="B614" s="111"/>
      <c r="C614" s="111"/>
      <c r="D614" s="111"/>
      <c r="E614" s="111"/>
      <c r="F614" s="111"/>
      <c r="G614" s="111"/>
    </row>
    <row r="615" spans="1:7">
      <c r="A615" s="106"/>
      <c r="B615" s="111"/>
      <c r="C615" s="111"/>
      <c r="D615" s="111"/>
      <c r="E615" s="111"/>
      <c r="F615" s="111"/>
      <c r="G615" s="111"/>
    </row>
    <row r="616" spans="1:7">
      <c r="A616" s="106"/>
      <c r="B616" s="111"/>
      <c r="C616" s="111"/>
      <c r="D616" s="111"/>
      <c r="E616" s="111"/>
      <c r="F616" s="111"/>
      <c r="G616" s="111"/>
    </row>
    <row r="617" spans="1:7">
      <c r="A617" s="106"/>
      <c r="B617" s="111"/>
      <c r="C617" s="111"/>
      <c r="D617" s="111"/>
      <c r="E617" s="111"/>
      <c r="F617" s="111"/>
      <c r="G617" s="111"/>
    </row>
    <row r="618" spans="1:7">
      <c r="A618" s="106"/>
      <c r="B618" s="111"/>
      <c r="C618" s="111"/>
      <c r="D618" s="111"/>
      <c r="E618" s="111"/>
      <c r="F618" s="111"/>
      <c r="G618" s="111"/>
    </row>
    <row r="619" spans="1:7">
      <c r="A619" s="106"/>
      <c r="B619" s="111"/>
      <c r="C619" s="111"/>
      <c r="D619" s="111"/>
      <c r="E619" s="111"/>
      <c r="F619" s="111"/>
      <c r="G619" s="111"/>
    </row>
    <row r="620" spans="1:7">
      <c r="A620" s="106"/>
      <c r="B620" s="111"/>
      <c r="C620" s="111"/>
      <c r="D620" s="111"/>
      <c r="E620" s="111"/>
      <c r="F620" s="111"/>
      <c r="G620" s="111"/>
    </row>
    <row r="621" spans="1:7">
      <c r="A621" s="106"/>
      <c r="B621" s="111"/>
      <c r="C621" s="111"/>
      <c r="D621" s="111"/>
      <c r="E621" s="111"/>
      <c r="F621" s="111"/>
      <c r="G621" s="111"/>
    </row>
    <row r="622" spans="1:7">
      <c r="A622" s="106"/>
      <c r="B622" s="111"/>
      <c r="C622" s="111"/>
      <c r="D622" s="111"/>
      <c r="E622" s="111"/>
      <c r="F622" s="111"/>
      <c r="G622" s="111"/>
    </row>
    <row r="623" spans="1:7">
      <c r="A623" s="106"/>
      <c r="B623" s="111"/>
      <c r="C623" s="111"/>
      <c r="D623" s="111"/>
      <c r="E623" s="111"/>
      <c r="F623" s="111"/>
      <c r="G623" s="111"/>
    </row>
    <row r="624" spans="1:7">
      <c r="A624" s="106"/>
      <c r="B624" s="111"/>
      <c r="C624" s="111"/>
      <c r="D624" s="111"/>
      <c r="E624" s="111"/>
      <c r="F624" s="111"/>
      <c r="G624" s="111"/>
    </row>
    <row r="625" spans="1:7">
      <c r="A625" s="106"/>
      <c r="B625" s="111"/>
      <c r="C625" s="111"/>
      <c r="D625" s="111"/>
      <c r="E625" s="111"/>
      <c r="F625" s="111"/>
      <c r="G625" s="111"/>
    </row>
    <row r="626" spans="1:7">
      <c r="A626" s="106"/>
      <c r="B626" s="111"/>
      <c r="C626" s="111"/>
      <c r="D626" s="111"/>
      <c r="E626" s="111"/>
      <c r="F626" s="111"/>
      <c r="G626" s="111"/>
    </row>
    <row r="627" spans="1:7">
      <c r="A627" s="106"/>
      <c r="B627" s="111"/>
      <c r="C627" s="111"/>
      <c r="D627" s="111"/>
      <c r="E627" s="111"/>
      <c r="F627" s="111"/>
      <c r="G627" s="111"/>
    </row>
    <row r="628" spans="1:7">
      <c r="A628" s="106"/>
      <c r="B628" s="111"/>
      <c r="C628" s="111"/>
      <c r="D628" s="111"/>
      <c r="E628" s="111"/>
      <c r="F628" s="111"/>
      <c r="G628" s="111"/>
    </row>
    <row r="629" spans="1:7">
      <c r="A629" s="106"/>
      <c r="B629" s="111"/>
      <c r="C629" s="111"/>
      <c r="D629" s="111"/>
      <c r="E629" s="111"/>
      <c r="F629" s="111"/>
      <c r="G629" s="111"/>
    </row>
    <row r="630" spans="1:7">
      <c r="A630" s="106"/>
      <c r="B630" s="111"/>
      <c r="C630" s="111"/>
      <c r="D630" s="111"/>
      <c r="E630" s="111"/>
      <c r="F630" s="111"/>
      <c r="G630" s="111"/>
    </row>
    <row r="631" spans="1:7">
      <c r="A631" s="106"/>
      <c r="B631" s="111"/>
      <c r="C631" s="111"/>
      <c r="D631" s="111"/>
      <c r="E631" s="111"/>
      <c r="F631" s="111"/>
      <c r="G631" s="111"/>
    </row>
    <row r="632" spans="1:7">
      <c r="A632" s="106"/>
      <c r="B632" s="111"/>
      <c r="C632" s="111"/>
      <c r="D632" s="111"/>
      <c r="E632" s="111"/>
      <c r="F632" s="111"/>
      <c r="G632" s="111"/>
    </row>
    <row r="633" spans="1:7">
      <c r="A633" s="106"/>
      <c r="B633" s="111"/>
      <c r="C633" s="111"/>
      <c r="D633" s="111"/>
      <c r="E633" s="111"/>
      <c r="F633" s="111"/>
      <c r="G633" s="111"/>
    </row>
    <row r="634" spans="1:7">
      <c r="A634" s="106"/>
      <c r="B634" s="111"/>
      <c r="C634" s="111"/>
      <c r="D634" s="111"/>
      <c r="E634" s="111"/>
      <c r="F634" s="111"/>
      <c r="G634" s="111"/>
    </row>
    <row r="635" spans="1:7">
      <c r="A635" s="106"/>
      <c r="B635" s="111"/>
      <c r="C635" s="111"/>
      <c r="D635" s="111"/>
      <c r="E635" s="111"/>
      <c r="F635" s="111"/>
      <c r="G635" s="111"/>
    </row>
    <row r="636" spans="1:7">
      <c r="A636" s="106"/>
      <c r="B636" s="111"/>
      <c r="C636" s="111"/>
      <c r="D636" s="111"/>
      <c r="E636" s="111"/>
      <c r="F636" s="111"/>
      <c r="G636" s="111"/>
    </row>
    <row r="637" spans="1:7">
      <c r="A637" s="106"/>
      <c r="B637" s="111"/>
      <c r="C637" s="111"/>
      <c r="D637" s="111"/>
      <c r="E637" s="111"/>
      <c r="F637" s="111"/>
      <c r="G637" s="111"/>
    </row>
    <row r="638" spans="1:7">
      <c r="A638" s="106"/>
      <c r="B638" s="111"/>
      <c r="C638" s="111"/>
      <c r="D638" s="111"/>
      <c r="E638" s="111"/>
      <c r="F638" s="111"/>
      <c r="G638" s="111"/>
    </row>
    <row r="639" spans="1:7">
      <c r="A639" s="106"/>
      <c r="B639" s="111"/>
      <c r="C639" s="111"/>
      <c r="D639" s="111"/>
      <c r="E639" s="111"/>
      <c r="F639" s="111"/>
      <c r="G639" s="111"/>
    </row>
    <row r="640" spans="1:7">
      <c r="A640" s="106"/>
      <c r="B640" s="111"/>
      <c r="C640" s="111"/>
      <c r="D640" s="111"/>
      <c r="E640" s="111"/>
      <c r="F640" s="111"/>
      <c r="G640" s="111"/>
    </row>
    <row r="641" spans="1:7">
      <c r="A641" s="106"/>
      <c r="B641" s="111"/>
      <c r="C641" s="111"/>
      <c r="D641" s="111"/>
      <c r="E641" s="111"/>
      <c r="F641" s="111"/>
      <c r="G641" s="111"/>
    </row>
    <row r="642" spans="1:7">
      <c r="A642" s="106"/>
      <c r="B642" s="111"/>
      <c r="C642" s="111"/>
      <c r="D642" s="111"/>
      <c r="E642" s="111"/>
      <c r="F642" s="111"/>
      <c r="G642" s="111"/>
    </row>
    <row r="643" spans="1:7">
      <c r="A643" s="106"/>
      <c r="B643" s="111"/>
      <c r="C643" s="111"/>
      <c r="D643" s="111"/>
      <c r="E643" s="111"/>
      <c r="F643" s="111"/>
      <c r="G643" s="111"/>
    </row>
    <row r="644" spans="1:7">
      <c r="A644" s="106"/>
      <c r="B644" s="111"/>
      <c r="C644" s="111"/>
      <c r="D644" s="111"/>
      <c r="E644" s="111"/>
      <c r="F644" s="111"/>
      <c r="G644" s="111"/>
    </row>
    <row r="645" spans="1:7">
      <c r="A645" s="106"/>
      <c r="B645" s="111"/>
      <c r="C645" s="111"/>
      <c r="D645" s="111"/>
      <c r="E645" s="111"/>
      <c r="F645" s="111"/>
      <c r="G645" s="111"/>
    </row>
    <row r="646" spans="1:7">
      <c r="A646" s="106"/>
      <c r="B646" s="111"/>
      <c r="C646" s="111"/>
      <c r="D646" s="111"/>
      <c r="E646" s="111"/>
      <c r="F646" s="111"/>
      <c r="G646" s="111"/>
    </row>
    <row r="647" spans="1:7">
      <c r="A647" s="106"/>
      <c r="B647" s="111"/>
      <c r="C647" s="111"/>
      <c r="D647" s="111"/>
      <c r="E647" s="111"/>
      <c r="F647" s="111"/>
      <c r="G647" s="111"/>
    </row>
    <row r="648" spans="1:7">
      <c r="A648" s="106"/>
      <c r="B648" s="111"/>
      <c r="C648" s="111"/>
      <c r="D648" s="111"/>
      <c r="E648" s="111"/>
      <c r="F648" s="111"/>
      <c r="G648" s="111"/>
    </row>
    <row r="649" spans="1:7">
      <c r="A649" s="106"/>
      <c r="B649" s="111"/>
      <c r="C649" s="111"/>
      <c r="D649" s="111"/>
      <c r="E649" s="111"/>
      <c r="F649" s="111"/>
      <c r="G649" s="111"/>
    </row>
    <row r="650" spans="1:7">
      <c r="A650" s="106"/>
      <c r="B650" s="111"/>
      <c r="C650" s="111"/>
      <c r="D650" s="111"/>
      <c r="E650" s="111"/>
      <c r="F650" s="111"/>
      <c r="G650" s="111"/>
    </row>
    <row r="651" spans="1:7">
      <c r="A651" s="106"/>
      <c r="B651" s="111"/>
      <c r="C651" s="111"/>
      <c r="D651" s="111"/>
      <c r="E651" s="111"/>
      <c r="F651" s="111"/>
      <c r="G651" s="111"/>
    </row>
    <row r="652" spans="1:7">
      <c r="A652" s="106"/>
      <c r="B652" s="111"/>
      <c r="C652" s="111"/>
      <c r="D652" s="111"/>
      <c r="E652" s="111"/>
      <c r="F652" s="111"/>
      <c r="G652" s="111"/>
    </row>
    <row r="653" spans="1:7">
      <c r="A653" s="106"/>
      <c r="B653" s="111"/>
      <c r="C653" s="111"/>
      <c r="D653" s="111"/>
      <c r="E653" s="111"/>
      <c r="F653" s="111"/>
      <c r="G653" s="111"/>
    </row>
    <row r="654" spans="1:7">
      <c r="A654" s="106"/>
      <c r="B654" s="111"/>
      <c r="C654" s="111"/>
      <c r="D654" s="111"/>
      <c r="E654" s="111"/>
      <c r="F654" s="111"/>
      <c r="G654" s="111"/>
    </row>
    <row r="655" spans="1:7">
      <c r="A655" s="106"/>
      <c r="B655" s="111"/>
      <c r="C655" s="111"/>
      <c r="D655" s="111"/>
      <c r="E655" s="111"/>
      <c r="F655" s="111"/>
      <c r="G655" s="111"/>
    </row>
    <row r="656" spans="1:7">
      <c r="A656" s="106"/>
      <c r="B656" s="111"/>
      <c r="C656" s="111"/>
      <c r="D656" s="111"/>
      <c r="E656" s="111"/>
      <c r="F656" s="111"/>
      <c r="G656" s="111"/>
    </row>
    <row r="657" spans="1:7">
      <c r="A657" s="106"/>
      <c r="B657" s="111"/>
      <c r="C657" s="111"/>
      <c r="D657" s="111"/>
      <c r="E657" s="111"/>
      <c r="F657" s="111"/>
      <c r="G657" s="111"/>
    </row>
    <row r="658" spans="1:7">
      <c r="A658" s="106"/>
      <c r="B658" s="111"/>
      <c r="C658" s="111"/>
      <c r="D658" s="111"/>
      <c r="E658" s="111"/>
      <c r="F658" s="111"/>
      <c r="G658" s="111"/>
    </row>
    <row r="659" spans="1:7">
      <c r="A659" s="106"/>
      <c r="B659" s="111"/>
      <c r="C659" s="111"/>
      <c r="D659" s="111"/>
      <c r="E659" s="111"/>
      <c r="F659" s="111"/>
      <c r="G659" s="111"/>
    </row>
    <row r="660" spans="1:7">
      <c r="A660" s="106"/>
      <c r="B660" s="111"/>
      <c r="C660" s="111"/>
      <c r="D660" s="111"/>
      <c r="E660" s="111"/>
      <c r="F660" s="111"/>
      <c r="G660" s="111"/>
    </row>
    <row r="661" spans="1:7">
      <c r="A661" s="106"/>
      <c r="B661" s="111"/>
      <c r="C661" s="111"/>
      <c r="D661" s="111"/>
      <c r="E661" s="111"/>
      <c r="F661" s="111"/>
      <c r="G661" s="111"/>
    </row>
    <row r="662" spans="1:7">
      <c r="A662" s="106"/>
      <c r="B662" s="111"/>
      <c r="C662" s="111"/>
      <c r="D662" s="111"/>
      <c r="E662" s="111"/>
      <c r="F662" s="111"/>
      <c r="G662" s="111"/>
    </row>
    <row r="663" spans="1:7">
      <c r="A663" s="106"/>
      <c r="B663" s="111"/>
      <c r="C663" s="111"/>
      <c r="D663" s="111"/>
      <c r="E663" s="111"/>
      <c r="F663" s="111"/>
      <c r="G663" s="111"/>
    </row>
    <row r="664" spans="1:7">
      <c r="A664" s="106"/>
      <c r="B664" s="111"/>
      <c r="C664" s="111"/>
      <c r="D664" s="111"/>
      <c r="E664" s="111"/>
      <c r="F664" s="111"/>
      <c r="G664" s="111"/>
    </row>
    <row r="665" spans="1:7">
      <c r="A665" s="106"/>
      <c r="B665" s="111"/>
      <c r="C665" s="111"/>
      <c r="D665" s="111"/>
      <c r="E665" s="111"/>
      <c r="F665" s="111"/>
      <c r="G665" s="111"/>
    </row>
    <row r="666" spans="1:7">
      <c r="A666" s="106"/>
      <c r="B666" s="111"/>
      <c r="C666" s="111"/>
      <c r="D666" s="111"/>
      <c r="E666" s="111"/>
      <c r="F666" s="111"/>
      <c r="G666" s="111"/>
    </row>
    <row r="667" spans="1:7">
      <c r="A667" s="106"/>
      <c r="B667" s="111"/>
      <c r="C667" s="111"/>
      <c r="D667" s="111"/>
      <c r="E667" s="111"/>
      <c r="F667" s="111"/>
      <c r="G667" s="111"/>
    </row>
    <row r="668" spans="1:7">
      <c r="A668" s="106"/>
      <c r="B668" s="111"/>
      <c r="C668" s="111"/>
      <c r="D668" s="111"/>
      <c r="E668" s="111"/>
      <c r="F668" s="111"/>
      <c r="G668" s="111"/>
    </row>
    <row r="669" spans="1:7">
      <c r="A669" s="106"/>
      <c r="B669" s="111"/>
      <c r="C669" s="111"/>
      <c r="D669" s="111"/>
      <c r="E669" s="111"/>
      <c r="F669" s="111"/>
      <c r="G669" s="111"/>
    </row>
    <row r="670" spans="1:7">
      <c r="A670" s="106"/>
      <c r="B670" s="111"/>
      <c r="C670" s="111"/>
      <c r="D670" s="111"/>
      <c r="E670" s="111"/>
      <c r="F670" s="111"/>
      <c r="G670" s="111"/>
    </row>
    <row r="671" spans="1:7">
      <c r="A671" s="106"/>
      <c r="B671" s="111"/>
      <c r="C671" s="111"/>
      <c r="D671" s="111"/>
      <c r="E671" s="111"/>
      <c r="F671" s="111"/>
      <c r="G671" s="111"/>
    </row>
    <row r="672" spans="1:7">
      <c r="A672" s="106"/>
      <c r="B672" s="111"/>
      <c r="C672" s="111"/>
      <c r="D672" s="111"/>
      <c r="E672" s="111"/>
      <c r="F672" s="111"/>
      <c r="G672" s="111"/>
    </row>
    <row r="673" spans="1:7">
      <c r="A673" s="106"/>
      <c r="B673" s="111"/>
      <c r="C673" s="111"/>
      <c r="D673" s="111"/>
      <c r="E673" s="111"/>
      <c r="F673" s="111"/>
      <c r="G673" s="111"/>
    </row>
    <row r="674" spans="1:7">
      <c r="A674" s="106"/>
      <c r="B674" s="111"/>
      <c r="C674" s="111"/>
      <c r="D674" s="111"/>
      <c r="E674" s="111"/>
      <c r="F674" s="111"/>
      <c r="G674" s="111"/>
    </row>
    <row r="675" spans="1:7">
      <c r="A675" s="106"/>
      <c r="B675" s="111"/>
      <c r="C675" s="111"/>
      <c r="D675" s="111"/>
      <c r="E675" s="111"/>
      <c r="F675" s="111"/>
      <c r="G675" s="111"/>
    </row>
    <row r="676" spans="1:7">
      <c r="A676" s="106"/>
      <c r="B676" s="111"/>
      <c r="C676" s="111"/>
      <c r="D676" s="111"/>
      <c r="E676" s="111"/>
      <c r="F676" s="111"/>
      <c r="G676" s="111"/>
    </row>
    <row r="677" spans="1:7">
      <c r="A677" s="106"/>
      <c r="B677" s="111"/>
      <c r="C677" s="111"/>
      <c r="D677" s="111"/>
      <c r="E677" s="111"/>
      <c r="F677" s="111"/>
      <c r="G677" s="111"/>
    </row>
    <row r="678" spans="1:7">
      <c r="A678" s="106"/>
      <c r="B678" s="111"/>
      <c r="C678" s="111"/>
      <c r="D678" s="111"/>
      <c r="E678" s="111"/>
      <c r="F678" s="111"/>
      <c r="G678" s="111"/>
    </row>
    <row r="679" spans="1:7">
      <c r="A679" s="106"/>
      <c r="B679" s="111"/>
      <c r="C679" s="111"/>
      <c r="D679" s="111"/>
      <c r="E679" s="111"/>
      <c r="F679" s="111"/>
      <c r="G679" s="111"/>
    </row>
    <row r="680" spans="1:7">
      <c r="A680" s="106"/>
      <c r="B680" s="111"/>
      <c r="C680" s="111"/>
      <c r="D680" s="111"/>
      <c r="E680" s="111"/>
      <c r="F680" s="111"/>
      <c r="G680" s="111"/>
    </row>
    <row r="681" spans="1:7">
      <c r="A681" s="106"/>
      <c r="B681" s="111"/>
      <c r="C681" s="111"/>
      <c r="D681" s="111"/>
      <c r="E681" s="111"/>
      <c r="F681" s="111"/>
      <c r="G681" s="111"/>
    </row>
    <row r="682" spans="1:7">
      <c r="A682" s="106"/>
      <c r="B682" s="111"/>
      <c r="C682" s="111"/>
      <c r="D682" s="111"/>
      <c r="E682" s="111"/>
      <c r="F682" s="111"/>
      <c r="G682" s="111"/>
    </row>
    <row r="683" spans="1:7">
      <c r="A683" s="106"/>
      <c r="B683" s="111"/>
      <c r="C683" s="111"/>
      <c r="D683" s="111"/>
      <c r="E683" s="111"/>
      <c r="F683" s="111"/>
      <c r="G683" s="111"/>
    </row>
    <row r="684" spans="1:7">
      <c r="A684" s="106"/>
      <c r="B684" s="111"/>
      <c r="C684" s="111"/>
      <c r="D684" s="111"/>
      <c r="E684" s="111"/>
      <c r="F684" s="111"/>
      <c r="G684" s="111"/>
    </row>
    <row r="685" spans="1:7">
      <c r="A685" s="106"/>
      <c r="B685" s="111"/>
      <c r="C685" s="111"/>
      <c r="D685" s="111"/>
      <c r="E685" s="111"/>
      <c r="F685" s="111"/>
      <c r="G685" s="111"/>
    </row>
    <row r="686" spans="1:7">
      <c r="A686" s="106"/>
      <c r="B686" s="111"/>
      <c r="C686" s="111"/>
      <c r="D686" s="111"/>
      <c r="E686" s="111"/>
      <c r="F686" s="111"/>
      <c r="G686" s="111"/>
    </row>
    <row r="687" spans="1:7">
      <c r="A687" s="106"/>
      <c r="B687" s="111"/>
      <c r="C687" s="111"/>
      <c r="D687" s="111"/>
      <c r="E687" s="111"/>
      <c r="F687" s="111"/>
      <c r="G687" s="111"/>
    </row>
    <row r="688" spans="1:7">
      <c r="A688" s="106"/>
      <c r="B688" s="111"/>
      <c r="C688" s="111"/>
      <c r="D688" s="111"/>
      <c r="E688" s="111"/>
      <c r="F688" s="111"/>
      <c r="G688" s="111"/>
    </row>
    <row r="689" spans="1:7">
      <c r="A689" s="106"/>
      <c r="B689" s="111"/>
      <c r="C689" s="111"/>
      <c r="D689" s="111"/>
      <c r="E689" s="111"/>
      <c r="F689" s="111"/>
      <c r="G689" s="111"/>
    </row>
    <row r="690" spans="1:7">
      <c r="A690" s="106"/>
      <c r="B690" s="111"/>
      <c r="C690" s="111"/>
      <c r="D690" s="111"/>
      <c r="E690" s="111"/>
      <c r="F690" s="111"/>
      <c r="G690" s="111"/>
    </row>
    <row r="691" spans="1:7">
      <c r="A691" s="106"/>
      <c r="B691" s="111"/>
      <c r="C691" s="111"/>
      <c r="D691" s="111"/>
      <c r="E691" s="111"/>
      <c r="F691" s="111"/>
      <c r="G691" s="111"/>
    </row>
    <row r="692" spans="1:7">
      <c r="A692" s="106"/>
      <c r="B692" s="111"/>
      <c r="C692" s="111"/>
      <c r="D692" s="111"/>
      <c r="E692" s="111"/>
      <c r="F692" s="111"/>
      <c r="G692" s="111"/>
    </row>
    <row r="693" spans="1:7">
      <c r="A693" s="106"/>
      <c r="B693" s="111"/>
      <c r="C693" s="111"/>
      <c r="D693" s="111"/>
      <c r="E693" s="111"/>
      <c r="F693" s="111"/>
      <c r="G693" s="111"/>
    </row>
    <row r="694" spans="1:7">
      <c r="A694" s="106"/>
      <c r="B694" s="111"/>
      <c r="C694" s="111"/>
      <c r="D694" s="111"/>
      <c r="E694" s="111"/>
      <c r="F694" s="111"/>
      <c r="G694" s="111"/>
    </row>
    <row r="695" spans="1:7">
      <c r="A695" s="106"/>
      <c r="B695" s="111"/>
      <c r="C695" s="111"/>
      <c r="D695" s="111"/>
      <c r="E695" s="111"/>
      <c r="F695" s="111"/>
      <c r="G695" s="111"/>
    </row>
    <row r="696" spans="1:7">
      <c r="A696" s="106"/>
      <c r="B696" s="111"/>
      <c r="C696" s="111"/>
      <c r="D696" s="111"/>
      <c r="E696" s="111"/>
      <c r="F696" s="111"/>
      <c r="G696" s="111"/>
    </row>
    <row r="697" spans="1:7">
      <c r="A697" s="106"/>
      <c r="B697" s="111"/>
      <c r="C697" s="111"/>
      <c r="D697" s="111"/>
      <c r="E697" s="111"/>
      <c r="F697" s="111"/>
      <c r="G697" s="111"/>
    </row>
    <row r="698" spans="1:7">
      <c r="A698" s="106"/>
      <c r="B698" s="111"/>
      <c r="C698" s="111"/>
      <c r="D698" s="111"/>
      <c r="E698" s="111"/>
      <c r="F698" s="111"/>
      <c r="G698" s="111"/>
    </row>
    <row r="699" spans="1:7">
      <c r="A699" s="106"/>
      <c r="B699" s="111"/>
      <c r="C699" s="111"/>
      <c r="D699" s="111"/>
      <c r="E699" s="111"/>
      <c r="F699" s="111"/>
      <c r="G699" s="111"/>
    </row>
    <row r="700" spans="1:7">
      <c r="A700" s="106"/>
      <c r="B700" s="111"/>
      <c r="C700" s="111"/>
      <c r="D700" s="111"/>
      <c r="E700" s="111"/>
      <c r="F700" s="111"/>
      <c r="G700" s="111"/>
    </row>
    <row r="701" spans="1:7">
      <c r="A701" s="106"/>
      <c r="B701" s="111"/>
      <c r="C701" s="111"/>
      <c r="D701" s="111"/>
      <c r="E701" s="111"/>
      <c r="F701" s="111"/>
      <c r="G701" s="111"/>
    </row>
    <row r="702" spans="1:7">
      <c r="A702" s="106"/>
      <c r="B702" s="111"/>
      <c r="C702" s="111"/>
      <c r="D702" s="111"/>
      <c r="E702" s="111"/>
      <c r="F702" s="111"/>
      <c r="G702" s="111"/>
    </row>
    <row r="703" spans="1:7">
      <c r="A703" s="106"/>
      <c r="B703" s="111"/>
      <c r="C703" s="111"/>
      <c r="D703" s="111"/>
      <c r="E703" s="111"/>
      <c r="F703" s="111"/>
      <c r="G703" s="111"/>
    </row>
    <row r="704" spans="1:7">
      <c r="A704" s="106"/>
      <c r="B704" s="111"/>
      <c r="C704" s="111"/>
      <c r="D704" s="111"/>
      <c r="E704" s="111"/>
      <c r="F704" s="111"/>
      <c r="G704" s="111"/>
    </row>
    <row r="705" spans="1:7">
      <c r="A705" s="106"/>
      <c r="B705" s="111"/>
      <c r="C705" s="111"/>
      <c r="D705" s="111"/>
      <c r="E705" s="111"/>
      <c r="F705" s="111"/>
      <c r="G705" s="111"/>
    </row>
    <row r="706" spans="1:7">
      <c r="A706" s="106"/>
      <c r="B706" s="111"/>
      <c r="C706" s="111"/>
      <c r="D706" s="111"/>
      <c r="E706" s="111"/>
      <c r="F706" s="111"/>
      <c r="G706" s="111"/>
    </row>
    <row r="707" spans="1:7">
      <c r="A707" s="106"/>
      <c r="B707" s="111"/>
      <c r="C707" s="111"/>
      <c r="D707" s="111"/>
      <c r="E707" s="111"/>
      <c r="F707" s="111"/>
      <c r="G707" s="111"/>
    </row>
    <row r="708" spans="1:7">
      <c r="A708" s="106"/>
      <c r="B708" s="111"/>
      <c r="C708" s="111"/>
      <c r="D708" s="111"/>
      <c r="E708" s="111"/>
      <c r="F708" s="111"/>
      <c r="G708" s="111"/>
    </row>
    <row r="709" spans="1:7">
      <c r="A709" s="106"/>
      <c r="B709" s="111"/>
      <c r="C709" s="111"/>
      <c r="D709" s="111"/>
      <c r="E709" s="111"/>
      <c r="F709" s="111"/>
      <c r="G709" s="111"/>
    </row>
    <row r="710" spans="1:7">
      <c r="A710" s="106"/>
      <c r="B710" s="111"/>
      <c r="C710" s="111"/>
      <c r="D710" s="111"/>
      <c r="E710" s="111"/>
      <c r="F710" s="111"/>
      <c r="G710" s="111"/>
    </row>
    <row r="711" spans="1:7">
      <c r="A711" s="106"/>
      <c r="B711" s="111"/>
      <c r="C711" s="111"/>
      <c r="D711" s="111"/>
      <c r="E711" s="111"/>
      <c r="F711" s="111"/>
      <c r="G711" s="111"/>
    </row>
    <row r="712" spans="1:7">
      <c r="A712" s="106"/>
      <c r="B712" s="111"/>
      <c r="C712" s="111"/>
      <c r="D712" s="111"/>
      <c r="E712" s="111"/>
      <c r="F712" s="111"/>
      <c r="G712" s="111"/>
    </row>
    <row r="713" spans="1:7">
      <c r="A713" s="106"/>
      <c r="B713" s="111"/>
      <c r="C713" s="111"/>
      <c r="D713" s="111"/>
      <c r="E713" s="111"/>
      <c r="F713" s="111"/>
      <c r="G713" s="111"/>
    </row>
    <row r="714" spans="1:7">
      <c r="A714" s="106"/>
      <c r="B714" s="111"/>
      <c r="C714" s="111"/>
      <c r="D714" s="111"/>
      <c r="E714" s="111"/>
      <c r="F714" s="111"/>
      <c r="G714" s="111"/>
    </row>
    <row r="715" spans="1:7">
      <c r="A715" s="106"/>
      <c r="B715" s="111"/>
      <c r="C715" s="111"/>
      <c r="D715" s="111"/>
      <c r="E715" s="111"/>
      <c r="F715" s="111"/>
      <c r="G715" s="111"/>
    </row>
    <row r="716" spans="1:7">
      <c r="A716" s="106"/>
      <c r="B716" s="111"/>
      <c r="C716" s="111"/>
      <c r="D716" s="111"/>
      <c r="E716" s="111"/>
      <c r="F716" s="111"/>
      <c r="G716" s="111"/>
    </row>
    <row r="717" spans="1:7">
      <c r="A717" s="106"/>
      <c r="B717" s="111"/>
      <c r="C717" s="111"/>
      <c r="D717" s="111"/>
      <c r="E717" s="111"/>
      <c r="F717" s="111"/>
      <c r="G717" s="111"/>
    </row>
    <row r="718" spans="1:7">
      <c r="A718" s="106"/>
      <c r="B718" s="111"/>
      <c r="C718" s="111"/>
      <c r="D718" s="111"/>
      <c r="E718" s="111"/>
      <c r="F718" s="111"/>
      <c r="G718" s="111"/>
    </row>
    <row r="719" spans="1:7">
      <c r="A719" s="106"/>
      <c r="B719" s="111"/>
      <c r="C719" s="111"/>
      <c r="D719" s="111"/>
      <c r="E719" s="111"/>
      <c r="F719" s="111"/>
      <c r="G719" s="111"/>
    </row>
    <row r="720" spans="1:7">
      <c r="A720" s="106"/>
      <c r="B720" s="111"/>
      <c r="C720" s="111"/>
      <c r="D720" s="111"/>
      <c r="E720" s="111"/>
      <c r="F720" s="111"/>
      <c r="G720" s="111"/>
    </row>
    <row r="721" spans="1:7">
      <c r="A721" s="106"/>
      <c r="B721" s="111"/>
      <c r="C721" s="111"/>
      <c r="D721" s="111"/>
      <c r="E721" s="111"/>
      <c r="F721" s="111"/>
      <c r="G721" s="111"/>
    </row>
    <row r="722" spans="1:7">
      <c r="A722" s="106"/>
      <c r="B722" s="111"/>
      <c r="C722" s="111"/>
      <c r="D722" s="111"/>
      <c r="E722" s="111"/>
      <c r="F722" s="111"/>
      <c r="G722" s="111"/>
    </row>
    <row r="723" spans="1:7">
      <c r="A723" s="106"/>
      <c r="B723" s="111"/>
      <c r="C723" s="111"/>
      <c r="D723" s="111"/>
      <c r="E723" s="111"/>
      <c r="F723" s="111"/>
      <c r="G723" s="111"/>
    </row>
    <row r="724" spans="1:7">
      <c r="A724" s="106"/>
      <c r="B724" s="111"/>
      <c r="C724" s="111"/>
      <c r="D724" s="111"/>
      <c r="E724" s="111"/>
      <c r="F724" s="111"/>
      <c r="G724" s="111"/>
    </row>
    <row r="725" spans="1:7">
      <c r="A725" s="106"/>
      <c r="B725" s="111"/>
      <c r="C725" s="111"/>
      <c r="D725" s="111"/>
      <c r="E725" s="111"/>
      <c r="F725" s="111"/>
      <c r="G725" s="111"/>
    </row>
    <row r="726" spans="1:7">
      <c r="A726" s="106"/>
      <c r="B726" s="111"/>
      <c r="C726" s="111"/>
      <c r="D726" s="111"/>
      <c r="E726" s="111"/>
      <c r="F726" s="111"/>
      <c r="G726" s="111"/>
    </row>
    <row r="727" spans="1:7">
      <c r="A727" s="106"/>
      <c r="B727" s="111"/>
      <c r="C727" s="111"/>
      <c r="D727" s="111"/>
      <c r="E727" s="111"/>
      <c r="F727" s="111"/>
      <c r="G727" s="111"/>
    </row>
    <row r="728" spans="1:7">
      <c r="A728" s="106"/>
      <c r="B728" s="111"/>
      <c r="C728" s="111"/>
      <c r="D728" s="111"/>
      <c r="E728" s="111"/>
      <c r="F728" s="111"/>
      <c r="G728" s="111"/>
    </row>
    <row r="729" spans="1:7">
      <c r="A729" s="106"/>
      <c r="B729" s="111"/>
      <c r="C729" s="111"/>
      <c r="D729" s="111"/>
      <c r="E729" s="111"/>
      <c r="F729" s="111"/>
      <c r="G729" s="111"/>
    </row>
    <row r="730" spans="1:7">
      <c r="A730" s="106"/>
      <c r="B730" s="111"/>
      <c r="C730" s="111"/>
      <c r="D730" s="111"/>
      <c r="E730" s="111"/>
      <c r="F730" s="111"/>
      <c r="G730" s="111"/>
    </row>
    <row r="731" spans="1:7">
      <c r="A731" s="106"/>
      <c r="B731" s="111"/>
      <c r="C731" s="111"/>
      <c r="D731" s="111"/>
      <c r="E731" s="111"/>
      <c r="F731" s="111"/>
      <c r="G731" s="111"/>
    </row>
    <row r="732" spans="1:7">
      <c r="A732" s="106"/>
      <c r="B732" s="111"/>
      <c r="C732" s="111"/>
      <c r="D732" s="111"/>
      <c r="E732" s="111"/>
      <c r="F732" s="111"/>
      <c r="G732" s="111"/>
    </row>
    <row r="733" spans="1:7">
      <c r="A733" s="106"/>
      <c r="B733" s="111"/>
      <c r="C733" s="111"/>
      <c r="D733" s="111"/>
      <c r="E733" s="111"/>
      <c r="F733" s="111"/>
      <c r="G733" s="111"/>
    </row>
    <row r="734" spans="1:7">
      <c r="A734" s="106"/>
      <c r="B734" s="111"/>
      <c r="C734" s="111"/>
      <c r="D734" s="111"/>
      <c r="E734" s="111"/>
      <c r="F734" s="111"/>
      <c r="G734" s="111"/>
    </row>
    <row r="735" spans="1:7">
      <c r="A735" s="106"/>
      <c r="B735" s="111"/>
      <c r="C735" s="111"/>
      <c r="D735" s="111"/>
      <c r="E735" s="111"/>
      <c r="F735" s="111"/>
      <c r="G735" s="111"/>
    </row>
    <row r="736" spans="1:7">
      <c r="A736" s="106"/>
      <c r="B736" s="111"/>
      <c r="C736" s="111"/>
      <c r="D736" s="111"/>
      <c r="E736" s="111"/>
      <c r="F736" s="111"/>
      <c r="G736" s="111"/>
    </row>
    <row r="737" spans="1:7">
      <c r="A737" s="106"/>
      <c r="B737" s="111"/>
      <c r="C737" s="111"/>
      <c r="D737" s="111"/>
      <c r="E737" s="111"/>
      <c r="F737" s="111"/>
      <c r="G737" s="111"/>
    </row>
    <row r="738" spans="1:7">
      <c r="A738" s="106"/>
      <c r="B738" s="111"/>
      <c r="C738" s="111"/>
      <c r="D738" s="111"/>
      <c r="E738" s="111"/>
      <c r="F738" s="111"/>
      <c r="G738" s="111"/>
    </row>
    <row r="739" spans="1:7">
      <c r="A739" s="106"/>
      <c r="B739" s="111"/>
      <c r="C739" s="111"/>
      <c r="D739" s="111"/>
      <c r="E739" s="111"/>
      <c r="F739" s="111"/>
      <c r="G739" s="111"/>
    </row>
    <row r="740" spans="1:7">
      <c r="A740" s="106"/>
      <c r="B740" s="111"/>
      <c r="C740" s="111"/>
      <c r="D740" s="111"/>
      <c r="E740" s="111"/>
      <c r="F740" s="111"/>
      <c r="G740" s="111"/>
    </row>
    <row r="741" spans="1:7">
      <c r="A741" s="106"/>
      <c r="B741" s="111"/>
      <c r="C741" s="111"/>
      <c r="D741" s="111"/>
      <c r="E741" s="111"/>
      <c r="F741" s="111"/>
      <c r="G741" s="111"/>
    </row>
    <row r="742" spans="1:7">
      <c r="A742" s="106"/>
      <c r="B742" s="111"/>
      <c r="C742" s="111"/>
      <c r="D742" s="111"/>
      <c r="E742" s="111"/>
      <c r="F742" s="111"/>
      <c r="G742" s="111"/>
    </row>
    <row r="743" spans="1:7">
      <c r="A743" s="106"/>
      <c r="B743" s="111"/>
      <c r="C743" s="111"/>
      <c r="D743" s="111"/>
      <c r="E743" s="111"/>
      <c r="F743" s="111"/>
      <c r="G743" s="111"/>
    </row>
    <row r="744" spans="1:7">
      <c r="A744" s="106"/>
      <c r="B744" s="111"/>
      <c r="C744" s="111"/>
      <c r="D744" s="111"/>
      <c r="E744" s="111"/>
      <c r="F744" s="111"/>
      <c r="G744" s="111"/>
    </row>
    <row r="745" spans="1:7">
      <c r="A745" s="106"/>
      <c r="B745" s="111"/>
      <c r="C745" s="111"/>
      <c r="D745" s="111"/>
      <c r="E745" s="111"/>
      <c r="F745" s="111"/>
      <c r="G745" s="111"/>
    </row>
    <row r="746" spans="1:7">
      <c r="A746" s="106"/>
      <c r="B746" s="111"/>
      <c r="C746" s="111"/>
      <c r="D746" s="111"/>
      <c r="E746" s="111"/>
      <c r="F746" s="111"/>
      <c r="G746" s="111"/>
    </row>
    <row r="747" spans="1:7">
      <c r="A747" s="106"/>
      <c r="B747" s="111"/>
      <c r="C747" s="111"/>
      <c r="D747" s="111"/>
      <c r="E747" s="111"/>
      <c r="F747" s="111"/>
      <c r="G747" s="111"/>
    </row>
    <row r="748" spans="1:7">
      <c r="A748" s="106"/>
      <c r="B748" s="111"/>
      <c r="C748" s="111"/>
      <c r="D748" s="111"/>
      <c r="E748" s="111"/>
      <c r="F748" s="111"/>
      <c r="G748" s="111"/>
    </row>
    <row r="749" spans="1:7">
      <c r="A749" s="106"/>
      <c r="B749" s="111"/>
      <c r="C749" s="111"/>
      <c r="D749" s="111"/>
      <c r="E749" s="111"/>
      <c r="F749" s="111"/>
      <c r="G749" s="111"/>
    </row>
    <row r="750" spans="1:7">
      <c r="A750" s="106"/>
      <c r="B750" s="111"/>
      <c r="C750" s="111"/>
      <c r="D750" s="111"/>
      <c r="E750" s="111"/>
      <c r="F750" s="111"/>
      <c r="G750" s="111"/>
    </row>
    <row r="751" spans="1:7">
      <c r="A751" s="106"/>
      <c r="B751" s="111"/>
      <c r="C751" s="111"/>
      <c r="D751" s="111"/>
      <c r="E751" s="111"/>
      <c r="F751" s="111"/>
      <c r="G751" s="111"/>
    </row>
    <row r="752" spans="1:7">
      <c r="A752" s="106"/>
      <c r="B752" s="111"/>
      <c r="C752" s="111"/>
      <c r="D752" s="111"/>
      <c r="E752" s="111"/>
      <c r="F752" s="111"/>
      <c r="G752" s="111"/>
    </row>
    <row r="753" spans="1:7">
      <c r="A753" s="106"/>
      <c r="B753" s="111"/>
      <c r="C753" s="111"/>
      <c r="D753" s="111"/>
      <c r="E753" s="111"/>
      <c r="F753" s="111"/>
      <c r="G753" s="111"/>
    </row>
    <row r="754" spans="1:7">
      <c r="A754" s="106"/>
      <c r="B754" s="111"/>
      <c r="C754" s="111"/>
      <c r="D754" s="111"/>
      <c r="E754" s="111"/>
      <c r="F754" s="111"/>
      <c r="G754" s="111"/>
    </row>
    <row r="755" spans="1:7">
      <c r="A755" s="106"/>
      <c r="B755" s="111"/>
      <c r="C755" s="111"/>
      <c r="D755" s="111"/>
      <c r="E755" s="111"/>
      <c r="F755" s="111"/>
      <c r="G755" s="111"/>
    </row>
    <row r="756" spans="1:7">
      <c r="A756" s="106"/>
      <c r="B756" s="111"/>
      <c r="C756" s="111"/>
      <c r="D756" s="111"/>
      <c r="E756" s="111"/>
      <c r="F756" s="111"/>
      <c r="G756" s="111"/>
    </row>
    <row r="757" spans="1:7">
      <c r="A757" s="106"/>
      <c r="B757" s="111"/>
      <c r="C757" s="111"/>
      <c r="D757" s="111"/>
      <c r="E757" s="111"/>
      <c r="F757" s="111"/>
      <c r="G757" s="111"/>
    </row>
    <row r="758" spans="1:7">
      <c r="A758" s="106"/>
      <c r="B758" s="111"/>
      <c r="C758" s="111"/>
      <c r="D758" s="111"/>
      <c r="E758" s="111"/>
      <c r="F758" s="111"/>
      <c r="G758" s="111"/>
    </row>
    <row r="759" spans="1:7">
      <c r="A759" s="106"/>
      <c r="B759" s="111"/>
      <c r="C759" s="111"/>
      <c r="D759" s="111"/>
      <c r="E759" s="111"/>
      <c r="F759" s="111"/>
      <c r="G759" s="111"/>
    </row>
    <row r="760" spans="1:7">
      <c r="A760" s="106"/>
      <c r="B760" s="111"/>
      <c r="C760" s="111"/>
      <c r="D760" s="111"/>
      <c r="E760" s="111"/>
      <c r="F760" s="111"/>
      <c r="G760" s="111"/>
    </row>
    <row r="761" spans="1:7">
      <c r="A761" s="106"/>
      <c r="B761" s="111"/>
      <c r="C761" s="111"/>
      <c r="D761" s="111"/>
      <c r="E761" s="111"/>
      <c r="F761" s="111"/>
      <c r="G761" s="111"/>
    </row>
    <row r="762" spans="1:7">
      <c r="A762" s="106"/>
      <c r="B762" s="111"/>
      <c r="C762" s="111"/>
      <c r="D762" s="111"/>
      <c r="E762" s="111"/>
      <c r="F762" s="111"/>
      <c r="G762" s="111"/>
    </row>
    <row r="763" spans="1:7">
      <c r="A763" s="106"/>
      <c r="B763" s="111"/>
      <c r="C763" s="111"/>
      <c r="D763" s="111"/>
      <c r="E763" s="111"/>
      <c r="F763" s="111"/>
      <c r="G763" s="111"/>
    </row>
    <row r="764" spans="1:7">
      <c r="A764" s="106"/>
      <c r="B764" s="111"/>
      <c r="C764" s="111"/>
      <c r="D764" s="111"/>
      <c r="E764" s="111"/>
      <c r="F764" s="111"/>
      <c r="G764" s="111"/>
    </row>
    <row r="765" spans="1:7">
      <c r="A765" s="106"/>
      <c r="B765" s="111"/>
      <c r="C765" s="111"/>
      <c r="D765" s="111"/>
      <c r="E765" s="111"/>
      <c r="F765" s="111"/>
      <c r="G765" s="111"/>
    </row>
    <row r="766" spans="1:7">
      <c r="A766" s="106"/>
      <c r="B766" s="111"/>
      <c r="C766" s="111"/>
      <c r="D766" s="111"/>
      <c r="E766" s="111"/>
      <c r="F766" s="111"/>
      <c r="G766" s="111"/>
    </row>
    <row r="767" spans="1:7">
      <c r="A767" s="106"/>
      <c r="B767" s="111"/>
      <c r="C767" s="111"/>
      <c r="D767" s="111"/>
      <c r="E767" s="111"/>
      <c r="F767" s="111"/>
      <c r="G767" s="111"/>
    </row>
    <row r="768" spans="1:7">
      <c r="A768" s="106"/>
      <c r="B768" s="111"/>
      <c r="C768" s="111"/>
      <c r="D768" s="111"/>
      <c r="E768" s="111"/>
      <c r="F768" s="111"/>
      <c r="G768" s="111"/>
    </row>
    <row r="769" spans="1:7">
      <c r="A769" s="106"/>
      <c r="B769" s="111"/>
      <c r="C769" s="111"/>
      <c r="D769" s="111"/>
      <c r="E769" s="111"/>
      <c r="F769" s="111"/>
      <c r="G769" s="111"/>
    </row>
    <row r="770" spans="1:7">
      <c r="A770" s="106"/>
      <c r="B770" s="111"/>
      <c r="C770" s="111"/>
      <c r="D770" s="111"/>
      <c r="E770" s="111"/>
      <c r="F770" s="111"/>
      <c r="G770" s="111"/>
    </row>
    <row r="771" spans="1:7">
      <c r="A771" s="106"/>
      <c r="B771" s="111"/>
      <c r="C771" s="111"/>
      <c r="D771" s="111"/>
      <c r="E771" s="111"/>
      <c r="F771" s="111"/>
      <c r="G771" s="111"/>
    </row>
    <row r="772" spans="1:7">
      <c r="A772" s="106"/>
      <c r="B772" s="111"/>
      <c r="C772" s="111"/>
      <c r="D772" s="111"/>
      <c r="E772" s="111"/>
      <c r="F772" s="111"/>
      <c r="G772" s="111"/>
    </row>
    <row r="773" spans="1:7">
      <c r="A773" s="106"/>
      <c r="B773" s="111"/>
      <c r="C773" s="111"/>
      <c r="D773" s="111"/>
      <c r="E773" s="111"/>
      <c r="F773" s="111"/>
      <c r="G773" s="111"/>
    </row>
    <row r="774" spans="1:7">
      <c r="A774" s="106"/>
      <c r="B774" s="111"/>
      <c r="C774" s="111"/>
      <c r="D774" s="111"/>
      <c r="E774" s="111"/>
      <c r="F774" s="111"/>
      <c r="G774" s="111"/>
    </row>
    <row r="775" spans="1:7">
      <c r="A775" s="106"/>
      <c r="B775" s="111"/>
      <c r="C775" s="111"/>
      <c r="D775" s="111"/>
      <c r="E775" s="111"/>
      <c r="F775" s="111"/>
      <c r="G775" s="111"/>
    </row>
    <row r="776" spans="1:7">
      <c r="A776" s="106"/>
      <c r="B776" s="111"/>
      <c r="C776" s="111"/>
      <c r="D776" s="111"/>
      <c r="E776" s="111"/>
      <c r="F776" s="111"/>
      <c r="G776" s="111"/>
    </row>
    <row r="777" spans="1:7">
      <c r="A777" s="106"/>
      <c r="B777" s="111"/>
      <c r="C777" s="111"/>
      <c r="D777" s="111"/>
      <c r="E777" s="111"/>
      <c r="F777" s="111"/>
      <c r="G777" s="111"/>
    </row>
    <row r="778" spans="1:7">
      <c r="A778" s="106"/>
      <c r="B778" s="111"/>
      <c r="C778" s="111"/>
      <c r="D778" s="111"/>
      <c r="E778" s="111"/>
      <c r="F778" s="111"/>
      <c r="G778" s="111"/>
    </row>
    <row r="779" spans="1:7">
      <c r="A779" s="106"/>
      <c r="B779" s="111"/>
      <c r="C779" s="111"/>
      <c r="D779" s="111"/>
      <c r="E779" s="111"/>
      <c r="F779" s="111"/>
      <c r="G779" s="111"/>
    </row>
    <row r="780" spans="1:7">
      <c r="A780" s="106"/>
      <c r="B780" s="111"/>
      <c r="C780" s="111"/>
      <c r="D780" s="111"/>
      <c r="E780" s="111"/>
      <c r="F780" s="111"/>
      <c r="G780" s="111"/>
    </row>
    <row r="781" spans="1:7">
      <c r="A781" s="106"/>
      <c r="B781" s="111"/>
      <c r="C781" s="111"/>
      <c r="D781" s="111"/>
      <c r="E781" s="111"/>
      <c r="F781" s="111"/>
      <c r="G781" s="111"/>
    </row>
    <row r="782" spans="1:7">
      <c r="A782" s="106"/>
      <c r="B782" s="111"/>
      <c r="C782" s="111"/>
      <c r="D782" s="111"/>
      <c r="E782" s="111"/>
      <c r="F782" s="111"/>
      <c r="G782" s="111"/>
    </row>
    <row r="783" spans="1:7">
      <c r="A783" s="106"/>
      <c r="B783" s="111"/>
      <c r="C783" s="111"/>
      <c r="D783" s="111"/>
      <c r="E783" s="111"/>
      <c r="F783" s="111"/>
      <c r="G783" s="111"/>
    </row>
    <row r="784" spans="1:7">
      <c r="A784" s="106"/>
      <c r="B784" s="111"/>
      <c r="C784" s="111"/>
      <c r="D784" s="111"/>
      <c r="E784" s="111"/>
      <c r="F784" s="111"/>
      <c r="G784" s="111"/>
    </row>
    <row r="785" spans="1:7">
      <c r="A785" s="106"/>
      <c r="B785" s="111"/>
      <c r="C785" s="111"/>
      <c r="D785" s="111"/>
      <c r="E785" s="111"/>
      <c r="F785" s="111"/>
      <c r="G785" s="111"/>
    </row>
    <row r="786" spans="1:7">
      <c r="A786" s="106"/>
      <c r="B786" s="111"/>
      <c r="C786" s="111"/>
      <c r="D786" s="111"/>
      <c r="E786" s="111"/>
      <c r="F786" s="111"/>
      <c r="G786" s="111"/>
    </row>
    <row r="787" spans="1:7">
      <c r="A787" s="106"/>
      <c r="B787" s="111"/>
      <c r="C787" s="111"/>
      <c r="D787" s="111"/>
      <c r="E787" s="111"/>
      <c r="F787" s="111"/>
      <c r="G787" s="111"/>
    </row>
    <row r="788" spans="1:7">
      <c r="A788" s="106"/>
      <c r="B788" s="111"/>
      <c r="C788" s="111"/>
      <c r="D788" s="111"/>
      <c r="E788" s="111"/>
      <c r="F788" s="111"/>
      <c r="G788" s="111"/>
    </row>
    <row r="789" spans="1:7">
      <c r="A789" s="106"/>
      <c r="B789" s="111"/>
      <c r="C789" s="111"/>
      <c r="D789" s="111"/>
      <c r="E789" s="111"/>
      <c r="F789" s="111"/>
      <c r="G789" s="111"/>
    </row>
    <row r="790" spans="1:7">
      <c r="A790" s="106"/>
      <c r="B790" s="111"/>
      <c r="C790" s="111"/>
      <c r="D790" s="111"/>
      <c r="E790" s="111"/>
      <c r="F790" s="111"/>
      <c r="G790" s="111"/>
    </row>
    <row r="791" spans="1:7">
      <c r="A791" s="106"/>
      <c r="B791" s="111"/>
      <c r="C791" s="111"/>
      <c r="D791" s="111"/>
      <c r="E791" s="111"/>
      <c r="F791" s="111"/>
      <c r="G791" s="111"/>
    </row>
    <row r="792" spans="1:7">
      <c r="A792" s="106"/>
      <c r="B792" s="111"/>
      <c r="C792" s="111"/>
      <c r="D792" s="111"/>
      <c r="E792" s="111"/>
      <c r="F792" s="111"/>
      <c r="G792" s="111"/>
    </row>
    <row r="793" spans="1:7">
      <c r="A793" s="106"/>
      <c r="B793" s="111"/>
      <c r="C793" s="111"/>
      <c r="D793" s="111"/>
      <c r="E793" s="111"/>
      <c r="F793" s="111"/>
      <c r="G793" s="111"/>
    </row>
    <row r="794" spans="1:7">
      <c r="A794" s="106"/>
      <c r="B794" s="111"/>
      <c r="C794" s="111"/>
      <c r="D794" s="111"/>
      <c r="E794" s="111"/>
      <c r="F794" s="111"/>
      <c r="G794" s="111"/>
    </row>
    <row r="795" spans="1:7">
      <c r="A795" s="106"/>
      <c r="B795" s="111"/>
      <c r="C795" s="111"/>
      <c r="D795" s="111"/>
      <c r="E795" s="111"/>
      <c r="F795" s="111"/>
      <c r="G795" s="111"/>
    </row>
    <row r="796" spans="1:7">
      <c r="A796" s="106"/>
      <c r="B796" s="111"/>
      <c r="C796" s="111"/>
      <c r="D796" s="111"/>
      <c r="E796" s="111"/>
      <c r="F796" s="111"/>
      <c r="G796" s="111"/>
    </row>
    <row r="797" spans="1:7">
      <c r="A797" s="106"/>
      <c r="B797" s="111"/>
      <c r="C797" s="111"/>
      <c r="D797" s="111"/>
      <c r="E797" s="111"/>
      <c r="F797" s="111"/>
      <c r="G797" s="111"/>
    </row>
    <row r="798" spans="1:7">
      <c r="A798" s="106"/>
      <c r="B798" s="111"/>
      <c r="C798" s="111"/>
      <c r="D798" s="111"/>
      <c r="E798" s="111"/>
      <c r="F798" s="111"/>
      <c r="G798" s="111"/>
    </row>
    <row r="799" spans="1:7">
      <c r="A799" s="106"/>
      <c r="B799" s="111"/>
      <c r="C799" s="111"/>
      <c r="D799" s="111"/>
      <c r="E799" s="111"/>
      <c r="F799" s="111"/>
      <c r="G799" s="111"/>
    </row>
    <row r="800" spans="1:7">
      <c r="A800" s="106"/>
      <c r="B800" s="111"/>
      <c r="C800" s="111"/>
      <c r="D800" s="111"/>
      <c r="E800" s="111"/>
      <c r="F800" s="111"/>
      <c r="G800" s="111"/>
    </row>
    <row r="801" spans="1:7">
      <c r="A801" s="106"/>
      <c r="B801" s="111"/>
      <c r="C801" s="111"/>
      <c r="D801" s="111"/>
      <c r="E801" s="111"/>
      <c r="F801" s="111"/>
      <c r="G801" s="111"/>
    </row>
    <row r="802" spans="1:7">
      <c r="A802" s="106"/>
      <c r="B802" s="111"/>
      <c r="C802" s="111"/>
      <c r="D802" s="111"/>
      <c r="E802" s="111"/>
      <c r="F802" s="111"/>
      <c r="G802" s="111"/>
    </row>
    <row r="803" spans="1:7">
      <c r="A803" s="106"/>
      <c r="B803" s="111"/>
      <c r="C803" s="111"/>
      <c r="D803" s="111"/>
      <c r="E803" s="111"/>
      <c r="F803" s="111"/>
      <c r="G803" s="111"/>
    </row>
    <row r="804" spans="1:7">
      <c r="A804" s="106"/>
      <c r="B804" s="111"/>
      <c r="C804" s="111"/>
      <c r="D804" s="111"/>
      <c r="E804" s="111"/>
      <c r="F804" s="111"/>
      <c r="G804" s="111"/>
    </row>
    <row r="805" spans="1:7">
      <c r="A805" s="106"/>
      <c r="B805" s="111"/>
      <c r="C805" s="111"/>
      <c r="D805" s="111"/>
      <c r="E805" s="111"/>
      <c r="F805" s="111"/>
      <c r="G805" s="111"/>
    </row>
    <row r="806" spans="1:7">
      <c r="A806" s="106"/>
      <c r="B806" s="111"/>
      <c r="C806" s="111"/>
      <c r="D806" s="111"/>
      <c r="E806" s="111"/>
      <c r="F806" s="111"/>
      <c r="G806" s="111"/>
    </row>
    <row r="807" spans="1:7">
      <c r="A807" s="106"/>
      <c r="B807" s="111"/>
      <c r="C807" s="111"/>
      <c r="D807" s="111"/>
      <c r="E807" s="111"/>
      <c r="F807" s="111"/>
      <c r="G807" s="111"/>
    </row>
    <row r="808" spans="1:7">
      <c r="A808" s="106"/>
      <c r="B808" s="111"/>
      <c r="C808" s="111"/>
      <c r="D808" s="111"/>
      <c r="E808" s="111"/>
      <c r="F808" s="111"/>
      <c r="G808" s="111"/>
    </row>
    <row r="809" spans="1:7">
      <c r="A809" s="106"/>
      <c r="B809" s="111"/>
      <c r="C809" s="111"/>
      <c r="D809" s="111"/>
      <c r="E809" s="111"/>
      <c r="F809" s="111"/>
      <c r="G809" s="111"/>
    </row>
    <row r="810" spans="1:7">
      <c r="A810" s="106"/>
      <c r="B810" s="111"/>
      <c r="C810" s="111"/>
      <c r="D810" s="111"/>
      <c r="E810" s="111"/>
      <c r="F810" s="111"/>
      <c r="G810" s="111"/>
    </row>
    <row r="811" spans="1:7">
      <c r="A811" s="106"/>
      <c r="B811" s="111"/>
      <c r="C811" s="111"/>
      <c r="D811" s="111"/>
      <c r="E811" s="111"/>
      <c r="F811" s="111"/>
      <c r="G811" s="111"/>
    </row>
    <row r="812" spans="1:7">
      <c r="A812" s="106"/>
      <c r="B812" s="111"/>
      <c r="C812" s="111"/>
      <c r="D812" s="111"/>
      <c r="E812" s="111"/>
      <c r="F812" s="111"/>
      <c r="G812" s="111"/>
    </row>
    <row r="813" spans="1:7">
      <c r="A813" s="106"/>
      <c r="B813" s="111"/>
      <c r="C813" s="111"/>
      <c r="D813" s="111"/>
      <c r="E813" s="111"/>
      <c r="F813" s="111"/>
      <c r="G813" s="111"/>
    </row>
    <row r="814" spans="1:7">
      <c r="A814" s="106"/>
      <c r="B814" s="111"/>
      <c r="C814" s="111"/>
      <c r="D814" s="111"/>
      <c r="E814" s="111"/>
      <c r="F814" s="111"/>
      <c r="G814" s="111"/>
    </row>
    <row r="815" spans="1:7">
      <c r="A815" s="106"/>
      <c r="B815" s="111"/>
      <c r="C815" s="111"/>
      <c r="D815" s="111"/>
      <c r="E815" s="111"/>
      <c r="F815" s="111"/>
      <c r="G815" s="111"/>
    </row>
    <row r="816" spans="1:7">
      <c r="A816" s="106"/>
      <c r="B816" s="111"/>
      <c r="C816" s="111"/>
      <c r="D816" s="111"/>
      <c r="E816" s="111"/>
      <c r="F816" s="111"/>
      <c r="G816" s="111"/>
    </row>
    <row r="817" spans="1:7">
      <c r="A817" s="106"/>
      <c r="B817" s="111"/>
      <c r="C817" s="111"/>
      <c r="D817" s="111"/>
      <c r="E817" s="111"/>
      <c r="F817" s="111"/>
      <c r="G817" s="111"/>
    </row>
    <row r="818" spans="1:7">
      <c r="A818" s="106"/>
      <c r="B818" s="111"/>
      <c r="C818" s="111"/>
      <c r="D818" s="111"/>
      <c r="E818" s="111"/>
      <c r="F818" s="111"/>
      <c r="G818" s="111"/>
    </row>
    <row r="819" spans="1:7">
      <c r="A819" s="106"/>
      <c r="B819" s="111"/>
      <c r="C819" s="111"/>
      <c r="D819" s="111"/>
      <c r="E819" s="111"/>
      <c r="F819" s="111"/>
      <c r="G819" s="111"/>
    </row>
    <row r="820" spans="1:7">
      <c r="A820" s="106"/>
      <c r="B820" s="111"/>
      <c r="C820" s="111"/>
      <c r="D820" s="111"/>
      <c r="E820" s="111"/>
      <c r="F820" s="111"/>
      <c r="G820" s="111"/>
    </row>
    <row r="821" spans="1:7">
      <c r="A821" s="106"/>
      <c r="B821" s="111"/>
      <c r="C821" s="111"/>
      <c r="D821" s="111"/>
      <c r="E821" s="111"/>
      <c r="F821" s="111"/>
      <c r="G821" s="111"/>
    </row>
    <row r="822" spans="1:7">
      <c r="A822" s="106"/>
      <c r="B822" s="111"/>
      <c r="C822" s="111"/>
      <c r="D822" s="111"/>
      <c r="E822" s="111"/>
      <c r="F822" s="111"/>
      <c r="G822" s="111"/>
    </row>
    <row r="823" spans="1:7">
      <c r="A823" s="106"/>
      <c r="B823" s="111"/>
      <c r="C823" s="111"/>
      <c r="D823" s="111"/>
      <c r="E823" s="111"/>
      <c r="F823" s="111"/>
      <c r="G823" s="111"/>
    </row>
    <row r="824" spans="1:7">
      <c r="A824" s="106"/>
      <c r="B824" s="111"/>
      <c r="C824" s="111"/>
      <c r="D824" s="111"/>
      <c r="E824" s="111"/>
      <c r="F824" s="111"/>
      <c r="G824" s="111"/>
    </row>
    <row r="825" spans="1:7">
      <c r="A825" s="106"/>
      <c r="B825" s="111"/>
      <c r="C825" s="111"/>
      <c r="D825" s="111"/>
      <c r="E825" s="111"/>
      <c r="F825" s="111"/>
      <c r="G825" s="111"/>
    </row>
    <row r="826" spans="1:7">
      <c r="A826" s="106"/>
      <c r="B826" s="111"/>
      <c r="C826" s="111"/>
      <c r="D826" s="111"/>
      <c r="E826" s="111"/>
      <c r="F826" s="111"/>
      <c r="G826" s="111"/>
    </row>
    <row r="827" spans="1:7">
      <c r="A827" s="106"/>
      <c r="B827" s="111"/>
      <c r="C827" s="111"/>
      <c r="D827" s="111"/>
      <c r="E827" s="111"/>
      <c r="F827" s="111"/>
      <c r="G827" s="111"/>
    </row>
    <row r="828" spans="1:7">
      <c r="A828" s="106"/>
      <c r="B828" s="111"/>
      <c r="C828" s="111"/>
      <c r="D828" s="111"/>
      <c r="E828" s="111"/>
      <c r="F828" s="111"/>
      <c r="G828" s="111"/>
    </row>
    <row r="829" spans="1:7">
      <c r="A829" s="106"/>
      <c r="B829" s="111"/>
      <c r="C829" s="111"/>
      <c r="D829" s="111"/>
      <c r="E829" s="111"/>
      <c r="F829" s="111"/>
      <c r="G829" s="111"/>
    </row>
    <row r="830" spans="1:7">
      <c r="A830" s="106"/>
      <c r="B830" s="111"/>
      <c r="C830" s="111"/>
      <c r="D830" s="111"/>
      <c r="E830" s="111"/>
      <c r="F830" s="111"/>
      <c r="G830" s="111"/>
    </row>
    <row r="831" spans="1:7">
      <c r="A831" s="106"/>
      <c r="B831" s="111"/>
      <c r="C831" s="111"/>
      <c r="D831" s="111"/>
      <c r="E831" s="111"/>
      <c r="F831" s="111"/>
      <c r="G831" s="111"/>
    </row>
    <row r="832" spans="1:7">
      <c r="A832" s="106"/>
      <c r="B832" s="111"/>
      <c r="C832" s="111"/>
      <c r="D832" s="111"/>
      <c r="E832" s="111"/>
      <c r="F832" s="111"/>
      <c r="G832" s="111"/>
    </row>
    <row r="833" spans="1:7">
      <c r="A833" s="106"/>
      <c r="B833" s="111"/>
      <c r="C833" s="111"/>
      <c r="D833" s="111"/>
      <c r="E833" s="111"/>
      <c r="F833" s="111"/>
      <c r="G833" s="111"/>
    </row>
    <row r="834" spans="1:7">
      <c r="A834" s="106"/>
      <c r="B834" s="111"/>
      <c r="C834" s="111"/>
      <c r="D834" s="111"/>
      <c r="E834" s="111"/>
      <c r="F834" s="111"/>
      <c r="G834" s="111"/>
    </row>
    <row r="835" spans="1:7">
      <c r="A835" s="106"/>
      <c r="B835" s="111"/>
      <c r="C835" s="111"/>
      <c r="D835" s="111"/>
      <c r="E835" s="111"/>
      <c r="F835" s="111"/>
      <c r="G835" s="111"/>
    </row>
    <row r="836" spans="1:7">
      <c r="A836" s="106"/>
      <c r="B836" s="111"/>
      <c r="C836" s="111"/>
      <c r="D836" s="111"/>
      <c r="E836" s="111"/>
      <c r="F836" s="111"/>
      <c r="G836" s="111"/>
    </row>
    <row r="837" spans="1:7">
      <c r="A837" s="106"/>
      <c r="B837" s="111"/>
      <c r="C837" s="111"/>
      <c r="D837" s="111"/>
      <c r="E837" s="111"/>
      <c r="F837" s="111"/>
      <c r="G837" s="111"/>
    </row>
    <row r="838" spans="1:7">
      <c r="A838" s="106"/>
      <c r="B838" s="111"/>
      <c r="C838" s="111"/>
      <c r="D838" s="111"/>
      <c r="E838" s="111"/>
      <c r="F838" s="111"/>
      <c r="G838" s="111"/>
    </row>
    <row r="839" spans="1:7">
      <c r="A839" s="106"/>
      <c r="B839" s="111"/>
      <c r="C839" s="111"/>
      <c r="D839" s="111"/>
      <c r="E839" s="111"/>
      <c r="F839" s="111"/>
      <c r="G839" s="111"/>
    </row>
    <row r="840" spans="1:7">
      <c r="A840" s="106"/>
      <c r="B840" s="111"/>
      <c r="C840" s="111"/>
      <c r="D840" s="111"/>
      <c r="E840" s="111"/>
      <c r="F840" s="111"/>
      <c r="G840" s="111"/>
    </row>
    <row r="841" spans="1:7">
      <c r="A841" s="106"/>
      <c r="B841" s="111"/>
      <c r="C841" s="111"/>
      <c r="D841" s="111"/>
      <c r="E841" s="111"/>
      <c r="F841" s="111"/>
      <c r="G841" s="111"/>
    </row>
    <row r="842" spans="1:7">
      <c r="A842" s="106"/>
      <c r="B842" s="111"/>
      <c r="C842" s="111"/>
      <c r="D842" s="111"/>
      <c r="E842" s="111"/>
      <c r="F842" s="111"/>
      <c r="G842" s="111"/>
    </row>
    <row r="843" spans="1:7">
      <c r="A843" s="106"/>
      <c r="B843" s="111"/>
      <c r="C843" s="111"/>
      <c r="D843" s="111"/>
      <c r="E843" s="111"/>
      <c r="F843" s="111"/>
      <c r="G843" s="111"/>
    </row>
    <row r="844" spans="1:7">
      <c r="A844" s="106"/>
      <c r="B844" s="111"/>
      <c r="C844" s="111"/>
      <c r="D844" s="111"/>
      <c r="E844" s="111"/>
      <c r="F844" s="111"/>
      <c r="G844" s="111"/>
    </row>
    <row r="845" spans="1:7">
      <c r="A845" s="106"/>
      <c r="B845" s="111"/>
      <c r="C845" s="111"/>
      <c r="D845" s="111"/>
      <c r="E845" s="111"/>
      <c r="F845" s="111"/>
      <c r="G845" s="111"/>
    </row>
    <row r="846" spans="1:7">
      <c r="A846" s="106"/>
      <c r="B846" s="111"/>
      <c r="C846" s="111"/>
      <c r="D846" s="111"/>
      <c r="E846" s="111"/>
      <c r="F846" s="111"/>
      <c r="G846" s="111"/>
    </row>
    <row r="847" spans="1:7">
      <c r="A847" s="106"/>
      <c r="B847" s="111"/>
      <c r="C847" s="111"/>
      <c r="D847" s="111"/>
      <c r="E847" s="111"/>
      <c r="F847" s="111"/>
      <c r="G847" s="111"/>
    </row>
    <row r="848" spans="1:7">
      <c r="A848" s="106"/>
      <c r="B848" s="111"/>
      <c r="C848" s="111"/>
      <c r="D848" s="111"/>
      <c r="E848" s="111"/>
      <c r="F848" s="111"/>
      <c r="G848" s="111"/>
    </row>
    <row r="849" spans="1:7">
      <c r="A849" s="106"/>
      <c r="B849" s="111"/>
      <c r="C849" s="111"/>
      <c r="D849" s="111"/>
      <c r="E849" s="111"/>
      <c r="F849" s="111"/>
      <c r="G849" s="111"/>
    </row>
    <row r="850" spans="1:7">
      <c r="A850" s="106"/>
      <c r="B850" s="111"/>
      <c r="C850" s="111"/>
      <c r="D850" s="111"/>
      <c r="E850" s="111"/>
      <c r="F850" s="111"/>
      <c r="G850" s="111"/>
    </row>
    <row r="851" spans="1:7">
      <c r="A851" s="106"/>
      <c r="B851" s="111"/>
      <c r="C851" s="111"/>
      <c r="D851" s="111"/>
      <c r="E851" s="111"/>
      <c r="F851" s="111"/>
      <c r="G851" s="111"/>
    </row>
    <row r="852" spans="1:7">
      <c r="A852" s="106"/>
      <c r="B852" s="111"/>
      <c r="C852" s="111"/>
      <c r="D852" s="111"/>
      <c r="E852" s="111"/>
      <c r="F852" s="111"/>
      <c r="G852" s="111"/>
    </row>
    <row r="853" spans="1:7">
      <c r="A853" s="106"/>
      <c r="B853" s="111"/>
      <c r="C853" s="111"/>
      <c r="D853" s="111"/>
      <c r="E853" s="111"/>
      <c r="F853" s="111"/>
      <c r="G853" s="111"/>
    </row>
    <row r="854" spans="1:7">
      <c r="A854" s="106"/>
      <c r="B854" s="111"/>
      <c r="C854" s="111"/>
      <c r="D854" s="111"/>
      <c r="E854" s="111"/>
      <c r="F854" s="111"/>
      <c r="G854" s="111"/>
    </row>
    <row r="855" spans="1:7">
      <c r="A855" s="106"/>
      <c r="B855" s="111"/>
      <c r="C855" s="111"/>
      <c r="D855" s="111"/>
      <c r="E855" s="111"/>
      <c r="F855" s="111"/>
      <c r="G855" s="111"/>
    </row>
    <row r="856" spans="1:7">
      <c r="A856" s="106"/>
      <c r="B856" s="111"/>
      <c r="C856" s="111"/>
      <c r="D856" s="111"/>
      <c r="E856" s="111"/>
      <c r="F856" s="111"/>
      <c r="G856" s="111"/>
    </row>
    <row r="857" spans="1:7">
      <c r="A857" s="106"/>
      <c r="B857" s="111"/>
      <c r="C857" s="111"/>
      <c r="D857" s="111"/>
      <c r="E857" s="111"/>
      <c r="F857" s="111"/>
      <c r="G857" s="111"/>
    </row>
    <row r="858" spans="1:7">
      <c r="A858" s="106"/>
      <c r="B858" s="111"/>
      <c r="C858" s="111"/>
      <c r="D858" s="111"/>
      <c r="E858" s="111"/>
      <c r="F858" s="111"/>
      <c r="G858" s="111"/>
    </row>
    <row r="859" spans="1:7">
      <c r="A859" s="106"/>
      <c r="B859" s="111"/>
      <c r="C859" s="111"/>
      <c r="D859" s="111"/>
      <c r="E859" s="111"/>
      <c r="F859" s="111"/>
      <c r="G859" s="111"/>
    </row>
    <row r="860" spans="1:7">
      <c r="A860" s="106"/>
      <c r="B860" s="111"/>
      <c r="C860" s="111"/>
      <c r="D860" s="111"/>
      <c r="E860" s="111"/>
      <c r="F860" s="111"/>
      <c r="G860" s="111"/>
    </row>
    <row r="861" spans="1:7">
      <c r="A861" s="106"/>
      <c r="B861" s="111"/>
      <c r="C861" s="111"/>
      <c r="D861" s="111"/>
      <c r="E861" s="111"/>
      <c r="F861" s="111"/>
      <c r="G861" s="111"/>
    </row>
    <row r="862" spans="1:7">
      <c r="A862" s="106"/>
      <c r="B862" s="111"/>
      <c r="C862" s="111"/>
      <c r="D862" s="111"/>
      <c r="E862" s="111"/>
      <c r="F862" s="111"/>
      <c r="G862" s="111"/>
    </row>
    <row r="863" spans="1:7">
      <c r="A863" s="106"/>
      <c r="B863" s="111"/>
      <c r="C863" s="111"/>
      <c r="D863" s="111"/>
      <c r="E863" s="111"/>
      <c r="F863" s="111"/>
      <c r="G863" s="111"/>
    </row>
    <row r="864" spans="1:7">
      <c r="A864" s="106"/>
      <c r="B864" s="111"/>
      <c r="C864" s="111"/>
      <c r="D864" s="111"/>
      <c r="E864" s="111"/>
      <c r="F864" s="111"/>
      <c r="G864" s="111"/>
    </row>
    <row r="865" spans="1:7">
      <c r="A865" s="106"/>
      <c r="B865" s="111"/>
      <c r="C865" s="111"/>
      <c r="D865" s="111"/>
      <c r="E865" s="111"/>
      <c r="F865" s="111"/>
      <c r="G865" s="111"/>
    </row>
    <row r="866" spans="1:7">
      <c r="A866" s="106"/>
      <c r="B866" s="111"/>
      <c r="C866" s="111"/>
      <c r="D866" s="111"/>
      <c r="E866" s="111"/>
      <c r="F866" s="111"/>
      <c r="G866" s="111"/>
    </row>
    <row r="867" spans="1:7">
      <c r="A867" s="106"/>
      <c r="B867" s="111"/>
      <c r="C867" s="111"/>
      <c r="D867" s="111"/>
      <c r="E867" s="111"/>
      <c r="F867" s="111"/>
      <c r="G867" s="111"/>
    </row>
    <row r="868" spans="1:7">
      <c r="A868" s="106"/>
      <c r="B868" s="111"/>
      <c r="C868" s="111"/>
      <c r="D868" s="111"/>
      <c r="E868" s="111"/>
      <c r="F868" s="111"/>
      <c r="G868" s="111"/>
    </row>
    <row r="869" spans="1:7">
      <c r="A869" s="106"/>
      <c r="B869" s="111"/>
      <c r="C869" s="111"/>
      <c r="D869" s="111"/>
      <c r="E869" s="111"/>
      <c r="F869" s="111"/>
      <c r="G869" s="111"/>
    </row>
    <row r="870" spans="1:7">
      <c r="A870" s="106"/>
      <c r="B870" s="111"/>
      <c r="C870" s="111"/>
      <c r="D870" s="111"/>
      <c r="E870" s="111"/>
      <c r="F870" s="111"/>
      <c r="G870" s="111"/>
    </row>
    <row r="871" spans="1:7">
      <c r="A871" s="106"/>
      <c r="B871" s="111"/>
      <c r="C871" s="111"/>
      <c r="D871" s="111"/>
      <c r="E871" s="111"/>
      <c r="F871" s="111"/>
      <c r="G871" s="111"/>
    </row>
    <row r="872" spans="1:7">
      <c r="A872" s="106"/>
      <c r="B872" s="111"/>
      <c r="C872" s="111"/>
      <c r="D872" s="111"/>
      <c r="E872" s="111"/>
      <c r="F872" s="111"/>
      <c r="G872" s="111"/>
    </row>
    <row r="873" spans="1:7">
      <c r="A873" s="106"/>
      <c r="B873" s="111"/>
      <c r="C873" s="111"/>
      <c r="D873" s="111"/>
      <c r="E873" s="111"/>
      <c r="F873" s="111"/>
      <c r="G873" s="111"/>
    </row>
    <row r="874" spans="1:7">
      <c r="A874" s="106"/>
      <c r="B874" s="111"/>
      <c r="C874" s="111"/>
      <c r="D874" s="111"/>
      <c r="E874" s="111"/>
      <c r="F874" s="111"/>
      <c r="G874" s="111"/>
    </row>
    <row r="875" spans="1:7">
      <c r="A875" s="106"/>
      <c r="B875" s="111"/>
      <c r="C875" s="111"/>
      <c r="D875" s="111"/>
      <c r="E875" s="111"/>
      <c r="F875" s="111"/>
      <c r="G875" s="111"/>
    </row>
    <row r="876" spans="1:7">
      <c r="A876" s="106"/>
      <c r="B876" s="111"/>
      <c r="C876" s="111"/>
      <c r="D876" s="111"/>
      <c r="E876" s="111"/>
      <c r="F876" s="111"/>
      <c r="G876" s="111"/>
    </row>
    <row r="877" spans="1:7">
      <c r="A877" s="106"/>
      <c r="B877" s="111"/>
      <c r="C877" s="111"/>
      <c r="D877" s="111"/>
      <c r="E877" s="111"/>
      <c r="F877" s="111"/>
      <c r="G877" s="111"/>
    </row>
    <row r="878" spans="1:7">
      <c r="A878" s="106"/>
      <c r="B878" s="111"/>
      <c r="C878" s="111"/>
      <c r="D878" s="111"/>
      <c r="E878" s="111"/>
      <c r="F878" s="111"/>
      <c r="G878" s="111"/>
    </row>
    <row r="879" spans="1:7">
      <c r="A879" s="106"/>
      <c r="B879" s="111"/>
      <c r="C879" s="111"/>
      <c r="D879" s="111"/>
      <c r="E879" s="111"/>
      <c r="F879" s="111"/>
      <c r="G879" s="111"/>
    </row>
    <row r="880" spans="1:7">
      <c r="A880" s="106"/>
      <c r="B880" s="111"/>
      <c r="C880" s="111"/>
      <c r="D880" s="111"/>
      <c r="E880" s="111"/>
      <c r="F880" s="111"/>
      <c r="G880" s="111"/>
    </row>
    <row r="881" spans="1:7">
      <c r="A881" s="106"/>
      <c r="B881" s="111"/>
      <c r="C881" s="111"/>
      <c r="D881" s="111"/>
      <c r="E881" s="111"/>
      <c r="F881" s="111"/>
      <c r="G881" s="111"/>
    </row>
    <row r="882" spans="1:7">
      <c r="A882" s="106"/>
      <c r="B882" s="111"/>
      <c r="C882" s="111"/>
      <c r="D882" s="111"/>
      <c r="E882" s="111"/>
      <c r="F882" s="111"/>
      <c r="G882" s="111"/>
    </row>
    <row r="883" spans="1:7">
      <c r="A883" s="106"/>
      <c r="B883" s="111"/>
      <c r="C883" s="111"/>
      <c r="D883" s="111"/>
      <c r="E883" s="111"/>
      <c r="F883" s="111"/>
      <c r="G883" s="111"/>
    </row>
    <row r="884" spans="1:7">
      <c r="A884" s="106"/>
      <c r="B884" s="111"/>
      <c r="C884" s="111"/>
      <c r="D884" s="111"/>
      <c r="E884" s="111"/>
      <c r="F884" s="111"/>
      <c r="G884" s="111"/>
    </row>
    <row r="885" spans="1:7">
      <c r="A885" s="106"/>
      <c r="B885" s="111"/>
      <c r="C885" s="111"/>
      <c r="D885" s="111"/>
      <c r="E885" s="111"/>
      <c r="F885" s="111"/>
      <c r="G885" s="111"/>
    </row>
    <row r="886" spans="1:7">
      <c r="A886" s="106"/>
      <c r="B886" s="111"/>
      <c r="C886" s="111"/>
      <c r="D886" s="111"/>
      <c r="E886" s="111"/>
      <c r="F886" s="111"/>
      <c r="G886" s="111"/>
    </row>
    <row r="887" spans="1:7">
      <c r="A887" s="106"/>
      <c r="B887" s="111"/>
      <c r="C887" s="111"/>
      <c r="D887" s="111"/>
      <c r="E887" s="111"/>
      <c r="F887" s="111"/>
      <c r="G887" s="111"/>
    </row>
    <row r="888" spans="1:7">
      <c r="A888" s="106"/>
      <c r="B888" s="111"/>
      <c r="C888" s="111"/>
      <c r="D888" s="111"/>
      <c r="E888" s="111"/>
      <c r="F888" s="111"/>
      <c r="G888" s="111"/>
    </row>
    <row r="889" spans="1:7">
      <c r="A889" s="106"/>
      <c r="B889" s="111"/>
      <c r="C889" s="111"/>
      <c r="D889" s="111"/>
      <c r="E889" s="111"/>
      <c r="F889" s="111"/>
      <c r="G889" s="111"/>
    </row>
    <row r="890" spans="1:7">
      <c r="A890" s="106"/>
      <c r="B890" s="111"/>
      <c r="C890" s="111"/>
      <c r="D890" s="111"/>
      <c r="E890" s="111"/>
      <c r="F890" s="111"/>
      <c r="G890" s="111"/>
    </row>
    <row r="891" spans="1:7">
      <c r="A891" s="106"/>
      <c r="B891" s="111"/>
      <c r="C891" s="111"/>
      <c r="D891" s="111"/>
      <c r="E891" s="111"/>
      <c r="F891" s="111"/>
      <c r="G891" s="111"/>
    </row>
    <row r="892" spans="1:7">
      <c r="A892" s="106"/>
      <c r="B892" s="111"/>
      <c r="C892" s="111"/>
      <c r="D892" s="111"/>
      <c r="E892" s="111"/>
      <c r="F892" s="111"/>
      <c r="G892" s="111"/>
    </row>
    <row r="893" spans="1:7">
      <c r="A893" s="106"/>
      <c r="B893" s="111"/>
      <c r="C893" s="111"/>
      <c r="D893" s="111"/>
      <c r="E893" s="111"/>
      <c r="F893" s="111"/>
      <c r="G893" s="111"/>
    </row>
    <row r="894" spans="1:7">
      <c r="A894" s="106"/>
      <c r="B894" s="111"/>
      <c r="C894" s="111"/>
      <c r="D894" s="111"/>
      <c r="E894" s="111"/>
      <c r="F894" s="111"/>
      <c r="G894" s="111"/>
    </row>
    <row r="895" spans="1:7">
      <c r="A895" s="106"/>
      <c r="B895" s="111"/>
      <c r="C895" s="111"/>
      <c r="D895" s="111"/>
      <c r="E895" s="111"/>
      <c r="F895" s="111"/>
      <c r="G895" s="111"/>
    </row>
    <row r="896" spans="1:7">
      <c r="A896" s="106"/>
      <c r="B896" s="111"/>
      <c r="C896" s="111"/>
      <c r="D896" s="111"/>
      <c r="E896" s="111"/>
      <c r="F896" s="111"/>
      <c r="G896" s="111"/>
    </row>
    <row r="897" spans="1:7">
      <c r="A897" s="106"/>
      <c r="B897" s="111"/>
      <c r="C897" s="111"/>
      <c r="D897" s="111"/>
      <c r="E897" s="111"/>
      <c r="F897" s="111"/>
      <c r="G897" s="111"/>
    </row>
    <row r="898" spans="1:7">
      <c r="A898" s="106"/>
      <c r="B898" s="111"/>
      <c r="C898" s="111"/>
      <c r="D898" s="111"/>
      <c r="E898" s="111"/>
      <c r="F898" s="111"/>
      <c r="G898" s="111"/>
    </row>
    <row r="899" spans="1:7">
      <c r="A899" s="106"/>
      <c r="B899" s="111"/>
      <c r="C899" s="111"/>
      <c r="D899" s="111"/>
      <c r="E899" s="111"/>
      <c r="F899" s="111"/>
      <c r="G899" s="111"/>
    </row>
    <row r="900" spans="1:7">
      <c r="A900" s="106"/>
      <c r="B900" s="111"/>
      <c r="C900" s="111"/>
      <c r="D900" s="111"/>
      <c r="E900" s="111"/>
      <c r="F900" s="111"/>
      <c r="G900" s="111"/>
    </row>
    <row r="901" spans="1:7">
      <c r="A901" s="106"/>
      <c r="B901" s="111"/>
      <c r="C901" s="111"/>
      <c r="D901" s="111"/>
      <c r="E901" s="111"/>
      <c r="F901" s="111"/>
      <c r="G901" s="111"/>
    </row>
    <row r="902" spans="1:7">
      <c r="A902" s="106"/>
      <c r="B902" s="111"/>
      <c r="C902" s="111"/>
      <c r="D902" s="111"/>
      <c r="E902" s="111"/>
      <c r="F902" s="111"/>
      <c r="G902" s="111"/>
    </row>
    <row r="903" spans="1:7">
      <c r="A903" s="106"/>
      <c r="B903" s="111"/>
      <c r="C903" s="111"/>
      <c r="D903" s="111"/>
      <c r="E903" s="111"/>
      <c r="F903" s="111"/>
      <c r="G903" s="111"/>
    </row>
    <row r="904" spans="1:7">
      <c r="A904" s="106"/>
      <c r="B904" s="111"/>
      <c r="C904" s="111"/>
      <c r="D904" s="111"/>
      <c r="E904" s="111"/>
      <c r="F904" s="111"/>
      <c r="G904" s="111"/>
    </row>
    <row r="905" spans="1:7">
      <c r="A905" s="106"/>
      <c r="B905" s="111"/>
      <c r="C905" s="111"/>
      <c r="D905" s="111"/>
      <c r="E905" s="111"/>
      <c r="F905" s="111"/>
      <c r="G905" s="111"/>
    </row>
    <row r="906" spans="1:7">
      <c r="A906" s="106"/>
      <c r="B906" s="111"/>
      <c r="C906" s="111"/>
      <c r="D906" s="111"/>
      <c r="E906" s="111"/>
      <c r="F906" s="111"/>
      <c r="G906" s="111"/>
    </row>
    <row r="907" spans="1:7">
      <c r="A907" s="106"/>
      <c r="B907" s="111"/>
      <c r="C907" s="111"/>
      <c r="D907" s="111"/>
      <c r="E907" s="111"/>
      <c r="F907" s="111"/>
      <c r="G907" s="111"/>
    </row>
    <row r="908" spans="1:7">
      <c r="A908" s="106"/>
      <c r="B908" s="111"/>
      <c r="C908" s="111"/>
      <c r="D908" s="111"/>
      <c r="E908" s="111"/>
      <c r="F908" s="111"/>
      <c r="G908" s="111"/>
    </row>
    <row r="909" spans="1:7">
      <c r="A909" s="106"/>
      <c r="B909" s="111"/>
      <c r="C909" s="111"/>
      <c r="D909" s="111"/>
      <c r="E909" s="111"/>
      <c r="F909" s="111"/>
      <c r="G909" s="111"/>
    </row>
    <row r="910" spans="1:7">
      <c r="A910" s="106"/>
      <c r="B910" s="111"/>
      <c r="C910" s="111"/>
      <c r="D910" s="111"/>
      <c r="E910" s="111"/>
      <c r="F910" s="111"/>
      <c r="G910" s="111"/>
    </row>
    <row r="911" spans="1:7">
      <c r="A911" s="106"/>
      <c r="B911" s="111"/>
      <c r="C911" s="111"/>
      <c r="D911" s="111"/>
      <c r="E911" s="111"/>
      <c r="F911" s="111"/>
      <c r="G911" s="111"/>
    </row>
    <row r="912" spans="1:7">
      <c r="A912" s="106"/>
      <c r="B912" s="111"/>
      <c r="C912" s="111"/>
      <c r="D912" s="111"/>
      <c r="E912" s="111"/>
      <c r="F912" s="111"/>
      <c r="G912" s="111"/>
    </row>
    <row r="913" spans="1:7">
      <c r="A913" s="106"/>
      <c r="B913" s="111"/>
      <c r="C913" s="111"/>
      <c r="D913" s="111"/>
      <c r="E913" s="111"/>
      <c r="F913" s="111"/>
      <c r="G913" s="111"/>
    </row>
    <row r="914" spans="1:7">
      <c r="A914" s="106"/>
      <c r="B914" s="111"/>
      <c r="C914" s="111"/>
      <c r="D914" s="111"/>
      <c r="E914" s="111"/>
      <c r="F914" s="111"/>
      <c r="G914" s="111"/>
    </row>
    <row r="915" spans="1:7">
      <c r="A915" s="106"/>
      <c r="B915" s="111"/>
      <c r="C915" s="111"/>
      <c r="D915" s="111"/>
      <c r="E915" s="111"/>
      <c r="F915" s="111"/>
      <c r="G915" s="111"/>
    </row>
    <row r="916" spans="1:7">
      <c r="A916" s="106"/>
      <c r="B916" s="111"/>
      <c r="C916" s="111"/>
      <c r="D916" s="111"/>
      <c r="E916" s="111"/>
      <c r="F916" s="111"/>
      <c r="G916" s="111"/>
    </row>
    <row r="917" spans="1:7">
      <c r="A917" s="106"/>
      <c r="B917" s="111"/>
      <c r="C917" s="111"/>
      <c r="D917" s="111"/>
      <c r="E917" s="111"/>
      <c r="F917" s="111"/>
      <c r="G917" s="111"/>
    </row>
    <row r="918" spans="1:7">
      <c r="A918" s="106"/>
      <c r="B918" s="111"/>
      <c r="C918" s="111"/>
      <c r="D918" s="111"/>
      <c r="E918" s="111"/>
      <c r="F918" s="111"/>
      <c r="G918" s="111"/>
    </row>
    <row r="919" spans="1:7">
      <c r="A919" s="106"/>
      <c r="B919" s="111"/>
      <c r="C919" s="111"/>
      <c r="D919" s="111"/>
      <c r="E919" s="111"/>
      <c r="F919" s="111"/>
      <c r="G919" s="111"/>
    </row>
    <row r="920" spans="1:7">
      <c r="A920" s="106"/>
      <c r="B920" s="111"/>
      <c r="C920" s="111"/>
      <c r="D920" s="111"/>
      <c r="E920" s="111"/>
      <c r="F920" s="111"/>
      <c r="G920" s="111"/>
    </row>
    <row r="921" spans="1:7">
      <c r="A921" s="106"/>
      <c r="B921" s="111"/>
      <c r="C921" s="111"/>
      <c r="D921" s="111"/>
      <c r="E921" s="111"/>
      <c r="F921" s="111"/>
      <c r="G921" s="111"/>
    </row>
    <row r="922" spans="1:7">
      <c r="A922" s="106"/>
      <c r="B922" s="111"/>
      <c r="C922" s="111"/>
      <c r="D922" s="111"/>
      <c r="E922" s="111"/>
      <c r="F922" s="111"/>
      <c r="G922" s="111"/>
    </row>
    <row r="923" spans="1:7">
      <c r="A923" s="106"/>
      <c r="B923" s="111"/>
      <c r="C923" s="111"/>
      <c r="D923" s="111"/>
      <c r="E923" s="111"/>
      <c r="F923" s="111"/>
      <c r="G923" s="111"/>
    </row>
    <row r="924" spans="1:7">
      <c r="A924" s="106"/>
      <c r="B924" s="111"/>
      <c r="C924" s="111"/>
      <c r="D924" s="111"/>
      <c r="E924" s="111"/>
      <c r="F924" s="111"/>
      <c r="G924" s="111"/>
    </row>
    <row r="925" spans="1:7">
      <c r="A925" s="106"/>
      <c r="B925" s="111"/>
      <c r="C925" s="111"/>
      <c r="D925" s="111"/>
      <c r="E925" s="111"/>
      <c r="F925" s="111"/>
      <c r="G925" s="111"/>
    </row>
    <row r="926" spans="1:7">
      <c r="A926" s="106"/>
      <c r="B926" s="111"/>
      <c r="C926" s="111"/>
      <c r="D926" s="111"/>
      <c r="E926" s="111"/>
      <c r="F926" s="111"/>
      <c r="G926" s="111"/>
    </row>
    <row r="927" spans="1:7">
      <c r="A927" s="106"/>
      <c r="B927" s="111"/>
      <c r="C927" s="111"/>
      <c r="D927" s="111"/>
      <c r="E927" s="111"/>
      <c r="F927" s="111"/>
      <c r="G927" s="111"/>
    </row>
    <row r="928" spans="1:7">
      <c r="A928" s="106"/>
      <c r="B928" s="111"/>
      <c r="C928" s="111"/>
      <c r="D928" s="111"/>
      <c r="E928" s="111"/>
      <c r="F928" s="111"/>
      <c r="G928" s="111"/>
    </row>
    <row r="929" spans="1:7">
      <c r="A929" s="106"/>
      <c r="B929" s="111"/>
      <c r="C929" s="111"/>
      <c r="D929" s="111"/>
      <c r="E929" s="111"/>
      <c r="F929" s="111"/>
      <c r="G929" s="111"/>
    </row>
    <row r="930" spans="1:7">
      <c r="A930" s="106"/>
      <c r="B930" s="111"/>
      <c r="C930" s="111"/>
      <c r="D930" s="111"/>
      <c r="E930" s="111"/>
      <c r="F930" s="111"/>
      <c r="G930" s="111"/>
    </row>
    <row r="931" spans="1:7">
      <c r="A931" s="106"/>
      <c r="B931" s="111"/>
      <c r="C931" s="111"/>
      <c r="D931" s="111"/>
      <c r="E931" s="111"/>
      <c r="F931" s="111"/>
      <c r="G931" s="111"/>
    </row>
    <row r="932" spans="1:7">
      <c r="A932" s="106"/>
      <c r="B932" s="111"/>
      <c r="C932" s="111"/>
      <c r="D932" s="111"/>
      <c r="E932" s="111"/>
      <c r="F932" s="111"/>
      <c r="G932" s="111"/>
    </row>
    <row r="933" spans="1:7">
      <c r="A933" s="106"/>
      <c r="B933" s="111"/>
      <c r="C933" s="111"/>
      <c r="D933" s="111"/>
      <c r="E933" s="111"/>
      <c r="F933" s="111"/>
      <c r="G933" s="111"/>
    </row>
    <row r="934" spans="1:7">
      <c r="A934" s="106"/>
      <c r="B934" s="111"/>
      <c r="C934" s="111"/>
      <c r="D934" s="111"/>
      <c r="E934" s="111"/>
      <c r="F934" s="111"/>
      <c r="G934" s="111"/>
    </row>
    <row r="935" spans="1:7">
      <c r="A935" s="106"/>
      <c r="B935" s="111"/>
      <c r="C935" s="111"/>
      <c r="D935" s="111"/>
      <c r="E935" s="111"/>
      <c r="F935" s="111"/>
      <c r="G935" s="111"/>
    </row>
    <row r="936" spans="1:7">
      <c r="A936" s="106"/>
      <c r="B936" s="111"/>
      <c r="C936" s="111"/>
      <c r="D936" s="111"/>
      <c r="E936" s="111"/>
      <c r="F936" s="111"/>
      <c r="G936" s="111"/>
    </row>
    <row r="937" spans="1:7">
      <c r="A937" s="106"/>
      <c r="B937" s="111"/>
      <c r="C937" s="111"/>
      <c r="D937" s="111"/>
      <c r="E937" s="111"/>
      <c r="F937" s="111"/>
      <c r="G937" s="111"/>
    </row>
    <row r="938" spans="1:7">
      <c r="A938" s="106"/>
      <c r="B938" s="111"/>
      <c r="C938" s="111"/>
      <c r="D938" s="111"/>
      <c r="E938" s="111"/>
      <c r="F938" s="111"/>
      <c r="G938" s="111"/>
    </row>
    <row r="939" spans="1:7">
      <c r="A939" s="106"/>
      <c r="B939" s="111"/>
      <c r="C939" s="111"/>
      <c r="D939" s="111"/>
      <c r="E939" s="111"/>
      <c r="F939" s="111"/>
      <c r="G939" s="111"/>
    </row>
    <row r="940" spans="1:7">
      <c r="A940" s="106"/>
      <c r="B940" s="111"/>
      <c r="C940" s="111"/>
      <c r="D940" s="111"/>
      <c r="E940" s="111"/>
      <c r="F940" s="111"/>
      <c r="G940" s="111"/>
    </row>
    <row r="941" spans="1:7">
      <c r="A941" s="106"/>
      <c r="B941" s="111"/>
      <c r="C941" s="111"/>
      <c r="D941" s="111"/>
      <c r="E941" s="111"/>
      <c r="F941" s="111"/>
      <c r="G941" s="111"/>
    </row>
    <row r="942" spans="1:7">
      <c r="A942" s="106"/>
      <c r="B942" s="111"/>
      <c r="C942" s="111"/>
      <c r="D942" s="111"/>
      <c r="E942" s="111"/>
      <c r="F942" s="111"/>
      <c r="G942" s="111"/>
    </row>
    <row r="943" spans="1:7">
      <c r="A943" s="106"/>
      <c r="B943" s="111"/>
      <c r="C943" s="111"/>
      <c r="D943" s="111"/>
      <c r="E943" s="111"/>
      <c r="F943" s="111"/>
      <c r="G943" s="111"/>
    </row>
    <row r="944" spans="1:7">
      <c r="A944" s="106"/>
      <c r="B944" s="111"/>
      <c r="C944" s="111"/>
      <c r="D944" s="111"/>
      <c r="E944" s="111"/>
      <c r="F944" s="111"/>
      <c r="G944" s="111"/>
    </row>
    <row r="945" spans="1:7">
      <c r="A945" s="106"/>
      <c r="B945" s="111"/>
      <c r="C945" s="111"/>
      <c r="D945" s="111"/>
      <c r="E945" s="111"/>
      <c r="F945" s="111"/>
      <c r="G945" s="111"/>
    </row>
    <row r="946" spans="1:7">
      <c r="A946" s="106"/>
      <c r="B946" s="111"/>
      <c r="C946" s="111"/>
      <c r="D946" s="111"/>
      <c r="E946" s="111"/>
      <c r="F946" s="111"/>
      <c r="G946" s="111"/>
    </row>
    <row r="947" spans="1:7">
      <c r="A947" s="106"/>
      <c r="B947" s="111"/>
      <c r="C947" s="111"/>
      <c r="D947" s="111"/>
      <c r="E947" s="111"/>
      <c r="F947" s="111"/>
      <c r="G947" s="111"/>
    </row>
    <row r="948" spans="1:7">
      <c r="A948" s="106"/>
      <c r="B948" s="111"/>
      <c r="C948" s="111"/>
      <c r="D948" s="111"/>
      <c r="E948" s="111"/>
      <c r="F948" s="111"/>
      <c r="G948" s="111"/>
    </row>
    <row r="949" spans="1:7">
      <c r="A949" s="106"/>
      <c r="B949" s="111"/>
      <c r="C949" s="111"/>
      <c r="D949" s="111"/>
      <c r="E949" s="111"/>
      <c r="F949" s="111"/>
      <c r="G949" s="111"/>
    </row>
    <row r="950" spans="1:7">
      <c r="A950" s="106"/>
      <c r="B950" s="111"/>
      <c r="C950" s="111"/>
      <c r="D950" s="111"/>
      <c r="E950" s="111"/>
      <c r="F950" s="111"/>
      <c r="G950" s="111"/>
    </row>
    <row r="951" spans="1:7">
      <c r="A951" s="106"/>
      <c r="B951" s="111"/>
      <c r="C951" s="111"/>
      <c r="D951" s="111"/>
      <c r="E951" s="111"/>
      <c r="F951" s="111"/>
      <c r="G951" s="111"/>
    </row>
    <row r="952" spans="1:7">
      <c r="A952" s="106"/>
      <c r="B952" s="111"/>
      <c r="C952" s="111"/>
      <c r="D952" s="111"/>
      <c r="E952" s="111"/>
      <c r="F952" s="111"/>
      <c r="G952" s="111"/>
    </row>
    <row r="953" spans="1:7">
      <c r="A953" s="106"/>
      <c r="B953" s="111"/>
      <c r="C953" s="111"/>
      <c r="D953" s="111"/>
      <c r="E953" s="111"/>
      <c r="F953" s="111"/>
      <c r="G953" s="111"/>
    </row>
    <row r="954" spans="1:7">
      <c r="A954" s="106"/>
      <c r="B954" s="111"/>
      <c r="C954" s="111"/>
      <c r="D954" s="111"/>
      <c r="E954" s="111"/>
      <c r="F954" s="111"/>
      <c r="G954" s="111"/>
    </row>
    <row r="955" spans="1:7">
      <c r="A955" s="106"/>
      <c r="B955" s="111"/>
      <c r="C955" s="111"/>
      <c r="D955" s="111"/>
      <c r="E955" s="111"/>
      <c r="F955" s="111"/>
      <c r="G955" s="111"/>
    </row>
    <row r="956" spans="1:7">
      <c r="A956" s="106"/>
      <c r="B956" s="111"/>
      <c r="C956" s="111"/>
      <c r="D956" s="111"/>
      <c r="E956" s="111"/>
      <c r="F956" s="111"/>
      <c r="G956" s="111"/>
    </row>
    <row r="957" spans="1:7">
      <c r="A957" s="106"/>
      <c r="B957" s="111"/>
      <c r="C957" s="111"/>
      <c r="D957" s="111"/>
      <c r="E957" s="111"/>
      <c r="F957" s="111"/>
      <c r="G957" s="111"/>
    </row>
    <row r="958" spans="1:7">
      <c r="A958" s="106"/>
      <c r="B958" s="111"/>
      <c r="C958" s="111"/>
      <c r="D958" s="111"/>
      <c r="E958" s="111"/>
      <c r="F958" s="111"/>
      <c r="G958" s="111"/>
    </row>
    <row r="959" spans="1:7">
      <c r="A959" s="106"/>
      <c r="B959" s="111"/>
      <c r="C959" s="111"/>
      <c r="D959" s="111"/>
      <c r="E959" s="111"/>
      <c r="F959" s="111"/>
      <c r="G959" s="111"/>
    </row>
    <row r="960" spans="1:7">
      <c r="A960" s="106"/>
      <c r="B960" s="111"/>
      <c r="C960" s="111"/>
      <c r="D960" s="111"/>
      <c r="E960" s="111"/>
      <c r="F960" s="111"/>
      <c r="G960" s="111"/>
    </row>
    <row r="961" spans="1:7">
      <c r="A961" s="106"/>
      <c r="B961" s="111"/>
      <c r="C961" s="111"/>
      <c r="D961" s="111"/>
      <c r="E961" s="111"/>
      <c r="F961" s="111"/>
      <c r="G961" s="111"/>
    </row>
    <row r="962" spans="1:7">
      <c r="A962" s="106"/>
      <c r="B962" s="111"/>
      <c r="C962" s="111"/>
      <c r="D962" s="111"/>
      <c r="E962" s="111"/>
      <c r="F962" s="111"/>
      <c r="G962" s="111"/>
    </row>
    <row r="963" spans="1:7">
      <c r="A963" s="106"/>
      <c r="B963" s="111"/>
      <c r="C963" s="111"/>
      <c r="D963" s="111"/>
      <c r="E963" s="111"/>
      <c r="F963" s="111"/>
      <c r="G963" s="111"/>
    </row>
    <row r="964" spans="1:7">
      <c r="A964" s="106"/>
      <c r="B964" s="111"/>
      <c r="C964" s="111"/>
      <c r="D964" s="111"/>
      <c r="E964" s="111"/>
      <c r="F964" s="111"/>
      <c r="G964" s="111"/>
    </row>
    <row r="965" spans="1:7">
      <c r="A965" s="106"/>
      <c r="B965" s="111"/>
      <c r="C965" s="111"/>
      <c r="D965" s="111"/>
      <c r="E965" s="111"/>
      <c r="F965" s="111"/>
      <c r="G965" s="111"/>
    </row>
    <row r="966" spans="1:7">
      <c r="A966" s="106"/>
      <c r="B966" s="111"/>
      <c r="C966" s="111"/>
      <c r="D966" s="111"/>
      <c r="E966" s="111"/>
      <c r="F966" s="111"/>
      <c r="G966" s="111"/>
    </row>
    <row r="967" spans="1:7">
      <c r="A967" s="106"/>
      <c r="B967" s="111"/>
      <c r="C967" s="111"/>
      <c r="D967" s="111"/>
      <c r="E967" s="111"/>
      <c r="F967" s="111"/>
      <c r="G967" s="111"/>
    </row>
    <row r="968" spans="1:7">
      <c r="A968" s="106"/>
      <c r="B968" s="111"/>
      <c r="C968" s="111"/>
      <c r="D968" s="111"/>
      <c r="E968" s="111"/>
      <c r="F968" s="111"/>
      <c r="G968" s="111"/>
    </row>
    <row r="969" spans="1:7">
      <c r="A969" s="106"/>
      <c r="B969" s="111"/>
      <c r="C969" s="111"/>
      <c r="D969" s="111"/>
      <c r="E969" s="111"/>
      <c r="F969" s="111"/>
      <c r="G969" s="111"/>
    </row>
    <row r="970" spans="1:7">
      <c r="A970" s="106"/>
      <c r="B970" s="111"/>
      <c r="C970" s="111"/>
      <c r="D970" s="111"/>
      <c r="E970" s="111"/>
      <c r="F970" s="111"/>
      <c r="G970" s="111"/>
    </row>
    <row r="971" spans="1:7">
      <c r="A971" s="106"/>
      <c r="B971" s="111"/>
      <c r="C971" s="111"/>
      <c r="D971" s="111"/>
      <c r="E971" s="111"/>
      <c r="F971" s="111"/>
      <c r="G971" s="111"/>
    </row>
    <row r="972" spans="1:7">
      <c r="A972" s="106"/>
      <c r="B972" s="111"/>
      <c r="C972" s="111"/>
      <c r="D972" s="111"/>
      <c r="E972" s="111"/>
      <c r="F972" s="111"/>
      <c r="G972" s="111"/>
    </row>
    <row r="973" spans="1:7">
      <c r="A973" s="106"/>
      <c r="B973" s="111"/>
      <c r="C973" s="111"/>
      <c r="D973" s="111"/>
      <c r="E973" s="111"/>
      <c r="F973" s="111"/>
      <c r="G973" s="111"/>
    </row>
    <row r="974" spans="1:7">
      <c r="A974" s="106"/>
      <c r="B974" s="111"/>
      <c r="C974" s="111"/>
      <c r="D974" s="111"/>
      <c r="E974" s="111"/>
      <c r="F974" s="111"/>
      <c r="G974" s="111"/>
    </row>
    <row r="975" spans="1:7">
      <c r="A975" s="106"/>
      <c r="B975" s="111"/>
      <c r="C975" s="111"/>
      <c r="D975" s="111"/>
      <c r="E975" s="111"/>
      <c r="F975" s="111"/>
      <c r="G975" s="111"/>
    </row>
    <row r="976" spans="1:7">
      <c r="A976" s="106"/>
      <c r="B976" s="111"/>
      <c r="C976" s="111"/>
      <c r="D976" s="111"/>
      <c r="E976" s="111"/>
      <c r="F976" s="111"/>
      <c r="G976" s="111"/>
    </row>
    <row r="977" spans="1:7">
      <c r="A977" s="106"/>
      <c r="B977" s="111"/>
      <c r="C977" s="111"/>
      <c r="D977" s="111"/>
      <c r="E977" s="111"/>
      <c r="F977" s="111"/>
      <c r="G977" s="111"/>
    </row>
    <row r="978" spans="1:7">
      <c r="A978" s="106"/>
      <c r="B978" s="111"/>
      <c r="C978" s="111"/>
      <c r="D978" s="111"/>
      <c r="E978" s="111"/>
      <c r="F978" s="111"/>
      <c r="G978" s="111"/>
    </row>
    <row r="979" spans="1:7">
      <c r="A979" s="106"/>
      <c r="B979" s="111"/>
      <c r="C979" s="111"/>
      <c r="D979" s="111"/>
      <c r="E979" s="111"/>
      <c r="F979" s="111"/>
      <c r="G979" s="111"/>
    </row>
    <row r="980" spans="1:7">
      <c r="A980" s="106"/>
      <c r="B980" s="111"/>
      <c r="C980" s="111"/>
      <c r="D980" s="111"/>
      <c r="E980" s="111"/>
      <c r="F980" s="111"/>
      <c r="G980" s="111"/>
    </row>
    <row r="981" spans="1:7">
      <c r="A981" s="106"/>
      <c r="B981" s="111"/>
      <c r="C981" s="111"/>
      <c r="D981" s="111"/>
      <c r="E981" s="111"/>
      <c r="F981" s="111"/>
      <c r="G981" s="111"/>
    </row>
    <row r="982" spans="1:7">
      <c r="A982" s="106"/>
      <c r="B982" s="111"/>
      <c r="C982" s="111"/>
      <c r="D982" s="111"/>
      <c r="E982" s="111"/>
      <c r="F982" s="111"/>
      <c r="G982" s="111"/>
    </row>
    <row r="983" spans="1:7">
      <c r="A983" s="106"/>
      <c r="B983" s="111"/>
      <c r="C983" s="111"/>
      <c r="D983" s="111"/>
      <c r="E983" s="111"/>
      <c r="F983" s="111"/>
      <c r="G983" s="111"/>
    </row>
    <row r="984" spans="1:7">
      <c r="A984" s="106"/>
      <c r="B984" s="111"/>
      <c r="C984" s="111"/>
      <c r="D984" s="111"/>
      <c r="E984" s="111"/>
      <c r="F984" s="111"/>
      <c r="G984" s="111"/>
    </row>
    <row r="985" spans="1:7">
      <c r="A985" s="106"/>
      <c r="B985" s="111"/>
      <c r="C985" s="111"/>
      <c r="D985" s="111"/>
      <c r="E985" s="111"/>
      <c r="F985" s="111"/>
      <c r="G985" s="111"/>
    </row>
    <row r="986" spans="1:7">
      <c r="A986" s="106"/>
      <c r="B986" s="111"/>
      <c r="C986" s="111"/>
      <c r="D986" s="111"/>
      <c r="E986" s="111"/>
      <c r="F986" s="111"/>
      <c r="G986" s="111"/>
    </row>
    <row r="987" spans="1:7">
      <c r="A987" s="106"/>
      <c r="B987" s="111"/>
      <c r="C987" s="111"/>
      <c r="D987" s="111"/>
      <c r="E987" s="111"/>
      <c r="F987" s="111"/>
      <c r="G987" s="111"/>
    </row>
    <row r="988" spans="1:7">
      <c r="A988" s="106"/>
      <c r="B988" s="111"/>
      <c r="C988" s="111"/>
      <c r="D988" s="111"/>
      <c r="E988" s="111"/>
      <c r="F988" s="111"/>
      <c r="G988" s="111"/>
    </row>
    <row r="989" spans="1:7">
      <c r="A989" s="106"/>
      <c r="B989" s="111"/>
      <c r="C989" s="111"/>
      <c r="D989" s="111"/>
      <c r="E989" s="111"/>
      <c r="F989" s="111"/>
      <c r="G989" s="111"/>
    </row>
    <row r="990" spans="1:7">
      <c r="A990" s="106"/>
      <c r="B990" s="111"/>
      <c r="C990" s="111"/>
      <c r="D990" s="111"/>
      <c r="E990" s="111"/>
      <c r="F990" s="111"/>
      <c r="G990" s="111"/>
    </row>
    <row r="991" spans="1:7">
      <c r="A991" s="106"/>
      <c r="B991" s="111"/>
      <c r="C991" s="111"/>
      <c r="D991" s="111"/>
      <c r="E991" s="111"/>
      <c r="F991" s="111"/>
      <c r="G991" s="111"/>
    </row>
    <row r="992" spans="1:7">
      <c r="A992" s="106"/>
      <c r="B992" s="111"/>
      <c r="C992" s="111"/>
      <c r="D992" s="111"/>
      <c r="E992" s="111"/>
      <c r="F992" s="111"/>
      <c r="G992" s="111"/>
    </row>
    <row r="993" spans="1:7">
      <c r="A993" s="106"/>
      <c r="B993" s="111"/>
      <c r="C993" s="111"/>
      <c r="D993" s="111"/>
      <c r="E993" s="111"/>
      <c r="F993" s="111"/>
      <c r="G993" s="111"/>
    </row>
    <row r="994" spans="1:7">
      <c r="A994" s="106"/>
      <c r="B994" s="111"/>
      <c r="C994" s="111"/>
      <c r="D994" s="111"/>
      <c r="E994" s="111"/>
      <c r="F994" s="111"/>
      <c r="G994" s="111"/>
    </row>
    <row r="995" spans="1:7">
      <c r="A995" s="106"/>
      <c r="B995" s="111"/>
      <c r="C995" s="111"/>
      <c r="D995" s="111"/>
      <c r="E995" s="111"/>
      <c r="F995" s="111"/>
      <c r="G995" s="111"/>
    </row>
    <row r="996" spans="1:7">
      <c r="A996" s="106"/>
      <c r="B996" s="111"/>
      <c r="C996" s="111"/>
      <c r="D996" s="111"/>
      <c r="E996" s="111"/>
      <c r="F996" s="111"/>
      <c r="G996" s="111"/>
    </row>
    <row r="997" spans="1:7">
      <c r="A997" s="106"/>
      <c r="B997" s="111"/>
      <c r="C997" s="111"/>
      <c r="D997" s="111"/>
      <c r="E997" s="111"/>
      <c r="F997" s="111"/>
      <c r="G997" s="111"/>
    </row>
    <row r="998" spans="1:7">
      <c r="A998" s="106"/>
      <c r="B998" s="111"/>
      <c r="C998" s="111"/>
      <c r="D998" s="111"/>
      <c r="E998" s="111"/>
      <c r="F998" s="111"/>
      <c r="G998" s="111"/>
    </row>
    <row r="999" spans="1:7">
      <c r="A999" s="106"/>
      <c r="B999" s="111"/>
      <c r="C999" s="111"/>
      <c r="D999" s="111"/>
      <c r="E999" s="111"/>
      <c r="F999" s="111"/>
      <c r="G999" s="111"/>
    </row>
    <row r="1000" spans="1:7">
      <c r="A1000" s="106"/>
      <c r="B1000" s="111"/>
      <c r="C1000" s="111"/>
      <c r="D1000" s="111"/>
      <c r="E1000" s="111"/>
      <c r="F1000" s="111"/>
      <c r="G1000" s="111"/>
    </row>
    <row r="1001" spans="1:7">
      <c r="A1001" s="106"/>
      <c r="B1001" s="111"/>
      <c r="C1001" s="111"/>
      <c r="D1001" s="111"/>
      <c r="E1001" s="111"/>
      <c r="F1001" s="111"/>
      <c r="G1001" s="111"/>
    </row>
    <row r="1002" spans="1:7">
      <c r="A1002" s="106"/>
      <c r="B1002" s="111"/>
      <c r="C1002" s="111"/>
      <c r="D1002" s="111"/>
      <c r="E1002" s="111"/>
      <c r="F1002" s="111"/>
      <c r="G1002" s="111"/>
    </row>
    <row r="1003" spans="1:7">
      <c r="A1003" s="106"/>
      <c r="B1003" s="111"/>
      <c r="C1003" s="111"/>
      <c r="D1003" s="111"/>
      <c r="E1003" s="111"/>
      <c r="F1003" s="111"/>
      <c r="G1003" s="111"/>
    </row>
    <row r="1004" spans="1:7">
      <c r="A1004" s="106"/>
      <c r="B1004" s="111"/>
      <c r="C1004" s="111"/>
      <c r="D1004" s="111"/>
      <c r="E1004" s="111"/>
      <c r="F1004" s="111"/>
      <c r="G1004" s="111"/>
    </row>
    <row r="1005" spans="1:7">
      <c r="A1005" s="106"/>
      <c r="B1005" s="111"/>
      <c r="C1005" s="111"/>
      <c r="D1005" s="111"/>
      <c r="E1005" s="111"/>
      <c r="F1005" s="111"/>
      <c r="G1005" s="111"/>
    </row>
    <row r="1006" spans="1:7">
      <c r="A1006" s="106"/>
      <c r="B1006" s="111"/>
      <c r="C1006" s="111"/>
      <c r="D1006" s="111"/>
      <c r="E1006" s="111"/>
      <c r="F1006" s="111"/>
      <c r="G1006" s="111"/>
    </row>
    <row r="1007" spans="1:7">
      <c r="A1007" s="106"/>
      <c r="B1007" s="111"/>
      <c r="C1007" s="111"/>
      <c r="D1007" s="111"/>
      <c r="E1007" s="111"/>
      <c r="F1007" s="111"/>
      <c r="G1007" s="111"/>
    </row>
    <row r="1008" spans="1:7">
      <c r="A1008" s="106"/>
      <c r="B1008" s="111"/>
      <c r="C1008" s="111"/>
      <c r="D1008" s="111"/>
      <c r="E1008" s="111"/>
      <c r="F1008" s="111"/>
      <c r="G1008" s="111"/>
    </row>
    <row r="1009" spans="1:7">
      <c r="A1009" s="106"/>
      <c r="B1009" s="111"/>
      <c r="C1009" s="111"/>
      <c r="D1009" s="111"/>
      <c r="E1009" s="111"/>
      <c r="F1009" s="111"/>
      <c r="G1009" s="111"/>
    </row>
    <row r="1010" spans="1:7">
      <c r="A1010" s="106"/>
      <c r="B1010" s="111"/>
      <c r="C1010" s="111"/>
      <c r="D1010" s="111"/>
      <c r="E1010" s="111"/>
      <c r="F1010" s="111"/>
      <c r="G1010" s="111"/>
    </row>
    <row r="1011" spans="1:7">
      <c r="A1011" s="106"/>
      <c r="B1011" s="111"/>
      <c r="C1011" s="111"/>
      <c r="D1011" s="111"/>
      <c r="E1011" s="111"/>
      <c r="F1011" s="111"/>
      <c r="G1011" s="111"/>
    </row>
    <row r="1012" spans="1:7">
      <c r="A1012" s="106"/>
      <c r="B1012" s="111"/>
      <c r="C1012" s="111"/>
      <c r="D1012" s="111"/>
      <c r="E1012" s="111"/>
      <c r="F1012" s="111"/>
      <c r="G1012" s="111"/>
    </row>
    <row r="1013" spans="1:7">
      <c r="A1013" s="106"/>
      <c r="B1013" s="111"/>
      <c r="C1013" s="111"/>
      <c r="D1013" s="111"/>
      <c r="E1013" s="111"/>
      <c r="F1013" s="111"/>
      <c r="G1013" s="111"/>
    </row>
    <row r="1014" spans="1:7">
      <c r="A1014" s="106"/>
      <c r="B1014" s="111"/>
      <c r="C1014" s="111"/>
      <c r="D1014" s="111"/>
      <c r="E1014" s="111"/>
      <c r="F1014" s="111"/>
      <c r="G1014" s="111"/>
    </row>
    <row r="1015" spans="1:7">
      <c r="A1015" s="106"/>
      <c r="B1015" s="111"/>
      <c r="C1015" s="111"/>
      <c r="D1015" s="111"/>
      <c r="E1015" s="111"/>
      <c r="F1015" s="111"/>
      <c r="G1015" s="111"/>
    </row>
    <row r="1016" spans="1:7">
      <c r="A1016" s="106"/>
      <c r="B1016" s="111"/>
      <c r="C1016" s="111"/>
      <c r="D1016" s="111"/>
      <c r="E1016" s="111"/>
      <c r="F1016" s="111"/>
      <c r="G1016" s="111"/>
    </row>
    <row r="1017" spans="1:7">
      <c r="A1017" s="106"/>
      <c r="B1017" s="111"/>
      <c r="C1017" s="111"/>
      <c r="D1017" s="111"/>
      <c r="E1017" s="111"/>
      <c r="F1017" s="111"/>
      <c r="G1017" s="111"/>
    </row>
    <row r="1018" spans="1:7">
      <c r="A1018" s="106"/>
      <c r="B1018" s="111"/>
      <c r="C1018" s="111"/>
      <c r="D1018" s="111"/>
      <c r="E1018" s="111"/>
      <c r="F1018" s="111"/>
      <c r="G1018" s="111"/>
    </row>
    <row r="1019" spans="1:7">
      <c r="A1019" s="106"/>
      <c r="B1019" s="111"/>
      <c r="C1019" s="111"/>
      <c r="D1019" s="111"/>
      <c r="E1019" s="111"/>
      <c r="F1019" s="111"/>
      <c r="G1019" s="111"/>
    </row>
    <row r="1020" spans="1:7">
      <c r="A1020" s="106"/>
      <c r="B1020" s="111"/>
      <c r="C1020" s="111"/>
      <c r="D1020" s="111"/>
      <c r="E1020" s="111"/>
      <c r="F1020" s="111"/>
      <c r="G1020" s="111"/>
    </row>
    <row r="1021" spans="1:7">
      <c r="A1021" s="106"/>
      <c r="B1021" s="111"/>
      <c r="C1021" s="111"/>
      <c r="D1021" s="111"/>
      <c r="E1021" s="111"/>
      <c r="F1021" s="111"/>
      <c r="G1021" s="111"/>
    </row>
    <row r="1022" spans="1:7">
      <c r="A1022" s="106"/>
      <c r="B1022" s="111"/>
      <c r="C1022" s="111"/>
      <c r="D1022" s="111"/>
      <c r="E1022" s="111"/>
      <c r="F1022" s="111"/>
      <c r="G1022" s="111"/>
    </row>
    <row r="1023" spans="1:7">
      <c r="A1023" s="106"/>
      <c r="B1023" s="111"/>
      <c r="C1023" s="111"/>
      <c r="D1023" s="111"/>
      <c r="E1023" s="111"/>
      <c r="F1023" s="111"/>
      <c r="G1023" s="111"/>
    </row>
    <row r="1024" spans="1:7">
      <c r="A1024" s="106"/>
      <c r="B1024" s="111"/>
      <c r="C1024" s="111"/>
      <c r="D1024" s="111"/>
      <c r="E1024" s="111"/>
      <c r="F1024" s="111"/>
      <c r="G1024" s="111"/>
    </row>
    <row r="1025" spans="1:7">
      <c r="A1025" s="106"/>
      <c r="B1025" s="111"/>
      <c r="C1025" s="111"/>
      <c r="D1025" s="111"/>
      <c r="E1025" s="111"/>
      <c r="F1025" s="111"/>
      <c r="G1025" s="111"/>
    </row>
    <row r="1026" spans="1:7">
      <c r="A1026" s="106"/>
      <c r="B1026" s="111"/>
      <c r="C1026" s="111"/>
      <c r="D1026" s="111"/>
      <c r="E1026" s="111"/>
      <c r="F1026" s="111"/>
      <c r="G1026" s="111"/>
    </row>
    <row r="1027" spans="1:7">
      <c r="A1027" s="106"/>
      <c r="B1027" s="111"/>
      <c r="C1027" s="111"/>
      <c r="D1027" s="111"/>
      <c r="E1027" s="111"/>
      <c r="F1027" s="111"/>
      <c r="G1027" s="111"/>
    </row>
    <row r="1028" spans="1:7">
      <c r="A1028" s="106"/>
      <c r="B1028" s="111"/>
      <c r="C1028" s="111"/>
      <c r="D1028" s="111"/>
      <c r="E1028" s="111"/>
      <c r="F1028" s="111"/>
      <c r="G1028" s="111"/>
    </row>
    <row r="1029" spans="1:7">
      <c r="A1029" s="106"/>
      <c r="B1029" s="111"/>
      <c r="C1029" s="111"/>
      <c r="D1029" s="111"/>
      <c r="E1029" s="111"/>
      <c r="F1029" s="111"/>
      <c r="G1029" s="111"/>
    </row>
    <row r="1030" spans="1:7">
      <c r="A1030" s="106"/>
      <c r="B1030" s="111"/>
      <c r="C1030" s="111"/>
      <c r="D1030" s="111"/>
      <c r="E1030" s="111"/>
      <c r="F1030" s="111"/>
      <c r="G1030" s="111"/>
    </row>
    <row r="1031" spans="1:7">
      <c r="A1031" s="106"/>
      <c r="B1031" s="111"/>
      <c r="C1031" s="111"/>
      <c r="D1031" s="111"/>
      <c r="E1031" s="111"/>
      <c r="F1031" s="111"/>
      <c r="G1031" s="111"/>
    </row>
    <row r="1032" spans="1:7">
      <c r="A1032" s="106"/>
      <c r="B1032" s="111"/>
      <c r="C1032" s="111"/>
      <c r="D1032" s="111"/>
      <c r="E1032" s="111"/>
      <c r="F1032" s="111"/>
      <c r="G1032" s="111"/>
    </row>
    <row r="1033" spans="1:7">
      <c r="A1033" s="106"/>
      <c r="B1033" s="111"/>
      <c r="C1033" s="111"/>
      <c r="D1033" s="111"/>
      <c r="E1033" s="111"/>
      <c r="F1033" s="111"/>
      <c r="G1033" s="111"/>
    </row>
    <row r="1034" spans="1:7">
      <c r="A1034" s="106"/>
      <c r="B1034" s="111"/>
      <c r="C1034" s="111"/>
      <c r="D1034" s="111"/>
      <c r="E1034" s="111"/>
      <c r="F1034" s="111"/>
      <c r="G1034" s="111"/>
    </row>
    <row r="1035" spans="1:7">
      <c r="A1035" s="106"/>
      <c r="B1035" s="111"/>
      <c r="C1035" s="111"/>
      <c r="D1035" s="111"/>
      <c r="E1035" s="111"/>
      <c r="F1035" s="111"/>
      <c r="G1035" s="111"/>
    </row>
    <row r="1036" spans="1:7">
      <c r="A1036" s="106"/>
      <c r="B1036" s="111"/>
      <c r="C1036" s="111"/>
      <c r="D1036" s="111"/>
      <c r="E1036" s="111"/>
      <c r="F1036" s="111"/>
      <c r="G1036" s="111"/>
    </row>
    <row r="1037" spans="1:7">
      <c r="A1037" s="106"/>
      <c r="B1037" s="111"/>
      <c r="C1037" s="111"/>
      <c r="D1037" s="111"/>
      <c r="E1037" s="111"/>
      <c r="F1037" s="111"/>
      <c r="G1037" s="111"/>
    </row>
    <row r="1038" spans="1:7">
      <c r="A1038" s="106"/>
      <c r="B1038" s="111"/>
      <c r="C1038" s="111"/>
      <c r="D1038" s="111"/>
      <c r="E1038" s="111"/>
      <c r="F1038" s="111"/>
      <c r="G1038" s="111"/>
    </row>
    <row r="1039" spans="1:7">
      <c r="A1039" s="106"/>
      <c r="B1039" s="111"/>
      <c r="C1039" s="111"/>
      <c r="D1039" s="111"/>
      <c r="E1039" s="111"/>
      <c r="F1039" s="111"/>
      <c r="G1039" s="111"/>
    </row>
    <row r="1040" spans="1:7">
      <c r="A1040" s="106"/>
      <c r="B1040" s="111"/>
      <c r="C1040" s="111"/>
      <c r="D1040" s="111"/>
      <c r="E1040" s="111"/>
      <c r="F1040" s="111"/>
      <c r="G1040" s="111"/>
    </row>
    <row r="1041" spans="1:7">
      <c r="A1041" s="106"/>
      <c r="B1041" s="111"/>
      <c r="C1041" s="111"/>
      <c r="D1041" s="111"/>
      <c r="E1041" s="111"/>
      <c r="F1041" s="111"/>
      <c r="G1041" s="111"/>
    </row>
    <row r="1042" spans="1:7">
      <c r="A1042" s="106"/>
      <c r="B1042" s="111"/>
      <c r="C1042" s="111"/>
      <c r="D1042" s="111"/>
      <c r="E1042" s="111"/>
      <c r="F1042" s="111"/>
      <c r="G1042" s="111"/>
    </row>
    <row r="1043" spans="1:7">
      <c r="A1043" s="106"/>
      <c r="B1043" s="111"/>
      <c r="C1043" s="111"/>
      <c r="D1043" s="111"/>
      <c r="E1043" s="111"/>
      <c r="F1043" s="111"/>
      <c r="G1043" s="111"/>
    </row>
    <row r="1044" spans="1:7">
      <c r="A1044" s="106"/>
      <c r="B1044" s="111"/>
      <c r="C1044" s="111"/>
      <c r="D1044" s="111"/>
      <c r="E1044" s="111"/>
      <c r="F1044" s="111"/>
      <c r="G1044" s="111"/>
    </row>
    <row r="1045" spans="1:7">
      <c r="A1045" s="106"/>
      <c r="B1045" s="111"/>
      <c r="C1045" s="111"/>
      <c r="D1045" s="111"/>
      <c r="E1045" s="111"/>
      <c r="F1045" s="111"/>
      <c r="G1045" s="111"/>
    </row>
    <row r="1046" spans="1:7">
      <c r="A1046" s="106"/>
      <c r="B1046" s="111"/>
      <c r="C1046" s="111"/>
      <c r="D1046" s="111"/>
      <c r="E1046" s="111"/>
      <c r="F1046" s="111"/>
      <c r="G1046" s="111"/>
    </row>
    <row r="1047" spans="1:7">
      <c r="A1047" s="106"/>
      <c r="B1047" s="111"/>
      <c r="C1047" s="111"/>
      <c r="D1047" s="111"/>
      <c r="E1047" s="111"/>
      <c r="F1047" s="111"/>
      <c r="G1047" s="111"/>
    </row>
    <row r="1048" spans="1:7">
      <c r="A1048" s="106"/>
      <c r="B1048" s="111"/>
      <c r="C1048" s="111"/>
      <c r="D1048" s="111"/>
      <c r="E1048" s="111"/>
      <c r="F1048" s="111"/>
      <c r="G1048" s="111"/>
    </row>
    <row r="1049" spans="1:7">
      <c r="A1049" s="106"/>
      <c r="B1049" s="111"/>
      <c r="C1049" s="111"/>
      <c r="D1049" s="111"/>
      <c r="E1049" s="111"/>
      <c r="F1049" s="111"/>
      <c r="G1049" s="111"/>
    </row>
    <row r="1050" spans="1:7">
      <c r="A1050" s="106"/>
      <c r="B1050" s="111"/>
      <c r="C1050" s="111"/>
      <c r="D1050" s="111"/>
      <c r="E1050" s="111"/>
      <c r="F1050" s="111"/>
      <c r="G1050" s="111"/>
    </row>
    <row r="1051" spans="1:7">
      <c r="A1051" s="106"/>
      <c r="B1051" s="111"/>
      <c r="C1051" s="111"/>
      <c r="D1051" s="111"/>
      <c r="E1051" s="111"/>
      <c r="F1051" s="111"/>
      <c r="G1051" s="111"/>
    </row>
    <row r="1052" spans="1:7">
      <c r="A1052" s="106"/>
      <c r="B1052" s="111"/>
      <c r="C1052" s="111"/>
      <c r="D1052" s="111"/>
      <c r="E1052" s="111"/>
      <c r="F1052" s="111"/>
      <c r="G1052" s="111"/>
    </row>
    <row r="1053" spans="1:7">
      <c r="A1053" s="106"/>
      <c r="B1053" s="111"/>
      <c r="C1053" s="111"/>
      <c r="D1053" s="111"/>
      <c r="E1053" s="111"/>
      <c r="F1053" s="111"/>
      <c r="G1053" s="111"/>
    </row>
    <row r="1054" spans="1:7">
      <c r="A1054" s="106"/>
      <c r="B1054" s="111"/>
      <c r="C1054" s="111"/>
      <c r="D1054" s="111"/>
      <c r="E1054" s="111"/>
      <c r="F1054" s="111"/>
      <c r="G1054" s="111"/>
    </row>
    <row r="1055" spans="1:7">
      <c r="A1055" s="106"/>
      <c r="B1055" s="111"/>
      <c r="C1055" s="111"/>
      <c r="D1055" s="111"/>
      <c r="E1055" s="111"/>
      <c r="F1055" s="111"/>
      <c r="G1055" s="111"/>
    </row>
    <row r="1056" spans="1:7">
      <c r="A1056" s="106"/>
      <c r="B1056" s="111"/>
      <c r="C1056" s="111"/>
      <c r="D1056" s="111"/>
      <c r="E1056" s="111"/>
      <c r="F1056" s="111"/>
      <c r="G1056" s="111"/>
    </row>
    <row r="1057" spans="1:7">
      <c r="A1057" s="106"/>
      <c r="B1057" s="111"/>
      <c r="C1057" s="111"/>
      <c r="D1057" s="111"/>
      <c r="E1057" s="111"/>
      <c r="F1057" s="111"/>
      <c r="G1057" s="111"/>
    </row>
    <row r="1058" spans="1:7">
      <c r="A1058" s="106"/>
      <c r="B1058" s="111"/>
      <c r="C1058" s="111"/>
      <c r="D1058" s="111"/>
      <c r="E1058" s="111"/>
      <c r="F1058" s="111"/>
      <c r="G1058" s="111"/>
    </row>
    <row r="1059" spans="1:7">
      <c r="A1059" s="106"/>
      <c r="B1059" s="111"/>
      <c r="C1059" s="111"/>
      <c r="D1059" s="111"/>
      <c r="E1059" s="111"/>
      <c r="F1059" s="111"/>
      <c r="G1059" s="111"/>
    </row>
    <row r="1060" spans="1:7">
      <c r="A1060" s="106"/>
      <c r="B1060" s="111"/>
      <c r="C1060" s="111"/>
      <c r="D1060" s="111"/>
      <c r="E1060" s="111"/>
      <c r="F1060" s="111"/>
      <c r="G1060" s="111"/>
    </row>
    <row r="1061" spans="1:7">
      <c r="A1061" s="106"/>
      <c r="B1061" s="111"/>
      <c r="C1061" s="111"/>
      <c r="D1061" s="111"/>
      <c r="E1061" s="111"/>
      <c r="F1061" s="111"/>
      <c r="G1061" s="111"/>
    </row>
    <row r="1062" spans="1:7">
      <c r="A1062" s="106"/>
      <c r="B1062" s="111"/>
      <c r="C1062" s="111"/>
      <c r="D1062" s="111"/>
      <c r="E1062" s="111"/>
      <c r="F1062" s="111"/>
      <c r="G1062" s="111"/>
    </row>
    <row r="1063" spans="1:7">
      <c r="A1063" s="106"/>
      <c r="B1063" s="111"/>
      <c r="C1063" s="111"/>
      <c r="D1063" s="111"/>
      <c r="E1063" s="111"/>
      <c r="F1063" s="111"/>
      <c r="G1063" s="111"/>
    </row>
    <row r="1064" spans="1:7">
      <c r="A1064" s="106"/>
      <c r="B1064" s="111"/>
      <c r="C1064" s="111"/>
      <c r="D1064" s="111"/>
      <c r="E1064" s="111"/>
      <c r="F1064" s="111"/>
      <c r="G1064" s="111"/>
    </row>
    <row r="1065" spans="1:7">
      <c r="A1065" s="106"/>
      <c r="B1065" s="111"/>
      <c r="C1065" s="111"/>
      <c r="D1065" s="111"/>
      <c r="E1065" s="111"/>
      <c r="F1065" s="111"/>
      <c r="G1065" s="111"/>
    </row>
    <row r="1066" spans="1:7">
      <c r="A1066" s="106"/>
      <c r="B1066" s="111"/>
      <c r="C1066" s="111"/>
      <c r="D1066" s="111"/>
      <c r="E1066" s="111"/>
      <c r="F1066" s="111"/>
      <c r="G1066" s="111"/>
    </row>
    <row r="1067" spans="1:7">
      <c r="A1067" s="106"/>
      <c r="B1067" s="111"/>
      <c r="C1067" s="111"/>
      <c r="D1067" s="111"/>
      <c r="E1067" s="111"/>
      <c r="F1067" s="111"/>
      <c r="G1067" s="111"/>
    </row>
    <row r="1068" spans="1:7">
      <c r="A1068" s="106"/>
      <c r="B1068" s="111"/>
      <c r="C1068" s="111"/>
      <c r="D1068" s="111"/>
      <c r="E1068" s="111"/>
      <c r="F1068" s="111"/>
      <c r="G1068" s="111"/>
    </row>
    <row r="1069" spans="1:7">
      <c r="A1069" s="106"/>
      <c r="B1069" s="111"/>
      <c r="C1069" s="111"/>
      <c r="D1069" s="111"/>
      <c r="E1069" s="111"/>
      <c r="F1069" s="111"/>
      <c r="G1069" s="111"/>
    </row>
    <row r="1070" spans="1:7">
      <c r="A1070" s="106"/>
      <c r="B1070" s="111"/>
      <c r="C1070" s="111"/>
      <c r="D1070" s="111"/>
      <c r="E1070" s="111"/>
      <c r="F1070" s="111"/>
      <c r="G1070" s="111"/>
    </row>
    <row r="1071" spans="1:7">
      <c r="A1071" s="106"/>
      <c r="B1071" s="111"/>
      <c r="C1071" s="111"/>
      <c r="D1071" s="111"/>
      <c r="E1071" s="111"/>
      <c r="F1071" s="111"/>
      <c r="G1071" s="111"/>
    </row>
    <row r="1072" spans="1:7">
      <c r="A1072" s="106"/>
      <c r="B1072" s="111"/>
      <c r="C1072" s="111"/>
      <c r="D1072" s="111"/>
      <c r="E1072" s="111"/>
      <c r="F1072" s="111"/>
      <c r="G1072" s="111"/>
    </row>
    <row r="1073" spans="1:7">
      <c r="A1073" s="106"/>
      <c r="B1073" s="111"/>
      <c r="C1073" s="111"/>
      <c r="D1073" s="111"/>
      <c r="E1073" s="111"/>
      <c r="F1073" s="111"/>
      <c r="G1073" s="111"/>
    </row>
    <row r="1074" spans="1:7">
      <c r="A1074" s="106"/>
      <c r="B1074" s="111"/>
      <c r="C1074" s="111"/>
      <c r="D1074" s="111"/>
      <c r="E1074" s="111"/>
      <c r="F1074" s="111"/>
      <c r="G1074" s="111"/>
    </row>
    <row r="1075" spans="1:7">
      <c r="A1075" s="106"/>
      <c r="B1075" s="111"/>
      <c r="C1075" s="111"/>
      <c r="D1075" s="111"/>
      <c r="E1075" s="111"/>
      <c r="F1075" s="111"/>
      <c r="G1075" s="111"/>
    </row>
    <row r="1076" spans="1:7">
      <c r="A1076" s="106"/>
      <c r="B1076" s="111"/>
      <c r="C1076" s="111"/>
      <c r="D1076" s="111"/>
      <c r="E1076" s="111"/>
      <c r="F1076" s="111"/>
      <c r="G1076" s="111"/>
    </row>
    <row r="1077" spans="1:7">
      <c r="A1077" s="106"/>
      <c r="B1077" s="111"/>
      <c r="C1077" s="111"/>
      <c r="D1077" s="111"/>
      <c r="E1077" s="111"/>
      <c r="F1077" s="111"/>
      <c r="G1077" s="111"/>
    </row>
    <row r="1078" spans="1:7">
      <c r="A1078" s="106"/>
      <c r="B1078" s="111"/>
      <c r="C1078" s="111"/>
      <c r="D1078" s="111"/>
      <c r="E1078" s="111"/>
      <c r="F1078" s="111"/>
      <c r="G1078" s="111"/>
    </row>
    <row r="1079" spans="1:7">
      <c r="A1079" s="106"/>
      <c r="B1079" s="111"/>
      <c r="C1079" s="111"/>
      <c r="D1079" s="111"/>
      <c r="E1079" s="111"/>
      <c r="F1079" s="111"/>
      <c r="G1079" s="111"/>
    </row>
    <row r="1080" spans="1:7">
      <c r="A1080" s="106"/>
      <c r="B1080" s="111"/>
      <c r="C1080" s="111"/>
      <c r="D1080" s="111"/>
      <c r="E1080" s="111"/>
      <c r="F1080" s="111"/>
      <c r="G1080" s="111"/>
    </row>
    <row r="1081" spans="1:7">
      <c r="A1081" s="106"/>
      <c r="B1081" s="111"/>
      <c r="C1081" s="111"/>
      <c r="D1081" s="111"/>
      <c r="E1081" s="111"/>
      <c r="F1081" s="111"/>
      <c r="G1081" s="111"/>
    </row>
    <row r="1082" spans="1:7">
      <c r="A1082" s="106"/>
      <c r="B1082" s="111"/>
      <c r="C1082" s="111"/>
      <c r="D1082" s="111"/>
      <c r="E1082" s="111"/>
      <c r="F1082" s="111"/>
      <c r="G1082" s="111"/>
    </row>
    <row r="1083" spans="1:7">
      <c r="A1083" s="106"/>
      <c r="B1083" s="111"/>
      <c r="C1083" s="111"/>
      <c r="D1083" s="111"/>
      <c r="E1083" s="111"/>
      <c r="F1083" s="111"/>
      <c r="G1083" s="111"/>
    </row>
    <row r="1084" spans="1:7">
      <c r="A1084" s="106"/>
      <c r="B1084" s="111"/>
      <c r="C1084" s="111"/>
      <c r="D1084" s="111"/>
      <c r="E1084" s="111"/>
      <c r="F1084" s="111"/>
      <c r="G1084" s="111"/>
    </row>
    <row r="1085" spans="1:7">
      <c r="A1085" s="106"/>
      <c r="B1085" s="111"/>
      <c r="C1085" s="111"/>
      <c r="D1085" s="111"/>
      <c r="E1085" s="111"/>
      <c r="F1085" s="111"/>
      <c r="G1085" s="111"/>
    </row>
    <row r="1086" spans="1:7">
      <c r="A1086" s="106"/>
      <c r="B1086" s="111"/>
      <c r="C1086" s="111"/>
      <c r="D1086" s="111"/>
      <c r="E1086" s="111"/>
      <c r="F1086" s="111"/>
      <c r="G1086" s="111"/>
    </row>
    <row r="1087" spans="1:7">
      <c r="A1087" s="106"/>
      <c r="B1087" s="111"/>
      <c r="C1087" s="111"/>
      <c r="D1087" s="111"/>
      <c r="E1087" s="111"/>
      <c r="F1087" s="111"/>
      <c r="G1087" s="111"/>
    </row>
    <row r="1088" spans="1:7">
      <c r="A1088" s="106"/>
      <c r="B1088" s="111"/>
      <c r="C1088" s="111"/>
      <c r="D1088" s="111"/>
      <c r="E1088" s="111"/>
      <c r="F1088" s="111"/>
      <c r="G1088" s="111"/>
    </row>
    <row r="1089" spans="1:7">
      <c r="A1089" s="106"/>
      <c r="B1089" s="111"/>
      <c r="C1089" s="111"/>
      <c r="D1089" s="111"/>
      <c r="E1089" s="111"/>
      <c r="F1089" s="111"/>
      <c r="G1089" s="111"/>
    </row>
    <row r="1090" spans="1:7">
      <c r="A1090" s="106"/>
      <c r="B1090" s="111"/>
      <c r="C1090" s="111"/>
      <c r="D1090" s="111"/>
      <c r="E1090" s="111"/>
      <c r="F1090" s="111"/>
      <c r="G1090" s="111"/>
    </row>
    <row r="1091" spans="1:7">
      <c r="A1091" s="106"/>
      <c r="B1091" s="111"/>
      <c r="C1091" s="111"/>
      <c r="D1091" s="111"/>
      <c r="E1091" s="111"/>
      <c r="F1091" s="111"/>
      <c r="G1091" s="111"/>
    </row>
    <row r="1092" spans="1:7">
      <c r="A1092" s="106"/>
      <c r="B1092" s="111"/>
      <c r="C1092" s="111"/>
      <c r="D1092" s="111"/>
      <c r="E1092" s="111"/>
      <c r="F1092" s="111"/>
      <c r="G1092" s="111"/>
    </row>
    <row r="1093" spans="1:7">
      <c r="A1093" s="106"/>
      <c r="B1093" s="111"/>
      <c r="C1093" s="111"/>
      <c r="D1093" s="111"/>
      <c r="E1093" s="111"/>
      <c r="F1093" s="111"/>
      <c r="G1093" s="111"/>
    </row>
    <row r="1094" spans="1:7">
      <c r="A1094" s="106"/>
      <c r="B1094" s="111"/>
      <c r="C1094" s="111"/>
      <c r="D1094" s="111"/>
      <c r="E1094" s="111"/>
      <c r="F1094" s="111"/>
      <c r="G1094" s="111"/>
    </row>
    <row r="1095" spans="1:7">
      <c r="A1095" s="106"/>
      <c r="B1095" s="111"/>
      <c r="C1095" s="111"/>
      <c r="D1095" s="111"/>
      <c r="E1095" s="111"/>
      <c r="F1095" s="111"/>
      <c r="G1095" s="111"/>
    </row>
    <row r="1096" spans="1:7">
      <c r="A1096" s="106"/>
      <c r="B1096" s="111"/>
      <c r="C1096" s="111"/>
      <c r="D1096" s="111"/>
      <c r="E1096" s="111"/>
      <c r="F1096" s="111"/>
      <c r="G1096" s="111"/>
    </row>
    <row r="1097" spans="1:7">
      <c r="A1097" s="106"/>
      <c r="B1097" s="111"/>
      <c r="C1097" s="111"/>
      <c r="D1097" s="111"/>
      <c r="E1097" s="111"/>
      <c r="F1097" s="111"/>
      <c r="G1097" s="111"/>
    </row>
    <row r="1098" spans="1:7">
      <c r="A1098" s="106"/>
      <c r="B1098" s="111"/>
      <c r="C1098" s="111"/>
      <c r="D1098" s="111"/>
      <c r="E1098" s="111"/>
      <c r="F1098" s="111"/>
      <c r="G1098" s="111"/>
    </row>
    <row r="1099" spans="1:7">
      <c r="A1099" s="106"/>
      <c r="B1099" s="111"/>
      <c r="C1099" s="111"/>
      <c r="D1099" s="111"/>
      <c r="E1099" s="111"/>
      <c r="F1099" s="111"/>
      <c r="G1099" s="111"/>
    </row>
    <row r="1100" spans="1:7">
      <c r="A1100" s="106"/>
      <c r="B1100" s="111"/>
      <c r="C1100" s="111"/>
      <c r="D1100" s="111"/>
      <c r="E1100" s="111"/>
      <c r="F1100" s="111"/>
      <c r="G1100" s="111"/>
    </row>
    <row r="1101" spans="1:7">
      <c r="A1101" s="106"/>
      <c r="B1101" s="111"/>
      <c r="C1101" s="111"/>
      <c r="D1101" s="111"/>
      <c r="E1101" s="111"/>
      <c r="F1101" s="111"/>
      <c r="G1101" s="111"/>
    </row>
    <row r="1102" spans="1:7">
      <c r="A1102" s="106"/>
      <c r="B1102" s="111"/>
      <c r="C1102" s="111"/>
      <c r="D1102" s="111"/>
      <c r="E1102" s="111"/>
      <c r="F1102" s="111"/>
      <c r="G1102" s="111"/>
    </row>
    <row r="1103" spans="1:7">
      <c r="A1103" s="106"/>
      <c r="B1103" s="111"/>
      <c r="C1103" s="111"/>
      <c r="D1103" s="111"/>
      <c r="E1103" s="111"/>
      <c r="F1103" s="111"/>
      <c r="G1103" s="111"/>
    </row>
    <row r="1104" spans="1:7">
      <c r="A1104" s="106"/>
      <c r="B1104" s="111"/>
      <c r="C1104" s="111"/>
      <c r="D1104" s="111"/>
      <c r="E1104" s="111"/>
      <c r="F1104" s="111"/>
      <c r="G1104" s="111"/>
    </row>
    <row r="1105" spans="1:7">
      <c r="A1105" s="106"/>
      <c r="B1105" s="111"/>
      <c r="C1105" s="111"/>
      <c r="D1105" s="111"/>
      <c r="E1105" s="111"/>
      <c r="F1105" s="111"/>
      <c r="G1105" s="111"/>
    </row>
    <row r="1106" spans="1:7">
      <c r="A1106" s="106"/>
      <c r="B1106" s="111"/>
      <c r="C1106" s="111"/>
      <c r="D1106" s="111"/>
      <c r="E1106" s="111"/>
      <c r="F1106" s="111"/>
      <c r="G1106" s="111"/>
    </row>
    <row r="1107" spans="1:7">
      <c r="A1107" s="106"/>
      <c r="B1107" s="111"/>
      <c r="C1107" s="111"/>
      <c r="D1107" s="111"/>
      <c r="E1107" s="111"/>
      <c r="F1107" s="111"/>
      <c r="G1107" s="111"/>
    </row>
    <row r="1108" spans="1:7">
      <c r="A1108" s="106"/>
      <c r="B1108" s="111"/>
      <c r="C1108" s="111"/>
      <c r="D1108" s="111"/>
      <c r="E1108" s="111"/>
      <c r="F1108" s="111"/>
      <c r="G1108" s="111"/>
    </row>
    <row r="1109" spans="1:7">
      <c r="A1109" s="106"/>
      <c r="B1109" s="111"/>
      <c r="C1109" s="111"/>
      <c r="D1109" s="111"/>
      <c r="E1109" s="111"/>
      <c r="F1109" s="111"/>
      <c r="G1109" s="111"/>
    </row>
    <row r="1110" spans="1:7">
      <c r="A1110" s="106"/>
      <c r="B1110" s="111"/>
      <c r="C1110" s="111"/>
      <c r="D1110" s="111"/>
      <c r="E1110" s="111"/>
      <c r="F1110" s="111"/>
      <c r="G1110" s="111"/>
    </row>
    <row r="1111" spans="1:7">
      <c r="A1111" s="106"/>
      <c r="B1111" s="111"/>
      <c r="C1111" s="111"/>
      <c r="D1111" s="111"/>
      <c r="E1111" s="111"/>
      <c r="F1111" s="111"/>
      <c r="G1111" s="111"/>
    </row>
    <row r="1112" spans="1:7">
      <c r="A1112" s="106"/>
      <c r="B1112" s="111"/>
      <c r="C1112" s="111"/>
      <c r="D1112" s="111"/>
      <c r="E1112" s="111"/>
      <c r="F1112" s="111"/>
      <c r="G1112" s="111"/>
    </row>
    <row r="1113" spans="1:7">
      <c r="A1113" s="106"/>
      <c r="B1113" s="111"/>
      <c r="C1113" s="111"/>
      <c r="D1113" s="111"/>
      <c r="E1113" s="111"/>
      <c r="F1113" s="111"/>
      <c r="G1113" s="111"/>
    </row>
    <row r="1114" spans="1:7">
      <c r="A1114" s="106"/>
      <c r="B1114" s="111"/>
      <c r="C1114" s="111"/>
      <c r="D1114" s="111"/>
      <c r="E1114" s="111"/>
      <c r="F1114" s="111"/>
      <c r="G1114" s="111"/>
    </row>
    <row r="1115" spans="1:7">
      <c r="A1115" s="106"/>
      <c r="B1115" s="111"/>
      <c r="C1115" s="111"/>
      <c r="D1115" s="111"/>
      <c r="E1115" s="111"/>
      <c r="F1115" s="111"/>
      <c r="G1115" s="111"/>
    </row>
    <row r="1116" spans="1:7">
      <c r="A1116" s="106"/>
      <c r="B1116" s="111"/>
      <c r="C1116" s="111"/>
      <c r="D1116" s="111"/>
      <c r="E1116" s="111"/>
      <c r="F1116" s="111"/>
      <c r="G1116" s="111"/>
    </row>
    <row r="1117" spans="1:7">
      <c r="A1117" s="106"/>
      <c r="B1117" s="111"/>
      <c r="C1117" s="111"/>
      <c r="D1117" s="111"/>
      <c r="E1117" s="111"/>
      <c r="F1117" s="111"/>
      <c r="G1117" s="111"/>
    </row>
    <row r="1118" spans="1:7">
      <c r="A1118" s="106"/>
      <c r="B1118" s="111"/>
      <c r="C1118" s="111"/>
      <c r="D1118" s="111"/>
      <c r="E1118" s="111"/>
      <c r="F1118" s="111"/>
      <c r="G1118" s="111"/>
    </row>
    <row r="1119" spans="1:7">
      <c r="A1119" s="106"/>
      <c r="B1119" s="111"/>
      <c r="C1119" s="111"/>
      <c r="D1119" s="111"/>
      <c r="E1119" s="111"/>
      <c r="F1119" s="111"/>
      <c r="G1119" s="111"/>
    </row>
    <row r="1120" spans="1:7">
      <c r="A1120" s="106"/>
      <c r="B1120" s="111"/>
      <c r="C1120" s="111"/>
      <c r="D1120" s="111"/>
      <c r="E1120" s="111"/>
      <c r="F1120" s="111"/>
      <c r="G1120" s="111"/>
    </row>
    <row r="1121" spans="1:7">
      <c r="A1121" s="106"/>
      <c r="B1121" s="111"/>
      <c r="C1121" s="111"/>
      <c r="D1121" s="111"/>
      <c r="E1121" s="111"/>
      <c r="F1121" s="111"/>
      <c r="G1121" s="111"/>
    </row>
    <row r="1122" spans="1:7">
      <c r="A1122" s="106"/>
      <c r="B1122" s="111"/>
      <c r="C1122" s="111"/>
      <c r="D1122" s="111"/>
      <c r="E1122" s="111"/>
      <c r="F1122" s="111"/>
      <c r="G1122" s="111"/>
    </row>
    <row r="1123" spans="1:7">
      <c r="A1123" s="106"/>
      <c r="B1123" s="111"/>
      <c r="C1123" s="111"/>
      <c r="D1123" s="111"/>
      <c r="E1123" s="111"/>
      <c r="F1123" s="111"/>
      <c r="G1123" s="111"/>
    </row>
    <row r="1124" spans="1:7">
      <c r="A1124" s="106"/>
      <c r="B1124" s="111"/>
      <c r="C1124" s="111"/>
      <c r="D1124" s="111"/>
      <c r="E1124" s="111"/>
      <c r="F1124" s="111"/>
      <c r="G1124" s="111"/>
    </row>
    <row r="1125" spans="1:7">
      <c r="A1125" s="106"/>
      <c r="B1125" s="111"/>
      <c r="C1125" s="111"/>
      <c r="D1125" s="111"/>
      <c r="E1125" s="111"/>
      <c r="F1125" s="111"/>
      <c r="G1125" s="111"/>
    </row>
    <row r="1126" spans="1:7">
      <c r="A1126" s="106"/>
      <c r="B1126" s="111"/>
      <c r="C1126" s="111"/>
      <c r="D1126" s="111"/>
      <c r="E1126" s="111"/>
      <c r="F1126" s="111"/>
      <c r="G1126" s="111"/>
    </row>
    <row r="1127" spans="1:7">
      <c r="A1127" s="106"/>
      <c r="B1127" s="111"/>
      <c r="C1127" s="111"/>
      <c r="D1127" s="111"/>
      <c r="E1127" s="111"/>
      <c r="F1127" s="111"/>
      <c r="G1127" s="111"/>
    </row>
    <row r="1128" spans="1:7">
      <c r="A1128" s="106"/>
      <c r="B1128" s="111"/>
      <c r="C1128" s="111"/>
      <c r="D1128" s="111"/>
      <c r="E1128" s="111"/>
      <c r="F1128" s="111"/>
      <c r="G1128" s="111"/>
    </row>
    <row r="1129" spans="1:7">
      <c r="A1129" s="106"/>
      <c r="B1129" s="111"/>
      <c r="C1129" s="111"/>
      <c r="D1129" s="111"/>
      <c r="E1129" s="111"/>
      <c r="F1129" s="111"/>
      <c r="G1129" s="111"/>
    </row>
    <row r="1130" spans="1:7">
      <c r="A1130" s="106"/>
      <c r="B1130" s="111"/>
      <c r="C1130" s="111"/>
      <c r="D1130" s="111"/>
      <c r="E1130" s="111"/>
      <c r="F1130" s="111"/>
      <c r="G1130" s="111"/>
    </row>
    <row r="1131" spans="1:7">
      <c r="A1131" s="106"/>
      <c r="B1131" s="111"/>
      <c r="C1131" s="111"/>
      <c r="D1131" s="111"/>
      <c r="E1131" s="111"/>
      <c r="F1131" s="111"/>
      <c r="G1131" s="111"/>
    </row>
    <row r="1132" spans="1:7">
      <c r="A1132" s="106"/>
      <c r="B1132" s="111"/>
      <c r="C1132" s="111"/>
      <c r="D1132" s="111"/>
      <c r="E1132" s="111"/>
      <c r="F1132" s="111"/>
      <c r="G1132" s="111"/>
    </row>
    <row r="1133" spans="1:7">
      <c r="A1133" s="106"/>
      <c r="B1133" s="111"/>
      <c r="C1133" s="111"/>
      <c r="D1133" s="111"/>
      <c r="E1133" s="111"/>
      <c r="F1133" s="111"/>
      <c r="G1133" s="111"/>
    </row>
    <row r="1134" spans="1:7">
      <c r="A1134" s="106"/>
      <c r="B1134" s="111"/>
      <c r="C1134" s="111"/>
      <c r="D1134" s="111"/>
      <c r="E1134" s="111"/>
      <c r="F1134" s="111"/>
      <c r="G1134" s="111"/>
    </row>
    <row r="1135" spans="1:7">
      <c r="A1135" s="106"/>
      <c r="B1135" s="111"/>
      <c r="C1135" s="111"/>
      <c r="D1135" s="111"/>
      <c r="E1135" s="111"/>
      <c r="F1135" s="111"/>
      <c r="G1135" s="111"/>
    </row>
    <row r="1136" spans="1:7">
      <c r="A1136" s="106"/>
      <c r="B1136" s="111"/>
      <c r="C1136" s="111"/>
      <c r="D1136" s="111"/>
      <c r="E1136" s="111"/>
      <c r="F1136" s="111"/>
      <c r="G1136" s="111"/>
    </row>
    <row r="1137" spans="1:7">
      <c r="A1137" s="106"/>
      <c r="B1137" s="111"/>
      <c r="C1137" s="111"/>
      <c r="D1137" s="111"/>
      <c r="E1137" s="111"/>
      <c r="F1137" s="111"/>
      <c r="G1137" s="111"/>
    </row>
    <row r="1138" spans="1:7">
      <c r="A1138" s="106"/>
      <c r="B1138" s="111"/>
      <c r="C1138" s="111"/>
      <c r="D1138" s="111"/>
      <c r="E1138" s="111"/>
      <c r="F1138" s="111"/>
      <c r="G1138" s="111"/>
    </row>
    <row r="1139" spans="1:7">
      <c r="A1139" s="106"/>
      <c r="B1139" s="111"/>
      <c r="C1139" s="111"/>
      <c r="D1139" s="111"/>
      <c r="E1139" s="111"/>
      <c r="F1139" s="111"/>
      <c r="G1139" s="111"/>
    </row>
    <row r="1140" spans="1:7">
      <c r="A1140" s="106"/>
      <c r="B1140" s="111"/>
      <c r="C1140" s="111"/>
      <c r="D1140" s="111"/>
      <c r="E1140" s="111"/>
      <c r="F1140" s="111"/>
      <c r="G1140" s="111"/>
    </row>
    <row r="1141" spans="1:7">
      <c r="A1141" s="106"/>
      <c r="B1141" s="111"/>
      <c r="C1141" s="111"/>
      <c r="D1141" s="111"/>
      <c r="E1141" s="111"/>
      <c r="F1141" s="111"/>
      <c r="G1141" s="111"/>
    </row>
    <row r="1142" spans="1:7">
      <c r="A1142" s="106"/>
      <c r="B1142" s="111"/>
      <c r="C1142" s="111"/>
      <c r="D1142" s="111"/>
      <c r="E1142" s="111"/>
      <c r="F1142" s="111"/>
      <c r="G1142" s="111"/>
    </row>
    <row r="1143" spans="1:7">
      <c r="A1143" s="106"/>
      <c r="B1143" s="111"/>
      <c r="C1143" s="111"/>
      <c r="D1143" s="111"/>
      <c r="E1143" s="111"/>
      <c r="F1143" s="111"/>
      <c r="G1143" s="111"/>
    </row>
    <row r="1144" spans="1:7">
      <c r="A1144" s="106"/>
      <c r="B1144" s="111"/>
      <c r="C1144" s="111"/>
      <c r="D1144" s="111"/>
      <c r="E1144" s="111"/>
      <c r="F1144" s="111"/>
      <c r="G1144" s="111"/>
    </row>
    <row r="1145" spans="1:7">
      <c r="A1145" s="106"/>
      <c r="B1145" s="111"/>
      <c r="C1145" s="111"/>
      <c r="D1145" s="111"/>
      <c r="E1145" s="111"/>
      <c r="F1145" s="111"/>
      <c r="G1145" s="111"/>
    </row>
    <row r="1146" spans="1:7">
      <c r="A1146" s="106"/>
      <c r="B1146" s="111"/>
      <c r="C1146" s="111"/>
      <c r="D1146" s="111"/>
      <c r="E1146" s="111"/>
      <c r="F1146" s="111"/>
      <c r="G1146" s="111"/>
    </row>
    <row r="1147" spans="1:7">
      <c r="A1147" s="106"/>
      <c r="B1147" s="111"/>
      <c r="C1147" s="111"/>
      <c r="D1147" s="111"/>
      <c r="E1147" s="111"/>
      <c r="F1147" s="111"/>
      <c r="G1147" s="111"/>
    </row>
    <row r="1148" spans="1:7">
      <c r="A1148" s="106"/>
      <c r="B1148" s="111"/>
      <c r="C1148" s="111"/>
      <c r="D1148" s="111"/>
      <c r="E1148" s="111"/>
      <c r="F1148" s="111"/>
      <c r="G1148" s="111"/>
    </row>
    <row r="1149" spans="1:7">
      <c r="A1149" s="106"/>
      <c r="B1149" s="111"/>
      <c r="C1149" s="111"/>
      <c r="D1149" s="111"/>
      <c r="E1149" s="111"/>
      <c r="F1149" s="111"/>
      <c r="G1149" s="111"/>
    </row>
    <row r="1150" spans="1:7">
      <c r="A1150" s="106"/>
      <c r="B1150" s="111"/>
      <c r="C1150" s="111"/>
      <c r="D1150" s="111"/>
      <c r="E1150" s="111"/>
      <c r="F1150" s="111"/>
      <c r="G1150" s="111"/>
    </row>
    <row r="1151" spans="1:7">
      <c r="A1151" s="106"/>
      <c r="B1151" s="111"/>
      <c r="C1151" s="111"/>
      <c r="D1151" s="111"/>
      <c r="E1151" s="111"/>
      <c r="F1151" s="111"/>
      <c r="G1151" s="111"/>
    </row>
    <row r="1152" spans="1:7">
      <c r="A1152" s="106"/>
      <c r="B1152" s="111"/>
      <c r="C1152" s="111"/>
      <c r="D1152" s="111"/>
      <c r="E1152" s="111"/>
      <c r="F1152" s="111"/>
      <c r="G1152" s="111"/>
    </row>
    <row r="1153" spans="1:7">
      <c r="A1153" s="106"/>
      <c r="B1153" s="111"/>
      <c r="C1153" s="111"/>
      <c r="D1153" s="111"/>
      <c r="E1153" s="111"/>
      <c r="F1153" s="111"/>
      <c r="G1153" s="111"/>
    </row>
    <row r="1154" spans="1:7">
      <c r="A1154" s="106"/>
      <c r="B1154" s="111"/>
      <c r="C1154" s="111"/>
      <c r="D1154" s="111"/>
      <c r="E1154" s="111"/>
      <c r="F1154" s="111"/>
      <c r="G1154" s="111"/>
    </row>
    <row r="1155" spans="1:7">
      <c r="A1155" s="106"/>
      <c r="B1155" s="111"/>
      <c r="C1155" s="111"/>
      <c r="D1155" s="111"/>
      <c r="E1155" s="111"/>
      <c r="F1155" s="111"/>
      <c r="G1155" s="111"/>
    </row>
    <row r="1156" spans="1:7">
      <c r="A1156" s="106"/>
      <c r="B1156" s="111"/>
      <c r="C1156" s="111"/>
      <c r="D1156" s="111"/>
      <c r="E1156" s="111"/>
      <c r="F1156" s="111"/>
      <c r="G1156" s="111"/>
    </row>
    <row r="1157" spans="1:7">
      <c r="A1157" s="106"/>
      <c r="B1157" s="111"/>
      <c r="C1157" s="111"/>
      <c r="D1157" s="111"/>
      <c r="E1157" s="111"/>
      <c r="F1157" s="111"/>
      <c r="G1157" s="111"/>
    </row>
    <row r="1158" spans="1:7">
      <c r="A1158" s="106"/>
      <c r="B1158" s="111"/>
      <c r="C1158" s="111"/>
      <c r="D1158" s="111"/>
      <c r="E1158" s="111"/>
      <c r="F1158" s="111"/>
      <c r="G1158" s="111"/>
    </row>
    <row r="1159" spans="1:7">
      <c r="A1159" s="106"/>
      <c r="B1159" s="111"/>
      <c r="C1159" s="111"/>
      <c r="D1159" s="111"/>
      <c r="E1159" s="111"/>
      <c r="F1159" s="111"/>
      <c r="G1159" s="111"/>
    </row>
    <row r="1160" spans="1:7">
      <c r="A1160" s="106"/>
      <c r="B1160" s="111"/>
      <c r="C1160" s="111"/>
      <c r="D1160" s="111"/>
      <c r="E1160" s="111"/>
      <c r="F1160" s="111"/>
      <c r="G1160" s="111"/>
    </row>
    <row r="1161" spans="1:7">
      <c r="A1161" s="106"/>
      <c r="B1161" s="111"/>
      <c r="C1161" s="111"/>
      <c r="D1161" s="111"/>
      <c r="E1161" s="111"/>
      <c r="F1161" s="111"/>
      <c r="G1161" s="111"/>
    </row>
    <row r="1162" spans="1:7">
      <c r="A1162" s="106"/>
      <c r="B1162" s="111"/>
      <c r="C1162" s="111"/>
      <c r="D1162" s="111"/>
      <c r="E1162" s="111"/>
      <c r="F1162" s="111"/>
      <c r="G1162" s="111"/>
    </row>
    <row r="1163" spans="1:7">
      <c r="A1163" s="106"/>
      <c r="B1163" s="111"/>
      <c r="C1163" s="111"/>
      <c r="D1163" s="111"/>
      <c r="E1163" s="111"/>
      <c r="F1163" s="111"/>
      <c r="G1163" s="111"/>
    </row>
    <row r="1164" spans="1:7">
      <c r="A1164" s="106"/>
      <c r="B1164" s="111"/>
      <c r="C1164" s="111"/>
      <c r="D1164" s="111"/>
      <c r="E1164" s="111"/>
      <c r="F1164" s="111"/>
      <c r="G1164" s="111"/>
    </row>
    <row r="1165" spans="1:7">
      <c r="A1165" s="106"/>
      <c r="B1165" s="111"/>
      <c r="C1165" s="111"/>
      <c r="D1165" s="111"/>
      <c r="E1165" s="111"/>
      <c r="F1165" s="111"/>
      <c r="G1165" s="111"/>
    </row>
    <row r="1166" spans="1:7">
      <c r="A1166" s="106"/>
      <c r="B1166" s="111"/>
      <c r="C1166" s="111"/>
      <c r="D1166" s="111"/>
      <c r="E1166" s="111"/>
      <c r="F1166" s="111"/>
      <c r="G1166" s="111"/>
    </row>
    <row r="1167" spans="1:7">
      <c r="A1167" s="106"/>
      <c r="B1167" s="111"/>
      <c r="C1167" s="111"/>
      <c r="D1167" s="111"/>
      <c r="E1167" s="111"/>
      <c r="F1167" s="111"/>
      <c r="G1167" s="111"/>
    </row>
    <row r="1168" spans="1:7">
      <c r="A1168" s="106"/>
      <c r="B1168" s="111"/>
      <c r="C1168" s="111"/>
      <c r="D1168" s="111"/>
      <c r="E1168" s="111"/>
      <c r="F1168" s="111"/>
      <c r="G1168" s="111"/>
    </row>
    <row r="1169" spans="1:7">
      <c r="A1169" s="106"/>
      <c r="B1169" s="111"/>
      <c r="C1169" s="111"/>
      <c r="D1169" s="111"/>
      <c r="E1169" s="111"/>
      <c r="F1169" s="111"/>
      <c r="G1169" s="111"/>
    </row>
    <row r="1170" spans="1:7">
      <c r="A1170" s="106"/>
      <c r="B1170" s="111"/>
      <c r="C1170" s="111"/>
      <c r="D1170" s="111"/>
      <c r="E1170" s="111"/>
      <c r="F1170" s="111"/>
      <c r="G1170" s="111"/>
    </row>
    <row r="1171" spans="1:7">
      <c r="A1171" s="106"/>
      <c r="B1171" s="111"/>
      <c r="C1171" s="111"/>
      <c r="D1171" s="111"/>
      <c r="E1171" s="111"/>
      <c r="F1171" s="111"/>
      <c r="G1171" s="111"/>
    </row>
    <row r="1172" spans="1:7">
      <c r="A1172" s="106"/>
      <c r="B1172" s="111"/>
      <c r="C1172" s="111"/>
      <c r="D1172" s="111"/>
      <c r="E1172" s="111"/>
      <c r="F1172" s="111"/>
      <c r="G1172" s="111"/>
    </row>
    <row r="1173" spans="1:7">
      <c r="A1173" s="106"/>
      <c r="B1173" s="111"/>
      <c r="C1173" s="111"/>
      <c r="D1173" s="111"/>
      <c r="E1173" s="111"/>
      <c r="F1173" s="111"/>
      <c r="G1173" s="111"/>
    </row>
    <row r="1174" spans="1:7">
      <c r="A1174" s="106"/>
      <c r="B1174" s="111"/>
      <c r="C1174" s="111"/>
      <c r="D1174" s="111"/>
      <c r="E1174" s="111"/>
      <c r="F1174" s="111"/>
      <c r="G1174" s="111"/>
    </row>
    <row r="1175" spans="1:7">
      <c r="A1175" s="106"/>
      <c r="B1175" s="111"/>
      <c r="C1175" s="111"/>
      <c r="D1175" s="111"/>
      <c r="E1175" s="111"/>
      <c r="F1175" s="111"/>
      <c r="G1175" s="111"/>
    </row>
    <row r="1176" spans="1:7">
      <c r="A1176" s="106"/>
      <c r="B1176" s="111"/>
      <c r="C1176" s="111"/>
      <c r="D1176" s="111"/>
      <c r="E1176" s="111"/>
      <c r="F1176" s="111"/>
      <c r="G1176" s="111"/>
    </row>
    <row r="1177" spans="1:7">
      <c r="A1177" s="106"/>
      <c r="B1177" s="111"/>
      <c r="C1177" s="111"/>
      <c r="D1177" s="111"/>
      <c r="E1177" s="111"/>
      <c r="F1177" s="111"/>
      <c r="G1177" s="111"/>
    </row>
    <row r="1178" spans="1:7">
      <c r="A1178" s="106"/>
      <c r="B1178" s="111"/>
      <c r="C1178" s="111"/>
      <c r="D1178" s="111"/>
      <c r="E1178" s="111"/>
      <c r="F1178" s="111"/>
      <c r="G1178" s="111"/>
    </row>
    <row r="1179" spans="1:7">
      <c r="A1179" s="106"/>
      <c r="B1179" s="111"/>
      <c r="C1179" s="111"/>
      <c r="D1179" s="111"/>
      <c r="E1179" s="111"/>
      <c r="F1179" s="111"/>
      <c r="G1179" s="111"/>
    </row>
    <row r="1180" spans="1:7">
      <c r="A1180" s="106"/>
      <c r="B1180" s="111"/>
      <c r="C1180" s="111"/>
      <c r="D1180" s="111"/>
      <c r="E1180" s="111"/>
      <c r="F1180" s="111"/>
      <c r="G1180" s="111"/>
    </row>
    <row r="1181" spans="1:7">
      <c r="A1181" s="106"/>
      <c r="B1181" s="111"/>
      <c r="C1181" s="111"/>
      <c r="D1181" s="111"/>
      <c r="E1181" s="111"/>
      <c r="F1181" s="111"/>
      <c r="G1181" s="111"/>
    </row>
    <row r="1182" spans="1:7">
      <c r="A1182" s="106"/>
      <c r="B1182" s="111"/>
      <c r="C1182" s="111"/>
      <c r="D1182" s="111"/>
      <c r="E1182" s="111"/>
      <c r="F1182" s="111"/>
      <c r="G1182" s="111"/>
    </row>
    <row r="1183" spans="1:7">
      <c r="A1183" s="106"/>
      <c r="B1183" s="111"/>
      <c r="C1183" s="111"/>
      <c r="D1183" s="111"/>
      <c r="E1183" s="111"/>
      <c r="F1183" s="111"/>
      <c r="G1183" s="111"/>
    </row>
    <row r="1184" spans="1:7">
      <c r="A1184" s="106"/>
      <c r="B1184" s="111"/>
      <c r="C1184" s="111"/>
      <c r="D1184" s="111"/>
      <c r="E1184" s="111"/>
      <c r="F1184" s="111"/>
      <c r="G1184" s="111"/>
    </row>
    <row r="1185" spans="1:7">
      <c r="A1185" s="106"/>
      <c r="B1185" s="111"/>
      <c r="C1185" s="111"/>
      <c r="D1185" s="111"/>
      <c r="E1185" s="111"/>
      <c r="F1185" s="111"/>
      <c r="G1185" s="111"/>
    </row>
    <row r="1186" spans="1:7">
      <c r="A1186" s="106"/>
      <c r="B1186" s="111"/>
      <c r="C1186" s="111"/>
      <c r="D1186" s="111"/>
      <c r="E1186" s="111"/>
      <c r="F1186" s="111"/>
      <c r="G1186" s="111"/>
    </row>
    <row r="1187" spans="1:7">
      <c r="A1187" s="106"/>
      <c r="B1187" s="111"/>
      <c r="C1187" s="111"/>
      <c r="D1187" s="111"/>
      <c r="E1187" s="111"/>
      <c r="F1187" s="111"/>
      <c r="G1187" s="111"/>
    </row>
    <row r="1188" spans="1:7">
      <c r="A1188" s="106"/>
      <c r="B1188" s="111"/>
      <c r="C1188" s="111"/>
      <c r="D1188" s="111"/>
      <c r="E1188" s="111"/>
      <c r="F1188" s="111"/>
      <c r="G1188" s="111"/>
    </row>
    <row r="1189" spans="1:7">
      <c r="A1189" s="106"/>
      <c r="B1189" s="111"/>
      <c r="C1189" s="111"/>
      <c r="D1189" s="111"/>
      <c r="E1189" s="111"/>
      <c r="F1189" s="111"/>
      <c r="G1189" s="111"/>
    </row>
    <row r="1190" spans="1:7">
      <c r="A1190" s="106"/>
      <c r="B1190" s="111"/>
      <c r="C1190" s="111"/>
      <c r="D1190" s="111"/>
      <c r="E1190" s="111"/>
      <c r="F1190" s="111"/>
      <c r="G1190" s="111"/>
    </row>
    <row r="1191" spans="1:7">
      <c r="A1191" s="106"/>
      <c r="B1191" s="111"/>
      <c r="C1191" s="111"/>
      <c r="D1191" s="111"/>
      <c r="E1191" s="111"/>
      <c r="F1191" s="111"/>
      <c r="G1191" s="111"/>
    </row>
    <row r="1192" spans="1:7">
      <c r="A1192" s="106"/>
      <c r="B1192" s="111"/>
      <c r="C1192" s="111"/>
      <c r="D1192" s="111"/>
      <c r="E1192" s="111"/>
      <c r="F1192" s="111"/>
      <c r="G1192" s="111"/>
    </row>
    <row r="1193" spans="1:7">
      <c r="A1193" s="106"/>
      <c r="B1193" s="111"/>
      <c r="C1193" s="111"/>
      <c r="D1193" s="111"/>
      <c r="E1193" s="111"/>
      <c r="F1193" s="111"/>
      <c r="G1193" s="111"/>
    </row>
    <row r="1194" spans="1:7">
      <c r="A1194" s="106"/>
      <c r="B1194" s="111"/>
      <c r="C1194" s="111"/>
      <c r="D1194" s="111"/>
      <c r="E1194" s="111"/>
      <c r="F1194" s="111"/>
      <c r="G1194" s="111"/>
    </row>
    <row r="1195" spans="1:7">
      <c r="A1195" s="106"/>
      <c r="B1195" s="111"/>
      <c r="C1195" s="111"/>
      <c r="D1195" s="111"/>
      <c r="E1195" s="111"/>
      <c r="F1195" s="111"/>
      <c r="G1195" s="111"/>
    </row>
    <row r="1196" spans="1:7">
      <c r="A1196" s="106"/>
      <c r="B1196" s="111"/>
      <c r="C1196" s="111"/>
      <c r="D1196" s="111"/>
      <c r="E1196" s="111"/>
      <c r="F1196" s="111"/>
      <c r="G1196" s="111"/>
    </row>
    <row r="1197" spans="1:7">
      <c r="A1197" s="106"/>
      <c r="B1197" s="111"/>
      <c r="C1197" s="111"/>
      <c r="D1197" s="111"/>
      <c r="E1197" s="111"/>
      <c r="F1197" s="111"/>
      <c r="G1197" s="111"/>
    </row>
    <row r="1198" spans="1:7">
      <c r="A1198" s="106"/>
      <c r="B1198" s="111"/>
      <c r="C1198" s="111"/>
      <c r="D1198" s="111"/>
      <c r="E1198" s="111"/>
      <c r="F1198" s="111"/>
      <c r="G1198" s="111"/>
    </row>
    <row r="1199" spans="1:7">
      <c r="A1199" s="106"/>
      <c r="B1199" s="111"/>
      <c r="C1199" s="111"/>
      <c r="D1199" s="111"/>
      <c r="E1199" s="111"/>
      <c r="F1199" s="111"/>
      <c r="G1199" s="111"/>
    </row>
    <row r="1200" spans="1:7">
      <c r="A1200" s="106"/>
      <c r="B1200" s="111"/>
      <c r="C1200" s="111"/>
      <c r="D1200" s="111"/>
      <c r="E1200" s="111"/>
      <c r="F1200" s="111"/>
      <c r="G1200" s="111"/>
    </row>
    <row r="1201" spans="1:7">
      <c r="A1201" s="106"/>
      <c r="B1201" s="111"/>
      <c r="C1201" s="111"/>
      <c r="D1201" s="111"/>
      <c r="E1201" s="111"/>
      <c r="F1201" s="111"/>
      <c r="G1201" s="111"/>
    </row>
    <row r="1202" spans="1:7">
      <c r="A1202" s="106"/>
      <c r="B1202" s="111"/>
      <c r="C1202" s="111"/>
      <c r="D1202" s="111"/>
      <c r="E1202" s="111"/>
      <c r="F1202" s="111"/>
      <c r="G1202" s="111"/>
    </row>
    <row r="1203" spans="1:7">
      <c r="A1203" s="106"/>
      <c r="B1203" s="111"/>
      <c r="C1203" s="111"/>
      <c r="D1203" s="111"/>
      <c r="E1203" s="111"/>
      <c r="F1203" s="111"/>
      <c r="G1203" s="111"/>
    </row>
    <row r="1204" spans="1:7">
      <c r="A1204" s="106"/>
      <c r="B1204" s="111"/>
      <c r="C1204" s="111"/>
      <c r="D1204" s="111"/>
      <c r="E1204" s="111"/>
      <c r="F1204" s="111"/>
      <c r="G1204" s="111"/>
    </row>
    <row r="1205" spans="1:7">
      <c r="A1205" s="106"/>
      <c r="B1205" s="111"/>
      <c r="C1205" s="111"/>
      <c r="D1205" s="111"/>
      <c r="E1205" s="111"/>
      <c r="F1205" s="111"/>
      <c r="G1205" s="111"/>
    </row>
    <row r="1206" spans="1:7">
      <c r="A1206" s="106"/>
      <c r="B1206" s="111"/>
      <c r="C1206" s="111"/>
      <c r="D1206" s="111"/>
      <c r="E1206" s="111"/>
      <c r="F1206" s="111"/>
      <c r="G1206" s="111"/>
    </row>
    <row r="1207" spans="1:7">
      <c r="A1207" s="106"/>
      <c r="B1207" s="111"/>
      <c r="C1207" s="111"/>
      <c r="D1207" s="111"/>
      <c r="E1207" s="111"/>
      <c r="F1207" s="111"/>
      <c r="G1207" s="111"/>
    </row>
    <row r="1208" spans="1:7">
      <c r="A1208" s="106"/>
      <c r="B1208" s="111"/>
      <c r="C1208" s="111"/>
      <c r="D1208" s="111"/>
      <c r="E1208" s="111"/>
      <c r="F1208" s="111"/>
      <c r="G1208" s="111"/>
    </row>
    <row r="1209" spans="1:7">
      <c r="A1209" s="106"/>
      <c r="B1209" s="111"/>
      <c r="C1209" s="111"/>
      <c r="D1209" s="111"/>
      <c r="E1209" s="111"/>
      <c r="F1209" s="111"/>
      <c r="G1209" s="111"/>
    </row>
    <row r="1210" spans="1:7">
      <c r="A1210" s="106"/>
      <c r="B1210" s="111"/>
      <c r="C1210" s="111"/>
      <c r="D1210" s="111"/>
      <c r="E1210" s="111"/>
      <c r="F1210" s="111"/>
      <c r="G1210" s="111"/>
    </row>
    <row r="1211" spans="1:7">
      <c r="A1211" s="106"/>
      <c r="B1211" s="111"/>
      <c r="C1211" s="111"/>
      <c r="D1211" s="111"/>
      <c r="E1211" s="111"/>
      <c r="F1211" s="111"/>
      <c r="G1211" s="111"/>
    </row>
    <row r="1212" spans="1:7">
      <c r="A1212" s="106"/>
      <c r="B1212" s="111"/>
      <c r="C1212" s="111"/>
      <c r="D1212" s="111"/>
      <c r="E1212" s="111"/>
      <c r="F1212" s="111"/>
      <c r="G1212" s="111"/>
    </row>
    <row r="1213" spans="1:7">
      <c r="A1213" s="106"/>
      <c r="B1213" s="111"/>
      <c r="C1213" s="111"/>
      <c r="D1213" s="111"/>
      <c r="E1213" s="111"/>
      <c r="F1213" s="111"/>
      <c r="G1213" s="111"/>
    </row>
    <row r="1214" spans="1:7">
      <c r="A1214" s="106"/>
      <c r="B1214" s="111"/>
      <c r="C1214" s="111"/>
      <c r="D1214" s="111"/>
      <c r="E1214" s="111"/>
      <c r="F1214" s="111"/>
      <c r="G1214" s="111"/>
    </row>
    <row r="1215" spans="1:7">
      <c r="A1215" s="106"/>
      <c r="B1215" s="111"/>
      <c r="C1215" s="111"/>
      <c r="D1215" s="111"/>
      <c r="E1215" s="111"/>
      <c r="F1215" s="111"/>
      <c r="G1215" s="111"/>
    </row>
    <row r="1216" spans="1:7">
      <c r="A1216" s="106"/>
      <c r="B1216" s="111"/>
      <c r="C1216" s="111"/>
      <c r="D1216" s="111"/>
      <c r="E1216" s="111"/>
      <c r="F1216" s="111"/>
      <c r="G1216" s="111"/>
    </row>
    <row r="1217" spans="1:7">
      <c r="A1217" s="106"/>
      <c r="B1217" s="111"/>
      <c r="C1217" s="111"/>
      <c r="D1217" s="111"/>
      <c r="E1217" s="111"/>
      <c r="F1217" s="111"/>
      <c r="G1217" s="111"/>
    </row>
    <row r="1218" spans="1:7">
      <c r="A1218" s="106"/>
      <c r="B1218" s="111"/>
      <c r="C1218" s="111"/>
      <c r="D1218" s="111"/>
      <c r="E1218" s="111"/>
      <c r="F1218" s="111"/>
      <c r="G1218" s="111"/>
    </row>
    <row r="1219" spans="1:7">
      <c r="A1219" s="106"/>
      <c r="B1219" s="111"/>
      <c r="C1219" s="111"/>
      <c r="D1219" s="111"/>
      <c r="E1219" s="111"/>
      <c r="F1219" s="111"/>
      <c r="G1219" s="111"/>
    </row>
    <row r="1220" spans="1:7">
      <c r="A1220" s="106"/>
      <c r="B1220" s="111"/>
      <c r="C1220" s="111"/>
      <c r="D1220" s="111"/>
      <c r="E1220" s="111"/>
      <c r="F1220" s="111"/>
      <c r="G1220" s="111"/>
    </row>
    <row r="1221" spans="1:7">
      <c r="A1221" s="106"/>
      <c r="B1221" s="111"/>
      <c r="C1221" s="111"/>
      <c r="D1221" s="111"/>
      <c r="E1221" s="111"/>
      <c r="F1221" s="111"/>
      <c r="G1221" s="111"/>
    </row>
    <row r="1222" spans="1:7">
      <c r="A1222" s="106"/>
      <c r="B1222" s="111"/>
      <c r="C1222" s="111"/>
      <c r="D1222" s="111"/>
      <c r="E1222" s="111"/>
      <c r="F1222" s="111"/>
      <c r="G1222" s="111"/>
    </row>
    <row r="1223" spans="1:7">
      <c r="A1223" s="106"/>
      <c r="B1223" s="111"/>
      <c r="C1223" s="111"/>
      <c r="D1223" s="111"/>
      <c r="E1223" s="111"/>
      <c r="F1223" s="111"/>
      <c r="G1223" s="111"/>
    </row>
    <row r="1224" spans="1:7">
      <c r="A1224" s="106"/>
      <c r="B1224" s="111"/>
      <c r="C1224" s="111"/>
      <c r="D1224" s="111"/>
      <c r="E1224" s="111"/>
      <c r="F1224" s="111"/>
      <c r="G1224" s="111"/>
    </row>
    <row r="1225" spans="1:7">
      <c r="A1225" s="106"/>
      <c r="B1225" s="111"/>
      <c r="C1225" s="111"/>
      <c r="D1225" s="111"/>
      <c r="E1225" s="111"/>
      <c r="F1225" s="111"/>
      <c r="G1225" s="111"/>
    </row>
    <row r="1226" spans="1:7">
      <c r="A1226" s="106"/>
      <c r="B1226" s="111"/>
      <c r="C1226" s="111"/>
      <c r="D1226" s="111"/>
      <c r="E1226" s="111"/>
      <c r="F1226" s="111"/>
      <c r="G1226" s="111"/>
    </row>
    <row r="1227" spans="1:7">
      <c r="A1227" s="106"/>
      <c r="B1227" s="111"/>
      <c r="C1227" s="111"/>
      <c r="D1227" s="111"/>
      <c r="E1227" s="111"/>
      <c r="F1227" s="111"/>
      <c r="G1227" s="111"/>
    </row>
    <row r="1228" spans="1:7">
      <c r="A1228" s="106"/>
      <c r="B1228" s="111"/>
      <c r="C1228" s="111"/>
      <c r="D1228" s="111"/>
      <c r="E1228" s="111"/>
      <c r="F1228" s="111"/>
      <c r="G1228" s="111"/>
    </row>
    <row r="1229" spans="1:7">
      <c r="A1229" s="106"/>
      <c r="B1229" s="111"/>
      <c r="C1229" s="111"/>
      <c r="D1229" s="111"/>
      <c r="E1229" s="111"/>
      <c r="F1229" s="111"/>
      <c r="G1229" s="111"/>
    </row>
    <row r="1230" spans="1:7">
      <c r="A1230" s="106"/>
      <c r="B1230" s="111"/>
      <c r="C1230" s="111"/>
      <c r="D1230" s="111"/>
      <c r="E1230" s="111"/>
      <c r="F1230" s="111"/>
      <c r="G1230" s="111"/>
    </row>
    <row r="1231" spans="1:7">
      <c r="A1231" s="106"/>
      <c r="B1231" s="111"/>
      <c r="C1231" s="111"/>
      <c r="D1231" s="111"/>
      <c r="E1231" s="111"/>
      <c r="F1231" s="111"/>
      <c r="G1231" s="111"/>
    </row>
    <row r="1232" spans="1:7">
      <c r="A1232" s="106"/>
      <c r="B1232" s="111"/>
      <c r="C1232" s="111"/>
      <c r="D1232" s="111"/>
      <c r="E1232" s="111"/>
      <c r="F1232" s="111"/>
      <c r="G1232" s="111"/>
    </row>
    <row r="1233" spans="1:7">
      <c r="A1233" s="106"/>
      <c r="B1233" s="111"/>
      <c r="C1233" s="111"/>
      <c r="D1233" s="111"/>
      <c r="E1233" s="111"/>
      <c r="F1233" s="111"/>
      <c r="G1233" s="111"/>
    </row>
    <row r="1234" spans="1:7">
      <c r="A1234" s="106"/>
      <c r="B1234" s="111"/>
      <c r="C1234" s="111"/>
      <c r="D1234" s="111"/>
      <c r="E1234" s="111"/>
      <c r="F1234" s="111"/>
      <c r="G1234" s="111"/>
    </row>
    <row r="1235" spans="1:7">
      <c r="A1235" s="106"/>
      <c r="B1235" s="111"/>
      <c r="C1235" s="111"/>
      <c r="D1235" s="111"/>
      <c r="E1235" s="111"/>
      <c r="F1235" s="111"/>
      <c r="G1235" s="111"/>
    </row>
    <row r="1236" spans="1:7">
      <c r="A1236" s="106"/>
      <c r="B1236" s="111"/>
      <c r="C1236" s="111"/>
      <c r="D1236" s="111"/>
      <c r="E1236" s="111"/>
      <c r="F1236" s="111"/>
      <c r="G1236" s="111"/>
    </row>
    <row r="1237" spans="1:7">
      <c r="A1237" s="106"/>
      <c r="B1237" s="111"/>
      <c r="C1237" s="111"/>
      <c r="D1237" s="111"/>
      <c r="E1237" s="111"/>
      <c r="F1237" s="111"/>
      <c r="G1237" s="111"/>
    </row>
    <row r="1238" spans="1:7">
      <c r="A1238" s="106"/>
      <c r="B1238" s="111"/>
      <c r="C1238" s="111"/>
      <c r="D1238" s="111"/>
      <c r="E1238" s="111"/>
      <c r="F1238" s="111"/>
      <c r="G1238" s="111"/>
    </row>
    <row r="1239" spans="1:7">
      <c r="A1239" s="106"/>
      <c r="B1239" s="111"/>
      <c r="C1239" s="111"/>
      <c r="D1239" s="111"/>
      <c r="E1239" s="111"/>
      <c r="F1239" s="111"/>
      <c r="G1239" s="111"/>
    </row>
    <row r="1240" spans="1:7">
      <c r="A1240" s="106"/>
      <c r="B1240" s="111"/>
      <c r="C1240" s="111"/>
      <c r="D1240" s="111"/>
      <c r="E1240" s="111"/>
      <c r="F1240" s="111"/>
      <c r="G1240" s="111"/>
    </row>
    <row r="1241" spans="1:7">
      <c r="A1241" s="106"/>
      <c r="B1241" s="111"/>
      <c r="C1241" s="111"/>
      <c r="D1241" s="111"/>
      <c r="E1241" s="111"/>
      <c r="F1241" s="111"/>
      <c r="G1241" s="111"/>
    </row>
    <row r="1242" spans="1:7">
      <c r="A1242" s="106"/>
      <c r="B1242" s="111"/>
      <c r="C1242" s="111"/>
      <c r="D1242" s="111"/>
      <c r="E1242" s="111"/>
      <c r="F1242" s="111"/>
      <c r="G1242" s="111"/>
    </row>
    <row r="1243" spans="1:7">
      <c r="A1243" s="106"/>
      <c r="B1243" s="111"/>
      <c r="C1243" s="111"/>
      <c r="D1243" s="111"/>
      <c r="E1243" s="111"/>
      <c r="F1243" s="111"/>
      <c r="G1243" s="111"/>
    </row>
    <row r="1244" spans="1:7">
      <c r="A1244" s="106"/>
      <c r="B1244" s="111"/>
      <c r="C1244" s="111"/>
      <c r="D1244" s="111"/>
      <c r="E1244" s="111"/>
      <c r="F1244" s="111"/>
      <c r="G1244" s="111"/>
    </row>
    <row r="1245" spans="1:7">
      <c r="A1245" s="106"/>
      <c r="B1245" s="111"/>
      <c r="C1245" s="111"/>
      <c r="D1245" s="111"/>
      <c r="E1245" s="111"/>
      <c r="F1245" s="111"/>
      <c r="G1245" s="111"/>
    </row>
    <row r="1246" spans="1:7">
      <c r="A1246" s="106"/>
      <c r="B1246" s="111"/>
      <c r="C1246" s="111"/>
      <c r="D1246" s="111"/>
      <c r="E1246" s="111"/>
      <c r="F1246" s="111"/>
      <c r="G1246" s="111"/>
    </row>
    <row r="1247" spans="1:7">
      <c r="A1247" s="106"/>
      <c r="B1247" s="111"/>
      <c r="C1247" s="111"/>
      <c r="D1247" s="111"/>
      <c r="E1247" s="111"/>
      <c r="F1247" s="111"/>
      <c r="G1247" s="111"/>
    </row>
    <row r="1248" spans="1:7">
      <c r="A1248" s="106"/>
      <c r="B1248" s="111"/>
      <c r="C1248" s="111"/>
      <c r="D1248" s="111"/>
      <c r="E1248" s="111"/>
      <c r="F1248" s="111"/>
      <c r="G1248" s="111"/>
    </row>
    <row r="1249" spans="1:7">
      <c r="A1249" s="106"/>
      <c r="B1249" s="111"/>
      <c r="C1249" s="111"/>
      <c r="D1249" s="111"/>
      <c r="E1249" s="111"/>
      <c r="F1249" s="111"/>
      <c r="G1249" s="111"/>
    </row>
    <row r="1250" spans="1:7">
      <c r="A1250" s="106"/>
      <c r="B1250" s="111"/>
      <c r="C1250" s="111"/>
      <c r="D1250" s="111"/>
      <c r="E1250" s="111"/>
      <c r="F1250" s="111"/>
      <c r="G1250" s="111"/>
    </row>
    <row r="1251" spans="1:7">
      <c r="A1251" s="106"/>
      <c r="B1251" s="111"/>
      <c r="C1251" s="111"/>
      <c r="D1251" s="111"/>
      <c r="E1251" s="111"/>
      <c r="F1251" s="111"/>
      <c r="G1251" s="111"/>
    </row>
    <row r="1252" spans="1:7">
      <c r="A1252" s="106"/>
      <c r="B1252" s="111"/>
      <c r="C1252" s="111"/>
      <c r="D1252" s="111"/>
      <c r="E1252" s="111"/>
      <c r="F1252" s="111"/>
      <c r="G1252" s="111"/>
    </row>
    <row r="1253" spans="1:7">
      <c r="A1253" s="106"/>
      <c r="B1253" s="111"/>
      <c r="C1253" s="111"/>
      <c r="D1253" s="111"/>
      <c r="E1253" s="111"/>
      <c r="F1253" s="111"/>
      <c r="G1253" s="111"/>
    </row>
    <row r="1254" spans="1:7">
      <c r="A1254" s="106"/>
      <c r="B1254" s="111"/>
      <c r="C1254" s="111"/>
      <c r="D1254" s="111"/>
      <c r="E1254" s="111"/>
      <c r="F1254" s="111"/>
      <c r="G1254" s="111"/>
    </row>
    <row r="1255" spans="1:7">
      <c r="A1255" s="106"/>
      <c r="B1255" s="111"/>
      <c r="C1255" s="111"/>
      <c r="D1255" s="111"/>
      <c r="E1255" s="111"/>
      <c r="F1255" s="111"/>
      <c r="G1255" s="111"/>
    </row>
    <row r="1256" spans="1:7">
      <c r="A1256" s="106"/>
      <c r="B1256" s="111"/>
      <c r="C1256" s="111"/>
      <c r="D1256" s="111"/>
      <c r="E1256" s="111"/>
      <c r="F1256" s="111"/>
      <c r="G1256" s="111"/>
    </row>
    <row r="1257" spans="1:7">
      <c r="A1257" s="106"/>
      <c r="B1257" s="111"/>
      <c r="C1257" s="111"/>
      <c r="D1257" s="111"/>
      <c r="E1257" s="111"/>
      <c r="F1257" s="111"/>
      <c r="G1257" s="111"/>
    </row>
    <row r="1258" spans="1:7">
      <c r="A1258" s="106"/>
      <c r="B1258" s="111"/>
      <c r="C1258" s="111"/>
      <c r="D1258" s="111"/>
      <c r="E1258" s="111"/>
      <c r="F1258" s="111"/>
      <c r="G1258" s="111"/>
    </row>
    <row r="1259" spans="1:7">
      <c r="A1259" s="106"/>
      <c r="B1259" s="111"/>
      <c r="C1259" s="111"/>
      <c r="D1259" s="111"/>
      <c r="E1259" s="111"/>
      <c r="F1259" s="111"/>
      <c r="G1259" s="111"/>
    </row>
    <row r="1260" spans="1:7">
      <c r="A1260" s="106"/>
      <c r="B1260" s="111"/>
      <c r="C1260" s="111"/>
      <c r="D1260" s="111"/>
      <c r="E1260" s="111"/>
      <c r="F1260" s="111"/>
      <c r="G1260" s="111"/>
    </row>
    <row r="1261" spans="1:7">
      <c r="A1261" s="106"/>
      <c r="B1261" s="111"/>
      <c r="C1261" s="111"/>
      <c r="D1261" s="111"/>
      <c r="E1261" s="111"/>
      <c r="F1261" s="111"/>
      <c r="G1261" s="111"/>
    </row>
    <row r="1262" spans="1:7">
      <c r="A1262" s="106"/>
      <c r="B1262" s="111"/>
      <c r="C1262" s="111"/>
      <c r="D1262" s="111"/>
      <c r="E1262" s="111"/>
      <c r="F1262" s="111"/>
      <c r="G1262" s="111"/>
    </row>
    <row r="1263" spans="1:7">
      <c r="A1263" s="106"/>
      <c r="B1263" s="111"/>
      <c r="C1263" s="111"/>
      <c r="D1263" s="111"/>
      <c r="E1263" s="111"/>
      <c r="F1263" s="111"/>
      <c r="G1263" s="111"/>
    </row>
    <row r="1264" spans="1:7">
      <c r="A1264" s="106"/>
      <c r="B1264" s="111"/>
      <c r="C1264" s="111"/>
      <c r="D1264" s="111"/>
      <c r="E1264" s="111"/>
      <c r="F1264" s="111"/>
      <c r="G1264" s="111"/>
    </row>
    <row r="1265" spans="1:7">
      <c r="A1265" s="106"/>
      <c r="B1265" s="111"/>
      <c r="C1265" s="111"/>
      <c r="D1265" s="111"/>
      <c r="E1265" s="111"/>
      <c r="F1265" s="111"/>
      <c r="G1265" s="111"/>
    </row>
    <row r="1266" spans="1:7">
      <c r="A1266" s="106"/>
      <c r="B1266" s="111"/>
      <c r="C1266" s="111"/>
      <c r="D1266" s="111"/>
      <c r="E1266" s="111"/>
      <c r="F1266" s="111"/>
      <c r="G1266" s="111"/>
    </row>
    <row r="1267" spans="1:7">
      <c r="A1267" s="106"/>
      <c r="B1267" s="111"/>
      <c r="C1267" s="111"/>
      <c r="D1267" s="111"/>
      <c r="E1267" s="111"/>
      <c r="F1267" s="111"/>
      <c r="G1267" s="111"/>
    </row>
    <row r="1268" spans="1:7">
      <c r="A1268" s="106"/>
      <c r="B1268" s="111"/>
      <c r="C1268" s="111"/>
      <c r="D1268" s="111"/>
      <c r="E1268" s="111"/>
      <c r="F1268" s="111"/>
      <c r="G1268" s="111"/>
    </row>
    <row r="1269" spans="1:7">
      <c r="A1269" s="106"/>
      <c r="B1269" s="111"/>
      <c r="C1269" s="111"/>
      <c r="D1269" s="111"/>
      <c r="E1269" s="111"/>
      <c r="F1269" s="111"/>
      <c r="G1269" s="111"/>
    </row>
    <row r="1270" spans="1:7">
      <c r="A1270" s="106"/>
      <c r="B1270" s="111"/>
      <c r="C1270" s="111"/>
      <c r="D1270" s="111"/>
      <c r="E1270" s="111"/>
      <c r="F1270" s="111"/>
      <c r="G1270" s="111"/>
    </row>
    <row r="1271" spans="1:7">
      <c r="A1271" s="106"/>
      <c r="B1271" s="111"/>
      <c r="C1271" s="111"/>
      <c r="D1271" s="111"/>
      <c r="E1271" s="111"/>
      <c r="F1271" s="111"/>
      <c r="G1271" s="111"/>
    </row>
    <row r="1272" spans="1:7">
      <c r="A1272" s="106"/>
      <c r="B1272" s="111"/>
      <c r="C1272" s="111"/>
      <c r="D1272" s="111"/>
      <c r="E1272" s="111"/>
      <c r="F1272" s="111"/>
      <c r="G1272" s="111"/>
    </row>
    <row r="1273" spans="1:7">
      <c r="A1273" s="106"/>
      <c r="B1273" s="111"/>
      <c r="C1273" s="111"/>
      <c r="D1273" s="111"/>
      <c r="E1273" s="111"/>
      <c r="F1273" s="111"/>
      <c r="G1273" s="111"/>
    </row>
    <row r="1274" spans="1:7">
      <c r="A1274" s="106"/>
      <c r="B1274" s="111"/>
      <c r="C1274" s="111"/>
      <c r="D1274" s="111"/>
      <c r="E1274" s="111"/>
      <c r="F1274" s="111"/>
      <c r="G1274" s="111"/>
    </row>
    <row r="1275" spans="1:7">
      <c r="A1275" s="106"/>
      <c r="B1275" s="111"/>
      <c r="C1275" s="111"/>
      <c r="D1275" s="111"/>
      <c r="E1275" s="111"/>
      <c r="F1275" s="111"/>
      <c r="G1275" s="111"/>
    </row>
    <row r="1276" spans="1:7">
      <c r="A1276" s="106"/>
      <c r="B1276" s="111"/>
      <c r="C1276" s="111"/>
      <c r="D1276" s="111"/>
      <c r="E1276" s="111"/>
      <c r="F1276" s="111"/>
      <c r="G1276" s="111"/>
    </row>
    <row r="1277" spans="1:7">
      <c r="A1277" s="106"/>
      <c r="B1277" s="111"/>
      <c r="C1277" s="111"/>
      <c r="D1277" s="111"/>
      <c r="E1277" s="111"/>
      <c r="F1277" s="111"/>
      <c r="G1277" s="111"/>
    </row>
    <row r="1278" spans="1:7">
      <c r="A1278" s="106"/>
      <c r="B1278" s="111"/>
      <c r="C1278" s="111"/>
      <c r="D1278" s="111"/>
      <c r="E1278" s="111"/>
      <c r="F1278" s="111"/>
      <c r="G1278" s="111"/>
    </row>
    <row r="1279" spans="1:7">
      <c r="A1279" s="106"/>
      <c r="B1279" s="111"/>
      <c r="C1279" s="111"/>
      <c r="D1279" s="111"/>
      <c r="E1279" s="111"/>
      <c r="F1279" s="111"/>
      <c r="G1279" s="111"/>
    </row>
    <row r="1280" spans="1:7">
      <c r="A1280" s="106"/>
      <c r="B1280" s="111"/>
      <c r="C1280" s="111"/>
      <c r="D1280" s="111"/>
      <c r="E1280" s="111"/>
      <c r="F1280" s="111"/>
      <c r="G1280" s="111"/>
    </row>
    <row r="1281" spans="1:7">
      <c r="A1281" s="106"/>
      <c r="B1281" s="111"/>
      <c r="C1281" s="111"/>
      <c r="D1281" s="111"/>
      <c r="E1281" s="111"/>
      <c r="F1281" s="111"/>
      <c r="G1281" s="111"/>
    </row>
    <row r="1282" spans="1:7">
      <c r="A1282" s="106"/>
      <c r="B1282" s="111"/>
      <c r="C1282" s="111"/>
      <c r="D1282" s="111"/>
      <c r="E1282" s="111"/>
      <c r="F1282" s="111"/>
      <c r="G1282" s="111"/>
    </row>
    <row r="1283" spans="1:7">
      <c r="A1283" s="106"/>
      <c r="B1283" s="111"/>
      <c r="C1283" s="111"/>
      <c r="D1283" s="111"/>
      <c r="E1283" s="111"/>
      <c r="F1283" s="111"/>
      <c r="G1283" s="111"/>
    </row>
    <row r="1284" spans="1:7">
      <c r="A1284" s="106"/>
      <c r="B1284" s="111"/>
      <c r="C1284" s="111"/>
      <c r="D1284" s="111"/>
      <c r="E1284" s="111"/>
      <c r="F1284" s="111"/>
      <c r="G1284" s="111"/>
    </row>
    <row r="1285" spans="1:7">
      <c r="A1285" s="106"/>
      <c r="B1285" s="111"/>
      <c r="C1285" s="111"/>
      <c r="D1285" s="111"/>
      <c r="E1285" s="111"/>
      <c r="F1285" s="111"/>
      <c r="G1285" s="111"/>
    </row>
    <row r="1286" spans="1:7">
      <c r="A1286" s="106"/>
      <c r="B1286" s="111"/>
      <c r="C1286" s="111"/>
      <c r="D1286" s="111"/>
      <c r="E1286" s="111"/>
      <c r="F1286" s="111"/>
      <c r="G1286" s="111"/>
    </row>
    <row r="1287" spans="1:7">
      <c r="A1287" s="106"/>
      <c r="B1287" s="111"/>
      <c r="C1287" s="111"/>
      <c r="D1287" s="111"/>
      <c r="E1287" s="111"/>
      <c r="F1287" s="111"/>
      <c r="G1287" s="111"/>
    </row>
    <row r="1288" spans="1:7">
      <c r="A1288" s="106"/>
      <c r="B1288" s="111"/>
      <c r="C1288" s="111"/>
      <c r="D1288" s="111"/>
      <c r="E1288" s="111"/>
      <c r="F1288" s="111"/>
      <c r="G1288" s="111"/>
    </row>
    <row r="1289" spans="1:7">
      <c r="A1289" s="106"/>
      <c r="B1289" s="111"/>
      <c r="C1289" s="111"/>
      <c r="D1289" s="111"/>
      <c r="E1289" s="111"/>
      <c r="F1289" s="111"/>
      <c r="G1289" s="111"/>
    </row>
    <row r="1290" spans="1:7">
      <c r="A1290" s="106"/>
      <c r="B1290" s="111"/>
      <c r="C1290" s="111"/>
      <c r="D1290" s="111"/>
      <c r="E1290" s="111"/>
      <c r="F1290" s="111"/>
      <c r="G1290" s="111"/>
    </row>
    <row r="1291" spans="1:7">
      <c r="A1291" s="106"/>
      <c r="B1291" s="111"/>
      <c r="C1291" s="111"/>
      <c r="D1291" s="111"/>
      <c r="E1291" s="111"/>
      <c r="F1291" s="111"/>
      <c r="G1291" s="111"/>
    </row>
    <row r="1292" spans="1:7">
      <c r="A1292" s="106"/>
      <c r="B1292" s="111"/>
      <c r="C1292" s="111"/>
      <c r="D1292" s="111"/>
      <c r="E1292" s="111"/>
      <c r="F1292" s="111"/>
      <c r="G1292" s="111"/>
    </row>
    <row r="1293" spans="1:7">
      <c r="A1293" s="106"/>
      <c r="B1293" s="111"/>
      <c r="C1293" s="111"/>
      <c r="D1293" s="111"/>
      <c r="E1293" s="111"/>
      <c r="F1293" s="111"/>
      <c r="G1293" s="111"/>
    </row>
    <row r="1294" spans="1:7">
      <c r="A1294" s="106"/>
      <c r="B1294" s="111"/>
      <c r="C1294" s="111"/>
      <c r="D1294" s="111"/>
      <c r="E1294" s="111"/>
      <c r="F1294" s="111"/>
      <c r="G1294" s="111"/>
    </row>
    <row r="1295" spans="1:7">
      <c r="A1295" s="106"/>
      <c r="B1295" s="111"/>
      <c r="C1295" s="111"/>
      <c r="D1295" s="111"/>
      <c r="E1295" s="111"/>
      <c r="F1295" s="111"/>
      <c r="G1295" s="111"/>
    </row>
    <row r="1296" spans="1:7">
      <c r="A1296" s="106"/>
      <c r="B1296" s="111"/>
      <c r="C1296" s="111"/>
      <c r="D1296" s="111"/>
      <c r="E1296" s="111"/>
      <c r="F1296" s="111"/>
      <c r="G1296" s="111"/>
    </row>
    <row r="1297" spans="1:7">
      <c r="A1297" s="106"/>
      <c r="B1297" s="111"/>
      <c r="C1297" s="111"/>
      <c r="D1297" s="111"/>
      <c r="E1297" s="111"/>
      <c r="F1297" s="111"/>
      <c r="G1297" s="111"/>
    </row>
    <row r="1298" spans="1:7">
      <c r="A1298" s="106"/>
      <c r="B1298" s="111"/>
      <c r="C1298" s="111"/>
      <c r="D1298" s="111"/>
      <c r="E1298" s="111"/>
      <c r="F1298" s="111"/>
      <c r="G1298" s="111"/>
    </row>
    <row r="1299" spans="1:7">
      <c r="A1299" s="106"/>
      <c r="B1299" s="111"/>
      <c r="C1299" s="111"/>
      <c r="D1299" s="111"/>
      <c r="E1299" s="111"/>
      <c r="F1299" s="111"/>
      <c r="G1299" s="111"/>
    </row>
    <row r="1300" spans="1:7">
      <c r="A1300" s="106"/>
      <c r="B1300" s="111"/>
      <c r="C1300" s="111"/>
      <c r="D1300" s="111"/>
      <c r="E1300" s="111"/>
      <c r="F1300" s="111"/>
      <c r="G1300" s="111"/>
    </row>
    <row r="1301" spans="1:7">
      <c r="A1301" s="106"/>
      <c r="B1301" s="111"/>
      <c r="C1301" s="111"/>
      <c r="D1301" s="111"/>
      <c r="E1301" s="111"/>
      <c r="F1301" s="111"/>
      <c r="G1301" s="111"/>
    </row>
    <row r="1302" spans="1:7">
      <c r="A1302" s="106"/>
      <c r="B1302" s="111"/>
      <c r="C1302" s="111"/>
      <c r="D1302" s="111"/>
      <c r="E1302" s="111"/>
      <c r="F1302" s="111"/>
      <c r="G1302" s="111"/>
    </row>
    <row r="1303" spans="1:7">
      <c r="A1303" s="106"/>
      <c r="B1303" s="111"/>
      <c r="C1303" s="111"/>
      <c r="D1303" s="111"/>
      <c r="E1303" s="111"/>
      <c r="F1303" s="111"/>
      <c r="G1303" s="111"/>
    </row>
    <row r="1304" spans="1:7">
      <c r="A1304" s="106"/>
      <c r="B1304" s="111"/>
      <c r="C1304" s="111"/>
      <c r="D1304" s="111"/>
      <c r="E1304" s="111"/>
      <c r="F1304" s="111"/>
      <c r="G1304" s="111"/>
    </row>
    <row r="1305" spans="1:7">
      <c r="A1305" s="106"/>
      <c r="B1305" s="111"/>
      <c r="C1305" s="111"/>
      <c r="D1305" s="111"/>
      <c r="E1305" s="111"/>
      <c r="F1305" s="111"/>
      <c r="G1305" s="111"/>
    </row>
    <row r="1306" spans="1:7">
      <c r="A1306" s="106"/>
      <c r="B1306" s="111"/>
      <c r="C1306" s="111"/>
      <c r="D1306" s="111"/>
      <c r="E1306" s="111"/>
      <c r="F1306" s="111"/>
      <c r="G1306" s="111"/>
    </row>
    <row r="1307" spans="1:7">
      <c r="A1307" s="106"/>
      <c r="B1307" s="111"/>
      <c r="C1307" s="111"/>
      <c r="D1307" s="111"/>
      <c r="E1307" s="111"/>
      <c r="F1307" s="111"/>
      <c r="G1307" s="111"/>
    </row>
    <row r="1308" spans="1:7">
      <c r="A1308" s="106"/>
      <c r="B1308" s="111"/>
      <c r="C1308" s="111"/>
      <c r="D1308" s="111"/>
      <c r="E1308" s="111"/>
      <c r="F1308" s="111"/>
      <c r="G1308" s="111"/>
    </row>
    <row r="1309" spans="1:7">
      <c r="A1309" s="106"/>
      <c r="B1309" s="111"/>
      <c r="C1309" s="111"/>
      <c r="D1309" s="111"/>
      <c r="E1309" s="111"/>
      <c r="F1309" s="111"/>
      <c r="G1309" s="111"/>
    </row>
    <row r="1310" spans="1:7">
      <c r="A1310" s="106"/>
      <c r="B1310" s="111"/>
      <c r="C1310" s="111"/>
      <c r="D1310" s="111"/>
      <c r="E1310" s="111"/>
      <c r="F1310" s="111"/>
      <c r="G1310" s="111"/>
    </row>
    <row r="1311" spans="1:7">
      <c r="A1311" s="106"/>
      <c r="B1311" s="111"/>
      <c r="C1311" s="111"/>
      <c r="D1311" s="111"/>
      <c r="E1311" s="111"/>
      <c r="F1311" s="111"/>
      <c r="G1311" s="111"/>
    </row>
    <row r="1312" spans="1:7">
      <c r="A1312" s="106"/>
      <c r="B1312" s="111"/>
      <c r="C1312" s="111"/>
      <c r="D1312" s="111"/>
      <c r="E1312" s="111"/>
      <c r="F1312" s="111"/>
      <c r="G1312" s="111"/>
    </row>
    <row r="1313" spans="1:7">
      <c r="A1313" s="106"/>
      <c r="B1313" s="111"/>
      <c r="C1313" s="111"/>
      <c r="D1313" s="111"/>
      <c r="E1313" s="111"/>
      <c r="F1313" s="111"/>
      <c r="G1313" s="111"/>
    </row>
    <row r="1314" spans="1:7">
      <c r="A1314" s="106"/>
      <c r="B1314" s="111"/>
      <c r="C1314" s="111"/>
      <c r="D1314" s="111"/>
      <c r="E1314" s="111"/>
      <c r="F1314" s="111"/>
      <c r="G1314" s="111"/>
    </row>
    <row r="1315" spans="1:7">
      <c r="A1315" s="106"/>
      <c r="B1315" s="111"/>
      <c r="C1315" s="111"/>
      <c r="D1315" s="111"/>
      <c r="E1315" s="111"/>
      <c r="F1315" s="111"/>
      <c r="G1315" s="111"/>
    </row>
    <row r="1316" spans="1:7">
      <c r="A1316" s="106"/>
      <c r="B1316" s="111"/>
      <c r="C1316" s="111"/>
      <c r="D1316" s="111"/>
      <c r="E1316" s="111"/>
      <c r="F1316" s="111"/>
      <c r="G1316" s="111"/>
    </row>
    <row r="1317" spans="1:7">
      <c r="A1317" s="106"/>
      <c r="B1317" s="111"/>
      <c r="C1317" s="111"/>
      <c r="D1317" s="111"/>
      <c r="E1317" s="111"/>
      <c r="F1317" s="111"/>
      <c r="G1317" s="111"/>
    </row>
    <row r="1318" spans="1:7">
      <c r="A1318" s="106"/>
      <c r="B1318" s="111"/>
      <c r="C1318" s="111"/>
      <c r="D1318" s="111"/>
      <c r="E1318" s="111"/>
      <c r="F1318" s="111"/>
      <c r="G1318" s="111"/>
    </row>
    <row r="1319" spans="1:7">
      <c r="A1319" s="106"/>
      <c r="B1319" s="111"/>
      <c r="C1319" s="111"/>
      <c r="D1319" s="111"/>
      <c r="E1319" s="111"/>
      <c r="F1319" s="111"/>
      <c r="G1319" s="111"/>
    </row>
    <row r="1320" spans="1:7">
      <c r="A1320" s="106"/>
      <c r="B1320" s="111"/>
      <c r="C1320" s="111"/>
      <c r="D1320" s="111"/>
      <c r="E1320" s="111"/>
      <c r="F1320" s="111"/>
      <c r="G1320" s="111"/>
    </row>
    <row r="1321" spans="1:7">
      <c r="A1321" s="106"/>
      <c r="B1321" s="111"/>
      <c r="C1321" s="111"/>
      <c r="D1321" s="111"/>
      <c r="E1321" s="111"/>
      <c r="F1321" s="111"/>
      <c r="G1321" s="111"/>
    </row>
    <row r="1322" spans="1:7">
      <c r="A1322" s="106"/>
      <c r="B1322" s="111"/>
      <c r="C1322" s="111"/>
      <c r="D1322" s="111"/>
      <c r="E1322" s="111"/>
      <c r="F1322" s="111"/>
      <c r="G1322" s="111"/>
    </row>
    <row r="1323" spans="1:7">
      <c r="A1323" s="106"/>
      <c r="B1323" s="111"/>
      <c r="C1323" s="111"/>
      <c r="D1323" s="111"/>
      <c r="E1323" s="111"/>
      <c r="F1323" s="111"/>
      <c r="G1323" s="111"/>
    </row>
    <row r="1324" spans="1:7">
      <c r="A1324" s="106"/>
      <c r="B1324" s="111"/>
      <c r="C1324" s="111"/>
      <c r="D1324" s="111"/>
      <c r="E1324" s="111"/>
      <c r="F1324" s="111"/>
      <c r="G1324" s="111"/>
    </row>
    <row r="1325" spans="1:7">
      <c r="A1325" s="106"/>
      <c r="B1325" s="111"/>
      <c r="C1325" s="111"/>
      <c r="D1325" s="111"/>
      <c r="E1325" s="111"/>
      <c r="F1325" s="111"/>
      <c r="G1325" s="111"/>
    </row>
    <row r="1326" spans="1:7">
      <c r="A1326" s="106"/>
      <c r="B1326" s="111"/>
      <c r="C1326" s="111"/>
      <c r="D1326" s="111"/>
      <c r="E1326" s="111"/>
      <c r="F1326" s="111"/>
      <c r="G1326" s="111"/>
    </row>
    <row r="1327" spans="1:7">
      <c r="A1327" s="106"/>
      <c r="B1327" s="111"/>
      <c r="C1327" s="111"/>
      <c r="D1327" s="111"/>
      <c r="E1327" s="111"/>
      <c r="F1327" s="111"/>
      <c r="G1327" s="111"/>
    </row>
    <row r="1328" spans="1:7">
      <c r="A1328" s="106"/>
      <c r="B1328" s="111"/>
      <c r="C1328" s="111"/>
      <c r="D1328" s="111"/>
      <c r="E1328" s="111"/>
      <c r="F1328" s="111"/>
      <c r="G1328" s="111"/>
    </row>
    <row r="1329" spans="1:7">
      <c r="A1329" s="106"/>
      <c r="B1329" s="111"/>
      <c r="C1329" s="111"/>
      <c r="D1329" s="111"/>
      <c r="E1329" s="111"/>
      <c r="F1329" s="111"/>
      <c r="G1329" s="111"/>
    </row>
    <row r="1330" spans="1:7">
      <c r="A1330" s="106"/>
      <c r="B1330" s="111"/>
      <c r="C1330" s="111"/>
      <c r="D1330" s="111"/>
      <c r="E1330" s="111"/>
      <c r="F1330" s="111"/>
      <c r="G1330" s="111"/>
    </row>
    <row r="1331" spans="1:7">
      <c r="A1331" s="106"/>
      <c r="B1331" s="111"/>
      <c r="C1331" s="111"/>
      <c r="D1331" s="111"/>
      <c r="E1331" s="111"/>
      <c r="F1331" s="111"/>
      <c r="G1331" s="111"/>
    </row>
    <row r="1332" spans="1:7">
      <c r="A1332" s="106"/>
      <c r="B1332" s="111"/>
      <c r="C1332" s="111"/>
      <c r="D1332" s="111"/>
      <c r="E1332" s="111"/>
      <c r="F1332" s="111"/>
      <c r="G1332" s="111"/>
    </row>
    <row r="1333" spans="1:7">
      <c r="A1333" s="106"/>
      <c r="B1333" s="111"/>
      <c r="C1333" s="111"/>
      <c r="D1333" s="111"/>
      <c r="E1333" s="111"/>
      <c r="F1333" s="111"/>
      <c r="G1333" s="111"/>
    </row>
    <row r="1334" spans="1:7">
      <c r="A1334" s="106"/>
      <c r="B1334" s="111"/>
      <c r="C1334" s="111"/>
      <c r="D1334" s="111"/>
      <c r="E1334" s="111"/>
      <c r="F1334" s="111"/>
      <c r="G1334" s="111"/>
    </row>
    <row r="1335" spans="1:7">
      <c r="A1335" s="106"/>
      <c r="B1335" s="111"/>
      <c r="C1335" s="111"/>
      <c r="D1335" s="111"/>
      <c r="E1335" s="111"/>
      <c r="F1335" s="111"/>
      <c r="G1335" s="111"/>
    </row>
    <row r="1336" spans="1:7">
      <c r="A1336" s="106"/>
      <c r="B1336" s="111"/>
      <c r="C1336" s="111"/>
      <c r="D1336" s="111"/>
      <c r="E1336" s="111"/>
      <c r="F1336" s="111"/>
      <c r="G1336" s="111"/>
    </row>
    <row r="1337" spans="1:7">
      <c r="A1337" s="106"/>
      <c r="B1337" s="111"/>
      <c r="C1337" s="111"/>
      <c r="D1337" s="111"/>
      <c r="E1337" s="111"/>
      <c r="F1337" s="111"/>
      <c r="G1337" s="111"/>
    </row>
    <row r="1338" spans="1:7">
      <c r="A1338" s="106"/>
      <c r="B1338" s="111"/>
      <c r="C1338" s="111"/>
      <c r="D1338" s="111"/>
      <c r="E1338" s="111"/>
      <c r="F1338" s="111"/>
      <c r="G1338" s="111"/>
    </row>
    <row r="1339" spans="1:7">
      <c r="A1339" s="106"/>
      <c r="B1339" s="111"/>
      <c r="C1339" s="111"/>
      <c r="D1339" s="111"/>
      <c r="E1339" s="111"/>
      <c r="F1339" s="111"/>
      <c r="G1339" s="111"/>
    </row>
    <row r="1340" spans="1:7">
      <c r="A1340" s="106"/>
      <c r="B1340" s="111"/>
      <c r="C1340" s="111"/>
      <c r="D1340" s="111"/>
      <c r="E1340" s="111"/>
      <c r="F1340" s="111"/>
      <c r="G1340" s="111"/>
    </row>
    <row r="1341" spans="1:7">
      <c r="A1341" s="106"/>
      <c r="B1341" s="111"/>
      <c r="C1341" s="111"/>
      <c r="D1341" s="111"/>
      <c r="E1341" s="111"/>
      <c r="F1341" s="111"/>
      <c r="G1341" s="111"/>
    </row>
    <row r="1342" spans="1:7">
      <c r="A1342" s="106"/>
      <c r="B1342" s="111"/>
      <c r="C1342" s="111"/>
      <c r="D1342" s="111"/>
      <c r="E1342" s="111"/>
      <c r="F1342" s="111"/>
      <c r="G1342" s="111"/>
    </row>
    <row r="1343" spans="1:7">
      <c r="A1343" s="106"/>
      <c r="B1343" s="111"/>
      <c r="C1343" s="111"/>
      <c r="D1343" s="111"/>
      <c r="E1343" s="111"/>
      <c r="F1343" s="111"/>
      <c r="G1343" s="111"/>
    </row>
    <row r="1344" spans="1:7">
      <c r="A1344" s="106"/>
      <c r="B1344" s="111"/>
      <c r="C1344" s="111"/>
      <c r="D1344" s="111"/>
      <c r="E1344" s="111"/>
      <c r="F1344" s="111"/>
      <c r="G1344" s="111"/>
    </row>
    <row r="1345" spans="1:7">
      <c r="A1345" s="106"/>
      <c r="B1345" s="111"/>
      <c r="C1345" s="111"/>
      <c r="D1345" s="111"/>
      <c r="E1345" s="111"/>
      <c r="F1345" s="111"/>
      <c r="G1345" s="111"/>
    </row>
    <row r="1346" spans="1:7">
      <c r="A1346" s="106"/>
      <c r="B1346" s="111"/>
      <c r="C1346" s="111"/>
      <c r="D1346" s="111"/>
      <c r="E1346" s="111"/>
      <c r="F1346" s="111"/>
      <c r="G1346" s="111"/>
    </row>
    <row r="1347" spans="1:7">
      <c r="A1347" s="106"/>
      <c r="B1347" s="111"/>
      <c r="C1347" s="111"/>
      <c r="D1347" s="111"/>
      <c r="E1347" s="111"/>
      <c r="F1347" s="111"/>
      <c r="G1347" s="111"/>
    </row>
    <row r="1348" spans="1:7">
      <c r="A1348" s="106"/>
      <c r="B1348" s="111"/>
      <c r="C1348" s="111"/>
      <c r="D1348" s="111"/>
      <c r="E1348" s="111"/>
      <c r="F1348" s="111"/>
      <c r="G1348" s="111"/>
    </row>
    <row r="1349" spans="1:7">
      <c r="A1349" s="106"/>
      <c r="B1349" s="111"/>
      <c r="C1349" s="111"/>
      <c r="D1349" s="111"/>
      <c r="E1349" s="111"/>
      <c r="F1349" s="111"/>
      <c r="G1349" s="111"/>
    </row>
    <row r="1350" spans="1:7">
      <c r="A1350" s="106"/>
      <c r="B1350" s="111"/>
      <c r="C1350" s="111"/>
      <c r="D1350" s="111"/>
      <c r="E1350" s="111"/>
      <c r="F1350" s="111"/>
      <c r="G1350" s="111"/>
    </row>
    <row r="1351" spans="1:7">
      <c r="A1351" s="106"/>
      <c r="B1351" s="111"/>
      <c r="C1351" s="111"/>
      <c r="D1351" s="111"/>
      <c r="E1351" s="111"/>
      <c r="F1351" s="111"/>
      <c r="G1351" s="111"/>
    </row>
    <row r="1352" spans="1:7">
      <c r="A1352" s="106"/>
      <c r="B1352" s="111"/>
      <c r="C1352" s="111"/>
      <c r="D1352" s="111"/>
      <c r="E1352" s="111"/>
      <c r="F1352" s="111"/>
      <c r="G1352" s="111"/>
    </row>
    <row r="1353" spans="1:7">
      <c r="A1353" s="106"/>
      <c r="B1353" s="111"/>
      <c r="C1353" s="111"/>
      <c r="D1353" s="111"/>
      <c r="E1353" s="111"/>
      <c r="F1353" s="111"/>
      <c r="G1353" s="111"/>
    </row>
    <row r="1354" spans="1:7">
      <c r="A1354" s="106"/>
      <c r="B1354" s="111"/>
      <c r="C1354" s="111"/>
      <c r="D1354" s="111"/>
      <c r="E1354" s="111"/>
      <c r="F1354" s="111"/>
      <c r="G1354" s="111"/>
    </row>
    <row r="1355" spans="1:7">
      <c r="A1355" s="106"/>
      <c r="B1355" s="111"/>
      <c r="C1355" s="111"/>
      <c r="D1355" s="111"/>
      <c r="E1355" s="111"/>
      <c r="F1355" s="111"/>
      <c r="G1355" s="111"/>
    </row>
    <row r="1356" spans="1:7">
      <c r="A1356" s="106"/>
      <c r="B1356" s="111"/>
      <c r="C1356" s="111"/>
      <c r="D1356" s="111"/>
      <c r="E1356" s="111"/>
      <c r="F1356" s="111"/>
      <c r="G1356" s="111"/>
    </row>
    <row r="1357" spans="1:7">
      <c r="A1357" s="106"/>
      <c r="B1357" s="111"/>
      <c r="C1357" s="111"/>
      <c r="D1357" s="111"/>
      <c r="E1357" s="111"/>
      <c r="F1357" s="111"/>
      <c r="G1357" s="111"/>
    </row>
    <row r="1358" spans="1:7">
      <c r="A1358" s="106"/>
      <c r="B1358" s="111"/>
      <c r="C1358" s="111"/>
      <c r="D1358" s="111"/>
      <c r="E1358" s="111"/>
      <c r="F1358" s="111"/>
      <c r="G1358" s="111"/>
    </row>
    <row r="1359" spans="1:7">
      <c r="A1359" s="106"/>
      <c r="B1359" s="111"/>
      <c r="C1359" s="111"/>
      <c r="D1359" s="111"/>
      <c r="E1359" s="111"/>
      <c r="F1359" s="111"/>
      <c r="G1359" s="111"/>
    </row>
    <row r="1360" spans="1:7">
      <c r="A1360" s="106"/>
      <c r="B1360" s="111"/>
      <c r="C1360" s="111"/>
      <c r="D1360" s="111"/>
      <c r="E1360" s="111"/>
      <c r="F1360" s="111"/>
      <c r="G1360" s="111"/>
    </row>
    <row r="1361" spans="1:7">
      <c r="A1361" s="106"/>
      <c r="B1361" s="111"/>
      <c r="C1361" s="111"/>
      <c r="D1361" s="111"/>
      <c r="E1361" s="111"/>
      <c r="F1361" s="111"/>
      <c r="G1361" s="111"/>
    </row>
    <row r="1362" spans="1:7">
      <c r="A1362" s="106"/>
      <c r="B1362" s="111"/>
      <c r="C1362" s="111"/>
      <c r="D1362" s="111"/>
      <c r="E1362" s="111"/>
      <c r="F1362" s="111"/>
      <c r="G1362" s="111"/>
    </row>
    <row r="1363" spans="1:7">
      <c r="A1363" s="106"/>
      <c r="B1363" s="111"/>
      <c r="C1363" s="111"/>
      <c r="D1363" s="111"/>
      <c r="E1363" s="111"/>
      <c r="F1363" s="111"/>
      <c r="G1363" s="111"/>
    </row>
    <row r="1364" spans="1:7">
      <c r="A1364" s="106"/>
      <c r="B1364" s="111"/>
      <c r="C1364" s="111"/>
      <c r="D1364" s="111"/>
      <c r="E1364" s="111"/>
      <c r="F1364" s="111"/>
      <c r="G1364" s="111"/>
    </row>
    <row r="1365" spans="1:7">
      <c r="A1365" s="106"/>
      <c r="B1365" s="111"/>
      <c r="C1365" s="111"/>
      <c r="D1365" s="111"/>
      <c r="E1365" s="111"/>
      <c r="F1365" s="111"/>
      <c r="G1365" s="111"/>
    </row>
    <row r="1366" spans="1:7">
      <c r="A1366" s="106"/>
      <c r="B1366" s="111"/>
      <c r="C1366" s="111"/>
      <c r="D1366" s="111"/>
      <c r="E1366" s="111"/>
      <c r="F1366" s="111"/>
      <c r="G1366" s="111"/>
    </row>
    <row r="1367" spans="1:7">
      <c r="A1367" s="106"/>
      <c r="B1367" s="111"/>
      <c r="C1367" s="111"/>
      <c r="D1367" s="111"/>
      <c r="E1367" s="111"/>
      <c r="F1367" s="111"/>
      <c r="G1367" s="111"/>
    </row>
    <row r="1368" spans="1:7">
      <c r="A1368" s="106"/>
      <c r="B1368" s="111"/>
      <c r="C1368" s="111"/>
      <c r="D1368" s="111"/>
      <c r="E1368" s="111"/>
      <c r="F1368" s="111"/>
      <c r="G1368" s="111"/>
    </row>
    <row r="1369" spans="1:7">
      <c r="A1369" s="106"/>
      <c r="B1369" s="111"/>
      <c r="C1369" s="111"/>
      <c r="D1369" s="111"/>
      <c r="E1369" s="111"/>
      <c r="F1369" s="111"/>
      <c r="G1369" s="111"/>
    </row>
    <row r="1370" spans="1:7">
      <c r="A1370" s="106"/>
      <c r="B1370" s="111"/>
      <c r="C1370" s="111"/>
      <c r="D1370" s="111"/>
      <c r="E1370" s="111"/>
      <c r="F1370" s="111"/>
      <c r="G1370" s="111"/>
    </row>
    <row r="1371" spans="1:7">
      <c r="A1371" s="106"/>
      <c r="B1371" s="111"/>
      <c r="C1371" s="111"/>
      <c r="D1371" s="111"/>
      <c r="E1371" s="111"/>
      <c r="F1371" s="111"/>
      <c r="G1371" s="111"/>
    </row>
    <row r="1372" spans="1:7">
      <c r="A1372" s="106"/>
      <c r="B1372" s="111"/>
      <c r="C1372" s="111"/>
      <c r="D1372" s="111"/>
      <c r="E1372" s="111"/>
      <c r="F1372" s="111"/>
      <c r="G1372" s="111"/>
    </row>
    <row r="1373" spans="1:7">
      <c r="A1373" s="106"/>
      <c r="B1373" s="111"/>
      <c r="C1373" s="111"/>
      <c r="D1373" s="111"/>
      <c r="E1373" s="111"/>
      <c r="F1373" s="111"/>
      <c r="G1373" s="111"/>
    </row>
    <row r="1374" spans="1:7">
      <c r="A1374" s="106"/>
      <c r="B1374" s="111"/>
      <c r="C1374" s="111"/>
      <c r="D1374" s="111"/>
      <c r="E1374" s="111"/>
      <c r="F1374" s="111"/>
      <c r="G1374" s="111"/>
    </row>
    <row r="1375" spans="1:7">
      <c r="A1375" s="106"/>
      <c r="B1375" s="111"/>
      <c r="C1375" s="111"/>
      <c r="D1375" s="111"/>
      <c r="E1375" s="111"/>
      <c r="F1375" s="111"/>
      <c r="G1375" s="111"/>
    </row>
    <row r="1376" spans="1:7">
      <c r="A1376" s="106"/>
      <c r="B1376" s="111"/>
      <c r="C1376" s="111"/>
      <c r="D1376" s="111"/>
      <c r="E1376" s="111"/>
      <c r="F1376" s="111"/>
      <c r="G1376" s="111"/>
    </row>
    <row r="1377" spans="1:7">
      <c r="A1377" s="106"/>
      <c r="B1377" s="111"/>
      <c r="C1377" s="111"/>
      <c r="D1377" s="111"/>
      <c r="E1377" s="111"/>
      <c r="F1377" s="111"/>
      <c r="G1377" s="111"/>
    </row>
    <row r="1378" spans="1:7">
      <c r="A1378" s="106"/>
      <c r="B1378" s="111"/>
      <c r="C1378" s="111"/>
      <c r="D1378" s="111"/>
      <c r="E1378" s="111"/>
      <c r="F1378" s="111"/>
      <c r="G1378" s="111"/>
    </row>
    <row r="1379" spans="1:7">
      <c r="A1379" s="106"/>
      <c r="B1379" s="111"/>
      <c r="C1379" s="111"/>
      <c r="D1379" s="111"/>
      <c r="E1379" s="111"/>
      <c r="F1379" s="111"/>
      <c r="G1379" s="111"/>
    </row>
    <row r="1380" spans="1:7">
      <c r="A1380" s="106"/>
      <c r="B1380" s="111"/>
      <c r="C1380" s="111"/>
      <c r="D1380" s="111"/>
      <c r="E1380" s="111"/>
      <c r="F1380" s="111"/>
      <c r="G1380" s="111"/>
    </row>
    <row r="1381" spans="1:7">
      <c r="A1381" s="106"/>
      <c r="B1381" s="111"/>
      <c r="C1381" s="111"/>
      <c r="D1381" s="111"/>
      <c r="E1381" s="111"/>
      <c r="F1381" s="111"/>
      <c r="G1381" s="111"/>
    </row>
    <row r="1382" spans="1:7">
      <c r="A1382" s="106"/>
      <c r="B1382" s="111"/>
      <c r="C1382" s="111"/>
      <c r="D1382" s="111"/>
      <c r="E1382" s="111"/>
      <c r="F1382" s="111"/>
      <c r="G1382" s="111"/>
    </row>
    <row r="1383" spans="1:7">
      <c r="A1383" s="106"/>
      <c r="B1383" s="111"/>
      <c r="C1383" s="111"/>
      <c r="D1383" s="111"/>
      <c r="E1383" s="111"/>
      <c r="F1383" s="111"/>
      <c r="G1383" s="111"/>
    </row>
    <row r="1384" spans="1:7">
      <c r="A1384" s="106"/>
      <c r="B1384" s="111"/>
      <c r="C1384" s="111"/>
      <c r="D1384" s="111"/>
      <c r="E1384" s="111"/>
      <c r="F1384" s="111"/>
      <c r="G1384" s="111"/>
    </row>
    <row r="1385" spans="1:7">
      <c r="A1385" s="106"/>
      <c r="B1385" s="111"/>
      <c r="C1385" s="111"/>
      <c r="D1385" s="111"/>
      <c r="E1385" s="111"/>
      <c r="F1385" s="111"/>
      <c r="G1385" s="111"/>
    </row>
    <row r="1386" spans="1:7">
      <c r="A1386" s="106"/>
      <c r="B1386" s="111"/>
      <c r="C1386" s="111"/>
      <c r="D1386" s="111"/>
      <c r="E1386" s="111"/>
      <c r="F1386" s="111"/>
      <c r="G1386" s="111"/>
    </row>
    <row r="1387" spans="1:7">
      <c r="A1387" s="106"/>
      <c r="B1387" s="111"/>
      <c r="C1387" s="111"/>
      <c r="D1387" s="111"/>
      <c r="E1387" s="111"/>
      <c r="F1387" s="111"/>
      <c r="G1387" s="111"/>
    </row>
    <row r="1388" spans="1:7">
      <c r="A1388" s="106"/>
      <c r="B1388" s="111"/>
      <c r="C1388" s="111"/>
      <c r="D1388" s="111"/>
      <c r="E1388" s="111"/>
      <c r="F1388" s="111"/>
      <c r="G1388" s="111"/>
    </row>
    <row r="1389" spans="1:7">
      <c r="A1389" s="106"/>
      <c r="B1389" s="111"/>
      <c r="C1389" s="111"/>
      <c r="D1389" s="111"/>
      <c r="E1389" s="111"/>
      <c r="F1389" s="111"/>
      <c r="G1389" s="111"/>
    </row>
    <row r="1390" spans="1:7">
      <c r="A1390" s="106"/>
      <c r="B1390" s="111"/>
      <c r="C1390" s="111"/>
      <c r="D1390" s="111"/>
      <c r="E1390" s="111"/>
      <c r="F1390" s="111"/>
      <c r="G1390" s="111"/>
    </row>
    <row r="1391" spans="1:7">
      <c r="A1391" s="106"/>
      <c r="B1391" s="111"/>
      <c r="C1391" s="111"/>
      <c r="D1391" s="111"/>
      <c r="E1391" s="111"/>
      <c r="F1391" s="111"/>
      <c r="G1391" s="111"/>
    </row>
    <row r="1392" spans="1:7">
      <c r="A1392" s="106"/>
      <c r="B1392" s="111"/>
      <c r="C1392" s="111"/>
      <c r="D1392" s="111"/>
      <c r="E1392" s="111"/>
      <c r="F1392" s="111"/>
      <c r="G1392" s="111"/>
    </row>
    <row r="1393" spans="1:7">
      <c r="A1393" s="106"/>
      <c r="B1393" s="111"/>
      <c r="C1393" s="111"/>
      <c r="D1393" s="111"/>
      <c r="E1393" s="111"/>
      <c r="F1393" s="111"/>
      <c r="G1393" s="111"/>
    </row>
    <row r="1394" spans="1:7">
      <c r="A1394" s="106"/>
      <c r="B1394" s="111"/>
      <c r="C1394" s="111"/>
      <c r="D1394" s="111"/>
      <c r="E1394" s="111"/>
      <c r="F1394" s="111"/>
      <c r="G1394" s="111"/>
    </row>
    <row r="1395" spans="1:7">
      <c r="A1395" s="106"/>
      <c r="B1395" s="111"/>
      <c r="C1395" s="111"/>
      <c r="D1395" s="111"/>
      <c r="E1395" s="111"/>
      <c r="F1395" s="111"/>
      <c r="G1395" s="111"/>
    </row>
    <row r="1396" spans="1:7">
      <c r="A1396" s="106"/>
      <c r="B1396" s="111"/>
      <c r="C1396" s="111"/>
      <c r="D1396" s="111"/>
      <c r="E1396" s="111"/>
      <c r="F1396" s="111"/>
      <c r="G1396" s="111"/>
    </row>
    <row r="1397" spans="1:7">
      <c r="A1397" s="106"/>
      <c r="B1397" s="111"/>
      <c r="C1397" s="111"/>
      <c r="D1397" s="111"/>
      <c r="E1397" s="111"/>
      <c r="F1397" s="111"/>
      <c r="G1397" s="111"/>
    </row>
    <row r="1398" spans="1:7">
      <c r="A1398" s="106"/>
      <c r="B1398" s="111"/>
      <c r="C1398" s="111"/>
      <c r="D1398" s="111"/>
      <c r="E1398" s="111"/>
      <c r="F1398" s="111"/>
      <c r="G1398" s="111"/>
    </row>
    <row r="1399" spans="1:7">
      <c r="A1399" s="106"/>
      <c r="B1399" s="111"/>
      <c r="C1399" s="111"/>
      <c r="D1399" s="111"/>
      <c r="E1399" s="111"/>
      <c r="F1399" s="111"/>
      <c r="G1399" s="111"/>
    </row>
    <row r="1400" spans="1:7">
      <c r="A1400" s="106"/>
      <c r="B1400" s="111"/>
      <c r="C1400" s="111"/>
      <c r="D1400" s="111"/>
      <c r="E1400" s="111"/>
      <c r="F1400" s="111"/>
      <c r="G1400" s="111"/>
    </row>
    <row r="1401" spans="1:7">
      <c r="A1401" s="106"/>
      <c r="B1401" s="111"/>
      <c r="C1401" s="111"/>
      <c r="D1401" s="111"/>
      <c r="E1401" s="111"/>
      <c r="F1401" s="111"/>
      <c r="G1401" s="111"/>
    </row>
    <row r="1402" spans="1:7">
      <c r="A1402" s="106"/>
      <c r="B1402" s="111"/>
      <c r="C1402" s="111"/>
      <c r="D1402" s="111"/>
      <c r="E1402" s="111"/>
      <c r="F1402" s="111"/>
      <c r="G1402" s="111"/>
    </row>
    <row r="1403" spans="1:7">
      <c r="A1403" s="106"/>
      <c r="B1403" s="111"/>
      <c r="C1403" s="111"/>
      <c r="D1403" s="111"/>
      <c r="E1403" s="111"/>
      <c r="F1403" s="111"/>
      <c r="G1403" s="111"/>
    </row>
    <row r="1404" spans="1:7">
      <c r="A1404" s="106"/>
      <c r="B1404" s="111"/>
      <c r="C1404" s="111"/>
      <c r="D1404" s="111"/>
      <c r="E1404" s="111"/>
      <c r="F1404" s="111"/>
      <c r="G1404" s="111"/>
    </row>
    <row r="1405" spans="1:7">
      <c r="A1405" s="106"/>
      <c r="B1405" s="111"/>
      <c r="C1405" s="111"/>
      <c r="D1405" s="111"/>
      <c r="E1405" s="111"/>
      <c r="F1405" s="111"/>
      <c r="G1405" s="111"/>
    </row>
    <row r="1406" spans="1:7">
      <c r="A1406" s="106"/>
      <c r="B1406" s="111"/>
      <c r="C1406" s="111"/>
      <c r="D1406" s="111"/>
      <c r="E1406" s="111"/>
      <c r="F1406" s="111"/>
      <c r="G1406" s="111"/>
    </row>
    <row r="1407" spans="1:7">
      <c r="A1407" s="106"/>
      <c r="B1407" s="111"/>
      <c r="C1407" s="111"/>
      <c r="D1407" s="111"/>
      <c r="E1407" s="111"/>
      <c r="F1407" s="111"/>
      <c r="G1407" s="111"/>
    </row>
    <row r="1408" spans="1:7">
      <c r="A1408" s="106"/>
      <c r="B1408" s="111"/>
      <c r="C1408" s="111"/>
      <c r="D1408" s="111"/>
      <c r="E1408" s="111"/>
      <c r="F1408" s="111"/>
      <c r="G1408" s="111"/>
    </row>
    <row r="1409" spans="1:7">
      <c r="A1409" s="106"/>
      <c r="B1409" s="111"/>
      <c r="C1409" s="111"/>
      <c r="D1409" s="111"/>
      <c r="E1409" s="111"/>
      <c r="F1409" s="111"/>
      <c r="G1409" s="111"/>
    </row>
    <row r="1410" spans="1:7">
      <c r="A1410" s="106"/>
      <c r="B1410" s="111"/>
      <c r="C1410" s="111"/>
      <c r="D1410" s="111"/>
      <c r="E1410" s="111"/>
      <c r="F1410" s="111"/>
      <c r="G1410" s="111"/>
    </row>
    <row r="1411" spans="1:7">
      <c r="A1411" s="106"/>
      <c r="B1411" s="111"/>
      <c r="C1411" s="111"/>
      <c r="D1411" s="111"/>
      <c r="E1411" s="111"/>
      <c r="F1411" s="111"/>
      <c r="G1411" s="111"/>
    </row>
    <row r="1412" spans="1:7">
      <c r="A1412" s="106"/>
      <c r="B1412" s="111"/>
      <c r="C1412" s="111"/>
      <c r="D1412" s="111"/>
      <c r="E1412" s="111"/>
      <c r="F1412" s="111"/>
      <c r="G1412" s="111"/>
    </row>
    <row r="1413" spans="1:7">
      <c r="A1413" s="106"/>
      <c r="B1413" s="111"/>
      <c r="C1413" s="111"/>
      <c r="D1413" s="111"/>
      <c r="E1413" s="111"/>
      <c r="F1413" s="111"/>
      <c r="G1413" s="111"/>
    </row>
    <row r="1414" spans="1:7">
      <c r="A1414" s="106"/>
      <c r="B1414" s="111"/>
      <c r="C1414" s="111"/>
      <c r="D1414" s="111"/>
      <c r="E1414" s="111"/>
      <c r="F1414" s="111"/>
      <c r="G1414" s="111"/>
    </row>
    <row r="1415" spans="1:7">
      <c r="A1415" s="106"/>
      <c r="B1415" s="111"/>
      <c r="C1415" s="111"/>
      <c r="D1415" s="111"/>
      <c r="E1415" s="111"/>
      <c r="F1415" s="111"/>
      <c r="G1415" s="111"/>
    </row>
    <row r="1416" spans="1:7">
      <c r="A1416" s="106"/>
      <c r="B1416" s="111"/>
      <c r="C1416" s="111"/>
      <c r="D1416" s="111"/>
      <c r="E1416" s="111"/>
      <c r="F1416" s="111"/>
      <c r="G1416" s="111"/>
    </row>
    <row r="1417" spans="1:7">
      <c r="A1417" s="106"/>
      <c r="B1417" s="111"/>
      <c r="C1417" s="111"/>
      <c r="D1417" s="111"/>
      <c r="E1417" s="111"/>
      <c r="F1417" s="111"/>
      <c r="G1417" s="111"/>
    </row>
    <row r="1418" spans="1:7">
      <c r="A1418" s="106"/>
      <c r="B1418" s="111"/>
      <c r="C1418" s="111"/>
      <c r="D1418" s="111"/>
      <c r="E1418" s="111"/>
      <c r="F1418" s="111"/>
      <c r="G1418" s="111"/>
    </row>
    <row r="1419" spans="1:7">
      <c r="A1419" s="106"/>
      <c r="B1419" s="111"/>
      <c r="C1419" s="111"/>
      <c r="D1419" s="111"/>
      <c r="E1419" s="111"/>
      <c r="F1419" s="111"/>
      <c r="G1419" s="111"/>
    </row>
    <row r="1420" spans="1:7">
      <c r="A1420" s="106"/>
      <c r="B1420" s="111"/>
      <c r="C1420" s="111"/>
      <c r="D1420" s="111"/>
      <c r="E1420" s="111"/>
      <c r="F1420" s="111"/>
      <c r="G1420" s="111"/>
    </row>
    <row r="1421" spans="1:7">
      <c r="A1421" s="106"/>
      <c r="B1421" s="111"/>
      <c r="C1421" s="111"/>
      <c r="D1421" s="111"/>
      <c r="E1421" s="111"/>
      <c r="F1421" s="111"/>
      <c r="G1421" s="111"/>
    </row>
    <row r="1422" spans="1:7">
      <c r="A1422" s="106"/>
      <c r="B1422" s="111"/>
      <c r="C1422" s="111"/>
      <c r="D1422" s="111"/>
      <c r="E1422" s="111"/>
      <c r="F1422" s="111"/>
      <c r="G1422" s="111"/>
    </row>
    <row r="1423" spans="1:7">
      <c r="A1423" s="106"/>
      <c r="B1423" s="111"/>
      <c r="C1423" s="111"/>
      <c r="D1423" s="111"/>
      <c r="E1423" s="111"/>
      <c r="F1423" s="111"/>
      <c r="G1423" s="111"/>
    </row>
    <row r="1424" spans="1:7">
      <c r="A1424" s="106"/>
      <c r="B1424" s="111"/>
      <c r="C1424" s="111"/>
      <c r="D1424" s="111"/>
      <c r="E1424" s="111"/>
      <c r="F1424" s="111"/>
      <c r="G1424" s="111"/>
    </row>
    <row r="1425" spans="1:7">
      <c r="A1425" s="106"/>
      <c r="B1425" s="111"/>
      <c r="C1425" s="111"/>
      <c r="D1425" s="111"/>
      <c r="E1425" s="111"/>
      <c r="F1425" s="111"/>
      <c r="G1425" s="111"/>
    </row>
    <row r="1426" spans="1:7">
      <c r="A1426" s="106"/>
      <c r="B1426" s="111"/>
      <c r="C1426" s="111"/>
      <c r="D1426" s="111"/>
      <c r="E1426" s="111"/>
      <c r="F1426" s="111"/>
      <c r="G1426" s="111"/>
    </row>
    <row r="1427" spans="1:7">
      <c r="A1427" s="106"/>
      <c r="B1427" s="111"/>
      <c r="C1427" s="111"/>
      <c r="D1427" s="111"/>
      <c r="E1427" s="111"/>
      <c r="F1427" s="111"/>
      <c r="G1427" s="111"/>
    </row>
    <row r="1428" spans="1:7">
      <c r="A1428" s="106"/>
      <c r="B1428" s="111"/>
      <c r="C1428" s="111"/>
      <c r="D1428" s="111"/>
      <c r="E1428" s="111"/>
      <c r="F1428" s="111"/>
      <c r="G1428" s="111"/>
    </row>
    <row r="1429" spans="1:7">
      <c r="A1429" s="106"/>
      <c r="B1429" s="111"/>
      <c r="C1429" s="111"/>
      <c r="D1429" s="111"/>
      <c r="E1429" s="111"/>
      <c r="F1429" s="111"/>
      <c r="G1429" s="111"/>
    </row>
    <row r="1430" spans="1:7">
      <c r="A1430" s="106"/>
      <c r="B1430" s="111"/>
      <c r="C1430" s="111"/>
      <c r="D1430" s="111"/>
      <c r="E1430" s="111"/>
      <c r="F1430" s="111"/>
      <c r="G1430" s="111"/>
    </row>
    <row r="1431" spans="1:7">
      <c r="A1431" s="106"/>
      <c r="B1431" s="111"/>
      <c r="C1431" s="111"/>
      <c r="D1431" s="111"/>
      <c r="E1431" s="111"/>
      <c r="F1431" s="111"/>
      <c r="G1431" s="111"/>
    </row>
    <row r="1432" spans="1:7">
      <c r="A1432" s="106"/>
      <c r="B1432" s="111"/>
      <c r="C1432" s="111"/>
      <c r="D1432" s="111"/>
      <c r="E1432" s="111"/>
      <c r="F1432" s="111"/>
      <c r="G1432" s="111"/>
    </row>
    <row r="1433" spans="1:7">
      <c r="A1433" s="106"/>
      <c r="B1433" s="111"/>
      <c r="C1433" s="111"/>
      <c r="D1433" s="111"/>
      <c r="E1433" s="111"/>
      <c r="F1433" s="111"/>
      <c r="G1433" s="111"/>
    </row>
    <row r="1434" spans="1:7">
      <c r="A1434" s="106"/>
      <c r="B1434" s="111"/>
      <c r="C1434" s="111"/>
      <c r="D1434" s="111"/>
      <c r="E1434" s="111"/>
      <c r="F1434" s="111"/>
      <c r="G1434" s="111"/>
    </row>
    <row r="1435" spans="1:7">
      <c r="A1435" s="106"/>
      <c r="B1435" s="111"/>
      <c r="C1435" s="111"/>
      <c r="D1435" s="111"/>
      <c r="E1435" s="111"/>
      <c r="F1435" s="111"/>
      <c r="G1435" s="111"/>
    </row>
    <row r="1436" spans="1:7">
      <c r="A1436" s="106"/>
      <c r="B1436" s="111"/>
      <c r="C1436" s="111"/>
      <c r="D1436" s="111"/>
      <c r="E1436" s="111"/>
      <c r="F1436" s="111"/>
      <c r="G1436" s="111"/>
    </row>
    <row r="1437" spans="1:7">
      <c r="A1437" s="106"/>
      <c r="B1437" s="111"/>
      <c r="C1437" s="111"/>
      <c r="D1437" s="111"/>
      <c r="E1437" s="111"/>
      <c r="F1437" s="111"/>
      <c r="G1437" s="111"/>
    </row>
    <row r="1438" spans="1:7">
      <c r="A1438" s="106"/>
      <c r="B1438" s="111"/>
      <c r="C1438" s="111"/>
      <c r="D1438" s="111"/>
      <c r="E1438" s="111"/>
      <c r="F1438" s="111"/>
      <c r="G1438" s="111"/>
    </row>
    <row r="1439" spans="1:7">
      <c r="A1439" s="106"/>
      <c r="B1439" s="111"/>
      <c r="C1439" s="111"/>
      <c r="D1439" s="111"/>
      <c r="E1439" s="111"/>
      <c r="F1439" s="111"/>
      <c r="G1439" s="111"/>
    </row>
    <row r="1440" spans="1:7">
      <c r="A1440" s="106"/>
      <c r="B1440" s="111"/>
      <c r="C1440" s="111"/>
      <c r="D1440" s="111"/>
      <c r="E1440" s="111"/>
      <c r="F1440" s="111"/>
      <c r="G1440" s="111"/>
    </row>
    <row r="1441" spans="1:7">
      <c r="A1441" s="106"/>
      <c r="B1441" s="111"/>
      <c r="C1441" s="111"/>
      <c r="D1441" s="111"/>
      <c r="E1441" s="111"/>
      <c r="F1441" s="111"/>
      <c r="G1441" s="111"/>
    </row>
    <row r="1442" spans="1:7">
      <c r="A1442" s="106"/>
      <c r="B1442" s="111"/>
      <c r="C1442" s="111"/>
      <c r="D1442" s="111"/>
      <c r="E1442" s="111"/>
      <c r="F1442" s="111"/>
      <c r="G1442" s="111"/>
    </row>
    <row r="1443" spans="1:7">
      <c r="A1443" s="106"/>
      <c r="B1443" s="111"/>
      <c r="C1443" s="111"/>
      <c r="D1443" s="111"/>
      <c r="E1443" s="111"/>
      <c r="F1443" s="111"/>
      <c r="G1443" s="111"/>
    </row>
    <row r="1444" spans="1:7">
      <c r="A1444" s="106"/>
      <c r="B1444" s="111"/>
      <c r="C1444" s="111"/>
      <c r="D1444" s="111"/>
      <c r="E1444" s="111"/>
      <c r="F1444" s="111"/>
      <c r="G1444" s="111"/>
    </row>
    <row r="1445" spans="1:7">
      <c r="A1445" s="106"/>
      <c r="B1445" s="111"/>
      <c r="C1445" s="111"/>
      <c r="D1445" s="111"/>
      <c r="E1445" s="111"/>
      <c r="F1445" s="111"/>
      <c r="G1445" s="111"/>
    </row>
    <row r="1446" spans="1:7">
      <c r="A1446" s="106"/>
      <c r="B1446" s="111"/>
      <c r="C1446" s="111"/>
      <c r="D1446" s="111"/>
      <c r="E1446" s="111"/>
      <c r="F1446" s="111"/>
      <c r="G1446" s="111"/>
    </row>
    <row r="1447" spans="1:7">
      <c r="A1447" s="106"/>
      <c r="B1447" s="111"/>
      <c r="C1447" s="111"/>
      <c r="D1447" s="111"/>
      <c r="E1447" s="111"/>
      <c r="F1447" s="111"/>
      <c r="G1447" s="111"/>
    </row>
    <row r="1448" spans="1:7">
      <c r="A1448" s="106"/>
      <c r="B1448" s="111"/>
      <c r="C1448" s="111"/>
      <c r="D1448" s="111"/>
      <c r="E1448" s="111"/>
      <c r="F1448" s="111"/>
      <c r="G1448" s="111"/>
    </row>
    <row r="1449" spans="1:7">
      <c r="A1449" s="106"/>
      <c r="B1449" s="111"/>
      <c r="C1449" s="111"/>
      <c r="D1449" s="111"/>
      <c r="E1449" s="111"/>
      <c r="F1449" s="111"/>
      <c r="G1449" s="111"/>
    </row>
    <row r="1450" spans="1:7">
      <c r="A1450" s="106"/>
      <c r="B1450" s="111"/>
      <c r="C1450" s="111"/>
      <c r="D1450" s="111"/>
      <c r="E1450" s="111"/>
      <c r="F1450" s="111"/>
      <c r="G1450" s="111"/>
    </row>
    <row r="1451" spans="1:7">
      <c r="A1451" s="106"/>
      <c r="B1451" s="111"/>
      <c r="C1451" s="111"/>
      <c r="D1451" s="111"/>
      <c r="E1451" s="111"/>
      <c r="F1451" s="111"/>
      <c r="G1451" s="111"/>
    </row>
    <row r="1452" spans="1:7">
      <c r="A1452" s="106"/>
      <c r="B1452" s="111"/>
      <c r="C1452" s="111"/>
      <c r="D1452" s="111"/>
      <c r="E1452" s="111"/>
      <c r="F1452" s="111"/>
      <c r="G1452" s="111"/>
    </row>
    <row r="1453" spans="1:7">
      <c r="A1453" s="106"/>
      <c r="B1453" s="111"/>
      <c r="C1453" s="111"/>
      <c r="D1453" s="111"/>
      <c r="E1453" s="111"/>
      <c r="F1453" s="111"/>
      <c r="G1453" s="111"/>
    </row>
    <row r="1454" spans="1:7">
      <c r="A1454" s="106"/>
      <c r="B1454" s="111"/>
      <c r="C1454" s="111"/>
      <c r="D1454" s="111"/>
      <c r="E1454" s="111"/>
      <c r="F1454" s="111"/>
      <c r="G1454" s="111"/>
    </row>
    <row r="1455" spans="1:7">
      <c r="A1455" s="106"/>
      <c r="B1455" s="111"/>
      <c r="C1455" s="111"/>
      <c r="D1455" s="111"/>
      <c r="E1455" s="111"/>
      <c r="F1455" s="111"/>
      <c r="G1455" s="111"/>
    </row>
    <row r="1456" spans="1:7">
      <c r="A1456" s="106"/>
      <c r="B1456" s="111"/>
      <c r="C1456" s="111"/>
      <c r="D1456" s="111"/>
      <c r="E1456" s="111"/>
      <c r="F1456" s="111"/>
      <c r="G1456" s="111"/>
    </row>
    <row r="1457" spans="1:7">
      <c r="A1457" s="106"/>
      <c r="B1457" s="111"/>
      <c r="C1457" s="111"/>
      <c r="D1457" s="111"/>
      <c r="E1457" s="111"/>
      <c r="F1457" s="111"/>
      <c r="G1457" s="111"/>
    </row>
    <row r="1458" spans="1:7">
      <c r="A1458" s="106"/>
      <c r="B1458" s="111"/>
      <c r="C1458" s="111"/>
      <c r="D1458" s="111"/>
      <c r="E1458" s="111"/>
      <c r="F1458" s="111"/>
      <c r="G1458" s="111"/>
    </row>
    <row r="1459" spans="1:7">
      <c r="A1459" s="106"/>
      <c r="B1459" s="111"/>
      <c r="C1459" s="111"/>
      <c r="D1459" s="111"/>
      <c r="E1459" s="111"/>
      <c r="F1459" s="111"/>
      <c r="G1459" s="111"/>
    </row>
    <row r="1460" spans="1:7">
      <c r="A1460" s="106"/>
      <c r="B1460" s="111"/>
      <c r="C1460" s="111"/>
      <c r="D1460" s="111"/>
      <c r="E1460" s="111"/>
      <c r="F1460" s="111"/>
      <c r="G1460" s="111"/>
    </row>
    <row r="1461" spans="1:7">
      <c r="A1461" s="106"/>
      <c r="B1461" s="111"/>
      <c r="C1461" s="111"/>
      <c r="D1461" s="111"/>
      <c r="E1461" s="111"/>
      <c r="F1461" s="111"/>
      <c r="G1461" s="111"/>
    </row>
    <row r="1462" spans="1:7">
      <c r="A1462" s="106"/>
      <c r="B1462" s="111"/>
      <c r="C1462" s="111"/>
      <c r="D1462" s="111"/>
      <c r="E1462" s="111"/>
      <c r="F1462" s="111"/>
      <c r="G1462" s="111"/>
    </row>
    <row r="1463" spans="1:7">
      <c r="A1463" s="106"/>
      <c r="B1463" s="111"/>
      <c r="C1463" s="111"/>
      <c r="D1463" s="111"/>
      <c r="E1463" s="111"/>
      <c r="F1463" s="111"/>
      <c r="G1463" s="111"/>
    </row>
    <row r="1464" spans="1:7">
      <c r="A1464" s="106"/>
      <c r="B1464" s="111"/>
      <c r="C1464" s="111"/>
      <c r="D1464" s="111"/>
      <c r="E1464" s="111"/>
      <c r="F1464" s="111"/>
      <c r="G1464" s="111"/>
    </row>
    <row r="1465" spans="1:7">
      <c r="A1465" s="106"/>
      <c r="B1465" s="111"/>
      <c r="C1465" s="111"/>
      <c r="D1465" s="111"/>
      <c r="E1465" s="111"/>
      <c r="F1465" s="111"/>
      <c r="G1465" s="111"/>
    </row>
    <row r="1466" spans="1:7">
      <c r="A1466" s="106"/>
      <c r="B1466" s="111"/>
      <c r="C1466" s="111"/>
      <c r="D1466" s="111"/>
      <c r="E1466" s="111"/>
      <c r="F1466" s="111"/>
      <c r="G1466" s="111"/>
    </row>
    <row r="1467" spans="1:7">
      <c r="A1467" s="106"/>
      <c r="B1467" s="111"/>
      <c r="C1467" s="111"/>
      <c r="D1467" s="111"/>
      <c r="E1467" s="111"/>
      <c r="F1467" s="111"/>
      <c r="G1467" s="111"/>
    </row>
    <row r="1468" spans="1:7">
      <c r="A1468" s="106"/>
      <c r="B1468" s="111"/>
      <c r="C1468" s="111"/>
      <c r="D1468" s="111"/>
      <c r="E1468" s="111"/>
      <c r="F1468" s="111"/>
      <c r="G1468" s="111"/>
    </row>
    <row r="1469" spans="1:7">
      <c r="A1469" s="106"/>
      <c r="B1469" s="111"/>
      <c r="C1469" s="111"/>
      <c r="D1469" s="111"/>
      <c r="E1469" s="111"/>
      <c r="F1469" s="111"/>
      <c r="G1469" s="111"/>
    </row>
    <row r="1470" spans="1:7">
      <c r="A1470" s="106"/>
      <c r="B1470" s="111"/>
      <c r="C1470" s="111"/>
      <c r="D1470" s="111"/>
      <c r="E1470" s="111"/>
      <c r="F1470" s="111"/>
      <c r="G1470" s="111"/>
    </row>
    <row r="1471" spans="1:7">
      <c r="A1471" s="106"/>
      <c r="B1471" s="111"/>
      <c r="C1471" s="111"/>
      <c r="D1471" s="111"/>
      <c r="E1471" s="111"/>
      <c r="F1471" s="111"/>
      <c r="G1471" s="111"/>
    </row>
    <row r="1472" spans="1:7">
      <c r="A1472" s="106"/>
      <c r="B1472" s="111"/>
      <c r="C1472" s="111"/>
      <c r="D1472" s="111"/>
      <c r="E1472" s="111"/>
      <c r="F1472" s="111"/>
      <c r="G1472" s="111"/>
    </row>
    <row r="1473" spans="1:7">
      <c r="A1473" s="106"/>
      <c r="B1473" s="111"/>
      <c r="C1473" s="111"/>
      <c r="D1473" s="111"/>
      <c r="E1473" s="111"/>
      <c r="F1473" s="111"/>
      <c r="G1473" s="111"/>
    </row>
    <row r="1474" spans="1:7">
      <c r="A1474" s="106"/>
      <c r="B1474" s="111"/>
      <c r="C1474" s="111"/>
      <c r="D1474" s="111"/>
      <c r="E1474" s="111"/>
      <c r="F1474" s="111"/>
      <c r="G1474" s="111"/>
    </row>
    <row r="1475" spans="1:7">
      <c r="A1475" s="106"/>
      <c r="B1475" s="111"/>
      <c r="C1475" s="111"/>
      <c r="D1475" s="111"/>
      <c r="E1475" s="111"/>
      <c r="F1475" s="111"/>
      <c r="G1475" s="111"/>
    </row>
    <row r="1476" spans="1:7">
      <c r="A1476" s="106"/>
      <c r="B1476" s="111"/>
      <c r="C1476" s="111"/>
      <c r="D1476" s="111"/>
      <c r="E1476" s="111"/>
      <c r="F1476" s="111"/>
      <c r="G1476" s="111"/>
    </row>
    <row r="1477" spans="1:7">
      <c r="A1477" s="106"/>
      <c r="B1477" s="111"/>
      <c r="C1477" s="111"/>
      <c r="D1477" s="111"/>
      <c r="E1477" s="111"/>
      <c r="F1477" s="111"/>
      <c r="G1477" s="111"/>
    </row>
    <row r="1478" spans="1:7">
      <c r="A1478" s="106"/>
      <c r="B1478" s="111"/>
      <c r="C1478" s="111"/>
      <c r="D1478" s="111"/>
      <c r="E1478" s="111"/>
      <c r="F1478" s="111"/>
      <c r="G1478" s="111"/>
    </row>
    <row r="1479" spans="1:7">
      <c r="A1479" s="106"/>
      <c r="B1479" s="111"/>
      <c r="C1479" s="111"/>
      <c r="D1479" s="111"/>
      <c r="E1479" s="111"/>
      <c r="F1479" s="111"/>
      <c r="G1479" s="111"/>
    </row>
    <row r="1480" spans="1:7">
      <c r="A1480" s="106"/>
      <c r="B1480" s="111"/>
      <c r="C1480" s="111"/>
      <c r="D1480" s="111"/>
      <c r="E1480" s="111"/>
      <c r="F1480" s="111"/>
      <c r="G1480" s="111"/>
    </row>
    <row r="1481" spans="1:7">
      <c r="A1481" s="106"/>
      <c r="B1481" s="111"/>
      <c r="C1481" s="111"/>
      <c r="D1481" s="111"/>
      <c r="E1481" s="111"/>
      <c r="F1481" s="111"/>
      <c r="G1481" s="111"/>
    </row>
    <row r="1482" spans="1:7">
      <c r="A1482" s="106"/>
      <c r="B1482" s="111"/>
      <c r="C1482" s="111"/>
      <c r="D1482" s="111"/>
      <c r="E1482" s="111"/>
      <c r="F1482" s="111"/>
      <c r="G1482" s="111"/>
    </row>
    <row r="1483" spans="1:7">
      <c r="A1483" s="106"/>
      <c r="B1483" s="111"/>
      <c r="C1483" s="111"/>
      <c r="D1483" s="111"/>
      <c r="E1483" s="111"/>
      <c r="F1483" s="111"/>
      <c r="G1483" s="111"/>
    </row>
    <row r="1484" spans="1:7">
      <c r="A1484" s="106"/>
      <c r="B1484" s="111"/>
      <c r="C1484" s="111"/>
      <c r="D1484" s="111"/>
      <c r="E1484" s="111"/>
      <c r="F1484" s="111"/>
      <c r="G1484" s="111"/>
    </row>
    <row r="1485" spans="1:7">
      <c r="A1485" s="106"/>
      <c r="B1485" s="111"/>
      <c r="C1485" s="111"/>
      <c r="D1485" s="111"/>
      <c r="E1485" s="111"/>
      <c r="F1485" s="111"/>
      <c r="G1485" s="111"/>
    </row>
    <row r="1486" spans="1:7">
      <c r="A1486" s="106"/>
      <c r="B1486" s="111"/>
      <c r="C1486" s="111"/>
      <c r="D1486" s="111"/>
      <c r="E1486" s="111"/>
      <c r="F1486" s="111"/>
      <c r="G1486" s="111"/>
    </row>
    <row r="1487" spans="1:7">
      <c r="A1487" s="106"/>
      <c r="B1487" s="111"/>
      <c r="C1487" s="111"/>
      <c r="D1487" s="111"/>
      <c r="E1487" s="111"/>
      <c r="F1487" s="111"/>
      <c r="G1487" s="111"/>
    </row>
    <row r="1488" spans="1:7">
      <c r="A1488" s="106"/>
      <c r="B1488" s="111"/>
      <c r="C1488" s="111"/>
      <c r="D1488" s="111"/>
      <c r="E1488" s="111"/>
      <c r="F1488" s="111"/>
      <c r="G1488" s="111"/>
    </row>
    <row r="1489" spans="1:7">
      <c r="A1489" s="106"/>
      <c r="B1489" s="111"/>
      <c r="C1489" s="111"/>
      <c r="D1489" s="111"/>
      <c r="E1489" s="111"/>
      <c r="F1489" s="111"/>
      <c r="G1489" s="111"/>
    </row>
    <row r="1490" spans="1:7">
      <c r="A1490" s="106"/>
      <c r="B1490" s="111"/>
      <c r="C1490" s="111"/>
      <c r="D1490" s="111"/>
      <c r="E1490" s="111"/>
      <c r="F1490" s="111"/>
      <c r="G1490" s="111"/>
    </row>
    <row r="1491" spans="1:7">
      <c r="A1491" s="106"/>
      <c r="B1491" s="111"/>
      <c r="C1491" s="111"/>
      <c r="D1491" s="111"/>
      <c r="E1491" s="111"/>
      <c r="F1491" s="111"/>
      <c r="G1491" s="111"/>
    </row>
    <row r="1492" spans="1:7">
      <c r="A1492" s="106"/>
      <c r="B1492" s="111"/>
      <c r="C1492" s="111"/>
      <c r="D1492" s="111"/>
      <c r="E1492" s="111"/>
      <c r="F1492" s="111"/>
      <c r="G1492" s="111"/>
    </row>
    <row r="1493" spans="1:7">
      <c r="A1493" s="106"/>
      <c r="B1493" s="111"/>
      <c r="C1493" s="111"/>
      <c r="D1493" s="111"/>
      <c r="E1493" s="111"/>
      <c r="F1493" s="111"/>
      <c r="G1493" s="111"/>
    </row>
    <row r="1494" spans="1:7">
      <c r="A1494" s="106"/>
      <c r="B1494" s="111"/>
      <c r="C1494" s="111"/>
      <c r="D1494" s="111"/>
      <c r="E1494" s="111"/>
      <c r="F1494" s="111"/>
      <c r="G1494" s="111"/>
    </row>
    <row r="1495" spans="1:7">
      <c r="A1495" s="106"/>
      <c r="B1495" s="111"/>
      <c r="C1495" s="111"/>
      <c r="D1495" s="111"/>
      <c r="E1495" s="111"/>
      <c r="F1495" s="111"/>
      <c r="G1495" s="111"/>
    </row>
    <row r="1496" spans="1:7">
      <c r="A1496" s="106"/>
      <c r="B1496" s="111"/>
      <c r="C1496" s="111"/>
      <c r="D1496" s="111"/>
      <c r="E1496" s="111"/>
      <c r="F1496" s="111"/>
      <c r="G1496" s="111"/>
    </row>
    <row r="1497" spans="1:7">
      <c r="A1497" s="106"/>
      <c r="B1497" s="111"/>
      <c r="C1497" s="111"/>
      <c r="D1497" s="111"/>
      <c r="E1497" s="111"/>
      <c r="F1497" s="111"/>
      <c r="G1497" s="111"/>
    </row>
    <row r="1498" spans="1:7">
      <c r="A1498" s="106"/>
      <c r="B1498" s="111"/>
      <c r="C1498" s="111"/>
      <c r="D1498" s="111"/>
      <c r="E1498" s="111"/>
      <c r="F1498" s="111"/>
      <c r="G1498" s="111"/>
    </row>
    <row r="1499" spans="1:7">
      <c r="A1499" s="106"/>
      <c r="B1499" s="111"/>
      <c r="C1499" s="111"/>
      <c r="D1499" s="111"/>
      <c r="E1499" s="111"/>
      <c r="F1499" s="111"/>
      <c r="G1499" s="111"/>
    </row>
    <row r="1500" spans="1:7">
      <c r="A1500" s="106"/>
      <c r="B1500" s="111"/>
      <c r="C1500" s="111"/>
      <c r="D1500" s="111"/>
      <c r="E1500" s="111"/>
      <c r="F1500" s="111"/>
      <c r="G1500" s="111"/>
    </row>
    <row r="1501" spans="1:7">
      <c r="A1501" s="106"/>
      <c r="B1501" s="111"/>
      <c r="C1501" s="111"/>
      <c r="D1501" s="111"/>
      <c r="E1501" s="111"/>
      <c r="F1501" s="111"/>
      <c r="G1501" s="111"/>
    </row>
    <row r="1502" spans="1:7">
      <c r="A1502" s="106"/>
      <c r="B1502" s="111"/>
      <c r="C1502" s="111"/>
      <c r="D1502" s="111"/>
      <c r="E1502" s="111"/>
      <c r="F1502" s="111"/>
      <c r="G1502" s="111"/>
    </row>
    <row r="1503" spans="1:7">
      <c r="A1503" s="106"/>
      <c r="B1503" s="111"/>
      <c r="C1503" s="111"/>
      <c r="D1503" s="111"/>
      <c r="E1503" s="111"/>
      <c r="F1503" s="111"/>
      <c r="G1503" s="111"/>
    </row>
    <row r="1504" spans="1:7">
      <c r="A1504" s="106"/>
      <c r="B1504" s="111"/>
      <c r="C1504" s="111"/>
      <c r="D1504" s="111"/>
      <c r="E1504" s="111"/>
      <c r="F1504" s="111"/>
      <c r="G1504" s="111"/>
    </row>
    <row r="1505" spans="1:7">
      <c r="A1505" s="106"/>
      <c r="B1505" s="111"/>
      <c r="C1505" s="111"/>
      <c r="D1505" s="111"/>
      <c r="E1505" s="111"/>
      <c r="F1505" s="111"/>
      <c r="G1505" s="111"/>
    </row>
    <row r="1506" spans="1:7">
      <c r="A1506" s="106"/>
      <c r="B1506" s="111"/>
      <c r="C1506" s="111"/>
      <c r="D1506" s="111"/>
      <c r="E1506" s="111"/>
      <c r="F1506" s="111"/>
      <c r="G1506" s="111"/>
    </row>
    <row r="1507" spans="1:7">
      <c r="A1507" s="106"/>
      <c r="B1507" s="111"/>
      <c r="C1507" s="111"/>
      <c r="D1507" s="111"/>
      <c r="E1507" s="111"/>
      <c r="F1507" s="111"/>
      <c r="G1507" s="111"/>
    </row>
    <row r="1508" spans="1:7">
      <c r="A1508" s="106"/>
      <c r="B1508" s="111"/>
      <c r="C1508" s="111"/>
      <c r="D1508" s="111"/>
      <c r="E1508" s="111"/>
      <c r="F1508" s="111"/>
      <c r="G1508" s="111"/>
    </row>
    <row r="1509" spans="1:7">
      <c r="A1509" s="106"/>
      <c r="B1509" s="111"/>
      <c r="C1509" s="111"/>
      <c r="D1509" s="111"/>
      <c r="E1509" s="111"/>
      <c r="F1509" s="111"/>
      <c r="G1509" s="111"/>
    </row>
    <row r="1510" spans="1:7">
      <c r="A1510" s="106"/>
      <c r="B1510" s="111"/>
      <c r="C1510" s="111"/>
      <c r="D1510" s="111"/>
      <c r="E1510" s="111"/>
      <c r="F1510" s="111"/>
      <c r="G1510" s="111"/>
    </row>
    <row r="1511" spans="1:7">
      <c r="A1511" s="106"/>
      <c r="B1511" s="111"/>
      <c r="C1511" s="111"/>
      <c r="D1511" s="111"/>
      <c r="E1511" s="111"/>
      <c r="F1511" s="111"/>
      <c r="G1511" s="111"/>
    </row>
    <row r="1512" spans="1:7">
      <c r="A1512" s="106"/>
      <c r="B1512" s="111"/>
      <c r="C1512" s="111"/>
      <c r="D1512" s="111"/>
      <c r="E1512" s="111"/>
      <c r="F1512" s="111"/>
      <c r="G1512" s="111"/>
    </row>
    <row r="1513" spans="1:7">
      <c r="A1513" s="106"/>
      <c r="B1513" s="111"/>
      <c r="C1513" s="111"/>
      <c r="D1513" s="111"/>
      <c r="E1513" s="111"/>
      <c r="F1513" s="111"/>
      <c r="G1513" s="111"/>
    </row>
    <row r="1514" spans="1:7">
      <c r="A1514" s="106"/>
      <c r="B1514" s="111"/>
      <c r="C1514" s="111"/>
      <c r="D1514" s="111"/>
      <c r="E1514" s="111"/>
      <c r="F1514" s="111"/>
      <c r="G1514" s="111"/>
    </row>
    <row r="1515" spans="1:7">
      <c r="A1515" s="106"/>
      <c r="B1515" s="111"/>
      <c r="C1515" s="111"/>
      <c r="D1515" s="111"/>
      <c r="E1515" s="111"/>
      <c r="F1515" s="111"/>
      <c r="G1515" s="111"/>
    </row>
    <row r="1516" spans="1:7">
      <c r="A1516" s="106"/>
      <c r="B1516" s="111"/>
      <c r="C1516" s="111"/>
      <c r="D1516" s="111"/>
      <c r="E1516" s="111"/>
      <c r="F1516" s="111"/>
      <c r="G1516" s="111"/>
    </row>
    <row r="1517" spans="1:7">
      <c r="A1517" s="106"/>
      <c r="B1517" s="111"/>
      <c r="C1517" s="111"/>
      <c r="D1517" s="111"/>
      <c r="E1517" s="111"/>
      <c r="F1517" s="111"/>
      <c r="G1517" s="111"/>
    </row>
    <row r="1518" spans="1:7">
      <c r="A1518" s="106"/>
      <c r="B1518" s="111"/>
      <c r="C1518" s="111"/>
      <c r="D1518" s="111"/>
      <c r="E1518" s="111"/>
      <c r="F1518" s="111"/>
      <c r="G1518" s="111"/>
    </row>
    <row r="1519" spans="1:7">
      <c r="A1519" s="106"/>
      <c r="B1519" s="111"/>
      <c r="C1519" s="111"/>
      <c r="D1519" s="111"/>
      <c r="E1519" s="111"/>
      <c r="F1519" s="111"/>
      <c r="G1519" s="111"/>
    </row>
    <row r="1520" spans="1:7">
      <c r="A1520" s="106"/>
      <c r="B1520" s="111"/>
      <c r="C1520" s="111"/>
      <c r="D1520" s="111"/>
      <c r="E1520" s="111"/>
      <c r="F1520" s="111"/>
      <c r="G1520" s="111"/>
    </row>
    <row r="1521" spans="1:7">
      <c r="A1521" s="106"/>
      <c r="B1521" s="111"/>
      <c r="C1521" s="111"/>
      <c r="D1521" s="111"/>
      <c r="E1521" s="111"/>
      <c r="F1521" s="111"/>
      <c r="G1521" s="111"/>
    </row>
    <row r="1522" spans="1:7">
      <c r="A1522" s="106"/>
      <c r="B1522" s="111"/>
      <c r="C1522" s="111"/>
      <c r="D1522" s="111"/>
      <c r="E1522" s="111"/>
      <c r="F1522" s="111"/>
      <c r="G1522" s="111"/>
    </row>
    <row r="1523" spans="1:7">
      <c r="A1523" s="106"/>
      <c r="B1523" s="111"/>
      <c r="C1523" s="111"/>
      <c r="D1523" s="111"/>
      <c r="E1523" s="111"/>
      <c r="F1523" s="111"/>
      <c r="G1523" s="111"/>
    </row>
    <row r="1524" spans="1:7">
      <c r="A1524" s="106"/>
      <c r="B1524" s="111"/>
      <c r="C1524" s="111"/>
      <c r="D1524" s="111"/>
      <c r="E1524" s="111"/>
      <c r="F1524" s="111"/>
      <c r="G1524" s="111"/>
    </row>
    <row r="1525" spans="1:7">
      <c r="A1525" s="106"/>
      <c r="B1525" s="111"/>
      <c r="C1525" s="111"/>
      <c r="D1525" s="111"/>
      <c r="E1525" s="111"/>
      <c r="F1525" s="111"/>
      <c r="G1525" s="111"/>
    </row>
    <row r="1526" spans="1:7">
      <c r="A1526" s="106"/>
      <c r="B1526" s="111"/>
      <c r="C1526" s="111"/>
      <c r="D1526" s="111"/>
      <c r="E1526" s="111"/>
      <c r="F1526" s="111"/>
      <c r="G1526" s="111"/>
    </row>
    <row r="1527" spans="1:7">
      <c r="A1527" s="106"/>
      <c r="B1527" s="111"/>
      <c r="C1527" s="111"/>
      <c r="D1527" s="111"/>
      <c r="E1527" s="111"/>
      <c r="F1527" s="111"/>
      <c r="G1527" s="111"/>
    </row>
    <row r="1528" spans="1:7">
      <c r="A1528" s="106"/>
      <c r="B1528" s="111"/>
      <c r="C1528" s="111"/>
      <c r="D1528" s="111"/>
      <c r="E1528" s="111"/>
      <c r="F1528" s="111"/>
      <c r="G1528" s="111"/>
    </row>
    <row r="1529" spans="1:7">
      <c r="A1529" s="106"/>
      <c r="B1529" s="111"/>
      <c r="C1529" s="111"/>
      <c r="D1529" s="111"/>
      <c r="E1529" s="111"/>
      <c r="F1529" s="111"/>
      <c r="G1529" s="111"/>
    </row>
    <row r="1530" spans="1:7">
      <c r="A1530" s="106"/>
      <c r="B1530" s="111"/>
      <c r="C1530" s="111"/>
      <c r="D1530" s="111"/>
      <c r="E1530" s="111"/>
      <c r="F1530" s="111"/>
      <c r="G1530" s="111"/>
    </row>
    <row r="1531" spans="1:7">
      <c r="A1531" s="106"/>
      <c r="B1531" s="111"/>
      <c r="C1531" s="111"/>
      <c r="D1531" s="111"/>
      <c r="E1531" s="111"/>
      <c r="F1531" s="111"/>
      <c r="G1531" s="111"/>
    </row>
    <row r="1532" spans="1:7">
      <c r="A1532" s="106"/>
      <c r="B1532" s="111"/>
      <c r="C1532" s="111"/>
      <c r="D1532" s="111"/>
      <c r="E1532" s="111"/>
      <c r="F1532" s="111"/>
      <c r="G1532" s="111"/>
    </row>
    <row r="1533" spans="1:7">
      <c r="A1533" s="106"/>
      <c r="B1533" s="111"/>
      <c r="C1533" s="111"/>
      <c r="D1533" s="111"/>
      <c r="E1533" s="111"/>
      <c r="F1533" s="111"/>
      <c r="G1533" s="111"/>
    </row>
    <row r="1534" spans="1:7">
      <c r="A1534" s="106"/>
      <c r="B1534" s="111"/>
      <c r="C1534" s="111"/>
      <c r="D1534" s="111"/>
      <c r="E1534" s="111"/>
      <c r="F1534" s="111"/>
      <c r="G1534" s="111"/>
    </row>
    <row r="1535" spans="1:7">
      <c r="A1535" s="106"/>
      <c r="B1535" s="111"/>
      <c r="C1535" s="111"/>
      <c r="D1535" s="111"/>
      <c r="E1535" s="111"/>
      <c r="F1535" s="111"/>
      <c r="G1535" s="111"/>
    </row>
    <row r="1536" spans="1:7">
      <c r="A1536" s="106"/>
      <c r="B1536" s="111"/>
      <c r="C1536" s="111"/>
      <c r="D1536" s="111"/>
      <c r="E1536" s="111"/>
      <c r="F1536" s="111"/>
      <c r="G1536" s="111"/>
    </row>
    <row r="1537" spans="1:7">
      <c r="A1537" s="106"/>
      <c r="B1537" s="111"/>
      <c r="C1537" s="111"/>
      <c r="D1537" s="111"/>
      <c r="E1537" s="111"/>
      <c r="F1537" s="111"/>
      <c r="G1537" s="111"/>
    </row>
    <row r="1538" spans="1:7">
      <c r="A1538" s="106"/>
      <c r="B1538" s="111"/>
      <c r="C1538" s="111"/>
      <c r="D1538" s="111"/>
      <c r="E1538" s="111"/>
      <c r="F1538" s="111"/>
      <c r="G1538" s="111"/>
    </row>
    <row r="1539" spans="1:7">
      <c r="A1539" s="106"/>
      <c r="B1539" s="111"/>
      <c r="C1539" s="111"/>
      <c r="D1539" s="111"/>
      <c r="E1539" s="111"/>
      <c r="F1539" s="111"/>
      <c r="G1539" s="111"/>
    </row>
    <row r="1540" spans="1:7">
      <c r="A1540" s="106"/>
      <c r="B1540" s="111"/>
      <c r="C1540" s="111"/>
      <c r="D1540" s="111"/>
      <c r="E1540" s="111"/>
      <c r="F1540" s="111"/>
      <c r="G1540" s="111"/>
    </row>
    <row r="1541" spans="1:7">
      <c r="A1541" s="106"/>
      <c r="B1541" s="111"/>
      <c r="C1541" s="111"/>
      <c r="D1541" s="111"/>
      <c r="E1541" s="111"/>
      <c r="F1541" s="111"/>
      <c r="G1541" s="111"/>
    </row>
    <row r="1542" spans="1:7">
      <c r="A1542" s="106"/>
      <c r="B1542" s="111"/>
      <c r="C1542" s="111"/>
      <c r="D1542" s="111"/>
      <c r="E1542" s="111"/>
      <c r="F1542" s="111"/>
      <c r="G1542" s="111"/>
    </row>
    <row r="1543" spans="1:7">
      <c r="A1543" s="106"/>
      <c r="B1543" s="111"/>
      <c r="C1543" s="111"/>
      <c r="D1543" s="111"/>
      <c r="E1543" s="111"/>
      <c r="F1543" s="111"/>
      <c r="G1543" s="111"/>
    </row>
    <row r="1544" spans="1:7">
      <c r="A1544" s="106"/>
      <c r="B1544" s="111"/>
      <c r="C1544" s="111"/>
      <c r="D1544" s="111"/>
      <c r="E1544" s="111"/>
      <c r="F1544" s="111"/>
      <c r="G1544" s="111"/>
    </row>
    <row r="1545" spans="1:7">
      <c r="A1545" s="106"/>
      <c r="B1545" s="111"/>
      <c r="C1545" s="111"/>
      <c r="D1545" s="111"/>
      <c r="E1545" s="111"/>
      <c r="F1545" s="111"/>
      <c r="G1545" s="111"/>
    </row>
    <row r="1546" spans="1:7">
      <c r="A1546" s="106"/>
      <c r="B1546" s="111"/>
      <c r="C1546" s="111"/>
      <c r="D1546" s="111"/>
      <c r="E1546" s="111"/>
      <c r="F1546" s="111"/>
      <c r="G1546" s="111"/>
    </row>
    <row r="1547" spans="1:7">
      <c r="A1547" s="106"/>
      <c r="B1547" s="111"/>
      <c r="C1547" s="111"/>
      <c r="D1547" s="111"/>
      <c r="E1547" s="111"/>
      <c r="F1547" s="111"/>
      <c r="G1547" s="111"/>
    </row>
    <row r="1548" spans="1:7">
      <c r="A1548" s="106"/>
      <c r="B1548" s="111"/>
      <c r="C1548" s="111"/>
      <c r="D1548" s="111"/>
      <c r="E1548" s="111"/>
      <c r="F1548" s="111"/>
      <c r="G1548" s="111"/>
    </row>
    <row r="1549" spans="1:7">
      <c r="A1549" s="106"/>
      <c r="B1549" s="111"/>
      <c r="C1549" s="111"/>
      <c r="D1549" s="111"/>
      <c r="E1549" s="111"/>
      <c r="F1549" s="111"/>
      <c r="G1549" s="111"/>
    </row>
    <row r="1550" spans="1:7">
      <c r="A1550" s="106"/>
      <c r="B1550" s="111"/>
      <c r="C1550" s="111"/>
      <c r="D1550" s="111"/>
      <c r="E1550" s="111"/>
      <c r="F1550" s="111"/>
      <c r="G1550" s="111"/>
    </row>
    <row r="1551" spans="1:7">
      <c r="A1551" s="106"/>
      <c r="B1551" s="111"/>
      <c r="C1551" s="111"/>
      <c r="D1551" s="111"/>
      <c r="E1551" s="111"/>
      <c r="F1551" s="111"/>
      <c r="G1551" s="111"/>
    </row>
    <row r="1552" spans="1:7">
      <c r="A1552" s="106"/>
      <c r="B1552" s="111"/>
      <c r="C1552" s="111"/>
      <c r="D1552" s="111"/>
      <c r="E1552" s="111"/>
      <c r="F1552" s="111"/>
      <c r="G1552" s="111"/>
    </row>
    <row r="1553" spans="1:7">
      <c r="A1553" s="106"/>
      <c r="B1553" s="111"/>
      <c r="C1553" s="111"/>
      <c r="D1553" s="111"/>
      <c r="E1553" s="111"/>
      <c r="F1553" s="111"/>
      <c r="G1553" s="111"/>
    </row>
    <row r="1554" spans="1:7">
      <c r="A1554" s="106"/>
      <c r="B1554" s="111"/>
      <c r="C1554" s="111"/>
      <c r="D1554" s="111"/>
      <c r="E1554" s="111"/>
      <c r="F1554" s="111"/>
      <c r="G1554" s="111"/>
    </row>
    <row r="1555" spans="1:7">
      <c r="A1555" s="106"/>
      <c r="B1555" s="111"/>
      <c r="C1555" s="111"/>
      <c r="D1555" s="111"/>
      <c r="E1555" s="111"/>
      <c r="F1555" s="111"/>
      <c r="G1555" s="111"/>
    </row>
    <row r="1556" spans="1:7">
      <c r="A1556" s="106"/>
      <c r="B1556" s="111"/>
      <c r="C1556" s="111"/>
      <c r="D1556" s="111"/>
      <c r="E1556" s="111"/>
      <c r="F1556" s="111"/>
      <c r="G1556" s="111"/>
    </row>
    <row r="1557" spans="1:7">
      <c r="A1557" s="106"/>
      <c r="B1557" s="111"/>
      <c r="C1557" s="111"/>
      <c r="D1557" s="111"/>
      <c r="E1557" s="111"/>
      <c r="F1557" s="111"/>
      <c r="G1557" s="111"/>
    </row>
    <row r="1558" spans="1:7">
      <c r="A1558" s="106"/>
      <c r="B1558" s="111"/>
      <c r="C1558" s="111"/>
      <c r="D1558" s="111"/>
      <c r="E1558" s="111"/>
      <c r="F1558" s="111"/>
      <c r="G1558" s="111"/>
    </row>
    <row r="1559" spans="1:7">
      <c r="A1559" s="106"/>
      <c r="B1559" s="111"/>
      <c r="C1559" s="111"/>
      <c r="D1559" s="111"/>
      <c r="E1559" s="111"/>
      <c r="F1559" s="111"/>
      <c r="G1559" s="111"/>
    </row>
    <row r="1560" spans="1:7">
      <c r="A1560" s="106"/>
      <c r="B1560" s="111"/>
      <c r="C1560" s="111"/>
      <c r="D1560" s="111"/>
      <c r="E1560" s="111"/>
      <c r="F1560" s="111"/>
      <c r="G1560" s="111"/>
    </row>
    <row r="1561" spans="1:7">
      <c r="A1561" s="106"/>
      <c r="B1561" s="111"/>
      <c r="C1561" s="111"/>
      <c r="D1561" s="111"/>
      <c r="E1561" s="111"/>
      <c r="F1561" s="111"/>
      <c r="G1561" s="111"/>
    </row>
    <row r="1562" spans="1:7">
      <c r="A1562" s="106"/>
      <c r="B1562" s="111"/>
      <c r="C1562" s="111"/>
      <c r="D1562" s="111"/>
      <c r="E1562" s="111"/>
      <c r="F1562" s="111"/>
      <c r="G1562" s="111"/>
    </row>
    <row r="1563" spans="1:7">
      <c r="A1563" s="106"/>
      <c r="B1563" s="111"/>
      <c r="C1563" s="111"/>
      <c r="D1563" s="111"/>
      <c r="E1563" s="111"/>
      <c r="F1563" s="111"/>
      <c r="G1563" s="111"/>
    </row>
    <row r="1564" spans="1:7">
      <c r="A1564" s="106"/>
      <c r="B1564" s="111"/>
      <c r="C1564" s="111"/>
      <c r="D1564" s="111"/>
      <c r="E1564" s="111"/>
      <c r="F1564" s="111"/>
      <c r="G1564" s="111"/>
    </row>
    <row r="1565" spans="1:7">
      <c r="A1565" s="106"/>
      <c r="B1565" s="111"/>
      <c r="C1565" s="111"/>
      <c r="D1565" s="111"/>
      <c r="E1565" s="111"/>
      <c r="F1565" s="111"/>
      <c r="G1565" s="111"/>
    </row>
    <row r="1566" spans="1:7">
      <c r="A1566" s="106"/>
      <c r="B1566" s="111"/>
      <c r="C1566" s="111"/>
      <c r="D1566" s="111"/>
      <c r="E1566" s="111"/>
      <c r="F1566" s="111"/>
      <c r="G1566" s="111"/>
    </row>
    <row r="1567" spans="1:7">
      <c r="A1567" s="106"/>
      <c r="B1567" s="111"/>
      <c r="C1567" s="111"/>
      <c r="D1567" s="111"/>
      <c r="E1567" s="111"/>
      <c r="F1567" s="111"/>
      <c r="G1567" s="111"/>
    </row>
    <row r="1568" spans="1:7">
      <c r="A1568" s="106"/>
      <c r="B1568" s="111"/>
      <c r="C1568" s="111"/>
      <c r="D1568" s="111"/>
      <c r="E1568" s="111"/>
      <c r="F1568" s="111"/>
      <c r="G1568" s="111"/>
    </row>
    <row r="1569" spans="1:7">
      <c r="A1569" s="106"/>
      <c r="B1569" s="111"/>
      <c r="C1569" s="111"/>
      <c r="D1569" s="111"/>
      <c r="E1569" s="111"/>
      <c r="F1569" s="111"/>
      <c r="G1569" s="111"/>
    </row>
    <row r="1570" spans="1:7">
      <c r="A1570" s="106"/>
      <c r="B1570" s="111"/>
      <c r="C1570" s="111"/>
      <c r="D1570" s="111"/>
      <c r="E1570" s="111"/>
      <c r="F1570" s="111"/>
      <c r="G1570" s="111"/>
    </row>
    <row r="1571" spans="1:7">
      <c r="A1571" s="106"/>
      <c r="B1571" s="111"/>
      <c r="C1571" s="111"/>
      <c r="D1571" s="111"/>
      <c r="E1571" s="111"/>
      <c r="F1571" s="111"/>
      <c r="G1571" s="111"/>
    </row>
    <row r="1572" spans="1:7">
      <c r="A1572" s="106"/>
      <c r="B1572" s="111"/>
      <c r="C1572" s="111"/>
      <c r="D1572" s="111"/>
      <c r="E1572" s="111"/>
      <c r="F1572" s="111"/>
      <c r="G1572" s="111"/>
    </row>
    <row r="1573" spans="1:7">
      <c r="A1573" s="106"/>
      <c r="B1573" s="111"/>
      <c r="C1573" s="111"/>
      <c r="D1573" s="111"/>
      <c r="E1573" s="111"/>
      <c r="F1573" s="111"/>
      <c r="G1573" s="111"/>
    </row>
    <row r="1574" spans="1:7">
      <c r="A1574" s="106"/>
      <c r="B1574" s="111"/>
      <c r="C1574" s="111"/>
      <c r="D1574" s="111"/>
      <c r="E1574" s="111"/>
      <c r="F1574" s="111"/>
      <c r="G1574" s="111"/>
    </row>
    <row r="1575" spans="1:7">
      <c r="A1575" s="106"/>
      <c r="B1575" s="111"/>
      <c r="C1575" s="111"/>
      <c r="D1575" s="111"/>
      <c r="E1575" s="111"/>
      <c r="F1575" s="111"/>
      <c r="G1575" s="111"/>
    </row>
    <row r="1576" spans="1:7">
      <c r="A1576" s="106"/>
      <c r="B1576" s="111"/>
      <c r="C1576" s="111"/>
      <c r="D1576" s="111"/>
      <c r="E1576" s="111"/>
      <c r="F1576" s="111"/>
      <c r="G1576" s="111"/>
    </row>
    <row r="1577" spans="1:7">
      <c r="A1577" s="106"/>
      <c r="B1577" s="111"/>
      <c r="C1577" s="111"/>
      <c r="D1577" s="111"/>
      <c r="E1577" s="111"/>
      <c r="F1577" s="111"/>
      <c r="G1577" s="111"/>
    </row>
    <row r="1578" spans="1:7">
      <c r="A1578" s="106"/>
      <c r="B1578" s="111"/>
      <c r="C1578" s="111"/>
      <c r="D1578" s="111"/>
      <c r="E1578" s="111"/>
      <c r="F1578" s="111"/>
      <c r="G1578" s="111"/>
    </row>
    <row r="1579" spans="1:7">
      <c r="A1579" s="106"/>
      <c r="B1579" s="111"/>
      <c r="C1579" s="111"/>
      <c r="D1579" s="111"/>
      <c r="E1579" s="111"/>
      <c r="F1579" s="111"/>
      <c r="G1579" s="111"/>
    </row>
    <row r="1580" spans="1:7">
      <c r="A1580" s="106"/>
      <c r="B1580" s="111"/>
      <c r="C1580" s="111"/>
      <c r="D1580" s="111"/>
      <c r="E1580" s="111"/>
      <c r="F1580" s="111"/>
      <c r="G1580" s="111"/>
    </row>
    <row r="1581" spans="1:7">
      <c r="A1581" s="106"/>
      <c r="B1581" s="111"/>
      <c r="C1581" s="111"/>
      <c r="D1581" s="111"/>
      <c r="E1581" s="111"/>
      <c r="F1581" s="111"/>
      <c r="G1581" s="111"/>
    </row>
    <row r="1582" spans="1:7">
      <c r="A1582" s="106"/>
      <c r="B1582" s="111"/>
      <c r="C1582" s="111"/>
      <c r="D1582" s="111"/>
      <c r="E1582" s="111"/>
      <c r="F1582" s="111"/>
      <c r="G1582" s="111"/>
    </row>
    <row r="1583" spans="1:7">
      <c r="A1583" s="106"/>
      <c r="B1583" s="111"/>
      <c r="C1583" s="111"/>
      <c r="D1583" s="111"/>
      <c r="E1583" s="111"/>
      <c r="F1583" s="111"/>
      <c r="G1583" s="111"/>
    </row>
    <row r="1584" spans="1:7">
      <c r="A1584" s="106"/>
      <c r="B1584" s="111"/>
      <c r="C1584" s="111"/>
      <c r="D1584" s="111"/>
      <c r="E1584" s="111"/>
      <c r="F1584" s="111"/>
      <c r="G1584" s="111"/>
    </row>
    <row r="1585" spans="1:7">
      <c r="A1585" s="106"/>
      <c r="B1585" s="111"/>
      <c r="C1585" s="111"/>
      <c r="D1585" s="111"/>
      <c r="E1585" s="111"/>
      <c r="F1585" s="111"/>
      <c r="G1585" s="111"/>
    </row>
    <row r="1586" spans="1:7">
      <c r="A1586" s="106"/>
      <c r="B1586" s="111"/>
      <c r="C1586" s="111"/>
      <c r="D1586" s="111"/>
      <c r="E1586" s="111"/>
      <c r="F1586" s="111"/>
      <c r="G1586" s="111"/>
    </row>
    <row r="1587" spans="1:7">
      <c r="A1587" s="106"/>
      <c r="B1587" s="111"/>
      <c r="C1587" s="111"/>
      <c r="D1587" s="111"/>
      <c r="E1587" s="111"/>
      <c r="F1587" s="111"/>
      <c r="G1587" s="111"/>
    </row>
    <row r="1588" spans="1:7">
      <c r="A1588" s="106"/>
      <c r="B1588" s="111"/>
      <c r="C1588" s="111"/>
      <c r="D1588" s="111"/>
      <c r="E1588" s="111"/>
      <c r="F1588" s="111"/>
      <c r="G1588" s="111"/>
    </row>
    <row r="1589" spans="1:7">
      <c r="A1589" s="106"/>
      <c r="B1589" s="111"/>
      <c r="C1589" s="111"/>
      <c r="D1589" s="111"/>
      <c r="E1589" s="111"/>
      <c r="F1589" s="111"/>
      <c r="G1589" s="111"/>
    </row>
    <row r="1590" spans="1:7">
      <c r="A1590" s="106"/>
      <c r="B1590" s="111"/>
      <c r="C1590" s="111"/>
      <c r="D1590" s="111"/>
      <c r="E1590" s="111"/>
      <c r="F1590" s="111"/>
      <c r="G1590" s="111"/>
    </row>
    <row r="1591" spans="1:7">
      <c r="A1591" s="106"/>
      <c r="B1591" s="111"/>
      <c r="C1591" s="111"/>
      <c r="D1591" s="111"/>
      <c r="E1591" s="111"/>
      <c r="F1591" s="111"/>
      <c r="G1591" s="111"/>
    </row>
    <row r="1592" spans="1:7">
      <c r="A1592" s="106"/>
      <c r="B1592" s="111"/>
      <c r="C1592" s="111"/>
      <c r="D1592" s="111"/>
      <c r="E1592" s="111"/>
      <c r="F1592" s="111"/>
      <c r="G1592" s="111"/>
    </row>
    <row r="1593" spans="1:7">
      <c r="A1593" s="106"/>
      <c r="B1593" s="111"/>
      <c r="C1593" s="111"/>
      <c r="D1593" s="111"/>
      <c r="E1593" s="111"/>
      <c r="F1593" s="111"/>
      <c r="G1593" s="111"/>
    </row>
    <row r="1594" spans="1:7">
      <c r="A1594" s="106"/>
      <c r="B1594" s="111"/>
      <c r="C1594" s="111"/>
      <c r="D1594" s="111"/>
      <c r="E1594" s="111"/>
      <c r="F1594" s="111"/>
      <c r="G1594" s="111"/>
    </row>
    <row r="1595" spans="1:7">
      <c r="A1595" s="106"/>
      <c r="B1595" s="111"/>
      <c r="C1595" s="111"/>
      <c r="D1595" s="111"/>
      <c r="E1595" s="111"/>
      <c r="F1595" s="111"/>
      <c r="G1595" s="111"/>
    </row>
    <row r="1596" spans="1:7">
      <c r="A1596" s="106"/>
      <c r="B1596" s="111"/>
      <c r="C1596" s="111"/>
      <c r="D1596" s="111"/>
      <c r="E1596" s="111"/>
      <c r="F1596" s="111"/>
      <c r="G1596" s="111"/>
    </row>
    <row r="1597" spans="1:7">
      <c r="A1597" s="106"/>
      <c r="B1597" s="111"/>
      <c r="C1597" s="111"/>
      <c r="D1597" s="111"/>
      <c r="E1597" s="111"/>
      <c r="F1597" s="111"/>
      <c r="G1597" s="111"/>
    </row>
    <row r="1598" spans="1:7">
      <c r="A1598" s="106"/>
      <c r="B1598" s="111"/>
      <c r="C1598" s="111"/>
      <c r="D1598" s="111"/>
      <c r="E1598" s="111"/>
      <c r="F1598" s="111"/>
      <c r="G1598" s="111"/>
    </row>
    <row r="1599" spans="1:7">
      <c r="A1599" s="106"/>
      <c r="B1599" s="111"/>
      <c r="C1599" s="111"/>
      <c r="D1599" s="111"/>
      <c r="E1599" s="111"/>
      <c r="F1599" s="111"/>
      <c r="G1599" s="111"/>
    </row>
    <row r="1600" spans="1:7">
      <c r="A1600" s="106"/>
      <c r="B1600" s="111"/>
      <c r="C1600" s="111"/>
      <c r="D1600" s="111"/>
      <c r="E1600" s="111"/>
      <c r="F1600" s="111"/>
      <c r="G1600" s="111"/>
    </row>
    <row r="1601" spans="1:7">
      <c r="A1601" s="106"/>
      <c r="B1601" s="111"/>
      <c r="C1601" s="111"/>
      <c r="D1601" s="111"/>
      <c r="E1601" s="111"/>
      <c r="F1601" s="111"/>
      <c r="G1601" s="111"/>
    </row>
    <row r="1602" spans="1:7">
      <c r="A1602" s="106"/>
      <c r="B1602" s="111"/>
      <c r="C1602" s="111"/>
      <c r="D1602" s="111"/>
      <c r="E1602" s="111"/>
      <c r="F1602" s="111"/>
      <c r="G1602" s="111"/>
    </row>
    <row r="1603" spans="1:7">
      <c r="A1603" s="106"/>
      <c r="B1603" s="111"/>
      <c r="C1603" s="111"/>
      <c r="D1603" s="111"/>
      <c r="E1603" s="111"/>
      <c r="F1603" s="111"/>
      <c r="G1603" s="111"/>
    </row>
    <row r="1604" spans="1:7">
      <c r="A1604" s="106"/>
      <c r="B1604" s="111"/>
      <c r="C1604" s="111"/>
      <c r="D1604" s="111"/>
      <c r="E1604" s="111"/>
      <c r="F1604" s="111"/>
      <c r="G1604" s="111"/>
    </row>
    <row r="1605" spans="1:7">
      <c r="A1605" s="106"/>
      <c r="B1605" s="111"/>
      <c r="C1605" s="111"/>
      <c r="D1605" s="111"/>
      <c r="E1605" s="111"/>
      <c r="F1605" s="111"/>
      <c r="G1605" s="111"/>
    </row>
    <row r="1606" spans="1:7">
      <c r="A1606" s="106"/>
      <c r="B1606" s="111"/>
      <c r="C1606" s="111"/>
      <c r="D1606" s="111"/>
      <c r="E1606" s="111"/>
      <c r="F1606" s="111"/>
      <c r="G1606" s="111"/>
    </row>
    <row r="1607" spans="1:7">
      <c r="A1607" s="106"/>
      <c r="B1607" s="111"/>
      <c r="C1607" s="111"/>
      <c r="D1607" s="111"/>
      <c r="E1607" s="111"/>
      <c r="F1607" s="111"/>
      <c r="G1607" s="111"/>
    </row>
    <row r="1608" spans="1:7">
      <c r="A1608" s="106"/>
      <c r="B1608" s="111"/>
      <c r="C1608" s="111"/>
      <c r="D1608" s="111"/>
      <c r="E1608" s="111"/>
      <c r="F1608" s="111"/>
      <c r="G1608" s="111"/>
    </row>
    <row r="1609" spans="1:7">
      <c r="A1609" s="106"/>
      <c r="B1609" s="111"/>
      <c r="C1609" s="111"/>
      <c r="D1609" s="111"/>
      <c r="E1609" s="111"/>
      <c r="F1609" s="111"/>
      <c r="G1609" s="111"/>
    </row>
    <row r="1610" spans="1:7">
      <c r="A1610" s="106"/>
      <c r="B1610" s="111"/>
      <c r="C1610" s="111"/>
      <c r="D1610" s="111"/>
      <c r="E1610" s="111"/>
      <c r="F1610" s="111"/>
      <c r="G1610" s="111"/>
    </row>
    <row r="1611" spans="1:7">
      <c r="A1611" s="106"/>
      <c r="B1611" s="111"/>
      <c r="C1611" s="111"/>
      <c r="D1611" s="111"/>
      <c r="E1611" s="111"/>
      <c r="F1611" s="111"/>
      <c r="G1611" s="111"/>
    </row>
    <row r="1612" spans="1:7">
      <c r="A1612" s="106"/>
      <c r="B1612" s="111"/>
      <c r="C1612" s="111"/>
      <c r="D1612" s="111"/>
      <c r="E1612" s="111"/>
      <c r="F1612" s="111"/>
      <c r="G1612" s="111"/>
    </row>
    <row r="1613" spans="1:7">
      <c r="A1613" s="106"/>
      <c r="B1613" s="111"/>
      <c r="C1613" s="111"/>
      <c r="D1613" s="111"/>
      <c r="E1613" s="111"/>
      <c r="F1613" s="111"/>
      <c r="G1613" s="111"/>
    </row>
    <row r="1614" spans="1:7">
      <c r="A1614" s="106"/>
      <c r="B1614" s="111"/>
      <c r="C1614" s="111"/>
      <c r="D1614" s="111"/>
      <c r="E1614" s="111"/>
      <c r="F1614" s="111"/>
      <c r="G1614" s="111"/>
    </row>
    <row r="1615" spans="1:7">
      <c r="A1615" s="106"/>
      <c r="B1615" s="111"/>
      <c r="C1615" s="111"/>
      <c r="D1615" s="111"/>
      <c r="E1615" s="111"/>
      <c r="F1615" s="111"/>
      <c r="G1615" s="111"/>
    </row>
    <row r="1616" spans="1:7">
      <c r="A1616" s="106"/>
      <c r="B1616" s="111"/>
      <c r="C1616" s="111"/>
      <c r="D1616" s="111"/>
      <c r="E1616" s="111"/>
      <c r="F1616" s="111"/>
      <c r="G1616" s="111"/>
    </row>
    <row r="1617" spans="1:7">
      <c r="A1617" s="106"/>
      <c r="B1617" s="111"/>
      <c r="C1617" s="111"/>
      <c r="D1617" s="111"/>
      <c r="E1617" s="111"/>
      <c r="F1617" s="111"/>
      <c r="G1617" s="111"/>
    </row>
    <row r="1618" spans="1:7">
      <c r="A1618" s="106"/>
      <c r="B1618" s="111"/>
      <c r="C1618" s="111"/>
      <c r="D1618" s="111"/>
      <c r="E1618" s="111"/>
      <c r="F1618" s="111"/>
      <c r="G1618" s="111"/>
    </row>
    <row r="1619" spans="1:7">
      <c r="A1619" s="106"/>
      <c r="B1619" s="111"/>
      <c r="C1619" s="111"/>
      <c r="D1619" s="111"/>
      <c r="E1619" s="111"/>
      <c r="F1619" s="111"/>
      <c r="G1619" s="111"/>
    </row>
    <row r="1620" spans="1:7">
      <c r="A1620" s="106"/>
      <c r="B1620" s="111"/>
      <c r="C1620" s="111"/>
      <c r="D1620" s="111"/>
      <c r="E1620" s="111"/>
      <c r="F1620" s="111"/>
      <c r="G1620" s="111"/>
    </row>
    <row r="1621" spans="1:7">
      <c r="A1621" s="106"/>
      <c r="B1621" s="111"/>
      <c r="C1621" s="111"/>
      <c r="D1621" s="111"/>
      <c r="E1621" s="111"/>
      <c r="F1621" s="111"/>
      <c r="G1621" s="111"/>
    </row>
    <row r="1622" spans="1:7">
      <c r="A1622" s="106"/>
      <c r="B1622" s="111"/>
      <c r="C1622" s="111"/>
      <c r="D1622" s="111"/>
      <c r="E1622" s="111"/>
      <c r="F1622" s="111"/>
      <c r="G1622" s="111"/>
    </row>
    <row r="1623" spans="1:7">
      <c r="A1623" s="106"/>
      <c r="B1623" s="111"/>
      <c r="C1623" s="111"/>
      <c r="D1623" s="111"/>
      <c r="E1623" s="111"/>
      <c r="F1623" s="111"/>
      <c r="G1623" s="111"/>
    </row>
    <row r="1624" spans="1:7">
      <c r="A1624" s="106"/>
      <c r="B1624" s="111"/>
      <c r="C1624" s="111"/>
      <c r="D1624" s="111"/>
      <c r="E1624" s="111"/>
      <c r="F1624" s="111"/>
      <c r="G1624" s="111"/>
    </row>
    <row r="1625" spans="1:7">
      <c r="A1625" s="106"/>
      <c r="B1625" s="111"/>
      <c r="C1625" s="111"/>
      <c r="D1625" s="111"/>
      <c r="E1625" s="111"/>
      <c r="F1625" s="111"/>
      <c r="G1625" s="111"/>
    </row>
    <row r="1626" spans="1:7">
      <c r="A1626" s="106"/>
      <c r="B1626" s="111"/>
      <c r="C1626" s="111"/>
      <c r="D1626" s="111"/>
      <c r="E1626" s="111"/>
      <c r="F1626" s="111"/>
      <c r="G1626" s="111"/>
    </row>
    <row r="1627" spans="1:7">
      <c r="A1627" s="106"/>
      <c r="B1627" s="111"/>
      <c r="C1627" s="111"/>
      <c r="D1627" s="111"/>
      <c r="E1627" s="111"/>
      <c r="F1627" s="111"/>
      <c r="G1627" s="111"/>
    </row>
    <row r="1628" spans="1:7">
      <c r="A1628" s="106"/>
      <c r="B1628" s="111"/>
      <c r="C1628" s="111"/>
      <c r="D1628" s="111"/>
      <c r="E1628" s="111"/>
      <c r="F1628" s="111"/>
      <c r="G1628" s="111"/>
    </row>
    <row r="1629" spans="1:7">
      <c r="A1629" s="106"/>
      <c r="B1629" s="111"/>
      <c r="C1629" s="111"/>
      <c r="D1629" s="111"/>
      <c r="E1629" s="111"/>
      <c r="F1629" s="111"/>
      <c r="G1629" s="111"/>
    </row>
    <row r="1630" spans="1:7">
      <c r="A1630" s="106"/>
      <c r="B1630" s="111"/>
      <c r="C1630" s="111"/>
      <c r="D1630" s="111"/>
      <c r="E1630" s="111"/>
      <c r="F1630" s="111"/>
      <c r="G1630" s="111"/>
    </row>
    <row r="1631" spans="1:7">
      <c r="A1631" s="106"/>
      <c r="B1631" s="111"/>
      <c r="C1631" s="111"/>
      <c r="D1631" s="111"/>
      <c r="E1631" s="111"/>
      <c r="F1631" s="111"/>
      <c r="G1631" s="111"/>
    </row>
    <row r="1632" spans="1:7">
      <c r="A1632" s="106"/>
      <c r="B1632" s="111"/>
      <c r="C1632" s="111"/>
      <c r="D1632" s="111"/>
      <c r="E1632" s="111"/>
      <c r="F1632" s="111"/>
      <c r="G1632" s="111"/>
    </row>
    <row r="1633" spans="1:7">
      <c r="A1633" s="106"/>
      <c r="B1633" s="111"/>
      <c r="C1633" s="111"/>
      <c r="D1633" s="111"/>
      <c r="E1633" s="111"/>
      <c r="F1633" s="111"/>
      <c r="G1633" s="111"/>
    </row>
    <row r="1634" spans="1:7">
      <c r="A1634" s="106"/>
      <c r="B1634" s="111"/>
      <c r="C1634" s="111"/>
      <c r="D1634" s="111"/>
      <c r="E1634" s="111"/>
      <c r="F1634" s="111"/>
      <c r="G1634" s="111"/>
    </row>
    <row r="1635" spans="1:7">
      <c r="A1635" s="106"/>
      <c r="B1635" s="111"/>
      <c r="C1635" s="111"/>
      <c r="D1635" s="111"/>
      <c r="E1635" s="111"/>
      <c r="F1635" s="111"/>
      <c r="G1635" s="111"/>
    </row>
    <row r="1636" spans="1:7">
      <c r="A1636" s="106"/>
      <c r="B1636" s="111"/>
      <c r="C1636" s="111"/>
      <c r="D1636" s="111"/>
      <c r="E1636" s="111"/>
      <c r="F1636" s="111"/>
      <c r="G1636" s="111"/>
    </row>
    <row r="1637" spans="1:7">
      <c r="A1637" s="106"/>
      <c r="B1637" s="111"/>
      <c r="C1637" s="111"/>
      <c r="D1637" s="111"/>
      <c r="E1637" s="111"/>
      <c r="F1637" s="111"/>
      <c r="G1637" s="111"/>
    </row>
    <row r="1638" spans="1:7">
      <c r="A1638" s="106"/>
      <c r="B1638" s="111"/>
      <c r="C1638" s="111"/>
      <c r="D1638" s="111"/>
      <c r="E1638" s="111"/>
      <c r="F1638" s="111"/>
      <c r="G1638" s="111"/>
    </row>
    <row r="1639" spans="1:7">
      <c r="A1639" s="106"/>
      <c r="B1639" s="111"/>
      <c r="C1639" s="111"/>
      <c r="D1639" s="111"/>
      <c r="E1639" s="111"/>
      <c r="F1639" s="111"/>
      <c r="G1639" s="111"/>
    </row>
    <row r="1640" spans="1:7">
      <c r="A1640" s="106"/>
      <c r="B1640" s="111"/>
      <c r="C1640" s="111"/>
      <c r="D1640" s="111"/>
      <c r="E1640" s="111"/>
      <c r="F1640" s="111"/>
      <c r="G1640" s="111"/>
    </row>
    <row r="1641" spans="1:7">
      <c r="A1641" s="106"/>
      <c r="B1641" s="111"/>
      <c r="C1641" s="111"/>
      <c r="D1641" s="111"/>
      <c r="E1641" s="111"/>
      <c r="F1641" s="111"/>
      <c r="G1641" s="111"/>
    </row>
    <row r="1642" spans="1:7">
      <c r="A1642" s="106"/>
      <c r="B1642" s="111"/>
      <c r="C1642" s="111"/>
      <c r="D1642" s="111"/>
      <c r="E1642" s="111"/>
      <c r="F1642" s="111"/>
      <c r="G1642" s="111"/>
    </row>
    <row r="1643" spans="1:7">
      <c r="A1643" s="106"/>
      <c r="B1643" s="111"/>
      <c r="C1643" s="111"/>
      <c r="D1643" s="111"/>
      <c r="E1643" s="111"/>
      <c r="F1643" s="111"/>
      <c r="G1643" s="111"/>
    </row>
    <row r="1644" spans="1:7">
      <c r="A1644" s="106"/>
      <c r="B1644" s="111"/>
      <c r="C1644" s="111"/>
      <c r="D1644" s="111"/>
      <c r="E1644" s="111"/>
      <c r="F1644" s="111"/>
      <c r="G1644" s="111"/>
    </row>
    <row r="1645" spans="1:7">
      <c r="A1645" s="106"/>
      <c r="B1645" s="111"/>
      <c r="C1645" s="111"/>
      <c r="D1645" s="111"/>
      <c r="E1645" s="111"/>
      <c r="F1645" s="111"/>
      <c r="G1645" s="111"/>
    </row>
    <row r="1646" spans="1:7">
      <c r="A1646" s="106"/>
      <c r="B1646" s="111"/>
      <c r="C1646" s="111"/>
      <c r="D1646" s="111"/>
      <c r="E1646" s="111"/>
      <c r="F1646" s="111"/>
      <c r="G1646" s="111"/>
    </row>
    <row r="1647" spans="1:7">
      <c r="A1647" s="106"/>
      <c r="B1647" s="111"/>
      <c r="C1647" s="111"/>
      <c r="D1647" s="111"/>
      <c r="E1647" s="111"/>
      <c r="F1647" s="111"/>
      <c r="G1647" s="111"/>
    </row>
    <row r="1648" spans="1:7">
      <c r="A1648" s="106"/>
      <c r="B1648" s="111"/>
      <c r="C1648" s="111"/>
      <c r="D1648" s="111"/>
      <c r="E1648" s="111"/>
      <c r="F1648" s="111"/>
      <c r="G1648" s="111"/>
    </row>
    <row r="1649" spans="1:7">
      <c r="A1649" s="106"/>
      <c r="B1649" s="111"/>
      <c r="C1649" s="111"/>
      <c r="D1649" s="111"/>
      <c r="E1649" s="111"/>
      <c r="F1649" s="111"/>
      <c r="G1649" s="111"/>
    </row>
    <row r="1650" spans="1:7">
      <c r="A1650" s="106"/>
      <c r="B1650" s="111"/>
      <c r="C1650" s="111"/>
      <c r="D1650" s="111"/>
      <c r="E1650" s="111"/>
      <c r="F1650" s="111"/>
      <c r="G1650" s="111"/>
    </row>
    <row r="1651" spans="1:7">
      <c r="A1651" s="106"/>
      <c r="B1651" s="111"/>
      <c r="C1651" s="111"/>
      <c r="D1651" s="111"/>
      <c r="E1651" s="111"/>
      <c r="F1651" s="111"/>
      <c r="G1651" s="111"/>
    </row>
    <row r="1652" spans="1:7">
      <c r="A1652" s="106"/>
      <c r="B1652" s="111"/>
      <c r="C1652" s="111"/>
      <c r="D1652" s="111"/>
      <c r="E1652" s="111"/>
      <c r="F1652" s="111"/>
      <c r="G1652" s="111"/>
    </row>
    <row r="1653" spans="1:7">
      <c r="A1653" s="106"/>
      <c r="B1653" s="111"/>
      <c r="C1653" s="111"/>
      <c r="D1653" s="111"/>
      <c r="E1653" s="111"/>
      <c r="F1653" s="111"/>
      <c r="G1653" s="111"/>
    </row>
    <row r="1654" spans="1:7">
      <c r="A1654" s="106"/>
      <c r="B1654" s="111"/>
      <c r="C1654" s="111"/>
      <c r="D1654" s="111"/>
      <c r="E1654" s="111"/>
      <c r="F1654" s="111"/>
      <c r="G1654" s="111"/>
    </row>
    <row r="1655" spans="1:7">
      <c r="A1655" s="106"/>
      <c r="B1655" s="111"/>
      <c r="C1655" s="111"/>
      <c r="D1655" s="111"/>
      <c r="E1655" s="111"/>
      <c r="F1655" s="111"/>
      <c r="G1655" s="111"/>
    </row>
    <row r="1656" spans="1:7">
      <c r="A1656" s="106"/>
      <c r="B1656" s="111"/>
      <c r="C1656" s="111"/>
      <c r="D1656" s="111"/>
      <c r="E1656" s="111"/>
      <c r="F1656" s="111"/>
      <c r="G1656" s="111"/>
    </row>
    <row r="1657" spans="1:7">
      <c r="A1657" s="106"/>
      <c r="B1657" s="111"/>
      <c r="C1657" s="111"/>
      <c r="D1657" s="111"/>
      <c r="E1657" s="111"/>
      <c r="F1657" s="111"/>
      <c r="G1657" s="111"/>
    </row>
    <row r="1658" spans="1:7">
      <c r="A1658" s="106"/>
      <c r="B1658" s="111"/>
      <c r="C1658" s="111"/>
      <c r="D1658" s="111"/>
      <c r="E1658" s="111"/>
      <c r="F1658" s="111"/>
      <c r="G1658" s="111"/>
    </row>
    <row r="1659" spans="1:7">
      <c r="A1659" s="106"/>
      <c r="B1659" s="111"/>
      <c r="C1659" s="111"/>
      <c r="D1659" s="111"/>
      <c r="E1659" s="111"/>
      <c r="F1659" s="111"/>
      <c r="G1659" s="111"/>
    </row>
    <row r="1660" spans="1:7">
      <c r="A1660" s="106"/>
      <c r="B1660" s="111"/>
      <c r="C1660" s="111"/>
      <c r="D1660" s="111"/>
      <c r="E1660" s="111"/>
      <c r="F1660" s="111"/>
      <c r="G1660" s="111"/>
    </row>
    <row r="1661" spans="1:7">
      <c r="A1661" s="106"/>
      <c r="B1661" s="111"/>
      <c r="C1661" s="111"/>
      <c r="D1661" s="111"/>
      <c r="E1661" s="111"/>
      <c r="F1661" s="111"/>
      <c r="G1661" s="111"/>
    </row>
    <row r="1662" spans="1:7">
      <c r="A1662" s="106"/>
      <c r="B1662" s="111"/>
      <c r="C1662" s="111"/>
      <c r="D1662" s="111"/>
      <c r="E1662" s="111"/>
      <c r="F1662" s="111"/>
      <c r="G1662" s="111"/>
    </row>
    <row r="1663" spans="1:7">
      <c r="A1663" s="106"/>
      <c r="B1663" s="111"/>
      <c r="C1663" s="111"/>
      <c r="D1663" s="111"/>
      <c r="E1663" s="111"/>
      <c r="F1663" s="111"/>
      <c r="G1663" s="111"/>
    </row>
    <row r="1664" spans="1:7">
      <c r="A1664" s="106"/>
      <c r="B1664" s="111"/>
      <c r="C1664" s="111"/>
      <c r="D1664" s="111"/>
      <c r="E1664" s="111"/>
      <c r="F1664" s="111"/>
      <c r="G1664" s="111"/>
    </row>
    <row r="1665" spans="1:7">
      <c r="A1665" s="106"/>
      <c r="B1665" s="111"/>
      <c r="C1665" s="111"/>
      <c r="D1665" s="111"/>
      <c r="E1665" s="111"/>
      <c r="F1665" s="111"/>
      <c r="G1665" s="111"/>
    </row>
    <row r="1666" spans="1:7">
      <c r="A1666" s="106"/>
      <c r="B1666" s="111"/>
      <c r="C1666" s="111"/>
      <c r="D1666" s="111"/>
      <c r="E1666" s="111"/>
      <c r="F1666" s="111"/>
      <c r="G1666" s="111"/>
    </row>
    <row r="1667" spans="1:7">
      <c r="A1667" s="106"/>
      <c r="B1667" s="111"/>
      <c r="C1667" s="111"/>
      <c r="D1667" s="111"/>
      <c r="E1667" s="111"/>
      <c r="F1667" s="111"/>
      <c r="G1667" s="111"/>
    </row>
    <row r="1668" spans="1:7">
      <c r="A1668" s="106"/>
      <c r="B1668" s="111"/>
      <c r="C1668" s="111"/>
      <c r="D1668" s="111"/>
      <c r="E1668" s="111"/>
      <c r="F1668" s="111"/>
      <c r="G1668" s="111"/>
    </row>
    <row r="1669" spans="1:7">
      <c r="A1669" s="106"/>
      <c r="B1669" s="111"/>
      <c r="C1669" s="111"/>
      <c r="D1669" s="111"/>
      <c r="E1669" s="111"/>
      <c r="F1669" s="111"/>
      <c r="G1669" s="111"/>
    </row>
    <row r="1670" spans="1:7">
      <c r="A1670" s="106"/>
      <c r="B1670" s="111"/>
      <c r="C1670" s="111"/>
      <c r="D1670" s="111"/>
      <c r="E1670" s="111"/>
      <c r="F1670" s="111"/>
      <c r="G1670" s="111"/>
    </row>
    <row r="1671" spans="1:7">
      <c r="A1671" s="106"/>
      <c r="B1671" s="111"/>
      <c r="C1671" s="111"/>
      <c r="D1671" s="111"/>
      <c r="E1671" s="111"/>
      <c r="F1671" s="111"/>
      <c r="G1671" s="111"/>
    </row>
    <row r="1672" spans="1:7">
      <c r="A1672" s="106"/>
      <c r="B1672" s="111"/>
      <c r="C1672" s="111"/>
      <c r="D1672" s="111"/>
      <c r="E1672" s="111"/>
      <c r="F1672" s="111"/>
      <c r="G1672" s="111"/>
    </row>
    <row r="1673" spans="1:7">
      <c r="A1673" s="106"/>
      <c r="B1673" s="111"/>
      <c r="C1673" s="111"/>
      <c r="D1673" s="111"/>
      <c r="E1673" s="111"/>
      <c r="F1673" s="111"/>
      <c r="G1673" s="111"/>
    </row>
    <row r="1674" spans="1:7">
      <c r="A1674" s="106"/>
      <c r="B1674" s="111"/>
      <c r="C1674" s="111"/>
      <c r="D1674" s="111"/>
      <c r="E1674" s="111"/>
      <c r="F1674" s="111"/>
      <c r="G1674" s="111"/>
    </row>
    <row r="1675" spans="1:7">
      <c r="A1675" s="106"/>
      <c r="B1675" s="111"/>
      <c r="C1675" s="111"/>
      <c r="D1675" s="111"/>
      <c r="E1675" s="111"/>
      <c r="F1675" s="111"/>
      <c r="G1675" s="111"/>
    </row>
    <row r="1676" spans="1:7">
      <c r="A1676" s="106"/>
      <c r="B1676" s="111"/>
      <c r="C1676" s="111"/>
      <c r="D1676" s="111"/>
      <c r="E1676" s="111"/>
      <c r="F1676" s="111"/>
      <c r="G1676" s="111"/>
    </row>
    <row r="1677" spans="1:7">
      <c r="A1677" s="106"/>
      <c r="B1677" s="111"/>
      <c r="C1677" s="111"/>
      <c r="D1677" s="111"/>
      <c r="E1677" s="111"/>
      <c r="F1677" s="111"/>
      <c r="G1677" s="111"/>
    </row>
    <row r="1678" spans="1:7">
      <c r="A1678" s="106"/>
      <c r="B1678" s="111"/>
      <c r="C1678" s="111"/>
      <c r="D1678" s="111"/>
      <c r="E1678" s="111"/>
      <c r="F1678" s="111"/>
      <c r="G1678" s="111"/>
    </row>
    <row r="1679" spans="1:7">
      <c r="A1679" s="106"/>
      <c r="B1679" s="111"/>
      <c r="C1679" s="111"/>
      <c r="D1679" s="111"/>
      <c r="E1679" s="111"/>
      <c r="F1679" s="111"/>
      <c r="G1679" s="111"/>
    </row>
    <row r="1680" spans="1:7">
      <c r="A1680" s="106"/>
      <c r="B1680" s="111"/>
      <c r="C1680" s="111"/>
      <c r="D1680" s="111"/>
      <c r="E1680" s="111"/>
      <c r="F1680" s="111"/>
      <c r="G1680" s="111"/>
    </row>
    <row r="1681" spans="1:7">
      <c r="A1681" s="106"/>
      <c r="B1681" s="111"/>
      <c r="C1681" s="111"/>
      <c r="D1681" s="111"/>
      <c r="E1681" s="111"/>
      <c r="F1681" s="111"/>
      <c r="G1681" s="111"/>
    </row>
    <row r="1682" spans="1:7">
      <c r="A1682" s="106"/>
      <c r="B1682" s="111"/>
      <c r="C1682" s="111"/>
      <c r="D1682" s="111"/>
      <c r="E1682" s="111"/>
      <c r="F1682" s="111"/>
      <c r="G1682" s="111"/>
    </row>
    <row r="1683" spans="1:7">
      <c r="A1683" s="106"/>
      <c r="B1683" s="111"/>
      <c r="C1683" s="111"/>
      <c r="D1683" s="111"/>
      <c r="E1683" s="111"/>
      <c r="F1683" s="111"/>
      <c r="G1683" s="111"/>
    </row>
    <row r="1684" spans="1:7">
      <c r="A1684" s="106"/>
      <c r="B1684" s="111"/>
      <c r="C1684" s="111"/>
      <c r="D1684" s="111"/>
      <c r="E1684" s="111"/>
      <c r="F1684" s="111"/>
      <c r="G1684" s="111"/>
    </row>
    <row r="1685" spans="1:7">
      <c r="A1685" s="106"/>
      <c r="B1685" s="111"/>
      <c r="C1685" s="111"/>
      <c r="D1685" s="111"/>
      <c r="E1685" s="111"/>
      <c r="F1685" s="111"/>
      <c r="G1685" s="111"/>
    </row>
    <row r="1686" spans="1:7">
      <c r="A1686" s="106"/>
      <c r="B1686" s="111"/>
      <c r="C1686" s="111"/>
      <c r="D1686" s="111"/>
      <c r="E1686" s="111"/>
      <c r="F1686" s="111"/>
      <c r="G1686" s="111"/>
    </row>
    <row r="1687" spans="1:7">
      <c r="A1687" s="106"/>
      <c r="B1687" s="111"/>
      <c r="C1687" s="111"/>
      <c r="D1687" s="111"/>
      <c r="E1687" s="111"/>
      <c r="F1687" s="111"/>
      <c r="G1687" s="111"/>
    </row>
    <row r="1688" spans="1:7">
      <c r="A1688" s="106"/>
      <c r="B1688" s="111"/>
      <c r="C1688" s="111"/>
      <c r="D1688" s="111"/>
      <c r="E1688" s="111"/>
      <c r="F1688" s="111"/>
      <c r="G1688" s="111"/>
    </row>
    <row r="1689" spans="1:7">
      <c r="A1689" s="106"/>
      <c r="B1689" s="111"/>
      <c r="C1689" s="111"/>
      <c r="D1689" s="111"/>
      <c r="E1689" s="111"/>
      <c r="F1689" s="111"/>
      <c r="G1689" s="111"/>
    </row>
    <row r="1690" spans="1:7">
      <c r="A1690" s="106"/>
      <c r="B1690" s="111"/>
      <c r="C1690" s="111"/>
      <c r="D1690" s="111"/>
      <c r="E1690" s="111"/>
      <c r="F1690" s="111"/>
      <c r="G1690" s="111"/>
    </row>
    <row r="1691" spans="1:7">
      <c r="A1691" s="106"/>
      <c r="B1691" s="111"/>
      <c r="C1691" s="111"/>
      <c r="D1691" s="111"/>
      <c r="E1691" s="111"/>
      <c r="F1691" s="111"/>
      <c r="G1691" s="111"/>
    </row>
    <row r="1692" spans="1:7">
      <c r="A1692" s="106"/>
      <c r="B1692" s="111"/>
      <c r="C1692" s="111"/>
      <c r="D1692" s="111"/>
      <c r="E1692" s="111"/>
      <c r="F1692" s="111"/>
      <c r="G1692" s="111"/>
    </row>
    <row r="1693" spans="1:7">
      <c r="A1693" s="106"/>
      <c r="B1693" s="111"/>
      <c r="C1693" s="111"/>
      <c r="D1693" s="111"/>
      <c r="E1693" s="111"/>
      <c r="F1693" s="111"/>
      <c r="G1693" s="111"/>
    </row>
    <row r="1694" spans="1:7">
      <c r="A1694" s="106"/>
      <c r="B1694" s="111"/>
      <c r="C1694" s="111"/>
      <c r="D1694" s="111"/>
      <c r="E1694" s="111"/>
      <c r="F1694" s="111"/>
      <c r="G1694" s="111"/>
    </row>
    <row r="1695" spans="1:7">
      <c r="A1695" s="106"/>
      <c r="B1695" s="111"/>
      <c r="C1695" s="111"/>
      <c r="D1695" s="111"/>
      <c r="E1695" s="111"/>
      <c r="F1695" s="111"/>
      <c r="G1695" s="111"/>
    </row>
    <row r="1696" spans="1:7">
      <c r="A1696" s="106"/>
      <c r="B1696" s="111"/>
      <c r="C1696" s="111"/>
      <c r="D1696" s="111"/>
      <c r="E1696" s="111"/>
      <c r="F1696" s="111"/>
      <c r="G1696" s="111"/>
    </row>
    <row r="1697" spans="1:7">
      <c r="A1697" s="106"/>
      <c r="B1697" s="111"/>
      <c r="C1697" s="111"/>
      <c r="D1697" s="111"/>
      <c r="E1697" s="111"/>
      <c r="F1697" s="111"/>
      <c r="G1697" s="111"/>
    </row>
    <row r="1698" spans="1:7">
      <c r="A1698" s="106"/>
      <c r="B1698" s="111"/>
      <c r="C1698" s="111"/>
      <c r="D1698" s="111"/>
      <c r="E1698" s="111"/>
      <c r="F1698" s="111"/>
      <c r="G1698" s="111"/>
    </row>
    <row r="1699" spans="1:7">
      <c r="A1699" s="106"/>
      <c r="B1699" s="111"/>
      <c r="C1699" s="111"/>
      <c r="D1699" s="111"/>
      <c r="E1699" s="111"/>
      <c r="F1699" s="111"/>
      <c r="G1699" s="111"/>
    </row>
    <row r="1700" spans="1:7">
      <c r="A1700" s="106"/>
      <c r="B1700" s="111"/>
      <c r="C1700" s="111"/>
      <c r="D1700" s="111"/>
      <c r="E1700" s="111"/>
      <c r="F1700" s="111"/>
      <c r="G1700" s="111"/>
    </row>
    <row r="1701" spans="1:7">
      <c r="A1701" s="106"/>
      <c r="B1701" s="111"/>
      <c r="C1701" s="111"/>
      <c r="D1701" s="111"/>
      <c r="E1701" s="111"/>
      <c r="F1701" s="111"/>
      <c r="G1701" s="111"/>
    </row>
    <row r="1702" spans="1:7">
      <c r="A1702" s="106"/>
      <c r="B1702" s="111"/>
      <c r="C1702" s="111"/>
      <c r="D1702" s="111"/>
      <c r="E1702" s="111"/>
      <c r="F1702" s="111"/>
      <c r="G1702" s="111"/>
    </row>
    <row r="1703" spans="1:7">
      <c r="A1703" s="106"/>
      <c r="B1703" s="111"/>
      <c r="C1703" s="111"/>
      <c r="D1703" s="111"/>
      <c r="E1703" s="111"/>
      <c r="F1703" s="111"/>
      <c r="G1703" s="111"/>
    </row>
    <row r="1704" spans="1:7">
      <c r="A1704" s="106"/>
      <c r="B1704" s="111"/>
      <c r="C1704" s="111"/>
      <c r="D1704" s="111"/>
      <c r="E1704" s="111"/>
      <c r="F1704" s="111"/>
      <c r="G1704" s="111"/>
    </row>
    <row r="1705" spans="1:7">
      <c r="A1705" s="106"/>
      <c r="B1705" s="111"/>
      <c r="C1705" s="111"/>
      <c r="D1705" s="111"/>
      <c r="E1705" s="111"/>
      <c r="F1705" s="111"/>
      <c r="G1705" s="111"/>
    </row>
    <row r="1706" spans="1:7">
      <c r="A1706" s="106"/>
      <c r="B1706" s="111"/>
      <c r="C1706" s="111"/>
      <c r="D1706" s="111"/>
      <c r="E1706" s="111"/>
      <c r="F1706" s="111"/>
      <c r="G1706" s="111"/>
    </row>
    <row r="1707" spans="1:7">
      <c r="A1707" s="106"/>
      <c r="B1707" s="111"/>
      <c r="C1707" s="111"/>
      <c r="D1707" s="111"/>
      <c r="E1707" s="111"/>
      <c r="F1707" s="111"/>
      <c r="G1707" s="111"/>
    </row>
    <row r="1708" spans="1:7">
      <c r="A1708" s="106"/>
      <c r="B1708" s="111"/>
      <c r="C1708" s="111"/>
      <c r="D1708" s="111"/>
      <c r="E1708" s="111"/>
      <c r="F1708" s="111"/>
      <c r="G1708" s="111"/>
    </row>
    <row r="1709" spans="1:7">
      <c r="A1709" s="106"/>
      <c r="B1709" s="111"/>
      <c r="C1709" s="111"/>
      <c r="D1709" s="111"/>
      <c r="E1709" s="111"/>
      <c r="F1709" s="111"/>
      <c r="G1709" s="111"/>
    </row>
    <row r="1710" spans="1:7">
      <c r="A1710" s="106"/>
      <c r="B1710" s="111"/>
      <c r="C1710" s="111"/>
      <c r="D1710" s="111"/>
      <c r="E1710" s="111"/>
      <c r="F1710" s="111"/>
      <c r="G1710" s="111"/>
    </row>
    <row r="1711" spans="1:7">
      <c r="A1711" s="106"/>
      <c r="B1711" s="111"/>
      <c r="C1711" s="111"/>
      <c r="D1711" s="111"/>
      <c r="E1711" s="111"/>
      <c r="F1711" s="111"/>
      <c r="G1711" s="111"/>
    </row>
    <row r="1712" spans="1:7">
      <c r="A1712" s="106"/>
      <c r="B1712" s="111"/>
      <c r="C1712" s="111"/>
      <c r="D1712" s="111"/>
      <c r="E1712" s="111"/>
      <c r="F1712" s="111"/>
      <c r="G1712" s="111"/>
    </row>
    <row r="1713" spans="1:7">
      <c r="A1713" s="106"/>
      <c r="B1713" s="111"/>
      <c r="C1713" s="111"/>
      <c r="D1713" s="111"/>
      <c r="E1713" s="111"/>
      <c r="F1713" s="111"/>
      <c r="G1713" s="111"/>
    </row>
    <row r="1714" spans="1:7">
      <c r="A1714" s="106"/>
      <c r="B1714" s="111"/>
      <c r="C1714" s="111"/>
      <c r="D1714" s="111"/>
      <c r="E1714" s="111"/>
      <c r="F1714" s="111"/>
      <c r="G1714" s="111"/>
    </row>
    <row r="1715" spans="1:7">
      <c r="A1715" s="106"/>
      <c r="B1715" s="111"/>
      <c r="C1715" s="111"/>
      <c r="D1715" s="111"/>
      <c r="E1715" s="111"/>
      <c r="F1715" s="111"/>
      <c r="G1715" s="111"/>
    </row>
    <row r="1716" spans="1:7">
      <c r="A1716" s="106"/>
      <c r="B1716" s="111"/>
      <c r="C1716" s="111"/>
      <c r="D1716" s="111"/>
      <c r="E1716" s="111"/>
      <c r="F1716" s="111"/>
      <c r="G1716" s="111"/>
    </row>
    <row r="1717" spans="1:7">
      <c r="A1717" s="106"/>
      <c r="B1717" s="111"/>
      <c r="C1717" s="111"/>
      <c r="D1717" s="111"/>
      <c r="E1717" s="111"/>
      <c r="F1717" s="111"/>
      <c r="G1717" s="111"/>
    </row>
    <row r="1718" spans="1:7">
      <c r="A1718" s="106"/>
      <c r="B1718" s="111"/>
      <c r="C1718" s="111"/>
      <c r="D1718" s="111"/>
      <c r="E1718" s="111"/>
      <c r="F1718" s="111"/>
      <c r="G1718" s="111"/>
    </row>
    <row r="1719" spans="1:7">
      <c r="A1719" s="106"/>
      <c r="B1719" s="111"/>
      <c r="C1719" s="111"/>
      <c r="D1719" s="111"/>
      <c r="E1719" s="111"/>
      <c r="F1719" s="111"/>
      <c r="G1719" s="111"/>
    </row>
    <row r="1720" spans="1:7">
      <c r="A1720" s="106"/>
      <c r="B1720" s="111"/>
      <c r="C1720" s="111"/>
      <c r="D1720" s="111"/>
      <c r="E1720" s="111"/>
      <c r="F1720" s="111"/>
      <c r="G1720" s="111"/>
    </row>
    <row r="1721" spans="1:7">
      <c r="A1721" s="106"/>
      <c r="B1721" s="111"/>
      <c r="C1721" s="111"/>
      <c r="D1721" s="111"/>
      <c r="E1721" s="111"/>
      <c r="F1721" s="111"/>
      <c r="G1721" s="111"/>
    </row>
    <row r="1722" spans="1:7">
      <c r="A1722" s="106"/>
      <c r="B1722" s="111"/>
      <c r="C1722" s="111"/>
      <c r="D1722" s="111"/>
      <c r="E1722" s="111"/>
      <c r="F1722" s="111"/>
      <c r="G1722" s="111"/>
    </row>
    <row r="1723" spans="1:7">
      <c r="A1723" s="106"/>
      <c r="B1723" s="111"/>
      <c r="C1723" s="111"/>
      <c r="D1723" s="111"/>
      <c r="E1723" s="111"/>
      <c r="F1723" s="111"/>
      <c r="G1723" s="111"/>
    </row>
    <row r="1724" spans="1:7">
      <c r="A1724" s="106"/>
      <c r="B1724" s="111"/>
      <c r="C1724" s="111"/>
      <c r="D1724" s="111"/>
      <c r="E1724" s="111"/>
      <c r="F1724" s="111"/>
      <c r="G1724" s="111"/>
    </row>
    <row r="1725" spans="1:7">
      <c r="A1725" s="106"/>
      <c r="B1725" s="111"/>
      <c r="C1725" s="111"/>
      <c r="D1725" s="111"/>
      <c r="E1725" s="111"/>
      <c r="F1725" s="111"/>
      <c r="G1725" s="111"/>
    </row>
    <row r="1726" spans="1:7">
      <c r="A1726" s="106"/>
      <c r="B1726" s="111"/>
      <c r="C1726" s="111"/>
      <c r="D1726" s="111"/>
      <c r="E1726" s="111"/>
      <c r="F1726" s="111"/>
      <c r="G1726" s="111"/>
    </row>
    <row r="1727" spans="1:7">
      <c r="A1727" s="106"/>
      <c r="B1727" s="111"/>
      <c r="C1727" s="111"/>
      <c r="D1727" s="111"/>
      <c r="E1727" s="111"/>
      <c r="F1727" s="111"/>
      <c r="G1727" s="111"/>
    </row>
    <row r="1728" spans="1:7">
      <c r="A1728" s="106"/>
      <c r="B1728" s="111"/>
      <c r="C1728" s="111"/>
      <c r="D1728" s="111"/>
      <c r="E1728" s="111"/>
      <c r="F1728" s="111"/>
      <c r="G1728" s="111"/>
    </row>
    <row r="1729" spans="1:7">
      <c r="A1729" s="106"/>
      <c r="B1729" s="111"/>
      <c r="C1729" s="111"/>
      <c r="D1729" s="111"/>
      <c r="E1729" s="111"/>
      <c r="F1729" s="111"/>
      <c r="G1729" s="111"/>
    </row>
    <row r="1730" spans="1:7">
      <c r="A1730" s="106"/>
      <c r="B1730" s="111"/>
      <c r="C1730" s="111"/>
      <c r="D1730" s="111"/>
      <c r="E1730" s="111"/>
      <c r="F1730" s="111"/>
      <c r="G1730" s="111"/>
    </row>
    <row r="1731" spans="1:7">
      <c r="A1731" s="106"/>
      <c r="B1731" s="111"/>
      <c r="C1731" s="111"/>
      <c r="D1731" s="111"/>
      <c r="E1731" s="111"/>
      <c r="F1731" s="111"/>
      <c r="G1731" s="111"/>
    </row>
    <row r="1732" spans="1:7">
      <c r="A1732" s="106"/>
      <c r="B1732" s="111"/>
      <c r="C1732" s="111"/>
      <c r="D1732" s="111"/>
      <c r="E1732" s="111"/>
      <c r="F1732" s="111"/>
      <c r="G1732" s="111"/>
    </row>
    <row r="1733" spans="1:7">
      <c r="A1733" s="106"/>
      <c r="B1733" s="111"/>
      <c r="C1733" s="111"/>
      <c r="D1733" s="111"/>
      <c r="E1733" s="111"/>
      <c r="F1733" s="111"/>
      <c r="G1733" s="111"/>
    </row>
    <row r="1734" spans="1:7">
      <c r="A1734" s="106"/>
      <c r="B1734" s="111"/>
      <c r="C1734" s="111"/>
      <c r="D1734" s="111"/>
      <c r="E1734" s="111"/>
      <c r="F1734" s="111"/>
      <c r="G1734" s="111"/>
    </row>
    <row r="1735" spans="1:7">
      <c r="A1735" s="106"/>
      <c r="B1735" s="111"/>
      <c r="C1735" s="111"/>
      <c r="D1735" s="111"/>
      <c r="E1735" s="111"/>
      <c r="F1735" s="111"/>
      <c r="G1735" s="111"/>
    </row>
    <row r="1736" spans="1:7">
      <c r="A1736" s="106"/>
      <c r="B1736" s="111"/>
      <c r="C1736" s="111"/>
      <c r="D1736" s="111"/>
      <c r="E1736" s="111"/>
      <c r="F1736" s="111"/>
      <c r="G1736" s="111"/>
    </row>
    <row r="1737" spans="1:7">
      <c r="A1737" s="106"/>
      <c r="B1737" s="111"/>
      <c r="C1737" s="111"/>
      <c r="D1737" s="111"/>
      <c r="E1737" s="111"/>
      <c r="F1737" s="111"/>
      <c r="G1737" s="111"/>
    </row>
    <row r="1738" spans="1:7">
      <c r="A1738" s="106"/>
      <c r="B1738" s="111"/>
      <c r="C1738" s="111"/>
      <c r="D1738" s="111"/>
      <c r="E1738" s="111"/>
      <c r="F1738" s="111"/>
      <c r="G1738" s="111"/>
    </row>
    <row r="1739" spans="1:7">
      <c r="A1739" s="106"/>
      <c r="B1739" s="111"/>
      <c r="C1739" s="111"/>
      <c r="D1739" s="111"/>
      <c r="E1739" s="111"/>
      <c r="F1739" s="111"/>
      <c r="G1739" s="111"/>
    </row>
    <row r="1740" spans="1:7">
      <c r="A1740" s="106"/>
      <c r="B1740" s="111"/>
      <c r="C1740" s="111"/>
      <c r="D1740" s="111"/>
      <c r="E1740" s="111"/>
      <c r="F1740" s="111"/>
      <c r="G1740" s="111"/>
    </row>
    <row r="1741" spans="1:7">
      <c r="A1741" s="106"/>
      <c r="B1741" s="111"/>
      <c r="C1741" s="111"/>
      <c r="D1741" s="111"/>
      <c r="E1741" s="111"/>
      <c r="F1741" s="111"/>
      <c r="G1741" s="111"/>
    </row>
    <row r="1742" spans="1:7">
      <c r="A1742" s="106"/>
      <c r="B1742" s="111"/>
      <c r="C1742" s="111"/>
      <c r="D1742" s="111"/>
      <c r="E1742" s="111"/>
      <c r="F1742" s="111"/>
      <c r="G1742" s="111"/>
    </row>
    <row r="1743" spans="1:7">
      <c r="A1743" s="106"/>
      <c r="B1743" s="111"/>
      <c r="C1743" s="111"/>
      <c r="D1743" s="111"/>
      <c r="E1743" s="111"/>
      <c r="F1743" s="111"/>
      <c r="G1743" s="111"/>
    </row>
    <row r="1744" spans="1:7">
      <c r="A1744" s="106"/>
      <c r="B1744" s="111"/>
      <c r="C1744" s="111"/>
      <c r="D1744" s="111"/>
      <c r="E1744" s="111"/>
      <c r="F1744" s="111"/>
      <c r="G1744" s="111"/>
    </row>
    <row r="1745" spans="1:7">
      <c r="A1745" s="106"/>
      <c r="B1745" s="111"/>
      <c r="C1745" s="111"/>
      <c r="D1745" s="111"/>
      <c r="E1745" s="111"/>
      <c r="F1745" s="111"/>
      <c r="G1745" s="111"/>
    </row>
    <row r="1746" spans="1:7">
      <c r="A1746" s="106"/>
      <c r="B1746" s="111"/>
      <c r="C1746" s="111"/>
      <c r="D1746" s="111"/>
      <c r="E1746" s="111"/>
      <c r="F1746" s="111"/>
      <c r="G1746" s="111"/>
    </row>
    <row r="1747" spans="1:7">
      <c r="A1747" s="106"/>
      <c r="B1747" s="111"/>
      <c r="C1747" s="111"/>
      <c r="D1747" s="111"/>
      <c r="E1747" s="111"/>
      <c r="F1747" s="111"/>
      <c r="G1747" s="111"/>
    </row>
    <row r="1748" spans="1:7">
      <c r="A1748" s="106"/>
      <c r="B1748" s="111"/>
      <c r="C1748" s="111"/>
      <c r="D1748" s="111"/>
      <c r="E1748" s="111"/>
      <c r="F1748" s="111"/>
      <c r="G1748" s="111"/>
    </row>
    <row r="1749" spans="1:7">
      <c r="A1749" s="106"/>
      <c r="B1749" s="111"/>
      <c r="C1749" s="111"/>
      <c r="D1749" s="111"/>
      <c r="E1749" s="111"/>
      <c r="F1749" s="111"/>
      <c r="G1749" s="111"/>
    </row>
    <row r="1750" spans="1:7">
      <c r="A1750" s="106"/>
      <c r="B1750" s="111"/>
      <c r="C1750" s="111"/>
      <c r="D1750" s="111"/>
      <c r="E1750" s="111"/>
      <c r="F1750" s="111"/>
      <c r="G1750" s="111"/>
    </row>
    <row r="1751" spans="1:7">
      <c r="A1751" s="106"/>
      <c r="B1751" s="111"/>
      <c r="C1751" s="111"/>
      <c r="D1751" s="111"/>
      <c r="E1751" s="111"/>
      <c r="F1751" s="111"/>
      <c r="G1751" s="111"/>
    </row>
    <row r="1752" spans="1:7">
      <c r="A1752" s="106"/>
      <c r="B1752" s="111"/>
      <c r="C1752" s="111"/>
      <c r="D1752" s="111"/>
      <c r="E1752" s="111"/>
      <c r="F1752" s="111"/>
      <c r="G1752" s="111"/>
    </row>
    <row r="1753" spans="1:7">
      <c r="A1753" s="106"/>
      <c r="B1753" s="111"/>
      <c r="C1753" s="111"/>
      <c r="D1753" s="111"/>
      <c r="E1753" s="111"/>
      <c r="F1753" s="111"/>
      <c r="G1753" s="111"/>
    </row>
    <row r="1754" spans="1:7">
      <c r="A1754" s="106"/>
      <c r="B1754" s="111"/>
      <c r="C1754" s="111"/>
      <c r="D1754" s="111"/>
      <c r="E1754" s="111"/>
      <c r="F1754" s="111"/>
      <c r="G1754" s="111"/>
    </row>
    <row r="1755" spans="1:7">
      <c r="A1755" s="106"/>
      <c r="B1755" s="111"/>
      <c r="C1755" s="111"/>
      <c r="D1755" s="111"/>
      <c r="E1755" s="111"/>
      <c r="F1755" s="111"/>
      <c r="G1755" s="111"/>
    </row>
    <row r="1756" spans="1:7">
      <c r="A1756" s="106"/>
      <c r="B1756" s="111"/>
      <c r="C1756" s="111"/>
      <c r="D1756" s="111"/>
      <c r="E1756" s="111"/>
      <c r="F1756" s="111"/>
      <c r="G1756" s="111"/>
    </row>
    <row r="1757" spans="1:7">
      <c r="A1757" s="106"/>
      <c r="B1757" s="111"/>
      <c r="C1757" s="111"/>
      <c r="D1757" s="111"/>
      <c r="E1757" s="111"/>
      <c r="F1757" s="111"/>
      <c r="G1757" s="111"/>
    </row>
    <row r="1758" spans="1:7">
      <c r="A1758" s="106"/>
      <c r="B1758" s="111"/>
      <c r="C1758" s="111"/>
      <c r="D1758" s="111"/>
      <c r="E1758" s="111"/>
      <c r="F1758" s="111"/>
      <c r="G1758" s="111"/>
    </row>
    <row r="1759" spans="1:7">
      <c r="A1759" s="106"/>
      <c r="B1759" s="111"/>
      <c r="C1759" s="111"/>
      <c r="D1759" s="111"/>
      <c r="E1759" s="111"/>
      <c r="F1759" s="111"/>
      <c r="G1759" s="111"/>
    </row>
    <row r="1760" spans="1:7">
      <c r="A1760" s="106"/>
      <c r="B1760" s="111"/>
      <c r="C1760" s="111"/>
      <c r="D1760" s="111"/>
      <c r="E1760" s="111"/>
      <c r="F1760" s="111"/>
      <c r="G1760" s="111"/>
    </row>
    <row r="1761" spans="1:7">
      <c r="A1761" s="106"/>
      <c r="B1761" s="111"/>
      <c r="C1761" s="111"/>
      <c r="D1761" s="111"/>
      <c r="E1761" s="111"/>
      <c r="F1761" s="111"/>
      <c r="G1761" s="111"/>
    </row>
    <row r="1762" spans="1:7">
      <c r="A1762" s="106"/>
      <c r="B1762" s="111"/>
      <c r="C1762" s="111"/>
      <c r="D1762" s="111"/>
      <c r="E1762" s="111"/>
      <c r="F1762" s="111"/>
      <c r="G1762" s="111"/>
    </row>
    <row r="1763" spans="1:7">
      <c r="A1763" s="106"/>
      <c r="B1763" s="111"/>
      <c r="C1763" s="111"/>
      <c r="D1763" s="111"/>
      <c r="E1763" s="111"/>
      <c r="F1763" s="111"/>
      <c r="G1763" s="111"/>
    </row>
    <row r="1764" spans="1:7">
      <c r="A1764" s="106"/>
      <c r="B1764" s="111"/>
      <c r="C1764" s="111"/>
      <c r="D1764" s="111"/>
      <c r="E1764" s="111"/>
      <c r="F1764" s="111"/>
      <c r="G1764" s="111"/>
    </row>
    <row r="1765" spans="1:7">
      <c r="A1765" s="106"/>
      <c r="B1765" s="111"/>
      <c r="C1765" s="111"/>
      <c r="D1765" s="111"/>
      <c r="E1765" s="111"/>
      <c r="F1765" s="111"/>
      <c r="G1765" s="111"/>
    </row>
    <row r="1766" spans="1:7">
      <c r="A1766" s="106"/>
      <c r="B1766" s="111"/>
      <c r="C1766" s="111"/>
      <c r="D1766" s="111"/>
      <c r="E1766" s="111"/>
      <c r="F1766" s="111"/>
      <c r="G1766" s="111"/>
    </row>
    <row r="1767" spans="1:7">
      <c r="A1767" s="106"/>
      <c r="B1767" s="111"/>
      <c r="C1767" s="111"/>
      <c r="D1767" s="111"/>
      <c r="E1767" s="111"/>
      <c r="F1767" s="111"/>
      <c r="G1767" s="111"/>
    </row>
    <row r="1768" spans="1:7">
      <c r="A1768" s="106"/>
      <c r="B1768" s="111"/>
      <c r="C1768" s="111"/>
      <c r="D1768" s="111"/>
      <c r="E1768" s="111"/>
      <c r="F1768" s="111"/>
      <c r="G1768" s="111"/>
    </row>
    <row r="1769" spans="1:7">
      <c r="A1769" s="106"/>
      <c r="B1769" s="111"/>
      <c r="C1769" s="111"/>
      <c r="D1769" s="111"/>
      <c r="E1769" s="111"/>
      <c r="F1769" s="111"/>
      <c r="G1769" s="111"/>
    </row>
    <row r="1770" spans="1:7">
      <c r="A1770" s="106"/>
      <c r="B1770" s="111"/>
      <c r="C1770" s="111"/>
      <c r="D1770" s="111"/>
      <c r="E1770" s="111"/>
      <c r="F1770" s="111"/>
      <c r="G1770" s="111"/>
    </row>
    <row r="1771" spans="1:7">
      <c r="A1771" s="106"/>
      <c r="B1771" s="111"/>
      <c r="C1771" s="111"/>
      <c r="D1771" s="111"/>
      <c r="E1771" s="111"/>
      <c r="F1771" s="111"/>
      <c r="G1771" s="111"/>
    </row>
    <row r="1772" spans="1:7">
      <c r="A1772" s="106"/>
      <c r="B1772" s="111"/>
      <c r="C1772" s="111"/>
      <c r="D1772" s="111"/>
      <c r="E1772" s="111"/>
      <c r="F1772" s="111"/>
      <c r="G1772" s="111"/>
    </row>
    <row r="1773" spans="1:7">
      <c r="A1773" s="106"/>
      <c r="B1773" s="111"/>
      <c r="C1773" s="111"/>
      <c r="D1773" s="111"/>
      <c r="E1773" s="111"/>
      <c r="F1773" s="111"/>
      <c r="G1773" s="111"/>
    </row>
    <row r="1774" spans="1:7">
      <c r="A1774" s="106"/>
      <c r="B1774" s="111"/>
      <c r="C1774" s="111"/>
      <c r="D1774" s="111"/>
      <c r="E1774" s="111"/>
      <c r="F1774" s="111"/>
      <c r="G1774" s="111"/>
    </row>
    <row r="1775" spans="1:7">
      <c r="A1775" s="106"/>
      <c r="B1775" s="111"/>
      <c r="C1775" s="111"/>
      <c r="D1775" s="111"/>
      <c r="E1775" s="111"/>
      <c r="F1775" s="111"/>
      <c r="G1775" s="111"/>
    </row>
    <row r="1776" spans="1:7">
      <c r="A1776" s="106"/>
      <c r="B1776" s="111"/>
      <c r="C1776" s="111"/>
      <c r="D1776" s="111"/>
      <c r="E1776" s="111"/>
      <c r="F1776" s="111"/>
      <c r="G1776" s="111"/>
    </row>
    <row r="1777" spans="1:7">
      <c r="A1777" s="106"/>
      <c r="B1777" s="111"/>
      <c r="C1777" s="111"/>
      <c r="D1777" s="111"/>
      <c r="E1777" s="111"/>
      <c r="F1777" s="111"/>
      <c r="G1777" s="111"/>
    </row>
    <row r="1778" spans="1:7">
      <c r="A1778" s="106"/>
      <c r="B1778" s="111"/>
      <c r="C1778" s="111"/>
      <c r="D1778" s="111"/>
      <c r="E1778" s="111"/>
      <c r="F1778" s="111"/>
      <c r="G1778" s="111"/>
    </row>
    <row r="1779" spans="1:7">
      <c r="A1779" s="106"/>
      <c r="B1779" s="111"/>
      <c r="C1779" s="111"/>
      <c r="D1779" s="111"/>
      <c r="E1779" s="111"/>
      <c r="F1779" s="111"/>
      <c r="G1779" s="111"/>
    </row>
    <row r="1780" spans="1:7">
      <c r="A1780" s="106"/>
      <c r="B1780" s="111"/>
      <c r="C1780" s="111"/>
      <c r="D1780" s="111"/>
      <c r="E1780" s="111"/>
      <c r="F1780" s="111"/>
      <c r="G1780" s="111"/>
    </row>
    <row r="1781" spans="1:7">
      <c r="A1781" s="106"/>
      <c r="B1781" s="111"/>
      <c r="C1781" s="111"/>
      <c r="D1781" s="111"/>
      <c r="E1781" s="111"/>
      <c r="F1781" s="111"/>
      <c r="G1781" s="111"/>
    </row>
    <row r="1782" spans="1:7">
      <c r="A1782" s="106"/>
      <c r="B1782" s="111"/>
      <c r="C1782" s="111"/>
      <c r="D1782" s="111"/>
      <c r="E1782" s="111"/>
      <c r="F1782" s="111"/>
      <c r="G1782" s="111"/>
    </row>
    <row r="1783" spans="1:7">
      <c r="A1783" s="106"/>
      <c r="B1783" s="111"/>
      <c r="C1783" s="111"/>
      <c r="D1783" s="111"/>
      <c r="E1783" s="111"/>
      <c r="F1783" s="111"/>
      <c r="G1783" s="111"/>
    </row>
    <row r="1784" spans="1:7">
      <c r="A1784" s="106"/>
      <c r="B1784" s="111"/>
      <c r="C1784" s="111"/>
      <c r="D1784" s="111"/>
      <c r="E1784" s="111"/>
      <c r="F1784" s="111"/>
      <c r="G1784" s="111"/>
    </row>
    <row r="1785" spans="1:7">
      <c r="A1785" s="106"/>
      <c r="B1785" s="111"/>
      <c r="C1785" s="111"/>
      <c r="D1785" s="111"/>
      <c r="E1785" s="111"/>
      <c r="F1785" s="111"/>
      <c r="G1785" s="111"/>
    </row>
    <row r="1786" spans="1:7">
      <c r="A1786" s="106"/>
      <c r="B1786" s="111"/>
      <c r="C1786" s="111"/>
      <c r="D1786" s="111"/>
      <c r="E1786" s="111"/>
      <c r="F1786" s="111"/>
      <c r="G1786" s="111"/>
    </row>
    <row r="1787" spans="1:7">
      <c r="A1787" s="106"/>
      <c r="B1787" s="111"/>
      <c r="C1787" s="111"/>
      <c r="D1787" s="111"/>
      <c r="E1787" s="111"/>
      <c r="F1787" s="111"/>
      <c r="G1787" s="111"/>
    </row>
    <row r="1788" spans="1:7">
      <c r="A1788" s="106"/>
      <c r="B1788" s="111"/>
      <c r="C1788" s="111"/>
      <c r="D1788" s="111"/>
      <c r="E1788" s="111"/>
      <c r="F1788" s="111"/>
      <c r="G1788" s="111"/>
    </row>
    <row r="1789" spans="1:7">
      <c r="A1789" s="106"/>
      <c r="B1789" s="111"/>
      <c r="C1789" s="111"/>
      <c r="D1789" s="111"/>
      <c r="E1789" s="111"/>
      <c r="F1789" s="111"/>
      <c r="G1789" s="111"/>
    </row>
    <row r="1790" spans="1:7">
      <c r="A1790" s="106"/>
      <c r="B1790" s="111"/>
      <c r="C1790" s="111"/>
      <c r="D1790" s="111"/>
      <c r="E1790" s="111"/>
      <c r="F1790" s="111"/>
      <c r="G1790" s="111"/>
    </row>
    <row r="1791" spans="1:7">
      <c r="A1791" s="106"/>
      <c r="B1791" s="111"/>
      <c r="C1791" s="111"/>
      <c r="D1791" s="111"/>
      <c r="E1791" s="111"/>
      <c r="F1791" s="111"/>
      <c r="G1791" s="111"/>
    </row>
    <row r="1792" spans="1:7">
      <c r="A1792" s="106"/>
      <c r="B1792" s="111"/>
      <c r="C1792" s="111"/>
      <c r="D1792" s="111"/>
      <c r="E1792" s="111"/>
      <c r="F1792" s="111"/>
      <c r="G1792" s="111"/>
    </row>
    <row r="1793" spans="1:7">
      <c r="A1793" s="106"/>
      <c r="B1793" s="111"/>
      <c r="C1793" s="111"/>
      <c r="D1793" s="111"/>
      <c r="E1793" s="111"/>
      <c r="F1793" s="111"/>
      <c r="G1793" s="111"/>
    </row>
    <row r="1794" spans="1:7">
      <c r="A1794" s="106"/>
      <c r="B1794" s="111"/>
      <c r="C1794" s="111"/>
      <c r="D1794" s="111"/>
      <c r="E1794" s="111"/>
      <c r="F1794" s="111"/>
      <c r="G1794" s="111"/>
    </row>
    <row r="1795" spans="1:7">
      <c r="A1795" s="106"/>
      <c r="B1795" s="111"/>
      <c r="C1795" s="111"/>
      <c r="D1795" s="111"/>
      <c r="E1795" s="111"/>
      <c r="F1795" s="111"/>
      <c r="G1795" s="111"/>
    </row>
    <row r="1796" spans="1:7">
      <c r="A1796" s="106"/>
      <c r="B1796" s="111"/>
      <c r="C1796" s="111"/>
      <c r="D1796" s="111"/>
      <c r="E1796" s="111"/>
      <c r="F1796" s="111"/>
      <c r="G1796" s="111"/>
    </row>
    <row r="1797" spans="1:7">
      <c r="A1797" s="106"/>
      <c r="B1797" s="111"/>
      <c r="C1797" s="111"/>
      <c r="D1797" s="111"/>
      <c r="E1797" s="111"/>
      <c r="F1797" s="111"/>
      <c r="G1797" s="111"/>
    </row>
    <row r="1798" spans="1:7">
      <c r="A1798" s="106"/>
      <c r="B1798" s="111"/>
      <c r="C1798" s="111"/>
      <c r="D1798" s="111"/>
      <c r="E1798" s="111"/>
      <c r="F1798" s="111"/>
      <c r="G1798" s="111"/>
    </row>
    <row r="1799" spans="1:7">
      <c r="A1799" s="106"/>
      <c r="B1799" s="111"/>
      <c r="C1799" s="111"/>
      <c r="D1799" s="111"/>
      <c r="E1799" s="111"/>
      <c r="F1799" s="111"/>
      <c r="G1799" s="111"/>
    </row>
    <row r="1800" spans="1:7">
      <c r="A1800" s="106"/>
      <c r="B1800" s="111"/>
      <c r="C1800" s="111"/>
      <c r="D1800" s="111"/>
      <c r="E1800" s="111"/>
      <c r="F1800" s="111"/>
      <c r="G1800" s="111"/>
    </row>
    <row r="1801" spans="1:7">
      <c r="A1801" s="106"/>
      <c r="B1801" s="111"/>
      <c r="C1801" s="111"/>
      <c r="D1801" s="111"/>
      <c r="E1801" s="111"/>
      <c r="F1801" s="111"/>
      <c r="G1801" s="111"/>
    </row>
    <row r="1802" spans="1:7">
      <c r="A1802" s="106"/>
      <c r="B1802" s="111"/>
      <c r="C1802" s="111"/>
      <c r="D1802" s="111"/>
      <c r="E1802" s="111"/>
      <c r="F1802" s="111"/>
      <c r="G1802" s="111"/>
    </row>
    <row r="1803" spans="1:7">
      <c r="A1803" s="106"/>
      <c r="B1803" s="111"/>
      <c r="C1803" s="111"/>
      <c r="D1803" s="111"/>
      <c r="E1803" s="111"/>
      <c r="F1803" s="111"/>
      <c r="G1803" s="111"/>
    </row>
    <row r="1804" spans="1:7">
      <c r="A1804" s="106"/>
      <c r="B1804" s="111"/>
      <c r="C1804" s="111"/>
      <c r="D1804" s="111"/>
      <c r="E1804" s="111"/>
      <c r="F1804" s="111"/>
      <c r="G1804" s="111"/>
    </row>
    <row r="1805" spans="1:7">
      <c r="A1805" s="106"/>
      <c r="B1805" s="111"/>
      <c r="C1805" s="111"/>
      <c r="D1805" s="111"/>
      <c r="E1805" s="111"/>
      <c r="F1805" s="111"/>
      <c r="G1805" s="111"/>
    </row>
    <row r="1806" spans="1:7">
      <c r="A1806" s="106"/>
      <c r="B1806" s="111"/>
      <c r="C1806" s="111"/>
      <c r="D1806" s="111"/>
      <c r="E1806" s="111"/>
      <c r="F1806" s="111"/>
      <c r="G1806" s="111"/>
    </row>
    <row r="1807" spans="1:7">
      <c r="A1807" s="106"/>
      <c r="B1807" s="111"/>
      <c r="C1807" s="111"/>
      <c r="D1807" s="111"/>
      <c r="E1807" s="111"/>
      <c r="F1807" s="111"/>
      <c r="G1807" s="111"/>
    </row>
    <row r="1808" spans="1:7">
      <c r="A1808" s="106"/>
      <c r="B1808" s="111"/>
      <c r="C1808" s="111"/>
      <c r="D1808" s="111"/>
      <c r="E1808" s="111"/>
      <c r="F1808" s="111"/>
      <c r="G1808" s="111"/>
    </row>
    <row r="1809" spans="1:7">
      <c r="A1809" s="106"/>
      <c r="B1809" s="111"/>
      <c r="C1809" s="111"/>
      <c r="D1809" s="111"/>
      <c r="E1809" s="111"/>
      <c r="F1809" s="111"/>
      <c r="G1809" s="111"/>
    </row>
    <row r="1810" spans="1:7">
      <c r="A1810" s="106"/>
      <c r="B1810" s="111"/>
      <c r="C1810" s="111"/>
      <c r="D1810" s="111"/>
      <c r="E1810" s="111"/>
      <c r="F1810" s="111"/>
      <c r="G1810" s="111"/>
    </row>
    <row r="1811" spans="1:7">
      <c r="A1811" s="106"/>
      <c r="B1811" s="111"/>
      <c r="C1811" s="111"/>
      <c r="D1811" s="111"/>
      <c r="E1811" s="111"/>
      <c r="F1811" s="111"/>
      <c r="G1811" s="111"/>
    </row>
    <row r="1812" spans="1:7">
      <c r="A1812" s="106"/>
      <c r="B1812" s="111"/>
      <c r="C1812" s="111"/>
      <c r="D1812" s="111"/>
      <c r="E1812" s="111"/>
      <c r="F1812" s="111"/>
      <c r="G1812" s="111"/>
    </row>
    <row r="1813" spans="1:7">
      <c r="A1813" s="106"/>
      <c r="B1813" s="111"/>
      <c r="C1813" s="111"/>
      <c r="D1813" s="111"/>
      <c r="E1813" s="111"/>
      <c r="F1813" s="111"/>
      <c r="G1813" s="111"/>
    </row>
    <row r="1814" spans="1:7">
      <c r="A1814" s="106"/>
      <c r="B1814" s="111"/>
      <c r="C1814" s="111"/>
      <c r="D1814" s="111"/>
      <c r="E1814" s="111"/>
      <c r="F1814" s="111"/>
      <c r="G1814" s="111"/>
    </row>
    <row r="1815" spans="1:7">
      <c r="A1815" s="106"/>
      <c r="B1815" s="111"/>
      <c r="C1815" s="111"/>
      <c r="D1815" s="111"/>
      <c r="E1815" s="111"/>
      <c r="F1815" s="111"/>
      <c r="G1815" s="111"/>
    </row>
    <row r="1816" spans="1:7">
      <c r="A1816" s="106"/>
      <c r="B1816" s="111"/>
      <c r="C1816" s="111"/>
      <c r="D1816" s="111"/>
      <c r="E1816" s="111"/>
      <c r="F1816" s="111"/>
      <c r="G1816" s="111"/>
    </row>
    <row r="1817" spans="1:7">
      <c r="A1817" s="106"/>
      <c r="B1817" s="111"/>
      <c r="C1817" s="111"/>
      <c r="D1817" s="111"/>
      <c r="E1817" s="111"/>
      <c r="F1817" s="111"/>
      <c r="G1817" s="111"/>
    </row>
    <row r="1818" spans="1:7">
      <c r="A1818" s="106"/>
      <c r="B1818" s="111"/>
      <c r="C1818" s="111"/>
      <c r="D1818" s="111"/>
      <c r="E1818" s="111"/>
      <c r="F1818" s="111"/>
      <c r="G1818" s="111"/>
    </row>
    <row r="1819" spans="1:7">
      <c r="A1819" s="106"/>
      <c r="B1819" s="111"/>
      <c r="C1819" s="111"/>
      <c r="D1819" s="111"/>
      <c r="E1819" s="111"/>
      <c r="F1819" s="111"/>
      <c r="G1819" s="111"/>
    </row>
    <row r="1820" spans="1:7">
      <c r="A1820" s="106"/>
      <c r="B1820" s="111"/>
      <c r="C1820" s="111"/>
      <c r="D1820" s="111"/>
      <c r="E1820" s="111"/>
      <c r="F1820" s="111"/>
      <c r="G1820" s="111"/>
    </row>
    <row r="1821" spans="1:7">
      <c r="A1821" s="106"/>
      <c r="B1821" s="111"/>
      <c r="C1821" s="111"/>
      <c r="D1821" s="111"/>
      <c r="E1821" s="111"/>
      <c r="F1821" s="111"/>
      <c r="G1821" s="111"/>
    </row>
    <row r="1822" spans="1:7">
      <c r="A1822" s="106"/>
      <c r="B1822" s="111"/>
      <c r="C1822" s="111"/>
      <c r="D1822" s="111"/>
      <c r="E1822" s="111"/>
      <c r="F1822" s="111"/>
      <c r="G1822" s="111"/>
    </row>
    <row r="1823" spans="1:7">
      <c r="A1823" s="106"/>
      <c r="B1823" s="111"/>
      <c r="C1823" s="111"/>
      <c r="D1823" s="111"/>
      <c r="E1823" s="111"/>
      <c r="F1823" s="111"/>
      <c r="G1823" s="111"/>
    </row>
    <row r="1824" spans="1:7">
      <c r="A1824" s="106"/>
      <c r="B1824" s="111"/>
      <c r="C1824" s="111"/>
      <c r="D1824" s="111"/>
      <c r="E1824" s="111"/>
      <c r="F1824" s="111"/>
      <c r="G1824" s="111"/>
    </row>
    <row r="1825" spans="1:7">
      <c r="A1825" s="106"/>
      <c r="B1825" s="111"/>
      <c r="C1825" s="111"/>
      <c r="D1825" s="111"/>
      <c r="E1825" s="111"/>
      <c r="F1825" s="111"/>
      <c r="G1825" s="111"/>
    </row>
    <row r="1826" spans="1:7">
      <c r="A1826" s="106"/>
      <c r="B1826" s="111"/>
      <c r="C1826" s="111"/>
      <c r="D1826" s="111"/>
      <c r="E1826" s="111"/>
      <c r="F1826" s="111"/>
      <c r="G1826" s="111"/>
    </row>
    <row r="1827" spans="1:7">
      <c r="A1827" s="106"/>
      <c r="B1827" s="111"/>
      <c r="C1827" s="111"/>
      <c r="D1827" s="111"/>
      <c r="E1827" s="111"/>
      <c r="F1827" s="111"/>
      <c r="G1827" s="111"/>
    </row>
    <row r="1828" spans="1:7">
      <c r="A1828" s="106"/>
      <c r="B1828" s="111"/>
      <c r="C1828" s="111"/>
      <c r="D1828" s="111"/>
      <c r="E1828" s="111"/>
      <c r="F1828" s="111"/>
      <c r="G1828" s="111"/>
    </row>
    <row r="1829" spans="1:7">
      <c r="A1829" s="106"/>
      <c r="B1829" s="111"/>
      <c r="C1829" s="111"/>
      <c r="D1829" s="111"/>
      <c r="E1829" s="111"/>
      <c r="F1829" s="111"/>
      <c r="G1829" s="111"/>
    </row>
    <row r="1830" spans="1:7">
      <c r="A1830" s="106"/>
      <c r="B1830" s="111"/>
      <c r="C1830" s="111"/>
      <c r="D1830" s="111"/>
      <c r="E1830" s="111"/>
      <c r="F1830" s="111"/>
      <c r="G1830" s="111"/>
    </row>
    <row r="1831" spans="1:7">
      <c r="A1831" s="106"/>
      <c r="B1831" s="111"/>
      <c r="C1831" s="111"/>
      <c r="D1831" s="111"/>
      <c r="E1831" s="111"/>
      <c r="F1831" s="111"/>
      <c r="G1831" s="111"/>
    </row>
    <row r="1832" spans="1:7">
      <c r="A1832" s="106"/>
      <c r="B1832" s="111"/>
      <c r="C1832" s="111"/>
      <c r="D1832" s="111"/>
      <c r="E1832" s="111"/>
      <c r="F1832" s="111"/>
      <c r="G1832" s="111"/>
    </row>
    <row r="1833" spans="1:7">
      <c r="A1833" s="106"/>
      <c r="B1833" s="111"/>
      <c r="C1833" s="111"/>
      <c r="D1833" s="111"/>
      <c r="E1833" s="111"/>
      <c r="F1833" s="111"/>
      <c r="G1833" s="111"/>
    </row>
    <row r="1834" spans="1:7">
      <c r="A1834" s="106"/>
      <c r="B1834" s="111"/>
      <c r="C1834" s="111"/>
      <c r="D1834" s="111"/>
      <c r="E1834" s="111"/>
      <c r="F1834" s="111"/>
      <c r="G1834" s="111"/>
    </row>
    <row r="1835" spans="1:7">
      <c r="A1835" s="106"/>
      <c r="B1835" s="111"/>
      <c r="C1835" s="111"/>
      <c r="D1835" s="111"/>
      <c r="E1835" s="111"/>
      <c r="F1835" s="111"/>
      <c r="G1835" s="111"/>
    </row>
    <row r="1836" spans="1:7">
      <c r="A1836" s="106"/>
      <c r="B1836" s="111"/>
      <c r="C1836" s="111"/>
      <c r="D1836" s="111"/>
      <c r="E1836" s="111"/>
      <c r="F1836" s="111"/>
      <c r="G1836" s="111"/>
    </row>
    <row r="1837" spans="1:7">
      <c r="A1837" s="106"/>
      <c r="B1837" s="111"/>
      <c r="C1837" s="111"/>
      <c r="D1837" s="111"/>
      <c r="E1837" s="111"/>
      <c r="F1837" s="111"/>
      <c r="G1837" s="111"/>
    </row>
    <row r="1838" spans="1:7">
      <c r="A1838" s="106"/>
      <c r="B1838" s="111"/>
      <c r="C1838" s="111"/>
      <c r="D1838" s="111"/>
      <c r="E1838" s="111"/>
      <c r="F1838" s="111"/>
      <c r="G1838" s="111"/>
    </row>
    <row r="1839" spans="1:7">
      <c r="A1839" s="106"/>
      <c r="B1839" s="111"/>
      <c r="C1839" s="111"/>
      <c r="D1839" s="111"/>
      <c r="E1839" s="111"/>
      <c r="F1839" s="111"/>
      <c r="G1839" s="111"/>
    </row>
    <row r="1840" spans="1:7">
      <c r="A1840" s="106"/>
      <c r="B1840" s="111"/>
      <c r="C1840" s="111"/>
      <c r="D1840" s="111"/>
      <c r="E1840" s="111"/>
      <c r="F1840" s="111"/>
      <c r="G1840" s="111"/>
    </row>
    <row r="1841" spans="1:7">
      <c r="A1841" s="106"/>
      <c r="B1841" s="111"/>
      <c r="C1841" s="111"/>
      <c r="D1841" s="111"/>
      <c r="E1841" s="111"/>
      <c r="F1841" s="111"/>
      <c r="G1841" s="111"/>
    </row>
    <row r="1842" spans="1:7">
      <c r="A1842" s="106"/>
      <c r="B1842" s="111"/>
      <c r="C1842" s="111"/>
      <c r="D1842" s="111"/>
      <c r="E1842" s="111"/>
      <c r="F1842" s="111"/>
      <c r="G1842" s="111"/>
    </row>
    <row r="1843" spans="1:7">
      <c r="A1843" s="106"/>
      <c r="B1843" s="111"/>
      <c r="C1843" s="111"/>
      <c r="D1843" s="111"/>
      <c r="E1843" s="111"/>
      <c r="F1843" s="111"/>
      <c r="G1843" s="111"/>
    </row>
    <row r="1844" spans="1:7">
      <c r="A1844" s="106"/>
      <c r="B1844" s="111"/>
      <c r="C1844" s="111"/>
      <c r="D1844" s="111"/>
      <c r="E1844" s="111"/>
      <c r="F1844" s="111"/>
      <c r="G1844" s="111"/>
    </row>
    <row r="1845" spans="1:7">
      <c r="A1845" s="106"/>
      <c r="B1845" s="111"/>
      <c r="C1845" s="111"/>
      <c r="D1845" s="111"/>
      <c r="E1845" s="111"/>
      <c r="F1845" s="111"/>
      <c r="G1845" s="111"/>
    </row>
    <row r="1846" spans="1:7">
      <c r="A1846" s="106"/>
      <c r="B1846" s="111"/>
      <c r="C1846" s="111"/>
      <c r="D1846" s="111"/>
      <c r="E1846" s="111"/>
      <c r="F1846" s="111"/>
      <c r="G1846" s="111"/>
    </row>
    <row r="1847" spans="1:7">
      <c r="A1847" s="106"/>
      <c r="B1847" s="111"/>
      <c r="C1847" s="111"/>
      <c r="D1847" s="111"/>
      <c r="E1847" s="111"/>
      <c r="F1847" s="111"/>
      <c r="G1847" s="111"/>
    </row>
    <row r="1848" spans="1:7">
      <c r="A1848" s="106"/>
      <c r="B1848" s="111"/>
      <c r="C1848" s="111"/>
      <c r="D1848" s="111"/>
      <c r="E1848" s="111"/>
      <c r="F1848" s="111"/>
      <c r="G1848" s="111"/>
    </row>
    <row r="1849" spans="1:7">
      <c r="A1849" s="106"/>
      <c r="B1849" s="111"/>
      <c r="C1849" s="111"/>
      <c r="D1849" s="111"/>
      <c r="E1849" s="111"/>
      <c r="F1849" s="111"/>
      <c r="G1849" s="111"/>
    </row>
    <row r="1850" spans="1:7">
      <c r="A1850" s="106"/>
      <c r="B1850" s="111"/>
      <c r="C1850" s="111"/>
      <c r="D1850" s="111"/>
      <c r="E1850" s="111"/>
      <c r="F1850" s="111"/>
      <c r="G1850" s="111"/>
    </row>
    <row r="1851" spans="1:7">
      <c r="A1851" s="106"/>
      <c r="B1851" s="111"/>
      <c r="C1851" s="111"/>
      <c r="D1851" s="111"/>
      <c r="E1851" s="111"/>
      <c r="F1851" s="111"/>
      <c r="G1851" s="111"/>
    </row>
    <row r="1852" spans="1:7">
      <c r="A1852" s="106"/>
      <c r="B1852" s="111"/>
      <c r="C1852" s="111"/>
      <c r="D1852" s="111"/>
      <c r="E1852" s="111"/>
      <c r="F1852" s="111"/>
      <c r="G1852" s="111"/>
    </row>
    <row r="1853" spans="1:7">
      <c r="A1853" s="106"/>
      <c r="B1853" s="111"/>
      <c r="C1853" s="111"/>
      <c r="D1853" s="111"/>
      <c r="E1853" s="111"/>
      <c r="F1853" s="111"/>
      <c r="G1853" s="111"/>
    </row>
    <row r="1854" spans="1:7">
      <c r="A1854" s="106"/>
      <c r="B1854" s="111"/>
      <c r="C1854" s="111"/>
      <c r="D1854" s="111"/>
      <c r="E1854" s="111"/>
      <c r="F1854" s="111"/>
      <c r="G1854" s="111"/>
    </row>
    <row r="1855" spans="1:7">
      <c r="A1855" s="106"/>
      <c r="B1855" s="111"/>
      <c r="C1855" s="111"/>
      <c r="D1855" s="111"/>
      <c r="E1855" s="111"/>
      <c r="F1855" s="111"/>
      <c r="G1855" s="111"/>
    </row>
    <row r="1856" spans="1:7">
      <c r="A1856" s="106"/>
      <c r="B1856" s="111"/>
      <c r="C1856" s="111"/>
      <c r="D1856" s="111"/>
      <c r="E1856" s="111"/>
      <c r="F1856" s="111"/>
      <c r="G1856" s="111"/>
    </row>
    <row r="1857" spans="1:7">
      <c r="A1857" s="106"/>
      <c r="B1857" s="111"/>
      <c r="C1857" s="111"/>
      <c r="D1857" s="111"/>
      <c r="E1857" s="111"/>
      <c r="F1857" s="111"/>
      <c r="G1857" s="111"/>
    </row>
    <row r="1858" spans="1:7">
      <c r="A1858" s="106"/>
      <c r="B1858" s="111"/>
      <c r="C1858" s="111"/>
      <c r="D1858" s="111"/>
      <c r="E1858" s="111"/>
      <c r="F1858" s="111"/>
      <c r="G1858" s="111"/>
    </row>
    <row r="1859" spans="1:7">
      <c r="A1859" s="106"/>
      <c r="B1859" s="111"/>
      <c r="C1859" s="111"/>
      <c r="D1859" s="111"/>
      <c r="E1859" s="111"/>
      <c r="F1859" s="111"/>
      <c r="G1859" s="111"/>
    </row>
    <row r="1860" spans="1:7">
      <c r="A1860" s="106"/>
      <c r="B1860" s="111"/>
      <c r="C1860" s="111"/>
      <c r="D1860" s="111"/>
      <c r="E1860" s="111"/>
      <c r="F1860" s="111"/>
      <c r="G1860" s="111"/>
    </row>
    <row r="1861" spans="1:7">
      <c r="A1861" s="106"/>
      <c r="B1861" s="111"/>
      <c r="C1861" s="111"/>
      <c r="D1861" s="111"/>
      <c r="E1861" s="111"/>
      <c r="F1861" s="111"/>
      <c r="G1861" s="111"/>
    </row>
    <row r="1862" spans="1:7">
      <c r="A1862" s="106"/>
      <c r="B1862" s="111"/>
      <c r="C1862" s="111"/>
      <c r="D1862" s="111"/>
      <c r="E1862" s="111"/>
      <c r="F1862" s="111"/>
      <c r="G1862" s="111"/>
    </row>
    <row r="1863" spans="1:7">
      <c r="A1863" s="106"/>
      <c r="B1863" s="111"/>
      <c r="C1863" s="111"/>
      <c r="D1863" s="111"/>
      <c r="E1863" s="111"/>
      <c r="F1863" s="111"/>
      <c r="G1863" s="111"/>
    </row>
    <row r="1864" spans="1:7">
      <c r="A1864" s="106"/>
      <c r="B1864" s="111"/>
      <c r="C1864" s="111"/>
      <c r="D1864" s="111"/>
      <c r="E1864" s="111"/>
      <c r="F1864" s="111"/>
      <c r="G1864" s="111"/>
    </row>
    <row r="1865" spans="1:7">
      <c r="A1865" s="106"/>
      <c r="B1865" s="111"/>
      <c r="C1865" s="111"/>
      <c r="D1865" s="111"/>
      <c r="E1865" s="111"/>
      <c r="F1865" s="111"/>
      <c r="G1865" s="111"/>
    </row>
    <row r="1866" spans="1:7">
      <c r="A1866" s="106"/>
      <c r="B1866" s="111"/>
      <c r="C1866" s="111"/>
      <c r="D1866" s="111"/>
      <c r="E1866" s="111"/>
      <c r="F1866" s="111"/>
      <c r="G1866" s="111"/>
    </row>
    <row r="1867" spans="1:7">
      <c r="A1867" s="106"/>
      <c r="B1867" s="111"/>
      <c r="C1867" s="111"/>
      <c r="D1867" s="111"/>
      <c r="E1867" s="111"/>
      <c r="F1867" s="111"/>
      <c r="G1867" s="111"/>
    </row>
    <row r="1868" spans="1:7">
      <c r="A1868" s="106"/>
      <c r="B1868" s="111"/>
      <c r="C1868" s="111"/>
      <c r="D1868" s="111"/>
      <c r="E1868" s="111"/>
      <c r="F1868" s="111"/>
      <c r="G1868" s="111"/>
    </row>
    <row r="1869" spans="1:7">
      <c r="A1869" s="106"/>
      <c r="B1869" s="111"/>
      <c r="C1869" s="111"/>
      <c r="D1869" s="111"/>
      <c r="E1869" s="111"/>
      <c r="F1869" s="111"/>
      <c r="G1869" s="111"/>
    </row>
    <row r="1870" spans="1:7">
      <c r="A1870" s="106"/>
      <c r="B1870" s="111"/>
      <c r="C1870" s="111"/>
      <c r="D1870" s="111"/>
      <c r="E1870" s="111"/>
      <c r="F1870" s="111"/>
      <c r="G1870" s="111"/>
    </row>
    <row r="1871" spans="1:7">
      <c r="A1871" s="106"/>
      <c r="B1871" s="111"/>
      <c r="C1871" s="111"/>
      <c r="D1871" s="111"/>
      <c r="E1871" s="111"/>
      <c r="F1871" s="111"/>
      <c r="G1871" s="111"/>
    </row>
    <row r="1872" spans="1:7">
      <c r="A1872" s="106"/>
      <c r="B1872" s="111"/>
      <c r="C1872" s="111"/>
      <c r="D1872" s="111"/>
      <c r="E1872" s="111"/>
      <c r="F1872" s="111"/>
      <c r="G1872" s="111"/>
    </row>
    <row r="1873" spans="1:7">
      <c r="A1873" s="106"/>
      <c r="B1873" s="111"/>
      <c r="C1873" s="111"/>
      <c r="D1873" s="111"/>
      <c r="E1873" s="111"/>
      <c r="F1873" s="111"/>
      <c r="G1873" s="111"/>
    </row>
    <row r="1874" spans="1:7">
      <c r="A1874" s="106"/>
      <c r="B1874" s="111"/>
      <c r="C1874" s="111"/>
      <c r="D1874" s="111"/>
      <c r="E1874" s="111"/>
      <c r="F1874" s="111"/>
      <c r="G1874" s="111"/>
    </row>
    <row r="1875" spans="1:7">
      <c r="A1875" s="106"/>
      <c r="B1875" s="111"/>
      <c r="C1875" s="111"/>
      <c r="D1875" s="111"/>
      <c r="E1875" s="111"/>
      <c r="F1875" s="111"/>
      <c r="G1875" s="111"/>
    </row>
    <row r="1876" spans="1:7">
      <c r="A1876" s="106"/>
      <c r="B1876" s="111"/>
      <c r="C1876" s="111"/>
      <c r="D1876" s="111"/>
      <c r="E1876" s="111"/>
      <c r="F1876" s="111"/>
      <c r="G1876" s="111"/>
    </row>
    <row r="1877" spans="1:7">
      <c r="A1877" s="106"/>
      <c r="B1877" s="111"/>
      <c r="C1877" s="111"/>
      <c r="D1877" s="111"/>
      <c r="E1877" s="111"/>
      <c r="F1877" s="111"/>
      <c r="G1877" s="111"/>
    </row>
    <row r="1878" spans="1:7">
      <c r="A1878" s="106"/>
      <c r="B1878" s="111"/>
      <c r="C1878" s="111"/>
      <c r="D1878" s="111"/>
      <c r="E1878" s="111"/>
      <c r="F1878" s="111"/>
      <c r="G1878" s="111"/>
    </row>
    <row r="1879" spans="1:7">
      <c r="A1879" s="106"/>
      <c r="B1879" s="111"/>
      <c r="C1879" s="111"/>
      <c r="D1879" s="111"/>
      <c r="E1879" s="111"/>
      <c r="F1879" s="111"/>
      <c r="G1879" s="111"/>
    </row>
    <row r="1880" spans="1:7">
      <c r="A1880" s="106"/>
      <c r="B1880" s="111"/>
      <c r="C1880" s="111"/>
      <c r="D1880" s="111"/>
      <c r="E1880" s="111"/>
      <c r="F1880" s="111"/>
      <c r="G1880" s="111"/>
    </row>
    <row r="1881" spans="1:7">
      <c r="A1881" s="106"/>
      <c r="B1881" s="111"/>
      <c r="C1881" s="111"/>
      <c r="D1881" s="111"/>
      <c r="E1881" s="111"/>
      <c r="F1881" s="111"/>
      <c r="G1881" s="111"/>
    </row>
    <row r="1882" spans="1:7">
      <c r="A1882" s="106"/>
      <c r="B1882" s="111"/>
      <c r="C1882" s="111"/>
      <c r="D1882" s="111"/>
      <c r="E1882" s="111"/>
      <c r="F1882" s="111"/>
      <c r="G1882" s="111"/>
    </row>
    <row r="1883" spans="1:7">
      <c r="A1883" s="106"/>
      <c r="B1883" s="111"/>
      <c r="C1883" s="111"/>
      <c r="D1883" s="111"/>
      <c r="E1883" s="111"/>
      <c r="F1883" s="111"/>
      <c r="G1883" s="111"/>
    </row>
    <row r="1884" spans="1:7">
      <c r="A1884" s="106"/>
      <c r="B1884" s="111"/>
      <c r="C1884" s="111"/>
      <c r="D1884" s="111"/>
      <c r="E1884" s="111"/>
      <c r="F1884" s="111"/>
      <c r="G1884" s="111"/>
    </row>
    <row r="1885" spans="1:7">
      <c r="A1885" s="106"/>
      <c r="B1885" s="111"/>
      <c r="C1885" s="111"/>
      <c r="D1885" s="111"/>
      <c r="E1885" s="111"/>
      <c r="F1885" s="111"/>
      <c r="G1885" s="111"/>
    </row>
    <row r="1886" spans="1:7">
      <c r="A1886" s="106"/>
      <c r="B1886" s="111"/>
      <c r="C1886" s="111"/>
      <c r="D1886" s="111"/>
      <c r="E1886" s="111"/>
      <c r="F1886" s="111"/>
      <c r="G1886" s="111"/>
    </row>
    <row r="1887" spans="1:7">
      <c r="A1887" s="106"/>
      <c r="B1887" s="111"/>
      <c r="C1887" s="111"/>
      <c r="D1887" s="111"/>
      <c r="E1887" s="111"/>
      <c r="F1887" s="111"/>
      <c r="G1887" s="111"/>
    </row>
    <row r="1888" spans="1:7">
      <c r="A1888" s="106"/>
      <c r="B1888" s="111"/>
      <c r="C1888" s="111"/>
      <c r="D1888" s="111"/>
      <c r="E1888" s="111"/>
      <c r="F1888" s="111"/>
      <c r="G1888" s="111"/>
    </row>
    <row r="1889" spans="1:7">
      <c r="A1889" s="106"/>
      <c r="B1889" s="111"/>
      <c r="C1889" s="111"/>
      <c r="D1889" s="111"/>
      <c r="E1889" s="111"/>
      <c r="F1889" s="111"/>
      <c r="G1889" s="111"/>
    </row>
    <row r="1890" spans="1:7">
      <c r="A1890" s="106"/>
      <c r="B1890" s="111"/>
      <c r="C1890" s="111"/>
      <c r="D1890" s="111"/>
      <c r="E1890" s="111"/>
      <c r="F1890" s="111"/>
      <c r="G1890" s="111"/>
    </row>
    <row r="1891" spans="1:7">
      <c r="A1891" s="106"/>
      <c r="B1891" s="111"/>
      <c r="C1891" s="111"/>
      <c r="D1891" s="111"/>
      <c r="E1891" s="111"/>
      <c r="F1891" s="111"/>
      <c r="G1891" s="111"/>
    </row>
    <row r="1892" spans="1:7">
      <c r="A1892" s="106"/>
      <c r="B1892" s="111"/>
      <c r="C1892" s="111"/>
      <c r="D1892" s="111"/>
      <c r="E1892" s="111"/>
      <c r="F1892" s="111"/>
      <c r="G1892" s="111"/>
    </row>
    <row r="1893" spans="1:7">
      <c r="A1893" s="106"/>
      <c r="B1893" s="111"/>
      <c r="C1893" s="111"/>
      <c r="D1893" s="111"/>
      <c r="E1893" s="111"/>
      <c r="F1893" s="111"/>
      <c r="G1893" s="111"/>
    </row>
    <row r="1894" spans="1:7">
      <c r="A1894" s="106"/>
      <c r="B1894" s="111"/>
      <c r="C1894" s="111"/>
      <c r="D1894" s="111"/>
      <c r="E1894" s="111"/>
      <c r="F1894" s="111"/>
      <c r="G1894" s="111"/>
    </row>
    <row r="1895" spans="1:7">
      <c r="A1895" s="106"/>
      <c r="B1895" s="111"/>
      <c r="C1895" s="111"/>
      <c r="D1895" s="111"/>
      <c r="E1895" s="111"/>
      <c r="F1895" s="111"/>
      <c r="G1895" s="111"/>
    </row>
    <row r="1896" spans="1:7">
      <c r="A1896" s="106"/>
      <c r="B1896" s="111"/>
      <c r="C1896" s="111"/>
      <c r="D1896" s="111"/>
      <c r="E1896" s="111"/>
      <c r="F1896" s="111"/>
      <c r="G1896" s="111"/>
    </row>
    <row r="1897" spans="1:7">
      <c r="A1897" s="106"/>
      <c r="B1897" s="111"/>
      <c r="C1897" s="111"/>
      <c r="D1897" s="111"/>
      <c r="E1897" s="111"/>
      <c r="F1897" s="111"/>
      <c r="G1897" s="111"/>
    </row>
    <row r="1898" spans="1:7">
      <c r="A1898" s="106"/>
      <c r="B1898" s="111"/>
      <c r="C1898" s="111"/>
      <c r="D1898" s="111"/>
      <c r="E1898" s="111"/>
      <c r="F1898" s="111"/>
      <c r="G1898" s="111"/>
    </row>
    <row r="1899" spans="1:7">
      <c r="A1899" s="106"/>
      <c r="B1899" s="111"/>
      <c r="C1899" s="111"/>
      <c r="D1899" s="111"/>
      <c r="E1899" s="111"/>
      <c r="F1899" s="111"/>
      <c r="G1899" s="111"/>
    </row>
    <row r="1900" spans="1:7">
      <c r="A1900" s="106"/>
      <c r="B1900" s="111"/>
      <c r="C1900" s="111"/>
      <c r="D1900" s="111"/>
      <c r="E1900" s="111"/>
      <c r="F1900" s="111"/>
      <c r="G1900" s="111"/>
    </row>
    <row r="1901" spans="1:7">
      <c r="A1901" s="106"/>
      <c r="B1901" s="111"/>
      <c r="C1901" s="111"/>
      <c r="D1901" s="111"/>
      <c r="E1901" s="111"/>
      <c r="F1901" s="111"/>
      <c r="G1901" s="111"/>
    </row>
    <row r="1902" spans="1:7">
      <c r="A1902" s="106"/>
      <c r="B1902" s="111"/>
      <c r="C1902" s="111"/>
      <c r="D1902" s="111"/>
      <c r="E1902" s="111"/>
      <c r="F1902" s="111"/>
      <c r="G1902" s="111"/>
    </row>
    <row r="1903" spans="1:7">
      <c r="A1903" s="106"/>
      <c r="B1903" s="111"/>
      <c r="C1903" s="111"/>
      <c r="D1903" s="111"/>
      <c r="E1903" s="111"/>
      <c r="F1903" s="111"/>
      <c r="G1903" s="111"/>
    </row>
    <row r="1904" spans="1:7">
      <c r="A1904" s="106"/>
      <c r="B1904" s="111"/>
      <c r="C1904" s="111"/>
      <c r="D1904" s="111"/>
      <c r="E1904" s="111"/>
      <c r="F1904" s="111"/>
      <c r="G1904" s="111"/>
    </row>
    <row r="1905" spans="1:7">
      <c r="A1905" s="106"/>
      <c r="B1905" s="111"/>
      <c r="C1905" s="111"/>
      <c r="D1905" s="111"/>
      <c r="E1905" s="111"/>
      <c r="F1905" s="111"/>
      <c r="G1905" s="111"/>
    </row>
    <row r="1906" spans="1:7">
      <c r="A1906" s="106"/>
      <c r="B1906" s="111"/>
      <c r="C1906" s="111"/>
      <c r="D1906" s="111"/>
      <c r="E1906" s="111"/>
      <c r="F1906" s="111"/>
      <c r="G1906" s="111"/>
    </row>
    <row r="1907" spans="1:7">
      <c r="A1907" s="106"/>
      <c r="B1907" s="111"/>
      <c r="C1907" s="111"/>
      <c r="D1907" s="111"/>
      <c r="E1907" s="111"/>
      <c r="F1907" s="111"/>
      <c r="G1907" s="111"/>
    </row>
    <row r="1908" spans="1:7">
      <c r="A1908" s="106"/>
      <c r="B1908" s="111"/>
      <c r="C1908" s="111"/>
      <c r="D1908" s="111"/>
      <c r="E1908" s="111"/>
      <c r="F1908" s="111"/>
      <c r="G1908" s="111"/>
    </row>
    <row r="1909" spans="1:7">
      <c r="A1909" s="106"/>
      <c r="B1909" s="111"/>
      <c r="C1909" s="111"/>
      <c r="D1909" s="111"/>
      <c r="E1909" s="111"/>
      <c r="F1909" s="111"/>
      <c r="G1909" s="111"/>
    </row>
    <row r="1910" spans="1:7">
      <c r="A1910" s="106"/>
      <c r="B1910" s="111"/>
      <c r="C1910" s="111"/>
      <c r="D1910" s="111"/>
      <c r="E1910" s="111"/>
      <c r="F1910" s="111"/>
      <c r="G1910" s="111"/>
    </row>
    <row r="1911" spans="1:7">
      <c r="A1911" s="106"/>
      <c r="B1911" s="111"/>
      <c r="C1911" s="111"/>
      <c r="D1911" s="111"/>
      <c r="E1911" s="111"/>
      <c r="F1911" s="111"/>
      <c r="G1911" s="111"/>
    </row>
    <row r="1912" spans="1:7">
      <c r="A1912" s="106"/>
      <c r="B1912" s="111"/>
      <c r="C1912" s="111"/>
      <c r="D1912" s="111"/>
      <c r="E1912" s="111"/>
      <c r="F1912" s="111"/>
      <c r="G1912" s="111"/>
    </row>
    <row r="1913" spans="1:7">
      <c r="A1913" s="106"/>
      <c r="B1913" s="111"/>
      <c r="C1913" s="111"/>
      <c r="D1913" s="111"/>
      <c r="E1913" s="111"/>
      <c r="F1913" s="111"/>
      <c r="G1913" s="111"/>
    </row>
    <row r="1914" spans="1:7">
      <c r="A1914" s="106"/>
      <c r="B1914" s="111"/>
      <c r="C1914" s="111"/>
      <c r="D1914" s="111"/>
      <c r="E1914" s="111"/>
      <c r="F1914" s="111"/>
      <c r="G1914" s="111"/>
    </row>
    <row r="1915" spans="1:7">
      <c r="A1915" s="106"/>
      <c r="B1915" s="111"/>
      <c r="C1915" s="111"/>
      <c r="D1915" s="111"/>
      <c r="E1915" s="111"/>
      <c r="F1915" s="111"/>
      <c r="G1915" s="111"/>
    </row>
    <row r="1916" spans="1:7">
      <c r="A1916" s="106"/>
      <c r="B1916" s="111"/>
      <c r="C1916" s="111"/>
      <c r="D1916" s="111"/>
      <c r="E1916" s="111"/>
      <c r="F1916" s="111"/>
      <c r="G1916" s="111"/>
    </row>
    <row r="1917" spans="1:7">
      <c r="A1917" s="106"/>
      <c r="B1917" s="111"/>
      <c r="C1917" s="111"/>
      <c r="D1917" s="111"/>
      <c r="E1917" s="111"/>
      <c r="F1917" s="111"/>
      <c r="G1917" s="111"/>
    </row>
    <row r="1918" spans="1:7">
      <c r="A1918" s="106"/>
      <c r="B1918" s="111"/>
      <c r="C1918" s="111"/>
      <c r="D1918" s="111"/>
      <c r="E1918" s="111"/>
      <c r="F1918" s="111"/>
      <c r="G1918" s="111"/>
    </row>
    <row r="1919" spans="1:7">
      <c r="A1919" s="106"/>
      <c r="B1919" s="111"/>
      <c r="C1919" s="111"/>
      <c r="D1919" s="111"/>
      <c r="E1919" s="111"/>
      <c r="F1919" s="111"/>
      <c r="G1919" s="111"/>
    </row>
    <row r="1920" spans="1:7">
      <c r="A1920" s="106"/>
      <c r="B1920" s="111"/>
      <c r="C1920" s="111"/>
      <c r="D1920" s="111"/>
      <c r="E1920" s="111"/>
      <c r="F1920" s="111"/>
      <c r="G1920" s="111"/>
    </row>
    <row r="1921" spans="1:7">
      <c r="A1921" s="106"/>
      <c r="B1921" s="111"/>
      <c r="C1921" s="111"/>
      <c r="D1921" s="111"/>
      <c r="E1921" s="111"/>
      <c r="F1921" s="111"/>
      <c r="G1921" s="111"/>
    </row>
    <row r="1922" spans="1:7">
      <c r="A1922" s="106"/>
      <c r="B1922" s="111"/>
      <c r="C1922" s="111"/>
      <c r="D1922" s="111"/>
      <c r="E1922" s="111"/>
      <c r="F1922" s="111"/>
      <c r="G1922" s="111"/>
    </row>
    <row r="1923" spans="1:7">
      <c r="A1923" s="106"/>
      <c r="B1923" s="111"/>
      <c r="C1923" s="111"/>
      <c r="D1923" s="111"/>
      <c r="E1923" s="111"/>
      <c r="F1923" s="111"/>
      <c r="G1923" s="111"/>
    </row>
    <row r="1924" spans="1:7">
      <c r="A1924" s="106"/>
      <c r="B1924" s="111"/>
      <c r="C1924" s="111"/>
      <c r="D1924" s="111"/>
      <c r="E1924" s="111"/>
      <c r="F1924" s="111"/>
      <c r="G1924" s="111"/>
    </row>
    <row r="1925" spans="1:7">
      <c r="A1925" s="106"/>
      <c r="B1925" s="111"/>
      <c r="C1925" s="111"/>
      <c r="D1925" s="111"/>
      <c r="E1925" s="111"/>
      <c r="F1925" s="111"/>
      <c r="G1925" s="111"/>
    </row>
    <row r="1926" spans="1:7">
      <c r="A1926" s="106"/>
      <c r="B1926" s="111"/>
      <c r="C1926" s="111"/>
      <c r="D1926" s="111"/>
      <c r="E1926" s="111"/>
      <c r="F1926" s="111"/>
      <c r="G1926" s="111"/>
    </row>
    <row r="1927" spans="1:7">
      <c r="A1927" s="106"/>
      <c r="B1927" s="111"/>
      <c r="C1927" s="111"/>
      <c r="D1927" s="111"/>
      <c r="E1927" s="111"/>
      <c r="F1927" s="111"/>
      <c r="G1927" s="111"/>
    </row>
    <row r="1928" spans="1:7">
      <c r="A1928" s="106"/>
      <c r="B1928" s="111"/>
      <c r="C1928" s="111"/>
      <c r="D1928" s="111"/>
      <c r="E1928" s="111"/>
      <c r="F1928" s="111"/>
      <c r="G1928" s="111"/>
    </row>
    <row r="1929" spans="1:7">
      <c r="A1929" s="106"/>
      <c r="B1929" s="111"/>
      <c r="C1929" s="111"/>
      <c r="D1929" s="111"/>
      <c r="E1929" s="111"/>
      <c r="F1929" s="111"/>
      <c r="G1929" s="111"/>
    </row>
    <row r="1930" spans="1:7">
      <c r="A1930" s="106"/>
      <c r="B1930" s="111"/>
      <c r="C1930" s="111"/>
      <c r="D1930" s="111"/>
      <c r="E1930" s="111"/>
      <c r="F1930" s="111"/>
      <c r="G1930" s="111"/>
    </row>
    <row r="1931" spans="1:7">
      <c r="A1931" s="106"/>
      <c r="B1931" s="111"/>
      <c r="C1931" s="111"/>
      <c r="D1931" s="111"/>
      <c r="E1931" s="111"/>
      <c r="F1931" s="111"/>
      <c r="G1931" s="111"/>
    </row>
    <row r="1932" spans="1:7">
      <c r="A1932" s="106"/>
      <c r="B1932" s="111"/>
      <c r="C1932" s="111"/>
      <c r="D1932" s="111"/>
      <c r="E1932" s="111"/>
      <c r="F1932" s="111"/>
      <c r="G1932" s="111"/>
    </row>
    <row r="1933" spans="1:7">
      <c r="A1933" s="106"/>
      <c r="B1933" s="111"/>
      <c r="C1933" s="111"/>
      <c r="D1933" s="111"/>
      <c r="E1933" s="111"/>
      <c r="F1933" s="111"/>
      <c r="G1933" s="111"/>
    </row>
    <row r="1934" spans="1:7">
      <c r="A1934" s="106"/>
      <c r="B1934" s="111"/>
      <c r="C1934" s="111"/>
      <c r="D1934" s="111"/>
      <c r="E1934" s="111"/>
      <c r="F1934" s="111"/>
      <c r="G1934" s="111"/>
    </row>
    <row r="1935" spans="1:7">
      <c r="A1935" s="106"/>
      <c r="B1935" s="111"/>
      <c r="C1935" s="111"/>
      <c r="D1935" s="111"/>
      <c r="E1935" s="111"/>
      <c r="F1935" s="111"/>
      <c r="G1935" s="111"/>
    </row>
    <row r="1936" spans="1:7">
      <c r="A1936" s="106"/>
      <c r="B1936" s="111"/>
      <c r="C1936" s="111"/>
      <c r="D1936" s="111"/>
      <c r="E1936" s="111"/>
      <c r="F1936" s="111"/>
      <c r="G1936" s="111"/>
    </row>
    <row r="1937" spans="1:7">
      <c r="A1937" s="106"/>
      <c r="B1937" s="111"/>
      <c r="C1937" s="111"/>
      <c r="D1937" s="111"/>
      <c r="E1937" s="111"/>
      <c r="F1937" s="111"/>
      <c r="G1937" s="111"/>
    </row>
    <row r="1938" spans="1:7">
      <c r="A1938" s="106"/>
      <c r="B1938" s="111"/>
      <c r="C1938" s="111"/>
      <c r="D1938" s="111"/>
      <c r="E1938" s="111"/>
      <c r="F1938" s="111"/>
      <c r="G1938" s="111"/>
    </row>
    <row r="1939" spans="1:7">
      <c r="A1939" s="106"/>
      <c r="B1939" s="111"/>
      <c r="C1939" s="111"/>
      <c r="D1939" s="111"/>
      <c r="E1939" s="111"/>
      <c r="F1939" s="111"/>
      <c r="G1939" s="111"/>
    </row>
    <row r="1940" spans="1:7">
      <c r="A1940" s="106"/>
      <c r="B1940" s="111"/>
      <c r="C1940" s="111"/>
      <c r="D1940" s="111"/>
      <c r="E1940" s="111"/>
      <c r="F1940" s="111"/>
      <c r="G1940" s="111"/>
    </row>
    <row r="1941" spans="1:7">
      <c r="A1941" s="106"/>
      <c r="B1941" s="111"/>
      <c r="C1941" s="111"/>
      <c r="D1941" s="111"/>
      <c r="E1941" s="111"/>
      <c r="F1941" s="111"/>
      <c r="G1941" s="111"/>
    </row>
    <row r="1942" spans="1:7">
      <c r="A1942" s="106"/>
      <c r="B1942" s="111"/>
      <c r="C1942" s="111"/>
      <c r="D1942" s="111"/>
      <c r="E1942" s="111"/>
      <c r="F1942" s="111"/>
      <c r="G1942" s="111"/>
    </row>
    <row r="1943" spans="1:7">
      <c r="A1943" s="106"/>
      <c r="B1943" s="111"/>
      <c r="C1943" s="111"/>
      <c r="D1943" s="111"/>
      <c r="E1943" s="111"/>
      <c r="F1943" s="111"/>
      <c r="G1943" s="111"/>
    </row>
    <row r="1944" spans="1:7">
      <c r="A1944" s="106"/>
      <c r="B1944" s="111"/>
      <c r="C1944" s="111"/>
      <c r="D1944" s="111"/>
      <c r="E1944" s="111"/>
      <c r="F1944" s="111"/>
      <c r="G1944" s="111"/>
    </row>
    <row r="1945" spans="1:7">
      <c r="A1945" s="106"/>
      <c r="B1945" s="111"/>
      <c r="C1945" s="111"/>
      <c r="D1945" s="111"/>
      <c r="E1945" s="111"/>
      <c r="F1945" s="111"/>
      <c r="G1945" s="111"/>
    </row>
    <row r="1946" spans="1:7">
      <c r="A1946" s="106"/>
      <c r="B1946" s="111"/>
      <c r="C1946" s="111"/>
      <c r="D1946" s="111"/>
      <c r="E1946" s="111"/>
      <c r="F1946" s="111"/>
      <c r="G1946" s="111"/>
    </row>
    <row r="1947" spans="1:7">
      <c r="A1947" s="106"/>
      <c r="B1947" s="111"/>
      <c r="C1947" s="111"/>
      <c r="D1947" s="111"/>
      <c r="E1947" s="111"/>
      <c r="F1947" s="111"/>
      <c r="G1947" s="111"/>
    </row>
    <row r="1948" spans="1:7">
      <c r="A1948" s="106"/>
      <c r="B1948" s="111"/>
      <c r="C1948" s="111"/>
      <c r="D1948" s="111"/>
      <c r="E1948" s="111"/>
      <c r="F1948" s="111"/>
      <c r="G1948" s="111"/>
    </row>
    <row r="1949" spans="1:7">
      <c r="A1949" s="106"/>
      <c r="B1949" s="111"/>
      <c r="C1949" s="111"/>
      <c r="D1949" s="111"/>
      <c r="E1949" s="111"/>
      <c r="F1949" s="111"/>
      <c r="G1949" s="111"/>
    </row>
    <row r="1950" spans="1:7">
      <c r="A1950" s="106"/>
      <c r="B1950" s="111"/>
      <c r="C1950" s="111"/>
      <c r="D1950" s="111"/>
      <c r="E1950" s="111"/>
      <c r="F1950" s="111"/>
      <c r="G1950" s="111"/>
    </row>
    <row r="1951" spans="1:7">
      <c r="A1951" s="106"/>
      <c r="B1951" s="111"/>
      <c r="C1951" s="111"/>
      <c r="D1951" s="111"/>
      <c r="E1951" s="111"/>
      <c r="F1951" s="111"/>
      <c r="G1951" s="111"/>
    </row>
    <row r="1952" spans="1:7">
      <c r="A1952" s="106"/>
      <c r="B1952" s="111"/>
      <c r="C1952" s="111"/>
      <c r="D1952" s="111"/>
      <c r="E1952" s="111"/>
      <c r="F1952" s="111"/>
      <c r="G1952" s="111"/>
    </row>
    <row r="1953" spans="1:7">
      <c r="A1953" s="106"/>
      <c r="B1953" s="111"/>
      <c r="C1953" s="111"/>
      <c r="D1953" s="111"/>
      <c r="E1953" s="111"/>
      <c r="F1953" s="111"/>
      <c r="G1953" s="111"/>
    </row>
    <row r="1954" spans="1:7">
      <c r="A1954" s="106"/>
      <c r="B1954" s="111"/>
      <c r="C1954" s="111"/>
      <c r="D1954" s="111"/>
      <c r="E1954" s="111"/>
      <c r="F1954" s="111"/>
      <c r="G1954" s="111"/>
    </row>
    <row r="1955" spans="1:7">
      <c r="A1955" s="106"/>
      <c r="B1955" s="111"/>
      <c r="C1955" s="111"/>
      <c r="D1955" s="111"/>
      <c r="E1955" s="111"/>
      <c r="F1955" s="111"/>
      <c r="G1955" s="111"/>
    </row>
    <row r="1956" spans="1:7">
      <c r="A1956" s="106"/>
      <c r="B1956" s="111"/>
      <c r="C1956" s="111"/>
      <c r="D1956" s="111"/>
      <c r="E1956" s="111"/>
      <c r="F1956" s="111"/>
      <c r="G1956" s="111"/>
    </row>
    <row r="1957" spans="1:7">
      <c r="A1957" s="106"/>
      <c r="B1957" s="111"/>
      <c r="C1957" s="111"/>
      <c r="D1957" s="111"/>
      <c r="E1957" s="111"/>
      <c r="F1957" s="111"/>
      <c r="G1957" s="111"/>
    </row>
    <row r="1958" spans="1:7">
      <c r="A1958" s="106"/>
      <c r="B1958" s="111"/>
      <c r="C1958" s="111"/>
      <c r="D1958" s="111"/>
      <c r="E1958" s="111"/>
      <c r="F1958" s="111"/>
      <c r="G1958" s="111"/>
    </row>
    <row r="1959" spans="1:7">
      <c r="A1959" s="106"/>
      <c r="B1959" s="111"/>
      <c r="C1959" s="111"/>
      <c r="D1959" s="111"/>
      <c r="E1959" s="111"/>
      <c r="F1959" s="111"/>
      <c r="G1959" s="111"/>
    </row>
    <row r="1960" spans="1:7">
      <c r="A1960" s="106"/>
      <c r="B1960" s="111"/>
      <c r="C1960" s="111"/>
      <c r="D1960" s="111"/>
      <c r="E1960" s="111"/>
      <c r="F1960" s="111"/>
      <c r="G1960" s="111"/>
    </row>
    <row r="1961" spans="1:7">
      <c r="A1961" s="106"/>
      <c r="B1961" s="111"/>
      <c r="C1961" s="111"/>
      <c r="D1961" s="111"/>
      <c r="E1961" s="111"/>
      <c r="F1961" s="111"/>
      <c r="G1961" s="111"/>
    </row>
    <row r="1962" spans="1:7">
      <c r="A1962" s="106"/>
      <c r="B1962" s="111"/>
      <c r="C1962" s="111"/>
      <c r="D1962" s="111"/>
      <c r="E1962" s="111"/>
      <c r="F1962" s="111"/>
      <c r="G1962" s="111"/>
    </row>
    <row r="1963" spans="1:7">
      <c r="A1963" s="106"/>
      <c r="B1963" s="111"/>
      <c r="C1963" s="111"/>
      <c r="D1963" s="111"/>
      <c r="E1963" s="111"/>
      <c r="F1963" s="111"/>
      <c r="G1963" s="111"/>
    </row>
    <row r="1964" spans="1:7">
      <c r="A1964" s="106"/>
      <c r="B1964" s="111"/>
      <c r="C1964" s="111"/>
      <c r="D1964" s="111"/>
      <c r="E1964" s="111"/>
      <c r="F1964" s="111"/>
      <c r="G1964" s="111"/>
    </row>
    <row r="1965" spans="1:7">
      <c r="A1965" s="106"/>
      <c r="B1965" s="111"/>
      <c r="C1965" s="111"/>
      <c r="D1965" s="111"/>
      <c r="E1965" s="111"/>
      <c r="F1965" s="111"/>
      <c r="G1965" s="111"/>
    </row>
    <row r="1966" spans="1:7">
      <c r="A1966" s="106"/>
      <c r="B1966" s="111"/>
      <c r="C1966" s="111"/>
      <c r="D1966" s="111"/>
      <c r="E1966" s="111"/>
      <c r="F1966" s="111"/>
      <c r="G1966" s="111"/>
    </row>
    <row r="1967" spans="1:7">
      <c r="A1967" s="106"/>
      <c r="B1967" s="111"/>
      <c r="C1967" s="111"/>
      <c r="D1967" s="111"/>
      <c r="E1967" s="111"/>
      <c r="F1967" s="111"/>
      <c r="G1967" s="111"/>
    </row>
    <row r="1968" spans="1:7">
      <c r="A1968" s="106"/>
      <c r="B1968" s="111"/>
      <c r="C1968" s="111"/>
      <c r="D1968" s="111"/>
      <c r="E1968" s="111"/>
      <c r="F1968" s="111"/>
      <c r="G1968" s="111"/>
    </row>
    <row r="1969" spans="1:7">
      <c r="A1969" s="106"/>
      <c r="B1969" s="111"/>
      <c r="C1969" s="111"/>
      <c r="D1969" s="111"/>
      <c r="E1969" s="111"/>
      <c r="F1969" s="111"/>
      <c r="G1969" s="111"/>
    </row>
    <row r="1970" spans="1:7">
      <c r="A1970" s="106"/>
      <c r="B1970" s="111"/>
      <c r="C1970" s="111"/>
      <c r="D1970" s="111"/>
      <c r="E1970" s="111"/>
      <c r="F1970" s="111"/>
      <c r="G1970" s="111"/>
    </row>
    <row r="1971" spans="1:7">
      <c r="A1971" s="106"/>
      <c r="B1971" s="111"/>
      <c r="C1971" s="111"/>
      <c r="D1971" s="111"/>
      <c r="E1971" s="111"/>
      <c r="F1971" s="111"/>
      <c r="G1971" s="111"/>
    </row>
    <row r="1972" spans="1:7">
      <c r="A1972" s="106"/>
      <c r="B1972" s="111"/>
      <c r="C1972" s="111"/>
      <c r="D1972" s="111"/>
      <c r="E1972" s="111"/>
      <c r="F1972" s="111"/>
      <c r="G1972" s="111"/>
    </row>
    <row r="1973" spans="1:7">
      <c r="A1973" s="106"/>
      <c r="B1973" s="111"/>
      <c r="C1973" s="111"/>
      <c r="D1973" s="111"/>
      <c r="E1973" s="111"/>
      <c r="F1973" s="111"/>
      <c r="G1973" s="111"/>
    </row>
    <row r="1974" spans="1:7">
      <c r="A1974" s="106"/>
      <c r="B1974" s="111"/>
      <c r="C1974" s="111"/>
      <c r="D1974" s="111"/>
      <c r="E1974" s="111"/>
      <c r="F1974" s="111"/>
      <c r="G1974" s="111"/>
    </row>
    <row r="1975" spans="1:7">
      <c r="A1975" s="106"/>
      <c r="B1975" s="111"/>
      <c r="C1975" s="111"/>
      <c r="D1975" s="111"/>
      <c r="E1975" s="111"/>
      <c r="F1975" s="111"/>
      <c r="G1975" s="111"/>
    </row>
    <row r="1976" spans="1:7">
      <c r="A1976" s="106"/>
      <c r="B1976" s="111"/>
      <c r="C1976" s="111"/>
      <c r="D1976" s="111"/>
      <c r="E1976" s="111"/>
      <c r="F1976" s="111"/>
      <c r="G1976" s="111"/>
    </row>
    <row r="1977" spans="1:7">
      <c r="A1977" s="106"/>
      <c r="B1977" s="111"/>
      <c r="C1977" s="111"/>
      <c r="D1977" s="111"/>
      <c r="E1977" s="111"/>
      <c r="F1977" s="111"/>
      <c r="G1977" s="111"/>
    </row>
    <row r="1978" spans="1:7">
      <c r="A1978" s="106"/>
      <c r="B1978" s="111"/>
      <c r="C1978" s="111"/>
      <c r="D1978" s="111"/>
      <c r="E1978" s="111"/>
      <c r="F1978" s="111"/>
      <c r="G1978" s="111"/>
    </row>
    <row r="1979" spans="1:7">
      <c r="A1979" s="106"/>
      <c r="B1979" s="111"/>
      <c r="C1979" s="111"/>
      <c r="D1979" s="111"/>
      <c r="E1979" s="111"/>
      <c r="F1979" s="111"/>
      <c r="G1979" s="111"/>
    </row>
    <row r="1980" spans="1:7">
      <c r="A1980" s="106"/>
      <c r="B1980" s="111"/>
      <c r="C1980" s="111"/>
      <c r="D1980" s="111"/>
      <c r="E1980" s="111"/>
      <c r="F1980" s="111"/>
      <c r="G1980" s="111"/>
    </row>
    <row r="1981" spans="1:7">
      <c r="A1981" s="106"/>
      <c r="B1981" s="111"/>
      <c r="C1981" s="111"/>
      <c r="D1981" s="111"/>
      <c r="E1981" s="111"/>
      <c r="F1981" s="111"/>
      <c r="G1981" s="111"/>
    </row>
    <row r="1982" spans="1:7">
      <c r="A1982" s="106"/>
      <c r="B1982" s="111"/>
      <c r="C1982" s="111"/>
      <c r="D1982" s="111"/>
      <c r="E1982" s="111"/>
      <c r="F1982" s="111"/>
      <c r="G1982" s="111"/>
    </row>
    <row r="1983" spans="1:7">
      <c r="A1983" s="106"/>
      <c r="B1983" s="111"/>
      <c r="C1983" s="111"/>
      <c r="D1983" s="111"/>
      <c r="E1983" s="111"/>
      <c r="F1983" s="111"/>
      <c r="G1983" s="111"/>
    </row>
    <row r="1984" spans="1:7">
      <c r="A1984" s="106"/>
      <c r="B1984" s="111"/>
      <c r="C1984" s="111"/>
      <c r="D1984" s="111"/>
      <c r="E1984" s="111"/>
      <c r="F1984" s="111"/>
      <c r="G1984" s="111"/>
    </row>
    <row r="1985" spans="1:7">
      <c r="A1985" s="106"/>
      <c r="B1985" s="111"/>
      <c r="C1985" s="111"/>
      <c r="D1985" s="111"/>
      <c r="E1985" s="111"/>
      <c r="F1985" s="111"/>
      <c r="G1985" s="111"/>
    </row>
    <row r="1986" spans="1:7">
      <c r="A1986" s="106"/>
      <c r="B1986" s="111"/>
      <c r="C1986" s="111"/>
      <c r="D1986" s="111"/>
      <c r="E1986" s="111"/>
      <c r="F1986" s="111"/>
      <c r="G1986" s="111"/>
    </row>
    <row r="1987" spans="1:7">
      <c r="A1987" s="106"/>
      <c r="B1987" s="111"/>
      <c r="C1987" s="111"/>
      <c r="D1987" s="111"/>
      <c r="E1987" s="111"/>
      <c r="F1987" s="111"/>
      <c r="G1987" s="111"/>
    </row>
    <row r="1988" spans="1:7">
      <c r="A1988" s="106"/>
      <c r="B1988" s="111"/>
      <c r="C1988" s="111"/>
      <c r="D1988" s="111"/>
      <c r="E1988" s="111"/>
      <c r="F1988" s="111"/>
      <c r="G1988" s="111"/>
    </row>
    <row r="1989" spans="1:7">
      <c r="A1989" s="106"/>
      <c r="B1989" s="111"/>
      <c r="C1989" s="111"/>
      <c r="D1989" s="111"/>
      <c r="E1989" s="111"/>
      <c r="F1989" s="111"/>
      <c r="G1989" s="111"/>
    </row>
    <row r="1990" spans="1:7">
      <c r="A1990" s="106"/>
      <c r="B1990" s="111"/>
      <c r="C1990" s="111"/>
      <c r="D1990" s="111"/>
      <c r="E1990" s="111"/>
      <c r="F1990" s="111"/>
      <c r="G1990" s="111"/>
    </row>
    <row r="1991" spans="1:7">
      <c r="A1991" s="106"/>
      <c r="B1991" s="111"/>
      <c r="C1991" s="111"/>
      <c r="D1991" s="111"/>
      <c r="E1991" s="111"/>
      <c r="F1991" s="111"/>
      <c r="G1991" s="111"/>
    </row>
    <row r="1992" spans="1:7">
      <c r="A1992" s="106"/>
      <c r="B1992" s="111"/>
      <c r="C1992" s="111"/>
      <c r="D1992" s="111"/>
      <c r="E1992" s="111"/>
      <c r="F1992" s="111"/>
      <c r="G1992" s="111"/>
    </row>
    <row r="1993" spans="1:7">
      <c r="A1993" s="106"/>
      <c r="B1993" s="111"/>
      <c r="C1993" s="111"/>
      <c r="D1993" s="111"/>
      <c r="E1993" s="111"/>
      <c r="F1993" s="111"/>
      <c r="G1993" s="111"/>
    </row>
    <row r="1994" spans="1:7">
      <c r="A1994" s="106"/>
      <c r="B1994" s="111"/>
      <c r="C1994" s="111"/>
      <c r="D1994" s="111"/>
      <c r="E1994" s="111"/>
      <c r="F1994" s="111"/>
      <c r="G1994" s="111"/>
    </row>
    <row r="1995" spans="1:7">
      <c r="A1995" s="106"/>
      <c r="B1995" s="111"/>
      <c r="C1995" s="111"/>
      <c r="D1995" s="111"/>
      <c r="E1995" s="111"/>
      <c r="F1995" s="111"/>
      <c r="G1995" s="111"/>
    </row>
    <row r="1996" spans="1:7">
      <c r="A1996" s="106"/>
      <c r="B1996" s="111"/>
      <c r="C1996" s="111"/>
      <c r="D1996" s="111"/>
      <c r="E1996" s="111"/>
      <c r="F1996" s="111"/>
      <c r="G1996" s="111"/>
    </row>
    <row r="1997" spans="1:7">
      <c r="A1997" s="106"/>
      <c r="B1997" s="111"/>
      <c r="C1997" s="111"/>
      <c r="D1997" s="111"/>
      <c r="E1997" s="111"/>
      <c r="F1997" s="111"/>
      <c r="G1997" s="111"/>
    </row>
    <row r="1998" spans="1:7">
      <c r="A1998" s="106"/>
      <c r="B1998" s="111"/>
      <c r="C1998" s="111"/>
      <c r="D1998" s="111"/>
      <c r="E1998" s="111"/>
      <c r="F1998" s="111"/>
      <c r="G1998" s="111"/>
    </row>
    <row r="1999" spans="1:7">
      <c r="A1999" s="106"/>
      <c r="B1999" s="111"/>
      <c r="C1999" s="111"/>
      <c r="D1999" s="111"/>
      <c r="E1999" s="111"/>
      <c r="F1999" s="111"/>
      <c r="G1999" s="111"/>
    </row>
  </sheetData>
  <conditionalFormatting sqref="A2:A4">
    <cfRule type="expression" dxfId="22" priority="1">
      <formula>$K2="YES"</formula>
    </cfRule>
  </conditionalFormatting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D18"/>
  <sheetViews>
    <sheetView workbookViewId="0"/>
  </sheetViews>
  <sheetFormatPr defaultColWidth="14.453125" defaultRowHeight="15" customHeight="1"/>
  <cols>
    <col min="1" max="1" width="16.54296875" customWidth="1"/>
    <col min="2" max="2" width="32.1796875" customWidth="1"/>
    <col min="3" max="3" width="102.81640625" customWidth="1"/>
    <col min="4" max="4" width="44" customWidth="1"/>
  </cols>
  <sheetData>
    <row r="1" spans="1:4">
      <c r="A1" s="112" t="s">
        <v>1744</v>
      </c>
      <c r="B1" s="112" t="s">
        <v>1745</v>
      </c>
      <c r="C1" s="112" t="s">
        <v>1746</v>
      </c>
      <c r="D1" s="112" t="s">
        <v>1747</v>
      </c>
    </row>
    <row r="2" spans="1:4">
      <c r="A2" s="2" t="s">
        <v>1748</v>
      </c>
      <c r="B2" s="2" t="s">
        <v>1749</v>
      </c>
      <c r="C2" s="2" t="s">
        <v>1750</v>
      </c>
      <c r="D2" s="2" t="s">
        <v>1751</v>
      </c>
    </row>
    <row r="3" spans="1:4">
      <c r="A3" s="2" t="s">
        <v>1752</v>
      </c>
      <c r="B3" s="2" t="s">
        <v>1753</v>
      </c>
      <c r="C3" s="2" t="s">
        <v>1754</v>
      </c>
      <c r="D3" s="2" t="s">
        <v>1751</v>
      </c>
    </row>
    <row r="4" spans="1:4">
      <c r="A4" s="2" t="s">
        <v>1755</v>
      </c>
      <c r="B4" s="2" t="s">
        <v>1756</v>
      </c>
      <c r="C4" s="2" t="s">
        <v>1757</v>
      </c>
      <c r="D4" s="2" t="s">
        <v>1751</v>
      </c>
    </row>
    <row r="5" spans="1:4">
      <c r="A5" s="2" t="s">
        <v>1758</v>
      </c>
      <c r="B5" s="2" t="s">
        <v>1759</v>
      </c>
      <c r="C5" s="2" t="s">
        <v>1760</v>
      </c>
      <c r="D5" s="2" t="s">
        <v>1751</v>
      </c>
    </row>
    <row r="6" spans="1:4">
      <c r="A6" s="2" t="s">
        <v>1761</v>
      </c>
      <c r="B6" s="2" t="s">
        <v>1762</v>
      </c>
      <c r="C6" s="2" t="s">
        <v>1763</v>
      </c>
      <c r="D6" s="2" t="s">
        <v>1751</v>
      </c>
    </row>
    <row r="7" spans="1:4">
      <c r="A7" s="2" t="s">
        <v>1764</v>
      </c>
      <c r="B7" s="2" t="s">
        <v>1765</v>
      </c>
      <c r="C7" s="2" t="s">
        <v>1766</v>
      </c>
      <c r="D7" s="2" t="s">
        <v>1751</v>
      </c>
    </row>
    <row r="8" spans="1:4">
      <c r="A8" s="2" t="s">
        <v>1767</v>
      </c>
      <c r="B8" s="2" t="s">
        <v>1768</v>
      </c>
      <c r="C8" s="2" t="s">
        <v>1769</v>
      </c>
      <c r="D8" s="2" t="s">
        <v>1751</v>
      </c>
    </row>
    <row r="9" spans="1:4">
      <c r="A9" s="2" t="s">
        <v>1770</v>
      </c>
      <c r="B9" s="2" t="s">
        <v>1771</v>
      </c>
      <c r="C9" s="2" t="s">
        <v>1772</v>
      </c>
      <c r="D9" s="2" t="s">
        <v>1773</v>
      </c>
    </row>
    <row r="10" spans="1:4">
      <c r="A10" s="2" t="s">
        <v>1774</v>
      </c>
      <c r="B10" s="2" t="s">
        <v>1775</v>
      </c>
      <c r="C10" s="2" t="s">
        <v>1776</v>
      </c>
      <c r="D10" s="2" t="s">
        <v>1777</v>
      </c>
    </row>
    <row r="11" spans="1:4">
      <c r="A11" s="2" t="s">
        <v>1778</v>
      </c>
      <c r="B11" s="2" t="s">
        <v>1779</v>
      </c>
      <c r="C11" s="2" t="s">
        <v>1780</v>
      </c>
      <c r="D11" s="2" t="s">
        <v>1781</v>
      </c>
    </row>
    <row r="12" spans="1:4">
      <c r="A12" s="2" t="s">
        <v>1782</v>
      </c>
      <c r="B12" s="2" t="s">
        <v>1783</v>
      </c>
      <c r="C12" s="2" t="s">
        <v>1784</v>
      </c>
      <c r="D12" s="2" t="s">
        <v>1751</v>
      </c>
    </row>
    <row r="13" spans="1:4">
      <c r="A13" s="2" t="s">
        <v>1785</v>
      </c>
      <c r="B13" s="2" t="s">
        <v>1786</v>
      </c>
      <c r="C13" s="2" t="s">
        <v>1787</v>
      </c>
      <c r="D13" s="2" t="s">
        <v>1751</v>
      </c>
    </row>
    <row r="14" spans="1:4">
      <c r="A14" s="2" t="s">
        <v>1788</v>
      </c>
      <c r="B14" s="2"/>
      <c r="C14" s="2" t="s">
        <v>1789</v>
      </c>
      <c r="D14" s="2" t="s">
        <v>1751</v>
      </c>
    </row>
    <row r="15" spans="1:4">
      <c r="A15" s="2" t="s">
        <v>1790</v>
      </c>
      <c r="B15" s="2"/>
      <c r="C15" s="2" t="s">
        <v>1791</v>
      </c>
      <c r="D15" s="2" t="s">
        <v>1751</v>
      </c>
    </row>
    <row r="16" spans="1:4">
      <c r="A16" s="2" t="s">
        <v>1792</v>
      </c>
      <c r="B16" s="2" t="s">
        <v>1793</v>
      </c>
      <c r="C16" s="2" t="s">
        <v>1794</v>
      </c>
      <c r="D16" s="2" t="s">
        <v>1751</v>
      </c>
    </row>
    <row r="17" spans="1:4">
      <c r="A17" s="2" t="s">
        <v>1795</v>
      </c>
      <c r="B17" s="2" t="s">
        <v>1796</v>
      </c>
      <c r="C17" s="2" t="s">
        <v>1797</v>
      </c>
      <c r="D17" s="2" t="s">
        <v>1751</v>
      </c>
    </row>
    <row r="18" spans="1:4">
      <c r="A18" s="2" t="s">
        <v>1798</v>
      </c>
      <c r="B18" s="2" t="s">
        <v>1799</v>
      </c>
      <c r="C18" s="2"/>
      <c r="D18" s="2"/>
    </row>
  </sheetData>
  <printOptions horizontalCentered="1" gridLines="1"/>
  <pageMargins left="0.7" right="0.7" top="0.75" bottom="0.75" header="0" footer="0"/>
  <pageSetup paperSize="9" pageOrder="overThenDown" orientation="landscape" cellComments="atEnd"/>
  <colBreaks count="2" manualBreakCount="2">
    <brk man="1"/>
    <brk id="4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J993"/>
  <sheetViews>
    <sheetView showGridLines="0" workbookViewId="0">
      <pane ySplit="3" topLeftCell="A4" activePane="bottomLeft" state="frozen"/>
      <selection pane="bottomLeft" activeCell="B5" sqref="B5"/>
    </sheetView>
  </sheetViews>
  <sheetFormatPr defaultColWidth="14.453125" defaultRowHeight="15" customHeight="1"/>
  <cols>
    <col min="1" max="1" width="10.7265625" customWidth="1"/>
    <col min="2" max="2" width="36" customWidth="1"/>
    <col min="3" max="3" width="12.7265625" customWidth="1"/>
    <col min="4" max="4" width="10" customWidth="1"/>
    <col min="5" max="5" width="10.453125" customWidth="1"/>
    <col min="6" max="6" width="11.453125" customWidth="1"/>
    <col min="7" max="7" width="10.81640625" hidden="1" customWidth="1"/>
    <col min="8" max="9" width="7.1796875" hidden="1" customWidth="1"/>
    <col min="10" max="10" width="11.81640625" hidden="1" customWidth="1"/>
  </cols>
  <sheetData>
    <row r="1" spans="1:10">
      <c r="A1" s="243" t="s">
        <v>1800</v>
      </c>
      <c r="B1" s="241"/>
      <c r="C1" s="113" t="s">
        <v>1726</v>
      </c>
    </row>
    <row r="2" spans="1:10">
      <c r="A2" s="114" t="s">
        <v>1801</v>
      </c>
      <c r="B2" s="115" t="s">
        <v>1802</v>
      </c>
      <c r="C2" s="116">
        <v>10</v>
      </c>
    </row>
    <row r="3" spans="1:10">
      <c r="A3" s="92" t="s">
        <v>1440</v>
      </c>
      <c r="B3" s="92" t="s">
        <v>73</v>
      </c>
      <c r="C3" s="92" t="s">
        <v>1442</v>
      </c>
      <c r="D3" s="92" t="s">
        <v>1</v>
      </c>
      <c r="E3" s="92" t="s">
        <v>1733</v>
      </c>
      <c r="F3" s="117" t="s">
        <v>1726</v>
      </c>
      <c r="G3" s="92" t="s">
        <v>1803</v>
      </c>
      <c r="H3" s="92" t="s">
        <v>1728</v>
      </c>
      <c r="I3" s="92" t="s">
        <v>1729</v>
      </c>
      <c r="J3" s="92"/>
    </row>
    <row r="4" spans="1:10">
      <c r="A4" s="118">
        <f t="shared" ref="A4:A93" si="0">IF(B4="","", ROW()-3)</f>
        <v>1</v>
      </c>
      <c r="B4" s="119" t="s">
        <v>1446</v>
      </c>
      <c r="C4" s="120">
        <f>IF(B4="","",SUMIFS('A-BOM'!$D$3:$D993,'A-BOM'!$C$3:$C993,B4,'A-BOM'!$B$3:$B993,$B$2))</f>
        <v>2</v>
      </c>
      <c r="D4" s="120" t="str">
        <f>IFERROR(IF(B4="","",VLOOKUP(B4,RM!$C$4:$F983,3,FALSE)),"")</f>
        <v/>
      </c>
      <c r="E4" s="118" t="e">
        <f t="array" aca="1" ref="E4" ca="1">_xludf.IFNA(IF(B4="","",VLOOKUP(B4,RM!$C$4:$G983,14,FALSE)),IFERROR(MIN(IF('S-BOM'!$B$3:$B993=$B4,'S-BOM'!$H$3:$H993,"")),""))</f>
        <v>#NAME?</v>
      </c>
      <c r="F4" s="87">
        <f t="shared" ref="F4:F258" si="1">IF(B4="","",$C$2*C4)</f>
        <v>20</v>
      </c>
      <c r="G4" s="87" t="e">
        <f t="shared" ref="G4:G258" ca="1" si="2">IF(B4="","",IF(E4&gt;F4,0,F4-E4))</f>
        <v>#NAME?</v>
      </c>
      <c r="H4" s="87"/>
      <c r="I4" s="87"/>
      <c r="J4" s="87"/>
    </row>
    <row r="5" spans="1:10">
      <c r="A5" s="118">
        <f t="shared" si="0"/>
        <v>2</v>
      </c>
      <c r="B5" s="119" t="s">
        <v>1586</v>
      </c>
      <c r="C5" s="120">
        <f>IF(B5="","",SUMIFS('A-BOM'!$D$3:$D993,'A-BOM'!$C$3:$C993,B5,'A-BOM'!$B$3:$B993,$B$2))</f>
        <v>1</v>
      </c>
      <c r="D5" s="120" t="str">
        <f>IFERROR(IF(B5="","",VLOOKUP(B5,RM!$C$4:$F983,3,FALSE)),"")</f>
        <v/>
      </c>
      <c r="E5" s="118" t="e">
        <f t="array" aca="1" ref="E5" ca="1">_xludf.IFNA(IF(B5="","",VLOOKUP(B5,RM!$C$4:$G983,14,FALSE)),IFERROR(MIN(IF('S-BOM'!$B$3:$B993=$B5,'S-BOM'!$H$3:$H993,"")),""))</f>
        <v>#NAME?</v>
      </c>
      <c r="F5" s="87">
        <f t="shared" si="1"/>
        <v>10</v>
      </c>
      <c r="G5" s="87" t="e">
        <f t="shared" ca="1" si="2"/>
        <v>#NAME?</v>
      </c>
      <c r="H5" s="87"/>
      <c r="I5" s="87"/>
      <c r="J5" s="87"/>
    </row>
    <row r="6" spans="1:10">
      <c r="A6" s="118">
        <f t="shared" si="0"/>
        <v>3</v>
      </c>
      <c r="B6" s="119" t="s">
        <v>1804</v>
      </c>
      <c r="C6" s="120">
        <f>IF(B6="","",SUMIFS('A-BOM'!$D$3:$D993,'A-BOM'!$C$3:$C993,B6,'A-BOM'!$B$3:$B993,$B$2))</f>
        <v>0</v>
      </c>
      <c r="D6" s="120" t="str">
        <f>IFERROR(IF(B6="","",VLOOKUP(B6,RM!$C$4:$F983,3,FALSE)),"")</f>
        <v/>
      </c>
      <c r="E6" s="118" t="e">
        <f t="array" aca="1" ref="E6" ca="1">_xludf.IFNA(IF(B6="","",VLOOKUP(B6,RM!$C$4:$G983,14,FALSE)),IFERROR(MIN(IF('S-BOM'!$B$3:$B993=$B6,'S-BOM'!$H$3:$H993,"")),""))</f>
        <v>#NAME?</v>
      </c>
      <c r="F6" s="87">
        <f t="shared" si="1"/>
        <v>0</v>
      </c>
      <c r="G6" s="87" t="e">
        <f t="shared" ca="1" si="2"/>
        <v>#NAME?</v>
      </c>
      <c r="H6" s="87"/>
      <c r="I6" s="87"/>
      <c r="J6" s="87"/>
    </row>
    <row r="7" spans="1:10">
      <c r="A7" s="118">
        <f t="shared" si="0"/>
        <v>4</v>
      </c>
      <c r="B7" s="119" t="s">
        <v>1479</v>
      </c>
      <c r="C7" s="120">
        <f>IF(B7="","",SUMIFS('A-BOM'!$D$3:$D993,'A-BOM'!$C$3:$C993,B7,'A-BOM'!$B$3:$B993,$B$2))</f>
        <v>1</v>
      </c>
      <c r="D7" s="120" t="str">
        <f>IFERROR(IF(B7="","",VLOOKUP(B7,RM!$C$4:$F983,3,FALSE)),"")</f>
        <v/>
      </c>
      <c r="E7" s="118" t="e">
        <f t="array" aca="1" ref="E7" ca="1">_xludf.IFNA(IF(B7="","",VLOOKUP(B7,RM!$C$4:$G983,14,FALSE)),IFERROR(MIN(IF('S-BOM'!$B$3:$B993=$B7,'S-BOM'!$H$3:$H993,"")),""))</f>
        <v>#NAME?</v>
      </c>
      <c r="F7" s="87">
        <f t="shared" si="1"/>
        <v>10</v>
      </c>
      <c r="G7" s="87" t="e">
        <f t="shared" ca="1" si="2"/>
        <v>#NAME?</v>
      </c>
      <c r="H7" s="87"/>
      <c r="I7" s="87"/>
      <c r="J7" s="87"/>
    </row>
    <row r="8" spans="1:10">
      <c r="A8" s="118">
        <f t="shared" si="0"/>
        <v>5</v>
      </c>
      <c r="B8" s="119" t="s">
        <v>1498</v>
      </c>
      <c r="C8" s="120">
        <f>IF(B8="","",SUMIFS('A-BOM'!$D$3:$D993,'A-BOM'!$C$3:$C993,B8,'A-BOM'!$B$3:$B993,$B$2))</f>
        <v>1</v>
      </c>
      <c r="D8" s="120" t="str">
        <f>IFERROR(IF(B8="","",VLOOKUP(B8,RM!$C$4:$F983,3,FALSE)),"")</f>
        <v/>
      </c>
      <c r="E8" s="118" t="e">
        <f t="array" aca="1" ref="E8" ca="1">_xludf.IFNA(IF(B8="","",VLOOKUP(B8,RM!$C$4:$G983,14,FALSE)),IFERROR(MIN(IF('S-BOM'!$B$3:$B993=$B8,'S-BOM'!$H$3:$H993,"")),""))</f>
        <v>#NAME?</v>
      </c>
      <c r="F8" s="87">
        <f t="shared" si="1"/>
        <v>10</v>
      </c>
      <c r="G8" s="87" t="e">
        <f t="shared" ca="1" si="2"/>
        <v>#NAME?</v>
      </c>
      <c r="H8" s="87"/>
      <c r="I8" s="87"/>
      <c r="J8" s="87"/>
    </row>
    <row r="9" spans="1:10">
      <c r="A9" s="118">
        <f t="shared" si="0"/>
        <v>6</v>
      </c>
      <c r="B9" s="119" t="s">
        <v>1500</v>
      </c>
      <c r="C9" s="120">
        <f>IF(B9="","",SUMIFS('A-BOM'!$D$3:$D993,'A-BOM'!$C$3:$C993,B9,'A-BOM'!$B$3:$B993,$B$2))</f>
        <v>0</v>
      </c>
      <c r="D9" s="120" t="str">
        <f>IFERROR(IF(B9="","",VLOOKUP(B9,RM!$C$4:$F983,3,FALSE)),"")</f>
        <v/>
      </c>
      <c r="E9" s="118" t="e">
        <f t="array" aca="1" ref="E9" ca="1">_xludf.IFNA(IF(B9="","",VLOOKUP(B9,RM!$C$4:$G983,14,FALSE)),IFERROR(MIN(IF('S-BOM'!$B$3:$B993=$B9,'S-BOM'!$H$3:$H993,"")),""))</f>
        <v>#NAME?</v>
      </c>
      <c r="F9" s="87">
        <f t="shared" si="1"/>
        <v>0</v>
      </c>
      <c r="G9" s="87" t="e">
        <f t="shared" ca="1" si="2"/>
        <v>#NAME?</v>
      </c>
      <c r="H9" s="87"/>
      <c r="I9" s="87"/>
      <c r="J9" s="87"/>
    </row>
    <row r="10" spans="1:10">
      <c r="A10" s="118">
        <f t="shared" si="0"/>
        <v>7</v>
      </c>
      <c r="B10" s="119" t="s">
        <v>1511</v>
      </c>
      <c r="C10" s="120">
        <f>IF(B10="","",SUMIFS('A-BOM'!$D$3:$D993,'A-BOM'!$C$3:$C993,B10,'A-BOM'!$B$3:$B993,$B$2))</f>
        <v>1</v>
      </c>
      <c r="D10" s="120" t="str">
        <f>IFERROR(IF(B10="","",VLOOKUP(B10,RM!$C$4:$F983,3,FALSE)),"")</f>
        <v/>
      </c>
      <c r="E10" s="118" t="e">
        <f t="array" aca="1" ref="E10" ca="1">_xludf.IFNA(IF(B10="","",VLOOKUP(B10,RM!$C$4:$G983,14,FALSE)),IFERROR(MIN(IF('S-BOM'!$B$3:$B993=$B10,'S-BOM'!$H$3:$H993,"")),""))</f>
        <v>#NAME?</v>
      </c>
      <c r="F10" s="87">
        <f t="shared" si="1"/>
        <v>10</v>
      </c>
      <c r="G10" s="87" t="e">
        <f t="shared" ca="1" si="2"/>
        <v>#NAME?</v>
      </c>
      <c r="H10" s="87"/>
      <c r="I10" s="87"/>
      <c r="J10" s="87"/>
    </row>
    <row r="11" spans="1:10">
      <c r="A11" s="118">
        <f t="shared" si="0"/>
        <v>8</v>
      </c>
      <c r="B11" s="119" t="s">
        <v>91</v>
      </c>
      <c r="C11" s="120">
        <f>IF(B11="","",SUMIFS('A-BOM'!$D$3:$D993,'A-BOM'!$C$3:$C993,B11,'A-BOM'!$B$3:$B993,$B$2))</f>
        <v>1</v>
      </c>
      <c r="D11" s="120">
        <f>IFERROR(IF(B11="","",VLOOKUP(B11,RM!$C$4:$F983,3,FALSE)),"")</f>
        <v>15</v>
      </c>
      <c r="E11" s="118" t="e">
        <f t="array" aca="1" ref="E11" ca="1">_xludf.IFNA(IF(B11="","",VLOOKUP(B11,RM!$C$4:$G983,14,FALSE)),IFERROR(MIN(IF('S-BOM'!$B$3:$B993=$B11,'S-BOM'!$H$3:$H993,"")),""))</f>
        <v>#NAME?</v>
      </c>
      <c r="F11" s="87">
        <f t="shared" si="1"/>
        <v>10</v>
      </c>
      <c r="G11" s="87" t="e">
        <f t="shared" ca="1" si="2"/>
        <v>#NAME?</v>
      </c>
      <c r="H11" s="87"/>
      <c r="I11" s="87"/>
      <c r="J11" s="87"/>
    </row>
    <row r="12" spans="1:10">
      <c r="A12" s="118">
        <f t="shared" si="0"/>
        <v>9</v>
      </c>
      <c r="B12" s="119" t="s">
        <v>1541</v>
      </c>
      <c r="C12" s="120">
        <f>IF(B12="","",SUMIFS('A-BOM'!$D$3:$D993,'A-BOM'!$C$3:$C993,B12,'A-BOM'!$B$3:$B993,$B$2))</f>
        <v>1</v>
      </c>
      <c r="D12" s="120" t="str">
        <f>IFERROR(IF(B12="","",VLOOKUP(B12,RM!$C$4:$F983,3,FALSE)),"")</f>
        <v/>
      </c>
      <c r="E12" s="118" t="e">
        <f t="array" aca="1" ref="E12" ca="1">_xludf.IFNA(IF(B12="","",VLOOKUP(B12,RM!$C$4:$G983,14,FALSE)),IFERROR(MIN(IF('S-BOM'!$B$3:$B993=$B12,'S-BOM'!$H$3:$H993,"")),""))</f>
        <v>#NAME?</v>
      </c>
      <c r="F12" s="87">
        <f t="shared" si="1"/>
        <v>10</v>
      </c>
      <c r="G12" s="87" t="e">
        <f t="shared" ca="1" si="2"/>
        <v>#NAME?</v>
      </c>
      <c r="H12" s="87"/>
      <c r="I12" s="87"/>
      <c r="J12" s="87"/>
    </row>
    <row r="13" spans="1:10">
      <c r="A13" s="118">
        <f t="shared" si="0"/>
        <v>10</v>
      </c>
      <c r="B13" s="119" t="s">
        <v>1600</v>
      </c>
      <c r="C13" s="120">
        <f>IF(B13="","",SUMIFS('A-BOM'!$D$3:$D993,'A-BOM'!$C$3:$C993,B13,'A-BOM'!$B$3:$B993,$B$2))</f>
        <v>2</v>
      </c>
      <c r="D13" s="120" t="str">
        <f>IFERROR(IF(B13="","",VLOOKUP(B13,RM!$C$4:$F983,3,FALSE)),"")</f>
        <v/>
      </c>
      <c r="E13" s="118" t="e">
        <f t="array" aca="1" ref="E13" ca="1">_xludf.IFNA(IF(B13="","",VLOOKUP(B13,RM!$C$4:$G983,14,FALSE)),IFERROR(MIN(IF('S-BOM'!$B$3:$B993=$B13,'S-BOM'!$H$3:$H993,"")),""))</f>
        <v>#NAME?</v>
      </c>
      <c r="F13" s="87">
        <f t="shared" si="1"/>
        <v>20</v>
      </c>
      <c r="G13" s="87" t="e">
        <f t="shared" ca="1" si="2"/>
        <v>#NAME?</v>
      </c>
      <c r="H13" s="87"/>
      <c r="I13" s="87"/>
      <c r="J13" s="87"/>
    </row>
    <row r="14" spans="1:10">
      <c r="A14" s="118">
        <f t="shared" si="0"/>
        <v>11</v>
      </c>
      <c r="B14" s="119" t="s">
        <v>1468</v>
      </c>
      <c r="C14" s="120">
        <f>IF(B14="","",SUMIFS('A-BOM'!$D$3:$D993,'A-BOM'!$C$3:$C993,B14,'A-BOM'!$B$3:$B993,$B$2))</f>
        <v>1</v>
      </c>
      <c r="D14" s="120" t="str">
        <f>IFERROR(IF(B14="","",VLOOKUP(B14,RM!$C$4:$F983,3,FALSE)),"")</f>
        <v/>
      </c>
      <c r="E14" s="118" t="e">
        <f t="array" aca="1" ref="E14" ca="1">_xludf.IFNA(IF(B14="","",VLOOKUP(B14,RM!$C$4:$G983,14,FALSE)),IFERROR(MIN(IF('S-BOM'!$B$3:$B993=$B14,'S-BOM'!$H$3:$H993,"")),""))</f>
        <v>#NAME?</v>
      </c>
      <c r="F14" s="87">
        <f t="shared" si="1"/>
        <v>10</v>
      </c>
      <c r="G14" s="87" t="e">
        <f t="shared" ca="1" si="2"/>
        <v>#NAME?</v>
      </c>
      <c r="H14" s="87"/>
      <c r="I14" s="87"/>
      <c r="J14" s="87"/>
    </row>
    <row r="15" spans="1:10">
      <c r="A15" s="118">
        <f t="shared" si="0"/>
        <v>12</v>
      </c>
      <c r="B15" s="119" t="s">
        <v>1478</v>
      </c>
      <c r="C15" s="120">
        <f>IF(B15="","",SUMIFS('A-BOM'!$D$3:$D993,'A-BOM'!$C$3:$C993,B15,'A-BOM'!$B$3:$B993,$B$2))</f>
        <v>1</v>
      </c>
      <c r="D15" s="120" t="str">
        <f>IFERROR(IF(B15="","",VLOOKUP(B15,RM!$C$4:$F983,3,FALSE)),"")</f>
        <v/>
      </c>
      <c r="E15" s="118" t="e">
        <f t="array" aca="1" ref="E15" ca="1">_xludf.IFNA(IF(B15="","",VLOOKUP(B15,RM!$C$4:$G983,14,FALSE)),IFERROR(MIN(IF('S-BOM'!$B$3:$B993=$B15,'S-BOM'!$H$3:$H993,"")),""))</f>
        <v>#NAME?</v>
      </c>
      <c r="F15" s="87">
        <f t="shared" si="1"/>
        <v>10</v>
      </c>
      <c r="G15" s="87" t="e">
        <f t="shared" ca="1" si="2"/>
        <v>#NAME?</v>
      </c>
      <c r="H15" s="87"/>
      <c r="I15" s="87"/>
      <c r="J15" s="87"/>
    </row>
    <row r="16" spans="1:10">
      <c r="A16" s="118">
        <f t="shared" si="0"/>
        <v>13</v>
      </c>
      <c r="B16" s="119" t="s">
        <v>1605</v>
      </c>
      <c r="C16" s="120">
        <f>IF(B16="","",SUMIFS('A-BOM'!$D$3:$D993,'A-BOM'!$C$3:$C993,B16,'A-BOM'!$B$3:$B993,$B$2))</f>
        <v>1</v>
      </c>
      <c r="D16" s="120" t="str">
        <f>IFERROR(IF(B16="","",VLOOKUP(B16,RM!$C$4:$F983,3,FALSE)),"")</f>
        <v/>
      </c>
      <c r="E16" s="118" t="e">
        <f t="array" aca="1" ref="E16" ca="1">_xludf.IFNA(IF(B16="","",VLOOKUP(B16,RM!$C$4:$G983,14,FALSE)),IFERROR(MIN(IF('S-BOM'!$B$3:$B993=$B16,'S-BOM'!$H$3:$H993,"")),""))</f>
        <v>#NAME?</v>
      </c>
      <c r="F16" s="87">
        <f t="shared" si="1"/>
        <v>10</v>
      </c>
      <c r="G16" s="87" t="e">
        <f t="shared" ca="1" si="2"/>
        <v>#NAME?</v>
      </c>
      <c r="H16" s="87"/>
      <c r="I16" s="87"/>
      <c r="J16" s="87"/>
    </row>
    <row r="17" spans="1:10">
      <c r="A17" s="118">
        <f t="shared" si="0"/>
        <v>14</v>
      </c>
      <c r="B17" s="119" t="s">
        <v>1610</v>
      </c>
      <c r="C17" s="120">
        <f>IF(B17="","",SUMIFS('A-BOM'!$D$3:$D993,'A-BOM'!$C$3:$C993,B17,'A-BOM'!$B$3:$B993,$B$2))</f>
        <v>1</v>
      </c>
      <c r="D17" s="120" t="str">
        <f>IFERROR(IF(B17="","",VLOOKUP(B17,RM!$C$4:$F983,3,FALSE)),"")</f>
        <v/>
      </c>
      <c r="E17" s="118" t="e">
        <f t="array" aca="1" ref="E17" ca="1">_xludf.IFNA(IF(B17="","",VLOOKUP(B17,RM!$C$4:$G983,14,FALSE)),IFERROR(MIN(IF('S-BOM'!$B$3:$B993=$B17,'S-BOM'!$H$3:$H993,"")),""))</f>
        <v>#NAME?</v>
      </c>
      <c r="F17" s="87">
        <f t="shared" si="1"/>
        <v>10</v>
      </c>
      <c r="G17" s="87" t="e">
        <f t="shared" ca="1" si="2"/>
        <v>#NAME?</v>
      </c>
      <c r="H17" s="87"/>
      <c r="I17" s="87"/>
      <c r="J17" s="87"/>
    </row>
    <row r="18" spans="1:10">
      <c r="A18" s="118" t="str">
        <f t="shared" si="0"/>
        <v/>
      </c>
      <c r="B18" s="1"/>
      <c r="C18" s="120" t="str">
        <f>IF(B18="","",SUMIFS('A-BOM'!$D$3:$D993,'A-BOM'!$C$3:$C993,B18,'A-BOM'!$B$3:$B993,$B$2))</f>
        <v/>
      </c>
      <c r="D18" s="120" t="str">
        <f>IFERROR(IF(B18="","",VLOOKUP(B18,RM!$C$4:$F983,3,FALSE)),"")</f>
        <v/>
      </c>
      <c r="E18" s="118" t="e">
        <f t="array" aca="1" ref="E18" ca="1">_xludf.IFNA(IF(B18="","",VLOOKUP(B18,RM!$C$4:$G983,14,FALSE)),IFERROR(MIN(IF('S-BOM'!$B$3:$B993=$B18,'S-BOM'!$H$3:$H993,"")),""))</f>
        <v>#NAME?</v>
      </c>
      <c r="F18" s="87" t="str">
        <f t="shared" si="1"/>
        <v/>
      </c>
      <c r="G18" s="87" t="str">
        <f t="shared" si="2"/>
        <v/>
      </c>
      <c r="H18" s="87"/>
      <c r="I18" s="87"/>
      <c r="J18" s="87"/>
    </row>
    <row r="19" spans="1:10">
      <c r="A19" s="118" t="str">
        <f t="shared" si="0"/>
        <v/>
      </c>
      <c r="B19" s="1"/>
      <c r="C19" s="120" t="str">
        <f>IF(B19="","",SUMIFS('A-BOM'!$D$3:$D993,'A-BOM'!$C$3:$C993,B19,'A-BOM'!$B$3:$B993,$B$2))</f>
        <v/>
      </c>
      <c r="D19" s="120" t="str">
        <f>IFERROR(IF(B19="","",VLOOKUP(B19,RM!$C$4:$F983,3,FALSE)),"")</f>
        <v/>
      </c>
      <c r="E19" s="118" t="e">
        <f t="array" aca="1" ref="E19" ca="1">_xludf.IFNA(IF(B19="","",VLOOKUP(B19,RM!$C$4:$G983,14,FALSE)),IFERROR(MIN(IF('S-BOM'!$B$3:$B993=$B19,'S-BOM'!$H$3:$H993,"")),""))</f>
        <v>#NAME?</v>
      </c>
      <c r="F19" s="87" t="str">
        <f t="shared" si="1"/>
        <v/>
      </c>
      <c r="G19" s="87" t="str">
        <f t="shared" si="2"/>
        <v/>
      </c>
      <c r="H19" s="87"/>
      <c r="I19" s="87"/>
      <c r="J19" s="87"/>
    </row>
    <row r="20" spans="1:10">
      <c r="A20" s="118" t="str">
        <f t="shared" si="0"/>
        <v/>
      </c>
      <c r="B20" s="1"/>
      <c r="C20" s="120" t="str">
        <f>IF(B20="","",SUMIFS('A-BOM'!$D$3:$D993,'A-BOM'!$C$3:$C993,B20,'A-BOM'!$B$3:$B993,$B$2))</f>
        <v/>
      </c>
      <c r="D20" s="120" t="str">
        <f>IFERROR(IF(B20="","",VLOOKUP(B20,RM!$C$4:$F983,3,FALSE)),"")</f>
        <v/>
      </c>
      <c r="E20" s="118" t="e">
        <f t="array" aca="1" ref="E20" ca="1">_xludf.IFNA(IF(B20="","",VLOOKUP(B20,RM!$C$4:$G983,14,FALSE)),IFERROR(MIN(IF('S-BOM'!$B$3:$B993=$B20,'S-BOM'!$H$3:$H993,"")),""))</f>
        <v>#NAME?</v>
      </c>
      <c r="F20" s="87" t="str">
        <f t="shared" si="1"/>
        <v/>
      </c>
      <c r="G20" s="87" t="str">
        <f t="shared" si="2"/>
        <v/>
      </c>
      <c r="H20" s="87"/>
      <c r="I20" s="87"/>
      <c r="J20" s="87"/>
    </row>
    <row r="21" spans="1:10">
      <c r="A21" s="118" t="str">
        <f t="shared" si="0"/>
        <v/>
      </c>
      <c r="B21" s="1"/>
      <c r="C21" s="120" t="str">
        <f>IF(B21="","",SUMIFS('A-BOM'!$D$3:$D993,'A-BOM'!$C$3:$C993,B21,'A-BOM'!$B$3:$B993,$B$2))</f>
        <v/>
      </c>
      <c r="D21" s="120" t="str">
        <f>IFERROR(IF(B21="","",VLOOKUP(B21,RM!$C$4:$F983,3,FALSE)),"")</f>
        <v/>
      </c>
      <c r="E21" s="118" t="e">
        <f t="array" aca="1" ref="E21" ca="1">_xludf.IFNA(IF(B21="","",VLOOKUP(B21,RM!$C$4:$G983,14,FALSE)),IFERROR(MIN(IF('S-BOM'!$B$3:$B993=$B21,'S-BOM'!$H$3:$H993,"")),""))</f>
        <v>#NAME?</v>
      </c>
      <c r="F21" s="87" t="str">
        <f t="shared" si="1"/>
        <v/>
      </c>
      <c r="G21" s="87" t="str">
        <f t="shared" si="2"/>
        <v/>
      </c>
      <c r="H21" s="87"/>
      <c r="I21" s="87"/>
      <c r="J21" s="87"/>
    </row>
    <row r="22" spans="1:10">
      <c r="A22" s="118" t="str">
        <f t="shared" si="0"/>
        <v/>
      </c>
      <c r="B22" s="1"/>
      <c r="C22" s="120" t="str">
        <f>IF(B22="","",SUMIFS('A-BOM'!$D$3:$D993,'A-BOM'!$C$3:$C993,B22,'A-BOM'!$B$3:$B993,$B$2))</f>
        <v/>
      </c>
      <c r="D22" s="120" t="str">
        <f>IFERROR(IF(B22="","",VLOOKUP(B22,RM!$C$4:$F983,3,FALSE)),"")</f>
        <v/>
      </c>
      <c r="E22" s="118" t="e">
        <f t="array" aca="1" ref="E22" ca="1">_xludf.IFNA(IF(B22="","",VLOOKUP(B22,RM!$C$4:$G983,14,FALSE)),IFERROR(MIN(IF('S-BOM'!$B$3:$B993=$B22,'S-BOM'!$H$3:$H993,"")),""))</f>
        <v>#NAME?</v>
      </c>
      <c r="F22" s="87" t="str">
        <f t="shared" si="1"/>
        <v/>
      </c>
      <c r="G22" s="87" t="str">
        <f t="shared" si="2"/>
        <v/>
      </c>
      <c r="H22" s="87"/>
      <c r="I22" s="87"/>
      <c r="J22" s="87"/>
    </row>
    <row r="23" spans="1:10">
      <c r="A23" s="118" t="str">
        <f t="shared" si="0"/>
        <v/>
      </c>
      <c r="B23" s="1"/>
      <c r="C23" s="120" t="str">
        <f>IF(B23="","",SUMIFS('A-BOM'!$D$3:$D993,'A-BOM'!$C$3:$C993,B23,'A-BOM'!$B$3:$B993,$B$2))</f>
        <v/>
      </c>
      <c r="D23" s="120" t="str">
        <f>IFERROR(IF(B23="","",VLOOKUP(B23,RM!$C$4:$F983,3,FALSE)),"")</f>
        <v/>
      </c>
      <c r="E23" s="118" t="e">
        <f t="array" aca="1" ref="E23" ca="1">_xludf.IFNA(IF(B23="","",VLOOKUP(B23,RM!$C$4:$G983,14,FALSE)),IFERROR(MIN(IF('S-BOM'!$B$3:$B993=$B23,'S-BOM'!$H$3:$H993,"")),""))</f>
        <v>#NAME?</v>
      </c>
      <c r="F23" s="87" t="str">
        <f t="shared" si="1"/>
        <v/>
      </c>
      <c r="G23" s="87" t="str">
        <f t="shared" si="2"/>
        <v/>
      </c>
      <c r="H23" s="87"/>
      <c r="I23" s="87"/>
      <c r="J23" s="87"/>
    </row>
    <row r="24" spans="1:10">
      <c r="A24" s="118" t="str">
        <f t="shared" si="0"/>
        <v/>
      </c>
      <c r="B24" s="1"/>
      <c r="C24" s="120" t="str">
        <f>IF(B24="","",SUMIFS('A-BOM'!$D$3:$D993,'A-BOM'!$C$3:$C993,B24,'A-BOM'!$B$3:$B993,$B$2))</f>
        <v/>
      </c>
      <c r="D24" s="120" t="str">
        <f>IFERROR(IF(B24="","",VLOOKUP(B24,RM!$C$4:$F983,3,FALSE)),"")</f>
        <v/>
      </c>
      <c r="E24" s="118" t="e">
        <f t="array" aca="1" ref="E24" ca="1">_xludf.IFNA(IF(B24="","",VLOOKUP(B24,RM!$C$4:$G983,14,FALSE)),IFERROR(MIN(IF('S-BOM'!$B$3:$B993=$B24,'S-BOM'!$H$3:$H993,"")),""))</f>
        <v>#NAME?</v>
      </c>
      <c r="F24" s="87" t="str">
        <f t="shared" si="1"/>
        <v/>
      </c>
      <c r="G24" s="87" t="str">
        <f t="shared" si="2"/>
        <v/>
      </c>
      <c r="H24" s="87"/>
      <c r="I24" s="87"/>
      <c r="J24" s="87"/>
    </row>
    <row r="25" spans="1:10">
      <c r="A25" s="118" t="str">
        <f t="shared" si="0"/>
        <v/>
      </c>
      <c r="B25" s="1"/>
      <c r="C25" s="120" t="str">
        <f>IF(B25="","",SUMIFS('A-BOM'!$D$3:$D993,'A-BOM'!$C$3:$C993,B25,'A-BOM'!$B$3:$B993,$B$2))</f>
        <v/>
      </c>
      <c r="D25" s="120" t="str">
        <f>IFERROR(IF(B25="","",VLOOKUP(B25,RM!$C$4:$F983,3,FALSE)),"")</f>
        <v/>
      </c>
      <c r="E25" s="118" t="e">
        <f t="array" aca="1" ref="E25" ca="1">_xludf.IFNA(IF(B25="","",VLOOKUP(B25,RM!$C$4:$G983,14,FALSE)),IFERROR(MIN(IF('S-BOM'!$B$3:$B993=$B25,'S-BOM'!$H$3:$H993,"")),""))</f>
        <v>#NAME?</v>
      </c>
      <c r="F25" s="87" t="str">
        <f t="shared" si="1"/>
        <v/>
      </c>
      <c r="G25" s="87" t="str">
        <f t="shared" si="2"/>
        <v/>
      </c>
      <c r="H25" s="87"/>
      <c r="I25" s="87"/>
      <c r="J25" s="87"/>
    </row>
    <row r="26" spans="1:10">
      <c r="A26" s="118" t="str">
        <f t="shared" si="0"/>
        <v/>
      </c>
      <c r="B26" s="1"/>
      <c r="C26" s="120" t="str">
        <f>IF(B26="","",SUMIFS('A-BOM'!$D$3:$D993,'A-BOM'!$C$3:$C993,B26,'A-BOM'!$B$3:$B993,$B$2))</f>
        <v/>
      </c>
      <c r="D26" s="120" t="str">
        <f>IFERROR(IF(B26="","",VLOOKUP(B26,RM!$C$4:$F983,3,FALSE)),"")</f>
        <v/>
      </c>
      <c r="E26" s="118" t="e">
        <f t="array" aca="1" ref="E26" ca="1">_xludf.IFNA(IF(B26="","",VLOOKUP(B26,RM!$C$4:$G983,14,FALSE)),IFERROR(MIN(IF('S-BOM'!$B$3:$B993=$B26,'S-BOM'!$H$3:$H993,"")),""))</f>
        <v>#NAME?</v>
      </c>
      <c r="F26" s="87" t="str">
        <f t="shared" si="1"/>
        <v/>
      </c>
      <c r="G26" s="87" t="str">
        <f t="shared" si="2"/>
        <v/>
      </c>
      <c r="H26" s="87"/>
      <c r="I26" s="87"/>
      <c r="J26" s="87"/>
    </row>
    <row r="27" spans="1:10">
      <c r="A27" s="118" t="str">
        <f t="shared" si="0"/>
        <v/>
      </c>
      <c r="B27" s="1"/>
      <c r="C27" s="120" t="str">
        <f>IF(B27="","",SUMIFS('A-BOM'!$D$3:$D993,'A-BOM'!$C$3:$C993,B27,'A-BOM'!$B$3:$B993,$B$2))</f>
        <v/>
      </c>
      <c r="D27" s="120" t="str">
        <f>IFERROR(IF(B27="","",VLOOKUP(B27,RM!$C$4:$F983,3,FALSE)),"")</f>
        <v/>
      </c>
      <c r="E27" s="118" t="e">
        <f t="array" aca="1" ref="E27" ca="1">_xludf.IFNA(IF(B27="","",VLOOKUP(B27,RM!$C$4:$G983,14,FALSE)),IFERROR(MIN(IF('S-BOM'!$B$3:$B993=$B27,'S-BOM'!$H$3:$H993,"")),""))</f>
        <v>#NAME?</v>
      </c>
      <c r="F27" s="87" t="str">
        <f t="shared" si="1"/>
        <v/>
      </c>
      <c r="G27" s="87" t="str">
        <f t="shared" si="2"/>
        <v/>
      </c>
      <c r="H27" s="87"/>
      <c r="I27" s="87"/>
      <c r="J27" s="87"/>
    </row>
    <row r="28" spans="1:10">
      <c r="A28" s="118" t="str">
        <f t="shared" si="0"/>
        <v/>
      </c>
      <c r="B28" s="1"/>
      <c r="C28" s="120" t="str">
        <f>IF(B28="","",SUMIFS('A-BOM'!$D$3:$D993,'A-BOM'!$C$3:$C993,B28,'A-BOM'!$B$3:$B993,$B$2))</f>
        <v/>
      </c>
      <c r="D28" s="120" t="str">
        <f>IFERROR(IF(B28="","",VLOOKUP(B28,RM!$C$4:$F983,3,FALSE)),"")</f>
        <v/>
      </c>
      <c r="E28" s="118" t="e">
        <f t="array" aca="1" ref="E28" ca="1">_xludf.IFNA(IF(B28="","",VLOOKUP(B28,RM!$C$4:$G983,14,FALSE)),IFERROR(MIN(IF('S-BOM'!$B$3:$B993=$B28,'S-BOM'!$H$3:$H993,"")),""))</f>
        <v>#NAME?</v>
      </c>
      <c r="F28" s="87" t="str">
        <f t="shared" si="1"/>
        <v/>
      </c>
      <c r="G28" s="87" t="str">
        <f t="shared" si="2"/>
        <v/>
      </c>
      <c r="H28" s="87"/>
      <c r="I28" s="87"/>
      <c r="J28" s="87"/>
    </row>
    <row r="29" spans="1:10">
      <c r="A29" s="118" t="str">
        <f t="shared" si="0"/>
        <v/>
      </c>
      <c r="B29" s="1"/>
      <c r="C29" s="120" t="str">
        <f>IF(B29="","",SUMIFS('A-BOM'!$D$3:$D993,'A-BOM'!$C$3:$C993,B29,'A-BOM'!$B$3:$B993,$B$2))</f>
        <v/>
      </c>
      <c r="D29" s="120" t="str">
        <f>IFERROR(IF(B29="","",VLOOKUP(B29,RM!$C$4:$F983,3,FALSE)),"")</f>
        <v/>
      </c>
      <c r="E29" s="118" t="e">
        <f t="array" aca="1" ref="E29" ca="1">_xludf.IFNA(IF(B29="","",VLOOKUP(B29,RM!$C$4:$G983,14,FALSE)),IFERROR(MIN(IF('S-BOM'!$B$3:$B993=$B29,'S-BOM'!$H$3:$H993,"")),""))</f>
        <v>#NAME?</v>
      </c>
      <c r="F29" s="87" t="str">
        <f t="shared" si="1"/>
        <v/>
      </c>
      <c r="G29" s="87" t="str">
        <f t="shared" si="2"/>
        <v/>
      </c>
      <c r="H29" s="87"/>
      <c r="I29" s="87"/>
      <c r="J29" s="87"/>
    </row>
    <row r="30" spans="1:10">
      <c r="A30" s="118" t="str">
        <f t="shared" si="0"/>
        <v/>
      </c>
      <c r="B30" s="1"/>
      <c r="C30" s="120" t="str">
        <f>IF(B30="","",SUMIFS('A-BOM'!$D$3:$D993,'A-BOM'!$C$3:$C993,B30,'A-BOM'!$B$3:$B993,$B$2))</f>
        <v/>
      </c>
      <c r="D30" s="120" t="str">
        <f>IFERROR(IF(B30="","",VLOOKUP(B30,RM!$C$4:$F983,3,FALSE)),"")</f>
        <v/>
      </c>
      <c r="E30" s="118" t="e">
        <f t="array" aca="1" ref="E30" ca="1">_xludf.IFNA(IF(B30="","",VLOOKUP(B30,RM!$C$4:$G983,14,FALSE)),IFERROR(MIN(IF('S-BOM'!$B$3:$B993=$B30,'S-BOM'!$H$3:$H993,"")),""))</f>
        <v>#NAME?</v>
      </c>
      <c r="F30" s="87" t="str">
        <f t="shared" si="1"/>
        <v/>
      </c>
      <c r="G30" s="87" t="str">
        <f t="shared" si="2"/>
        <v/>
      </c>
      <c r="H30" s="87"/>
      <c r="I30" s="87"/>
      <c r="J30" s="87"/>
    </row>
    <row r="31" spans="1:10">
      <c r="A31" s="118" t="str">
        <f t="shared" si="0"/>
        <v/>
      </c>
      <c r="B31" s="1"/>
      <c r="C31" s="120" t="str">
        <f>IF(B31="","",SUMIFS('A-BOM'!$D$3:$D993,'A-BOM'!$C$3:$C993,B31,'A-BOM'!$B$3:$B993,$B$2))</f>
        <v/>
      </c>
      <c r="D31" s="120" t="str">
        <f>IFERROR(IF(B31="","",VLOOKUP(B31,RM!$C$4:$F983,3,FALSE)),"")</f>
        <v/>
      </c>
      <c r="E31" s="118" t="e">
        <f t="array" aca="1" ref="E31" ca="1">_xludf.IFNA(IF(B31="","",VLOOKUP(B31,RM!$C$4:$G983,14,FALSE)),IFERROR(MIN(IF('S-BOM'!$B$3:$B993=$B31,'S-BOM'!$H$3:$H993,"")),""))</f>
        <v>#NAME?</v>
      </c>
      <c r="F31" s="87" t="str">
        <f t="shared" si="1"/>
        <v/>
      </c>
      <c r="G31" s="87" t="str">
        <f t="shared" si="2"/>
        <v/>
      </c>
      <c r="H31" s="87"/>
      <c r="I31" s="87"/>
      <c r="J31" s="87"/>
    </row>
    <row r="32" spans="1:10">
      <c r="A32" s="118" t="str">
        <f t="shared" si="0"/>
        <v/>
      </c>
      <c r="B32" s="1"/>
      <c r="C32" s="120" t="str">
        <f>IF(B32="","",SUMIFS('A-BOM'!$D$3:$D993,'A-BOM'!$C$3:$C993,B32,'A-BOM'!$B$3:$B993,$B$2))</f>
        <v/>
      </c>
      <c r="D32" s="120" t="str">
        <f>IFERROR(IF(B32="","",VLOOKUP(B32,RM!$C$4:$F983,3,FALSE)),"")</f>
        <v/>
      </c>
      <c r="E32" s="118" t="e">
        <f t="array" aca="1" ref="E32" ca="1">_xludf.IFNA(IF(B32="","",VLOOKUP(B32,RM!$C$4:$G983,14,FALSE)),IFERROR(MIN(IF('S-BOM'!$B$3:$B993=$B32,'S-BOM'!$H$3:$H993,"")),""))</f>
        <v>#NAME?</v>
      </c>
      <c r="F32" s="87" t="str">
        <f t="shared" si="1"/>
        <v/>
      </c>
      <c r="G32" s="87" t="str">
        <f t="shared" si="2"/>
        <v/>
      </c>
      <c r="H32" s="87"/>
      <c r="I32" s="87"/>
      <c r="J32" s="87"/>
    </row>
    <row r="33" spans="1:10">
      <c r="A33" s="118" t="str">
        <f t="shared" si="0"/>
        <v/>
      </c>
      <c r="B33" s="1"/>
      <c r="C33" s="120" t="str">
        <f>IF(B33="","",SUMIFS('A-BOM'!$D$3:$D993,'A-BOM'!$C$3:$C993,B33,'A-BOM'!$B$3:$B993,$B$2))</f>
        <v/>
      </c>
      <c r="D33" s="120" t="str">
        <f>IFERROR(IF(B33="","",VLOOKUP(B33,RM!$C$4:$F983,3,FALSE)),"")</f>
        <v/>
      </c>
      <c r="E33" s="118" t="e">
        <f t="array" aca="1" ref="E33" ca="1">_xludf.IFNA(IF(B33="","",VLOOKUP(B33,RM!$C$4:$G983,14,FALSE)),IFERROR(MIN(IF('S-BOM'!$B$3:$B993=$B33,'S-BOM'!$H$3:$H993,"")),""))</f>
        <v>#NAME?</v>
      </c>
      <c r="F33" s="87" t="str">
        <f t="shared" si="1"/>
        <v/>
      </c>
      <c r="G33" s="87" t="str">
        <f t="shared" si="2"/>
        <v/>
      </c>
      <c r="H33" s="87"/>
      <c r="I33" s="87"/>
      <c r="J33" s="87"/>
    </row>
    <row r="34" spans="1:10">
      <c r="A34" s="118" t="str">
        <f t="shared" si="0"/>
        <v/>
      </c>
      <c r="B34" s="1"/>
      <c r="C34" s="120" t="str">
        <f>IF(B34="","",SUMIFS('A-BOM'!$D$3:$D993,'A-BOM'!$C$3:$C993,B34,'A-BOM'!$B$3:$B993,$B$2))</f>
        <v/>
      </c>
      <c r="D34" s="120" t="str">
        <f>IFERROR(IF(B34="","",VLOOKUP(B34,RM!$C$4:$F983,3,FALSE)),"")</f>
        <v/>
      </c>
      <c r="E34" s="118" t="e">
        <f t="array" aca="1" ref="E34" ca="1">_xludf.IFNA(IF(B34="","",VLOOKUP(B34,RM!$C$4:$G983,14,FALSE)),IFERROR(MIN(IF('S-BOM'!$B$3:$B993=$B34,'S-BOM'!$H$3:$H993,"")),""))</f>
        <v>#NAME?</v>
      </c>
      <c r="F34" s="87" t="str">
        <f t="shared" si="1"/>
        <v/>
      </c>
      <c r="G34" s="87" t="str">
        <f t="shared" si="2"/>
        <v/>
      </c>
      <c r="H34" s="87"/>
      <c r="I34" s="87"/>
      <c r="J34" s="87"/>
    </row>
    <row r="35" spans="1:10">
      <c r="A35" s="118" t="str">
        <f t="shared" si="0"/>
        <v/>
      </c>
      <c r="B35" s="1"/>
      <c r="C35" s="120" t="str">
        <f>IF(B35="","",SUMIFS('A-BOM'!$D$3:$D993,'A-BOM'!$C$3:$C993,B35,'A-BOM'!$B$3:$B993,$B$2))</f>
        <v/>
      </c>
      <c r="D35" s="120" t="str">
        <f>IFERROR(IF(B35="","",VLOOKUP(B35,RM!$C$4:$F983,3,FALSE)),"")</f>
        <v/>
      </c>
      <c r="E35" s="118" t="e">
        <f t="array" aca="1" ref="E35" ca="1">_xludf.IFNA(IF(B35="","",VLOOKUP(B35,RM!$C$4:$G983,14,FALSE)),IFERROR(MIN(IF('S-BOM'!$B$3:$B993=$B35,'S-BOM'!$H$3:$H993,"")),""))</f>
        <v>#NAME?</v>
      </c>
      <c r="F35" s="87" t="str">
        <f t="shared" si="1"/>
        <v/>
      </c>
      <c r="G35" s="87" t="str">
        <f t="shared" si="2"/>
        <v/>
      </c>
      <c r="H35" s="87"/>
      <c r="I35" s="87"/>
      <c r="J35" s="87"/>
    </row>
    <row r="36" spans="1:10">
      <c r="A36" s="118" t="str">
        <f t="shared" si="0"/>
        <v/>
      </c>
      <c r="B36" s="1"/>
      <c r="C36" s="120" t="str">
        <f>IF(B36="","",SUMIFS('A-BOM'!$D$3:$D993,'A-BOM'!$C$3:$C993,B36,'A-BOM'!$B$3:$B993,$B$2))</f>
        <v/>
      </c>
      <c r="D36" s="120" t="str">
        <f>IFERROR(IF(B36="","",VLOOKUP(B36,RM!$C$4:$F983,3,FALSE)),"")</f>
        <v/>
      </c>
      <c r="E36" s="118" t="e">
        <f t="array" aca="1" ref="E36" ca="1">_xludf.IFNA(IF(B36="","",VLOOKUP(B36,RM!$C$4:$G983,14,FALSE)),IFERROR(MIN(IF('S-BOM'!$B$3:$B993=$B36,'S-BOM'!$H$3:$H993,"")),""))</f>
        <v>#NAME?</v>
      </c>
      <c r="F36" s="87" t="str">
        <f t="shared" si="1"/>
        <v/>
      </c>
      <c r="G36" s="87" t="str">
        <f t="shared" si="2"/>
        <v/>
      </c>
      <c r="H36" s="87"/>
      <c r="I36" s="87"/>
      <c r="J36" s="87"/>
    </row>
    <row r="37" spans="1:10">
      <c r="A37" s="118" t="str">
        <f t="shared" si="0"/>
        <v/>
      </c>
      <c r="B37" s="121"/>
      <c r="C37" s="120" t="str">
        <f>IF(B37="","",SUMIFS('A-BOM'!$D$3:$D993,'A-BOM'!$C$3:$C993,B37,'A-BOM'!$B$3:$B993,$B$2))</f>
        <v/>
      </c>
      <c r="D37" s="120" t="str">
        <f>IFERROR(IF(B37="","",VLOOKUP(B37,RM!$C$4:$F983,3,FALSE)),"")</f>
        <v/>
      </c>
      <c r="E37" s="118" t="e">
        <f t="array" aca="1" ref="E37" ca="1">_xludf.IFNA(IF(B37="","",VLOOKUP(B37,RM!$C$4:$G983,14,FALSE)),IFERROR(MIN(IF('S-BOM'!$B$3:$B993=$B37,'S-BOM'!$H$3:$H993,"")),""))</f>
        <v>#NAME?</v>
      </c>
      <c r="F37" s="87" t="str">
        <f t="shared" si="1"/>
        <v/>
      </c>
      <c r="G37" s="87" t="str">
        <f t="shared" si="2"/>
        <v/>
      </c>
      <c r="H37" s="87"/>
      <c r="I37" s="87"/>
      <c r="J37" s="87"/>
    </row>
    <row r="38" spans="1:10">
      <c r="A38" s="118" t="str">
        <f t="shared" si="0"/>
        <v/>
      </c>
      <c r="B38" s="71"/>
      <c r="C38" s="120" t="str">
        <f>IF(B38="","",SUMIFS('A-BOM'!$D$3:$D993,'A-BOM'!$C$3:$C993,B38,'A-BOM'!$B$3:$B993,$B$2))</f>
        <v/>
      </c>
      <c r="D38" s="120" t="str">
        <f>IFERROR(IF(B38="","",VLOOKUP(B38,RM!$C$4:$F983,3,FALSE)),"")</f>
        <v/>
      </c>
      <c r="E38" s="118" t="e">
        <f t="array" aca="1" ref="E38" ca="1">_xludf.IFNA(IF(B38="","",VLOOKUP(B38,RM!$C$4:$G983,14,FALSE)),IFERROR(MIN(IF('S-BOM'!$B$3:$B993=$B38,'S-BOM'!$H$3:$H993,"")),""))</f>
        <v>#NAME?</v>
      </c>
      <c r="F38" s="87" t="str">
        <f t="shared" si="1"/>
        <v/>
      </c>
      <c r="G38" s="87" t="str">
        <f t="shared" si="2"/>
        <v/>
      </c>
      <c r="H38" s="87"/>
      <c r="I38" s="87"/>
      <c r="J38" s="87"/>
    </row>
    <row r="39" spans="1:10">
      <c r="A39" s="118" t="str">
        <f t="shared" si="0"/>
        <v/>
      </c>
      <c r="B39" s="71"/>
      <c r="C39" s="120" t="str">
        <f>IF(B39="","",SUMIFS('A-BOM'!$D$3:$D993,'A-BOM'!$C$3:$C993,B39,'A-BOM'!$B$3:$B993,$B$2))</f>
        <v/>
      </c>
      <c r="D39" s="120" t="str">
        <f>IFERROR(IF(B39="","",VLOOKUP(B39,RM!$C$4:$F983,3,FALSE)),"")</f>
        <v/>
      </c>
      <c r="E39" s="118" t="e">
        <f t="array" aca="1" ref="E39" ca="1">_xludf.IFNA(IF(B39="","",VLOOKUP(B39,RM!$C$4:$G983,14,FALSE)),IFERROR(MIN(IF('S-BOM'!$B$3:$B993=$B39,'S-BOM'!$H$3:$H993,"")),""))</f>
        <v>#NAME?</v>
      </c>
      <c r="F39" s="87" t="str">
        <f t="shared" si="1"/>
        <v/>
      </c>
      <c r="G39" s="87" t="str">
        <f t="shared" si="2"/>
        <v/>
      </c>
      <c r="H39" s="87"/>
      <c r="I39" s="87"/>
      <c r="J39" s="87"/>
    </row>
    <row r="40" spans="1:10">
      <c r="A40" s="118" t="str">
        <f t="shared" si="0"/>
        <v/>
      </c>
      <c r="B40" s="71"/>
      <c r="C40" s="120" t="str">
        <f>IF(B40="","",SUMIFS('A-BOM'!$D$3:$D993,'A-BOM'!$C$3:$C993,B40,'A-BOM'!$B$3:$B993,$B$2))</f>
        <v/>
      </c>
      <c r="D40" s="120" t="str">
        <f>IFERROR(IF(B40="","",VLOOKUP(B40,RM!$C$4:$F983,3,FALSE)),"")</f>
        <v/>
      </c>
      <c r="E40" s="118" t="e">
        <f t="array" aca="1" ref="E40" ca="1">_xludf.IFNA(IF(B40="","",VLOOKUP(B40,RM!$C$4:$G983,14,FALSE)),IFERROR(MIN(IF('S-BOM'!$B$3:$B993=$B40,'S-BOM'!$H$3:$H993,"")),""))</f>
        <v>#NAME?</v>
      </c>
      <c r="F40" s="87" t="str">
        <f t="shared" si="1"/>
        <v/>
      </c>
      <c r="G40" s="87" t="str">
        <f t="shared" si="2"/>
        <v/>
      </c>
      <c r="H40" s="87"/>
      <c r="I40" s="87"/>
      <c r="J40" s="87"/>
    </row>
    <row r="41" spans="1:10">
      <c r="A41" s="118" t="str">
        <f t="shared" si="0"/>
        <v/>
      </c>
      <c r="B41" s="71"/>
      <c r="C41" s="120" t="str">
        <f>IF(B41="","",SUMIFS('A-BOM'!$D$3:$D993,'A-BOM'!$C$3:$C993,B41,'A-BOM'!$B$3:$B993,$B$2))</f>
        <v/>
      </c>
      <c r="D41" s="120" t="str">
        <f>IFERROR(IF(B41="","",VLOOKUP(B41,RM!$C$4:$F983,3,FALSE)),"")</f>
        <v/>
      </c>
      <c r="E41" s="118" t="e">
        <f t="array" aca="1" ref="E41" ca="1">_xludf.IFNA(IF(B41="","",VLOOKUP(B41,RM!$C$4:$G983,14,FALSE)),IFERROR(MIN(IF('S-BOM'!$B$3:$B993=$B41,'S-BOM'!$H$3:$H993,"")),""))</f>
        <v>#NAME?</v>
      </c>
      <c r="F41" s="87" t="str">
        <f t="shared" si="1"/>
        <v/>
      </c>
      <c r="G41" s="87" t="str">
        <f t="shared" si="2"/>
        <v/>
      </c>
      <c r="H41" s="87"/>
      <c r="I41" s="87"/>
      <c r="J41" s="87"/>
    </row>
    <row r="42" spans="1:10">
      <c r="A42" s="118" t="str">
        <f t="shared" si="0"/>
        <v/>
      </c>
      <c r="B42" s="1"/>
      <c r="C42" s="120" t="str">
        <f>IF(B42="","",SUMIFS('A-BOM'!$D$3:$D993,'A-BOM'!$C$3:$C993,B42,'A-BOM'!$B$3:$B993,$B$2))</f>
        <v/>
      </c>
      <c r="D42" s="120" t="str">
        <f>IFERROR(IF(B42="","",VLOOKUP(B42,RM!$C$4:$F983,3,FALSE)),"")</f>
        <v/>
      </c>
      <c r="E42" s="118" t="e">
        <f t="array" aca="1" ref="E42" ca="1">_xludf.IFNA(IF(B42="","",VLOOKUP(B42,RM!$C$4:$G983,14,FALSE)),IFERROR(MIN(IF('S-BOM'!$B$3:$B993=$B42,'S-BOM'!$H$3:$H993,"")),""))</f>
        <v>#NAME?</v>
      </c>
      <c r="F42" s="87" t="str">
        <f t="shared" si="1"/>
        <v/>
      </c>
      <c r="G42" s="87" t="str">
        <f t="shared" si="2"/>
        <v/>
      </c>
      <c r="H42" s="87"/>
      <c r="I42" s="87"/>
      <c r="J42" s="87"/>
    </row>
    <row r="43" spans="1:10">
      <c r="A43" s="118" t="str">
        <f t="shared" si="0"/>
        <v/>
      </c>
      <c r="B43" s="1"/>
      <c r="C43" s="120" t="str">
        <f>IF(B43="","",SUMIFS('A-BOM'!$D$3:$D993,'A-BOM'!$C$3:$C993,B43,'A-BOM'!$B$3:$B993,$B$2))</f>
        <v/>
      </c>
      <c r="D43" s="120" t="str">
        <f>IFERROR(IF(B43="","",VLOOKUP(B43,RM!$C$4:$F983,3,FALSE)),"")</f>
        <v/>
      </c>
      <c r="E43" s="118" t="e">
        <f t="array" aca="1" ref="E43" ca="1">_xludf.IFNA(IF(B43="","",VLOOKUP(B43,RM!$C$4:$G983,14,FALSE)),IFERROR(MIN(IF('S-BOM'!$B$3:$B993=$B43,'S-BOM'!$H$3:$H993,"")),""))</f>
        <v>#NAME?</v>
      </c>
      <c r="F43" s="87" t="str">
        <f t="shared" si="1"/>
        <v/>
      </c>
      <c r="G43" s="87" t="str">
        <f t="shared" si="2"/>
        <v/>
      </c>
      <c r="H43" s="87"/>
      <c r="I43" s="87"/>
      <c r="J43" s="87"/>
    </row>
    <row r="44" spans="1:10">
      <c r="A44" s="118" t="str">
        <f t="shared" si="0"/>
        <v/>
      </c>
      <c r="B44" s="1"/>
      <c r="C44" s="120" t="str">
        <f>IF(B44="","",SUMIFS('A-BOM'!$D$3:$D993,'A-BOM'!$C$3:$C993,B44,'A-BOM'!$B$3:$B993,$B$2))</f>
        <v/>
      </c>
      <c r="D44" s="120" t="str">
        <f>IFERROR(IF(B44="","",VLOOKUP(B44,RM!$C$4:$F983,3,FALSE)),"")</f>
        <v/>
      </c>
      <c r="E44" s="118" t="e">
        <f t="array" aca="1" ref="E44" ca="1">_xludf.IFNA(IF(B44="","",VLOOKUP(B44,RM!$C$4:$G983,14,FALSE)),IFERROR(MIN(IF('S-BOM'!$B$3:$B993=$B44,'S-BOM'!$H$3:$H993,"")),""))</f>
        <v>#NAME?</v>
      </c>
      <c r="F44" s="87" t="str">
        <f t="shared" si="1"/>
        <v/>
      </c>
      <c r="G44" s="87" t="str">
        <f t="shared" si="2"/>
        <v/>
      </c>
      <c r="H44" s="87"/>
      <c r="I44" s="87"/>
      <c r="J44" s="87"/>
    </row>
    <row r="45" spans="1:10">
      <c r="A45" s="118" t="str">
        <f t="shared" si="0"/>
        <v/>
      </c>
      <c r="B45" s="1"/>
      <c r="C45" s="120" t="str">
        <f>IF(B45="","",SUMIFS('A-BOM'!$D$3:$D993,'A-BOM'!$C$3:$C993,B45,'A-BOM'!$B$3:$B993,$B$2))</f>
        <v/>
      </c>
      <c r="D45" s="120" t="str">
        <f>IFERROR(IF(B45="","",VLOOKUP(B45,RM!$C$4:$F983,3,FALSE)),"")</f>
        <v/>
      </c>
      <c r="E45" s="118" t="e">
        <f t="array" aca="1" ref="E45" ca="1">_xludf.IFNA(IF(B45="","",VLOOKUP(B45,RM!$C$4:$G983,14,FALSE)),IFERROR(MIN(IF('S-BOM'!$B$3:$B993=$B45,'S-BOM'!$H$3:$H993,"")),""))</f>
        <v>#NAME?</v>
      </c>
      <c r="F45" s="87" t="str">
        <f t="shared" si="1"/>
        <v/>
      </c>
      <c r="G45" s="87" t="str">
        <f t="shared" si="2"/>
        <v/>
      </c>
      <c r="H45" s="87"/>
      <c r="I45" s="87"/>
      <c r="J45" s="87"/>
    </row>
    <row r="46" spans="1:10">
      <c r="A46" s="118" t="str">
        <f t="shared" si="0"/>
        <v/>
      </c>
      <c r="B46" s="1"/>
      <c r="C46" s="120" t="str">
        <f>IF(B46="","",SUMIFS('A-BOM'!$D$3:$D993,'A-BOM'!$C$3:$C993,B46,'A-BOM'!$B$3:$B993,$B$2))</f>
        <v/>
      </c>
      <c r="D46" s="120" t="str">
        <f>IFERROR(IF(B46="","",VLOOKUP(B46,RM!$C$4:$F983,3,FALSE)),"")</f>
        <v/>
      </c>
      <c r="E46" s="118" t="e">
        <f t="array" aca="1" ref="E46" ca="1">_xludf.IFNA(IF(B46="","",VLOOKUP(B46,RM!$C$4:$G983,14,FALSE)),IFERROR(MIN(IF('S-BOM'!$B$3:$B993=$B46,'S-BOM'!$H$3:$H993,"")),""))</f>
        <v>#NAME?</v>
      </c>
      <c r="F46" s="87" t="str">
        <f t="shared" si="1"/>
        <v/>
      </c>
      <c r="G46" s="87" t="str">
        <f t="shared" si="2"/>
        <v/>
      </c>
      <c r="H46" s="87"/>
      <c r="I46" s="87"/>
      <c r="J46" s="87"/>
    </row>
    <row r="47" spans="1:10">
      <c r="A47" s="118" t="str">
        <f t="shared" si="0"/>
        <v/>
      </c>
      <c r="B47" s="1"/>
      <c r="C47" s="120" t="str">
        <f>IF(B47="","",SUMIFS('A-BOM'!$D$3:$D993,'A-BOM'!$C$3:$C993,B47,'A-BOM'!$B$3:$B993,$B$2))</f>
        <v/>
      </c>
      <c r="D47" s="120" t="str">
        <f>IFERROR(IF(B47="","",VLOOKUP(B47,RM!$C$4:$F983,3,FALSE)),"")</f>
        <v/>
      </c>
      <c r="E47" s="118" t="e">
        <f t="array" aca="1" ref="E47" ca="1">_xludf.IFNA(IF(B47="","",VLOOKUP(B47,RM!$C$4:$G983,14,FALSE)),IFERROR(MIN(IF('S-BOM'!$B$3:$B993=$B47,'S-BOM'!$H$3:$H993,"")),""))</f>
        <v>#NAME?</v>
      </c>
      <c r="F47" s="87" t="str">
        <f t="shared" si="1"/>
        <v/>
      </c>
      <c r="G47" s="87" t="str">
        <f t="shared" si="2"/>
        <v/>
      </c>
      <c r="H47" s="87"/>
      <c r="I47" s="87"/>
      <c r="J47" s="87"/>
    </row>
    <row r="48" spans="1:10">
      <c r="A48" s="118" t="str">
        <f t="shared" si="0"/>
        <v/>
      </c>
      <c r="B48" s="1"/>
      <c r="C48" s="120" t="str">
        <f>IF(B48="","",SUMIFS('A-BOM'!$D$3:$D993,'A-BOM'!$C$3:$C993,B48,'A-BOM'!$B$3:$B993,$B$2))</f>
        <v/>
      </c>
      <c r="D48" s="120" t="str">
        <f>IFERROR(IF(B48="","",VLOOKUP(B48,RM!$C$4:$F983,3,FALSE)),"")</f>
        <v/>
      </c>
      <c r="E48" s="118" t="e">
        <f t="array" aca="1" ref="E48" ca="1">_xludf.IFNA(IF(B48="","",VLOOKUP(B48,RM!$C$4:$G983,14,FALSE)),IFERROR(MIN(IF('S-BOM'!$B$3:$B993=$B48,'S-BOM'!$H$3:$H993,"")),""))</f>
        <v>#NAME?</v>
      </c>
      <c r="F48" s="87" t="str">
        <f t="shared" si="1"/>
        <v/>
      </c>
      <c r="G48" s="87" t="str">
        <f t="shared" si="2"/>
        <v/>
      </c>
      <c r="H48" s="87"/>
      <c r="I48" s="87"/>
      <c r="J48" s="87"/>
    </row>
    <row r="49" spans="1:10">
      <c r="A49" s="118" t="str">
        <f t="shared" si="0"/>
        <v/>
      </c>
      <c r="B49" s="1"/>
      <c r="C49" s="120" t="str">
        <f>IF(B49="","",SUMIFS('A-BOM'!$D$3:$D993,'A-BOM'!$C$3:$C993,B49,'A-BOM'!$B$3:$B993,$B$2))</f>
        <v/>
      </c>
      <c r="D49" s="120" t="str">
        <f>IFERROR(IF(B49="","",VLOOKUP(B49,RM!$C$4:$F983,3,FALSE)),"")</f>
        <v/>
      </c>
      <c r="E49" s="118" t="e">
        <f t="array" aca="1" ref="E49" ca="1">_xludf.IFNA(IF(B49="","",VLOOKUP(B49,RM!$C$4:$G983,14,FALSE)),IFERROR(MIN(IF('S-BOM'!$B$3:$B993=$B49,'S-BOM'!$H$3:$H993,"")),""))</f>
        <v>#NAME?</v>
      </c>
      <c r="F49" s="87" t="str">
        <f t="shared" si="1"/>
        <v/>
      </c>
      <c r="G49" s="87" t="str">
        <f t="shared" si="2"/>
        <v/>
      </c>
      <c r="H49" s="87"/>
      <c r="I49" s="87"/>
      <c r="J49" s="87"/>
    </row>
    <row r="50" spans="1:10">
      <c r="A50" s="118" t="str">
        <f t="shared" si="0"/>
        <v/>
      </c>
      <c r="B50" s="1"/>
      <c r="C50" s="120" t="str">
        <f>IF(B50="","",SUMIFS('A-BOM'!$D$3:$D993,'A-BOM'!$C$3:$C993,B50,'A-BOM'!$B$3:$B993,$B$2))</f>
        <v/>
      </c>
      <c r="D50" s="120" t="str">
        <f>IFERROR(IF(B50="","",VLOOKUP(B50,RM!$C$4:$F983,3,FALSE)),"")</f>
        <v/>
      </c>
      <c r="E50" s="118" t="e">
        <f t="array" aca="1" ref="E50" ca="1">_xludf.IFNA(IF(B50="","",VLOOKUP(B50,RM!$C$4:$G983,14,FALSE)),IFERROR(MIN(IF('S-BOM'!$B$3:$B993=$B50,'S-BOM'!$H$3:$H993,"")),""))</f>
        <v>#NAME?</v>
      </c>
      <c r="F50" s="87" t="str">
        <f t="shared" si="1"/>
        <v/>
      </c>
      <c r="G50" s="87" t="str">
        <f t="shared" si="2"/>
        <v/>
      </c>
      <c r="H50" s="87"/>
      <c r="I50" s="87"/>
      <c r="J50" s="87"/>
    </row>
    <row r="51" spans="1:10">
      <c r="A51" s="118" t="str">
        <f t="shared" si="0"/>
        <v/>
      </c>
      <c r="B51" s="1"/>
      <c r="C51" s="120" t="str">
        <f>IF(B51="","",SUMIFS('A-BOM'!$D$3:$D993,'A-BOM'!$C$3:$C993,B51,'A-BOM'!$B$3:$B993,$B$2))</f>
        <v/>
      </c>
      <c r="D51" s="120" t="str">
        <f>IFERROR(IF(B51="","",VLOOKUP(B51,RM!$C$4:$F983,3,FALSE)),"")</f>
        <v/>
      </c>
      <c r="E51" s="118" t="e">
        <f t="array" aca="1" ref="E51" ca="1">_xludf.IFNA(IF(B51="","",VLOOKUP(B51,RM!$C$4:$G983,14,FALSE)),IFERROR(MIN(IF('S-BOM'!$B$3:$B993=$B51,'S-BOM'!$H$3:$H993,"")),""))</f>
        <v>#NAME?</v>
      </c>
      <c r="F51" s="87" t="str">
        <f t="shared" si="1"/>
        <v/>
      </c>
      <c r="G51" s="87" t="str">
        <f t="shared" si="2"/>
        <v/>
      </c>
      <c r="H51" s="87"/>
      <c r="I51" s="87"/>
      <c r="J51" s="87"/>
    </row>
    <row r="52" spans="1:10">
      <c r="A52" s="118" t="str">
        <f t="shared" si="0"/>
        <v/>
      </c>
      <c r="B52" s="1"/>
      <c r="C52" s="120" t="str">
        <f>IF(B52="","",SUMIFS('A-BOM'!$D$3:$D993,'A-BOM'!$C$3:$C993,B52,'A-BOM'!$B$3:$B993,$B$2))</f>
        <v/>
      </c>
      <c r="D52" s="120" t="str">
        <f>IFERROR(IF(B52="","",VLOOKUP(B52,RM!$C$4:$F983,3,FALSE)),"")</f>
        <v/>
      </c>
      <c r="E52" s="118" t="e">
        <f t="array" aca="1" ref="E52" ca="1">_xludf.IFNA(IF(B52="","",VLOOKUP(B52,RM!$C$4:$G983,14,FALSE)),IFERROR(MIN(IF('S-BOM'!$B$3:$B993=$B52,'S-BOM'!$H$3:$H993,"")),""))</f>
        <v>#NAME?</v>
      </c>
      <c r="F52" s="87" t="str">
        <f t="shared" si="1"/>
        <v/>
      </c>
      <c r="G52" s="87" t="str">
        <f t="shared" si="2"/>
        <v/>
      </c>
      <c r="H52" s="87"/>
      <c r="I52" s="87"/>
      <c r="J52" s="87"/>
    </row>
    <row r="53" spans="1:10">
      <c r="A53" s="118" t="str">
        <f t="shared" si="0"/>
        <v/>
      </c>
      <c r="B53" s="1"/>
      <c r="C53" s="120" t="str">
        <f>IF(B53="","",SUMIFS('A-BOM'!$D$3:$D993,'A-BOM'!$C$3:$C993,B53,'A-BOM'!$B$3:$B993,$B$2))</f>
        <v/>
      </c>
      <c r="D53" s="120" t="str">
        <f>IFERROR(IF(B53="","",VLOOKUP(B53,RM!$C$4:$F983,3,FALSE)),"")</f>
        <v/>
      </c>
      <c r="E53" s="118" t="e">
        <f t="array" aca="1" ref="E53" ca="1">_xludf.IFNA(IF(B53="","",VLOOKUP(B53,RM!$C$4:$G983,14,FALSE)),IFERROR(MIN(IF('S-BOM'!$B$3:$B993=$B53,'S-BOM'!$H$3:$H993,"")),""))</f>
        <v>#NAME?</v>
      </c>
      <c r="F53" s="87" t="str">
        <f t="shared" si="1"/>
        <v/>
      </c>
      <c r="G53" s="87" t="str">
        <f t="shared" si="2"/>
        <v/>
      </c>
      <c r="H53" s="87"/>
      <c r="I53" s="87"/>
      <c r="J53" s="87"/>
    </row>
    <row r="54" spans="1:10">
      <c r="A54" s="118" t="str">
        <f t="shared" si="0"/>
        <v/>
      </c>
      <c r="B54" s="1"/>
      <c r="C54" s="120" t="str">
        <f>IF(B54="","",SUMIFS('A-BOM'!$D$3:$D993,'A-BOM'!$C$3:$C993,B54,'A-BOM'!$B$3:$B993,$B$2))</f>
        <v/>
      </c>
      <c r="D54" s="120" t="str">
        <f>IFERROR(IF(B54="","",VLOOKUP(B54,RM!$C$4:$F983,3,FALSE)),"")</f>
        <v/>
      </c>
      <c r="E54" s="118" t="e">
        <f t="array" aca="1" ref="E54" ca="1">_xludf.IFNA(IF(B54="","",VLOOKUP(B54,RM!$C$4:$G983,14,FALSE)),IFERROR(MIN(IF('S-BOM'!$B$3:$B993=$B54,'S-BOM'!$H$3:$H993,"")),""))</f>
        <v>#NAME?</v>
      </c>
      <c r="F54" s="87" t="str">
        <f t="shared" si="1"/>
        <v/>
      </c>
      <c r="G54" s="87" t="str">
        <f t="shared" si="2"/>
        <v/>
      </c>
      <c r="H54" s="87"/>
      <c r="I54" s="87"/>
      <c r="J54" s="87"/>
    </row>
    <row r="55" spans="1:10">
      <c r="A55" s="118" t="str">
        <f t="shared" si="0"/>
        <v/>
      </c>
      <c r="B55" s="1"/>
      <c r="C55" s="120" t="str">
        <f>IF(B55="","",SUMIFS('A-BOM'!$D$3:$D993,'A-BOM'!$C$3:$C993,B55,'A-BOM'!$B$3:$B993,$B$2))</f>
        <v/>
      </c>
      <c r="D55" s="120" t="str">
        <f>IFERROR(IF(B55="","",VLOOKUP(B55,RM!$C$4:$F983,3,FALSE)),"")</f>
        <v/>
      </c>
      <c r="E55" s="118" t="e">
        <f t="array" aca="1" ref="E55" ca="1">_xludf.IFNA(IF(B55="","",VLOOKUP(B55,RM!$C$4:$G983,14,FALSE)),IFERROR(MIN(IF('S-BOM'!$B$3:$B993=$B55,'S-BOM'!$H$3:$H993,"")),""))</f>
        <v>#NAME?</v>
      </c>
      <c r="F55" s="87" t="str">
        <f t="shared" si="1"/>
        <v/>
      </c>
      <c r="G55" s="87" t="str">
        <f t="shared" si="2"/>
        <v/>
      </c>
      <c r="H55" s="87"/>
      <c r="I55" s="87"/>
      <c r="J55" s="87"/>
    </row>
    <row r="56" spans="1:10">
      <c r="A56" s="118" t="str">
        <f t="shared" si="0"/>
        <v/>
      </c>
      <c r="B56" s="1"/>
      <c r="C56" s="120" t="str">
        <f>IF(B56="","",SUMIFS('A-BOM'!$D$3:$D993,'A-BOM'!$C$3:$C993,B56,'A-BOM'!$B$3:$B993,$B$2))</f>
        <v/>
      </c>
      <c r="D56" s="120" t="str">
        <f>IFERROR(IF(B56="","",VLOOKUP(B56,RM!$C$4:$F983,3,FALSE)),"")</f>
        <v/>
      </c>
      <c r="E56" s="118" t="e">
        <f t="array" aca="1" ref="E56" ca="1">_xludf.IFNA(IF(B56="","",VLOOKUP(B56,RM!$C$4:$G983,14,FALSE)),IFERROR(MIN(IF('S-BOM'!$B$3:$B993=$B56,'S-BOM'!$H$3:$H993,"")),""))</f>
        <v>#NAME?</v>
      </c>
      <c r="F56" s="87" t="str">
        <f t="shared" si="1"/>
        <v/>
      </c>
      <c r="G56" s="87" t="str">
        <f t="shared" si="2"/>
        <v/>
      </c>
      <c r="H56" s="87"/>
      <c r="I56" s="87"/>
      <c r="J56" s="87"/>
    </row>
    <row r="57" spans="1:10">
      <c r="A57" s="118" t="str">
        <f t="shared" si="0"/>
        <v/>
      </c>
      <c r="B57" s="1"/>
      <c r="C57" s="120" t="str">
        <f>IF(B57="","",SUMIFS('A-BOM'!$D$3:$D993,'A-BOM'!$C$3:$C993,B57,'A-BOM'!$B$3:$B993,$B$2))</f>
        <v/>
      </c>
      <c r="D57" s="120" t="str">
        <f>IFERROR(IF(B57="","",VLOOKUP(B57,RM!$C$4:$F983,3,FALSE)),"")</f>
        <v/>
      </c>
      <c r="E57" s="118" t="e">
        <f t="array" aca="1" ref="E57" ca="1">_xludf.IFNA(IF(B57="","",VLOOKUP(B57,RM!$C$4:$G983,14,FALSE)),IFERROR(MIN(IF('S-BOM'!$B$3:$B993=$B57,'S-BOM'!$H$3:$H993,"")),""))</f>
        <v>#NAME?</v>
      </c>
      <c r="F57" s="87" t="str">
        <f t="shared" si="1"/>
        <v/>
      </c>
      <c r="G57" s="87" t="str">
        <f t="shared" si="2"/>
        <v/>
      </c>
      <c r="H57" s="87"/>
      <c r="I57" s="87"/>
      <c r="J57" s="87"/>
    </row>
    <row r="58" spans="1:10">
      <c r="A58" s="118" t="str">
        <f t="shared" si="0"/>
        <v/>
      </c>
      <c r="B58" s="1"/>
      <c r="C58" s="120" t="str">
        <f>IF(B58="","",SUMIFS('A-BOM'!$D$3:$D993,'A-BOM'!$C$3:$C993,B58,'A-BOM'!$B$3:$B993,$B$2))</f>
        <v/>
      </c>
      <c r="D58" s="120" t="str">
        <f>IFERROR(IF(B58="","",VLOOKUP(B58,RM!$C$4:$F983,3,FALSE)),"")</f>
        <v/>
      </c>
      <c r="E58" s="118" t="e">
        <f t="array" aca="1" ref="E58" ca="1">_xludf.IFNA(IF(B58="","",VLOOKUP(B58,RM!$C$4:$G983,14,FALSE)),IFERROR(MIN(IF('S-BOM'!$B$3:$B993=$B58,'S-BOM'!$H$3:$H993,"")),""))</f>
        <v>#NAME?</v>
      </c>
      <c r="F58" s="87" t="str">
        <f t="shared" si="1"/>
        <v/>
      </c>
      <c r="G58" s="87" t="str">
        <f t="shared" si="2"/>
        <v/>
      </c>
      <c r="H58" s="87"/>
      <c r="I58" s="87"/>
      <c r="J58" s="87"/>
    </row>
    <row r="59" spans="1:10">
      <c r="A59" s="118" t="str">
        <f t="shared" si="0"/>
        <v/>
      </c>
      <c r="B59" s="1"/>
      <c r="C59" s="120" t="str">
        <f>IF(B59="","",SUMIFS('A-BOM'!$D$3:$D993,'A-BOM'!$C$3:$C993,B59,'A-BOM'!$B$3:$B993,$B$2))</f>
        <v/>
      </c>
      <c r="D59" s="120" t="str">
        <f>IFERROR(IF(B59="","",VLOOKUP(B59,RM!$C$4:$F983,3,FALSE)),"")</f>
        <v/>
      </c>
      <c r="E59" s="118" t="e">
        <f t="array" aca="1" ref="E59" ca="1">_xludf.IFNA(IF(B59="","",VLOOKUP(B59,RM!$C$4:$G983,14,FALSE)),IFERROR(MIN(IF('S-BOM'!$B$3:$B993=$B59,'S-BOM'!$H$3:$H993,"")),""))</f>
        <v>#NAME?</v>
      </c>
      <c r="F59" s="87" t="str">
        <f t="shared" si="1"/>
        <v/>
      </c>
      <c r="G59" s="87" t="str">
        <f t="shared" si="2"/>
        <v/>
      </c>
      <c r="H59" s="87"/>
      <c r="I59" s="87"/>
      <c r="J59" s="87"/>
    </row>
    <row r="60" spans="1:10">
      <c r="A60" s="118" t="str">
        <f t="shared" si="0"/>
        <v/>
      </c>
      <c r="B60" s="1"/>
      <c r="C60" s="120" t="str">
        <f>IF(B60="","",SUMIFS('A-BOM'!$D$3:$D993,'A-BOM'!$C$3:$C993,B60,'A-BOM'!$B$3:$B993,$B$2))</f>
        <v/>
      </c>
      <c r="D60" s="120" t="str">
        <f>IFERROR(IF(B60="","",VLOOKUP(B60,RM!$C$4:$F983,3,FALSE)),"")</f>
        <v/>
      </c>
      <c r="E60" s="118" t="e">
        <f t="array" aca="1" ref="E60" ca="1">_xludf.IFNA(IF(B60="","",VLOOKUP(B60,RM!$C$4:$G983,14,FALSE)),IFERROR(MIN(IF('S-BOM'!$B$3:$B993=$B60,'S-BOM'!$H$3:$H993,"")),""))</f>
        <v>#NAME?</v>
      </c>
      <c r="F60" s="87" t="str">
        <f t="shared" si="1"/>
        <v/>
      </c>
      <c r="G60" s="87" t="str">
        <f t="shared" si="2"/>
        <v/>
      </c>
      <c r="H60" s="87"/>
      <c r="I60" s="87"/>
      <c r="J60" s="87"/>
    </row>
    <row r="61" spans="1:10">
      <c r="A61" s="118" t="str">
        <f t="shared" si="0"/>
        <v/>
      </c>
      <c r="B61" s="1"/>
      <c r="C61" s="120" t="str">
        <f>IF(B61="","",SUMIFS('A-BOM'!$D$3:$D993,'A-BOM'!$C$3:$C993,B61,'A-BOM'!$B$3:$B993,$B$2))</f>
        <v/>
      </c>
      <c r="D61" s="120" t="str">
        <f>IFERROR(IF(B61="","",VLOOKUP(B61,RM!$C$4:$F983,3,FALSE)),"")</f>
        <v/>
      </c>
      <c r="E61" s="118" t="e">
        <f t="array" aca="1" ref="E61" ca="1">_xludf.IFNA(IF(B61="","",VLOOKUP(B61,RM!$C$4:$G983,14,FALSE)),IFERROR(MIN(IF('S-BOM'!$B$3:$B993=$B61,'S-BOM'!$H$3:$H993,"")),""))</f>
        <v>#NAME?</v>
      </c>
      <c r="F61" s="87" t="str">
        <f t="shared" si="1"/>
        <v/>
      </c>
      <c r="G61" s="87" t="str">
        <f t="shared" si="2"/>
        <v/>
      </c>
      <c r="H61" s="87"/>
      <c r="I61" s="87"/>
      <c r="J61" s="87"/>
    </row>
    <row r="62" spans="1:10">
      <c r="A62" s="118" t="str">
        <f t="shared" si="0"/>
        <v/>
      </c>
      <c r="B62" s="1"/>
      <c r="C62" s="120" t="str">
        <f>IF(B62="","",SUMIFS('A-BOM'!$D$3:$D993,'A-BOM'!$C$3:$C993,B62,'A-BOM'!$B$3:$B993,$B$2))</f>
        <v/>
      </c>
      <c r="D62" s="120" t="str">
        <f>IFERROR(IF(B62="","",VLOOKUP(B62,RM!$C$4:$F983,3,FALSE)),"")</f>
        <v/>
      </c>
      <c r="E62" s="118" t="e">
        <f t="array" aca="1" ref="E62" ca="1">_xludf.IFNA(IF(B62="","",VLOOKUP(B62,RM!$C$4:$G983,14,FALSE)),IFERROR(MIN(IF('S-BOM'!$B$3:$B993=$B62,'S-BOM'!$H$3:$H993,"")),""))</f>
        <v>#NAME?</v>
      </c>
      <c r="F62" s="87" t="str">
        <f t="shared" si="1"/>
        <v/>
      </c>
      <c r="G62" s="87" t="str">
        <f t="shared" si="2"/>
        <v/>
      </c>
      <c r="H62" s="87"/>
      <c r="I62" s="87"/>
      <c r="J62" s="87"/>
    </row>
    <row r="63" spans="1:10">
      <c r="A63" s="118" t="str">
        <f t="shared" si="0"/>
        <v/>
      </c>
      <c r="B63" s="1"/>
      <c r="C63" s="120" t="str">
        <f>IF(B63="","",SUMIFS('A-BOM'!$D$3:$D993,'A-BOM'!$C$3:$C993,B63,'A-BOM'!$B$3:$B993,$B$2))</f>
        <v/>
      </c>
      <c r="D63" s="120" t="str">
        <f>IFERROR(IF(B63="","",VLOOKUP(B63,RM!$C$4:$F983,3,FALSE)),"")</f>
        <v/>
      </c>
      <c r="E63" s="118" t="e">
        <f t="array" aca="1" ref="E63" ca="1">_xludf.IFNA(IF(B63="","",VLOOKUP(B63,RM!$C$4:$G983,14,FALSE)),IFERROR(MIN(IF('S-BOM'!$B$3:$B993=$B63,'S-BOM'!$H$3:$H993,"")),""))</f>
        <v>#NAME?</v>
      </c>
      <c r="F63" s="87" t="str">
        <f t="shared" si="1"/>
        <v/>
      </c>
      <c r="G63" s="87" t="str">
        <f t="shared" si="2"/>
        <v/>
      </c>
      <c r="H63" s="87"/>
      <c r="I63" s="87"/>
      <c r="J63" s="87"/>
    </row>
    <row r="64" spans="1:10">
      <c r="A64" s="118" t="str">
        <f t="shared" si="0"/>
        <v/>
      </c>
      <c r="B64" s="1"/>
      <c r="C64" s="120" t="str">
        <f>IF(B64="","",SUMIFS('A-BOM'!$D$3:$D993,'A-BOM'!$C$3:$C993,B64,'A-BOM'!$B$3:$B993,$B$2))</f>
        <v/>
      </c>
      <c r="D64" s="120" t="str">
        <f>IFERROR(IF(B64="","",VLOOKUP(B64,RM!$C$4:$F983,3,FALSE)),"")</f>
        <v/>
      </c>
      <c r="E64" s="118" t="e">
        <f t="array" aca="1" ref="E64" ca="1">_xludf.IFNA(IF(B64="","",VLOOKUP(B64,RM!$C$4:$G983,14,FALSE)),IFERROR(MIN(IF('S-BOM'!$B$3:$B993=$B64,'S-BOM'!$H$3:$H993,"")),""))</f>
        <v>#NAME?</v>
      </c>
      <c r="F64" s="87" t="str">
        <f t="shared" si="1"/>
        <v/>
      </c>
      <c r="G64" s="87" t="str">
        <f t="shared" si="2"/>
        <v/>
      </c>
      <c r="H64" s="87"/>
      <c r="I64" s="87"/>
      <c r="J64" s="87"/>
    </row>
    <row r="65" spans="1:10">
      <c r="A65" s="118" t="str">
        <f t="shared" si="0"/>
        <v/>
      </c>
      <c r="B65" s="1"/>
      <c r="C65" s="120" t="str">
        <f>IF(B65="","",SUMIFS('A-BOM'!$D$3:$D993,'A-BOM'!$C$3:$C993,B65,'A-BOM'!$B$3:$B993,$B$2))</f>
        <v/>
      </c>
      <c r="D65" s="120" t="str">
        <f>IFERROR(IF(B65="","",VLOOKUP(B65,RM!$C$4:$F983,3,FALSE)),"")</f>
        <v/>
      </c>
      <c r="E65" s="118" t="e">
        <f t="array" aca="1" ref="E65" ca="1">_xludf.IFNA(IF(B65="","",VLOOKUP(B65,RM!$C$4:$G983,14,FALSE)),IFERROR(MIN(IF('S-BOM'!$B$3:$B993=$B65,'S-BOM'!$H$3:$H993,"")),""))</f>
        <v>#NAME?</v>
      </c>
      <c r="F65" s="87" t="str">
        <f t="shared" si="1"/>
        <v/>
      </c>
      <c r="G65" s="87" t="str">
        <f t="shared" si="2"/>
        <v/>
      </c>
      <c r="H65" s="87"/>
      <c r="I65" s="87"/>
      <c r="J65" s="87"/>
    </row>
    <row r="66" spans="1:10">
      <c r="A66" s="118" t="str">
        <f t="shared" si="0"/>
        <v/>
      </c>
      <c r="B66" s="1"/>
      <c r="C66" s="120" t="str">
        <f>IF(B66="","",SUMIFS('A-BOM'!$D$3:$D993,'A-BOM'!$C$3:$C993,B66,'A-BOM'!$B$3:$B993,$B$2))</f>
        <v/>
      </c>
      <c r="D66" s="120" t="str">
        <f>IFERROR(IF(B66="","",VLOOKUP(B66,RM!$C$4:$F983,3,FALSE)),"")</f>
        <v/>
      </c>
      <c r="E66" s="118" t="e">
        <f t="array" aca="1" ref="E66" ca="1">_xludf.IFNA(IF(B66="","",VLOOKUP(B66,RM!$C$4:$G983,14,FALSE)),IFERROR(MIN(IF('S-BOM'!$B$3:$B993=$B66,'S-BOM'!$H$3:$H993,"")),""))</f>
        <v>#NAME?</v>
      </c>
      <c r="F66" s="87" t="str">
        <f t="shared" si="1"/>
        <v/>
      </c>
      <c r="G66" s="87" t="str">
        <f t="shared" si="2"/>
        <v/>
      </c>
      <c r="H66" s="87"/>
      <c r="I66" s="87"/>
      <c r="J66" s="87"/>
    </row>
    <row r="67" spans="1:10">
      <c r="A67" s="118" t="str">
        <f t="shared" si="0"/>
        <v/>
      </c>
      <c r="B67" s="1"/>
      <c r="C67" s="120" t="str">
        <f>IF(B67="","",SUMIFS('A-BOM'!$D$3:$D993,'A-BOM'!$C$3:$C993,B67,'A-BOM'!$B$3:$B993,$B$2))</f>
        <v/>
      </c>
      <c r="D67" s="120" t="str">
        <f>IFERROR(IF(B67="","",VLOOKUP(B67,RM!$C$4:$F983,3,FALSE)),"")</f>
        <v/>
      </c>
      <c r="E67" s="118" t="e">
        <f t="array" aca="1" ref="E67" ca="1">_xludf.IFNA(IF(B67="","",VLOOKUP(B67,RM!$C$4:$G983,14,FALSE)),IFERROR(MIN(IF('S-BOM'!$B$3:$B993=$B67,'S-BOM'!$H$3:$H993,"")),""))</f>
        <v>#NAME?</v>
      </c>
      <c r="F67" s="87" t="str">
        <f t="shared" si="1"/>
        <v/>
      </c>
      <c r="G67" s="87" t="str">
        <f t="shared" si="2"/>
        <v/>
      </c>
      <c r="H67" s="87"/>
      <c r="I67" s="87"/>
      <c r="J67" s="87"/>
    </row>
    <row r="68" spans="1:10">
      <c r="A68" s="118" t="str">
        <f t="shared" si="0"/>
        <v/>
      </c>
      <c r="B68" s="1"/>
      <c r="C68" s="120" t="str">
        <f>IF(B68="","",SUMIFS('A-BOM'!$D$3:$D993,'A-BOM'!$C$3:$C993,B68,'A-BOM'!$B$3:$B993,$B$2))</f>
        <v/>
      </c>
      <c r="D68" s="120" t="str">
        <f>IFERROR(IF(B68="","",VLOOKUP(B68,RM!$C$4:$F983,3,FALSE)),"")</f>
        <v/>
      </c>
      <c r="E68" s="118" t="e">
        <f t="array" aca="1" ref="E68" ca="1">_xludf.IFNA(IF(B68="","",VLOOKUP(B68,RM!$C$4:$G983,14,FALSE)),IFERROR(MIN(IF('S-BOM'!$B$3:$B993=$B68,'S-BOM'!$H$3:$H993,"")),""))</f>
        <v>#NAME?</v>
      </c>
      <c r="F68" s="87" t="str">
        <f t="shared" si="1"/>
        <v/>
      </c>
      <c r="G68" s="87" t="str">
        <f t="shared" si="2"/>
        <v/>
      </c>
      <c r="H68" s="87"/>
      <c r="I68" s="87"/>
      <c r="J68" s="87"/>
    </row>
    <row r="69" spans="1:10">
      <c r="A69" s="118" t="str">
        <f t="shared" si="0"/>
        <v/>
      </c>
      <c r="B69" s="1"/>
      <c r="C69" s="120" t="str">
        <f>IF(B69="","",SUMIFS('A-BOM'!$D$3:$D993,'A-BOM'!$C$3:$C993,B69,'A-BOM'!$B$3:$B993,$B$2))</f>
        <v/>
      </c>
      <c r="D69" s="120" t="str">
        <f>IFERROR(IF(B69="","",VLOOKUP(B69,RM!$C$4:$F983,3,FALSE)),"")</f>
        <v/>
      </c>
      <c r="E69" s="118" t="e">
        <f t="array" aca="1" ref="E69" ca="1">_xludf.IFNA(IF(B69="","",VLOOKUP(B69,RM!$C$4:$G983,14,FALSE)),IFERROR(MIN(IF('S-BOM'!$B$3:$B993=$B69,'S-BOM'!$H$3:$H993,"")),""))</f>
        <v>#NAME?</v>
      </c>
      <c r="F69" s="87" t="str">
        <f t="shared" si="1"/>
        <v/>
      </c>
      <c r="G69" s="87" t="str">
        <f t="shared" si="2"/>
        <v/>
      </c>
      <c r="H69" s="87"/>
      <c r="I69" s="87"/>
      <c r="J69" s="87"/>
    </row>
    <row r="70" spans="1:10">
      <c r="A70" s="118" t="str">
        <f t="shared" si="0"/>
        <v/>
      </c>
      <c r="B70" s="1"/>
      <c r="C70" s="120" t="str">
        <f>IF(B70="","",SUMIFS('A-BOM'!$D$3:$D993,'A-BOM'!$C$3:$C993,B70,'A-BOM'!$B$3:$B993,$B$2))</f>
        <v/>
      </c>
      <c r="D70" s="120" t="str">
        <f>IFERROR(IF(B70="","",VLOOKUP(B70,RM!$C$4:$F983,3,FALSE)),"")</f>
        <v/>
      </c>
      <c r="E70" s="118" t="e">
        <f t="array" aca="1" ref="E70" ca="1">_xludf.IFNA(IF(B70="","",VLOOKUP(B70,RM!$C$4:$G983,14,FALSE)),IFERROR(MIN(IF('S-BOM'!$B$3:$B993=$B70,'S-BOM'!$H$3:$H993,"")),""))</f>
        <v>#NAME?</v>
      </c>
      <c r="F70" s="87" t="str">
        <f t="shared" si="1"/>
        <v/>
      </c>
      <c r="G70" s="87" t="str">
        <f t="shared" si="2"/>
        <v/>
      </c>
      <c r="H70" s="87"/>
      <c r="I70" s="87"/>
      <c r="J70" s="87"/>
    </row>
    <row r="71" spans="1:10">
      <c r="A71" s="118" t="str">
        <f t="shared" si="0"/>
        <v/>
      </c>
      <c r="B71" s="1"/>
      <c r="C71" s="120" t="str">
        <f>IF(B71="","",SUMIFS('A-BOM'!$D$3:$D993,'A-BOM'!$C$3:$C993,B71,'A-BOM'!$B$3:$B993,$B$2))</f>
        <v/>
      </c>
      <c r="D71" s="120" t="str">
        <f>IFERROR(IF(B71="","",VLOOKUP(B71,RM!$C$4:$F983,3,FALSE)),"")</f>
        <v/>
      </c>
      <c r="E71" s="118" t="e">
        <f t="array" aca="1" ref="E71" ca="1">_xludf.IFNA(IF(B71="","",VLOOKUP(B71,RM!$C$4:$G983,14,FALSE)),IFERROR(MIN(IF('S-BOM'!$B$3:$B993=$B71,'S-BOM'!$H$3:$H993,"")),""))</f>
        <v>#NAME?</v>
      </c>
      <c r="F71" s="87" t="str">
        <f t="shared" si="1"/>
        <v/>
      </c>
      <c r="G71" s="87" t="str">
        <f t="shared" si="2"/>
        <v/>
      </c>
      <c r="H71" s="87"/>
      <c r="I71" s="87"/>
      <c r="J71" s="87"/>
    </row>
    <row r="72" spans="1:10">
      <c r="A72" s="118" t="str">
        <f t="shared" si="0"/>
        <v/>
      </c>
      <c r="B72" s="1"/>
      <c r="C72" s="120" t="str">
        <f>IF(B72="","",SUMIFS('A-BOM'!$D$3:$D993,'A-BOM'!$C$3:$C993,B72,'A-BOM'!$B$3:$B993,$B$2))</f>
        <v/>
      </c>
      <c r="D72" s="120" t="str">
        <f>IFERROR(IF(B72="","",VLOOKUP(B72,RM!$C$4:$F983,3,FALSE)),"")</f>
        <v/>
      </c>
      <c r="E72" s="118" t="e">
        <f t="array" aca="1" ref="E72" ca="1">_xludf.IFNA(IF(B72="","",VLOOKUP(B72,RM!$C$4:$G983,14,FALSE)),IFERROR(MIN(IF('S-BOM'!$B$3:$B993=$B72,'S-BOM'!$H$3:$H993,"")),""))</f>
        <v>#NAME?</v>
      </c>
      <c r="F72" s="87" t="str">
        <f t="shared" si="1"/>
        <v/>
      </c>
      <c r="G72" s="87" t="str">
        <f t="shared" si="2"/>
        <v/>
      </c>
      <c r="H72" s="87"/>
      <c r="I72" s="87"/>
      <c r="J72" s="87"/>
    </row>
    <row r="73" spans="1:10">
      <c r="A73" s="118" t="str">
        <f t="shared" si="0"/>
        <v/>
      </c>
      <c r="B73" s="1"/>
      <c r="C73" s="120" t="str">
        <f>IF(B73="","",SUMIFS('A-BOM'!$D$3:$D993,'A-BOM'!$C$3:$C993,B73,'A-BOM'!$B$3:$B993,$B$2))</f>
        <v/>
      </c>
      <c r="D73" s="120" t="str">
        <f>IFERROR(IF(B73="","",VLOOKUP(B73,RM!$C$4:$F983,3,FALSE)),"")</f>
        <v/>
      </c>
      <c r="E73" s="118" t="e">
        <f t="array" aca="1" ref="E73" ca="1">_xludf.IFNA(IF(B73="","",VLOOKUP(B73,RM!$C$4:$G983,14,FALSE)),IFERROR(MIN(IF('S-BOM'!$B$3:$B993=$B73,'S-BOM'!$H$3:$H993,"")),""))</f>
        <v>#NAME?</v>
      </c>
      <c r="F73" s="87" t="str">
        <f t="shared" si="1"/>
        <v/>
      </c>
      <c r="G73" s="87" t="str">
        <f t="shared" si="2"/>
        <v/>
      </c>
      <c r="H73" s="87"/>
      <c r="I73" s="87"/>
      <c r="J73" s="87"/>
    </row>
    <row r="74" spans="1:10">
      <c r="A74" s="118" t="str">
        <f t="shared" si="0"/>
        <v/>
      </c>
      <c r="B74" s="1"/>
      <c r="C74" s="120" t="str">
        <f>IF(B74="","",SUMIFS('A-BOM'!$D$3:$D993,'A-BOM'!$C$3:$C993,B74,'A-BOM'!$B$3:$B993,$B$2))</f>
        <v/>
      </c>
      <c r="D74" s="120" t="str">
        <f>IFERROR(IF(B74="","",VLOOKUP(B74,RM!$C$4:$F983,3,FALSE)),"")</f>
        <v/>
      </c>
      <c r="E74" s="118" t="e">
        <f t="array" aca="1" ref="E74" ca="1">_xludf.IFNA(IF(B74="","",VLOOKUP(B74,RM!$C$4:$G983,14,FALSE)),IFERROR(MIN(IF('S-BOM'!$B$3:$B993=$B74,'S-BOM'!$H$3:$H993,"")),""))</f>
        <v>#NAME?</v>
      </c>
      <c r="F74" s="87" t="str">
        <f t="shared" si="1"/>
        <v/>
      </c>
      <c r="G74" s="87" t="str">
        <f t="shared" si="2"/>
        <v/>
      </c>
      <c r="H74" s="87"/>
      <c r="I74" s="87"/>
      <c r="J74" s="87"/>
    </row>
    <row r="75" spans="1:10">
      <c r="A75" s="118" t="str">
        <f t="shared" si="0"/>
        <v/>
      </c>
      <c r="B75" s="1"/>
      <c r="C75" s="120" t="str">
        <f>IF(B75="","",SUMIFS('A-BOM'!$D$3:$D993,'A-BOM'!$C$3:$C993,B75,'A-BOM'!$B$3:$B993,$B$2))</f>
        <v/>
      </c>
      <c r="D75" s="120" t="str">
        <f>IFERROR(IF(B75="","",VLOOKUP(B75,RM!$C$4:$F983,3,FALSE)),"")</f>
        <v/>
      </c>
      <c r="E75" s="118" t="e">
        <f t="array" aca="1" ref="E75" ca="1">_xludf.IFNA(IF(B75="","",VLOOKUP(B75,RM!$C$4:$G983,14,FALSE)),IFERROR(MIN(IF('S-BOM'!$B$3:$B993=$B75,'S-BOM'!$H$3:$H993,"")),""))</f>
        <v>#NAME?</v>
      </c>
      <c r="F75" s="87" t="str">
        <f t="shared" si="1"/>
        <v/>
      </c>
      <c r="G75" s="87" t="str">
        <f t="shared" si="2"/>
        <v/>
      </c>
      <c r="H75" s="87"/>
      <c r="I75" s="87"/>
      <c r="J75" s="87"/>
    </row>
    <row r="76" spans="1:10">
      <c r="A76" s="118" t="str">
        <f t="shared" si="0"/>
        <v/>
      </c>
      <c r="B76" s="1"/>
      <c r="C76" s="120" t="str">
        <f>IF(B76="","",SUMIFS('A-BOM'!$D$3:$D993,'A-BOM'!$C$3:$C993,B76,'A-BOM'!$B$3:$B993,$B$2))</f>
        <v/>
      </c>
      <c r="D76" s="120" t="str">
        <f>IFERROR(IF(B76="","",VLOOKUP(B76,RM!$C$4:$F983,3,FALSE)),"")</f>
        <v/>
      </c>
      <c r="E76" s="118" t="e">
        <f t="array" aca="1" ref="E76" ca="1">_xludf.IFNA(IF(B76="","",VLOOKUP(B76,RM!$C$4:$G983,14,FALSE)),IFERROR(MIN(IF('S-BOM'!$B$3:$B993=$B76,'S-BOM'!$H$3:$H993,"")),""))</f>
        <v>#NAME?</v>
      </c>
      <c r="F76" s="87" t="str">
        <f t="shared" si="1"/>
        <v/>
      </c>
      <c r="G76" s="87" t="str">
        <f t="shared" si="2"/>
        <v/>
      </c>
      <c r="H76" s="87"/>
      <c r="I76" s="87"/>
      <c r="J76" s="87"/>
    </row>
    <row r="77" spans="1:10">
      <c r="A77" s="118" t="str">
        <f t="shared" si="0"/>
        <v/>
      </c>
      <c r="B77" s="1"/>
      <c r="C77" s="120" t="str">
        <f>IF(B77="","",SUMIFS('A-BOM'!$D$3:$D993,'A-BOM'!$C$3:$C993,B77,'A-BOM'!$B$3:$B993,$B$2))</f>
        <v/>
      </c>
      <c r="D77" s="120" t="str">
        <f>IFERROR(IF(B77="","",VLOOKUP(B77,RM!$C$4:$F983,3,FALSE)),"")</f>
        <v/>
      </c>
      <c r="E77" s="118" t="e">
        <f t="array" aca="1" ref="E77" ca="1">_xludf.IFNA(IF(B77="","",VLOOKUP(B77,RM!$C$4:$G983,14,FALSE)),IFERROR(MIN(IF('S-BOM'!$B$3:$B993=$B77,'S-BOM'!$H$3:$H993,"")),""))</f>
        <v>#NAME?</v>
      </c>
      <c r="F77" s="87" t="str">
        <f t="shared" si="1"/>
        <v/>
      </c>
      <c r="G77" s="87" t="str">
        <f t="shared" si="2"/>
        <v/>
      </c>
      <c r="H77" s="87"/>
      <c r="I77" s="87"/>
      <c r="J77" s="87"/>
    </row>
    <row r="78" spans="1:10">
      <c r="A78" s="118" t="str">
        <f t="shared" si="0"/>
        <v/>
      </c>
      <c r="B78" s="1"/>
      <c r="C78" s="120" t="str">
        <f>IF(B78="","",SUMIFS('A-BOM'!$D$3:$D993,'A-BOM'!$C$3:$C993,B78,'A-BOM'!$B$3:$B993,$B$2))</f>
        <v/>
      </c>
      <c r="D78" s="120" t="str">
        <f>IFERROR(IF(B78="","",VLOOKUP(B78,RM!$C$4:$F983,3,FALSE)),"")</f>
        <v/>
      </c>
      <c r="E78" s="118" t="e">
        <f t="array" aca="1" ref="E78" ca="1">_xludf.IFNA(IF(B78="","",VLOOKUP(B78,RM!$C$4:$G983,14,FALSE)),IFERROR(MIN(IF('S-BOM'!$B$3:$B993=$B78,'S-BOM'!$H$3:$H993,"")),""))</f>
        <v>#NAME?</v>
      </c>
      <c r="F78" s="87" t="str">
        <f t="shared" si="1"/>
        <v/>
      </c>
      <c r="G78" s="87" t="str">
        <f t="shared" si="2"/>
        <v/>
      </c>
      <c r="H78" s="87"/>
      <c r="I78" s="87"/>
      <c r="J78" s="87"/>
    </row>
    <row r="79" spans="1:10">
      <c r="A79" s="118" t="str">
        <f t="shared" si="0"/>
        <v/>
      </c>
      <c r="B79" s="1"/>
      <c r="C79" s="120" t="str">
        <f>IF(B79="","",SUMIFS('A-BOM'!$D$3:$D993,'A-BOM'!$C$3:$C993,B79,'A-BOM'!$B$3:$B993,$B$2))</f>
        <v/>
      </c>
      <c r="D79" s="120" t="str">
        <f>IFERROR(IF(B79="","",VLOOKUP(B79,RM!$C$4:$F983,3,FALSE)),"")</f>
        <v/>
      </c>
      <c r="E79" s="118" t="e">
        <f t="array" aca="1" ref="E79" ca="1">_xludf.IFNA(IF(B79="","",VLOOKUP(B79,RM!$C$4:$G983,14,FALSE)),IFERROR(MIN(IF('S-BOM'!$B$3:$B993=$B79,'S-BOM'!$H$3:$H993,"")),""))</f>
        <v>#NAME?</v>
      </c>
      <c r="F79" s="87" t="str">
        <f t="shared" si="1"/>
        <v/>
      </c>
      <c r="G79" s="87" t="str">
        <f t="shared" si="2"/>
        <v/>
      </c>
      <c r="H79" s="87"/>
      <c r="I79" s="87"/>
      <c r="J79" s="87"/>
    </row>
    <row r="80" spans="1:10">
      <c r="A80" s="118" t="str">
        <f t="shared" si="0"/>
        <v/>
      </c>
      <c r="B80" s="1"/>
      <c r="C80" s="120" t="str">
        <f>IF(B80="","",SUMIFS('A-BOM'!$D$3:$D993,'A-BOM'!$C$3:$C993,B80,'A-BOM'!$B$3:$B993,$B$2))</f>
        <v/>
      </c>
      <c r="D80" s="120" t="str">
        <f>IFERROR(IF(B80="","",VLOOKUP(B80,RM!$C$4:$F983,3,FALSE)),"")</f>
        <v/>
      </c>
      <c r="E80" s="118" t="e">
        <f t="array" aca="1" ref="E80" ca="1">_xludf.IFNA(IF(B80="","",VLOOKUP(B80,RM!$C$4:$G983,14,FALSE)),IFERROR(MIN(IF('S-BOM'!$B$3:$B993=$B80,'S-BOM'!$H$3:$H993,"")),""))</f>
        <v>#NAME?</v>
      </c>
      <c r="F80" s="87" t="str">
        <f t="shared" si="1"/>
        <v/>
      </c>
      <c r="G80" s="87" t="str">
        <f t="shared" si="2"/>
        <v/>
      </c>
      <c r="H80" s="87"/>
      <c r="I80" s="87"/>
      <c r="J80" s="87"/>
    </row>
    <row r="81" spans="1:10">
      <c r="A81" s="118" t="str">
        <f t="shared" si="0"/>
        <v/>
      </c>
      <c r="B81" s="1"/>
      <c r="C81" s="120" t="str">
        <f>IF(B81="","",SUMIFS('A-BOM'!$D$3:$D993,'A-BOM'!$C$3:$C993,B81,'A-BOM'!$B$3:$B993,$B$2))</f>
        <v/>
      </c>
      <c r="D81" s="120" t="str">
        <f>IFERROR(IF(B81="","",VLOOKUP(B81,RM!$C$4:$F983,3,FALSE)),"")</f>
        <v/>
      </c>
      <c r="E81" s="118" t="e">
        <f t="array" aca="1" ref="E81" ca="1">_xludf.IFNA(IF(B81="","",VLOOKUP(B81,RM!$C$4:$G983,14,FALSE)),IFERROR(MIN(IF('S-BOM'!$B$3:$B993=$B81,'S-BOM'!$H$3:$H993,"")),""))</f>
        <v>#NAME?</v>
      </c>
      <c r="F81" s="87" t="str">
        <f t="shared" si="1"/>
        <v/>
      </c>
      <c r="G81" s="87" t="str">
        <f t="shared" si="2"/>
        <v/>
      </c>
      <c r="H81" s="87"/>
      <c r="I81" s="87"/>
      <c r="J81" s="87"/>
    </row>
    <row r="82" spans="1:10">
      <c r="A82" s="118" t="str">
        <f t="shared" si="0"/>
        <v/>
      </c>
      <c r="B82" s="1"/>
      <c r="C82" s="120" t="str">
        <f>IF(B82="","",SUMIFS('A-BOM'!$D$3:$D993,'A-BOM'!$C$3:$C993,B82,'A-BOM'!$B$3:$B993,$B$2))</f>
        <v/>
      </c>
      <c r="D82" s="120" t="str">
        <f>IFERROR(IF(B82="","",VLOOKUP(B82,RM!$C$4:$F983,3,FALSE)),"")</f>
        <v/>
      </c>
      <c r="E82" s="118" t="e">
        <f t="array" aca="1" ref="E82" ca="1">_xludf.IFNA(IF(B82="","",VLOOKUP(B82,RM!$C$4:$G983,14,FALSE)),IFERROR(MIN(IF('S-BOM'!$B$3:$B993=$B82,'S-BOM'!$H$3:$H993,"")),""))</f>
        <v>#NAME?</v>
      </c>
      <c r="F82" s="87" t="str">
        <f t="shared" si="1"/>
        <v/>
      </c>
      <c r="G82" s="87" t="str">
        <f t="shared" si="2"/>
        <v/>
      </c>
      <c r="H82" s="87"/>
      <c r="I82" s="87"/>
      <c r="J82" s="87"/>
    </row>
    <row r="83" spans="1:10">
      <c r="A83" s="118" t="str">
        <f t="shared" si="0"/>
        <v/>
      </c>
      <c r="B83" s="1"/>
      <c r="C83" s="120" t="str">
        <f>IF(B83="","",SUMIFS('A-BOM'!$D$3:$D993,'A-BOM'!$C$3:$C993,B83,'A-BOM'!$B$3:$B993,$B$2))</f>
        <v/>
      </c>
      <c r="D83" s="120" t="str">
        <f>IFERROR(IF(B83="","",VLOOKUP(B83,RM!$C$4:$F983,3,FALSE)),"")</f>
        <v/>
      </c>
      <c r="E83" s="118" t="e">
        <f t="array" aca="1" ref="E83" ca="1">_xludf.IFNA(IF(B83="","",VLOOKUP(B83,RM!$C$4:$G983,14,FALSE)),IFERROR(MIN(IF('S-BOM'!$B$3:$B993=$B83,'S-BOM'!$H$3:$H993,"")),""))</f>
        <v>#NAME?</v>
      </c>
      <c r="F83" s="87" t="str">
        <f t="shared" si="1"/>
        <v/>
      </c>
      <c r="G83" s="87" t="str">
        <f t="shared" si="2"/>
        <v/>
      </c>
      <c r="H83" s="87"/>
      <c r="I83" s="87"/>
      <c r="J83" s="87"/>
    </row>
    <row r="84" spans="1:10">
      <c r="A84" s="118" t="str">
        <f t="shared" si="0"/>
        <v/>
      </c>
      <c r="B84" s="1"/>
      <c r="C84" s="120" t="str">
        <f>IF(B84="","",SUMIFS('A-BOM'!$D$3:$D993,'A-BOM'!$C$3:$C993,B84,'A-BOM'!$B$3:$B993,$B$2))</f>
        <v/>
      </c>
      <c r="D84" s="120" t="str">
        <f>IFERROR(IF(B84="","",VLOOKUP(B84,RM!$C$4:$F983,3,FALSE)),"")</f>
        <v/>
      </c>
      <c r="E84" s="118" t="e">
        <f t="array" aca="1" ref="E84" ca="1">_xludf.IFNA(IF(B84="","",VLOOKUP(B84,RM!$C$4:$G983,14,FALSE)),IFERROR(MIN(IF('S-BOM'!$B$3:$B993=$B84,'S-BOM'!$H$3:$H993,"")),""))</f>
        <v>#NAME?</v>
      </c>
      <c r="F84" s="87" t="str">
        <f t="shared" si="1"/>
        <v/>
      </c>
      <c r="G84" s="87" t="str">
        <f t="shared" si="2"/>
        <v/>
      </c>
      <c r="H84" s="87"/>
      <c r="I84" s="87"/>
      <c r="J84" s="87"/>
    </row>
    <row r="85" spans="1:10">
      <c r="A85" s="118" t="str">
        <f t="shared" si="0"/>
        <v/>
      </c>
      <c r="B85" s="1"/>
      <c r="C85" s="120" t="str">
        <f>IF(B85="","",SUMIFS('A-BOM'!$D$3:$D993,'A-BOM'!$C$3:$C993,B85,'A-BOM'!$B$3:$B993,$B$2))</f>
        <v/>
      </c>
      <c r="D85" s="120" t="str">
        <f>IFERROR(IF(B85="","",VLOOKUP(B85,RM!$C$4:$F983,3,FALSE)),"")</f>
        <v/>
      </c>
      <c r="E85" s="118" t="e">
        <f t="array" aca="1" ref="E85" ca="1">_xludf.IFNA(IF(B85="","",VLOOKUP(B85,RM!$C$4:$G983,14,FALSE)),IFERROR(MIN(IF('S-BOM'!$B$3:$B993=$B85,'S-BOM'!$H$3:$H993,"")),""))</f>
        <v>#NAME?</v>
      </c>
      <c r="F85" s="87" t="str">
        <f t="shared" si="1"/>
        <v/>
      </c>
      <c r="G85" s="87" t="str">
        <f t="shared" si="2"/>
        <v/>
      </c>
      <c r="H85" s="87"/>
      <c r="I85" s="87"/>
      <c r="J85" s="87"/>
    </row>
    <row r="86" spans="1:10">
      <c r="A86" s="118" t="str">
        <f t="shared" si="0"/>
        <v/>
      </c>
      <c r="B86" s="1"/>
      <c r="C86" s="120" t="str">
        <f>IF(B86="","",SUMIFS('A-BOM'!$D$3:$D993,'A-BOM'!$C$3:$C993,B86,'A-BOM'!$B$3:$B993,$B$2))</f>
        <v/>
      </c>
      <c r="D86" s="120" t="str">
        <f>IFERROR(IF(B86="","",VLOOKUP(B86,RM!$C$4:$F983,3,FALSE)),"")</f>
        <v/>
      </c>
      <c r="E86" s="118" t="e">
        <f t="array" aca="1" ref="E86" ca="1">_xludf.IFNA(IF(B86="","",VLOOKUP(B86,RM!$C$4:$G983,14,FALSE)),IFERROR(MIN(IF('S-BOM'!$B$3:$B993=$B86,'S-BOM'!$H$3:$H993,"")),""))</f>
        <v>#NAME?</v>
      </c>
      <c r="F86" s="87" t="str">
        <f t="shared" si="1"/>
        <v/>
      </c>
      <c r="G86" s="87" t="str">
        <f t="shared" si="2"/>
        <v/>
      </c>
      <c r="H86" s="87"/>
      <c r="I86" s="87"/>
      <c r="J86" s="87"/>
    </row>
    <row r="87" spans="1:10">
      <c r="A87" s="118" t="str">
        <f t="shared" si="0"/>
        <v/>
      </c>
      <c r="B87" s="1"/>
      <c r="C87" s="120" t="str">
        <f>IF(B87="","",SUMIFS('A-BOM'!$D$3:$D993,'A-BOM'!$C$3:$C993,B87,'A-BOM'!$B$3:$B993,$B$2))</f>
        <v/>
      </c>
      <c r="D87" s="120" t="str">
        <f>IFERROR(IF(B87="","",VLOOKUP(B87,RM!$C$4:$F983,3,FALSE)),"")</f>
        <v/>
      </c>
      <c r="E87" s="118" t="e">
        <f t="array" aca="1" ref="E87" ca="1">_xludf.IFNA(IF(B87="","",VLOOKUP(B87,RM!$C$4:$G983,14,FALSE)),IFERROR(MIN(IF('S-BOM'!$B$3:$B993=$B87,'S-BOM'!$H$3:$H993,"")),""))</f>
        <v>#NAME?</v>
      </c>
      <c r="F87" s="87" t="str">
        <f t="shared" si="1"/>
        <v/>
      </c>
      <c r="G87" s="87" t="str">
        <f t="shared" si="2"/>
        <v/>
      </c>
      <c r="H87" s="87"/>
      <c r="I87" s="87"/>
      <c r="J87" s="87"/>
    </row>
    <row r="88" spans="1:10">
      <c r="A88" s="118" t="str">
        <f t="shared" si="0"/>
        <v/>
      </c>
      <c r="B88" s="1"/>
      <c r="C88" s="120" t="str">
        <f>IF(B88="","",SUMIFS('A-BOM'!$D$3:$D993,'A-BOM'!$C$3:$C993,B88,'A-BOM'!$B$3:$B993,$B$2))</f>
        <v/>
      </c>
      <c r="D88" s="120" t="str">
        <f>IFERROR(IF(B88="","",VLOOKUP(B88,RM!$C$4:$F983,3,FALSE)),"")</f>
        <v/>
      </c>
      <c r="E88" s="118" t="e">
        <f t="array" aca="1" ref="E88" ca="1">_xludf.IFNA(IF(B88="","",VLOOKUP(B88,RM!$C$4:$G983,14,FALSE)),IFERROR(MIN(IF('S-BOM'!$B$3:$B993=$B88,'S-BOM'!$H$3:$H993,"")),""))</f>
        <v>#NAME?</v>
      </c>
      <c r="F88" s="87" t="str">
        <f t="shared" si="1"/>
        <v/>
      </c>
      <c r="G88" s="87" t="str">
        <f t="shared" si="2"/>
        <v/>
      </c>
      <c r="H88" s="87"/>
      <c r="I88" s="87"/>
      <c r="J88" s="87"/>
    </row>
    <row r="89" spans="1:10">
      <c r="A89" s="118" t="str">
        <f t="shared" si="0"/>
        <v/>
      </c>
      <c r="B89" s="1"/>
      <c r="C89" s="120" t="str">
        <f>IF(B89="","",SUMIFS('A-BOM'!$D$3:$D993,'A-BOM'!$C$3:$C993,B89,'A-BOM'!$B$3:$B993,$B$2))</f>
        <v/>
      </c>
      <c r="D89" s="120" t="str">
        <f>IFERROR(IF(B89="","",VLOOKUP(B89,RM!$C$4:$F983,3,FALSE)),"")</f>
        <v/>
      </c>
      <c r="E89" s="118" t="e">
        <f t="array" aca="1" ref="E89" ca="1">_xludf.IFNA(IF(B89="","",VLOOKUP(B89,RM!$C$4:$G983,14,FALSE)),IFERROR(MIN(IF('S-BOM'!$B$3:$B993=$B89,'S-BOM'!$H$3:$H993,"")),""))</f>
        <v>#NAME?</v>
      </c>
      <c r="F89" s="87" t="str">
        <f t="shared" si="1"/>
        <v/>
      </c>
      <c r="G89" s="87" t="str">
        <f t="shared" si="2"/>
        <v/>
      </c>
      <c r="H89" s="87"/>
      <c r="I89" s="87"/>
      <c r="J89" s="87"/>
    </row>
    <row r="90" spans="1:10">
      <c r="A90" s="118" t="str">
        <f t="shared" si="0"/>
        <v/>
      </c>
      <c r="B90" s="1"/>
      <c r="C90" s="120" t="str">
        <f>IF(B90="","",SUMIFS('A-BOM'!$D$3:$D993,'A-BOM'!$C$3:$C993,B90,'A-BOM'!$B$3:$B993,$B$2))</f>
        <v/>
      </c>
      <c r="D90" s="120" t="str">
        <f>IFERROR(IF(B90="","",VLOOKUP(B90,RM!$C$4:$F983,3,FALSE)),"")</f>
        <v/>
      </c>
      <c r="E90" s="118" t="e">
        <f t="array" aca="1" ref="E90" ca="1">_xludf.IFNA(IF(B90="","",VLOOKUP(B90,RM!$C$4:$G983,14,FALSE)),IFERROR(MIN(IF('S-BOM'!$B$3:$B993=$B90,'S-BOM'!$H$3:$H993,"")),""))</f>
        <v>#NAME?</v>
      </c>
      <c r="F90" s="87" t="str">
        <f t="shared" si="1"/>
        <v/>
      </c>
      <c r="G90" s="87" t="str">
        <f t="shared" si="2"/>
        <v/>
      </c>
      <c r="H90" s="87"/>
      <c r="I90" s="87"/>
      <c r="J90" s="87"/>
    </row>
    <row r="91" spans="1:10">
      <c r="A91" s="118" t="str">
        <f t="shared" si="0"/>
        <v/>
      </c>
      <c r="B91" s="1"/>
      <c r="C91" s="120" t="str">
        <f>IF(B91="","",SUMIFS('A-BOM'!$D$3:$D993,'A-BOM'!$C$3:$C993,B91,'A-BOM'!$B$3:$B993,$B$2))</f>
        <v/>
      </c>
      <c r="D91" s="120" t="str">
        <f>IFERROR(IF(B91="","",VLOOKUP(B91,RM!$C$4:$F983,3,FALSE)),"")</f>
        <v/>
      </c>
      <c r="E91" s="118" t="e">
        <f t="array" aca="1" ref="E91" ca="1">_xludf.IFNA(IF(B91="","",VLOOKUP(B91,RM!$C$4:$G983,14,FALSE)),IFERROR(MIN(IF('S-BOM'!$B$3:$B993=$B91,'S-BOM'!$H$3:$H993,"")),""))</f>
        <v>#NAME?</v>
      </c>
      <c r="F91" s="87" t="str">
        <f t="shared" si="1"/>
        <v/>
      </c>
      <c r="G91" s="87" t="str">
        <f t="shared" si="2"/>
        <v/>
      </c>
      <c r="H91" s="87"/>
      <c r="I91" s="87"/>
      <c r="J91" s="87"/>
    </row>
    <row r="92" spans="1:10">
      <c r="A92" s="118" t="str">
        <f t="shared" si="0"/>
        <v/>
      </c>
      <c r="B92" s="1"/>
      <c r="C92" s="120" t="str">
        <f>IF(B92="","",SUMIFS('A-BOM'!$D$3:$D993,'A-BOM'!$C$3:$C993,B92,'A-BOM'!$B$3:$B993,$B$2))</f>
        <v/>
      </c>
      <c r="D92" s="120" t="str">
        <f>IFERROR(IF(B92="","",VLOOKUP(B92,RM!$C$4:$F983,3,FALSE)),"")</f>
        <v/>
      </c>
      <c r="E92" s="118" t="e">
        <f t="array" aca="1" ref="E92" ca="1">_xludf.IFNA(IF(B92="","",VLOOKUP(B92,RM!$C$4:$G983,14,FALSE)),IFERROR(MIN(IF('S-BOM'!$B$3:$B993=$B92,'S-BOM'!$H$3:$H993,"")),""))</f>
        <v>#NAME?</v>
      </c>
      <c r="F92" s="87" t="str">
        <f t="shared" si="1"/>
        <v/>
      </c>
      <c r="G92" s="87" t="str">
        <f t="shared" si="2"/>
        <v/>
      </c>
      <c r="H92" s="87"/>
      <c r="I92" s="87"/>
      <c r="J92" s="87"/>
    </row>
    <row r="93" spans="1:10">
      <c r="A93" s="118" t="str">
        <f t="shared" si="0"/>
        <v/>
      </c>
      <c r="B93" s="1"/>
      <c r="C93" s="120" t="str">
        <f>IF(B93="","",SUMIFS('A-BOM'!$D$3:$D993,'A-BOM'!$C$3:$C993,B93,'A-BOM'!$B$3:$B993,$B$2))</f>
        <v/>
      </c>
      <c r="D93" s="120" t="str">
        <f>IFERROR(IF(B93="","",VLOOKUP(B93,RM!$C$4:$F983,3,FALSE)),"")</f>
        <v/>
      </c>
      <c r="E93" s="118" t="e">
        <f t="array" aca="1" ref="E93" ca="1">_xludf.IFNA(IF(B93="","",VLOOKUP(B93,RM!$C$4:$G983,14,FALSE)),IFERROR(MIN(IF('S-BOM'!$B$3:$B993=$B93,'S-BOM'!$H$3:$H993,"")),""))</f>
        <v>#NAME?</v>
      </c>
      <c r="F93" s="87" t="str">
        <f t="shared" si="1"/>
        <v/>
      </c>
      <c r="G93" s="87" t="str">
        <f t="shared" si="2"/>
        <v/>
      </c>
      <c r="H93" s="87"/>
      <c r="I93" s="87"/>
      <c r="J93" s="87"/>
    </row>
    <row r="94" spans="1:10">
      <c r="A94" s="2"/>
      <c r="B94" s="2"/>
      <c r="C94" s="120" t="str">
        <f>IF(B94="","",SUMIFS('A-BOM'!$D$3:$D993,'A-BOM'!$C$3:$C993,B94,'A-BOM'!$B$3:$B993,$B$2))</f>
        <v/>
      </c>
      <c r="D94" s="120" t="str">
        <f>IFERROR(IF(B94="","",VLOOKUP(B94,RM!$C$4:$F983,3,FALSE)),"")</f>
        <v/>
      </c>
      <c r="E94" s="118" t="e">
        <f t="array" aca="1" ref="E94" ca="1">_xludf.IFNA(IF(B94="","",VLOOKUP(B94,RM!$C$4:$G983,14,FALSE)),IFERROR(MIN(IF('S-BOM'!$B$3:$B993=$B94,'S-BOM'!$H$3:$H993,"")),""))</f>
        <v>#NAME?</v>
      </c>
      <c r="F94" s="87" t="str">
        <f t="shared" si="1"/>
        <v/>
      </c>
      <c r="G94" s="87" t="str">
        <f t="shared" si="2"/>
        <v/>
      </c>
      <c r="H94" s="87"/>
      <c r="I94" s="87"/>
      <c r="J94" s="87"/>
    </row>
    <row r="95" spans="1:10">
      <c r="A95" s="2"/>
      <c r="B95" s="2"/>
      <c r="C95" s="120" t="str">
        <f>IF(B95="","",SUMIFS('A-BOM'!$D$3:$D993,'A-BOM'!$C$3:$C993,B95,'A-BOM'!$B$3:$B993,$B$2))</f>
        <v/>
      </c>
      <c r="D95" s="120" t="str">
        <f>IFERROR(IF(B95="","",VLOOKUP(B95,RM!$C$4:$F983,3,FALSE)),"")</f>
        <v/>
      </c>
      <c r="E95" s="118" t="e">
        <f t="array" aca="1" ref="E95" ca="1">_xludf.IFNA(IF(B95="","",VLOOKUP(B95,RM!$C$4:$G983,14,FALSE)),IFERROR(MIN(IF('S-BOM'!$B$3:$B993=$B95,'S-BOM'!$H$3:$H993,"")),""))</f>
        <v>#NAME?</v>
      </c>
      <c r="F95" s="87" t="str">
        <f t="shared" si="1"/>
        <v/>
      </c>
      <c r="G95" s="87" t="str">
        <f t="shared" si="2"/>
        <v/>
      </c>
      <c r="H95" s="87"/>
      <c r="I95" s="87"/>
      <c r="J95" s="87"/>
    </row>
    <row r="96" spans="1:10">
      <c r="A96" s="2"/>
      <c r="B96" s="2"/>
      <c r="C96" s="120" t="str">
        <f>IF(B96="","",SUMIFS('A-BOM'!$D$3:$D993,'A-BOM'!$C$3:$C993,B96,'A-BOM'!$B$3:$B993,$B$2))</f>
        <v/>
      </c>
      <c r="D96" s="120" t="str">
        <f>IFERROR(IF(B96="","",VLOOKUP(B96,RM!$C$4:$F983,3,FALSE)),"")</f>
        <v/>
      </c>
      <c r="E96" s="118" t="e">
        <f t="array" aca="1" ref="E96" ca="1">_xludf.IFNA(IF(B96="","",VLOOKUP(B96,RM!$C$4:$G983,14,FALSE)),IFERROR(MIN(IF('S-BOM'!$B$3:$B993=$B96,'S-BOM'!$H$3:$H993,"")),""))</f>
        <v>#NAME?</v>
      </c>
      <c r="F96" s="87" t="str">
        <f t="shared" si="1"/>
        <v/>
      </c>
      <c r="G96" s="87" t="str">
        <f t="shared" si="2"/>
        <v/>
      </c>
      <c r="H96" s="87"/>
      <c r="I96" s="87"/>
      <c r="J96" s="87"/>
    </row>
    <row r="97" spans="1:10">
      <c r="A97" s="2"/>
      <c r="B97" s="2"/>
      <c r="C97" s="120" t="str">
        <f>IF(B97="","",SUMIFS('A-BOM'!$D$3:$D993,'A-BOM'!$C$3:$C993,B97,'A-BOM'!$B$3:$B993,$B$2))</f>
        <v/>
      </c>
      <c r="D97" s="120" t="str">
        <f>IFERROR(IF(B97="","",VLOOKUP(B97,RM!$C$4:$F983,3,FALSE)),"")</f>
        <v/>
      </c>
      <c r="E97" s="118" t="e">
        <f t="array" aca="1" ref="E97" ca="1">_xludf.IFNA(IF(B97="","",VLOOKUP(B97,RM!$C$4:$G983,14,FALSE)),IFERROR(MIN(IF('S-BOM'!$B$3:$B993=$B97,'S-BOM'!$H$3:$H993,"")),""))</f>
        <v>#NAME?</v>
      </c>
      <c r="F97" s="87" t="str">
        <f t="shared" si="1"/>
        <v/>
      </c>
      <c r="G97" s="87" t="str">
        <f t="shared" si="2"/>
        <v/>
      </c>
      <c r="H97" s="87"/>
      <c r="I97" s="87"/>
      <c r="J97" s="87"/>
    </row>
    <row r="98" spans="1:10">
      <c r="A98" s="2"/>
      <c r="B98" s="2"/>
      <c r="C98" s="120" t="str">
        <f>IF(B98="","",SUMIFS('A-BOM'!$D$3:$D993,'A-BOM'!$C$3:$C993,B98,'A-BOM'!$B$3:$B993,$B$2))</f>
        <v/>
      </c>
      <c r="D98" s="120" t="str">
        <f>IFERROR(IF(B98="","",VLOOKUP(B98,RM!$C$4:$F983,3,FALSE)),"")</f>
        <v/>
      </c>
      <c r="E98" s="118" t="e">
        <f t="array" aca="1" ref="E98" ca="1">_xludf.IFNA(IF(B98="","",VLOOKUP(B98,RM!$C$4:$G983,14,FALSE)),IFERROR(MIN(IF('S-BOM'!$B$3:$B993=$B98,'S-BOM'!$H$3:$H993,"")),""))</f>
        <v>#NAME?</v>
      </c>
      <c r="F98" s="87" t="str">
        <f t="shared" si="1"/>
        <v/>
      </c>
      <c r="G98" s="87" t="str">
        <f t="shared" si="2"/>
        <v/>
      </c>
      <c r="H98" s="87"/>
      <c r="I98" s="87"/>
      <c r="J98" s="87"/>
    </row>
    <row r="99" spans="1:10">
      <c r="A99" s="2"/>
      <c r="B99" s="2"/>
      <c r="C99" s="120" t="str">
        <f>IF(B99="","",SUMIFS('A-BOM'!$D$3:$D993,'A-BOM'!$C$3:$C993,B99,'A-BOM'!$B$3:$B993,$B$2))</f>
        <v/>
      </c>
      <c r="D99" s="120" t="str">
        <f>IFERROR(IF(B99="","",VLOOKUP(B99,RM!$C$4:$F983,3,FALSE)),"")</f>
        <v/>
      </c>
      <c r="E99" s="118" t="e">
        <f t="array" aca="1" ref="E99" ca="1">_xludf.IFNA(IF(B99="","",VLOOKUP(B99,RM!$C$4:$G983,14,FALSE)),IFERROR(MIN(IF('S-BOM'!$B$3:$B993=$B99,'S-BOM'!$H$3:$H993,"")),""))</f>
        <v>#NAME?</v>
      </c>
      <c r="F99" s="87" t="str">
        <f t="shared" si="1"/>
        <v/>
      </c>
      <c r="G99" s="87" t="str">
        <f t="shared" si="2"/>
        <v/>
      </c>
      <c r="H99" s="87"/>
      <c r="I99" s="87"/>
      <c r="J99" s="87"/>
    </row>
    <row r="100" spans="1:10">
      <c r="A100" s="2"/>
      <c r="B100" s="2"/>
      <c r="C100" s="120" t="str">
        <f>IF(B100="","",SUMIFS('A-BOM'!$D$3:$D993,'A-BOM'!$C$3:$C993,B100,'A-BOM'!$B$3:$B993,$B$2))</f>
        <v/>
      </c>
      <c r="D100" s="120" t="str">
        <f>IFERROR(IF(B100="","",VLOOKUP(B100,RM!$C$4:$F983,3,FALSE)),"")</f>
        <v/>
      </c>
      <c r="E100" s="118" t="e">
        <f t="array" aca="1" ref="E100" ca="1">_xludf.IFNA(IF(B100="","",VLOOKUP(B100,RM!$C$4:$G983,14,FALSE)),IFERROR(MIN(IF('S-BOM'!$B$3:$B993=$B100,'S-BOM'!$H$3:$H993,"")),""))</f>
        <v>#NAME?</v>
      </c>
      <c r="F100" s="87" t="str">
        <f t="shared" si="1"/>
        <v/>
      </c>
      <c r="G100" s="87" t="str">
        <f t="shared" si="2"/>
        <v/>
      </c>
      <c r="H100" s="87"/>
      <c r="I100" s="87"/>
      <c r="J100" s="87"/>
    </row>
    <row r="101" spans="1:10">
      <c r="A101" s="2"/>
      <c r="B101" s="2"/>
      <c r="C101" s="120" t="str">
        <f>IF(B101="","",SUMIFS('A-BOM'!$D$3:$D993,'A-BOM'!$C$3:$C993,B101,'A-BOM'!$B$3:$B993,$B$2))</f>
        <v/>
      </c>
      <c r="D101" s="120" t="str">
        <f>IFERROR(IF(B101="","",VLOOKUP(B101,RM!$C$4:$F983,3,FALSE)),"")</f>
        <v/>
      </c>
      <c r="E101" s="118" t="e">
        <f t="array" aca="1" ref="E101" ca="1">_xludf.IFNA(IF(B101="","",VLOOKUP(B101,RM!$C$4:$G983,14,FALSE)),IFERROR(MIN(IF('S-BOM'!$B$3:$B993=$B101,'S-BOM'!$H$3:$H993,"")),""))</f>
        <v>#NAME?</v>
      </c>
      <c r="F101" s="87" t="str">
        <f t="shared" si="1"/>
        <v/>
      </c>
      <c r="G101" s="87" t="str">
        <f t="shared" si="2"/>
        <v/>
      </c>
      <c r="H101" s="87"/>
      <c r="I101" s="87"/>
      <c r="J101" s="87"/>
    </row>
    <row r="102" spans="1:10">
      <c r="A102" s="2"/>
      <c r="B102" s="2"/>
      <c r="C102" s="120" t="str">
        <f>IF(B102="","",SUMIFS('A-BOM'!$D$3:$D993,'A-BOM'!$C$3:$C993,B102,'A-BOM'!$B$3:$B993,$B$2))</f>
        <v/>
      </c>
      <c r="D102" s="120" t="str">
        <f>IFERROR(IF(B102="","",VLOOKUP(B102,RM!$C$4:$F983,3,FALSE)),"")</f>
        <v/>
      </c>
      <c r="E102" s="118" t="e">
        <f t="array" aca="1" ref="E102" ca="1">_xludf.IFNA(IF(B102="","",VLOOKUP(B102,RM!$C$4:$G983,14,FALSE)),IFERROR(MIN(IF('S-BOM'!$B$3:$B993=$B102,'S-BOM'!$H$3:$H993,"")),""))</f>
        <v>#NAME?</v>
      </c>
      <c r="F102" s="87" t="str">
        <f t="shared" si="1"/>
        <v/>
      </c>
      <c r="G102" s="87" t="str">
        <f t="shared" si="2"/>
        <v/>
      </c>
      <c r="H102" s="87"/>
      <c r="I102" s="87"/>
      <c r="J102" s="87"/>
    </row>
    <row r="103" spans="1:10">
      <c r="A103" s="2"/>
      <c r="B103" s="2"/>
      <c r="C103" s="120" t="str">
        <f>IF(B103="","",SUMIFS('A-BOM'!$D$3:$D993,'A-BOM'!$C$3:$C993,B103,'A-BOM'!$B$3:$B993,$B$2))</f>
        <v/>
      </c>
      <c r="D103" s="120" t="str">
        <f>IFERROR(IF(B103="","",VLOOKUP(B103,RM!$C$4:$F983,3,FALSE)),"")</f>
        <v/>
      </c>
      <c r="E103" s="118" t="e">
        <f t="array" aca="1" ref="E103" ca="1">_xludf.IFNA(IF(B103="","",VLOOKUP(B103,RM!$C$4:$G983,14,FALSE)),IFERROR(MIN(IF('S-BOM'!$B$3:$B993=$B103,'S-BOM'!$H$3:$H993,"")),""))</f>
        <v>#NAME?</v>
      </c>
      <c r="F103" s="87" t="str">
        <f t="shared" si="1"/>
        <v/>
      </c>
      <c r="G103" s="87" t="str">
        <f t="shared" si="2"/>
        <v/>
      </c>
      <c r="H103" s="87"/>
      <c r="I103" s="87"/>
      <c r="J103" s="87"/>
    </row>
    <row r="104" spans="1:10">
      <c r="A104" s="2"/>
      <c r="B104" s="2"/>
      <c r="C104" s="120" t="str">
        <f>IF(B104="","",SUMIFS('A-BOM'!$D$3:$D993,'A-BOM'!$C$3:$C993,B104,'A-BOM'!$B$3:$B993,$B$2))</f>
        <v/>
      </c>
      <c r="D104" s="120" t="str">
        <f>IFERROR(IF(B104="","",VLOOKUP(B104,RM!$C$4:$F983,3,FALSE)),"")</f>
        <v/>
      </c>
      <c r="E104" s="118" t="e">
        <f t="array" aca="1" ref="E104" ca="1">_xludf.IFNA(IF(B104="","",VLOOKUP(B104,RM!$C$4:$G983,14,FALSE)),IFERROR(MIN(IF('S-BOM'!$B$3:$B993=$B104,'S-BOM'!$H$3:$H993,"")),""))</f>
        <v>#NAME?</v>
      </c>
      <c r="F104" s="87" t="str">
        <f t="shared" si="1"/>
        <v/>
      </c>
      <c r="G104" s="87" t="str">
        <f t="shared" si="2"/>
        <v/>
      </c>
      <c r="H104" s="87"/>
      <c r="I104" s="87"/>
      <c r="J104" s="87"/>
    </row>
    <row r="105" spans="1:10">
      <c r="A105" s="2"/>
      <c r="B105" s="2"/>
      <c r="C105" s="120" t="str">
        <f>IF(B105="","",SUMIFS('A-BOM'!$D$3:$D993,'A-BOM'!$C$3:$C993,B105,'A-BOM'!$B$3:$B993,$B$2))</f>
        <v/>
      </c>
      <c r="D105" s="120" t="str">
        <f>IFERROR(IF(B105="","",VLOOKUP(B105,RM!$C$4:$F983,3,FALSE)),"")</f>
        <v/>
      </c>
      <c r="E105" s="118" t="e">
        <f t="array" aca="1" ref="E105" ca="1">_xludf.IFNA(IF(B105="","",VLOOKUP(B105,RM!$C$4:$G983,14,FALSE)),IFERROR(MIN(IF('S-BOM'!$B$3:$B993=$B105,'S-BOM'!$H$3:$H993,"")),""))</f>
        <v>#NAME?</v>
      </c>
      <c r="F105" s="87" t="str">
        <f t="shared" si="1"/>
        <v/>
      </c>
      <c r="G105" s="87" t="str">
        <f t="shared" si="2"/>
        <v/>
      </c>
      <c r="H105" s="87"/>
      <c r="I105" s="87"/>
      <c r="J105" s="87"/>
    </row>
    <row r="106" spans="1:10">
      <c r="A106" s="2"/>
      <c r="B106" s="2"/>
      <c r="C106" s="120" t="str">
        <f>IF(B106="","",SUMIFS('A-BOM'!$D$3:$D993,'A-BOM'!$C$3:$C993,B106,'A-BOM'!$B$3:$B993,$B$2))</f>
        <v/>
      </c>
      <c r="D106" s="120" t="str">
        <f>IFERROR(IF(B106="","",VLOOKUP(B106,RM!$C$4:$F983,3,FALSE)),"")</f>
        <v/>
      </c>
      <c r="E106" s="118" t="e">
        <f t="array" aca="1" ref="E106" ca="1">_xludf.IFNA(IF(B106="","",VLOOKUP(B106,RM!$C$4:$G983,14,FALSE)),IFERROR(MIN(IF('S-BOM'!$B$3:$B993=$B106,'S-BOM'!$H$3:$H993,"")),""))</f>
        <v>#NAME?</v>
      </c>
      <c r="F106" s="87" t="str">
        <f t="shared" si="1"/>
        <v/>
      </c>
      <c r="G106" s="87" t="str">
        <f t="shared" si="2"/>
        <v/>
      </c>
      <c r="H106" s="87"/>
      <c r="I106" s="87"/>
      <c r="J106" s="87"/>
    </row>
    <row r="107" spans="1:10">
      <c r="A107" s="2"/>
      <c r="B107" s="2"/>
      <c r="C107" s="120" t="str">
        <f>IF(B107="","",SUMIFS('A-BOM'!$D$3:$D993,'A-BOM'!$C$3:$C993,B107,'A-BOM'!$B$3:$B993,$B$2))</f>
        <v/>
      </c>
      <c r="D107" s="120" t="str">
        <f>IFERROR(IF(B107="","",VLOOKUP(B107,RM!$C$4:$F983,3,FALSE)),"")</f>
        <v/>
      </c>
      <c r="E107" s="118" t="e">
        <f t="array" aca="1" ref="E107" ca="1">_xludf.IFNA(IF(B107="","",VLOOKUP(B107,RM!$C$4:$G983,14,FALSE)),IFERROR(MIN(IF('S-BOM'!$B$3:$B993=$B107,'S-BOM'!$H$3:$H993,"")),""))</f>
        <v>#NAME?</v>
      </c>
      <c r="F107" s="87" t="str">
        <f t="shared" si="1"/>
        <v/>
      </c>
      <c r="G107" s="87" t="str">
        <f t="shared" si="2"/>
        <v/>
      </c>
      <c r="H107" s="87"/>
      <c r="I107" s="87"/>
      <c r="J107" s="87"/>
    </row>
    <row r="108" spans="1:10">
      <c r="A108" s="2"/>
      <c r="B108" s="2"/>
      <c r="C108" s="120" t="str">
        <f>IF(B108="","",SUMIFS('A-BOM'!$D$3:$D993,'A-BOM'!$C$3:$C993,B108,'A-BOM'!$B$3:$B993,$B$2))</f>
        <v/>
      </c>
      <c r="D108" s="120" t="str">
        <f>IFERROR(IF(B108="","",VLOOKUP(B108,RM!$C$4:$F983,3,FALSE)),"")</f>
        <v/>
      </c>
      <c r="E108" s="118" t="e">
        <f t="array" aca="1" ref="E108" ca="1">_xludf.IFNA(IF(B108="","",VLOOKUP(B108,RM!$C$4:$G983,14,FALSE)),IFERROR(MIN(IF('S-BOM'!$B$3:$B993=$B108,'S-BOM'!$H$3:$H993,"")),""))</f>
        <v>#NAME?</v>
      </c>
      <c r="F108" s="87" t="str">
        <f t="shared" si="1"/>
        <v/>
      </c>
      <c r="G108" s="87" t="str">
        <f t="shared" si="2"/>
        <v/>
      </c>
      <c r="H108" s="87"/>
      <c r="I108" s="87"/>
      <c r="J108" s="87"/>
    </row>
    <row r="109" spans="1:10">
      <c r="A109" s="2"/>
      <c r="B109" s="2"/>
      <c r="C109" s="120" t="str">
        <f>IF(B109="","",SUMIFS('A-BOM'!$D$3:$D993,'A-BOM'!$C$3:$C993,B109,'A-BOM'!$B$3:$B993,$B$2))</f>
        <v/>
      </c>
      <c r="D109" s="120" t="str">
        <f>IFERROR(IF(B109="","",VLOOKUP(B109,RM!$C$4:$F983,3,FALSE)),"")</f>
        <v/>
      </c>
      <c r="E109" s="118" t="e">
        <f t="array" aca="1" ref="E109" ca="1">_xludf.IFNA(IF(B109="","",VLOOKUP(B109,RM!$C$4:$G983,14,FALSE)),IFERROR(MIN(IF('S-BOM'!$B$3:$B993=$B109,'S-BOM'!$H$3:$H993,"")),""))</f>
        <v>#NAME?</v>
      </c>
      <c r="F109" s="87" t="str">
        <f t="shared" si="1"/>
        <v/>
      </c>
      <c r="G109" s="87" t="str">
        <f t="shared" si="2"/>
        <v/>
      </c>
      <c r="H109" s="87"/>
      <c r="I109" s="87"/>
      <c r="J109" s="87"/>
    </row>
    <row r="110" spans="1:10">
      <c r="A110" s="2"/>
      <c r="B110" s="2"/>
      <c r="C110" s="120" t="str">
        <f>IF(B110="","",SUMIFS('A-BOM'!$D$3:$D993,'A-BOM'!$C$3:$C993,B110,'A-BOM'!$B$3:$B993,$B$2))</f>
        <v/>
      </c>
      <c r="D110" s="120" t="str">
        <f>IFERROR(IF(B110="","",VLOOKUP(B110,RM!$C$4:$F983,3,FALSE)),"")</f>
        <v/>
      </c>
      <c r="E110" s="118" t="e">
        <f t="array" aca="1" ref="E110" ca="1">_xludf.IFNA(IF(B110="","",VLOOKUP(B110,RM!$C$4:$G983,14,FALSE)),IFERROR(MIN(IF('S-BOM'!$B$3:$B993=$B110,'S-BOM'!$H$3:$H993,"")),""))</f>
        <v>#NAME?</v>
      </c>
      <c r="F110" s="87" t="str">
        <f t="shared" si="1"/>
        <v/>
      </c>
      <c r="G110" s="87" t="str">
        <f t="shared" si="2"/>
        <v/>
      </c>
      <c r="H110" s="87"/>
      <c r="I110" s="87"/>
      <c r="J110" s="87"/>
    </row>
    <row r="111" spans="1:10">
      <c r="A111" s="2"/>
      <c r="B111" s="2"/>
      <c r="C111" s="120" t="str">
        <f>IF(B111="","",SUMIFS('A-BOM'!$D$3:$D993,'A-BOM'!$C$3:$C993,B111,'A-BOM'!$B$3:$B993,$B$2))</f>
        <v/>
      </c>
      <c r="D111" s="120" t="str">
        <f>IFERROR(IF(B111="","",VLOOKUP(B111,RM!$C$4:$F983,3,FALSE)),"")</f>
        <v/>
      </c>
      <c r="E111" s="118" t="e">
        <f t="array" aca="1" ref="E111" ca="1">_xludf.IFNA(IF(B111="","",VLOOKUP(B111,RM!$C$4:$G983,14,FALSE)),IFERROR(MIN(IF('S-BOM'!$B$3:$B993=$B111,'S-BOM'!$H$3:$H993,"")),""))</f>
        <v>#NAME?</v>
      </c>
      <c r="F111" s="87" t="str">
        <f t="shared" si="1"/>
        <v/>
      </c>
      <c r="G111" s="87" t="str">
        <f t="shared" si="2"/>
        <v/>
      </c>
      <c r="H111" s="87"/>
      <c r="I111" s="87"/>
      <c r="J111" s="87"/>
    </row>
    <row r="112" spans="1:10">
      <c r="A112" s="2"/>
      <c r="B112" s="2"/>
      <c r="C112" s="120" t="str">
        <f>IF(B112="","",SUMIFS('A-BOM'!$D$3:$D993,'A-BOM'!$C$3:$C993,B112,'A-BOM'!$B$3:$B993,$B$2))</f>
        <v/>
      </c>
      <c r="D112" s="120" t="str">
        <f>IFERROR(IF(B112="","",VLOOKUP(B112,RM!$C$4:$F983,3,FALSE)),"")</f>
        <v/>
      </c>
      <c r="E112" s="118" t="e">
        <f t="array" aca="1" ref="E112" ca="1">_xludf.IFNA(IF(B112="","",VLOOKUP(B112,RM!$C$4:$G983,14,FALSE)),IFERROR(MIN(IF('S-BOM'!$B$3:$B993=$B112,'S-BOM'!$H$3:$H993,"")),""))</f>
        <v>#NAME?</v>
      </c>
      <c r="F112" s="87" t="str">
        <f t="shared" si="1"/>
        <v/>
      </c>
      <c r="G112" s="87" t="str">
        <f t="shared" si="2"/>
        <v/>
      </c>
      <c r="H112" s="87"/>
      <c r="I112" s="87"/>
      <c r="J112" s="87"/>
    </row>
    <row r="113" spans="1:10">
      <c r="A113" s="2"/>
      <c r="B113" s="2"/>
      <c r="C113" s="120" t="str">
        <f>IF(B113="","",SUMIFS('A-BOM'!$D$3:$D993,'A-BOM'!$C$3:$C993,B113,'A-BOM'!$B$3:$B993,$B$2))</f>
        <v/>
      </c>
      <c r="D113" s="120" t="str">
        <f>IFERROR(IF(B113="","",VLOOKUP(B113,RM!$C$4:$F983,3,FALSE)),"")</f>
        <v/>
      </c>
      <c r="E113" s="118" t="e">
        <f t="array" aca="1" ref="E113" ca="1">_xludf.IFNA(IF(B113="","",VLOOKUP(B113,RM!$C$4:$G983,14,FALSE)),IFERROR(MIN(IF('S-BOM'!$B$3:$B993=$B113,'S-BOM'!$H$3:$H993,"")),""))</f>
        <v>#NAME?</v>
      </c>
      <c r="F113" s="87" t="str">
        <f t="shared" si="1"/>
        <v/>
      </c>
      <c r="G113" s="87" t="str">
        <f t="shared" si="2"/>
        <v/>
      </c>
      <c r="H113" s="87"/>
      <c r="I113" s="87"/>
      <c r="J113" s="87"/>
    </row>
    <row r="114" spans="1:10">
      <c r="A114" s="2"/>
      <c r="B114" s="2"/>
      <c r="C114" s="120" t="str">
        <f>IF(B114="","",SUMIFS('A-BOM'!$D$3:$D993,'A-BOM'!$C$3:$C993,B114,'A-BOM'!$B$3:$B993,$B$2))</f>
        <v/>
      </c>
      <c r="D114" s="120" t="str">
        <f>IFERROR(IF(B114="","",VLOOKUP(B114,RM!$C$4:$F983,3,FALSE)),"")</f>
        <v/>
      </c>
      <c r="E114" s="118" t="e">
        <f t="array" aca="1" ref="E114" ca="1">_xludf.IFNA(IF(B114="","",VLOOKUP(B114,RM!$C$4:$G983,14,FALSE)),IFERROR(MIN(IF('S-BOM'!$B$3:$B993=$B114,'S-BOM'!$H$3:$H993,"")),""))</f>
        <v>#NAME?</v>
      </c>
      <c r="F114" s="87" t="str">
        <f t="shared" si="1"/>
        <v/>
      </c>
      <c r="G114" s="87" t="str">
        <f t="shared" si="2"/>
        <v/>
      </c>
      <c r="H114" s="87"/>
      <c r="I114" s="87"/>
      <c r="J114" s="87"/>
    </row>
    <row r="115" spans="1:10">
      <c r="A115" s="2"/>
      <c r="B115" s="2"/>
      <c r="C115" s="120" t="str">
        <f>IF(B115="","",SUMIFS('A-BOM'!$D$3:$D993,'A-BOM'!$C$3:$C993,B115,'A-BOM'!$B$3:$B993,$B$2))</f>
        <v/>
      </c>
      <c r="D115" s="120" t="str">
        <f>IFERROR(IF(B115="","",VLOOKUP(B115,RM!$C$4:$F983,3,FALSE)),"")</f>
        <v/>
      </c>
      <c r="E115" s="118" t="e">
        <f t="array" aca="1" ref="E115" ca="1">_xludf.IFNA(IF(B115="","",VLOOKUP(B115,RM!$C$4:$G983,14,FALSE)),IFERROR(MIN(IF('S-BOM'!$B$3:$B993=$B115,'S-BOM'!$H$3:$H993,"")),""))</f>
        <v>#NAME?</v>
      </c>
      <c r="F115" s="87" t="str">
        <f t="shared" si="1"/>
        <v/>
      </c>
      <c r="G115" s="87" t="str">
        <f t="shared" si="2"/>
        <v/>
      </c>
      <c r="H115" s="87"/>
      <c r="I115" s="87"/>
      <c r="J115" s="87"/>
    </row>
    <row r="116" spans="1:10">
      <c r="A116" s="2"/>
      <c r="B116" s="2"/>
      <c r="C116" s="120" t="str">
        <f>IF(B116="","",SUMIFS('A-BOM'!$D$3:$D993,'A-BOM'!$C$3:$C993,B116,'A-BOM'!$B$3:$B993,$B$2))</f>
        <v/>
      </c>
      <c r="D116" s="120" t="str">
        <f>IFERROR(IF(B116="","",VLOOKUP(B116,RM!$C$4:$F983,3,FALSE)),"")</f>
        <v/>
      </c>
      <c r="E116" s="118" t="e">
        <f t="array" aca="1" ref="E116" ca="1">_xludf.IFNA(IF(B116="","",VLOOKUP(B116,RM!$C$4:$G983,14,FALSE)),IFERROR(MIN(IF('S-BOM'!$B$3:$B993=$B116,'S-BOM'!$H$3:$H993,"")),""))</f>
        <v>#NAME?</v>
      </c>
      <c r="F116" s="87" t="str">
        <f t="shared" si="1"/>
        <v/>
      </c>
      <c r="G116" s="87" t="str">
        <f t="shared" si="2"/>
        <v/>
      </c>
      <c r="H116" s="87"/>
      <c r="I116" s="87"/>
      <c r="J116" s="87"/>
    </row>
    <row r="117" spans="1:10">
      <c r="A117" s="2"/>
      <c r="B117" s="2"/>
      <c r="C117" s="120" t="str">
        <f>IF(B117="","",SUMIFS('A-BOM'!$D$3:$D993,'A-BOM'!$C$3:$C993,B117,'A-BOM'!$B$3:$B993,$B$2))</f>
        <v/>
      </c>
      <c r="D117" s="120" t="str">
        <f>IFERROR(IF(B117="","",VLOOKUP(B117,RM!$C$4:$F983,3,FALSE)),"")</f>
        <v/>
      </c>
      <c r="E117" s="118" t="e">
        <f t="array" aca="1" ref="E117" ca="1">_xludf.IFNA(IF(B117="","",VLOOKUP(B117,RM!$C$4:$G983,14,FALSE)),IFERROR(MIN(IF('S-BOM'!$B$3:$B993=$B117,'S-BOM'!$H$3:$H993,"")),""))</f>
        <v>#NAME?</v>
      </c>
      <c r="F117" s="87" t="str">
        <f t="shared" si="1"/>
        <v/>
      </c>
      <c r="G117" s="87" t="str">
        <f t="shared" si="2"/>
        <v/>
      </c>
      <c r="H117" s="87"/>
      <c r="I117" s="87"/>
      <c r="J117" s="87"/>
    </row>
    <row r="118" spans="1:10">
      <c r="A118" s="2"/>
      <c r="B118" s="2"/>
      <c r="C118" s="120" t="str">
        <f>IF(B118="","",SUMIFS('A-BOM'!$D$3:$D993,'A-BOM'!$C$3:$C993,B118,'A-BOM'!$B$3:$B993,$B$2))</f>
        <v/>
      </c>
      <c r="D118" s="120" t="str">
        <f>IFERROR(IF(B118="","",VLOOKUP(B118,RM!$C$4:$F983,3,FALSE)),"")</f>
        <v/>
      </c>
      <c r="E118" s="118" t="e">
        <f t="array" aca="1" ref="E118" ca="1">_xludf.IFNA(IF(B118="","",VLOOKUP(B118,RM!$C$4:$G983,14,FALSE)),IFERROR(MIN(IF('S-BOM'!$B$3:$B993=$B118,'S-BOM'!$H$3:$H993,"")),""))</f>
        <v>#NAME?</v>
      </c>
      <c r="F118" s="87" t="str">
        <f t="shared" si="1"/>
        <v/>
      </c>
      <c r="G118" s="87" t="str">
        <f t="shared" si="2"/>
        <v/>
      </c>
      <c r="H118" s="87"/>
      <c r="I118" s="87"/>
      <c r="J118" s="87"/>
    </row>
    <row r="119" spans="1:10">
      <c r="A119" s="2"/>
      <c r="B119" s="2"/>
      <c r="C119" s="120" t="str">
        <f>IF(B119="","",SUMIFS('A-BOM'!$D$3:$D993,'A-BOM'!$C$3:$C993,B119,'A-BOM'!$B$3:$B993,$B$2))</f>
        <v/>
      </c>
      <c r="D119" s="120" t="str">
        <f>IFERROR(IF(B119="","",VLOOKUP(B119,RM!$C$4:$F983,3,FALSE)),"")</f>
        <v/>
      </c>
      <c r="E119" s="118" t="e">
        <f t="array" aca="1" ref="E119" ca="1">_xludf.IFNA(IF(B119="","",VLOOKUP(B119,RM!$C$4:$G983,14,FALSE)),IFERROR(MIN(IF('S-BOM'!$B$3:$B993=$B119,'S-BOM'!$H$3:$H993,"")),""))</f>
        <v>#NAME?</v>
      </c>
      <c r="F119" s="87" t="str">
        <f t="shared" si="1"/>
        <v/>
      </c>
      <c r="G119" s="87" t="str">
        <f t="shared" si="2"/>
        <v/>
      </c>
      <c r="H119" s="87"/>
      <c r="I119" s="87"/>
      <c r="J119" s="87"/>
    </row>
    <row r="120" spans="1:10">
      <c r="A120" s="2"/>
      <c r="B120" s="2"/>
      <c r="C120" s="120" t="str">
        <f>IF(B120="","",SUMIFS('A-BOM'!$D$3:$D993,'A-BOM'!$C$3:$C993,B120,'A-BOM'!$B$3:$B993,$B$2))</f>
        <v/>
      </c>
      <c r="D120" s="120" t="str">
        <f>IFERROR(IF(B120="","",VLOOKUP(B120,RM!$C$4:$F983,3,FALSE)),"")</f>
        <v/>
      </c>
      <c r="E120" s="118" t="e">
        <f t="array" aca="1" ref="E120" ca="1">_xludf.IFNA(IF(B120="","",VLOOKUP(B120,RM!$C$4:$G983,14,FALSE)),IFERROR(MIN(IF('S-BOM'!$B$3:$B993=$B120,'S-BOM'!$H$3:$H993,"")),""))</f>
        <v>#NAME?</v>
      </c>
      <c r="F120" s="87" t="str">
        <f t="shared" si="1"/>
        <v/>
      </c>
      <c r="G120" s="87" t="str">
        <f t="shared" si="2"/>
        <v/>
      </c>
      <c r="H120" s="87"/>
      <c r="I120" s="87"/>
      <c r="J120" s="87"/>
    </row>
    <row r="121" spans="1:10">
      <c r="A121" s="2"/>
      <c r="B121" s="2"/>
      <c r="C121" s="120" t="str">
        <f>IF(B121="","",SUMIFS('A-BOM'!$D$3:$D993,'A-BOM'!$C$3:$C993,B121,'A-BOM'!$B$3:$B993,$B$2))</f>
        <v/>
      </c>
      <c r="D121" s="120" t="str">
        <f>IFERROR(IF(B121="","",VLOOKUP(B121,RM!$C$4:$F983,3,FALSE)),"")</f>
        <v/>
      </c>
      <c r="E121" s="118" t="e">
        <f t="array" aca="1" ref="E121" ca="1">_xludf.IFNA(IF(B121="","",VLOOKUP(B121,RM!$C$4:$G983,14,FALSE)),IFERROR(MIN(IF('S-BOM'!$B$3:$B993=$B121,'S-BOM'!$H$3:$H993,"")),""))</f>
        <v>#NAME?</v>
      </c>
      <c r="F121" s="87" t="str">
        <f t="shared" si="1"/>
        <v/>
      </c>
      <c r="G121" s="87" t="str">
        <f t="shared" si="2"/>
        <v/>
      </c>
      <c r="H121" s="87"/>
      <c r="I121" s="87"/>
      <c r="J121" s="87"/>
    </row>
    <row r="122" spans="1:10">
      <c r="A122" s="2"/>
      <c r="B122" s="2"/>
      <c r="C122" s="120" t="str">
        <f>IF(B122="","",SUMIFS('A-BOM'!$D$3:$D993,'A-BOM'!$C$3:$C993,B122,'A-BOM'!$B$3:$B993,$B$2))</f>
        <v/>
      </c>
      <c r="D122" s="120" t="str">
        <f>IFERROR(IF(B122="","",VLOOKUP(B122,RM!$C$4:$F983,3,FALSE)),"")</f>
        <v/>
      </c>
      <c r="E122" s="118" t="e">
        <f t="array" aca="1" ref="E122" ca="1">_xludf.IFNA(IF(B122="","",VLOOKUP(B122,RM!$C$4:$G983,14,FALSE)),IFERROR(MIN(IF('S-BOM'!$B$3:$B993=$B122,'S-BOM'!$H$3:$H993,"")),""))</f>
        <v>#NAME?</v>
      </c>
      <c r="F122" s="87" t="str">
        <f t="shared" si="1"/>
        <v/>
      </c>
      <c r="G122" s="87" t="str">
        <f t="shared" si="2"/>
        <v/>
      </c>
      <c r="H122" s="87"/>
      <c r="I122" s="87"/>
      <c r="J122" s="87"/>
    </row>
    <row r="123" spans="1:10">
      <c r="A123" s="2"/>
      <c r="B123" s="2"/>
      <c r="C123" s="120" t="str">
        <f>IF(B123="","",SUMIFS('A-BOM'!$D$3:$D993,'A-BOM'!$C$3:$C993,B123,'A-BOM'!$B$3:$B993,$B$2))</f>
        <v/>
      </c>
      <c r="D123" s="120" t="str">
        <f>IFERROR(IF(B123="","",VLOOKUP(B123,RM!$C$4:$F983,3,FALSE)),"")</f>
        <v/>
      </c>
      <c r="E123" s="118" t="e">
        <f t="array" aca="1" ref="E123" ca="1">_xludf.IFNA(IF(B123="","",VLOOKUP(B123,RM!$C$4:$G983,14,FALSE)),IFERROR(MIN(IF('S-BOM'!$B$3:$B993=$B123,'S-BOM'!$H$3:$H993,"")),""))</f>
        <v>#NAME?</v>
      </c>
      <c r="F123" s="87" t="str">
        <f t="shared" si="1"/>
        <v/>
      </c>
      <c r="G123" s="87" t="str">
        <f t="shared" si="2"/>
        <v/>
      </c>
      <c r="H123" s="87"/>
      <c r="I123" s="87"/>
      <c r="J123" s="87"/>
    </row>
    <row r="124" spans="1:10">
      <c r="A124" s="2"/>
      <c r="B124" s="2"/>
      <c r="C124" s="120" t="str">
        <f>IF(B124="","",SUMIFS('A-BOM'!$D$3:$D993,'A-BOM'!$C$3:$C993,B124,'A-BOM'!$B$3:$B993,$B$2))</f>
        <v/>
      </c>
      <c r="D124" s="120" t="str">
        <f>IFERROR(IF(B124="","",VLOOKUP(B124,RM!$C$4:$F983,3,FALSE)),"")</f>
        <v/>
      </c>
      <c r="E124" s="118" t="e">
        <f t="array" aca="1" ref="E124" ca="1">_xludf.IFNA(IF(B124="","",VLOOKUP(B124,RM!$C$4:$G983,14,FALSE)),IFERROR(MIN(IF('S-BOM'!$B$3:$B993=$B124,'S-BOM'!$H$3:$H993,"")),""))</f>
        <v>#NAME?</v>
      </c>
      <c r="F124" s="87" t="str">
        <f t="shared" si="1"/>
        <v/>
      </c>
      <c r="G124" s="87" t="str">
        <f t="shared" si="2"/>
        <v/>
      </c>
      <c r="H124" s="87"/>
      <c r="I124" s="87"/>
      <c r="J124" s="87"/>
    </row>
    <row r="125" spans="1:10">
      <c r="A125" s="2"/>
      <c r="B125" s="2"/>
      <c r="C125" s="120" t="str">
        <f>IF(B125="","",SUMIFS('A-BOM'!$D$3:$D993,'A-BOM'!$C$3:$C993,B125,'A-BOM'!$B$3:$B993,$B$2))</f>
        <v/>
      </c>
      <c r="D125" s="120" t="str">
        <f>IFERROR(IF(B125="","",VLOOKUP(B125,RM!$C$4:$F983,3,FALSE)),"")</f>
        <v/>
      </c>
      <c r="E125" s="118" t="e">
        <f t="array" aca="1" ref="E125" ca="1">_xludf.IFNA(IF(B125="","",VLOOKUP(B125,RM!$C$4:$G983,14,FALSE)),IFERROR(MIN(IF('S-BOM'!$B$3:$B993=$B125,'S-BOM'!$H$3:$H993,"")),""))</f>
        <v>#NAME?</v>
      </c>
      <c r="F125" s="87" t="str">
        <f t="shared" si="1"/>
        <v/>
      </c>
      <c r="G125" s="87" t="str">
        <f t="shared" si="2"/>
        <v/>
      </c>
      <c r="H125" s="87"/>
      <c r="I125" s="87"/>
      <c r="J125" s="87"/>
    </row>
    <row r="126" spans="1:10">
      <c r="A126" s="2"/>
      <c r="B126" s="2"/>
      <c r="C126" s="120" t="str">
        <f>IF(B126="","",SUMIFS('A-BOM'!$D$3:$D993,'A-BOM'!$C$3:$C993,B126,'A-BOM'!$B$3:$B993,$B$2))</f>
        <v/>
      </c>
      <c r="D126" s="120" t="str">
        <f>IFERROR(IF(B126="","",VLOOKUP(B126,RM!$C$4:$F983,3,FALSE)),"")</f>
        <v/>
      </c>
      <c r="E126" s="118" t="e">
        <f t="array" aca="1" ref="E126" ca="1">_xludf.IFNA(IF(B126="","",VLOOKUP(B126,RM!$C$4:$G983,14,FALSE)),IFERROR(MIN(IF('S-BOM'!$B$3:$B993=$B126,'S-BOM'!$H$3:$H993,"")),""))</f>
        <v>#NAME?</v>
      </c>
      <c r="F126" s="87" t="str">
        <f t="shared" si="1"/>
        <v/>
      </c>
      <c r="G126" s="87" t="str">
        <f t="shared" si="2"/>
        <v/>
      </c>
      <c r="H126" s="87"/>
      <c r="I126" s="87"/>
      <c r="J126" s="87"/>
    </row>
    <row r="127" spans="1:10">
      <c r="A127" s="2"/>
      <c r="B127" s="2"/>
      <c r="C127" s="120" t="str">
        <f>IF(B127="","",SUMIFS('A-BOM'!$D$3:$D993,'A-BOM'!$C$3:$C993,B127,'A-BOM'!$B$3:$B993,$B$2))</f>
        <v/>
      </c>
      <c r="D127" s="120" t="str">
        <f>IFERROR(IF(B127="","",VLOOKUP(B127,RM!$C$4:$F983,3,FALSE)),"")</f>
        <v/>
      </c>
      <c r="E127" s="118" t="e">
        <f t="array" aca="1" ref="E127" ca="1">_xludf.IFNA(IF(B127="","",VLOOKUP(B127,RM!$C$4:$G983,14,FALSE)),IFERROR(MIN(IF('S-BOM'!$B$3:$B993=$B127,'S-BOM'!$H$3:$H993,"")),""))</f>
        <v>#NAME?</v>
      </c>
      <c r="F127" s="87" t="str">
        <f t="shared" si="1"/>
        <v/>
      </c>
      <c r="G127" s="87" t="str">
        <f t="shared" si="2"/>
        <v/>
      </c>
      <c r="H127" s="87"/>
      <c r="I127" s="87"/>
      <c r="J127" s="87"/>
    </row>
    <row r="128" spans="1:10">
      <c r="A128" s="2"/>
      <c r="B128" s="2"/>
      <c r="C128" s="120" t="str">
        <f>IF(B128="","",SUMIFS('A-BOM'!$D$3:$D993,'A-BOM'!$C$3:$C993,B128,'A-BOM'!$B$3:$B993,$B$2))</f>
        <v/>
      </c>
      <c r="D128" s="120" t="str">
        <f>IFERROR(IF(B128="","",VLOOKUP(B128,RM!$C$4:$F983,3,FALSE)),"")</f>
        <v/>
      </c>
      <c r="E128" s="118" t="e">
        <f t="array" aca="1" ref="E128" ca="1">_xludf.IFNA(IF(B128="","",VLOOKUP(B128,RM!$C$4:$G983,14,FALSE)),IFERROR(MIN(IF('S-BOM'!$B$3:$B993=$B128,'S-BOM'!$H$3:$H993,"")),""))</f>
        <v>#NAME?</v>
      </c>
      <c r="F128" s="87" t="str">
        <f t="shared" si="1"/>
        <v/>
      </c>
      <c r="G128" s="87" t="str">
        <f t="shared" si="2"/>
        <v/>
      </c>
      <c r="H128" s="87"/>
      <c r="I128" s="87"/>
      <c r="J128" s="87"/>
    </row>
    <row r="129" spans="1:10">
      <c r="A129" s="2"/>
      <c r="B129" s="2"/>
      <c r="C129" s="120" t="str">
        <f>IF(B129="","",SUMIFS('A-BOM'!$D$3:$D993,'A-BOM'!$C$3:$C993,B129,'A-BOM'!$B$3:$B993,$B$2))</f>
        <v/>
      </c>
      <c r="D129" s="120" t="str">
        <f>IFERROR(IF(B129="","",VLOOKUP(B129,RM!$C$4:$F983,3,FALSE)),"")</f>
        <v/>
      </c>
      <c r="E129" s="118" t="e">
        <f t="array" aca="1" ref="E129" ca="1">_xludf.IFNA(IF(B129="","",VLOOKUP(B129,RM!$C$4:$G983,14,FALSE)),IFERROR(MIN(IF('S-BOM'!$B$3:$B993=$B129,'S-BOM'!$H$3:$H993,"")),""))</f>
        <v>#NAME?</v>
      </c>
      <c r="F129" s="87" t="str">
        <f t="shared" si="1"/>
        <v/>
      </c>
      <c r="G129" s="87" t="str">
        <f t="shared" si="2"/>
        <v/>
      </c>
      <c r="H129" s="87"/>
      <c r="I129" s="87"/>
      <c r="J129" s="87"/>
    </row>
    <row r="130" spans="1:10">
      <c r="A130" s="2"/>
      <c r="B130" s="2"/>
      <c r="C130" s="120" t="str">
        <f>IF(B130="","",SUMIFS('A-BOM'!$D$3:$D993,'A-BOM'!$C$3:$C993,B130,'A-BOM'!$B$3:$B993,$B$2))</f>
        <v/>
      </c>
      <c r="D130" s="120" t="str">
        <f>IFERROR(IF(B130="","",VLOOKUP(B130,RM!$C$4:$F983,3,FALSE)),"")</f>
        <v/>
      </c>
      <c r="E130" s="118" t="e">
        <f t="array" aca="1" ref="E130" ca="1">_xludf.IFNA(IF(B130="","",VLOOKUP(B130,RM!$C$4:$G983,14,FALSE)),IFERROR(MIN(IF('S-BOM'!$B$3:$B993=$B130,'S-BOM'!$H$3:$H993,"")),""))</f>
        <v>#NAME?</v>
      </c>
      <c r="F130" s="87" t="str">
        <f t="shared" si="1"/>
        <v/>
      </c>
      <c r="G130" s="87" t="str">
        <f t="shared" si="2"/>
        <v/>
      </c>
      <c r="H130" s="87"/>
      <c r="I130" s="87"/>
      <c r="J130" s="87"/>
    </row>
    <row r="131" spans="1:10">
      <c r="A131" s="2"/>
      <c r="B131" s="2"/>
      <c r="C131" s="120" t="str">
        <f>IF(B131="","",SUMIFS('A-BOM'!$D$3:$D993,'A-BOM'!$C$3:$C993,B131,'A-BOM'!$B$3:$B993,$B$2))</f>
        <v/>
      </c>
      <c r="D131" s="120" t="str">
        <f>IFERROR(IF(B131="","",VLOOKUP(B131,RM!$C$4:$F983,3,FALSE)),"")</f>
        <v/>
      </c>
      <c r="E131" s="118" t="e">
        <f t="array" aca="1" ref="E131" ca="1">_xludf.IFNA(IF(B131="","",VLOOKUP(B131,RM!$C$4:$G983,14,FALSE)),IFERROR(MIN(IF('S-BOM'!$B$3:$B993=$B131,'S-BOM'!$H$3:$H993,"")),""))</f>
        <v>#NAME?</v>
      </c>
      <c r="F131" s="87" t="str">
        <f t="shared" si="1"/>
        <v/>
      </c>
      <c r="G131" s="87" t="str">
        <f t="shared" si="2"/>
        <v/>
      </c>
      <c r="H131" s="87"/>
      <c r="I131" s="87"/>
      <c r="J131" s="87"/>
    </row>
    <row r="132" spans="1:10">
      <c r="A132" s="2"/>
      <c r="B132" s="2"/>
      <c r="C132" s="120" t="str">
        <f>IF(B132="","",SUMIFS('A-BOM'!$D$3:$D993,'A-BOM'!$C$3:$C993,B132,'A-BOM'!$B$3:$B993,$B$2))</f>
        <v/>
      </c>
      <c r="D132" s="120" t="str">
        <f>IFERROR(IF(B132="","",VLOOKUP(B132,RM!$C$4:$F983,3,FALSE)),"")</f>
        <v/>
      </c>
      <c r="E132" s="118" t="e">
        <f t="array" aca="1" ref="E132" ca="1">_xludf.IFNA(IF(B132="","",VLOOKUP(B132,RM!$C$4:$G983,14,FALSE)),IFERROR(MIN(IF('S-BOM'!$B$3:$B993=$B132,'S-BOM'!$H$3:$H993,"")),""))</f>
        <v>#NAME?</v>
      </c>
      <c r="F132" s="87" t="str">
        <f t="shared" si="1"/>
        <v/>
      </c>
      <c r="G132" s="87" t="str">
        <f t="shared" si="2"/>
        <v/>
      </c>
      <c r="H132" s="87"/>
      <c r="I132" s="87"/>
      <c r="J132" s="87"/>
    </row>
    <row r="133" spans="1:10">
      <c r="A133" s="2"/>
      <c r="B133" s="2"/>
      <c r="C133" s="120" t="str">
        <f>IF(B133="","",SUMIFS('A-BOM'!$D$3:$D993,'A-BOM'!$C$3:$C993,B133,'A-BOM'!$B$3:$B993,$B$2))</f>
        <v/>
      </c>
      <c r="D133" s="120" t="str">
        <f>IFERROR(IF(B133="","",VLOOKUP(B133,RM!$C$4:$F983,3,FALSE)),"")</f>
        <v/>
      </c>
      <c r="E133" s="118" t="e">
        <f t="array" aca="1" ref="E133" ca="1">_xludf.IFNA(IF(B133="","",VLOOKUP(B133,RM!$C$4:$G983,14,FALSE)),IFERROR(MIN(IF('S-BOM'!$B$3:$B993=$B133,'S-BOM'!$H$3:$H993,"")),""))</f>
        <v>#NAME?</v>
      </c>
      <c r="F133" s="87" t="str">
        <f t="shared" si="1"/>
        <v/>
      </c>
      <c r="G133" s="87" t="str">
        <f t="shared" si="2"/>
        <v/>
      </c>
      <c r="H133" s="87"/>
      <c r="I133" s="87"/>
      <c r="J133" s="87"/>
    </row>
    <row r="134" spans="1:10">
      <c r="A134" s="2"/>
      <c r="B134" s="2"/>
      <c r="C134" s="120" t="str">
        <f>IF(B134="","",SUMIFS('A-BOM'!$D$3:$D993,'A-BOM'!$C$3:$C993,B134,'A-BOM'!$B$3:$B993,$B$2))</f>
        <v/>
      </c>
      <c r="D134" s="120" t="str">
        <f>IFERROR(IF(B134="","",VLOOKUP(B134,RM!$C$4:$F983,3,FALSE)),"")</f>
        <v/>
      </c>
      <c r="E134" s="118" t="e">
        <f t="array" aca="1" ref="E134" ca="1">_xludf.IFNA(IF(B134="","",VLOOKUP(B134,RM!$C$4:$G983,14,FALSE)),IFERROR(MIN(IF('S-BOM'!$B$3:$B993=$B134,'S-BOM'!$H$3:$H993,"")),""))</f>
        <v>#NAME?</v>
      </c>
      <c r="F134" s="87" t="str">
        <f t="shared" si="1"/>
        <v/>
      </c>
      <c r="G134" s="87" t="str">
        <f t="shared" si="2"/>
        <v/>
      </c>
      <c r="H134" s="87"/>
      <c r="I134" s="87"/>
      <c r="J134" s="87"/>
    </row>
    <row r="135" spans="1:10">
      <c r="A135" s="2"/>
      <c r="B135" s="2"/>
      <c r="C135" s="120" t="str">
        <f>IF(B135="","",SUMIFS('A-BOM'!$D$3:$D993,'A-BOM'!$C$3:$C993,B135,'A-BOM'!$B$3:$B993,$B$2))</f>
        <v/>
      </c>
      <c r="D135" s="120" t="str">
        <f>IFERROR(IF(B135="","",VLOOKUP(B135,RM!$C$4:$F983,3,FALSE)),"")</f>
        <v/>
      </c>
      <c r="E135" s="118" t="e">
        <f t="array" aca="1" ref="E135" ca="1">_xludf.IFNA(IF(B135="","",VLOOKUP(B135,RM!$C$4:$G983,14,FALSE)),IFERROR(MIN(IF('S-BOM'!$B$3:$B993=$B135,'S-BOM'!$H$3:$H993,"")),""))</f>
        <v>#NAME?</v>
      </c>
      <c r="F135" s="87" t="str">
        <f t="shared" si="1"/>
        <v/>
      </c>
      <c r="G135" s="87" t="str">
        <f t="shared" si="2"/>
        <v/>
      </c>
      <c r="H135" s="87"/>
      <c r="I135" s="87"/>
      <c r="J135" s="87"/>
    </row>
    <row r="136" spans="1:10">
      <c r="A136" s="2"/>
      <c r="B136" s="2"/>
      <c r="C136" s="120" t="str">
        <f>IF(B136="","",SUMIFS('A-BOM'!$D$3:$D993,'A-BOM'!$C$3:$C993,B136,'A-BOM'!$B$3:$B993,$B$2))</f>
        <v/>
      </c>
      <c r="D136" s="120" t="str">
        <f>IFERROR(IF(B136="","",VLOOKUP(B136,RM!$C$4:$F983,3,FALSE)),"")</f>
        <v/>
      </c>
      <c r="E136" s="118" t="e">
        <f t="array" aca="1" ref="E136" ca="1">_xludf.IFNA(IF(B136="","",VLOOKUP(B136,RM!$C$4:$G983,14,FALSE)),IFERROR(MIN(IF('S-BOM'!$B$3:$B993=$B136,'S-BOM'!$H$3:$H993,"")),""))</f>
        <v>#NAME?</v>
      </c>
      <c r="F136" s="87" t="str">
        <f t="shared" si="1"/>
        <v/>
      </c>
      <c r="G136" s="87" t="str">
        <f t="shared" si="2"/>
        <v/>
      </c>
      <c r="H136" s="87"/>
      <c r="I136" s="87"/>
      <c r="J136" s="87"/>
    </row>
    <row r="137" spans="1:10">
      <c r="A137" s="2"/>
      <c r="B137" s="2"/>
      <c r="C137" s="120" t="str">
        <f>IF(B137="","",SUMIFS('A-BOM'!$D$3:$D993,'A-BOM'!$C$3:$C993,B137,'A-BOM'!$B$3:$B993,$B$2))</f>
        <v/>
      </c>
      <c r="D137" s="120" t="str">
        <f>IFERROR(IF(B137="","",VLOOKUP(B137,RM!$C$4:$F983,3,FALSE)),"")</f>
        <v/>
      </c>
      <c r="E137" s="118" t="e">
        <f t="array" aca="1" ref="E137" ca="1">_xludf.IFNA(IF(B137="","",VLOOKUP(B137,RM!$C$4:$G983,14,FALSE)),IFERROR(MIN(IF('S-BOM'!$B$3:$B993=$B137,'S-BOM'!$H$3:$H993,"")),""))</f>
        <v>#NAME?</v>
      </c>
      <c r="F137" s="87" t="str">
        <f t="shared" si="1"/>
        <v/>
      </c>
      <c r="G137" s="87" t="str">
        <f t="shared" si="2"/>
        <v/>
      </c>
      <c r="H137" s="87"/>
      <c r="I137" s="87"/>
      <c r="J137" s="87"/>
    </row>
    <row r="138" spans="1:10">
      <c r="A138" s="2"/>
      <c r="B138" s="2"/>
      <c r="C138" s="120" t="str">
        <f>IF(B138="","",SUMIFS('A-BOM'!$D$3:$D993,'A-BOM'!$C$3:$C993,B138,'A-BOM'!$B$3:$B993,$B$2))</f>
        <v/>
      </c>
      <c r="D138" s="120" t="str">
        <f>IFERROR(IF(B138="","",VLOOKUP(B138,RM!$C$4:$F983,3,FALSE)),"")</f>
        <v/>
      </c>
      <c r="E138" s="118" t="e">
        <f t="array" aca="1" ref="E138" ca="1">_xludf.IFNA(IF(B138="","",VLOOKUP(B138,RM!$C$4:$G983,14,FALSE)),IFERROR(MIN(IF('S-BOM'!$B$3:$B993=$B138,'S-BOM'!$H$3:$H993,"")),""))</f>
        <v>#NAME?</v>
      </c>
      <c r="F138" s="87" t="str">
        <f t="shared" si="1"/>
        <v/>
      </c>
      <c r="G138" s="87" t="str">
        <f t="shared" si="2"/>
        <v/>
      </c>
      <c r="H138" s="87"/>
      <c r="I138" s="87"/>
      <c r="J138" s="87"/>
    </row>
    <row r="139" spans="1:10">
      <c r="A139" s="2"/>
      <c r="B139" s="2"/>
      <c r="C139" s="120" t="str">
        <f>IF(B139="","",SUMIFS('A-BOM'!$D$3:$D993,'A-BOM'!$C$3:$C993,B139,'A-BOM'!$B$3:$B993,$B$2))</f>
        <v/>
      </c>
      <c r="D139" s="120" t="str">
        <f>IFERROR(IF(B139="","",VLOOKUP(B139,RM!$C$4:$F983,3,FALSE)),"")</f>
        <v/>
      </c>
      <c r="E139" s="118" t="e">
        <f t="array" aca="1" ref="E139" ca="1">_xludf.IFNA(IF(B139="","",VLOOKUP(B139,RM!$C$4:$G983,14,FALSE)),IFERROR(MIN(IF('S-BOM'!$B$3:$B993=$B139,'S-BOM'!$H$3:$H993,"")),""))</f>
        <v>#NAME?</v>
      </c>
      <c r="F139" s="87" t="str">
        <f t="shared" si="1"/>
        <v/>
      </c>
      <c r="G139" s="87" t="str">
        <f t="shared" si="2"/>
        <v/>
      </c>
      <c r="H139" s="87"/>
      <c r="I139" s="87"/>
      <c r="J139" s="87"/>
    </row>
    <row r="140" spans="1:10">
      <c r="A140" s="2"/>
      <c r="B140" s="2"/>
      <c r="C140" s="120" t="str">
        <f>IF(B140="","",SUMIFS('A-BOM'!$D$3:$D993,'A-BOM'!$C$3:$C993,B140,'A-BOM'!$B$3:$B993,$B$2))</f>
        <v/>
      </c>
      <c r="D140" s="120" t="str">
        <f>IFERROR(IF(B140="","",VLOOKUP(B140,RM!$C$4:$F983,3,FALSE)),"")</f>
        <v/>
      </c>
      <c r="E140" s="118" t="e">
        <f t="array" aca="1" ref="E140" ca="1">_xludf.IFNA(IF(B140="","",VLOOKUP(B140,RM!$C$4:$G983,14,FALSE)),IFERROR(MIN(IF('S-BOM'!$B$3:$B993=$B140,'S-BOM'!$H$3:$H993,"")),""))</f>
        <v>#NAME?</v>
      </c>
      <c r="F140" s="87" t="str">
        <f t="shared" si="1"/>
        <v/>
      </c>
      <c r="G140" s="87" t="str">
        <f t="shared" si="2"/>
        <v/>
      </c>
      <c r="H140" s="87"/>
      <c r="I140" s="87"/>
      <c r="J140" s="87"/>
    </row>
    <row r="141" spans="1:10">
      <c r="A141" s="2"/>
      <c r="B141" s="2"/>
      <c r="C141" s="120" t="str">
        <f>IF(B141="","",SUMIFS('A-BOM'!$D$3:$D993,'A-BOM'!$C$3:$C993,B141,'A-BOM'!$B$3:$B993,$B$2))</f>
        <v/>
      </c>
      <c r="D141" s="120" t="str">
        <f>IFERROR(IF(B141="","",VLOOKUP(B141,RM!$C$4:$F983,3,FALSE)),"")</f>
        <v/>
      </c>
      <c r="E141" s="118" t="e">
        <f t="array" aca="1" ref="E141" ca="1">_xludf.IFNA(IF(B141="","",VLOOKUP(B141,RM!$C$4:$G983,14,FALSE)),IFERROR(MIN(IF('S-BOM'!$B$3:$B993=$B141,'S-BOM'!$H$3:$H993,"")),""))</f>
        <v>#NAME?</v>
      </c>
      <c r="F141" s="87" t="str">
        <f t="shared" si="1"/>
        <v/>
      </c>
      <c r="G141" s="87" t="str">
        <f t="shared" si="2"/>
        <v/>
      </c>
      <c r="H141" s="87"/>
      <c r="I141" s="87"/>
      <c r="J141" s="87"/>
    </row>
    <row r="142" spans="1:10">
      <c r="A142" s="2"/>
      <c r="B142" s="2"/>
      <c r="C142" s="120" t="str">
        <f>IF(B142="","",SUMIFS('A-BOM'!$D$3:$D993,'A-BOM'!$C$3:$C993,B142,'A-BOM'!$B$3:$B993,$B$2))</f>
        <v/>
      </c>
      <c r="D142" s="120" t="str">
        <f>IFERROR(IF(B142="","",VLOOKUP(B142,RM!$C$4:$F983,3,FALSE)),"")</f>
        <v/>
      </c>
      <c r="E142" s="118" t="e">
        <f t="array" aca="1" ref="E142" ca="1">_xludf.IFNA(IF(B142="","",VLOOKUP(B142,RM!$C$4:$G983,14,FALSE)),IFERROR(MIN(IF('S-BOM'!$B$3:$B993=$B142,'S-BOM'!$H$3:$H993,"")),""))</f>
        <v>#NAME?</v>
      </c>
      <c r="F142" s="87" t="str">
        <f t="shared" si="1"/>
        <v/>
      </c>
      <c r="G142" s="87" t="str">
        <f t="shared" si="2"/>
        <v/>
      </c>
      <c r="H142" s="87"/>
      <c r="I142" s="87"/>
      <c r="J142" s="87"/>
    </row>
    <row r="143" spans="1:10">
      <c r="A143" s="2"/>
      <c r="B143" s="2"/>
      <c r="C143" s="120" t="str">
        <f>IF(B143="","",SUMIFS('A-BOM'!$D$3:$D993,'A-BOM'!$C$3:$C993,B143,'A-BOM'!$B$3:$B993,$B$2))</f>
        <v/>
      </c>
      <c r="D143" s="120" t="str">
        <f>IFERROR(IF(B143="","",VLOOKUP(B143,RM!$C$4:$F983,3,FALSE)),"")</f>
        <v/>
      </c>
      <c r="E143" s="118" t="e">
        <f t="array" aca="1" ref="E143" ca="1">_xludf.IFNA(IF(B143="","",VLOOKUP(B143,RM!$C$4:$G983,14,FALSE)),IFERROR(MIN(IF('S-BOM'!$B$3:$B993=$B143,'S-BOM'!$H$3:$H993,"")),""))</f>
        <v>#NAME?</v>
      </c>
      <c r="F143" s="87" t="str">
        <f t="shared" si="1"/>
        <v/>
      </c>
      <c r="G143" s="87" t="str">
        <f t="shared" si="2"/>
        <v/>
      </c>
      <c r="H143" s="87"/>
      <c r="I143" s="87"/>
      <c r="J143" s="87"/>
    </row>
    <row r="144" spans="1:10">
      <c r="A144" s="2"/>
      <c r="B144" s="2"/>
      <c r="C144" s="120" t="str">
        <f>IF(B144="","",SUMIFS('A-BOM'!$D$3:$D993,'A-BOM'!$C$3:$C993,B144,'A-BOM'!$B$3:$B993,$B$2))</f>
        <v/>
      </c>
      <c r="D144" s="120" t="str">
        <f>IFERROR(IF(B144="","",VLOOKUP(B144,RM!$C$4:$F983,3,FALSE)),"")</f>
        <v/>
      </c>
      <c r="E144" s="118" t="e">
        <f t="array" aca="1" ref="E144" ca="1">_xludf.IFNA(IF(B144="","",VLOOKUP(B144,RM!$C$4:$G983,14,FALSE)),IFERROR(MIN(IF('S-BOM'!$B$3:$B993=$B144,'S-BOM'!$H$3:$H993,"")),""))</f>
        <v>#NAME?</v>
      </c>
      <c r="F144" s="87" t="str">
        <f t="shared" si="1"/>
        <v/>
      </c>
      <c r="G144" s="87" t="str">
        <f t="shared" si="2"/>
        <v/>
      </c>
      <c r="H144" s="87"/>
      <c r="I144" s="87"/>
      <c r="J144" s="87"/>
    </row>
    <row r="145" spans="1:10">
      <c r="A145" s="2"/>
      <c r="B145" s="2"/>
      <c r="C145" s="120" t="str">
        <f>IF(B145="","",SUMIFS('A-BOM'!$D$3:$D993,'A-BOM'!$C$3:$C993,B145,'A-BOM'!$B$3:$B993,$B$2))</f>
        <v/>
      </c>
      <c r="D145" s="120" t="str">
        <f>IFERROR(IF(B145="","",VLOOKUP(B145,RM!$C$4:$F983,3,FALSE)),"")</f>
        <v/>
      </c>
      <c r="E145" s="118" t="e">
        <f t="array" aca="1" ref="E145" ca="1">_xludf.IFNA(IF(B145="","",VLOOKUP(B145,RM!$C$4:$G983,14,FALSE)),IFERROR(MIN(IF('S-BOM'!$B$3:$B993=$B145,'S-BOM'!$H$3:$H993,"")),""))</f>
        <v>#NAME?</v>
      </c>
      <c r="F145" s="87" t="str">
        <f t="shared" si="1"/>
        <v/>
      </c>
      <c r="G145" s="87" t="str">
        <f t="shared" si="2"/>
        <v/>
      </c>
      <c r="H145" s="87"/>
      <c r="I145" s="87"/>
      <c r="J145" s="87"/>
    </row>
    <row r="146" spans="1:10">
      <c r="A146" s="2"/>
      <c r="B146" s="2"/>
      <c r="C146" s="120" t="str">
        <f>IF(B146="","",SUMIFS('A-BOM'!$D$3:$D993,'A-BOM'!$C$3:$C993,B146,'A-BOM'!$B$3:$B993,$B$2))</f>
        <v/>
      </c>
      <c r="D146" s="120" t="str">
        <f>IFERROR(IF(B146="","",VLOOKUP(B146,RM!$C$4:$F983,3,FALSE)),"")</f>
        <v/>
      </c>
      <c r="E146" s="118" t="e">
        <f t="array" aca="1" ref="E146" ca="1">_xludf.IFNA(IF(B146="","",VLOOKUP(B146,RM!$C$4:$G983,14,FALSE)),IFERROR(MIN(IF('S-BOM'!$B$3:$B993=$B146,'S-BOM'!$H$3:$H993,"")),""))</f>
        <v>#NAME?</v>
      </c>
      <c r="F146" s="87" t="str">
        <f t="shared" si="1"/>
        <v/>
      </c>
      <c r="G146" s="87" t="str">
        <f t="shared" si="2"/>
        <v/>
      </c>
      <c r="H146" s="87"/>
      <c r="I146" s="87"/>
      <c r="J146" s="87"/>
    </row>
    <row r="147" spans="1:10">
      <c r="A147" s="2"/>
      <c r="B147" s="2"/>
      <c r="C147" s="120" t="str">
        <f>IF(B147="","",SUMIFS('A-BOM'!$D$3:$D993,'A-BOM'!$C$3:$C993,B147,'A-BOM'!$B$3:$B993,$B$2))</f>
        <v/>
      </c>
      <c r="D147" s="120" t="str">
        <f>IFERROR(IF(B147="","",VLOOKUP(B147,RM!$C$4:$F983,3,FALSE)),"")</f>
        <v/>
      </c>
      <c r="E147" s="118" t="e">
        <f t="array" aca="1" ref="E147" ca="1">_xludf.IFNA(IF(B147="","",VLOOKUP(B147,RM!$C$4:$G983,14,FALSE)),IFERROR(MIN(IF('S-BOM'!$B$3:$B993=$B147,'S-BOM'!$H$3:$H993,"")),""))</f>
        <v>#NAME?</v>
      </c>
      <c r="F147" s="87" t="str">
        <f t="shared" si="1"/>
        <v/>
      </c>
      <c r="G147" s="87" t="str">
        <f t="shared" si="2"/>
        <v/>
      </c>
      <c r="H147" s="87"/>
      <c r="I147" s="87"/>
      <c r="J147" s="87"/>
    </row>
    <row r="148" spans="1:10">
      <c r="A148" s="2"/>
      <c r="B148" s="2"/>
      <c r="C148" s="120" t="str">
        <f>IF(B148="","",SUMIFS('A-BOM'!$D$3:$D993,'A-BOM'!$C$3:$C993,B148,'A-BOM'!$B$3:$B993,$B$2))</f>
        <v/>
      </c>
      <c r="D148" s="120" t="str">
        <f>IFERROR(IF(B148="","",VLOOKUP(B148,RM!$C$4:$F983,3,FALSE)),"")</f>
        <v/>
      </c>
      <c r="E148" s="118" t="e">
        <f t="array" aca="1" ref="E148" ca="1">_xludf.IFNA(IF(B148="","",VLOOKUP(B148,RM!$C$4:$G983,14,FALSE)),IFERROR(MIN(IF('S-BOM'!$B$3:$B993=$B148,'S-BOM'!$H$3:$H993,"")),""))</f>
        <v>#NAME?</v>
      </c>
      <c r="F148" s="87" t="str">
        <f t="shared" si="1"/>
        <v/>
      </c>
      <c r="G148" s="87" t="str">
        <f t="shared" si="2"/>
        <v/>
      </c>
      <c r="H148" s="87"/>
      <c r="I148" s="87"/>
      <c r="J148" s="87"/>
    </row>
    <row r="149" spans="1:10">
      <c r="A149" s="2"/>
      <c r="B149" s="2"/>
      <c r="C149" s="120" t="str">
        <f>IF(B149="","",SUMIFS('A-BOM'!$D$3:$D993,'A-BOM'!$C$3:$C993,B149,'A-BOM'!$B$3:$B993,$B$2))</f>
        <v/>
      </c>
      <c r="D149" s="120" t="str">
        <f>IFERROR(IF(B149="","",VLOOKUP(B149,RM!$C$4:$F983,3,FALSE)),"")</f>
        <v/>
      </c>
      <c r="E149" s="118" t="e">
        <f t="array" aca="1" ref="E149" ca="1">_xludf.IFNA(IF(B149="","",VLOOKUP(B149,RM!$C$4:$G983,14,FALSE)),IFERROR(MIN(IF('S-BOM'!$B$3:$B993=$B149,'S-BOM'!$H$3:$H993,"")),""))</f>
        <v>#NAME?</v>
      </c>
      <c r="F149" s="87" t="str">
        <f t="shared" si="1"/>
        <v/>
      </c>
      <c r="G149" s="87" t="str">
        <f t="shared" si="2"/>
        <v/>
      </c>
      <c r="H149" s="87"/>
      <c r="I149" s="87"/>
      <c r="J149" s="87"/>
    </row>
    <row r="150" spans="1:10">
      <c r="A150" s="2"/>
      <c r="B150" s="2"/>
      <c r="C150" s="120" t="str">
        <f>IF(B150="","",SUMIFS('A-BOM'!$D$3:$D993,'A-BOM'!$C$3:$C993,B150,'A-BOM'!$B$3:$B993,$B$2))</f>
        <v/>
      </c>
      <c r="D150" s="120" t="str">
        <f>IFERROR(IF(B150="","",VLOOKUP(B150,RM!$C$4:$F983,3,FALSE)),"")</f>
        <v/>
      </c>
      <c r="E150" s="118" t="e">
        <f t="array" aca="1" ref="E150" ca="1">_xludf.IFNA(IF(B150="","",VLOOKUP(B150,RM!$C$4:$G983,14,FALSE)),IFERROR(MIN(IF('S-BOM'!$B$3:$B993=$B150,'S-BOM'!$H$3:$H993,"")),""))</f>
        <v>#NAME?</v>
      </c>
      <c r="F150" s="87" t="str">
        <f t="shared" si="1"/>
        <v/>
      </c>
      <c r="G150" s="87" t="str">
        <f t="shared" si="2"/>
        <v/>
      </c>
      <c r="H150" s="87"/>
      <c r="I150" s="87"/>
      <c r="J150" s="87"/>
    </row>
    <row r="151" spans="1:10">
      <c r="A151" s="2"/>
      <c r="B151" s="2"/>
      <c r="C151" s="120" t="str">
        <f>IF(B151="","",SUMIFS('A-BOM'!$D$3:$D993,'A-BOM'!$C$3:$C993,B151,'A-BOM'!$B$3:$B993,$B$2))</f>
        <v/>
      </c>
      <c r="D151" s="120" t="str">
        <f>IFERROR(IF(B151="","",VLOOKUP(B151,RM!$C$4:$F983,3,FALSE)),"")</f>
        <v/>
      </c>
      <c r="E151" s="118" t="e">
        <f t="array" aca="1" ref="E151" ca="1">_xludf.IFNA(IF(B151="","",VLOOKUP(B151,RM!$C$4:$G983,14,FALSE)),IFERROR(MIN(IF('S-BOM'!$B$3:$B993=$B151,'S-BOM'!$H$3:$H993,"")),""))</f>
        <v>#NAME?</v>
      </c>
      <c r="F151" s="87" t="str">
        <f t="shared" si="1"/>
        <v/>
      </c>
      <c r="G151" s="87" t="str">
        <f t="shared" si="2"/>
        <v/>
      </c>
      <c r="H151" s="87"/>
      <c r="I151" s="87"/>
      <c r="J151" s="87"/>
    </row>
    <row r="152" spans="1:10">
      <c r="A152" s="2"/>
      <c r="B152" s="2"/>
      <c r="C152" s="120" t="str">
        <f>IF(B152="","",SUMIFS('A-BOM'!$D$3:$D993,'A-BOM'!$C$3:$C993,B152,'A-BOM'!$B$3:$B993,$B$2))</f>
        <v/>
      </c>
      <c r="D152" s="120" t="str">
        <f>IFERROR(IF(B152="","",VLOOKUP(B152,RM!$C$4:$F983,3,FALSE)),"")</f>
        <v/>
      </c>
      <c r="E152" s="118" t="e">
        <f t="array" aca="1" ref="E152" ca="1">_xludf.IFNA(IF(B152="","",VLOOKUP(B152,RM!$C$4:$G983,14,FALSE)),IFERROR(MIN(IF('S-BOM'!$B$3:$B993=$B152,'S-BOM'!$H$3:$H993,"")),""))</f>
        <v>#NAME?</v>
      </c>
      <c r="F152" s="87" t="str">
        <f t="shared" si="1"/>
        <v/>
      </c>
      <c r="G152" s="87" t="str">
        <f t="shared" si="2"/>
        <v/>
      </c>
      <c r="H152" s="87"/>
      <c r="I152" s="87"/>
      <c r="J152" s="87"/>
    </row>
    <row r="153" spans="1:10">
      <c r="A153" s="2"/>
      <c r="B153" s="2"/>
      <c r="C153" s="120" t="str">
        <f>IF(B153="","",SUMIFS('A-BOM'!$D$3:$D993,'A-BOM'!$C$3:$C993,B153,'A-BOM'!$B$3:$B993,$B$2))</f>
        <v/>
      </c>
      <c r="D153" s="120" t="str">
        <f>IFERROR(IF(B153="","",VLOOKUP(B153,RM!$C$4:$F983,3,FALSE)),"")</f>
        <v/>
      </c>
      <c r="E153" s="118" t="e">
        <f t="array" aca="1" ref="E153" ca="1">_xludf.IFNA(IF(B153="","",VLOOKUP(B153,RM!$C$4:$G983,14,FALSE)),IFERROR(MIN(IF('S-BOM'!$B$3:$B993=$B153,'S-BOM'!$H$3:$H993,"")),""))</f>
        <v>#NAME?</v>
      </c>
      <c r="F153" s="87" t="str">
        <f t="shared" si="1"/>
        <v/>
      </c>
      <c r="G153" s="87" t="str">
        <f t="shared" si="2"/>
        <v/>
      </c>
      <c r="H153" s="87"/>
      <c r="I153" s="87"/>
      <c r="J153" s="87"/>
    </row>
    <row r="154" spans="1:10">
      <c r="A154" s="2"/>
      <c r="B154" s="2"/>
      <c r="C154" s="120" t="str">
        <f>IF(B154="","",SUMIFS('A-BOM'!$D$3:$D993,'A-BOM'!$C$3:$C993,B154,'A-BOM'!$B$3:$B993,$B$2))</f>
        <v/>
      </c>
      <c r="D154" s="120" t="str">
        <f>IFERROR(IF(B154="","",VLOOKUP(B154,RM!$C$4:$F983,3,FALSE)),"")</f>
        <v/>
      </c>
      <c r="E154" s="118" t="e">
        <f t="array" aca="1" ref="E154" ca="1">_xludf.IFNA(IF(B154="","",VLOOKUP(B154,RM!$C$4:$G983,14,FALSE)),IFERROR(MIN(IF('S-BOM'!$B$3:$B993=$B154,'S-BOM'!$H$3:$H993,"")),""))</f>
        <v>#NAME?</v>
      </c>
      <c r="F154" s="87" t="str">
        <f t="shared" si="1"/>
        <v/>
      </c>
      <c r="G154" s="87" t="str">
        <f t="shared" si="2"/>
        <v/>
      </c>
      <c r="H154" s="87"/>
      <c r="I154" s="87"/>
      <c r="J154" s="87"/>
    </row>
    <row r="155" spans="1:10">
      <c r="A155" s="2"/>
      <c r="B155" s="2"/>
      <c r="C155" s="120" t="str">
        <f>IF(B155="","",SUMIFS('A-BOM'!$D$3:$D993,'A-BOM'!$C$3:$C993,B155,'A-BOM'!$B$3:$B993,$B$2))</f>
        <v/>
      </c>
      <c r="D155" s="120" t="str">
        <f>IFERROR(IF(B155="","",VLOOKUP(B155,RM!$C$4:$F983,3,FALSE)),"")</f>
        <v/>
      </c>
      <c r="E155" s="118" t="e">
        <f t="array" aca="1" ref="E155" ca="1">_xludf.IFNA(IF(B155="","",VLOOKUP(B155,RM!$C$4:$G983,14,FALSE)),IFERROR(MIN(IF('S-BOM'!$B$3:$B993=$B155,'S-BOM'!$H$3:$H993,"")),""))</f>
        <v>#NAME?</v>
      </c>
      <c r="F155" s="87" t="str">
        <f t="shared" si="1"/>
        <v/>
      </c>
      <c r="G155" s="87" t="str">
        <f t="shared" si="2"/>
        <v/>
      </c>
      <c r="H155" s="87"/>
      <c r="I155" s="87"/>
      <c r="J155" s="87"/>
    </row>
    <row r="156" spans="1:10">
      <c r="A156" s="2"/>
      <c r="B156" s="2"/>
      <c r="C156" s="120" t="str">
        <f>IF(B156="","",SUMIFS('A-BOM'!$D$3:$D993,'A-BOM'!$C$3:$C993,B156,'A-BOM'!$B$3:$B993,$B$2))</f>
        <v/>
      </c>
      <c r="D156" s="120" t="str">
        <f>IFERROR(IF(B156="","",VLOOKUP(B156,RM!$C$4:$F983,3,FALSE)),"")</f>
        <v/>
      </c>
      <c r="E156" s="118" t="e">
        <f t="array" aca="1" ref="E156" ca="1">_xludf.IFNA(IF(B156="","",VLOOKUP(B156,RM!$C$4:$G983,14,FALSE)),IFERROR(MIN(IF('S-BOM'!$B$3:$B993=$B156,'S-BOM'!$H$3:$H993,"")),""))</f>
        <v>#NAME?</v>
      </c>
      <c r="F156" s="87" t="str">
        <f t="shared" si="1"/>
        <v/>
      </c>
      <c r="G156" s="87" t="str">
        <f t="shared" si="2"/>
        <v/>
      </c>
      <c r="H156" s="87"/>
      <c r="I156" s="87"/>
      <c r="J156" s="87"/>
    </row>
    <row r="157" spans="1:10">
      <c r="A157" s="2"/>
      <c r="B157" s="2"/>
      <c r="C157" s="120" t="str">
        <f>IF(B157="","",SUMIFS('A-BOM'!$D$3:$D993,'A-BOM'!$C$3:$C993,B157,'A-BOM'!$B$3:$B993,$B$2))</f>
        <v/>
      </c>
      <c r="D157" s="120" t="str">
        <f>IFERROR(IF(B157="","",VLOOKUP(B157,RM!$C$4:$F983,3,FALSE)),"")</f>
        <v/>
      </c>
      <c r="E157" s="118" t="e">
        <f t="array" aca="1" ref="E157" ca="1">_xludf.IFNA(IF(B157="","",VLOOKUP(B157,RM!$C$4:$G983,14,FALSE)),IFERROR(MIN(IF('S-BOM'!$B$3:$B993=$B157,'S-BOM'!$H$3:$H993,"")),""))</f>
        <v>#NAME?</v>
      </c>
      <c r="F157" s="87" t="str">
        <f t="shared" si="1"/>
        <v/>
      </c>
      <c r="G157" s="87" t="str">
        <f t="shared" si="2"/>
        <v/>
      </c>
      <c r="H157" s="87"/>
      <c r="I157" s="87"/>
      <c r="J157" s="87"/>
    </row>
    <row r="158" spans="1:10">
      <c r="A158" s="2"/>
      <c r="B158" s="2"/>
      <c r="C158" s="120" t="str">
        <f>IF(B158="","",SUMIFS('A-BOM'!$D$3:$D993,'A-BOM'!$C$3:$C993,B158,'A-BOM'!$B$3:$B993,$B$2))</f>
        <v/>
      </c>
      <c r="D158" s="120" t="str">
        <f>IFERROR(IF(B158="","",VLOOKUP(B158,RM!$C$4:$F983,3,FALSE)),"")</f>
        <v/>
      </c>
      <c r="E158" s="118" t="e">
        <f t="array" aca="1" ref="E158" ca="1">_xludf.IFNA(IF(B158="","",VLOOKUP(B158,RM!$C$4:$G983,14,FALSE)),IFERROR(MIN(IF('S-BOM'!$B$3:$B993=$B158,'S-BOM'!$H$3:$H993,"")),""))</f>
        <v>#NAME?</v>
      </c>
      <c r="F158" s="87" t="str">
        <f t="shared" si="1"/>
        <v/>
      </c>
      <c r="G158" s="87" t="str">
        <f t="shared" si="2"/>
        <v/>
      </c>
      <c r="H158" s="87"/>
      <c r="I158" s="87"/>
      <c r="J158" s="87"/>
    </row>
    <row r="159" spans="1:10">
      <c r="A159" s="2"/>
      <c r="B159" s="2"/>
      <c r="C159" s="120" t="str">
        <f>IF(B159="","",SUMIFS('A-BOM'!$D$3:$D993,'A-BOM'!$C$3:$C993,B159,'A-BOM'!$B$3:$B993,$B$2))</f>
        <v/>
      </c>
      <c r="D159" s="120" t="str">
        <f>IFERROR(IF(B159="","",VLOOKUP(B159,RM!$C$4:$F983,3,FALSE)),"")</f>
        <v/>
      </c>
      <c r="E159" s="118" t="e">
        <f t="array" aca="1" ref="E159" ca="1">_xludf.IFNA(IF(B159="","",VLOOKUP(B159,RM!$C$4:$G983,14,FALSE)),IFERROR(MIN(IF('S-BOM'!$B$3:$B993=$B159,'S-BOM'!$H$3:$H993,"")),""))</f>
        <v>#NAME?</v>
      </c>
      <c r="F159" s="87" t="str">
        <f t="shared" si="1"/>
        <v/>
      </c>
      <c r="G159" s="87" t="str">
        <f t="shared" si="2"/>
        <v/>
      </c>
      <c r="H159" s="87"/>
      <c r="I159" s="87"/>
      <c r="J159" s="87"/>
    </row>
    <row r="160" spans="1:10">
      <c r="A160" s="2"/>
      <c r="B160" s="2"/>
      <c r="C160" s="120" t="str">
        <f>IF(B160="","",SUMIFS('A-BOM'!$D$3:$D993,'A-BOM'!$C$3:$C993,B160,'A-BOM'!$B$3:$B993,$B$2))</f>
        <v/>
      </c>
      <c r="D160" s="120" t="str">
        <f>IFERROR(IF(B160="","",VLOOKUP(B160,RM!$C$4:$F983,3,FALSE)),"")</f>
        <v/>
      </c>
      <c r="E160" s="118" t="e">
        <f t="array" aca="1" ref="E160" ca="1">_xludf.IFNA(IF(B160="","",VLOOKUP(B160,RM!$C$4:$G983,14,FALSE)),IFERROR(MIN(IF('S-BOM'!$B$3:$B993=$B160,'S-BOM'!$H$3:$H993,"")),""))</f>
        <v>#NAME?</v>
      </c>
      <c r="F160" s="87" t="str">
        <f t="shared" si="1"/>
        <v/>
      </c>
      <c r="G160" s="87" t="str">
        <f t="shared" si="2"/>
        <v/>
      </c>
      <c r="H160" s="87"/>
      <c r="I160" s="87"/>
      <c r="J160" s="87"/>
    </row>
    <row r="161" spans="1:10">
      <c r="A161" s="2"/>
      <c r="B161" s="2"/>
      <c r="C161" s="120" t="str">
        <f>IF(B161="","",SUMIFS('A-BOM'!$D$3:$D993,'A-BOM'!$C$3:$C993,B161,'A-BOM'!$B$3:$B993,$B$2))</f>
        <v/>
      </c>
      <c r="D161" s="120" t="str">
        <f>IFERROR(IF(B161="","",VLOOKUP(B161,RM!$C$4:$F983,3,FALSE)),"")</f>
        <v/>
      </c>
      <c r="E161" s="118" t="e">
        <f t="array" aca="1" ref="E161" ca="1">_xludf.IFNA(IF(B161="","",VLOOKUP(B161,RM!$C$4:$G983,14,FALSE)),IFERROR(MIN(IF('S-BOM'!$B$3:$B993=$B161,'S-BOM'!$H$3:$H993,"")),""))</f>
        <v>#NAME?</v>
      </c>
      <c r="F161" s="87" t="str">
        <f t="shared" si="1"/>
        <v/>
      </c>
      <c r="G161" s="87" t="str">
        <f t="shared" si="2"/>
        <v/>
      </c>
      <c r="H161" s="87"/>
      <c r="I161" s="87"/>
      <c r="J161" s="87"/>
    </row>
    <row r="162" spans="1:10">
      <c r="A162" s="2"/>
      <c r="B162" s="2"/>
      <c r="C162" s="120" t="str">
        <f>IF(B162="","",SUMIFS('A-BOM'!$D$3:$D993,'A-BOM'!$C$3:$C993,B162,'A-BOM'!$B$3:$B993,$B$2))</f>
        <v/>
      </c>
      <c r="D162" s="120" t="str">
        <f>IFERROR(IF(B162="","",VLOOKUP(B162,RM!$C$4:$F983,3,FALSE)),"")</f>
        <v/>
      </c>
      <c r="E162" s="118" t="e">
        <f t="array" aca="1" ref="E162" ca="1">_xludf.IFNA(IF(B162="","",VLOOKUP(B162,RM!$C$4:$G983,14,FALSE)),IFERROR(MIN(IF('S-BOM'!$B$3:$B993=$B162,'S-BOM'!$H$3:$H993,"")),""))</f>
        <v>#NAME?</v>
      </c>
      <c r="F162" s="87" t="str">
        <f t="shared" si="1"/>
        <v/>
      </c>
      <c r="G162" s="87" t="str">
        <f t="shared" si="2"/>
        <v/>
      </c>
      <c r="H162" s="87"/>
      <c r="I162" s="87"/>
      <c r="J162" s="87"/>
    </row>
    <row r="163" spans="1:10">
      <c r="A163" s="2"/>
      <c r="B163" s="2"/>
      <c r="C163" s="120" t="str">
        <f>IF(B163="","",SUMIFS('A-BOM'!$D$3:$D993,'A-BOM'!$C$3:$C993,B163,'A-BOM'!$B$3:$B993,$B$2))</f>
        <v/>
      </c>
      <c r="D163" s="120" t="str">
        <f>IFERROR(IF(B163="","",VLOOKUP(B163,RM!$C$4:$F983,3,FALSE)),"")</f>
        <v/>
      </c>
      <c r="E163" s="118" t="e">
        <f t="array" aca="1" ref="E163" ca="1">_xludf.IFNA(IF(B163="","",VLOOKUP(B163,RM!$C$4:$G983,14,FALSE)),IFERROR(MIN(IF('S-BOM'!$B$3:$B993=$B163,'S-BOM'!$H$3:$H993,"")),""))</f>
        <v>#NAME?</v>
      </c>
      <c r="F163" s="87" t="str">
        <f t="shared" si="1"/>
        <v/>
      </c>
      <c r="G163" s="87" t="str">
        <f t="shared" si="2"/>
        <v/>
      </c>
      <c r="H163" s="87"/>
      <c r="I163" s="87"/>
      <c r="J163" s="87"/>
    </row>
    <row r="164" spans="1:10">
      <c r="A164" s="2"/>
      <c r="B164" s="2"/>
      <c r="C164" s="120" t="str">
        <f>IF(B164="","",SUMIFS('A-BOM'!$D$3:$D993,'A-BOM'!$C$3:$C993,B164,'A-BOM'!$B$3:$B993,$B$2))</f>
        <v/>
      </c>
      <c r="D164" s="120" t="str">
        <f>IFERROR(IF(B164="","",VLOOKUP(B164,RM!$C$4:$F983,3,FALSE)),"")</f>
        <v/>
      </c>
      <c r="E164" s="118" t="e">
        <f t="array" aca="1" ref="E164" ca="1">_xludf.IFNA(IF(B164="","",VLOOKUP(B164,RM!$C$4:$G983,14,FALSE)),IFERROR(MIN(IF('S-BOM'!$B$3:$B993=$B164,'S-BOM'!$H$3:$H993,"")),""))</f>
        <v>#NAME?</v>
      </c>
      <c r="F164" s="87" t="str">
        <f t="shared" si="1"/>
        <v/>
      </c>
      <c r="G164" s="87" t="str">
        <f t="shared" si="2"/>
        <v/>
      </c>
      <c r="H164" s="87"/>
      <c r="I164" s="87"/>
      <c r="J164" s="87"/>
    </row>
    <row r="165" spans="1:10">
      <c r="A165" s="2"/>
      <c r="B165" s="2"/>
      <c r="C165" s="120" t="str">
        <f>IF(B165="","",SUMIFS('A-BOM'!$D$3:$D993,'A-BOM'!$C$3:$C993,B165,'A-BOM'!$B$3:$B993,$B$2))</f>
        <v/>
      </c>
      <c r="D165" s="120" t="str">
        <f>IFERROR(IF(B165="","",VLOOKUP(B165,RM!$C$4:$F983,3,FALSE)),"")</f>
        <v/>
      </c>
      <c r="E165" s="118" t="e">
        <f t="array" aca="1" ref="E165" ca="1">_xludf.IFNA(IF(B165="","",VLOOKUP(B165,RM!$C$4:$G983,14,FALSE)),IFERROR(MIN(IF('S-BOM'!$B$3:$B993=$B165,'S-BOM'!$H$3:$H993,"")),""))</f>
        <v>#NAME?</v>
      </c>
      <c r="F165" s="87" t="str">
        <f t="shared" si="1"/>
        <v/>
      </c>
      <c r="G165" s="87" t="str">
        <f t="shared" si="2"/>
        <v/>
      </c>
      <c r="H165" s="87"/>
      <c r="I165" s="87"/>
      <c r="J165" s="87"/>
    </row>
    <row r="166" spans="1:10">
      <c r="A166" s="2"/>
      <c r="B166" s="2"/>
      <c r="C166" s="120" t="str">
        <f>IF(B166="","",SUMIFS('A-BOM'!$D$3:$D993,'A-BOM'!$C$3:$C993,B166,'A-BOM'!$B$3:$B993,$B$2))</f>
        <v/>
      </c>
      <c r="D166" s="120" t="str">
        <f>IFERROR(IF(B166="","",VLOOKUP(B166,RM!$C$4:$F983,3,FALSE)),"")</f>
        <v/>
      </c>
      <c r="E166" s="118" t="e">
        <f t="array" aca="1" ref="E166" ca="1">_xludf.IFNA(IF(B166="","",VLOOKUP(B166,RM!$C$4:$G983,14,FALSE)),IFERROR(MIN(IF('S-BOM'!$B$3:$B993=$B166,'S-BOM'!$H$3:$H993,"")),""))</f>
        <v>#NAME?</v>
      </c>
      <c r="F166" s="87" t="str">
        <f t="shared" si="1"/>
        <v/>
      </c>
      <c r="G166" s="87" t="str">
        <f t="shared" si="2"/>
        <v/>
      </c>
      <c r="H166" s="87"/>
      <c r="I166" s="87"/>
      <c r="J166" s="87"/>
    </row>
    <row r="167" spans="1:10">
      <c r="A167" s="2"/>
      <c r="B167" s="2"/>
      <c r="C167" s="120" t="str">
        <f>IF(B167="","",SUMIFS('A-BOM'!$D$3:$D993,'A-BOM'!$C$3:$C993,B167,'A-BOM'!$B$3:$B993,$B$2))</f>
        <v/>
      </c>
      <c r="D167" s="120" t="str">
        <f>IFERROR(IF(B167="","",VLOOKUP(B167,RM!$C$4:$F983,3,FALSE)),"")</f>
        <v/>
      </c>
      <c r="E167" s="118" t="e">
        <f t="array" aca="1" ref="E167" ca="1">_xludf.IFNA(IF(B167="","",VLOOKUP(B167,RM!$C$4:$G983,14,FALSE)),IFERROR(MIN(IF('S-BOM'!$B$3:$B993=$B167,'S-BOM'!$H$3:$H993,"")),""))</f>
        <v>#NAME?</v>
      </c>
      <c r="F167" s="87" t="str">
        <f t="shared" si="1"/>
        <v/>
      </c>
      <c r="G167" s="87" t="str">
        <f t="shared" si="2"/>
        <v/>
      </c>
      <c r="H167" s="87"/>
      <c r="I167" s="87"/>
      <c r="J167" s="87"/>
    </row>
    <row r="168" spans="1:10">
      <c r="A168" s="2"/>
      <c r="B168" s="2"/>
      <c r="C168" s="120" t="str">
        <f>IF(B168="","",SUMIFS('A-BOM'!$D$3:$D993,'A-BOM'!$C$3:$C993,B168,'A-BOM'!$B$3:$B993,$B$2))</f>
        <v/>
      </c>
      <c r="D168" s="120" t="str">
        <f>IFERROR(IF(B168="","",VLOOKUP(B168,RM!$C$4:$F983,3,FALSE)),"")</f>
        <v/>
      </c>
      <c r="E168" s="118" t="e">
        <f t="array" aca="1" ref="E168" ca="1">_xludf.IFNA(IF(B168="","",VLOOKUP(B168,RM!$C$4:$G983,14,FALSE)),IFERROR(MIN(IF('S-BOM'!$B$3:$B993=$B168,'S-BOM'!$H$3:$H993,"")),""))</f>
        <v>#NAME?</v>
      </c>
      <c r="F168" s="87" t="str">
        <f t="shared" si="1"/>
        <v/>
      </c>
      <c r="G168" s="87" t="str">
        <f t="shared" si="2"/>
        <v/>
      </c>
      <c r="H168" s="87"/>
      <c r="I168" s="87"/>
      <c r="J168" s="87"/>
    </row>
    <row r="169" spans="1:10">
      <c r="A169" s="2"/>
      <c r="B169" s="2"/>
      <c r="C169" s="120" t="str">
        <f>IF(B169="","",SUMIFS('A-BOM'!$D$3:$D993,'A-BOM'!$C$3:$C993,B169,'A-BOM'!$B$3:$B993,$B$2))</f>
        <v/>
      </c>
      <c r="D169" s="120" t="str">
        <f>IFERROR(IF(B169="","",VLOOKUP(B169,RM!$C$4:$F983,3,FALSE)),"")</f>
        <v/>
      </c>
      <c r="E169" s="118" t="e">
        <f t="array" aca="1" ref="E169" ca="1">_xludf.IFNA(IF(B169="","",VLOOKUP(B169,RM!$C$4:$G983,14,FALSE)),IFERROR(MIN(IF('S-BOM'!$B$3:$B993=$B169,'S-BOM'!$H$3:$H993,"")),""))</f>
        <v>#NAME?</v>
      </c>
      <c r="F169" s="87" t="str">
        <f t="shared" si="1"/>
        <v/>
      </c>
      <c r="G169" s="87" t="str">
        <f t="shared" si="2"/>
        <v/>
      </c>
      <c r="H169" s="87"/>
      <c r="I169" s="87"/>
      <c r="J169" s="87"/>
    </row>
    <row r="170" spans="1:10">
      <c r="A170" s="2"/>
      <c r="B170" s="2"/>
      <c r="C170" s="120" t="str">
        <f>IF(B170="","",SUMIFS('A-BOM'!$D$3:$D993,'A-BOM'!$C$3:$C993,B170,'A-BOM'!$B$3:$B993,$B$2))</f>
        <v/>
      </c>
      <c r="D170" s="120" t="str">
        <f>IFERROR(IF(B170="","",VLOOKUP(B170,RM!$C$4:$F983,3,FALSE)),"")</f>
        <v/>
      </c>
      <c r="E170" s="118" t="e">
        <f t="array" aca="1" ref="E170" ca="1">_xludf.IFNA(IF(B170="","",VLOOKUP(B170,RM!$C$4:$G983,14,FALSE)),IFERROR(MIN(IF('S-BOM'!$B$3:$B993=$B170,'S-BOM'!$H$3:$H993,"")),""))</f>
        <v>#NAME?</v>
      </c>
      <c r="F170" s="87" t="str">
        <f t="shared" si="1"/>
        <v/>
      </c>
      <c r="G170" s="87" t="str">
        <f t="shared" si="2"/>
        <v/>
      </c>
      <c r="H170" s="87"/>
      <c r="I170" s="87"/>
      <c r="J170" s="87"/>
    </row>
    <row r="171" spans="1:10">
      <c r="A171" s="2"/>
      <c r="B171" s="2"/>
      <c r="C171" s="120" t="str">
        <f>IF(B171="","",SUMIFS('A-BOM'!$D$3:$D993,'A-BOM'!$C$3:$C993,B171,'A-BOM'!$B$3:$B993,$B$2))</f>
        <v/>
      </c>
      <c r="D171" s="120" t="str">
        <f>IFERROR(IF(B171="","",VLOOKUP(B171,RM!$C$4:$F983,3,FALSE)),"")</f>
        <v/>
      </c>
      <c r="E171" s="118" t="e">
        <f t="array" aca="1" ref="E171" ca="1">_xludf.IFNA(IF(B171="","",VLOOKUP(B171,RM!$C$4:$G983,14,FALSE)),IFERROR(MIN(IF('S-BOM'!$B$3:$B993=$B171,'S-BOM'!$H$3:$H993,"")),""))</f>
        <v>#NAME?</v>
      </c>
      <c r="F171" s="87" t="str">
        <f t="shared" si="1"/>
        <v/>
      </c>
      <c r="G171" s="87" t="str">
        <f t="shared" si="2"/>
        <v/>
      </c>
      <c r="H171" s="87"/>
      <c r="I171" s="87"/>
      <c r="J171" s="87"/>
    </row>
    <row r="172" spans="1:10">
      <c r="A172" s="2"/>
      <c r="B172" s="2"/>
      <c r="C172" s="120" t="str">
        <f>IF(B172="","",SUMIFS('A-BOM'!$D$3:$D993,'A-BOM'!$C$3:$C993,B172,'A-BOM'!$B$3:$B993,$B$2))</f>
        <v/>
      </c>
      <c r="D172" s="120" t="str">
        <f>IFERROR(IF(B172="","",VLOOKUP(B172,RM!$C$4:$F983,3,FALSE)),"")</f>
        <v/>
      </c>
      <c r="E172" s="118" t="e">
        <f t="array" aca="1" ref="E172" ca="1">_xludf.IFNA(IF(B172="","",VLOOKUP(B172,RM!$C$4:$G983,14,FALSE)),IFERROR(MIN(IF('S-BOM'!$B$3:$B993=$B172,'S-BOM'!$H$3:$H993,"")),""))</f>
        <v>#NAME?</v>
      </c>
      <c r="F172" s="87" t="str">
        <f t="shared" si="1"/>
        <v/>
      </c>
      <c r="G172" s="87" t="str">
        <f t="shared" si="2"/>
        <v/>
      </c>
      <c r="H172" s="87"/>
      <c r="I172" s="87"/>
      <c r="J172" s="87"/>
    </row>
    <row r="173" spans="1:10">
      <c r="A173" s="2"/>
      <c r="B173" s="2"/>
      <c r="C173" s="120" t="str">
        <f>IF(B173="","",SUMIFS('A-BOM'!$D$3:$D993,'A-BOM'!$C$3:$C993,B173,'A-BOM'!$B$3:$B993,$B$2))</f>
        <v/>
      </c>
      <c r="D173" s="120" t="str">
        <f>IFERROR(IF(B173="","",VLOOKUP(B173,RM!$C$4:$F983,3,FALSE)),"")</f>
        <v/>
      </c>
      <c r="E173" s="118" t="e">
        <f t="array" aca="1" ref="E173" ca="1">_xludf.IFNA(IF(B173="","",VLOOKUP(B173,RM!$C$4:$G983,14,FALSE)),IFERROR(MIN(IF('S-BOM'!$B$3:$B993=$B173,'S-BOM'!$H$3:$H993,"")),""))</f>
        <v>#NAME?</v>
      </c>
      <c r="F173" s="87" t="str">
        <f t="shared" si="1"/>
        <v/>
      </c>
      <c r="G173" s="87" t="str">
        <f t="shared" si="2"/>
        <v/>
      </c>
      <c r="H173" s="87"/>
      <c r="I173" s="87"/>
      <c r="J173" s="87"/>
    </row>
    <row r="174" spans="1:10">
      <c r="A174" s="2"/>
      <c r="B174" s="2"/>
      <c r="C174" s="120" t="str">
        <f>IF(B174="","",SUMIFS('A-BOM'!$D$3:$D993,'A-BOM'!$C$3:$C993,B174,'A-BOM'!$B$3:$B993,$B$2))</f>
        <v/>
      </c>
      <c r="D174" s="120" t="str">
        <f>IFERROR(IF(B174="","",VLOOKUP(B174,RM!$C$4:$F983,3,FALSE)),"")</f>
        <v/>
      </c>
      <c r="E174" s="118" t="e">
        <f t="array" aca="1" ref="E174" ca="1">_xludf.IFNA(IF(B174="","",VLOOKUP(B174,RM!$C$4:$G983,14,FALSE)),IFERROR(MIN(IF('S-BOM'!$B$3:$B993=$B174,'S-BOM'!$H$3:$H993,"")),""))</f>
        <v>#NAME?</v>
      </c>
      <c r="F174" s="87" t="str">
        <f t="shared" si="1"/>
        <v/>
      </c>
      <c r="G174" s="87" t="str">
        <f t="shared" si="2"/>
        <v/>
      </c>
      <c r="H174" s="87"/>
      <c r="I174" s="87"/>
      <c r="J174" s="87"/>
    </row>
    <row r="175" spans="1:10">
      <c r="A175" s="2"/>
      <c r="B175" s="2"/>
      <c r="C175" s="120" t="str">
        <f>IF(B175="","",SUMIFS('A-BOM'!$D$3:$D993,'A-BOM'!$C$3:$C993,B175,'A-BOM'!$B$3:$B993,$B$2))</f>
        <v/>
      </c>
      <c r="D175" s="120" t="str">
        <f>IFERROR(IF(B175="","",VLOOKUP(B175,RM!$C$4:$F983,3,FALSE)),"")</f>
        <v/>
      </c>
      <c r="E175" s="118" t="e">
        <f t="array" aca="1" ref="E175" ca="1">_xludf.IFNA(IF(B175="","",VLOOKUP(B175,RM!$C$4:$G983,14,FALSE)),IFERROR(MIN(IF('S-BOM'!$B$3:$B993=$B175,'S-BOM'!$H$3:$H993,"")),""))</f>
        <v>#NAME?</v>
      </c>
      <c r="F175" s="87" t="str">
        <f t="shared" si="1"/>
        <v/>
      </c>
      <c r="G175" s="87" t="str">
        <f t="shared" si="2"/>
        <v/>
      </c>
      <c r="H175" s="87"/>
      <c r="I175" s="87"/>
      <c r="J175" s="87"/>
    </row>
    <row r="176" spans="1:10">
      <c r="A176" s="2"/>
      <c r="B176" s="2"/>
      <c r="C176" s="120" t="str">
        <f>IF(B176="","",SUMIFS('A-BOM'!$D$3:$D993,'A-BOM'!$C$3:$C993,B176,'A-BOM'!$B$3:$B993,$B$2))</f>
        <v/>
      </c>
      <c r="D176" s="120" t="str">
        <f>IFERROR(IF(B176="","",VLOOKUP(B176,RM!$C$4:$F983,3,FALSE)),"")</f>
        <v/>
      </c>
      <c r="E176" s="118" t="e">
        <f t="array" aca="1" ref="E176" ca="1">_xludf.IFNA(IF(B176="","",VLOOKUP(B176,RM!$C$4:$G983,14,FALSE)),IFERROR(MIN(IF('S-BOM'!$B$3:$B993=$B176,'S-BOM'!$H$3:$H993,"")),""))</f>
        <v>#NAME?</v>
      </c>
      <c r="F176" s="87" t="str">
        <f t="shared" si="1"/>
        <v/>
      </c>
      <c r="G176" s="87" t="str">
        <f t="shared" si="2"/>
        <v/>
      </c>
      <c r="H176" s="87"/>
      <c r="I176" s="87"/>
      <c r="J176" s="87"/>
    </row>
    <row r="177" spans="1:10">
      <c r="A177" s="2"/>
      <c r="B177" s="2"/>
      <c r="C177" s="120" t="str">
        <f>IF(B177="","",SUMIFS('A-BOM'!$D$3:$D993,'A-BOM'!$C$3:$C993,B177,'A-BOM'!$B$3:$B993,$B$2))</f>
        <v/>
      </c>
      <c r="D177" s="120" t="str">
        <f>IFERROR(IF(B177="","",VLOOKUP(B177,RM!$C$4:$F983,3,FALSE)),"")</f>
        <v/>
      </c>
      <c r="E177" s="118" t="e">
        <f t="array" aca="1" ref="E177" ca="1">_xludf.IFNA(IF(B177="","",VLOOKUP(B177,RM!$C$4:$G983,14,FALSE)),IFERROR(MIN(IF('S-BOM'!$B$3:$B993=$B177,'S-BOM'!$H$3:$H993,"")),""))</f>
        <v>#NAME?</v>
      </c>
      <c r="F177" s="87" t="str">
        <f t="shared" si="1"/>
        <v/>
      </c>
      <c r="G177" s="87" t="str">
        <f t="shared" si="2"/>
        <v/>
      </c>
      <c r="H177" s="87"/>
      <c r="I177" s="87"/>
      <c r="J177" s="87"/>
    </row>
    <row r="178" spans="1:10">
      <c r="A178" s="2"/>
      <c r="B178" s="2"/>
      <c r="C178" s="120" t="str">
        <f>IF(B178="","",SUMIFS('A-BOM'!$D$3:$D993,'A-BOM'!$C$3:$C993,B178,'A-BOM'!$B$3:$B993,$B$2))</f>
        <v/>
      </c>
      <c r="D178" s="120" t="str">
        <f>IFERROR(IF(B178="","",VLOOKUP(B178,RM!$C$4:$F983,3,FALSE)),"")</f>
        <v/>
      </c>
      <c r="E178" s="118" t="e">
        <f t="array" aca="1" ref="E178" ca="1">_xludf.IFNA(IF(B178="","",VLOOKUP(B178,RM!$C$4:$G983,14,FALSE)),IFERROR(MIN(IF('S-BOM'!$B$3:$B993=$B178,'S-BOM'!$H$3:$H993,"")),""))</f>
        <v>#NAME?</v>
      </c>
      <c r="F178" s="87" t="str">
        <f t="shared" si="1"/>
        <v/>
      </c>
      <c r="G178" s="87" t="str">
        <f t="shared" si="2"/>
        <v/>
      </c>
      <c r="H178" s="87"/>
      <c r="I178" s="87"/>
      <c r="J178" s="87"/>
    </row>
    <row r="179" spans="1:10">
      <c r="A179" s="2"/>
      <c r="B179" s="2"/>
      <c r="C179" s="120" t="str">
        <f>IF(B179="","",SUMIFS('A-BOM'!$D$3:$D993,'A-BOM'!$C$3:$C993,B179,'A-BOM'!$B$3:$B993,$B$2))</f>
        <v/>
      </c>
      <c r="D179" s="120" t="str">
        <f>IFERROR(IF(B179="","",VLOOKUP(B179,RM!$C$4:$F983,3,FALSE)),"")</f>
        <v/>
      </c>
      <c r="E179" s="118" t="e">
        <f t="array" aca="1" ref="E179" ca="1">_xludf.IFNA(IF(B179="","",VLOOKUP(B179,RM!$C$4:$G983,14,FALSE)),IFERROR(MIN(IF('S-BOM'!$B$3:$B993=$B179,'S-BOM'!$H$3:$H993,"")),""))</f>
        <v>#NAME?</v>
      </c>
      <c r="F179" s="87" t="str">
        <f t="shared" si="1"/>
        <v/>
      </c>
      <c r="G179" s="87" t="str">
        <f t="shared" si="2"/>
        <v/>
      </c>
      <c r="H179" s="87"/>
      <c r="I179" s="87"/>
      <c r="J179" s="87"/>
    </row>
    <row r="180" spans="1:10">
      <c r="A180" s="2"/>
      <c r="B180" s="2"/>
      <c r="C180" s="120" t="str">
        <f>IF(B180="","",SUMIFS('A-BOM'!$D$3:$D993,'A-BOM'!$C$3:$C993,B180,'A-BOM'!$B$3:$B993,$B$2))</f>
        <v/>
      </c>
      <c r="D180" s="120" t="str">
        <f>IFERROR(IF(B180="","",VLOOKUP(B180,RM!$C$4:$F983,3,FALSE)),"")</f>
        <v/>
      </c>
      <c r="E180" s="118" t="e">
        <f t="array" aca="1" ref="E180" ca="1">_xludf.IFNA(IF(B180="","",VLOOKUP(B180,RM!$C$4:$G983,14,FALSE)),IFERROR(MIN(IF('S-BOM'!$B$3:$B993=$B180,'S-BOM'!$H$3:$H993,"")),""))</f>
        <v>#NAME?</v>
      </c>
      <c r="F180" s="87" t="str">
        <f t="shared" si="1"/>
        <v/>
      </c>
      <c r="G180" s="87" t="str">
        <f t="shared" si="2"/>
        <v/>
      </c>
      <c r="H180" s="87"/>
      <c r="I180" s="87"/>
      <c r="J180" s="87"/>
    </row>
    <row r="181" spans="1:10">
      <c r="A181" s="2"/>
      <c r="B181" s="2"/>
      <c r="C181" s="120" t="str">
        <f>IF(B181="","",SUMIFS('A-BOM'!$D$3:$D993,'A-BOM'!$C$3:$C993,B181,'A-BOM'!$B$3:$B993,$B$2))</f>
        <v/>
      </c>
      <c r="D181" s="120" t="str">
        <f>IFERROR(IF(B181="","",VLOOKUP(B181,RM!$C$4:$F983,3,FALSE)),"")</f>
        <v/>
      </c>
      <c r="E181" s="118" t="e">
        <f t="array" aca="1" ref="E181" ca="1">_xludf.IFNA(IF(B181="","",VLOOKUP(B181,RM!$C$4:$G983,14,FALSE)),IFERROR(MIN(IF('S-BOM'!$B$3:$B993=$B181,'S-BOM'!$H$3:$H993,"")),""))</f>
        <v>#NAME?</v>
      </c>
      <c r="F181" s="87" t="str">
        <f t="shared" si="1"/>
        <v/>
      </c>
      <c r="G181" s="87" t="str">
        <f t="shared" si="2"/>
        <v/>
      </c>
      <c r="H181" s="87"/>
      <c r="I181" s="87"/>
      <c r="J181" s="87"/>
    </row>
    <row r="182" spans="1:10">
      <c r="A182" s="2"/>
      <c r="B182" s="2"/>
      <c r="C182" s="120" t="str">
        <f>IF(B182="","",SUMIFS('A-BOM'!$D$3:$D993,'A-BOM'!$C$3:$C993,B182,'A-BOM'!$B$3:$B993,$B$2))</f>
        <v/>
      </c>
      <c r="D182" s="120" t="str">
        <f>IFERROR(IF(B182="","",VLOOKUP(B182,RM!$C$4:$F983,3,FALSE)),"")</f>
        <v/>
      </c>
      <c r="E182" s="118" t="e">
        <f t="array" aca="1" ref="E182" ca="1">_xludf.IFNA(IF(B182="","",VLOOKUP(B182,RM!$C$4:$G983,14,FALSE)),IFERROR(MIN(IF('S-BOM'!$B$3:$B993=$B182,'S-BOM'!$H$3:$H993,"")),""))</f>
        <v>#NAME?</v>
      </c>
      <c r="F182" s="87" t="str">
        <f t="shared" si="1"/>
        <v/>
      </c>
      <c r="G182" s="87" t="str">
        <f t="shared" si="2"/>
        <v/>
      </c>
      <c r="H182" s="87"/>
      <c r="I182" s="87"/>
      <c r="J182" s="87"/>
    </row>
    <row r="183" spans="1:10">
      <c r="A183" s="2"/>
      <c r="B183" s="2"/>
      <c r="C183" s="120" t="str">
        <f>IF(B183="","",SUMIFS('A-BOM'!$D$3:$D993,'A-BOM'!$C$3:$C993,B183,'A-BOM'!$B$3:$B993,$B$2))</f>
        <v/>
      </c>
      <c r="D183" s="120" t="str">
        <f>IFERROR(IF(B183="","",VLOOKUP(B183,RM!$C$4:$F983,3,FALSE)),"")</f>
        <v/>
      </c>
      <c r="E183" s="118" t="e">
        <f t="array" aca="1" ref="E183" ca="1">_xludf.IFNA(IF(B183="","",VLOOKUP(B183,RM!$C$4:$G983,14,FALSE)),IFERROR(MIN(IF('S-BOM'!$B$3:$B993=$B183,'S-BOM'!$H$3:$H993,"")),""))</f>
        <v>#NAME?</v>
      </c>
      <c r="F183" s="87" t="str">
        <f t="shared" si="1"/>
        <v/>
      </c>
      <c r="G183" s="87" t="str">
        <f t="shared" si="2"/>
        <v/>
      </c>
      <c r="H183" s="87"/>
      <c r="I183" s="87"/>
      <c r="J183" s="87"/>
    </row>
    <row r="184" spans="1:10">
      <c r="A184" s="2"/>
      <c r="B184" s="2"/>
      <c r="C184" s="120" t="str">
        <f>IF(B184="","",SUMIFS('A-BOM'!$D$3:$D993,'A-BOM'!$C$3:$C993,B184,'A-BOM'!$B$3:$B993,$B$2))</f>
        <v/>
      </c>
      <c r="D184" s="120" t="str">
        <f>IFERROR(IF(B184="","",VLOOKUP(B184,RM!$C$4:$F983,3,FALSE)),"")</f>
        <v/>
      </c>
      <c r="E184" s="118" t="e">
        <f t="array" aca="1" ref="E184" ca="1">_xludf.IFNA(IF(B184="","",VLOOKUP(B184,RM!$C$4:$G983,14,FALSE)),IFERROR(MIN(IF('S-BOM'!$B$3:$B993=$B184,'S-BOM'!$H$3:$H993,"")),""))</f>
        <v>#NAME?</v>
      </c>
      <c r="F184" s="87" t="str">
        <f t="shared" si="1"/>
        <v/>
      </c>
      <c r="G184" s="87" t="str">
        <f t="shared" si="2"/>
        <v/>
      </c>
      <c r="H184" s="87"/>
      <c r="I184" s="87"/>
      <c r="J184" s="87"/>
    </row>
    <row r="185" spans="1:10">
      <c r="A185" s="2"/>
      <c r="B185" s="2"/>
      <c r="C185" s="120" t="str">
        <f>IF(B185="","",SUMIFS('A-BOM'!$D$3:$D993,'A-BOM'!$C$3:$C993,B185,'A-BOM'!$B$3:$B993,$B$2))</f>
        <v/>
      </c>
      <c r="D185" s="120" t="str">
        <f>IFERROR(IF(B185="","",VLOOKUP(B185,RM!$C$4:$F983,3,FALSE)),"")</f>
        <v/>
      </c>
      <c r="E185" s="118" t="e">
        <f t="array" aca="1" ref="E185" ca="1">_xludf.IFNA(IF(B185="","",VLOOKUP(B185,RM!$C$4:$G983,14,FALSE)),IFERROR(MIN(IF('S-BOM'!$B$3:$B993=$B185,'S-BOM'!$H$3:$H993,"")),""))</f>
        <v>#NAME?</v>
      </c>
      <c r="F185" s="87" t="str">
        <f t="shared" si="1"/>
        <v/>
      </c>
      <c r="G185" s="87" t="str">
        <f t="shared" si="2"/>
        <v/>
      </c>
      <c r="H185" s="87"/>
      <c r="I185" s="87"/>
      <c r="J185" s="87"/>
    </row>
    <row r="186" spans="1:10">
      <c r="A186" s="2"/>
      <c r="B186" s="2"/>
      <c r="C186" s="120" t="str">
        <f>IF(B186="","",SUMIFS('A-BOM'!$D$3:$D993,'A-BOM'!$C$3:$C993,B186,'A-BOM'!$B$3:$B993,$B$2))</f>
        <v/>
      </c>
      <c r="D186" s="120" t="str">
        <f>IFERROR(IF(B186="","",VLOOKUP(B186,RM!$C$4:$F983,3,FALSE)),"")</f>
        <v/>
      </c>
      <c r="E186" s="118" t="e">
        <f t="array" aca="1" ref="E186" ca="1">_xludf.IFNA(IF(B186="","",VLOOKUP(B186,RM!$C$4:$G983,14,FALSE)),IFERROR(MIN(IF('S-BOM'!$B$3:$B993=$B186,'S-BOM'!$H$3:$H993,"")),""))</f>
        <v>#NAME?</v>
      </c>
      <c r="F186" s="87" t="str">
        <f t="shared" si="1"/>
        <v/>
      </c>
      <c r="G186" s="87" t="str">
        <f t="shared" si="2"/>
        <v/>
      </c>
      <c r="H186" s="87"/>
      <c r="I186" s="87"/>
      <c r="J186" s="87"/>
    </row>
    <row r="187" spans="1:10">
      <c r="A187" s="2"/>
      <c r="B187" s="2"/>
      <c r="C187" s="120" t="str">
        <f>IF(B187="","",SUMIFS('A-BOM'!$D$3:$D993,'A-BOM'!$C$3:$C993,B187,'A-BOM'!$B$3:$B993,$B$2))</f>
        <v/>
      </c>
      <c r="D187" s="120" t="str">
        <f>IFERROR(IF(B187="","",VLOOKUP(B187,RM!$C$4:$F983,3,FALSE)),"")</f>
        <v/>
      </c>
      <c r="E187" s="118" t="e">
        <f t="array" aca="1" ref="E187" ca="1">_xludf.IFNA(IF(B187="","",VLOOKUP(B187,RM!$C$4:$G983,14,FALSE)),IFERROR(MIN(IF('S-BOM'!$B$3:$B993=$B187,'S-BOM'!$H$3:$H993,"")),""))</f>
        <v>#NAME?</v>
      </c>
      <c r="F187" s="87" t="str">
        <f t="shared" si="1"/>
        <v/>
      </c>
      <c r="G187" s="87" t="str">
        <f t="shared" si="2"/>
        <v/>
      </c>
      <c r="H187" s="87"/>
      <c r="I187" s="87"/>
      <c r="J187" s="87"/>
    </row>
    <row r="188" spans="1:10">
      <c r="A188" s="2"/>
      <c r="B188" s="2"/>
      <c r="C188" s="120" t="str">
        <f>IF(B188="","",SUMIFS('A-BOM'!$D$3:$D993,'A-BOM'!$C$3:$C993,B188,'A-BOM'!$B$3:$B993,$B$2))</f>
        <v/>
      </c>
      <c r="D188" s="120" t="str">
        <f>IFERROR(IF(B188="","",VLOOKUP(B188,RM!$C$4:$F983,3,FALSE)),"")</f>
        <v/>
      </c>
      <c r="E188" s="118" t="e">
        <f t="array" aca="1" ref="E188" ca="1">_xludf.IFNA(IF(B188="","",VLOOKUP(B188,RM!$C$4:$G983,14,FALSE)),IFERROR(MIN(IF('S-BOM'!$B$3:$B993=$B188,'S-BOM'!$H$3:$H993,"")),""))</f>
        <v>#NAME?</v>
      </c>
      <c r="F188" s="87" t="str">
        <f t="shared" si="1"/>
        <v/>
      </c>
      <c r="G188" s="87" t="str">
        <f t="shared" si="2"/>
        <v/>
      </c>
      <c r="H188" s="87"/>
      <c r="I188" s="87"/>
      <c r="J188" s="87"/>
    </row>
    <row r="189" spans="1:10">
      <c r="A189" s="2"/>
      <c r="B189" s="2"/>
      <c r="C189" s="120" t="str">
        <f>IF(B189="","",SUMIFS('A-BOM'!$D$3:$D993,'A-BOM'!$C$3:$C993,B189,'A-BOM'!$B$3:$B993,$B$2))</f>
        <v/>
      </c>
      <c r="D189" s="120" t="str">
        <f>IFERROR(IF(B189="","",VLOOKUP(B189,RM!$C$4:$F983,3,FALSE)),"")</f>
        <v/>
      </c>
      <c r="E189" s="118" t="e">
        <f t="array" aca="1" ref="E189" ca="1">_xludf.IFNA(IF(B189="","",VLOOKUP(B189,RM!$C$4:$G983,14,FALSE)),IFERROR(MIN(IF('S-BOM'!$B$3:$B993=$B189,'S-BOM'!$H$3:$H993,"")),""))</f>
        <v>#NAME?</v>
      </c>
      <c r="F189" s="87" t="str">
        <f t="shared" si="1"/>
        <v/>
      </c>
      <c r="G189" s="87" t="str">
        <f t="shared" si="2"/>
        <v/>
      </c>
      <c r="H189" s="87"/>
      <c r="I189" s="87"/>
      <c r="J189" s="87"/>
    </row>
    <row r="190" spans="1:10">
      <c r="A190" s="2"/>
      <c r="B190" s="2"/>
      <c r="C190" s="120" t="str">
        <f>IF(B190="","",SUMIFS('A-BOM'!$D$3:$D993,'A-BOM'!$C$3:$C993,B190,'A-BOM'!$B$3:$B993,$B$2))</f>
        <v/>
      </c>
      <c r="D190" s="120" t="str">
        <f>IFERROR(IF(B190="","",VLOOKUP(B190,RM!$C$4:$F983,3,FALSE)),"")</f>
        <v/>
      </c>
      <c r="E190" s="118" t="e">
        <f t="array" aca="1" ref="E190" ca="1">_xludf.IFNA(IF(B190="","",VLOOKUP(B190,RM!$C$4:$G983,14,FALSE)),IFERROR(MIN(IF('S-BOM'!$B$3:$B993=$B190,'S-BOM'!$H$3:$H993,"")),""))</f>
        <v>#NAME?</v>
      </c>
      <c r="F190" s="87" t="str">
        <f t="shared" si="1"/>
        <v/>
      </c>
      <c r="G190" s="87" t="str">
        <f t="shared" si="2"/>
        <v/>
      </c>
      <c r="H190" s="87"/>
      <c r="I190" s="87"/>
      <c r="J190" s="87"/>
    </row>
    <row r="191" spans="1:10">
      <c r="A191" s="2"/>
      <c r="B191" s="2"/>
      <c r="C191" s="120" t="str">
        <f>IF(B191="","",SUMIFS('A-BOM'!$D$3:$D993,'A-BOM'!$C$3:$C993,B191,'A-BOM'!$B$3:$B993,$B$2))</f>
        <v/>
      </c>
      <c r="D191" s="120" t="str">
        <f>IFERROR(IF(B191="","",VLOOKUP(B191,RM!$C$4:$F983,3,FALSE)),"")</f>
        <v/>
      </c>
      <c r="E191" s="118" t="e">
        <f t="array" aca="1" ref="E191" ca="1">_xludf.IFNA(IF(B191="","",VLOOKUP(B191,RM!$C$4:$G983,14,FALSE)),IFERROR(MIN(IF('S-BOM'!$B$3:$B993=$B191,'S-BOM'!$H$3:$H993,"")),""))</f>
        <v>#NAME?</v>
      </c>
      <c r="F191" s="87" t="str">
        <f t="shared" si="1"/>
        <v/>
      </c>
      <c r="G191" s="87" t="str">
        <f t="shared" si="2"/>
        <v/>
      </c>
      <c r="H191" s="87"/>
      <c r="I191" s="87"/>
      <c r="J191" s="87"/>
    </row>
    <row r="192" spans="1:10">
      <c r="A192" s="2"/>
      <c r="B192" s="2"/>
      <c r="C192" s="120" t="str">
        <f>IF(B192="","",SUMIFS('A-BOM'!$D$3:$D993,'A-BOM'!$C$3:$C993,B192,'A-BOM'!$B$3:$B993,$B$2))</f>
        <v/>
      </c>
      <c r="D192" s="120" t="str">
        <f>IFERROR(IF(B192="","",VLOOKUP(B192,RM!$C$4:$F983,3,FALSE)),"")</f>
        <v/>
      </c>
      <c r="E192" s="118" t="e">
        <f t="array" aca="1" ref="E192" ca="1">_xludf.IFNA(IF(B192="","",VLOOKUP(B192,RM!$C$4:$G983,14,FALSE)),IFERROR(MIN(IF('S-BOM'!$B$3:$B993=$B192,'S-BOM'!$H$3:$H993,"")),""))</f>
        <v>#NAME?</v>
      </c>
      <c r="F192" s="87" t="str">
        <f t="shared" si="1"/>
        <v/>
      </c>
      <c r="G192" s="87" t="str">
        <f t="shared" si="2"/>
        <v/>
      </c>
      <c r="H192" s="87"/>
      <c r="I192" s="87"/>
      <c r="J192" s="87"/>
    </row>
    <row r="193" spans="1:10">
      <c r="A193" s="2"/>
      <c r="B193" s="2"/>
      <c r="C193" s="120" t="str">
        <f>IF(B193="","",SUMIFS('A-BOM'!$D$3:$D993,'A-BOM'!$C$3:$C993,B193,'A-BOM'!$B$3:$B993,$B$2))</f>
        <v/>
      </c>
      <c r="D193" s="120" t="str">
        <f>IFERROR(IF(B193="","",VLOOKUP(B193,RM!$C$4:$F983,3,FALSE)),"")</f>
        <v/>
      </c>
      <c r="E193" s="118" t="e">
        <f t="array" aca="1" ref="E193" ca="1">_xludf.IFNA(IF(B193="","",VLOOKUP(B193,RM!$C$4:$G983,14,FALSE)),IFERROR(MIN(IF('S-BOM'!$B$3:$B993=$B193,'S-BOM'!$H$3:$H993,"")),""))</f>
        <v>#NAME?</v>
      </c>
      <c r="F193" s="87" t="str">
        <f t="shared" si="1"/>
        <v/>
      </c>
      <c r="G193" s="87" t="str">
        <f t="shared" si="2"/>
        <v/>
      </c>
      <c r="H193" s="87"/>
      <c r="I193" s="87"/>
      <c r="J193" s="87"/>
    </row>
    <row r="194" spans="1:10">
      <c r="A194" s="2"/>
      <c r="B194" s="2"/>
      <c r="C194" s="120" t="str">
        <f>IF(B194="","",SUMIFS('A-BOM'!$D$3:$D993,'A-BOM'!$C$3:$C993,B194,'A-BOM'!$B$3:$B993,$B$2))</f>
        <v/>
      </c>
      <c r="D194" s="120" t="str">
        <f>IFERROR(IF(B194="","",VLOOKUP(B194,RM!$C$4:$F983,3,FALSE)),"")</f>
        <v/>
      </c>
      <c r="E194" s="118" t="e">
        <f t="array" aca="1" ref="E194" ca="1">_xludf.IFNA(IF(B194="","",VLOOKUP(B194,RM!$C$4:$G983,14,FALSE)),IFERROR(MIN(IF('S-BOM'!$B$3:$B993=$B194,'S-BOM'!$H$3:$H993,"")),""))</f>
        <v>#NAME?</v>
      </c>
      <c r="F194" s="87" t="str">
        <f t="shared" si="1"/>
        <v/>
      </c>
      <c r="G194" s="87" t="str">
        <f t="shared" si="2"/>
        <v/>
      </c>
      <c r="H194" s="87"/>
      <c r="I194" s="87"/>
      <c r="J194" s="87"/>
    </row>
    <row r="195" spans="1:10">
      <c r="A195" s="2"/>
      <c r="B195" s="2"/>
      <c r="C195" s="120" t="str">
        <f>IF(B195="","",SUMIFS('A-BOM'!$D$3:$D993,'A-BOM'!$C$3:$C993,B195,'A-BOM'!$B$3:$B993,$B$2))</f>
        <v/>
      </c>
      <c r="D195" s="120" t="str">
        <f>IFERROR(IF(B195="","",VLOOKUP(B195,RM!$C$4:$F983,3,FALSE)),"")</f>
        <v/>
      </c>
      <c r="E195" s="118" t="e">
        <f t="array" aca="1" ref="E195" ca="1">_xludf.IFNA(IF(B195="","",VLOOKUP(B195,RM!$C$4:$G983,14,FALSE)),IFERROR(MIN(IF('S-BOM'!$B$3:$B993=$B195,'S-BOM'!$H$3:$H993,"")),""))</f>
        <v>#NAME?</v>
      </c>
      <c r="F195" s="87" t="str">
        <f t="shared" si="1"/>
        <v/>
      </c>
      <c r="G195" s="87" t="str">
        <f t="shared" si="2"/>
        <v/>
      </c>
      <c r="H195" s="87"/>
      <c r="I195" s="87"/>
      <c r="J195" s="87"/>
    </row>
    <row r="196" spans="1:10">
      <c r="A196" s="2"/>
      <c r="B196" s="2"/>
      <c r="C196" s="120" t="str">
        <f>IF(B196="","",SUMIFS('A-BOM'!$D$3:$D993,'A-BOM'!$C$3:$C993,B196,'A-BOM'!$B$3:$B993,$B$2))</f>
        <v/>
      </c>
      <c r="D196" s="120" t="str">
        <f>IFERROR(IF(B196="","",VLOOKUP(B196,RM!$C$4:$F983,3,FALSE)),"")</f>
        <v/>
      </c>
      <c r="E196" s="118" t="e">
        <f t="array" aca="1" ref="E196" ca="1">_xludf.IFNA(IF(B196="","",VLOOKUP(B196,RM!$C$4:$G983,14,FALSE)),IFERROR(MIN(IF('S-BOM'!$B$3:$B993=$B196,'S-BOM'!$H$3:$H993,"")),""))</f>
        <v>#NAME?</v>
      </c>
      <c r="F196" s="87" t="str">
        <f t="shared" si="1"/>
        <v/>
      </c>
      <c r="G196" s="87" t="str">
        <f t="shared" si="2"/>
        <v/>
      </c>
      <c r="H196" s="87"/>
      <c r="I196" s="87"/>
      <c r="J196" s="87"/>
    </row>
    <row r="197" spans="1:10">
      <c r="A197" s="2"/>
      <c r="B197" s="2"/>
      <c r="C197" s="120" t="str">
        <f>IF(B197="","",SUMIFS('A-BOM'!$D$3:$D993,'A-BOM'!$C$3:$C993,B197,'A-BOM'!$B$3:$B993,$B$2))</f>
        <v/>
      </c>
      <c r="D197" s="120" t="str">
        <f>IFERROR(IF(B197="","",VLOOKUP(B197,RM!$C$4:$F983,3,FALSE)),"")</f>
        <v/>
      </c>
      <c r="E197" s="118" t="e">
        <f t="array" aca="1" ref="E197" ca="1">_xludf.IFNA(IF(B197="","",VLOOKUP(B197,RM!$C$4:$G983,14,FALSE)),IFERROR(MIN(IF('S-BOM'!$B$3:$B993=$B197,'S-BOM'!$H$3:$H993,"")),""))</f>
        <v>#NAME?</v>
      </c>
      <c r="F197" s="87" t="str">
        <f t="shared" si="1"/>
        <v/>
      </c>
      <c r="G197" s="87" t="str">
        <f t="shared" si="2"/>
        <v/>
      </c>
      <c r="H197" s="87"/>
      <c r="I197" s="87"/>
      <c r="J197" s="87"/>
    </row>
    <row r="198" spans="1:10">
      <c r="A198" s="2"/>
      <c r="B198" s="2"/>
      <c r="C198" s="120" t="str">
        <f>IF(B198="","",SUMIFS('A-BOM'!$D$3:$D993,'A-BOM'!$C$3:$C993,B198,'A-BOM'!$B$3:$B993,$B$2))</f>
        <v/>
      </c>
      <c r="D198" s="120" t="str">
        <f>IFERROR(IF(B198="","",VLOOKUP(B198,RM!$C$4:$F983,3,FALSE)),"")</f>
        <v/>
      </c>
      <c r="E198" s="118" t="e">
        <f t="array" aca="1" ref="E198" ca="1">_xludf.IFNA(IF(B198="","",VLOOKUP(B198,RM!$C$4:$G983,14,FALSE)),IFERROR(MIN(IF('S-BOM'!$B$3:$B993=$B198,'S-BOM'!$H$3:$H993,"")),""))</f>
        <v>#NAME?</v>
      </c>
      <c r="F198" s="87" t="str">
        <f t="shared" si="1"/>
        <v/>
      </c>
      <c r="G198" s="87" t="str">
        <f t="shared" si="2"/>
        <v/>
      </c>
      <c r="H198" s="87"/>
      <c r="I198" s="87"/>
      <c r="J198" s="87"/>
    </row>
    <row r="199" spans="1:10">
      <c r="A199" s="2"/>
      <c r="B199" s="2"/>
      <c r="C199" s="120" t="str">
        <f>IF(B199="","",SUMIFS('A-BOM'!$D$3:$D993,'A-BOM'!$C$3:$C993,B199,'A-BOM'!$B$3:$B993,$B$2))</f>
        <v/>
      </c>
      <c r="D199" s="120" t="str">
        <f>IFERROR(IF(B199="","",VLOOKUP(B199,RM!$C$4:$F983,3,FALSE)),"")</f>
        <v/>
      </c>
      <c r="E199" s="118" t="e">
        <f t="array" aca="1" ref="E199" ca="1">_xludf.IFNA(IF(B199="","",VLOOKUP(B199,RM!$C$4:$G983,14,FALSE)),IFERROR(MIN(IF('S-BOM'!$B$3:$B993=$B199,'S-BOM'!$H$3:$H993,"")),""))</f>
        <v>#NAME?</v>
      </c>
      <c r="F199" s="87" t="str">
        <f t="shared" si="1"/>
        <v/>
      </c>
      <c r="G199" s="87" t="str">
        <f t="shared" si="2"/>
        <v/>
      </c>
      <c r="H199" s="87"/>
      <c r="I199" s="87"/>
      <c r="J199" s="87"/>
    </row>
    <row r="200" spans="1:10">
      <c r="A200" s="2"/>
      <c r="B200" s="2"/>
      <c r="C200" s="120" t="str">
        <f>IF(B200="","",SUMIFS('A-BOM'!$D$3:$D993,'A-BOM'!$C$3:$C993,B200,'A-BOM'!$B$3:$B993,$B$2))</f>
        <v/>
      </c>
      <c r="D200" s="120" t="str">
        <f>IFERROR(IF(B200="","",VLOOKUP(B200,RM!$C$4:$F983,3,FALSE)),"")</f>
        <v/>
      </c>
      <c r="E200" s="118" t="e">
        <f t="array" aca="1" ref="E200" ca="1">_xludf.IFNA(IF(B200="","",VLOOKUP(B200,RM!$C$4:$G983,14,FALSE)),IFERROR(MIN(IF('S-BOM'!$B$3:$B993=$B200,'S-BOM'!$H$3:$H993,"")),""))</f>
        <v>#NAME?</v>
      </c>
      <c r="F200" s="87" t="str">
        <f t="shared" si="1"/>
        <v/>
      </c>
      <c r="G200" s="87" t="str">
        <f t="shared" si="2"/>
        <v/>
      </c>
      <c r="H200" s="87"/>
      <c r="I200" s="87"/>
      <c r="J200" s="87"/>
    </row>
    <row r="201" spans="1:10">
      <c r="A201" s="2"/>
      <c r="B201" s="2"/>
      <c r="C201" s="120" t="str">
        <f>IF(B201="","",SUMIFS('A-BOM'!$D$3:$D993,'A-BOM'!$C$3:$C993,B201,'A-BOM'!$B$3:$B993,$B$2))</f>
        <v/>
      </c>
      <c r="D201" s="120" t="str">
        <f>IFERROR(IF(B201="","",VLOOKUP(B201,RM!$C$4:$F983,3,FALSE)),"")</f>
        <v/>
      </c>
      <c r="E201" s="118" t="e">
        <f t="array" aca="1" ref="E201" ca="1">_xludf.IFNA(IF(B201="","",VLOOKUP(B201,RM!$C$4:$G983,14,FALSE)),IFERROR(MIN(IF('S-BOM'!$B$3:$B993=$B201,'S-BOM'!$H$3:$H993,"")),""))</f>
        <v>#NAME?</v>
      </c>
      <c r="F201" s="87" t="str">
        <f t="shared" si="1"/>
        <v/>
      </c>
      <c r="G201" s="87" t="str">
        <f t="shared" si="2"/>
        <v/>
      </c>
      <c r="H201" s="87"/>
      <c r="I201" s="87"/>
      <c r="J201" s="87"/>
    </row>
    <row r="202" spans="1:10">
      <c r="A202" s="2"/>
      <c r="B202" s="2"/>
      <c r="C202" s="120" t="str">
        <f>IF(B202="","",SUMIFS('A-BOM'!$D$3:$D993,'A-BOM'!$C$3:$C993,B202,'A-BOM'!$B$3:$B993,$B$2))</f>
        <v/>
      </c>
      <c r="D202" s="120" t="str">
        <f>IFERROR(IF(B202="","",VLOOKUP(B202,RM!$C$4:$F983,3,FALSE)),"")</f>
        <v/>
      </c>
      <c r="E202" s="118" t="e">
        <f t="array" aca="1" ref="E202" ca="1">_xludf.IFNA(IF(B202="","",VLOOKUP(B202,RM!$C$4:$G983,14,FALSE)),IFERROR(MIN(IF('S-BOM'!$B$3:$B993=$B202,'S-BOM'!$H$3:$H993,"")),""))</f>
        <v>#NAME?</v>
      </c>
      <c r="F202" s="87" t="str">
        <f t="shared" si="1"/>
        <v/>
      </c>
      <c r="G202" s="87" t="str">
        <f t="shared" si="2"/>
        <v/>
      </c>
      <c r="H202" s="87"/>
      <c r="I202" s="87"/>
      <c r="J202" s="87"/>
    </row>
    <row r="203" spans="1:10">
      <c r="A203" s="2"/>
      <c r="B203" s="2"/>
      <c r="C203" s="120" t="str">
        <f>IF(B203="","",SUMIFS('A-BOM'!$D$3:$D993,'A-BOM'!$C$3:$C993,B203,'A-BOM'!$B$3:$B993,$B$2))</f>
        <v/>
      </c>
      <c r="D203" s="120" t="str">
        <f>IFERROR(IF(B203="","",VLOOKUP(B203,RM!$C$4:$F983,3,FALSE)),"")</f>
        <v/>
      </c>
      <c r="E203" s="118" t="e">
        <f t="array" aca="1" ref="E203" ca="1">_xludf.IFNA(IF(B203="","",VLOOKUP(B203,RM!$C$4:$G983,14,FALSE)),IFERROR(MIN(IF('S-BOM'!$B$3:$B993=$B203,'S-BOM'!$H$3:$H993,"")),""))</f>
        <v>#NAME?</v>
      </c>
      <c r="F203" s="87" t="str">
        <f t="shared" si="1"/>
        <v/>
      </c>
      <c r="G203" s="87" t="str">
        <f t="shared" si="2"/>
        <v/>
      </c>
      <c r="H203" s="87"/>
      <c r="I203" s="87"/>
      <c r="J203" s="87"/>
    </row>
    <row r="204" spans="1:10">
      <c r="A204" s="2"/>
      <c r="B204" s="2"/>
      <c r="C204" s="120" t="str">
        <f>IF(B204="","",SUMIFS('A-BOM'!$D$3:$D993,'A-BOM'!$C$3:$C993,B204,'A-BOM'!$B$3:$B993,$B$2))</f>
        <v/>
      </c>
      <c r="D204" s="120" t="str">
        <f>IFERROR(IF(B204="","",VLOOKUP(B204,RM!$C$4:$F983,3,FALSE)),"")</f>
        <v/>
      </c>
      <c r="E204" s="118" t="e">
        <f t="array" aca="1" ref="E204" ca="1">_xludf.IFNA(IF(B204="","",VLOOKUP(B204,RM!$C$4:$G983,14,FALSE)),IFERROR(MIN(IF('S-BOM'!$B$3:$B993=$B204,'S-BOM'!$H$3:$H993,"")),""))</f>
        <v>#NAME?</v>
      </c>
      <c r="F204" s="87" t="str">
        <f t="shared" si="1"/>
        <v/>
      </c>
      <c r="G204" s="87" t="str">
        <f t="shared" si="2"/>
        <v/>
      </c>
      <c r="H204" s="87"/>
      <c r="I204" s="87"/>
      <c r="J204" s="87"/>
    </row>
    <row r="205" spans="1:10">
      <c r="A205" s="2"/>
      <c r="B205" s="2"/>
      <c r="C205" s="120" t="str">
        <f>IF(B205="","",SUMIFS('A-BOM'!$D$3:$D993,'A-BOM'!$C$3:$C993,B205,'A-BOM'!$B$3:$B993,$B$2))</f>
        <v/>
      </c>
      <c r="D205" s="120" t="str">
        <f>IFERROR(IF(B205="","",VLOOKUP(B205,RM!$C$4:$F983,3,FALSE)),"")</f>
        <v/>
      </c>
      <c r="E205" s="118" t="e">
        <f t="array" aca="1" ref="E205" ca="1">_xludf.IFNA(IF(B205="","",VLOOKUP(B205,RM!$C$4:$G983,14,FALSE)),IFERROR(MIN(IF('S-BOM'!$B$3:$B993=$B205,'S-BOM'!$H$3:$H993,"")),""))</f>
        <v>#NAME?</v>
      </c>
      <c r="F205" s="87" t="str">
        <f t="shared" si="1"/>
        <v/>
      </c>
      <c r="G205" s="87" t="str">
        <f t="shared" si="2"/>
        <v/>
      </c>
      <c r="H205" s="87"/>
      <c r="I205" s="87"/>
      <c r="J205" s="87"/>
    </row>
    <row r="206" spans="1:10">
      <c r="A206" s="2"/>
      <c r="B206" s="2"/>
      <c r="C206" s="120" t="str">
        <f>IF(B206="","",SUMIFS('A-BOM'!$D$3:$D993,'A-BOM'!$C$3:$C993,B206,'A-BOM'!$B$3:$B993,$B$2))</f>
        <v/>
      </c>
      <c r="D206" s="120" t="str">
        <f>IFERROR(IF(B206="","",VLOOKUP(B206,RM!$C$4:$F983,3,FALSE)),"")</f>
        <v/>
      </c>
      <c r="E206" s="118" t="e">
        <f t="array" aca="1" ref="E206" ca="1">_xludf.IFNA(IF(B206="","",VLOOKUP(B206,RM!$C$4:$G983,14,FALSE)),IFERROR(MIN(IF('S-BOM'!$B$3:$B993=$B206,'S-BOM'!$H$3:$H993,"")),""))</f>
        <v>#NAME?</v>
      </c>
      <c r="F206" s="87" t="str">
        <f t="shared" si="1"/>
        <v/>
      </c>
      <c r="G206" s="87" t="str">
        <f t="shared" si="2"/>
        <v/>
      </c>
      <c r="H206" s="87"/>
      <c r="I206" s="87"/>
      <c r="J206" s="87"/>
    </row>
    <row r="207" spans="1:10">
      <c r="A207" s="2"/>
      <c r="B207" s="2"/>
      <c r="C207" s="120" t="str">
        <f>IF(B207="","",SUMIFS('A-BOM'!$D$3:$D993,'A-BOM'!$C$3:$C993,B207,'A-BOM'!$B$3:$B993,$B$2))</f>
        <v/>
      </c>
      <c r="D207" s="120" t="str">
        <f>IFERROR(IF(B207="","",VLOOKUP(B207,RM!$C$4:$F983,3,FALSE)),"")</f>
        <v/>
      </c>
      <c r="E207" s="118" t="e">
        <f t="array" aca="1" ref="E207" ca="1">_xludf.IFNA(IF(B207="","",VLOOKUP(B207,RM!$C$4:$G983,14,FALSE)),IFERROR(MIN(IF('S-BOM'!$B$3:$B993=$B207,'S-BOM'!$H$3:$H993,"")),""))</f>
        <v>#NAME?</v>
      </c>
      <c r="F207" s="87" t="str">
        <f t="shared" si="1"/>
        <v/>
      </c>
      <c r="G207" s="87" t="str">
        <f t="shared" si="2"/>
        <v/>
      </c>
      <c r="H207" s="87"/>
      <c r="I207" s="87"/>
      <c r="J207" s="87"/>
    </row>
    <row r="208" spans="1:10">
      <c r="A208" s="2"/>
      <c r="B208" s="2"/>
      <c r="C208" s="120" t="str">
        <f>IF(B208="","",SUMIFS('A-BOM'!$D$3:$D993,'A-BOM'!$C$3:$C993,B208,'A-BOM'!$B$3:$B993,$B$2))</f>
        <v/>
      </c>
      <c r="D208" s="120" t="str">
        <f>IFERROR(IF(B208="","",VLOOKUP(B208,RM!$C$4:$F983,3,FALSE)),"")</f>
        <v/>
      </c>
      <c r="E208" s="118" t="e">
        <f t="array" aca="1" ref="E208" ca="1">_xludf.IFNA(IF(B208="","",VLOOKUP(B208,RM!$C$4:$G983,14,FALSE)),IFERROR(MIN(IF('S-BOM'!$B$3:$B993=$B208,'S-BOM'!$H$3:$H993,"")),""))</f>
        <v>#NAME?</v>
      </c>
      <c r="F208" s="87" t="str">
        <f t="shared" si="1"/>
        <v/>
      </c>
      <c r="G208" s="87" t="str">
        <f t="shared" si="2"/>
        <v/>
      </c>
      <c r="H208" s="87"/>
      <c r="I208" s="87"/>
      <c r="J208" s="87"/>
    </row>
    <row r="209" spans="1:10">
      <c r="A209" s="2"/>
      <c r="B209" s="2"/>
      <c r="C209" s="120" t="str">
        <f>IF(B209="","",SUMIFS('A-BOM'!$D$3:$D993,'A-BOM'!$C$3:$C993,B209,'A-BOM'!$B$3:$B993,$B$2))</f>
        <v/>
      </c>
      <c r="D209" s="120" t="str">
        <f>IFERROR(IF(B209="","",VLOOKUP(B209,RM!$C$4:$F983,3,FALSE)),"")</f>
        <v/>
      </c>
      <c r="E209" s="118" t="e">
        <f t="array" aca="1" ref="E209" ca="1">_xludf.IFNA(IF(B209="","",VLOOKUP(B209,RM!$C$4:$G983,14,FALSE)),IFERROR(MIN(IF('S-BOM'!$B$3:$B993=$B209,'S-BOM'!$H$3:$H993,"")),""))</f>
        <v>#NAME?</v>
      </c>
      <c r="F209" s="87" t="str">
        <f t="shared" si="1"/>
        <v/>
      </c>
      <c r="G209" s="87" t="str">
        <f t="shared" si="2"/>
        <v/>
      </c>
      <c r="H209" s="87"/>
      <c r="I209" s="87"/>
      <c r="J209" s="87"/>
    </row>
    <row r="210" spans="1:10">
      <c r="A210" s="2"/>
      <c r="B210" s="2"/>
      <c r="C210" s="120" t="str">
        <f>IF(B210="","",SUMIFS('A-BOM'!$D$3:$D993,'A-BOM'!$C$3:$C993,B210,'A-BOM'!$B$3:$B993,$B$2))</f>
        <v/>
      </c>
      <c r="D210" s="120" t="str">
        <f>IFERROR(IF(B210="","",VLOOKUP(B210,RM!$C$4:$F983,3,FALSE)),"")</f>
        <v/>
      </c>
      <c r="E210" s="118" t="e">
        <f t="array" aca="1" ref="E210" ca="1">_xludf.IFNA(IF(B210="","",VLOOKUP(B210,RM!$C$4:$G983,14,FALSE)),IFERROR(MIN(IF('S-BOM'!$B$3:$B993=$B210,'S-BOM'!$H$3:$H993,"")),""))</f>
        <v>#NAME?</v>
      </c>
      <c r="F210" s="87" t="str">
        <f t="shared" si="1"/>
        <v/>
      </c>
      <c r="G210" s="87" t="str">
        <f t="shared" si="2"/>
        <v/>
      </c>
      <c r="H210" s="87"/>
      <c r="I210" s="87"/>
      <c r="J210" s="87"/>
    </row>
    <row r="211" spans="1:10">
      <c r="A211" s="2"/>
      <c r="B211" s="2"/>
      <c r="C211" s="120" t="str">
        <f>IF(B211="","",SUMIFS('A-BOM'!$D$3:$D993,'A-BOM'!$C$3:$C993,B211,'A-BOM'!$B$3:$B993,$B$2))</f>
        <v/>
      </c>
      <c r="D211" s="120" t="str">
        <f>IFERROR(IF(B211="","",VLOOKUP(B211,RM!$C$4:$F983,3,FALSE)),"")</f>
        <v/>
      </c>
      <c r="E211" s="118" t="e">
        <f t="array" aca="1" ref="E211" ca="1">_xludf.IFNA(IF(B211="","",VLOOKUP(B211,RM!$C$4:$G983,14,FALSE)),IFERROR(MIN(IF('S-BOM'!$B$3:$B993=$B211,'S-BOM'!$H$3:$H993,"")),""))</f>
        <v>#NAME?</v>
      </c>
      <c r="F211" s="87" t="str">
        <f t="shared" si="1"/>
        <v/>
      </c>
      <c r="G211" s="87" t="str">
        <f t="shared" si="2"/>
        <v/>
      </c>
      <c r="H211" s="87"/>
      <c r="I211" s="87"/>
      <c r="J211" s="87"/>
    </row>
    <row r="212" spans="1:10">
      <c r="A212" s="2"/>
      <c r="B212" s="2"/>
      <c r="C212" s="120" t="str">
        <f>IF(B212="","",SUMIFS('A-BOM'!$D$3:$D993,'A-BOM'!$C$3:$C993,B212,'A-BOM'!$B$3:$B993,$B$2))</f>
        <v/>
      </c>
      <c r="D212" s="120" t="str">
        <f>IFERROR(IF(B212="","",VLOOKUP(B212,RM!$C$4:$F983,3,FALSE)),"")</f>
        <v/>
      </c>
      <c r="E212" s="118" t="e">
        <f t="array" aca="1" ref="E212" ca="1">_xludf.IFNA(IF(B212="","",VLOOKUP(B212,RM!$C$4:$G983,14,FALSE)),IFERROR(MIN(IF('S-BOM'!$B$3:$B993=$B212,'S-BOM'!$H$3:$H993,"")),""))</f>
        <v>#NAME?</v>
      </c>
      <c r="F212" s="87" t="str">
        <f t="shared" si="1"/>
        <v/>
      </c>
      <c r="G212" s="87" t="str">
        <f t="shared" si="2"/>
        <v/>
      </c>
      <c r="H212" s="87"/>
      <c r="I212" s="87"/>
      <c r="J212" s="87"/>
    </row>
    <row r="213" spans="1:10">
      <c r="A213" s="2"/>
      <c r="B213" s="2"/>
      <c r="C213" s="120" t="str">
        <f>IF(B213="","",SUMIFS('A-BOM'!$D$3:$D993,'A-BOM'!$C$3:$C993,B213,'A-BOM'!$B$3:$B993,$B$2))</f>
        <v/>
      </c>
      <c r="D213" s="120" t="str">
        <f>IFERROR(IF(B213="","",VLOOKUP(B213,RM!$C$4:$F983,3,FALSE)),"")</f>
        <v/>
      </c>
      <c r="E213" s="118" t="e">
        <f t="array" aca="1" ref="E213" ca="1">_xludf.IFNA(IF(B213="","",VLOOKUP(B213,RM!$C$4:$G983,14,FALSE)),IFERROR(MIN(IF('S-BOM'!$B$3:$B993=$B213,'S-BOM'!$H$3:$H993,"")),""))</f>
        <v>#NAME?</v>
      </c>
      <c r="F213" s="87" t="str">
        <f t="shared" si="1"/>
        <v/>
      </c>
      <c r="G213" s="87" t="str">
        <f t="shared" si="2"/>
        <v/>
      </c>
      <c r="H213" s="87"/>
      <c r="I213" s="87"/>
      <c r="J213" s="87"/>
    </row>
    <row r="214" spans="1:10">
      <c r="A214" s="2"/>
      <c r="B214" s="2"/>
      <c r="C214" s="120" t="str">
        <f>IF(B214="","",SUMIFS('A-BOM'!$D$3:$D993,'A-BOM'!$C$3:$C993,B214,'A-BOM'!$B$3:$B993,$B$2))</f>
        <v/>
      </c>
      <c r="D214" s="120" t="str">
        <f>IFERROR(IF(B214="","",VLOOKUP(B214,RM!$C$4:$F983,3,FALSE)),"")</f>
        <v/>
      </c>
      <c r="E214" s="118" t="e">
        <f t="array" aca="1" ref="E214" ca="1">_xludf.IFNA(IF(B214="","",VLOOKUP(B214,RM!$C$4:$G983,14,FALSE)),IFERROR(MIN(IF('S-BOM'!$B$3:$B993=$B214,'S-BOM'!$H$3:$H993,"")),""))</f>
        <v>#NAME?</v>
      </c>
      <c r="F214" s="87" t="str">
        <f t="shared" si="1"/>
        <v/>
      </c>
      <c r="G214" s="87" t="str">
        <f t="shared" si="2"/>
        <v/>
      </c>
      <c r="H214" s="87"/>
      <c r="I214" s="87"/>
      <c r="J214" s="87"/>
    </row>
    <row r="215" spans="1:10">
      <c r="A215" s="2"/>
      <c r="B215" s="2"/>
      <c r="C215" s="120" t="str">
        <f>IF(B215="","",SUMIFS('A-BOM'!$D$3:$D993,'A-BOM'!$C$3:$C993,B215,'A-BOM'!$B$3:$B993,$B$2))</f>
        <v/>
      </c>
      <c r="D215" s="120" t="str">
        <f>IFERROR(IF(B215="","",VLOOKUP(B215,RM!$C$4:$F983,3,FALSE)),"")</f>
        <v/>
      </c>
      <c r="E215" s="118" t="e">
        <f t="array" aca="1" ref="E215" ca="1">_xludf.IFNA(IF(B215="","",VLOOKUP(B215,RM!$C$4:$G983,14,FALSE)),IFERROR(MIN(IF('S-BOM'!$B$3:$B993=$B215,'S-BOM'!$H$3:$H993,"")),""))</f>
        <v>#NAME?</v>
      </c>
      <c r="F215" s="87" t="str">
        <f t="shared" si="1"/>
        <v/>
      </c>
      <c r="G215" s="87" t="str">
        <f t="shared" si="2"/>
        <v/>
      </c>
      <c r="H215" s="87"/>
      <c r="I215" s="87"/>
      <c r="J215" s="87"/>
    </row>
    <row r="216" spans="1:10">
      <c r="A216" s="2"/>
      <c r="B216" s="2"/>
      <c r="C216" s="120" t="str">
        <f>IF(B216="","",SUMIFS('A-BOM'!$D$3:$D993,'A-BOM'!$C$3:$C993,B216,'A-BOM'!$B$3:$B993,$B$2))</f>
        <v/>
      </c>
      <c r="D216" s="120" t="str">
        <f>IFERROR(IF(B216="","",VLOOKUP(B216,RM!$C$4:$F983,3,FALSE)),"")</f>
        <v/>
      </c>
      <c r="E216" s="118" t="e">
        <f t="array" aca="1" ref="E216" ca="1">_xludf.IFNA(IF(B216="","",VLOOKUP(B216,RM!$C$4:$G983,14,FALSE)),IFERROR(MIN(IF('S-BOM'!$B$3:$B993=$B216,'S-BOM'!$H$3:$H993,"")),""))</f>
        <v>#NAME?</v>
      </c>
      <c r="F216" s="87" t="str">
        <f t="shared" si="1"/>
        <v/>
      </c>
      <c r="G216" s="87" t="str">
        <f t="shared" si="2"/>
        <v/>
      </c>
      <c r="H216" s="87"/>
      <c r="I216" s="87"/>
      <c r="J216" s="87"/>
    </row>
    <row r="217" spans="1:10">
      <c r="A217" s="2"/>
      <c r="B217" s="2"/>
      <c r="C217" s="120" t="str">
        <f>IF(B217="","",SUMIFS('A-BOM'!$D$3:$D993,'A-BOM'!$C$3:$C993,B217,'A-BOM'!$B$3:$B993,$B$2))</f>
        <v/>
      </c>
      <c r="D217" s="120" t="str">
        <f>IFERROR(IF(B217="","",VLOOKUP(B217,RM!$C$4:$F983,3,FALSE)),"")</f>
        <v/>
      </c>
      <c r="E217" s="118" t="e">
        <f t="array" aca="1" ref="E217" ca="1">_xludf.IFNA(IF(B217="","",VLOOKUP(B217,RM!$C$4:$G983,14,FALSE)),IFERROR(MIN(IF('S-BOM'!$B$3:$B993=$B217,'S-BOM'!$H$3:$H993,"")),""))</f>
        <v>#NAME?</v>
      </c>
      <c r="F217" s="87" t="str">
        <f t="shared" si="1"/>
        <v/>
      </c>
      <c r="G217" s="87" t="str">
        <f t="shared" si="2"/>
        <v/>
      </c>
      <c r="H217" s="87"/>
      <c r="I217" s="87"/>
      <c r="J217" s="87"/>
    </row>
    <row r="218" spans="1:10">
      <c r="A218" s="2"/>
      <c r="B218" s="2"/>
      <c r="C218" s="120" t="str">
        <f>IF(B218="","",SUMIFS('A-BOM'!$D$3:$D993,'A-BOM'!$C$3:$C993,B218,'A-BOM'!$B$3:$B993,$B$2))</f>
        <v/>
      </c>
      <c r="D218" s="120" t="str">
        <f>IFERROR(IF(B218="","",VLOOKUP(B218,RM!$C$4:$F983,3,FALSE)),"")</f>
        <v/>
      </c>
      <c r="E218" s="118" t="e">
        <f t="array" aca="1" ref="E218" ca="1">_xludf.IFNA(IF(B218="","",VLOOKUP(B218,RM!$C$4:$G983,14,FALSE)),IFERROR(MIN(IF('S-BOM'!$B$3:$B993=$B218,'S-BOM'!$H$3:$H993,"")),""))</f>
        <v>#NAME?</v>
      </c>
      <c r="F218" s="87" t="str">
        <f t="shared" si="1"/>
        <v/>
      </c>
      <c r="G218" s="87" t="str">
        <f t="shared" si="2"/>
        <v/>
      </c>
      <c r="H218" s="87"/>
      <c r="I218" s="87"/>
      <c r="J218" s="87"/>
    </row>
    <row r="219" spans="1:10">
      <c r="A219" s="2"/>
      <c r="B219" s="2"/>
      <c r="C219" s="120" t="str">
        <f>IF(B219="","",SUMIFS('A-BOM'!$D$3:$D993,'A-BOM'!$C$3:$C993,B219,'A-BOM'!$B$3:$B993,$B$2))</f>
        <v/>
      </c>
      <c r="D219" s="120" t="str">
        <f>IFERROR(IF(B219="","",VLOOKUP(B219,RM!$C$4:$F983,3,FALSE)),"")</f>
        <v/>
      </c>
      <c r="E219" s="118" t="e">
        <f t="array" aca="1" ref="E219" ca="1">_xludf.IFNA(IF(B219="","",VLOOKUP(B219,RM!$C$4:$G983,14,FALSE)),IFERROR(MIN(IF('S-BOM'!$B$3:$B993=$B219,'S-BOM'!$H$3:$H993,"")),""))</f>
        <v>#NAME?</v>
      </c>
      <c r="F219" s="87" t="str">
        <f t="shared" si="1"/>
        <v/>
      </c>
      <c r="G219" s="87" t="str">
        <f t="shared" si="2"/>
        <v/>
      </c>
      <c r="H219" s="87"/>
      <c r="I219" s="87"/>
      <c r="J219" s="87"/>
    </row>
    <row r="220" spans="1:10">
      <c r="A220" s="2"/>
      <c r="B220" s="2"/>
      <c r="C220" s="120" t="str">
        <f>IF(B220="","",SUMIFS('A-BOM'!$D$3:$D993,'A-BOM'!$C$3:$C993,B220,'A-BOM'!$B$3:$B993,$B$2))</f>
        <v/>
      </c>
      <c r="D220" s="120" t="str">
        <f>IFERROR(IF(B220="","",VLOOKUP(B220,RM!$C$4:$F983,3,FALSE)),"")</f>
        <v/>
      </c>
      <c r="E220" s="118" t="e">
        <f t="array" aca="1" ref="E220" ca="1">_xludf.IFNA(IF(B220="","",VLOOKUP(B220,RM!$C$4:$G983,14,FALSE)),IFERROR(MIN(IF('S-BOM'!$B$3:$B993=$B220,'S-BOM'!$H$3:$H993,"")),""))</f>
        <v>#NAME?</v>
      </c>
      <c r="F220" s="87" t="str">
        <f t="shared" si="1"/>
        <v/>
      </c>
      <c r="G220" s="87" t="str">
        <f t="shared" si="2"/>
        <v/>
      </c>
      <c r="H220" s="87"/>
      <c r="I220" s="87"/>
      <c r="J220" s="87"/>
    </row>
    <row r="221" spans="1:10">
      <c r="A221" s="2"/>
      <c r="B221" s="2"/>
      <c r="C221" s="120" t="str">
        <f>IF(B221="","",SUMIFS('A-BOM'!$D$3:$D993,'A-BOM'!$C$3:$C993,B221,'A-BOM'!$B$3:$B993,$B$2))</f>
        <v/>
      </c>
      <c r="D221" s="120" t="str">
        <f>IFERROR(IF(B221="","",VLOOKUP(B221,RM!$C$4:$F983,3,FALSE)),"")</f>
        <v/>
      </c>
      <c r="E221" s="118" t="e">
        <f t="array" aca="1" ref="E221" ca="1">_xludf.IFNA(IF(B221="","",VLOOKUP(B221,RM!$C$4:$G983,14,FALSE)),IFERROR(MIN(IF('S-BOM'!$B$3:$B993=$B221,'S-BOM'!$H$3:$H993,"")),""))</f>
        <v>#NAME?</v>
      </c>
      <c r="F221" s="87" t="str">
        <f t="shared" si="1"/>
        <v/>
      </c>
      <c r="G221" s="87" t="str">
        <f t="shared" si="2"/>
        <v/>
      </c>
      <c r="H221" s="87"/>
      <c r="I221" s="87"/>
      <c r="J221" s="87"/>
    </row>
    <row r="222" spans="1:10">
      <c r="A222" s="2"/>
      <c r="B222" s="2"/>
      <c r="C222" s="120" t="str">
        <f>IF(B222="","",SUMIFS('A-BOM'!$D$3:$D993,'A-BOM'!$C$3:$C993,B222,'A-BOM'!$B$3:$B993,$B$2))</f>
        <v/>
      </c>
      <c r="D222" s="120" t="str">
        <f>IFERROR(IF(B222="","",VLOOKUP(B222,RM!$C$4:$F983,3,FALSE)),"")</f>
        <v/>
      </c>
      <c r="E222" s="118" t="e">
        <f t="array" aca="1" ref="E222" ca="1">_xludf.IFNA(IF(B222="","",VLOOKUP(B222,RM!$C$4:$G983,14,FALSE)),IFERROR(MIN(IF('S-BOM'!$B$3:$B993=$B222,'S-BOM'!$H$3:$H993,"")),""))</f>
        <v>#NAME?</v>
      </c>
      <c r="F222" s="87" t="str">
        <f t="shared" si="1"/>
        <v/>
      </c>
      <c r="G222" s="87" t="str">
        <f t="shared" si="2"/>
        <v/>
      </c>
      <c r="H222" s="87"/>
      <c r="I222" s="87"/>
      <c r="J222" s="87"/>
    </row>
    <row r="223" spans="1:10">
      <c r="A223" s="2"/>
      <c r="B223" s="2"/>
      <c r="C223" s="120" t="str">
        <f>IF(B223="","",SUMIFS('A-BOM'!$D$3:$D993,'A-BOM'!$C$3:$C993,B223,'A-BOM'!$B$3:$B993,$B$2))</f>
        <v/>
      </c>
      <c r="D223" s="120" t="str">
        <f>IFERROR(IF(B223="","",VLOOKUP(B223,RM!$C$4:$F983,3,FALSE)),"")</f>
        <v/>
      </c>
      <c r="E223" s="118" t="e">
        <f t="array" aca="1" ref="E223" ca="1">_xludf.IFNA(IF(B223="","",VLOOKUP(B223,RM!$C$4:$G983,14,FALSE)),IFERROR(MIN(IF('S-BOM'!$B$3:$B993=$B223,'S-BOM'!$H$3:$H993,"")),""))</f>
        <v>#NAME?</v>
      </c>
      <c r="F223" s="87" t="str">
        <f t="shared" si="1"/>
        <v/>
      </c>
      <c r="G223" s="87" t="str">
        <f t="shared" si="2"/>
        <v/>
      </c>
      <c r="H223" s="87"/>
      <c r="I223" s="87"/>
      <c r="J223" s="87"/>
    </row>
    <row r="224" spans="1:10">
      <c r="A224" s="2"/>
      <c r="B224" s="2"/>
      <c r="C224" s="120" t="str">
        <f>IF(B224="","",SUMIFS('A-BOM'!$D$3:$D993,'A-BOM'!$C$3:$C993,B224,'A-BOM'!$B$3:$B993,$B$2))</f>
        <v/>
      </c>
      <c r="D224" s="120" t="str">
        <f>IFERROR(IF(B224="","",VLOOKUP(B224,RM!$C$4:$F983,3,FALSE)),"")</f>
        <v/>
      </c>
      <c r="E224" s="118" t="e">
        <f t="array" aca="1" ref="E224" ca="1">_xludf.IFNA(IF(B224="","",VLOOKUP(B224,RM!$C$4:$G983,14,FALSE)),IFERROR(MIN(IF('S-BOM'!$B$3:$B993=$B224,'S-BOM'!$H$3:$H993,"")),""))</f>
        <v>#NAME?</v>
      </c>
      <c r="F224" s="87" t="str">
        <f t="shared" si="1"/>
        <v/>
      </c>
      <c r="G224" s="87" t="str">
        <f t="shared" si="2"/>
        <v/>
      </c>
      <c r="H224" s="87"/>
      <c r="I224" s="87"/>
      <c r="J224" s="87"/>
    </row>
    <row r="225" spans="1:10">
      <c r="A225" s="2"/>
      <c r="B225" s="2"/>
      <c r="C225" s="120" t="str">
        <f>IF(B225="","",SUMIFS('A-BOM'!$D$3:$D993,'A-BOM'!$C$3:$C993,B225,'A-BOM'!$B$3:$B993,$B$2))</f>
        <v/>
      </c>
      <c r="D225" s="120" t="str">
        <f>IFERROR(IF(B225="","",VLOOKUP(B225,RM!$C$4:$F983,3,FALSE)),"")</f>
        <v/>
      </c>
      <c r="E225" s="118" t="e">
        <f t="array" aca="1" ref="E225" ca="1">_xludf.IFNA(IF(B225="","",VLOOKUP(B225,RM!$C$4:$G983,14,FALSE)),IFERROR(MIN(IF('S-BOM'!$B$3:$B993=$B225,'S-BOM'!$H$3:$H993,"")),""))</f>
        <v>#NAME?</v>
      </c>
      <c r="F225" s="87" t="str">
        <f t="shared" si="1"/>
        <v/>
      </c>
      <c r="G225" s="87" t="str">
        <f t="shared" si="2"/>
        <v/>
      </c>
      <c r="H225" s="87"/>
      <c r="I225" s="87"/>
      <c r="J225" s="87"/>
    </row>
    <row r="226" spans="1:10">
      <c r="A226" s="2"/>
      <c r="B226" s="2"/>
      <c r="C226" s="120" t="str">
        <f>IF(B226="","",SUMIFS('A-BOM'!$D$3:$D993,'A-BOM'!$C$3:$C993,B226,'A-BOM'!$B$3:$B993,$B$2))</f>
        <v/>
      </c>
      <c r="D226" s="120" t="str">
        <f>IFERROR(IF(B226="","",VLOOKUP(B226,RM!$C$4:$F983,3,FALSE)),"")</f>
        <v/>
      </c>
      <c r="E226" s="118" t="e">
        <f t="array" aca="1" ref="E226" ca="1">_xludf.IFNA(IF(B226="","",VLOOKUP(B226,RM!$C$4:$G983,14,FALSE)),IFERROR(MIN(IF('S-BOM'!$B$3:$B993=$B226,'S-BOM'!$H$3:$H993,"")),""))</f>
        <v>#NAME?</v>
      </c>
      <c r="F226" s="87" t="str">
        <f t="shared" si="1"/>
        <v/>
      </c>
      <c r="G226" s="87" t="str">
        <f t="shared" si="2"/>
        <v/>
      </c>
      <c r="H226" s="87"/>
      <c r="I226" s="87"/>
      <c r="J226" s="87"/>
    </row>
    <row r="227" spans="1:10">
      <c r="A227" s="2"/>
      <c r="B227" s="2"/>
      <c r="C227" s="120" t="str">
        <f>IF(B227="","",SUMIFS('A-BOM'!$D$3:$D993,'A-BOM'!$C$3:$C993,B227,'A-BOM'!$B$3:$B993,$B$2))</f>
        <v/>
      </c>
      <c r="D227" s="120" t="str">
        <f>IFERROR(IF(B227="","",VLOOKUP(B227,RM!$C$4:$F983,3,FALSE)),"")</f>
        <v/>
      </c>
      <c r="E227" s="118" t="e">
        <f t="array" aca="1" ref="E227" ca="1">_xludf.IFNA(IF(B227="","",VLOOKUP(B227,RM!$C$4:$G983,14,FALSE)),IFERROR(MIN(IF('S-BOM'!$B$3:$B993=$B227,'S-BOM'!$H$3:$H993,"")),""))</f>
        <v>#NAME?</v>
      </c>
      <c r="F227" s="87" t="str">
        <f t="shared" si="1"/>
        <v/>
      </c>
      <c r="G227" s="87" t="str">
        <f t="shared" si="2"/>
        <v/>
      </c>
      <c r="H227" s="87"/>
      <c r="I227" s="87"/>
      <c r="J227" s="87"/>
    </row>
    <row r="228" spans="1:10">
      <c r="A228" s="2"/>
      <c r="B228" s="2"/>
      <c r="C228" s="120" t="str">
        <f>IF(B228="","",SUMIFS('A-BOM'!$D$3:$D993,'A-BOM'!$C$3:$C993,B228,'A-BOM'!$B$3:$B993,$B$2))</f>
        <v/>
      </c>
      <c r="D228" s="120" t="str">
        <f>IFERROR(IF(B228="","",VLOOKUP(B228,RM!$C$4:$F983,3,FALSE)),"")</f>
        <v/>
      </c>
      <c r="E228" s="118" t="e">
        <f t="array" aca="1" ref="E228" ca="1">_xludf.IFNA(IF(B228="","",VLOOKUP(B228,RM!$C$4:$G983,14,FALSE)),IFERROR(MIN(IF('S-BOM'!$B$3:$B993=$B228,'S-BOM'!$H$3:$H993,"")),""))</f>
        <v>#NAME?</v>
      </c>
      <c r="F228" s="87" t="str">
        <f t="shared" si="1"/>
        <v/>
      </c>
      <c r="G228" s="87" t="str">
        <f t="shared" si="2"/>
        <v/>
      </c>
      <c r="H228" s="87"/>
      <c r="I228" s="87"/>
      <c r="J228" s="87"/>
    </row>
    <row r="229" spans="1:10">
      <c r="A229" s="2"/>
      <c r="B229" s="2"/>
      <c r="C229" s="120" t="str">
        <f>IF(B229="","",SUMIFS('A-BOM'!$D$3:$D993,'A-BOM'!$C$3:$C993,B229,'A-BOM'!$B$3:$B993,$B$2))</f>
        <v/>
      </c>
      <c r="D229" s="120" t="str">
        <f>IFERROR(IF(B229="","",VLOOKUP(B229,RM!$C$4:$F983,3,FALSE)),"")</f>
        <v/>
      </c>
      <c r="E229" s="118" t="e">
        <f t="array" aca="1" ref="E229" ca="1">_xludf.IFNA(IF(B229="","",VLOOKUP(B229,RM!$C$4:$G983,14,FALSE)),IFERROR(MIN(IF('S-BOM'!$B$3:$B993=$B229,'S-BOM'!$H$3:$H993,"")),""))</f>
        <v>#NAME?</v>
      </c>
      <c r="F229" s="87" t="str">
        <f t="shared" si="1"/>
        <v/>
      </c>
      <c r="G229" s="87" t="str">
        <f t="shared" si="2"/>
        <v/>
      </c>
      <c r="H229" s="87"/>
      <c r="I229" s="87"/>
      <c r="J229" s="87"/>
    </row>
    <row r="230" spans="1:10">
      <c r="A230" s="2"/>
      <c r="B230" s="2"/>
      <c r="C230" s="120" t="str">
        <f>IF(B230="","",SUMIFS('A-BOM'!$D$3:$D993,'A-BOM'!$C$3:$C993,B230,'A-BOM'!$B$3:$B993,$B$2))</f>
        <v/>
      </c>
      <c r="D230" s="120" t="str">
        <f>IFERROR(IF(B230="","",VLOOKUP(B230,RM!$C$4:$F983,3,FALSE)),"")</f>
        <v/>
      </c>
      <c r="E230" s="118" t="e">
        <f t="array" aca="1" ref="E230" ca="1">_xludf.IFNA(IF(B230="","",VLOOKUP(B230,RM!$C$4:$G983,14,FALSE)),IFERROR(MIN(IF('S-BOM'!$B$3:$B993=$B230,'S-BOM'!$H$3:$H993,"")),""))</f>
        <v>#NAME?</v>
      </c>
      <c r="F230" s="87" t="str">
        <f t="shared" si="1"/>
        <v/>
      </c>
      <c r="G230" s="87" t="str">
        <f t="shared" si="2"/>
        <v/>
      </c>
      <c r="H230" s="87"/>
      <c r="I230" s="87"/>
      <c r="J230" s="87"/>
    </row>
    <row r="231" spans="1:10">
      <c r="A231" s="2"/>
      <c r="B231" s="2"/>
      <c r="C231" s="120" t="str">
        <f>IF(B231="","",SUMIFS('A-BOM'!$D$3:$D993,'A-BOM'!$C$3:$C993,B231,'A-BOM'!$B$3:$B993,$B$2))</f>
        <v/>
      </c>
      <c r="D231" s="120" t="str">
        <f>IFERROR(IF(B231="","",VLOOKUP(B231,RM!$C$4:$F983,3,FALSE)),"")</f>
        <v/>
      </c>
      <c r="E231" s="118" t="e">
        <f t="array" aca="1" ref="E231" ca="1">_xludf.IFNA(IF(B231="","",VLOOKUP(B231,RM!$C$4:$G983,14,FALSE)),IFERROR(MIN(IF('S-BOM'!$B$3:$B993=$B231,'S-BOM'!$H$3:$H993,"")),""))</f>
        <v>#NAME?</v>
      </c>
      <c r="F231" s="87" t="str">
        <f t="shared" si="1"/>
        <v/>
      </c>
      <c r="G231" s="87" t="str">
        <f t="shared" si="2"/>
        <v/>
      </c>
      <c r="H231" s="87"/>
      <c r="I231" s="87"/>
      <c r="J231" s="87"/>
    </row>
    <row r="232" spans="1:10">
      <c r="A232" s="2"/>
      <c r="B232" s="2"/>
      <c r="C232" s="120" t="str">
        <f>IF(B232="","",SUMIFS('A-BOM'!$D$3:$D993,'A-BOM'!$C$3:$C993,B232,'A-BOM'!$B$3:$B993,$B$2))</f>
        <v/>
      </c>
      <c r="D232" s="120" t="str">
        <f>IFERROR(IF(B232="","",VLOOKUP(B232,RM!$C$4:$F983,3,FALSE)),"")</f>
        <v/>
      </c>
      <c r="E232" s="118" t="e">
        <f t="array" aca="1" ref="E232" ca="1">_xludf.IFNA(IF(B232="","",VLOOKUP(B232,RM!$C$4:$G983,14,FALSE)),IFERROR(MIN(IF('S-BOM'!$B$3:$B993=$B232,'S-BOM'!$H$3:$H993,"")),""))</f>
        <v>#NAME?</v>
      </c>
      <c r="F232" s="87" t="str">
        <f t="shared" si="1"/>
        <v/>
      </c>
      <c r="G232" s="87" t="str">
        <f t="shared" si="2"/>
        <v/>
      </c>
      <c r="H232" s="87"/>
      <c r="I232" s="87"/>
      <c r="J232" s="87"/>
    </row>
    <row r="233" spans="1:10">
      <c r="A233" s="2"/>
      <c r="B233" s="2"/>
      <c r="C233" s="120" t="str">
        <f>IF(B233="","",SUMIFS('A-BOM'!$D$3:$D993,'A-BOM'!$C$3:$C993,B233,'A-BOM'!$B$3:$B993,$B$2))</f>
        <v/>
      </c>
      <c r="D233" s="120" t="str">
        <f>IFERROR(IF(B233="","",VLOOKUP(B233,RM!$C$4:$F983,3,FALSE)),"")</f>
        <v/>
      </c>
      <c r="E233" s="118" t="e">
        <f t="array" aca="1" ref="E233" ca="1">_xludf.IFNA(IF(B233="","",VLOOKUP(B233,RM!$C$4:$G983,14,FALSE)),IFERROR(MIN(IF('S-BOM'!$B$3:$B993=$B233,'S-BOM'!$H$3:$H993,"")),""))</f>
        <v>#NAME?</v>
      </c>
      <c r="F233" s="87" t="str">
        <f t="shared" si="1"/>
        <v/>
      </c>
      <c r="G233" s="87" t="str">
        <f t="shared" si="2"/>
        <v/>
      </c>
      <c r="H233" s="87"/>
      <c r="I233" s="87"/>
      <c r="J233" s="87"/>
    </row>
    <row r="234" spans="1:10">
      <c r="A234" s="2"/>
      <c r="B234" s="2"/>
      <c r="C234" s="120" t="str">
        <f>IF(B234="","",SUMIFS('A-BOM'!$D$3:$D993,'A-BOM'!$C$3:$C993,B234,'A-BOM'!$B$3:$B993,$B$2))</f>
        <v/>
      </c>
      <c r="D234" s="120" t="str">
        <f>IFERROR(IF(B234="","",VLOOKUP(B234,RM!$C$4:$F983,3,FALSE)),"")</f>
        <v/>
      </c>
      <c r="E234" s="118" t="e">
        <f t="array" aca="1" ref="E234" ca="1">_xludf.IFNA(IF(B234="","",VLOOKUP(B234,RM!$C$4:$G983,14,FALSE)),IFERROR(MIN(IF('S-BOM'!$B$3:$B993=$B234,'S-BOM'!$H$3:$H993,"")),""))</f>
        <v>#NAME?</v>
      </c>
      <c r="F234" s="87" t="str">
        <f t="shared" si="1"/>
        <v/>
      </c>
      <c r="G234" s="87" t="str">
        <f t="shared" si="2"/>
        <v/>
      </c>
      <c r="H234" s="87"/>
      <c r="I234" s="87"/>
      <c r="J234" s="87"/>
    </row>
    <row r="235" spans="1:10">
      <c r="A235" s="2"/>
      <c r="B235" s="2"/>
      <c r="C235" s="120" t="str">
        <f>IF(B235="","",SUMIFS('A-BOM'!$D$3:$D993,'A-BOM'!$C$3:$C993,B235,'A-BOM'!$B$3:$B993,$B$2))</f>
        <v/>
      </c>
      <c r="D235" s="120" t="str">
        <f>IFERROR(IF(B235="","",VLOOKUP(B235,RM!$C$4:$F983,3,FALSE)),"")</f>
        <v/>
      </c>
      <c r="E235" s="118" t="e">
        <f t="array" aca="1" ref="E235" ca="1">_xludf.IFNA(IF(B235="","",VLOOKUP(B235,RM!$C$4:$G983,14,FALSE)),IFERROR(MIN(IF('S-BOM'!$B$3:$B993=$B235,'S-BOM'!$H$3:$H993,"")),""))</f>
        <v>#NAME?</v>
      </c>
      <c r="F235" s="87" t="str">
        <f t="shared" si="1"/>
        <v/>
      </c>
      <c r="G235" s="87" t="str">
        <f t="shared" si="2"/>
        <v/>
      </c>
      <c r="H235" s="87"/>
      <c r="I235" s="87"/>
      <c r="J235" s="87"/>
    </row>
    <row r="236" spans="1:10">
      <c r="A236" s="2"/>
      <c r="B236" s="2"/>
      <c r="C236" s="120" t="str">
        <f>IF(B236="","",SUMIFS('A-BOM'!$D$3:$D993,'A-BOM'!$C$3:$C993,B236,'A-BOM'!$B$3:$B993,$B$2))</f>
        <v/>
      </c>
      <c r="D236" s="120" t="str">
        <f>IFERROR(IF(B236="","",VLOOKUP(B236,RM!$C$4:$F983,3,FALSE)),"")</f>
        <v/>
      </c>
      <c r="E236" s="118" t="e">
        <f t="array" aca="1" ref="E236" ca="1">_xludf.IFNA(IF(B236="","",VLOOKUP(B236,RM!$C$4:$G983,14,FALSE)),IFERROR(MIN(IF('S-BOM'!$B$3:$B993=$B236,'S-BOM'!$H$3:$H993,"")),""))</f>
        <v>#NAME?</v>
      </c>
      <c r="F236" s="87" t="str">
        <f t="shared" si="1"/>
        <v/>
      </c>
      <c r="G236" s="87" t="str">
        <f t="shared" si="2"/>
        <v/>
      </c>
      <c r="H236" s="87"/>
      <c r="I236" s="87"/>
      <c r="J236" s="87"/>
    </row>
    <row r="237" spans="1:10">
      <c r="A237" s="2"/>
      <c r="B237" s="2"/>
      <c r="C237" s="120" t="str">
        <f>IF(B237="","",SUMIFS('A-BOM'!$D$3:$D993,'A-BOM'!$C$3:$C993,B237,'A-BOM'!$B$3:$B993,$B$2))</f>
        <v/>
      </c>
      <c r="D237" s="120" t="str">
        <f>IFERROR(IF(B237="","",VLOOKUP(B237,RM!$C$4:$F983,3,FALSE)),"")</f>
        <v/>
      </c>
      <c r="E237" s="118" t="e">
        <f t="array" aca="1" ref="E237" ca="1">_xludf.IFNA(IF(B237="","",VLOOKUP(B237,RM!$C$4:$G983,14,FALSE)),IFERROR(MIN(IF('S-BOM'!$B$3:$B993=$B237,'S-BOM'!$H$3:$H993,"")),""))</f>
        <v>#NAME?</v>
      </c>
      <c r="F237" s="87" t="str">
        <f t="shared" si="1"/>
        <v/>
      </c>
      <c r="G237" s="87" t="str">
        <f t="shared" si="2"/>
        <v/>
      </c>
      <c r="H237" s="87"/>
      <c r="I237" s="87"/>
      <c r="J237" s="87"/>
    </row>
    <row r="238" spans="1:10">
      <c r="A238" s="2"/>
      <c r="B238" s="2"/>
      <c r="C238" s="120" t="str">
        <f>IF(B238="","",SUMIFS('A-BOM'!$D$3:$D993,'A-BOM'!$C$3:$C993,B238,'A-BOM'!$B$3:$B993,$B$2))</f>
        <v/>
      </c>
      <c r="D238" s="120" t="str">
        <f>IFERROR(IF(B238="","",VLOOKUP(B238,RM!$C$4:$F983,3,FALSE)),"")</f>
        <v/>
      </c>
      <c r="E238" s="118" t="e">
        <f t="array" aca="1" ref="E238" ca="1">_xludf.IFNA(IF(B238="","",VLOOKUP(B238,RM!$C$4:$G983,14,FALSE)),IFERROR(MIN(IF('S-BOM'!$B$3:$B993=$B238,'S-BOM'!$H$3:$H993,"")),""))</f>
        <v>#NAME?</v>
      </c>
      <c r="F238" s="87" t="str">
        <f t="shared" si="1"/>
        <v/>
      </c>
      <c r="G238" s="87" t="str">
        <f t="shared" si="2"/>
        <v/>
      </c>
      <c r="H238" s="87"/>
      <c r="I238" s="87"/>
      <c r="J238" s="87"/>
    </row>
    <row r="239" spans="1:10">
      <c r="A239" s="2"/>
      <c r="B239" s="2"/>
      <c r="C239" s="120" t="str">
        <f>IF(B239="","",SUMIFS('A-BOM'!$D$3:$D993,'A-BOM'!$C$3:$C993,B239,'A-BOM'!$B$3:$B993,$B$2))</f>
        <v/>
      </c>
      <c r="D239" s="120" t="str">
        <f>IFERROR(IF(B239="","",VLOOKUP(B239,RM!$C$4:$F983,3,FALSE)),"")</f>
        <v/>
      </c>
      <c r="E239" s="118" t="e">
        <f t="array" aca="1" ref="E239" ca="1">_xludf.IFNA(IF(B239="","",VLOOKUP(B239,RM!$C$4:$G983,14,FALSE)),IFERROR(MIN(IF('S-BOM'!$B$3:$B993=$B239,'S-BOM'!$H$3:$H993,"")),""))</f>
        <v>#NAME?</v>
      </c>
      <c r="F239" s="87" t="str">
        <f t="shared" si="1"/>
        <v/>
      </c>
      <c r="G239" s="87" t="str">
        <f t="shared" si="2"/>
        <v/>
      </c>
      <c r="H239" s="87"/>
      <c r="I239" s="87"/>
      <c r="J239" s="87"/>
    </row>
    <row r="240" spans="1:10">
      <c r="A240" s="2"/>
      <c r="B240" s="2"/>
      <c r="C240" s="120" t="str">
        <f>IF(B240="","",SUMIFS('A-BOM'!$D$3:$D993,'A-BOM'!$C$3:$C993,B240,'A-BOM'!$B$3:$B993,$B$2))</f>
        <v/>
      </c>
      <c r="D240" s="120" t="str">
        <f>IFERROR(IF(B240="","",VLOOKUP(B240,RM!$C$4:$F983,3,FALSE)),"")</f>
        <v/>
      </c>
      <c r="E240" s="118" t="e">
        <f t="array" aca="1" ref="E240" ca="1">_xludf.IFNA(IF(B240="","",VLOOKUP(B240,RM!$C$4:$G983,14,FALSE)),IFERROR(MIN(IF('S-BOM'!$B$3:$B993=$B240,'S-BOM'!$H$3:$H993,"")),""))</f>
        <v>#NAME?</v>
      </c>
      <c r="F240" s="87" t="str">
        <f t="shared" si="1"/>
        <v/>
      </c>
      <c r="G240" s="87" t="str">
        <f t="shared" si="2"/>
        <v/>
      </c>
      <c r="H240" s="87"/>
      <c r="I240" s="87"/>
      <c r="J240" s="87"/>
    </row>
    <row r="241" spans="1:10">
      <c r="A241" s="2"/>
      <c r="B241" s="2"/>
      <c r="C241" s="120" t="str">
        <f>IF(B241="","",SUMIFS('A-BOM'!$D$3:$D993,'A-BOM'!$C$3:$C993,B241,'A-BOM'!$B$3:$B993,$B$2))</f>
        <v/>
      </c>
      <c r="D241" s="120" t="str">
        <f>IFERROR(IF(B241="","",VLOOKUP(B241,RM!$C$4:$F983,3,FALSE)),"")</f>
        <v/>
      </c>
      <c r="E241" s="118" t="e">
        <f t="array" aca="1" ref="E241" ca="1">_xludf.IFNA(IF(B241="","",VLOOKUP(B241,RM!$C$4:$G983,14,FALSE)),IFERROR(MIN(IF('S-BOM'!$B$3:$B993=$B241,'S-BOM'!$H$3:$H993,"")),""))</f>
        <v>#NAME?</v>
      </c>
      <c r="F241" s="87" t="str">
        <f t="shared" si="1"/>
        <v/>
      </c>
      <c r="G241" s="87" t="str">
        <f t="shared" si="2"/>
        <v/>
      </c>
      <c r="H241" s="87"/>
      <c r="I241" s="87"/>
      <c r="J241" s="87"/>
    </row>
    <row r="242" spans="1:10">
      <c r="A242" s="2"/>
      <c r="B242" s="2"/>
      <c r="C242" s="120" t="str">
        <f>IF(B242="","",SUMIFS('A-BOM'!$D$3:$D993,'A-BOM'!$C$3:$C993,B242,'A-BOM'!$B$3:$B993,$B$2))</f>
        <v/>
      </c>
      <c r="D242" s="120" t="str">
        <f>IFERROR(IF(B242="","",VLOOKUP(B242,RM!$C$4:$F983,3,FALSE)),"")</f>
        <v/>
      </c>
      <c r="E242" s="118" t="e">
        <f t="array" aca="1" ref="E242" ca="1">_xludf.IFNA(IF(B242="","",VLOOKUP(B242,RM!$C$4:$G983,14,FALSE)),IFERROR(MIN(IF('S-BOM'!$B$3:$B993=$B242,'S-BOM'!$H$3:$H993,"")),""))</f>
        <v>#NAME?</v>
      </c>
      <c r="F242" s="87" t="str">
        <f t="shared" si="1"/>
        <v/>
      </c>
      <c r="G242" s="87" t="str">
        <f t="shared" si="2"/>
        <v/>
      </c>
      <c r="H242" s="87"/>
      <c r="I242" s="87"/>
      <c r="J242" s="87"/>
    </row>
    <row r="243" spans="1:10">
      <c r="A243" s="2"/>
      <c r="B243" s="2"/>
      <c r="C243" s="120" t="str">
        <f>IF(B243="","",SUMIFS('A-BOM'!$D$3:$D993,'A-BOM'!$C$3:$C993,B243,'A-BOM'!$B$3:$B993,$B$2))</f>
        <v/>
      </c>
      <c r="D243" s="120" t="str">
        <f>IFERROR(IF(B243="","",VLOOKUP(B243,RM!$C$4:$F983,3,FALSE)),"")</f>
        <v/>
      </c>
      <c r="E243" s="118" t="e">
        <f t="array" aca="1" ref="E243" ca="1">_xludf.IFNA(IF(B243="","",VLOOKUP(B243,RM!$C$4:$G983,14,FALSE)),IFERROR(MIN(IF('S-BOM'!$B$3:$B993=$B243,'S-BOM'!$H$3:$H993,"")),""))</f>
        <v>#NAME?</v>
      </c>
      <c r="F243" s="87" t="str">
        <f t="shared" si="1"/>
        <v/>
      </c>
      <c r="G243" s="87" t="str">
        <f t="shared" si="2"/>
        <v/>
      </c>
      <c r="H243" s="87"/>
      <c r="I243" s="87"/>
      <c r="J243" s="87"/>
    </row>
    <row r="244" spans="1:10">
      <c r="A244" s="2"/>
      <c r="B244" s="2"/>
      <c r="C244" s="120" t="str">
        <f>IF(B244="","",SUMIFS('A-BOM'!$D$3:$D993,'A-BOM'!$C$3:$C993,B244,'A-BOM'!$B$3:$B993,$B$2))</f>
        <v/>
      </c>
      <c r="D244" s="120" t="str">
        <f>IFERROR(IF(B244="","",VLOOKUP(B244,RM!$C$4:$F983,3,FALSE)),"")</f>
        <v/>
      </c>
      <c r="E244" s="118" t="e">
        <f t="array" aca="1" ref="E244" ca="1">_xludf.IFNA(IF(B244="","",VLOOKUP(B244,RM!$C$4:$G983,14,FALSE)),IFERROR(MIN(IF('S-BOM'!$B$3:$B993=$B244,'S-BOM'!$H$3:$H993,"")),""))</f>
        <v>#NAME?</v>
      </c>
      <c r="F244" s="87" t="str">
        <f t="shared" si="1"/>
        <v/>
      </c>
      <c r="G244" s="87" t="str">
        <f t="shared" si="2"/>
        <v/>
      </c>
      <c r="H244" s="87"/>
      <c r="I244" s="87"/>
      <c r="J244" s="87"/>
    </row>
    <row r="245" spans="1:10">
      <c r="A245" s="2"/>
      <c r="B245" s="2"/>
      <c r="C245" s="120" t="str">
        <f>IF(B245="","",SUMIFS('A-BOM'!$D$3:$D993,'A-BOM'!$C$3:$C993,B245,'A-BOM'!$B$3:$B993,$B$2))</f>
        <v/>
      </c>
      <c r="D245" s="120" t="str">
        <f>IFERROR(IF(B245="","",VLOOKUP(B245,RM!$C$4:$F983,3,FALSE)),"")</f>
        <v/>
      </c>
      <c r="E245" s="118" t="e">
        <f t="array" aca="1" ref="E245" ca="1">_xludf.IFNA(IF(B245="","",VLOOKUP(B245,RM!$C$4:$G983,14,FALSE)),IFERROR(MIN(IF('S-BOM'!$B$3:$B993=$B245,'S-BOM'!$H$3:$H993,"")),""))</f>
        <v>#NAME?</v>
      </c>
      <c r="F245" s="87" t="str">
        <f t="shared" si="1"/>
        <v/>
      </c>
      <c r="G245" s="87" t="str">
        <f t="shared" si="2"/>
        <v/>
      </c>
      <c r="H245" s="87"/>
      <c r="I245" s="87"/>
      <c r="J245" s="87"/>
    </row>
    <row r="246" spans="1:10">
      <c r="A246" s="2"/>
      <c r="B246" s="2"/>
      <c r="C246" s="120" t="str">
        <f>IF(B246="","",SUMIFS('A-BOM'!$D$3:$D993,'A-BOM'!$C$3:$C993,B246,'A-BOM'!$B$3:$B993,$B$2))</f>
        <v/>
      </c>
      <c r="D246" s="120" t="str">
        <f>IFERROR(IF(B246="","",VLOOKUP(B246,RM!$C$4:$F983,3,FALSE)),"")</f>
        <v/>
      </c>
      <c r="E246" s="118" t="e">
        <f t="array" aca="1" ref="E246" ca="1">_xludf.IFNA(IF(B246="","",VLOOKUP(B246,RM!$C$4:$G983,14,FALSE)),IFERROR(MIN(IF('S-BOM'!$B$3:$B993=$B246,'S-BOM'!$H$3:$H993,"")),""))</f>
        <v>#NAME?</v>
      </c>
      <c r="F246" s="87" t="str">
        <f t="shared" si="1"/>
        <v/>
      </c>
      <c r="G246" s="87" t="str">
        <f t="shared" si="2"/>
        <v/>
      </c>
      <c r="H246" s="87"/>
      <c r="I246" s="87"/>
      <c r="J246" s="87"/>
    </row>
    <row r="247" spans="1:10">
      <c r="A247" s="2"/>
      <c r="B247" s="2"/>
      <c r="C247" s="120" t="str">
        <f>IF(B247="","",SUMIFS('A-BOM'!$D$3:$D993,'A-BOM'!$C$3:$C993,B247,'A-BOM'!$B$3:$B993,$B$2))</f>
        <v/>
      </c>
      <c r="D247" s="120" t="str">
        <f>IFERROR(IF(B247="","",VLOOKUP(B247,RM!$C$4:$F983,3,FALSE)),"")</f>
        <v/>
      </c>
      <c r="E247" s="118" t="e">
        <f t="array" aca="1" ref="E247" ca="1">_xludf.IFNA(IF(B247="","",VLOOKUP(B247,RM!$C$4:$G983,14,FALSE)),IFERROR(MIN(IF('S-BOM'!$B$3:$B993=$B247,'S-BOM'!$H$3:$H993,"")),""))</f>
        <v>#NAME?</v>
      </c>
      <c r="F247" s="87" t="str">
        <f t="shared" si="1"/>
        <v/>
      </c>
      <c r="G247" s="87" t="str">
        <f t="shared" si="2"/>
        <v/>
      </c>
      <c r="H247" s="87"/>
      <c r="I247" s="87"/>
      <c r="J247" s="87"/>
    </row>
    <row r="248" spans="1:10">
      <c r="A248" s="2"/>
      <c r="B248" s="2"/>
      <c r="C248" s="120" t="str">
        <f>IF(B248="","",SUMIFS('A-BOM'!$D$3:$D993,'A-BOM'!$C$3:$C993,B248,'A-BOM'!$B$3:$B993,$B$2))</f>
        <v/>
      </c>
      <c r="D248" s="120" t="str">
        <f>IFERROR(IF(B248="","",VLOOKUP(B248,RM!$C$4:$F983,3,FALSE)),"")</f>
        <v/>
      </c>
      <c r="E248" s="118" t="e">
        <f t="array" aca="1" ref="E248" ca="1">_xludf.IFNA(IF(B248="","",VLOOKUP(B248,RM!$C$4:$G983,14,FALSE)),IFERROR(MIN(IF('S-BOM'!$B$3:$B993=$B248,'S-BOM'!$H$3:$H993,"")),""))</f>
        <v>#NAME?</v>
      </c>
      <c r="F248" s="87" t="str">
        <f t="shared" si="1"/>
        <v/>
      </c>
      <c r="G248" s="87" t="str">
        <f t="shared" si="2"/>
        <v/>
      </c>
      <c r="H248" s="87"/>
      <c r="I248" s="87"/>
      <c r="J248" s="87"/>
    </row>
    <row r="249" spans="1:10">
      <c r="A249" s="2"/>
      <c r="B249" s="2"/>
      <c r="C249" s="120" t="str">
        <f>IF(B249="","",SUMIFS('A-BOM'!$D$3:$D993,'A-BOM'!$C$3:$C993,B249,'A-BOM'!$B$3:$B993,$B$2))</f>
        <v/>
      </c>
      <c r="D249" s="120" t="str">
        <f>IFERROR(IF(B249="","",VLOOKUP(B249,RM!$C$4:$F983,3,FALSE)),"")</f>
        <v/>
      </c>
      <c r="E249" s="118" t="e">
        <f t="array" aca="1" ref="E249" ca="1">_xludf.IFNA(IF(B249="","",VLOOKUP(B249,RM!$C$4:$G983,14,FALSE)),IFERROR(MIN(IF('S-BOM'!$B$3:$B993=$B249,'S-BOM'!$H$3:$H993,"")),""))</f>
        <v>#NAME?</v>
      </c>
      <c r="F249" s="87" t="str">
        <f t="shared" si="1"/>
        <v/>
      </c>
      <c r="G249" s="87" t="str">
        <f t="shared" si="2"/>
        <v/>
      </c>
      <c r="H249" s="87"/>
      <c r="I249" s="87"/>
      <c r="J249" s="87"/>
    </row>
    <row r="250" spans="1:10">
      <c r="A250" s="2"/>
      <c r="B250" s="2"/>
      <c r="C250" s="120" t="str">
        <f>IF(B250="","",SUMIFS('A-BOM'!$D$3:$D993,'A-BOM'!$C$3:$C993,B250,'A-BOM'!$B$3:$B993,$B$2))</f>
        <v/>
      </c>
      <c r="D250" s="120" t="str">
        <f>IFERROR(IF(B250="","",VLOOKUP(B250,RM!$C$4:$F983,3,FALSE)),"")</f>
        <v/>
      </c>
      <c r="E250" s="118" t="e">
        <f t="array" aca="1" ref="E250" ca="1">_xludf.IFNA(IF(B250="","",VLOOKUP(B250,RM!$C$4:$G983,14,FALSE)),IFERROR(MIN(IF('S-BOM'!$B$3:$B993=$B250,'S-BOM'!$H$3:$H993,"")),""))</f>
        <v>#NAME?</v>
      </c>
      <c r="F250" s="87" t="str">
        <f t="shared" si="1"/>
        <v/>
      </c>
      <c r="G250" s="87" t="str">
        <f t="shared" si="2"/>
        <v/>
      </c>
      <c r="H250" s="87"/>
      <c r="I250" s="87"/>
      <c r="J250" s="87"/>
    </row>
    <row r="251" spans="1:10">
      <c r="A251" s="2"/>
      <c r="B251" s="2"/>
      <c r="C251" s="120" t="str">
        <f>IF(B251="","",SUMIFS('A-BOM'!$D$3:$D993,'A-BOM'!$C$3:$C993,B251,'A-BOM'!$B$3:$B993,$B$2))</f>
        <v/>
      </c>
      <c r="D251" s="120" t="str">
        <f>IFERROR(IF(B251="","",VLOOKUP(B251,RM!$C$4:$F983,3,FALSE)),"")</f>
        <v/>
      </c>
      <c r="E251" s="118" t="e">
        <f t="array" aca="1" ref="E251" ca="1">_xludf.IFNA(IF(B251="","",VLOOKUP(B251,RM!$C$4:$G983,14,FALSE)),IFERROR(MIN(IF('S-BOM'!$B$3:$B993=$B251,'S-BOM'!$H$3:$H993,"")),""))</f>
        <v>#NAME?</v>
      </c>
      <c r="F251" s="87" t="str">
        <f t="shared" si="1"/>
        <v/>
      </c>
      <c r="G251" s="87" t="str">
        <f t="shared" si="2"/>
        <v/>
      </c>
      <c r="H251" s="87"/>
      <c r="I251" s="87"/>
      <c r="J251" s="87"/>
    </row>
    <row r="252" spans="1:10">
      <c r="A252" s="2"/>
      <c r="B252" s="2"/>
      <c r="C252" s="120" t="str">
        <f>IF(B252="","",SUMIFS('A-BOM'!$D$3:$D993,'A-BOM'!$C$3:$C993,B252,'A-BOM'!$B$3:$B993,$B$2))</f>
        <v/>
      </c>
      <c r="D252" s="120" t="str">
        <f>IFERROR(IF(B252="","",VLOOKUP(B252,RM!$C$4:$F983,3,FALSE)),"")</f>
        <v/>
      </c>
      <c r="E252" s="118" t="e">
        <f t="array" aca="1" ref="E252" ca="1">_xludf.IFNA(IF(B252="","",VLOOKUP(B252,RM!$C$4:$G983,14,FALSE)),IFERROR(MIN(IF('S-BOM'!$B$3:$B993=$B252,'S-BOM'!$H$3:$H993,"")),""))</f>
        <v>#NAME?</v>
      </c>
      <c r="F252" s="87" t="str">
        <f t="shared" si="1"/>
        <v/>
      </c>
      <c r="G252" s="87" t="str">
        <f t="shared" si="2"/>
        <v/>
      </c>
      <c r="H252" s="87"/>
      <c r="I252" s="87"/>
      <c r="J252" s="87"/>
    </row>
    <row r="253" spans="1:10">
      <c r="A253" s="2"/>
      <c r="B253" s="2"/>
      <c r="C253" s="120" t="str">
        <f>IF(B253="","",SUMIFS('A-BOM'!$D$3:$D993,'A-BOM'!$C$3:$C993,B253,'A-BOM'!$B$3:$B993,$B$2))</f>
        <v/>
      </c>
      <c r="D253" s="120" t="str">
        <f>IFERROR(IF(B253="","",VLOOKUP(B253,RM!$C$4:$F983,3,FALSE)),"")</f>
        <v/>
      </c>
      <c r="E253" s="118" t="e">
        <f t="array" aca="1" ref="E253" ca="1">_xludf.IFNA(IF(B253="","",VLOOKUP(B253,RM!$C$4:$G983,14,FALSE)),IFERROR(MIN(IF('S-BOM'!$B$3:$B993=$B253,'S-BOM'!$H$3:$H993,"")),""))</f>
        <v>#NAME?</v>
      </c>
      <c r="F253" s="87" t="str">
        <f t="shared" si="1"/>
        <v/>
      </c>
      <c r="G253" s="87" t="str">
        <f t="shared" si="2"/>
        <v/>
      </c>
      <c r="H253" s="87"/>
      <c r="I253" s="87"/>
      <c r="J253" s="87"/>
    </row>
    <row r="254" spans="1:10">
      <c r="A254" s="2"/>
      <c r="B254" s="2"/>
      <c r="C254" s="120" t="str">
        <f>IF(B254="","",SUMIFS('A-BOM'!$D$3:$D993,'A-BOM'!$C$3:$C993,B254,'A-BOM'!$B$3:$B993,$B$2))</f>
        <v/>
      </c>
      <c r="D254" s="120" t="str">
        <f>IFERROR(IF(B254="","",VLOOKUP(B254,RM!$C$4:$F983,3,FALSE)),"")</f>
        <v/>
      </c>
      <c r="E254" s="118" t="e">
        <f t="array" aca="1" ref="E254" ca="1">_xludf.IFNA(IF(B254="","",VLOOKUP(B254,RM!$C$4:$G983,14,FALSE)),IFERROR(MIN(IF('S-BOM'!$B$3:$B993=$B254,'S-BOM'!$H$3:$H993,"")),""))</f>
        <v>#NAME?</v>
      </c>
      <c r="F254" s="87" t="str">
        <f t="shared" si="1"/>
        <v/>
      </c>
      <c r="G254" s="87" t="str">
        <f t="shared" si="2"/>
        <v/>
      </c>
      <c r="H254" s="87"/>
      <c r="I254" s="87"/>
      <c r="J254" s="87"/>
    </row>
    <row r="255" spans="1:10">
      <c r="A255" s="2"/>
      <c r="B255" s="2"/>
      <c r="C255" s="120" t="str">
        <f>IF(B255="","",SUMIFS('A-BOM'!$D$3:$D993,'A-BOM'!$C$3:$C993,B255,'A-BOM'!$B$3:$B993,$B$2))</f>
        <v/>
      </c>
      <c r="D255" s="120" t="str">
        <f>IFERROR(IF(B255="","",VLOOKUP(B255,RM!$C$4:$F983,3,FALSE)),"")</f>
        <v/>
      </c>
      <c r="E255" s="118" t="e">
        <f t="array" aca="1" ref="E255" ca="1">_xludf.IFNA(IF(B255="","",VLOOKUP(B255,RM!$C$4:$G983,14,FALSE)),IFERROR(MIN(IF('S-BOM'!$B$3:$B993=$B255,'S-BOM'!$H$3:$H993,"")),""))</f>
        <v>#NAME?</v>
      </c>
      <c r="F255" s="87" t="str">
        <f t="shared" si="1"/>
        <v/>
      </c>
      <c r="G255" s="87" t="str">
        <f t="shared" si="2"/>
        <v/>
      </c>
      <c r="H255" s="87"/>
      <c r="I255" s="87"/>
      <c r="J255" s="87"/>
    </row>
    <row r="256" spans="1:10">
      <c r="A256" s="2"/>
      <c r="B256" s="2"/>
      <c r="C256" s="120" t="str">
        <f>IF(B256="","",SUMIFS('A-BOM'!$D$3:$D993,'A-BOM'!$C$3:$C993,B256,'A-BOM'!$B$3:$B993,$B$2))</f>
        <v/>
      </c>
      <c r="D256" s="120" t="str">
        <f>IFERROR(IF(B256="","",VLOOKUP(B256,RM!$C$4:$F983,3,FALSE)),"")</f>
        <v/>
      </c>
      <c r="E256" s="118" t="e">
        <f t="array" aca="1" ref="E256" ca="1">_xludf.IFNA(IF(B256="","",VLOOKUP(B256,RM!$C$4:$G983,14,FALSE)),IFERROR(MIN(IF('S-BOM'!$B$3:$B993=$B256,'S-BOM'!$H$3:$H993,"")),""))</f>
        <v>#NAME?</v>
      </c>
      <c r="F256" s="87" t="str">
        <f t="shared" si="1"/>
        <v/>
      </c>
      <c r="G256" s="87" t="str">
        <f t="shared" si="2"/>
        <v/>
      </c>
      <c r="H256" s="87"/>
      <c r="I256" s="87"/>
      <c r="J256" s="87"/>
    </row>
    <row r="257" spans="1:10">
      <c r="A257" s="2"/>
      <c r="B257" s="2"/>
      <c r="C257" s="120" t="str">
        <f>IF(B257="","",SUMIFS('A-BOM'!$D$3:$D993,'A-BOM'!$C$3:$C993,B257,'A-BOM'!$B$3:$B993,$B$2))</f>
        <v/>
      </c>
      <c r="D257" s="120" t="str">
        <f>IFERROR(IF(B257="","",VLOOKUP(B257,RM!$C$4:$F983,3,FALSE)),"")</f>
        <v/>
      </c>
      <c r="E257" s="118" t="e">
        <f t="array" aca="1" ref="E257" ca="1">_xludf.IFNA(IF(B257="","",VLOOKUP(B257,RM!$C$4:$G983,14,FALSE)),IFERROR(MIN(IF('S-BOM'!$B$3:$B993=$B257,'S-BOM'!$H$3:$H993,"")),""))</f>
        <v>#NAME?</v>
      </c>
      <c r="F257" s="87" t="str">
        <f t="shared" si="1"/>
        <v/>
      </c>
      <c r="G257" s="87" t="str">
        <f t="shared" si="2"/>
        <v/>
      </c>
      <c r="H257" s="87"/>
      <c r="I257" s="87"/>
      <c r="J257" s="87"/>
    </row>
    <row r="258" spans="1:10">
      <c r="A258" s="2"/>
      <c r="B258" s="2"/>
      <c r="C258" s="120" t="str">
        <f>IF(B258="","",SUMIFS('A-BOM'!$D$3:$D993,'A-BOM'!$C$3:$C993,B258,'A-BOM'!$B$3:$B993,$B$2))</f>
        <v/>
      </c>
      <c r="D258" s="120" t="str">
        <f>IFERROR(IF(B258="","",VLOOKUP(B258,RM!$C$4:$F983,3,FALSE)),"")</f>
        <v/>
      </c>
      <c r="E258" s="118" t="e">
        <f t="array" aca="1" ref="E258" ca="1">_xludf.IFNA(IF(B258="","",VLOOKUP(B258,RM!$C$4:$G983,14,FALSE)),IFERROR(MIN(IF('S-BOM'!$B$3:$B993=$B258,'S-BOM'!$H$3:$H993,"")),""))</f>
        <v>#NAME?</v>
      </c>
      <c r="F258" s="87" t="str">
        <f t="shared" si="1"/>
        <v/>
      </c>
      <c r="G258" s="87" t="str">
        <f t="shared" si="2"/>
        <v/>
      </c>
      <c r="H258" s="87"/>
      <c r="I258" s="87"/>
      <c r="J258" s="87"/>
    </row>
    <row r="259" spans="1:10">
      <c r="A259" s="2"/>
      <c r="B259" s="2"/>
      <c r="C259" s="120" t="str">
        <f>IF(B259="","",SUMIFS('A-BOM'!$D$3:$D993,'A-BOM'!$C$3:$C993,B259,'A-BOM'!$B$3:$B993,$B$2))</f>
        <v/>
      </c>
      <c r="D259" s="120" t="str">
        <f>IFERROR(IF(B259="","",VLOOKUP(B259,RM!$C$4:$F983,3,FALSE)),"")</f>
        <v/>
      </c>
      <c r="E259" s="118" t="e">
        <f t="array" aca="1" ref="E259" ca="1">_xludf.IFNA(IF(B259="","",VLOOKUP(B259,RM!$C$4:$G983,14,FALSE)),IFERROR(MIN(IF('S-BOM'!$B$3:$B993=$B259,'S-BOM'!$H$3:$H993,"")),""))</f>
        <v>#NAME?</v>
      </c>
      <c r="F259" s="87" t="str">
        <f t="shared" ref="F259:F513" si="3">IF(B259="","",$C$2*C259)</f>
        <v/>
      </c>
      <c r="G259" s="87" t="str">
        <f t="shared" ref="G259:G513" si="4">IF(B259="","",IF(E259&gt;F259,0,F259-E259))</f>
        <v/>
      </c>
      <c r="H259" s="87"/>
      <c r="I259" s="87"/>
      <c r="J259" s="87"/>
    </row>
    <row r="260" spans="1:10">
      <c r="A260" s="2"/>
      <c r="B260" s="2"/>
      <c r="C260" s="120" t="str">
        <f>IF(B260="","",SUMIFS('A-BOM'!$D$3:$D993,'A-BOM'!$C$3:$C993,B260,'A-BOM'!$B$3:$B993,$B$2))</f>
        <v/>
      </c>
      <c r="D260" s="120" t="str">
        <f>IFERROR(IF(B260="","",VLOOKUP(B260,RM!$C$4:$F983,3,FALSE)),"")</f>
        <v/>
      </c>
      <c r="E260" s="118" t="e">
        <f t="array" aca="1" ref="E260" ca="1">_xludf.IFNA(IF(B260="","",VLOOKUP(B260,RM!$C$4:$G983,14,FALSE)),IFERROR(MIN(IF('S-BOM'!$B$3:$B993=$B260,'S-BOM'!$H$3:$H993,"")),""))</f>
        <v>#NAME?</v>
      </c>
      <c r="F260" s="87" t="str">
        <f t="shared" si="3"/>
        <v/>
      </c>
      <c r="G260" s="87" t="str">
        <f t="shared" si="4"/>
        <v/>
      </c>
      <c r="H260" s="87"/>
      <c r="I260" s="87"/>
      <c r="J260" s="87"/>
    </row>
    <row r="261" spans="1:10">
      <c r="A261" s="2"/>
      <c r="B261" s="2"/>
      <c r="C261" s="120" t="str">
        <f>IF(B261="","",SUMIFS('A-BOM'!$D$3:$D993,'A-BOM'!$C$3:$C993,B261,'A-BOM'!$B$3:$B993,$B$2))</f>
        <v/>
      </c>
      <c r="D261" s="120" t="str">
        <f>IFERROR(IF(B261="","",VLOOKUP(B261,RM!$C$4:$F983,3,FALSE)),"")</f>
        <v/>
      </c>
      <c r="E261" s="118" t="e">
        <f t="array" aca="1" ref="E261" ca="1">_xludf.IFNA(IF(B261="","",VLOOKUP(B261,RM!$C$4:$G983,14,FALSE)),IFERROR(MIN(IF('S-BOM'!$B$3:$B993=$B261,'S-BOM'!$H$3:$H993,"")),""))</f>
        <v>#NAME?</v>
      </c>
      <c r="F261" s="87" t="str">
        <f t="shared" si="3"/>
        <v/>
      </c>
      <c r="G261" s="87" t="str">
        <f t="shared" si="4"/>
        <v/>
      </c>
      <c r="H261" s="87"/>
      <c r="I261" s="87"/>
      <c r="J261" s="87"/>
    </row>
    <row r="262" spans="1:10">
      <c r="A262" s="2"/>
      <c r="B262" s="2"/>
      <c r="C262" s="120" t="str">
        <f>IF(B262="","",SUMIFS('A-BOM'!$D$3:$D993,'A-BOM'!$C$3:$C993,B262,'A-BOM'!$B$3:$B993,$B$2))</f>
        <v/>
      </c>
      <c r="D262" s="120" t="str">
        <f>IFERROR(IF(B262="","",VLOOKUP(B262,RM!$C$4:$F983,3,FALSE)),"")</f>
        <v/>
      </c>
      <c r="E262" s="118" t="e">
        <f t="array" aca="1" ref="E262" ca="1">_xludf.IFNA(IF(B262="","",VLOOKUP(B262,RM!$C$4:$G983,14,FALSE)),IFERROR(MIN(IF('S-BOM'!$B$3:$B993=$B262,'S-BOM'!$H$3:$H993,"")),""))</f>
        <v>#NAME?</v>
      </c>
      <c r="F262" s="87" t="str">
        <f t="shared" si="3"/>
        <v/>
      </c>
      <c r="G262" s="87" t="str">
        <f t="shared" si="4"/>
        <v/>
      </c>
      <c r="H262" s="87"/>
      <c r="I262" s="87"/>
      <c r="J262" s="87"/>
    </row>
    <row r="263" spans="1:10">
      <c r="A263" s="2"/>
      <c r="B263" s="2"/>
      <c r="C263" s="120" t="str">
        <f>IF(B263="","",SUMIFS('A-BOM'!$D$3:$D993,'A-BOM'!$C$3:$C993,B263,'A-BOM'!$B$3:$B993,$B$2))</f>
        <v/>
      </c>
      <c r="D263" s="120" t="str">
        <f>IFERROR(IF(B263="","",VLOOKUP(B263,RM!$C$4:$F983,3,FALSE)),"")</f>
        <v/>
      </c>
      <c r="E263" s="118" t="e">
        <f t="array" aca="1" ref="E263" ca="1">_xludf.IFNA(IF(B263="","",VLOOKUP(B263,RM!$C$4:$G983,14,FALSE)),IFERROR(MIN(IF('S-BOM'!$B$3:$B993=$B263,'S-BOM'!$H$3:$H993,"")),""))</f>
        <v>#NAME?</v>
      </c>
      <c r="F263" s="87" t="str">
        <f t="shared" si="3"/>
        <v/>
      </c>
      <c r="G263" s="87" t="str">
        <f t="shared" si="4"/>
        <v/>
      </c>
      <c r="H263" s="87"/>
      <c r="I263" s="87"/>
      <c r="J263" s="87"/>
    </row>
    <row r="264" spans="1:10">
      <c r="A264" s="2"/>
      <c r="B264" s="2"/>
      <c r="C264" s="120" t="str">
        <f>IF(B264="","",SUMIFS('A-BOM'!$D$3:$D993,'A-BOM'!$C$3:$C993,B264,'A-BOM'!$B$3:$B993,$B$2))</f>
        <v/>
      </c>
      <c r="D264" s="120" t="str">
        <f>IFERROR(IF(B264="","",VLOOKUP(B264,RM!$C$4:$F983,3,FALSE)),"")</f>
        <v/>
      </c>
      <c r="E264" s="118" t="e">
        <f t="array" aca="1" ref="E264" ca="1">_xludf.IFNA(IF(B264="","",VLOOKUP(B264,RM!$C$4:$G983,14,FALSE)),IFERROR(MIN(IF('S-BOM'!$B$3:$B993=$B264,'S-BOM'!$H$3:$H993,"")),""))</f>
        <v>#NAME?</v>
      </c>
      <c r="F264" s="87" t="str">
        <f t="shared" si="3"/>
        <v/>
      </c>
      <c r="G264" s="87" t="str">
        <f t="shared" si="4"/>
        <v/>
      </c>
      <c r="H264" s="87"/>
      <c r="I264" s="87"/>
      <c r="J264" s="87"/>
    </row>
    <row r="265" spans="1:10">
      <c r="A265" s="2"/>
      <c r="B265" s="2"/>
      <c r="C265" s="120" t="str">
        <f>IF(B265="","",SUMIFS('A-BOM'!$D$3:$D993,'A-BOM'!$C$3:$C993,B265,'A-BOM'!$B$3:$B993,$B$2))</f>
        <v/>
      </c>
      <c r="D265" s="120" t="str">
        <f>IFERROR(IF(B265="","",VLOOKUP(B265,RM!$C$4:$F983,3,FALSE)),"")</f>
        <v/>
      </c>
      <c r="E265" s="118" t="e">
        <f t="array" aca="1" ref="E265" ca="1">_xludf.IFNA(IF(B265="","",VLOOKUP(B265,RM!$C$4:$G983,14,FALSE)),IFERROR(MIN(IF('S-BOM'!$B$3:$B993=$B265,'S-BOM'!$H$3:$H993,"")),""))</f>
        <v>#NAME?</v>
      </c>
      <c r="F265" s="87" t="str">
        <f t="shared" si="3"/>
        <v/>
      </c>
      <c r="G265" s="87" t="str">
        <f t="shared" si="4"/>
        <v/>
      </c>
      <c r="H265" s="87"/>
      <c r="I265" s="87"/>
      <c r="J265" s="87"/>
    </row>
    <row r="266" spans="1:10">
      <c r="A266" s="2"/>
      <c r="B266" s="2"/>
      <c r="C266" s="120" t="str">
        <f>IF(B266="","",SUMIFS('A-BOM'!$D$3:$D993,'A-BOM'!$C$3:$C993,B266,'A-BOM'!$B$3:$B993,$B$2))</f>
        <v/>
      </c>
      <c r="D266" s="120" t="str">
        <f>IFERROR(IF(B266="","",VLOOKUP(B266,RM!$C$4:$F983,3,FALSE)),"")</f>
        <v/>
      </c>
      <c r="E266" s="118" t="e">
        <f t="array" aca="1" ref="E266" ca="1">_xludf.IFNA(IF(B266="","",VLOOKUP(B266,RM!$C$4:$G983,14,FALSE)),IFERROR(MIN(IF('S-BOM'!$B$3:$B993=$B266,'S-BOM'!$H$3:$H993,"")),""))</f>
        <v>#NAME?</v>
      </c>
      <c r="F266" s="87" t="str">
        <f t="shared" si="3"/>
        <v/>
      </c>
      <c r="G266" s="87" t="str">
        <f t="shared" si="4"/>
        <v/>
      </c>
      <c r="H266" s="87"/>
      <c r="I266" s="87"/>
      <c r="J266" s="87"/>
    </row>
    <row r="267" spans="1:10">
      <c r="A267" s="2"/>
      <c r="B267" s="2"/>
      <c r="C267" s="120" t="str">
        <f>IF(B267="","",SUMIFS('A-BOM'!$D$3:$D993,'A-BOM'!$C$3:$C993,B267,'A-BOM'!$B$3:$B993,$B$2))</f>
        <v/>
      </c>
      <c r="D267" s="120" t="str">
        <f>IFERROR(IF(B267="","",VLOOKUP(B267,RM!$C$4:$F983,3,FALSE)),"")</f>
        <v/>
      </c>
      <c r="E267" s="118" t="e">
        <f t="array" aca="1" ref="E267" ca="1">_xludf.IFNA(IF(B267="","",VLOOKUP(B267,RM!$C$4:$G983,14,FALSE)),IFERROR(MIN(IF('S-BOM'!$B$3:$B993=$B267,'S-BOM'!$H$3:$H993,"")),""))</f>
        <v>#NAME?</v>
      </c>
      <c r="F267" s="87" t="str">
        <f t="shared" si="3"/>
        <v/>
      </c>
      <c r="G267" s="87" t="str">
        <f t="shared" si="4"/>
        <v/>
      </c>
      <c r="H267" s="87"/>
      <c r="I267" s="87"/>
      <c r="J267" s="87"/>
    </row>
    <row r="268" spans="1:10">
      <c r="A268" s="2"/>
      <c r="B268" s="2"/>
      <c r="C268" s="120" t="str">
        <f>IF(B268="","",SUMIFS('A-BOM'!$D$3:$D993,'A-BOM'!$C$3:$C993,B268,'A-BOM'!$B$3:$B993,$B$2))</f>
        <v/>
      </c>
      <c r="D268" s="120" t="str">
        <f>IFERROR(IF(B268="","",VLOOKUP(B268,RM!$C$4:$F983,3,FALSE)),"")</f>
        <v/>
      </c>
      <c r="E268" s="118" t="e">
        <f t="array" aca="1" ref="E268" ca="1">_xludf.IFNA(IF(B268="","",VLOOKUP(B268,RM!$C$4:$G983,14,FALSE)),IFERROR(MIN(IF('S-BOM'!$B$3:$B993=$B268,'S-BOM'!$H$3:$H993,"")),""))</f>
        <v>#NAME?</v>
      </c>
      <c r="F268" s="87" t="str">
        <f t="shared" si="3"/>
        <v/>
      </c>
      <c r="G268" s="87" t="str">
        <f t="shared" si="4"/>
        <v/>
      </c>
      <c r="H268" s="87"/>
      <c r="I268" s="87"/>
      <c r="J268" s="87"/>
    </row>
    <row r="269" spans="1:10">
      <c r="A269" s="2"/>
      <c r="B269" s="2"/>
      <c r="C269" s="120" t="str">
        <f>IF(B269="","",SUMIFS('A-BOM'!$D$3:$D993,'A-BOM'!$C$3:$C993,B269,'A-BOM'!$B$3:$B993,$B$2))</f>
        <v/>
      </c>
      <c r="D269" s="120" t="str">
        <f>IFERROR(IF(B269="","",VLOOKUP(B269,RM!$C$4:$F983,3,FALSE)),"")</f>
        <v/>
      </c>
      <c r="E269" s="118" t="e">
        <f t="array" aca="1" ref="E269" ca="1">_xludf.IFNA(IF(B269="","",VLOOKUP(B269,RM!$C$4:$G983,14,FALSE)),IFERROR(MIN(IF('S-BOM'!$B$3:$B993=$B269,'S-BOM'!$H$3:$H993,"")),""))</f>
        <v>#NAME?</v>
      </c>
      <c r="F269" s="87" t="str">
        <f t="shared" si="3"/>
        <v/>
      </c>
      <c r="G269" s="87" t="str">
        <f t="shared" si="4"/>
        <v/>
      </c>
      <c r="H269" s="87"/>
      <c r="I269" s="87"/>
      <c r="J269" s="87"/>
    </row>
    <row r="270" spans="1:10">
      <c r="A270" s="2"/>
      <c r="B270" s="2"/>
      <c r="C270" s="120" t="str">
        <f>IF(B270="","",SUMIFS('A-BOM'!$D$3:$D993,'A-BOM'!$C$3:$C993,B270,'A-BOM'!$B$3:$B993,$B$2))</f>
        <v/>
      </c>
      <c r="D270" s="120" t="str">
        <f>IFERROR(IF(B270="","",VLOOKUP(B270,RM!$C$4:$F983,3,FALSE)),"")</f>
        <v/>
      </c>
      <c r="E270" s="118" t="e">
        <f t="array" aca="1" ref="E270" ca="1">_xludf.IFNA(IF(B270="","",VLOOKUP(B270,RM!$C$4:$G983,14,FALSE)),IFERROR(MIN(IF('S-BOM'!$B$3:$B993=$B270,'S-BOM'!$H$3:$H993,"")),""))</f>
        <v>#NAME?</v>
      </c>
      <c r="F270" s="87" t="str">
        <f t="shared" si="3"/>
        <v/>
      </c>
      <c r="G270" s="87" t="str">
        <f t="shared" si="4"/>
        <v/>
      </c>
      <c r="H270" s="87"/>
      <c r="I270" s="87"/>
      <c r="J270" s="87"/>
    </row>
    <row r="271" spans="1:10">
      <c r="A271" s="2"/>
      <c r="B271" s="2"/>
      <c r="C271" s="120" t="str">
        <f>IF(B271="","",SUMIFS('A-BOM'!$D$3:$D993,'A-BOM'!$C$3:$C993,B271,'A-BOM'!$B$3:$B993,$B$2))</f>
        <v/>
      </c>
      <c r="D271" s="120" t="str">
        <f>IFERROR(IF(B271="","",VLOOKUP(B271,RM!$C$4:$F983,3,FALSE)),"")</f>
        <v/>
      </c>
      <c r="E271" s="118" t="e">
        <f t="array" aca="1" ref="E271" ca="1">_xludf.IFNA(IF(B271="","",VLOOKUP(B271,RM!$C$4:$G983,14,FALSE)),IFERROR(MIN(IF('S-BOM'!$B$3:$B993=$B271,'S-BOM'!$H$3:$H993,"")),""))</f>
        <v>#NAME?</v>
      </c>
      <c r="F271" s="87" t="str">
        <f t="shared" si="3"/>
        <v/>
      </c>
      <c r="G271" s="87" t="str">
        <f t="shared" si="4"/>
        <v/>
      </c>
      <c r="H271" s="87"/>
      <c r="I271" s="87"/>
      <c r="J271" s="87"/>
    </row>
    <row r="272" spans="1:10">
      <c r="A272" s="2"/>
      <c r="B272" s="2"/>
      <c r="C272" s="120" t="str">
        <f>IF(B272="","",SUMIFS('A-BOM'!$D$3:$D993,'A-BOM'!$C$3:$C993,B272,'A-BOM'!$B$3:$B993,$B$2))</f>
        <v/>
      </c>
      <c r="D272" s="120" t="str">
        <f>IFERROR(IF(B272="","",VLOOKUP(B272,RM!$C$4:$F983,3,FALSE)),"")</f>
        <v/>
      </c>
      <c r="E272" s="118" t="e">
        <f t="array" aca="1" ref="E272" ca="1">_xludf.IFNA(IF(B272="","",VLOOKUP(B272,RM!$C$4:$G983,14,FALSE)),IFERROR(MIN(IF('S-BOM'!$B$3:$B993=$B272,'S-BOM'!$H$3:$H993,"")),""))</f>
        <v>#NAME?</v>
      </c>
      <c r="F272" s="87" t="str">
        <f t="shared" si="3"/>
        <v/>
      </c>
      <c r="G272" s="87" t="str">
        <f t="shared" si="4"/>
        <v/>
      </c>
      <c r="H272" s="87"/>
      <c r="I272" s="87"/>
      <c r="J272" s="87"/>
    </row>
    <row r="273" spans="1:10">
      <c r="A273" s="2"/>
      <c r="B273" s="2"/>
      <c r="C273" s="120" t="str">
        <f>IF(B273="","",SUMIFS('A-BOM'!$D$3:$D993,'A-BOM'!$C$3:$C993,B273,'A-BOM'!$B$3:$B993,$B$2))</f>
        <v/>
      </c>
      <c r="D273" s="120" t="str">
        <f>IFERROR(IF(B273="","",VLOOKUP(B273,RM!$C$4:$F983,3,FALSE)),"")</f>
        <v/>
      </c>
      <c r="E273" s="118" t="e">
        <f t="array" aca="1" ref="E273" ca="1">_xludf.IFNA(IF(B273="","",VLOOKUP(B273,RM!$C$4:$G983,14,FALSE)),IFERROR(MIN(IF('S-BOM'!$B$3:$B993=$B273,'S-BOM'!$H$3:$H993,"")),""))</f>
        <v>#NAME?</v>
      </c>
      <c r="F273" s="87" t="str">
        <f t="shared" si="3"/>
        <v/>
      </c>
      <c r="G273" s="87" t="str">
        <f t="shared" si="4"/>
        <v/>
      </c>
      <c r="H273" s="87"/>
      <c r="I273" s="87"/>
      <c r="J273" s="87"/>
    </row>
    <row r="274" spans="1:10">
      <c r="A274" s="2"/>
      <c r="B274" s="2"/>
      <c r="C274" s="120" t="str">
        <f>IF(B274="","",SUMIFS('A-BOM'!$D$3:$D993,'A-BOM'!$C$3:$C993,B274,'A-BOM'!$B$3:$B993,$B$2))</f>
        <v/>
      </c>
      <c r="D274" s="120" t="str">
        <f>IFERROR(IF(B274="","",VLOOKUP(B274,RM!$C$4:$F983,3,FALSE)),"")</f>
        <v/>
      </c>
      <c r="E274" s="118" t="e">
        <f t="array" aca="1" ref="E274" ca="1">_xludf.IFNA(IF(B274="","",VLOOKUP(B274,RM!$C$4:$G983,14,FALSE)),IFERROR(MIN(IF('S-BOM'!$B$3:$B993=$B274,'S-BOM'!$H$3:$H993,"")),""))</f>
        <v>#NAME?</v>
      </c>
      <c r="F274" s="87" t="str">
        <f t="shared" si="3"/>
        <v/>
      </c>
      <c r="G274" s="87" t="str">
        <f t="shared" si="4"/>
        <v/>
      </c>
      <c r="H274" s="87"/>
      <c r="I274" s="87"/>
      <c r="J274" s="87"/>
    </row>
    <row r="275" spans="1:10">
      <c r="A275" s="2"/>
      <c r="B275" s="2"/>
      <c r="C275" s="120" t="str">
        <f>IF(B275="","",SUMIFS('A-BOM'!$D$3:$D993,'A-BOM'!$C$3:$C993,B275,'A-BOM'!$B$3:$B993,$B$2))</f>
        <v/>
      </c>
      <c r="D275" s="120" t="str">
        <f>IFERROR(IF(B275="","",VLOOKUP(B275,RM!$C$4:$F983,3,FALSE)),"")</f>
        <v/>
      </c>
      <c r="E275" s="118" t="e">
        <f t="array" aca="1" ref="E275" ca="1">_xludf.IFNA(IF(B275="","",VLOOKUP(B275,RM!$C$4:$G983,14,FALSE)),IFERROR(MIN(IF('S-BOM'!$B$3:$B993=$B275,'S-BOM'!$H$3:$H993,"")),""))</f>
        <v>#NAME?</v>
      </c>
      <c r="F275" s="87" t="str">
        <f t="shared" si="3"/>
        <v/>
      </c>
      <c r="G275" s="87" t="str">
        <f t="shared" si="4"/>
        <v/>
      </c>
      <c r="H275" s="87"/>
      <c r="I275" s="87"/>
      <c r="J275" s="87"/>
    </row>
    <row r="276" spans="1:10">
      <c r="A276" s="2"/>
      <c r="B276" s="2"/>
      <c r="C276" s="120" t="str">
        <f>IF(B276="","",SUMIFS('A-BOM'!$D$3:$D993,'A-BOM'!$C$3:$C993,B276,'A-BOM'!$B$3:$B993,$B$2))</f>
        <v/>
      </c>
      <c r="D276" s="120" t="str">
        <f>IFERROR(IF(B276="","",VLOOKUP(B276,RM!$C$4:$F983,3,FALSE)),"")</f>
        <v/>
      </c>
      <c r="E276" s="118" t="e">
        <f t="array" aca="1" ref="E276" ca="1">_xludf.IFNA(IF(B276="","",VLOOKUP(B276,RM!$C$4:$G983,14,FALSE)),IFERROR(MIN(IF('S-BOM'!$B$3:$B993=$B276,'S-BOM'!$H$3:$H993,"")),""))</f>
        <v>#NAME?</v>
      </c>
      <c r="F276" s="87" t="str">
        <f t="shared" si="3"/>
        <v/>
      </c>
      <c r="G276" s="87" t="str">
        <f t="shared" si="4"/>
        <v/>
      </c>
      <c r="H276" s="87"/>
      <c r="I276" s="87"/>
      <c r="J276" s="87"/>
    </row>
    <row r="277" spans="1:10">
      <c r="A277" s="2"/>
      <c r="B277" s="2"/>
      <c r="C277" s="120" t="str">
        <f>IF(B277="","",SUMIFS('A-BOM'!$D$3:$D993,'A-BOM'!$C$3:$C993,B277,'A-BOM'!$B$3:$B993,$B$2))</f>
        <v/>
      </c>
      <c r="D277" s="120" t="str">
        <f>IFERROR(IF(B277="","",VLOOKUP(B277,RM!$C$4:$F983,3,FALSE)),"")</f>
        <v/>
      </c>
      <c r="E277" s="118" t="e">
        <f t="array" aca="1" ref="E277" ca="1">_xludf.IFNA(IF(B277="","",VLOOKUP(B277,RM!$C$4:$G983,14,FALSE)),IFERROR(MIN(IF('S-BOM'!$B$3:$B993=$B277,'S-BOM'!$H$3:$H993,"")),""))</f>
        <v>#NAME?</v>
      </c>
      <c r="F277" s="87" t="str">
        <f t="shared" si="3"/>
        <v/>
      </c>
      <c r="G277" s="87" t="str">
        <f t="shared" si="4"/>
        <v/>
      </c>
      <c r="H277" s="87"/>
      <c r="I277" s="87"/>
      <c r="J277" s="87"/>
    </row>
    <row r="278" spans="1:10">
      <c r="A278" s="2"/>
      <c r="B278" s="2"/>
      <c r="C278" s="120" t="str">
        <f>IF(B278="","",SUMIFS('A-BOM'!$D$3:$D993,'A-BOM'!$C$3:$C993,B278,'A-BOM'!$B$3:$B993,$B$2))</f>
        <v/>
      </c>
      <c r="D278" s="120" t="str">
        <f>IFERROR(IF(B278="","",VLOOKUP(B278,RM!$C$4:$F983,3,FALSE)),"")</f>
        <v/>
      </c>
      <c r="E278" s="118" t="e">
        <f t="array" aca="1" ref="E278" ca="1">_xludf.IFNA(IF(B278="","",VLOOKUP(B278,RM!$C$4:$G983,14,FALSE)),IFERROR(MIN(IF('S-BOM'!$B$3:$B993=$B278,'S-BOM'!$H$3:$H993,"")),""))</f>
        <v>#NAME?</v>
      </c>
      <c r="F278" s="87" t="str">
        <f t="shared" si="3"/>
        <v/>
      </c>
      <c r="G278" s="87" t="str">
        <f t="shared" si="4"/>
        <v/>
      </c>
      <c r="H278" s="87"/>
      <c r="I278" s="87"/>
      <c r="J278" s="87"/>
    </row>
    <row r="279" spans="1:10">
      <c r="A279" s="2"/>
      <c r="B279" s="2"/>
      <c r="C279" s="120" t="str">
        <f>IF(B279="","",SUMIFS('A-BOM'!$D$3:$D993,'A-BOM'!$C$3:$C993,B279,'A-BOM'!$B$3:$B993,$B$2))</f>
        <v/>
      </c>
      <c r="D279" s="120" t="str">
        <f>IFERROR(IF(B279="","",VLOOKUP(B279,RM!$C$4:$F983,3,FALSE)),"")</f>
        <v/>
      </c>
      <c r="E279" s="118" t="e">
        <f t="array" aca="1" ref="E279" ca="1">_xludf.IFNA(IF(B279="","",VLOOKUP(B279,RM!$C$4:$G983,14,FALSE)),IFERROR(MIN(IF('S-BOM'!$B$3:$B993=$B279,'S-BOM'!$H$3:$H993,"")),""))</f>
        <v>#NAME?</v>
      </c>
      <c r="F279" s="87" t="str">
        <f t="shared" si="3"/>
        <v/>
      </c>
      <c r="G279" s="87" t="str">
        <f t="shared" si="4"/>
        <v/>
      </c>
      <c r="H279" s="87"/>
      <c r="I279" s="87"/>
      <c r="J279" s="87"/>
    </row>
    <row r="280" spans="1:10">
      <c r="A280" s="2"/>
      <c r="B280" s="2"/>
      <c r="C280" s="120" t="str">
        <f>IF(B280="","",SUMIFS('A-BOM'!$D$3:$D993,'A-BOM'!$C$3:$C993,B280,'A-BOM'!$B$3:$B993,$B$2))</f>
        <v/>
      </c>
      <c r="D280" s="120" t="str">
        <f>IFERROR(IF(B280="","",VLOOKUP(B280,RM!$C$4:$F983,3,FALSE)),"")</f>
        <v/>
      </c>
      <c r="E280" s="118" t="e">
        <f t="array" aca="1" ref="E280" ca="1">_xludf.IFNA(IF(B280="","",VLOOKUP(B280,RM!$C$4:$G983,14,FALSE)),IFERROR(MIN(IF('S-BOM'!$B$3:$B993=$B280,'S-BOM'!$H$3:$H993,"")),""))</f>
        <v>#NAME?</v>
      </c>
      <c r="F280" s="87" t="str">
        <f t="shared" si="3"/>
        <v/>
      </c>
      <c r="G280" s="87" t="str">
        <f t="shared" si="4"/>
        <v/>
      </c>
      <c r="H280" s="87"/>
      <c r="I280" s="87"/>
      <c r="J280" s="87"/>
    </row>
    <row r="281" spans="1:10">
      <c r="A281" s="2"/>
      <c r="B281" s="2"/>
      <c r="C281" s="120" t="str">
        <f>IF(B281="","",SUMIFS('A-BOM'!$D$3:$D993,'A-BOM'!$C$3:$C993,B281,'A-BOM'!$B$3:$B993,$B$2))</f>
        <v/>
      </c>
      <c r="D281" s="120" t="str">
        <f>IFERROR(IF(B281="","",VLOOKUP(B281,RM!$C$4:$F983,3,FALSE)),"")</f>
        <v/>
      </c>
      <c r="E281" s="118" t="e">
        <f t="array" aca="1" ref="E281" ca="1">_xludf.IFNA(IF(B281="","",VLOOKUP(B281,RM!$C$4:$G983,14,FALSE)),IFERROR(MIN(IF('S-BOM'!$B$3:$B993=$B281,'S-BOM'!$H$3:$H993,"")),""))</f>
        <v>#NAME?</v>
      </c>
      <c r="F281" s="87" t="str">
        <f t="shared" si="3"/>
        <v/>
      </c>
      <c r="G281" s="87" t="str">
        <f t="shared" si="4"/>
        <v/>
      </c>
      <c r="H281" s="87"/>
      <c r="I281" s="87"/>
      <c r="J281" s="87"/>
    </row>
    <row r="282" spans="1:10">
      <c r="A282" s="2"/>
      <c r="B282" s="2"/>
      <c r="C282" s="120" t="str">
        <f>IF(B282="","",SUMIFS('A-BOM'!$D$3:$D993,'A-BOM'!$C$3:$C993,B282,'A-BOM'!$B$3:$B993,$B$2))</f>
        <v/>
      </c>
      <c r="D282" s="120" t="str">
        <f>IFERROR(IF(B282="","",VLOOKUP(B282,RM!$C$4:$F983,3,FALSE)),"")</f>
        <v/>
      </c>
      <c r="E282" s="118" t="e">
        <f t="array" aca="1" ref="E282" ca="1">_xludf.IFNA(IF(B282="","",VLOOKUP(B282,RM!$C$4:$G983,14,FALSE)),IFERROR(MIN(IF('S-BOM'!$B$3:$B993=$B282,'S-BOM'!$H$3:$H993,"")),""))</f>
        <v>#NAME?</v>
      </c>
      <c r="F282" s="87" t="str">
        <f t="shared" si="3"/>
        <v/>
      </c>
      <c r="G282" s="87" t="str">
        <f t="shared" si="4"/>
        <v/>
      </c>
      <c r="H282" s="87"/>
      <c r="I282" s="87"/>
      <c r="J282" s="87"/>
    </row>
    <row r="283" spans="1:10">
      <c r="A283" s="2"/>
      <c r="B283" s="2"/>
      <c r="C283" s="120" t="str">
        <f>IF(B283="","",SUMIFS('A-BOM'!$D$3:$D993,'A-BOM'!$C$3:$C993,B283,'A-BOM'!$B$3:$B993,$B$2))</f>
        <v/>
      </c>
      <c r="D283" s="120" t="str">
        <f>IFERROR(IF(B283="","",VLOOKUP(B283,RM!$C$4:$F983,3,FALSE)),"")</f>
        <v/>
      </c>
      <c r="E283" s="118" t="e">
        <f t="array" aca="1" ref="E283" ca="1">_xludf.IFNA(IF(B283="","",VLOOKUP(B283,RM!$C$4:$G983,14,FALSE)),IFERROR(MIN(IF('S-BOM'!$B$3:$B993=$B283,'S-BOM'!$H$3:$H993,"")),""))</f>
        <v>#NAME?</v>
      </c>
      <c r="F283" s="87" t="str">
        <f t="shared" si="3"/>
        <v/>
      </c>
      <c r="G283" s="87" t="str">
        <f t="shared" si="4"/>
        <v/>
      </c>
      <c r="H283" s="87"/>
      <c r="I283" s="87"/>
      <c r="J283" s="87"/>
    </row>
    <row r="284" spans="1:10">
      <c r="A284" s="2"/>
      <c r="B284" s="2"/>
      <c r="C284" s="120" t="str">
        <f>IF(B284="","",SUMIFS('A-BOM'!$D$3:$D993,'A-BOM'!$C$3:$C993,B284,'A-BOM'!$B$3:$B993,$B$2))</f>
        <v/>
      </c>
      <c r="D284" s="120" t="str">
        <f>IFERROR(IF(B284="","",VLOOKUP(B284,RM!$C$4:$F983,3,FALSE)),"")</f>
        <v/>
      </c>
      <c r="E284" s="118" t="e">
        <f t="array" aca="1" ref="E284" ca="1">_xludf.IFNA(IF(B284="","",VLOOKUP(B284,RM!$C$4:$G983,14,FALSE)),IFERROR(MIN(IF('S-BOM'!$B$3:$B993=$B284,'S-BOM'!$H$3:$H993,"")),""))</f>
        <v>#NAME?</v>
      </c>
      <c r="F284" s="87" t="str">
        <f t="shared" si="3"/>
        <v/>
      </c>
      <c r="G284" s="87" t="str">
        <f t="shared" si="4"/>
        <v/>
      </c>
      <c r="H284" s="87"/>
      <c r="I284" s="87"/>
      <c r="J284" s="87"/>
    </row>
    <row r="285" spans="1:10">
      <c r="A285" s="2"/>
      <c r="B285" s="2"/>
      <c r="C285" s="120" t="str">
        <f>IF(B285="","",SUMIFS('A-BOM'!$D$3:$D993,'A-BOM'!$C$3:$C993,B285,'A-BOM'!$B$3:$B993,$B$2))</f>
        <v/>
      </c>
      <c r="D285" s="120" t="str">
        <f>IFERROR(IF(B285="","",VLOOKUP(B285,RM!$C$4:$F983,3,FALSE)),"")</f>
        <v/>
      </c>
      <c r="E285" s="118" t="e">
        <f t="array" aca="1" ref="E285" ca="1">_xludf.IFNA(IF(B285="","",VLOOKUP(B285,RM!$C$4:$G983,14,FALSE)),IFERROR(MIN(IF('S-BOM'!$B$3:$B993=$B285,'S-BOM'!$H$3:$H993,"")),""))</f>
        <v>#NAME?</v>
      </c>
      <c r="F285" s="87" t="str">
        <f t="shared" si="3"/>
        <v/>
      </c>
      <c r="G285" s="87" t="str">
        <f t="shared" si="4"/>
        <v/>
      </c>
      <c r="H285" s="87"/>
      <c r="I285" s="87"/>
      <c r="J285" s="87"/>
    </row>
    <row r="286" spans="1:10">
      <c r="A286" s="2"/>
      <c r="B286" s="2"/>
      <c r="C286" s="120" t="str">
        <f>IF(B286="","",SUMIFS('A-BOM'!$D$3:$D993,'A-BOM'!$C$3:$C993,B286,'A-BOM'!$B$3:$B993,$B$2))</f>
        <v/>
      </c>
      <c r="D286" s="120" t="str">
        <f>IFERROR(IF(B286="","",VLOOKUP(B286,RM!$C$4:$F983,3,FALSE)),"")</f>
        <v/>
      </c>
      <c r="E286" s="118" t="e">
        <f t="array" aca="1" ref="E286" ca="1">_xludf.IFNA(IF(B286="","",VLOOKUP(B286,RM!$C$4:$G983,14,FALSE)),IFERROR(MIN(IF('S-BOM'!$B$3:$B993=$B286,'S-BOM'!$H$3:$H993,"")),""))</f>
        <v>#NAME?</v>
      </c>
      <c r="F286" s="87" t="str">
        <f t="shared" si="3"/>
        <v/>
      </c>
      <c r="G286" s="87" t="str">
        <f t="shared" si="4"/>
        <v/>
      </c>
      <c r="H286" s="87"/>
      <c r="I286" s="87"/>
      <c r="J286" s="87"/>
    </row>
    <row r="287" spans="1:10">
      <c r="A287" s="2"/>
      <c r="B287" s="2"/>
      <c r="C287" s="120" t="str">
        <f>IF(B287="","",SUMIFS('A-BOM'!$D$3:$D993,'A-BOM'!$C$3:$C993,B287,'A-BOM'!$B$3:$B993,$B$2))</f>
        <v/>
      </c>
      <c r="D287" s="120" t="str">
        <f>IFERROR(IF(B287="","",VLOOKUP(B287,RM!$C$4:$F983,3,FALSE)),"")</f>
        <v/>
      </c>
      <c r="E287" s="118" t="e">
        <f t="array" aca="1" ref="E287" ca="1">_xludf.IFNA(IF(B287="","",VLOOKUP(B287,RM!$C$4:$G983,14,FALSE)),IFERROR(MIN(IF('S-BOM'!$B$3:$B993=$B287,'S-BOM'!$H$3:$H993,"")),""))</f>
        <v>#NAME?</v>
      </c>
      <c r="F287" s="87" t="str">
        <f t="shared" si="3"/>
        <v/>
      </c>
      <c r="G287" s="87" t="str">
        <f t="shared" si="4"/>
        <v/>
      </c>
      <c r="H287" s="87"/>
      <c r="I287" s="87"/>
      <c r="J287" s="87"/>
    </row>
    <row r="288" spans="1:10">
      <c r="A288" s="2"/>
      <c r="B288" s="2"/>
      <c r="C288" s="120" t="str">
        <f>IF(B288="","",SUMIFS('A-BOM'!$D$3:$D993,'A-BOM'!$C$3:$C993,B288,'A-BOM'!$B$3:$B993,$B$2))</f>
        <v/>
      </c>
      <c r="D288" s="120" t="str">
        <f>IFERROR(IF(B288="","",VLOOKUP(B288,RM!$C$4:$F983,3,FALSE)),"")</f>
        <v/>
      </c>
      <c r="E288" s="118" t="e">
        <f t="array" aca="1" ref="E288" ca="1">_xludf.IFNA(IF(B288="","",VLOOKUP(B288,RM!$C$4:$G983,14,FALSE)),IFERROR(MIN(IF('S-BOM'!$B$3:$B993=$B288,'S-BOM'!$H$3:$H993,"")),""))</f>
        <v>#NAME?</v>
      </c>
      <c r="F288" s="87" t="str">
        <f t="shared" si="3"/>
        <v/>
      </c>
      <c r="G288" s="87" t="str">
        <f t="shared" si="4"/>
        <v/>
      </c>
      <c r="H288" s="87"/>
      <c r="I288" s="87"/>
      <c r="J288" s="87"/>
    </row>
    <row r="289" spans="1:10">
      <c r="A289" s="2"/>
      <c r="B289" s="2"/>
      <c r="C289" s="120" t="str">
        <f>IF(B289="","",SUMIFS('A-BOM'!$D$3:$D993,'A-BOM'!$C$3:$C993,B289,'A-BOM'!$B$3:$B993,$B$2))</f>
        <v/>
      </c>
      <c r="D289" s="120" t="str">
        <f>IFERROR(IF(B289="","",VLOOKUP(B289,RM!$C$4:$F983,3,FALSE)),"")</f>
        <v/>
      </c>
      <c r="E289" s="118" t="e">
        <f t="array" aca="1" ref="E289" ca="1">_xludf.IFNA(IF(B289="","",VLOOKUP(B289,RM!$C$4:$G983,14,FALSE)),IFERROR(MIN(IF('S-BOM'!$B$3:$B993=$B289,'S-BOM'!$H$3:$H993,"")),""))</f>
        <v>#NAME?</v>
      </c>
      <c r="F289" s="87" t="str">
        <f t="shared" si="3"/>
        <v/>
      </c>
      <c r="G289" s="87" t="str">
        <f t="shared" si="4"/>
        <v/>
      </c>
      <c r="H289" s="87"/>
      <c r="I289" s="87"/>
      <c r="J289" s="87"/>
    </row>
    <row r="290" spans="1:10">
      <c r="A290" s="2"/>
      <c r="B290" s="2"/>
      <c r="C290" s="120" t="str">
        <f>IF(B290="","",SUMIFS('A-BOM'!$D$3:$D993,'A-BOM'!$C$3:$C993,B290,'A-BOM'!$B$3:$B993,$B$2))</f>
        <v/>
      </c>
      <c r="D290" s="120" t="str">
        <f>IFERROR(IF(B290="","",VLOOKUP(B290,RM!$C$4:$F983,3,FALSE)),"")</f>
        <v/>
      </c>
      <c r="E290" s="118" t="e">
        <f t="array" aca="1" ref="E290" ca="1">_xludf.IFNA(IF(B290="","",VLOOKUP(B290,RM!$C$4:$G983,14,FALSE)),IFERROR(MIN(IF('S-BOM'!$B$3:$B993=$B290,'S-BOM'!$H$3:$H993,"")),""))</f>
        <v>#NAME?</v>
      </c>
      <c r="F290" s="87" t="str">
        <f t="shared" si="3"/>
        <v/>
      </c>
      <c r="G290" s="87" t="str">
        <f t="shared" si="4"/>
        <v/>
      </c>
      <c r="H290" s="87"/>
      <c r="I290" s="87"/>
      <c r="J290" s="87"/>
    </row>
    <row r="291" spans="1:10">
      <c r="A291" s="2"/>
      <c r="B291" s="2"/>
      <c r="C291" s="120" t="str">
        <f>IF(B291="","",SUMIFS('A-BOM'!$D$3:$D993,'A-BOM'!$C$3:$C993,B291,'A-BOM'!$B$3:$B993,$B$2))</f>
        <v/>
      </c>
      <c r="D291" s="120" t="str">
        <f>IFERROR(IF(B291="","",VLOOKUP(B291,RM!$C$4:$F983,3,FALSE)),"")</f>
        <v/>
      </c>
      <c r="E291" s="118" t="e">
        <f t="array" aca="1" ref="E291" ca="1">_xludf.IFNA(IF(B291="","",VLOOKUP(B291,RM!$C$4:$G983,14,FALSE)),IFERROR(MIN(IF('S-BOM'!$B$3:$B993=$B291,'S-BOM'!$H$3:$H993,"")),""))</f>
        <v>#NAME?</v>
      </c>
      <c r="F291" s="87" t="str">
        <f t="shared" si="3"/>
        <v/>
      </c>
      <c r="G291" s="87" t="str">
        <f t="shared" si="4"/>
        <v/>
      </c>
      <c r="H291" s="87"/>
      <c r="I291" s="87"/>
      <c r="J291" s="87"/>
    </row>
    <row r="292" spans="1:10">
      <c r="A292" s="2"/>
      <c r="B292" s="2"/>
      <c r="C292" s="120" t="str">
        <f>IF(B292="","",SUMIFS('A-BOM'!$D$3:$D993,'A-BOM'!$C$3:$C993,B292,'A-BOM'!$B$3:$B993,$B$2))</f>
        <v/>
      </c>
      <c r="D292" s="120" t="str">
        <f>IFERROR(IF(B292="","",VLOOKUP(B292,RM!$C$4:$F983,3,FALSE)),"")</f>
        <v/>
      </c>
      <c r="E292" s="118" t="e">
        <f t="array" aca="1" ref="E292" ca="1">_xludf.IFNA(IF(B292="","",VLOOKUP(B292,RM!$C$4:$G983,14,FALSE)),IFERROR(MIN(IF('S-BOM'!$B$3:$B993=$B292,'S-BOM'!$H$3:$H993,"")),""))</f>
        <v>#NAME?</v>
      </c>
      <c r="F292" s="87" t="str">
        <f t="shared" si="3"/>
        <v/>
      </c>
      <c r="G292" s="87" t="str">
        <f t="shared" si="4"/>
        <v/>
      </c>
      <c r="H292" s="87"/>
      <c r="I292" s="87"/>
      <c r="J292" s="87"/>
    </row>
    <row r="293" spans="1:10">
      <c r="A293" s="2"/>
      <c r="B293" s="2"/>
      <c r="C293" s="120" t="str">
        <f>IF(B293="","",SUMIFS('A-BOM'!$D$3:$D993,'A-BOM'!$C$3:$C993,B293,'A-BOM'!$B$3:$B993,$B$2))</f>
        <v/>
      </c>
      <c r="D293" s="120" t="str">
        <f>IFERROR(IF(B293="","",VLOOKUP(B293,RM!$C$4:$F983,3,FALSE)),"")</f>
        <v/>
      </c>
      <c r="E293" s="118" t="e">
        <f t="array" aca="1" ref="E293" ca="1">_xludf.IFNA(IF(B293="","",VLOOKUP(B293,RM!$C$4:$G983,14,FALSE)),IFERROR(MIN(IF('S-BOM'!$B$3:$B993=$B293,'S-BOM'!$H$3:$H993,"")),""))</f>
        <v>#NAME?</v>
      </c>
      <c r="F293" s="87" t="str">
        <f t="shared" si="3"/>
        <v/>
      </c>
      <c r="G293" s="87" t="str">
        <f t="shared" si="4"/>
        <v/>
      </c>
      <c r="H293" s="87"/>
      <c r="I293" s="87"/>
      <c r="J293" s="87"/>
    </row>
    <row r="294" spans="1:10">
      <c r="A294" s="2"/>
      <c r="B294" s="2"/>
      <c r="C294" s="120" t="str">
        <f>IF(B294="","",SUMIFS('A-BOM'!$D$3:$D993,'A-BOM'!$C$3:$C993,B294,'A-BOM'!$B$3:$B993,$B$2))</f>
        <v/>
      </c>
      <c r="D294" s="120" t="str">
        <f>IFERROR(IF(B294="","",VLOOKUP(B294,RM!$C$4:$F983,3,FALSE)),"")</f>
        <v/>
      </c>
      <c r="E294" s="118" t="e">
        <f t="array" aca="1" ref="E294" ca="1">_xludf.IFNA(IF(B294="","",VLOOKUP(B294,RM!$C$4:$G983,14,FALSE)),IFERROR(MIN(IF('S-BOM'!$B$3:$B993=$B294,'S-BOM'!$H$3:$H993,"")),""))</f>
        <v>#NAME?</v>
      </c>
      <c r="F294" s="87" t="str">
        <f t="shared" si="3"/>
        <v/>
      </c>
      <c r="G294" s="87" t="str">
        <f t="shared" si="4"/>
        <v/>
      </c>
      <c r="H294" s="87"/>
      <c r="I294" s="87"/>
      <c r="J294" s="87"/>
    </row>
    <row r="295" spans="1:10">
      <c r="A295" s="2"/>
      <c r="B295" s="2"/>
      <c r="C295" s="120" t="str">
        <f>IF(B295="","",SUMIFS('A-BOM'!$D$3:$D993,'A-BOM'!$C$3:$C993,B295,'A-BOM'!$B$3:$B993,$B$2))</f>
        <v/>
      </c>
      <c r="D295" s="120" t="str">
        <f>IFERROR(IF(B295="","",VLOOKUP(B295,RM!$C$4:$F983,3,FALSE)),"")</f>
        <v/>
      </c>
      <c r="E295" s="118" t="e">
        <f t="array" aca="1" ref="E295" ca="1">_xludf.IFNA(IF(B295="","",VLOOKUP(B295,RM!$C$4:$G983,14,FALSE)),IFERROR(MIN(IF('S-BOM'!$B$3:$B993=$B295,'S-BOM'!$H$3:$H993,"")),""))</f>
        <v>#NAME?</v>
      </c>
      <c r="F295" s="87" t="str">
        <f t="shared" si="3"/>
        <v/>
      </c>
      <c r="G295" s="87" t="str">
        <f t="shared" si="4"/>
        <v/>
      </c>
      <c r="H295" s="87"/>
      <c r="I295" s="87"/>
      <c r="J295" s="87"/>
    </row>
    <row r="296" spans="1:10">
      <c r="A296" s="2"/>
      <c r="B296" s="2"/>
      <c r="C296" s="120" t="str">
        <f>IF(B296="","",SUMIFS('A-BOM'!$D$3:$D993,'A-BOM'!$C$3:$C993,B296,'A-BOM'!$B$3:$B993,$B$2))</f>
        <v/>
      </c>
      <c r="D296" s="120" t="str">
        <f>IFERROR(IF(B296="","",VLOOKUP(B296,RM!$C$4:$F983,3,FALSE)),"")</f>
        <v/>
      </c>
      <c r="E296" s="118" t="e">
        <f t="array" aca="1" ref="E296" ca="1">_xludf.IFNA(IF(B296="","",VLOOKUP(B296,RM!$C$4:$G983,14,FALSE)),IFERROR(MIN(IF('S-BOM'!$B$3:$B993=$B296,'S-BOM'!$H$3:$H993,"")),""))</f>
        <v>#NAME?</v>
      </c>
      <c r="F296" s="87" t="str">
        <f t="shared" si="3"/>
        <v/>
      </c>
      <c r="G296" s="87" t="str">
        <f t="shared" si="4"/>
        <v/>
      </c>
      <c r="H296" s="87"/>
      <c r="I296" s="87"/>
      <c r="J296" s="87"/>
    </row>
    <row r="297" spans="1:10">
      <c r="A297" s="2"/>
      <c r="B297" s="2"/>
      <c r="C297" s="120" t="str">
        <f>IF(B297="","",SUMIFS('A-BOM'!$D$3:$D993,'A-BOM'!$C$3:$C993,B297,'A-BOM'!$B$3:$B993,$B$2))</f>
        <v/>
      </c>
      <c r="D297" s="120" t="str">
        <f>IFERROR(IF(B297="","",VLOOKUP(B297,RM!$C$4:$F983,3,FALSE)),"")</f>
        <v/>
      </c>
      <c r="E297" s="118" t="e">
        <f t="array" aca="1" ref="E297" ca="1">_xludf.IFNA(IF(B297="","",VLOOKUP(B297,RM!$C$4:$G983,14,FALSE)),IFERROR(MIN(IF('S-BOM'!$B$3:$B993=$B297,'S-BOM'!$H$3:$H993,"")),""))</f>
        <v>#NAME?</v>
      </c>
      <c r="F297" s="87" t="str">
        <f t="shared" si="3"/>
        <v/>
      </c>
      <c r="G297" s="87" t="str">
        <f t="shared" si="4"/>
        <v/>
      </c>
      <c r="H297" s="87"/>
      <c r="I297" s="87"/>
      <c r="J297" s="87"/>
    </row>
    <row r="298" spans="1:10">
      <c r="A298" s="2"/>
      <c r="B298" s="2"/>
      <c r="C298" s="120" t="str">
        <f>IF(B298="","",SUMIFS('A-BOM'!$D$3:$D993,'A-BOM'!$C$3:$C993,B298,'A-BOM'!$B$3:$B993,$B$2))</f>
        <v/>
      </c>
      <c r="D298" s="120" t="str">
        <f>IFERROR(IF(B298="","",VLOOKUP(B298,RM!$C$4:$F983,3,FALSE)),"")</f>
        <v/>
      </c>
      <c r="E298" s="118" t="e">
        <f t="array" aca="1" ref="E298" ca="1">_xludf.IFNA(IF(B298="","",VLOOKUP(B298,RM!$C$4:$G983,14,FALSE)),IFERROR(MIN(IF('S-BOM'!$B$3:$B993=$B298,'S-BOM'!$H$3:$H993,"")),""))</f>
        <v>#NAME?</v>
      </c>
      <c r="F298" s="87" t="str">
        <f t="shared" si="3"/>
        <v/>
      </c>
      <c r="G298" s="87" t="str">
        <f t="shared" si="4"/>
        <v/>
      </c>
      <c r="H298" s="87"/>
      <c r="I298" s="87"/>
      <c r="J298" s="87"/>
    </row>
    <row r="299" spans="1:10">
      <c r="A299" s="2"/>
      <c r="B299" s="2"/>
      <c r="C299" s="120" t="str">
        <f>IF(B299="","",SUMIFS('A-BOM'!$D$3:$D993,'A-BOM'!$C$3:$C993,B299,'A-BOM'!$B$3:$B993,$B$2))</f>
        <v/>
      </c>
      <c r="D299" s="120" t="str">
        <f>IFERROR(IF(B299="","",VLOOKUP(B299,RM!$C$4:$F983,3,FALSE)),"")</f>
        <v/>
      </c>
      <c r="E299" s="118" t="e">
        <f t="array" aca="1" ref="E299" ca="1">_xludf.IFNA(IF(B299="","",VLOOKUP(B299,RM!$C$4:$G983,14,FALSE)),IFERROR(MIN(IF('S-BOM'!$B$3:$B993=$B299,'S-BOM'!$H$3:$H993,"")),""))</f>
        <v>#NAME?</v>
      </c>
      <c r="F299" s="87" t="str">
        <f t="shared" si="3"/>
        <v/>
      </c>
      <c r="G299" s="87" t="str">
        <f t="shared" si="4"/>
        <v/>
      </c>
      <c r="H299" s="87"/>
      <c r="I299" s="87"/>
      <c r="J299" s="87"/>
    </row>
    <row r="300" spans="1:10">
      <c r="A300" s="2"/>
      <c r="B300" s="2"/>
      <c r="C300" s="120" t="str">
        <f>IF(B300="","",SUMIFS('A-BOM'!$D$3:$D993,'A-BOM'!$C$3:$C993,B300,'A-BOM'!$B$3:$B993,$B$2))</f>
        <v/>
      </c>
      <c r="D300" s="120" t="str">
        <f>IFERROR(IF(B300="","",VLOOKUP(B300,RM!$C$4:$F983,3,FALSE)),"")</f>
        <v/>
      </c>
      <c r="E300" s="118" t="e">
        <f t="array" aca="1" ref="E300" ca="1">_xludf.IFNA(IF(B300="","",VLOOKUP(B300,RM!$C$4:$G983,14,FALSE)),IFERROR(MIN(IF('S-BOM'!$B$3:$B993=$B300,'S-BOM'!$H$3:$H993,"")),""))</f>
        <v>#NAME?</v>
      </c>
      <c r="F300" s="87" t="str">
        <f t="shared" si="3"/>
        <v/>
      </c>
      <c r="G300" s="87" t="str">
        <f t="shared" si="4"/>
        <v/>
      </c>
      <c r="H300" s="87"/>
      <c r="I300" s="87"/>
      <c r="J300" s="87"/>
    </row>
    <row r="301" spans="1:10">
      <c r="A301" s="2"/>
      <c r="B301" s="2"/>
      <c r="C301" s="120" t="str">
        <f>IF(B301="","",SUMIFS('A-BOM'!$D$3:$D993,'A-BOM'!$C$3:$C993,B301,'A-BOM'!$B$3:$B993,$B$2))</f>
        <v/>
      </c>
      <c r="D301" s="120" t="str">
        <f>IFERROR(IF(B301="","",VLOOKUP(B301,RM!$C$4:$F983,3,FALSE)),"")</f>
        <v/>
      </c>
      <c r="E301" s="118" t="e">
        <f t="array" aca="1" ref="E301" ca="1">_xludf.IFNA(IF(B301="","",VLOOKUP(B301,RM!$C$4:$G983,14,FALSE)),IFERROR(MIN(IF('S-BOM'!$B$3:$B993=$B301,'S-BOM'!$H$3:$H993,"")),""))</f>
        <v>#NAME?</v>
      </c>
      <c r="F301" s="87" t="str">
        <f t="shared" si="3"/>
        <v/>
      </c>
      <c r="G301" s="87" t="str">
        <f t="shared" si="4"/>
        <v/>
      </c>
      <c r="H301" s="87"/>
      <c r="I301" s="87"/>
      <c r="J301" s="87"/>
    </row>
    <row r="302" spans="1:10">
      <c r="A302" s="2"/>
      <c r="B302" s="2"/>
      <c r="C302" s="120" t="str">
        <f>IF(B302="","",SUMIFS('A-BOM'!$D$3:$D993,'A-BOM'!$C$3:$C993,B302,'A-BOM'!$B$3:$B993,$B$2))</f>
        <v/>
      </c>
      <c r="D302" s="120" t="str">
        <f>IFERROR(IF(B302="","",VLOOKUP(B302,RM!$C$4:$F983,3,FALSE)),"")</f>
        <v/>
      </c>
      <c r="E302" s="118" t="e">
        <f t="array" aca="1" ref="E302" ca="1">_xludf.IFNA(IF(B302="","",VLOOKUP(B302,RM!$C$4:$G983,14,FALSE)),IFERROR(MIN(IF('S-BOM'!$B$3:$B993=$B302,'S-BOM'!$H$3:$H993,"")),""))</f>
        <v>#NAME?</v>
      </c>
      <c r="F302" s="87" t="str">
        <f t="shared" si="3"/>
        <v/>
      </c>
      <c r="G302" s="87" t="str">
        <f t="shared" si="4"/>
        <v/>
      </c>
      <c r="H302" s="87"/>
      <c r="I302" s="87"/>
      <c r="J302" s="87"/>
    </row>
    <row r="303" spans="1:10">
      <c r="A303" s="2"/>
      <c r="B303" s="2"/>
      <c r="C303" s="120" t="str">
        <f>IF(B303="","",SUMIFS('A-BOM'!$D$3:$D993,'A-BOM'!$C$3:$C993,B303,'A-BOM'!$B$3:$B993,$B$2))</f>
        <v/>
      </c>
      <c r="D303" s="120" t="str">
        <f>IFERROR(IF(B303="","",VLOOKUP(B303,RM!$C$4:$F983,3,FALSE)),"")</f>
        <v/>
      </c>
      <c r="E303" s="118" t="e">
        <f t="array" aca="1" ref="E303" ca="1">_xludf.IFNA(IF(B303="","",VLOOKUP(B303,RM!$C$4:$G983,14,FALSE)),IFERROR(MIN(IF('S-BOM'!$B$3:$B993=$B303,'S-BOM'!$H$3:$H993,"")),""))</f>
        <v>#NAME?</v>
      </c>
      <c r="F303" s="87" t="str">
        <f t="shared" si="3"/>
        <v/>
      </c>
      <c r="G303" s="87" t="str">
        <f t="shared" si="4"/>
        <v/>
      </c>
      <c r="H303" s="87"/>
      <c r="I303" s="87"/>
      <c r="J303" s="87"/>
    </row>
    <row r="304" spans="1:10">
      <c r="A304" s="2"/>
      <c r="B304" s="2"/>
      <c r="C304" s="120" t="str">
        <f>IF(B304="","",SUMIFS('A-BOM'!$D$3:$D993,'A-BOM'!$C$3:$C993,B304,'A-BOM'!$B$3:$B993,$B$2))</f>
        <v/>
      </c>
      <c r="D304" s="120" t="str">
        <f>IFERROR(IF(B304="","",VLOOKUP(B304,RM!$C$4:$F983,3,FALSE)),"")</f>
        <v/>
      </c>
      <c r="E304" s="118" t="e">
        <f t="array" aca="1" ref="E304" ca="1">_xludf.IFNA(IF(B304="","",VLOOKUP(B304,RM!$C$4:$G983,14,FALSE)),IFERROR(MIN(IF('S-BOM'!$B$3:$B993=$B304,'S-BOM'!$H$3:$H993,"")),""))</f>
        <v>#NAME?</v>
      </c>
      <c r="F304" s="87" t="str">
        <f t="shared" si="3"/>
        <v/>
      </c>
      <c r="G304" s="87" t="str">
        <f t="shared" si="4"/>
        <v/>
      </c>
      <c r="H304" s="87"/>
      <c r="I304" s="87"/>
      <c r="J304" s="87"/>
    </row>
    <row r="305" spans="1:10">
      <c r="A305" s="2"/>
      <c r="B305" s="2"/>
      <c r="C305" s="120" t="str">
        <f>IF(B305="","",SUMIFS('A-BOM'!$D$3:$D993,'A-BOM'!$C$3:$C993,B305,'A-BOM'!$B$3:$B993,$B$2))</f>
        <v/>
      </c>
      <c r="D305" s="120" t="str">
        <f>IFERROR(IF(B305="","",VLOOKUP(B305,RM!$C$4:$F983,3,FALSE)),"")</f>
        <v/>
      </c>
      <c r="E305" s="118" t="e">
        <f t="array" aca="1" ref="E305" ca="1">_xludf.IFNA(IF(B305="","",VLOOKUP(B305,RM!$C$4:$G983,14,FALSE)),IFERROR(MIN(IF('S-BOM'!$B$3:$B993=$B305,'S-BOM'!$H$3:$H993,"")),""))</f>
        <v>#NAME?</v>
      </c>
      <c r="F305" s="87" t="str">
        <f t="shared" si="3"/>
        <v/>
      </c>
      <c r="G305" s="87" t="str">
        <f t="shared" si="4"/>
        <v/>
      </c>
      <c r="H305" s="87"/>
      <c r="I305" s="87"/>
      <c r="J305" s="87"/>
    </row>
    <row r="306" spans="1:10">
      <c r="A306" s="2"/>
      <c r="B306" s="2"/>
      <c r="C306" s="120" t="str">
        <f>IF(B306="","",SUMIFS('A-BOM'!$D$3:$D993,'A-BOM'!$C$3:$C993,B306,'A-BOM'!$B$3:$B993,$B$2))</f>
        <v/>
      </c>
      <c r="D306" s="120" t="str">
        <f>IFERROR(IF(B306="","",VLOOKUP(B306,RM!$C$4:$F983,3,FALSE)),"")</f>
        <v/>
      </c>
      <c r="E306" s="118" t="e">
        <f t="array" aca="1" ref="E306" ca="1">_xludf.IFNA(IF(B306="","",VLOOKUP(B306,RM!$C$4:$G983,14,FALSE)),IFERROR(MIN(IF('S-BOM'!$B$3:$B993=$B306,'S-BOM'!$H$3:$H993,"")),""))</f>
        <v>#NAME?</v>
      </c>
      <c r="F306" s="87" t="str">
        <f t="shared" si="3"/>
        <v/>
      </c>
      <c r="G306" s="87" t="str">
        <f t="shared" si="4"/>
        <v/>
      </c>
      <c r="H306" s="87"/>
      <c r="I306" s="87"/>
      <c r="J306" s="87"/>
    </row>
    <row r="307" spans="1:10">
      <c r="A307" s="2"/>
      <c r="B307" s="2"/>
      <c r="C307" s="120" t="str">
        <f>IF(B307="","",SUMIFS('A-BOM'!$D$3:$D993,'A-BOM'!$C$3:$C993,B307,'A-BOM'!$B$3:$B993,$B$2))</f>
        <v/>
      </c>
      <c r="D307" s="120" t="str">
        <f>IFERROR(IF(B307="","",VLOOKUP(B307,RM!$C$4:$F983,3,FALSE)),"")</f>
        <v/>
      </c>
      <c r="E307" s="118" t="e">
        <f t="array" aca="1" ref="E307" ca="1">_xludf.IFNA(IF(B307="","",VLOOKUP(B307,RM!$C$4:$G983,14,FALSE)),IFERROR(MIN(IF('S-BOM'!$B$3:$B993=$B307,'S-BOM'!$H$3:$H993,"")),""))</f>
        <v>#NAME?</v>
      </c>
      <c r="F307" s="87" t="str">
        <f t="shared" si="3"/>
        <v/>
      </c>
      <c r="G307" s="87" t="str">
        <f t="shared" si="4"/>
        <v/>
      </c>
      <c r="H307" s="87"/>
      <c r="I307" s="87"/>
      <c r="J307" s="87"/>
    </row>
    <row r="308" spans="1:10">
      <c r="A308" s="2"/>
      <c r="B308" s="2"/>
      <c r="C308" s="120" t="str">
        <f>IF(B308="","",SUMIFS('A-BOM'!$D$3:$D993,'A-BOM'!$C$3:$C993,B308,'A-BOM'!$B$3:$B993,$B$2))</f>
        <v/>
      </c>
      <c r="D308" s="120" t="str">
        <f>IFERROR(IF(B308="","",VLOOKUP(B308,RM!$C$4:$F983,3,FALSE)),"")</f>
        <v/>
      </c>
      <c r="E308" s="118" t="e">
        <f t="array" aca="1" ref="E308" ca="1">_xludf.IFNA(IF(B308="","",VLOOKUP(B308,RM!$C$4:$G983,14,FALSE)),IFERROR(MIN(IF('S-BOM'!$B$3:$B993=$B308,'S-BOM'!$H$3:$H993,"")),""))</f>
        <v>#NAME?</v>
      </c>
      <c r="F308" s="87" t="str">
        <f t="shared" si="3"/>
        <v/>
      </c>
      <c r="G308" s="87" t="str">
        <f t="shared" si="4"/>
        <v/>
      </c>
      <c r="H308" s="87"/>
      <c r="I308" s="87"/>
      <c r="J308" s="87"/>
    </row>
    <row r="309" spans="1:10">
      <c r="A309" s="2"/>
      <c r="B309" s="2"/>
      <c r="C309" s="120" t="str">
        <f>IF(B309="","",SUMIFS('A-BOM'!$D$3:$D993,'A-BOM'!$C$3:$C993,B309,'A-BOM'!$B$3:$B993,$B$2))</f>
        <v/>
      </c>
      <c r="D309" s="120" t="str">
        <f>IFERROR(IF(B309="","",VLOOKUP(B309,RM!$C$4:$F983,3,FALSE)),"")</f>
        <v/>
      </c>
      <c r="E309" s="118" t="e">
        <f t="array" aca="1" ref="E309" ca="1">_xludf.IFNA(IF(B309="","",VLOOKUP(B309,RM!$C$4:$G983,14,FALSE)),IFERROR(MIN(IF('S-BOM'!$B$3:$B993=$B309,'S-BOM'!$H$3:$H993,"")),""))</f>
        <v>#NAME?</v>
      </c>
      <c r="F309" s="87" t="str">
        <f t="shared" si="3"/>
        <v/>
      </c>
      <c r="G309" s="87" t="str">
        <f t="shared" si="4"/>
        <v/>
      </c>
      <c r="H309" s="87"/>
      <c r="I309" s="87"/>
      <c r="J309" s="87"/>
    </row>
    <row r="310" spans="1:10">
      <c r="A310" s="2"/>
      <c r="B310" s="2"/>
      <c r="C310" s="120" t="str">
        <f>IF(B310="","",SUMIFS('A-BOM'!$D$3:$D993,'A-BOM'!$C$3:$C993,B310,'A-BOM'!$B$3:$B993,$B$2))</f>
        <v/>
      </c>
      <c r="D310" s="120" t="str">
        <f>IFERROR(IF(B310="","",VLOOKUP(B310,RM!$C$4:$F983,3,FALSE)),"")</f>
        <v/>
      </c>
      <c r="E310" s="118" t="e">
        <f t="array" aca="1" ref="E310" ca="1">_xludf.IFNA(IF(B310="","",VLOOKUP(B310,RM!$C$4:$G983,14,FALSE)),IFERROR(MIN(IF('S-BOM'!$B$3:$B993=$B310,'S-BOM'!$H$3:$H993,"")),""))</f>
        <v>#NAME?</v>
      </c>
      <c r="F310" s="87" t="str">
        <f t="shared" si="3"/>
        <v/>
      </c>
      <c r="G310" s="87" t="str">
        <f t="shared" si="4"/>
        <v/>
      </c>
      <c r="H310" s="87"/>
      <c r="I310" s="87"/>
      <c r="J310" s="87"/>
    </row>
    <row r="311" spans="1:10">
      <c r="A311" s="2"/>
      <c r="B311" s="2"/>
      <c r="C311" s="120" t="str">
        <f>IF(B311="","",SUMIFS('A-BOM'!$D$3:$D993,'A-BOM'!$C$3:$C993,B311,'A-BOM'!$B$3:$B993,$B$2))</f>
        <v/>
      </c>
      <c r="D311" s="120" t="str">
        <f>IFERROR(IF(B311="","",VLOOKUP(B311,RM!$C$4:$F983,3,FALSE)),"")</f>
        <v/>
      </c>
      <c r="E311" s="118" t="e">
        <f t="array" aca="1" ref="E311" ca="1">_xludf.IFNA(IF(B311="","",VLOOKUP(B311,RM!$C$4:$G983,14,FALSE)),IFERROR(MIN(IF('S-BOM'!$B$3:$B993=$B311,'S-BOM'!$H$3:$H993,"")),""))</f>
        <v>#NAME?</v>
      </c>
      <c r="F311" s="87" t="str">
        <f t="shared" si="3"/>
        <v/>
      </c>
      <c r="G311" s="87" t="str">
        <f t="shared" si="4"/>
        <v/>
      </c>
      <c r="H311" s="87"/>
      <c r="I311" s="87"/>
      <c r="J311" s="87"/>
    </row>
    <row r="312" spans="1:10">
      <c r="A312" s="2"/>
      <c r="B312" s="2"/>
      <c r="C312" s="120" t="str">
        <f>IF(B312="","",SUMIFS('A-BOM'!$D$3:$D993,'A-BOM'!$C$3:$C993,B312,'A-BOM'!$B$3:$B993,$B$2))</f>
        <v/>
      </c>
      <c r="D312" s="120" t="str">
        <f>IFERROR(IF(B312="","",VLOOKUP(B312,RM!$C$4:$F983,3,FALSE)),"")</f>
        <v/>
      </c>
      <c r="E312" s="118" t="e">
        <f t="array" aca="1" ref="E312" ca="1">_xludf.IFNA(IF(B312="","",VLOOKUP(B312,RM!$C$4:$G983,14,FALSE)),IFERROR(MIN(IF('S-BOM'!$B$3:$B993=$B312,'S-BOM'!$H$3:$H993,"")),""))</f>
        <v>#NAME?</v>
      </c>
      <c r="F312" s="87" t="str">
        <f t="shared" si="3"/>
        <v/>
      </c>
      <c r="G312" s="87" t="str">
        <f t="shared" si="4"/>
        <v/>
      </c>
      <c r="H312" s="87"/>
      <c r="I312" s="87"/>
      <c r="J312" s="87"/>
    </row>
    <row r="313" spans="1:10">
      <c r="A313" s="2"/>
      <c r="B313" s="2"/>
      <c r="C313" s="120" t="str">
        <f>IF(B313="","",SUMIFS('A-BOM'!$D$3:$D993,'A-BOM'!$C$3:$C993,B313,'A-BOM'!$B$3:$B993,$B$2))</f>
        <v/>
      </c>
      <c r="D313" s="120" t="str">
        <f>IFERROR(IF(B313="","",VLOOKUP(B313,RM!$C$4:$F983,3,FALSE)),"")</f>
        <v/>
      </c>
      <c r="E313" s="118" t="e">
        <f t="array" aca="1" ref="E313" ca="1">_xludf.IFNA(IF(B313="","",VLOOKUP(B313,RM!$C$4:$G983,14,FALSE)),IFERROR(MIN(IF('S-BOM'!$B$3:$B993=$B313,'S-BOM'!$H$3:$H993,"")),""))</f>
        <v>#NAME?</v>
      </c>
      <c r="F313" s="87" t="str">
        <f t="shared" si="3"/>
        <v/>
      </c>
      <c r="G313" s="87" t="str">
        <f t="shared" si="4"/>
        <v/>
      </c>
      <c r="H313" s="87"/>
      <c r="I313" s="87"/>
      <c r="J313" s="87"/>
    </row>
    <row r="314" spans="1:10">
      <c r="A314" s="2"/>
      <c r="B314" s="2"/>
      <c r="C314" s="120" t="str">
        <f>IF(B314="","",SUMIFS('A-BOM'!$D$3:$D993,'A-BOM'!$C$3:$C993,B314,'A-BOM'!$B$3:$B993,$B$2))</f>
        <v/>
      </c>
      <c r="D314" s="120" t="str">
        <f>IFERROR(IF(B314="","",VLOOKUP(B314,RM!$C$4:$F983,3,FALSE)),"")</f>
        <v/>
      </c>
      <c r="E314" s="118" t="e">
        <f t="array" aca="1" ref="E314" ca="1">_xludf.IFNA(IF(B314="","",VLOOKUP(B314,RM!$C$4:$G983,14,FALSE)),IFERROR(MIN(IF('S-BOM'!$B$3:$B993=$B314,'S-BOM'!$H$3:$H993,"")),""))</f>
        <v>#NAME?</v>
      </c>
      <c r="F314" s="87" t="str">
        <f t="shared" si="3"/>
        <v/>
      </c>
      <c r="G314" s="87" t="str">
        <f t="shared" si="4"/>
        <v/>
      </c>
      <c r="H314" s="87"/>
      <c r="I314" s="87"/>
      <c r="J314" s="87"/>
    </row>
    <row r="315" spans="1:10">
      <c r="A315" s="2"/>
      <c r="B315" s="2"/>
      <c r="C315" s="120" t="str">
        <f>IF(B315="","",SUMIFS('A-BOM'!$D$3:$D993,'A-BOM'!$C$3:$C993,B315,'A-BOM'!$B$3:$B993,$B$2))</f>
        <v/>
      </c>
      <c r="D315" s="120" t="str">
        <f>IFERROR(IF(B315="","",VLOOKUP(B315,RM!$C$4:$F983,3,FALSE)),"")</f>
        <v/>
      </c>
      <c r="E315" s="118" t="e">
        <f t="array" aca="1" ref="E315" ca="1">_xludf.IFNA(IF(B315="","",VLOOKUP(B315,RM!$C$4:$G983,14,FALSE)),IFERROR(MIN(IF('S-BOM'!$B$3:$B993=$B315,'S-BOM'!$H$3:$H993,"")),""))</f>
        <v>#NAME?</v>
      </c>
      <c r="F315" s="87" t="str">
        <f t="shared" si="3"/>
        <v/>
      </c>
      <c r="G315" s="87" t="str">
        <f t="shared" si="4"/>
        <v/>
      </c>
      <c r="H315" s="87"/>
      <c r="I315" s="87"/>
      <c r="J315" s="87"/>
    </row>
    <row r="316" spans="1:10">
      <c r="A316" s="2"/>
      <c r="B316" s="2"/>
      <c r="C316" s="120" t="str">
        <f>IF(B316="","",SUMIFS('A-BOM'!$D$3:$D993,'A-BOM'!$C$3:$C993,B316,'A-BOM'!$B$3:$B993,$B$2))</f>
        <v/>
      </c>
      <c r="D316" s="120" t="str">
        <f>IFERROR(IF(B316="","",VLOOKUP(B316,RM!$C$4:$F983,3,FALSE)),"")</f>
        <v/>
      </c>
      <c r="E316" s="118" t="e">
        <f t="array" aca="1" ref="E316" ca="1">_xludf.IFNA(IF(B316="","",VLOOKUP(B316,RM!$C$4:$G983,14,FALSE)),IFERROR(MIN(IF('S-BOM'!$B$3:$B993=$B316,'S-BOM'!$H$3:$H993,"")),""))</f>
        <v>#NAME?</v>
      </c>
      <c r="F316" s="87" t="str">
        <f t="shared" si="3"/>
        <v/>
      </c>
      <c r="G316" s="87" t="str">
        <f t="shared" si="4"/>
        <v/>
      </c>
      <c r="H316" s="87"/>
      <c r="I316" s="87"/>
      <c r="J316" s="87"/>
    </row>
    <row r="317" spans="1:10">
      <c r="A317" s="2"/>
      <c r="B317" s="2"/>
      <c r="C317" s="120" t="str">
        <f>IF(B317="","",SUMIFS('A-BOM'!$D$3:$D993,'A-BOM'!$C$3:$C993,B317,'A-BOM'!$B$3:$B993,$B$2))</f>
        <v/>
      </c>
      <c r="D317" s="120" t="str">
        <f>IFERROR(IF(B317="","",VLOOKUP(B317,RM!$C$4:$F983,3,FALSE)),"")</f>
        <v/>
      </c>
      <c r="E317" s="118" t="e">
        <f t="array" aca="1" ref="E317" ca="1">_xludf.IFNA(IF(B317="","",VLOOKUP(B317,RM!$C$4:$G983,14,FALSE)),IFERROR(MIN(IF('S-BOM'!$B$3:$B993=$B317,'S-BOM'!$H$3:$H993,"")),""))</f>
        <v>#NAME?</v>
      </c>
      <c r="F317" s="87" t="str">
        <f t="shared" si="3"/>
        <v/>
      </c>
      <c r="G317" s="87" t="str">
        <f t="shared" si="4"/>
        <v/>
      </c>
      <c r="H317" s="87"/>
      <c r="I317" s="87"/>
      <c r="J317" s="87"/>
    </row>
    <row r="318" spans="1:10">
      <c r="A318" s="2"/>
      <c r="B318" s="2"/>
      <c r="C318" s="120" t="str">
        <f>IF(B318="","",SUMIFS('A-BOM'!$D$3:$D993,'A-BOM'!$C$3:$C993,B318,'A-BOM'!$B$3:$B993,$B$2))</f>
        <v/>
      </c>
      <c r="D318" s="120" t="str">
        <f>IFERROR(IF(B318="","",VLOOKUP(B318,RM!$C$4:$F983,3,FALSE)),"")</f>
        <v/>
      </c>
      <c r="E318" s="118" t="e">
        <f t="array" aca="1" ref="E318" ca="1">_xludf.IFNA(IF(B318="","",VLOOKUP(B318,RM!$C$4:$G983,14,FALSE)),IFERROR(MIN(IF('S-BOM'!$B$3:$B993=$B318,'S-BOM'!$H$3:$H993,"")),""))</f>
        <v>#NAME?</v>
      </c>
      <c r="F318" s="87" t="str">
        <f t="shared" si="3"/>
        <v/>
      </c>
      <c r="G318" s="87" t="str">
        <f t="shared" si="4"/>
        <v/>
      </c>
      <c r="H318" s="87"/>
      <c r="I318" s="87"/>
      <c r="J318" s="87"/>
    </row>
    <row r="319" spans="1:10">
      <c r="A319" s="2"/>
      <c r="B319" s="2"/>
      <c r="C319" s="120" t="str">
        <f>IF(B319="","",SUMIFS('A-BOM'!$D$3:$D993,'A-BOM'!$C$3:$C993,B319,'A-BOM'!$B$3:$B993,$B$2))</f>
        <v/>
      </c>
      <c r="D319" s="120" t="str">
        <f>IFERROR(IF(B319="","",VLOOKUP(B319,RM!$C$4:$F983,3,FALSE)),"")</f>
        <v/>
      </c>
      <c r="E319" s="118" t="e">
        <f t="array" aca="1" ref="E319" ca="1">_xludf.IFNA(IF(B319="","",VLOOKUP(B319,RM!$C$4:$G983,14,FALSE)),IFERROR(MIN(IF('S-BOM'!$B$3:$B993=$B319,'S-BOM'!$H$3:$H993,"")),""))</f>
        <v>#NAME?</v>
      </c>
      <c r="F319" s="87" t="str">
        <f t="shared" si="3"/>
        <v/>
      </c>
      <c r="G319" s="87" t="str">
        <f t="shared" si="4"/>
        <v/>
      </c>
      <c r="H319" s="87"/>
      <c r="I319" s="87"/>
      <c r="J319" s="87"/>
    </row>
    <row r="320" spans="1:10">
      <c r="A320" s="2"/>
      <c r="B320" s="2"/>
      <c r="C320" s="120" t="str">
        <f>IF(B320="","",SUMIFS('A-BOM'!$D$3:$D993,'A-BOM'!$C$3:$C993,B320,'A-BOM'!$B$3:$B993,$B$2))</f>
        <v/>
      </c>
      <c r="D320" s="120" t="str">
        <f>IFERROR(IF(B320="","",VLOOKUP(B320,RM!$C$4:$F983,3,FALSE)),"")</f>
        <v/>
      </c>
      <c r="E320" s="118" t="e">
        <f t="array" aca="1" ref="E320" ca="1">_xludf.IFNA(IF(B320="","",VLOOKUP(B320,RM!$C$4:$G983,14,FALSE)),IFERROR(MIN(IF('S-BOM'!$B$3:$B993=$B320,'S-BOM'!$H$3:$H993,"")),""))</f>
        <v>#NAME?</v>
      </c>
      <c r="F320" s="87" t="str">
        <f t="shared" si="3"/>
        <v/>
      </c>
      <c r="G320" s="87" t="str">
        <f t="shared" si="4"/>
        <v/>
      </c>
      <c r="H320" s="87"/>
      <c r="I320" s="87"/>
      <c r="J320" s="87"/>
    </row>
    <row r="321" spans="1:10">
      <c r="A321" s="2"/>
      <c r="B321" s="2"/>
      <c r="C321" s="120" t="str">
        <f>IF(B321="","",SUMIFS('A-BOM'!$D$3:$D993,'A-BOM'!$C$3:$C993,B321,'A-BOM'!$B$3:$B993,$B$2))</f>
        <v/>
      </c>
      <c r="D321" s="120" t="str">
        <f>IFERROR(IF(B321="","",VLOOKUP(B321,RM!$C$4:$F983,3,FALSE)),"")</f>
        <v/>
      </c>
      <c r="E321" s="118" t="e">
        <f t="array" aca="1" ref="E321" ca="1">_xludf.IFNA(IF(B321="","",VLOOKUP(B321,RM!$C$4:$G983,14,FALSE)),IFERROR(MIN(IF('S-BOM'!$B$3:$B993=$B321,'S-BOM'!$H$3:$H993,"")),""))</f>
        <v>#NAME?</v>
      </c>
      <c r="F321" s="87" t="str">
        <f t="shared" si="3"/>
        <v/>
      </c>
      <c r="G321" s="87" t="str">
        <f t="shared" si="4"/>
        <v/>
      </c>
      <c r="H321" s="87"/>
      <c r="I321" s="87"/>
      <c r="J321" s="87"/>
    </row>
    <row r="322" spans="1:10">
      <c r="A322" s="2"/>
      <c r="B322" s="2"/>
      <c r="C322" s="120" t="str">
        <f>IF(B322="","",SUMIFS('A-BOM'!$D$3:$D993,'A-BOM'!$C$3:$C993,B322,'A-BOM'!$B$3:$B993,$B$2))</f>
        <v/>
      </c>
      <c r="D322" s="120" t="str">
        <f>IFERROR(IF(B322="","",VLOOKUP(B322,RM!$C$4:$F983,3,FALSE)),"")</f>
        <v/>
      </c>
      <c r="E322" s="118" t="e">
        <f t="array" aca="1" ref="E322" ca="1">_xludf.IFNA(IF(B322="","",VLOOKUP(B322,RM!$C$4:$G983,14,FALSE)),IFERROR(MIN(IF('S-BOM'!$B$3:$B993=$B322,'S-BOM'!$H$3:$H993,"")),""))</f>
        <v>#NAME?</v>
      </c>
      <c r="F322" s="87" t="str">
        <f t="shared" si="3"/>
        <v/>
      </c>
      <c r="G322" s="87" t="str">
        <f t="shared" si="4"/>
        <v/>
      </c>
      <c r="H322" s="87"/>
      <c r="I322" s="87"/>
      <c r="J322" s="87"/>
    </row>
    <row r="323" spans="1:10">
      <c r="A323" s="2"/>
      <c r="B323" s="2"/>
      <c r="C323" s="120" t="str">
        <f>IF(B323="","",SUMIFS('A-BOM'!$D$3:$D993,'A-BOM'!$C$3:$C993,B323,'A-BOM'!$B$3:$B993,$B$2))</f>
        <v/>
      </c>
      <c r="D323" s="120" t="str">
        <f>IFERROR(IF(B323="","",VLOOKUP(B323,RM!$C$4:$F983,3,FALSE)),"")</f>
        <v/>
      </c>
      <c r="E323" s="118" t="e">
        <f t="array" aca="1" ref="E323" ca="1">_xludf.IFNA(IF(B323="","",VLOOKUP(B323,RM!$C$4:$G983,14,FALSE)),IFERROR(MIN(IF('S-BOM'!$B$3:$B993=$B323,'S-BOM'!$H$3:$H993,"")),""))</f>
        <v>#NAME?</v>
      </c>
      <c r="F323" s="87" t="str">
        <f t="shared" si="3"/>
        <v/>
      </c>
      <c r="G323" s="87" t="str">
        <f t="shared" si="4"/>
        <v/>
      </c>
      <c r="H323" s="87"/>
      <c r="I323" s="87"/>
      <c r="J323" s="87"/>
    </row>
    <row r="324" spans="1:10">
      <c r="A324" s="2"/>
      <c r="B324" s="2"/>
      <c r="C324" s="120" t="str">
        <f>IF(B324="","",SUMIFS('A-BOM'!$D$3:$D993,'A-BOM'!$C$3:$C993,B324,'A-BOM'!$B$3:$B993,$B$2))</f>
        <v/>
      </c>
      <c r="D324" s="120" t="str">
        <f>IFERROR(IF(B324="","",VLOOKUP(B324,RM!$C$4:$F983,3,FALSE)),"")</f>
        <v/>
      </c>
      <c r="E324" s="118" t="e">
        <f t="array" aca="1" ref="E324" ca="1">_xludf.IFNA(IF(B324="","",VLOOKUP(B324,RM!$C$4:$G983,14,FALSE)),IFERROR(MIN(IF('S-BOM'!$B$3:$B993=$B324,'S-BOM'!$H$3:$H993,"")),""))</f>
        <v>#NAME?</v>
      </c>
      <c r="F324" s="87" t="str">
        <f t="shared" si="3"/>
        <v/>
      </c>
      <c r="G324" s="87" t="str">
        <f t="shared" si="4"/>
        <v/>
      </c>
      <c r="H324" s="87"/>
      <c r="I324" s="87"/>
      <c r="J324" s="87"/>
    </row>
    <row r="325" spans="1:10">
      <c r="A325" s="2"/>
      <c r="B325" s="2"/>
      <c r="C325" s="120" t="str">
        <f>IF(B325="","",SUMIFS('A-BOM'!$D$3:$D993,'A-BOM'!$C$3:$C993,B325,'A-BOM'!$B$3:$B993,$B$2))</f>
        <v/>
      </c>
      <c r="D325" s="120" t="str">
        <f>IFERROR(IF(B325="","",VLOOKUP(B325,RM!$C$4:$F983,3,FALSE)),"")</f>
        <v/>
      </c>
      <c r="E325" s="118" t="e">
        <f t="array" aca="1" ref="E325" ca="1">_xludf.IFNA(IF(B325="","",VLOOKUP(B325,RM!$C$4:$G983,14,FALSE)),IFERROR(MIN(IF('S-BOM'!$B$3:$B993=$B325,'S-BOM'!$H$3:$H993,"")),""))</f>
        <v>#NAME?</v>
      </c>
      <c r="F325" s="87" t="str">
        <f t="shared" si="3"/>
        <v/>
      </c>
      <c r="G325" s="87" t="str">
        <f t="shared" si="4"/>
        <v/>
      </c>
      <c r="H325" s="87"/>
      <c r="I325" s="87"/>
      <c r="J325" s="87"/>
    </row>
    <row r="326" spans="1:10">
      <c r="A326" s="2"/>
      <c r="B326" s="2"/>
      <c r="C326" s="120" t="str">
        <f>IF(B326="","",SUMIFS('A-BOM'!$D$3:$D993,'A-BOM'!$C$3:$C993,B326,'A-BOM'!$B$3:$B993,$B$2))</f>
        <v/>
      </c>
      <c r="D326" s="120" t="str">
        <f>IFERROR(IF(B326="","",VLOOKUP(B326,RM!$C$4:$F983,3,FALSE)),"")</f>
        <v/>
      </c>
      <c r="E326" s="118" t="e">
        <f t="array" aca="1" ref="E326" ca="1">_xludf.IFNA(IF(B326="","",VLOOKUP(B326,RM!$C$4:$G983,14,FALSE)),IFERROR(MIN(IF('S-BOM'!$B$3:$B993=$B326,'S-BOM'!$H$3:$H993,"")),""))</f>
        <v>#NAME?</v>
      </c>
      <c r="F326" s="87" t="str">
        <f t="shared" si="3"/>
        <v/>
      </c>
      <c r="G326" s="87" t="str">
        <f t="shared" si="4"/>
        <v/>
      </c>
      <c r="H326" s="87"/>
      <c r="I326" s="87"/>
      <c r="J326" s="87"/>
    </row>
    <row r="327" spans="1:10">
      <c r="A327" s="2"/>
      <c r="B327" s="2"/>
      <c r="C327" s="120" t="str">
        <f>IF(B327="","",SUMIFS('A-BOM'!$D$3:$D993,'A-BOM'!$C$3:$C993,B327,'A-BOM'!$B$3:$B993,$B$2))</f>
        <v/>
      </c>
      <c r="D327" s="120" t="str">
        <f>IFERROR(IF(B327="","",VLOOKUP(B327,RM!$C$4:$F983,3,FALSE)),"")</f>
        <v/>
      </c>
      <c r="E327" s="118" t="e">
        <f t="array" aca="1" ref="E327" ca="1">_xludf.IFNA(IF(B327="","",VLOOKUP(B327,RM!$C$4:$G983,14,FALSE)),IFERROR(MIN(IF('S-BOM'!$B$3:$B993=$B327,'S-BOM'!$H$3:$H993,"")),""))</f>
        <v>#NAME?</v>
      </c>
      <c r="F327" s="87" t="str">
        <f t="shared" si="3"/>
        <v/>
      </c>
      <c r="G327" s="87" t="str">
        <f t="shared" si="4"/>
        <v/>
      </c>
      <c r="H327" s="87"/>
      <c r="I327" s="87"/>
      <c r="J327" s="87"/>
    </row>
    <row r="328" spans="1:10">
      <c r="A328" s="2"/>
      <c r="B328" s="2"/>
      <c r="C328" s="120" t="str">
        <f>IF(B328="","",SUMIFS('A-BOM'!$D$3:$D993,'A-BOM'!$C$3:$C993,B328,'A-BOM'!$B$3:$B993,$B$2))</f>
        <v/>
      </c>
      <c r="D328" s="120" t="str">
        <f>IFERROR(IF(B328="","",VLOOKUP(B328,RM!$C$4:$F983,3,FALSE)),"")</f>
        <v/>
      </c>
      <c r="E328" s="118" t="e">
        <f t="array" aca="1" ref="E328" ca="1">_xludf.IFNA(IF(B328="","",VLOOKUP(B328,RM!$C$4:$G983,14,FALSE)),IFERROR(MIN(IF('S-BOM'!$B$3:$B993=$B328,'S-BOM'!$H$3:$H993,"")),""))</f>
        <v>#NAME?</v>
      </c>
      <c r="F328" s="87" t="str">
        <f t="shared" si="3"/>
        <v/>
      </c>
      <c r="G328" s="87" t="str">
        <f t="shared" si="4"/>
        <v/>
      </c>
      <c r="H328" s="87"/>
      <c r="I328" s="87"/>
      <c r="J328" s="87"/>
    </row>
    <row r="329" spans="1:10">
      <c r="A329" s="2"/>
      <c r="B329" s="2"/>
      <c r="C329" s="120" t="str">
        <f>IF(B329="","",SUMIFS('A-BOM'!$D$3:$D993,'A-BOM'!$C$3:$C993,B329,'A-BOM'!$B$3:$B993,$B$2))</f>
        <v/>
      </c>
      <c r="D329" s="120" t="str">
        <f>IFERROR(IF(B329="","",VLOOKUP(B329,RM!$C$4:$F983,3,FALSE)),"")</f>
        <v/>
      </c>
      <c r="E329" s="118" t="e">
        <f t="array" aca="1" ref="E329" ca="1">_xludf.IFNA(IF(B329="","",VLOOKUP(B329,RM!$C$4:$G983,14,FALSE)),IFERROR(MIN(IF('S-BOM'!$B$3:$B993=$B329,'S-BOM'!$H$3:$H993,"")),""))</f>
        <v>#NAME?</v>
      </c>
      <c r="F329" s="87" t="str">
        <f t="shared" si="3"/>
        <v/>
      </c>
      <c r="G329" s="87" t="str">
        <f t="shared" si="4"/>
        <v/>
      </c>
      <c r="H329" s="87"/>
      <c r="I329" s="87"/>
      <c r="J329" s="87"/>
    </row>
    <row r="330" spans="1:10">
      <c r="A330" s="2"/>
      <c r="B330" s="2"/>
      <c r="C330" s="120" t="str">
        <f>IF(B330="","",SUMIFS('A-BOM'!$D$3:$D993,'A-BOM'!$C$3:$C993,B330,'A-BOM'!$B$3:$B993,$B$2))</f>
        <v/>
      </c>
      <c r="D330" s="120" t="str">
        <f>IFERROR(IF(B330="","",VLOOKUP(B330,RM!$C$4:$F983,3,FALSE)),"")</f>
        <v/>
      </c>
      <c r="E330" s="118" t="e">
        <f t="array" aca="1" ref="E330" ca="1">_xludf.IFNA(IF(B330="","",VLOOKUP(B330,RM!$C$4:$G983,14,FALSE)),IFERROR(MIN(IF('S-BOM'!$B$3:$B993=$B330,'S-BOM'!$H$3:$H993,"")),""))</f>
        <v>#NAME?</v>
      </c>
      <c r="F330" s="87" t="str">
        <f t="shared" si="3"/>
        <v/>
      </c>
      <c r="G330" s="87" t="str">
        <f t="shared" si="4"/>
        <v/>
      </c>
      <c r="H330" s="87"/>
      <c r="I330" s="87"/>
      <c r="J330" s="87"/>
    </row>
    <row r="331" spans="1:10">
      <c r="A331" s="2"/>
      <c r="B331" s="2"/>
      <c r="C331" s="120" t="str">
        <f>IF(B331="","",SUMIFS('A-BOM'!$D$3:$D993,'A-BOM'!$C$3:$C993,B331,'A-BOM'!$B$3:$B993,$B$2))</f>
        <v/>
      </c>
      <c r="D331" s="120" t="str">
        <f>IFERROR(IF(B331="","",VLOOKUP(B331,RM!$C$4:$F983,3,FALSE)),"")</f>
        <v/>
      </c>
      <c r="E331" s="118" t="e">
        <f t="array" aca="1" ref="E331" ca="1">_xludf.IFNA(IF(B331="","",VLOOKUP(B331,RM!$C$4:$G983,14,FALSE)),IFERROR(MIN(IF('S-BOM'!$B$3:$B993=$B331,'S-BOM'!$H$3:$H993,"")),""))</f>
        <v>#NAME?</v>
      </c>
      <c r="F331" s="87" t="str">
        <f t="shared" si="3"/>
        <v/>
      </c>
      <c r="G331" s="87" t="str">
        <f t="shared" si="4"/>
        <v/>
      </c>
      <c r="H331" s="87"/>
      <c r="I331" s="87"/>
      <c r="J331" s="87"/>
    </row>
    <row r="332" spans="1:10">
      <c r="A332" s="2"/>
      <c r="B332" s="2"/>
      <c r="C332" s="120" t="str">
        <f>IF(B332="","",SUMIFS('A-BOM'!$D$3:$D993,'A-BOM'!$C$3:$C993,B332,'A-BOM'!$B$3:$B993,$B$2))</f>
        <v/>
      </c>
      <c r="D332" s="120" t="str">
        <f>IFERROR(IF(B332="","",VLOOKUP(B332,RM!$C$4:$F983,3,FALSE)),"")</f>
        <v/>
      </c>
      <c r="E332" s="118" t="e">
        <f t="array" aca="1" ref="E332" ca="1">_xludf.IFNA(IF(B332="","",VLOOKUP(B332,RM!$C$4:$G983,14,FALSE)),IFERROR(MIN(IF('S-BOM'!$B$3:$B993=$B332,'S-BOM'!$H$3:$H993,"")),""))</f>
        <v>#NAME?</v>
      </c>
      <c r="F332" s="87" t="str">
        <f t="shared" si="3"/>
        <v/>
      </c>
      <c r="G332" s="87" t="str">
        <f t="shared" si="4"/>
        <v/>
      </c>
      <c r="H332" s="87"/>
      <c r="I332" s="87"/>
      <c r="J332" s="87"/>
    </row>
    <row r="333" spans="1:10">
      <c r="A333" s="2"/>
      <c r="B333" s="2"/>
      <c r="C333" s="120" t="str">
        <f>IF(B333="","",SUMIFS('A-BOM'!$D$3:$D993,'A-BOM'!$C$3:$C993,B333,'A-BOM'!$B$3:$B993,$B$2))</f>
        <v/>
      </c>
      <c r="D333" s="120" t="str">
        <f>IFERROR(IF(B333="","",VLOOKUP(B333,RM!$C$4:$F983,3,FALSE)),"")</f>
        <v/>
      </c>
      <c r="E333" s="118" t="e">
        <f t="array" aca="1" ref="E333" ca="1">_xludf.IFNA(IF(B333="","",VLOOKUP(B333,RM!$C$4:$G983,14,FALSE)),IFERROR(MIN(IF('S-BOM'!$B$3:$B993=$B333,'S-BOM'!$H$3:$H993,"")),""))</f>
        <v>#NAME?</v>
      </c>
      <c r="F333" s="87" t="str">
        <f t="shared" si="3"/>
        <v/>
      </c>
      <c r="G333" s="87" t="str">
        <f t="shared" si="4"/>
        <v/>
      </c>
      <c r="H333" s="87"/>
      <c r="I333" s="87"/>
      <c r="J333" s="87"/>
    </row>
    <row r="334" spans="1:10">
      <c r="A334" s="2"/>
      <c r="B334" s="2"/>
      <c r="C334" s="120" t="str">
        <f>IF(B334="","",SUMIFS('A-BOM'!$D$3:$D993,'A-BOM'!$C$3:$C993,B334,'A-BOM'!$B$3:$B993,$B$2))</f>
        <v/>
      </c>
      <c r="D334" s="120" t="str">
        <f>IFERROR(IF(B334="","",VLOOKUP(B334,RM!$C$4:$F983,3,FALSE)),"")</f>
        <v/>
      </c>
      <c r="E334" s="118" t="e">
        <f t="array" aca="1" ref="E334" ca="1">_xludf.IFNA(IF(B334="","",VLOOKUP(B334,RM!$C$4:$G983,14,FALSE)),IFERROR(MIN(IF('S-BOM'!$B$3:$B993=$B334,'S-BOM'!$H$3:$H993,"")),""))</f>
        <v>#NAME?</v>
      </c>
      <c r="F334" s="87" t="str">
        <f t="shared" si="3"/>
        <v/>
      </c>
      <c r="G334" s="87" t="str">
        <f t="shared" si="4"/>
        <v/>
      </c>
      <c r="H334" s="87"/>
      <c r="I334" s="87"/>
      <c r="J334" s="87"/>
    </row>
    <row r="335" spans="1:10">
      <c r="A335" s="2"/>
      <c r="B335" s="2"/>
      <c r="C335" s="120" t="str">
        <f>IF(B335="","",SUMIFS('A-BOM'!$D$3:$D993,'A-BOM'!$C$3:$C993,B335,'A-BOM'!$B$3:$B993,$B$2))</f>
        <v/>
      </c>
      <c r="D335" s="120" t="str">
        <f>IFERROR(IF(B335="","",VLOOKUP(B335,RM!$C$4:$F983,3,FALSE)),"")</f>
        <v/>
      </c>
      <c r="E335" s="118" t="e">
        <f t="array" aca="1" ref="E335" ca="1">_xludf.IFNA(IF(B335="","",VLOOKUP(B335,RM!$C$4:$G983,14,FALSE)),IFERROR(MIN(IF('S-BOM'!$B$3:$B993=$B335,'S-BOM'!$H$3:$H993,"")),""))</f>
        <v>#NAME?</v>
      </c>
      <c r="F335" s="87" t="str">
        <f t="shared" si="3"/>
        <v/>
      </c>
      <c r="G335" s="87" t="str">
        <f t="shared" si="4"/>
        <v/>
      </c>
      <c r="H335" s="87"/>
      <c r="I335" s="87"/>
      <c r="J335" s="87"/>
    </row>
    <row r="336" spans="1:10">
      <c r="A336" s="2"/>
      <c r="B336" s="2"/>
      <c r="C336" s="120" t="str">
        <f>IF(B336="","",SUMIFS('A-BOM'!$D$3:$D993,'A-BOM'!$C$3:$C993,B336,'A-BOM'!$B$3:$B993,$B$2))</f>
        <v/>
      </c>
      <c r="D336" s="120" t="str">
        <f>IFERROR(IF(B336="","",VLOOKUP(B336,RM!$C$4:$F983,3,FALSE)),"")</f>
        <v/>
      </c>
      <c r="E336" s="118" t="e">
        <f t="array" aca="1" ref="E336" ca="1">_xludf.IFNA(IF(B336="","",VLOOKUP(B336,RM!$C$4:$G983,14,FALSE)),IFERROR(MIN(IF('S-BOM'!$B$3:$B993=$B336,'S-BOM'!$H$3:$H993,"")),""))</f>
        <v>#NAME?</v>
      </c>
      <c r="F336" s="87" t="str">
        <f t="shared" si="3"/>
        <v/>
      </c>
      <c r="G336" s="87" t="str">
        <f t="shared" si="4"/>
        <v/>
      </c>
      <c r="H336" s="87"/>
      <c r="I336" s="87"/>
      <c r="J336" s="87"/>
    </row>
    <row r="337" spans="1:10">
      <c r="A337" s="2"/>
      <c r="B337" s="2"/>
      <c r="C337" s="120" t="str">
        <f>IF(B337="","",SUMIFS('A-BOM'!$D$3:$D993,'A-BOM'!$C$3:$C993,B337,'A-BOM'!$B$3:$B993,$B$2))</f>
        <v/>
      </c>
      <c r="D337" s="120" t="str">
        <f>IFERROR(IF(B337="","",VLOOKUP(B337,RM!$C$4:$F983,3,FALSE)),"")</f>
        <v/>
      </c>
      <c r="E337" s="118" t="e">
        <f t="array" aca="1" ref="E337" ca="1">_xludf.IFNA(IF(B337="","",VLOOKUP(B337,RM!$C$4:$G983,14,FALSE)),IFERROR(MIN(IF('S-BOM'!$B$3:$B993=$B337,'S-BOM'!$H$3:$H993,"")),""))</f>
        <v>#NAME?</v>
      </c>
      <c r="F337" s="87" t="str">
        <f t="shared" si="3"/>
        <v/>
      </c>
      <c r="G337" s="87" t="str">
        <f t="shared" si="4"/>
        <v/>
      </c>
      <c r="H337" s="87"/>
      <c r="I337" s="87"/>
      <c r="J337" s="87"/>
    </row>
    <row r="338" spans="1:10">
      <c r="A338" s="2"/>
      <c r="B338" s="2"/>
      <c r="C338" s="120" t="str">
        <f>IF(B338="","",SUMIFS('A-BOM'!$D$3:$D993,'A-BOM'!$C$3:$C993,B338,'A-BOM'!$B$3:$B993,$B$2))</f>
        <v/>
      </c>
      <c r="D338" s="120" t="str">
        <f>IFERROR(IF(B338="","",VLOOKUP(B338,RM!$C$4:$F983,3,FALSE)),"")</f>
        <v/>
      </c>
      <c r="E338" s="118" t="e">
        <f t="array" aca="1" ref="E338" ca="1">_xludf.IFNA(IF(B338="","",VLOOKUP(B338,RM!$C$4:$G983,14,FALSE)),IFERROR(MIN(IF('S-BOM'!$B$3:$B993=$B338,'S-BOM'!$H$3:$H993,"")),""))</f>
        <v>#NAME?</v>
      </c>
      <c r="F338" s="87" t="str">
        <f t="shared" si="3"/>
        <v/>
      </c>
      <c r="G338" s="87" t="str">
        <f t="shared" si="4"/>
        <v/>
      </c>
      <c r="H338" s="87"/>
      <c r="I338" s="87"/>
      <c r="J338" s="87"/>
    </row>
    <row r="339" spans="1:10">
      <c r="A339" s="2"/>
      <c r="B339" s="2"/>
      <c r="C339" s="120" t="str">
        <f>IF(B339="","",SUMIFS('A-BOM'!$D$3:$D993,'A-BOM'!$C$3:$C993,B339,'A-BOM'!$B$3:$B993,$B$2))</f>
        <v/>
      </c>
      <c r="D339" s="120" t="str">
        <f>IFERROR(IF(B339="","",VLOOKUP(B339,RM!$C$4:$F983,3,FALSE)),"")</f>
        <v/>
      </c>
      <c r="E339" s="118" t="e">
        <f t="array" aca="1" ref="E339" ca="1">_xludf.IFNA(IF(B339="","",VLOOKUP(B339,RM!$C$4:$G983,14,FALSE)),IFERROR(MIN(IF('S-BOM'!$B$3:$B993=$B339,'S-BOM'!$H$3:$H993,"")),""))</f>
        <v>#NAME?</v>
      </c>
      <c r="F339" s="87" t="str">
        <f t="shared" si="3"/>
        <v/>
      </c>
      <c r="G339" s="87" t="str">
        <f t="shared" si="4"/>
        <v/>
      </c>
      <c r="H339" s="87"/>
      <c r="I339" s="87"/>
      <c r="J339" s="87"/>
    </row>
    <row r="340" spans="1:10">
      <c r="A340" s="2"/>
      <c r="B340" s="2"/>
      <c r="C340" s="120" t="str">
        <f>IF(B340="","",SUMIFS('A-BOM'!$D$3:$D993,'A-BOM'!$C$3:$C993,B340,'A-BOM'!$B$3:$B993,$B$2))</f>
        <v/>
      </c>
      <c r="D340" s="120" t="str">
        <f>IFERROR(IF(B340="","",VLOOKUP(B340,RM!$C$4:$F983,3,FALSE)),"")</f>
        <v/>
      </c>
      <c r="E340" s="118" t="e">
        <f t="array" aca="1" ref="E340" ca="1">_xludf.IFNA(IF(B340="","",VLOOKUP(B340,RM!$C$4:$G983,14,FALSE)),IFERROR(MIN(IF('S-BOM'!$B$3:$B993=$B340,'S-BOM'!$H$3:$H993,"")),""))</f>
        <v>#NAME?</v>
      </c>
      <c r="F340" s="87" t="str">
        <f t="shared" si="3"/>
        <v/>
      </c>
      <c r="G340" s="87" t="str">
        <f t="shared" si="4"/>
        <v/>
      </c>
      <c r="H340" s="87"/>
      <c r="I340" s="87"/>
      <c r="J340" s="87"/>
    </row>
    <row r="341" spans="1:10">
      <c r="A341" s="2"/>
      <c r="B341" s="2"/>
      <c r="C341" s="120" t="str">
        <f>IF(B341="","",SUMIFS('A-BOM'!$D$3:$D993,'A-BOM'!$C$3:$C993,B341,'A-BOM'!$B$3:$B993,$B$2))</f>
        <v/>
      </c>
      <c r="D341" s="120" t="str">
        <f>IFERROR(IF(B341="","",VLOOKUP(B341,RM!$C$4:$F983,3,FALSE)),"")</f>
        <v/>
      </c>
      <c r="E341" s="118" t="e">
        <f t="array" aca="1" ref="E341" ca="1">_xludf.IFNA(IF(B341="","",VLOOKUP(B341,RM!$C$4:$G983,14,FALSE)),IFERROR(MIN(IF('S-BOM'!$B$3:$B993=$B341,'S-BOM'!$H$3:$H993,"")),""))</f>
        <v>#NAME?</v>
      </c>
      <c r="F341" s="87" t="str">
        <f t="shared" si="3"/>
        <v/>
      </c>
      <c r="G341" s="87" t="str">
        <f t="shared" si="4"/>
        <v/>
      </c>
      <c r="H341" s="87"/>
      <c r="I341" s="87"/>
      <c r="J341" s="87"/>
    </row>
    <row r="342" spans="1:10">
      <c r="A342" s="2"/>
      <c r="B342" s="2"/>
      <c r="C342" s="120" t="str">
        <f>IF(B342="","",SUMIFS('A-BOM'!$D$3:$D993,'A-BOM'!$C$3:$C993,B342,'A-BOM'!$B$3:$B993,$B$2))</f>
        <v/>
      </c>
      <c r="D342" s="120" t="str">
        <f>IFERROR(IF(B342="","",VLOOKUP(B342,RM!$C$4:$F983,3,FALSE)),"")</f>
        <v/>
      </c>
      <c r="E342" s="118" t="e">
        <f t="array" aca="1" ref="E342" ca="1">_xludf.IFNA(IF(B342="","",VLOOKUP(B342,RM!$C$4:$G983,14,FALSE)),IFERROR(MIN(IF('S-BOM'!$B$3:$B993=$B342,'S-BOM'!$H$3:$H993,"")),""))</f>
        <v>#NAME?</v>
      </c>
      <c r="F342" s="87" t="str">
        <f t="shared" si="3"/>
        <v/>
      </c>
      <c r="G342" s="87" t="str">
        <f t="shared" si="4"/>
        <v/>
      </c>
      <c r="H342" s="87"/>
      <c r="I342" s="87"/>
      <c r="J342" s="87"/>
    </row>
    <row r="343" spans="1:10">
      <c r="A343" s="2"/>
      <c r="B343" s="2"/>
      <c r="C343" s="120" t="str">
        <f>IF(B343="","",SUMIFS('A-BOM'!$D$3:$D993,'A-BOM'!$C$3:$C993,B343,'A-BOM'!$B$3:$B993,$B$2))</f>
        <v/>
      </c>
      <c r="D343" s="120" t="str">
        <f>IFERROR(IF(B343="","",VLOOKUP(B343,RM!$C$4:$F983,3,FALSE)),"")</f>
        <v/>
      </c>
      <c r="E343" s="118" t="e">
        <f t="array" aca="1" ref="E343" ca="1">_xludf.IFNA(IF(B343="","",VLOOKUP(B343,RM!$C$4:$G983,14,FALSE)),IFERROR(MIN(IF('S-BOM'!$B$3:$B993=$B343,'S-BOM'!$H$3:$H993,"")),""))</f>
        <v>#NAME?</v>
      </c>
      <c r="F343" s="87" t="str">
        <f t="shared" si="3"/>
        <v/>
      </c>
      <c r="G343" s="87" t="str">
        <f t="shared" si="4"/>
        <v/>
      </c>
      <c r="H343" s="87"/>
      <c r="I343" s="87"/>
      <c r="J343" s="87"/>
    </row>
    <row r="344" spans="1:10">
      <c r="A344" s="2"/>
      <c r="B344" s="2"/>
      <c r="C344" s="120" t="str">
        <f>IF(B344="","",SUMIFS('A-BOM'!$D$3:$D993,'A-BOM'!$C$3:$C993,B344,'A-BOM'!$B$3:$B993,$B$2))</f>
        <v/>
      </c>
      <c r="D344" s="120" t="str">
        <f>IFERROR(IF(B344="","",VLOOKUP(B344,RM!$C$4:$F983,3,FALSE)),"")</f>
        <v/>
      </c>
      <c r="E344" s="118" t="e">
        <f t="array" aca="1" ref="E344" ca="1">_xludf.IFNA(IF(B344="","",VLOOKUP(B344,RM!$C$4:$G983,14,FALSE)),IFERROR(MIN(IF('S-BOM'!$B$3:$B993=$B344,'S-BOM'!$H$3:$H993,"")),""))</f>
        <v>#NAME?</v>
      </c>
      <c r="F344" s="87" t="str">
        <f t="shared" si="3"/>
        <v/>
      </c>
      <c r="G344" s="87" t="str">
        <f t="shared" si="4"/>
        <v/>
      </c>
      <c r="H344" s="87"/>
      <c r="I344" s="87"/>
      <c r="J344" s="87"/>
    </row>
    <row r="345" spans="1:10">
      <c r="A345" s="2"/>
      <c r="B345" s="2"/>
      <c r="C345" s="120" t="str">
        <f>IF(B345="","",SUMIFS('A-BOM'!$D$3:$D993,'A-BOM'!$C$3:$C993,B345,'A-BOM'!$B$3:$B993,$B$2))</f>
        <v/>
      </c>
      <c r="D345" s="120" t="str">
        <f>IFERROR(IF(B345="","",VLOOKUP(B345,RM!$C$4:$F983,3,FALSE)),"")</f>
        <v/>
      </c>
      <c r="E345" s="118" t="e">
        <f t="array" aca="1" ref="E345" ca="1">_xludf.IFNA(IF(B345="","",VLOOKUP(B345,RM!$C$4:$G983,14,FALSE)),IFERROR(MIN(IF('S-BOM'!$B$3:$B993=$B345,'S-BOM'!$H$3:$H993,"")),""))</f>
        <v>#NAME?</v>
      </c>
      <c r="F345" s="87" t="str">
        <f t="shared" si="3"/>
        <v/>
      </c>
      <c r="G345" s="87" t="str">
        <f t="shared" si="4"/>
        <v/>
      </c>
      <c r="H345" s="87"/>
      <c r="I345" s="87"/>
      <c r="J345" s="87"/>
    </row>
    <row r="346" spans="1:10">
      <c r="A346" s="2"/>
      <c r="B346" s="2"/>
      <c r="C346" s="120" t="str">
        <f>IF(B346="","",SUMIFS('A-BOM'!$D$3:$D993,'A-BOM'!$C$3:$C993,B346,'A-BOM'!$B$3:$B993,$B$2))</f>
        <v/>
      </c>
      <c r="D346" s="120" t="str">
        <f>IFERROR(IF(B346="","",VLOOKUP(B346,RM!$C$4:$F983,3,FALSE)),"")</f>
        <v/>
      </c>
      <c r="E346" s="118" t="e">
        <f t="array" aca="1" ref="E346" ca="1">_xludf.IFNA(IF(B346="","",VLOOKUP(B346,RM!$C$4:$G983,14,FALSE)),IFERROR(MIN(IF('S-BOM'!$B$3:$B993=$B346,'S-BOM'!$H$3:$H993,"")),""))</f>
        <v>#NAME?</v>
      </c>
      <c r="F346" s="87" t="str">
        <f t="shared" si="3"/>
        <v/>
      </c>
      <c r="G346" s="87" t="str">
        <f t="shared" si="4"/>
        <v/>
      </c>
      <c r="H346" s="87"/>
      <c r="I346" s="87"/>
      <c r="J346" s="87"/>
    </row>
    <row r="347" spans="1:10">
      <c r="A347" s="2"/>
      <c r="B347" s="2"/>
      <c r="C347" s="120" t="str">
        <f>IF(B347="","",SUMIFS('A-BOM'!$D$3:$D993,'A-BOM'!$C$3:$C993,B347,'A-BOM'!$B$3:$B993,$B$2))</f>
        <v/>
      </c>
      <c r="D347" s="120" t="str">
        <f>IFERROR(IF(B347="","",VLOOKUP(B347,RM!$C$4:$F983,3,FALSE)),"")</f>
        <v/>
      </c>
      <c r="E347" s="118" t="e">
        <f t="array" aca="1" ref="E347" ca="1">_xludf.IFNA(IF(B347="","",VLOOKUP(B347,RM!$C$4:$G983,14,FALSE)),IFERROR(MIN(IF('S-BOM'!$B$3:$B993=$B347,'S-BOM'!$H$3:$H993,"")),""))</f>
        <v>#NAME?</v>
      </c>
      <c r="F347" s="87" t="str">
        <f t="shared" si="3"/>
        <v/>
      </c>
      <c r="G347" s="87" t="str">
        <f t="shared" si="4"/>
        <v/>
      </c>
      <c r="H347" s="87"/>
      <c r="I347" s="87"/>
      <c r="J347" s="87"/>
    </row>
    <row r="348" spans="1:10">
      <c r="A348" s="2"/>
      <c r="B348" s="2"/>
      <c r="C348" s="120" t="str">
        <f>IF(B348="","",SUMIFS('A-BOM'!$D$3:$D993,'A-BOM'!$C$3:$C993,B348,'A-BOM'!$B$3:$B993,$B$2))</f>
        <v/>
      </c>
      <c r="D348" s="120" t="str">
        <f>IFERROR(IF(B348="","",VLOOKUP(B348,RM!$C$4:$F983,3,FALSE)),"")</f>
        <v/>
      </c>
      <c r="E348" s="118" t="e">
        <f t="array" aca="1" ref="E348" ca="1">_xludf.IFNA(IF(B348="","",VLOOKUP(B348,RM!$C$4:$G983,14,FALSE)),IFERROR(MIN(IF('S-BOM'!$B$3:$B993=$B348,'S-BOM'!$H$3:$H993,"")),""))</f>
        <v>#NAME?</v>
      </c>
      <c r="F348" s="87" t="str">
        <f t="shared" si="3"/>
        <v/>
      </c>
      <c r="G348" s="87" t="str">
        <f t="shared" si="4"/>
        <v/>
      </c>
      <c r="H348" s="87"/>
      <c r="I348" s="87"/>
      <c r="J348" s="87"/>
    </row>
    <row r="349" spans="1:10">
      <c r="A349" s="2"/>
      <c r="B349" s="2"/>
      <c r="C349" s="120" t="str">
        <f>IF(B349="","",SUMIFS('A-BOM'!$D$3:$D993,'A-BOM'!$C$3:$C993,B349,'A-BOM'!$B$3:$B993,$B$2))</f>
        <v/>
      </c>
      <c r="D349" s="120" t="str">
        <f>IFERROR(IF(B349="","",VLOOKUP(B349,RM!$C$4:$F983,3,FALSE)),"")</f>
        <v/>
      </c>
      <c r="E349" s="118" t="e">
        <f t="array" aca="1" ref="E349" ca="1">_xludf.IFNA(IF(B349="","",VLOOKUP(B349,RM!$C$4:$G983,14,FALSE)),IFERROR(MIN(IF('S-BOM'!$B$3:$B993=$B349,'S-BOM'!$H$3:$H993,"")),""))</f>
        <v>#NAME?</v>
      </c>
      <c r="F349" s="87" t="str">
        <f t="shared" si="3"/>
        <v/>
      </c>
      <c r="G349" s="87" t="str">
        <f t="shared" si="4"/>
        <v/>
      </c>
      <c r="H349" s="87"/>
      <c r="I349" s="87"/>
      <c r="J349" s="87"/>
    </row>
    <row r="350" spans="1:10">
      <c r="A350" s="2"/>
      <c r="B350" s="2"/>
      <c r="C350" s="120" t="str">
        <f>IF(B350="","",SUMIFS('A-BOM'!$D$3:$D993,'A-BOM'!$C$3:$C993,B350,'A-BOM'!$B$3:$B993,$B$2))</f>
        <v/>
      </c>
      <c r="D350" s="120" t="str">
        <f>IFERROR(IF(B350="","",VLOOKUP(B350,RM!$C$4:$F983,3,FALSE)),"")</f>
        <v/>
      </c>
      <c r="E350" s="118" t="e">
        <f t="array" aca="1" ref="E350" ca="1">_xludf.IFNA(IF(B350="","",VLOOKUP(B350,RM!$C$4:$G983,14,FALSE)),IFERROR(MIN(IF('S-BOM'!$B$3:$B993=$B350,'S-BOM'!$H$3:$H993,"")),""))</f>
        <v>#NAME?</v>
      </c>
      <c r="F350" s="87" t="str">
        <f t="shared" si="3"/>
        <v/>
      </c>
      <c r="G350" s="87" t="str">
        <f t="shared" si="4"/>
        <v/>
      </c>
      <c r="H350" s="87"/>
      <c r="I350" s="87"/>
      <c r="J350" s="87"/>
    </row>
    <row r="351" spans="1:10">
      <c r="A351" s="2"/>
      <c r="B351" s="2"/>
      <c r="C351" s="120" t="str">
        <f>IF(B351="","",SUMIFS('A-BOM'!$D$3:$D993,'A-BOM'!$C$3:$C993,B351,'A-BOM'!$B$3:$B993,$B$2))</f>
        <v/>
      </c>
      <c r="D351" s="120" t="str">
        <f>IFERROR(IF(B351="","",VLOOKUP(B351,RM!$C$4:$F983,3,FALSE)),"")</f>
        <v/>
      </c>
      <c r="E351" s="118" t="e">
        <f t="array" aca="1" ref="E351" ca="1">_xludf.IFNA(IF(B351="","",VLOOKUP(B351,RM!$C$4:$G983,14,FALSE)),IFERROR(MIN(IF('S-BOM'!$B$3:$B993=$B351,'S-BOM'!$H$3:$H993,"")),""))</f>
        <v>#NAME?</v>
      </c>
      <c r="F351" s="87" t="str">
        <f t="shared" si="3"/>
        <v/>
      </c>
      <c r="G351" s="87" t="str">
        <f t="shared" si="4"/>
        <v/>
      </c>
      <c r="H351" s="87"/>
      <c r="I351" s="87"/>
      <c r="J351" s="87"/>
    </row>
    <row r="352" spans="1:10">
      <c r="A352" s="2"/>
      <c r="B352" s="2"/>
      <c r="C352" s="120" t="str">
        <f>IF(B352="","",SUMIFS('A-BOM'!$D$3:$D993,'A-BOM'!$C$3:$C993,B352,'A-BOM'!$B$3:$B993,$B$2))</f>
        <v/>
      </c>
      <c r="D352" s="120" t="str">
        <f>IFERROR(IF(B352="","",VLOOKUP(B352,RM!$C$4:$F983,3,FALSE)),"")</f>
        <v/>
      </c>
      <c r="E352" s="118" t="e">
        <f t="array" aca="1" ref="E352" ca="1">_xludf.IFNA(IF(B352="","",VLOOKUP(B352,RM!$C$4:$G983,14,FALSE)),IFERROR(MIN(IF('S-BOM'!$B$3:$B993=$B352,'S-BOM'!$H$3:$H993,"")),""))</f>
        <v>#NAME?</v>
      </c>
      <c r="F352" s="87" t="str">
        <f t="shared" si="3"/>
        <v/>
      </c>
      <c r="G352" s="87" t="str">
        <f t="shared" si="4"/>
        <v/>
      </c>
      <c r="H352" s="87"/>
      <c r="I352" s="87"/>
      <c r="J352" s="87"/>
    </row>
    <row r="353" spans="1:10">
      <c r="A353" s="2"/>
      <c r="B353" s="2"/>
      <c r="C353" s="120" t="str">
        <f>IF(B353="","",SUMIFS('A-BOM'!$D$3:$D993,'A-BOM'!$C$3:$C993,B353,'A-BOM'!$B$3:$B993,$B$2))</f>
        <v/>
      </c>
      <c r="D353" s="120" t="str">
        <f>IFERROR(IF(B353="","",VLOOKUP(B353,RM!$C$4:$F983,3,FALSE)),"")</f>
        <v/>
      </c>
      <c r="E353" s="118" t="e">
        <f t="array" aca="1" ref="E353" ca="1">_xludf.IFNA(IF(B353="","",VLOOKUP(B353,RM!$C$4:$G983,14,FALSE)),IFERROR(MIN(IF('S-BOM'!$B$3:$B993=$B353,'S-BOM'!$H$3:$H993,"")),""))</f>
        <v>#NAME?</v>
      </c>
      <c r="F353" s="87" t="str">
        <f t="shared" si="3"/>
        <v/>
      </c>
      <c r="G353" s="87" t="str">
        <f t="shared" si="4"/>
        <v/>
      </c>
      <c r="H353" s="87"/>
      <c r="I353" s="87"/>
      <c r="J353" s="87"/>
    </row>
    <row r="354" spans="1:10">
      <c r="A354" s="2"/>
      <c r="B354" s="2"/>
      <c r="C354" s="120" t="str">
        <f>IF(B354="","",SUMIFS('A-BOM'!$D$3:$D993,'A-BOM'!$C$3:$C993,B354,'A-BOM'!$B$3:$B993,$B$2))</f>
        <v/>
      </c>
      <c r="D354" s="120" t="str">
        <f>IFERROR(IF(B354="","",VLOOKUP(B354,RM!$C$4:$F983,3,FALSE)),"")</f>
        <v/>
      </c>
      <c r="E354" s="118" t="e">
        <f t="array" aca="1" ref="E354" ca="1">_xludf.IFNA(IF(B354="","",VLOOKUP(B354,RM!$C$4:$G983,14,FALSE)),IFERROR(MIN(IF('S-BOM'!$B$3:$B993=$B354,'S-BOM'!$H$3:$H993,"")),""))</f>
        <v>#NAME?</v>
      </c>
      <c r="F354" s="87" t="str">
        <f t="shared" si="3"/>
        <v/>
      </c>
      <c r="G354" s="87" t="str">
        <f t="shared" si="4"/>
        <v/>
      </c>
      <c r="H354" s="87"/>
      <c r="I354" s="87"/>
      <c r="J354" s="87"/>
    </row>
    <row r="355" spans="1:10">
      <c r="A355" s="2"/>
      <c r="B355" s="2"/>
      <c r="C355" s="120" t="str">
        <f>IF(B355="","",SUMIFS('A-BOM'!$D$3:$D993,'A-BOM'!$C$3:$C993,B355,'A-BOM'!$B$3:$B993,$B$2))</f>
        <v/>
      </c>
      <c r="D355" s="120" t="str">
        <f>IFERROR(IF(B355="","",VLOOKUP(B355,RM!$C$4:$F983,3,FALSE)),"")</f>
        <v/>
      </c>
      <c r="E355" s="118" t="e">
        <f t="array" aca="1" ref="E355" ca="1">_xludf.IFNA(IF(B355="","",VLOOKUP(B355,RM!$C$4:$G983,14,FALSE)),IFERROR(MIN(IF('S-BOM'!$B$3:$B993=$B355,'S-BOM'!$H$3:$H993,"")),""))</f>
        <v>#NAME?</v>
      </c>
      <c r="F355" s="87" t="str">
        <f t="shared" si="3"/>
        <v/>
      </c>
      <c r="G355" s="87" t="str">
        <f t="shared" si="4"/>
        <v/>
      </c>
      <c r="H355" s="87"/>
      <c r="I355" s="87"/>
      <c r="J355" s="87"/>
    </row>
    <row r="356" spans="1:10">
      <c r="A356" s="2"/>
      <c r="B356" s="2"/>
      <c r="C356" s="120" t="str">
        <f>IF(B356="","",SUMIFS('A-BOM'!$D$3:$D993,'A-BOM'!$C$3:$C993,B356,'A-BOM'!$B$3:$B993,$B$2))</f>
        <v/>
      </c>
      <c r="D356" s="120" t="str">
        <f>IFERROR(IF(B356="","",VLOOKUP(B356,RM!$C$4:$F983,3,FALSE)),"")</f>
        <v/>
      </c>
      <c r="E356" s="118" t="e">
        <f t="array" aca="1" ref="E356" ca="1">_xludf.IFNA(IF(B356="","",VLOOKUP(B356,RM!$C$4:$G983,14,FALSE)),IFERROR(MIN(IF('S-BOM'!$B$3:$B993=$B356,'S-BOM'!$H$3:$H993,"")),""))</f>
        <v>#NAME?</v>
      </c>
      <c r="F356" s="87" t="str">
        <f t="shared" si="3"/>
        <v/>
      </c>
      <c r="G356" s="87" t="str">
        <f t="shared" si="4"/>
        <v/>
      </c>
      <c r="H356" s="87"/>
      <c r="I356" s="87"/>
      <c r="J356" s="87"/>
    </row>
    <row r="357" spans="1:10">
      <c r="A357" s="2"/>
      <c r="B357" s="2"/>
      <c r="C357" s="120" t="str">
        <f>IF(B357="","",SUMIFS('A-BOM'!$D$3:$D993,'A-BOM'!$C$3:$C993,B357,'A-BOM'!$B$3:$B993,$B$2))</f>
        <v/>
      </c>
      <c r="D357" s="120" t="str">
        <f>IFERROR(IF(B357="","",VLOOKUP(B357,RM!$C$4:$F983,3,FALSE)),"")</f>
        <v/>
      </c>
      <c r="E357" s="118" t="e">
        <f t="array" aca="1" ref="E357" ca="1">_xludf.IFNA(IF(B357="","",VLOOKUP(B357,RM!$C$4:$G983,14,FALSE)),IFERROR(MIN(IF('S-BOM'!$B$3:$B993=$B357,'S-BOM'!$H$3:$H993,"")),""))</f>
        <v>#NAME?</v>
      </c>
      <c r="F357" s="87" t="str">
        <f t="shared" si="3"/>
        <v/>
      </c>
      <c r="G357" s="87" t="str">
        <f t="shared" si="4"/>
        <v/>
      </c>
      <c r="H357" s="87"/>
      <c r="I357" s="87"/>
      <c r="J357" s="87"/>
    </row>
    <row r="358" spans="1:10">
      <c r="A358" s="2"/>
      <c r="B358" s="2"/>
      <c r="C358" s="120" t="str">
        <f>IF(B358="","",SUMIFS('A-BOM'!$D$3:$D993,'A-BOM'!$C$3:$C993,B358,'A-BOM'!$B$3:$B993,$B$2))</f>
        <v/>
      </c>
      <c r="D358" s="120" t="str">
        <f>IFERROR(IF(B358="","",VLOOKUP(B358,RM!$C$4:$F983,3,FALSE)),"")</f>
        <v/>
      </c>
      <c r="E358" s="118" t="e">
        <f t="array" aca="1" ref="E358" ca="1">_xludf.IFNA(IF(B358="","",VLOOKUP(B358,RM!$C$4:$G983,14,FALSE)),IFERROR(MIN(IF('S-BOM'!$B$3:$B993=$B358,'S-BOM'!$H$3:$H993,"")),""))</f>
        <v>#NAME?</v>
      </c>
      <c r="F358" s="87" t="str">
        <f t="shared" si="3"/>
        <v/>
      </c>
      <c r="G358" s="87" t="str">
        <f t="shared" si="4"/>
        <v/>
      </c>
      <c r="H358" s="87"/>
      <c r="I358" s="87"/>
      <c r="J358" s="87"/>
    </row>
    <row r="359" spans="1:10">
      <c r="A359" s="2"/>
      <c r="B359" s="2"/>
      <c r="C359" s="120" t="str">
        <f>IF(B359="","",SUMIFS('A-BOM'!$D$3:$D993,'A-BOM'!$C$3:$C993,B359,'A-BOM'!$B$3:$B993,$B$2))</f>
        <v/>
      </c>
      <c r="D359" s="120" t="str">
        <f>IFERROR(IF(B359="","",VLOOKUP(B359,RM!$C$4:$F983,3,FALSE)),"")</f>
        <v/>
      </c>
      <c r="E359" s="118" t="e">
        <f t="array" aca="1" ref="E359" ca="1">_xludf.IFNA(IF(B359="","",VLOOKUP(B359,RM!$C$4:$G983,14,FALSE)),IFERROR(MIN(IF('S-BOM'!$B$3:$B993=$B359,'S-BOM'!$H$3:$H993,"")),""))</f>
        <v>#NAME?</v>
      </c>
      <c r="F359" s="87" t="str">
        <f t="shared" si="3"/>
        <v/>
      </c>
      <c r="G359" s="87" t="str">
        <f t="shared" si="4"/>
        <v/>
      </c>
      <c r="H359" s="87"/>
      <c r="I359" s="87"/>
      <c r="J359" s="87"/>
    </row>
    <row r="360" spans="1:10">
      <c r="A360" s="2"/>
      <c r="B360" s="2"/>
      <c r="C360" s="120" t="str">
        <f>IF(B360="","",SUMIFS('A-BOM'!$D$3:$D993,'A-BOM'!$C$3:$C993,B360,'A-BOM'!$B$3:$B993,$B$2))</f>
        <v/>
      </c>
      <c r="D360" s="120" t="str">
        <f>IFERROR(IF(B360="","",VLOOKUP(B360,RM!$C$4:$F983,3,FALSE)),"")</f>
        <v/>
      </c>
      <c r="E360" s="118" t="e">
        <f t="array" aca="1" ref="E360" ca="1">_xludf.IFNA(IF(B360="","",VLOOKUP(B360,RM!$C$4:$G983,14,FALSE)),IFERROR(MIN(IF('S-BOM'!$B$3:$B993=$B360,'S-BOM'!$H$3:$H993,"")),""))</f>
        <v>#NAME?</v>
      </c>
      <c r="F360" s="87" t="str">
        <f t="shared" si="3"/>
        <v/>
      </c>
      <c r="G360" s="87" t="str">
        <f t="shared" si="4"/>
        <v/>
      </c>
      <c r="H360" s="87"/>
      <c r="I360" s="87"/>
      <c r="J360" s="87"/>
    </row>
    <row r="361" spans="1:10">
      <c r="A361" s="2"/>
      <c r="B361" s="2"/>
      <c r="C361" s="120" t="str">
        <f>IF(B361="","",SUMIFS('A-BOM'!$D$3:$D993,'A-BOM'!$C$3:$C993,B361,'A-BOM'!$B$3:$B993,$B$2))</f>
        <v/>
      </c>
      <c r="D361" s="120" t="str">
        <f>IFERROR(IF(B361="","",VLOOKUP(B361,RM!$C$4:$F983,3,FALSE)),"")</f>
        <v/>
      </c>
      <c r="E361" s="118" t="e">
        <f t="array" aca="1" ref="E361" ca="1">_xludf.IFNA(IF(B361="","",VLOOKUP(B361,RM!$C$4:$G983,14,FALSE)),IFERROR(MIN(IF('S-BOM'!$B$3:$B993=$B361,'S-BOM'!$H$3:$H993,"")),""))</f>
        <v>#NAME?</v>
      </c>
      <c r="F361" s="87" t="str">
        <f t="shared" si="3"/>
        <v/>
      </c>
      <c r="G361" s="87" t="str">
        <f t="shared" si="4"/>
        <v/>
      </c>
      <c r="H361" s="87"/>
      <c r="I361" s="87"/>
      <c r="J361" s="87"/>
    </row>
    <row r="362" spans="1:10">
      <c r="A362" s="2"/>
      <c r="B362" s="2"/>
      <c r="C362" s="120" t="str">
        <f>IF(B362="","",SUMIFS('A-BOM'!$D$3:$D993,'A-BOM'!$C$3:$C993,B362,'A-BOM'!$B$3:$B993,$B$2))</f>
        <v/>
      </c>
      <c r="D362" s="120" t="str">
        <f>IFERROR(IF(B362="","",VLOOKUP(B362,RM!$C$4:$F983,3,FALSE)),"")</f>
        <v/>
      </c>
      <c r="E362" s="118" t="e">
        <f t="array" aca="1" ref="E362" ca="1">_xludf.IFNA(IF(B362="","",VLOOKUP(B362,RM!$C$4:$G983,14,FALSE)),IFERROR(MIN(IF('S-BOM'!$B$3:$B993=$B362,'S-BOM'!$H$3:$H993,"")),""))</f>
        <v>#NAME?</v>
      </c>
      <c r="F362" s="87" t="str">
        <f t="shared" si="3"/>
        <v/>
      </c>
      <c r="G362" s="87" t="str">
        <f t="shared" si="4"/>
        <v/>
      </c>
      <c r="H362" s="87"/>
      <c r="I362" s="87"/>
      <c r="J362" s="87"/>
    </row>
    <row r="363" spans="1:10">
      <c r="A363" s="2"/>
      <c r="B363" s="2"/>
      <c r="C363" s="120" t="str">
        <f>IF(B363="","",SUMIFS('A-BOM'!$D$3:$D993,'A-BOM'!$C$3:$C993,B363,'A-BOM'!$B$3:$B993,$B$2))</f>
        <v/>
      </c>
      <c r="D363" s="120" t="str">
        <f>IFERROR(IF(B363="","",VLOOKUP(B363,RM!$C$4:$F983,3,FALSE)),"")</f>
        <v/>
      </c>
      <c r="E363" s="118" t="e">
        <f t="array" aca="1" ref="E363" ca="1">_xludf.IFNA(IF(B363="","",VLOOKUP(B363,RM!$C$4:$G983,14,FALSE)),IFERROR(MIN(IF('S-BOM'!$B$3:$B993=$B363,'S-BOM'!$H$3:$H993,"")),""))</f>
        <v>#NAME?</v>
      </c>
      <c r="F363" s="87" t="str">
        <f t="shared" si="3"/>
        <v/>
      </c>
      <c r="G363" s="87" t="str">
        <f t="shared" si="4"/>
        <v/>
      </c>
      <c r="H363" s="87"/>
      <c r="I363" s="87"/>
      <c r="J363" s="87"/>
    </row>
    <row r="364" spans="1:10">
      <c r="A364" s="2"/>
      <c r="B364" s="2"/>
      <c r="C364" s="120" t="str">
        <f>IF(B364="","",SUMIFS('A-BOM'!$D$3:$D993,'A-BOM'!$C$3:$C993,B364,'A-BOM'!$B$3:$B993,$B$2))</f>
        <v/>
      </c>
      <c r="D364" s="120" t="str">
        <f>IFERROR(IF(B364="","",VLOOKUP(B364,RM!$C$4:$F983,3,FALSE)),"")</f>
        <v/>
      </c>
      <c r="E364" s="118" t="e">
        <f t="array" aca="1" ref="E364" ca="1">_xludf.IFNA(IF(B364="","",VLOOKUP(B364,RM!$C$4:$G983,14,FALSE)),IFERROR(MIN(IF('S-BOM'!$B$3:$B993=$B364,'S-BOM'!$H$3:$H993,"")),""))</f>
        <v>#NAME?</v>
      </c>
      <c r="F364" s="87" t="str">
        <f t="shared" si="3"/>
        <v/>
      </c>
      <c r="G364" s="87" t="str">
        <f t="shared" si="4"/>
        <v/>
      </c>
      <c r="H364" s="87"/>
      <c r="I364" s="87"/>
      <c r="J364" s="87"/>
    </row>
    <row r="365" spans="1:10">
      <c r="A365" s="2"/>
      <c r="B365" s="2"/>
      <c r="C365" s="120" t="str">
        <f>IF(B365="","",SUMIFS('A-BOM'!$D$3:$D993,'A-BOM'!$C$3:$C993,B365,'A-BOM'!$B$3:$B993,$B$2))</f>
        <v/>
      </c>
      <c r="D365" s="120" t="str">
        <f>IFERROR(IF(B365="","",VLOOKUP(B365,RM!$C$4:$F983,3,FALSE)),"")</f>
        <v/>
      </c>
      <c r="E365" s="118" t="e">
        <f t="array" aca="1" ref="E365" ca="1">_xludf.IFNA(IF(B365="","",VLOOKUP(B365,RM!$C$4:$G983,14,FALSE)),IFERROR(MIN(IF('S-BOM'!$B$3:$B993=$B365,'S-BOM'!$H$3:$H993,"")),""))</f>
        <v>#NAME?</v>
      </c>
      <c r="F365" s="87" t="str">
        <f t="shared" si="3"/>
        <v/>
      </c>
      <c r="G365" s="87" t="str">
        <f t="shared" si="4"/>
        <v/>
      </c>
      <c r="H365" s="87"/>
      <c r="I365" s="87"/>
      <c r="J365" s="87"/>
    </row>
    <row r="366" spans="1:10">
      <c r="A366" s="2"/>
      <c r="B366" s="2"/>
      <c r="C366" s="120" t="str">
        <f>IF(B366="","",SUMIFS('A-BOM'!$D$3:$D993,'A-BOM'!$C$3:$C993,B366,'A-BOM'!$B$3:$B993,$B$2))</f>
        <v/>
      </c>
      <c r="D366" s="120" t="str">
        <f>IFERROR(IF(B366="","",VLOOKUP(B366,RM!$C$4:$F983,3,FALSE)),"")</f>
        <v/>
      </c>
      <c r="E366" s="118" t="e">
        <f t="array" aca="1" ref="E366" ca="1">_xludf.IFNA(IF(B366="","",VLOOKUP(B366,RM!$C$4:$G983,14,FALSE)),IFERROR(MIN(IF('S-BOM'!$B$3:$B993=$B366,'S-BOM'!$H$3:$H993,"")),""))</f>
        <v>#NAME?</v>
      </c>
      <c r="F366" s="87" t="str">
        <f t="shared" si="3"/>
        <v/>
      </c>
      <c r="G366" s="87" t="str">
        <f t="shared" si="4"/>
        <v/>
      </c>
      <c r="H366" s="87"/>
      <c r="I366" s="87"/>
      <c r="J366" s="87"/>
    </row>
    <row r="367" spans="1:10">
      <c r="A367" s="2"/>
      <c r="B367" s="2"/>
      <c r="C367" s="120" t="str">
        <f>IF(B367="","",SUMIFS('A-BOM'!$D$3:$D993,'A-BOM'!$C$3:$C993,B367,'A-BOM'!$B$3:$B993,$B$2))</f>
        <v/>
      </c>
      <c r="D367" s="120" t="str">
        <f>IFERROR(IF(B367="","",VLOOKUP(B367,RM!$C$4:$F983,3,FALSE)),"")</f>
        <v/>
      </c>
      <c r="E367" s="118" t="e">
        <f t="array" aca="1" ref="E367" ca="1">_xludf.IFNA(IF(B367="","",VLOOKUP(B367,RM!$C$4:$G983,14,FALSE)),IFERROR(MIN(IF('S-BOM'!$B$3:$B993=$B367,'S-BOM'!$H$3:$H993,"")),""))</f>
        <v>#NAME?</v>
      </c>
      <c r="F367" s="87" t="str">
        <f t="shared" si="3"/>
        <v/>
      </c>
      <c r="G367" s="87" t="str">
        <f t="shared" si="4"/>
        <v/>
      </c>
      <c r="H367" s="87"/>
      <c r="I367" s="87"/>
      <c r="J367" s="87"/>
    </row>
    <row r="368" spans="1:10">
      <c r="A368" s="2"/>
      <c r="B368" s="2"/>
      <c r="C368" s="120" t="str">
        <f>IF(B368="","",SUMIFS('A-BOM'!$D$3:$D993,'A-BOM'!$C$3:$C993,B368,'A-BOM'!$B$3:$B993,$B$2))</f>
        <v/>
      </c>
      <c r="D368" s="120" t="str">
        <f>IFERROR(IF(B368="","",VLOOKUP(B368,RM!$C$4:$F983,3,FALSE)),"")</f>
        <v/>
      </c>
      <c r="E368" s="118" t="e">
        <f t="array" aca="1" ref="E368" ca="1">_xludf.IFNA(IF(B368="","",VLOOKUP(B368,RM!$C$4:$G983,14,FALSE)),IFERROR(MIN(IF('S-BOM'!$B$3:$B993=$B368,'S-BOM'!$H$3:$H993,"")),""))</f>
        <v>#NAME?</v>
      </c>
      <c r="F368" s="87" t="str">
        <f t="shared" si="3"/>
        <v/>
      </c>
      <c r="G368" s="87" t="str">
        <f t="shared" si="4"/>
        <v/>
      </c>
      <c r="H368" s="87"/>
      <c r="I368" s="87"/>
      <c r="J368" s="87"/>
    </row>
    <row r="369" spans="1:10">
      <c r="A369" s="2"/>
      <c r="B369" s="2"/>
      <c r="C369" s="120" t="str">
        <f>IF(B369="","",SUMIFS('A-BOM'!$D$3:$D993,'A-BOM'!$C$3:$C993,B369,'A-BOM'!$B$3:$B993,$B$2))</f>
        <v/>
      </c>
      <c r="D369" s="120" t="str">
        <f>IFERROR(IF(B369="","",VLOOKUP(B369,RM!$C$4:$F983,3,FALSE)),"")</f>
        <v/>
      </c>
      <c r="E369" s="118" t="e">
        <f t="array" aca="1" ref="E369" ca="1">_xludf.IFNA(IF(B369="","",VLOOKUP(B369,RM!$C$4:$G983,14,FALSE)),IFERROR(MIN(IF('S-BOM'!$B$3:$B993=$B369,'S-BOM'!$H$3:$H993,"")),""))</f>
        <v>#NAME?</v>
      </c>
      <c r="F369" s="87" t="str">
        <f t="shared" si="3"/>
        <v/>
      </c>
      <c r="G369" s="87" t="str">
        <f t="shared" si="4"/>
        <v/>
      </c>
      <c r="H369" s="87"/>
      <c r="I369" s="87"/>
      <c r="J369" s="87"/>
    </row>
    <row r="370" spans="1:10">
      <c r="A370" s="2"/>
      <c r="B370" s="2"/>
      <c r="C370" s="120" t="str">
        <f>IF(B370="","",SUMIFS('A-BOM'!$D$3:$D993,'A-BOM'!$C$3:$C993,B370,'A-BOM'!$B$3:$B993,$B$2))</f>
        <v/>
      </c>
      <c r="D370" s="120" t="str">
        <f>IFERROR(IF(B370="","",VLOOKUP(B370,RM!$C$4:$F983,3,FALSE)),"")</f>
        <v/>
      </c>
      <c r="E370" s="118" t="e">
        <f t="array" aca="1" ref="E370" ca="1">_xludf.IFNA(IF(B370="","",VLOOKUP(B370,RM!$C$4:$G983,14,FALSE)),IFERROR(MIN(IF('S-BOM'!$B$3:$B993=$B370,'S-BOM'!$H$3:$H993,"")),""))</f>
        <v>#NAME?</v>
      </c>
      <c r="F370" s="87" t="str">
        <f t="shared" si="3"/>
        <v/>
      </c>
      <c r="G370" s="87" t="str">
        <f t="shared" si="4"/>
        <v/>
      </c>
      <c r="H370" s="87"/>
      <c r="I370" s="87"/>
      <c r="J370" s="87"/>
    </row>
    <row r="371" spans="1:10">
      <c r="A371" s="2"/>
      <c r="B371" s="2"/>
      <c r="C371" s="120" t="str">
        <f>IF(B371="","",SUMIFS('A-BOM'!$D$3:$D993,'A-BOM'!$C$3:$C993,B371,'A-BOM'!$B$3:$B993,$B$2))</f>
        <v/>
      </c>
      <c r="D371" s="120" t="str">
        <f>IFERROR(IF(B371="","",VLOOKUP(B371,RM!$C$4:$F983,3,FALSE)),"")</f>
        <v/>
      </c>
      <c r="E371" s="118" t="e">
        <f t="array" aca="1" ref="E371" ca="1">_xludf.IFNA(IF(B371="","",VLOOKUP(B371,RM!$C$4:$G983,14,FALSE)),IFERROR(MIN(IF('S-BOM'!$B$3:$B993=$B371,'S-BOM'!$H$3:$H993,"")),""))</f>
        <v>#NAME?</v>
      </c>
      <c r="F371" s="87" t="str">
        <f t="shared" si="3"/>
        <v/>
      </c>
      <c r="G371" s="87" t="str">
        <f t="shared" si="4"/>
        <v/>
      </c>
      <c r="H371" s="87"/>
      <c r="I371" s="87"/>
      <c r="J371" s="87"/>
    </row>
    <row r="372" spans="1:10">
      <c r="A372" s="2"/>
      <c r="B372" s="2"/>
      <c r="C372" s="120" t="str">
        <f>IF(B372="","",SUMIFS('A-BOM'!$D$3:$D993,'A-BOM'!$C$3:$C993,B372,'A-BOM'!$B$3:$B993,$B$2))</f>
        <v/>
      </c>
      <c r="D372" s="120" t="str">
        <f>IFERROR(IF(B372="","",VLOOKUP(B372,RM!$C$4:$F983,3,FALSE)),"")</f>
        <v/>
      </c>
      <c r="E372" s="118" t="e">
        <f t="array" aca="1" ref="E372" ca="1">_xludf.IFNA(IF(B372="","",VLOOKUP(B372,RM!$C$4:$G983,14,FALSE)),IFERROR(MIN(IF('S-BOM'!$B$3:$B993=$B372,'S-BOM'!$H$3:$H993,"")),""))</f>
        <v>#NAME?</v>
      </c>
      <c r="F372" s="87" t="str">
        <f t="shared" si="3"/>
        <v/>
      </c>
      <c r="G372" s="87" t="str">
        <f t="shared" si="4"/>
        <v/>
      </c>
      <c r="H372" s="87"/>
      <c r="I372" s="87"/>
      <c r="J372" s="87"/>
    </row>
    <row r="373" spans="1:10">
      <c r="A373" s="2"/>
      <c r="B373" s="2"/>
      <c r="C373" s="120" t="str">
        <f>IF(B373="","",SUMIFS('A-BOM'!$D$3:$D993,'A-BOM'!$C$3:$C993,B373,'A-BOM'!$B$3:$B993,$B$2))</f>
        <v/>
      </c>
      <c r="D373" s="120" t="str">
        <f>IFERROR(IF(B373="","",VLOOKUP(B373,RM!$C$4:$F983,3,FALSE)),"")</f>
        <v/>
      </c>
      <c r="E373" s="118" t="e">
        <f t="array" aca="1" ref="E373" ca="1">_xludf.IFNA(IF(B373="","",VLOOKUP(B373,RM!$C$4:$G983,14,FALSE)),IFERROR(MIN(IF('S-BOM'!$B$3:$B993=$B373,'S-BOM'!$H$3:$H993,"")),""))</f>
        <v>#NAME?</v>
      </c>
      <c r="F373" s="87" t="str">
        <f t="shared" si="3"/>
        <v/>
      </c>
      <c r="G373" s="87" t="str">
        <f t="shared" si="4"/>
        <v/>
      </c>
      <c r="H373" s="87"/>
      <c r="I373" s="87"/>
      <c r="J373" s="87"/>
    </row>
    <row r="374" spans="1:10">
      <c r="A374" s="2"/>
      <c r="B374" s="2"/>
      <c r="C374" s="120" t="str">
        <f>IF(B374="","",SUMIFS('A-BOM'!$D$3:$D993,'A-BOM'!$C$3:$C993,B374,'A-BOM'!$B$3:$B993,$B$2))</f>
        <v/>
      </c>
      <c r="D374" s="120" t="str">
        <f>IFERROR(IF(B374="","",VLOOKUP(B374,RM!$C$4:$F983,3,FALSE)),"")</f>
        <v/>
      </c>
      <c r="E374" s="118" t="e">
        <f t="array" aca="1" ref="E374" ca="1">_xludf.IFNA(IF(B374="","",VLOOKUP(B374,RM!$C$4:$G983,14,FALSE)),IFERROR(MIN(IF('S-BOM'!$B$3:$B993=$B374,'S-BOM'!$H$3:$H993,"")),""))</f>
        <v>#NAME?</v>
      </c>
      <c r="F374" s="87" t="str">
        <f t="shared" si="3"/>
        <v/>
      </c>
      <c r="G374" s="87" t="str">
        <f t="shared" si="4"/>
        <v/>
      </c>
      <c r="H374" s="87"/>
      <c r="I374" s="87"/>
      <c r="J374" s="87"/>
    </row>
    <row r="375" spans="1:10">
      <c r="A375" s="2"/>
      <c r="B375" s="2"/>
      <c r="C375" s="120" t="str">
        <f>IF(B375="","",SUMIFS('A-BOM'!$D$3:$D993,'A-BOM'!$C$3:$C993,B375,'A-BOM'!$B$3:$B993,$B$2))</f>
        <v/>
      </c>
      <c r="D375" s="120" t="str">
        <f>IFERROR(IF(B375="","",VLOOKUP(B375,RM!$C$4:$F983,3,FALSE)),"")</f>
        <v/>
      </c>
      <c r="E375" s="118" t="e">
        <f t="array" aca="1" ref="E375" ca="1">_xludf.IFNA(IF(B375="","",VLOOKUP(B375,RM!$C$4:$G983,14,FALSE)),IFERROR(MIN(IF('S-BOM'!$B$3:$B993=$B375,'S-BOM'!$H$3:$H993,"")),""))</f>
        <v>#NAME?</v>
      </c>
      <c r="F375" s="87" t="str">
        <f t="shared" si="3"/>
        <v/>
      </c>
      <c r="G375" s="87" t="str">
        <f t="shared" si="4"/>
        <v/>
      </c>
      <c r="H375" s="87"/>
      <c r="I375" s="87"/>
      <c r="J375" s="87"/>
    </row>
    <row r="376" spans="1:10">
      <c r="A376" s="2"/>
      <c r="B376" s="2"/>
      <c r="C376" s="120" t="str">
        <f>IF(B376="","",SUMIFS('A-BOM'!$D$3:$D993,'A-BOM'!$C$3:$C993,B376,'A-BOM'!$B$3:$B993,$B$2))</f>
        <v/>
      </c>
      <c r="D376" s="120" t="str">
        <f>IFERROR(IF(B376="","",VLOOKUP(B376,RM!$C$4:$F983,3,FALSE)),"")</f>
        <v/>
      </c>
      <c r="E376" s="118" t="e">
        <f t="array" aca="1" ref="E376" ca="1">_xludf.IFNA(IF(B376="","",VLOOKUP(B376,RM!$C$4:$G983,14,FALSE)),IFERROR(MIN(IF('S-BOM'!$B$3:$B993=$B376,'S-BOM'!$H$3:$H993,"")),""))</f>
        <v>#NAME?</v>
      </c>
      <c r="F376" s="87" t="str">
        <f t="shared" si="3"/>
        <v/>
      </c>
      <c r="G376" s="87" t="str">
        <f t="shared" si="4"/>
        <v/>
      </c>
      <c r="H376" s="87"/>
      <c r="I376" s="87"/>
      <c r="J376" s="87"/>
    </row>
    <row r="377" spans="1:10">
      <c r="A377" s="2"/>
      <c r="B377" s="2"/>
      <c r="C377" s="120" t="str">
        <f>IF(B377="","",SUMIFS('A-BOM'!$D$3:$D993,'A-BOM'!$C$3:$C993,B377,'A-BOM'!$B$3:$B993,$B$2))</f>
        <v/>
      </c>
      <c r="D377" s="120" t="str">
        <f>IFERROR(IF(B377="","",VLOOKUP(B377,RM!$C$4:$F983,3,FALSE)),"")</f>
        <v/>
      </c>
      <c r="E377" s="118" t="e">
        <f t="array" aca="1" ref="E377" ca="1">_xludf.IFNA(IF(B377="","",VLOOKUP(B377,RM!$C$4:$G983,14,FALSE)),IFERROR(MIN(IF('S-BOM'!$B$3:$B993=$B377,'S-BOM'!$H$3:$H993,"")),""))</f>
        <v>#NAME?</v>
      </c>
      <c r="F377" s="87" t="str">
        <f t="shared" si="3"/>
        <v/>
      </c>
      <c r="G377" s="87" t="str">
        <f t="shared" si="4"/>
        <v/>
      </c>
      <c r="H377" s="87"/>
      <c r="I377" s="87"/>
      <c r="J377" s="87"/>
    </row>
    <row r="378" spans="1:10">
      <c r="A378" s="2"/>
      <c r="B378" s="2"/>
      <c r="C378" s="120" t="str">
        <f>IF(B378="","",SUMIFS('A-BOM'!$D$3:$D993,'A-BOM'!$C$3:$C993,B378,'A-BOM'!$B$3:$B993,$B$2))</f>
        <v/>
      </c>
      <c r="D378" s="120" t="str">
        <f>IFERROR(IF(B378="","",VLOOKUP(B378,RM!$C$4:$F983,3,FALSE)),"")</f>
        <v/>
      </c>
      <c r="E378" s="118" t="e">
        <f t="array" aca="1" ref="E378" ca="1">_xludf.IFNA(IF(B378="","",VLOOKUP(B378,RM!$C$4:$G983,14,FALSE)),IFERROR(MIN(IF('S-BOM'!$B$3:$B993=$B378,'S-BOM'!$H$3:$H993,"")),""))</f>
        <v>#NAME?</v>
      </c>
      <c r="F378" s="87" t="str">
        <f t="shared" si="3"/>
        <v/>
      </c>
      <c r="G378" s="87" t="str">
        <f t="shared" si="4"/>
        <v/>
      </c>
      <c r="H378" s="87"/>
      <c r="I378" s="87"/>
      <c r="J378" s="87"/>
    </row>
    <row r="379" spans="1:10">
      <c r="A379" s="2"/>
      <c r="B379" s="2"/>
      <c r="C379" s="120" t="str">
        <f>IF(B379="","",SUMIFS('A-BOM'!$D$3:$D993,'A-BOM'!$C$3:$C993,B379,'A-BOM'!$B$3:$B993,$B$2))</f>
        <v/>
      </c>
      <c r="D379" s="120" t="str">
        <f>IFERROR(IF(B379="","",VLOOKUP(B379,RM!$C$4:$F983,3,FALSE)),"")</f>
        <v/>
      </c>
      <c r="E379" s="118" t="e">
        <f t="array" aca="1" ref="E379" ca="1">_xludf.IFNA(IF(B379="","",VLOOKUP(B379,RM!$C$4:$G983,14,FALSE)),IFERROR(MIN(IF('S-BOM'!$B$3:$B993=$B379,'S-BOM'!$H$3:$H993,"")),""))</f>
        <v>#NAME?</v>
      </c>
      <c r="F379" s="87" t="str">
        <f t="shared" si="3"/>
        <v/>
      </c>
      <c r="G379" s="87" t="str">
        <f t="shared" si="4"/>
        <v/>
      </c>
      <c r="H379" s="87"/>
      <c r="I379" s="87"/>
      <c r="J379" s="87"/>
    </row>
    <row r="380" spans="1:10">
      <c r="A380" s="2"/>
      <c r="B380" s="2"/>
      <c r="C380" s="120" t="str">
        <f>IF(B380="","",SUMIFS('A-BOM'!$D$3:$D993,'A-BOM'!$C$3:$C993,B380,'A-BOM'!$B$3:$B993,$B$2))</f>
        <v/>
      </c>
      <c r="D380" s="120" t="str">
        <f>IFERROR(IF(B380="","",VLOOKUP(B380,RM!$C$4:$F983,3,FALSE)),"")</f>
        <v/>
      </c>
      <c r="E380" s="118" t="e">
        <f t="array" aca="1" ref="E380" ca="1">_xludf.IFNA(IF(B380="","",VLOOKUP(B380,RM!$C$4:$G983,14,FALSE)),IFERROR(MIN(IF('S-BOM'!$B$3:$B993=$B380,'S-BOM'!$H$3:$H993,"")),""))</f>
        <v>#NAME?</v>
      </c>
      <c r="F380" s="87" t="str">
        <f t="shared" si="3"/>
        <v/>
      </c>
      <c r="G380" s="87" t="str">
        <f t="shared" si="4"/>
        <v/>
      </c>
      <c r="H380" s="87"/>
      <c r="I380" s="87"/>
      <c r="J380" s="87"/>
    </row>
    <row r="381" spans="1:10">
      <c r="A381" s="2"/>
      <c r="B381" s="2"/>
      <c r="C381" s="120" t="str">
        <f>IF(B381="","",SUMIFS('A-BOM'!$D$3:$D993,'A-BOM'!$C$3:$C993,B381,'A-BOM'!$B$3:$B993,$B$2))</f>
        <v/>
      </c>
      <c r="D381" s="120" t="str">
        <f>IFERROR(IF(B381="","",VLOOKUP(B381,RM!$C$4:$F983,3,FALSE)),"")</f>
        <v/>
      </c>
      <c r="E381" s="118" t="e">
        <f t="array" aca="1" ref="E381" ca="1">_xludf.IFNA(IF(B381="","",VLOOKUP(B381,RM!$C$4:$G983,14,FALSE)),IFERROR(MIN(IF('S-BOM'!$B$3:$B993=$B381,'S-BOM'!$H$3:$H993,"")),""))</f>
        <v>#NAME?</v>
      </c>
      <c r="F381" s="87" t="str">
        <f t="shared" si="3"/>
        <v/>
      </c>
      <c r="G381" s="87" t="str">
        <f t="shared" si="4"/>
        <v/>
      </c>
      <c r="H381" s="87"/>
      <c r="I381" s="87"/>
      <c r="J381" s="87"/>
    </row>
    <row r="382" spans="1:10">
      <c r="A382" s="2"/>
      <c r="B382" s="2"/>
      <c r="C382" s="120" t="str">
        <f>IF(B382="","",SUMIFS('A-BOM'!$D$3:$D993,'A-BOM'!$C$3:$C993,B382,'A-BOM'!$B$3:$B993,$B$2))</f>
        <v/>
      </c>
      <c r="D382" s="120" t="str">
        <f>IFERROR(IF(B382="","",VLOOKUP(B382,RM!$C$4:$F983,3,FALSE)),"")</f>
        <v/>
      </c>
      <c r="E382" s="118" t="e">
        <f t="array" aca="1" ref="E382" ca="1">_xludf.IFNA(IF(B382="","",VLOOKUP(B382,RM!$C$4:$G983,14,FALSE)),IFERROR(MIN(IF('S-BOM'!$B$3:$B993=$B382,'S-BOM'!$H$3:$H993,"")),""))</f>
        <v>#NAME?</v>
      </c>
      <c r="F382" s="87" t="str">
        <f t="shared" si="3"/>
        <v/>
      </c>
      <c r="G382" s="87" t="str">
        <f t="shared" si="4"/>
        <v/>
      </c>
      <c r="H382" s="87"/>
      <c r="I382" s="87"/>
      <c r="J382" s="87"/>
    </row>
    <row r="383" spans="1:10">
      <c r="A383" s="2"/>
      <c r="B383" s="2"/>
      <c r="C383" s="120" t="str">
        <f>IF(B383="","",SUMIFS('A-BOM'!$D$3:$D993,'A-BOM'!$C$3:$C993,B383,'A-BOM'!$B$3:$B993,$B$2))</f>
        <v/>
      </c>
      <c r="D383" s="120" t="str">
        <f>IFERROR(IF(B383="","",VLOOKUP(B383,RM!$C$4:$F983,3,FALSE)),"")</f>
        <v/>
      </c>
      <c r="E383" s="118" t="e">
        <f t="array" aca="1" ref="E383" ca="1">_xludf.IFNA(IF(B383="","",VLOOKUP(B383,RM!$C$4:$G983,14,FALSE)),IFERROR(MIN(IF('S-BOM'!$B$3:$B993=$B383,'S-BOM'!$H$3:$H993,"")),""))</f>
        <v>#NAME?</v>
      </c>
      <c r="F383" s="87" t="str">
        <f t="shared" si="3"/>
        <v/>
      </c>
      <c r="G383" s="87" t="str">
        <f t="shared" si="4"/>
        <v/>
      </c>
      <c r="H383" s="87"/>
      <c r="I383" s="87"/>
      <c r="J383" s="87"/>
    </row>
    <row r="384" spans="1:10">
      <c r="A384" s="2"/>
      <c r="B384" s="2"/>
      <c r="C384" s="120" t="str">
        <f>IF(B384="","",SUMIFS('A-BOM'!$D$3:$D993,'A-BOM'!$C$3:$C993,B384,'A-BOM'!$B$3:$B993,$B$2))</f>
        <v/>
      </c>
      <c r="D384" s="120" t="str">
        <f>IFERROR(IF(B384="","",VLOOKUP(B384,RM!$C$4:$F983,3,FALSE)),"")</f>
        <v/>
      </c>
      <c r="E384" s="118" t="e">
        <f t="array" aca="1" ref="E384" ca="1">_xludf.IFNA(IF(B384="","",VLOOKUP(B384,RM!$C$4:$G983,14,FALSE)),IFERROR(MIN(IF('S-BOM'!$B$3:$B993=$B384,'S-BOM'!$H$3:$H993,"")),""))</f>
        <v>#NAME?</v>
      </c>
      <c r="F384" s="87" t="str">
        <f t="shared" si="3"/>
        <v/>
      </c>
      <c r="G384" s="87" t="str">
        <f t="shared" si="4"/>
        <v/>
      </c>
      <c r="H384" s="87"/>
      <c r="I384" s="87"/>
      <c r="J384" s="87"/>
    </row>
    <row r="385" spans="1:10">
      <c r="A385" s="2"/>
      <c r="B385" s="2"/>
      <c r="C385" s="120" t="str">
        <f>IF(B385="","",SUMIFS('A-BOM'!$D$3:$D993,'A-BOM'!$C$3:$C993,B385,'A-BOM'!$B$3:$B993,$B$2))</f>
        <v/>
      </c>
      <c r="D385" s="120" t="str">
        <f>IFERROR(IF(B385="","",VLOOKUP(B385,RM!$C$4:$F983,3,FALSE)),"")</f>
        <v/>
      </c>
      <c r="E385" s="118" t="e">
        <f t="array" aca="1" ref="E385" ca="1">_xludf.IFNA(IF(B385="","",VLOOKUP(B385,RM!$C$4:$G983,14,FALSE)),IFERROR(MIN(IF('S-BOM'!$B$3:$B993=$B385,'S-BOM'!$H$3:$H993,"")),""))</f>
        <v>#NAME?</v>
      </c>
      <c r="F385" s="87" t="str">
        <f t="shared" si="3"/>
        <v/>
      </c>
      <c r="G385" s="87" t="str">
        <f t="shared" si="4"/>
        <v/>
      </c>
      <c r="H385" s="87"/>
      <c r="I385" s="87"/>
      <c r="J385" s="87"/>
    </row>
    <row r="386" spans="1:10">
      <c r="A386" s="2"/>
      <c r="B386" s="2"/>
      <c r="C386" s="120" t="str">
        <f>IF(B386="","",SUMIFS('A-BOM'!$D$3:$D993,'A-BOM'!$C$3:$C993,B386,'A-BOM'!$B$3:$B993,$B$2))</f>
        <v/>
      </c>
      <c r="D386" s="120" t="str">
        <f>IFERROR(IF(B386="","",VLOOKUP(B386,RM!$C$4:$F983,3,FALSE)),"")</f>
        <v/>
      </c>
      <c r="E386" s="118" t="e">
        <f t="array" aca="1" ref="E386" ca="1">_xludf.IFNA(IF(B386="","",VLOOKUP(B386,RM!$C$4:$G983,14,FALSE)),IFERROR(MIN(IF('S-BOM'!$B$3:$B993=$B386,'S-BOM'!$H$3:$H993,"")),""))</f>
        <v>#NAME?</v>
      </c>
      <c r="F386" s="87" t="str">
        <f t="shared" si="3"/>
        <v/>
      </c>
      <c r="G386" s="87" t="str">
        <f t="shared" si="4"/>
        <v/>
      </c>
      <c r="H386" s="87"/>
      <c r="I386" s="87"/>
      <c r="J386" s="87"/>
    </row>
    <row r="387" spans="1:10">
      <c r="A387" s="2"/>
      <c r="B387" s="2"/>
      <c r="C387" s="120" t="str">
        <f>IF(B387="","",SUMIFS('A-BOM'!$D$3:$D993,'A-BOM'!$C$3:$C993,B387,'A-BOM'!$B$3:$B993,$B$2))</f>
        <v/>
      </c>
      <c r="D387" s="120" t="str">
        <f>IFERROR(IF(B387="","",VLOOKUP(B387,RM!$C$4:$F983,3,FALSE)),"")</f>
        <v/>
      </c>
      <c r="E387" s="118" t="e">
        <f t="array" aca="1" ref="E387" ca="1">_xludf.IFNA(IF(B387="","",VLOOKUP(B387,RM!$C$4:$G983,14,FALSE)),IFERROR(MIN(IF('S-BOM'!$B$3:$B993=$B387,'S-BOM'!$H$3:$H993,"")),""))</f>
        <v>#NAME?</v>
      </c>
      <c r="F387" s="87" t="str">
        <f t="shared" si="3"/>
        <v/>
      </c>
      <c r="G387" s="87" t="str">
        <f t="shared" si="4"/>
        <v/>
      </c>
      <c r="H387" s="87"/>
      <c r="I387" s="87"/>
      <c r="J387" s="87"/>
    </row>
    <row r="388" spans="1:10">
      <c r="A388" s="2"/>
      <c r="B388" s="2"/>
      <c r="C388" s="120" t="str">
        <f>IF(B388="","",SUMIFS('A-BOM'!$D$3:$D993,'A-BOM'!$C$3:$C993,B388,'A-BOM'!$B$3:$B993,$B$2))</f>
        <v/>
      </c>
      <c r="D388" s="120" t="str">
        <f>IFERROR(IF(B388="","",VLOOKUP(B388,RM!$C$4:$F983,3,FALSE)),"")</f>
        <v/>
      </c>
      <c r="E388" s="118" t="e">
        <f t="array" aca="1" ref="E388" ca="1">_xludf.IFNA(IF(B388="","",VLOOKUP(B388,RM!$C$4:$G983,14,FALSE)),IFERROR(MIN(IF('S-BOM'!$B$3:$B993=$B388,'S-BOM'!$H$3:$H993,"")),""))</f>
        <v>#NAME?</v>
      </c>
      <c r="F388" s="87" t="str">
        <f t="shared" si="3"/>
        <v/>
      </c>
      <c r="G388" s="87" t="str">
        <f t="shared" si="4"/>
        <v/>
      </c>
      <c r="H388" s="87"/>
      <c r="I388" s="87"/>
      <c r="J388" s="87"/>
    </row>
    <row r="389" spans="1:10">
      <c r="A389" s="2"/>
      <c r="B389" s="2"/>
      <c r="C389" s="120" t="str">
        <f>IF(B389="","",SUMIFS('A-BOM'!$D$3:$D993,'A-BOM'!$C$3:$C993,B389,'A-BOM'!$B$3:$B993,$B$2))</f>
        <v/>
      </c>
      <c r="D389" s="120" t="str">
        <f>IFERROR(IF(B389="","",VLOOKUP(B389,RM!$C$4:$F983,3,FALSE)),"")</f>
        <v/>
      </c>
      <c r="E389" s="118" t="e">
        <f t="array" aca="1" ref="E389" ca="1">_xludf.IFNA(IF(B389="","",VLOOKUP(B389,RM!$C$4:$G983,14,FALSE)),IFERROR(MIN(IF('S-BOM'!$B$3:$B993=$B389,'S-BOM'!$H$3:$H993,"")),""))</f>
        <v>#NAME?</v>
      </c>
      <c r="F389" s="87" t="str">
        <f t="shared" si="3"/>
        <v/>
      </c>
      <c r="G389" s="87" t="str">
        <f t="shared" si="4"/>
        <v/>
      </c>
      <c r="H389" s="87"/>
      <c r="I389" s="87"/>
      <c r="J389" s="87"/>
    </row>
    <row r="390" spans="1:10">
      <c r="A390" s="2"/>
      <c r="B390" s="2"/>
      <c r="C390" s="120" t="str">
        <f>IF(B390="","",SUMIFS('A-BOM'!$D$3:$D993,'A-BOM'!$C$3:$C993,B390,'A-BOM'!$B$3:$B993,$B$2))</f>
        <v/>
      </c>
      <c r="D390" s="120" t="str">
        <f>IFERROR(IF(B390="","",VLOOKUP(B390,RM!$C$4:$F983,3,FALSE)),"")</f>
        <v/>
      </c>
      <c r="E390" s="118" t="e">
        <f t="array" aca="1" ref="E390" ca="1">_xludf.IFNA(IF(B390="","",VLOOKUP(B390,RM!$C$4:$G983,14,FALSE)),IFERROR(MIN(IF('S-BOM'!$B$3:$B993=$B390,'S-BOM'!$H$3:$H993,"")),""))</f>
        <v>#NAME?</v>
      </c>
      <c r="F390" s="87" t="str">
        <f t="shared" si="3"/>
        <v/>
      </c>
      <c r="G390" s="87" t="str">
        <f t="shared" si="4"/>
        <v/>
      </c>
      <c r="H390" s="87"/>
      <c r="I390" s="87"/>
      <c r="J390" s="87"/>
    </row>
    <row r="391" spans="1:10">
      <c r="A391" s="2"/>
      <c r="B391" s="2"/>
      <c r="C391" s="120" t="str">
        <f>IF(B391="","",SUMIFS('A-BOM'!$D$3:$D993,'A-BOM'!$C$3:$C993,B391,'A-BOM'!$B$3:$B993,$B$2))</f>
        <v/>
      </c>
      <c r="D391" s="120" t="str">
        <f>IFERROR(IF(B391="","",VLOOKUP(B391,RM!$C$4:$F983,3,FALSE)),"")</f>
        <v/>
      </c>
      <c r="E391" s="118" t="e">
        <f t="array" aca="1" ref="E391" ca="1">_xludf.IFNA(IF(B391="","",VLOOKUP(B391,RM!$C$4:$G983,14,FALSE)),IFERROR(MIN(IF('S-BOM'!$B$3:$B993=$B391,'S-BOM'!$H$3:$H993,"")),""))</f>
        <v>#NAME?</v>
      </c>
      <c r="F391" s="87" t="str">
        <f t="shared" si="3"/>
        <v/>
      </c>
      <c r="G391" s="87" t="str">
        <f t="shared" si="4"/>
        <v/>
      </c>
      <c r="H391" s="87"/>
      <c r="I391" s="87"/>
      <c r="J391" s="87"/>
    </row>
    <row r="392" spans="1:10">
      <c r="A392" s="2"/>
      <c r="B392" s="2"/>
      <c r="C392" s="120" t="str">
        <f>IF(B392="","",SUMIFS('A-BOM'!$D$3:$D993,'A-BOM'!$C$3:$C993,B392,'A-BOM'!$B$3:$B993,$B$2))</f>
        <v/>
      </c>
      <c r="D392" s="120" t="str">
        <f>IFERROR(IF(B392="","",VLOOKUP(B392,RM!$C$4:$F983,3,FALSE)),"")</f>
        <v/>
      </c>
      <c r="E392" s="118" t="e">
        <f t="array" aca="1" ref="E392" ca="1">_xludf.IFNA(IF(B392="","",VLOOKUP(B392,RM!$C$4:$G983,14,FALSE)),IFERROR(MIN(IF('S-BOM'!$B$3:$B993=$B392,'S-BOM'!$H$3:$H993,"")),""))</f>
        <v>#NAME?</v>
      </c>
      <c r="F392" s="87" t="str">
        <f t="shared" si="3"/>
        <v/>
      </c>
      <c r="G392" s="87" t="str">
        <f t="shared" si="4"/>
        <v/>
      </c>
      <c r="H392" s="87"/>
      <c r="I392" s="87"/>
      <c r="J392" s="87"/>
    </row>
    <row r="393" spans="1:10">
      <c r="A393" s="2"/>
      <c r="B393" s="2"/>
      <c r="C393" s="120" t="str">
        <f>IF(B393="","",SUMIFS('A-BOM'!$D$3:$D993,'A-BOM'!$C$3:$C993,B393,'A-BOM'!$B$3:$B993,$B$2))</f>
        <v/>
      </c>
      <c r="D393" s="120" t="str">
        <f>IFERROR(IF(B393="","",VLOOKUP(B393,RM!$C$4:$F983,3,FALSE)),"")</f>
        <v/>
      </c>
      <c r="E393" s="118" t="e">
        <f t="array" aca="1" ref="E393" ca="1">_xludf.IFNA(IF(B393="","",VLOOKUP(B393,RM!$C$4:$G983,14,FALSE)),IFERROR(MIN(IF('S-BOM'!$B$3:$B993=$B393,'S-BOM'!$H$3:$H993,"")),""))</f>
        <v>#NAME?</v>
      </c>
      <c r="F393" s="87" t="str">
        <f t="shared" si="3"/>
        <v/>
      </c>
      <c r="G393" s="87" t="str">
        <f t="shared" si="4"/>
        <v/>
      </c>
      <c r="H393" s="87"/>
      <c r="I393" s="87"/>
      <c r="J393" s="87"/>
    </row>
    <row r="394" spans="1:10">
      <c r="A394" s="2"/>
      <c r="B394" s="2"/>
      <c r="C394" s="120" t="str">
        <f>IF(B394="","",SUMIFS('A-BOM'!$D$3:$D993,'A-BOM'!$C$3:$C993,B394,'A-BOM'!$B$3:$B993,$B$2))</f>
        <v/>
      </c>
      <c r="D394" s="120" t="str">
        <f>IFERROR(IF(B394="","",VLOOKUP(B394,RM!$C$4:$F983,3,FALSE)),"")</f>
        <v/>
      </c>
      <c r="E394" s="118" t="e">
        <f t="array" aca="1" ref="E394" ca="1">_xludf.IFNA(IF(B394="","",VLOOKUP(B394,RM!$C$4:$G983,14,FALSE)),IFERROR(MIN(IF('S-BOM'!$B$3:$B993=$B394,'S-BOM'!$H$3:$H993,"")),""))</f>
        <v>#NAME?</v>
      </c>
      <c r="F394" s="87" t="str">
        <f t="shared" si="3"/>
        <v/>
      </c>
      <c r="G394" s="87" t="str">
        <f t="shared" si="4"/>
        <v/>
      </c>
      <c r="H394" s="87"/>
      <c r="I394" s="87"/>
      <c r="J394" s="87"/>
    </row>
    <row r="395" spans="1:10">
      <c r="A395" s="2"/>
      <c r="B395" s="2"/>
      <c r="C395" s="120" t="str">
        <f>IF(B395="","",SUMIFS('A-BOM'!$D$3:$D993,'A-BOM'!$C$3:$C993,B395,'A-BOM'!$B$3:$B993,$B$2))</f>
        <v/>
      </c>
      <c r="D395" s="120" t="str">
        <f>IFERROR(IF(B395="","",VLOOKUP(B395,RM!$C$4:$F983,3,FALSE)),"")</f>
        <v/>
      </c>
      <c r="E395" s="118" t="e">
        <f t="array" aca="1" ref="E395" ca="1">_xludf.IFNA(IF(B395="","",VLOOKUP(B395,RM!$C$4:$G983,14,FALSE)),IFERROR(MIN(IF('S-BOM'!$B$3:$B993=$B395,'S-BOM'!$H$3:$H993,"")),""))</f>
        <v>#NAME?</v>
      </c>
      <c r="F395" s="87" t="str">
        <f t="shared" si="3"/>
        <v/>
      </c>
      <c r="G395" s="87" t="str">
        <f t="shared" si="4"/>
        <v/>
      </c>
      <c r="H395" s="87"/>
      <c r="I395" s="87"/>
      <c r="J395" s="87"/>
    </row>
    <row r="396" spans="1:10">
      <c r="A396" s="2"/>
      <c r="B396" s="2"/>
      <c r="C396" s="120" t="str">
        <f>IF(B396="","",SUMIFS('A-BOM'!$D$3:$D993,'A-BOM'!$C$3:$C993,B396,'A-BOM'!$B$3:$B993,$B$2))</f>
        <v/>
      </c>
      <c r="D396" s="120" t="str">
        <f>IFERROR(IF(B396="","",VLOOKUP(B396,RM!$C$4:$F983,3,FALSE)),"")</f>
        <v/>
      </c>
      <c r="E396" s="118" t="e">
        <f t="array" aca="1" ref="E396" ca="1">_xludf.IFNA(IF(B396="","",VLOOKUP(B396,RM!$C$4:$G983,14,FALSE)),IFERROR(MIN(IF('S-BOM'!$B$3:$B993=$B396,'S-BOM'!$H$3:$H993,"")),""))</f>
        <v>#NAME?</v>
      </c>
      <c r="F396" s="87" t="str">
        <f t="shared" si="3"/>
        <v/>
      </c>
      <c r="G396" s="87" t="str">
        <f t="shared" si="4"/>
        <v/>
      </c>
      <c r="H396" s="87"/>
      <c r="I396" s="87"/>
      <c r="J396" s="87"/>
    </row>
    <row r="397" spans="1:10">
      <c r="A397" s="2"/>
      <c r="B397" s="2"/>
      <c r="C397" s="120" t="str">
        <f>IF(B397="","",SUMIFS('A-BOM'!$D$3:$D993,'A-BOM'!$C$3:$C993,B397,'A-BOM'!$B$3:$B993,$B$2))</f>
        <v/>
      </c>
      <c r="D397" s="120" t="str">
        <f>IFERROR(IF(B397="","",VLOOKUP(B397,RM!$C$4:$F983,3,FALSE)),"")</f>
        <v/>
      </c>
      <c r="E397" s="118" t="e">
        <f t="array" aca="1" ref="E397" ca="1">_xludf.IFNA(IF(B397="","",VLOOKUP(B397,RM!$C$4:$G983,14,FALSE)),IFERROR(MIN(IF('S-BOM'!$B$3:$B993=$B397,'S-BOM'!$H$3:$H993,"")),""))</f>
        <v>#NAME?</v>
      </c>
      <c r="F397" s="87" t="str">
        <f t="shared" si="3"/>
        <v/>
      </c>
      <c r="G397" s="87" t="str">
        <f t="shared" si="4"/>
        <v/>
      </c>
      <c r="H397" s="87"/>
      <c r="I397" s="87"/>
      <c r="J397" s="87"/>
    </row>
    <row r="398" spans="1:10">
      <c r="A398" s="2"/>
      <c r="B398" s="2"/>
      <c r="C398" s="120" t="str">
        <f>IF(B398="","",SUMIFS('A-BOM'!$D$3:$D993,'A-BOM'!$C$3:$C993,B398,'A-BOM'!$B$3:$B993,$B$2))</f>
        <v/>
      </c>
      <c r="D398" s="120" t="str">
        <f>IFERROR(IF(B398="","",VLOOKUP(B398,RM!$C$4:$F983,3,FALSE)),"")</f>
        <v/>
      </c>
      <c r="E398" s="118" t="e">
        <f t="array" aca="1" ref="E398" ca="1">_xludf.IFNA(IF(B398="","",VLOOKUP(B398,RM!$C$4:$G983,14,FALSE)),IFERROR(MIN(IF('S-BOM'!$B$3:$B993=$B398,'S-BOM'!$H$3:$H993,"")),""))</f>
        <v>#NAME?</v>
      </c>
      <c r="F398" s="87" t="str">
        <f t="shared" si="3"/>
        <v/>
      </c>
      <c r="G398" s="87" t="str">
        <f t="shared" si="4"/>
        <v/>
      </c>
      <c r="H398" s="87"/>
      <c r="I398" s="87"/>
      <c r="J398" s="87"/>
    </row>
    <row r="399" spans="1:10">
      <c r="A399" s="2"/>
      <c r="B399" s="2"/>
      <c r="C399" s="120" t="str">
        <f>IF(B399="","",SUMIFS('A-BOM'!$D$3:$D993,'A-BOM'!$C$3:$C993,B399,'A-BOM'!$B$3:$B993,$B$2))</f>
        <v/>
      </c>
      <c r="D399" s="120" t="str">
        <f>IFERROR(IF(B399="","",VLOOKUP(B399,RM!$C$4:$F983,3,FALSE)),"")</f>
        <v/>
      </c>
      <c r="E399" s="118" t="e">
        <f t="array" aca="1" ref="E399" ca="1">_xludf.IFNA(IF(B399="","",VLOOKUP(B399,RM!$C$4:$G983,14,FALSE)),IFERROR(MIN(IF('S-BOM'!$B$3:$B993=$B399,'S-BOM'!$H$3:$H993,"")),""))</f>
        <v>#NAME?</v>
      </c>
      <c r="F399" s="87" t="str">
        <f t="shared" si="3"/>
        <v/>
      </c>
      <c r="G399" s="87" t="str">
        <f t="shared" si="4"/>
        <v/>
      </c>
      <c r="H399" s="87"/>
      <c r="I399" s="87"/>
      <c r="J399" s="87"/>
    </row>
    <row r="400" spans="1:10">
      <c r="A400" s="2"/>
      <c r="B400" s="2"/>
      <c r="C400" s="120" t="str">
        <f>IF(B400="","",SUMIFS('A-BOM'!$D$3:$D993,'A-BOM'!$C$3:$C993,B400,'A-BOM'!$B$3:$B993,$B$2))</f>
        <v/>
      </c>
      <c r="D400" s="120" t="str">
        <f>IFERROR(IF(B400="","",VLOOKUP(B400,RM!$C$4:$F983,3,FALSE)),"")</f>
        <v/>
      </c>
      <c r="E400" s="118" t="e">
        <f t="array" aca="1" ref="E400" ca="1">_xludf.IFNA(IF(B400="","",VLOOKUP(B400,RM!$C$4:$G983,14,FALSE)),IFERROR(MIN(IF('S-BOM'!$B$3:$B993=$B400,'S-BOM'!$H$3:$H993,"")),""))</f>
        <v>#NAME?</v>
      </c>
      <c r="F400" s="87" t="str">
        <f t="shared" si="3"/>
        <v/>
      </c>
      <c r="G400" s="87" t="str">
        <f t="shared" si="4"/>
        <v/>
      </c>
      <c r="H400" s="87"/>
      <c r="I400" s="87"/>
      <c r="J400" s="87"/>
    </row>
    <row r="401" spans="1:10">
      <c r="A401" s="2"/>
      <c r="B401" s="2"/>
      <c r="C401" s="120" t="str">
        <f>IF(B401="","",SUMIFS('A-BOM'!$D$3:$D993,'A-BOM'!$C$3:$C993,B401,'A-BOM'!$B$3:$B993,$B$2))</f>
        <v/>
      </c>
      <c r="D401" s="120" t="str">
        <f>IFERROR(IF(B401="","",VLOOKUP(B401,RM!$C$4:$F983,3,FALSE)),"")</f>
        <v/>
      </c>
      <c r="E401" s="118" t="e">
        <f t="array" aca="1" ref="E401" ca="1">_xludf.IFNA(IF(B401="","",VLOOKUP(B401,RM!$C$4:$G983,14,FALSE)),IFERROR(MIN(IF('S-BOM'!$B$3:$B993=$B401,'S-BOM'!$H$3:$H993,"")),""))</f>
        <v>#NAME?</v>
      </c>
      <c r="F401" s="87" t="str">
        <f t="shared" si="3"/>
        <v/>
      </c>
      <c r="G401" s="87" t="str">
        <f t="shared" si="4"/>
        <v/>
      </c>
      <c r="H401" s="87"/>
      <c r="I401" s="87"/>
      <c r="J401" s="87"/>
    </row>
    <row r="402" spans="1:10">
      <c r="A402" s="2"/>
      <c r="B402" s="2"/>
      <c r="C402" s="120" t="str">
        <f>IF(B402="","",SUMIFS('A-BOM'!$D$3:$D993,'A-BOM'!$C$3:$C993,B402,'A-BOM'!$B$3:$B993,$B$2))</f>
        <v/>
      </c>
      <c r="D402" s="120" t="str">
        <f>IFERROR(IF(B402="","",VLOOKUP(B402,RM!$C$4:$F983,3,FALSE)),"")</f>
        <v/>
      </c>
      <c r="E402" s="118" t="e">
        <f t="array" aca="1" ref="E402" ca="1">_xludf.IFNA(IF(B402="","",VLOOKUP(B402,RM!$C$4:$G983,14,FALSE)),IFERROR(MIN(IF('S-BOM'!$B$3:$B993=$B402,'S-BOM'!$H$3:$H993,"")),""))</f>
        <v>#NAME?</v>
      </c>
      <c r="F402" s="87" t="str">
        <f t="shared" si="3"/>
        <v/>
      </c>
      <c r="G402" s="87" t="str">
        <f t="shared" si="4"/>
        <v/>
      </c>
      <c r="H402" s="87"/>
      <c r="I402" s="87"/>
      <c r="J402" s="87"/>
    </row>
    <row r="403" spans="1:10">
      <c r="A403" s="2"/>
      <c r="B403" s="2"/>
      <c r="C403" s="120" t="str">
        <f>IF(B403="","",SUMIFS('A-BOM'!$D$3:$D993,'A-BOM'!$C$3:$C993,B403,'A-BOM'!$B$3:$B993,$B$2))</f>
        <v/>
      </c>
      <c r="D403" s="120" t="str">
        <f>IFERROR(IF(B403="","",VLOOKUP(B403,RM!$C$4:$F983,3,FALSE)),"")</f>
        <v/>
      </c>
      <c r="E403" s="118" t="e">
        <f t="array" aca="1" ref="E403" ca="1">_xludf.IFNA(IF(B403="","",VLOOKUP(B403,RM!$C$4:$G983,14,FALSE)),IFERROR(MIN(IF('S-BOM'!$B$3:$B993=$B403,'S-BOM'!$H$3:$H993,"")),""))</f>
        <v>#NAME?</v>
      </c>
      <c r="F403" s="87" t="str">
        <f t="shared" si="3"/>
        <v/>
      </c>
      <c r="G403" s="87" t="str">
        <f t="shared" si="4"/>
        <v/>
      </c>
      <c r="H403" s="87"/>
      <c r="I403" s="87"/>
      <c r="J403" s="87"/>
    </row>
    <row r="404" spans="1:10">
      <c r="A404" s="2"/>
      <c r="B404" s="2"/>
      <c r="C404" s="120" t="str">
        <f>IF(B404="","",SUMIFS('A-BOM'!$D$3:$D993,'A-BOM'!$C$3:$C993,B404,'A-BOM'!$B$3:$B993,$B$2))</f>
        <v/>
      </c>
      <c r="D404" s="120" t="str">
        <f>IFERROR(IF(B404="","",VLOOKUP(B404,RM!$C$4:$F983,3,FALSE)),"")</f>
        <v/>
      </c>
      <c r="E404" s="118" t="e">
        <f t="array" aca="1" ref="E404" ca="1">_xludf.IFNA(IF(B404="","",VLOOKUP(B404,RM!$C$4:$G983,14,FALSE)),IFERROR(MIN(IF('S-BOM'!$B$3:$B993=$B404,'S-BOM'!$H$3:$H993,"")),""))</f>
        <v>#NAME?</v>
      </c>
      <c r="F404" s="87" t="str">
        <f t="shared" si="3"/>
        <v/>
      </c>
      <c r="G404" s="87" t="str">
        <f t="shared" si="4"/>
        <v/>
      </c>
      <c r="H404" s="87"/>
      <c r="I404" s="87"/>
      <c r="J404" s="87"/>
    </row>
    <row r="405" spans="1:10">
      <c r="A405" s="2"/>
      <c r="B405" s="2"/>
      <c r="C405" s="120" t="str">
        <f>IF(B405="","",SUMIFS('A-BOM'!$D$3:$D993,'A-BOM'!$C$3:$C993,B405,'A-BOM'!$B$3:$B993,$B$2))</f>
        <v/>
      </c>
      <c r="D405" s="120" t="str">
        <f>IFERROR(IF(B405="","",VLOOKUP(B405,RM!$C$4:$F983,3,FALSE)),"")</f>
        <v/>
      </c>
      <c r="E405" s="118" t="e">
        <f t="array" aca="1" ref="E405" ca="1">_xludf.IFNA(IF(B405="","",VLOOKUP(B405,RM!$C$4:$G983,14,FALSE)),IFERROR(MIN(IF('S-BOM'!$B$3:$B993=$B405,'S-BOM'!$H$3:$H993,"")),""))</f>
        <v>#NAME?</v>
      </c>
      <c r="F405" s="87" t="str">
        <f t="shared" si="3"/>
        <v/>
      </c>
      <c r="G405" s="87" t="str">
        <f t="shared" si="4"/>
        <v/>
      </c>
      <c r="H405" s="87"/>
      <c r="I405" s="87"/>
      <c r="J405" s="87"/>
    </row>
    <row r="406" spans="1:10">
      <c r="A406" s="2"/>
      <c r="B406" s="2"/>
      <c r="C406" s="120" t="str">
        <f>IF(B406="","",SUMIFS('A-BOM'!$D$3:$D993,'A-BOM'!$C$3:$C993,B406,'A-BOM'!$B$3:$B993,$B$2))</f>
        <v/>
      </c>
      <c r="D406" s="120" t="str">
        <f>IFERROR(IF(B406="","",VLOOKUP(B406,RM!$C$4:$F983,3,FALSE)),"")</f>
        <v/>
      </c>
      <c r="E406" s="118" t="e">
        <f t="array" aca="1" ref="E406" ca="1">_xludf.IFNA(IF(B406="","",VLOOKUP(B406,RM!$C$4:$G983,14,FALSE)),IFERROR(MIN(IF('S-BOM'!$B$3:$B993=$B406,'S-BOM'!$H$3:$H993,"")),""))</f>
        <v>#NAME?</v>
      </c>
      <c r="F406" s="87" t="str">
        <f t="shared" si="3"/>
        <v/>
      </c>
      <c r="G406" s="87" t="str">
        <f t="shared" si="4"/>
        <v/>
      </c>
      <c r="H406" s="87"/>
      <c r="I406" s="87"/>
      <c r="J406" s="87"/>
    </row>
    <row r="407" spans="1:10">
      <c r="A407" s="2"/>
      <c r="B407" s="2"/>
      <c r="C407" s="120" t="str">
        <f>IF(B407="","",SUMIFS('A-BOM'!$D$3:$D993,'A-BOM'!$C$3:$C993,B407,'A-BOM'!$B$3:$B993,$B$2))</f>
        <v/>
      </c>
      <c r="D407" s="120" t="str">
        <f>IFERROR(IF(B407="","",VLOOKUP(B407,RM!$C$4:$F983,3,FALSE)),"")</f>
        <v/>
      </c>
      <c r="E407" s="118" t="e">
        <f t="array" aca="1" ref="E407" ca="1">_xludf.IFNA(IF(B407="","",VLOOKUP(B407,RM!$C$4:$G983,14,FALSE)),IFERROR(MIN(IF('S-BOM'!$B$3:$B993=$B407,'S-BOM'!$H$3:$H993,"")),""))</f>
        <v>#NAME?</v>
      </c>
      <c r="F407" s="87" t="str">
        <f t="shared" si="3"/>
        <v/>
      </c>
      <c r="G407" s="87" t="str">
        <f t="shared" si="4"/>
        <v/>
      </c>
      <c r="H407" s="87"/>
      <c r="I407" s="87"/>
      <c r="J407" s="87"/>
    </row>
    <row r="408" spans="1:10">
      <c r="A408" s="2"/>
      <c r="B408" s="2"/>
      <c r="C408" s="120" t="str">
        <f>IF(B408="","",SUMIFS('A-BOM'!$D$3:$D993,'A-BOM'!$C$3:$C993,B408,'A-BOM'!$B$3:$B993,$B$2))</f>
        <v/>
      </c>
      <c r="D408" s="120" t="str">
        <f>IFERROR(IF(B408="","",VLOOKUP(B408,RM!$C$4:$F983,3,FALSE)),"")</f>
        <v/>
      </c>
      <c r="E408" s="118" t="e">
        <f t="array" aca="1" ref="E408" ca="1">_xludf.IFNA(IF(B408="","",VLOOKUP(B408,RM!$C$4:$G983,14,FALSE)),IFERROR(MIN(IF('S-BOM'!$B$3:$B993=$B408,'S-BOM'!$H$3:$H993,"")),""))</f>
        <v>#NAME?</v>
      </c>
      <c r="F408" s="87" t="str">
        <f t="shared" si="3"/>
        <v/>
      </c>
      <c r="G408" s="87" t="str">
        <f t="shared" si="4"/>
        <v/>
      </c>
      <c r="H408" s="87"/>
      <c r="I408" s="87"/>
      <c r="J408" s="87"/>
    </row>
    <row r="409" spans="1:10">
      <c r="A409" s="2"/>
      <c r="B409" s="2"/>
      <c r="C409" s="120" t="str">
        <f>IF(B409="","",SUMIFS('A-BOM'!$D$3:$D993,'A-BOM'!$C$3:$C993,B409,'A-BOM'!$B$3:$B993,$B$2))</f>
        <v/>
      </c>
      <c r="D409" s="120" t="str">
        <f>IFERROR(IF(B409="","",VLOOKUP(B409,RM!$C$4:$F983,3,FALSE)),"")</f>
        <v/>
      </c>
      <c r="E409" s="118" t="e">
        <f t="array" aca="1" ref="E409" ca="1">_xludf.IFNA(IF(B409="","",VLOOKUP(B409,RM!$C$4:$G983,14,FALSE)),IFERROR(MIN(IF('S-BOM'!$B$3:$B993=$B409,'S-BOM'!$H$3:$H993,"")),""))</f>
        <v>#NAME?</v>
      </c>
      <c r="F409" s="87" t="str">
        <f t="shared" si="3"/>
        <v/>
      </c>
      <c r="G409" s="87" t="str">
        <f t="shared" si="4"/>
        <v/>
      </c>
      <c r="H409" s="87"/>
      <c r="I409" s="87"/>
      <c r="J409" s="87"/>
    </row>
    <row r="410" spans="1:10">
      <c r="A410" s="2"/>
      <c r="B410" s="2"/>
      <c r="C410" s="120" t="str">
        <f>IF(B410="","",SUMIFS('A-BOM'!$D$3:$D993,'A-BOM'!$C$3:$C993,B410,'A-BOM'!$B$3:$B993,$B$2))</f>
        <v/>
      </c>
      <c r="D410" s="120" t="str">
        <f>IFERROR(IF(B410="","",VLOOKUP(B410,RM!$C$4:$F983,3,FALSE)),"")</f>
        <v/>
      </c>
      <c r="E410" s="118" t="e">
        <f t="array" aca="1" ref="E410" ca="1">_xludf.IFNA(IF(B410="","",VLOOKUP(B410,RM!$C$4:$G983,14,FALSE)),IFERROR(MIN(IF('S-BOM'!$B$3:$B993=$B410,'S-BOM'!$H$3:$H993,"")),""))</f>
        <v>#NAME?</v>
      </c>
      <c r="F410" s="87" t="str">
        <f t="shared" si="3"/>
        <v/>
      </c>
      <c r="G410" s="87" t="str">
        <f t="shared" si="4"/>
        <v/>
      </c>
      <c r="H410" s="87"/>
      <c r="I410" s="87"/>
      <c r="J410" s="87"/>
    </row>
    <row r="411" spans="1:10">
      <c r="A411" s="2"/>
      <c r="B411" s="2"/>
      <c r="C411" s="120" t="str">
        <f>IF(B411="","",SUMIFS('A-BOM'!$D$3:$D993,'A-BOM'!$C$3:$C993,B411,'A-BOM'!$B$3:$B993,$B$2))</f>
        <v/>
      </c>
      <c r="D411" s="120" t="str">
        <f>IFERROR(IF(B411="","",VLOOKUP(B411,RM!$C$4:$F983,3,FALSE)),"")</f>
        <v/>
      </c>
      <c r="E411" s="118" t="e">
        <f t="array" aca="1" ref="E411" ca="1">_xludf.IFNA(IF(B411="","",VLOOKUP(B411,RM!$C$4:$G983,14,FALSE)),IFERROR(MIN(IF('S-BOM'!$B$3:$B993=$B411,'S-BOM'!$H$3:$H993,"")),""))</f>
        <v>#NAME?</v>
      </c>
      <c r="F411" s="87" t="str">
        <f t="shared" si="3"/>
        <v/>
      </c>
      <c r="G411" s="87" t="str">
        <f t="shared" si="4"/>
        <v/>
      </c>
      <c r="H411" s="87"/>
      <c r="I411" s="87"/>
      <c r="J411" s="87"/>
    </row>
    <row r="412" spans="1:10">
      <c r="A412" s="2"/>
      <c r="B412" s="2"/>
      <c r="C412" s="120" t="str">
        <f>IF(B412="","",SUMIFS('A-BOM'!$D$3:$D993,'A-BOM'!$C$3:$C993,B412,'A-BOM'!$B$3:$B993,$B$2))</f>
        <v/>
      </c>
      <c r="D412" s="120" t="str">
        <f>IFERROR(IF(B412="","",VLOOKUP(B412,RM!$C$4:$F983,3,FALSE)),"")</f>
        <v/>
      </c>
      <c r="E412" s="118" t="e">
        <f t="array" aca="1" ref="E412" ca="1">_xludf.IFNA(IF(B412="","",VLOOKUP(B412,RM!$C$4:$G983,14,FALSE)),IFERROR(MIN(IF('S-BOM'!$B$3:$B993=$B412,'S-BOM'!$H$3:$H993,"")),""))</f>
        <v>#NAME?</v>
      </c>
      <c r="F412" s="87" t="str">
        <f t="shared" si="3"/>
        <v/>
      </c>
      <c r="G412" s="87" t="str">
        <f t="shared" si="4"/>
        <v/>
      </c>
      <c r="H412" s="87"/>
      <c r="I412" s="87"/>
      <c r="J412" s="87"/>
    </row>
    <row r="413" spans="1:10">
      <c r="A413" s="2"/>
      <c r="B413" s="2"/>
      <c r="C413" s="120" t="str">
        <f>IF(B413="","",SUMIFS('A-BOM'!$D$3:$D993,'A-BOM'!$C$3:$C993,B413,'A-BOM'!$B$3:$B993,$B$2))</f>
        <v/>
      </c>
      <c r="D413" s="120" t="str">
        <f>IFERROR(IF(B413="","",VLOOKUP(B413,RM!$C$4:$F983,3,FALSE)),"")</f>
        <v/>
      </c>
      <c r="E413" s="118" t="e">
        <f t="array" aca="1" ref="E413" ca="1">_xludf.IFNA(IF(B413="","",VLOOKUP(B413,RM!$C$4:$G983,14,FALSE)),IFERROR(MIN(IF('S-BOM'!$B$3:$B993=$B413,'S-BOM'!$H$3:$H993,"")),""))</f>
        <v>#NAME?</v>
      </c>
      <c r="F413" s="87" t="str">
        <f t="shared" si="3"/>
        <v/>
      </c>
      <c r="G413" s="87" t="str">
        <f t="shared" si="4"/>
        <v/>
      </c>
      <c r="H413" s="87"/>
      <c r="I413" s="87"/>
      <c r="J413" s="87"/>
    </row>
    <row r="414" spans="1:10">
      <c r="A414" s="2"/>
      <c r="B414" s="2"/>
      <c r="C414" s="120" t="str">
        <f>IF(B414="","",SUMIFS('A-BOM'!$D$3:$D993,'A-BOM'!$C$3:$C993,B414,'A-BOM'!$B$3:$B993,$B$2))</f>
        <v/>
      </c>
      <c r="D414" s="120" t="str">
        <f>IFERROR(IF(B414="","",VLOOKUP(B414,RM!$C$4:$F983,3,FALSE)),"")</f>
        <v/>
      </c>
      <c r="E414" s="118" t="e">
        <f t="array" aca="1" ref="E414" ca="1">_xludf.IFNA(IF(B414="","",VLOOKUP(B414,RM!$C$4:$G983,14,FALSE)),IFERROR(MIN(IF('S-BOM'!$B$3:$B993=$B414,'S-BOM'!$H$3:$H993,"")),""))</f>
        <v>#NAME?</v>
      </c>
      <c r="F414" s="87" t="str">
        <f t="shared" si="3"/>
        <v/>
      </c>
      <c r="G414" s="87" t="str">
        <f t="shared" si="4"/>
        <v/>
      </c>
      <c r="H414" s="87"/>
      <c r="I414" s="87"/>
      <c r="J414" s="87"/>
    </row>
    <row r="415" spans="1:10">
      <c r="A415" s="2"/>
      <c r="B415" s="2"/>
      <c r="C415" s="120" t="str">
        <f>IF(B415="","",SUMIFS('A-BOM'!$D$3:$D993,'A-BOM'!$C$3:$C993,B415,'A-BOM'!$B$3:$B993,$B$2))</f>
        <v/>
      </c>
      <c r="D415" s="120" t="str">
        <f>IFERROR(IF(B415="","",VLOOKUP(B415,RM!$C$4:$F983,3,FALSE)),"")</f>
        <v/>
      </c>
      <c r="E415" s="118" t="e">
        <f t="array" aca="1" ref="E415" ca="1">_xludf.IFNA(IF(B415="","",VLOOKUP(B415,RM!$C$4:$G983,14,FALSE)),IFERROR(MIN(IF('S-BOM'!$B$3:$B993=$B415,'S-BOM'!$H$3:$H993,"")),""))</f>
        <v>#NAME?</v>
      </c>
      <c r="F415" s="87" t="str">
        <f t="shared" si="3"/>
        <v/>
      </c>
      <c r="G415" s="87" t="str">
        <f t="shared" si="4"/>
        <v/>
      </c>
      <c r="H415" s="87"/>
      <c r="I415" s="87"/>
      <c r="J415" s="87"/>
    </row>
    <row r="416" spans="1:10">
      <c r="A416" s="2"/>
      <c r="B416" s="2"/>
      <c r="C416" s="120" t="str">
        <f>IF(B416="","",SUMIFS('A-BOM'!$D$3:$D993,'A-BOM'!$C$3:$C993,B416,'A-BOM'!$B$3:$B993,$B$2))</f>
        <v/>
      </c>
      <c r="D416" s="120" t="str">
        <f>IFERROR(IF(B416="","",VLOOKUP(B416,RM!$C$4:$F983,3,FALSE)),"")</f>
        <v/>
      </c>
      <c r="E416" s="118" t="e">
        <f t="array" aca="1" ref="E416" ca="1">_xludf.IFNA(IF(B416="","",VLOOKUP(B416,RM!$C$4:$G983,14,FALSE)),IFERROR(MIN(IF('S-BOM'!$B$3:$B993=$B416,'S-BOM'!$H$3:$H993,"")),""))</f>
        <v>#NAME?</v>
      </c>
      <c r="F416" s="87" t="str">
        <f t="shared" si="3"/>
        <v/>
      </c>
      <c r="G416" s="87" t="str">
        <f t="shared" si="4"/>
        <v/>
      </c>
      <c r="H416" s="87"/>
      <c r="I416" s="87"/>
      <c r="J416" s="87"/>
    </row>
    <row r="417" spans="1:10">
      <c r="A417" s="2"/>
      <c r="B417" s="2"/>
      <c r="C417" s="120" t="str">
        <f>IF(B417="","",SUMIFS('A-BOM'!$D$3:$D993,'A-BOM'!$C$3:$C993,B417,'A-BOM'!$B$3:$B993,$B$2))</f>
        <v/>
      </c>
      <c r="D417" s="120" t="str">
        <f>IFERROR(IF(B417="","",VLOOKUP(B417,RM!$C$4:$F983,3,FALSE)),"")</f>
        <v/>
      </c>
      <c r="E417" s="118" t="e">
        <f t="array" aca="1" ref="E417" ca="1">_xludf.IFNA(IF(B417="","",VLOOKUP(B417,RM!$C$4:$G983,14,FALSE)),IFERROR(MIN(IF('S-BOM'!$B$3:$B993=$B417,'S-BOM'!$H$3:$H993,"")),""))</f>
        <v>#NAME?</v>
      </c>
      <c r="F417" s="87" t="str">
        <f t="shared" si="3"/>
        <v/>
      </c>
      <c r="G417" s="87" t="str">
        <f t="shared" si="4"/>
        <v/>
      </c>
      <c r="H417" s="87"/>
      <c r="I417" s="87"/>
      <c r="J417" s="87"/>
    </row>
    <row r="418" spans="1:10">
      <c r="A418" s="2"/>
      <c r="B418" s="2"/>
      <c r="C418" s="120" t="str">
        <f>IF(B418="","",SUMIFS('A-BOM'!$D$3:$D993,'A-BOM'!$C$3:$C993,B418,'A-BOM'!$B$3:$B993,$B$2))</f>
        <v/>
      </c>
      <c r="D418" s="120" t="str">
        <f>IFERROR(IF(B418="","",VLOOKUP(B418,RM!$C$4:$F983,3,FALSE)),"")</f>
        <v/>
      </c>
      <c r="E418" s="118" t="e">
        <f t="array" aca="1" ref="E418" ca="1">_xludf.IFNA(IF(B418="","",VLOOKUP(B418,RM!$C$4:$G983,14,FALSE)),IFERROR(MIN(IF('S-BOM'!$B$3:$B993=$B418,'S-BOM'!$H$3:$H993,"")),""))</f>
        <v>#NAME?</v>
      </c>
      <c r="F418" s="87" t="str">
        <f t="shared" si="3"/>
        <v/>
      </c>
      <c r="G418" s="87" t="str">
        <f t="shared" si="4"/>
        <v/>
      </c>
      <c r="H418" s="87"/>
      <c r="I418" s="87"/>
      <c r="J418" s="87"/>
    </row>
    <row r="419" spans="1:10">
      <c r="A419" s="2"/>
      <c r="B419" s="2"/>
      <c r="C419" s="120" t="str">
        <f>IF(B419="","",SUMIFS('A-BOM'!$D$3:$D993,'A-BOM'!$C$3:$C993,B419,'A-BOM'!$B$3:$B993,$B$2))</f>
        <v/>
      </c>
      <c r="D419" s="120" t="str">
        <f>IFERROR(IF(B419="","",VLOOKUP(B419,RM!$C$4:$F983,3,FALSE)),"")</f>
        <v/>
      </c>
      <c r="E419" s="118" t="e">
        <f t="array" aca="1" ref="E419" ca="1">_xludf.IFNA(IF(B419="","",VLOOKUP(B419,RM!$C$4:$G983,14,FALSE)),IFERROR(MIN(IF('S-BOM'!$B$3:$B993=$B419,'S-BOM'!$H$3:$H993,"")),""))</f>
        <v>#NAME?</v>
      </c>
      <c r="F419" s="87" t="str">
        <f t="shared" si="3"/>
        <v/>
      </c>
      <c r="G419" s="87" t="str">
        <f t="shared" si="4"/>
        <v/>
      </c>
      <c r="H419" s="87"/>
      <c r="I419" s="87"/>
      <c r="J419" s="87"/>
    </row>
    <row r="420" spans="1:10">
      <c r="A420" s="2"/>
      <c r="B420" s="2"/>
      <c r="C420" s="120" t="str">
        <f>IF(B420="","",SUMIFS('A-BOM'!$D$3:$D993,'A-BOM'!$C$3:$C993,B420,'A-BOM'!$B$3:$B993,$B$2))</f>
        <v/>
      </c>
      <c r="D420" s="120" t="str">
        <f>IFERROR(IF(B420="","",VLOOKUP(B420,RM!$C$4:$F983,3,FALSE)),"")</f>
        <v/>
      </c>
      <c r="E420" s="118" t="e">
        <f t="array" aca="1" ref="E420" ca="1">_xludf.IFNA(IF(B420="","",VLOOKUP(B420,RM!$C$4:$G983,14,FALSE)),IFERROR(MIN(IF('S-BOM'!$B$3:$B993=$B420,'S-BOM'!$H$3:$H993,"")),""))</f>
        <v>#NAME?</v>
      </c>
      <c r="F420" s="87" t="str">
        <f t="shared" si="3"/>
        <v/>
      </c>
      <c r="G420" s="87" t="str">
        <f t="shared" si="4"/>
        <v/>
      </c>
      <c r="H420" s="87"/>
      <c r="I420" s="87"/>
      <c r="J420" s="87"/>
    </row>
    <row r="421" spans="1:10">
      <c r="A421" s="2"/>
      <c r="B421" s="2"/>
      <c r="C421" s="120" t="str">
        <f>IF(B421="","",SUMIFS('A-BOM'!$D$3:$D993,'A-BOM'!$C$3:$C993,B421,'A-BOM'!$B$3:$B993,$B$2))</f>
        <v/>
      </c>
      <c r="D421" s="120" t="str">
        <f>IFERROR(IF(B421="","",VLOOKUP(B421,RM!$C$4:$F983,3,FALSE)),"")</f>
        <v/>
      </c>
      <c r="E421" s="118" t="e">
        <f t="array" aca="1" ref="E421" ca="1">_xludf.IFNA(IF(B421="","",VLOOKUP(B421,RM!$C$4:$G983,14,FALSE)),IFERROR(MIN(IF('S-BOM'!$B$3:$B993=$B421,'S-BOM'!$H$3:$H993,"")),""))</f>
        <v>#NAME?</v>
      </c>
      <c r="F421" s="87" t="str">
        <f t="shared" si="3"/>
        <v/>
      </c>
      <c r="G421" s="87" t="str">
        <f t="shared" si="4"/>
        <v/>
      </c>
      <c r="H421" s="87"/>
      <c r="I421" s="87"/>
      <c r="J421" s="87"/>
    </row>
    <row r="422" spans="1:10">
      <c r="A422" s="2"/>
      <c r="B422" s="2"/>
      <c r="C422" s="120" t="str">
        <f>IF(B422="","",SUMIFS('A-BOM'!$D$3:$D993,'A-BOM'!$C$3:$C993,B422,'A-BOM'!$B$3:$B993,$B$2))</f>
        <v/>
      </c>
      <c r="D422" s="120" t="str">
        <f>IFERROR(IF(B422="","",VLOOKUP(B422,RM!$C$4:$F983,3,FALSE)),"")</f>
        <v/>
      </c>
      <c r="E422" s="118" t="e">
        <f t="array" aca="1" ref="E422" ca="1">_xludf.IFNA(IF(B422="","",VLOOKUP(B422,RM!$C$4:$G983,14,FALSE)),IFERROR(MIN(IF('S-BOM'!$B$3:$B993=$B422,'S-BOM'!$H$3:$H993,"")),""))</f>
        <v>#NAME?</v>
      </c>
      <c r="F422" s="87" t="str">
        <f t="shared" si="3"/>
        <v/>
      </c>
      <c r="G422" s="87" t="str">
        <f t="shared" si="4"/>
        <v/>
      </c>
      <c r="H422" s="87"/>
      <c r="I422" s="87"/>
      <c r="J422" s="87"/>
    </row>
    <row r="423" spans="1:10">
      <c r="A423" s="2"/>
      <c r="B423" s="2"/>
      <c r="C423" s="120" t="str">
        <f>IF(B423="","",SUMIFS('A-BOM'!$D$3:$D993,'A-BOM'!$C$3:$C993,B423,'A-BOM'!$B$3:$B993,$B$2))</f>
        <v/>
      </c>
      <c r="D423" s="120" t="str">
        <f>IFERROR(IF(B423="","",VLOOKUP(B423,RM!$C$4:$F983,3,FALSE)),"")</f>
        <v/>
      </c>
      <c r="E423" s="118" t="e">
        <f t="array" aca="1" ref="E423" ca="1">_xludf.IFNA(IF(B423="","",VLOOKUP(B423,RM!$C$4:$G983,14,FALSE)),IFERROR(MIN(IF('S-BOM'!$B$3:$B993=$B423,'S-BOM'!$H$3:$H993,"")),""))</f>
        <v>#NAME?</v>
      </c>
      <c r="F423" s="87" t="str">
        <f t="shared" si="3"/>
        <v/>
      </c>
      <c r="G423" s="87" t="str">
        <f t="shared" si="4"/>
        <v/>
      </c>
      <c r="H423" s="87"/>
      <c r="I423" s="87"/>
      <c r="J423" s="87"/>
    </row>
    <row r="424" spans="1:10">
      <c r="A424" s="2"/>
      <c r="B424" s="2"/>
      <c r="C424" s="120" t="str">
        <f>IF(B424="","",SUMIFS('A-BOM'!$D$3:$D993,'A-BOM'!$C$3:$C993,B424,'A-BOM'!$B$3:$B993,$B$2))</f>
        <v/>
      </c>
      <c r="D424" s="120" t="str">
        <f>IFERROR(IF(B424="","",VLOOKUP(B424,RM!$C$4:$F983,3,FALSE)),"")</f>
        <v/>
      </c>
      <c r="E424" s="118" t="e">
        <f t="array" aca="1" ref="E424" ca="1">_xludf.IFNA(IF(B424="","",VLOOKUP(B424,RM!$C$4:$G983,14,FALSE)),IFERROR(MIN(IF('S-BOM'!$B$3:$B993=$B424,'S-BOM'!$H$3:$H993,"")),""))</f>
        <v>#NAME?</v>
      </c>
      <c r="F424" s="87" t="str">
        <f t="shared" si="3"/>
        <v/>
      </c>
      <c r="G424" s="87" t="str">
        <f t="shared" si="4"/>
        <v/>
      </c>
      <c r="H424" s="87"/>
      <c r="I424" s="87"/>
      <c r="J424" s="87"/>
    </row>
    <row r="425" spans="1:10">
      <c r="A425" s="2"/>
      <c r="B425" s="2"/>
      <c r="C425" s="120" t="str">
        <f>IF(B425="","",SUMIFS('A-BOM'!$D$3:$D993,'A-BOM'!$C$3:$C993,B425,'A-BOM'!$B$3:$B993,$B$2))</f>
        <v/>
      </c>
      <c r="D425" s="120" t="str">
        <f>IFERROR(IF(B425="","",VLOOKUP(B425,RM!$C$4:$F983,3,FALSE)),"")</f>
        <v/>
      </c>
      <c r="E425" s="118" t="e">
        <f t="array" aca="1" ref="E425" ca="1">_xludf.IFNA(IF(B425="","",VLOOKUP(B425,RM!$C$4:$G983,14,FALSE)),IFERROR(MIN(IF('S-BOM'!$B$3:$B993=$B425,'S-BOM'!$H$3:$H993,"")),""))</f>
        <v>#NAME?</v>
      </c>
      <c r="F425" s="87" t="str">
        <f t="shared" si="3"/>
        <v/>
      </c>
      <c r="G425" s="87" t="str">
        <f t="shared" si="4"/>
        <v/>
      </c>
      <c r="H425" s="87"/>
      <c r="I425" s="87"/>
      <c r="J425" s="87"/>
    </row>
    <row r="426" spans="1:10">
      <c r="A426" s="2"/>
      <c r="B426" s="2"/>
      <c r="C426" s="120" t="str">
        <f>IF(B426="","",SUMIFS('A-BOM'!$D$3:$D993,'A-BOM'!$C$3:$C993,B426,'A-BOM'!$B$3:$B993,$B$2))</f>
        <v/>
      </c>
      <c r="D426" s="120" t="str">
        <f>IFERROR(IF(B426="","",VLOOKUP(B426,RM!$C$4:$F983,3,FALSE)),"")</f>
        <v/>
      </c>
      <c r="E426" s="118" t="e">
        <f t="array" aca="1" ref="E426" ca="1">_xludf.IFNA(IF(B426="","",VLOOKUP(B426,RM!$C$4:$G983,14,FALSE)),IFERROR(MIN(IF('S-BOM'!$B$3:$B993=$B426,'S-BOM'!$H$3:$H993,"")),""))</f>
        <v>#NAME?</v>
      </c>
      <c r="F426" s="87" t="str">
        <f t="shared" si="3"/>
        <v/>
      </c>
      <c r="G426" s="87" t="str">
        <f t="shared" si="4"/>
        <v/>
      </c>
      <c r="H426" s="87"/>
      <c r="I426" s="87"/>
      <c r="J426" s="87"/>
    </row>
    <row r="427" spans="1:10">
      <c r="A427" s="2"/>
      <c r="B427" s="2"/>
      <c r="C427" s="120" t="str">
        <f>IF(B427="","",SUMIFS('A-BOM'!$D$3:$D993,'A-BOM'!$C$3:$C993,B427,'A-BOM'!$B$3:$B993,$B$2))</f>
        <v/>
      </c>
      <c r="D427" s="120" t="str">
        <f>IFERROR(IF(B427="","",VLOOKUP(B427,RM!$C$4:$F983,3,FALSE)),"")</f>
        <v/>
      </c>
      <c r="E427" s="118" t="e">
        <f t="array" aca="1" ref="E427" ca="1">_xludf.IFNA(IF(B427="","",VLOOKUP(B427,RM!$C$4:$G983,14,FALSE)),IFERROR(MIN(IF('S-BOM'!$B$3:$B993=$B427,'S-BOM'!$H$3:$H993,"")),""))</f>
        <v>#NAME?</v>
      </c>
      <c r="F427" s="87" t="str">
        <f t="shared" si="3"/>
        <v/>
      </c>
      <c r="G427" s="87" t="str">
        <f t="shared" si="4"/>
        <v/>
      </c>
      <c r="H427" s="87"/>
      <c r="I427" s="87"/>
      <c r="J427" s="87"/>
    </row>
    <row r="428" spans="1:10">
      <c r="A428" s="2"/>
      <c r="B428" s="2"/>
      <c r="C428" s="120" t="str">
        <f>IF(B428="","",SUMIFS('A-BOM'!$D$3:$D993,'A-BOM'!$C$3:$C993,B428,'A-BOM'!$B$3:$B993,$B$2))</f>
        <v/>
      </c>
      <c r="D428" s="120" t="str">
        <f>IFERROR(IF(B428="","",VLOOKUP(B428,RM!$C$4:$F983,3,FALSE)),"")</f>
        <v/>
      </c>
      <c r="E428" s="118" t="e">
        <f t="array" aca="1" ref="E428" ca="1">_xludf.IFNA(IF(B428="","",VLOOKUP(B428,RM!$C$4:$G983,14,FALSE)),IFERROR(MIN(IF('S-BOM'!$B$3:$B993=$B428,'S-BOM'!$H$3:$H993,"")),""))</f>
        <v>#NAME?</v>
      </c>
      <c r="F428" s="87" t="str">
        <f t="shared" si="3"/>
        <v/>
      </c>
      <c r="G428" s="87" t="str">
        <f t="shared" si="4"/>
        <v/>
      </c>
      <c r="H428" s="87"/>
      <c r="I428" s="87"/>
      <c r="J428" s="87"/>
    </row>
    <row r="429" spans="1:10">
      <c r="A429" s="2"/>
      <c r="B429" s="2"/>
      <c r="C429" s="120" t="str">
        <f>IF(B429="","",SUMIFS('A-BOM'!$D$3:$D993,'A-BOM'!$C$3:$C993,B429,'A-BOM'!$B$3:$B993,$B$2))</f>
        <v/>
      </c>
      <c r="D429" s="120" t="str">
        <f>IFERROR(IF(B429="","",VLOOKUP(B429,RM!$C$4:$F983,3,FALSE)),"")</f>
        <v/>
      </c>
      <c r="E429" s="118" t="e">
        <f t="array" aca="1" ref="E429" ca="1">_xludf.IFNA(IF(B429="","",VLOOKUP(B429,RM!$C$4:$G983,14,FALSE)),IFERROR(MIN(IF('S-BOM'!$B$3:$B993=$B429,'S-BOM'!$H$3:$H993,"")),""))</f>
        <v>#NAME?</v>
      </c>
      <c r="F429" s="87" t="str">
        <f t="shared" si="3"/>
        <v/>
      </c>
      <c r="G429" s="87" t="str">
        <f t="shared" si="4"/>
        <v/>
      </c>
      <c r="H429" s="87"/>
      <c r="I429" s="87"/>
      <c r="J429" s="87"/>
    </row>
    <row r="430" spans="1:10">
      <c r="A430" s="2"/>
      <c r="B430" s="2"/>
      <c r="C430" s="120" t="str">
        <f>IF(B430="","",SUMIFS('A-BOM'!$D$3:$D993,'A-BOM'!$C$3:$C993,B430,'A-BOM'!$B$3:$B993,$B$2))</f>
        <v/>
      </c>
      <c r="D430" s="120" t="str">
        <f>IFERROR(IF(B430="","",VLOOKUP(B430,RM!$C$4:$F983,3,FALSE)),"")</f>
        <v/>
      </c>
      <c r="E430" s="118" t="e">
        <f t="array" aca="1" ref="E430" ca="1">_xludf.IFNA(IF(B430="","",VLOOKUP(B430,RM!$C$4:$G983,14,FALSE)),IFERROR(MIN(IF('S-BOM'!$B$3:$B993=$B430,'S-BOM'!$H$3:$H993,"")),""))</f>
        <v>#NAME?</v>
      </c>
      <c r="F430" s="87" t="str">
        <f t="shared" si="3"/>
        <v/>
      </c>
      <c r="G430" s="87" t="str">
        <f t="shared" si="4"/>
        <v/>
      </c>
      <c r="H430" s="87"/>
      <c r="I430" s="87"/>
      <c r="J430" s="87"/>
    </row>
    <row r="431" spans="1:10">
      <c r="A431" s="2"/>
      <c r="B431" s="2"/>
      <c r="C431" s="120" t="str">
        <f>IF(B431="","",SUMIFS('A-BOM'!$D$3:$D993,'A-BOM'!$C$3:$C993,B431,'A-BOM'!$B$3:$B993,$B$2))</f>
        <v/>
      </c>
      <c r="D431" s="120" t="str">
        <f>IFERROR(IF(B431="","",VLOOKUP(B431,RM!$C$4:$F983,3,FALSE)),"")</f>
        <v/>
      </c>
      <c r="E431" s="118" t="e">
        <f t="array" aca="1" ref="E431" ca="1">_xludf.IFNA(IF(B431="","",VLOOKUP(B431,RM!$C$4:$G983,14,FALSE)),IFERROR(MIN(IF('S-BOM'!$B$3:$B993=$B431,'S-BOM'!$H$3:$H993,"")),""))</f>
        <v>#NAME?</v>
      </c>
      <c r="F431" s="87" t="str">
        <f t="shared" si="3"/>
        <v/>
      </c>
      <c r="G431" s="87" t="str">
        <f t="shared" si="4"/>
        <v/>
      </c>
      <c r="H431" s="87"/>
      <c r="I431" s="87"/>
      <c r="J431" s="87"/>
    </row>
    <row r="432" spans="1:10">
      <c r="A432" s="2"/>
      <c r="B432" s="2"/>
      <c r="C432" s="120" t="str">
        <f>IF(B432="","",SUMIFS('A-BOM'!$D$3:$D993,'A-BOM'!$C$3:$C993,B432,'A-BOM'!$B$3:$B993,$B$2))</f>
        <v/>
      </c>
      <c r="D432" s="120" t="str">
        <f>IFERROR(IF(B432="","",VLOOKUP(B432,RM!$C$4:$F983,3,FALSE)),"")</f>
        <v/>
      </c>
      <c r="E432" s="118" t="e">
        <f t="array" aca="1" ref="E432" ca="1">_xludf.IFNA(IF(B432="","",VLOOKUP(B432,RM!$C$4:$G983,14,FALSE)),IFERROR(MIN(IF('S-BOM'!$B$3:$B993=$B432,'S-BOM'!$H$3:$H993,"")),""))</f>
        <v>#NAME?</v>
      </c>
      <c r="F432" s="87" t="str">
        <f t="shared" si="3"/>
        <v/>
      </c>
      <c r="G432" s="87" t="str">
        <f t="shared" si="4"/>
        <v/>
      </c>
      <c r="H432" s="87"/>
      <c r="I432" s="87"/>
      <c r="J432" s="87"/>
    </row>
    <row r="433" spans="1:10">
      <c r="A433" s="2"/>
      <c r="B433" s="2"/>
      <c r="C433" s="120" t="str">
        <f>IF(B433="","",SUMIFS('A-BOM'!$D$3:$D993,'A-BOM'!$C$3:$C993,B433,'A-BOM'!$B$3:$B993,$B$2))</f>
        <v/>
      </c>
      <c r="D433" s="120" t="str">
        <f>IFERROR(IF(B433="","",VLOOKUP(B433,RM!$C$4:$F983,3,FALSE)),"")</f>
        <v/>
      </c>
      <c r="E433" s="118" t="e">
        <f t="array" aca="1" ref="E433" ca="1">_xludf.IFNA(IF(B433="","",VLOOKUP(B433,RM!$C$4:$G983,14,FALSE)),IFERROR(MIN(IF('S-BOM'!$B$3:$B993=$B433,'S-BOM'!$H$3:$H993,"")),""))</f>
        <v>#NAME?</v>
      </c>
      <c r="F433" s="87" t="str">
        <f t="shared" si="3"/>
        <v/>
      </c>
      <c r="G433" s="87" t="str">
        <f t="shared" si="4"/>
        <v/>
      </c>
      <c r="H433" s="87"/>
      <c r="I433" s="87"/>
      <c r="J433" s="87"/>
    </row>
    <row r="434" spans="1:10">
      <c r="A434" s="2"/>
      <c r="B434" s="2"/>
      <c r="C434" s="120" t="str">
        <f>IF(B434="","",SUMIFS('A-BOM'!$D$3:$D993,'A-BOM'!$C$3:$C993,B434,'A-BOM'!$B$3:$B993,$B$2))</f>
        <v/>
      </c>
      <c r="D434" s="120" t="str">
        <f>IFERROR(IF(B434="","",VLOOKUP(B434,RM!$C$4:$F983,3,FALSE)),"")</f>
        <v/>
      </c>
      <c r="E434" s="118" t="e">
        <f t="array" aca="1" ref="E434" ca="1">_xludf.IFNA(IF(B434="","",VLOOKUP(B434,RM!$C$4:$G983,14,FALSE)),IFERROR(MIN(IF('S-BOM'!$B$3:$B993=$B434,'S-BOM'!$H$3:$H993,"")),""))</f>
        <v>#NAME?</v>
      </c>
      <c r="F434" s="87" t="str">
        <f t="shared" si="3"/>
        <v/>
      </c>
      <c r="G434" s="87" t="str">
        <f t="shared" si="4"/>
        <v/>
      </c>
      <c r="H434" s="87"/>
      <c r="I434" s="87"/>
      <c r="J434" s="87"/>
    </row>
    <row r="435" spans="1:10">
      <c r="A435" s="2"/>
      <c r="B435" s="2"/>
      <c r="C435" s="120" t="str">
        <f>IF(B435="","",SUMIFS('A-BOM'!$D$3:$D993,'A-BOM'!$C$3:$C993,B435,'A-BOM'!$B$3:$B993,$B$2))</f>
        <v/>
      </c>
      <c r="D435" s="120" t="str">
        <f>IFERROR(IF(B435="","",VLOOKUP(B435,RM!$C$4:$F983,3,FALSE)),"")</f>
        <v/>
      </c>
      <c r="E435" s="118" t="e">
        <f t="array" aca="1" ref="E435" ca="1">_xludf.IFNA(IF(B435="","",VLOOKUP(B435,RM!$C$4:$G983,14,FALSE)),IFERROR(MIN(IF('S-BOM'!$B$3:$B993=$B435,'S-BOM'!$H$3:$H993,"")),""))</f>
        <v>#NAME?</v>
      </c>
      <c r="F435" s="87" t="str">
        <f t="shared" si="3"/>
        <v/>
      </c>
      <c r="G435" s="87" t="str">
        <f t="shared" si="4"/>
        <v/>
      </c>
      <c r="H435" s="87"/>
      <c r="I435" s="87"/>
      <c r="J435" s="87"/>
    </row>
    <row r="436" spans="1:10">
      <c r="A436" s="2"/>
      <c r="B436" s="2"/>
      <c r="C436" s="120" t="str">
        <f>IF(B436="","",SUMIFS('A-BOM'!$D$3:$D993,'A-BOM'!$C$3:$C993,B436,'A-BOM'!$B$3:$B993,$B$2))</f>
        <v/>
      </c>
      <c r="D436" s="120" t="str">
        <f>IFERROR(IF(B436="","",VLOOKUP(B436,RM!$C$4:$F983,3,FALSE)),"")</f>
        <v/>
      </c>
      <c r="E436" s="118" t="e">
        <f t="array" aca="1" ref="E436" ca="1">_xludf.IFNA(IF(B436="","",VLOOKUP(B436,RM!$C$4:$G983,14,FALSE)),IFERROR(MIN(IF('S-BOM'!$B$3:$B993=$B436,'S-BOM'!$H$3:$H993,"")),""))</f>
        <v>#NAME?</v>
      </c>
      <c r="F436" s="87" t="str">
        <f t="shared" si="3"/>
        <v/>
      </c>
      <c r="G436" s="87" t="str">
        <f t="shared" si="4"/>
        <v/>
      </c>
      <c r="H436" s="87"/>
      <c r="I436" s="87"/>
      <c r="J436" s="87"/>
    </row>
    <row r="437" spans="1:10">
      <c r="A437" s="2"/>
      <c r="B437" s="2"/>
      <c r="C437" s="120" t="str">
        <f>IF(B437="","",SUMIFS('A-BOM'!$D$3:$D993,'A-BOM'!$C$3:$C993,B437,'A-BOM'!$B$3:$B993,$B$2))</f>
        <v/>
      </c>
      <c r="D437" s="120" t="str">
        <f>IFERROR(IF(B437="","",VLOOKUP(B437,RM!$C$4:$F983,3,FALSE)),"")</f>
        <v/>
      </c>
      <c r="E437" s="118" t="e">
        <f t="array" aca="1" ref="E437" ca="1">_xludf.IFNA(IF(B437="","",VLOOKUP(B437,RM!$C$4:$G983,14,FALSE)),IFERROR(MIN(IF('S-BOM'!$B$3:$B993=$B437,'S-BOM'!$H$3:$H993,"")),""))</f>
        <v>#NAME?</v>
      </c>
      <c r="F437" s="87" t="str">
        <f t="shared" si="3"/>
        <v/>
      </c>
      <c r="G437" s="87" t="str">
        <f t="shared" si="4"/>
        <v/>
      </c>
      <c r="H437" s="87"/>
      <c r="I437" s="87"/>
      <c r="J437" s="87"/>
    </row>
    <row r="438" spans="1:10">
      <c r="A438" s="2"/>
      <c r="B438" s="2"/>
      <c r="C438" s="120" t="str">
        <f>IF(B438="","",SUMIFS('A-BOM'!$D$3:$D993,'A-BOM'!$C$3:$C993,B438,'A-BOM'!$B$3:$B993,$B$2))</f>
        <v/>
      </c>
      <c r="D438" s="120" t="str">
        <f>IFERROR(IF(B438="","",VLOOKUP(B438,RM!$C$4:$F983,3,FALSE)),"")</f>
        <v/>
      </c>
      <c r="E438" s="118" t="e">
        <f t="array" aca="1" ref="E438" ca="1">_xludf.IFNA(IF(B438="","",VLOOKUP(B438,RM!$C$4:$G983,14,FALSE)),IFERROR(MIN(IF('S-BOM'!$B$3:$B993=$B438,'S-BOM'!$H$3:$H993,"")),""))</f>
        <v>#NAME?</v>
      </c>
      <c r="F438" s="87" t="str">
        <f t="shared" si="3"/>
        <v/>
      </c>
      <c r="G438" s="87" t="str">
        <f t="shared" si="4"/>
        <v/>
      </c>
      <c r="H438" s="87"/>
      <c r="I438" s="87"/>
      <c r="J438" s="87"/>
    </row>
    <row r="439" spans="1:10">
      <c r="A439" s="2"/>
      <c r="B439" s="2"/>
      <c r="C439" s="120" t="str">
        <f>IF(B439="","",SUMIFS('A-BOM'!$D$3:$D993,'A-BOM'!$C$3:$C993,B439,'A-BOM'!$B$3:$B993,$B$2))</f>
        <v/>
      </c>
      <c r="D439" s="120" t="str">
        <f>IFERROR(IF(B439="","",VLOOKUP(B439,RM!$C$4:$F983,3,FALSE)),"")</f>
        <v/>
      </c>
      <c r="E439" s="118" t="e">
        <f t="array" aca="1" ref="E439" ca="1">_xludf.IFNA(IF(B439="","",VLOOKUP(B439,RM!$C$4:$G983,14,FALSE)),IFERROR(MIN(IF('S-BOM'!$B$3:$B993=$B439,'S-BOM'!$H$3:$H993,"")),""))</f>
        <v>#NAME?</v>
      </c>
      <c r="F439" s="87" t="str">
        <f t="shared" si="3"/>
        <v/>
      </c>
      <c r="G439" s="87" t="str">
        <f t="shared" si="4"/>
        <v/>
      </c>
      <c r="H439" s="87"/>
      <c r="I439" s="87"/>
      <c r="J439" s="87"/>
    </row>
    <row r="440" spans="1:10">
      <c r="A440" s="2"/>
      <c r="B440" s="2"/>
      <c r="C440" s="120" t="str">
        <f>IF(B440="","",SUMIFS('A-BOM'!$D$3:$D993,'A-BOM'!$C$3:$C993,B440,'A-BOM'!$B$3:$B993,$B$2))</f>
        <v/>
      </c>
      <c r="D440" s="120" t="str">
        <f>IFERROR(IF(B440="","",VLOOKUP(B440,RM!$C$4:$F983,3,FALSE)),"")</f>
        <v/>
      </c>
      <c r="E440" s="118" t="e">
        <f t="array" aca="1" ref="E440" ca="1">_xludf.IFNA(IF(B440="","",VLOOKUP(B440,RM!$C$4:$G983,14,FALSE)),IFERROR(MIN(IF('S-BOM'!$B$3:$B993=$B440,'S-BOM'!$H$3:$H993,"")),""))</f>
        <v>#NAME?</v>
      </c>
      <c r="F440" s="87" t="str">
        <f t="shared" si="3"/>
        <v/>
      </c>
      <c r="G440" s="87" t="str">
        <f t="shared" si="4"/>
        <v/>
      </c>
      <c r="H440" s="87"/>
      <c r="I440" s="87"/>
      <c r="J440" s="87"/>
    </row>
    <row r="441" spans="1:10">
      <c r="A441" s="2"/>
      <c r="B441" s="2"/>
      <c r="C441" s="120" t="str">
        <f>IF(B441="","",SUMIFS('A-BOM'!$D$3:$D993,'A-BOM'!$C$3:$C993,B441,'A-BOM'!$B$3:$B993,$B$2))</f>
        <v/>
      </c>
      <c r="D441" s="120" t="str">
        <f>IFERROR(IF(B441="","",VLOOKUP(B441,RM!$C$4:$F983,3,FALSE)),"")</f>
        <v/>
      </c>
      <c r="E441" s="118" t="e">
        <f t="array" aca="1" ref="E441" ca="1">_xludf.IFNA(IF(B441="","",VLOOKUP(B441,RM!$C$4:$G983,14,FALSE)),IFERROR(MIN(IF('S-BOM'!$B$3:$B993=$B441,'S-BOM'!$H$3:$H993,"")),""))</f>
        <v>#NAME?</v>
      </c>
      <c r="F441" s="87" t="str">
        <f t="shared" si="3"/>
        <v/>
      </c>
      <c r="G441" s="87" t="str">
        <f t="shared" si="4"/>
        <v/>
      </c>
      <c r="H441" s="87"/>
      <c r="I441" s="87"/>
      <c r="J441" s="87"/>
    </row>
    <row r="442" spans="1:10">
      <c r="A442" s="2"/>
      <c r="B442" s="2"/>
      <c r="C442" s="120" t="str">
        <f>IF(B442="","",SUMIFS('A-BOM'!$D$3:$D993,'A-BOM'!$C$3:$C993,B442,'A-BOM'!$B$3:$B993,$B$2))</f>
        <v/>
      </c>
      <c r="D442" s="120" t="str">
        <f>IFERROR(IF(B442="","",VLOOKUP(B442,RM!$C$4:$F983,3,FALSE)),"")</f>
        <v/>
      </c>
      <c r="E442" s="118" t="e">
        <f t="array" aca="1" ref="E442" ca="1">_xludf.IFNA(IF(B442="","",VLOOKUP(B442,RM!$C$4:$G983,14,FALSE)),IFERROR(MIN(IF('S-BOM'!$B$3:$B993=$B442,'S-BOM'!$H$3:$H993,"")),""))</f>
        <v>#NAME?</v>
      </c>
      <c r="F442" s="87" t="str">
        <f t="shared" si="3"/>
        <v/>
      </c>
      <c r="G442" s="87" t="str">
        <f t="shared" si="4"/>
        <v/>
      </c>
      <c r="H442" s="87"/>
      <c r="I442" s="87"/>
      <c r="J442" s="87"/>
    </row>
    <row r="443" spans="1:10">
      <c r="A443" s="2"/>
      <c r="B443" s="2"/>
      <c r="C443" s="120" t="str">
        <f>IF(B443="","",SUMIFS('A-BOM'!$D$3:$D993,'A-BOM'!$C$3:$C993,B443,'A-BOM'!$B$3:$B993,$B$2))</f>
        <v/>
      </c>
      <c r="D443" s="120" t="str">
        <f>IFERROR(IF(B443="","",VLOOKUP(B443,RM!$C$4:$F983,3,FALSE)),"")</f>
        <v/>
      </c>
      <c r="E443" s="118" t="e">
        <f t="array" aca="1" ref="E443" ca="1">_xludf.IFNA(IF(B443="","",VLOOKUP(B443,RM!$C$4:$G983,14,FALSE)),IFERROR(MIN(IF('S-BOM'!$B$3:$B993=$B443,'S-BOM'!$H$3:$H993,"")),""))</f>
        <v>#NAME?</v>
      </c>
      <c r="F443" s="87" t="str">
        <f t="shared" si="3"/>
        <v/>
      </c>
      <c r="G443" s="87" t="str">
        <f t="shared" si="4"/>
        <v/>
      </c>
      <c r="H443" s="87"/>
      <c r="I443" s="87"/>
      <c r="J443" s="87"/>
    </row>
    <row r="444" spans="1:10">
      <c r="A444" s="2"/>
      <c r="B444" s="2"/>
      <c r="C444" s="120" t="str">
        <f>IF(B444="","",SUMIFS('A-BOM'!$D$3:$D993,'A-BOM'!$C$3:$C993,B444,'A-BOM'!$B$3:$B993,$B$2))</f>
        <v/>
      </c>
      <c r="D444" s="120" t="str">
        <f>IFERROR(IF(B444="","",VLOOKUP(B444,RM!$C$4:$F983,3,FALSE)),"")</f>
        <v/>
      </c>
      <c r="E444" s="118" t="e">
        <f t="array" aca="1" ref="E444" ca="1">_xludf.IFNA(IF(B444="","",VLOOKUP(B444,RM!$C$4:$G983,14,FALSE)),IFERROR(MIN(IF('S-BOM'!$B$3:$B993=$B444,'S-BOM'!$H$3:$H993,"")),""))</f>
        <v>#NAME?</v>
      </c>
      <c r="F444" s="87" t="str">
        <f t="shared" si="3"/>
        <v/>
      </c>
      <c r="G444" s="87" t="str">
        <f t="shared" si="4"/>
        <v/>
      </c>
      <c r="H444" s="87"/>
      <c r="I444" s="87"/>
      <c r="J444" s="87"/>
    </row>
    <row r="445" spans="1:10">
      <c r="A445" s="2"/>
      <c r="B445" s="2"/>
      <c r="C445" s="120" t="str">
        <f>IF(B445="","",SUMIFS('A-BOM'!$D$3:$D993,'A-BOM'!$C$3:$C993,B445,'A-BOM'!$B$3:$B993,$B$2))</f>
        <v/>
      </c>
      <c r="D445" s="120" t="str">
        <f>IFERROR(IF(B445="","",VLOOKUP(B445,RM!$C$4:$F983,3,FALSE)),"")</f>
        <v/>
      </c>
      <c r="E445" s="118" t="e">
        <f t="array" aca="1" ref="E445" ca="1">_xludf.IFNA(IF(B445="","",VLOOKUP(B445,RM!$C$4:$G983,14,FALSE)),IFERROR(MIN(IF('S-BOM'!$B$3:$B993=$B445,'S-BOM'!$H$3:$H993,"")),""))</f>
        <v>#NAME?</v>
      </c>
      <c r="F445" s="87" t="str">
        <f t="shared" si="3"/>
        <v/>
      </c>
      <c r="G445" s="87" t="str">
        <f t="shared" si="4"/>
        <v/>
      </c>
      <c r="H445" s="87"/>
      <c r="I445" s="87"/>
      <c r="J445" s="87"/>
    </row>
    <row r="446" spans="1:10">
      <c r="A446" s="2"/>
      <c r="B446" s="2"/>
      <c r="C446" s="120" t="str">
        <f>IF(B446="","",SUMIFS('A-BOM'!$D$3:$D993,'A-BOM'!$C$3:$C993,B446,'A-BOM'!$B$3:$B993,$B$2))</f>
        <v/>
      </c>
      <c r="D446" s="120" t="str">
        <f>IFERROR(IF(B446="","",VLOOKUP(B446,RM!$C$4:$F983,3,FALSE)),"")</f>
        <v/>
      </c>
      <c r="E446" s="118" t="e">
        <f t="array" aca="1" ref="E446" ca="1">_xludf.IFNA(IF(B446="","",VLOOKUP(B446,RM!$C$4:$G983,14,FALSE)),IFERROR(MIN(IF('S-BOM'!$B$3:$B993=$B446,'S-BOM'!$H$3:$H993,"")),""))</f>
        <v>#NAME?</v>
      </c>
      <c r="F446" s="87" t="str">
        <f t="shared" si="3"/>
        <v/>
      </c>
      <c r="G446" s="87" t="str">
        <f t="shared" si="4"/>
        <v/>
      </c>
      <c r="H446" s="87"/>
      <c r="I446" s="87"/>
      <c r="J446" s="87"/>
    </row>
    <row r="447" spans="1:10">
      <c r="A447" s="2"/>
      <c r="B447" s="2"/>
      <c r="C447" s="120" t="str">
        <f>IF(B447="","",SUMIFS('A-BOM'!$D$3:$D993,'A-BOM'!$C$3:$C993,B447,'A-BOM'!$B$3:$B993,$B$2))</f>
        <v/>
      </c>
      <c r="D447" s="120" t="str">
        <f>IFERROR(IF(B447="","",VLOOKUP(B447,RM!$C$4:$F983,3,FALSE)),"")</f>
        <v/>
      </c>
      <c r="E447" s="118" t="e">
        <f t="array" aca="1" ref="E447" ca="1">_xludf.IFNA(IF(B447="","",VLOOKUP(B447,RM!$C$4:$G983,14,FALSE)),IFERROR(MIN(IF('S-BOM'!$B$3:$B993=$B447,'S-BOM'!$H$3:$H993,"")),""))</f>
        <v>#NAME?</v>
      </c>
      <c r="F447" s="87" t="str">
        <f t="shared" si="3"/>
        <v/>
      </c>
      <c r="G447" s="87" t="str">
        <f t="shared" si="4"/>
        <v/>
      </c>
      <c r="H447" s="87"/>
      <c r="I447" s="87"/>
      <c r="J447" s="87"/>
    </row>
    <row r="448" spans="1:10">
      <c r="A448" s="2"/>
      <c r="B448" s="2"/>
      <c r="C448" s="120" t="str">
        <f>IF(B448="","",SUMIFS('A-BOM'!$D$3:$D993,'A-BOM'!$C$3:$C993,B448,'A-BOM'!$B$3:$B993,$B$2))</f>
        <v/>
      </c>
      <c r="D448" s="120" t="str">
        <f>IFERROR(IF(B448="","",VLOOKUP(B448,RM!$C$4:$F983,3,FALSE)),"")</f>
        <v/>
      </c>
      <c r="E448" s="118" t="e">
        <f t="array" aca="1" ref="E448" ca="1">_xludf.IFNA(IF(B448="","",VLOOKUP(B448,RM!$C$4:$G983,14,FALSE)),IFERROR(MIN(IF('S-BOM'!$B$3:$B993=$B448,'S-BOM'!$H$3:$H993,"")),""))</f>
        <v>#NAME?</v>
      </c>
      <c r="F448" s="87" t="str">
        <f t="shared" si="3"/>
        <v/>
      </c>
      <c r="G448" s="87" t="str">
        <f t="shared" si="4"/>
        <v/>
      </c>
      <c r="H448" s="87"/>
      <c r="I448" s="87"/>
      <c r="J448" s="87"/>
    </row>
    <row r="449" spans="1:10">
      <c r="A449" s="2"/>
      <c r="B449" s="2"/>
      <c r="C449" s="120" t="str">
        <f>IF(B449="","",SUMIFS('A-BOM'!$D$3:$D993,'A-BOM'!$C$3:$C993,B449,'A-BOM'!$B$3:$B993,$B$2))</f>
        <v/>
      </c>
      <c r="D449" s="120" t="str">
        <f>IFERROR(IF(B449="","",VLOOKUP(B449,RM!$C$4:$F983,3,FALSE)),"")</f>
        <v/>
      </c>
      <c r="E449" s="118" t="e">
        <f t="array" aca="1" ref="E449" ca="1">_xludf.IFNA(IF(B449="","",VLOOKUP(B449,RM!$C$4:$G983,14,FALSE)),IFERROR(MIN(IF('S-BOM'!$B$3:$B993=$B449,'S-BOM'!$H$3:$H993,"")),""))</f>
        <v>#NAME?</v>
      </c>
      <c r="F449" s="87" t="str">
        <f t="shared" si="3"/>
        <v/>
      </c>
      <c r="G449" s="87" t="str">
        <f t="shared" si="4"/>
        <v/>
      </c>
      <c r="H449" s="87"/>
      <c r="I449" s="87"/>
      <c r="J449" s="87"/>
    </row>
    <row r="450" spans="1:10">
      <c r="A450" s="2"/>
      <c r="B450" s="2"/>
      <c r="C450" s="120" t="str">
        <f>IF(B450="","",SUMIFS('A-BOM'!$D$3:$D993,'A-BOM'!$C$3:$C993,B450,'A-BOM'!$B$3:$B993,$B$2))</f>
        <v/>
      </c>
      <c r="D450" s="120" t="str">
        <f>IFERROR(IF(B450="","",VLOOKUP(B450,RM!$C$4:$F983,3,FALSE)),"")</f>
        <v/>
      </c>
      <c r="E450" s="118" t="e">
        <f t="array" aca="1" ref="E450" ca="1">_xludf.IFNA(IF(B450="","",VLOOKUP(B450,RM!$C$4:$G983,14,FALSE)),IFERROR(MIN(IF('S-BOM'!$B$3:$B993=$B450,'S-BOM'!$H$3:$H993,"")),""))</f>
        <v>#NAME?</v>
      </c>
      <c r="F450" s="87" t="str">
        <f t="shared" si="3"/>
        <v/>
      </c>
      <c r="G450" s="87" t="str">
        <f t="shared" si="4"/>
        <v/>
      </c>
      <c r="H450" s="87"/>
      <c r="I450" s="87"/>
      <c r="J450" s="87"/>
    </row>
    <row r="451" spans="1:10">
      <c r="A451" s="2"/>
      <c r="B451" s="2"/>
      <c r="C451" s="120" t="str">
        <f>IF(B451="","",SUMIFS('A-BOM'!$D$3:$D993,'A-BOM'!$C$3:$C993,B451,'A-BOM'!$B$3:$B993,$B$2))</f>
        <v/>
      </c>
      <c r="D451" s="120" t="str">
        <f>IFERROR(IF(B451="","",VLOOKUP(B451,RM!$C$4:$F983,3,FALSE)),"")</f>
        <v/>
      </c>
      <c r="E451" s="118" t="e">
        <f t="array" aca="1" ref="E451" ca="1">_xludf.IFNA(IF(B451="","",VLOOKUP(B451,RM!$C$4:$G983,14,FALSE)),IFERROR(MIN(IF('S-BOM'!$B$3:$B993=$B451,'S-BOM'!$H$3:$H993,"")),""))</f>
        <v>#NAME?</v>
      </c>
      <c r="F451" s="87" t="str">
        <f t="shared" si="3"/>
        <v/>
      </c>
      <c r="G451" s="87" t="str">
        <f t="shared" si="4"/>
        <v/>
      </c>
      <c r="H451" s="87"/>
      <c r="I451" s="87"/>
      <c r="J451" s="87"/>
    </row>
    <row r="452" spans="1:10">
      <c r="A452" s="2"/>
      <c r="B452" s="2"/>
      <c r="C452" s="120" t="str">
        <f>IF(B452="","",SUMIFS('A-BOM'!$D$3:$D993,'A-BOM'!$C$3:$C993,B452,'A-BOM'!$B$3:$B993,$B$2))</f>
        <v/>
      </c>
      <c r="D452" s="120" t="str">
        <f>IFERROR(IF(B452="","",VLOOKUP(B452,RM!$C$4:$F983,3,FALSE)),"")</f>
        <v/>
      </c>
      <c r="E452" s="118" t="e">
        <f t="array" aca="1" ref="E452" ca="1">_xludf.IFNA(IF(B452="","",VLOOKUP(B452,RM!$C$4:$G983,14,FALSE)),IFERROR(MIN(IF('S-BOM'!$B$3:$B993=$B452,'S-BOM'!$H$3:$H993,"")),""))</f>
        <v>#NAME?</v>
      </c>
      <c r="F452" s="87" t="str">
        <f t="shared" si="3"/>
        <v/>
      </c>
      <c r="G452" s="87" t="str">
        <f t="shared" si="4"/>
        <v/>
      </c>
      <c r="H452" s="87"/>
      <c r="I452" s="87"/>
      <c r="J452" s="87"/>
    </row>
    <row r="453" spans="1:10">
      <c r="A453" s="2"/>
      <c r="B453" s="2"/>
      <c r="C453" s="120" t="str">
        <f>IF(B453="","",SUMIFS('A-BOM'!$D$3:$D993,'A-BOM'!$C$3:$C993,B453,'A-BOM'!$B$3:$B993,$B$2))</f>
        <v/>
      </c>
      <c r="D453" s="120" t="str">
        <f>IFERROR(IF(B453="","",VLOOKUP(B453,RM!$C$4:$F983,3,FALSE)),"")</f>
        <v/>
      </c>
      <c r="E453" s="118" t="e">
        <f t="array" aca="1" ref="E453" ca="1">_xludf.IFNA(IF(B453="","",VLOOKUP(B453,RM!$C$4:$G983,14,FALSE)),IFERROR(MIN(IF('S-BOM'!$B$3:$B993=$B453,'S-BOM'!$H$3:$H993,"")),""))</f>
        <v>#NAME?</v>
      </c>
      <c r="F453" s="87" t="str">
        <f t="shared" si="3"/>
        <v/>
      </c>
      <c r="G453" s="87" t="str">
        <f t="shared" si="4"/>
        <v/>
      </c>
      <c r="H453" s="87"/>
      <c r="I453" s="87"/>
      <c r="J453" s="87"/>
    </row>
    <row r="454" spans="1:10">
      <c r="A454" s="2"/>
      <c r="B454" s="2"/>
      <c r="C454" s="120" t="str">
        <f>IF(B454="","",SUMIFS('A-BOM'!$D$3:$D993,'A-BOM'!$C$3:$C993,B454,'A-BOM'!$B$3:$B993,$B$2))</f>
        <v/>
      </c>
      <c r="D454" s="120" t="str">
        <f>IFERROR(IF(B454="","",VLOOKUP(B454,RM!$C$4:$F983,3,FALSE)),"")</f>
        <v/>
      </c>
      <c r="E454" s="118" t="e">
        <f t="array" aca="1" ref="E454" ca="1">_xludf.IFNA(IF(B454="","",VLOOKUP(B454,RM!$C$4:$G983,14,FALSE)),IFERROR(MIN(IF('S-BOM'!$B$3:$B993=$B454,'S-BOM'!$H$3:$H993,"")),""))</f>
        <v>#NAME?</v>
      </c>
      <c r="F454" s="87" t="str">
        <f t="shared" si="3"/>
        <v/>
      </c>
      <c r="G454" s="87" t="str">
        <f t="shared" si="4"/>
        <v/>
      </c>
      <c r="H454" s="87"/>
      <c r="I454" s="87"/>
      <c r="J454" s="87"/>
    </row>
    <row r="455" spans="1:10">
      <c r="A455" s="2"/>
      <c r="B455" s="2"/>
      <c r="C455" s="120" t="str">
        <f>IF(B455="","",SUMIFS('A-BOM'!$D$3:$D993,'A-BOM'!$C$3:$C993,B455,'A-BOM'!$B$3:$B993,$B$2))</f>
        <v/>
      </c>
      <c r="D455" s="120" t="str">
        <f>IFERROR(IF(B455="","",VLOOKUP(B455,RM!$C$4:$F983,3,FALSE)),"")</f>
        <v/>
      </c>
      <c r="E455" s="118" t="e">
        <f t="array" aca="1" ref="E455" ca="1">_xludf.IFNA(IF(B455="","",VLOOKUP(B455,RM!$C$4:$G983,14,FALSE)),IFERROR(MIN(IF('S-BOM'!$B$3:$B993=$B455,'S-BOM'!$H$3:$H993,"")),""))</f>
        <v>#NAME?</v>
      </c>
      <c r="F455" s="87" t="str">
        <f t="shared" si="3"/>
        <v/>
      </c>
      <c r="G455" s="87" t="str">
        <f t="shared" si="4"/>
        <v/>
      </c>
      <c r="H455" s="87"/>
      <c r="I455" s="87"/>
      <c r="J455" s="87"/>
    </row>
    <row r="456" spans="1:10">
      <c r="A456" s="2"/>
      <c r="B456" s="2"/>
      <c r="C456" s="120" t="str">
        <f>IF(B456="","",SUMIFS('A-BOM'!$D$3:$D993,'A-BOM'!$C$3:$C993,B456,'A-BOM'!$B$3:$B993,$B$2))</f>
        <v/>
      </c>
      <c r="D456" s="120" t="str">
        <f>IFERROR(IF(B456="","",VLOOKUP(B456,RM!$C$4:$F983,3,FALSE)),"")</f>
        <v/>
      </c>
      <c r="E456" s="118" t="e">
        <f t="array" aca="1" ref="E456" ca="1">_xludf.IFNA(IF(B456="","",VLOOKUP(B456,RM!$C$4:$G983,14,FALSE)),IFERROR(MIN(IF('S-BOM'!$B$3:$B993=$B456,'S-BOM'!$H$3:$H993,"")),""))</f>
        <v>#NAME?</v>
      </c>
      <c r="F456" s="87" t="str">
        <f t="shared" si="3"/>
        <v/>
      </c>
      <c r="G456" s="87" t="str">
        <f t="shared" si="4"/>
        <v/>
      </c>
      <c r="H456" s="87"/>
      <c r="I456" s="87"/>
      <c r="J456" s="87"/>
    </row>
    <row r="457" spans="1:10">
      <c r="A457" s="2"/>
      <c r="B457" s="2"/>
      <c r="C457" s="120" t="str">
        <f>IF(B457="","",SUMIFS('A-BOM'!$D$3:$D993,'A-BOM'!$C$3:$C993,B457,'A-BOM'!$B$3:$B993,$B$2))</f>
        <v/>
      </c>
      <c r="D457" s="120" t="str">
        <f>IFERROR(IF(B457="","",VLOOKUP(B457,RM!$C$4:$F983,3,FALSE)),"")</f>
        <v/>
      </c>
      <c r="E457" s="118" t="e">
        <f t="array" aca="1" ref="E457" ca="1">_xludf.IFNA(IF(B457="","",VLOOKUP(B457,RM!$C$4:$G983,14,FALSE)),IFERROR(MIN(IF('S-BOM'!$B$3:$B993=$B457,'S-BOM'!$H$3:$H993,"")),""))</f>
        <v>#NAME?</v>
      </c>
      <c r="F457" s="87" t="str">
        <f t="shared" si="3"/>
        <v/>
      </c>
      <c r="G457" s="87" t="str">
        <f t="shared" si="4"/>
        <v/>
      </c>
      <c r="H457" s="87"/>
      <c r="I457" s="87"/>
      <c r="J457" s="87"/>
    </row>
    <row r="458" spans="1:10">
      <c r="A458" s="2"/>
      <c r="B458" s="2"/>
      <c r="C458" s="120" t="str">
        <f>IF(B458="","",SUMIFS('A-BOM'!$D$3:$D993,'A-BOM'!$C$3:$C993,B458,'A-BOM'!$B$3:$B993,$B$2))</f>
        <v/>
      </c>
      <c r="D458" s="120" t="str">
        <f>IFERROR(IF(B458="","",VLOOKUP(B458,RM!$C$4:$F983,3,FALSE)),"")</f>
        <v/>
      </c>
      <c r="E458" s="118" t="e">
        <f t="array" aca="1" ref="E458" ca="1">_xludf.IFNA(IF(B458="","",VLOOKUP(B458,RM!$C$4:$G983,14,FALSE)),IFERROR(MIN(IF('S-BOM'!$B$3:$B993=$B458,'S-BOM'!$H$3:$H993,"")),""))</f>
        <v>#NAME?</v>
      </c>
      <c r="F458" s="87" t="str">
        <f t="shared" si="3"/>
        <v/>
      </c>
      <c r="G458" s="87" t="str">
        <f t="shared" si="4"/>
        <v/>
      </c>
      <c r="H458" s="87"/>
      <c r="I458" s="87"/>
      <c r="J458" s="87"/>
    </row>
    <row r="459" spans="1:10">
      <c r="A459" s="2"/>
      <c r="B459" s="2"/>
      <c r="C459" s="120" t="str">
        <f>IF(B459="","",SUMIFS('A-BOM'!$D$3:$D993,'A-BOM'!$C$3:$C993,B459,'A-BOM'!$B$3:$B993,$B$2))</f>
        <v/>
      </c>
      <c r="D459" s="120" t="str">
        <f>IFERROR(IF(B459="","",VLOOKUP(B459,RM!$C$4:$F983,3,FALSE)),"")</f>
        <v/>
      </c>
      <c r="E459" s="118" t="e">
        <f t="array" aca="1" ref="E459" ca="1">_xludf.IFNA(IF(B459="","",VLOOKUP(B459,RM!$C$4:$G983,14,FALSE)),IFERROR(MIN(IF('S-BOM'!$B$3:$B993=$B459,'S-BOM'!$H$3:$H993,"")),""))</f>
        <v>#NAME?</v>
      </c>
      <c r="F459" s="87" t="str">
        <f t="shared" si="3"/>
        <v/>
      </c>
      <c r="G459" s="87" t="str">
        <f t="shared" si="4"/>
        <v/>
      </c>
      <c r="H459" s="87"/>
      <c r="I459" s="87"/>
      <c r="J459" s="87"/>
    </row>
    <row r="460" spans="1:10">
      <c r="A460" s="2"/>
      <c r="B460" s="2"/>
      <c r="C460" s="120" t="str">
        <f>IF(B460="","",SUMIFS('A-BOM'!$D$3:$D993,'A-BOM'!$C$3:$C993,B460,'A-BOM'!$B$3:$B993,$B$2))</f>
        <v/>
      </c>
      <c r="D460" s="120" t="str">
        <f>IFERROR(IF(B460="","",VLOOKUP(B460,RM!$C$4:$F983,3,FALSE)),"")</f>
        <v/>
      </c>
      <c r="E460" s="118" t="e">
        <f t="array" aca="1" ref="E460" ca="1">_xludf.IFNA(IF(B460="","",VLOOKUP(B460,RM!$C$4:$G983,14,FALSE)),IFERROR(MIN(IF('S-BOM'!$B$3:$B993=$B460,'S-BOM'!$H$3:$H993,"")),""))</f>
        <v>#NAME?</v>
      </c>
      <c r="F460" s="87" t="str">
        <f t="shared" si="3"/>
        <v/>
      </c>
      <c r="G460" s="87" t="str">
        <f t="shared" si="4"/>
        <v/>
      </c>
      <c r="H460" s="87"/>
      <c r="I460" s="87"/>
      <c r="J460" s="87"/>
    </row>
    <row r="461" spans="1:10">
      <c r="A461" s="2"/>
      <c r="B461" s="2"/>
      <c r="C461" s="120" t="str">
        <f>IF(B461="","",SUMIFS('A-BOM'!$D$3:$D993,'A-BOM'!$C$3:$C993,B461,'A-BOM'!$B$3:$B993,$B$2))</f>
        <v/>
      </c>
      <c r="D461" s="120" t="str">
        <f>IFERROR(IF(B461="","",VLOOKUP(B461,RM!$C$4:$F983,3,FALSE)),"")</f>
        <v/>
      </c>
      <c r="E461" s="118" t="e">
        <f t="array" aca="1" ref="E461" ca="1">_xludf.IFNA(IF(B461="","",VLOOKUP(B461,RM!$C$4:$G983,14,FALSE)),IFERROR(MIN(IF('S-BOM'!$B$3:$B993=$B461,'S-BOM'!$H$3:$H993,"")),""))</f>
        <v>#NAME?</v>
      </c>
      <c r="F461" s="87" t="str">
        <f t="shared" si="3"/>
        <v/>
      </c>
      <c r="G461" s="87" t="str">
        <f t="shared" si="4"/>
        <v/>
      </c>
      <c r="H461" s="87"/>
      <c r="I461" s="87"/>
      <c r="J461" s="87"/>
    </row>
    <row r="462" spans="1:10">
      <c r="A462" s="2"/>
      <c r="B462" s="2"/>
      <c r="C462" s="120" t="str">
        <f>IF(B462="","",SUMIFS('A-BOM'!$D$3:$D993,'A-BOM'!$C$3:$C993,B462,'A-BOM'!$B$3:$B993,$B$2))</f>
        <v/>
      </c>
      <c r="D462" s="120" t="str">
        <f>IFERROR(IF(B462="","",VLOOKUP(B462,RM!$C$4:$F983,3,FALSE)),"")</f>
        <v/>
      </c>
      <c r="E462" s="118" t="e">
        <f t="array" aca="1" ref="E462" ca="1">_xludf.IFNA(IF(B462="","",VLOOKUP(B462,RM!$C$4:$G983,14,FALSE)),IFERROR(MIN(IF('S-BOM'!$B$3:$B993=$B462,'S-BOM'!$H$3:$H993,"")),""))</f>
        <v>#NAME?</v>
      </c>
      <c r="F462" s="87" t="str">
        <f t="shared" si="3"/>
        <v/>
      </c>
      <c r="G462" s="87" t="str">
        <f t="shared" si="4"/>
        <v/>
      </c>
      <c r="H462" s="87"/>
      <c r="I462" s="87"/>
      <c r="J462" s="87"/>
    </row>
    <row r="463" spans="1:10">
      <c r="A463" s="2"/>
      <c r="B463" s="2"/>
      <c r="C463" s="120" t="str">
        <f>IF(B463="","",SUMIFS('A-BOM'!$D$3:$D993,'A-BOM'!$C$3:$C993,B463,'A-BOM'!$B$3:$B993,$B$2))</f>
        <v/>
      </c>
      <c r="D463" s="120" t="str">
        <f>IFERROR(IF(B463="","",VLOOKUP(B463,RM!$C$4:$F983,3,FALSE)),"")</f>
        <v/>
      </c>
      <c r="E463" s="118" t="e">
        <f t="array" aca="1" ref="E463" ca="1">_xludf.IFNA(IF(B463="","",VLOOKUP(B463,RM!$C$4:$G983,14,FALSE)),IFERROR(MIN(IF('S-BOM'!$B$3:$B993=$B463,'S-BOM'!$H$3:$H993,"")),""))</f>
        <v>#NAME?</v>
      </c>
      <c r="F463" s="87" t="str">
        <f t="shared" si="3"/>
        <v/>
      </c>
      <c r="G463" s="87" t="str">
        <f t="shared" si="4"/>
        <v/>
      </c>
      <c r="H463" s="87"/>
      <c r="I463" s="87"/>
      <c r="J463" s="87"/>
    </row>
    <row r="464" spans="1:10">
      <c r="A464" s="2"/>
      <c r="B464" s="2"/>
      <c r="C464" s="120" t="str">
        <f>IF(B464="","",SUMIFS('A-BOM'!$D$3:$D993,'A-BOM'!$C$3:$C993,B464,'A-BOM'!$B$3:$B993,$B$2))</f>
        <v/>
      </c>
      <c r="D464" s="120" t="str">
        <f>IFERROR(IF(B464="","",VLOOKUP(B464,RM!$C$4:$F983,3,FALSE)),"")</f>
        <v/>
      </c>
      <c r="E464" s="118" t="e">
        <f t="array" aca="1" ref="E464" ca="1">_xludf.IFNA(IF(B464="","",VLOOKUP(B464,RM!$C$4:$G983,14,FALSE)),IFERROR(MIN(IF('S-BOM'!$B$3:$B993=$B464,'S-BOM'!$H$3:$H993,"")),""))</f>
        <v>#NAME?</v>
      </c>
      <c r="F464" s="87" t="str">
        <f t="shared" si="3"/>
        <v/>
      </c>
      <c r="G464" s="87" t="str">
        <f t="shared" si="4"/>
        <v/>
      </c>
      <c r="H464" s="87"/>
      <c r="I464" s="87"/>
      <c r="J464" s="87"/>
    </row>
    <row r="465" spans="1:10">
      <c r="A465" s="2"/>
      <c r="B465" s="2"/>
      <c r="C465" s="120" t="str">
        <f>IF(B465="","",SUMIFS('A-BOM'!$D$3:$D993,'A-BOM'!$C$3:$C993,B465,'A-BOM'!$B$3:$B993,$B$2))</f>
        <v/>
      </c>
      <c r="D465" s="120" t="str">
        <f>IFERROR(IF(B465="","",VLOOKUP(B465,RM!$C$4:$F983,3,FALSE)),"")</f>
        <v/>
      </c>
      <c r="E465" s="118" t="e">
        <f t="array" aca="1" ref="E465" ca="1">_xludf.IFNA(IF(B465="","",VLOOKUP(B465,RM!$C$4:$G983,14,FALSE)),IFERROR(MIN(IF('S-BOM'!$B$3:$B993=$B465,'S-BOM'!$H$3:$H993,"")),""))</f>
        <v>#NAME?</v>
      </c>
      <c r="F465" s="87" t="str">
        <f t="shared" si="3"/>
        <v/>
      </c>
      <c r="G465" s="87" t="str">
        <f t="shared" si="4"/>
        <v/>
      </c>
      <c r="H465" s="87"/>
      <c r="I465" s="87"/>
      <c r="J465" s="87"/>
    </row>
    <row r="466" spans="1:10">
      <c r="A466" s="2"/>
      <c r="B466" s="2"/>
      <c r="C466" s="120" t="str">
        <f>IF(B466="","",SUMIFS('A-BOM'!$D$3:$D993,'A-BOM'!$C$3:$C993,B466,'A-BOM'!$B$3:$B993,$B$2))</f>
        <v/>
      </c>
      <c r="D466" s="120" t="str">
        <f>IFERROR(IF(B466="","",VLOOKUP(B466,RM!$C$4:$F983,3,FALSE)),"")</f>
        <v/>
      </c>
      <c r="E466" s="118" t="e">
        <f t="array" aca="1" ref="E466" ca="1">_xludf.IFNA(IF(B466="","",VLOOKUP(B466,RM!$C$4:$G983,14,FALSE)),IFERROR(MIN(IF('S-BOM'!$B$3:$B993=$B466,'S-BOM'!$H$3:$H993,"")),""))</f>
        <v>#NAME?</v>
      </c>
      <c r="F466" s="87" t="str">
        <f t="shared" si="3"/>
        <v/>
      </c>
      <c r="G466" s="87" t="str">
        <f t="shared" si="4"/>
        <v/>
      </c>
      <c r="H466" s="87"/>
      <c r="I466" s="87"/>
      <c r="J466" s="87"/>
    </row>
    <row r="467" spans="1:10">
      <c r="A467" s="2"/>
      <c r="B467" s="2"/>
      <c r="C467" s="120" t="str">
        <f>IF(B467="","",SUMIFS('A-BOM'!$D$3:$D993,'A-BOM'!$C$3:$C993,B467,'A-BOM'!$B$3:$B993,$B$2))</f>
        <v/>
      </c>
      <c r="D467" s="120" t="str">
        <f>IFERROR(IF(B467="","",VLOOKUP(B467,RM!$C$4:$F983,3,FALSE)),"")</f>
        <v/>
      </c>
      <c r="E467" s="118" t="e">
        <f t="array" aca="1" ref="E467" ca="1">_xludf.IFNA(IF(B467="","",VLOOKUP(B467,RM!$C$4:$G983,14,FALSE)),IFERROR(MIN(IF('S-BOM'!$B$3:$B993=$B467,'S-BOM'!$H$3:$H993,"")),""))</f>
        <v>#NAME?</v>
      </c>
      <c r="F467" s="87" t="str">
        <f t="shared" si="3"/>
        <v/>
      </c>
      <c r="G467" s="87" t="str">
        <f t="shared" si="4"/>
        <v/>
      </c>
      <c r="H467" s="87"/>
      <c r="I467" s="87"/>
      <c r="J467" s="87"/>
    </row>
    <row r="468" spans="1:10">
      <c r="A468" s="2"/>
      <c r="B468" s="2"/>
      <c r="C468" s="120" t="str">
        <f>IF(B468="","",SUMIFS('A-BOM'!$D$3:$D993,'A-BOM'!$C$3:$C993,B468,'A-BOM'!$B$3:$B993,$B$2))</f>
        <v/>
      </c>
      <c r="D468" s="120" t="str">
        <f>IFERROR(IF(B468="","",VLOOKUP(B468,RM!$C$4:$F983,3,FALSE)),"")</f>
        <v/>
      </c>
      <c r="E468" s="118" t="e">
        <f t="array" aca="1" ref="E468" ca="1">_xludf.IFNA(IF(B468="","",VLOOKUP(B468,RM!$C$4:$G983,14,FALSE)),IFERROR(MIN(IF('S-BOM'!$B$3:$B993=$B468,'S-BOM'!$H$3:$H993,"")),""))</f>
        <v>#NAME?</v>
      </c>
      <c r="F468" s="87" t="str">
        <f t="shared" si="3"/>
        <v/>
      </c>
      <c r="G468" s="87" t="str">
        <f t="shared" si="4"/>
        <v/>
      </c>
      <c r="H468" s="87"/>
      <c r="I468" s="87"/>
      <c r="J468" s="87"/>
    </row>
    <row r="469" spans="1:10">
      <c r="A469" s="2"/>
      <c r="B469" s="2"/>
      <c r="C469" s="120" t="str">
        <f>IF(B469="","",SUMIFS('A-BOM'!$D$3:$D993,'A-BOM'!$C$3:$C993,B469,'A-BOM'!$B$3:$B993,$B$2))</f>
        <v/>
      </c>
      <c r="D469" s="120" t="str">
        <f>IFERROR(IF(B469="","",VLOOKUP(B469,RM!$C$4:$F983,3,FALSE)),"")</f>
        <v/>
      </c>
      <c r="E469" s="118" t="e">
        <f t="array" aca="1" ref="E469" ca="1">_xludf.IFNA(IF(B469="","",VLOOKUP(B469,RM!$C$4:$G983,14,FALSE)),IFERROR(MIN(IF('S-BOM'!$B$3:$B993=$B469,'S-BOM'!$H$3:$H993,"")),""))</f>
        <v>#NAME?</v>
      </c>
      <c r="F469" s="87" t="str">
        <f t="shared" si="3"/>
        <v/>
      </c>
      <c r="G469" s="87" t="str">
        <f t="shared" si="4"/>
        <v/>
      </c>
      <c r="H469" s="87"/>
      <c r="I469" s="87"/>
      <c r="J469" s="87"/>
    </row>
    <row r="470" spans="1:10">
      <c r="A470" s="2"/>
      <c r="B470" s="2"/>
      <c r="C470" s="120" t="str">
        <f>IF(B470="","",SUMIFS('A-BOM'!$D$3:$D993,'A-BOM'!$C$3:$C993,B470,'A-BOM'!$B$3:$B993,$B$2))</f>
        <v/>
      </c>
      <c r="D470" s="120" t="str">
        <f>IFERROR(IF(B470="","",VLOOKUP(B470,RM!$C$4:$F983,3,FALSE)),"")</f>
        <v/>
      </c>
      <c r="E470" s="118" t="e">
        <f t="array" aca="1" ref="E470" ca="1">_xludf.IFNA(IF(B470="","",VLOOKUP(B470,RM!$C$4:$G983,14,FALSE)),IFERROR(MIN(IF('S-BOM'!$B$3:$B993=$B470,'S-BOM'!$H$3:$H993,"")),""))</f>
        <v>#NAME?</v>
      </c>
      <c r="F470" s="87" t="str">
        <f t="shared" si="3"/>
        <v/>
      </c>
      <c r="G470" s="87" t="str">
        <f t="shared" si="4"/>
        <v/>
      </c>
      <c r="H470" s="87"/>
      <c r="I470" s="87"/>
      <c r="J470" s="87"/>
    </row>
    <row r="471" spans="1:10">
      <c r="A471" s="2"/>
      <c r="B471" s="2"/>
      <c r="C471" s="120" t="str">
        <f>IF(B471="","",SUMIFS('A-BOM'!$D$3:$D993,'A-BOM'!$C$3:$C993,B471,'A-BOM'!$B$3:$B993,$B$2))</f>
        <v/>
      </c>
      <c r="D471" s="120" t="str">
        <f>IFERROR(IF(B471="","",VLOOKUP(B471,RM!$C$4:$F983,3,FALSE)),"")</f>
        <v/>
      </c>
      <c r="E471" s="118" t="e">
        <f t="array" aca="1" ref="E471" ca="1">_xludf.IFNA(IF(B471="","",VLOOKUP(B471,RM!$C$4:$G983,14,FALSE)),IFERROR(MIN(IF('S-BOM'!$B$3:$B993=$B471,'S-BOM'!$H$3:$H993,"")),""))</f>
        <v>#NAME?</v>
      </c>
      <c r="F471" s="87" t="str">
        <f t="shared" si="3"/>
        <v/>
      </c>
      <c r="G471" s="87" t="str">
        <f t="shared" si="4"/>
        <v/>
      </c>
      <c r="H471" s="87"/>
      <c r="I471" s="87"/>
      <c r="J471" s="87"/>
    </row>
    <row r="472" spans="1:10">
      <c r="A472" s="2"/>
      <c r="B472" s="2"/>
      <c r="C472" s="120" t="str">
        <f>IF(B472="","",SUMIFS('A-BOM'!$D$3:$D993,'A-BOM'!$C$3:$C993,B472,'A-BOM'!$B$3:$B993,$B$2))</f>
        <v/>
      </c>
      <c r="D472" s="120" t="str">
        <f>IFERROR(IF(B472="","",VLOOKUP(B472,RM!$C$4:$F983,3,FALSE)),"")</f>
        <v/>
      </c>
      <c r="E472" s="118" t="e">
        <f t="array" aca="1" ref="E472" ca="1">_xludf.IFNA(IF(B472="","",VLOOKUP(B472,RM!$C$4:$G983,14,FALSE)),IFERROR(MIN(IF('S-BOM'!$B$3:$B993=$B472,'S-BOM'!$H$3:$H993,"")),""))</f>
        <v>#NAME?</v>
      </c>
      <c r="F472" s="87" t="str">
        <f t="shared" si="3"/>
        <v/>
      </c>
      <c r="G472" s="87" t="str">
        <f t="shared" si="4"/>
        <v/>
      </c>
      <c r="H472" s="87"/>
      <c r="I472" s="87"/>
      <c r="J472" s="87"/>
    </row>
    <row r="473" spans="1:10">
      <c r="A473" s="2"/>
      <c r="B473" s="2"/>
      <c r="C473" s="120" t="str">
        <f>IF(B473="","",SUMIFS('A-BOM'!$D$3:$D993,'A-BOM'!$C$3:$C993,B473,'A-BOM'!$B$3:$B993,$B$2))</f>
        <v/>
      </c>
      <c r="D473" s="120" t="str">
        <f>IFERROR(IF(B473="","",VLOOKUP(B473,RM!$C$4:$F983,3,FALSE)),"")</f>
        <v/>
      </c>
      <c r="E473" s="118" t="e">
        <f t="array" aca="1" ref="E473" ca="1">_xludf.IFNA(IF(B473="","",VLOOKUP(B473,RM!$C$4:$G983,14,FALSE)),IFERROR(MIN(IF('S-BOM'!$B$3:$B993=$B473,'S-BOM'!$H$3:$H993,"")),""))</f>
        <v>#NAME?</v>
      </c>
      <c r="F473" s="87" t="str">
        <f t="shared" si="3"/>
        <v/>
      </c>
      <c r="G473" s="87" t="str">
        <f t="shared" si="4"/>
        <v/>
      </c>
      <c r="H473" s="87"/>
      <c r="I473" s="87"/>
      <c r="J473" s="87"/>
    </row>
    <row r="474" spans="1:10">
      <c r="A474" s="2"/>
      <c r="B474" s="2"/>
      <c r="C474" s="120" t="str">
        <f>IF(B474="","",SUMIFS('A-BOM'!$D$3:$D993,'A-BOM'!$C$3:$C993,B474,'A-BOM'!$B$3:$B993,$B$2))</f>
        <v/>
      </c>
      <c r="D474" s="120" t="str">
        <f>IFERROR(IF(B474="","",VLOOKUP(B474,RM!$C$4:$F983,3,FALSE)),"")</f>
        <v/>
      </c>
      <c r="E474" s="118" t="e">
        <f t="array" aca="1" ref="E474" ca="1">_xludf.IFNA(IF(B474="","",VLOOKUP(B474,RM!$C$4:$G983,14,FALSE)),IFERROR(MIN(IF('S-BOM'!$B$3:$B993=$B474,'S-BOM'!$H$3:$H993,"")),""))</f>
        <v>#NAME?</v>
      </c>
      <c r="F474" s="87" t="str">
        <f t="shared" si="3"/>
        <v/>
      </c>
      <c r="G474" s="87" t="str">
        <f t="shared" si="4"/>
        <v/>
      </c>
      <c r="H474" s="87"/>
      <c r="I474" s="87"/>
      <c r="J474" s="87"/>
    </row>
    <row r="475" spans="1:10">
      <c r="A475" s="2"/>
      <c r="B475" s="2"/>
      <c r="C475" s="120" t="str">
        <f>IF(B475="","",SUMIFS('A-BOM'!$D$3:$D993,'A-BOM'!$C$3:$C993,B475,'A-BOM'!$B$3:$B993,$B$2))</f>
        <v/>
      </c>
      <c r="D475" s="120" t="str">
        <f>IFERROR(IF(B475="","",VLOOKUP(B475,RM!$C$4:$F983,3,FALSE)),"")</f>
        <v/>
      </c>
      <c r="E475" s="118" t="e">
        <f t="array" aca="1" ref="E475" ca="1">_xludf.IFNA(IF(B475="","",VLOOKUP(B475,RM!$C$4:$G983,14,FALSE)),IFERROR(MIN(IF('S-BOM'!$B$3:$B993=$B475,'S-BOM'!$H$3:$H993,"")),""))</f>
        <v>#NAME?</v>
      </c>
      <c r="F475" s="87" t="str">
        <f t="shared" si="3"/>
        <v/>
      </c>
      <c r="G475" s="87" t="str">
        <f t="shared" si="4"/>
        <v/>
      </c>
      <c r="H475" s="87"/>
      <c r="I475" s="87"/>
      <c r="J475" s="87"/>
    </row>
    <row r="476" spans="1:10">
      <c r="A476" s="2"/>
      <c r="B476" s="2"/>
      <c r="C476" s="120" t="str">
        <f>IF(B476="","",SUMIFS('A-BOM'!$D$3:$D993,'A-BOM'!$C$3:$C993,B476,'A-BOM'!$B$3:$B993,$B$2))</f>
        <v/>
      </c>
      <c r="D476" s="120" t="str">
        <f>IFERROR(IF(B476="","",VLOOKUP(B476,RM!$C$4:$F983,3,FALSE)),"")</f>
        <v/>
      </c>
      <c r="E476" s="118" t="e">
        <f t="array" aca="1" ref="E476" ca="1">_xludf.IFNA(IF(B476="","",VLOOKUP(B476,RM!$C$4:$G983,14,FALSE)),IFERROR(MIN(IF('S-BOM'!$B$3:$B993=$B476,'S-BOM'!$H$3:$H993,"")),""))</f>
        <v>#NAME?</v>
      </c>
      <c r="F476" s="87" t="str">
        <f t="shared" si="3"/>
        <v/>
      </c>
      <c r="G476" s="87" t="str">
        <f t="shared" si="4"/>
        <v/>
      </c>
      <c r="H476" s="87"/>
      <c r="I476" s="87"/>
      <c r="J476" s="87"/>
    </row>
    <row r="477" spans="1:10">
      <c r="A477" s="2"/>
      <c r="B477" s="2"/>
      <c r="C477" s="120" t="str">
        <f>IF(B477="","",SUMIFS('A-BOM'!$D$3:$D993,'A-BOM'!$C$3:$C993,B477,'A-BOM'!$B$3:$B993,$B$2))</f>
        <v/>
      </c>
      <c r="D477" s="120" t="str">
        <f>IFERROR(IF(B477="","",VLOOKUP(B477,RM!$C$4:$F983,3,FALSE)),"")</f>
        <v/>
      </c>
      <c r="E477" s="118" t="e">
        <f t="array" aca="1" ref="E477" ca="1">_xludf.IFNA(IF(B477="","",VLOOKUP(B477,RM!$C$4:$G983,14,FALSE)),IFERROR(MIN(IF('S-BOM'!$B$3:$B993=$B477,'S-BOM'!$H$3:$H993,"")),""))</f>
        <v>#NAME?</v>
      </c>
      <c r="F477" s="87" t="str">
        <f t="shared" si="3"/>
        <v/>
      </c>
      <c r="G477" s="87" t="str">
        <f t="shared" si="4"/>
        <v/>
      </c>
      <c r="H477" s="87"/>
      <c r="I477" s="87"/>
      <c r="J477" s="87"/>
    </row>
    <row r="478" spans="1:10">
      <c r="A478" s="2"/>
      <c r="B478" s="2"/>
      <c r="C478" s="120" t="str">
        <f>IF(B478="","",SUMIFS('A-BOM'!$D$3:$D993,'A-BOM'!$C$3:$C993,B478,'A-BOM'!$B$3:$B993,$B$2))</f>
        <v/>
      </c>
      <c r="D478" s="120" t="str">
        <f>IFERROR(IF(B478="","",VLOOKUP(B478,RM!$C$4:$F983,3,FALSE)),"")</f>
        <v/>
      </c>
      <c r="E478" s="118" t="e">
        <f t="array" aca="1" ref="E478" ca="1">_xludf.IFNA(IF(B478="","",VLOOKUP(B478,RM!$C$4:$G983,14,FALSE)),IFERROR(MIN(IF('S-BOM'!$B$3:$B993=$B478,'S-BOM'!$H$3:$H993,"")),""))</f>
        <v>#NAME?</v>
      </c>
      <c r="F478" s="87" t="str">
        <f t="shared" si="3"/>
        <v/>
      </c>
      <c r="G478" s="87" t="str">
        <f t="shared" si="4"/>
        <v/>
      </c>
      <c r="H478" s="87"/>
      <c r="I478" s="87"/>
      <c r="J478" s="87"/>
    </row>
    <row r="479" spans="1:10">
      <c r="A479" s="2"/>
      <c r="B479" s="2"/>
      <c r="C479" s="120" t="str">
        <f>IF(B479="","",SUMIFS('A-BOM'!$D$3:$D993,'A-BOM'!$C$3:$C993,B479,'A-BOM'!$B$3:$B993,$B$2))</f>
        <v/>
      </c>
      <c r="D479" s="120" t="str">
        <f>IFERROR(IF(B479="","",VLOOKUP(B479,RM!$C$4:$F983,3,FALSE)),"")</f>
        <v/>
      </c>
      <c r="E479" s="118" t="e">
        <f t="array" aca="1" ref="E479" ca="1">_xludf.IFNA(IF(B479="","",VLOOKUP(B479,RM!$C$4:$G983,14,FALSE)),IFERROR(MIN(IF('S-BOM'!$B$3:$B993=$B479,'S-BOM'!$H$3:$H993,"")),""))</f>
        <v>#NAME?</v>
      </c>
      <c r="F479" s="87" t="str">
        <f t="shared" si="3"/>
        <v/>
      </c>
      <c r="G479" s="87" t="str">
        <f t="shared" si="4"/>
        <v/>
      </c>
      <c r="H479" s="87"/>
      <c r="I479" s="87"/>
      <c r="J479" s="87"/>
    </row>
    <row r="480" spans="1:10">
      <c r="A480" s="2"/>
      <c r="B480" s="2"/>
      <c r="C480" s="120" t="str">
        <f>IF(B480="","",SUMIFS('A-BOM'!$D$3:$D993,'A-BOM'!$C$3:$C993,B480,'A-BOM'!$B$3:$B993,$B$2))</f>
        <v/>
      </c>
      <c r="D480" s="120" t="str">
        <f>IFERROR(IF(B480="","",VLOOKUP(B480,RM!$C$4:$F983,3,FALSE)),"")</f>
        <v/>
      </c>
      <c r="E480" s="118" t="e">
        <f t="array" aca="1" ref="E480" ca="1">_xludf.IFNA(IF(B480="","",VLOOKUP(B480,RM!$C$4:$G983,14,FALSE)),IFERROR(MIN(IF('S-BOM'!$B$3:$B993=$B480,'S-BOM'!$H$3:$H993,"")),""))</f>
        <v>#NAME?</v>
      </c>
      <c r="F480" s="87" t="str">
        <f t="shared" si="3"/>
        <v/>
      </c>
      <c r="G480" s="87" t="str">
        <f t="shared" si="4"/>
        <v/>
      </c>
      <c r="H480" s="87"/>
      <c r="I480" s="87"/>
      <c r="J480" s="87"/>
    </row>
    <row r="481" spans="1:10">
      <c r="A481" s="2"/>
      <c r="B481" s="2"/>
      <c r="C481" s="120" t="str">
        <f>IF(B481="","",SUMIFS('A-BOM'!$D$3:$D993,'A-BOM'!$C$3:$C993,B481,'A-BOM'!$B$3:$B993,$B$2))</f>
        <v/>
      </c>
      <c r="D481" s="120" t="str">
        <f>IFERROR(IF(B481="","",VLOOKUP(B481,RM!$C$4:$F983,3,FALSE)),"")</f>
        <v/>
      </c>
      <c r="E481" s="118" t="e">
        <f t="array" aca="1" ref="E481" ca="1">_xludf.IFNA(IF(B481="","",VLOOKUP(B481,RM!$C$4:$G983,14,FALSE)),IFERROR(MIN(IF('S-BOM'!$B$3:$B993=$B481,'S-BOM'!$H$3:$H993,"")),""))</f>
        <v>#NAME?</v>
      </c>
      <c r="F481" s="87" t="str">
        <f t="shared" si="3"/>
        <v/>
      </c>
      <c r="G481" s="87" t="str">
        <f t="shared" si="4"/>
        <v/>
      </c>
      <c r="H481" s="87"/>
      <c r="I481" s="87"/>
      <c r="J481" s="87"/>
    </row>
    <row r="482" spans="1:10">
      <c r="A482" s="2"/>
      <c r="B482" s="2"/>
      <c r="C482" s="120" t="str">
        <f>IF(B482="","",SUMIFS('A-BOM'!$D$3:$D993,'A-BOM'!$C$3:$C993,B482,'A-BOM'!$B$3:$B993,$B$2))</f>
        <v/>
      </c>
      <c r="D482" s="120" t="str">
        <f>IFERROR(IF(B482="","",VLOOKUP(B482,RM!$C$4:$F983,3,FALSE)),"")</f>
        <v/>
      </c>
      <c r="E482" s="118" t="e">
        <f t="array" aca="1" ref="E482" ca="1">_xludf.IFNA(IF(B482="","",VLOOKUP(B482,RM!$C$4:$G983,14,FALSE)),IFERROR(MIN(IF('S-BOM'!$B$3:$B993=$B482,'S-BOM'!$H$3:$H993,"")),""))</f>
        <v>#NAME?</v>
      </c>
      <c r="F482" s="87" t="str">
        <f t="shared" si="3"/>
        <v/>
      </c>
      <c r="G482" s="87" t="str">
        <f t="shared" si="4"/>
        <v/>
      </c>
      <c r="H482" s="87"/>
      <c r="I482" s="87"/>
      <c r="J482" s="87"/>
    </row>
    <row r="483" spans="1:10">
      <c r="A483" s="2"/>
      <c r="B483" s="2"/>
      <c r="C483" s="120" t="str">
        <f>IF(B483="","",SUMIFS('A-BOM'!$D$3:$D993,'A-BOM'!$C$3:$C993,B483,'A-BOM'!$B$3:$B993,$B$2))</f>
        <v/>
      </c>
      <c r="D483" s="120" t="str">
        <f>IFERROR(IF(B483="","",VLOOKUP(B483,RM!$C$4:$F983,3,FALSE)),"")</f>
        <v/>
      </c>
      <c r="E483" s="118" t="e">
        <f t="array" aca="1" ref="E483" ca="1">_xludf.IFNA(IF(B483="","",VLOOKUP(B483,RM!$C$4:$G983,14,FALSE)),IFERROR(MIN(IF('S-BOM'!$B$3:$B993=$B483,'S-BOM'!$H$3:$H993,"")),""))</f>
        <v>#NAME?</v>
      </c>
      <c r="F483" s="87" t="str">
        <f t="shared" si="3"/>
        <v/>
      </c>
      <c r="G483" s="87" t="str">
        <f t="shared" si="4"/>
        <v/>
      </c>
      <c r="H483" s="87"/>
      <c r="I483" s="87"/>
      <c r="J483" s="87"/>
    </row>
    <row r="484" spans="1:10">
      <c r="A484" s="2"/>
      <c r="B484" s="2"/>
      <c r="C484" s="120" t="str">
        <f>IF(B484="","",SUMIFS('A-BOM'!$D$3:$D993,'A-BOM'!$C$3:$C993,B484,'A-BOM'!$B$3:$B993,$B$2))</f>
        <v/>
      </c>
      <c r="D484" s="120" t="str">
        <f>IFERROR(IF(B484="","",VLOOKUP(B484,RM!$C$4:$F983,3,FALSE)),"")</f>
        <v/>
      </c>
      <c r="E484" s="118" t="e">
        <f t="array" aca="1" ref="E484" ca="1">_xludf.IFNA(IF(B484="","",VLOOKUP(B484,RM!$C$4:$G983,14,FALSE)),IFERROR(MIN(IF('S-BOM'!$B$3:$B993=$B484,'S-BOM'!$H$3:$H993,"")),""))</f>
        <v>#NAME?</v>
      </c>
      <c r="F484" s="87" t="str">
        <f t="shared" si="3"/>
        <v/>
      </c>
      <c r="G484" s="87" t="str">
        <f t="shared" si="4"/>
        <v/>
      </c>
      <c r="H484" s="87"/>
      <c r="I484" s="87"/>
      <c r="J484" s="87"/>
    </row>
    <row r="485" spans="1:10">
      <c r="A485" s="2"/>
      <c r="B485" s="2"/>
      <c r="C485" s="120" t="str">
        <f>IF(B485="","",SUMIFS('A-BOM'!$D$3:$D993,'A-BOM'!$C$3:$C993,B485,'A-BOM'!$B$3:$B993,$B$2))</f>
        <v/>
      </c>
      <c r="D485" s="120" t="str">
        <f>IFERROR(IF(B485="","",VLOOKUP(B485,RM!$C$4:$F983,3,FALSE)),"")</f>
        <v/>
      </c>
      <c r="E485" s="118" t="e">
        <f t="array" aca="1" ref="E485" ca="1">_xludf.IFNA(IF(B485="","",VLOOKUP(B485,RM!$C$4:$G983,14,FALSE)),IFERROR(MIN(IF('S-BOM'!$B$3:$B993=$B485,'S-BOM'!$H$3:$H993,"")),""))</f>
        <v>#NAME?</v>
      </c>
      <c r="F485" s="87" t="str">
        <f t="shared" si="3"/>
        <v/>
      </c>
      <c r="G485" s="87" t="str">
        <f t="shared" si="4"/>
        <v/>
      </c>
      <c r="H485" s="87"/>
      <c r="I485" s="87"/>
      <c r="J485" s="87"/>
    </row>
    <row r="486" spans="1:10">
      <c r="A486" s="2"/>
      <c r="B486" s="2"/>
      <c r="C486" s="120" t="str">
        <f>IF(B486="","",SUMIFS('A-BOM'!$D$3:$D993,'A-BOM'!$C$3:$C993,B486,'A-BOM'!$B$3:$B993,$B$2))</f>
        <v/>
      </c>
      <c r="D486" s="120" t="str">
        <f>IFERROR(IF(B486="","",VLOOKUP(B486,RM!$C$4:$F983,3,FALSE)),"")</f>
        <v/>
      </c>
      <c r="E486" s="118" t="e">
        <f t="array" aca="1" ref="E486" ca="1">_xludf.IFNA(IF(B486="","",VLOOKUP(B486,RM!$C$4:$G983,14,FALSE)),IFERROR(MIN(IF('S-BOM'!$B$3:$B993=$B486,'S-BOM'!$H$3:$H993,"")),""))</f>
        <v>#NAME?</v>
      </c>
      <c r="F486" s="87" t="str">
        <f t="shared" si="3"/>
        <v/>
      </c>
      <c r="G486" s="87" t="str">
        <f t="shared" si="4"/>
        <v/>
      </c>
      <c r="H486" s="87"/>
      <c r="I486" s="87"/>
      <c r="J486" s="87"/>
    </row>
    <row r="487" spans="1:10">
      <c r="A487" s="2"/>
      <c r="B487" s="2"/>
      <c r="C487" s="120" t="str">
        <f>IF(B487="","",SUMIFS('A-BOM'!$D$3:$D993,'A-BOM'!$C$3:$C993,B487,'A-BOM'!$B$3:$B993,$B$2))</f>
        <v/>
      </c>
      <c r="D487" s="120" t="str">
        <f>IFERROR(IF(B487="","",VLOOKUP(B487,RM!$C$4:$F983,3,FALSE)),"")</f>
        <v/>
      </c>
      <c r="E487" s="118" t="e">
        <f t="array" aca="1" ref="E487" ca="1">_xludf.IFNA(IF(B487="","",VLOOKUP(B487,RM!$C$4:$G983,14,FALSE)),IFERROR(MIN(IF('S-BOM'!$B$3:$B993=$B487,'S-BOM'!$H$3:$H993,"")),""))</f>
        <v>#NAME?</v>
      </c>
      <c r="F487" s="87" t="str">
        <f t="shared" si="3"/>
        <v/>
      </c>
      <c r="G487" s="87" t="str">
        <f t="shared" si="4"/>
        <v/>
      </c>
      <c r="H487" s="87"/>
      <c r="I487" s="87"/>
      <c r="J487" s="87"/>
    </row>
    <row r="488" spans="1:10">
      <c r="A488" s="2"/>
      <c r="B488" s="2"/>
      <c r="C488" s="120" t="str">
        <f>IF(B488="","",SUMIFS('A-BOM'!$D$3:$D993,'A-BOM'!$C$3:$C993,B488,'A-BOM'!$B$3:$B993,$B$2))</f>
        <v/>
      </c>
      <c r="D488" s="120" t="str">
        <f>IFERROR(IF(B488="","",VLOOKUP(B488,RM!$C$4:$F983,3,FALSE)),"")</f>
        <v/>
      </c>
      <c r="E488" s="118" t="e">
        <f t="array" aca="1" ref="E488" ca="1">_xludf.IFNA(IF(B488="","",VLOOKUP(B488,RM!$C$4:$G983,14,FALSE)),IFERROR(MIN(IF('S-BOM'!$B$3:$B993=$B488,'S-BOM'!$H$3:$H993,"")),""))</f>
        <v>#NAME?</v>
      </c>
      <c r="F488" s="87" t="str">
        <f t="shared" si="3"/>
        <v/>
      </c>
      <c r="G488" s="87" t="str">
        <f t="shared" si="4"/>
        <v/>
      </c>
      <c r="H488" s="87"/>
      <c r="I488" s="87"/>
      <c r="J488" s="87"/>
    </row>
    <row r="489" spans="1:10">
      <c r="A489" s="2"/>
      <c r="B489" s="2"/>
      <c r="C489" s="120" t="str">
        <f>IF(B489="","",SUMIFS('A-BOM'!$D$3:$D993,'A-BOM'!$C$3:$C993,B489,'A-BOM'!$B$3:$B993,$B$2))</f>
        <v/>
      </c>
      <c r="D489" s="120" t="str">
        <f>IFERROR(IF(B489="","",VLOOKUP(B489,RM!$C$4:$F983,3,FALSE)),"")</f>
        <v/>
      </c>
      <c r="E489" s="118" t="e">
        <f t="array" aca="1" ref="E489" ca="1">_xludf.IFNA(IF(B489="","",VLOOKUP(B489,RM!$C$4:$G983,14,FALSE)),IFERROR(MIN(IF('S-BOM'!$B$3:$B993=$B489,'S-BOM'!$H$3:$H993,"")),""))</f>
        <v>#NAME?</v>
      </c>
      <c r="F489" s="87" t="str">
        <f t="shared" si="3"/>
        <v/>
      </c>
      <c r="G489" s="87" t="str">
        <f t="shared" si="4"/>
        <v/>
      </c>
      <c r="H489" s="87"/>
      <c r="I489" s="87"/>
      <c r="J489" s="87"/>
    </row>
    <row r="490" spans="1:10">
      <c r="A490" s="2"/>
      <c r="B490" s="2"/>
      <c r="C490" s="120" t="str">
        <f>IF(B490="","",SUMIFS('A-BOM'!$D$3:$D993,'A-BOM'!$C$3:$C993,B490,'A-BOM'!$B$3:$B993,$B$2))</f>
        <v/>
      </c>
      <c r="D490" s="120" t="str">
        <f>IFERROR(IF(B490="","",VLOOKUP(B490,RM!$C$4:$F983,3,FALSE)),"")</f>
        <v/>
      </c>
      <c r="E490" s="118" t="e">
        <f t="array" aca="1" ref="E490" ca="1">_xludf.IFNA(IF(B490="","",VLOOKUP(B490,RM!$C$4:$G983,14,FALSE)),IFERROR(MIN(IF('S-BOM'!$B$3:$B993=$B490,'S-BOM'!$H$3:$H993,"")),""))</f>
        <v>#NAME?</v>
      </c>
      <c r="F490" s="87" t="str">
        <f t="shared" si="3"/>
        <v/>
      </c>
      <c r="G490" s="87" t="str">
        <f t="shared" si="4"/>
        <v/>
      </c>
      <c r="H490" s="87"/>
      <c r="I490" s="87"/>
      <c r="J490" s="87"/>
    </row>
    <row r="491" spans="1:10">
      <c r="A491" s="2"/>
      <c r="B491" s="2"/>
      <c r="C491" s="120" t="str">
        <f>IF(B491="","",SUMIFS('A-BOM'!$D$3:$D993,'A-BOM'!$C$3:$C993,B491,'A-BOM'!$B$3:$B993,$B$2))</f>
        <v/>
      </c>
      <c r="D491" s="120" t="str">
        <f>IFERROR(IF(B491="","",VLOOKUP(B491,RM!$C$4:$F983,3,FALSE)),"")</f>
        <v/>
      </c>
      <c r="E491" s="118" t="e">
        <f t="array" aca="1" ref="E491" ca="1">_xludf.IFNA(IF(B491="","",VLOOKUP(B491,RM!$C$4:$G983,14,FALSE)),IFERROR(MIN(IF('S-BOM'!$B$3:$B993=$B491,'S-BOM'!$H$3:$H993,"")),""))</f>
        <v>#NAME?</v>
      </c>
      <c r="F491" s="87" t="str">
        <f t="shared" si="3"/>
        <v/>
      </c>
      <c r="G491" s="87" t="str">
        <f t="shared" si="4"/>
        <v/>
      </c>
      <c r="H491" s="87"/>
      <c r="I491" s="87"/>
      <c r="J491" s="87"/>
    </row>
    <row r="492" spans="1:10">
      <c r="A492" s="2"/>
      <c r="B492" s="2"/>
      <c r="C492" s="120" t="str">
        <f>IF(B492="","",SUMIFS('A-BOM'!$D$3:$D993,'A-BOM'!$C$3:$C993,B492,'A-BOM'!$B$3:$B993,$B$2))</f>
        <v/>
      </c>
      <c r="D492" s="120" t="str">
        <f>IFERROR(IF(B492="","",VLOOKUP(B492,RM!$C$4:$F983,3,FALSE)),"")</f>
        <v/>
      </c>
      <c r="E492" s="118" t="e">
        <f t="array" aca="1" ref="E492" ca="1">_xludf.IFNA(IF(B492="","",VLOOKUP(B492,RM!$C$4:$G983,14,FALSE)),IFERROR(MIN(IF('S-BOM'!$B$3:$B993=$B492,'S-BOM'!$H$3:$H993,"")),""))</f>
        <v>#NAME?</v>
      </c>
      <c r="F492" s="87" t="str">
        <f t="shared" si="3"/>
        <v/>
      </c>
      <c r="G492" s="87" t="str">
        <f t="shared" si="4"/>
        <v/>
      </c>
      <c r="H492" s="87"/>
      <c r="I492" s="87"/>
      <c r="J492" s="87"/>
    </row>
    <row r="493" spans="1:10">
      <c r="A493" s="2"/>
      <c r="B493" s="2"/>
      <c r="C493" s="120" t="str">
        <f>IF(B493="","",SUMIFS('A-BOM'!$D$3:$D993,'A-BOM'!$C$3:$C993,B493,'A-BOM'!$B$3:$B993,$B$2))</f>
        <v/>
      </c>
      <c r="D493" s="120" t="str">
        <f>IFERROR(IF(B493="","",VLOOKUP(B493,RM!$C$4:$F983,3,FALSE)),"")</f>
        <v/>
      </c>
      <c r="E493" s="118" t="e">
        <f t="array" aca="1" ref="E493" ca="1">_xludf.IFNA(IF(B493="","",VLOOKUP(B493,RM!$C$4:$G983,14,FALSE)),IFERROR(MIN(IF('S-BOM'!$B$3:$B993=$B493,'S-BOM'!$H$3:$H993,"")),""))</f>
        <v>#NAME?</v>
      </c>
      <c r="F493" s="87" t="str">
        <f t="shared" si="3"/>
        <v/>
      </c>
      <c r="G493" s="87" t="str">
        <f t="shared" si="4"/>
        <v/>
      </c>
      <c r="H493" s="87"/>
      <c r="I493" s="87"/>
      <c r="J493" s="87"/>
    </row>
    <row r="494" spans="1:10">
      <c r="A494" s="2"/>
      <c r="B494" s="2"/>
      <c r="C494" s="120" t="str">
        <f>IF(B494="","",SUMIFS('A-BOM'!$D$3:$D993,'A-BOM'!$C$3:$C993,B494,'A-BOM'!$B$3:$B993,$B$2))</f>
        <v/>
      </c>
      <c r="D494" s="120" t="str">
        <f>IFERROR(IF(B494="","",VLOOKUP(B494,RM!$C$4:$F983,3,FALSE)),"")</f>
        <v/>
      </c>
      <c r="E494" s="118" t="e">
        <f t="array" aca="1" ref="E494" ca="1">_xludf.IFNA(IF(B494="","",VLOOKUP(B494,RM!$C$4:$G983,14,FALSE)),IFERROR(MIN(IF('S-BOM'!$B$3:$B993=$B494,'S-BOM'!$H$3:$H993,"")),""))</f>
        <v>#NAME?</v>
      </c>
      <c r="F494" s="87" t="str">
        <f t="shared" si="3"/>
        <v/>
      </c>
      <c r="G494" s="87" t="str">
        <f t="shared" si="4"/>
        <v/>
      </c>
      <c r="H494" s="87"/>
      <c r="I494" s="87"/>
      <c r="J494" s="87"/>
    </row>
    <row r="495" spans="1:10">
      <c r="A495" s="2"/>
      <c r="B495" s="2"/>
      <c r="C495" s="120" t="str">
        <f>IF(B495="","",SUMIFS('A-BOM'!$D$3:$D993,'A-BOM'!$C$3:$C993,B495,'A-BOM'!$B$3:$B993,$B$2))</f>
        <v/>
      </c>
      <c r="D495" s="120" t="str">
        <f>IFERROR(IF(B495="","",VLOOKUP(B495,RM!$C$4:$F983,3,FALSE)),"")</f>
        <v/>
      </c>
      <c r="E495" s="118" t="e">
        <f t="array" aca="1" ref="E495" ca="1">_xludf.IFNA(IF(B495="","",VLOOKUP(B495,RM!$C$4:$G983,14,FALSE)),IFERROR(MIN(IF('S-BOM'!$B$3:$B993=$B495,'S-BOM'!$H$3:$H993,"")),""))</f>
        <v>#NAME?</v>
      </c>
      <c r="F495" s="87" t="str">
        <f t="shared" si="3"/>
        <v/>
      </c>
      <c r="G495" s="87" t="str">
        <f t="shared" si="4"/>
        <v/>
      </c>
      <c r="H495" s="87"/>
      <c r="I495" s="87"/>
      <c r="J495" s="87"/>
    </row>
    <row r="496" spans="1:10">
      <c r="A496" s="2"/>
      <c r="B496" s="2"/>
      <c r="C496" s="120" t="str">
        <f>IF(B496="","",SUMIFS('A-BOM'!$D$3:$D993,'A-BOM'!$C$3:$C993,B496,'A-BOM'!$B$3:$B993,$B$2))</f>
        <v/>
      </c>
      <c r="D496" s="120" t="str">
        <f>IFERROR(IF(B496="","",VLOOKUP(B496,RM!$C$4:$F983,3,FALSE)),"")</f>
        <v/>
      </c>
      <c r="E496" s="118" t="e">
        <f t="array" aca="1" ref="E496" ca="1">_xludf.IFNA(IF(B496="","",VLOOKUP(B496,RM!$C$4:$G983,14,FALSE)),IFERROR(MIN(IF('S-BOM'!$B$3:$B993=$B496,'S-BOM'!$H$3:$H993,"")),""))</f>
        <v>#NAME?</v>
      </c>
      <c r="F496" s="87" t="str">
        <f t="shared" si="3"/>
        <v/>
      </c>
      <c r="G496" s="87" t="str">
        <f t="shared" si="4"/>
        <v/>
      </c>
      <c r="H496" s="87"/>
      <c r="I496" s="87"/>
      <c r="J496" s="87"/>
    </row>
    <row r="497" spans="1:10">
      <c r="A497" s="2"/>
      <c r="B497" s="2"/>
      <c r="C497" s="120" t="str">
        <f>IF(B497="","",SUMIFS('A-BOM'!$D$3:$D993,'A-BOM'!$C$3:$C993,B497,'A-BOM'!$B$3:$B993,$B$2))</f>
        <v/>
      </c>
      <c r="D497" s="120" t="str">
        <f>IFERROR(IF(B497="","",VLOOKUP(B497,RM!$C$4:$F983,3,FALSE)),"")</f>
        <v/>
      </c>
      <c r="E497" s="118" t="e">
        <f t="array" aca="1" ref="E497" ca="1">_xludf.IFNA(IF(B497="","",VLOOKUP(B497,RM!$C$4:$G983,14,FALSE)),IFERROR(MIN(IF('S-BOM'!$B$3:$B993=$B497,'S-BOM'!$H$3:$H993,"")),""))</f>
        <v>#NAME?</v>
      </c>
      <c r="F497" s="87" t="str">
        <f t="shared" si="3"/>
        <v/>
      </c>
      <c r="G497" s="87" t="str">
        <f t="shared" si="4"/>
        <v/>
      </c>
      <c r="H497" s="87"/>
      <c r="I497" s="87"/>
      <c r="J497" s="87"/>
    </row>
    <row r="498" spans="1:10">
      <c r="A498" s="2"/>
      <c r="B498" s="2"/>
      <c r="C498" s="120" t="str">
        <f>IF(B498="","",SUMIFS('A-BOM'!$D$3:$D993,'A-BOM'!$C$3:$C993,B498,'A-BOM'!$B$3:$B993,$B$2))</f>
        <v/>
      </c>
      <c r="D498" s="120" t="str">
        <f>IFERROR(IF(B498="","",VLOOKUP(B498,RM!$C$4:$F983,3,FALSE)),"")</f>
        <v/>
      </c>
      <c r="E498" s="118" t="e">
        <f t="array" aca="1" ref="E498" ca="1">_xludf.IFNA(IF(B498="","",VLOOKUP(B498,RM!$C$4:$G983,14,FALSE)),IFERROR(MIN(IF('S-BOM'!$B$3:$B993=$B498,'S-BOM'!$H$3:$H993,"")),""))</f>
        <v>#NAME?</v>
      </c>
      <c r="F498" s="87" t="str">
        <f t="shared" si="3"/>
        <v/>
      </c>
      <c r="G498" s="87" t="str">
        <f t="shared" si="4"/>
        <v/>
      </c>
      <c r="H498" s="87"/>
      <c r="I498" s="87"/>
      <c r="J498" s="87"/>
    </row>
    <row r="499" spans="1:10">
      <c r="A499" s="2"/>
      <c r="B499" s="2"/>
      <c r="C499" s="120" t="str">
        <f>IF(B499="","",SUMIFS('A-BOM'!$D$3:$D993,'A-BOM'!$C$3:$C993,B499,'A-BOM'!$B$3:$B993,$B$2))</f>
        <v/>
      </c>
      <c r="D499" s="120" t="str">
        <f>IFERROR(IF(B499="","",VLOOKUP(B499,RM!$C$4:$F983,3,FALSE)),"")</f>
        <v/>
      </c>
      <c r="E499" s="118" t="e">
        <f t="array" aca="1" ref="E499" ca="1">_xludf.IFNA(IF(B499="","",VLOOKUP(B499,RM!$C$4:$G983,14,FALSE)),IFERROR(MIN(IF('S-BOM'!$B$3:$B993=$B499,'S-BOM'!$H$3:$H993,"")),""))</f>
        <v>#NAME?</v>
      </c>
      <c r="F499" s="87" t="str">
        <f t="shared" si="3"/>
        <v/>
      </c>
      <c r="G499" s="87" t="str">
        <f t="shared" si="4"/>
        <v/>
      </c>
      <c r="H499" s="87"/>
      <c r="I499" s="87"/>
      <c r="J499" s="87"/>
    </row>
    <row r="500" spans="1:10">
      <c r="A500" s="2"/>
      <c r="B500" s="2"/>
      <c r="C500" s="120" t="str">
        <f>IF(B500="","",SUMIFS('A-BOM'!$D$3:$D993,'A-BOM'!$C$3:$C993,B500,'A-BOM'!$B$3:$B993,$B$2))</f>
        <v/>
      </c>
      <c r="D500" s="120" t="str">
        <f>IFERROR(IF(B500="","",VLOOKUP(B500,RM!$C$4:$F983,3,FALSE)),"")</f>
        <v/>
      </c>
      <c r="E500" s="118" t="e">
        <f t="array" aca="1" ref="E500" ca="1">_xludf.IFNA(IF(B500="","",VLOOKUP(B500,RM!$C$4:$G983,14,FALSE)),IFERROR(MIN(IF('S-BOM'!$B$3:$B993=$B500,'S-BOM'!$H$3:$H993,"")),""))</f>
        <v>#NAME?</v>
      </c>
      <c r="F500" s="87" t="str">
        <f t="shared" si="3"/>
        <v/>
      </c>
      <c r="G500" s="87" t="str">
        <f t="shared" si="4"/>
        <v/>
      </c>
      <c r="H500" s="87"/>
      <c r="I500" s="87"/>
      <c r="J500" s="87"/>
    </row>
    <row r="501" spans="1:10">
      <c r="A501" s="2"/>
      <c r="B501" s="2"/>
      <c r="C501" s="120" t="str">
        <f>IF(B501="","",SUMIFS('A-BOM'!$D$3:$D993,'A-BOM'!$C$3:$C993,B501,'A-BOM'!$B$3:$B993,$B$2))</f>
        <v/>
      </c>
      <c r="D501" s="120" t="str">
        <f>IFERROR(IF(B501="","",VLOOKUP(B501,RM!$C$4:$F983,3,FALSE)),"")</f>
        <v/>
      </c>
      <c r="E501" s="118" t="e">
        <f t="array" aca="1" ref="E501" ca="1">_xludf.IFNA(IF(B501="","",VLOOKUP(B501,RM!$C$4:$G983,14,FALSE)),IFERROR(MIN(IF('S-BOM'!$B$3:$B993=$B501,'S-BOM'!$H$3:$H993,"")),""))</f>
        <v>#NAME?</v>
      </c>
      <c r="F501" s="87" t="str">
        <f t="shared" si="3"/>
        <v/>
      </c>
      <c r="G501" s="87" t="str">
        <f t="shared" si="4"/>
        <v/>
      </c>
      <c r="H501" s="87"/>
      <c r="I501" s="87"/>
      <c r="J501" s="87"/>
    </row>
    <row r="502" spans="1:10">
      <c r="A502" s="2"/>
      <c r="B502" s="2"/>
      <c r="C502" s="120" t="str">
        <f>IF(B502="","",SUMIFS('A-BOM'!$D$3:$D993,'A-BOM'!$C$3:$C993,B502,'A-BOM'!$B$3:$B993,$B$2))</f>
        <v/>
      </c>
      <c r="D502" s="120" t="str">
        <f>IFERROR(IF(B502="","",VLOOKUP(B502,RM!$C$4:$F983,3,FALSE)),"")</f>
        <v/>
      </c>
      <c r="E502" s="118" t="e">
        <f t="array" aca="1" ref="E502" ca="1">_xludf.IFNA(IF(B502="","",VLOOKUP(B502,RM!$C$4:$G983,14,FALSE)),IFERROR(MIN(IF('S-BOM'!$B$3:$B993=$B502,'S-BOM'!$H$3:$H993,"")),""))</f>
        <v>#NAME?</v>
      </c>
      <c r="F502" s="87" t="str">
        <f t="shared" si="3"/>
        <v/>
      </c>
      <c r="G502" s="87" t="str">
        <f t="shared" si="4"/>
        <v/>
      </c>
      <c r="H502" s="87"/>
      <c r="I502" s="87"/>
      <c r="J502" s="87"/>
    </row>
    <row r="503" spans="1:10">
      <c r="A503" s="2"/>
      <c r="B503" s="2"/>
      <c r="C503" s="120" t="str">
        <f>IF(B503="","",SUMIFS('A-BOM'!$D$3:$D993,'A-BOM'!$C$3:$C993,B503,'A-BOM'!$B$3:$B993,$B$2))</f>
        <v/>
      </c>
      <c r="D503" s="120" t="str">
        <f>IFERROR(IF(B503="","",VLOOKUP(B503,RM!$C$4:$F983,3,FALSE)),"")</f>
        <v/>
      </c>
      <c r="E503" s="118" t="e">
        <f t="array" aca="1" ref="E503" ca="1">_xludf.IFNA(IF(B503="","",VLOOKUP(B503,RM!$C$4:$G983,14,FALSE)),IFERROR(MIN(IF('S-BOM'!$B$3:$B993=$B503,'S-BOM'!$H$3:$H993,"")),""))</f>
        <v>#NAME?</v>
      </c>
      <c r="F503" s="87" t="str">
        <f t="shared" si="3"/>
        <v/>
      </c>
      <c r="G503" s="87" t="str">
        <f t="shared" si="4"/>
        <v/>
      </c>
      <c r="H503" s="87"/>
      <c r="I503" s="87"/>
      <c r="J503" s="87"/>
    </row>
    <row r="504" spans="1:10">
      <c r="A504" s="2"/>
      <c r="B504" s="2"/>
      <c r="C504" s="120" t="str">
        <f>IF(B504="","",SUMIFS('A-BOM'!$D$3:$D993,'A-BOM'!$C$3:$C993,B504,'A-BOM'!$B$3:$B993,$B$2))</f>
        <v/>
      </c>
      <c r="D504" s="120" t="str">
        <f>IFERROR(IF(B504="","",VLOOKUP(B504,RM!$C$4:$F983,3,FALSE)),"")</f>
        <v/>
      </c>
      <c r="E504" s="118" t="e">
        <f t="array" aca="1" ref="E504" ca="1">_xludf.IFNA(IF(B504="","",VLOOKUP(B504,RM!$C$4:$G983,14,FALSE)),IFERROR(MIN(IF('S-BOM'!$B$3:$B993=$B504,'S-BOM'!$H$3:$H993,"")),""))</f>
        <v>#NAME?</v>
      </c>
      <c r="F504" s="87" t="str">
        <f t="shared" si="3"/>
        <v/>
      </c>
      <c r="G504" s="87" t="str">
        <f t="shared" si="4"/>
        <v/>
      </c>
      <c r="H504" s="87"/>
      <c r="I504" s="87"/>
      <c r="J504" s="87"/>
    </row>
    <row r="505" spans="1:10">
      <c r="A505" s="2"/>
      <c r="B505" s="2"/>
      <c r="C505" s="120" t="str">
        <f>IF(B505="","",SUMIFS('A-BOM'!$D$3:$D993,'A-BOM'!$C$3:$C993,B505,'A-BOM'!$B$3:$B993,$B$2))</f>
        <v/>
      </c>
      <c r="D505" s="120" t="str">
        <f>IFERROR(IF(B505="","",VLOOKUP(B505,RM!$C$4:$F983,3,FALSE)),"")</f>
        <v/>
      </c>
      <c r="E505" s="118" t="e">
        <f t="array" aca="1" ref="E505" ca="1">_xludf.IFNA(IF(B505="","",VLOOKUP(B505,RM!$C$4:$G983,14,FALSE)),IFERROR(MIN(IF('S-BOM'!$B$3:$B993=$B505,'S-BOM'!$H$3:$H993,"")),""))</f>
        <v>#NAME?</v>
      </c>
      <c r="F505" s="87" t="str">
        <f t="shared" si="3"/>
        <v/>
      </c>
      <c r="G505" s="87" t="str">
        <f t="shared" si="4"/>
        <v/>
      </c>
      <c r="H505" s="87"/>
      <c r="I505" s="87"/>
      <c r="J505" s="87"/>
    </row>
    <row r="506" spans="1:10">
      <c r="A506" s="2"/>
      <c r="B506" s="2"/>
      <c r="C506" s="120" t="str">
        <f>IF(B506="","",SUMIFS('A-BOM'!$D$3:$D993,'A-BOM'!$C$3:$C993,B506,'A-BOM'!$B$3:$B993,$B$2))</f>
        <v/>
      </c>
      <c r="D506" s="120" t="str">
        <f>IFERROR(IF(B506="","",VLOOKUP(B506,RM!$C$4:$F983,3,FALSE)),"")</f>
        <v/>
      </c>
      <c r="E506" s="118" t="e">
        <f t="array" aca="1" ref="E506" ca="1">_xludf.IFNA(IF(B506="","",VLOOKUP(B506,RM!$C$4:$G983,14,FALSE)),IFERROR(MIN(IF('S-BOM'!$B$3:$B993=$B506,'S-BOM'!$H$3:$H993,"")),""))</f>
        <v>#NAME?</v>
      </c>
      <c r="F506" s="87" t="str">
        <f t="shared" si="3"/>
        <v/>
      </c>
      <c r="G506" s="87" t="str">
        <f t="shared" si="4"/>
        <v/>
      </c>
      <c r="H506" s="87"/>
      <c r="I506" s="87"/>
      <c r="J506" s="87"/>
    </row>
    <row r="507" spans="1:10">
      <c r="A507" s="2"/>
      <c r="B507" s="2"/>
      <c r="C507" s="120" t="str">
        <f>IF(B507="","",SUMIFS('A-BOM'!$D$3:$D993,'A-BOM'!$C$3:$C993,B507,'A-BOM'!$B$3:$B993,$B$2))</f>
        <v/>
      </c>
      <c r="D507" s="120" t="str">
        <f>IFERROR(IF(B507="","",VLOOKUP(B507,RM!$C$4:$F983,3,FALSE)),"")</f>
        <v/>
      </c>
      <c r="E507" s="118" t="e">
        <f t="array" aca="1" ref="E507" ca="1">_xludf.IFNA(IF(B507="","",VLOOKUP(B507,RM!$C$4:$G983,14,FALSE)),IFERROR(MIN(IF('S-BOM'!$B$3:$B993=$B507,'S-BOM'!$H$3:$H993,"")),""))</f>
        <v>#NAME?</v>
      </c>
      <c r="F507" s="87" t="str">
        <f t="shared" si="3"/>
        <v/>
      </c>
      <c r="G507" s="87" t="str">
        <f t="shared" si="4"/>
        <v/>
      </c>
      <c r="H507" s="87"/>
      <c r="I507" s="87"/>
      <c r="J507" s="87"/>
    </row>
    <row r="508" spans="1:10">
      <c r="A508" s="2"/>
      <c r="B508" s="2"/>
      <c r="C508" s="120" t="str">
        <f>IF(B508="","",SUMIFS('A-BOM'!$D$3:$D993,'A-BOM'!$C$3:$C993,B508,'A-BOM'!$B$3:$B993,$B$2))</f>
        <v/>
      </c>
      <c r="D508" s="120" t="str">
        <f>IFERROR(IF(B508="","",VLOOKUP(B508,RM!$C$4:$F983,3,FALSE)),"")</f>
        <v/>
      </c>
      <c r="E508" s="118" t="e">
        <f t="array" aca="1" ref="E508" ca="1">_xludf.IFNA(IF(B508="","",VLOOKUP(B508,RM!$C$4:$G983,14,FALSE)),IFERROR(MIN(IF('S-BOM'!$B$3:$B993=$B508,'S-BOM'!$H$3:$H993,"")),""))</f>
        <v>#NAME?</v>
      </c>
      <c r="F508" s="87" t="str">
        <f t="shared" si="3"/>
        <v/>
      </c>
      <c r="G508" s="87" t="str">
        <f t="shared" si="4"/>
        <v/>
      </c>
      <c r="H508" s="87"/>
      <c r="I508" s="87"/>
      <c r="J508" s="87"/>
    </row>
    <row r="509" spans="1:10">
      <c r="A509" s="2"/>
      <c r="B509" s="2"/>
      <c r="C509" s="120" t="str">
        <f>IF(B509="","",SUMIFS('A-BOM'!$D$3:$D993,'A-BOM'!$C$3:$C993,B509,'A-BOM'!$B$3:$B993,$B$2))</f>
        <v/>
      </c>
      <c r="D509" s="120" t="str">
        <f>IFERROR(IF(B509="","",VLOOKUP(B509,RM!$C$4:$F983,3,FALSE)),"")</f>
        <v/>
      </c>
      <c r="E509" s="118" t="e">
        <f t="array" aca="1" ref="E509" ca="1">_xludf.IFNA(IF(B509="","",VLOOKUP(B509,RM!$C$4:$G983,14,FALSE)),IFERROR(MIN(IF('S-BOM'!$B$3:$B993=$B509,'S-BOM'!$H$3:$H993,"")),""))</f>
        <v>#NAME?</v>
      </c>
      <c r="F509" s="87" t="str">
        <f t="shared" si="3"/>
        <v/>
      </c>
      <c r="G509" s="87" t="str">
        <f t="shared" si="4"/>
        <v/>
      </c>
      <c r="H509" s="87"/>
      <c r="I509" s="87"/>
      <c r="J509" s="87"/>
    </row>
    <row r="510" spans="1:10">
      <c r="A510" s="2"/>
      <c r="B510" s="2"/>
      <c r="C510" s="120" t="str">
        <f>IF(B510="","",SUMIFS('A-BOM'!$D$3:$D993,'A-BOM'!$C$3:$C993,B510,'A-BOM'!$B$3:$B993,$B$2))</f>
        <v/>
      </c>
      <c r="D510" s="120" t="str">
        <f>IFERROR(IF(B510="","",VLOOKUP(B510,RM!$C$4:$F983,3,FALSE)),"")</f>
        <v/>
      </c>
      <c r="E510" s="118" t="e">
        <f t="array" aca="1" ref="E510" ca="1">_xludf.IFNA(IF(B510="","",VLOOKUP(B510,RM!$C$4:$G983,14,FALSE)),IFERROR(MIN(IF('S-BOM'!$B$3:$B993=$B510,'S-BOM'!$H$3:$H993,"")),""))</f>
        <v>#NAME?</v>
      </c>
      <c r="F510" s="87" t="str">
        <f t="shared" si="3"/>
        <v/>
      </c>
      <c r="G510" s="87" t="str">
        <f t="shared" si="4"/>
        <v/>
      </c>
      <c r="H510" s="87"/>
      <c r="I510" s="87"/>
      <c r="J510" s="87"/>
    </row>
    <row r="511" spans="1:10">
      <c r="A511" s="2"/>
      <c r="B511" s="2"/>
      <c r="C511" s="120" t="str">
        <f>IF(B511="","",SUMIFS('A-BOM'!$D$3:$D993,'A-BOM'!$C$3:$C993,B511,'A-BOM'!$B$3:$B993,$B$2))</f>
        <v/>
      </c>
      <c r="D511" s="120" t="str">
        <f>IFERROR(IF(B511="","",VLOOKUP(B511,RM!$C$4:$F983,3,FALSE)),"")</f>
        <v/>
      </c>
      <c r="E511" s="118" t="e">
        <f t="array" aca="1" ref="E511" ca="1">_xludf.IFNA(IF(B511="","",VLOOKUP(B511,RM!$C$4:$G983,14,FALSE)),IFERROR(MIN(IF('S-BOM'!$B$3:$B993=$B511,'S-BOM'!$H$3:$H993,"")),""))</f>
        <v>#NAME?</v>
      </c>
      <c r="F511" s="87" t="str">
        <f t="shared" si="3"/>
        <v/>
      </c>
      <c r="G511" s="87" t="str">
        <f t="shared" si="4"/>
        <v/>
      </c>
      <c r="H511" s="87"/>
      <c r="I511" s="87"/>
      <c r="J511" s="87"/>
    </row>
    <row r="512" spans="1:10">
      <c r="A512" s="2"/>
      <c r="B512" s="2"/>
      <c r="C512" s="120" t="str">
        <f>IF(B512="","",SUMIFS('A-BOM'!$D$3:$D993,'A-BOM'!$C$3:$C993,B512,'A-BOM'!$B$3:$B993,$B$2))</f>
        <v/>
      </c>
      <c r="D512" s="120" t="str">
        <f>IFERROR(IF(B512="","",VLOOKUP(B512,RM!$C$4:$F983,3,FALSE)),"")</f>
        <v/>
      </c>
      <c r="E512" s="118" t="e">
        <f t="array" aca="1" ref="E512" ca="1">_xludf.IFNA(IF(B512="","",VLOOKUP(B512,RM!$C$4:$G983,14,FALSE)),IFERROR(MIN(IF('S-BOM'!$B$3:$B993=$B512,'S-BOM'!$H$3:$H993,"")),""))</f>
        <v>#NAME?</v>
      </c>
      <c r="F512" s="87" t="str">
        <f t="shared" si="3"/>
        <v/>
      </c>
      <c r="G512" s="87" t="str">
        <f t="shared" si="4"/>
        <v/>
      </c>
      <c r="H512" s="87"/>
      <c r="I512" s="87"/>
      <c r="J512" s="87"/>
    </row>
    <row r="513" spans="1:10">
      <c r="A513" s="2"/>
      <c r="B513" s="2"/>
      <c r="C513" s="120" t="str">
        <f>IF(B513="","",SUMIFS('A-BOM'!$D$3:$D993,'A-BOM'!$C$3:$C993,B513,'A-BOM'!$B$3:$B993,$B$2))</f>
        <v/>
      </c>
      <c r="D513" s="120" t="str">
        <f>IFERROR(IF(B513="","",VLOOKUP(B513,RM!$C$4:$F983,3,FALSE)),"")</f>
        <v/>
      </c>
      <c r="E513" s="118" t="e">
        <f t="array" aca="1" ref="E513" ca="1">_xludf.IFNA(IF(B513="","",VLOOKUP(B513,RM!$C$4:$G983,14,FALSE)),IFERROR(MIN(IF('S-BOM'!$B$3:$B993=$B513,'S-BOM'!$H$3:$H993,"")),""))</f>
        <v>#NAME?</v>
      </c>
      <c r="F513" s="87" t="str">
        <f t="shared" si="3"/>
        <v/>
      </c>
      <c r="G513" s="87" t="str">
        <f t="shared" si="4"/>
        <v/>
      </c>
      <c r="H513" s="87"/>
      <c r="I513" s="87"/>
      <c r="J513" s="87"/>
    </row>
    <row r="514" spans="1:10">
      <c r="A514" s="2"/>
      <c r="B514" s="2"/>
      <c r="C514" s="120" t="str">
        <f>IF(B514="","",SUMIFS('A-BOM'!$D$3:$D993,'A-BOM'!$C$3:$C993,B514,'A-BOM'!$B$3:$B993,$B$2))</f>
        <v/>
      </c>
      <c r="D514" s="120" t="str">
        <f>IFERROR(IF(B514="","",VLOOKUP(B514,RM!$C$4:$F983,3,FALSE)),"")</f>
        <v/>
      </c>
      <c r="E514" s="118" t="e">
        <f t="array" aca="1" ref="E514" ca="1">_xludf.IFNA(IF(B514="","",VLOOKUP(B514,RM!$C$4:$G983,14,FALSE)),IFERROR(MIN(IF('S-BOM'!$B$3:$B993=$B514,'S-BOM'!$H$3:$H993,"")),""))</f>
        <v>#NAME?</v>
      </c>
      <c r="F514" s="87" t="str">
        <f t="shared" ref="F514:F768" si="5">IF(B514="","",$C$2*C514)</f>
        <v/>
      </c>
      <c r="G514" s="87" t="str">
        <f t="shared" ref="G514:G768" si="6">IF(B514="","",IF(E514&gt;F514,0,F514-E514))</f>
        <v/>
      </c>
      <c r="H514" s="87"/>
      <c r="I514" s="87"/>
      <c r="J514" s="87"/>
    </row>
    <row r="515" spans="1:10">
      <c r="A515" s="2"/>
      <c r="B515" s="2"/>
      <c r="C515" s="120" t="str">
        <f>IF(B515="","",SUMIFS('A-BOM'!$D$3:$D993,'A-BOM'!$C$3:$C993,B515,'A-BOM'!$B$3:$B993,$B$2))</f>
        <v/>
      </c>
      <c r="D515" s="120" t="str">
        <f>IFERROR(IF(B515="","",VLOOKUP(B515,RM!$C$4:$F983,3,FALSE)),"")</f>
        <v/>
      </c>
      <c r="E515" s="118" t="e">
        <f t="array" aca="1" ref="E515" ca="1">_xludf.IFNA(IF(B515="","",VLOOKUP(B515,RM!$C$4:$G983,14,FALSE)),IFERROR(MIN(IF('S-BOM'!$B$3:$B993=$B515,'S-BOM'!$H$3:$H993,"")),""))</f>
        <v>#NAME?</v>
      </c>
      <c r="F515" s="87" t="str">
        <f t="shared" si="5"/>
        <v/>
      </c>
      <c r="G515" s="87" t="str">
        <f t="shared" si="6"/>
        <v/>
      </c>
      <c r="H515" s="87"/>
      <c r="I515" s="87"/>
      <c r="J515" s="87"/>
    </row>
    <row r="516" spans="1:10">
      <c r="A516" s="2"/>
      <c r="B516" s="2"/>
      <c r="C516" s="120" t="str">
        <f>IF(B516="","",SUMIFS('A-BOM'!$D$3:$D993,'A-BOM'!$C$3:$C993,B516,'A-BOM'!$B$3:$B993,$B$2))</f>
        <v/>
      </c>
      <c r="D516" s="120" t="str">
        <f>IFERROR(IF(B516="","",VLOOKUP(B516,RM!$C$4:$F983,3,FALSE)),"")</f>
        <v/>
      </c>
      <c r="E516" s="118" t="e">
        <f t="array" aca="1" ref="E516" ca="1">_xludf.IFNA(IF(B516="","",VLOOKUP(B516,RM!$C$4:$G983,14,FALSE)),IFERROR(MIN(IF('S-BOM'!$B$3:$B993=$B516,'S-BOM'!$H$3:$H993,"")),""))</f>
        <v>#NAME?</v>
      </c>
      <c r="F516" s="87" t="str">
        <f t="shared" si="5"/>
        <v/>
      </c>
      <c r="G516" s="87" t="str">
        <f t="shared" si="6"/>
        <v/>
      </c>
      <c r="H516" s="87"/>
      <c r="I516" s="87"/>
      <c r="J516" s="87"/>
    </row>
    <row r="517" spans="1:10">
      <c r="A517" s="2"/>
      <c r="B517" s="2"/>
      <c r="C517" s="120" t="str">
        <f>IF(B517="","",SUMIFS('A-BOM'!$D$3:$D993,'A-BOM'!$C$3:$C993,B517,'A-BOM'!$B$3:$B993,$B$2))</f>
        <v/>
      </c>
      <c r="D517" s="120" t="str">
        <f>IFERROR(IF(B517="","",VLOOKUP(B517,RM!$C$4:$F983,3,FALSE)),"")</f>
        <v/>
      </c>
      <c r="E517" s="118" t="e">
        <f t="array" aca="1" ref="E517" ca="1">_xludf.IFNA(IF(B517="","",VLOOKUP(B517,RM!$C$4:$G983,14,FALSE)),IFERROR(MIN(IF('S-BOM'!$B$3:$B993=$B517,'S-BOM'!$H$3:$H993,"")),""))</f>
        <v>#NAME?</v>
      </c>
      <c r="F517" s="87" t="str">
        <f t="shared" si="5"/>
        <v/>
      </c>
      <c r="G517" s="87" t="str">
        <f t="shared" si="6"/>
        <v/>
      </c>
      <c r="H517" s="87"/>
      <c r="I517" s="87"/>
      <c r="J517" s="87"/>
    </row>
    <row r="518" spans="1:10">
      <c r="A518" s="2"/>
      <c r="B518" s="2"/>
      <c r="C518" s="120" t="str">
        <f>IF(B518="","",SUMIFS('A-BOM'!$D$3:$D993,'A-BOM'!$C$3:$C993,B518,'A-BOM'!$B$3:$B993,$B$2))</f>
        <v/>
      </c>
      <c r="D518" s="120" t="str">
        <f>IFERROR(IF(B518="","",VLOOKUP(B518,RM!$C$4:$F983,3,FALSE)),"")</f>
        <v/>
      </c>
      <c r="E518" s="118" t="e">
        <f t="array" aca="1" ref="E518" ca="1">_xludf.IFNA(IF(B518="","",VLOOKUP(B518,RM!$C$4:$G983,14,FALSE)),IFERROR(MIN(IF('S-BOM'!$B$3:$B993=$B518,'S-BOM'!$H$3:$H993,"")),""))</f>
        <v>#NAME?</v>
      </c>
      <c r="F518" s="87" t="str">
        <f t="shared" si="5"/>
        <v/>
      </c>
      <c r="G518" s="87" t="str">
        <f t="shared" si="6"/>
        <v/>
      </c>
      <c r="H518" s="87"/>
      <c r="I518" s="87"/>
      <c r="J518" s="87"/>
    </row>
    <row r="519" spans="1:10">
      <c r="A519" s="2"/>
      <c r="B519" s="2"/>
      <c r="C519" s="120" t="str">
        <f>IF(B519="","",SUMIFS('A-BOM'!$D$3:$D993,'A-BOM'!$C$3:$C993,B519,'A-BOM'!$B$3:$B993,$B$2))</f>
        <v/>
      </c>
      <c r="D519" s="120" t="str">
        <f>IFERROR(IF(B519="","",VLOOKUP(B519,RM!$C$4:$F983,3,FALSE)),"")</f>
        <v/>
      </c>
      <c r="E519" s="118" t="e">
        <f t="array" aca="1" ref="E519" ca="1">_xludf.IFNA(IF(B519="","",VLOOKUP(B519,RM!$C$4:$G983,14,FALSE)),IFERROR(MIN(IF('S-BOM'!$B$3:$B993=$B519,'S-BOM'!$H$3:$H993,"")),""))</f>
        <v>#NAME?</v>
      </c>
      <c r="F519" s="87" t="str">
        <f t="shared" si="5"/>
        <v/>
      </c>
      <c r="G519" s="87" t="str">
        <f t="shared" si="6"/>
        <v/>
      </c>
      <c r="H519" s="87"/>
      <c r="I519" s="87"/>
      <c r="J519" s="87"/>
    </row>
    <row r="520" spans="1:10">
      <c r="A520" s="2"/>
      <c r="B520" s="2"/>
      <c r="C520" s="120" t="str">
        <f>IF(B520="","",SUMIFS('A-BOM'!$D$3:$D993,'A-BOM'!$C$3:$C993,B520,'A-BOM'!$B$3:$B993,$B$2))</f>
        <v/>
      </c>
      <c r="D520" s="120" t="str">
        <f>IFERROR(IF(B520="","",VLOOKUP(B520,RM!$C$4:$F983,3,FALSE)),"")</f>
        <v/>
      </c>
      <c r="E520" s="118" t="e">
        <f t="array" aca="1" ref="E520" ca="1">_xludf.IFNA(IF(B520="","",VLOOKUP(B520,RM!$C$4:$G983,14,FALSE)),IFERROR(MIN(IF('S-BOM'!$B$3:$B993=$B520,'S-BOM'!$H$3:$H993,"")),""))</f>
        <v>#NAME?</v>
      </c>
      <c r="F520" s="87" t="str">
        <f t="shared" si="5"/>
        <v/>
      </c>
      <c r="G520" s="87" t="str">
        <f t="shared" si="6"/>
        <v/>
      </c>
      <c r="H520" s="87"/>
      <c r="I520" s="87"/>
      <c r="J520" s="87"/>
    </row>
    <row r="521" spans="1:10">
      <c r="A521" s="2"/>
      <c r="B521" s="2"/>
      <c r="C521" s="120" t="str">
        <f>IF(B521="","",SUMIFS('A-BOM'!$D$3:$D993,'A-BOM'!$C$3:$C993,B521,'A-BOM'!$B$3:$B993,$B$2))</f>
        <v/>
      </c>
      <c r="D521" s="120" t="str">
        <f>IFERROR(IF(B521="","",VLOOKUP(B521,RM!$C$4:$F983,3,FALSE)),"")</f>
        <v/>
      </c>
      <c r="E521" s="118" t="e">
        <f t="array" aca="1" ref="E521" ca="1">_xludf.IFNA(IF(B521="","",VLOOKUP(B521,RM!$C$4:$G983,14,FALSE)),IFERROR(MIN(IF('S-BOM'!$B$3:$B993=$B521,'S-BOM'!$H$3:$H993,"")),""))</f>
        <v>#NAME?</v>
      </c>
      <c r="F521" s="87" t="str">
        <f t="shared" si="5"/>
        <v/>
      </c>
      <c r="G521" s="87" t="str">
        <f t="shared" si="6"/>
        <v/>
      </c>
      <c r="H521" s="87"/>
      <c r="I521" s="87"/>
      <c r="J521" s="87"/>
    </row>
    <row r="522" spans="1:10">
      <c r="A522" s="2"/>
      <c r="B522" s="2"/>
      <c r="C522" s="120" t="str">
        <f>IF(B522="","",SUMIFS('A-BOM'!$D$3:$D993,'A-BOM'!$C$3:$C993,B522,'A-BOM'!$B$3:$B993,$B$2))</f>
        <v/>
      </c>
      <c r="D522" s="120" t="str">
        <f>IFERROR(IF(B522="","",VLOOKUP(B522,RM!$C$4:$F983,3,FALSE)),"")</f>
        <v/>
      </c>
      <c r="E522" s="118" t="e">
        <f t="array" aca="1" ref="E522" ca="1">_xludf.IFNA(IF(B522="","",VLOOKUP(B522,RM!$C$4:$G983,14,FALSE)),IFERROR(MIN(IF('S-BOM'!$B$3:$B993=$B522,'S-BOM'!$H$3:$H993,"")),""))</f>
        <v>#NAME?</v>
      </c>
      <c r="F522" s="87" t="str">
        <f t="shared" si="5"/>
        <v/>
      </c>
      <c r="G522" s="87" t="str">
        <f t="shared" si="6"/>
        <v/>
      </c>
      <c r="H522" s="87"/>
      <c r="I522" s="87"/>
      <c r="J522" s="87"/>
    </row>
    <row r="523" spans="1:10">
      <c r="A523" s="2"/>
      <c r="B523" s="2"/>
      <c r="C523" s="120" t="str">
        <f>IF(B523="","",SUMIFS('A-BOM'!$D$3:$D993,'A-BOM'!$C$3:$C993,B523,'A-BOM'!$B$3:$B993,$B$2))</f>
        <v/>
      </c>
      <c r="D523" s="120" t="str">
        <f>IFERROR(IF(B523="","",VLOOKUP(B523,RM!$C$4:$F983,3,FALSE)),"")</f>
        <v/>
      </c>
      <c r="E523" s="118" t="e">
        <f t="array" aca="1" ref="E523" ca="1">_xludf.IFNA(IF(B523="","",VLOOKUP(B523,RM!$C$4:$G983,14,FALSE)),IFERROR(MIN(IF('S-BOM'!$B$3:$B993=$B523,'S-BOM'!$H$3:$H993,"")),""))</f>
        <v>#NAME?</v>
      </c>
      <c r="F523" s="87" t="str">
        <f t="shared" si="5"/>
        <v/>
      </c>
      <c r="G523" s="87" t="str">
        <f t="shared" si="6"/>
        <v/>
      </c>
      <c r="H523" s="87"/>
      <c r="I523" s="87"/>
      <c r="J523" s="87"/>
    </row>
    <row r="524" spans="1:10">
      <c r="A524" s="2"/>
      <c r="B524" s="2"/>
      <c r="C524" s="120" t="str">
        <f>IF(B524="","",SUMIFS('A-BOM'!$D$3:$D993,'A-BOM'!$C$3:$C993,B524,'A-BOM'!$B$3:$B993,$B$2))</f>
        <v/>
      </c>
      <c r="D524" s="120" t="str">
        <f>IFERROR(IF(B524="","",VLOOKUP(B524,RM!$C$4:$F983,3,FALSE)),"")</f>
        <v/>
      </c>
      <c r="E524" s="118" t="e">
        <f t="array" aca="1" ref="E524" ca="1">_xludf.IFNA(IF(B524="","",VLOOKUP(B524,RM!$C$4:$G983,14,FALSE)),IFERROR(MIN(IF('S-BOM'!$B$3:$B993=$B524,'S-BOM'!$H$3:$H993,"")),""))</f>
        <v>#NAME?</v>
      </c>
      <c r="F524" s="87" t="str">
        <f t="shared" si="5"/>
        <v/>
      </c>
      <c r="G524" s="87" t="str">
        <f t="shared" si="6"/>
        <v/>
      </c>
      <c r="H524" s="87"/>
      <c r="I524" s="87"/>
      <c r="J524" s="87"/>
    </row>
    <row r="525" spans="1:10">
      <c r="A525" s="2"/>
      <c r="B525" s="2"/>
      <c r="C525" s="120" t="str">
        <f>IF(B525="","",SUMIFS('A-BOM'!$D$3:$D993,'A-BOM'!$C$3:$C993,B525,'A-BOM'!$B$3:$B993,$B$2))</f>
        <v/>
      </c>
      <c r="D525" s="120" t="str">
        <f>IFERROR(IF(B525="","",VLOOKUP(B525,RM!$C$4:$F983,3,FALSE)),"")</f>
        <v/>
      </c>
      <c r="E525" s="118" t="e">
        <f t="array" aca="1" ref="E525" ca="1">_xludf.IFNA(IF(B525="","",VLOOKUP(B525,RM!$C$4:$G983,14,FALSE)),IFERROR(MIN(IF('S-BOM'!$B$3:$B993=$B525,'S-BOM'!$H$3:$H993,"")),""))</f>
        <v>#NAME?</v>
      </c>
      <c r="F525" s="87" t="str">
        <f t="shared" si="5"/>
        <v/>
      </c>
      <c r="G525" s="87" t="str">
        <f t="shared" si="6"/>
        <v/>
      </c>
      <c r="H525" s="87"/>
      <c r="I525" s="87"/>
      <c r="J525" s="87"/>
    </row>
    <row r="526" spans="1:10">
      <c r="A526" s="2"/>
      <c r="B526" s="2"/>
      <c r="C526" s="120" t="str">
        <f>IF(B526="","",SUMIFS('A-BOM'!$D$3:$D993,'A-BOM'!$C$3:$C993,B526,'A-BOM'!$B$3:$B993,$B$2))</f>
        <v/>
      </c>
      <c r="D526" s="120" t="str">
        <f>IFERROR(IF(B526="","",VLOOKUP(B526,RM!$C$4:$F983,3,FALSE)),"")</f>
        <v/>
      </c>
      <c r="E526" s="118" t="e">
        <f t="array" aca="1" ref="E526" ca="1">_xludf.IFNA(IF(B526="","",VLOOKUP(B526,RM!$C$4:$G983,14,FALSE)),IFERROR(MIN(IF('S-BOM'!$B$3:$B993=$B526,'S-BOM'!$H$3:$H993,"")),""))</f>
        <v>#NAME?</v>
      </c>
      <c r="F526" s="87" t="str">
        <f t="shared" si="5"/>
        <v/>
      </c>
      <c r="G526" s="87" t="str">
        <f t="shared" si="6"/>
        <v/>
      </c>
      <c r="H526" s="87"/>
      <c r="I526" s="87"/>
      <c r="J526" s="87"/>
    </row>
    <row r="527" spans="1:10">
      <c r="A527" s="2"/>
      <c r="B527" s="2"/>
      <c r="C527" s="120" t="str">
        <f>IF(B527="","",SUMIFS('A-BOM'!$D$3:$D993,'A-BOM'!$C$3:$C993,B527,'A-BOM'!$B$3:$B993,$B$2))</f>
        <v/>
      </c>
      <c r="D527" s="120" t="str">
        <f>IFERROR(IF(B527="","",VLOOKUP(B527,RM!$C$4:$F983,3,FALSE)),"")</f>
        <v/>
      </c>
      <c r="E527" s="118" t="e">
        <f t="array" aca="1" ref="E527" ca="1">_xludf.IFNA(IF(B527="","",VLOOKUP(B527,RM!$C$4:$G983,14,FALSE)),IFERROR(MIN(IF('S-BOM'!$B$3:$B993=$B527,'S-BOM'!$H$3:$H993,"")),""))</f>
        <v>#NAME?</v>
      </c>
      <c r="F527" s="87" t="str">
        <f t="shared" si="5"/>
        <v/>
      </c>
      <c r="G527" s="87" t="str">
        <f t="shared" si="6"/>
        <v/>
      </c>
      <c r="H527" s="87"/>
      <c r="I527" s="87"/>
      <c r="J527" s="87"/>
    </row>
    <row r="528" spans="1:10">
      <c r="A528" s="2"/>
      <c r="B528" s="2"/>
      <c r="C528" s="120" t="str">
        <f>IF(B528="","",SUMIFS('A-BOM'!$D$3:$D993,'A-BOM'!$C$3:$C993,B528,'A-BOM'!$B$3:$B993,$B$2))</f>
        <v/>
      </c>
      <c r="D528" s="120" t="str">
        <f>IFERROR(IF(B528="","",VLOOKUP(B528,RM!$C$4:$F983,3,FALSE)),"")</f>
        <v/>
      </c>
      <c r="E528" s="118" t="e">
        <f t="array" aca="1" ref="E528" ca="1">_xludf.IFNA(IF(B528="","",VLOOKUP(B528,RM!$C$4:$G983,14,FALSE)),IFERROR(MIN(IF('S-BOM'!$B$3:$B993=$B528,'S-BOM'!$H$3:$H993,"")),""))</f>
        <v>#NAME?</v>
      </c>
      <c r="F528" s="87" t="str">
        <f t="shared" si="5"/>
        <v/>
      </c>
      <c r="G528" s="87" t="str">
        <f t="shared" si="6"/>
        <v/>
      </c>
      <c r="H528" s="87"/>
      <c r="I528" s="87"/>
      <c r="J528" s="87"/>
    </row>
    <row r="529" spans="1:10">
      <c r="A529" s="2"/>
      <c r="B529" s="2"/>
      <c r="C529" s="120" t="str">
        <f>IF(B529="","",SUMIFS('A-BOM'!$D$3:$D993,'A-BOM'!$C$3:$C993,B529,'A-BOM'!$B$3:$B993,$B$2))</f>
        <v/>
      </c>
      <c r="D529" s="120" t="str">
        <f>IFERROR(IF(B529="","",VLOOKUP(B529,RM!$C$4:$F983,3,FALSE)),"")</f>
        <v/>
      </c>
      <c r="E529" s="118" t="e">
        <f t="array" aca="1" ref="E529" ca="1">_xludf.IFNA(IF(B529="","",VLOOKUP(B529,RM!$C$4:$G983,14,FALSE)),IFERROR(MIN(IF('S-BOM'!$B$3:$B993=$B529,'S-BOM'!$H$3:$H993,"")),""))</f>
        <v>#NAME?</v>
      </c>
      <c r="F529" s="87" t="str">
        <f t="shared" si="5"/>
        <v/>
      </c>
      <c r="G529" s="87" t="str">
        <f t="shared" si="6"/>
        <v/>
      </c>
      <c r="H529" s="87"/>
      <c r="I529" s="87"/>
      <c r="J529" s="87"/>
    </row>
    <row r="530" spans="1:10">
      <c r="A530" s="2"/>
      <c r="B530" s="2"/>
      <c r="C530" s="120" t="str">
        <f>IF(B530="","",SUMIFS('A-BOM'!$D$3:$D993,'A-BOM'!$C$3:$C993,B530,'A-BOM'!$B$3:$B993,$B$2))</f>
        <v/>
      </c>
      <c r="D530" s="120" t="str">
        <f>IFERROR(IF(B530="","",VLOOKUP(B530,RM!$C$4:$F983,3,FALSE)),"")</f>
        <v/>
      </c>
      <c r="E530" s="118" t="e">
        <f t="array" aca="1" ref="E530" ca="1">_xludf.IFNA(IF(B530="","",VLOOKUP(B530,RM!$C$4:$G983,14,FALSE)),IFERROR(MIN(IF('S-BOM'!$B$3:$B993=$B530,'S-BOM'!$H$3:$H993,"")),""))</f>
        <v>#NAME?</v>
      </c>
      <c r="F530" s="87" t="str">
        <f t="shared" si="5"/>
        <v/>
      </c>
      <c r="G530" s="87" t="str">
        <f t="shared" si="6"/>
        <v/>
      </c>
      <c r="H530" s="87"/>
      <c r="I530" s="87"/>
      <c r="J530" s="87"/>
    </row>
    <row r="531" spans="1:10">
      <c r="A531" s="2"/>
      <c r="B531" s="2"/>
      <c r="C531" s="120" t="str">
        <f>IF(B531="","",SUMIFS('A-BOM'!$D$3:$D993,'A-BOM'!$C$3:$C993,B531,'A-BOM'!$B$3:$B993,$B$2))</f>
        <v/>
      </c>
      <c r="D531" s="120" t="str">
        <f>IFERROR(IF(B531="","",VLOOKUP(B531,RM!$C$4:$F983,3,FALSE)),"")</f>
        <v/>
      </c>
      <c r="E531" s="118" t="e">
        <f t="array" aca="1" ref="E531" ca="1">_xludf.IFNA(IF(B531="","",VLOOKUP(B531,RM!$C$4:$G983,14,FALSE)),IFERROR(MIN(IF('S-BOM'!$B$3:$B993=$B531,'S-BOM'!$H$3:$H993,"")),""))</f>
        <v>#NAME?</v>
      </c>
      <c r="F531" s="87" t="str">
        <f t="shared" si="5"/>
        <v/>
      </c>
      <c r="G531" s="87" t="str">
        <f t="shared" si="6"/>
        <v/>
      </c>
      <c r="H531" s="87"/>
      <c r="I531" s="87"/>
      <c r="J531" s="87"/>
    </row>
    <row r="532" spans="1:10">
      <c r="A532" s="2"/>
      <c r="B532" s="2"/>
      <c r="C532" s="120" t="str">
        <f>IF(B532="","",SUMIFS('A-BOM'!$D$3:$D993,'A-BOM'!$C$3:$C993,B532,'A-BOM'!$B$3:$B993,$B$2))</f>
        <v/>
      </c>
      <c r="D532" s="120" t="str">
        <f>IFERROR(IF(B532="","",VLOOKUP(B532,RM!$C$4:$F983,3,FALSE)),"")</f>
        <v/>
      </c>
      <c r="E532" s="118" t="e">
        <f t="array" aca="1" ref="E532" ca="1">_xludf.IFNA(IF(B532="","",VLOOKUP(B532,RM!$C$4:$G983,14,FALSE)),IFERROR(MIN(IF('S-BOM'!$B$3:$B993=$B532,'S-BOM'!$H$3:$H993,"")),""))</f>
        <v>#NAME?</v>
      </c>
      <c r="F532" s="87" t="str">
        <f t="shared" si="5"/>
        <v/>
      </c>
      <c r="G532" s="87" t="str">
        <f t="shared" si="6"/>
        <v/>
      </c>
      <c r="H532" s="87"/>
      <c r="I532" s="87"/>
      <c r="J532" s="87"/>
    </row>
    <row r="533" spans="1:10">
      <c r="A533" s="2"/>
      <c r="B533" s="2"/>
      <c r="C533" s="120" t="str">
        <f>IF(B533="","",SUMIFS('A-BOM'!$D$3:$D993,'A-BOM'!$C$3:$C993,B533,'A-BOM'!$B$3:$B993,$B$2))</f>
        <v/>
      </c>
      <c r="D533" s="120" t="str">
        <f>IFERROR(IF(B533="","",VLOOKUP(B533,RM!$C$4:$F983,3,FALSE)),"")</f>
        <v/>
      </c>
      <c r="E533" s="118" t="e">
        <f t="array" aca="1" ref="E533" ca="1">_xludf.IFNA(IF(B533="","",VLOOKUP(B533,RM!$C$4:$G983,14,FALSE)),IFERROR(MIN(IF('S-BOM'!$B$3:$B993=$B533,'S-BOM'!$H$3:$H993,"")),""))</f>
        <v>#NAME?</v>
      </c>
      <c r="F533" s="87" t="str">
        <f t="shared" si="5"/>
        <v/>
      </c>
      <c r="G533" s="87" t="str">
        <f t="shared" si="6"/>
        <v/>
      </c>
      <c r="H533" s="87"/>
      <c r="I533" s="87"/>
      <c r="J533" s="87"/>
    </row>
    <row r="534" spans="1:10">
      <c r="A534" s="2"/>
      <c r="B534" s="2"/>
      <c r="C534" s="120" t="str">
        <f>IF(B534="","",SUMIFS('A-BOM'!$D$3:$D993,'A-BOM'!$C$3:$C993,B534,'A-BOM'!$B$3:$B993,$B$2))</f>
        <v/>
      </c>
      <c r="D534" s="120" t="str">
        <f>IFERROR(IF(B534="","",VLOOKUP(B534,RM!$C$4:$F983,3,FALSE)),"")</f>
        <v/>
      </c>
      <c r="E534" s="118" t="e">
        <f t="array" aca="1" ref="E534" ca="1">_xludf.IFNA(IF(B534="","",VLOOKUP(B534,RM!$C$4:$G983,14,FALSE)),IFERROR(MIN(IF('S-BOM'!$B$3:$B993=$B534,'S-BOM'!$H$3:$H993,"")),""))</f>
        <v>#NAME?</v>
      </c>
      <c r="F534" s="87" t="str">
        <f t="shared" si="5"/>
        <v/>
      </c>
      <c r="G534" s="87" t="str">
        <f t="shared" si="6"/>
        <v/>
      </c>
      <c r="H534" s="87"/>
      <c r="I534" s="87"/>
      <c r="J534" s="87"/>
    </row>
    <row r="535" spans="1:10">
      <c r="A535" s="2"/>
      <c r="B535" s="2"/>
      <c r="C535" s="120" t="str">
        <f>IF(B535="","",SUMIFS('A-BOM'!$D$3:$D993,'A-BOM'!$C$3:$C993,B535,'A-BOM'!$B$3:$B993,$B$2))</f>
        <v/>
      </c>
      <c r="D535" s="120" t="str">
        <f>IFERROR(IF(B535="","",VLOOKUP(B535,RM!$C$4:$F983,3,FALSE)),"")</f>
        <v/>
      </c>
      <c r="E535" s="118" t="e">
        <f t="array" aca="1" ref="E535" ca="1">_xludf.IFNA(IF(B535="","",VLOOKUP(B535,RM!$C$4:$G983,14,FALSE)),IFERROR(MIN(IF('S-BOM'!$B$3:$B993=$B535,'S-BOM'!$H$3:$H993,"")),""))</f>
        <v>#NAME?</v>
      </c>
      <c r="F535" s="87" t="str">
        <f t="shared" si="5"/>
        <v/>
      </c>
      <c r="G535" s="87" t="str">
        <f t="shared" si="6"/>
        <v/>
      </c>
      <c r="H535" s="87"/>
      <c r="I535" s="87"/>
      <c r="J535" s="87"/>
    </row>
    <row r="536" spans="1:10">
      <c r="A536" s="2"/>
      <c r="B536" s="2"/>
      <c r="C536" s="120" t="str">
        <f>IF(B536="","",SUMIFS('A-BOM'!$D$3:$D993,'A-BOM'!$C$3:$C993,B536,'A-BOM'!$B$3:$B993,$B$2))</f>
        <v/>
      </c>
      <c r="D536" s="120" t="str">
        <f>IFERROR(IF(B536="","",VLOOKUP(B536,RM!$C$4:$F983,3,FALSE)),"")</f>
        <v/>
      </c>
      <c r="E536" s="118" t="e">
        <f t="array" aca="1" ref="E536" ca="1">_xludf.IFNA(IF(B536="","",VLOOKUP(B536,RM!$C$4:$G983,14,FALSE)),IFERROR(MIN(IF('S-BOM'!$B$3:$B993=$B536,'S-BOM'!$H$3:$H993,"")),""))</f>
        <v>#NAME?</v>
      </c>
      <c r="F536" s="87" t="str">
        <f t="shared" si="5"/>
        <v/>
      </c>
      <c r="G536" s="87" t="str">
        <f t="shared" si="6"/>
        <v/>
      </c>
      <c r="H536" s="87"/>
      <c r="I536" s="87"/>
      <c r="J536" s="87"/>
    </row>
    <row r="537" spans="1:10">
      <c r="A537" s="2"/>
      <c r="B537" s="2"/>
      <c r="C537" s="120" t="str">
        <f>IF(B537="","",SUMIFS('A-BOM'!$D$3:$D993,'A-BOM'!$C$3:$C993,B537,'A-BOM'!$B$3:$B993,$B$2))</f>
        <v/>
      </c>
      <c r="D537" s="120" t="str">
        <f>IFERROR(IF(B537="","",VLOOKUP(B537,RM!$C$4:$F983,3,FALSE)),"")</f>
        <v/>
      </c>
      <c r="E537" s="118" t="e">
        <f t="array" aca="1" ref="E537" ca="1">_xludf.IFNA(IF(B537="","",VLOOKUP(B537,RM!$C$4:$G983,14,FALSE)),IFERROR(MIN(IF('S-BOM'!$B$3:$B993=$B537,'S-BOM'!$H$3:$H993,"")),""))</f>
        <v>#NAME?</v>
      </c>
      <c r="F537" s="87" t="str">
        <f t="shared" si="5"/>
        <v/>
      </c>
      <c r="G537" s="87" t="str">
        <f t="shared" si="6"/>
        <v/>
      </c>
      <c r="H537" s="87"/>
      <c r="I537" s="87"/>
      <c r="J537" s="87"/>
    </row>
    <row r="538" spans="1:10">
      <c r="A538" s="2"/>
      <c r="B538" s="2"/>
      <c r="C538" s="120" t="str">
        <f>IF(B538="","",SUMIFS('A-BOM'!$D$3:$D993,'A-BOM'!$C$3:$C993,B538,'A-BOM'!$B$3:$B993,$B$2))</f>
        <v/>
      </c>
      <c r="D538" s="120" t="str">
        <f>IFERROR(IF(B538="","",VLOOKUP(B538,RM!$C$4:$F983,3,FALSE)),"")</f>
        <v/>
      </c>
      <c r="E538" s="118" t="e">
        <f t="array" aca="1" ref="E538" ca="1">_xludf.IFNA(IF(B538="","",VLOOKUP(B538,RM!$C$4:$G983,14,FALSE)),IFERROR(MIN(IF('S-BOM'!$B$3:$B993=$B538,'S-BOM'!$H$3:$H993,"")),""))</f>
        <v>#NAME?</v>
      </c>
      <c r="F538" s="87" t="str">
        <f t="shared" si="5"/>
        <v/>
      </c>
      <c r="G538" s="87" t="str">
        <f t="shared" si="6"/>
        <v/>
      </c>
      <c r="H538" s="87"/>
      <c r="I538" s="87"/>
      <c r="J538" s="87"/>
    </row>
    <row r="539" spans="1:10">
      <c r="A539" s="2"/>
      <c r="B539" s="2"/>
      <c r="C539" s="120" t="str">
        <f>IF(B539="","",SUMIFS('A-BOM'!$D$3:$D993,'A-BOM'!$C$3:$C993,B539,'A-BOM'!$B$3:$B993,$B$2))</f>
        <v/>
      </c>
      <c r="D539" s="120" t="str">
        <f>IFERROR(IF(B539="","",VLOOKUP(B539,RM!$C$4:$F983,3,FALSE)),"")</f>
        <v/>
      </c>
      <c r="E539" s="118" t="e">
        <f t="array" aca="1" ref="E539" ca="1">_xludf.IFNA(IF(B539="","",VLOOKUP(B539,RM!$C$4:$G983,14,FALSE)),IFERROR(MIN(IF('S-BOM'!$B$3:$B993=$B539,'S-BOM'!$H$3:$H993,"")),""))</f>
        <v>#NAME?</v>
      </c>
      <c r="F539" s="87" t="str">
        <f t="shared" si="5"/>
        <v/>
      </c>
      <c r="G539" s="87" t="str">
        <f t="shared" si="6"/>
        <v/>
      </c>
      <c r="H539" s="87"/>
      <c r="I539" s="87"/>
      <c r="J539" s="87"/>
    </row>
    <row r="540" spans="1:10">
      <c r="A540" s="2"/>
      <c r="B540" s="2"/>
      <c r="C540" s="120" t="str">
        <f>IF(B540="","",SUMIFS('A-BOM'!$D$3:$D993,'A-BOM'!$C$3:$C993,B540,'A-BOM'!$B$3:$B993,$B$2))</f>
        <v/>
      </c>
      <c r="D540" s="120" t="str">
        <f>IFERROR(IF(B540="","",VLOOKUP(B540,RM!$C$4:$F983,3,FALSE)),"")</f>
        <v/>
      </c>
      <c r="E540" s="118" t="e">
        <f t="array" aca="1" ref="E540" ca="1">_xludf.IFNA(IF(B540="","",VLOOKUP(B540,RM!$C$4:$G983,14,FALSE)),IFERROR(MIN(IF('S-BOM'!$B$3:$B993=$B540,'S-BOM'!$H$3:$H993,"")),""))</f>
        <v>#NAME?</v>
      </c>
      <c r="F540" s="87" t="str">
        <f t="shared" si="5"/>
        <v/>
      </c>
      <c r="G540" s="87" t="str">
        <f t="shared" si="6"/>
        <v/>
      </c>
      <c r="H540" s="87"/>
      <c r="I540" s="87"/>
      <c r="J540" s="87"/>
    </row>
    <row r="541" spans="1:10">
      <c r="A541" s="2"/>
      <c r="B541" s="2"/>
      <c r="C541" s="120" t="str">
        <f>IF(B541="","",SUMIFS('A-BOM'!$D$3:$D993,'A-BOM'!$C$3:$C993,B541,'A-BOM'!$B$3:$B993,$B$2))</f>
        <v/>
      </c>
      <c r="D541" s="120" t="str">
        <f>IFERROR(IF(B541="","",VLOOKUP(B541,RM!$C$4:$F983,3,FALSE)),"")</f>
        <v/>
      </c>
      <c r="E541" s="118" t="e">
        <f t="array" aca="1" ref="E541" ca="1">_xludf.IFNA(IF(B541="","",VLOOKUP(B541,RM!$C$4:$G983,14,FALSE)),IFERROR(MIN(IF('S-BOM'!$B$3:$B993=$B541,'S-BOM'!$H$3:$H993,"")),""))</f>
        <v>#NAME?</v>
      </c>
      <c r="F541" s="87" t="str">
        <f t="shared" si="5"/>
        <v/>
      </c>
      <c r="G541" s="87" t="str">
        <f t="shared" si="6"/>
        <v/>
      </c>
      <c r="H541" s="87"/>
      <c r="I541" s="87"/>
      <c r="J541" s="87"/>
    </row>
    <row r="542" spans="1:10">
      <c r="A542" s="2"/>
      <c r="B542" s="2"/>
      <c r="C542" s="120" t="str">
        <f>IF(B542="","",SUMIFS('A-BOM'!$D$3:$D993,'A-BOM'!$C$3:$C993,B542,'A-BOM'!$B$3:$B993,$B$2))</f>
        <v/>
      </c>
      <c r="D542" s="120" t="str">
        <f>IFERROR(IF(B542="","",VLOOKUP(B542,RM!$C$4:$F983,3,FALSE)),"")</f>
        <v/>
      </c>
      <c r="E542" s="118" t="e">
        <f t="array" aca="1" ref="E542" ca="1">_xludf.IFNA(IF(B542="","",VLOOKUP(B542,RM!$C$4:$G983,14,FALSE)),IFERROR(MIN(IF('S-BOM'!$B$3:$B993=$B542,'S-BOM'!$H$3:$H993,"")),""))</f>
        <v>#NAME?</v>
      </c>
      <c r="F542" s="87" t="str">
        <f t="shared" si="5"/>
        <v/>
      </c>
      <c r="G542" s="87" t="str">
        <f t="shared" si="6"/>
        <v/>
      </c>
      <c r="H542" s="87"/>
      <c r="I542" s="87"/>
      <c r="J542" s="87"/>
    </row>
    <row r="543" spans="1:10">
      <c r="A543" s="2"/>
      <c r="B543" s="2"/>
      <c r="C543" s="120" t="str">
        <f>IF(B543="","",SUMIFS('A-BOM'!$D$3:$D993,'A-BOM'!$C$3:$C993,B543,'A-BOM'!$B$3:$B993,$B$2))</f>
        <v/>
      </c>
      <c r="D543" s="120" t="str">
        <f>IFERROR(IF(B543="","",VLOOKUP(B543,RM!$C$4:$F983,3,FALSE)),"")</f>
        <v/>
      </c>
      <c r="E543" s="118" t="e">
        <f t="array" aca="1" ref="E543" ca="1">_xludf.IFNA(IF(B543="","",VLOOKUP(B543,RM!$C$4:$G983,14,FALSE)),IFERROR(MIN(IF('S-BOM'!$B$3:$B993=$B543,'S-BOM'!$H$3:$H993,"")),""))</f>
        <v>#NAME?</v>
      </c>
      <c r="F543" s="87" t="str">
        <f t="shared" si="5"/>
        <v/>
      </c>
      <c r="G543" s="87" t="str">
        <f t="shared" si="6"/>
        <v/>
      </c>
      <c r="H543" s="87"/>
      <c r="I543" s="87"/>
      <c r="J543" s="87"/>
    </row>
    <row r="544" spans="1:10">
      <c r="A544" s="2"/>
      <c r="B544" s="2"/>
      <c r="C544" s="120" t="str">
        <f>IF(B544="","",SUMIFS('A-BOM'!$D$3:$D993,'A-BOM'!$C$3:$C993,B544,'A-BOM'!$B$3:$B993,$B$2))</f>
        <v/>
      </c>
      <c r="D544" s="120" t="str">
        <f>IFERROR(IF(B544="","",VLOOKUP(B544,RM!$C$4:$F983,3,FALSE)),"")</f>
        <v/>
      </c>
      <c r="E544" s="118" t="e">
        <f t="array" aca="1" ref="E544" ca="1">_xludf.IFNA(IF(B544="","",VLOOKUP(B544,RM!$C$4:$G983,14,FALSE)),IFERROR(MIN(IF('S-BOM'!$B$3:$B993=$B544,'S-BOM'!$H$3:$H993,"")),""))</f>
        <v>#NAME?</v>
      </c>
      <c r="F544" s="87" t="str">
        <f t="shared" si="5"/>
        <v/>
      </c>
      <c r="G544" s="87" t="str">
        <f t="shared" si="6"/>
        <v/>
      </c>
      <c r="H544" s="87"/>
      <c r="I544" s="87"/>
      <c r="J544" s="87"/>
    </row>
    <row r="545" spans="1:10">
      <c r="A545" s="2"/>
      <c r="B545" s="2"/>
      <c r="C545" s="120" t="str">
        <f>IF(B545="","",SUMIFS('A-BOM'!$D$3:$D993,'A-BOM'!$C$3:$C993,B545,'A-BOM'!$B$3:$B993,$B$2))</f>
        <v/>
      </c>
      <c r="D545" s="120" t="str">
        <f>IFERROR(IF(B545="","",VLOOKUP(B545,RM!$C$4:$F983,3,FALSE)),"")</f>
        <v/>
      </c>
      <c r="E545" s="118" t="e">
        <f t="array" aca="1" ref="E545" ca="1">_xludf.IFNA(IF(B545="","",VLOOKUP(B545,RM!$C$4:$G983,14,FALSE)),IFERROR(MIN(IF('S-BOM'!$B$3:$B993=$B545,'S-BOM'!$H$3:$H993,"")),""))</f>
        <v>#NAME?</v>
      </c>
      <c r="F545" s="87" t="str">
        <f t="shared" si="5"/>
        <v/>
      </c>
      <c r="G545" s="87" t="str">
        <f t="shared" si="6"/>
        <v/>
      </c>
      <c r="H545" s="87"/>
      <c r="I545" s="87"/>
      <c r="J545" s="87"/>
    </row>
    <row r="546" spans="1:10">
      <c r="A546" s="2"/>
      <c r="B546" s="2"/>
      <c r="C546" s="120" t="str">
        <f>IF(B546="","",SUMIFS('A-BOM'!$D$3:$D993,'A-BOM'!$C$3:$C993,B546,'A-BOM'!$B$3:$B993,$B$2))</f>
        <v/>
      </c>
      <c r="D546" s="120" t="str">
        <f>IFERROR(IF(B546="","",VLOOKUP(B546,RM!$C$4:$F983,3,FALSE)),"")</f>
        <v/>
      </c>
      <c r="E546" s="118" t="e">
        <f t="array" aca="1" ref="E546" ca="1">_xludf.IFNA(IF(B546="","",VLOOKUP(B546,RM!$C$4:$G983,14,FALSE)),IFERROR(MIN(IF('S-BOM'!$B$3:$B993=$B546,'S-BOM'!$H$3:$H993,"")),""))</f>
        <v>#NAME?</v>
      </c>
      <c r="F546" s="87" t="str">
        <f t="shared" si="5"/>
        <v/>
      </c>
      <c r="G546" s="87" t="str">
        <f t="shared" si="6"/>
        <v/>
      </c>
      <c r="H546" s="87"/>
      <c r="I546" s="87"/>
      <c r="J546" s="87"/>
    </row>
    <row r="547" spans="1:10">
      <c r="A547" s="2"/>
      <c r="B547" s="2"/>
      <c r="C547" s="120" t="str">
        <f>IF(B547="","",SUMIFS('A-BOM'!$D$3:$D993,'A-BOM'!$C$3:$C993,B547,'A-BOM'!$B$3:$B993,$B$2))</f>
        <v/>
      </c>
      <c r="D547" s="120" t="str">
        <f>IFERROR(IF(B547="","",VLOOKUP(B547,RM!$C$4:$F983,3,FALSE)),"")</f>
        <v/>
      </c>
      <c r="E547" s="118" t="e">
        <f t="array" aca="1" ref="E547" ca="1">_xludf.IFNA(IF(B547="","",VLOOKUP(B547,RM!$C$4:$G983,14,FALSE)),IFERROR(MIN(IF('S-BOM'!$B$3:$B993=$B547,'S-BOM'!$H$3:$H993,"")),""))</f>
        <v>#NAME?</v>
      </c>
      <c r="F547" s="87" t="str">
        <f t="shared" si="5"/>
        <v/>
      </c>
      <c r="G547" s="87" t="str">
        <f t="shared" si="6"/>
        <v/>
      </c>
      <c r="H547" s="87"/>
      <c r="I547" s="87"/>
      <c r="J547" s="87"/>
    </row>
    <row r="548" spans="1:10">
      <c r="A548" s="2"/>
      <c r="B548" s="2"/>
      <c r="C548" s="120" t="str">
        <f>IF(B548="","",SUMIFS('A-BOM'!$D$3:$D993,'A-BOM'!$C$3:$C993,B548,'A-BOM'!$B$3:$B993,$B$2))</f>
        <v/>
      </c>
      <c r="D548" s="120" t="str">
        <f>IFERROR(IF(B548="","",VLOOKUP(B548,RM!$C$4:$F983,3,FALSE)),"")</f>
        <v/>
      </c>
      <c r="E548" s="118" t="e">
        <f t="array" aca="1" ref="E548" ca="1">_xludf.IFNA(IF(B548="","",VLOOKUP(B548,RM!$C$4:$G983,14,FALSE)),IFERROR(MIN(IF('S-BOM'!$B$3:$B993=$B548,'S-BOM'!$H$3:$H993,"")),""))</f>
        <v>#NAME?</v>
      </c>
      <c r="F548" s="87" t="str">
        <f t="shared" si="5"/>
        <v/>
      </c>
      <c r="G548" s="87" t="str">
        <f t="shared" si="6"/>
        <v/>
      </c>
      <c r="H548" s="87"/>
      <c r="I548" s="87"/>
      <c r="J548" s="87"/>
    </row>
    <row r="549" spans="1:10">
      <c r="A549" s="2"/>
      <c r="B549" s="2"/>
      <c r="C549" s="120" t="str">
        <f>IF(B549="","",SUMIFS('A-BOM'!$D$3:$D993,'A-BOM'!$C$3:$C993,B549,'A-BOM'!$B$3:$B993,$B$2))</f>
        <v/>
      </c>
      <c r="D549" s="120" t="str">
        <f>IFERROR(IF(B549="","",VLOOKUP(B549,RM!$C$4:$F983,3,FALSE)),"")</f>
        <v/>
      </c>
      <c r="E549" s="118" t="e">
        <f t="array" aca="1" ref="E549" ca="1">_xludf.IFNA(IF(B549="","",VLOOKUP(B549,RM!$C$4:$G983,14,FALSE)),IFERROR(MIN(IF('S-BOM'!$B$3:$B993=$B549,'S-BOM'!$H$3:$H993,"")),""))</f>
        <v>#NAME?</v>
      </c>
      <c r="F549" s="87" t="str">
        <f t="shared" si="5"/>
        <v/>
      </c>
      <c r="G549" s="87" t="str">
        <f t="shared" si="6"/>
        <v/>
      </c>
      <c r="H549" s="87"/>
      <c r="I549" s="87"/>
      <c r="J549" s="87"/>
    </row>
    <row r="550" spans="1:10">
      <c r="A550" s="2"/>
      <c r="B550" s="2"/>
      <c r="C550" s="120" t="str">
        <f>IF(B550="","",SUMIFS('A-BOM'!$D$3:$D993,'A-BOM'!$C$3:$C993,B550,'A-BOM'!$B$3:$B993,$B$2))</f>
        <v/>
      </c>
      <c r="D550" s="120" t="str">
        <f>IFERROR(IF(B550="","",VLOOKUP(B550,RM!$C$4:$F983,3,FALSE)),"")</f>
        <v/>
      </c>
      <c r="E550" s="118" t="e">
        <f t="array" aca="1" ref="E550" ca="1">_xludf.IFNA(IF(B550="","",VLOOKUP(B550,RM!$C$4:$G983,14,FALSE)),IFERROR(MIN(IF('S-BOM'!$B$3:$B993=$B550,'S-BOM'!$H$3:$H993,"")),""))</f>
        <v>#NAME?</v>
      </c>
      <c r="F550" s="87" t="str">
        <f t="shared" si="5"/>
        <v/>
      </c>
      <c r="G550" s="87" t="str">
        <f t="shared" si="6"/>
        <v/>
      </c>
      <c r="H550" s="87"/>
      <c r="I550" s="87"/>
      <c r="J550" s="87"/>
    </row>
    <row r="551" spans="1:10">
      <c r="A551" s="2"/>
      <c r="B551" s="2"/>
      <c r="C551" s="120" t="str">
        <f>IF(B551="","",SUMIFS('A-BOM'!$D$3:$D993,'A-BOM'!$C$3:$C993,B551,'A-BOM'!$B$3:$B993,$B$2))</f>
        <v/>
      </c>
      <c r="D551" s="120" t="str">
        <f>IFERROR(IF(B551="","",VLOOKUP(B551,RM!$C$4:$F983,3,FALSE)),"")</f>
        <v/>
      </c>
      <c r="E551" s="118" t="e">
        <f t="array" aca="1" ref="E551" ca="1">_xludf.IFNA(IF(B551="","",VLOOKUP(B551,RM!$C$4:$G983,14,FALSE)),IFERROR(MIN(IF('S-BOM'!$B$3:$B993=$B551,'S-BOM'!$H$3:$H993,"")),""))</f>
        <v>#NAME?</v>
      </c>
      <c r="F551" s="87" t="str">
        <f t="shared" si="5"/>
        <v/>
      </c>
      <c r="G551" s="87" t="str">
        <f t="shared" si="6"/>
        <v/>
      </c>
      <c r="H551" s="87"/>
      <c r="I551" s="87"/>
      <c r="J551" s="87"/>
    </row>
    <row r="552" spans="1:10">
      <c r="A552" s="2"/>
      <c r="B552" s="2"/>
      <c r="C552" s="120" t="str">
        <f>IF(B552="","",SUMIFS('A-BOM'!$D$3:$D993,'A-BOM'!$C$3:$C993,B552,'A-BOM'!$B$3:$B993,$B$2))</f>
        <v/>
      </c>
      <c r="D552" s="120" t="str">
        <f>IFERROR(IF(B552="","",VLOOKUP(B552,RM!$C$4:$F983,3,FALSE)),"")</f>
        <v/>
      </c>
      <c r="E552" s="118" t="e">
        <f t="array" aca="1" ref="E552" ca="1">_xludf.IFNA(IF(B552="","",VLOOKUP(B552,RM!$C$4:$G983,14,FALSE)),IFERROR(MIN(IF('S-BOM'!$B$3:$B993=$B552,'S-BOM'!$H$3:$H993,"")),""))</f>
        <v>#NAME?</v>
      </c>
      <c r="F552" s="87" t="str">
        <f t="shared" si="5"/>
        <v/>
      </c>
      <c r="G552" s="87" t="str">
        <f t="shared" si="6"/>
        <v/>
      </c>
      <c r="H552" s="87"/>
      <c r="I552" s="87"/>
      <c r="J552" s="87"/>
    </row>
    <row r="553" spans="1:10">
      <c r="A553" s="2"/>
      <c r="B553" s="2"/>
      <c r="C553" s="120" t="str">
        <f>IF(B553="","",SUMIFS('A-BOM'!$D$3:$D993,'A-BOM'!$C$3:$C993,B553,'A-BOM'!$B$3:$B993,$B$2))</f>
        <v/>
      </c>
      <c r="D553" s="120" t="str">
        <f>IFERROR(IF(B553="","",VLOOKUP(B553,RM!$C$4:$F983,3,FALSE)),"")</f>
        <v/>
      </c>
      <c r="E553" s="118" t="e">
        <f t="array" aca="1" ref="E553" ca="1">_xludf.IFNA(IF(B553="","",VLOOKUP(B553,RM!$C$4:$G983,14,FALSE)),IFERROR(MIN(IF('S-BOM'!$B$3:$B993=$B553,'S-BOM'!$H$3:$H993,"")),""))</f>
        <v>#NAME?</v>
      </c>
      <c r="F553" s="87" t="str">
        <f t="shared" si="5"/>
        <v/>
      </c>
      <c r="G553" s="87" t="str">
        <f t="shared" si="6"/>
        <v/>
      </c>
      <c r="H553" s="87"/>
      <c r="I553" s="87"/>
      <c r="J553" s="87"/>
    </row>
    <row r="554" spans="1:10">
      <c r="A554" s="2"/>
      <c r="B554" s="2"/>
      <c r="C554" s="120" t="str">
        <f>IF(B554="","",SUMIFS('A-BOM'!$D$3:$D993,'A-BOM'!$C$3:$C993,B554,'A-BOM'!$B$3:$B993,$B$2))</f>
        <v/>
      </c>
      <c r="D554" s="120" t="str">
        <f>IFERROR(IF(B554="","",VLOOKUP(B554,RM!$C$4:$F983,3,FALSE)),"")</f>
        <v/>
      </c>
      <c r="E554" s="118" t="e">
        <f t="array" aca="1" ref="E554" ca="1">_xludf.IFNA(IF(B554="","",VLOOKUP(B554,RM!$C$4:$G983,14,FALSE)),IFERROR(MIN(IF('S-BOM'!$B$3:$B993=$B554,'S-BOM'!$H$3:$H993,"")),""))</f>
        <v>#NAME?</v>
      </c>
      <c r="F554" s="87" t="str">
        <f t="shared" si="5"/>
        <v/>
      </c>
      <c r="G554" s="87" t="str">
        <f t="shared" si="6"/>
        <v/>
      </c>
      <c r="H554" s="87"/>
      <c r="I554" s="87"/>
      <c r="J554" s="87"/>
    </row>
    <row r="555" spans="1:10">
      <c r="A555" s="2"/>
      <c r="B555" s="2"/>
      <c r="C555" s="120" t="str">
        <f>IF(B555="","",SUMIFS('A-BOM'!$D$3:$D993,'A-BOM'!$C$3:$C993,B555,'A-BOM'!$B$3:$B993,$B$2))</f>
        <v/>
      </c>
      <c r="D555" s="120" t="str">
        <f>IFERROR(IF(B555="","",VLOOKUP(B555,RM!$C$4:$F983,3,FALSE)),"")</f>
        <v/>
      </c>
      <c r="E555" s="118" t="e">
        <f t="array" aca="1" ref="E555" ca="1">_xludf.IFNA(IF(B555="","",VLOOKUP(B555,RM!$C$4:$G983,14,FALSE)),IFERROR(MIN(IF('S-BOM'!$B$3:$B993=$B555,'S-BOM'!$H$3:$H993,"")),""))</f>
        <v>#NAME?</v>
      </c>
      <c r="F555" s="87" t="str">
        <f t="shared" si="5"/>
        <v/>
      </c>
      <c r="G555" s="87" t="str">
        <f t="shared" si="6"/>
        <v/>
      </c>
      <c r="H555" s="87"/>
      <c r="I555" s="87"/>
      <c r="J555" s="87"/>
    </row>
    <row r="556" spans="1:10">
      <c r="A556" s="2"/>
      <c r="B556" s="2"/>
      <c r="C556" s="120" t="str">
        <f>IF(B556="","",SUMIFS('A-BOM'!$D$3:$D993,'A-BOM'!$C$3:$C993,B556,'A-BOM'!$B$3:$B993,$B$2))</f>
        <v/>
      </c>
      <c r="D556" s="120" t="str">
        <f>IFERROR(IF(B556="","",VLOOKUP(B556,RM!$C$4:$F983,3,FALSE)),"")</f>
        <v/>
      </c>
      <c r="E556" s="118" t="e">
        <f t="array" aca="1" ref="E556" ca="1">_xludf.IFNA(IF(B556="","",VLOOKUP(B556,RM!$C$4:$G983,14,FALSE)),IFERROR(MIN(IF('S-BOM'!$B$3:$B993=$B556,'S-BOM'!$H$3:$H993,"")),""))</f>
        <v>#NAME?</v>
      </c>
      <c r="F556" s="87" t="str">
        <f t="shared" si="5"/>
        <v/>
      </c>
      <c r="G556" s="87" t="str">
        <f t="shared" si="6"/>
        <v/>
      </c>
      <c r="H556" s="87"/>
      <c r="I556" s="87"/>
      <c r="J556" s="87"/>
    </row>
    <row r="557" spans="1:10">
      <c r="A557" s="2"/>
      <c r="B557" s="2"/>
      <c r="C557" s="120" t="str">
        <f>IF(B557="","",SUMIFS('A-BOM'!$D$3:$D993,'A-BOM'!$C$3:$C993,B557,'A-BOM'!$B$3:$B993,$B$2))</f>
        <v/>
      </c>
      <c r="D557" s="120" t="str">
        <f>IFERROR(IF(B557="","",VLOOKUP(B557,RM!$C$4:$F983,3,FALSE)),"")</f>
        <v/>
      </c>
      <c r="E557" s="118" t="e">
        <f t="array" aca="1" ref="E557" ca="1">_xludf.IFNA(IF(B557="","",VLOOKUP(B557,RM!$C$4:$G983,14,FALSE)),IFERROR(MIN(IF('S-BOM'!$B$3:$B993=$B557,'S-BOM'!$H$3:$H993,"")),""))</f>
        <v>#NAME?</v>
      </c>
      <c r="F557" s="87" t="str">
        <f t="shared" si="5"/>
        <v/>
      </c>
      <c r="G557" s="87" t="str">
        <f t="shared" si="6"/>
        <v/>
      </c>
      <c r="H557" s="87"/>
      <c r="I557" s="87"/>
      <c r="J557" s="87"/>
    </row>
    <row r="558" spans="1:10">
      <c r="A558" s="2"/>
      <c r="B558" s="2"/>
      <c r="C558" s="120" t="str">
        <f>IF(B558="","",SUMIFS('A-BOM'!$D$3:$D993,'A-BOM'!$C$3:$C993,B558,'A-BOM'!$B$3:$B993,$B$2))</f>
        <v/>
      </c>
      <c r="D558" s="120" t="str">
        <f>IFERROR(IF(B558="","",VLOOKUP(B558,RM!$C$4:$F983,3,FALSE)),"")</f>
        <v/>
      </c>
      <c r="E558" s="118" t="e">
        <f t="array" aca="1" ref="E558" ca="1">_xludf.IFNA(IF(B558="","",VLOOKUP(B558,RM!$C$4:$G983,14,FALSE)),IFERROR(MIN(IF('S-BOM'!$B$3:$B993=$B558,'S-BOM'!$H$3:$H993,"")),""))</f>
        <v>#NAME?</v>
      </c>
      <c r="F558" s="87" t="str">
        <f t="shared" si="5"/>
        <v/>
      </c>
      <c r="G558" s="87" t="str">
        <f t="shared" si="6"/>
        <v/>
      </c>
      <c r="H558" s="87"/>
      <c r="I558" s="87"/>
      <c r="J558" s="87"/>
    </row>
    <row r="559" spans="1:10">
      <c r="A559" s="2"/>
      <c r="B559" s="2"/>
      <c r="C559" s="120" t="str">
        <f>IF(B559="","",SUMIFS('A-BOM'!$D$3:$D993,'A-BOM'!$C$3:$C993,B559,'A-BOM'!$B$3:$B993,$B$2))</f>
        <v/>
      </c>
      <c r="D559" s="120" t="str">
        <f>IFERROR(IF(B559="","",VLOOKUP(B559,RM!$C$4:$F983,3,FALSE)),"")</f>
        <v/>
      </c>
      <c r="E559" s="118" t="e">
        <f t="array" aca="1" ref="E559" ca="1">_xludf.IFNA(IF(B559="","",VLOOKUP(B559,RM!$C$4:$G983,14,FALSE)),IFERROR(MIN(IF('S-BOM'!$B$3:$B993=$B559,'S-BOM'!$H$3:$H993,"")),""))</f>
        <v>#NAME?</v>
      </c>
      <c r="F559" s="87" t="str">
        <f t="shared" si="5"/>
        <v/>
      </c>
      <c r="G559" s="87" t="str">
        <f t="shared" si="6"/>
        <v/>
      </c>
      <c r="H559" s="87"/>
      <c r="I559" s="87"/>
      <c r="J559" s="87"/>
    </row>
    <row r="560" spans="1:10">
      <c r="A560" s="2"/>
      <c r="B560" s="2"/>
      <c r="C560" s="120" t="str">
        <f>IF(B560="","",SUMIFS('A-BOM'!$D$3:$D993,'A-BOM'!$C$3:$C993,B560,'A-BOM'!$B$3:$B993,$B$2))</f>
        <v/>
      </c>
      <c r="D560" s="120" t="str">
        <f>IFERROR(IF(B560="","",VLOOKUP(B560,RM!$C$4:$F983,3,FALSE)),"")</f>
        <v/>
      </c>
      <c r="E560" s="118" t="e">
        <f t="array" aca="1" ref="E560" ca="1">_xludf.IFNA(IF(B560="","",VLOOKUP(B560,RM!$C$4:$G983,14,FALSE)),IFERROR(MIN(IF('S-BOM'!$B$3:$B993=$B560,'S-BOM'!$H$3:$H993,"")),""))</f>
        <v>#NAME?</v>
      </c>
      <c r="F560" s="87" t="str">
        <f t="shared" si="5"/>
        <v/>
      </c>
      <c r="G560" s="87" t="str">
        <f t="shared" si="6"/>
        <v/>
      </c>
      <c r="H560" s="87"/>
      <c r="I560" s="87"/>
      <c r="J560" s="87"/>
    </row>
    <row r="561" spans="1:10">
      <c r="A561" s="2"/>
      <c r="B561" s="2"/>
      <c r="C561" s="120" t="str">
        <f>IF(B561="","",SUMIFS('A-BOM'!$D$3:$D993,'A-BOM'!$C$3:$C993,B561,'A-BOM'!$B$3:$B993,$B$2))</f>
        <v/>
      </c>
      <c r="D561" s="120" t="str">
        <f>IFERROR(IF(B561="","",VLOOKUP(B561,RM!$C$4:$F983,3,FALSE)),"")</f>
        <v/>
      </c>
      <c r="E561" s="118" t="e">
        <f t="array" aca="1" ref="E561" ca="1">_xludf.IFNA(IF(B561="","",VLOOKUP(B561,RM!$C$4:$G983,14,FALSE)),IFERROR(MIN(IF('S-BOM'!$B$3:$B993=$B561,'S-BOM'!$H$3:$H993,"")),""))</f>
        <v>#NAME?</v>
      </c>
      <c r="F561" s="87" t="str">
        <f t="shared" si="5"/>
        <v/>
      </c>
      <c r="G561" s="87" t="str">
        <f t="shared" si="6"/>
        <v/>
      </c>
      <c r="H561" s="87"/>
      <c r="I561" s="87"/>
      <c r="J561" s="87"/>
    </row>
    <row r="562" spans="1:10">
      <c r="A562" s="2"/>
      <c r="B562" s="2"/>
      <c r="C562" s="120" t="str">
        <f>IF(B562="","",SUMIFS('A-BOM'!$D$3:$D993,'A-BOM'!$C$3:$C993,B562,'A-BOM'!$B$3:$B993,$B$2))</f>
        <v/>
      </c>
      <c r="D562" s="120" t="str">
        <f>IFERROR(IF(B562="","",VLOOKUP(B562,RM!$C$4:$F983,3,FALSE)),"")</f>
        <v/>
      </c>
      <c r="E562" s="118" t="e">
        <f t="array" aca="1" ref="E562" ca="1">_xludf.IFNA(IF(B562="","",VLOOKUP(B562,RM!$C$4:$G983,14,FALSE)),IFERROR(MIN(IF('S-BOM'!$B$3:$B993=$B562,'S-BOM'!$H$3:$H993,"")),""))</f>
        <v>#NAME?</v>
      </c>
      <c r="F562" s="87" t="str">
        <f t="shared" si="5"/>
        <v/>
      </c>
      <c r="G562" s="87" t="str">
        <f t="shared" si="6"/>
        <v/>
      </c>
      <c r="H562" s="87"/>
      <c r="I562" s="87"/>
      <c r="J562" s="87"/>
    </row>
    <row r="563" spans="1:10">
      <c r="A563" s="2"/>
      <c r="B563" s="2"/>
      <c r="C563" s="120" t="str">
        <f>IF(B563="","",SUMIFS('A-BOM'!$D$3:$D993,'A-BOM'!$C$3:$C993,B563,'A-BOM'!$B$3:$B993,$B$2))</f>
        <v/>
      </c>
      <c r="D563" s="120" t="str">
        <f>IFERROR(IF(B563="","",VLOOKUP(B563,RM!$C$4:$F983,3,FALSE)),"")</f>
        <v/>
      </c>
      <c r="E563" s="118" t="e">
        <f t="array" aca="1" ref="E563" ca="1">_xludf.IFNA(IF(B563="","",VLOOKUP(B563,RM!$C$4:$G983,14,FALSE)),IFERROR(MIN(IF('S-BOM'!$B$3:$B993=$B563,'S-BOM'!$H$3:$H993,"")),""))</f>
        <v>#NAME?</v>
      </c>
      <c r="F563" s="87" t="str">
        <f t="shared" si="5"/>
        <v/>
      </c>
      <c r="G563" s="87" t="str">
        <f t="shared" si="6"/>
        <v/>
      </c>
      <c r="H563" s="87"/>
      <c r="I563" s="87"/>
      <c r="J563" s="87"/>
    </row>
    <row r="564" spans="1:10">
      <c r="A564" s="2"/>
      <c r="B564" s="2"/>
      <c r="C564" s="120" t="str">
        <f>IF(B564="","",SUMIFS('A-BOM'!$D$3:$D993,'A-BOM'!$C$3:$C993,B564,'A-BOM'!$B$3:$B993,$B$2))</f>
        <v/>
      </c>
      <c r="D564" s="120" t="str">
        <f>IFERROR(IF(B564="","",VLOOKUP(B564,RM!$C$4:$F983,3,FALSE)),"")</f>
        <v/>
      </c>
      <c r="E564" s="118" t="e">
        <f t="array" aca="1" ref="E564" ca="1">_xludf.IFNA(IF(B564="","",VLOOKUP(B564,RM!$C$4:$G983,14,FALSE)),IFERROR(MIN(IF('S-BOM'!$B$3:$B993=$B564,'S-BOM'!$H$3:$H993,"")),""))</f>
        <v>#NAME?</v>
      </c>
      <c r="F564" s="87" t="str">
        <f t="shared" si="5"/>
        <v/>
      </c>
      <c r="G564" s="87" t="str">
        <f t="shared" si="6"/>
        <v/>
      </c>
      <c r="H564" s="87"/>
      <c r="I564" s="87"/>
      <c r="J564" s="87"/>
    </row>
    <row r="565" spans="1:10">
      <c r="A565" s="2"/>
      <c r="B565" s="2"/>
      <c r="C565" s="120" t="str">
        <f>IF(B565="","",SUMIFS('A-BOM'!$D$3:$D993,'A-BOM'!$C$3:$C993,B565,'A-BOM'!$B$3:$B993,$B$2))</f>
        <v/>
      </c>
      <c r="D565" s="120" t="str">
        <f>IFERROR(IF(B565="","",VLOOKUP(B565,RM!$C$4:$F983,3,FALSE)),"")</f>
        <v/>
      </c>
      <c r="E565" s="118" t="e">
        <f t="array" aca="1" ref="E565" ca="1">_xludf.IFNA(IF(B565="","",VLOOKUP(B565,RM!$C$4:$G983,14,FALSE)),IFERROR(MIN(IF('S-BOM'!$B$3:$B993=$B565,'S-BOM'!$H$3:$H993,"")),""))</f>
        <v>#NAME?</v>
      </c>
      <c r="F565" s="87" t="str">
        <f t="shared" si="5"/>
        <v/>
      </c>
      <c r="G565" s="87" t="str">
        <f t="shared" si="6"/>
        <v/>
      </c>
      <c r="H565" s="87"/>
      <c r="I565" s="87"/>
      <c r="J565" s="87"/>
    </row>
    <row r="566" spans="1:10">
      <c r="A566" s="2"/>
      <c r="B566" s="2"/>
      <c r="C566" s="120" t="str">
        <f>IF(B566="","",SUMIFS('A-BOM'!$D$3:$D993,'A-BOM'!$C$3:$C993,B566,'A-BOM'!$B$3:$B993,$B$2))</f>
        <v/>
      </c>
      <c r="D566" s="120" t="str">
        <f>IFERROR(IF(B566="","",VLOOKUP(B566,RM!$C$4:$F983,3,FALSE)),"")</f>
        <v/>
      </c>
      <c r="E566" s="118" t="e">
        <f t="array" aca="1" ref="E566" ca="1">_xludf.IFNA(IF(B566="","",VLOOKUP(B566,RM!$C$4:$G983,14,FALSE)),IFERROR(MIN(IF('S-BOM'!$B$3:$B993=$B566,'S-BOM'!$H$3:$H993,"")),""))</f>
        <v>#NAME?</v>
      </c>
      <c r="F566" s="87" t="str">
        <f t="shared" si="5"/>
        <v/>
      </c>
      <c r="G566" s="87" t="str">
        <f t="shared" si="6"/>
        <v/>
      </c>
      <c r="H566" s="87"/>
      <c r="I566" s="87"/>
      <c r="J566" s="87"/>
    </row>
    <row r="567" spans="1:10">
      <c r="A567" s="2"/>
      <c r="B567" s="2"/>
      <c r="C567" s="120" t="str">
        <f>IF(B567="","",SUMIFS('A-BOM'!$D$3:$D993,'A-BOM'!$C$3:$C993,B567,'A-BOM'!$B$3:$B993,$B$2))</f>
        <v/>
      </c>
      <c r="D567" s="120" t="str">
        <f>IFERROR(IF(B567="","",VLOOKUP(B567,RM!$C$4:$F983,3,FALSE)),"")</f>
        <v/>
      </c>
      <c r="E567" s="118" t="e">
        <f t="array" aca="1" ref="E567" ca="1">_xludf.IFNA(IF(B567="","",VLOOKUP(B567,RM!$C$4:$G983,14,FALSE)),IFERROR(MIN(IF('S-BOM'!$B$3:$B993=$B567,'S-BOM'!$H$3:$H993,"")),""))</f>
        <v>#NAME?</v>
      </c>
      <c r="F567" s="87" t="str">
        <f t="shared" si="5"/>
        <v/>
      </c>
      <c r="G567" s="87" t="str">
        <f t="shared" si="6"/>
        <v/>
      </c>
      <c r="H567" s="87"/>
      <c r="I567" s="87"/>
      <c r="J567" s="87"/>
    </row>
    <row r="568" spans="1:10">
      <c r="A568" s="2"/>
      <c r="B568" s="2"/>
      <c r="C568" s="120" t="str">
        <f>IF(B568="","",SUMIFS('A-BOM'!$D$3:$D993,'A-BOM'!$C$3:$C993,B568,'A-BOM'!$B$3:$B993,$B$2))</f>
        <v/>
      </c>
      <c r="D568" s="120" t="str">
        <f>IFERROR(IF(B568="","",VLOOKUP(B568,RM!$C$4:$F983,3,FALSE)),"")</f>
        <v/>
      </c>
      <c r="E568" s="118" t="e">
        <f t="array" aca="1" ref="E568" ca="1">_xludf.IFNA(IF(B568="","",VLOOKUP(B568,RM!$C$4:$G983,14,FALSE)),IFERROR(MIN(IF('S-BOM'!$B$3:$B993=$B568,'S-BOM'!$H$3:$H993,"")),""))</f>
        <v>#NAME?</v>
      </c>
      <c r="F568" s="87" t="str">
        <f t="shared" si="5"/>
        <v/>
      </c>
      <c r="G568" s="87" t="str">
        <f t="shared" si="6"/>
        <v/>
      </c>
      <c r="H568" s="87"/>
      <c r="I568" s="87"/>
      <c r="J568" s="87"/>
    </row>
    <row r="569" spans="1:10">
      <c r="A569" s="2"/>
      <c r="B569" s="2"/>
      <c r="C569" s="120" t="str">
        <f>IF(B569="","",SUMIFS('A-BOM'!$D$3:$D993,'A-BOM'!$C$3:$C993,B569,'A-BOM'!$B$3:$B993,$B$2))</f>
        <v/>
      </c>
      <c r="D569" s="120" t="str">
        <f>IFERROR(IF(B569="","",VLOOKUP(B569,RM!$C$4:$F983,3,FALSE)),"")</f>
        <v/>
      </c>
      <c r="E569" s="118" t="e">
        <f t="array" aca="1" ref="E569" ca="1">_xludf.IFNA(IF(B569="","",VLOOKUP(B569,RM!$C$4:$G983,14,FALSE)),IFERROR(MIN(IF('S-BOM'!$B$3:$B993=$B569,'S-BOM'!$H$3:$H993,"")),""))</f>
        <v>#NAME?</v>
      </c>
      <c r="F569" s="87" t="str">
        <f t="shared" si="5"/>
        <v/>
      </c>
      <c r="G569" s="87" t="str">
        <f t="shared" si="6"/>
        <v/>
      </c>
      <c r="H569" s="87"/>
      <c r="I569" s="87"/>
      <c r="J569" s="87"/>
    </row>
    <row r="570" spans="1:10">
      <c r="A570" s="2"/>
      <c r="B570" s="2"/>
      <c r="C570" s="120" t="str">
        <f>IF(B570="","",SUMIFS('A-BOM'!$D$3:$D993,'A-BOM'!$C$3:$C993,B570,'A-BOM'!$B$3:$B993,$B$2))</f>
        <v/>
      </c>
      <c r="D570" s="120" t="str">
        <f>IFERROR(IF(B570="","",VLOOKUP(B570,RM!$C$4:$F983,3,FALSE)),"")</f>
        <v/>
      </c>
      <c r="E570" s="118" t="e">
        <f t="array" aca="1" ref="E570" ca="1">_xludf.IFNA(IF(B570="","",VLOOKUP(B570,RM!$C$4:$G983,14,FALSE)),IFERROR(MIN(IF('S-BOM'!$B$3:$B993=$B570,'S-BOM'!$H$3:$H993,"")),""))</f>
        <v>#NAME?</v>
      </c>
      <c r="F570" s="87" t="str">
        <f t="shared" si="5"/>
        <v/>
      </c>
      <c r="G570" s="87" t="str">
        <f t="shared" si="6"/>
        <v/>
      </c>
      <c r="H570" s="87"/>
      <c r="I570" s="87"/>
      <c r="J570" s="87"/>
    </row>
    <row r="571" spans="1:10">
      <c r="A571" s="2"/>
      <c r="B571" s="2"/>
      <c r="C571" s="120" t="str">
        <f>IF(B571="","",SUMIFS('A-BOM'!$D$3:$D993,'A-BOM'!$C$3:$C993,B571,'A-BOM'!$B$3:$B993,$B$2))</f>
        <v/>
      </c>
      <c r="D571" s="120" t="str">
        <f>IFERROR(IF(B571="","",VLOOKUP(B571,RM!$C$4:$F983,3,FALSE)),"")</f>
        <v/>
      </c>
      <c r="E571" s="118" t="e">
        <f t="array" aca="1" ref="E571" ca="1">_xludf.IFNA(IF(B571="","",VLOOKUP(B571,RM!$C$4:$G983,14,FALSE)),IFERROR(MIN(IF('S-BOM'!$B$3:$B993=$B571,'S-BOM'!$H$3:$H993,"")),""))</f>
        <v>#NAME?</v>
      </c>
      <c r="F571" s="87" t="str">
        <f t="shared" si="5"/>
        <v/>
      </c>
      <c r="G571" s="87" t="str">
        <f t="shared" si="6"/>
        <v/>
      </c>
      <c r="H571" s="87"/>
      <c r="I571" s="87"/>
      <c r="J571" s="87"/>
    </row>
    <row r="572" spans="1:10">
      <c r="A572" s="2"/>
      <c r="B572" s="2"/>
      <c r="C572" s="120" t="str">
        <f>IF(B572="","",SUMIFS('A-BOM'!$D$3:$D993,'A-BOM'!$C$3:$C993,B572,'A-BOM'!$B$3:$B993,$B$2))</f>
        <v/>
      </c>
      <c r="D572" s="120" t="str">
        <f>IFERROR(IF(B572="","",VLOOKUP(B572,RM!$C$4:$F983,3,FALSE)),"")</f>
        <v/>
      </c>
      <c r="E572" s="118" t="e">
        <f t="array" aca="1" ref="E572" ca="1">_xludf.IFNA(IF(B572="","",VLOOKUP(B572,RM!$C$4:$G983,14,FALSE)),IFERROR(MIN(IF('S-BOM'!$B$3:$B993=$B572,'S-BOM'!$H$3:$H993,"")),""))</f>
        <v>#NAME?</v>
      </c>
      <c r="F572" s="87" t="str">
        <f t="shared" si="5"/>
        <v/>
      </c>
      <c r="G572" s="87" t="str">
        <f t="shared" si="6"/>
        <v/>
      </c>
      <c r="H572" s="87"/>
      <c r="I572" s="87"/>
      <c r="J572" s="87"/>
    </row>
    <row r="573" spans="1:10">
      <c r="A573" s="2"/>
      <c r="B573" s="2"/>
      <c r="C573" s="120" t="str">
        <f>IF(B573="","",SUMIFS('A-BOM'!$D$3:$D993,'A-BOM'!$C$3:$C993,B573,'A-BOM'!$B$3:$B993,$B$2))</f>
        <v/>
      </c>
      <c r="D573" s="120" t="str">
        <f>IFERROR(IF(B573="","",VLOOKUP(B573,RM!$C$4:$F983,3,FALSE)),"")</f>
        <v/>
      </c>
      <c r="E573" s="118" t="e">
        <f t="array" aca="1" ref="E573" ca="1">_xludf.IFNA(IF(B573="","",VLOOKUP(B573,RM!$C$4:$G983,14,FALSE)),IFERROR(MIN(IF('S-BOM'!$B$3:$B993=$B573,'S-BOM'!$H$3:$H993,"")),""))</f>
        <v>#NAME?</v>
      </c>
      <c r="F573" s="87" t="str">
        <f t="shared" si="5"/>
        <v/>
      </c>
      <c r="G573" s="87" t="str">
        <f t="shared" si="6"/>
        <v/>
      </c>
      <c r="H573" s="87"/>
      <c r="I573" s="87"/>
      <c r="J573" s="87"/>
    </row>
    <row r="574" spans="1:10">
      <c r="A574" s="2"/>
      <c r="B574" s="2"/>
      <c r="C574" s="120" t="str">
        <f>IF(B574="","",SUMIFS('A-BOM'!$D$3:$D993,'A-BOM'!$C$3:$C993,B574,'A-BOM'!$B$3:$B993,$B$2))</f>
        <v/>
      </c>
      <c r="D574" s="120" t="str">
        <f>IFERROR(IF(B574="","",VLOOKUP(B574,RM!$C$4:$F983,3,FALSE)),"")</f>
        <v/>
      </c>
      <c r="E574" s="118" t="e">
        <f t="array" aca="1" ref="E574" ca="1">_xludf.IFNA(IF(B574="","",VLOOKUP(B574,RM!$C$4:$G983,14,FALSE)),IFERROR(MIN(IF('S-BOM'!$B$3:$B993=$B574,'S-BOM'!$H$3:$H993,"")),""))</f>
        <v>#NAME?</v>
      </c>
      <c r="F574" s="87" t="str">
        <f t="shared" si="5"/>
        <v/>
      </c>
      <c r="G574" s="87" t="str">
        <f t="shared" si="6"/>
        <v/>
      </c>
      <c r="H574" s="87"/>
      <c r="I574" s="87"/>
      <c r="J574" s="87"/>
    </row>
    <row r="575" spans="1:10">
      <c r="A575" s="2"/>
      <c r="B575" s="2"/>
      <c r="C575" s="120" t="str">
        <f>IF(B575="","",SUMIFS('A-BOM'!$D$3:$D993,'A-BOM'!$C$3:$C993,B575,'A-BOM'!$B$3:$B993,$B$2))</f>
        <v/>
      </c>
      <c r="D575" s="120" t="str">
        <f>IFERROR(IF(B575="","",VLOOKUP(B575,RM!$C$4:$F983,3,FALSE)),"")</f>
        <v/>
      </c>
      <c r="E575" s="118" t="e">
        <f t="array" aca="1" ref="E575" ca="1">_xludf.IFNA(IF(B575="","",VLOOKUP(B575,RM!$C$4:$G983,14,FALSE)),IFERROR(MIN(IF('S-BOM'!$B$3:$B993=$B575,'S-BOM'!$H$3:$H993,"")),""))</f>
        <v>#NAME?</v>
      </c>
      <c r="F575" s="87" t="str">
        <f t="shared" si="5"/>
        <v/>
      </c>
      <c r="G575" s="87" t="str">
        <f t="shared" si="6"/>
        <v/>
      </c>
      <c r="H575" s="87"/>
      <c r="I575" s="87"/>
      <c r="J575" s="87"/>
    </row>
    <row r="576" spans="1:10">
      <c r="A576" s="2"/>
      <c r="B576" s="2"/>
      <c r="C576" s="120" t="str">
        <f>IF(B576="","",SUMIFS('A-BOM'!$D$3:$D993,'A-BOM'!$C$3:$C993,B576,'A-BOM'!$B$3:$B993,$B$2))</f>
        <v/>
      </c>
      <c r="D576" s="120" t="str">
        <f>IFERROR(IF(B576="","",VLOOKUP(B576,RM!$C$4:$F983,3,FALSE)),"")</f>
        <v/>
      </c>
      <c r="E576" s="118" t="e">
        <f t="array" aca="1" ref="E576" ca="1">_xludf.IFNA(IF(B576="","",VLOOKUP(B576,RM!$C$4:$G983,14,FALSE)),IFERROR(MIN(IF('S-BOM'!$B$3:$B993=$B576,'S-BOM'!$H$3:$H993,"")),""))</f>
        <v>#NAME?</v>
      </c>
      <c r="F576" s="87" t="str">
        <f t="shared" si="5"/>
        <v/>
      </c>
      <c r="G576" s="87" t="str">
        <f t="shared" si="6"/>
        <v/>
      </c>
      <c r="H576" s="87"/>
      <c r="I576" s="87"/>
      <c r="J576" s="87"/>
    </row>
    <row r="577" spans="1:10">
      <c r="A577" s="2"/>
      <c r="B577" s="2"/>
      <c r="C577" s="120" t="str">
        <f>IF(B577="","",SUMIFS('A-BOM'!$D$3:$D993,'A-BOM'!$C$3:$C993,B577,'A-BOM'!$B$3:$B993,$B$2))</f>
        <v/>
      </c>
      <c r="D577" s="120" t="str">
        <f>IFERROR(IF(B577="","",VLOOKUP(B577,RM!$C$4:$F983,3,FALSE)),"")</f>
        <v/>
      </c>
      <c r="E577" s="118" t="e">
        <f t="array" aca="1" ref="E577" ca="1">_xludf.IFNA(IF(B577="","",VLOOKUP(B577,RM!$C$4:$G983,14,FALSE)),IFERROR(MIN(IF('S-BOM'!$B$3:$B993=$B577,'S-BOM'!$H$3:$H993,"")),""))</f>
        <v>#NAME?</v>
      </c>
      <c r="F577" s="87" t="str">
        <f t="shared" si="5"/>
        <v/>
      </c>
      <c r="G577" s="87" t="str">
        <f t="shared" si="6"/>
        <v/>
      </c>
      <c r="H577" s="87"/>
      <c r="I577" s="87"/>
      <c r="J577" s="87"/>
    </row>
    <row r="578" spans="1:10">
      <c r="A578" s="2"/>
      <c r="B578" s="2"/>
      <c r="C578" s="120" t="str">
        <f>IF(B578="","",SUMIFS('A-BOM'!$D$3:$D993,'A-BOM'!$C$3:$C993,B578,'A-BOM'!$B$3:$B993,$B$2))</f>
        <v/>
      </c>
      <c r="D578" s="120" t="str">
        <f>IFERROR(IF(B578="","",VLOOKUP(B578,RM!$C$4:$F983,3,FALSE)),"")</f>
        <v/>
      </c>
      <c r="E578" s="118" t="e">
        <f t="array" aca="1" ref="E578" ca="1">_xludf.IFNA(IF(B578="","",VLOOKUP(B578,RM!$C$4:$G983,14,FALSE)),IFERROR(MIN(IF('S-BOM'!$B$3:$B993=$B578,'S-BOM'!$H$3:$H993,"")),""))</f>
        <v>#NAME?</v>
      </c>
      <c r="F578" s="87" t="str">
        <f t="shared" si="5"/>
        <v/>
      </c>
      <c r="G578" s="87" t="str">
        <f t="shared" si="6"/>
        <v/>
      </c>
      <c r="H578" s="87"/>
      <c r="I578" s="87"/>
      <c r="J578" s="87"/>
    </row>
    <row r="579" spans="1:10">
      <c r="A579" s="2"/>
      <c r="B579" s="2"/>
      <c r="C579" s="120" t="str">
        <f>IF(B579="","",SUMIFS('A-BOM'!$D$3:$D993,'A-BOM'!$C$3:$C993,B579,'A-BOM'!$B$3:$B993,$B$2))</f>
        <v/>
      </c>
      <c r="D579" s="120" t="str">
        <f>IFERROR(IF(B579="","",VLOOKUP(B579,RM!$C$4:$F983,3,FALSE)),"")</f>
        <v/>
      </c>
      <c r="E579" s="118" t="e">
        <f t="array" aca="1" ref="E579" ca="1">_xludf.IFNA(IF(B579="","",VLOOKUP(B579,RM!$C$4:$G983,14,FALSE)),IFERROR(MIN(IF('S-BOM'!$B$3:$B993=$B579,'S-BOM'!$H$3:$H993,"")),""))</f>
        <v>#NAME?</v>
      </c>
      <c r="F579" s="87" t="str">
        <f t="shared" si="5"/>
        <v/>
      </c>
      <c r="G579" s="87" t="str">
        <f t="shared" si="6"/>
        <v/>
      </c>
      <c r="H579" s="87"/>
      <c r="I579" s="87"/>
      <c r="J579" s="87"/>
    </row>
    <row r="580" spans="1:10">
      <c r="A580" s="2"/>
      <c r="B580" s="2"/>
      <c r="C580" s="120" t="str">
        <f>IF(B580="","",SUMIFS('A-BOM'!$D$3:$D993,'A-BOM'!$C$3:$C993,B580,'A-BOM'!$B$3:$B993,$B$2))</f>
        <v/>
      </c>
      <c r="D580" s="120" t="str">
        <f>IFERROR(IF(B580="","",VLOOKUP(B580,RM!$C$4:$F983,3,FALSE)),"")</f>
        <v/>
      </c>
      <c r="E580" s="118" t="e">
        <f t="array" aca="1" ref="E580" ca="1">_xludf.IFNA(IF(B580="","",VLOOKUP(B580,RM!$C$4:$G983,14,FALSE)),IFERROR(MIN(IF('S-BOM'!$B$3:$B993=$B580,'S-BOM'!$H$3:$H993,"")),""))</f>
        <v>#NAME?</v>
      </c>
      <c r="F580" s="87" t="str">
        <f t="shared" si="5"/>
        <v/>
      </c>
      <c r="G580" s="87" t="str">
        <f t="shared" si="6"/>
        <v/>
      </c>
      <c r="H580" s="87"/>
      <c r="I580" s="87"/>
      <c r="J580" s="87"/>
    </row>
    <row r="581" spans="1:10">
      <c r="A581" s="2"/>
      <c r="B581" s="2"/>
      <c r="C581" s="120" t="str">
        <f>IF(B581="","",SUMIFS('A-BOM'!$D$3:$D993,'A-BOM'!$C$3:$C993,B581,'A-BOM'!$B$3:$B993,$B$2))</f>
        <v/>
      </c>
      <c r="D581" s="120" t="str">
        <f>IFERROR(IF(B581="","",VLOOKUP(B581,RM!$C$4:$F983,3,FALSE)),"")</f>
        <v/>
      </c>
      <c r="E581" s="118" t="e">
        <f t="array" aca="1" ref="E581" ca="1">_xludf.IFNA(IF(B581="","",VLOOKUP(B581,RM!$C$4:$G983,14,FALSE)),IFERROR(MIN(IF('S-BOM'!$B$3:$B993=$B581,'S-BOM'!$H$3:$H993,"")),""))</f>
        <v>#NAME?</v>
      </c>
      <c r="F581" s="87" t="str">
        <f t="shared" si="5"/>
        <v/>
      </c>
      <c r="G581" s="87" t="str">
        <f t="shared" si="6"/>
        <v/>
      </c>
      <c r="H581" s="87"/>
      <c r="I581" s="87"/>
      <c r="J581" s="87"/>
    </row>
    <row r="582" spans="1:10">
      <c r="A582" s="2"/>
      <c r="B582" s="2"/>
      <c r="C582" s="120" t="str">
        <f>IF(B582="","",SUMIFS('A-BOM'!$D$3:$D993,'A-BOM'!$C$3:$C993,B582,'A-BOM'!$B$3:$B993,$B$2))</f>
        <v/>
      </c>
      <c r="D582" s="120" t="str">
        <f>IFERROR(IF(B582="","",VLOOKUP(B582,RM!$C$4:$F983,3,FALSE)),"")</f>
        <v/>
      </c>
      <c r="E582" s="118" t="e">
        <f t="array" aca="1" ref="E582" ca="1">_xludf.IFNA(IF(B582="","",VLOOKUP(B582,RM!$C$4:$G983,14,FALSE)),IFERROR(MIN(IF('S-BOM'!$B$3:$B993=$B582,'S-BOM'!$H$3:$H993,"")),""))</f>
        <v>#NAME?</v>
      </c>
      <c r="F582" s="87" t="str">
        <f t="shared" si="5"/>
        <v/>
      </c>
      <c r="G582" s="87" t="str">
        <f t="shared" si="6"/>
        <v/>
      </c>
      <c r="H582" s="87"/>
      <c r="I582" s="87"/>
      <c r="J582" s="87"/>
    </row>
    <row r="583" spans="1:10">
      <c r="A583" s="2"/>
      <c r="B583" s="2"/>
      <c r="C583" s="120" t="str">
        <f>IF(B583="","",SUMIFS('A-BOM'!$D$3:$D993,'A-BOM'!$C$3:$C993,B583,'A-BOM'!$B$3:$B993,$B$2))</f>
        <v/>
      </c>
      <c r="D583" s="120" t="str">
        <f>IFERROR(IF(B583="","",VLOOKUP(B583,RM!$C$4:$F983,3,FALSE)),"")</f>
        <v/>
      </c>
      <c r="E583" s="118" t="e">
        <f t="array" aca="1" ref="E583" ca="1">_xludf.IFNA(IF(B583="","",VLOOKUP(B583,RM!$C$4:$G983,14,FALSE)),IFERROR(MIN(IF('S-BOM'!$B$3:$B993=$B583,'S-BOM'!$H$3:$H993,"")),""))</f>
        <v>#NAME?</v>
      </c>
      <c r="F583" s="87" t="str">
        <f t="shared" si="5"/>
        <v/>
      </c>
      <c r="G583" s="87" t="str">
        <f t="shared" si="6"/>
        <v/>
      </c>
      <c r="H583" s="87"/>
      <c r="I583" s="87"/>
      <c r="J583" s="87"/>
    </row>
    <row r="584" spans="1:10">
      <c r="A584" s="2"/>
      <c r="B584" s="2"/>
      <c r="C584" s="120" t="str">
        <f>IF(B584="","",SUMIFS('A-BOM'!$D$3:$D993,'A-BOM'!$C$3:$C993,B584,'A-BOM'!$B$3:$B993,$B$2))</f>
        <v/>
      </c>
      <c r="D584" s="120" t="str">
        <f>IFERROR(IF(B584="","",VLOOKUP(B584,RM!$C$4:$F983,3,FALSE)),"")</f>
        <v/>
      </c>
      <c r="E584" s="118" t="e">
        <f t="array" aca="1" ref="E584" ca="1">_xludf.IFNA(IF(B584="","",VLOOKUP(B584,RM!$C$4:$G983,14,FALSE)),IFERROR(MIN(IF('S-BOM'!$B$3:$B993=$B584,'S-BOM'!$H$3:$H993,"")),""))</f>
        <v>#NAME?</v>
      </c>
      <c r="F584" s="87" t="str">
        <f t="shared" si="5"/>
        <v/>
      </c>
      <c r="G584" s="87" t="str">
        <f t="shared" si="6"/>
        <v/>
      </c>
      <c r="H584" s="87"/>
      <c r="I584" s="87"/>
      <c r="J584" s="87"/>
    </row>
    <row r="585" spans="1:10">
      <c r="A585" s="2"/>
      <c r="B585" s="2"/>
      <c r="C585" s="120" t="str">
        <f>IF(B585="","",SUMIFS('A-BOM'!$D$3:$D993,'A-BOM'!$C$3:$C993,B585,'A-BOM'!$B$3:$B993,$B$2))</f>
        <v/>
      </c>
      <c r="D585" s="120" t="str">
        <f>IFERROR(IF(B585="","",VLOOKUP(B585,RM!$C$4:$F983,3,FALSE)),"")</f>
        <v/>
      </c>
      <c r="E585" s="118" t="e">
        <f t="array" aca="1" ref="E585" ca="1">_xludf.IFNA(IF(B585="","",VLOOKUP(B585,RM!$C$4:$G983,14,FALSE)),IFERROR(MIN(IF('S-BOM'!$B$3:$B993=$B585,'S-BOM'!$H$3:$H993,"")),""))</f>
        <v>#NAME?</v>
      </c>
      <c r="F585" s="87" t="str">
        <f t="shared" si="5"/>
        <v/>
      </c>
      <c r="G585" s="87" t="str">
        <f t="shared" si="6"/>
        <v/>
      </c>
      <c r="H585" s="87"/>
      <c r="I585" s="87"/>
      <c r="J585" s="87"/>
    </row>
    <row r="586" spans="1:10">
      <c r="A586" s="2"/>
      <c r="B586" s="2"/>
      <c r="C586" s="120" t="str">
        <f>IF(B586="","",SUMIFS('A-BOM'!$D$3:$D993,'A-BOM'!$C$3:$C993,B586,'A-BOM'!$B$3:$B993,$B$2))</f>
        <v/>
      </c>
      <c r="D586" s="120" t="str">
        <f>IFERROR(IF(B586="","",VLOOKUP(B586,RM!$C$4:$F983,3,FALSE)),"")</f>
        <v/>
      </c>
      <c r="E586" s="118" t="e">
        <f t="array" aca="1" ref="E586" ca="1">_xludf.IFNA(IF(B586="","",VLOOKUP(B586,RM!$C$4:$G983,14,FALSE)),IFERROR(MIN(IF('S-BOM'!$B$3:$B993=$B586,'S-BOM'!$H$3:$H993,"")),""))</f>
        <v>#NAME?</v>
      </c>
      <c r="F586" s="87" t="str">
        <f t="shared" si="5"/>
        <v/>
      </c>
      <c r="G586" s="87" t="str">
        <f t="shared" si="6"/>
        <v/>
      </c>
      <c r="H586" s="87"/>
      <c r="I586" s="87"/>
      <c r="J586" s="87"/>
    </row>
    <row r="587" spans="1:10">
      <c r="A587" s="2"/>
      <c r="B587" s="2"/>
      <c r="C587" s="120" t="str">
        <f>IF(B587="","",SUMIFS('A-BOM'!$D$3:$D993,'A-BOM'!$C$3:$C993,B587,'A-BOM'!$B$3:$B993,$B$2))</f>
        <v/>
      </c>
      <c r="D587" s="120" t="str">
        <f>IFERROR(IF(B587="","",VLOOKUP(B587,RM!$C$4:$F983,3,FALSE)),"")</f>
        <v/>
      </c>
      <c r="E587" s="118" t="e">
        <f t="array" aca="1" ref="E587" ca="1">_xludf.IFNA(IF(B587="","",VLOOKUP(B587,RM!$C$4:$G983,14,FALSE)),IFERROR(MIN(IF('S-BOM'!$B$3:$B993=$B587,'S-BOM'!$H$3:$H993,"")),""))</f>
        <v>#NAME?</v>
      </c>
      <c r="F587" s="87" t="str">
        <f t="shared" si="5"/>
        <v/>
      </c>
      <c r="G587" s="87" t="str">
        <f t="shared" si="6"/>
        <v/>
      </c>
      <c r="H587" s="87"/>
      <c r="I587" s="87"/>
      <c r="J587" s="87"/>
    </row>
    <row r="588" spans="1:10">
      <c r="A588" s="2"/>
      <c r="B588" s="2"/>
      <c r="C588" s="120" t="str">
        <f>IF(B588="","",SUMIFS('A-BOM'!$D$3:$D993,'A-BOM'!$C$3:$C993,B588,'A-BOM'!$B$3:$B993,$B$2))</f>
        <v/>
      </c>
      <c r="D588" s="120" t="str">
        <f>IFERROR(IF(B588="","",VLOOKUP(B588,RM!$C$4:$F983,3,FALSE)),"")</f>
        <v/>
      </c>
      <c r="E588" s="118" t="e">
        <f t="array" aca="1" ref="E588" ca="1">_xludf.IFNA(IF(B588="","",VLOOKUP(B588,RM!$C$4:$G983,14,FALSE)),IFERROR(MIN(IF('S-BOM'!$B$3:$B993=$B588,'S-BOM'!$H$3:$H993,"")),""))</f>
        <v>#NAME?</v>
      </c>
      <c r="F588" s="87" t="str">
        <f t="shared" si="5"/>
        <v/>
      </c>
      <c r="G588" s="87" t="str">
        <f t="shared" si="6"/>
        <v/>
      </c>
      <c r="H588" s="87"/>
      <c r="I588" s="87"/>
      <c r="J588" s="87"/>
    </row>
    <row r="589" spans="1:10">
      <c r="A589" s="2"/>
      <c r="B589" s="2"/>
      <c r="C589" s="120" t="str">
        <f>IF(B589="","",SUMIFS('A-BOM'!$D$3:$D993,'A-BOM'!$C$3:$C993,B589,'A-BOM'!$B$3:$B993,$B$2))</f>
        <v/>
      </c>
      <c r="D589" s="120" t="str">
        <f>IFERROR(IF(B589="","",VLOOKUP(B589,RM!$C$4:$F983,3,FALSE)),"")</f>
        <v/>
      </c>
      <c r="E589" s="118" t="e">
        <f t="array" aca="1" ref="E589" ca="1">_xludf.IFNA(IF(B589="","",VLOOKUP(B589,RM!$C$4:$G983,14,FALSE)),IFERROR(MIN(IF('S-BOM'!$B$3:$B993=$B589,'S-BOM'!$H$3:$H993,"")),""))</f>
        <v>#NAME?</v>
      </c>
      <c r="F589" s="87" t="str">
        <f t="shared" si="5"/>
        <v/>
      </c>
      <c r="G589" s="87" t="str">
        <f t="shared" si="6"/>
        <v/>
      </c>
      <c r="H589" s="87"/>
      <c r="I589" s="87"/>
      <c r="J589" s="87"/>
    </row>
    <row r="590" spans="1:10">
      <c r="A590" s="2"/>
      <c r="B590" s="2"/>
      <c r="C590" s="120" t="str">
        <f>IF(B590="","",SUMIFS('A-BOM'!$D$3:$D993,'A-BOM'!$C$3:$C993,B590,'A-BOM'!$B$3:$B993,$B$2))</f>
        <v/>
      </c>
      <c r="D590" s="120" t="str">
        <f>IFERROR(IF(B590="","",VLOOKUP(B590,RM!$C$4:$F983,3,FALSE)),"")</f>
        <v/>
      </c>
      <c r="E590" s="118" t="e">
        <f t="array" aca="1" ref="E590" ca="1">_xludf.IFNA(IF(B590="","",VLOOKUP(B590,RM!$C$4:$G983,14,FALSE)),IFERROR(MIN(IF('S-BOM'!$B$3:$B993=$B590,'S-BOM'!$H$3:$H993,"")),""))</f>
        <v>#NAME?</v>
      </c>
      <c r="F590" s="87" t="str">
        <f t="shared" si="5"/>
        <v/>
      </c>
      <c r="G590" s="87" t="str">
        <f t="shared" si="6"/>
        <v/>
      </c>
      <c r="H590" s="87"/>
      <c r="I590" s="87"/>
      <c r="J590" s="87"/>
    </row>
    <row r="591" spans="1:10">
      <c r="A591" s="2"/>
      <c r="B591" s="2"/>
      <c r="C591" s="120" t="str">
        <f>IF(B591="","",SUMIFS('A-BOM'!$D$3:$D993,'A-BOM'!$C$3:$C993,B591,'A-BOM'!$B$3:$B993,$B$2))</f>
        <v/>
      </c>
      <c r="D591" s="120" t="str">
        <f>IFERROR(IF(B591="","",VLOOKUP(B591,RM!$C$4:$F983,3,FALSE)),"")</f>
        <v/>
      </c>
      <c r="E591" s="118" t="e">
        <f t="array" aca="1" ref="E591" ca="1">_xludf.IFNA(IF(B591="","",VLOOKUP(B591,RM!$C$4:$G983,14,FALSE)),IFERROR(MIN(IF('S-BOM'!$B$3:$B993=$B591,'S-BOM'!$H$3:$H993,"")),""))</f>
        <v>#NAME?</v>
      </c>
      <c r="F591" s="87" t="str">
        <f t="shared" si="5"/>
        <v/>
      </c>
      <c r="G591" s="87" t="str">
        <f t="shared" si="6"/>
        <v/>
      </c>
      <c r="H591" s="87"/>
      <c r="I591" s="87"/>
      <c r="J591" s="87"/>
    </row>
    <row r="592" spans="1:10">
      <c r="A592" s="2"/>
      <c r="B592" s="2"/>
      <c r="C592" s="120" t="str">
        <f>IF(B592="","",SUMIFS('A-BOM'!$D$3:$D993,'A-BOM'!$C$3:$C993,B592,'A-BOM'!$B$3:$B993,$B$2))</f>
        <v/>
      </c>
      <c r="D592" s="120" t="str">
        <f>IFERROR(IF(B592="","",VLOOKUP(B592,RM!$C$4:$F983,3,FALSE)),"")</f>
        <v/>
      </c>
      <c r="E592" s="118" t="e">
        <f t="array" aca="1" ref="E592" ca="1">_xludf.IFNA(IF(B592="","",VLOOKUP(B592,RM!$C$4:$G983,14,FALSE)),IFERROR(MIN(IF('S-BOM'!$B$3:$B993=$B592,'S-BOM'!$H$3:$H993,"")),""))</f>
        <v>#NAME?</v>
      </c>
      <c r="F592" s="87" t="str">
        <f t="shared" si="5"/>
        <v/>
      </c>
      <c r="G592" s="87" t="str">
        <f t="shared" si="6"/>
        <v/>
      </c>
      <c r="H592" s="87"/>
      <c r="I592" s="87"/>
      <c r="J592" s="87"/>
    </row>
    <row r="593" spans="1:10">
      <c r="A593" s="2"/>
      <c r="B593" s="2"/>
      <c r="C593" s="120" t="str">
        <f>IF(B593="","",SUMIFS('A-BOM'!$D$3:$D993,'A-BOM'!$C$3:$C993,B593,'A-BOM'!$B$3:$B993,$B$2))</f>
        <v/>
      </c>
      <c r="D593" s="120" t="str">
        <f>IFERROR(IF(B593="","",VLOOKUP(B593,RM!$C$4:$F983,3,FALSE)),"")</f>
        <v/>
      </c>
      <c r="E593" s="118" t="e">
        <f t="array" aca="1" ref="E593" ca="1">_xludf.IFNA(IF(B593="","",VLOOKUP(B593,RM!$C$4:$G983,14,FALSE)),IFERROR(MIN(IF('S-BOM'!$B$3:$B993=$B593,'S-BOM'!$H$3:$H993,"")),""))</f>
        <v>#NAME?</v>
      </c>
      <c r="F593" s="87" t="str">
        <f t="shared" si="5"/>
        <v/>
      </c>
      <c r="G593" s="87" t="str">
        <f t="shared" si="6"/>
        <v/>
      </c>
      <c r="H593" s="87"/>
      <c r="I593" s="87"/>
      <c r="J593" s="87"/>
    </row>
    <row r="594" spans="1:10">
      <c r="A594" s="2"/>
      <c r="B594" s="2"/>
      <c r="C594" s="120" t="str">
        <f>IF(B594="","",SUMIFS('A-BOM'!$D$3:$D993,'A-BOM'!$C$3:$C993,B594,'A-BOM'!$B$3:$B993,$B$2))</f>
        <v/>
      </c>
      <c r="D594" s="120" t="str">
        <f>IFERROR(IF(B594="","",VLOOKUP(B594,RM!$C$4:$F983,3,FALSE)),"")</f>
        <v/>
      </c>
      <c r="E594" s="118" t="e">
        <f t="array" aca="1" ref="E594" ca="1">_xludf.IFNA(IF(B594="","",VLOOKUP(B594,RM!$C$4:$G983,14,FALSE)),IFERROR(MIN(IF('S-BOM'!$B$3:$B993=$B594,'S-BOM'!$H$3:$H993,"")),""))</f>
        <v>#NAME?</v>
      </c>
      <c r="F594" s="87" t="str">
        <f t="shared" si="5"/>
        <v/>
      </c>
      <c r="G594" s="87" t="str">
        <f t="shared" si="6"/>
        <v/>
      </c>
      <c r="H594" s="87"/>
      <c r="I594" s="87"/>
      <c r="J594" s="87"/>
    </row>
    <row r="595" spans="1:10">
      <c r="A595" s="2"/>
      <c r="B595" s="2"/>
      <c r="C595" s="120" t="str">
        <f>IF(B595="","",SUMIFS('A-BOM'!$D$3:$D993,'A-BOM'!$C$3:$C993,B595,'A-BOM'!$B$3:$B993,$B$2))</f>
        <v/>
      </c>
      <c r="D595" s="120" t="str">
        <f>IFERROR(IF(B595="","",VLOOKUP(B595,RM!$C$4:$F983,3,FALSE)),"")</f>
        <v/>
      </c>
      <c r="E595" s="118" t="e">
        <f t="array" aca="1" ref="E595" ca="1">_xludf.IFNA(IF(B595="","",VLOOKUP(B595,RM!$C$4:$G983,14,FALSE)),IFERROR(MIN(IF('S-BOM'!$B$3:$B993=$B595,'S-BOM'!$H$3:$H993,"")),""))</f>
        <v>#NAME?</v>
      </c>
      <c r="F595" s="87" t="str">
        <f t="shared" si="5"/>
        <v/>
      </c>
      <c r="G595" s="87" t="str">
        <f t="shared" si="6"/>
        <v/>
      </c>
      <c r="H595" s="87"/>
      <c r="I595" s="87"/>
      <c r="J595" s="87"/>
    </row>
    <row r="596" spans="1:10">
      <c r="A596" s="2"/>
      <c r="B596" s="2"/>
      <c r="C596" s="120" t="str">
        <f>IF(B596="","",SUMIFS('A-BOM'!$D$3:$D993,'A-BOM'!$C$3:$C993,B596,'A-BOM'!$B$3:$B993,$B$2))</f>
        <v/>
      </c>
      <c r="D596" s="120" t="str">
        <f>IFERROR(IF(B596="","",VLOOKUP(B596,RM!$C$4:$F983,3,FALSE)),"")</f>
        <v/>
      </c>
      <c r="E596" s="118" t="e">
        <f t="array" aca="1" ref="E596" ca="1">_xludf.IFNA(IF(B596="","",VLOOKUP(B596,RM!$C$4:$G983,14,FALSE)),IFERROR(MIN(IF('S-BOM'!$B$3:$B993=$B596,'S-BOM'!$H$3:$H993,"")),""))</f>
        <v>#NAME?</v>
      </c>
      <c r="F596" s="87" t="str">
        <f t="shared" si="5"/>
        <v/>
      </c>
      <c r="G596" s="87" t="str">
        <f t="shared" si="6"/>
        <v/>
      </c>
      <c r="H596" s="87"/>
      <c r="I596" s="87"/>
      <c r="J596" s="87"/>
    </row>
    <row r="597" spans="1:10">
      <c r="A597" s="2"/>
      <c r="B597" s="2"/>
      <c r="C597" s="120" t="str">
        <f>IF(B597="","",SUMIFS('A-BOM'!$D$3:$D993,'A-BOM'!$C$3:$C993,B597,'A-BOM'!$B$3:$B993,$B$2))</f>
        <v/>
      </c>
      <c r="D597" s="120" t="str">
        <f>IFERROR(IF(B597="","",VLOOKUP(B597,RM!$C$4:$F983,3,FALSE)),"")</f>
        <v/>
      </c>
      <c r="E597" s="118" t="e">
        <f t="array" aca="1" ref="E597" ca="1">_xludf.IFNA(IF(B597="","",VLOOKUP(B597,RM!$C$4:$G983,14,FALSE)),IFERROR(MIN(IF('S-BOM'!$B$3:$B993=$B597,'S-BOM'!$H$3:$H993,"")),""))</f>
        <v>#NAME?</v>
      </c>
      <c r="F597" s="87" t="str">
        <f t="shared" si="5"/>
        <v/>
      </c>
      <c r="G597" s="87" t="str">
        <f t="shared" si="6"/>
        <v/>
      </c>
      <c r="H597" s="87"/>
      <c r="I597" s="87"/>
      <c r="J597" s="87"/>
    </row>
    <row r="598" spans="1:10">
      <c r="A598" s="2"/>
      <c r="B598" s="2"/>
      <c r="C598" s="120" t="str">
        <f>IF(B598="","",SUMIFS('A-BOM'!$D$3:$D993,'A-BOM'!$C$3:$C993,B598,'A-BOM'!$B$3:$B993,$B$2))</f>
        <v/>
      </c>
      <c r="D598" s="120" t="str">
        <f>IFERROR(IF(B598="","",VLOOKUP(B598,RM!$C$4:$F983,3,FALSE)),"")</f>
        <v/>
      </c>
      <c r="E598" s="118" t="e">
        <f t="array" aca="1" ref="E598" ca="1">_xludf.IFNA(IF(B598="","",VLOOKUP(B598,RM!$C$4:$G983,14,FALSE)),IFERROR(MIN(IF('S-BOM'!$B$3:$B993=$B598,'S-BOM'!$H$3:$H993,"")),""))</f>
        <v>#NAME?</v>
      </c>
      <c r="F598" s="87" t="str">
        <f t="shared" si="5"/>
        <v/>
      </c>
      <c r="G598" s="87" t="str">
        <f t="shared" si="6"/>
        <v/>
      </c>
      <c r="H598" s="87"/>
      <c r="I598" s="87"/>
      <c r="J598" s="87"/>
    </row>
    <row r="599" spans="1:10">
      <c r="A599" s="2"/>
      <c r="B599" s="2"/>
      <c r="C599" s="120" t="str">
        <f>IF(B599="","",SUMIFS('A-BOM'!$D$3:$D993,'A-BOM'!$C$3:$C993,B599,'A-BOM'!$B$3:$B993,$B$2))</f>
        <v/>
      </c>
      <c r="D599" s="120" t="str">
        <f>IFERROR(IF(B599="","",VLOOKUP(B599,RM!$C$4:$F983,3,FALSE)),"")</f>
        <v/>
      </c>
      <c r="E599" s="118" t="e">
        <f t="array" aca="1" ref="E599" ca="1">_xludf.IFNA(IF(B599="","",VLOOKUP(B599,RM!$C$4:$G983,14,FALSE)),IFERROR(MIN(IF('S-BOM'!$B$3:$B993=$B599,'S-BOM'!$H$3:$H993,"")),""))</f>
        <v>#NAME?</v>
      </c>
      <c r="F599" s="87" t="str">
        <f t="shared" si="5"/>
        <v/>
      </c>
      <c r="G599" s="87" t="str">
        <f t="shared" si="6"/>
        <v/>
      </c>
      <c r="H599" s="87"/>
      <c r="I599" s="87"/>
      <c r="J599" s="87"/>
    </row>
    <row r="600" spans="1:10">
      <c r="A600" s="2"/>
      <c r="B600" s="2"/>
      <c r="C600" s="120" t="str">
        <f>IF(B600="","",SUMIFS('A-BOM'!$D$3:$D993,'A-BOM'!$C$3:$C993,B600,'A-BOM'!$B$3:$B993,$B$2))</f>
        <v/>
      </c>
      <c r="D600" s="120" t="str">
        <f>IFERROR(IF(B600="","",VLOOKUP(B600,RM!$C$4:$F983,3,FALSE)),"")</f>
        <v/>
      </c>
      <c r="E600" s="118" t="e">
        <f t="array" aca="1" ref="E600" ca="1">_xludf.IFNA(IF(B600="","",VLOOKUP(B600,RM!$C$4:$G983,14,FALSE)),IFERROR(MIN(IF('S-BOM'!$B$3:$B993=$B600,'S-BOM'!$H$3:$H993,"")),""))</f>
        <v>#NAME?</v>
      </c>
      <c r="F600" s="87" t="str">
        <f t="shared" si="5"/>
        <v/>
      </c>
      <c r="G600" s="87" t="str">
        <f t="shared" si="6"/>
        <v/>
      </c>
      <c r="H600" s="87"/>
      <c r="I600" s="87"/>
      <c r="J600" s="87"/>
    </row>
    <row r="601" spans="1:10">
      <c r="A601" s="2"/>
      <c r="B601" s="2"/>
      <c r="C601" s="120" t="str">
        <f>IF(B601="","",SUMIFS('A-BOM'!$D$3:$D993,'A-BOM'!$C$3:$C993,B601,'A-BOM'!$B$3:$B993,$B$2))</f>
        <v/>
      </c>
      <c r="D601" s="120" t="str">
        <f>IFERROR(IF(B601="","",VLOOKUP(B601,RM!$C$4:$F983,3,FALSE)),"")</f>
        <v/>
      </c>
      <c r="E601" s="118" t="e">
        <f t="array" aca="1" ref="E601" ca="1">_xludf.IFNA(IF(B601="","",VLOOKUP(B601,RM!$C$4:$G983,14,FALSE)),IFERROR(MIN(IF('S-BOM'!$B$3:$B993=$B601,'S-BOM'!$H$3:$H993,"")),""))</f>
        <v>#NAME?</v>
      </c>
      <c r="F601" s="87" t="str">
        <f t="shared" si="5"/>
        <v/>
      </c>
      <c r="G601" s="87" t="str">
        <f t="shared" si="6"/>
        <v/>
      </c>
      <c r="H601" s="87"/>
      <c r="I601" s="87"/>
      <c r="J601" s="87"/>
    </row>
    <row r="602" spans="1:10">
      <c r="A602" s="2"/>
      <c r="B602" s="2"/>
      <c r="C602" s="120" t="str">
        <f>IF(B602="","",SUMIFS('A-BOM'!$D$3:$D993,'A-BOM'!$C$3:$C993,B602,'A-BOM'!$B$3:$B993,$B$2))</f>
        <v/>
      </c>
      <c r="D602" s="120" t="str">
        <f>IFERROR(IF(B602="","",VLOOKUP(B602,RM!$C$4:$F983,3,FALSE)),"")</f>
        <v/>
      </c>
      <c r="E602" s="118" t="e">
        <f t="array" aca="1" ref="E602" ca="1">_xludf.IFNA(IF(B602="","",VLOOKUP(B602,RM!$C$4:$G983,14,FALSE)),IFERROR(MIN(IF('S-BOM'!$B$3:$B993=$B602,'S-BOM'!$H$3:$H993,"")),""))</f>
        <v>#NAME?</v>
      </c>
      <c r="F602" s="87" t="str">
        <f t="shared" si="5"/>
        <v/>
      </c>
      <c r="G602" s="87" t="str">
        <f t="shared" si="6"/>
        <v/>
      </c>
      <c r="H602" s="87"/>
      <c r="I602" s="87"/>
      <c r="J602" s="87"/>
    </row>
    <row r="603" spans="1:10">
      <c r="A603" s="2"/>
      <c r="B603" s="2"/>
      <c r="C603" s="120" t="str">
        <f>IF(B603="","",SUMIFS('A-BOM'!$D$3:$D993,'A-BOM'!$C$3:$C993,B603,'A-BOM'!$B$3:$B993,$B$2))</f>
        <v/>
      </c>
      <c r="D603" s="120" t="str">
        <f>IFERROR(IF(B603="","",VLOOKUP(B603,RM!$C$4:$F983,3,FALSE)),"")</f>
        <v/>
      </c>
      <c r="E603" s="118" t="e">
        <f t="array" aca="1" ref="E603" ca="1">_xludf.IFNA(IF(B603="","",VLOOKUP(B603,RM!$C$4:$G983,14,FALSE)),IFERROR(MIN(IF('S-BOM'!$B$3:$B993=$B603,'S-BOM'!$H$3:$H993,"")),""))</f>
        <v>#NAME?</v>
      </c>
      <c r="F603" s="87" t="str">
        <f t="shared" si="5"/>
        <v/>
      </c>
      <c r="G603" s="87" t="str">
        <f t="shared" si="6"/>
        <v/>
      </c>
      <c r="H603" s="87"/>
      <c r="I603" s="87"/>
      <c r="J603" s="87"/>
    </row>
    <row r="604" spans="1:10">
      <c r="A604" s="2"/>
      <c r="B604" s="2"/>
      <c r="C604" s="120" t="str">
        <f>IF(B604="","",SUMIFS('A-BOM'!$D$3:$D993,'A-BOM'!$C$3:$C993,B604,'A-BOM'!$B$3:$B993,$B$2))</f>
        <v/>
      </c>
      <c r="D604" s="120" t="str">
        <f>IFERROR(IF(B604="","",VLOOKUP(B604,RM!$C$4:$F983,3,FALSE)),"")</f>
        <v/>
      </c>
      <c r="E604" s="118" t="e">
        <f t="array" aca="1" ref="E604" ca="1">_xludf.IFNA(IF(B604="","",VLOOKUP(B604,RM!$C$4:$G983,14,FALSE)),IFERROR(MIN(IF('S-BOM'!$B$3:$B993=$B604,'S-BOM'!$H$3:$H993,"")),""))</f>
        <v>#NAME?</v>
      </c>
      <c r="F604" s="87" t="str">
        <f t="shared" si="5"/>
        <v/>
      </c>
      <c r="G604" s="87" t="str">
        <f t="shared" si="6"/>
        <v/>
      </c>
      <c r="H604" s="87"/>
      <c r="I604" s="87"/>
      <c r="J604" s="87"/>
    </row>
    <row r="605" spans="1:10">
      <c r="A605" s="2"/>
      <c r="B605" s="2"/>
      <c r="C605" s="120" t="str">
        <f>IF(B605="","",SUMIFS('A-BOM'!$D$3:$D993,'A-BOM'!$C$3:$C993,B605,'A-BOM'!$B$3:$B993,$B$2))</f>
        <v/>
      </c>
      <c r="D605" s="120" t="str">
        <f>IFERROR(IF(B605="","",VLOOKUP(B605,RM!$C$4:$F983,3,FALSE)),"")</f>
        <v/>
      </c>
      <c r="E605" s="118" t="e">
        <f t="array" aca="1" ref="E605" ca="1">_xludf.IFNA(IF(B605="","",VLOOKUP(B605,RM!$C$4:$G983,14,FALSE)),IFERROR(MIN(IF('S-BOM'!$B$3:$B993=$B605,'S-BOM'!$H$3:$H993,"")),""))</f>
        <v>#NAME?</v>
      </c>
      <c r="F605" s="87" t="str">
        <f t="shared" si="5"/>
        <v/>
      </c>
      <c r="G605" s="87" t="str">
        <f t="shared" si="6"/>
        <v/>
      </c>
      <c r="H605" s="87"/>
      <c r="I605" s="87"/>
      <c r="J605" s="87"/>
    </row>
    <row r="606" spans="1:10">
      <c r="A606" s="2"/>
      <c r="B606" s="2"/>
      <c r="C606" s="120" t="str">
        <f>IF(B606="","",SUMIFS('A-BOM'!$D$3:$D993,'A-BOM'!$C$3:$C993,B606,'A-BOM'!$B$3:$B993,$B$2))</f>
        <v/>
      </c>
      <c r="D606" s="120" t="str">
        <f>IFERROR(IF(B606="","",VLOOKUP(B606,RM!$C$4:$F983,3,FALSE)),"")</f>
        <v/>
      </c>
      <c r="E606" s="118" t="e">
        <f t="array" aca="1" ref="E606" ca="1">_xludf.IFNA(IF(B606="","",VLOOKUP(B606,RM!$C$4:$G983,14,FALSE)),IFERROR(MIN(IF('S-BOM'!$B$3:$B993=$B606,'S-BOM'!$H$3:$H993,"")),""))</f>
        <v>#NAME?</v>
      </c>
      <c r="F606" s="87" t="str">
        <f t="shared" si="5"/>
        <v/>
      </c>
      <c r="G606" s="87" t="str">
        <f t="shared" si="6"/>
        <v/>
      </c>
      <c r="H606" s="87"/>
      <c r="I606" s="87"/>
      <c r="J606" s="87"/>
    </row>
    <row r="607" spans="1:10">
      <c r="A607" s="2"/>
      <c r="B607" s="2"/>
      <c r="C607" s="120" t="str">
        <f>IF(B607="","",SUMIFS('A-BOM'!$D$3:$D993,'A-BOM'!$C$3:$C993,B607,'A-BOM'!$B$3:$B993,$B$2))</f>
        <v/>
      </c>
      <c r="D607" s="120" t="str">
        <f>IFERROR(IF(B607="","",VLOOKUP(B607,RM!$C$4:$F983,3,FALSE)),"")</f>
        <v/>
      </c>
      <c r="E607" s="118" t="e">
        <f t="array" aca="1" ref="E607" ca="1">_xludf.IFNA(IF(B607="","",VLOOKUP(B607,RM!$C$4:$G983,14,FALSE)),IFERROR(MIN(IF('S-BOM'!$B$3:$B993=$B607,'S-BOM'!$H$3:$H993,"")),""))</f>
        <v>#NAME?</v>
      </c>
      <c r="F607" s="87" t="str">
        <f t="shared" si="5"/>
        <v/>
      </c>
      <c r="G607" s="87" t="str">
        <f t="shared" si="6"/>
        <v/>
      </c>
      <c r="H607" s="87"/>
      <c r="I607" s="87"/>
      <c r="J607" s="87"/>
    </row>
    <row r="608" spans="1:10">
      <c r="A608" s="2"/>
      <c r="B608" s="2"/>
      <c r="C608" s="120" t="str">
        <f>IF(B608="","",SUMIFS('A-BOM'!$D$3:$D993,'A-BOM'!$C$3:$C993,B608,'A-BOM'!$B$3:$B993,$B$2))</f>
        <v/>
      </c>
      <c r="D608" s="120" t="str">
        <f>IFERROR(IF(B608="","",VLOOKUP(B608,RM!$C$4:$F983,3,FALSE)),"")</f>
        <v/>
      </c>
      <c r="E608" s="118" t="e">
        <f t="array" aca="1" ref="E608" ca="1">_xludf.IFNA(IF(B608="","",VLOOKUP(B608,RM!$C$4:$G983,14,FALSE)),IFERROR(MIN(IF('S-BOM'!$B$3:$B993=$B608,'S-BOM'!$H$3:$H993,"")),""))</f>
        <v>#NAME?</v>
      </c>
      <c r="F608" s="87" t="str">
        <f t="shared" si="5"/>
        <v/>
      </c>
      <c r="G608" s="87" t="str">
        <f t="shared" si="6"/>
        <v/>
      </c>
      <c r="H608" s="87"/>
      <c r="I608" s="87"/>
      <c r="J608" s="87"/>
    </row>
    <row r="609" spans="1:10">
      <c r="A609" s="2"/>
      <c r="B609" s="2"/>
      <c r="C609" s="120" t="str">
        <f>IF(B609="","",SUMIFS('A-BOM'!$D$3:$D993,'A-BOM'!$C$3:$C993,B609,'A-BOM'!$B$3:$B993,$B$2))</f>
        <v/>
      </c>
      <c r="D609" s="120" t="str">
        <f>IFERROR(IF(B609="","",VLOOKUP(B609,RM!$C$4:$F983,3,FALSE)),"")</f>
        <v/>
      </c>
      <c r="E609" s="118" t="e">
        <f t="array" aca="1" ref="E609" ca="1">_xludf.IFNA(IF(B609="","",VLOOKUP(B609,RM!$C$4:$G983,14,FALSE)),IFERROR(MIN(IF('S-BOM'!$B$3:$B993=$B609,'S-BOM'!$H$3:$H993,"")),""))</f>
        <v>#NAME?</v>
      </c>
      <c r="F609" s="87" t="str">
        <f t="shared" si="5"/>
        <v/>
      </c>
      <c r="G609" s="87" t="str">
        <f t="shared" si="6"/>
        <v/>
      </c>
      <c r="H609" s="87"/>
      <c r="I609" s="87"/>
      <c r="J609" s="87"/>
    </row>
    <row r="610" spans="1:10">
      <c r="A610" s="2"/>
      <c r="B610" s="2"/>
      <c r="C610" s="120" t="str">
        <f>IF(B610="","",SUMIFS('A-BOM'!$D$3:$D993,'A-BOM'!$C$3:$C993,B610,'A-BOM'!$B$3:$B993,$B$2))</f>
        <v/>
      </c>
      <c r="D610" s="120" t="str">
        <f>IFERROR(IF(B610="","",VLOOKUP(B610,RM!$C$4:$F983,3,FALSE)),"")</f>
        <v/>
      </c>
      <c r="E610" s="118" t="e">
        <f t="array" aca="1" ref="E610" ca="1">_xludf.IFNA(IF(B610="","",VLOOKUP(B610,RM!$C$4:$G983,14,FALSE)),IFERROR(MIN(IF('S-BOM'!$B$3:$B993=$B610,'S-BOM'!$H$3:$H993,"")),""))</f>
        <v>#NAME?</v>
      </c>
      <c r="F610" s="87" t="str">
        <f t="shared" si="5"/>
        <v/>
      </c>
      <c r="G610" s="87" t="str">
        <f t="shared" si="6"/>
        <v/>
      </c>
      <c r="H610" s="87"/>
      <c r="I610" s="87"/>
      <c r="J610" s="87"/>
    </row>
    <row r="611" spans="1:10">
      <c r="A611" s="2"/>
      <c r="B611" s="2"/>
      <c r="C611" s="120" t="str">
        <f>IF(B611="","",SUMIFS('A-BOM'!$D$3:$D993,'A-BOM'!$C$3:$C993,B611,'A-BOM'!$B$3:$B993,$B$2))</f>
        <v/>
      </c>
      <c r="D611" s="120" t="str">
        <f>IFERROR(IF(B611="","",VLOOKUP(B611,RM!$C$4:$F983,3,FALSE)),"")</f>
        <v/>
      </c>
      <c r="E611" s="118" t="e">
        <f t="array" aca="1" ref="E611" ca="1">_xludf.IFNA(IF(B611="","",VLOOKUP(B611,RM!$C$4:$G983,14,FALSE)),IFERROR(MIN(IF('S-BOM'!$B$3:$B993=$B611,'S-BOM'!$H$3:$H993,"")),""))</f>
        <v>#NAME?</v>
      </c>
      <c r="F611" s="87" t="str">
        <f t="shared" si="5"/>
        <v/>
      </c>
      <c r="G611" s="87" t="str">
        <f t="shared" si="6"/>
        <v/>
      </c>
      <c r="H611" s="87"/>
      <c r="I611" s="87"/>
      <c r="J611" s="87"/>
    </row>
    <row r="612" spans="1:10">
      <c r="A612" s="2"/>
      <c r="B612" s="2"/>
      <c r="C612" s="120" t="str">
        <f>IF(B612="","",SUMIFS('A-BOM'!$D$3:$D993,'A-BOM'!$C$3:$C993,B612,'A-BOM'!$B$3:$B993,$B$2))</f>
        <v/>
      </c>
      <c r="D612" s="120" t="str">
        <f>IFERROR(IF(B612="","",VLOOKUP(B612,RM!$C$4:$F983,3,FALSE)),"")</f>
        <v/>
      </c>
      <c r="E612" s="118" t="e">
        <f t="array" aca="1" ref="E612" ca="1">_xludf.IFNA(IF(B612="","",VLOOKUP(B612,RM!$C$4:$G983,14,FALSE)),IFERROR(MIN(IF('S-BOM'!$B$3:$B993=$B612,'S-BOM'!$H$3:$H993,"")),""))</f>
        <v>#NAME?</v>
      </c>
      <c r="F612" s="87" t="str">
        <f t="shared" si="5"/>
        <v/>
      </c>
      <c r="G612" s="87" t="str">
        <f t="shared" si="6"/>
        <v/>
      </c>
      <c r="H612" s="87"/>
      <c r="I612" s="87"/>
      <c r="J612" s="87"/>
    </row>
    <row r="613" spans="1:10">
      <c r="A613" s="2"/>
      <c r="B613" s="2"/>
      <c r="C613" s="120" t="str">
        <f>IF(B613="","",SUMIFS('A-BOM'!$D$3:$D993,'A-BOM'!$C$3:$C993,B613,'A-BOM'!$B$3:$B993,$B$2))</f>
        <v/>
      </c>
      <c r="D613" s="120" t="str">
        <f>IFERROR(IF(B613="","",VLOOKUP(B613,RM!$C$4:$F983,3,FALSE)),"")</f>
        <v/>
      </c>
      <c r="E613" s="118" t="e">
        <f t="array" aca="1" ref="E613" ca="1">_xludf.IFNA(IF(B613="","",VLOOKUP(B613,RM!$C$4:$G983,14,FALSE)),IFERROR(MIN(IF('S-BOM'!$B$3:$B993=$B613,'S-BOM'!$H$3:$H993,"")),""))</f>
        <v>#NAME?</v>
      </c>
      <c r="F613" s="87" t="str">
        <f t="shared" si="5"/>
        <v/>
      </c>
      <c r="G613" s="87" t="str">
        <f t="shared" si="6"/>
        <v/>
      </c>
      <c r="H613" s="87"/>
      <c r="I613" s="87"/>
      <c r="J613" s="87"/>
    </row>
    <row r="614" spans="1:10">
      <c r="A614" s="2"/>
      <c r="B614" s="2"/>
      <c r="C614" s="120" t="str">
        <f>IF(B614="","",SUMIFS('A-BOM'!$D$3:$D993,'A-BOM'!$C$3:$C993,B614,'A-BOM'!$B$3:$B993,$B$2))</f>
        <v/>
      </c>
      <c r="D614" s="120" t="str">
        <f>IFERROR(IF(B614="","",VLOOKUP(B614,RM!$C$4:$F983,3,FALSE)),"")</f>
        <v/>
      </c>
      <c r="E614" s="118" t="e">
        <f t="array" aca="1" ref="E614" ca="1">_xludf.IFNA(IF(B614="","",VLOOKUP(B614,RM!$C$4:$G983,14,FALSE)),IFERROR(MIN(IF('S-BOM'!$B$3:$B993=$B614,'S-BOM'!$H$3:$H993,"")),""))</f>
        <v>#NAME?</v>
      </c>
      <c r="F614" s="87" t="str">
        <f t="shared" si="5"/>
        <v/>
      </c>
      <c r="G614" s="87" t="str">
        <f t="shared" si="6"/>
        <v/>
      </c>
      <c r="H614" s="87"/>
      <c r="I614" s="87"/>
      <c r="J614" s="87"/>
    </row>
    <row r="615" spans="1:10">
      <c r="A615" s="2"/>
      <c r="B615" s="2"/>
      <c r="C615" s="120" t="str">
        <f>IF(B615="","",SUMIFS('A-BOM'!$D$3:$D993,'A-BOM'!$C$3:$C993,B615,'A-BOM'!$B$3:$B993,$B$2))</f>
        <v/>
      </c>
      <c r="D615" s="120" t="str">
        <f>IFERROR(IF(B615="","",VLOOKUP(B615,RM!$C$4:$F983,3,FALSE)),"")</f>
        <v/>
      </c>
      <c r="E615" s="118" t="e">
        <f t="array" aca="1" ref="E615" ca="1">_xludf.IFNA(IF(B615="","",VLOOKUP(B615,RM!$C$4:$G983,14,FALSE)),IFERROR(MIN(IF('S-BOM'!$B$3:$B993=$B615,'S-BOM'!$H$3:$H993,"")),""))</f>
        <v>#NAME?</v>
      </c>
      <c r="F615" s="87" t="str">
        <f t="shared" si="5"/>
        <v/>
      </c>
      <c r="G615" s="87" t="str">
        <f t="shared" si="6"/>
        <v/>
      </c>
      <c r="H615" s="87"/>
      <c r="I615" s="87"/>
      <c r="J615" s="87"/>
    </row>
    <row r="616" spans="1:10">
      <c r="A616" s="2"/>
      <c r="B616" s="2"/>
      <c r="C616" s="120" t="str">
        <f>IF(B616="","",SUMIFS('A-BOM'!$D$3:$D993,'A-BOM'!$C$3:$C993,B616,'A-BOM'!$B$3:$B993,$B$2))</f>
        <v/>
      </c>
      <c r="D616" s="120" t="str">
        <f>IFERROR(IF(B616="","",VLOOKUP(B616,RM!$C$4:$F983,3,FALSE)),"")</f>
        <v/>
      </c>
      <c r="E616" s="118" t="e">
        <f t="array" aca="1" ref="E616" ca="1">_xludf.IFNA(IF(B616="","",VLOOKUP(B616,RM!$C$4:$G983,14,FALSE)),IFERROR(MIN(IF('S-BOM'!$B$3:$B993=$B616,'S-BOM'!$H$3:$H993,"")),""))</f>
        <v>#NAME?</v>
      </c>
      <c r="F616" s="87" t="str">
        <f t="shared" si="5"/>
        <v/>
      </c>
      <c r="G616" s="87" t="str">
        <f t="shared" si="6"/>
        <v/>
      </c>
      <c r="H616" s="87"/>
      <c r="I616" s="87"/>
      <c r="J616" s="87"/>
    </row>
    <row r="617" spans="1:10">
      <c r="A617" s="2"/>
      <c r="B617" s="2"/>
      <c r="C617" s="120" t="str">
        <f>IF(B617="","",SUMIFS('A-BOM'!$D$3:$D993,'A-BOM'!$C$3:$C993,B617,'A-BOM'!$B$3:$B993,$B$2))</f>
        <v/>
      </c>
      <c r="D617" s="120" t="str">
        <f>IFERROR(IF(B617="","",VLOOKUP(B617,RM!$C$4:$F983,3,FALSE)),"")</f>
        <v/>
      </c>
      <c r="E617" s="118" t="e">
        <f t="array" aca="1" ref="E617" ca="1">_xludf.IFNA(IF(B617="","",VLOOKUP(B617,RM!$C$4:$G983,14,FALSE)),IFERROR(MIN(IF('S-BOM'!$B$3:$B993=$B617,'S-BOM'!$H$3:$H993,"")),""))</f>
        <v>#NAME?</v>
      </c>
      <c r="F617" s="87" t="str">
        <f t="shared" si="5"/>
        <v/>
      </c>
      <c r="G617" s="87" t="str">
        <f t="shared" si="6"/>
        <v/>
      </c>
      <c r="H617" s="87"/>
      <c r="I617" s="87"/>
      <c r="J617" s="87"/>
    </row>
    <row r="618" spans="1:10">
      <c r="A618" s="2"/>
      <c r="B618" s="2"/>
      <c r="C618" s="120" t="str">
        <f>IF(B618="","",SUMIFS('A-BOM'!$D$3:$D993,'A-BOM'!$C$3:$C993,B618,'A-BOM'!$B$3:$B993,$B$2))</f>
        <v/>
      </c>
      <c r="D618" s="120" t="str">
        <f>IFERROR(IF(B618="","",VLOOKUP(B618,RM!$C$4:$F983,3,FALSE)),"")</f>
        <v/>
      </c>
      <c r="E618" s="118" t="e">
        <f t="array" aca="1" ref="E618" ca="1">_xludf.IFNA(IF(B618="","",VLOOKUP(B618,RM!$C$4:$G983,14,FALSE)),IFERROR(MIN(IF('S-BOM'!$B$3:$B993=$B618,'S-BOM'!$H$3:$H993,"")),""))</f>
        <v>#NAME?</v>
      </c>
      <c r="F618" s="87" t="str">
        <f t="shared" si="5"/>
        <v/>
      </c>
      <c r="G618" s="87" t="str">
        <f t="shared" si="6"/>
        <v/>
      </c>
      <c r="H618" s="87"/>
      <c r="I618" s="87"/>
      <c r="J618" s="87"/>
    </row>
    <row r="619" spans="1:10">
      <c r="A619" s="2"/>
      <c r="B619" s="2"/>
      <c r="C619" s="120" t="str">
        <f>IF(B619="","",SUMIFS('A-BOM'!$D$3:$D993,'A-BOM'!$C$3:$C993,B619,'A-BOM'!$B$3:$B993,$B$2))</f>
        <v/>
      </c>
      <c r="D619" s="120" t="str">
        <f>IFERROR(IF(B619="","",VLOOKUP(B619,RM!$C$4:$F983,3,FALSE)),"")</f>
        <v/>
      </c>
      <c r="E619" s="118" t="e">
        <f t="array" aca="1" ref="E619" ca="1">_xludf.IFNA(IF(B619="","",VLOOKUP(B619,RM!$C$4:$G983,14,FALSE)),IFERROR(MIN(IF('S-BOM'!$B$3:$B993=$B619,'S-BOM'!$H$3:$H993,"")),""))</f>
        <v>#NAME?</v>
      </c>
      <c r="F619" s="87" t="str">
        <f t="shared" si="5"/>
        <v/>
      </c>
      <c r="G619" s="87" t="str">
        <f t="shared" si="6"/>
        <v/>
      </c>
      <c r="H619" s="87"/>
      <c r="I619" s="87"/>
      <c r="J619" s="87"/>
    </row>
    <row r="620" spans="1:10">
      <c r="A620" s="2"/>
      <c r="B620" s="2"/>
      <c r="C620" s="120" t="str">
        <f>IF(B620="","",SUMIFS('A-BOM'!$D$3:$D993,'A-BOM'!$C$3:$C993,B620,'A-BOM'!$B$3:$B993,$B$2))</f>
        <v/>
      </c>
      <c r="D620" s="120" t="str">
        <f>IFERROR(IF(B620="","",VLOOKUP(B620,RM!$C$4:$F983,3,FALSE)),"")</f>
        <v/>
      </c>
      <c r="E620" s="118" t="e">
        <f t="array" aca="1" ref="E620" ca="1">_xludf.IFNA(IF(B620="","",VLOOKUP(B620,RM!$C$4:$G983,14,FALSE)),IFERROR(MIN(IF('S-BOM'!$B$3:$B993=$B620,'S-BOM'!$H$3:$H993,"")),""))</f>
        <v>#NAME?</v>
      </c>
      <c r="F620" s="87" t="str">
        <f t="shared" si="5"/>
        <v/>
      </c>
      <c r="G620" s="87" t="str">
        <f t="shared" si="6"/>
        <v/>
      </c>
      <c r="H620" s="87"/>
      <c r="I620" s="87"/>
      <c r="J620" s="87"/>
    </row>
    <row r="621" spans="1:10">
      <c r="A621" s="2"/>
      <c r="B621" s="2"/>
      <c r="C621" s="120" t="str">
        <f>IF(B621="","",SUMIFS('A-BOM'!$D$3:$D993,'A-BOM'!$C$3:$C993,B621,'A-BOM'!$B$3:$B993,$B$2))</f>
        <v/>
      </c>
      <c r="D621" s="120" t="str">
        <f>IFERROR(IF(B621="","",VLOOKUP(B621,RM!$C$4:$F983,3,FALSE)),"")</f>
        <v/>
      </c>
      <c r="E621" s="118" t="e">
        <f t="array" aca="1" ref="E621" ca="1">_xludf.IFNA(IF(B621="","",VLOOKUP(B621,RM!$C$4:$G983,14,FALSE)),IFERROR(MIN(IF('S-BOM'!$B$3:$B993=$B621,'S-BOM'!$H$3:$H993,"")),""))</f>
        <v>#NAME?</v>
      </c>
      <c r="F621" s="87" t="str">
        <f t="shared" si="5"/>
        <v/>
      </c>
      <c r="G621" s="87" t="str">
        <f t="shared" si="6"/>
        <v/>
      </c>
      <c r="H621" s="87"/>
      <c r="I621" s="87"/>
      <c r="J621" s="87"/>
    </row>
    <row r="622" spans="1:10">
      <c r="A622" s="2"/>
      <c r="B622" s="2"/>
      <c r="C622" s="120" t="str">
        <f>IF(B622="","",SUMIFS('A-BOM'!$D$3:$D993,'A-BOM'!$C$3:$C993,B622,'A-BOM'!$B$3:$B993,$B$2))</f>
        <v/>
      </c>
      <c r="D622" s="120" t="str">
        <f>IFERROR(IF(B622="","",VLOOKUP(B622,RM!$C$4:$F983,3,FALSE)),"")</f>
        <v/>
      </c>
      <c r="E622" s="118" t="e">
        <f t="array" aca="1" ref="E622" ca="1">_xludf.IFNA(IF(B622="","",VLOOKUP(B622,RM!$C$4:$G983,14,FALSE)),IFERROR(MIN(IF('S-BOM'!$B$3:$B993=$B622,'S-BOM'!$H$3:$H993,"")),""))</f>
        <v>#NAME?</v>
      </c>
      <c r="F622" s="87" t="str">
        <f t="shared" si="5"/>
        <v/>
      </c>
      <c r="G622" s="87" t="str">
        <f t="shared" si="6"/>
        <v/>
      </c>
      <c r="H622" s="87"/>
      <c r="I622" s="87"/>
      <c r="J622" s="87"/>
    </row>
    <row r="623" spans="1:10">
      <c r="A623" s="2"/>
      <c r="B623" s="2"/>
      <c r="C623" s="120" t="str">
        <f>IF(B623="","",SUMIFS('A-BOM'!$D$3:$D993,'A-BOM'!$C$3:$C993,B623,'A-BOM'!$B$3:$B993,$B$2))</f>
        <v/>
      </c>
      <c r="D623" s="120" t="str">
        <f>IFERROR(IF(B623="","",VLOOKUP(B623,RM!$C$4:$F983,3,FALSE)),"")</f>
        <v/>
      </c>
      <c r="E623" s="118" t="e">
        <f t="array" aca="1" ref="E623" ca="1">_xludf.IFNA(IF(B623="","",VLOOKUP(B623,RM!$C$4:$G983,14,FALSE)),IFERROR(MIN(IF('S-BOM'!$B$3:$B993=$B623,'S-BOM'!$H$3:$H993,"")),""))</f>
        <v>#NAME?</v>
      </c>
      <c r="F623" s="87" t="str">
        <f t="shared" si="5"/>
        <v/>
      </c>
      <c r="G623" s="87" t="str">
        <f t="shared" si="6"/>
        <v/>
      </c>
      <c r="H623" s="87"/>
      <c r="I623" s="87"/>
      <c r="J623" s="87"/>
    </row>
    <row r="624" spans="1:10">
      <c r="A624" s="2"/>
      <c r="B624" s="2"/>
      <c r="C624" s="120" t="str">
        <f>IF(B624="","",SUMIFS('A-BOM'!$D$3:$D993,'A-BOM'!$C$3:$C993,B624,'A-BOM'!$B$3:$B993,$B$2))</f>
        <v/>
      </c>
      <c r="D624" s="120" t="str">
        <f>IFERROR(IF(B624="","",VLOOKUP(B624,RM!$C$4:$F983,3,FALSE)),"")</f>
        <v/>
      </c>
      <c r="E624" s="118" t="e">
        <f t="array" aca="1" ref="E624" ca="1">_xludf.IFNA(IF(B624="","",VLOOKUP(B624,RM!$C$4:$G983,14,FALSE)),IFERROR(MIN(IF('S-BOM'!$B$3:$B993=$B624,'S-BOM'!$H$3:$H993,"")),""))</f>
        <v>#NAME?</v>
      </c>
      <c r="F624" s="87" t="str">
        <f t="shared" si="5"/>
        <v/>
      </c>
      <c r="G624" s="87" t="str">
        <f t="shared" si="6"/>
        <v/>
      </c>
      <c r="H624" s="87"/>
      <c r="I624" s="87"/>
      <c r="J624" s="87"/>
    </row>
    <row r="625" spans="1:10">
      <c r="A625" s="2"/>
      <c r="B625" s="2"/>
      <c r="C625" s="120" t="str">
        <f>IF(B625="","",SUMIFS('A-BOM'!$D$3:$D993,'A-BOM'!$C$3:$C993,B625,'A-BOM'!$B$3:$B993,$B$2))</f>
        <v/>
      </c>
      <c r="D625" s="120" t="str">
        <f>IFERROR(IF(B625="","",VLOOKUP(B625,RM!$C$4:$F983,3,FALSE)),"")</f>
        <v/>
      </c>
      <c r="E625" s="118" t="e">
        <f t="array" aca="1" ref="E625" ca="1">_xludf.IFNA(IF(B625="","",VLOOKUP(B625,RM!$C$4:$G983,14,FALSE)),IFERROR(MIN(IF('S-BOM'!$B$3:$B993=$B625,'S-BOM'!$H$3:$H993,"")),""))</f>
        <v>#NAME?</v>
      </c>
      <c r="F625" s="87" t="str">
        <f t="shared" si="5"/>
        <v/>
      </c>
      <c r="G625" s="87" t="str">
        <f t="shared" si="6"/>
        <v/>
      </c>
      <c r="H625" s="87"/>
      <c r="I625" s="87"/>
      <c r="J625" s="87"/>
    </row>
    <row r="626" spans="1:10">
      <c r="A626" s="2"/>
      <c r="B626" s="2"/>
      <c r="C626" s="120" t="str">
        <f>IF(B626="","",SUMIFS('A-BOM'!$D$3:$D993,'A-BOM'!$C$3:$C993,B626,'A-BOM'!$B$3:$B993,$B$2))</f>
        <v/>
      </c>
      <c r="D626" s="120" t="str">
        <f>IFERROR(IF(B626="","",VLOOKUP(B626,RM!$C$4:$F983,3,FALSE)),"")</f>
        <v/>
      </c>
      <c r="E626" s="118" t="e">
        <f t="array" aca="1" ref="E626" ca="1">_xludf.IFNA(IF(B626="","",VLOOKUP(B626,RM!$C$4:$G983,14,FALSE)),IFERROR(MIN(IF('S-BOM'!$B$3:$B993=$B626,'S-BOM'!$H$3:$H993,"")),""))</f>
        <v>#NAME?</v>
      </c>
      <c r="F626" s="87" t="str">
        <f t="shared" si="5"/>
        <v/>
      </c>
      <c r="G626" s="87" t="str">
        <f t="shared" si="6"/>
        <v/>
      </c>
      <c r="H626" s="87"/>
      <c r="I626" s="87"/>
      <c r="J626" s="87"/>
    </row>
    <row r="627" spans="1:10">
      <c r="A627" s="2"/>
      <c r="B627" s="2"/>
      <c r="C627" s="120" t="str">
        <f>IF(B627="","",SUMIFS('A-BOM'!$D$3:$D993,'A-BOM'!$C$3:$C993,B627,'A-BOM'!$B$3:$B993,$B$2))</f>
        <v/>
      </c>
      <c r="D627" s="120" t="str">
        <f>IFERROR(IF(B627="","",VLOOKUP(B627,RM!$C$4:$F983,3,FALSE)),"")</f>
        <v/>
      </c>
      <c r="E627" s="118" t="e">
        <f t="array" aca="1" ref="E627" ca="1">_xludf.IFNA(IF(B627="","",VLOOKUP(B627,RM!$C$4:$G983,14,FALSE)),IFERROR(MIN(IF('S-BOM'!$B$3:$B993=$B627,'S-BOM'!$H$3:$H993,"")),""))</f>
        <v>#NAME?</v>
      </c>
      <c r="F627" s="87" t="str">
        <f t="shared" si="5"/>
        <v/>
      </c>
      <c r="G627" s="87" t="str">
        <f t="shared" si="6"/>
        <v/>
      </c>
      <c r="H627" s="87"/>
      <c r="I627" s="87"/>
      <c r="J627" s="87"/>
    </row>
    <row r="628" spans="1:10">
      <c r="A628" s="2"/>
      <c r="B628" s="2"/>
      <c r="C628" s="120" t="str">
        <f>IF(B628="","",SUMIFS('A-BOM'!$D$3:$D993,'A-BOM'!$C$3:$C993,B628,'A-BOM'!$B$3:$B993,$B$2))</f>
        <v/>
      </c>
      <c r="D628" s="120" t="str">
        <f>IFERROR(IF(B628="","",VLOOKUP(B628,RM!$C$4:$F983,3,FALSE)),"")</f>
        <v/>
      </c>
      <c r="E628" s="118" t="e">
        <f t="array" aca="1" ref="E628" ca="1">_xludf.IFNA(IF(B628="","",VLOOKUP(B628,RM!$C$4:$G983,14,FALSE)),IFERROR(MIN(IF('S-BOM'!$B$3:$B993=$B628,'S-BOM'!$H$3:$H993,"")),""))</f>
        <v>#NAME?</v>
      </c>
      <c r="F628" s="87" t="str">
        <f t="shared" si="5"/>
        <v/>
      </c>
      <c r="G628" s="87" t="str">
        <f t="shared" si="6"/>
        <v/>
      </c>
      <c r="H628" s="87"/>
      <c r="I628" s="87"/>
      <c r="J628" s="87"/>
    </row>
    <row r="629" spans="1:10">
      <c r="A629" s="2"/>
      <c r="B629" s="2"/>
      <c r="C629" s="120" t="str">
        <f>IF(B629="","",SUMIFS('A-BOM'!$D$3:$D993,'A-BOM'!$C$3:$C993,B629,'A-BOM'!$B$3:$B993,$B$2))</f>
        <v/>
      </c>
      <c r="D629" s="120" t="str">
        <f>IFERROR(IF(B629="","",VLOOKUP(B629,RM!$C$4:$F983,3,FALSE)),"")</f>
        <v/>
      </c>
      <c r="E629" s="118" t="e">
        <f t="array" aca="1" ref="E629" ca="1">_xludf.IFNA(IF(B629="","",VLOOKUP(B629,RM!$C$4:$G983,14,FALSE)),IFERROR(MIN(IF('S-BOM'!$B$3:$B993=$B629,'S-BOM'!$H$3:$H993,"")),""))</f>
        <v>#NAME?</v>
      </c>
      <c r="F629" s="87" t="str">
        <f t="shared" si="5"/>
        <v/>
      </c>
      <c r="G629" s="87" t="str">
        <f t="shared" si="6"/>
        <v/>
      </c>
      <c r="H629" s="87"/>
      <c r="I629" s="87"/>
      <c r="J629" s="87"/>
    </row>
    <row r="630" spans="1:10">
      <c r="A630" s="2"/>
      <c r="B630" s="2"/>
      <c r="C630" s="120" t="str">
        <f>IF(B630="","",SUMIFS('A-BOM'!$D$3:$D993,'A-BOM'!$C$3:$C993,B630,'A-BOM'!$B$3:$B993,$B$2))</f>
        <v/>
      </c>
      <c r="D630" s="120" t="str">
        <f>IFERROR(IF(B630="","",VLOOKUP(B630,RM!$C$4:$F983,3,FALSE)),"")</f>
        <v/>
      </c>
      <c r="E630" s="118" t="e">
        <f t="array" aca="1" ref="E630" ca="1">_xludf.IFNA(IF(B630="","",VLOOKUP(B630,RM!$C$4:$G983,14,FALSE)),IFERROR(MIN(IF('S-BOM'!$B$3:$B993=$B630,'S-BOM'!$H$3:$H993,"")),""))</f>
        <v>#NAME?</v>
      </c>
      <c r="F630" s="87" t="str">
        <f t="shared" si="5"/>
        <v/>
      </c>
      <c r="G630" s="87" t="str">
        <f t="shared" si="6"/>
        <v/>
      </c>
      <c r="H630" s="87"/>
      <c r="I630" s="87"/>
      <c r="J630" s="87"/>
    </row>
    <row r="631" spans="1:10">
      <c r="A631" s="2"/>
      <c r="B631" s="2"/>
      <c r="C631" s="120" t="str">
        <f>IF(B631="","",SUMIFS('A-BOM'!$D$3:$D993,'A-BOM'!$C$3:$C993,B631,'A-BOM'!$B$3:$B993,$B$2))</f>
        <v/>
      </c>
      <c r="D631" s="120" t="str">
        <f>IFERROR(IF(B631="","",VLOOKUP(B631,RM!$C$4:$F983,3,FALSE)),"")</f>
        <v/>
      </c>
      <c r="E631" s="118" t="e">
        <f t="array" aca="1" ref="E631" ca="1">_xludf.IFNA(IF(B631="","",VLOOKUP(B631,RM!$C$4:$G983,14,FALSE)),IFERROR(MIN(IF('S-BOM'!$B$3:$B993=$B631,'S-BOM'!$H$3:$H993,"")),""))</f>
        <v>#NAME?</v>
      </c>
      <c r="F631" s="87" t="str">
        <f t="shared" si="5"/>
        <v/>
      </c>
      <c r="G631" s="87" t="str">
        <f t="shared" si="6"/>
        <v/>
      </c>
      <c r="H631" s="87"/>
      <c r="I631" s="87"/>
      <c r="J631" s="87"/>
    </row>
    <row r="632" spans="1:10">
      <c r="A632" s="2"/>
      <c r="B632" s="2"/>
      <c r="C632" s="120" t="str">
        <f>IF(B632="","",SUMIFS('A-BOM'!$D$3:$D993,'A-BOM'!$C$3:$C993,B632,'A-BOM'!$B$3:$B993,$B$2))</f>
        <v/>
      </c>
      <c r="D632" s="120" t="str">
        <f>IFERROR(IF(B632="","",VLOOKUP(B632,RM!$C$4:$F983,3,FALSE)),"")</f>
        <v/>
      </c>
      <c r="E632" s="118" t="e">
        <f t="array" aca="1" ref="E632" ca="1">_xludf.IFNA(IF(B632="","",VLOOKUP(B632,RM!$C$4:$G983,14,FALSE)),IFERROR(MIN(IF('S-BOM'!$B$3:$B993=$B632,'S-BOM'!$H$3:$H993,"")),""))</f>
        <v>#NAME?</v>
      </c>
      <c r="F632" s="87" t="str">
        <f t="shared" si="5"/>
        <v/>
      </c>
      <c r="G632" s="87" t="str">
        <f t="shared" si="6"/>
        <v/>
      </c>
      <c r="H632" s="87"/>
      <c r="I632" s="87"/>
      <c r="J632" s="87"/>
    </row>
    <row r="633" spans="1:10">
      <c r="A633" s="2"/>
      <c r="B633" s="2"/>
      <c r="C633" s="120" t="str">
        <f>IF(B633="","",SUMIFS('A-BOM'!$D$3:$D993,'A-BOM'!$C$3:$C993,B633,'A-BOM'!$B$3:$B993,$B$2))</f>
        <v/>
      </c>
      <c r="D633" s="120" t="str">
        <f>IFERROR(IF(B633="","",VLOOKUP(B633,RM!$C$4:$F983,3,FALSE)),"")</f>
        <v/>
      </c>
      <c r="E633" s="118" t="e">
        <f t="array" aca="1" ref="E633" ca="1">_xludf.IFNA(IF(B633="","",VLOOKUP(B633,RM!$C$4:$G983,14,FALSE)),IFERROR(MIN(IF('S-BOM'!$B$3:$B993=$B633,'S-BOM'!$H$3:$H993,"")),""))</f>
        <v>#NAME?</v>
      </c>
      <c r="F633" s="87" t="str">
        <f t="shared" si="5"/>
        <v/>
      </c>
      <c r="G633" s="87" t="str">
        <f t="shared" si="6"/>
        <v/>
      </c>
      <c r="H633" s="87"/>
      <c r="I633" s="87"/>
      <c r="J633" s="87"/>
    </row>
    <row r="634" spans="1:10">
      <c r="A634" s="2"/>
      <c r="B634" s="2"/>
      <c r="C634" s="120" t="str">
        <f>IF(B634="","",SUMIFS('A-BOM'!$D$3:$D993,'A-BOM'!$C$3:$C993,B634,'A-BOM'!$B$3:$B993,$B$2))</f>
        <v/>
      </c>
      <c r="D634" s="120" t="str">
        <f>IFERROR(IF(B634="","",VLOOKUP(B634,RM!$C$4:$F983,3,FALSE)),"")</f>
        <v/>
      </c>
      <c r="E634" s="118" t="e">
        <f t="array" aca="1" ref="E634" ca="1">_xludf.IFNA(IF(B634="","",VLOOKUP(B634,RM!$C$4:$G983,14,FALSE)),IFERROR(MIN(IF('S-BOM'!$B$3:$B993=$B634,'S-BOM'!$H$3:$H993,"")),""))</f>
        <v>#NAME?</v>
      </c>
      <c r="F634" s="87" t="str">
        <f t="shared" si="5"/>
        <v/>
      </c>
      <c r="G634" s="87" t="str">
        <f t="shared" si="6"/>
        <v/>
      </c>
      <c r="H634" s="87"/>
      <c r="I634" s="87"/>
      <c r="J634" s="87"/>
    </row>
    <row r="635" spans="1:10">
      <c r="A635" s="2"/>
      <c r="B635" s="2"/>
      <c r="C635" s="120" t="str">
        <f>IF(B635="","",SUMIFS('A-BOM'!$D$3:$D993,'A-BOM'!$C$3:$C993,B635,'A-BOM'!$B$3:$B993,$B$2))</f>
        <v/>
      </c>
      <c r="D635" s="120" t="str">
        <f>IFERROR(IF(B635="","",VLOOKUP(B635,RM!$C$4:$F983,3,FALSE)),"")</f>
        <v/>
      </c>
      <c r="E635" s="118" t="e">
        <f t="array" aca="1" ref="E635" ca="1">_xludf.IFNA(IF(B635="","",VLOOKUP(B635,RM!$C$4:$G983,14,FALSE)),IFERROR(MIN(IF('S-BOM'!$B$3:$B993=$B635,'S-BOM'!$H$3:$H993,"")),""))</f>
        <v>#NAME?</v>
      </c>
      <c r="F635" s="87" t="str">
        <f t="shared" si="5"/>
        <v/>
      </c>
      <c r="G635" s="87" t="str">
        <f t="shared" si="6"/>
        <v/>
      </c>
      <c r="H635" s="87"/>
      <c r="I635" s="87"/>
      <c r="J635" s="87"/>
    </row>
    <row r="636" spans="1:10">
      <c r="A636" s="2"/>
      <c r="B636" s="2"/>
      <c r="C636" s="120" t="str">
        <f>IF(B636="","",SUMIFS('A-BOM'!$D$3:$D993,'A-BOM'!$C$3:$C993,B636,'A-BOM'!$B$3:$B993,$B$2))</f>
        <v/>
      </c>
      <c r="D636" s="120" t="str">
        <f>IFERROR(IF(B636="","",VLOOKUP(B636,RM!$C$4:$F983,3,FALSE)),"")</f>
        <v/>
      </c>
      <c r="E636" s="118" t="e">
        <f t="array" aca="1" ref="E636" ca="1">_xludf.IFNA(IF(B636="","",VLOOKUP(B636,RM!$C$4:$G983,14,FALSE)),IFERROR(MIN(IF('S-BOM'!$B$3:$B993=$B636,'S-BOM'!$H$3:$H993,"")),""))</f>
        <v>#NAME?</v>
      </c>
      <c r="F636" s="87" t="str">
        <f t="shared" si="5"/>
        <v/>
      </c>
      <c r="G636" s="87" t="str">
        <f t="shared" si="6"/>
        <v/>
      </c>
      <c r="H636" s="87"/>
      <c r="I636" s="87"/>
      <c r="J636" s="87"/>
    </row>
    <row r="637" spans="1:10">
      <c r="A637" s="2"/>
      <c r="B637" s="2"/>
      <c r="C637" s="120" t="str">
        <f>IF(B637="","",SUMIFS('A-BOM'!$D$3:$D993,'A-BOM'!$C$3:$C993,B637,'A-BOM'!$B$3:$B993,$B$2))</f>
        <v/>
      </c>
      <c r="D637" s="120" t="str">
        <f>IFERROR(IF(B637="","",VLOOKUP(B637,RM!$C$4:$F983,3,FALSE)),"")</f>
        <v/>
      </c>
      <c r="E637" s="118" t="e">
        <f t="array" aca="1" ref="E637" ca="1">_xludf.IFNA(IF(B637="","",VLOOKUP(B637,RM!$C$4:$G983,14,FALSE)),IFERROR(MIN(IF('S-BOM'!$B$3:$B993=$B637,'S-BOM'!$H$3:$H993,"")),""))</f>
        <v>#NAME?</v>
      </c>
      <c r="F637" s="87" t="str">
        <f t="shared" si="5"/>
        <v/>
      </c>
      <c r="G637" s="87" t="str">
        <f t="shared" si="6"/>
        <v/>
      </c>
      <c r="H637" s="87"/>
      <c r="I637" s="87"/>
      <c r="J637" s="87"/>
    </row>
    <row r="638" spans="1:10">
      <c r="A638" s="2"/>
      <c r="B638" s="2"/>
      <c r="C638" s="120" t="str">
        <f>IF(B638="","",SUMIFS('A-BOM'!$D$3:$D993,'A-BOM'!$C$3:$C993,B638,'A-BOM'!$B$3:$B993,$B$2))</f>
        <v/>
      </c>
      <c r="D638" s="120" t="str">
        <f>IFERROR(IF(B638="","",VLOOKUP(B638,RM!$C$4:$F983,3,FALSE)),"")</f>
        <v/>
      </c>
      <c r="E638" s="118" t="e">
        <f t="array" aca="1" ref="E638" ca="1">_xludf.IFNA(IF(B638="","",VLOOKUP(B638,RM!$C$4:$G983,14,FALSE)),IFERROR(MIN(IF('S-BOM'!$B$3:$B993=$B638,'S-BOM'!$H$3:$H993,"")),""))</f>
        <v>#NAME?</v>
      </c>
      <c r="F638" s="87" t="str">
        <f t="shared" si="5"/>
        <v/>
      </c>
      <c r="G638" s="87" t="str">
        <f t="shared" si="6"/>
        <v/>
      </c>
      <c r="H638" s="87"/>
      <c r="I638" s="87"/>
      <c r="J638" s="87"/>
    </row>
    <row r="639" spans="1:10">
      <c r="A639" s="2"/>
      <c r="B639" s="2"/>
      <c r="C639" s="120" t="str">
        <f>IF(B639="","",SUMIFS('A-BOM'!$D$3:$D993,'A-BOM'!$C$3:$C993,B639,'A-BOM'!$B$3:$B993,$B$2))</f>
        <v/>
      </c>
      <c r="D639" s="120" t="str">
        <f>IFERROR(IF(B639="","",VLOOKUP(B639,RM!$C$4:$F983,3,FALSE)),"")</f>
        <v/>
      </c>
      <c r="E639" s="118" t="e">
        <f t="array" aca="1" ref="E639" ca="1">_xludf.IFNA(IF(B639="","",VLOOKUP(B639,RM!$C$4:$G983,14,FALSE)),IFERROR(MIN(IF('S-BOM'!$B$3:$B993=$B639,'S-BOM'!$H$3:$H993,"")),""))</f>
        <v>#NAME?</v>
      </c>
      <c r="F639" s="87" t="str">
        <f t="shared" si="5"/>
        <v/>
      </c>
      <c r="G639" s="87" t="str">
        <f t="shared" si="6"/>
        <v/>
      </c>
      <c r="H639" s="87"/>
      <c r="I639" s="87"/>
      <c r="J639" s="87"/>
    </row>
    <row r="640" spans="1:10">
      <c r="A640" s="2"/>
      <c r="B640" s="2"/>
      <c r="C640" s="120" t="str">
        <f>IF(B640="","",SUMIFS('A-BOM'!$D$3:$D993,'A-BOM'!$C$3:$C993,B640,'A-BOM'!$B$3:$B993,$B$2))</f>
        <v/>
      </c>
      <c r="D640" s="120" t="str">
        <f>IFERROR(IF(B640="","",VLOOKUP(B640,RM!$C$4:$F983,3,FALSE)),"")</f>
        <v/>
      </c>
      <c r="E640" s="118" t="e">
        <f t="array" aca="1" ref="E640" ca="1">_xludf.IFNA(IF(B640="","",VLOOKUP(B640,RM!$C$4:$G983,14,FALSE)),IFERROR(MIN(IF('S-BOM'!$B$3:$B993=$B640,'S-BOM'!$H$3:$H993,"")),""))</f>
        <v>#NAME?</v>
      </c>
      <c r="F640" s="87" t="str">
        <f t="shared" si="5"/>
        <v/>
      </c>
      <c r="G640" s="87" t="str">
        <f t="shared" si="6"/>
        <v/>
      </c>
      <c r="H640" s="87"/>
      <c r="I640" s="87"/>
      <c r="J640" s="87"/>
    </row>
    <row r="641" spans="1:10">
      <c r="A641" s="2"/>
      <c r="B641" s="2"/>
      <c r="C641" s="120" t="str">
        <f>IF(B641="","",SUMIFS('A-BOM'!$D$3:$D993,'A-BOM'!$C$3:$C993,B641,'A-BOM'!$B$3:$B993,$B$2))</f>
        <v/>
      </c>
      <c r="D641" s="120" t="str">
        <f>IFERROR(IF(B641="","",VLOOKUP(B641,RM!$C$4:$F983,3,FALSE)),"")</f>
        <v/>
      </c>
      <c r="E641" s="118" t="e">
        <f t="array" aca="1" ref="E641" ca="1">_xludf.IFNA(IF(B641="","",VLOOKUP(B641,RM!$C$4:$G983,14,FALSE)),IFERROR(MIN(IF('S-BOM'!$B$3:$B993=$B641,'S-BOM'!$H$3:$H993,"")),""))</f>
        <v>#NAME?</v>
      </c>
      <c r="F641" s="87" t="str">
        <f t="shared" si="5"/>
        <v/>
      </c>
      <c r="G641" s="87" t="str">
        <f t="shared" si="6"/>
        <v/>
      </c>
      <c r="H641" s="87"/>
      <c r="I641" s="87"/>
      <c r="J641" s="87"/>
    </row>
    <row r="642" spans="1:10">
      <c r="A642" s="2"/>
      <c r="B642" s="2"/>
      <c r="C642" s="120" t="str">
        <f>IF(B642="","",SUMIFS('A-BOM'!$D$3:$D993,'A-BOM'!$C$3:$C993,B642,'A-BOM'!$B$3:$B993,$B$2))</f>
        <v/>
      </c>
      <c r="D642" s="120" t="str">
        <f>IFERROR(IF(B642="","",VLOOKUP(B642,RM!$C$4:$F983,3,FALSE)),"")</f>
        <v/>
      </c>
      <c r="E642" s="118" t="e">
        <f t="array" aca="1" ref="E642" ca="1">_xludf.IFNA(IF(B642="","",VLOOKUP(B642,RM!$C$4:$G983,14,FALSE)),IFERROR(MIN(IF('S-BOM'!$B$3:$B993=$B642,'S-BOM'!$H$3:$H993,"")),""))</f>
        <v>#NAME?</v>
      </c>
      <c r="F642" s="87" t="str">
        <f t="shared" si="5"/>
        <v/>
      </c>
      <c r="G642" s="87" t="str">
        <f t="shared" si="6"/>
        <v/>
      </c>
      <c r="H642" s="87"/>
      <c r="I642" s="87"/>
      <c r="J642" s="87"/>
    </row>
    <row r="643" spans="1:10">
      <c r="A643" s="2"/>
      <c r="B643" s="2"/>
      <c r="C643" s="120" t="str">
        <f>IF(B643="","",SUMIFS('A-BOM'!$D$3:$D993,'A-BOM'!$C$3:$C993,B643,'A-BOM'!$B$3:$B993,$B$2))</f>
        <v/>
      </c>
      <c r="D643" s="120" t="str">
        <f>IFERROR(IF(B643="","",VLOOKUP(B643,RM!$C$4:$F983,3,FALSE)),"")</f>
        <v/>
      </c>
      <c r="E643" s="118" t="e">
        <f t="array" aca="1" ref="E643" ca="1">_xludf.IFNA(IF(B643="","",VLOOKUP(B643,RM!$C$4:$G983,14,FALSE)),IFERROR(MIN(IF('S-BOM'!$B$3:$B993=$B643,'S-BOM'!$H$3:$H993,"")),""))</f>
        <v>#NAME?</v>
      </c>
      <c r="F643" s="87" t="str">
        <f t="shared" si="5"/>
        <v/>
      </c>
      <c r="G643" s="87" t="str">
        <f t="shared" si="6"/>
        <v/>
      </c>
      <c r="H643" s="87"/>
      <c r="I643" s="87"/>
      <c r="J643" s="87"/>
    </row>
    <row r="644" spans="1:10">
      <c r="A644" s="2"/>
      <c r="B644" s="2"/>
      <c r="C644" s="120" t="str">
        <f>IF(B644="","",SUMIFS('A-BOM'!$D$3:$D993,'A-BOM'!$C$3:$C993,B644,'A-BOM'!$B$3:$B993,$B$2))</f>
        <v/>
      </c>
      <c r="D644" s="120" t="str">
        <f>IFERROR(IF(B644="","",VLOOKUP(B644,RM!$C$4:$F983,3,FALSE)),"")</f>
        <v/>
      </c>
      <c r="E644" s="118" t="e">
        <f t="array" aca="1" ref="E644" ca="1">_xludf.IFNA(IF(B644="","",VLOOKUP(B644,RM!$C$4:$G983,14,FALSE)),IFERROR(MIN(IF('S-BOM'!$B$3:$B993=$B644,'S-BOM'!$H$3:$H993,"")),""))</f>
        <v>#NAME?</v>
      </c>
      <c r="F644" s="87" t="str">
        <f t="shared" si="5"/>
        <v/>
      </c>
      <c r="G644" s="87" t="str">
        <f t="shared" si="6"/>
        <v/>
      </c>
      <c r="H644" s="87"/>
      <c r="I644" s="87"/>
      <c r="J644" s="87"/>
    </row>
    <row r="645" spans="1:10">
      <c r="A645" s="2"/>
      <c r="B645" s="2"/>
      <c r="C645" s="120" t="str">
        <f>IF(B645="","",SUMIFS('A-BOM'!$D$3:$D993,'A-BOM'!$C$3:$C993,B645,'A-BOM'!$B$3:$B993,$B$2))</f>
        <v/>
      </c>
      <c r="D645" s="120" t="str">
        <f>IFERROR(IF(B645="","",VLOOKUP(B645,RM!$C$4:$F983,3,FALSE)),"")</f>
        <v/>
      </c>
      <c r="E645" s="118" t="e">
        <f t="array" aca="1" ref="E645" ca="1">_xludf.IFNA(IF(B645="","",VLOOKUP(B645,RM!$C$4:$G983,14,FALSE)),IFERROR(MIN(IF('S-BOM'!$B$3:$B993=$B645,'S-BOM'!$H$3:$H993,"")),""))</f>
        <v>#NAME?</v>
      </c>
      <c r="F645" s="87" t="str">
        <f t="shared" si="5"/>
        <v/>
      </c>
      <c r="G645" s="87" t="str">
        <f t="shared" si="6"/>
        <v/>
      </c>
      <c r="H645" s="87"/>
      <c r="I645" s="87"/>
      <c r="J645" s="87"/>
    </row>
    <row r="646" spans="1:10">
      <c r="A646" s="2"/>
      <c r="B646" s="2"/>
      <c r="C646" s="120" t="str">
        <f>IF(B646="","",SUMIFS('A-BOM'!$D$3:$D993,'A-BOM'!$C$3:$C993,B646,'A-BOM'!$B$3:$B993,$B$2))</f>
        <v/>
      </c>
      <c r="D646" s="120" t="str">
        <f>IFERROR(IF(B646="","",VLOOKUP(B646,RM!$C$4:$F983,3,FALSE)),"")</f>
        <v/>
      </c>
      <c r="E646" s="118" t="e">
        <f t="array" aca="1" ref="E646" ca="1">_xludf.IFNA(IF(B646="","",VLOOKUP(B646,RM!$C$4:$G983,14,FALSE)),IFERROR(MIN(IF('S-BOM'!$B$3:$B993=$B646,'S-BOM'!$H$3:$H993,"")),""))</f>
        <v>#NAME?</v>
      </c>
      <c r="F646" s="87" t="str">
        <f t="shared" si="5"/>
        <v/>
      </c>
      <c r="G646" s="87" t="str">
        <f t="shared" si="6"/>
        <v/>
      </c>
      <c r="H646" s="87"/>
      <c r="I646" s="87"/>
      <c r="J646" s="87"/>
    </row>
    <row r="647" spans="1:10">
      <c r="A647" s="2"/>
      <c r="B647" s="2"/>
      <c r="C647" s="120" t="str">
        <f>IF(B647="","",SUMIFS('A-BOM'!$D$3:$D993,'A-BOM'!$C$3:$C993,B647,'A-BOM'!$B$3:$B993,$B$2))</f>
        <v/>
      </c>
      <c r="D647" s="120" t="str">
        <f>IFERROR(IF(B647="","",VLOOKUP(B647,RM!$C$4:$F983,3,FALSE)),"")</f>
        <v/>
      </c>
      <c r="E647" s="118" t="e">
        <f t="array" aca="1" ref="E647" ca="1">_xludf.IFNA(IF(B647="","",VLOOKUP(B647,RM!$C$4:$G983,14,FALSE)),IFERROR(MIN(IF('S-BOM'!$B$3:$B993=$B647,'S-BOM'!$H$3:$H993,"")),""))</f>
        <v>#NAME?</v>
      </c>
      <c r="F647" s="87" t="str">
        <f t="shared" si="5"/>
        <v/>
      </c>
      <c r="G647" s="87" t="str">
        <f t="shared" si="6"/>
        <v/>
      </c>
      <c r="H647" s="87"/>
      <c r="I647" s="87"/>
      <c r="J647" s="87"/>
    </row>
    <row r="648" spans="1:10">
      <c r="A648" s="2"/>
      <c r="B648" s="2"/>
      <c r="C648" s="120" t="str">
        <f>IF(B648="","",SUMIFS('A-BOM'!$D$3:$D993,'A-BOM'!$C$3:$C993,B648,'A-BOM'!$B$3:$B993,$B$2))</f>
        <v/>
      </c>
      <c r="D648" s="120" t="str">
        <f>IFERROR(IF(B648="","",VLOOKUP(B648,RM!$C$4:$F983,3,FALSE)),"")</f>
        <v/>
      </c>
      <c r="E648" s="118" t="e">
        <f t="array" aca="1" ref="E648" ca="1">_xludf.IFNA(IF(B648="","",VLOOKUP(B648,RM!$C$4:$G983,14,FALSE)),IFERROR(MIN(IF('S-BOM'!$B$3:$B993=$B648,'S-BOM'!$H$3:$H993,"")),""))</f>
        <v>#NAME?</v>
      </c>
      <c r="F648" s="87" t="str">
        <f t="shared" si="5"/>
        <v/>
      </c>
      <c r="G648" s="87" t="str">
        <f t="shared" si="6"/>
        <v/>
      </c>
      <c r="H648" s="87"/>
      <c r="I648" s="87"/>
      <c r="J648" s="87"/>
    </row>
    <row r="649" spans="1:10">
      <c r="A649" s="2"/>
      <c r="B649" s="2"/>
      <c r="C649" s="120" t="str">
        <f>IF(B649="","",SUMIFS('A-BOM'!$D$3:$D993,'A-BOM'!$C$3:$C993,B649,'A-BOM'!$B$3:$B993,$B$2))</f>
        <v/>
      </c>
      <c r="D649" s="120" t="str">
        <f>IFERROR(IF(B649="","",VLOOKUP(B649,RM!$C$4:$F983,3,FALSE)),"")</f>
        <v/>
      </c>
      <c r="E649" s="118" t="e">
        <f t="array" aca="1" ref="E649" ca="1">_xludf.IFNA(IF(B649="","",VLOOKUP(B649,RM!$C$4:$G983,14,FALSE)),IFERROR(MIN(IF('S-BOM'!$B$3:$B993=$B649,'S-BOM'!$H$3:$H993,"")),""))</f>
        <v>#NAME?</v>
      </c>
      <c r="F649" s="87" t="str">
        <f t="shared" si="5"/>
        <v/>
      </c>
      <c r="G649" s="87" t="str">
        <f t="shared" si="6"/>
        <v/>
      </c>
      <c r="H649" s="87"/>
      <c r="I649" s="87"/>
      <c r="J649" s="87"/>
    </row>
    <row r="650" spans="1:10">
      <c r="A650" s="2"/>
      <c r="B650" s="2"/>
      <c r="C650" s="120" t="str">
        <f>IF(B650="","",SUMIFS('A-BOM'!$D$3:$D993,'A-BOM'!$C$3:$C993,B650,'A-BOM'!$B$3:$B993,$B$2))</f>
        <v/>
      </c>
      <c r="D650" s="120" t="str">
        <f>IFERROR(IF(B650="","",VLOOKUP(B650,RM!$C$4:$F983,3,FALSE)),"")</f>
        <v/>
      </c>
      <c r="E650" s="118" t="e">
        <f t="array" aca="1" ref="E650" ca="1">_xludf.IFNA(IF(B650="","",VLOOKUP(B650,RM!$C$4:$G983,14,FALSE)),IFERROR(MIN(IF('S-BOM'!$B$3:$B993=$B650,'S-BOM'!$H$3:$H993,"")),""))</f>
        <v>#NAME?</v>
      </c>
      <c r="F650" s="87" t="str">
        <f t="shared" si="5"/>
        <v/>
      </c>
      <c r="G650" s="87" t="str">
        <f t="shared" si="6"/>
        <v/>
      </c>
      <c r="H650" s="87"/>
      <c r="I650" s="87"/>
      <c r="J650" s="87"/>
    </row>
    <row r="651" spans="1:10">
      <c r="A651" s="2"/>
      <c r="B651" s="2"/>
      <c r="C651" s="120" t="str">
        <f>IF(B651="","",SUMIFS('A-BOM'!$D$3:$D993,'A-BOM'!$C$3:$C993,B651,'A-BOM'!$B$3:$B993,$B$2))</f>
        <v/>
      </c>
      <c r="D651" s="120" t="str">
        <f>IFERROR(IF(B651="","",VLOOKUP(B651,RM!$C$4:$F983,3,FALSE)),"")</f>
        <v/>
      </c>
      <c r="E651" s="118" t="e">
        <f t="array" aca="1" ref="E651" ca="1">_xludf.IFNA(IF(B651="","",VLOOKUP(B651,RM!$C$4:$G983,14,FALSE)),IFERROR(MIN(IF('S-BOM'!$B$3:$B993=$B651,'S-BOM'!$H$3:$H993,"")),""))</f>
        <v>#NAME?</v>
      </c>
      <c r="F651" s="87" t="str">
        <f t="shared" si="5"/>
        <v/>
      </c>
      <c r="G651" s="87" t="str">
        <f t="shared" si="6"/>
        <v/>
      </c>
      <c r="H651" s="87"/>
      <c r="I651" s="87"/>
      <c r="J651" s="87"/>
    </row>
    <row r="652" spans="1:10">
      <c r="A652" s="2"/>
      <c r="B652" s="2"/>
      <c r="C652" s="120" t="str">
        <f>IF(B652="","",SUMIFS('A-BOM'!$D$3:$D993,'A-BOM'!$C$3:$C993,B652,'A-BOM'!$B$3:$B993,$B$2))</f>
        <v/>
      </c>
      <c r="D652" s="120" t="str">
        <f>IFERROR(IF(B652="","",VLOOKUP(B652,RM!$C$4:$F983,3,FALSE)),"")</f>
        <v/>
      </c>
      <c r="E652" s="118" t="e">
        <f t="array" aca="1" ref="E652" ca="1">_xludf.IFNA(IF(B652="","",VLOOKUP(B652,RM!$C$4:$G983,14,FALSE)),IFERROR(MIN(IF('S-BOM'!$B$3:$B993=$B652,'S-BOM'!$H$3:$H993,"")),""))</f>
        <v>#NAME?</v>
      </c>
      <c r="F652" s="87" t="str">
        <f t="shared" si="5"/>
        <v/>
      </c>
      <c r="G652" s="87" t="str">
        <f t="shared" si="6"/>
        <v/>
      </c>
      <c r="H652" s="87"/>
      <c r="I652" s="87"/>
      <c r="J652" s="87"/>
    </row>
    <row r="653" spans="1:10">
      <c r="A653" s="2"/>
      <c r="B653" s="2"/>
      <c r="C653" s="120" t="str">
        <f>IF(B653="","",SUMIFS('A-BOM'!$D$3:$D993,'A-BOM'!$C$3:$C993,B653,'A-BOM'!$B$3:$B993,$B$2))</f>
        <v/>
      </c>
      <c r="D653" s="120" t="str">
        <f>IFERROR(IF(B653="","",VLOOKUP(B653,RM!$C$4:$F983,3,FALSE)),"")</f>
        <v/>
      </c>
      <c r="E653" s="118" t="e">
        <f t="array" aca="1" ref="E653" ca="1">_xludf.IFNA(IF(B653="","",VLOOKUP(B653,RM!$C$4:$G983,14,FALSE)),IFERROR(MIN(IF('S-BOM'!$B$3:$B993=$B653,'S-BOM'!$H$3:$H993,"")),""))</f>
        <v>#NAME?</v>
      </c>
      <c r="F653" s="87" t="str">
        <f t="shared" si="5"/>
        <v/>
      </c>
      <c r="G653" s="87" t="str">
        <f t="shared" si="6"/>
        <v/>
      </c>
      <c r="H653" s="87"/>
      <c r="I653" s="87"/>
      <c r="J653" s="87"/>
    </row>
    <row r="654" spans="1:10">
      <c r="A654" s="2"/>
      <c r="B654" s="2"/>
      <c r="C654" s="120" t="str">
        <f>IF(B654="","",SUMIFS('A-BOM'!$D$3:$D993,'A-BOM'!$C$3:$C993,B654,'A-BOM'!$B$3:$B993,$B$2))</f>
        <v/>
      </c>
      <c r="D654" s="120" t="str">
        <f>IFERROR(IF(B654="","",VLOOKUP(B654,RM!$C$4:$F983,3,FALSE)),"")</f>
        <v/>
      </c>
      <c r="E654" s="118" t="e">
        <f t="array" aca="1" ref="E654" ca="1">_xludf.IFNA(IF(B654="","",VLOOKUP(B654,RM!$C$4:$G983,14,FALSE)),IFERROR(MIN(IF('S-BOM'!$B$3:$B993=$B654,'S-BOM'!$H$3:$H993,"")),""))</f>
        <v>#NAME?</v>
      </c>
      <c r="F654" s="87" t="str">
        <f t="shared" si="5"/>
        <v/>
      </c>
      <c r="G654" s="87" t="str">
        <f t="shared" si="6"/>
        <v/>
      </c>
      <c r="H654" s="87"/>
      <c r="I654" s="87"/>
      <c r="J654" s="87"/>
    </row>
    <row r="655" spans="1:10">
      <c r="A655" s="2"/>
      <c r="B655" s="2"/>
      <c r="C655" s="120" t="str">
        <f>IF(B655="","",SUMIFS('A-BOM'!$D$3:$D993,'A-BOM'!$C$3:$C993,B655,'A-BOM'!$B$3:$B993,$B$2))</f>
        <v/>
      </c>
      <c r="D655" s="120" t="str">
        <f>IFERROR(IF(B655="","",VLOOKUP(B655,RM!$C$4:$F983,3,FALSE)),"")</f>
        <v/>
      </c>
      <c r="E655" s="118" t="e">
        <f t="array" aca="1" ref="E655" ca="1">_xludf.IFNA(IF(B655="","",VLOOKUP(B655,RM!$C$4:$G983,14,FALSE)),IFERROR(MIN(IF('S-BOM'!$B$3:$B993=$B655,'S-BOM'!$H$3:$H993,"")),""))</f>
        <v>#NAME?</v>
      </c>
      <c r="F655" s="87" t="str">
        <f t="shared" si="5"/>
        <v/>
      </c>
      <c r="G655" s="87" t="str">
        <f t="shared" si="6"/>
        <v/>
      </c>
      <c r="H655" s="87"/>
      <c r="I655" s="87"/>
      <c r="J655" s="87"/>
    </row>
    <row r="656" spans="1:10">
      <c r="A656" s="2"/>
      <c r="B656" s="2"/>
      <c r="C656" s="120" t="str">
        <f>IF(B656="","",SUMIFS('A-BOM'!$D$3:$D993,'A-BOM'!$C$3:$C993,B656,'A-BOM'!$B$3:$B993,$B$2))</f>
        <v/>
      </c>
      <c r="D656" s="120" t="str">
        <f>IFERROR(IF(B656="","",VLOOKUP(B656,RM!$C$4:$F983,3,FALSE)),"")</f>
        <v/>
      </c>
      <c r="E656" s="118" t="e">
        <f t="array" aca="1" ref="E656" ca="1">_xludf.IFNA(IF(B656="","",VLOOKUP(B656,RM!$C$4:$G983,14,FALSE)),IFERROR(MIN(IF('S-BOM'!$B$3:$B993=$B656,'S-BOM'!$H$3:$H993,"")),""))</f>
        <v>#NAME?</v>
      </c>
      <c r="F656" s="87" t="str">
        <f t="shared" si="5"/>
        <v/>
      </c>
      <c r="G656" s="87" t="str">
        <f t="shared" si="6"/>
        <v/>
      </c>
      <c r="H656" s="87"/>
      <c r="I656" s="87"/>
      <c r="J656" s="87"/>
    </row>
    <row r="657" spans="1:10">
      <c r="A657" s="2"/>
      <c r="B657" s="2"/>
      <c r="C657" s="120" t="str">
        <f>IF(B657="","",SUMIFS('A-BOM'!$D$3:$D993,'A-BOM'!$C$3:$C993,B657,'A-BOM'!$B$3:$B993,$B$2))</f>
        <v/>
      </c>
      <c r="D657" s="120" t="str">
        <f>IFERROR(IF(B657="","",VLOOKUP(B657,RM!$C$4:$F983,3,FALSE)),"")</f>
        <v/>
      </c>
      <c r="E657" s="118" t="e">
        <f t="array" aca="1" ref="E657" ca="1">_xludf.IFNA(IF(B657="","",VLOOKUP(B657,RM!$C$4:$G983,14,FALSE)),IFERROR(MIN(IF('S-BOM'!$B$3:$B993=$B657,'S-BOM'!$H$3:$H993,"")),""))</f>
        <v>#NAME?</v>
      </c>
      <c r="F657" s="87" t="str">
        <f t="shared" si="5"/>
        <v/>
      </c>
      <c r="G657" s="87" t="str">
        <f t="shared" si="6"/>
        <v/>
      </c>
      <c r="H657" s="87"/>
      <c r="I657" s="87"/>
      <c r="J657" s="87"/>
    </row>
    <row r="658" spans="1:10">
      <c r="A658" s="2"/>
      <c r="B658" s="2"/>
      <c r="C658" s="120" t="str">
        <f>IF(B658="","",SUMIFS('A-BOM'!$D$3:$D993,'A-BOM'!$C$3:$C993,B658,'A-BOM'!$B$3:$B993,$B$2))</f>
        <v/>
      </c>
      <c r="D658" s="120" t="str">
        <f>IFERROR(IF(B658="","",VLOOKUP(B658,RM!$C$4:$F983,3,FALSE)),"")</f>
        <v/>
      </c>
      <c r="E658" s="118" t="e">
        <f t="array" aca="1" ref="E658" ca="1">_xludf.IFNA(IF(B658="","",VLOOKUP(B658,RM!$C$4:$G983,14,FALSE)),IFERROR(MIN(IF('S-BOM'!$B$3:$B993=$B658,'S-BOM'!$H$3:$H993,"")),""))</f>
        <v>#NAME?</v>
      </c>
      <c r="F658" s="87" t="str">
        <f t="shared" si="5"/>
        <v/>
      </c>
      <c r="G658" s="87" t="str">
        <f t="shared" si="6"/>
        <v/>
      </c>
      <c r="H658" s="87"/>
      <c r="I658" s="87"/>
      <c r="J658" s="87"/>
    </row>
    <row r="659" spans="1:10">
      <c r="A659" s="2"/>
      <c r="B659" s="2"/>
      <c r="C659" s="120" t="str">
        <f>IF(B659="","",SUMIFS('A-BOM'!$D$3:$D993,'A-BOM'!$C$3:$C993,B659,'A-BOM'!$B$3:$B993,$B$2))</f>
        <v/>
      </c>
      <c r="D659" s="120" t="str">
        <f>IFERROR(IF(B659="","",VLOOKUP(B659,RM!$C$4:$F983,3,FALSE)),"")</f>
        <v/>
      </c>
      <c r="E659" s="118" t="e">
        <f t="array" aca="1" ref="E659" ca="1">_xludf.IFNA(IF(B659="","",VLOOKUP(B659,RM!$C$4:$G983,14,FALSE)),IFERROR(MIN(IF('S-BOM'!$B$3:$B993=$B659,'S-BOM'!$H$3:$H993,"")),""))</f>
        <v>#NAME?</v>
      </c>
      <c r="F659" s="87" t="str">
        <f t="shared" si="5"/>
        <v/>
      </c>
      <c r="G659" s="87" t="str">
        <f t="shared" si="6"/>
        <v/>
      </c>
      <c r="H659" s="87"/>
      <c r="I659" s="87"/>
      <c r="J659" s="87"/>
    </row>
    <row r="660" spans="1:10">
      <c r="A660" s="2"/>
      <c r="B660" s="2"/>
      <c r="C660" s="120" t="str">
        <f>IF(B660="","",SUMIFS('A-BOM'!$D$3:$D993,'A-BOM'!$C$3:$C993,B660,'A-BOM'!$B$3:$B993,$B$2))</f>
        <v/>
      </c>
      <c r="D660" s="120" t="str">
        <f>IFERROR(IF(B660="","",VLOOKUP(B660,RM!$C$4:$F983,3,FALSE)),"")</f>
        <v/>
      </c>
      <c r="E660" s="118" t="e">
        <f t="array" aca="1" ref="E660" ca="1">_xludf.IFNA(IF(B660="","",VLOOKUP(B660,RM!$C$4:$G983,14,FALSE)),IFERROR(MIN(IF('S-BOM'!$B$3:$B993=$B660,'S-BOM'!$H$3:$H993,"")),""))</f>
        <v>#NAME?</v>
      </c>
      <c r="F660" s="87" t="str">
        <f t="shared" si="5"/>
        <v/>
      </c>
      <c r="G660" s="87" t="str">
        <f t="shared" si="6"/>
        <v/>
      </c>
      <c r="H660" s="87"/>
      <c r="I660" s="87"/>
      <c r="J660" s="87"/>
    </row>
    <row r="661" spans="1:10">
      <c r="A661" s="2"/>
      <c r="B661" s="2"/>
      <c r="C661" s="120" t="str">
        <f>IF(B661="","",SUMIFS('A-BOM'!$D$3:$D993,'A-BOM'!$C$3:$C993,B661,'A-BOM'!$B$3:$B993,$B$2))</f>
        <v/>
      </c>
      <c r="D661" s="120" t="str">
        <f>IFERROR(IF(B661="","",VLOOKUP(B661,RM!$C$4:$F983,3,FALSE)),"")</f>
        <v/>
      </c>
      <c r="E661" s="118" t="e">
        <f t="array" aca="1" ref="E661" ca="1">_xludf.IFNA(IF(B661="","",VLOOKUP(B661,RM!$C$4:$G983,14,FALSE)),IFERROR(MIN(IF('S-BOM'!$B$3:$B993=$B661,'S-BOM'!$H$3:$H993,"")),""))</f>
        <v>#NAME?</v>
      </c>
      <c r="F661" s="87" t="str">
        <f t="shared" si="5"/>
        <v/>
      </c>
      <c r="G661" s="87" t="str">
        <f t="shared" si="6"/>
        <v/>
      </c>
      <c r="H661" s="87"/>
      <c r="I661" s="87"/>
      <c r="J661" s="87"/>
    </row>
    <row r="662" spans="1:10">
      <c r="A662" s="2"/>
      <c r="B662" s="2"/>
      <c r="C662" s="120" t="str">
        <f>IF(B662="","",SUMIFS('A-BOM'!$D$3:$D993,'A-BOM'!$C$3:$C993,B662,'A-BOM'!$B$3:$B993,$B$2))</f>
        <v/>
      </c>
      <c r="D662" s="120" t="str">
        <f>IFERROR(IF(B662="","",VLOOKUP(B662,RM!$C$4:$F983,3,FALSE)),"")</f>
        <v/>
      </c>
      <c r="E662" s="118" t="e">
        <f t="array" aca="1" ref="E662" ca="1">_xludf.IFNA(IF(B662="","",VLOOKUP(B662,RM!$C$4:$G983,14,FALSE)),IFERROR(MIN(IF('S-BOM'!$B$3:$B993=$B662,'S-BOM'!$H$3:$H993,"")),""))</f>
        <v>#NAME?</v>
      </c>
      <c r="F662" s="87" t="str">
        <f t="shared" si="5"/>
        <v/>
      </c>
      <c r="G662" s="87" t="str">
        <f t="shared" si="6"/>
        <v/>
      </c>
      <c r="H662" s="87"/>
      <c r="I662" s="87"/>
      <c r="J662" s="87"/>
    </row>
    <row r="663" spans="1:10">
      <c r="A663" s="2"/>
      <c r="B663" s="2"/>
      <c r="C663" s="120" t="str">
        <f>IF(B663="","",SUMIFS('A-BOM'!$D$3:$D993,'A-BOM'!$C$3:$C993,B663,'A-BOM'!$B$3:$B993,$B$2))</f>
        <v/>
      </c>
      <c r="D663" s="120" t="str">
        <f>IFERROR(IF(B663="","",VLOOKUP(B663,RM!$C$4:$F983,3,FALSE)),"")</f>
        <v/>
      </c>
      <c r="E663" s="118" t="e">
        <f t="array" aca="1" ref="E663" ca="1">_xludf.IFNA(IF(B663="","",VLOOKUP(B663,RM!$C$4:$G983,14,FALSE)),IFERROR(MIN(IF('S-BOM'!$B$3:$B993=$B663,'S-BOM'!$H$3:$H993,"")),""))</f>
        <v>#NAME?</v>
      </c>
      <c r="F663" s="87" t="str">
        <f t="shared" si="5"/>
        <v/>
      </c>
      <c r="G663" s="87" t="str">
        <f t="shared" si="6"/>
        <v/>
      </c>
      <c r="H663" s="87"/>
      <c r="I663" s="87"/>
      <c r="J663" s="87"/>
    </row>
    <row r="664" spans="1:10">
      <c r="A664" s="2"/>
      <c r="B664" s="2"/>
      <c r="C664" s="120" t="str">
        <f>IF(B664="","",SUMIFS('A-BOM'!$D$3:$D993,'A-BOM'!$C$3:$C993,B664,'A-BOM'!$B$3:$B993,$B$2))</f>
        <v/>
      </c>
      <c r="D664" s="120" t="str">
        <f>IFERROR(IF(B664="","",VLOOKUP(B664,RM!$C$4:$F983,3,FALSE)),"")</f>
        <v/>
      </c>
      <c r="E664" s="118" t="e">
        <f t="array" aca="1" ref="E664" ca="1">_xludf.IFNA(IF(B664="","",VLOOKUP(B664,RM!$C$4:$G983,14,FALSE)),IFERROR(MIN(IF('S-BOM'!$B$3:$B993=$B664,'S-BOM'!$H$3:$H993,"")),""))</f>
        <v>#NAME?</v>
      </c>
      <c r="F664" s="87" t="str">
        <f t="shared" si="5"/>
        <v/>
      </c>
      <c r="G664" s="87" t="str">
        <f t="shared" si="6"/>
        <v/>
      </c>
      <c r="H664" s="87"/>
      <c r="I664" s="87"/>
      <c r="J664" s="87"/>
    </row>
    <row r="665" spans="1:10">
      <c r="A665" s="2"/>
      <c r="B665" s="2"/>
      <c r="C665" s="120" t="str">
        <f>IF(B665="","",SUMIFS('A-BOM'!$D$3:$D993,'A-BOM'!$C$3:$C993,B665,'A-BOM'!$B$3:$B993,$B$2))</f>
        <v/>
      </c>
      <c r="D665" s="120" t="str">
        <f>IFERROR(IF(B665="","",VLOOKUP(B665,RM!$C$4:$F983,3,FALSE)),"")</f>
        <v/>
      </c>
      <c r="E665" s="118" t="e">
        <f t="array" aca="1" ref="E665" ca="1">_xludf.IFNA(IF(B665="","",VLOOKUP(B665,RM!$C$4:$G983,14,FALSE)),IFERROR(MIN(IF('S-BOM'!$B$3:$B993=$B665,'S-BOM'!$H$3:$H993,"")),""))</f>
        <v>#NAME?</v>
      </c>
      <c r="F665" s="87" t="str">
        <f t="shared" si="5"/>
        <v/>
      </c>
      <c r="G665" s="87" t="str">
        <f t="shared" si="6"/>
        <v/>
      </c>
      <c r="H665" s="87"/>
      <c r="I665" s="87"/>
      <c r="J665" s="87"/>
    </row>
    <row r="666" spans="1:10">
      <c r="A666" s="2"/>
      <c r="B666" s="2"/>
      <c r="C666" s="120" t="str">
        <f>IF(B666="","",SUMIFS('A-BOM'!$D$3:$D993,'A-BOM'!$C$3:$C993,B666,'A-BOM'!$B$3:$B993,$B$2))</f>
        <v/>
      </c>
      <c r="D666" s="120" t="str">
        <f>IFERROR(IF(B666="","",VLOOKUP(B666,RM!$C$4:$F983,3,FALSE)),"")</f>
        <v/>
      </c>
      <c r="E666" s="118" t="e">
        <f t="array" aca="1" ref="E666" ca="1">_xludf.IFNA(IF(B666="","",VLOOKUP(B666,RM!$C$4:$G983,14,FALSE)),IFERROR(MIN(IF('S-BOM'!$B$3:$B993=$B666,'S-BOM'!$H$3:$H993,"")),""))</f>
        <v>#NAME?</v>
      </c>
      <c r="F666" s="87" t="str">
        <f t="shared" si="5"/>
        <v/>
      </c>
      <c r="G666" s="87" t="str">
        <f t="shared" si="6"/>
        <v/>
      </c>
      <c r="H666" s="87"/>
      <c r="I666" s="87"/>
      <c r="J666" s="87"/>
    </row>
    <row r="667" spans="1:10">
      <c r="A667" s="2"/>
      <c r="B667" s="2"/>
      <c r="C667" s="120" t="str">
        <f>IF(B667="","",SUMIFS('A-BOM'!$D$3:$D993,'A-BOM'!$C$3:$C993,B667,'A-BOM'!$B$3:$B993,$B$2))</f>
        <v/>
      </c>
      <c r="D667" s="120" t="str">
        <f>IFERROR(IF(B667="","",VLOOKUP(B667,RM!$C$4:$F983,3,FALSE)),"")</f>
        <v/>
      </c>
      <c r="E667" s="118" t="e">
        <f t="array" aca="1" ref="E667" ca="1">_xludf.IFNA(IF(B667="","",VLOOKUP(B667,RM!$C$4:$G983,14,FALSE)),IFERROR(MIN(IF('S-BOM'!$B$3:$B993=$B667,'S-BOM'!$H$3:$H993,"")),""))</f>
        <v>#NAME?</v>
      </c>
      <c r="F667" s="87" t="str">
        <f t="shared" si="5"/>
        <v/>
      </c>
      <c r="G667" s="87" t="str">
        <f t="shared" si="6"/>
        <v/>
      </c>
      <c r="H667" s="87"/>
      <c r="I667" s="87"/>
      <c r="J667" s="87"/>
    </row>
    <row r="668" spans="1:10">
      <c r="A668" s="2"/>
      <c r="B668" s="2"/>
      <c r="C668" s="120" t="str">
        <f>IF(B668="","",SUMIFS('A-BOM'!$D$3:$D993,'A-BOM'!$C$3:$C993,B668,'A-BOM'!$B$3:$B993,$B$2))</f>
        <v/>
      </c>
      <c r="D668" s="120" t="str">
        <f>IFERROR(IF(B668="","",VLOOKUP(B668,RM!$C$4:$F983,3,FALSE)),"")</f>
        <v/>
      </c>
      <c r="E668" s="118" t="e">
        <f t="array" aca="1" ref="E668" ca="1">_xludf.IFNA(IF(B668="","",VLOOKUP(B668,RM!$C$4:$G983,14,FALSE)),IFERROR(MIN(IF('S-BOM'!$B$3:$B993=$B668,'S-BOM'!$H$3:$H993,"")),""))</f>
        <v>#NAME?</v>
      </c>
      <c r="F668" s="87" t="str">
        <f t="shared" si="5"/>
        <v/>
      </c>
      <c r="G668" s="87" t="str">
        <f t="shared" si="6"/>
        <v/>
      </c>
      <c r="H668" s="87"/>
      <c r="I668" s="87"/>
      <c r="J668" s="87"/>
    </row>
    <row r="669" spans="1:10">
      <c r="A669" s="2"/>
      <c r="B669" s="2"/>
      <c r="C669" s="120" t="str">
        <f>IF(B669="","",SUMIFS('A-BOM'!$D$3:$D993,'A-BOM'!$C$3:$C993,B669,'A-BOM'!$B$3:$B993,$B$2))</f>
        <v/>
      </c>
      <c r="D669" s="120" t="str">
        <f>IFERROR(IF(B669="","",VLOOKUP(B669,RM!$C$4:$F983,3,FALSE)),"")</f>
        <v/>
      </c>
      <c r="E669" s="118" t="e">
        <f t="array" aca="1" ref="E669" ca="1">_xludf.IFNA(IF(B669="","",VLOOKUP(B669,RM!$C$4:$G983,14,FALSE)),IFERROR(MIN(IF('S-BOM'!$B$3:$B993=$B669,'S-BOM'!$H$3:$H993,"")),""))</f>
        <v>#NAME?</v>
      </c>
      <c r="F669" s="87" t="str">
        <f t="shared" si="5"/>
        <v/>
      </c>
      <c r="G669" s="87" t="str">
        <f t="shared" si="6"/>
        <v/>
      </c>
      <c r="H669" s="87"/>
      <c r="I669" s="87"/>
      <c r="J669" s="87"/>
    </row>
    <row r="670" spans="1:10">
      <c r="A670" s="2"/>
      <c r="B670" s="2"/>
      <c r="C670" s="120" t="str">
        <f>IF(B670="","",SUMIFS('A-BOM'!$D$3:$D993,'A-BOM'!$C$3:$C993,B670,'A-BOM'!$B$3:$B993,$B$2))</f>
        <v/>
      </c>
      <c r="D670" s="120" t="str">
        <f>IFERROR(IF(B670="","",VLOOKUP(B670,RM!$C$4:$F983,3,FALSE)),"")</f>
        <v/>
      </c>
      <c r="E670" s="118" t="e">
        <f t="array" aca="1" ref="E670" ca="1">_xludf.IFNA(IF(B670="","",VLOOKUP(B670,RM!$C$4:$G983,14,FALSE)),IFERROR(MIN(IF('S-BOM'!$B$3:$B993=$B670,'S-BOM'!$H$3:$H993,"")),""))</f>
        <v>#NAME?</v>
      </c>
      <c r="F670" s="87" t="str">
        <f t="shared" si="5"/>
        <v/>
      </c>
      <c r="G670" s="87" t="str">
        <f t="shared" si="6"/>
        <v/>
      </c>
      <c r="H670" s="87"/>
      <c r="I670" s="87"/>
      <c r="J670" s="87"/>
    </row>
    <row r="671" spans="1:10">
      <c r="A671" s="2"/>
      <c r="B671" s="2"/>
      <c r="C671" s="120" t="str">
        <f>IF(B671="","",SUMIFS('A-BOM'!$D$3:$D993,'A-BOM'!$C$3:$C993,B671,'A-BOM'!$B$3:$B993,$B$2))</f>
        <v/>
      </c>
      <c r="D671" s="120" t="str">
        <f>IFERROR(IF(B671="","",VLOOKUP(B671,RM!$C$4:$F983,3,FALSE)),"")</f>
        <v/>
      </c>
      <c r="E671" s="118" t="e">
        <f t="array" aca="1" ref="E671" ca="1">_xludf.IFNA(IF(B671="","",VLOOKUP(B671,RM!$C$4:$G983,14,FALSE)),IFERROR(MIN(IF('S-BOM'!$B$3:$B993=$B671,'S-BOM'!$H$3:$H993,"")),""))</f>
        <v>#NAME?</v>
      </c>
      <c r="F671" s="87" t="str">
        <f t="shared" si="5"/>
        <v/>
      </c>
      <c r="G671" s="87" t="str">
        <f t="shared" si="6"/>
        <v/>
      </c>
      <c r="H671" s="87"/>
      <c r="I671" s="87"/>
      <c r="J671" s="87"/>
    </row>
    <row r="672" spans="1:10">
      <c r="A672" s="2"/>
      <c r="B672" s="2"/>
      <c r="C672" s="120" t="str">
        <f>IF(B672="","",SUMIFS('A-BOM'!$D$3:$D993,'A-BOM'!$C$3:$C993,B672,'A-BOM'!$B$3:$B993,$B$2))</f>
        <v/>
      </c>
      <c r="D672" s="120" t="str">
        <f>IFERROR(IF(B672="","",VLOOKUP(B672,RM!$C$4:$F983,3,FALSE)),"")</f>
        <v/>
      </c>
      <c r="E672" s="118" t="e">
        <f t="array" aca="1" ref="E672" ca="1">_xludf.IFNA(IF(B672="","",VLOOKUP(B672,RM!$C$4:$G983,14,FALSE)),IFERROR(MIN(IF('S-BOM'!$B$3:$B993=$B672,'S-BOM'!$H$3:$H993,"")),""))</f>
        <v>#NAME?</v>
      </c>
      <c r="F672" s="87" t="str">
        <f t="shared" si="5"/>
        <v/>
      </c>
      <c r="G672" s="87" t="str">
        <f t="shared" si="6"/>
        <v/>
      </c>
      <c r="H672" s="87"/>
      <c r="I672" s="87"/>
      <c r="J672" s="87"/>
    </row>
    <row r="673" spans="1:10">
      <c r="A673" s="2"/>
      <c r="B673" s="2"/>
      <c r="C673" s="120" t="str">
        <f>IF(B673="","",SUMIFS('A-BOM'!$D$3:$D993,'A-BOM'!$C$3:$C993,B673,'A-BOM'!$B$3:$B993,$B$2))</f>
        <v/>
      </c>
      <c r="D673" s="120" t="str">
        <f>IFERROR(IF(B673="","",VLOOKUP(B673,RM!$C$4:$F983,3,FALSE)),"")</f>
        <v/>
      </c>
      <c r="E673" s="118" t="e">
        <f t="array" aca="1" ref="E673" ca="1">_xludf.IFNA(IF(B673="","",VLOOKUP(B673,RM!$C$4:$G983,14,FALSE)),IFERROR(MIN(IF('S-BOM'!$B$3:$B993=$B673,'S-BOM'!$H$3:$H993,"")),""))</f>
        <v>#NAME?</v>
      </c>
      <c r="F673" s="87" t="str">
        <f t="shared" si="5"/>
        <v/>
      </c>
      <c r="G673" s="87" t="str">
        <f t="shared" si="6"/>
        <v/>
      </c>
      <c r="H673" s="87"/>
      <c r="I673" s="87"/>
      <c r="J673" s="87"/>
    </row>
    <row r="674" spans="1:10">
      <c r="A674" s="2"/>
      <c r="B674" s="2"/>
      <c r="C674" s="120" t="str">
        <f>IF(B674="","",SUMIFS('A-BOM'!$D$3:$D993,'A-BOM'!$C$3:$C993,B674,'A-BOM'!$B$3:$B993,$B$2))</f>
        <v/>
      </c>
      <c r="D674" s="120" t="str">
        <f>IFERROR(IF(B674="","",VLOOKUP(B674,RM!$C$4:$F983,3,FALSE)),"")</f>
        <v/>
      </c>
      <c r="E674" s="118" t="e">
        <f t="array" aca="1" ref="E674" ca="1">_xludf.IFNA(IF(B674="","",VLOOKUP(B674,RM!$C$4:$G983,14,FALSE)),IFERROR(MIN(IF('S-BOM'!$B$3:$B993=$B674,'S-BOM'!$H$3:$H993,"")),""))</f>
        <v>#NAME?</v>
      </c>
      <c r="F674" s="87" t="str">
        <f t="shared" si="5"/>
        <v/>
      </c>
      <c r="G674" s="87" t="str">
        <f t="shared" si="6"/>
        <v/>
      </c>
      <c r="H674" s="87"/>
      <c r="I674" s="87"/>
      <c r="J674" s="87"/>
    </row>
    <row r="675" spans="1:10">
      <c r="A675" s="2"/>
      <c r="B675" s="2"/>
      <c r="C675" s="120" t="str">
        <f>IF(B675="","",SUMIFS('A-BOM'!$D$3:$D993,'A-BOM'!$C$3:$C993,B675,'A-BOM'!$B$3:$B993,$B$2))</f>
        <v/>
      </c>
      <c r="D675" s="120" t="str">
        <f>IFERROR(IF(B675="","",VLOOKUP(B675,RM!$C$4:$F983,3,FALSE)),"")</f>
        <v/>
      </c>
      <c r="E675" s="118" t="e">
        <f t="array" aca="1" ref="E675" ca="1">_xludf.IFNA(IF(B675="","",VLOOKUP(B675,RM!$C$4:$G983,14,FALSE)),IFERROR(MIN(IF('S-BOM'!$B$3:$B993=$B675,'S-BOM'!$H$3:$H993,"")),""))</f>
        <v>#NAME?</v>
      </c>
      <c r="F675" s="87" t="str">
        <f t="shared" si="5"/>
        <v/>
      </c>
      <c r="G675" s="87" t="str">
        <f t="shared" si="6"/>
        <v/>
      </c>
      <c r="H675" s="87"/>
      <c r="I675" s="87"/>
      <c r="J675" s="87"/>
    </row>
    <row r="676" spans="1:10">
      <c r="A676" s="2"/>
      <c r="B676" s="2"/>
      <c r="C676" s="120" t="str">
        <f>IF(B676="","",SUMIFS('A-BOM'!$D$3:$D993,'A-BOM'!$C$3:$C993,B676,'A-BOM'!$B$3:$B993,$B$2))</f>
        <v/>
      </c>
      <c r="D676" s="120" t="str">
        <f>IFERROR(IF(B676="","",VLOOKUP(B676,RM!$C$4:$F983,3,FALSE)),"")</f>
        <v/>
      </c>
      <c r="E676" s="118" t="e">
        <f t="array" aca="1" ref="E676" ca="1">_xludf.IFNA(IF(B676="","",VLOOKUP(B676,RM!$C$4:$G983,14,FALSE)),IFERROR(MIN(IF('S-BOM'!$B$3:$B993=$B676,'S-BOM'!$H$3:$H993,"")),""))</f>
        <v>#NAME?</v>
      </c>
      <c r="F676" s="87" t="str">
        <f t="shared" si="5"/>
        <v/>
      </c>
      <c r="G676" s="87" t="str">
        <f t="shared" si="6"/>
        <v/>
      </c>
      <c r="H676" s="87"/>
      <c r="I676" s="87"/>
      <c r="J676" s="87"/>
    </row>
    <row r="677" spans="1:10">
      <c r="A677" s="2"/>
      <c r="B677" s="2"/>
      <c r="C677" s="120" t="str">
        <f>IF(B677="","",SUMIFS('A-BOM'!$D$3:$D993,'A-BOM'!$C$3:$C993,B677,'A-BOM'!$B$3:$B993,$B$2))</f>
        <v/>
      </c>
      <c r="D677" s="120" t="str">
        <f>IFERROR(IF(B677="","",VLOOKUP(B677,RM!$C$4:$F983,3,FALSE)),"")</f>
        <v/>
      </c>
      <c r="E677" s="118" t="e">
        <f t="array" aca="1" ref="E677" ca="1">_xludf.IFNA(IF(B677="","",VLOOKUP(B677,RM!$C$4:$G983,14,FALSE)),IFERROR(MIN(IF('S-BOM'!$B$3:$B993=$B677,'S-BOM'!$H$3:$H993,"")),""))</f>
        <v>#NAME?</v>
      </c>
      <c r="F677" s="87" t="str">
        <f t="shared" si="5"/>
        <v/>
      </c>
      <c r="G677" s="87" t="str">
        <f t="shared" si="6"/>
        <v/>
      </c>
      <c r="H677" s="87"/>
      <c r="I677" s="87"/>
      <c r="J677" s="87"/>
    </row>
    <row r="678" spans="1:10">
      <c r="A678" s="2"/>
      <c r="B678" s="2"/>
      <c r="C678" s="120" t="str">
        <f>IF(B678="","",SUMIFS('A-BOM'!$D$3:$D993,'A-BOM'!$C$3:$C993,B678,'A-BOM'!$B$3:$B993,$B$2))</f>
        <v/>
      </c>
      <c r="D678" s="120" t="str">
        <f>IFERROR(IF(B678="","",VLOOKUP(B678,RM!$C$4:$F983,3,FALSE)),"")</f>
        <v/>
      </c>
      <c r="E678" s="118" t="e">
        <f t="array" aca="1" ref="E678" ca="1">_xludf.IFNA(IF(B678="","",VLOOKUP(B678,RM!$C$4:$G983,14,FALSE)),IFERROR(MIN(IF('S-BOM'!$B$3:$B993=$B678,'S-BOM'!$H$3:$H993,"")),""))</f>
        <v>#NAME?</v>
      </c>
      <c r="F678" s="87" t="str">
        <f t="shared" si="5"/>
        <v/>
      </c>
      <c r="G678" s="87" t="str">
        <f t="shared" si="6"/>
        <v/>
      </c>
      <c r="H678" s="87"/>
      <c r="I678" s="87"/>
      <c r="J678" s="87"/>
    </row>
    <row r="679" spans="1:10">
      <c r="A679" s="2"/>
      <c r="B679" s="2"/>
      <c r="C679" s="120" t="str">
        <f>IF(B679="","",SUMIFS('A-BOM'!$D$3:$D993,'A-BOM'!$C$3:$C993,B679,'A-BOM'!$B$3:$B993,$B$2))</f>
        <v/>
      </c>
      <c r="D679" s="120" t="str">
        <f>IFERROR(IF(B679="","",VLOOKUP(B679,RM!$C$4:$F983,3,FALSE)),"")</f>
        <v/>
      </c>
      <c r="E679" s="118" t="e">
        <f t="array" aca="1" ref="E679" ca="1">_xludf.IFNA(IF(B679="","",VLOOKUP(B679,RM!$C$4:$G983,14,FALSE)),IFERROR(MIN(IF('S-BOM'!$B$3:$B993=$B679,'S-BOM'!$H$3:$H993,"")),""))</f>
        <v>#NAME?</v>
      </c>
      <c r="F679" s="87" t="str">
        <f t="shared" si="5"/>
        <v/>
      </c>
      <c r="G679" s="87" t="str">
        <f t="shared" si="6"/>
        <v/>
      </c>
      <c r="H679" s="87"/>
      <c r="I679" s="87"/>
      <c r="J679" s="87"/>
    </row>
    <row r="680" spans="1:10">
      <c r="A680" s="2"/>
      <c r="B680" s="2"/>
      <c r="C680" s="120" t="str">
        <f>IF(B680="","",SUMIFS('A-BOM'!$D$3:$D993,'A-BOM'!$C$3:$C993,B680,'A-BOM'!$B$3:$B993,$B$2))</f>
        <v/>
      </c>
      <c r="D680" s="120" t="str">
        <f>IFERROR(IF(B680="","",VLOOKUP(B680,RM!$C$4:$F983,3,FALSE)),"")</f>
        <v/>
      </c>
      <c r="E680" s="118" t="e">
        <f t="array" aca="1" ref="E680" ca="1">_xludf.IFNA(IF(B680="","",VLOOKUP(B680,RM!$C$4:$G983,14,FALSE)),IFERROR(MIN(IF('S-BOM'!$B$3:$B993=$B680,'S-BOM'!$H$3:$H993,"")),""))</f>
        <v>#NAME?</v>
      </c>
      <c r="F680" s="87" t="str">
        <f t="shared" si="5"/>
        <v/>
      </c>
      <c r="G680" s="87" t="str">
        <f t="shared" si="6"/>
        <v/>
      </c>
      <c r="H680" s="87"/>
      <c r="I680" s="87"/>
      <c r="J680" s="87"/>
    </row>
    <row r="681" spans="1:10">
      <c r="A681" s="2"/>
      <c r="B681" s="2"/>
      <c r="C681" s="120" t="str">
        <f>IF(B681="","",SUMIFS('A-BOM'!$D$3:$D993,'A-BOM'!$C$3:$C993,B681,'A-BOM'!$B$3:$B993,$B$2))</f>
        <v/>
      </c>
      <c r="D681" s="120" t="str">
        <f>IFERROR(IF(B681="","",VLOOKUP(B681,RM!$C$4:$F983,3,FALSE)),"")</f>
        <v/>
      </c>
      <c r="E681" s="118" t="e">
        <f t="array" aca="1" ref="E681" ca="1">_xludf.IFNA(IF(B681="","",VLOOKUP(B681,RM!$C$4:$G983,14,FALSE)),IFERROR(MIN(IF('S-BOM'!$B$3:$B993=$B681,'S-BOM'!$H$3:$H993,"")),""))</f>
        <v>#NAME?</v>
      </c>
      <c r="F681" s="87" t="str">
        <f t="shared" si="5"/>
        <v/>
      </c>
      <c r="G681" s="87" t="str">
        <f t="shared" si="6"/>
        <v/>
      </c>
      <c r="H681" s="87"/>
      <c r="I681" s="87"/>
      <c r="J681" s="87"/>
    </row>
    <row r="682" spans="1:10">
      <c r="A682" s="2"/>
      <c r="B682" s="2"/>
      <c r="C682" s="120" t="str">
        <f>IF(B682="","",SUMIFS('A-BOM'!$D$3:$D993,'A-BOM'!$C$3:$C993,B682,'A-BOM'!$B$3:$B993,$B$2))</f>
        <v/>
      </c>
      <c r="D682" s="120" t="str">
        <f>IFERROR(IF(B682="","",VLOOKUP(B682,RM!$C$4:$F983,3,FALSE)),"")</f>
        <v/>
      </c>
      <c r="E682" s="118" t="e">
        <f t="array" aca="1" ref="E682" ca="1">_xludf.IFNA(IF(B682="","",VLOOKUP(B682,RM!$C$4:$G983,14,FALSE)),IFERROR(MIN(IF('S-BOM'!$B$3:$B993=$B682,'S-BOM'!$H$3:$H993,"")),""))</f>
        <v>#NAME?</v>
      </c>
      <c r="F682" s="87" t="str">
        <f t="shared" si="5"/>
        <v/>
      </c>
      <c r="G682" s="87" t="str">
        <f t="shared" si="6"/>
        <v/>
      </c>
      <c r="H682" s="87"/>
      <c r="I682" s="87"/>
      <c r="J682" s="87"/>
    </row>
    <row r="683" spans="1:10">
      <c r="A683" s="2"/>
      <c r="B683" s="2"/>
      <c r="C683" s="120" t="str">
        <f>IF(B683="","",SUMIFS('A-BOM'!$D$3:$D993,'A-BOM'!$C$3:$C993,B683,'A-BOM'!$B$3:$B993,$B$2))</f>
        <v/>
      </c>
      <c r="D683" s="120" t="str">
        <f>IFERROR(IF(B683="","",VLOOKUP(B683,RM!$C$4:$F983,3,FALSE)),"")</f>
        <v/>
      </c>
      <c r="E683" s="118" t="e">
        <f t="array" aca="1" ref="E683" ca="1">_xludf.IFNA(IF(B683="","",VLOOKUP(B683,RM!$C$4:$G983,14,FALSE)),IFERROR(MIN(IF('S-BOM'!$B$3:$B993=$B683,'S-BOM'!$H$3:$H993,"")),""))</f>
        <v>#NAME?</v>
      </c>
      <c r="F683" s="87" t="str">
        <f t="shared" si="5"/>
        <v/>
      </c>
      <c r="G683" s="87" t="str">
        <f t="shared" si="6"/>
        <v/>
      </c>
      <c r="H683" s="87"/>
      <c r="I683" s="87"/>
      <c r="J683" s="87"/>
    </row>
    <row r="684" spans="1:10">
      <c r="A684" s="2"/>
      <c r="B684" s="2"/>
      <c r="C684" s="120" t="str">
        <f>IF(B684="","",SUMIFS('A-BOM'!$D$3:$D993,'A-BOM'!$C$3:$C993,B684,'A-BOM'!$B$3:$B993,$B$2))</f>
        <v/>
      </c>
      <c r="D684" s="120" t="str">
        <f>IFERROR(IF(B684="","",VLOOKUP(B684,RM!$C$4:$F983,3,FALSE)),"")</f>
        <v/>
      </c>
      <c r="E684" s="118" t="e">
        <f t="array" aca="1" ref="E684" ca="1">_xludf.IFNA(IF(B684="","",VLOOKUP(B684,RM!$C$4:$G983,14,FALSE)),IFERROR(MIN(IF('S-BOM'!$B$3:$B993=$B684,'S-BOM'!$H$3:$H993,"")),""))</f>
        <v>#NAME?</v>
      </c>
      <c r="F684" s="87" t="str">
        <f t="shared" si="5"/>
        <v/>
      </c>
      <c r="G684" s="87" t="str">
        <f t="shared" si="6"/>
        <v/>
      </c>
      <c r="H684" s="87"/>
      <c r="I684" s="87"/>
      <c r="J684" s="87"/>
    </row>
    <row r="685" spans="1:10">
      <c r="A685" s="2"/>
      <c r="B685" s="2"/>
      <c r="C685" s="120" t="str">
        <f>IF(B685="","",SUMIFS('A-BOM'!$D$3:$D993,'A-BOM'!$C$3:$C993,B685,'A-BOM'!$B$3:$B993,$B$2))</f>
        <v/>
      </c>
      <c r="D685" s="120" t="str">
        <f>IFERROR(IF(B685="","",VLOOKUP(B685,RM!$C$4:$F983,3,FALSE)),"")</f>
        <v/>
      </c>
      <c r="E685" s="118" t="e">
        <f t="array" aca="1" ref="E685" ca="1">_xludf.IFNA(IF(B685="","",VLOOKUP(B685,RM!$C$4:$G983,14,FALSE)),IFERROR(MIN(IF('S-BOM'!$B$3:$B993=$B685,'S-BOM'!$H$3:$H993,"")),""))</f>
        <v>#NAME?</v>
      </c>
      <c r="F685" s="87" t="str">
        <f t="shared" si="5"/>
        <v/>
      </c>
      <c r="G685" s="87" t="str">
        <f t="shared" si="6"/>
        <v/>
      </c>
      <c r="H685" s="87"/>
      <c r="I685" s="87"/>
      <c r="J685" s="87"/>
    </row>
    <row r="686" spans="1:10">
      <c r="A686" s="2"/>
      <c r="B686" s="2"/>
      <c r="C686" s="120" t="str">
        <f>IF(B686="","",SUMIFS('A-BOM'!$D$3:$D993,'A-BOM'!$C$3:$C993,B686,'A-BOM'!$B$3:$B993,$B$2))</f>
        <v/>
      </c>
      <c r="D686" s="120" t="str">
        <f>IFERROR(IF(B686="","",VLOOKUP(B686,RM!$C$4:$F983,3,FALSE)),"")</f>
        <v/>
      </c>
      <c r="E686" s="118" t="e">
        <f t="array" aca="1" ref="E686" ca="1">_xludf.IFNA(IF(B686="","",VLOOKUP(B686,RM!$C$4:$G983,14,FALSE)),IFERROR(MIN(IF('S-BOM'!$B$3:$B993=$B686,'S-BOM'!$H$3:$H993,"")),""))</f>
        <v>#NAME?</v>
      </c>
      <c r="F686" s="87" t="str">
        <f t="shared" si="5"/>
        <v/>
      </c>
      <c r="G686" s="87" t="str">
        <f t="shared" si="6"/>
        <v/>
      </c>
      <c r="H686" s="87"/>
      <c r="I686" s="87"/>
      <c r="J686" s="87"/>
    </row>
    <row r="687" spans="1:10">
      <c r="A687" s="2"/>
      <c r="B687" s="2"/>
      <c r="C687" s="120" t="str">
        <f>IF(B687="","",SUMIFS('A-BOM'!$D$3:$D993,'A-BOM'!$C$3:$C993,B687,'A-BOM'!$B$3:$B993,$B$2))</f>
        <v/>
      </c>
      <c r="D687" s="120" t="str">
        <f>IFERROR(IF(B687="","",VLOOKUP(B687,RM!$C$4:$F983,3,FALSE)),"")</f>
        <v/>
      </c>
      <c r="E687" s="118" t="e">
        <f t="array" aca="1" ref="E687" ca="1">_xludf.IFNA(IF(B687="","",VLOOKUP(B687,RM!$C$4:$G983,14,FALSE)),IFERROR(MIN(IF('S-BOM'!$B$3:$B993=$B687,'S-BOM'!$H$3:$H993,"")),""))</f>
        <v>#NAME?</v>
      </c>
      <c r="F687" s="87" t="str">
        <f t="shared" si="5"/>
        <v/>
      </c>
      <c r="G687" s="87" t="str">
        <f t="shared" si="6"/>
        <v/>
      </c>
      <c r="H687" s="87"/>
      <c r="I687" s="87"/>
      <c r="J687" s="87"/>
    </row>
    <row r="688" spans="1:10">
      <c r="A688" s="2"/>
      <c r="B688" s="2"/>
      <c r="C688" s="120" t="str">
        <f>IF(B688="","",SUMIFS('A-BOM'!$D$3:$D993,'A-BOM'!$C$3:$C993,B688,'A-BOM'!$B$3:$B993,$B$2))</f>
        <v/>
      </c>
      <c r="D688" s="120" t="str">
        <f>IFERROR(IF(B688="","",VLOOKUP(B688,RM!$C$4:$F983,3,FALSE)),"")</f>
        <v/>
      </c>
      <c r="E688" s="118" t="e">
        <f t="array" aca="1" ref="E688" ca="1">_xludf.IFNA(IF(B688="","",VLOOKUP(B688,RM!$C$4:$G983,14,FALSE)),IFERROR(MIN(IF('S-BOM'!$B$3:$B993=$B688,'S-BOM'!$H$3:$H993,"")),""))</f>
        <v>#NAME?</v>
      </c>
      <c r="F688" s="87" t="str">
        <f t="shared" si="5"/>
        <v/>
      </c>
      <c r="G688" s="87" t="str">
        <f t="shared" si="6"/>
        <v/>
      </c>
      <c r="H688" s="87"/>
      <c r="I688" s="87"/>
      <c r="J688" s="87"/>
    </row>
    <row r="689" spans="1:10">
      <c r="A689" s="2"/>
      <c r="B689" s="2"/>
      <c r="C689" s="120" t="str">
        <f>IF(B689="","",SUMIFS('A-BOM'!$D$3:$D993,'A-BOM'!$C$3:$C993,B689,'A-BOM'!$B$3:$B993,$B$2))</f>
        <v/>
      </c>
      <c r="D689" s="120" t="str">
        <f>IFERROR(IF(B689="","",VLOOKUP(B689,RM!$C$4:$F983,3,FALSE)),"")</f>
        <v/>
      </c>
      <c r="E689" s="118" t="e">
        <f t="array" aca="1" ref="E689" ca="1">_xludf.IFNA(IF(B689="","",VLOOKUP(B689,RM!$C$4:$G983,14,FALSE)),IFERROR(MIN(IF('S-BOM'!$B$3:$B993=$B689,'S-BOM'!$H$3:$H993,"")),""))</f>
        <v>#NAME?</v>
      </c>
      <c r="F689" s="87" t="str">
        <f t="shared" si="5"/>
        <v/>
      </c>
      <c r="G689" s="87" t="str">
        <f t="shared" si="6"/>
        <v/>
      </c>
      <c r="H689" s="87"/>
      <c r="I689" s="87"/>
      <c r="J689" s="87"/>
    </row>
    <row r="690" spans="1:10">
      <c r="A690" s="2"/>
      <c r="B690" s="2"/>
      <c r="C690" s="120" t="str">
        <f>IF(B690="","",SUMIFS('A-BOM'!$D$3:$D993,'A-BOM'!$C$3:$C993,B690,'A-BOM'!$B$3:$B993,$B$2))</f>
        <v/>
      </c>
      <c r="D690" s="120" t="str">
        <f>IFERROR(IF(B690="","",VLOOKUP(B690,RM!$C$4:$F983,3,FALSE)),"")</f>
        <v/>
      </c>
      <c r="E690" s="118" t="e">
        <f t="array" aca="1" ref="E690" ca="1">_xludf.IFNA(IF(B690="","",VLOOKUP(B690,RM!$C$4:$G983,14,FALSE)),IFERROR(MIN(IF('S-BOM'!$B$3:$B993=$B690,'S-BOM'!$H$3:$H993,"")),""))</f>
        <v>#NAME?</v>
      </c>
      <c r="F690" s="87" t="str">
        <f t="shared" si="5"/>
        <v/>
      </c>
      <c r="G690" s="87" t="str">
        <f t="shared" si="6"/>
        <v/>
      </c>
      <c r="H690" s="87"/>
      <c r="I690" s="87"/>
      <c r="J690" s="87"/>
    </row>
    <row r="691" spans="1:10">
      <c r="A691" s="2"/>
      <c r="B691" s="2"/>
      <c r="C691" s="120" t="str">
        <f>IF(B691="","",SUMIFS('A-BOM'!$D$3:$D993,'A-BOM'!$C$3:$C993,B691,'A-BOM'!$B$3:$B993,$B$2))</f>
        <v/>
      </c>
      <c r="D691" s="120" t="str">
        <f>IFERROR(IF(B691="","",VLOOKUP(B691,RM!$C$4:$F983,3,FALSE)),"")</f>
        <v/>
      </c>
      <c r="E691" s="118" t="e">
        <f t="array" aca="1" ref="E691" ca="1">_xludf.IFNA(IF(B691="","",VLOOKUP(B691,RM!$C$4:$G983,14,FALSE)),IFERROR(MIN(IF('S-BOM'!$B$3:$B993=$B691,'S-BOM'!$H$3:$H993,"")),""))</f>
        <v>#NAME?</v>
      </c>
      <c r="F691" s="87" t="str">
        <f t="shared" si="5"/>
        <v/>
      </c>
      <c r="G691" s="87" t="str">
        <f t="shared" si="6"/>
        <v/>
      </c>
      <c r="H691" s="87"/>
      <c r="I691" s="87"/>
      <c r="J691" s="87"/>
    </row>
    <row r="692" spans="1:10">
      <c r="A692" s="2"/>
      <c r="B692" s="2"/>
      <c r="C692" s="120" t="str">
        <f>IF(B692="","",SUMIFS('A-BOM'!$D$3:$D993,'A-BOM'!$C$3:$C993,B692,'A-BOM'!$B$3:$B993,$B$2))</f>
        <v/>
      </c>
      <c r="D692" s="120" t="str">
        <f>IFERROR(IF(B692="","",VLOOKUP(B692,RM!$C$4:$F983,3,FALSE)),"")</f>
        <v/>
      </c>
      <c r="E692" s="118" t="e">
        <f t="array" aca="1" ref="E692" ca="1">_xludf.IFNA(IF(B692="","",VLOOKUP(B692,RM!$C$4:$G983,14,FALSE)),IFERROR(MIN(IF('S-BOM'!$B$3:$B993=$B692,'S-BOM'!$H$3:$H993,"")),""))</f>
        <v>#NAME?</v>
      </c>
      <c r="F692" s="87" t="str">
        <f t="shared" si="5"/>
        <v/>
      </c>
      <c r="G692" s="87" t="str">
        <f t="shared" si="6"/>
        <v/>
      </c>
      <c r="H692" s="87"/>
      <c r="I692" s="87"/>
      <c r="J692" s="87"/>
    </row>
    <row r="693" spans="1:10">
      <c r="A693" s="2"/>
      <c r="B693" s="2"/>
      <c r="C693" s="120" t="str">
        <f>IF(B693="","",SUMIFS('A-BOM'!$D$3:$D993,'A-BOM'!$C$3:$C993,B693,'A-BOM'!$B$3:$B993,$B$2))</f>
        <v/>
      </c>
      <c r="D693" s="120" t="str">
        <f>IFERROR(IF(B693="","",VLOOKUP(B693,RM!$C$4:$F983,3,FALSE)),"")</f>
        <v/>
      </c>
      <c r="E693" s="118" t="e">
        <f t="array" aca="1" ref="E693" ca="1">_xludf.IFNA(IF(B693="","",VLOOKUP(B693,RM!$C$4:$G983,14,FALSE)),IFERROR(MIN(IF('S-BOM'!$B$3:$B993=$B693,'S-BOM'!$H$3:$H993,"")),""))</f>
        <v>#NAME?</v>
      </c>
      <c r="F693" s="87" t="str">
        <f t="shared" si="5"/>
        <v/>
      </c>
      <c r="G693" s="87" t="str">
        <f t="shared" si="6"/>
        <v/>
      </c>
      <c r="H693" s="87"/>
      <c r="I693" s="87"/>
      <c r="J693" s="87"/>
    </row>
    <row r="694" spans="1:10">
      <c r="A694" s="2"/>
      <c r="B694" s="2"/>
      <c r="C694" s="120" t="str">
        <f>IF(B694="","",SUMIFS('A-BOM'!$D$3:$D993,'A-BOM'!$C$3:$C993,B694,'A-BOM'!$B$3:$B993,$B$2))</f>
        <v/>
      </c>
      <c r="D694" s="120" t="str">
        <f>IFERROR(IF(B694="","",VLOOKUP(B694,RM!$C$4:$F983,3,FALSE)),"")</f>
        <v/>
      </c>
      <c r="E694" s="118" t="e">
        <f t="array" aca="1" ref="E694" ca="1">_xludf.IFNA(IF(B694="","",VLOOKUP(B694,RM!$C$4:$G983,14,FALSE)),IFERROR(MIN(IF('S-BOM'!$B$3:$B993=$B694,'S-BOM'!$H$3:$H993,"")),""))</f>
        <v>#NAME?</v>
      </c>
      <c r="F694" s="87" t="str">
        <f t="shared" si="5"/>
        <v/>
      </c>
      <c r="G694" s="87" t="str">
        <f t="shared" si="6"/>
        <v/>
      </c>
      <c r="H694" s="87"/>
      <c r="I694" s="87"/>
      <c r="J694" s="87"/>
    </row>
    <row r="695" spans="1:10">
      <c r="A695" s="2"/>
      <c r="B695" s="2"/>
      <c r="C695" s="120" t="str">
        <f>IF(B695="","",SUMIFS('A-BOM'!$D$3:$D993,'A-BOM'!$C$3:$C993,B695,'A-BOM'!$B$3:$B993,$B$2))</f>
        <v/>
      </c>
      <c r="D695" s="120" t="str">
        <f>IFERROR(IF(B695="","",VLOOKUP(B695,RM!$C$4:$F983,3,FALSE)),"")</f>
        <v/>
      </c>
      <c r="E695" s="118" t="e">
        <f t="array" aca="1" ref="E695" ca="1">_xludf.IFNA(IF(B695="","",VLOOKUP(B695,RM!$C$4:$G983,14,FALSE)),IFERROR(MIN(IF('S-BOM'!$B$3:$B993=$B695,'S-BOM'!$H$3:$H993,"")),""))</f>
        <v>#NAME?</v>
      </c>
      <c r="F695" s="87" t="str">
        <f t="shared" si="5"/>
        <v/>
      </c>
      <c r="G695" s="87" t="str">
        <f t="shared" si="6"/>
        <v/>
      </c>
      <c r="H695" s="87"/>
      <c r="I695" s="87"/>
      <c r="J695" s="87"/>
    </row>
    <row r="696" spans="1:10">
      <c r="A696" s="2"/>
      <c r="B696" s="2"/>
      <c r="C696" s="120" t="str">
        <f>IF(B696="","",SUMIFS('A-BOM'!$D$3:$D993,'A-BOM'!$C$3:$C993,B696,'A-BOM'!$B$3:$B993,$B$2))</f>
        <v/>
      </c>
      <c r="D696" s="120" t="str">
        <f>IFERROR(IF(B696="","",VLOOKUP(B696,RM!$C$4:$F983,3,FALSE)),"")</f>
        <v/>
      </c>
      <c r="E696" s="118" t="e">
        <f t="array" aca="1" ref="E696" ca="1">_xludf.IFNA(IF(B696="","",VLOOKUP(B696,RM!$C$4:$G983,14,FALSE)),IFERROR(MIN(IF('S-BOM'!$B$3:$B993=$B696,'S-BOM'!$H$3:$H993,"")),""))</f>
        <v>#NAME?</v>
      </c>
      <c r="F696" s="87" t="str">
        <f t="shared" si="5"/>
        <v/>
      </c>
      <c r="G696" s="87" t="str">
        <f t="shared" si="6"/>
        <v/>
      </c>
      <c r="H696" s="87"/>
      <c r="I696" s="87"/>
      <c r="J696" s="87"/>
    </row>
    <row r="697" spans="1:10">
      <c r="A697" s="2"/>
      <c r="B697" s="2"/>
      <c r="C697" s="120" t="str">
        <f>IF(B697="","",SUMIFS('A-BOM'!$D$3:$D993,'A-BOM'!$C$3:$C993,B697,'A-BOM'!$B$3:$B993,$B$2))</f>
        <v/>
      </c>
      <c r="D697" s="120" t="str">
        <f>IFERROR(IF(B697="","",VLOOKUP(B697,RM!$C$4:$F983,3,FALSE)),"")</f>
        <v/>
      </c>
      <c r="E697" s="118" t="e">
        <f t="array" aca="1" ref="E697" ca="1">_xludf.IFNA(IF(B697="","",VLOOKUP(B697,RM!$C$4:$G983,14,FALSE)),IFERROR(MIN(IF('S-BOM'!$B$3:$B993=$B697,'S-BOM'!$H$3:$H993,"")),""))</f>
        <v>#NAME?</v>
      </c>
      <c r="F697" s="87" t="str">
        <f t="shared" si="5"/>
        <v/>
      </c>
      <c r="G697" s="87" t="str">
        <f t="shared" si="6"/>
        <v/>
      </c>
      <c r="H697" s="87"/>
      <c r="I697" s="87"/>
      <c r="J697" s="87"/>
    </row>
    <row r="698" spans="1:10">
      <c r="A698" s="2"/>
      <c r="B698" s="2"/>
      <c r="C698" s="120" t="str">
        <f>IF(B698="","",SUMIFS('A-BOM'!$D$3:$D993,'A-BOM'!$C$3:$C993,B698,'A-BOM'!$B$3:$B993,$B$2))</f>
        <v/>
      </c>
      <c r="D698" s="120" t="str">
        <f>IFERROR(IF(B698="","",VLOOKUP(B698,RM!$C$4:$F983,3,FALSE)),"")</f>
        <v/>
      </c>
      <c r="E698" s="118" t="e">
        <f t="array" aca="1" ref="E698" ca="1">_xludf.IFNA(IF(B698="","",VLOOKUP(B698,RM!$C$4:$G983,14,FALSE)),IFERROR(MIN(IF('S-BOM'!$B$3:$B993=$B698,'S-BOM'!$H$3:$H993,"")),""))</f>
        <v>#NAME?</v>
      </c>
      <c r="F698" s="87" t="str">
        <f t="shared" si="5"/>
        <v/>
      </c>
      <c r="G698" s="87" t="str">
        <f t="shared" si="6"/>
        <v/>
      </c>
      <c r="H698" s="87"/>
      <c r="I698" s="87"/>
      <c r="J698" s="87"/>
    </row>
    <row r="699" spans="1:10">
      <c r="A699" s="2"/>
      <c r="B699" s="2"/>
      <c r="C699" s="120" t="str">
        <f>IF(B699="","",SUMIFS('A-BOM'!$D$3:$D993,'A-BOM'!$C$3:$C993,B699,'A-BOM'!$B$3:$B993,$B$2))</f>
        <v/>
      </c>
      <c r="D699" s="120" t="str">
        <f>IFERROR(IF(B699="","",VLOOKUP(B699,RM!$C$4:$F983,3,FALSE)),"")</f>
        <v/>
      </c>
      <c r="E699" s="118" t="e">
        <f t="array" aca="1" ref="E699" ca="1">_xludf.IFNA(IF(B699="","",VLOOKUP(B699,RM!$C$4:$G983,14,FALSE)),IFERROR(MIN(IF('S-BOM'!$B$3:$B993=$B699,'S-BOM'!$H$3:$H993,"")),""))</f>
        <v>#NAME?</v>
      </c>
      <c r="F699" s="87" t="str">
        <f t="shared" si="5"/>
        <v/>
      </c>
      <c r="G699" s="87" t="str">
        <f t="shared" si="6"/>
        <v/>
      </c>
      <c r="H699" s="87"/>
      <c r="I699" s="87"/>
      <c r="J699" s="87"/>
    </row>
    <row r="700" spans="1:10">
      <c r="A700" s="2"/>
      <c r="B700" s="2"/>
      <c r="C700" s="120" t="str">
        <f>IF(B700="","",SUMIFS('A-BOM'!$D$3:$D993,'A-BOM'!$C$3:$C993,B700,'A-BOM'!$B$3:$B993,$B$2))</f>
        <v/>
      </c>
      <c r="D700" s="120" t="str">
        <f>IFERROR(IF(B700="","",VLOOKUP(B700,RM!$C$4:$F983,3,FALSE)),"")</f>
        <v/>
      </c>
      <c r="E700" s="118" t="e">
        <f t="array" aca="1" ref="E700" ca="1">_xludf.IFNA(IF(B700="","",VLOOKUP(B700,RM!$C$4:$G983,14,FALSE)),IFERROR(MIN(IF('S-BOM'!$B$3:$B993=$B700,'S-BOM'!$H$3:$H993,"")),""))</f>
        <v>#NAME?</v>
      </c>
      <c r="F700" s="87" t="str">
        <f t="shared" si="5"/>
        <v/>
      </c>
      <c r="G700" s="87" t="str">
        <f t="shared" si="6"/>
        <v/>
      </c>
      <c r="H700" s="87"/>
      <c r="I700" s="87"/>
      <c r="J700" s="87"/>
    </row>
    <row r="701" spans="1:10">
      <c r="A701" s="2"/>
      <c r="B701" s="2"/>
      <c r="C701" s="120" t="str">
        <f>IF(B701="","",SUMIFS('A-BOM'!$D$3:$D993,'A-BOM'!$C$3:$C993,B701,'A-BOM'!$B$3:$B993,$B$2))</f>
        <v/>
      </c>
      <c r="D701" s="120" t="str">
        <f>IFERROR(IF(B701="","",VLOOKUP(B701,RM!$C$4:$F983,3,FALSE)),"")</f>
        <v/>
      </c>
      <c r="E701" s="118" t="e">
        <f t="array" aca="1" ref="E701" ca="1">_xludf.IFNA(IF(B701="","",VLOOKUP(B701,RM!$C$4:$G983,14,FALSE)),IFERROR(MIN(IF('S-BOM'!$B$3:$B993=$B701,'S-BOM'!$H$3:$H993,"")),""))</f>
        <v>#NAME?</v>
      </c>
      <c r="F701" s="87" t="str">
        <f t="shared" si="5"/>
        <v/>
      </c>
      <c r="G701" s="87" t="str">
        <f t="shared" si="6"/>
        <v/>
      </c>
      <c r="H701" s="87"/>
      <c r="I701" s="87"/>
      <c r="J701" s="87"/>
    </row>
    <row r="702" spans="1:10">
      <c r="A702" s="2"/>
      <c r="B702" s="2"/>
      <c r="C702" s="120" t="str">
        <f>IF(B702="","",SUMIFS('A-BOM'!$D$3:$D993,'A-BOM'!$C$3:$C993,B702,'A-BOM'!$B$3:$B993,$B$2))</f>
        <v/>
      </c>
      <c r="D702" s="120" t="str">
        <f>IFERROR(IF(B702="","",VLOOKUP(B702,RM!$C$4:$F983,3,FALSE)),"")</f>
        <v/>
      </c>
      <c r="E702" s="118" t="e">
        <f t="array" aca="1" ref="E702" ca="1">_xludf.IFNA(IF(B702="","",VLOOKUP(B702,RM!$C$4:$G983,14,FALSE)),IFERROR(MIN(IF('S-BOM'!$B$3:$B993=$B702,'S-BOM'!$H$3:$H993,"")),""))</f>
        <v>#NAME?</v>
      </c>
      <c r="F702" s="87" t="str">
        <f t="shared" si="5"/>
        <v/>
      </c>
      <c r="G702" s="87" t="str">
        <f t="shared" si="6"/>
        <v/>
      </c>
      <c r="H702" s="87"/>
      <c r="I702" s="87"/>
      <c r="J702" s="87"/>
    </row>
    <row r="703" spans="1:10">
      <c r="A703" s="2"/>
      <c r="B703" s="2"/>
      <c r="C703" s="120" t="str">
        <f>IF(B703="","",SUMIFS('A-BOM'!$D$3:$D993,'A-BOM'!$C$3:$C993,B703,'A-BOM'!$B$3:$B993,$B$2))</f>
        <v/>
      </c>
      <c r="D703" s="120" t="str">
        <f>IFERROR(IF(B703="","",VLOOKUP(B703,RM!$C$4:$F983,3,FALSE)),"")</f>
        <v/>
      </c>
      <c r="E703" s="118" t="e">
        <f t="array" aca="1" ref="E703" ca="1">_xludf.IFNA(IF(B703="","",VLOOKUP(B703,RM!$C$4:$G983,14,FALSE)),IFERROR(MIN(IF('S-BOM'!$B$3:$B993=$B703,'S-BOM'!$H$3:$H993,"")),""))</f>
        <v>#NAME?</v>
      </c>
      <c r="F703" s="87" t="str">
        <f t="shared" si="5"/>
        <v/>
      </c>
      <c r="G703" s="87" t="str">
        <f t="shared" si="6"/>
        <v/>
      </c>
      <c r="H703" s="87"/>
      <c r="I703" s="87"/>
      <c r="J703" s="87"/>
    </row>
    <row r="704" spans="1:10">
      <c r="A704" s="2"/>
      <c r="B704" s="2"/>
      <c r="C704" s="120" t="str">
        <f>IF(B704="","",SUMIFS('A-BOM'!$D$3:$D993,'A-BOM'!$C$3:$C993,B704,'A-BOM'!$B$3:$B993,$B$2))</f>
        <v/>
      </c>
      <c r="D704" s="120" t="str">
        <f>IFERROR(IF(B704="","",VLOOKUP(B704,RM!$C$4:$F983,3,FALSE)),"")</f>
        <v/>
      </c>
      <c r="E704" s="118" t="e">
        <f t="array" aca="1" ref="E704" ca="1">_xludf.IFNA(IF(B704="","",VLOOKUP(B704,RM!$C$4:$G983,14,FALSE)),IFERROR(MIN(IF('S-BOM'!$B$3:$B993=$B704,'S-BOM'!$H$3:$H993,"")),""))</f>
        <v>#NAME?</v>
      </c>
      <c r="F704" s="87" t="str">
        <f t="shared" si="5"/>
        <v/>
      </c>
      <c r="G704" s="87" t="str">
        <f t="shared" si="6"/>
        <v/>
      </c>
      <c r="H704" s="87"/>
      <c r="I704" s="87"/>
      <c r="J704" s="87"/>
    </row>
    <row r="705" spans="1:10">
      <c r="A705" s="2"/>
      <c r="B705" s="2"/>
      <c r="C705" s="120" t="str">
        <f>IF(B705="","",SUMIFS('A-BOM'!$D$3:$D993,'A-BOM'!$C$3:$C993,B705,'A-BOM'!$B$3:$B993,$B$2))</f>
        <v/>
      </c>
      <c r="D705" s="120" t="str">
        <f>IFERROR(IF(B705="","",VLOOKUP(B705,RM!$C$4:$F983,3,FALSE)),"")</f>
        <v/>
      </c>
      <c r="E705" s="118" t="e">
        <f t="array" aca="1" ref="E705" ca="1">_xludf.IFNA(IF(B705="","",VLOOKUP(B705,RM!$C$4:$G983,14,FALSE)),IFERROR(MIN(IF('S-BOM'!$B$3:$B993=$B705,'S-BOM'!$H$3:$H993,"")),""))</f>
        <v>#NAME?</v>
      </c>
      <c r="F705" s="87" t="str">
        <f t="shared" si="5"/>
        <v/>
      </c>
      <c r="G705" s="87" t="str">
        <f t="shared" si="6"/>
        <v/>
      </c>
      <c r="H705" s="87"/>
      <c r="I705" s="87"/>
      <c r="J705" s="87"/>
    </row>
    <row r="706" spans="1:10">
      <c r="A706" s="2"/>
      <c r="B706" s="2"/>
      <c r="C706" s="120" t="str">
        <f>IF(B706="","",SUMIFS('A-BOM'!$D$3:$D993,'A-BOM'!$C$3:$C993,B706,'A-BOM'!$B$3:$B993,$B$2))</f>
        <v/>
      </c>
      <c r="D706" s="120" t="str">
        <f>IFERROR(IF(B706="","",VLOOKUP(B706,RM!$C$4:$F983,3,FALSE)),"")</f>
        <v/>
      </c>
      <c r="E706" s="118" t="e">
        <f t="array" aca="1" ref="E706" ca="1">_xludf.IFNA(IF(B706="","",VLOOKUP(B706,RM!$C$4:$G983,14,FALSE)),IFERROR(MIN(IF('S-BOM'!$B$3:$B993=$B706,'S-BOM'!$H$3:$H993,"")),""))</f>
        <v>#NAME?</v>
      </c>
      <c r="F706" s="87" t="str">
        <f t="shared" si="5"/>
        <v/>
      </c>
      <c r="G706" s="87" t="str">
        <f t="shared" si="6"/>
        <v/>
      </c>
      <c r="H706" s="87"/>
      <c r="I706" s="87"/>
      <c r="J706" s="87"/>
    </row>
    <row r="707" spans="1:10">
      <c r="A707" s="2"/>
      <c r="B707" s="2"/>
      <c r="C707" s="120" t="str">
        <f>IF(B707="","",SUMIFS('A-BOM'!$D$3:$D993,'A-BOM'!$C$3:$C993,B707,'A-BOM'!$B$3:$B993,$B$2))</f>
        <v/>
      </c>
      <c r="D707" s="120" t="str">
        <f>IFERROR(IF(B707="","",VLOOKUP(B707,RM!$C$4:$F983,3,FALSE)),"")</f>
        <v/>
      </c>
      <c r="E707" s="118" t="e">
        <f t="array" aca="1" ref="E707" ca="1">_xludf.IFNA(IF(B707="","",VLOOKUP(B707,RM!$C$4:$G983,14,FALSE)),IFERROR(MIN(IF('S-BOM'!$B$3:$B993=$B707,'S-BOM'!$H$3:$H993,"")),""))</f>
        <v>#NAME?</v>
      </c>
      <c r="F707" s="87" t="str">
        <f t="shared" si="5"/>
        <v/>
      </c>
      <c r="G707" s="87" t="str">
        <f t="shared" si="6"/>
        <v/>
      </c>
      <c r="H707" s="87"/>
      <c r="I707" s="87"/>
      <c r="J707" s="87"/>
    </row>
    <row r="708" spans="1:10">
      <c r="A708" s="2"/>
      <c r="B708" s="2"/>
      <c r="C708" s="120" t="str">
        <f>IF(B708="","",SUMIFS('A-BOM'!$D$3:$D993,'A-BOM'!$C$3:$C993,B708,'A-BOM'!$B$3:$B993,$B$2))</f>
        <v/>
      </c>
      <c r="D708" s="120" t="str">
        <f>IFERROR(IF(B708="","",VLOOKUP(B708,RM!$C$4:$F983,3,FALSE)),"")</f>
        <v/>
      </c>
      <c r="E708" s="118" t="e">
        <f t="array" aca="1" ref="E708" ca="1">_xludf.IFNA(IF(B708="","",VLOOKUP(B708,RM!$C$4:$G983,14,FALSE)),IFERROR(MIN(IF('S-BOM'!$B$3:$B993=$B708,'S-BOM'!$H$3:$H993,"")),""))</f>
        <v>#NAME?</v>
      </c>
      <c r="F708" s="87" t="str">
        <f t="shared" si="5"/>
        <v/>
      </c>
      <c r="G708" s="87" t="str">
        <f t="shared" si="6"/>
        <v/>
      </c>
      <c r="H708" s="87"/>
      <c r="I708" s="87"/>
      <c r="J708" s="87"/>
    </row>
    <row r="709" spans="1:10">
      <c r="A709" s="2"/>
      <c r="B709" s="2"/>
      <c r="C709" s="120" t="str">
        <f>IF(B709="","",SUMIFS('A-BOM'!$D$3:$D993,'A-BOM'!$C$3:$C993,B709,'A-BOM'!$B$3:$B993,$B$2))</f>
        <v/>
      </c>
      <c r="D709" s="120" t="str">
        <f>IFERROR(IF(B709="","",VLOOKUP(B709,RM!$C$4:$F983,3,FALSE)),"")</f>
        <v/>
      </c>
      <c r="E709" s="118" t="e">
        <f t="array" aca="1" ref="E709" ca="1">_xludf.IFNA(IF(B709="","",VLOOKUP(B709,RM!$C$4:$G983,14,FALSE)),IFERROR(MIN(IF('S-BOM'!$B$3:$B993=$B709,'S-BOM'!$H$3:$H993,"")),""))</f>
        <v>#NAME?</v>
      </c>
      <c r="F709" s="87" t="str">
        <f t="shared" si="5"/>
        <v/>
      </c>
      <c r="G709" s="87" t="str">
        <f t="shared" si="6"/>
        <v/>
      </c>
      <c r="H709" s="87"/>
      <c r="I709" s="87"/>
      <c r="J709" s="87"/>
    </row>
    <row r="710" spans="1:10">
      <c r="A710" s="2"/>
      <c r="B710" s="2"/>
      <c r="C710" s="120" t="str">
        <f>IF(B710="","",SUMIFS('A-BOM'!$D$3:$D993,'A-BOM'!$C$3:$C993,B710,'A-BOM'!$B$3:$B993,$B$2))</f>
        <v/>
      </c>
      <c r="D710" s="120" t="str">
        <f>IFERROR(IF(B710="","",VLOOKUP(B710,RM!$C$4:$F983,3,FALSE)),"")</f>
        <v/>
      </c>
      <c r="E710" s="118" t="e">
        <f t="array" aca="1" ref="E710" ca="1">_xludf.IFNA(IF(B710="","",VLOOKUP(B710,RM!$C$4:$G983,14,FALSE)),IFERROR(MIN(IF('S-BOM'!$B$3:$B993=$B710,'S-BOM'!$H$3:$H993,"")),""))</f>
        <v>#NAME?</v>
      </c>
      <c r="F710" s="87" t="str">
        <f t="shared" si="5"/>
        <v/>
      </c>
      <c r="G710" s="87" t="str">
        <f t="shared" si="6"/>
        <v/>
      </c>
      <c r="H710" s="87"/>
      <c r="I710" s="87"/>
      <c r="J710" s="87"/>
    </row>
    <row r="711" spans="1:10">
      <c r="A711" s="2"/>
      <c r="B711" s="2"/>
      <c r="C711" s="120" t="str">
        <f>IF(B711="","",SUMIFS('A-BOM'!$D$3:$D993,'A-BOM'!$C$3:$C993,B711,'A-BOM'!$B$3:$B993,$B$2))</f>
        <v/>
      </c>
      <c r="D711" s="120" t="str">
        <f>IFERROR(IF(B711="","",VLOOKUP(B711,RM!$C$4:$F983,3,FALSE)),"")</f>
        <v/>
      </c>
      <c r="E711" s="118" t="e">
        <f t="array" aca="1" ref="E711" ca="1">_xludf.IFNA(IF(B711="","",VLOOKUP(B711,RM!$C$4:$G983,14,FALSE)),IFERROR(MIN(IF('S-BOM'!$B$3:$B993=$B711,'S-BOM'!$H$3:$H993,"")),""))</f>
        <v>#NAME?</v>
      </c>
      <c r="F711" s="87" t="str">
        <f t="shared" si="5"/>
        <v/>
      </c>
      <c r="G711" s="87" t="str">
        <f t="shared" si="6"/>
        <v/>
      </c>
      <c r="H711" s="87"/>
      <c r="I711" s="87"/>
      <c r="J711" s="87"/>
    </row>
    <row r="712" spans="1:10">
      <c r="A712" s="2"/>
      <c r="B712" s="2"/>
      <c r="C712" s="120" t="str">
        <f>IF(B712="","",SUMIFS('A-BOM'!$D$3:$D993,'A-BOM'!$C$3:$C993,B712,'A-BOM'!$B$3:$B993,$B$2))</f>
        <v/>
      </c>
      <c r="D712" s="120" t="str">
        <f>IFERROR(IF(B712="","",VLOOKUP(B712,RM!$C$4:$F983,3,FALSE)),"")</f>
        <v/>
      </c>
      <c r="E712" s="118" t="e">
        <f t="array" aca="1" ref="E712" ca="1">_xludf.IFNA(IF(B712="","",VLOOKUP(B712,RM!$C$4:$G983,14,FALSE)),IFERROR(MIN(IF('S-BOM'!$B$3:$B993=$B712,'S-BOM'!$H$3:$H993,"")),""))</f>
        <v>#NAME?</v>
      </c>
      <c r="F712" s="87" t="str">
        <f t="shared" si="5"/>
        <v/>
      </c>
      <c r="G712" s="87" t="str">
        <f t="shared" si="6"/>
        <v/>
      </c>
      <c r="H712" s="87"/>
      <c r="I712" s="87"/>
      <c r="J712" s="87"/>
    </row>
    <row r="713" spans="1:10">
      <c r="A713" s="2"/>
      <c r="B713" s="2"/>
      <c r="C713" s="120" t="str">
        <f>IF(B713="","",SUMIFS('A-BOM'!$D$3:$D993,'A-BOM'!$C$3:$C993,B713,'A-BOM'!$B$3:$B993,$B$2))</f>
        <v/>
      </c>
      <c r="D713" s="120" t="str">
        <f>IFERROR(IF(B713="","",VLOOKUP(B713,RM!$C$4:$F983,3,FALSE)),"")</f>
        <v/>
      </c>
      <c r="E713" s="118" t="e">
        <f t="array" aca="1" ref="E713" ca="1">_xludf.IFNA(IF(B713="","",VLOOKUP(B713,RM!$C$4:$G983,14,FALSE)),IFERROR(MIN(IF('S-BOM'!$B$3:$B993=$B713,'S-BOM'!$H$3:$H993,"")),""))</f>
        <v>#NAME?</v>
      </c>
      <c r="F713" s="87" t="str">
        <f t="shared" si="5"/>
        <v/>
      </c>
      <c r="G713" s="87" t="str">
        <f t="shared" si="6"/>
        <v/>
      </c>
      <c r="H713" s="87"/>
      <c r="I713" s="87"/>
      <c r="J713" s="87"/>
    </row>
    <row r="714" spans="1:10">
      <c r="A714" s="2"/>
      <c r="B714" s="2"/>
      <c r="C714" s="120" t="str">
        <f>IF(B714="","",SUMIFS('A-BOM'!$D$3:$D993,'A-BOM'!$C$3:$C993,B714,'A-BOM'!$B$3:$B993,$B$2))</f>
        <v/>
      </c>
      <c r="D714" s="120" t="str">
        <f>IFERROR(IF(B714="","",VLOOKUP(B714,RM!$C$4:$F983,3,FALSE)),"")</f>
        <v/>
      </c>
      <c r="E714" s="118" t="e">
        <f t="array" aca="1" ref="E714" ca="1">_xludf.IFNA(IF(B714="","",VLOOKUP(B714,RM!$C$4:$G983,14,FALSE)),IFERROR(MIN(IF('S-BOM'!$B$3:$B993=$B714,'S-BOM'!$H$3:$H993,"")),""))</f>
        <v>#NAME?</v>
      </c>
      <c r="F714" s="87" t="str">
        <f t="shared" si="5"/>
        <v/>
      </c>
      <c r="G714" s="87" t="str">
        <f t="shared" si="6"/>
        <v/>
      </c>
      <c r="H714" s="87"/>
      <c r="I714" s="87"/>
      <c r="J714" s="87"/>
    </row>
    <row r="715" spans="1:10">
      <c r="A715" s="2"/>
      <c r="B715" s="2"/>
      <c r="C715" s="120" t="str">
        <f>IF(B715="","",SUMIFS('A-BOM'!$D$3:$D993,'A-BOM'!$C$3:$C993,B715,'A-BOM'!$B$3:$B993,$B$2))</f>
        <v/>
      </c>
      <c r="D715" s="120" t="str">
        <f>IFERROR(IF(B715="","",VLOOKUP(B715,RM!$C$4:$F983,3,FALSE)),"")</f>
        <v/>
      </c>
      <c r="E715" s="118" t="e">
        <f t="array" aca="1" ref="E715" ca="1">_xludf.IFNA(IF(B715="","",VLOOKUP(B715,RM!$C$4:$G983,14,FALSE)),IFERROR(MIN(IF('S-BOM'!$B$3:$B993=$B715,'S-BOM'!$H$3:$H993,"")),""))</f>
        <v>#NAME?</v>
      </c>
      <c r="F715" s="87" t="str">
        <f t="shared" si="5"/>
        <v/>
      </c>
      <c r="G715" s="87" t="str">
        <f t="shared" si="6"/>
        <v/>
      </c>
      <c r="H715" s="87"/>
      <c r="I715" s="87"/>
      <c r="J715" s="87"/>
    </row>
    <row r="716" spans="1:10">
      <c r="A716" s="2"/>
      <c r="B716" s="2"/>
      <c r="C716" s="120" t="str">
        <f>IF(B716="","",SUMIFS('A-BOM'!$D$3:$D993,'A-BOM'!$C$3:$C993,B716,'A-BOM'!$B$3:$B993,$B$2))</f>
        <v/>
      </c>
      <c r="D716" s="120" t="str">
        <f>IFERROR(IF(B716="","",VLOOKUP(B716,RM!$C$4:$F983,3,FALSE)),"")</f>
        <v/>
      </c>
      <c r="E716" s="118" t="e">
        <f t="array" aca="1" ref="E716" ca="1">_xludf.IFNA(IF(B716="","",VLOOKUP(B716,RM!$C$4:$G983,14,FALSE)),IFERROR(MIN(IF('S-BOM'!$B$3:$B993=$B716,'S-BOM'!$H$3:$H993,"")),""))</f>
        <v>#NAME?</v>
      </c>
      <c r="F716" s="87" t="str">
        <f t="shared" si="5"/>
        <v/>
      </c>
      <c r="G716" s="87" t="str">
        <f t="shared" si="6"/>
        <v/>
      </c>
      <c r="H716" s="87"/>
      <c r="I716" s="87"/>
      <c r="J716" s="87"/>
    </row>
    <row r="717" spans="1:10">
      <c r="A717" s="2"/>
      <c r="B717" s="2"/>
      <c r="C717" s="120" t="str">
        <f>IF(B717="","",SUMIFS('A-BOM'!$D$3:$D993,'A-BOM'!$C$3:$C993,B717,'A-BOM'!$B$3:$B993,$B$2))</f>
        <v/>
      </c>
      <c r="D717" s="120" t="str">
        <f>IFERROR(IF(B717="","",VLOOKUP(B717,RM!$C$4:$F983,3,FALSE)),"")</f>
        <v/>
      </c>
      <c r="E717" s="118" t="e">
        <f t="array" aca="1" ref="E717" ca="1">_xludf.IFNA(IF(B717="","",VLOOKUP(B717,RM!$C$4:$G983,14,FALSE)),IFERROR(MIN(IF('S-BOM'!$B$3:$B993=$B717,'S-BOM'!$H$3:$H993,"")),""))</f>
        <v>#NAME?</v>
      </c>
      <c r="F717" s="87" t="str">
        <f t="shared" si="5"/>
        <v/>
      </c>
      <c r="G717" s="87" t="str">
        <f t="shared" si="6"/>
        <v/>
      </c>
      <c r="H717" s="87"/>
      <c r="I717" s="87"/>
      <c r="J717" s="87"/>
    </row>
    <row r="718" spans="1:10">
      <c r="A718" s="2"/>
      <c r="B718" s="2"/>
      <c r="C718" s="120" t="str">
        <f>IF(B718="","",SUMIFS('A-BOM'!$D$3:$D993,'A-BOM'!$C$3:$C993,B718,'A-BOM'!$B$3:$B993,$B$2))</f>
        <v/>
      </c>
      <c r="D718" s="120" t="str">
        <f>IFERROR(IF(B718="","",VLOOKUP(B718,RM!$C$4:$F983,3,FALSE)),"")</f>
        <v/>
      </c>
      <c r="E718" s="118" t="e">
        <f t="array" aca="1" ref="E718" ca="1">_xludf.IFNA(IF(B718="","",VLOOKUP(B718,RM!$C$4:$G983,14,FALSE)),IFERROR(MIN(IF('S-BOM'!$B$3:$B993=$B718,'S-BOM'!$H$3:$H993,"")),""))</f>
        <v>#NAME?</v>
      </c>
      <c r="F718" s="87" t="str">
        <f t="shared" si="5"/>
        <v/>
      </c>
      <c r="G718" s="87" t="str">
        <f t="shared" si="6"/>
        <v/>
      </c>
      <c r="H718" s="87"/>
      <c r="I718" s="87"/>
      <c r="J718" s="87"/>
    </row>
    <row r="719" spans="1:10">
      <c r="A719" s="2"/>
      <c r="B719" s="2"/>
      <c r="C719" s="120" t="str">
        <f>IF(B719="","",SUMIFS('A-BOM'!$D$3:$D993,'A-BOM'!$C$3:$C993,B719,'A-BOM'!$B$3:$B993,$B$2))</f>
        <v/>
      </c>
      <c r="D719" s="120" t="str">
        <f>IFERROR(IF(B719="","",VLOOKUP(B719,RM!$C$4:$F983,3,FALSE)),"")</f>
        <v/>
      </c>
      <c r="E719" s="118" t="e">
        <f t="array" aca="1" ref="E719" ca="1">_xludf.IFNA(IF(B719="","",VLOOKUP(B719,RM!$C$4:$G983,14,FALSE)),IFERROR(MIN(IF('S-BOM'!$B$3:$B993=$B719,'S-BOM'!$H$3:$H993,"")),""))</f>
        <v>#NAME?</v>
      </c>
      <c r="F719" s="87" t="str">
        <f t="shared" si="5"/>
        <v/>
      </c>
      <c r="G719" s="87" t="str">
        <f t="shared" si="6"/>
        <v/>
      </c>
      <c r="H719" s="87"/>
      <c r="I719" s="87"/>
      <c r="J719" s="87"/>
    </row>
    <row r="720" spans="1:10">
      <c r="A720" s="2"/>
      <c r="B720" s="2"/>
      <c r="C720" s="120" t="str">
        <f>IF(B720="","",SUMIFS('A-BOM'!$D$3:$D993,'A-BOM'!$C$3:$C993,B720,'A-BOM'!$B$3:$B993,$B$2))</f>
        <v/>
      </c>
      <c r="D720" s="120" t="str">
        <f>IFERROR(IF(B720="","",VLOOKUP(B720,RM!$C$4:$F983,3,FALSE)),"")</f>
        <v/>
      </c>
      <c r="E720" s="118" t="e">
        <f t="array" aca="1" ref="E720" ca="1">_xludf.IFNA(IF(B720="","",VLOOKUP(B720,RM!$C$4:$G983,14,FALSE)),IFERROR(MIN(IF('S-BOM'!$B$3:$B993=$B720,'S-BOM'!$H$3:$H993,"")),""))</f>
        <v>#NAME?</v>
      </c>
      <c r="F720" s="87" t="str">
        <f t="shared" si="5"/>
        <v/>
      </c>
      <c r="G720" s="87" t="str">
        <f t="shared" si="6"/>
        <v/>
      </c>
      <c r="H720" s="87"/>
      <c r="I720" s="87"/>
      <c r="J720" s="87"/>
    </row>
    <row r="721" spans="1:10">
      <c r="A721" s="2"/>
      <c r="B721" s="2"/>
      <c r="C721" s="120" t="str">
        <f>IF(B721="","",SUMIFS('A-BOM'!$D$3:$D993,'A-BOM'!$C$3:$C993,B721,'A-BOM'!$B$3:$B993,$B$2))</f>
        <v/>
      </c>
      <c r="D721" s="120" t="str">
        <f>IFERROR(IF(B721="","",VLOOKUP(B721,RM!$C$4:$F983,3,FALSE)),"")</f>
        <v/>
      </c>
      <c r="E721" s="118" t="e">
        <f t="array" aca="1" ref="E721" ca="1">_xludf.IFNA(IF(B721="","",VLOOKUP(B721,RM!$C$4:$G983,14,FALSE)),IFERROR(MIN(IF('S-BOM'!$B$3:$B993=$B721,'S-BOM'!$H$3:$H993,"")),""))</f>
        <v>#NAME?</v>
      </c>
      <c r="F721" s="87" t="str">
        <f t="shared" si="5"/>
        <v/>
      </c>
      <c r="G721" s="87" t="str">
        <f t="shared" si="6"/>
        <v/>
      </c>
      <c r="H721" s="87"/>
      <c r="I721" s="87"/>
      <c r="J721" s="87"/>
    </row>
    <row r="722" spans="1:10">
      <c r="A722" s="2"/>
      <c r="B722" s="2"/>
      <c r="C722" s="120" t="str">
        <f>IF(B722="","",SUMIFS('A-BOM'!$D$3:$D993,'A-BOM'!$C$3:$C993,B722,'A-BOM'!$B$3:$B993,$B$2))</f>
        <v/>
      </c>
      <c r="D722" s="120" t="str">
        <f>IFERROR(IF(B722="","",VLOOKUP(B722,RM!$C$4:$F983,3,FALSE)),"")</f>
        <v/>
      </c>
      <c r="E722" s="118" t="e">
        <f t="array" aca="1" ref="E722" ca="1">_xludf.IFNA(IF(B722="","",VLOOKUP(B722,RM!$C$4:$G983,14,FALSE)),IFERROR(MIN(IF('S-BOM'!$B$3:$B993=$B722,'S-BOM'!$H$3:$H993,"")),""))</f>
        <v>#NAME?</v>
      </c>
      <c r="F722" s="87" t="str">
        <f t="shared" si="5"/>
        <v/>
      </c>
      <c r="G722" s="87" t="str">
        <f t="shared" si="6"/>
        <v/>
      </c>
      <c r="H722" s="87"/>
      <c r="I722" s="87"/>
      <c r="J722" s="87"/>
    </row>
    <row r="723" spans="1:10">
      <c r="A723" s="2"/>
      <c r="B723" s="2"/>
      <c r="C723" s="120" t="str">
        <f>IF(B723="","",SUMIFS('A-BOM'!$D$3:$D993,'A-BOM'!$C$3:$C993,B723,'A-BOM'!$B$3:$B993,$B$2))</f>
        <v/>
      </c>
      <c r="D723" s="120" t="str">
        <f>IFERROR(IF(B723="","",VLOOKUP(B723,RM!$C$4:$F983,3,FALSE)),"")</f>
        <v/>
      </c>
      <c r="E723" s="118" t="e">
        <f t="array" aca="1" ref="E723" ca="1">_xludf.IFNA(IF(B723="","",VLOOKUP(B723,RM!$C$4:$G983,14,FALSE)),IFERROR(MIN(IF('S-BOM'!$B$3:$B993=$B723,'S-BOM'!$H$3:$H993,"")),""))</f>
        <v>#NAME?</v>
      </c>
      <c r="F723" s="87" t="str">
        <f t="shared" si="5"/>
        <v/>
      </c>
      <c r="G723" s="87" t="str">
        <f t="shared" si="6"/>
        <v/>
      </c>
      <c r="H723" s="87"/>
      <c r="I723" s="87"/>
      <c r="J723" s="87"/>
    </row>
    <row r="724" spans="1:10">
      <c r="A724" s="2"/>
      <c r="B724" s="2"/>
      <c r="C724" s="120" t="str">
        <f>IF(B724="","",SUMIFS('A-BOM'!$D$3:$D993,'A-BOM'!$C$3:$C993,B724,'A-BOM'!$B$3:$B993,$B$2))</f>
        <v/>
      </c>
      <c r="D724" s="120" t="str">
        <f>IFERROR(IF(B724="","",VLOOKUP(B724,RM!$C$4:$F983,3,FALSE)),"")</f>
        <v/>
      </c>
      <c r="E724" s="118" t="e">
        <f t="array" aca="1" ref="E724" ca="1">_xludf.IFNA(IF(B724="","",VLOOKUP(B724,RM!$C$4:$G983,14,FALSE)),IFERROR(MIN(IF('S-BOM'!$B$3:$B993=$B724,'S-BOM'!$H$3:$H993,"")),""))</f>
        <v>#NAME?</v>
      </c>
      <c r="F724" s="87" t="str">
        <f t="shared" si="5"/>
        <v/>
      </c>
      <c r="G724" s="87" t="str">
        <f t="shared" si="6"/>
        <v/>
      </c>
      <c r="H724" s="87"/>
      <c r="I724" s="87"/>
      <c r="J724" s="87"/>
    </row>
    <row r="725" spans="1:10">
      <c r="A725" s="2"/>
      <c r="B725" s="2"/>
      <c r="C725" s="120" t="str">
        <f>IF(B725="","",SUMIFS('A-BOM'!$D$3:$D993,'A-BOM'!$C$3:$C993,B725,'A-BOM'!$B$3:$B993,$B$2))</f>
        <v/>
      </c>
      <c r="D725" s="120" t="str">
        <f>IFERROR(IF(B725="","",VLOOKUP(B725,RM!$C$4:$F983,3,FALSE)),"")</f>
        <v/>
      </c>
      <c r="E725" s="118" t="e">
        <f t="array" aca="1" ref="E725" ca="1">_xludf.IFNA(IF(B725="","",VLOOKUP(B725,RM!$C$4:$G983,14,FALSE)),IFERROR(MIN(IF('S-BOM'!$B$3:$B993=$B725,'S-BOM'!$H$3:$H993,"")),""))</f>
        <v>#NAME?</v>
      </c>
      <c r="F725" s="87" t="str">
        <f t="shared" si="5"/>
        <v/>
      </c>
      <c r="G725" s="87" t="str">
        <f t="shared" si="6"/>
        <v/>
      </c>
      <c r="H725" s="87"/>
      <c r="I725" s="87"/>
      <c r="J725" s="87"/>
    </row>
    <row r="726" spans="1:10">
      <c r="A726" s="2"/>
      <c r="B726" s="2"/>
      <c r="C726" s="120" t="str">
        <f>IF(B726="","",SUMIFS('A-BOM'!$D$3:$D993,'A-BOM'!$C$3:$C993,B726,'A-BOM'!$B$3:$B993,$B$2))</f>
        <v/>
      </c>
      <c r="D726" s="120" t="str">
        <f>IFERROR(IF(B726="","",VLOOKUP(B726,RM!$C$4:$F983,3,FALSE)),"")</f>
        <v/>
      </c>
      <c r="E726" s="118" t="e">
        <f t="array" aca="1" ref="E726" ca="1">_xludf.IFNA(IF(B726="","",VLOOKUP(B726,RM!$C$4:$G983,14,FALSE)),IFERROR(MIN(IF('S-BOM'!$B$3:$B993=$B726,'S-BOM'!$H$3:$H993,"")),""))</f>
        <v>#NAME?</v>
      </c>
      <c r="F726" s="87" t="str">
        <f t="shared" si="5"/>
        <v/>
      </c>
      <c r="G726" s="87" t="str">
        <f t="shared" si="6"/>
        <v/>
      </c>
      <c r="H726" s="87"/>
      <c r="I726" s="87"/>
      <c r="J726" s="87"/>
    </row>
    <row r="727" spans="1:10">
      <c r="A727" s="2"/>
      <c r="B727" s="2"/>
      <c r="C727" s="120" t="str">
        <f>IF(B727="","",SUMIFS('A-BOM'!$D$3:$D993,'A-BOM'!$C$3:$C993,B727,'A-BOM'!$B$3:$B993,$B$2))</f>
        <v/>
      </c>
      <c r="D727" s="120" t="str">
        <f>IFERROR(IF(B727="","",VLOOKUP(B727,RM!$C$4:$F983,3,FALSE)),"")</f>
        <v/>
      </c>
      <c r="E727" s="118" t="e">
        <f t="array" aca="1" ref="E727" ca="1">_xludf.IFNA(IF(B727="","",VLOOKUP(B727,RM!$C$4:$G983,14,FALSE)),IFERROR(MIN(IF('S-BOM'!$B$3:$B993=$B727,'S-BOM'!$H$3:$H993,"")),""))</f>
        <v>#NAME?</v>
      </c>
      <c r="F727" s="87" t="str">
        <f t="shared" si="5"/>
        <v/>
      </c>
      <c r="G727" s="87" t="str">
        <f t="shared" si="6"/>
        <v/>
      </c>
      <c r="H727" s="87"/>
      <c r="I727" s="87"/>
      <c r="J727" s="87"/>
    </row>
    <row r="728" spans="1:10">
      <c r="A728" s="2"/>
      <c r="B728" s="2"/>
      <c r="C728" s="120" t="str">
        <f>IF(B728="","",SUMIFS('A-BOM'!$D$3:$D993,'A-BOM'!$C$3:$C993,B728,'A-BOM'!$B$3:$B993,$B$2))</f>
        <v/>
      </c>
      <c r="D728" s="120" t="str">
        <f>IFERROR(IF(B728="","",VLOOKUP(B728,RM!$C$4:$F983,3,FALSE)),"")</f>
        <v/>
      </c>
      <c r="E728" s="118" t="e">
        <f t="array" aca="1" ref="E728" ca="1">_xludf.IFNA(IF(B728="","",VLOOKUP(B728,RM!$C$4:$G983,14,FALSE)),IFERROR(MIN(IF('S-BOM'!$B$3:$B993=$B728,'S-BOM'!$H$3:$H993,"")),""))</f>
        <v>#NAME?</v>
      </c>
      <c r="F728" s="87" t="str">
        <f t="shared" si="5"/>
        <v/>
      </c>
      <c r="G728" s="87" t="str">
        <f t="shared" si="6"/>
        <v/>
      </c>
      <c r="H728" s="87"/>
      <c r="I728" s="87"/>
      <c r="J728" s="87"/>
    </row>
    <row r="729" spans="1:10">
      <c r="A729" s="2"/>
      <c r="B729" s="2"/>
      <c r="C729" s="120" t="str">
        <f>IF(B729="","",SUMIFS('A-BOM'!$D$3:$D993,'A-BOM'!$C$3:$C993,B729,'A-BOM'!$B$3:$B993,$B$2))</f>
        <v/>
      </c>
      <c r="D729" s="120" t="str">
        <f>IFERROR(IF(B729="","",VLOOKUP(B729,RM!$C$4:$F983,3,FALSE)),"")</f>
        <v/>
      </c>
      <c r="E729" s="118" t="e">
        <f t="array" aca="1" ref="E729" ca="1">_xludf.IFNA(IF(B729="","",VLOOKUP(B729,RM!$C$4:$G983,14,FALSE)),IFERROR(MIN(IF('S-BOM'!$B$3:$B993=$B729,'S-BOM'!$H$3:$H993,"")),""))</f>
        <v>#NAME?</v>
      </c>
      <c r="F729" s="87" t="str">
        <f t="shared" si="5"/>
        <v/>
      </c>
      <c r="G729" s="87" t="str">
        <f t="shared" si="6"/>
        <v/>
      </c>
      <c r="H729" s="87"/>
      <c r="I729" s="87"/>
      <c r="J729" s="87"/>
    </row>
    <row r="730" spans="1:10">
      <c r="A730" s="2"/>
      <c r="B730" s="2"/>
      <c r="C730" s="120" t="str">
        <f>IF(B730="","",SUMIFS('A-BOM'!$D$3:$D993,'A-BOM'!$C$3:$C993,B730,'A-BOM'!$B$3:$B993,$B$2))</f>
        <v/>
      </c>
      <c r="D730" s="120" t="str">
        <f>IFERROR(IF(B730="","",VLOOKUP(B730,RM!$C$4:$F983,3,FALSE)),"")</f>
        <v/>
      </c>
      <c r="E730" s="118" t="e">
        <f t="array" aca="1" ref="E730" ca="1">_xludf.IFNA(IF(B730="","",VLOOKUP(B730,RM!$C$4:$G983,14,FALSE)),IFERROR(MIN(IF('S-BOM'!$B$3:$B993=$B730,'S-BOM'!$H$3:$H993,"")),""))</f>
        <v>#NAME?</v>
      </c>
      <c r="F730" s="87" t="str">
        <f t="shared" si="5"/>
        <v/>
      </c>
      <c r="G730" s="87" t="str">
        <f t="shared" si="6"/>
        <v/>
      </c>
      <c r="H730" s="87"/>
      <c r="I730" s="87"/>
      <c r="J730" s="87"/>
    </row>
    <row r="731" spans="1:10">
      <c r="A731" s="2"/>
      <c r="B731" s="2"/>
      <c r="C731" s="120" t="str">
        <f>IF(B731="","",SUMIFS('A-BOM'!$D$3:$D993,'A-BOM'!$C$3:$C993,B731,'A-BOM'!$B$3:$B993,$B$2))</f>
        <v/>
      </c>
      <c r="D731" s="120" t="str">
        <f>IFERROR(IF(B731="","",VLOOKUP(B731,RM!$C$4:$F983,3,FALSE)),"")</f>
        <v/>
      </c>
      <c r="E731" s="118" t="e">
        <f t="array" aca="1" ref="E731" ca="1">_xludf.IFNA(IF(B731="","",VLOOKUP(B731,RM!$C$4:$G983,14,FALSE)),IFERROR(MIN(IF('S-BOM'!$B$3:$B993=$B731,'S-BOM'!$H$3:$H993,"")),""))</f>
        <v>#NAME?</v>
      </c>
      <c r="F731" s="87" t="str">
        <f t="shared" si="5"/>
        <v/>
      </c>
      <c r="G731" s="87" t="str">
        <f t="shared" si="6"/>
        <v/>
      </c>
      <c r="H731" s="87"/>
      <c r="I731" s="87"/>
      <c r="J731" s="87"/>
    </row>
    <row r="732" spans="1:10">
      <c r="A732" s="2"/>
      <c r="B732" s="2"/>
      <c r="C732" s="120" t="str">
        <f>IF(B732="","",SUMIFS('A-BOM'!$D$3:$D993,'A-BOM'!$C$3:$C993,B732,'A-BOM'!$B$3:$B993,$B$2))</f>
        <v/>
      </c>
      <c r="D732" s="120" t="str">
        <f>IFERROR(IF(B732="","",VLOOKUP(B732,RM!$C$4:$F983,3,FALSE)),"")</f>
        <v/>
      </c>
      <c r="E732" s="118" t="e">
        <f t="array" aca="1" ref="E732" ca="1">_xludf.IFNA(IF(B732="","",VLOOKUP(B732,RM!$C$4:$G983,14,FALSE)),IFERROR(MIN(IF('S-BOM'!$B$3:$B993=$B732,'S-BOM'!$H$3:$H993,"")),""))</f>
        <v>#NAME?</v>
      </c>
      <c r="F732" s="87" t="str">
        <f t="shared" si="5"/>
        <v/>
      </c>
      <c r="G732" s="87" t="str">
        <f t="shared" si="6"/>
        <v/>
      </c>
      <c r="H732" s="87"/>
      <c r="I732" s="87"/>
      <c r="J732" s="87"/>
    </row>
    <row r="733" spans="1:10">
      <c r="A733" s="2"/>
      <c r="B733" s="2"/>
      <c r="C733" s="120" t="str">
        <f>IF(B733="","",SUMIFS('A-BOM'!$D$3:$D993,'A-BOM'!$C$3:$C993,B733,'A-BOM'!$B$3:$B993,$B$2))</f>
        <v/>
      </c>
      <c r="D733" s="120" t="str">
        <f>IFERROR(IF(B733="","",VLOOKUP(B733,RM!$C$4:$F983,3,FALSE)),"")</f>
        <v/>
      </c>
      <c r="E733" s="118" t="e">
        <f t="array" aca="1" ref="E733" ca="1">_xludf.IFNA(IF(B733="","",VLOOKUP(B733,RM!$C$4:$G983,14,FALSE)),IFERROR(MIN(IF('S-BOM'!$B$3:$B993=$B733,'S-BOM'!$H$3:$H993,"")),""))</f>
        <v>#NAME?</v>
      </c>
      <c r="F733" s="87" t="str">
        <f t="shared" si="5"/>
        <v/>
      </c>
      <c r="G733" s="87" t="str">
        <f t="shared" si="6"/>
        <v/>
      </c>
      <c r="H733" s="87"/>
      <c r="I733" s="87"/>
      <c r="J733" s="87"/>
    </row>
    <row r="734" spans="1:10">
      <c r="A734" s="2"/>
      <c r="B734" s="2"/>
      <c r="C734" s="120" t="str">
        <f>IF(B734="","",SUMIFS('A-BOM'!$D$3:$D993,'A-BOM'!$C$3:$C993,B734,'A-BOM'!$B$3:$B993,$B$2))</f>
        <v/>
      </c>
      <c r="D734" s="120" t="str">
        <f>IFERROR(IF(B734="","",VLOOKUP(B734,RM!$C$4:$F983,3,FALSE)),"")</f>
        <v/>
      </c>
      <c r="E734" s="118" t="e">
        <f t="array" aca="1" ref="E734" ca="1">_xludf.IFNA(IF(B734="","",VLOOKUP(B734,RM!$C$4:$G983,14,FALSE)),IFERROR(MIN(IF('S-BOM'!$B$3:$B993=$B734,'S-BOM'!$H$3:$H993,"")),""))</f>
        <v>#NAME?</v>
      </c>
      <c r="F734" s="87" t="str">
        <f t="shared" si="5"/>
        <v/>
      </c>
      <c r="G734" s="87" t="str">
        <f t="shared" si="6"/>
        <v/>
      </c>
      <c r="H734" s="87"/>
      <c r="I734" s="87"/>
      <c r="J734" s="87"/>
    </row>
    <row r="735" spans="1:10">
      <c r="A735" s="2"/>
      <c r="B735" s="2"/>
      <c r="C735" s="120" t="str">
        <f>IF(B735="","",SUMIFS('A-BOM'!$D$3:$D993,'A-BOM'!$C$3:$C993,B735,'A-BOM'!$B$3:$B993,$B$2))</f>
        <v/>
      </c>
      <c r="D735" s="120" t="str">
        <f>IFERROR(IF(B735="","",VLOOKUP(B735,RM!$C$4:$F983,3,FALSE)),"")</f>
        <v/>
      </c>
      <c r="E735" s="118" t="e">
        <f t="array" aca="1" ref="E735" ca="1">_xludf.IFNA(IF(B735="","",VLOOKUP(B735,RM!$C$4:$G983,14,FALSE)),IFERROR(MIN(IF('S-BOM'!$B$3:$B993=$B735,'S-BOM'!$H$3:$H993,"")),""))</f>
        <v>#NAME?</v>
      </c>
      <c r="F735" s="87" t="str">
        <f t="shared" si="5"/>
        <v/>
      </c>
      <c r="G735" s="87" t="str">
        <f t="shared" si="6"/>
        <v/>
      </c>
      <c r="H735" s="87"/>
      <c r="I735" s="87"/>
      <c r="J735" s="87"/>
    </row>
    <row r="736" spans="1:10">
      <c r="A736" s="2"/>
      <c r="B736" s="2"/>
      <c r="C736" s="120" t="str">
        <f>IF(B736="","",SUMIFS('A-BOM'!$D$3:$D993,'A-BOM'!$C$3:$C993,B736,'A-BOM'!$B$3:$B993,$B$2))</f>
        <v/>
      </c>
      <c r="D736" s="120" t="str">
        <f>IFERROR(IF(B736="","",VLOOKUP(B736,RM!$C$4:$F983,3,FALSE)),"")</f>
        <v/>
      </c>
      <c r="E736" s="118" t="e">
        <f t="array" aca="1" ref="E736" ca="1">_xludf.IFNA(IF(B736="","",VLOOKUP(B736,RM!$C$4:$G983,14,FALSE)),IFERROR(MIN(IF('S-BOM'!$B$3:$B993=$B736,'S-BOM'!$H$3:$H993,"")),""))</f>
        <v>#NAME?</v>
      </c>
      <c r="F736" s="87" t="str">
        <f t="shared" si="5"/>
        <v/>
      </c>
      <c r="G736" s="87" t="str">
        <f t="shared" si="6"/>
        <v/>
      </c>
      <c r="H736" s="87"/>
      <c r="I736" s="87"/>
      <c r="J736" s="87"/>
    </row>
    <row r="737" spans="1:10">
      <c r="A737" s="2"/>
      <c r="B737" s="2"/>
      <c r="C737" s="120" t="str">
        <f>IF(B737="","",SUMIFS('A-BOM'!$D$3:$D993,'A-BOM'!$C$3:$C993,B737,'A-BOM'!$B$3:$B993,$B$2))</f>
        <v/>
      </c>
      <c r="D737" s="120" t="str">
        <f>IFERROR(IF(B737="","",VLOOKUP(B737,RM!$C$4:$F983,3,FALSE)),"")</f>
        <v/>
      </c>
      <c r="E737" s="118" t="e">
        <f t="array" aca="1" ref="E737" ca="1">_xludf.IFNA(IF(B737="","",VLOOKUP(B737,RM!$C$4:$G983,14,FALSE)),IFERROR(MIN(IF('S-BOM'!$B$3:$B993=$B737,'S-BOM'!$H$3:$H993,"")),""))</f>
        <v>#NAME?</v>
      </c>
      <c r="F737" s="87" t="str">
        <f t="shared" si="5"/>
        <v/>
      </c>
      <c r="G737" s="87" t="str">
        <f t="shared" si="6"/>
        <v/>
      </c>
      <c r="H737" s="87"/>
      <c r="I737" s="87"/>
      <c r="J737" s="87"/>
    </row>
    <row r="738" spans="1:10">
      <c r="A738" s="2"/>
      <c r="B738" s="2"/>
      <c r="C738" s="120" t="str">
        <f>IF(B738="","",SUMIFS('A-BOM'!$D$3:$D993,'A-BOM'!$C$3:$C993,B738,'A-BOM'!$B$3:$B993,$B$2))</f>
        <v/>
      </c>
      <c r="D738" s="120" t="str">
        <f>IFERROR(IF(B738="","",VLOOKUP(B738,RM!$C$4:$F983,3,FALSE)),"")</f>
        <v/>
      </c>
      <c r="E738" s="118" t="e">
        <f t="array" aca="1" ref="E738" ca="1">_xludf.IFNA(IF(B738="","",VLOOKUP(B738,RM!$C$4:$G983,14,FALSE)),IFERROR(MIN(IF('S-BOM'!$B$3:$B993=$B738,'S-BOM'!$H$3:$H993,"")),""))</f>
        <v>#NAME?</v>
      </c>
      <c r="F738" s="87" t="str">
        <f t="shared" si="5"/>
        <v/>
      </c>
      <c r="G738" s="87" t="str">
        <f t="shared" si="6"/>
        <v/>
      </c>
      <c r="H738" s="87"/>
      <c r="I738" s="87"/>
      <c r="J738" s="87"/>
    </row>
    <row r="739" spans="1:10">
      <c r="A739" s="2"/>
      <c r="B739" s="2"/>
      <c r="C739" s="120" t="str">
        <f>IF(B739="","",SUMIFS('A-BOM'!$D$3:$D993,'A-BOM'!$C$3:$C993,B739,'A-BOM'!$B$3:$B993,$B$2))</f>
        <v/>
      </c>
      <c r="D739" s="120" t="str">
        <f>IFERROR(IF(B739="","",VLOOKUP(B739,RM!$C$4:$F983,3,FALSE)),"")</f>
        <v/>
      </c>
      <c r="E739" s="118" t="e">
        <f t="array" aca="1" ref="E739" ca="1">_xludf.IFNA(IF(B739="","",VLOOKUP(B739,RM!$C$4:$G983,14,FALSE)),IFERROR(MIN(IF('S-BOM'!$B$3:$B993=$B739,'S-BOM'!$H$3:$H993,"")),""))</f>
        <v>#NAME?</v>
      </c>
      <c r="F739" s="87" t="str">
        <f t="shared" si="5"/>
        <v/>
      </c>
      <c r="G739" s="87" t="str">
        <f t="shared" si="6"/>
        <v/>
      </c>
      <c r="H739" s="87"/>
      <c r="I739" s="87"/>
      <c r="J739" s="87"/>
    </row>
    <row r="740" spans="1:10">
      <c r="A740" s="2"/>
      <c r="B740" s="2"/>
      <c r="C740" s="120" t="str">
        <f>IF(B740="","",SUMIFS('A-BOM'!$D$3:$D993,'A-BOM'!$C$3:$C993,B740,'A-BOM'!$B$3:$B993,$B$2))</f>
        <v/>
      </c>
      <c r="D740" s="120" t="str">
        <f>IFERROR(IF(B740="","",VLOOKUP(B740,RM!$C$4:$F983,3,FALSE)),"")</f>
        <v/>
      </c>
      <c r="E740" s="118" t="e">
        <f t="array" aca="1" ref="E740" ca="1">_xludf.IFNA(IF(B740="","",VLOOKUP(B740,RM!$C$4:$G983,14,FALSE)),IFERROR(MIN(IF('S-BOM'!$B$3:$B993=$B740,'S-BOM'!$H$3:$H993,"")),""))</f>
        <v>#NAME?</v>
      </c>
      <c r="F740" s="87" t="str">
        <f t="shared" si="5"/>
        <v/>
      </c>
      <c r="G740" s="87" t="str">
        <f t="shared" si="6"/>
        <v/>
      </c>
      <c r="H740" s="87"/>
      <c r="I740" s="87"/>
      <c r="J740" s="87"/>
    </row>
    <row r="741" spans="1:10">
      <c r="A741" s="2"/>
      <c r="B741" s="2"/>
      <c r="C741" s="120" t="str">
        <f>IF(B741="","",SUMIFS('A-BOM'!$D$3:$D993,'A-BOM'!$C$3:$C993,B741,'A-BOM'!$B$3:$B993,$B$2))</f>
        <v/>
      </c>
      <c r="D741" s="120" t="str">
        <f>IFERROR(IF(B741="","",VLOOKUP(B741,RM!$C$4:$F983,3,FALSE)),"")</f>
        <v/>
      </c>
      <c r="E741" s="118" t="e">
        <f t="array" aca="1" ref="E741" ca="1">_xludf.IFNA(IF(B741="","",VLOOKUP(B741,RM!$C$4:$G983,14,FALSE)),IFERROR(MIN(IF('S-BOM'!$B$3:$B993=$B741,'S-BOM'!$H$3:$H993,"")),""))</f>
        <v>#NAME?</v>
      </c>
      <c r="F741" s="87" t="str">
        <f t="shared" si="5"/>
        <v/>
      </c>
      <c r="G741" s="87" t="str">
        <f t="shared" si="6"/>
        <v/>
      </c>
      <c r="H741" s="87"/>
      <c r="I741" s="87"/>
      <c r="J741" s="87"/>
    </row>
    <row r="742" spans="1:10">
      <c r="A742" s="2"/>
      <c r="B742" s="2"/>
      <c r="C742" s="120" t="str">
        <f>IF(B742="","",SUMIFS('A-BOM'!$D$3:$D993,'A-BOM'!$C$3:$C993,B742,'A-BOM'!$B$3:$B993,$B$2))</f>
        <v/>
      </c>
      <c r="D742" s="120" t="str">
        <f>IFERROR(IF(B742="","",VLOOKUP(B742,RM!$C$4:$F983,3,FALSE)),"")</f>
        <v/>
      </c>
      <c r="E742" s="118" t="e">
        <f t="array" aca="1" ref="E742" ca="1">_xludf.IFNA(IF(B742="","",VLOOKUP(B742,RM!$C$4:$G983,14,FALSE)),IFERROR(MIN(IF('S-BOM'!$B$3:$B993=$B742,'S-BOM'!$H$3:$H993,"")),""))</f>
        <v>#NAME?</v>
      </c>
      <c r="F742" s="87" t="str">
        <f t="shared" si="5"/>
        <v/>
      </c>
      <c r="G742" s="87" t="str">
        <f t="shared" si="6"/>
        <v/>
      </c>
      <c r="H742" s="87"/>
      <c r="I742" s="87"/>
      <c r="J742" s="87"/>
    </row>
    <row r="743" spans="1:10">
      <c r="A743" s="2"/>
      <c r="B743" s="2"/>
      <c r="C743" s="120" t="str">
        <f>IF(B743="","",SUMIFS('A-BOM'!$D$3:$D993,'A-BOM'!$C$3:$C993,B743,'A-BOM'!$B$3:$B993,$B$2))</f>
        <v/>
      </c>
      <c r="D743" s="120" t="str">
        <f>IFERROR(IF(B743="","",VLOOKUP(B743,RM!$C$4:$F983,3,FALSE)),"")</f>
        <v/>
      </c>
      <c r="E743" s="118" t="e">
        <f t="array" aca="1" ref="E743" ca="1">_xludf.IFNA(IF(B743="","",VLOOKUP(B743,RM!$C$4:$G983,14,FALSE)),IFERROR(MIN(IF('S-BOM'!$B$3:$B993=$B743,'S-BOM'!$H$3:$H993,"")),""))</f>
        <v>#NAME?</v>
      </c>
      <c r="F743" s="87" t="str">
        <f t="shared" si="5"/>
        <v/>
      </c>
      <c r="G743" s="87" t="str">
        <f t="shared" si="6"/>
        <v/>
      </c>
      <c r="H743" s="87"/>
      <c r="I743" s="87"/>
      <c r="J743" s="87"/>
    </row>
    <row r="744" spans="1:10">
      <c r="A744" s="2"/>
      <c r="B744" s="2"/>
      <c r="C744" s="120" t="str">
        <f>IF(B744="","",SUMIFS('A-BOM'!$D$3:$D993,'A-BOM'!$C$3:$C993,B744,'A-BOM'!$B$3:$B993,$B$2))</f>
        <v/>
      </c>
      <c r="D744" s="120" t="str">
        <f>IFERROR(IF(B744="","",VLOOKUP(B744,RM!$C$4:$F983,3,FALSE)),"")</f>
        <v/>
      </c>
      <c r="E744" s="118" t="e">
        <f t="array" aca="1" ref="E744" ca="1">_xludf.IFNA(IF(B744="","",VLOOKUP(B744,RM!$C$4:$G983,14,FALSE)),IFERROR(MIN(IF('S-BOM'!$B$3:$B993=$B744,'S-BOM'!$H$3:$H993,"")),""))</f>
        <v>#NAME?</v>
      </c>
      <c r="F744" s="87" t="str">
        <f t="shared" si="5"/>
        <v/>
      </c>
      <c r="G744" s="87" t="str">
        <f t="shared" si="6"/>
        <v/>
      </c>
      <c r="H744" s="87"/>
      <c r="I744" s="87"/>
      <c r="J744" s="87"/>
    </row>
    <row r="745" spans="1:10">
      <c r="A745" s="2"/>
      <c r="B745" s="2"/>
      <c r="C745" s="120" t="str">
        <f>IF(B745="","",SUMIFS('A-BOM'!$D$3:$D993,'A-BOM'!$C$3:$C993,B745,'A-BOM'!$B$3:$B993,$B$2))</f>
        <v/>
      </c>
      <c r="D745" s="120" t="str">
        <f>IFERROR(IF(B745="","",VLOOKUP(B745,RM!$C$4:$F983,3,FALSE)),"")</f>
        <v/>
      </c>
      <c r="E745" s="118" t="e">
        <f t="array" aca="1" ref="E745" ca="1">_xludf.IFNA(IF(B745="","",VLOOKUP(B745,RM!$C$4:$G983,14,FALSE)),IFERROR(MIN(IF('S-BOM'!$B$3:$B993=$B745,'S-BOM'!$H$3:$H993,"")),""))</f>
        <v>#NAME?</v>
      </c>
      <c r="F745" s="87" t="str">
        <f t="shared" si="5"/>
        <v/>
      </c>
      <c r="G745" s="87" t="str">
        <f t="shared" si="6"/>
        <v/>
      </c>
      <c r="H745" s="87"/>
      <c r="I745" s="87"/>
      <c r="J745" s="87"/>
    </row>
    <row r="746" spans="1:10">
      <c r="A746" s="2"/>
      <c r="B746" s="2"/>
      <c r="C746" s="120" t="str">
        <f>IF(B746="","",SUMIFS('A-BOM'!$D$3:$D993,'A-BOM'!$C$3:$C993,B746,'A-BOM'!$B$3:$B993,$B$2))</f>
        <v/>
      </c>
      <c r="D746" s="120" t="str">
        <f>IFERROR(IF(B746="","",VLOOKUP(B746,RM!$C$4:$F983,3,FALSE)),"")</f>
        <v/>
      </c>
      <c r="E746" s="118" t="e">
        <f t="array" aca="1" ref="E746" ca="1">_xludf.IFNA(IF(B746="","",VLOOKUP(B746,RM!$C$4:$G983,14,FALSE)),IFERROR(MIN(IF('S-BOM'!$B$3:$B993=$B746,'S-BOM'!$H$3:$H993,"")),""))</f>
        <v>#NAME?</v>
      </c>
      <c r="F746" s="87" t="str">
        <f t="shared" si="5"/>
        <v/>
      </c>
      <c r="G746" s="87" t="str">
        <f t="shared" si="6"/>
        <v/>
      </c>
      <c r="H746" s="87"/>
      <c r="I746" s="87"/>
      <c r="J746" s="87"/>
    </row>
    <row r="747" spans="1:10">
      <c r="A747" s="2"/>
      <c r="B747" s="2"/>
      <c r="C747" s="120" t="str">
        <f>IF(B747="","",SUMIFS('A-BOM'!$D$3:$D993,'A-BOM'!$C$3:$C993,B747,'A-BOM'!$B$3:$B993,$B$2))</f>
        <v/>
      </c>
      <c r="D747" s="120" t="str">
        <f>IFERROR(IF(B747="","",VLOOKUP(B747,RM!$C$4:$F983,3,FALSE)),"")</f>
        <v/>
      </c>
      <c r="E747" s="118" t="e">
        <f t="array" aca="1" ref="E747" ca="1">_xludf.IFNA(IF(B747="","",VLOOKUP(B747,RM!$C$4:$G983,14,FALSE)),IFERROR(MIN(IF('S-BOM'!$B$3:$B993=$B747,'S-BOM'!$H$3:$H993,"")),""))</f>
        <v>#NAME?</v>
      </c>
      <c r="F747" s="87" t="str">
        <f t="shared" si="5"/>
        <v/>
      </c>
      <c r="G747" s="87" t="str">
        <f t="shared" si="6"/>
        <v/>
      </c>
      <c r="H747" s="87"/>
      <c r="I747" s="87"/>
      <c r="J747" s="87"/>
    </row>
    <row r="748" spans="1:10">
      <c r="A748" s="2"/>
      <c r="B748" s="2"/>
      <c r="C748" s="120" t="str">
        <f>IF(B748="","",SUMIFS('A-BOM'!$D$3:$D993,'A-BOM'!$C$3:$C993,B748,'A-BOM'!$B$3:$B993,$B$2))</f>
        <v/>
      </c>
      <c r="D748" s="120" t="str">
        <f>IFERROR(IF(B748="","",VLOOKUP(B748,RM!$C$4:$F983,3,FALSE)),"")</f>
        <v/>
      </c>
      <c r="E748" s="118" t="e">
        <f t="array" aca="1" ref="E748" ca="1">_xludf.IFNA(IF(B748="","",VLOOKUP(B748,RM!$C$4:$G983,14,FALSE)),IFERROR(MIN(IF('S-BOM'!$B$3:$B993=$B748,'S-BOM'!$H$3:$H993,"")),""))</f>
        <v>#NAME?</v>
      </c>
      <c r="F748" s="87" t="str">
        <f t="shared" si="5"/>
        <v/>
      </c>
      <c r="G748" s="87" t="str">
        <f t="shared" si="6"/>
        <v/>
      </c>
      <c r="H748" s="87"/>
      <c r="I748" s="87"/>
      <c r="J748" s="87"/>
    </row>
    <row r="749" spans="1:10">
      <c r="A749" s="2"/>
      <c r="B749" s="2"/>
      <c r="C749" s="120" t="str">
        <f>IF(B749="","",SUMIFS('A-BOM'!$D$3:$D993,'A-BOM'!$C$3:$C993,B749,'A-BOM'!$B$3:$B993,$B$2))</f>
        <v/>
      </c>
      <c r="D749" s="120" t="str">
        <f>IFERROR(IF(B749="","",VLOOKUP(B749,RM!$C$4:$F983,3,FALSE)),"")</f>
        <v/>
      </c>
      <c r="E749" s="118" t="e">
        <f t="array" aca="1" ref="E749" ca="1">_xludf.IFNA(IF(B749="","",VLOOKUP(B749,RM!$C$4:$G983,14,FALSE)),IFERROR(MIN(IF('S-BOM'!$B$3:$B993=$B749,'S-BOM'!$H$3:$H993,"")),""))</f>
        <v>#NAME?</v>
      </c>
      <c r="F749" s="87" t="str">
        <f t="shared" si="5"/>
        <v/>
      </c>
      <c r="G749" s="87" t="str">
        <f t="shared" si="6"/>
        <v/>
      </c>
      <c r="H749" s="87"/>
      <c r="I749" s="87"/>
      <c r="J749" s="87"/>
    </row>
    <row r="750" spans="1:10">
      <c r="A750" s="2"/>
      <c r="B750" s="2"/>
      <c r="C750" s="120" t="str">
        <f>IF(B750="","",SUMIFS('A-BOM'!$D$3:$D993,'A-BOM'!$C$3:$C993,B750,'A-BOM'!$B$3:$B993,$B$2))</f>
        <v/>
      </c>
      <c r="D750" s="120" t="str">
        <f>IFERROR(IF(B750="","",VLOOKUP(B750,RM!$C$4:$F983,3,FALSE)),"")</f>
        <v/>
      </c>
      <c r="E750" s="118" t="e">
        <f t="array" aca="1" ref="E750" ca="1">_xludf.IFNA(IF(B750="","",VLOOKUP(B750,RM!$C$4:$G983,14,FALSE)),IFERROR(MIN(IF('S-BOM'!$B$3:$B993=$B750,'S-BOM'!$H$3:$H993,"")),""))</f>
        <v>#NAME?</v>
      </c>
      <c r="F750" s="87" t="str">
        <f t="shared" si="5"/>
        <v/>
      </c>
      <c r="G750" s="87" t="str">
        <f t="shared" si="6"/>
        <v/>
      </c>
      <c r="H750" s="87"/>
      <c r="I750" s="87"/>
      <c r="J750" s="87"/>
    </row>
    <row r="751" spans="1:10">
      <c r="A751" s="2"/>
      <c r="B751" s="2"/>
      <c r="C751" s="120" t="str">
        <f>IF(B751="","",SUMIFS('A-BOM'!$D$3:$D993,'A-BOM'!$C$3:$C993,B751,'A-BOM'!$B$3:$B993,$B$2))</f>
        <v/>
      </c>
      <c r="D751" s="120" t="str">
        <f>IFERROR(IF(B751="","",VLOOKUP(B751,RM!$C$4:$F983,3,FALSE)),"")</f>
        <v/>
      </c>
      <c r="E751" s="118" t="e">
        <f t="array" aca="1" ref="E751" ca="1">_xludf.IFNA(IF(B751="","",VLOOKUP(B751,RM!$C$4:$G983,14,FALSE)),IFERROR(MIN(IF('S-BOM'!$B$3:$B993=$B751,'S-BOM'!$H$3:$H993,"")),""))</f>
        <v>#NAME?</v>
      </c>
      <c r="F751" s="87" t="str">
        <f t="shared" si="5"/>
        <v/>
      </c>
      <c r="G751" s="87" t="str">
        <f t="shared" si="6"/>
        <v/>
      </c>
      <c r="H751" s="87"/>
      <c r="I751" s="87"/>
      <c r="J751" s="87"/>
    </row>
    <row r="752" spans="1:10">
      <c r="A752" s="2"/>
      <c r="B752" s="2"/>
      <c r="C752" s="120" t="str">
        <f>IF(B752="","",SUMIFS('A-BOM'!$D$3:$D993,'A-BOM'!$C$3:$C993,B752,'A-BOM'!$B$3:$B993,$B$2))</f>
        <v/>
      </c>
      <c r="D752" s="120" t="str">
        <f>IFERROR(IF(B752="","",VLOOKUP(B752,RM!$C$4:$F983,3,FALSE)),"")</f>
        <v/>
      </c>
      <c r="E752" s="118" t="e">
        <f t="array" aca="1" ref="E752" ca="1">_xludf.IFNA(IF(B752="","",VLOOKUP(B752,RM!$C$4:$G983,14,FALSE)),IFERROR(MIN(IF('S-BOM'!$B$3:$B993=$B752,'S-BOM'!$H$3:$H993,"")),""))</f>
        <v>#NAME?</v>
      </c>
      <c r="F752" s="87" t="str">
        <f t="shared" si="5"/>
        <v/>
      </c>
      <c r="G752" s="87" t="str">
        <f t="shared" si="6"/>
        <v/>
      </c>
      <c r="H752" s="87"/>
      <c r="I752" s="87"/>
      <c r="J752" s="87"/>
    </row>
    <row r="753" spans="1:10">
      <c r="A753" s="2"/>
      <c r="B753" s="2"/>
      <c r="C753" s="120" t="str">
        <f>IF(B753="","",SUMIFS('A-BOM'!$D$3:$D993,'A-BOM'!$C$3:$C993,B753,'A-BOM'!$B$3:$B993,$B$2))</f>
        <v/>
      </c>
      <c r="D753" s="120" t="str">
        <f>IFERROR(IF(B753="","",VLOOKUP(B753,RM!$C$4:$F983,3,FALSE)),"")</f>
        <v/>
      </c>
      <c r="E753" s="118" t="e">
        <f t="array" aca="1" ref="E753" ca="1">_xludf.IFNA(IF(B753="","",VLOOKUP(B753,RM!$C$4:$G983,14,FALSE)),IFERROR(MIN(IF('S-BOM'!$B$3:$B993=$B753,'S-BOM'!$H$3:$H993,"")),""))</f>
        <v>#NAME?</v>
      </c>
      <c r="F753" s="87" t="str">
        <f t="shared" si="5"/>
        <v/>
      </c>
      <c r="G753" s="87" t="str">
        <f t="shared" si="6"/>
        <v/>
      </c>
      <c r="H753" s="87"/>
      <c r="I753" s="87"/>
      <c r="J753" s="87"/>
    </row>
    <row r="754" spans="1:10">
      <c r="A754" s="2"/>
      <c r="B754" s="2"/>
      <c r="C754" s="120" t="str">
        <f>IF(B754="","",SUMIFS('A-BOM'!$D$3:$D993,'A-BOM'!$C$3:$C993,B754,'A-BOM'!$B$3:$B993,$B$2))</f>
        <v/>
      </c>
      <c r="D754" s="120" t="str">
        <f>IFERROR(IF(B754="","",VLOOKUP(B754,RM!$C$4:$F983,3,FALSE)),"")</f>
        <v/>
      </c>
      <c r="E754" s="118" t="e">
        <f t="array" aca="1" ref="E754" ca="1">_xludf.IFNA(IF(B754="","",VLOOKUP(B754,RM!$C$4:$G983,14,FALSE)),IFERROR(MIN(IF('S-BOM'!$B$3:$B993=$B754,'S-BOM'!$H$3:$H993,"")),""))</f>
        <v>#NAME?</v>
      </c>
      <c r="F754" s="87" t="str">
        <f t="shared" si="5"/>
        <v/>
      </c>
      <c r="G754" s="87" t="str">
        <f t="shared" si="6"/>
        <v/>
      </c>
      <c r="H754" s="87"/>
      <c r="I754" s="87"/>
      <c r="J754" s="87"/>
    </row>
    <row r="755" spans="1:10">
      <c r="A755" s="2"/>
      <c r="B755" s="2"/>
      <c r="C755" s="120" t="str">
        <f>IF(B755="","",SUMIFS('A-BOM'!$D$3:$D993,'A-BOM'!$C$3:$C993,B755,'A-BOM'!$B$3:$B993,$B$2))</f>
        <v/>
      </c>
      <c r="D755" s="120" t="str">
        <f>IFERROR(IF(B755="","",VLOOKUP(B755,RM!$C$4:$F983,3,FALSE)),"")</f>
        <v/>
      </c>
      <c r="E755" s="118" t="e">
        <f t="array" aca="1" ref="E755" ca="1">_xludf.IFNA(IF(B755="","",VLOOKUP(B755,RM!$C$4:$G983,14,FALSE)),IFERROR(MIN(IF('S-BOM'!$B$3:$B993=$B755,'S-BOM'!$H$3:$H993,"")),""))</f>
        <v>#NAME?</v>
      </c>
      <c r="F755" s="87" t="str">
        <f t="shared" si="5"/>
        <v/>
      </c>
      <c r="G755" s="87" t="str">
        <f t="shared" si="6"/>
        <v/>
      </c>
      <c r="H755" s="87"/>
      <c r="I755" s="87"/>
      <c r="J755" s="87"/>
    </row>
    <row r="756" spans="1:10">
      <c r="A756" s="2"/>
      <c r="B756" s="2"/>
      <c r="C756" s="120" t="str">
        <f>IF(B756="","",SUMIFS('A-BOM'!$D$3:$D993,'A-BOM'!$C$3:$C993,B756,'A-BOM'!$B$3:$B993,$B$2))</f>
        <v/>
      </c>
      <c r="D756" s="120" t="str">
        <f>IFERROR(IF(B756="","",VLOOKUP(B756,RM!$C$4:$F983,3,FALSE)),"")</f>
        <v/>
      </c>
      <c r="E756" s="118" t="e">
        <f t="array" aca="1" ref="E756" ca="1">_xludf.IFNA(IF(B756="","",VLOOKUP(B756,RM!$C$4:$G983,14,FALSE)),IFERROR(MIN(IF('S-BOM'!$B$3:$B993=$B756,'S-BOM'!$H$3:$H993,"")),""))</f>
        <v>#NAME?</v>
      </c>
      <c r="F756" s="87" t="str">
        <f t="shared" si="5"/>
        <v/>
      </c>
      <c r="G756" s="87" t="str">
        <f t="shared" si="6"/>
        <v/>
      </c>
      <c r="H756" s="87"/>
      <c r="I756" s="87"/>
      <c r="J756" s="87"/>
    </row>
    <row r="757" spans="1:10">
      <c r="A757" s="2"/>
      <c r="B757" s="2"/>
      <c r="C757" s="120" t="str">
        <f>IF(B757="","",SUMIFS('A-BOM'!$D$3:$D993,'A-BOM'!$C$3:$C993,B757,'A-BOM'!$B$3:$B993,$B$2))</f>
        <v/>
      </c>
      <c r="D757" s="120" t="str">
        <f>IFERROR(IF(B757="","",VLOOKUP(B757,RM!$C$4:$F983,3,FALSE)),"")</f>
        <v/>
      </c>
      <c r="E757" s="118" t="e">
        <f t="array" aca="1" ref="E757" ca="1">_xludf.IFNA(IF(B757="","",VLOOKUP(B757,RM!$C$4:$G983,14,FALSE)),IFERROR(MIN(IF('S-BOM'!$B$3:$B993=$B757,'S-BOM'!$H$3:$H993,"")),""))</f>
        <v>#NAME?</v>
      </c>
      <c r="F757" s="87" t="str">
        <f t="shared" si="5"/>
        <v/>
      </c>
      <c r="G757" s="87" t="str">
        <f t="shared" si="6"/>
        <v/>
      </c>
      <c r="H757" s="87"/>
      <c r="I757" s="87"/>
      <c r="J757" s="87"/>
    </row>
    <row r="758" spans="1:10">
      <c r="A758" s="2"/>
      <c r="B758" s="2"/>
      <c r="C758" s="120" t="str">
        <f>IF(B758="","",SUMIFS('A-BOM'!$D$3:$D993,'A-BOM'!$C$3:$C993,B758,'A-BOM'!$B$3:$B993,$B$2))</f>
        <v/>
      </c>
      <c r="D758" s="120" t="str">
        <f>IFERROR(IF(B758="","",VLOOKUP(B758,RM!$C$4:$F983,3,FALSE)),"")</f>
        <v/>
      </c>
      <c r="E758" s="118" t="e">
        <f t="array" aca="1" ref="E758" ca="1">_xludf.IFNA(IF(B758="","",VLOOKUP(B758,RM!$C$4:$G983,14,FALSE)),IFERROR(MIN(IF('S-BOM'!$B$3:$B993=$B758,'S-BOM'!$H$3:$H993,"")),""))</f>
        <v>#NAME?</v>
      </c>
      <c r="F758" s="87" t="str">
        <f t="shared" si="5"/>
        <v/>
      </c>
      <c r="G758" s="87" t="str">
        <f t="shared" si="6"/>
        <v/>
      </c>
      <c r="H758" s="87"/>
      <c r="I758" s="87"/>
      <c r="J758" s="87"/>
    </row>
    <row r="759" spans="1:10">
      <c r="A759" s="2"/>
      <c r="B759" s="2"/>
      <c r="C759" s="120" t="str">
        <f>IF(B759="","",SUMIFS('A-BOM'!$D$3:$D993,'A-BOM'!$C$3:$C993,B759,'A-BOM'!$B$3:$B993,$B$2))</f>
        <v/>
      </c>
      <c r="D759" s="120" t="str">
        <f>IFERROR(IF(B759="","",VLOOKUP(B759,RM!$C$4:$F983,3,FALSE)),"")</f>
        <v/>
      </c>
      <c r="E759" s="118" t="e">
        <f t="array" aca="1" ref="E759" ca="1">_xludf.IFNA(IF(B759="","",VLOOKUP(B759,RM!$C$4:$G983,14,FALSE)),IFERROR(MIN(IF('S-BOM'!$B$3:$B993=$B759,'S-BOM'!$H$3:$H993,"")),""))</f>
        <v>#NAME?</v>
      </c>
      <c r="F759" s="87" t="str">
        <f t="shared" si="5"/>
        <v/>
      </c>
      <c r="G759" s="87" t="str">
        <f t="shared" si="6"/>
        <v/>
      </c>
      <c r="H759" s="87"/>
      <c r="I759" s="87"/>
      <c r="J759" s="87"/>
    </row>
    <row r="760" spans="1:10">
      <c r="A760" s="2"/>
      <c r="B760" s="2"/>
      <c r="C760" s="120" t="str">
        <f>IF(B760="","",SUMIFS('A-BOM'!$D$3:$D993,'A-BOM'!$C$3:$C993,B760,'A-BOM'!$B$3:$B993,$B$2))</f>
        <v/>
      </c>
      <c r="D760" s="120" t="str">
        <f>IFERROR(IF(B760="","",VLOOKUP(B760,RM!$C$4:$F983,3,FALSE)),"")</f>
        <v/>
      </c>
      <c r="E760" s="118" t="e">
        <f t="array" aca="1" ref="E760" ca="1">_xludf.IFNA(IF(B760="","",VLOOKUP(B760,RM!$C$4:$G983,14,FALSE)),IFERROR(MIN(IF('S-BOM'!$B$3:$B993=$B760,'S-BOM'!$H$3:$H993,"")),""))</f>
        <v>#NAME?</v>
      </c>
      <c r="F760" s="87" t="str">
        <f t="shared" si="5"/>
        <v/>
      </c>
      <c r="G760" s="87" t="str">
        <f t="shared" si="6"/>
        <v/>
      </c>
      <c r="H760" s="87"/>
      <c r="I760" s="87"/>
      <c r="J760" s="87"/>
    </row>
    <row r="761" spans="1:10">
      <c r="A761" s="2"/>
      <c r="B761" s="2"/>
      <c r="C761" s="120" t="str">
        <f>IF(B761="","",SUMIFS('A-BOM'!$D$3:$D993,'A-BOM'!$C$3:$C993,B761,'A-BOM'!$B$3:$B993,$B$2))</f>
        <v/>
      </c>
      <c r="D761" s="120" t="str">
        <f>IFERROR(IF(B761="","",VLOOKUP(B761,RM!$C$4:$F983,3,FALSE)),"")</f>
        <v/>
      </c>
      <c r="E761" s="118" t="e">
        <f t="array" aca="1" ref="E761" ca="1">_xludf.IFNA(IF(B761="","",VLOOKUP(B761,RM!$C$4:$G983,14,FALSE)),IFERROR(MIN(IF('S-BOM'!$B$3:$B993=$B761,'S-BOM'!$H$3:$H993,"")),""))</f>
        <v>#NAME?</v>
      </c>
      <c r="F761" s="87" t="str">
        <f t="shared" si="5"/>
        <v/>
      </c>
      <c r="G761" s="87" t="str">
        <f t="shared" si="6"/>
        <v/>
      </c>
      <c r="H761" s="87"/>
      <c r="I761" s="87"/>
      <c r="J761" s="87"/>
    </row>
    <row r="762" spans="1:10">
      <c r="A762" s="2"/>
      <c r="B762" s="2"/>
      <c r="C762" s="120" t="str">
        <f>IF(B762="","",SUMIFS('A-BOM'!$D$3:$D993,'A-BOM'!$C$3:$C993,B762,'A-BOM'!$B$3:$B993,$B$2))</f>
        <v/>
      </c>
      <c r="D762" s="120" t="str">
        <f>IFERROR(IF(B762="","",VLOOKUP(B762,RM!$C$4:$F983,3,FALSE)),"")</f>
        <v/>
      </c>
      <c r="E762" s="118" t="e">
        <f t="array" aca="1" ref="E762" ca="1">_xludf.IFNA(IF(B762="","",VLOOKUP(B762,RM!$C$4:$G983,14,FALSE)),IFERROR(MIN(IF('S-BOM'!$B$3:$B993=$B762,'S-BOM'!$H$3:$H993,"")),""))</f>
        <v>#NAME?</v>
      </c>
      <c r="F762" s="87" t="str">
        <f t="shared" si="5"/>
        <v/>
      </c>
      <c r="G762" s="87" t="str">
        <f t="shared" si="6"/>
        <v/>
      </c>
      <c r="H762" s="87"/>
      <c r="I762" s="87"/>
      <c r="J762" s="87"/>
    </row>
    <row r="763" spans="1:10">
      <c r="A763" s="2"/>
      <c r="B763" s="2"/>
      <c r="C763" s="120" t="str">
        <f>IF(B763="","",SUMIFS('A-BOM'!$D$3:$D993,'A-BOM'!$C$3:$C993,B763,'A-BOM'!$B$3:$B993,$B$2))</f>
        <v/>
      </c>
      <c r="D763" s="120" t="str">
        <f>IFERROR(IF(B763="","",VLOOKUP(B763,RM!$C$4:$F983,3,FALSE)),"")</f>
        <v/>
      </c>
      <c r="E763" s="118" t="e">
        <f t="array" aca="1" ref="E763" ca="1">_xludf.IFNA(IF(B763="","",VLOOKUP(B763,RM!$C$4:$G983,14,FALSE)),IFERROR(MIN(IF('S-BOM'!$B$3:$B993=$B763,'S-BOM'!$H$3:$H993,"")),""))</f>
        <v>#NAME?</v>
      </c>
      <c r="F763" s="87" t="str">
        <f t="shared" si="5"/>
        <v/>
      </c>
      <c r="G763" s="87" t="str">
        <f t="shared" si="6"/>
        <v/>
      </c>
      <c r="H763" s="87"/>
      <c r="I763" s="87"/>
      <c r="J763" s="87"/>
    </row>
    <row r="764" spans="1:10">
      <c r="A764" s="2"/>
      <c r="B764" s="2"/>
      <c r="C764" s="120" t="str">
        <f>IF(B764="","",SUMIFS('A-BOM'!$D$3:$D993,'A-BOM'!$C$3:$C993,B764,'A-BOM'!$B$3:$B993,$B$2))</f>
        <v/>
      </c>
      <c r="D764" s="120" t="str">
        <f>IFERROR(IF(B764="","",VLOOKUP(B764,RM!$C$4:$F983,3,FALSE)),"")</f>
        <v/>
      </c>
      <c r="E764" s="118" t="e">
        <f t="array" aca="1" ref="E764" ca="1">_xludf.IFNA(IF(B764="","",VLOOKUP(B764,RM!$C$4:$G983,14,FALSE)),IFERROR(MIN(IF('S-BOM'!$B$3:$B993=$B764,'S-BOM'!$H$3:$H993,"")),""))</f>
        <v>#NAME?</v>
      </c>
      <c r="F764" s="87" t="str">
        <f t="shared" si="5"/>
        <v/>
      </c>
      <c r="G764" s="87" t="str">
        <f t="shared" si="6"/>
        <v/>
      </c>
      <c r="H764" s="87"/>
      <c r="I764" s="87"/>
      <c r="J764" s="87"/>
    </row>
    <row r="765" spans="1:10">
      <c r="A765" s="2"/>
      <c r="B765" s="2"/>
      <c r="C765" s="120" t="str">
        <f>IF(B765="","",SUMIFS('A-BOM'!$D$3:$D993,'A-BOM'!$C$3:$C993,B765,'A-BOM'!$B$3:$B993,$B$2))</f>
        <v/>
      </c>
      <c r="D765" s="120" t="str">
        <f>IFERROR(IF(B765="","",VLOOKUP(B765,RM!$C$4:$F983,3,FALSE)),"")</f>
        <v/>
      </c>
      <c r="E765" s="118" t="e">
        <f t="array" aca="1" ref="E765" ca="1">_xludf.IFNA(IF(B765="","",VLOOKUP(B765,RM!$C$4:$G983,14,FALSE)),IFERROR(MIN(IF('S-BOM'!$B$3:$B993=$B765,'S-BOM'!$H$3:$H993,"")),""))</f>
        <v>#NAME?</v>
      </c>
      <c r="F765" s="87" t="str">
        <f t="shared" si="5"/>
        <v/>
      </c>
      <c r="G765" s="87" t="str">
        <f t="shared" si="6"/>
        <v/>
      </c>
      <c r="H765" s="87"/>
      <c r="I765" s="87"/>
      <c r="J765" s="87"/>
    </row>
    <row r="766" spans="1:10">
      <c r="A766" s="2"/>
      <c r="B766" s="2"/>
      <c r="C766" s="120" t="str">
        <f>IF(B766="","",SUMIFS('A-BOM'!$D$3:$D993,'A-BOM'!$C$3:$C993,B766,'A-BOM'!$B$3:$B993,$B$2))</f>
        <v/>
      </c>
      <c r="D766" s="120" t="str">
        <f>IFERROR(IF(B766="","",VLOOKUP(B766,RM!$C$4:$F983,3,FALSE)),"")</f>
        <v/>
      </c>
      <c r="E766" s="118" t="e">
        <f t="array" aca="1" ref="E766" ca="1">_xludf.IFNA(IF(B766="","",VLOOKUP(B766,RM!$C$4:$G983,14,FALSE)),IFERROR(MIN(IF('S-BOM'!$B$3:$B993=$B766,'S-BOM'!$H$3:$H993,"")),""))</f>
        <v>#NAME?</v>
      </c>
      <c r="F766" s="87" t="str">
        <f t="shared" si="5"/>
        <v/>
      </c>
      <c r="G766" s="87" t="str">
        <f t="shared" si="6"/>
        <v/>
      </c>
      <c r="H766" s="87"/>
      <c r="I766" s="87"/>
      <c r="J766" s="87"/>
    </row>
    <row r="767" spans="1:10">
      <c r="A767" s="2"/>
      <c r="B767" s="2"/>
      <c r="C767" s="120" t="str">
        <f>IF(B767="","",SUMIFS('A-BOM'!$D$3:$D993,'A-BOM'!$C$3:$C993,B767,'A-BOM'!$B$3:$B993,$B$2))</f>
        <v/>
      </c>
      <c r="D767" s="120" t="str">
        <f>IFERROR(IF(B767="","",VLOOKUP(B767,RM!$C$4:$F983,3,FALSE)),"")</f>
        <v/>
      </c>
      <c r="E767" s="118" t="e">
        <f t="array" aca="1" ref="E767" ca="1">_xludf.IFNA(IF(B767="","",VLOOKUP(B767,RM!$C$4:$G983,14,FALSE)),IFERROR(MIN(IF('S-BOM'!$B$3:$B993=$B767,'S-BOM'!$H$3:$H993,"")),""))</f>
        <v>#NAME?</v>
      </c>
      <c r="F767" s="87" t="str">
        <f t="shared" si="5"/>
        <v/>
      </c>
      <c r="G767" s="87" t="str">
        <f t="shared" si="6"/>
        <v/>
      </c>
      <c r="H767" s="87"/>
      <c r="I767" s="87"/>
      <c r="J767" s="87"/>
    </row>
    <row r="768" spans="1:10">
      <c r="A768" s="2"/>
      <c r="B768" s="2"/>
      <c r="C768" s="120" t="str">
        <f>IF(B768="","",SUMIFS('A-BOM'!$D$3:$D993,'A-BOM'!$C$3:$C993,B768,'A-BOM'!$B$3:$B993,$B$2))</f>
        <v/>
      </c>
      <c r="D768" s="120" t="str">
        <f>IFERROR(IF(B768="","",VLOOKUP(B768,RM!$C$4:$F983,3,FALSE)),"")</f>
        <v/>
      </c>
      <c r="E768" s="118" t="e">
        <f t="array" aca="1" ref="E768" ca="1">_xludf.IFNA(IF(B768="","",VLOOKUP(B768,RM!$C$4:$G983,14,FALSE)),IFERROR(MIN(IF('S-BOM'!$B$3:$B993=$B768,'S-BOM'!$H$3:$H993,"")),""))</f>
        <v>#NAME?</v>
      </c>
      <c r="F768" s="87" t="str">
        <f t="shared" si="5"/>
        <v/>
      </c>
      <c r="G768" s="87" t="str">
        <f t="shared" si="6"/>
        <v/>
      </c>
      <c r="H768" s="87"/>
      <c r="I768" s="87"/>
      <c r="J768" s="87"/>
    </row>
    <row r="769" spans="1:10">
      <c r="A769" s="2"/>
      <c r="B769" s="2"/>
      <c r="C769" s="120" t="str">
        <f>IF(B769="","",SUMIFS('A-BOM'!$D$3:$D993,'A-BOM'!$C$3:$C993,B769,'A-BOM'!$B$3:$B993,$B$2))</f>
        <v/>
      </c>
      <c r="D769" s="120" t="str">
        <f>IFERROR(IF(B769="","",VLOOKUP(B769,RM!$C$4:$F983,3,FALSE)),"")</f>
        <v/>
      </c>
      <c r="E769" s="118" t="e">
        <f t="array" aca="1" ref="E769" ca="1">_xludf.IFNA(IF(B769="","",VLOOKUP(B769,RM!$C$4:$G983,14,FALSE)),IFERROR(MIN(IF('S-BOM'!$B$3:$B993=$B769,'S-BOM'!$H$3:$H993,"")),""))</f>
        <v>#NAME?</v>
      </c>
      <c r="F769" s="87" t="str">
        <f t="shared" ref="F769:F993" si="7">IF(B769="","",$C$2*C769)</f>
        <v/>
      </c>
      <c r="G769" s="87" t="str">
        <f t="shared" ref="G769:G993" si="8">IF(B769="","",IF(E769&gt;F769,0,F769-E769))</f>
        <v/>
      </c>
      <c r="H769" s="87"/>
      <c r="I769" s="87"/>
      <c r="J769" s="87"/>
    </row>
    <row r="770" spans="1:10">
      <c r="A770" s="2"/>
      <c r="B770" s="2"/>
      <c r="C770" s="120" t="str">
        <f>IF(B770="","",SUMIFS('A-BOM'!$D$3:$D993,'A-BOM'!$C$3:$C993,B770,'A-BOM'!$B$3:$B993,$B$2))</f>
        <v/>
      </c>
      <c r="D770" s="120" t="str">
        <f>IFERROR(IF(B770="","",VLOOKUP(B770,RM!$C$4:$F983,3,FALSE)),"")</f>
        <v/>
      </c>
      <c r="E770" s="118" t="e">
        <f t="array" aca="1" ref="E770" ca="1">_xludf.IFNA(IF(B770="","",VLOOKUP(B770,RM!$C$4:$G983,14,FALSE)),IFERROR(MIN(IF('S-BOM'!$B$3:$B993=$B770,'S-BOM'!$H$3:$H993,"")),""))</f>
        <v>#NAME?</v>
      </c>
      <c r="F770" s="87" t="str">
        <f t="shared" si="7"/>
        <v/>
      </c>
      <c r="G770" s="87" t="str">
        <f t="shared" si="8"/>
        <v/>
      </c>
      <c r="H770" s="87"/>
      <c r="I770" s="87"/>
      <c r="J770" s="87"/>
    </row>
    <row r="771" spans="1:10">
      <c r="A771" s="2"/>
      <c r="B771" s="2"/>
      <c r="C771" s="120" t="str">
        <f>IF(B771="","",SUMIFS('A-BOM'!$D$3:$D993,'A-BOM'!$C$3:$C993,B771,'A-BOM'!$B$3:$B993,$B$2))</f>
        <v/>
      </c>
      <c r="D771" s="120" t="str">
        <f>IFERROR(IF(B771="","",VLOOKUP(B771,RM!$C$4:$F983,3,FALSE)),"")</f>
        <v/>
      </c>
      <c r="E771" s="118" t="e">
        <f t="array" aca="1" ref="E771" ca="1">_xludf.IFNA(IF(B771="","",VLOOKUP(B771,RM!$C$4:$G983,14,FALSE)),IFERROR(MIN(IF('S-BOM'!$B$3:$B993=$B771,'S-BOM'!$H$3:$H993,"")),""))</f>
        <v>#NAME?</v>
      </c>
      <c r="F771" s="87" t="str">
        <f t="shared" si="7"/>
        <v/>
      </c>
      <c r="G771" s="87" t="str">
        <f t="shared" si="8"/>
        <v/>
      </c>
      <c r="H771" s="87"/>
      <c r="I771" s="87"/>
      <c r="J771" s="87"/>
    </row>
    <row r="772" spans="1:10">
      <c r="A772" s="2"/>
      <c r="B772" s="2"/>
      <c r="C772" s="120" t="str">
        <f>IF(B772="","",SUMIFS('A-BOM'!$D$3:$D993,'A-BOM'!$C$3:$C993,B772,'A-BOM'!$B$3:$B993,$B$2))</f>
        <v/>
      </c>
      <c r="D772" s="120" t="str">
        <f>IFERROR(IF(B772="","",VLOOKUP(B772,RM!$C$4:$F983,3,FALSE)),"")</f>
        <v/>
      </c>
      <c r="E772" s="118" t="e">
        <f t="array" aca="1" ref="E772" ca="1">_xludf.IFNA(IF(B772="","",VLOOKUP(B772,RM!$C$4:$G983,14,FALSE)),IFERROR(MIN(IF('S-BOM'!$B$3:$B993=$B772,'S-BOM'!$H$3:$H993,"")),""))</f>
        <v>#NAME?</v>
      </c>
      <c r="F772" s="87" t="str">
        <f t="shared" si="7"/>
        <v/>
      </c>
      <c r="G772" s="87" t="str">
        <f t="shared" si="8"/>
        <v/>
      </c>
      <c r="H772" s="87"/>
      <c r="I772" s="87"/>
      <c r="J772" s="87"/>
    </row>
    <row r="773" spans="1:10">
      <c r="A773" s="2"/>
      <c r="B773" s="2"/>
      <c r="C773" s="120" t="str">
        <f>IF(B773="","",SUMIFS('A-BOM'!$D$3:$D993,'A-BOM'!$C$3:$C993,B773,'A-BOM'!$B$3:$B993,$B$2))</f>
        <v/>
      </c>
      <c r="D773" s="120" t="str">
        <f>IFERROR(IF(B773="","",VLOOKUP(B773,RM!$C$4:$F983,3,FALSE)),"")</f>
        <v/>
      </c>
      <c r="E773" s="118" t="e">
        <f t="array" aca="1" ref="E773" ca="1">_xludf.IFNA(IF(B773="","",VLOOKUP(B773,RM!$C$4:$G983,14,FALSE)),IFERROR(MIN(IF('S-BOM'!$B$3:$B993=$B773,'S-BOM'!$H$3:$H993,"")),""))</f>
        <v>#NAME?</v>
      </c>
      <c r="F773" s="87" t="str">
        <f t="shared" si="7"/>
        <v/>
      </c>
      <c r="G773" s="87" t="str">
        <f t="shared" si="8"/>
        <v/>
      </c>
      <c r="H773" s="87"/>
      <c r="I773" s="87"/>
      <c r="J773" s="87"/>
    </row>
    <row r="774" spans="1:10">
      <c r="A774" s="2"/>
      <c r="B774" s="2"/>
      <c r="C774" s="120" t="str">
        <f>IF(B774="","",SUMIFS('A-BOM'!$D$3:$D993,'A-BOM'!$C$3:$C993,B774,'A-BOM'!$B$3:$B993,$B$2))</f>
        <v/>
      </c>
      <c r="D774" s="120" t="str">
        <f>IFERROR(IF(B774="","",VLOOKUP(B774,RM!$C$4:$F983,3,FALSE)),"")</f>
        <v/>
      </c>
      <c r="E774" s="118" t="e">
        <f t="array" aca="1" ref="E774" ca="1">_xludf.IFNA(IF(B774="","",VLOOKUP(B774,RM!$C$4:$G983,14,FALSE)),IFERROR(MIN(IF('S-BOM'!$B$3:$B993=$B774,'S-BOM'!$H$3:$H993,"")),""))</f>
        <v>#NAME?</v>
      </c>
      <c r="F774" s="87" t="str">
        <f t="shared" si="7"/>
        <v/>
      </c>
      <c r="G774" s="87" t="str">
        <f t="shared" si="8"/>
        <v/>
      </c>
      <c r="H774" s="87"/>
      <c r="I774" s="87"/>
      <c r="J774" s="87"/>
    </row>
    <row r="775" spans="1:10">
      <c r="A775" s="2"/>
      <c r="B775" s="2"/>
      <c r="C775" s="120" t="str">
        <f>IF(B775="","",SUMIFS('A-BOM'!$D$3:$D993,'A-BOM'!$C$3:$C993,B775,'A-BOM'!$B$3:$B993,$B$2))</f>
        <v/>
      </c>
      <c r="D775" s="120" t="str">
        <f>IFERROR(IF(B775="","",VLOOKUP(B775,RM!$C$4:$F983,3,FALSE)),"")</f>
        <v/>
      </c>
      <c r="E775" s="118" t="e">
        <f t="array" aca="1" ref="E775" ca="1">_xludf.IFNA(IF(B775="","",VLOOKUP(B775,RM!$C$4:$G983,14,FALSE)),IFERROR(MIN(IF('S-BOM'!$B$3:$B993=$B775,'S-BOM'!$H$3:$H993,"")),""))</f>
        <v>#NAME?</v>
      </c>
      <c r="F775" s="87" t="str">
        <f t="shared" si="7"/>
        <v/>
      </c>
      <c r="G775" s="87" t="str">
        <f t="shared" si="8"/>
        <v/>
      </c>
      <c r="H775" s="87"/>
      <c r="I775" s="87"/>
      <c r="J775" s="87"/>
    </row>
    <row r="776" spans="1:10">
      <c r="A776" s="2"/>
      <c r="B776" s="2"/>
      <c r="C776" s="120" t="str">
        <f>IF(B776="","",SUMIFS('A-BOM'!$D$3:$D993,'A-BOM'!$C$3:$C993,B776,'A-BOM'!$B$3:$B993,$B$2))</f>
        <v/>
      </c>
      <c r="D776" s="120" t="str">
        <f>IFERROR(IF(B776="","",VLOOKUP(B776,RM!$C$4:$F983,3,FALSE)),"")</f>
        <v/>
      </c>
      <c r="E776" s="118" t="e">
        <f t="array" aca="1" ref="E776" ca="1">_xludf.IFNA(IF(B776="","",VLOOKUP(B776,RM!$C$4:$G983,14,FALSE)),IFERROR(MIN(IF('S-BOM'!$B$3:$B993=$B776,'S-BOM'!$H$3:$H993,"")),""))</f>
        <v>#NAME?</v>
      </c>
      <c r="F776" s="87" t="str">
        <f t="shared" si="7"/>
        <v/>
      </c>
      <c r="G776" s="87" t="str">
        <f t="shared" si="8"/>
        <v/>
      </c>
      <c r="H776" s="87"/>
      <c r="I776" s="87"/>
      <c r="J776" s="87"/>
    </row>
    <row r="777" spans="1:10">
      <c r="A777" s="2"/>
      <c r="B777" s="2"/>
      <c r="C777" s="120" t="str">
        <f>IF(B777="","",SUMIFS('A-BOM'!$D$3:$D993,'A-BOM'!$C$3:$C993,B777,'A-BOM'!$B$3:$B993,$B$2))</f>
        <v/>
      </c>
      <c r="D777" s="120" t="str">
        <f>IFERROR(IF(B777="","",VLOOKUP(B777,RM!$C$4:$F983,3,FALSE)),"")</f>
        <v/>
      </c>
      <c r="E777" s="118" t="e">
        <f t="array" aca="1" ref="E777" ca="1">_xludf.IFNA(IF(B777="","",VLOOKUP(B777,RM!$C$4:$G983,14,FALSE)),IFERROR(MIN(IF('S-BOM'!$B$3:$B993=$B777,'S-BOM'!$H$3:$H993,"")),""))</f>
        <v>#NAME?</v>
      </c>
      <c r="F777" s="87" t="str">
        <f t="shared" si="7"/>
        <v/>
      </c>
      <c r="G777" s="87" t="str">
        <f t="shared" si="8"/>
        <v/>
      </c>
      <c r="H777" s="87"/>
      <c r="I777" s="87"/>
      <c r="J777" s="87"/>
    </row>
    <row r="778" spans="1:10">
      <c r="A778" s="2"/>
      <c r="B778" s="2"/>
      <c r="C778" s="120" t="str">
        <f>IF(B778="","",SUMIFS('A-BOM'!$D$3:$D993,'A-BOM'!$C$3:$C993,B778,'A-BOM'!$B$3:$B993,$B$2))</f>
        <v/>
      </c>
      <c r="D778" s="120" t="str">
        <f>IFERROR(IF(B778="","",VLOOKUP(B778,RM!$C$4:$F983,3,FALSE)),"")</f>
        <v/>
      </c>
      <c r="E778" s="118" t="e">
        <f t="array" aca="1" ref="E778" ca="1">_xludf.IFNA(IF(B778="","",VLOOKUP(B778,RM!$C$4:$G983,14,FALSE)),IFERROR(MIN(IF('S-BOM'!$B$3:$B993=$B778,'S-BOM'!$H$3:$H993,"")),""))</f>
        <v>#NAME?</v>
      </c>
      <c r="F778" s="87" t="str">
        <f t="shared" si="7"/>
        <v/>
      </c>
      <c r="G778" s="87" t="str">
        <f t="shared" si="8"/>
        <v/>
      </c>
      <c r="H778" s="87"/>
      <c r="I778" s="87"/>
      <c r="J778" s="87"/>
    </row>
    <row r="779" spans="1:10">
      <c r="A779" s="2"/>
      <c r="B779" s="2"/>
      <c r="C779" s="120" t="str">
        <f>IF(B779="","",SUMIFS('A-BOM'!$D$3:$D993,'A-BOM'!$C$3:$C993,B779,'A-BOM'!$B$3:$B993,$B$2))</f>
        <v/>
      </c>
      <c r="D779" s="120" t="str">
        <f>IFERROR(IF(B779="","",VLOOKUP(B779,RM!$C$4:$F983,3,FALSE)),"")</f>
        <v/>
      </c>
      <c r="E779" s="118" t="e">
        <f t="array" aca="1" ref="E779" ca="1">_xludf.IFNA(IF(B779="","",VLOOKUP(B779,RM!$C$4:$G983,14,FALSE)),IFERROR(MIN(IF('S-BOM'!$B$3:$B993=$B779,'S-BOM'!$H$3:$H993,"")),""))</f>
        <v>#NAME?</v>
      </c>
      <c r="F779" s="87" t="str">
        <f t="shared" si="7"/>
        <v/>
      </c>
      <c r="G779" s="87" t="str">
        <f t="shared" si="8"/>
        <v/>
      </c>
      <c r="H779" s="87"/>
      <c r="I779" s="87"/>
      <c r="J779" s="87"/>
    </row>
    <row r="780" spans="1:10">
      <c r="A780" s="2"/>
      <c r="B780" s="2"/>
      <c r="C780" s="120" t="str">
        <f>IF(B780="","",SUMIFS('A-BOM'!$D$3:$D993,'A-BOM'!$C$3:$C993,B780,'A-BOM'!$B$3:$B993,$B$2))</f>
        <v/>
      </c>
      <c r="D780" s="120" t="str">
        <f>IFERROR(IF(B780="","",VLOOKUP(B780,RM!$C$4:$F983,3,FALSE)),"")</f>
        <v/>
      </c>
      <c r="E780" s="118" t="e">
        <f t="array" aca="1" ref="E780" ca="1">_xludf.IFNA(IF(B780="","",VLOOKUP(B780,RM!$C$4:$G983,14,FALSE)),IFERROR(MIN(IF('S-BOM'!$B$3:$B993=$B780,'S-BOM'!$H$3:$H993,"")),""))</f>
        <v>#NAME?</v>
      </c>
      <c r="F780" s="87" t="str">
        <f t="shared" si="7"/>
        <v/>
      </c>
      <c r="G780" s="87" t="str">
        <f t="shared" si="8"/>
        <v/>
      </c>
      <c r="H780" s="87"/>
      <c r="I780" s="87"/>
      <c r="J780" s="87"/>
    </row>
    <row r="781" spans="1:10">
      <c r="A781" s="2"/>
      <c r="B781" s="2"/>
      <c r="C781" s="120" t="str">
        <f>IF(B781="","",SUMIFS('A-BOM'!$D$3:$D993,'A-BOM'!$C$3:$C993,B781,'A-BOM'!$B$3:$B993,$B$2))</f>
        <v/>
      </c>
      <c r="D781" s="120" t="str">
        <f>IFERROR(IF(B781="","",VLOOKUP(B781,RM!$C$4:$F983,3,FALSE)),"")</f>
        <v/>
      </c>
      <c r="E781" s="118" t="e">
        <f t="array" aca="1" ref="E781" ca="1">_xludf.IFNA(IF(B781="","",VLOOKUP(B781,RM!$C$4:$G983,14,FALSE)),IFERROR(MIN(IF('S-BOM'!$B$3:$B993=$B781,'S-BOM'!$H$3:$H993,"")),""))</f>
        <v>#NAME?</v>
      </c>
      <c r="F781" s="87" t="str">
        <f t="shared" si="7"/>
        <v/>
      </c>
      <c r="G781" s="87" t="str">
        <f t="shared" si="8"/>
        <v/>
      </c>
      <c r="H781" s="87"/>
      <c r="I781" s="87"/>
      <c r="J781" s="87"/>
    </row>
    <row r="782" spans="1:10">
      <c r="A782" s="2"/>
      <c r="B782" s="2"/>
      <c r="C782" s="120" t="str">
        <f>IF(B782="","",SUMIFS('A-BOM'!$D$3:$D993,'A-BOM'!$C$3:$C993,B782,'A-BOM'!$B$3:$B993,$B$2))</f>
        <v/>
      </c>
      <c r="D782" s="120" t="str">
        <f>IFERROR(IF(B782="","",VLOOKUP(B782,RM!$C$4:$F983,3,FALSE)),"")</f>
        <v/>
      </c>
      <c r="E782" s="118" t="e">
        <f t="array" aca="1" ref="E782" ca="1">_xludf.IFNA(IF(B782="","",VLOOKUP(B782,RM!$C$4:$G983,14,FALSE)),IFERROR(MIN(IF('S-BOM'!$B$3:$B993=$B782,'S-BOM'!$H$3:$H993,"")),""))</f>
        <v>#NAME?</v>
      </c>
      <c r="F782" s="87" t="str">
        <f t="shared" si="7"/>
        <v/>
      </c>
      <c r="G782" s="87" t="str">
        <f t="shared" si="8"/>
        <v/>
      </c>
      <c r="H782" s="87"/>
      <c r="I782" s="87"/>
      <c r="J782" s="87"/>
    </row>
    <row r="783" spans="1:10">
      <c r="A783" s="2"/>
      <c r="B783" s="2"/>
      <c r="C783" s="120" t="str">
        <f>IF(B783="","",SUMIFS('A-BOM'!$D$3:$D993,'A-BOM'!$C$3:$C993,B783,'A-BOM'!$B$3:$B993,$B$2))</f>
        <v/>
      </c>
      <c r="D783" s="120" t="str">
        <f>IFERROR(IF(B783="","",VLOOKUP(B783,RM!$C$4:$F983,3,FALSE)),"")</f>
        <v/>
      </c>
      <c r="E783" s="118" t="e">
        <f t="array" aca="1" ref="E783" ca="1">_xludf.IFNA(IF(B783="","",VLOOKUP(B783,RM!$C$4:$G983,14,FALSE)),IFERROR(MIN(IF('S-BOM'!$B$3:$B993=$B783,'S-BOM'!$H$3:$H993,"")),""))</f>
        <v>#NAME?</v>
      </c>
      <c r="F783" s="87" t="str">
        <f t="shared" si="7"/>
        <v/>
      </c>
      <c r="G783" s="87" t="str">
        <f t="shared" si="8"/>
        <v/>
      </c>
      <c r="H783" s="87"/>
      <c r="I783" s="87"/>
      <c r="J783" s="87"/>
    </row>
    <row r="784" spans="1:10">
      <c r="A784" s="2"/>
      <c r="B784" s="2"/>
      <c r="C784" s="120" t="str">
        <f>IF(B784="","",SUMIFS('A-BOM'!$D$3:$D993,'A-BOM'!$C$3:$C993,B784,'A-BOM'!$B$3:$B993,$B$2))</f>
        <v/>
      </c>
      <c r="D784" s="120" t="str">
        <f>IFERROR(IF(B784="","",VLOOKUP(B784,RM!$C$4:$F983,3,FALSE)),"")</f>
        <v/>
      </c>
      <c r="E784" s="118" t="e">
        <f t="array" aca="1" ref="E784" ca="1">_xludf.IFNA(IF(B784="","",VLOOKUP(B784,RM!$C$4:$G983,14,FALSE)),IFERROR(MIN(IF('S-BOM'!$B$3:$B993=$B784,'S-BOM'!$H$3:$H993,"")),""))</f>
        <v>#NAME?</v>
      </c>
      <c r="F784" s="87" t="str">
        <f t="shared" si="7"/>
        <v/>
      </c>
      <c r="G784" s="87" t="str">
        <f t="shared" si="8"/>
        <v/>
      </c>
      <c r="H784" s="87"/>
      <c r="I784" s="87"/>
      <c r="J784" s="87"/>
    </row>
    <row r="785" spans="1:10">
      <c r="A785" s="2"/>
      <c r="B785" s="2"/>
      <c r="C785" s="120" t="str">
        <f>IF(B785="","",SUMIFS('A-BOM'!$D$3:$D993,'A-BOM'!$C$3:$C993,B785,'A-BOM'!$B$3:$B993,$B$2))</f>
        <v/>
      </c>
      <c r="D785" s="120" t="str">
        <f>IFERROR(IF(B785="","",VLOOKUP(B785,RM!$C$4:$F983,3,FALSE)),"")</f>
        <v/>
      </c>
      <c r="E785" s="118" t="e">
        <f t="array" aca="1" ref="E785" ca="1">_xludf.IFNA(IF(B785="","",VLOOKUP(B785,RM!$C$4:$G983,14,FALSE)),IFERROR(MIN(IF('S-BOM'!$B$3:$B993=$B785,'S-BOM'!$H$3:$H993,"")),""))</f>
        <v>#NAME?</v>
      </c>
      <c r="F785" s="87" t="str">
        <f t="shared" si="7"/>
        <v/>
      </c>
      <c r="G785" s="87" t="str">
        <f t="shared" si="8"/>
        <v/>
      </c>
      <c r="H785" s="87"/>
      <c r="I785" s="87"/>
      <c r="J785" s="87"/>
    </row>
    <row r="786" spans="1:10">
      <c r="A786" s="2"/>
      <c r="B786" s="2"/>
      <c r="C786" s="120" t="str">
        <f>IF(B786="","",SUMIFS('A-BOM'!$D$3:$D993,'A-BOM'!$C$3:$C993,B786,'A-BOM'!$B$3:$B993,$B$2))</f>
        <v/>
      </c>
      <c r="D786" s="120" t="str">
        <f>IFERROR(IF(B786="","",VLOOKUP(B786,RM!$C$4:$F983,3,FALSE)),"")</f>
        <v/>
      </c>
      <c r="E786" s="118" t="e">
        <f t="array" aca="1" ref="E786" ca="1">_xludf.IFNA(IF(B786="","",VLOOKUP(B786,RM!$C$4:$G983,14,FALSE)),IFERROR(MIN(IF('S-BOM'!$B$3:$B993=$B786,'S-BOM'!$H$3:$H993,"")),""))</f>
        <v>#NAME?</v>
      </c>
      <c r="F786" s="87" t="str">
        <f t="shared" si="7"/>
        <v/>
      </c>
      <c r="G786" s="87" t="str">
        <f t="shared" si="8"/>
        <v/>
      </c>
      <c r="H786" s="87"/>
      <c r="I786" s="87"/>
      <c r="J786" s="87"/>
    </row>
    <row r="787" spans="1:10">
      <c r="A787" s="2"/>
      <c r="B787" s="2"/>
      <c r="C787" s="120" t="str">
        <f>IF(B787="","",SUMIFS('A-BOM'!$D$3:$D993,'A-BOM'!$C$3:$C993,B787,'A-BOM'!$B$3:$B993,$B$2))</f>
        <v/>
      </c>
      <c r="D787" s="120" t="str">
        <f>IFERROR(IF(B787="","",VLOOKUP(B787,RM!$C$4:$F983,3,FALSE)),"")</f>
        <v/>
      </c>
      <c r="E787" s="118" t="e">
        <f t="array" aca="1" ref="E787" ca="1">_xludf.IFNA(IF(B787="","",VLOOKUP(B787,RM!$C$4:$G983,14,FALSE)),IFERROR(MIN(IF('S-BOM'!$B$3:$B993=$B787,'S-BOM'!$H$3:$H993,"")),""))</f>
        <v>#NAME?</v>
      </c>
      <c r="F787" s="87" t="str">
        <f t="shared" si="7"/>
        <v/>
      </c>
      <c r="G787" s="87" t="str">
        <f t="shared" si="8"/>
        <v/>
      </c>
      <c r="H787" s="87"/>
      <c r="I787" s="87"/>
      <c r="J787" s="87"/>
    </row>
    <row r="788" spans="1:10">
      <c r="A788" s="2"/>
      <c r="B788" s="2"/>
      <c r="C788" s="120" t="str">
        <f>IF(B788="","",SUMIFS('A-BOM'!$D$3:$D993,'A-BOM'!$C$3:$C993,B788,'A-BOM'!$B$3:$B993,$B$2))</f>
        <v/>
      </c>
      <c r="D788" s="120" t="str">
        <f>IFERROR(IF(B788="","",VLOOKUP(B788,RM!$C$4:$F983,3,FALSE)),"")</f>
        <v/>
      </c>
      <c r="E788" s="118" t="e">
        <f t="array" aca="1" ref="E788" ca="1">_xludf.IFNA(IF(B788="","",VLOOKUP(B788,RM!$C$4:$G983,14,FALSE)),IFERROR(MIN(IF('S-BOM'!$B$3:$B993=$B788,'S-BOM'!$H$3:$H993,"")),""))</f>
        <v>#NAME?</v>
      </c>
      <c r="F788" s="87" t="str">
        <f t="shared" si="7"/>
        <v/>
      </c>
      <c r="G788" s="87" t="str">
        <f t="shared" si="8"/>
        <v/>
      </c>
      <c r="H788" s="87"/>
      <c r="I788" s="87"/>
      <c r="J788" s="87"/>
    </row>
    <row r="789" spans="1:10">
      <c r="A789" s="2"/>
      <c r="B789" s="2"/>
      <c r="C789" s="120" t="str">
        <f>IF(B789="","",SUMIFS('A-BOM'!$D$3:$D993,'A-BOM'!$C$3:$C993,B789,'A-BOM'!$B$3:$B993,$B$2))</f>
        <v/>
      </c>
      <c r="D789" s="120" t="str">
        <f>IFERROR(IF(B789="","",VLOOKUP(B789,RM!$C$4:$F983,3,FALSE)),"")</f>
        <v/>
      </c>
      <c r="E789" s="118" t="e">
        <f t="array" aca="1" ref="E789" ca="1">_xludf.IFNA(IF(B789="","",VLOOKUP(B789,RM!$C$4:$G983,14,FALSE)),IFERROR(MIN(IF('S-BOM'!$B$3:$B993=$B789,'S-BOM'!$H$3:$H993,"")),""))</f>
        <v>#NAME?</v>
      </c>
      <c r="F789" s="87" t="str">
        <f t="shared" si="7"/>
        <v/>
      </c>
      <c r="G789" s="87" t="str">
        <f t="shared" si="8"/>
        <v/>
      </c>
      <c r="H789" s="87"/>
      <c r="I789" s="87"/>
      <c r="J789" s="87"/>
    </row>
    <row r="790" spans="1:10">
      <c r="A790" s="2"/>
      <c r="B790" s="2"/>
      <c r="C790" s="120" t="str">
        <f>IF(B790="","",SUMIFS('A-BOM'!$D$3:$D993,'A-BOM'!$C$3:$C993,B790,'A-BOM'!$B$3:$B993,$B$2))</f>
        <v/>
      </c>
      <c r="D790" s="120" t="str">
        <f>IFERROR(IF(B790="","",VLOOKUP(B790,RM!$C$4:$F983,3,FALSE)),"")</f>
        <v/>
      </c>
      <c r="E790" s="118" t="e">
        <f t="array" aca="1" ref="E790" ca="1">_xludf.IFNA(IF(B790="","",VLOOKUP(B790,RM!$C$4:$G983,14,FALSE)),IFERROR(MIN(IF('S-BOM'!$B$3:$B993=$B790,'S-BOM'!$H$3:$H993,"")),""))</f>
        <v>#NAME?</v>
      </c>
      <c r="F790" s="87" t="str">
        <f t="shared" si="7"/>
        <v/>
      </c>
      <c r="G790" s="87" t="str">
        <f t="shared" si="8"/>
        <v/>
      </c>
      <c r="H790" s="87"/>
      <c r="I790" s="87"/>
      <c r="J790" s="87"/>
    </row>
    <row r="791" spans="1:10">
      <c r="A791" s="2"/>
      <c r="B791" s="2"/>
      <c r="C791" s="120" t="str">
        <f>IF(B791="","",SUMIFS('A-BOM'!$D$3:$D993,'A-BOM'!$C$3:$C993,B791,'A-BOM'!$B$3:$B993,$B$2))</f>
        <v/>
      </c>
      <c r="D791" s="120" t="str">
        <f>IFERROR(IF(B791="","",VLOOKUP(B791,RM!$C$4:$F983,3,FALSE)),"")</f>
        <v/>
      </c>
      <c r="E791" s="118" t="e">
        <f t="array" aca="1" ref="E791" ca="1">_xludf.IFNA(IF(B791="","",VLOOKUP(B791,RM!$C$4:$G983,14,FALSE)),IFERROR(MIN(IF('S-BOM'!$B$3:$B993=$B791,'S-BOM'!$H$3:$H993,"")),""))</f>
        <v>#NAME?</v>
      </c>
      <c r="F791" s="87" t="str">
        <f t="shared" si="7"/>
        <v/>
      </c>
      <c r="G791" s="87" t="str">
        <f t="shared" si="8"/>
        <v/>
      </c>
      <c r="H791" s="87"/>
      <c r="I791" s="87"/>
      <c r="J791" s="87"/>
    </row>
    <row r="792" spans="1:10">
      <c r="A792" s="2"/>
      <c r="B792" s="2"/>
      <c r="C792" s="120" t="str">
        <f>IF(B792="","",SUMIFS('A-BOM'!$D$3:$D993,'A-BOM'!$C$3:$C993,B792,'A-BOM'!$B$3:$B993,$B$2))</f>
        <v/>
      </c>
      <c r="D792" s="120" t="str">
        <f>IFERROR(IF(B792="","",VLOOKUP(B792,RM!$C$4:$F983,3,FALSE)),"")</f>
        <v/>
      </c>
      <c r="E792" s="118" t="e">
        <f t="array" aca="1" ref="E792" ca="1">_xludf.IFNA(IF(B792="","",VLOOKUP(B792,RM!$C$4:$G983,14,FALSE)),IFERROR(MIN(IF('S-BOM'!$B$3:$B993=$B792,'S-BOM'!$H$3:$H993,"")),""))</f>
        <v>#NAME?</v>
      </c>
      <c r="F792" s="87" t="str">
        <f t="shared" si="7"/>
        <v/>
      </c>
      <c r="G792" s="87" t="str">
        <f t="shared" si="8"/>
        <v/>
      </c>
      <c r="H792" s="87"/>
      <c r="I792" s="87"/>
      <c r="J792" s="87"/>
    </row>
    <row r="793" spans="1:10">
      <c r="A793" s="2"/>
      <c r="B793" s="2"/>
      <c r="C793" s="120" t="str">
        <f>IF(B793="","",SUMIFS('A-BOM'!$D$3:$D993,'A-BOM'!$C$3:$C993,B793,'A-BOM'!$B$3:$B993,$B$2))</f>
        <v/>
      </c>
      <c r="D793" s="120" t="str">
        <f>IFERROR(IF(B793="","",VLOOKUP(B793,RM!$C$4:$F983,3,FALSE)),"")</f>
        <v/>
      </c>
      <c r="E793" s="118" t="e">
        <f t="array" aca="1" ref="E793" ca="1">_xludf.IFNA(IF(B793="","",VLOOKUP(B793,RM!$C$4:$G983,14,FALSE)),IFERROR(MIN(IF('S-BOM'!$B$3:$B993=$B793,'S-BOM'!$H$3:$H993,"")),""))</f>
        <v>#NAME?</v>
      </c>
      <c r="F793" s="87" t="str">
        <f t="shared" si="7"/>
        <v/>
      </c>
      <c r="G793" s="87" t="str">
        <f t="shared" si="8"/>
        <v/>
      </c>
      <c r="H793" s="87"/>
      <c r="I793" s="87"/>
      <c r="J793" s="87"/>
    </row>
    <row r="794" spans="1:10">
      <c r="A794" s="2"/>
      <c r="B794" s="2"/>
      <c r="C794" s="120" t="str">
        <f>IF(B794="","",SUMIFS('A-BOM'!$D$3:$D993,'A-BOM'!$C$3:$C993,B794,'A-BOM'!$B$3:$B993,$B$2))</f>
        <v/>
      </c>
      <c r="D794" s="120" t="str">
        <f>IFERROR(IF(B794="","",VLOOKUP(B794,RM!$C$4:$F983,3,FALSE)),"")</f>
        <v/>
      </c>
      <c r="E794" s="118" t="e">
        <f t="array" aca="1" ref="E794" ca="1">_xludf.IFNA(IF(B794="","",VLOOKUP(B794,RM!$C$4:$G983,14,FALSE)),IFERROR(MIN(IF('S-BOM'!$B$3:$B993=$B794,'S-BOM'!$H$3:$H993,"")),""))</f>
        <v>#NAME?</v>
      </c>
      <c r="F794" s="87" t="str">
        <f t="shared" si="7"/>
        <v/>
      </c>
      <c r="G794" s="87" t="str">
        <f t="shared" si="8"/>
        <v/>
      </c>
      <c r="H794" s="87"/>
      <c r="I794" s="87"/>
      <c r="J794" s="87"/>
    </row>
    <row r="795" spans="1:10">
      <c r="A795" s="2"/>
      <c r="B795" s="2"/>
      <c r="C795" s="120" t="str">
        <f>IF(B795="","",SUMIFS('A-BOM'!$D$3:$D993,'A-BOM'!$C$3:$C993,B795,'A-BOM'!$B$3:$B993,$B$2))</f>
        <v/>
      </c>
      <c r="D795" s="120" t="str">
        <f>IFERROR(IF(B795="","",VLOOKUP(B795,RM!$C$4:$F983,3,FALSE)),"")</f>
        <v/>
      </c>
      <c r="E795" s="118" t="e">
        <f t="array" aca="1" ref="E795" ca="1">_xludf.IFNA(IF(B795="","",VLOOKUP(B795,RM!$C$4:$G983,14,FALSE)),IFERROR(MIN(IF('S-BOM'!$B$3:$B993=$B795,'S-BOM'!$H$3:$H993,"")),""))</f>
        <v>#NAME?</v>
      </c>
      <c r="F795" s="87" t="str">
        <f t="shared" si="7"/>
        <v/>
      </c>
      <c r="G795" s="87" t="str">
        <f t="shared" si="8"/>
        <v/>
      </c>
      <c r="H795" s="87"/>
      <c r="I795" s="87"/>
      <c r="J795" s="87"/>
    </row>
    <row r="796" spans="1:10">
      <c r="A796" s="2"/>
      <c r="B796" s="2"/>
      <c r="C796" s="120" t="str">
        <f>IF(B796="","",SUMIFS('A-BOM'!$D$3:$D993,'A-BOM'!$C$3:$C993,B796,'A-BOM'!$B$3:$B993,$B$2))</f>
        <v/>
      </c>
      <c r="D796" s="120" t="str">
        <f>IFERROR(IF(B796="","",VLOOKUP(B796,RM!$C$4:$F983,3,FALSE)),"")</f>
        <v/>
      </c>
      <c r="E796" s="118" t="e">
        <f t="array" aca="1" ref="E796" ca="1">_xludf.IFNA(IF(B796="","",VLOOKUP(B796,RM!$C$4:$G983,14,FALSE)),IFERROR(MIN(IF('S-BOM'!$B$3:$B993=$B796,'S-BOM'!$H$3:$H993,"")),""))</f>
        <v>#NAME?</v>
      </c>
      <c r="F796" s="87" t="str">
        <f t="shared" si="7"/>
        <v/>
      </c>
      <c r="G796" s="87" t="str">
        <f t="shared" si="8"/>
        <v/>
      </c>
      <c r="H796" s="87"/>
      <c r="I796" s="87"/>
      <c r="J796" s="87"/>
    </row>
    <row r="797" spans="1:10">
      <c r="A797" s="2"/>
      <c r="B797" s="2"/>
      <c r="C797" s="120" t="str">
        <f>IF(B797="","",SUMIFS('A-BOM'!$D$3:$D993,'A-BOM'!$C$3:$C993,B797,'A-BOM'!$B$3:$B993,$B$2))</f>
        <v/>
      </c>
      <c r="D797" s="120" t="str">
        <f>IFERROR(IF(B797="","",VLOOKUP(B797,RM!$C$4:$F983,3,FALSE)),"")</f>
        <v/>
      </c>
      <c r="E797" s="118" t="e">
        <f t="array" aca="1" ref="E797" ca="1">_xludf.IFNA(IF(B797="","",VLOOKUP(B797,RM!$C$4:$G983,14,FALSE)),IFERROR(MIN(IF('S-BOM'!$B$3:$B993=$B797,'S-BOM'!$H$3:$H993,"")),""))</f>
        <v>#NAME?</v>
      </c>
      <c r="F797" s="87" t="str">
        <f t="shared" si="7"/>
        <v/>
      </c>
      <c r="G797" s="87" t="str">
        <f t="shared" si="8"/>
        <v/>
      </c>
      <c r="H797" s="87"/>
      <c r="I797" s="87"/>
      <c r="J797" s="87"/>
    </row>
    <row r="798" spans="1:10">
      <c r="A798" s="2"/>
      <c r="B798" s="2"/>
      <c r="C798" s="120" t="str">
        <f>IF(B798="","",SUMIFS('A-BOM'!$D$3:$D993,'A-BOM'!$C$3:$C993,B798,'A-BOM'!$B$3:$B993,$B$2))</f>
        <v/>
      </c>
      <c r="D798" s="120" t="str">
        <f>IFERROR(IF(B798="","",VLOOKUP(B798,RM!$C$4:$F983,3,FALSE)),"")</f>
        <v/>
      </c>
      <c r="E798" s="118" t="e">
        <f t="array" aca="1" ref="E798" ca="1">_xludf.IFNA(IF(B798="","",VLOOKUP(B798,RM!$C$4:$G983,14,FALSE)),IFERROR(MIN(IF('S-BOM'!$B$3:$B993=$B798,'S-BOM'!$H$3:$H993,"")),""))</f>
        <v>#NAME?</v>
      </c>
      <c r="F798" s="87" t="str">
        <f t="shared" si="7"/>
        <v/>
      </c>
      <c r="G798" s="87" t="str">
        <f t="shared" si="8"/>
        <v/>
      </c>
      <c r="H798" s="87"/>
      <c r="I798" s="87"/>
      <c r="J798" s="87"/>
    </row>
    <row r="799" spans="1:10">
      <c r="A799" s="2"/>
      <c r="B799" s="2"/>
      <c r="C799" s="120" t="str">
        <f>IF(B799="","",SUMIFS('A-BOM'!$D$3:$D993,'A-BOM'!$C$3:$C993,B799,'A-BOM'!$B$3:$B993,$B$2))</f>
        <v/>
      </c>
      <c r="D799" s="120" t="str">
        <f>IFERROR(IF(B799="","",VLOOKUP(B799,RM!$C$4:$F983,3,FALSE)),"")</f>
        <v/>
      </c>
      <c r="E799" s="118" t="e">
        <f t="array" aca="1" ref="E799" ca="1">_xludf.IFNA(IF(B799="","",VLOOKUP(B799,RM!$C$4:$G983,14,FALSE)),IFERROR(MIN(IF('S-BOM'!$B$3:$B993=$B799,'S-BOM'!$H$3:$H993,"")),""))</f>
        <v>#NAME?</v>
      </c>
      <c r="F799" s="87" t="str">
        <f t="shared" si="7"/>
        <v/>
      </c>
      <c r="G799" s="87" t="str">
        <f t="shared" si="8"/>
        <v/>
      </c>
      <c r="H799" s="87"/>
      <c r="I799" s="87"/>
      <c r="J799" s="87"/>
    </row>
    <row r="800" spans="1:10">
      <c r="A800" s="2"/>
      <c r="B800" s="2"/>
      <c r="C800" s="120" t="str">
        <f>IF(B800="","",SUMIFS('A-BOM'!$D$3:$D993,'A-BOM'!$C$3:$C993,B800,'A-BOM'!$B$3:$B993,$B$2))</f>
        <v/>
      </c>
      <c r="D800" s="120" t="str">
        <f>IFERROR(IF(B800="","",VLOOKUP(B800,RM!$C$4:$F983,3,FALSE)),"")</f>
        <v/>
      </c>
      <c r="E800" s="118" t="e">
        <f t="array" aca="1" ref="E800" ca="1">_xludf.IFNA(IF(B800="","",VLOOKUP(B800,RM!$C$4:$G983,14,FALSE)),IFERROR(MIN(IF('S-BOM'!$B$3:$B993=$B800,'S-BOM'!$H$3:$H993,"")),""))</f>
        <v>#NAME?</v>
      </c>
      <c r="F800" s="87" t="str">
        <f t="shared" si="7"/>
        <v/>
      </c>
      <c r="G800" s="87" t="str">
        <f t="shared" si="8"/>
        <v/>
      </c>
      <c r="H800" s="87"/>
      <c r="I800" s="87"/>
      <c r="J800" s="87"/>
    </row>
    <row r="801" spans="1:10">
      <c r="A801" s="2"/>
      <c r="B801" s="2"/>
      <c r="C801" s="120" t="str">
        <f>IF(B801="","",SUMIFS('A-BOM'!$D$3:$D993,'A-BOM'!$C$3:$C993,B801,'A-BOM'!$B$3:$B993,$B$2))</f>
        <v/>
      </c>
      <c r="D801" s="120" t="str">
        <f>IFERROR(IF(B801="","",VLOOKUP(B801,RM!$C$4:$F983,3,FALSE)),"")</f>
        <v/>
      </c>
      <c r="E801" s="118" t="e">
        <f t="array" aca="1" ref="E801" ca="1">_xludf.IFNA(IF(B801="","",VLOOKUP(B801,RM!$C$4:$G983,14,FALSE)),IFERROR(MIN(IF('S-BOM'!$B$3:$B993=$B801,'S-BOM'!$H$3:$H993,"")),""))</f>
        <v>#NAME?</v>
      </c>
      <c r="F801" s="87" t="str">
        <f t="shared" si="7"/>
        <v/>
      </c>
      <c r="G801" s="87" t="str">
        <f t="shared" si="8"/>
        <v/>
      </c>
      <c r="H801" s="87"/>
      <c r="I801" s="87"/>
      <c r="J801" s="87"/>
    </row>
    <row r="802" spans="1:10">
      <c r="A802" s="2"/>
      <c r="B802" s="2"/>
      <c r="C802" s="120" t="str">
        <f>IF(B802="","",SUMIFS('A-BOM'!$D$3:$D993,'A-BOM'!$C$3:$C993,B802,'A-BOM'!$B$3:$B993,$B$2))</f>
        <v/>
      </c>
      <c r="D802" s="120" t="str">
        <f>IFERROR(IF(B802="","",VLOOKUP(B802,RM!$C$4:$F983,3,FALSE)),"")</f>
        <v/>
      </c>
      <c r="E802" s="118" t="e">
        <f t="array" aca="1" ref="E802" ca="1">_xludf.IFNA(IF(B802="","",VLOOKUP(B802,RM!$C$4:$G983,14,FALSE)),IFERROR(MIN(IF('S-BOM'!$B$3:$B993=$B802,'S-BOM'!$H$3:$H993,"")),""))</f>
        <v>#NAME?</v>
      </c>
      <c r="F802" s="87" t="str">
        <f t="shared" si="7"/>
        <v/>
      </c>
      <c r="G802" s="87" t="str">
        <f t="shared" si="8"/>
        <v/>
      </c>
      <c r="H802" s="87"/>
      <c r="I802" s="87"/>
      <c r="J802" s="87"/>
    </row>
    <row r="803" spans="1:10">
      <c r="A803" s="2"/>
      <c r="B803" s="2"/>
      <c r="C803" s="120" t="str">
        <f>IF(B803="","",SUMIFS('A-BOM'!$D$3:$D993,'A-BOM'!$C$3:$C993,B803,'A-BOM'!$B$3:$B993,$B$2))</f>
        <v/>
      </c>
      <c r="D803" s="120" t="str">
        <f>IFERROR(IF(B803="","",VLOOKUP(B803,RM!$C$4:$F983,3,FALSE)),"")</f>
        <v/>
      </c>
      <c r="E803" s="118" t="e">
        <f t="array" aca="1" ref="E803" ca="1">_xludf.IFNA(IF(B803="","",VLOOKUP(B803,RM!$C$4:$G983,14,FALSE)),IFERROR(MIN(IF('S-BOM'!$B$3:$B993=$B803,'S-BOM'!$H$3:$H993,"")),""))</f>
        <v>#NAME?</v>
      </c>
      <c r="F803" s="87" t="str">
        <f t="shared" si="7"/>
        <v/>
      </c>
      <c r="G803" s="87" t="str">
        <f t="shared" si="8"/>
        <v/>
      </c>
      <c r="H803" s="87"/>
      <c r="I803" s="87"/>
      <c r="J803" s="87"/>
    </row>
    <row r="804" spans="1:10">
      <c r="A804" s="2"/>
      <c r="B804" s="2"/>
      <c r="C804" s="120" t="str">
        <f>IF(B804="","",SUMIFS('A-BOM'!$D$3:$D993,'A-BOM'!$C$3:$C993,B804,'A-BOM'!$B$3:$B993,$B$2))</f>
        <v/>
      </c>
      <c r="D804" s="120" t="str">
        <f>IFERROR(IF(B804="","",VLOOKUP(B804,RM!$C$4:$F983,3,FALSE)),"")</f>
        <v/>
      </c>
      <c r="E804" s="118" t="e">
        <f t="array" aca="1" ref="E804" ca="1">_xludf.IFNA(IF(B804="","",VLOOKUP(B804,RM!$C$4:$G983,14,FALSE)),IFERROR(MIN(IF('S-BOM'!$B$3:$B993=$B804,'S-BOM'!$H$3:$H993,"")),""))</f>
        <v>#NAME?</v>
      </c>
      <c r="F804" s="87" t="str">
        <f t="shared" si="7"/>
        <v/>
      </c>
      <c r="G804" s="87" t="str">
        <f t="shared" si="8"/>
        <v/>
      </c>
      <c r="H804" s="87"/>
      <c r="I804" s="87"/>
      <c r="J804" s="87"/>
    </row>
    <row r="805" spans="1:10">
      <c r="A805" s="2"/>
      <c r="B805" s="2"/>
      <c r="C805" s="120" t="str">
        <f>IF(B805="","",SUMIFS('A-BOM'!$D$3:$D993,'A-BOM'!$C$3:$C993,B805,'A-BOM'!$B$3:$B993,$B$2))</f>
        <v/>
      </c>
      <c r="D805" s="120" t="str">
        <f>IFERROR(IF(B805="","",VLOOKUP(B805,RM!$C$4:$F983,3,FALSE)),"")</f>
        <v/>
      </c>
      <c r="E805" s="118" t="e">
        <f t="array" aca="1" ref="E805" ca="1">_xludf.IFNA(IF(B805="","",VLOOKUP(B805,RM!$C$4:$G983,14,FALSE)),IFERROR(MIN(IF('S-BOM'!$B$3:$B993=$B805,'S-BOM'!$H$3:$H993,"")),""))</f>
        <v>#NAME?</v>
      </c>
      <c r="F805" s="87" t="str">
        <f t="shared" si="7"/>
        <v/>
      </c>
      <c r="G805" s="87" t="str">
        <f t="shared" si="8"/>
        <v/>
      </c>
      <c r="H805" s="87"/>
      <c r="I805" s="87"/>
      <c r="J805" s="87"/>
    </row>
    <row r="806" spans="1:10">
      <c r="A806" s="2"/>
      <c r="B806" s="2"/>
      <c r="C806" s="120" t="str">
        <f>IF(B806="","",SUMIFS('A-BOM'!$D$3:$D993,'A-BOM'!$C$3:$C993,B806,'A-BOM'!$B$3:$B993,$B$2))</f>
        <v/>
      </c>
      <c r="D806" s="120" t="str">
        <f>IFERROR(IF(B806="","",VLOOKUP(B806,RM!$C$4:$F983,3,FALSE)),"")</f>
        <v/>
      </c>
      <c r="E806" s="118" t="e">
        <f t="array" aca="1" ref="E806" ca="1">_xludf.IFNA(IF(B806="","",VLOOKUP(B806,RM!$C$4:$G983,14,FALSE)),IFERROR(MIN(IF('S-BOM'!$B$3:$B993=$B806,'S-BOM'!$H$3:$H993,"")),""))</f>
        <v>#NAME?</v>
      </c>
      <c r="F806" s="87" t="str">
        <f t="shared" si="7"/>
        <v/>
      </c>
      <c r="G806" s="87" t="str">
        <f t="shared" si="8"/>
        <v/>
      </c>
      <c r="H806" s="87"/>
      <c r="I806" s="87"/>
      <c r="J806" s="87"/>
    </row>
    <row r="807" spans="1:10">
      <c r="A807" s="2"/>
      <c r="B807" s="2"/>
      <c r="C807" s="120" t="str">
        <f>IF(B807="","",SUMIFS('A-BOM'!$D$3:$D993,'A-BOM'!$C$3:$C993,B807,'A-BOM'!$B$3:$B993,$B$2))</f>
        <v/>
      </c>
      <c r="D807" s="120" t="str">
        <f>IFERROR(IF(B807="","",VLOOKUP(B807,RM!$C$4:$F983,3,FALSE)),"")</f>
        <v/>
      </c>
      <c r="E807" s="118" t="e">
        <f t="array" aca="1" ref="E807" ca="1">_xludf.IFNA(IF(B807="","",VLOOKUP(B807,RM!$C$4:$G983,14,FALSE)),IFERROR(MIN(IF('S-BOM'!$B$3:$B993=$B807,'S-BOM'!$H$3:$H993,"")),""))</f>
        <v>#NAME?</v>
      </c>
      <c r="F807" s="87" t="str">
        <f t="shared" si="7"/>
        <v/>
      </c>
      <c r="G807" s="87" t="str">
        <f t="shared" si="8"/>
        <v/>
      </c>
      <c r="H807" s="87"/>
      <c r="I807" s="87"/>
      <c r="J807" s="87"/>
    </row>
    <row r="808" spans="1:10">
      <c r="A808" s="2"/>
      <c r="B808" s="2"/>
      <c r="C808" s="120" t="str">
        <f>IF(B808="","",SUMIFS('A-BOM'!$D$3:$D993,'A-BOM'!$C$3:$C993,B808,'A-BOM'!$B$3:$B993,$B$2))</f>
        <v/>
      </c>
      <c r="D808" s="120" t="str">
        <f>IFERROR(IF(B808="","",VLOOKUP(B808,RM!$C$4:$F983,3,FALSE)),"")</f>
        <v/>
      </c>
      <c r="E808" s="118" t="e">
        <f t="array" aca="1" ref="E808" ca="1">_xludf.IFNA(IF(B808="","",VLOOKUP(B808,RM!$C$4:$G983,14,FALSE)),IFERROR(MIN(IF('S-BOM'!$B$3:$B993=$B808,'S-BOM'!$H$3:$H993,"")),""))</f>
        <v>#NAME?</v>
      </c>
      <c r="F808" s="87" t="str">
        <f t="shared" si="7"/>
        <v/>
      </c>
      <c r="G808" s="87" t="str">
        <f t="shared" si="8"/>
        <v/>
      </c>
      <c r="H808" s="87"/>
      <c r="I808" s="87"/>
      <c r="J808" s="87"/>
    </row>
    <row r="809" spans="1:10">
      <c r="A809" s="2"/>
      <c r="B809" s="2"/>
      <c r="C809" s="120" t="str">
        <f>IF(B809="","",SUMIFS('A-BOM'!$D$3:$D993,'A-BOM'!$C$3:$C993,B809,'A-BOM'!$B$3:$B993,$B$2))</f>
        <v/>
      </c>
      <c r="D809" s="120" t="str">
        <f>IFERROR(IF(B809="","",VLOOKUP(B809,RM!$C$4:$F983,3,FALSE)),"")</f>
        <v/>
      </c>
      <c r="E809" s="118" t="e">
        <f t="array" aca="1" ref="E809" ca="1">_xludf.IFNA(IF(B809="","",VLOOKUP(B809,RM!$C$4:$G983,14,FALSE)),IFERROR(MIN(IF('S-BOM'!$B$3:$B993=$B809,'S-BOM'!$H$3:$H993,"")),""))</f>
        <v>#NAME?</v>
      </c>
      <c r="F809" s="87" t="str">
        <f t="shared" si="7"/>
        <v/>
      </c>
      <c r="G809" s="87" t="str">
        <f t="shared" si="8"/>
        <v/>
      </c>
      <c r="H809" s="87"/>
      <c r="I809" s="87"/>
      <c r="J809" s="87"/>
    </row>
    <row r="810" spans="1:10">
      <c r="A810" s="2"/>
      <c r="B810" s="2"/>
      <c r="C810" s="120" t="str">
        <f>IF(B810="","",SUMIFS('A-BOM'!$D$3:$D993,'A-BOM'!$C$3:$C993,B810,'A-BOM'!$B$3:$B993,$B$2))</f>
        <v/>
      </c>
      <c r="D810" s="120" t="str">
        <f>IFERROR(IF(B810="","",VLOOKUP(B810,RM!$C$4:$F983,3,FALSE)),"")</f>
        <v/>
      </c>
      <c r="E810" s="118" t="e">
        <f t="array" aca="1" ref="E810" ca="1">_xludf.IFNA(IF(B810="","",VLOOKUP(B810,RM!$C$4:$G983,14,FALSE)),IFERROR(MIN(IF('S-BOM'!$B$3:$B993=$B810,'S-BOM'!$H$3:$H993,"")),""))</f>
        <v>#NAME?</v>
      </c>
      <c r="F810" s="87" t="str">
        <f t="shared" si="7"/>
        <v/>
      </c>
      <c r="G810" s="87" t="str">
        <f t="shared" si="8"/>
        <v/>
      </c>
      <c r="H810" s="87"/>
      <c r="I810" s="87"/>
      <c r="J810" s="87"/>
    </row>
    <row r="811" spans="1:10">
      <c r="A811" s="2"/>
      <c r="B811" s="2"/>
      <c r="C811" s="120" t="str">
        <f>IF(B811="","",SUMIFS('A-BOM'!$D$3:$D993,'A-BOM'!$C$3:$C993,B811,'A-BOM'!$B$3:$B993,$B$2))</f>
        <v/>
      </c>
      <c r="D811" s="120" t="str">
        <f>IFERROR(IF(B811="","",VLOOKUP(B811,RM!$C$4:$F983,3,FALSE)),"")</f>
        <v/>
      </c>
      <c r="E811" s="118" t="e">
        <f t="array" aca="1" ref="E811" ca="1">_xludf.IFNA(IF(B811="","",VLOOKUP(B811,RM!$C$4:$G983,14,FALSE)),IFERROR(MIN(IF('S-BOM'!$B$3:$B993=$B811,'S-BOM'!$H$3:$H993,"")),""))</f>
        <v>#NAME?</v>
      </c>
      <c r="F811" s="87" t="str">
        <f t="shared" si="7"/>
        <v/>
      </c>
      <c r="G811" s="87" t="str">
        <f t="shared" si="8"/>
        <v/>
      </c>
      <c r="H811" s="87"/>
      <c r="I811" s="87"/>
      <c r="J811" s="87"/>
    </row>
    <row r="812" spans="1:10">
      <c r="A812" s="2"/>
      <c r="B812" s="2"/>
      <c r="C812" s="120" t="str">
        <f>IF(B812="","",SUMIFS('A-BOM'!$D$3:$D993,'A-BOM'!$C$3:$C993,B812,'A-BOM'!$B$3:$B993,$B$2))</f>
        <v/>
      </c>
      <c r="D812" s="120" t="str">
        <f>IFERROR(IF(B812="","",VLOOKUP(B812,RM!$C$4:$F983,3,FALSE)),"")</f>
        <v/>
      </c>
      <c r="E812" s="118" t="e">
        <f t="array" aca="1" ref="E812" ca="1">_xludf.IFNA(IF(B812="","",VLOOKUP(B812,RM!$C$4:$G983,14,FALSE)),IFERROR(MIN(IF('S-BOM'!$B$3:$B993=$B812,'S-BOM'!$H$3:$H993,"")),""))</f>
        <v>#NAME?</v>
      </c>
      <c r="F812" s="87" t="str">
        <f t="shared" si="7"/>
        <v/>
      </c>
      <c r="G812" s="87" t="str">
        <f t="shared" si="8"/>
        <v/>
      </c>
      <c r="H812" s="87"/>
      <c r="I812" s="87"/>
      <c r="J812" s="87"/>
    </row>
    <row r="813" spans="1:10">
      <c r="A813" s="2"/>
      <c r="B813" s="2"/>
      <c r="C813" s="120" t="str">
        <f>IF(B813="","",SUMIFS('A-BOM'!$D$3:$D993,'A-BOM'!$C$3:$C993,B813,'A-BOM'!$B$3:$B993,$B$2))</f>
        <v/>
      </c>
      <c r="D813" s="120" t="str">
        <f>IFERROR(IF(B813="","",VLOOKUP(B813,RM!$C$4:$F983,3,FALSE)),"")</f>
        <v/>
      </c>
      <c r="E813" s="118" t="e">
        <f t="array" aca="1" ref="E813" ca="1">_xludf.IFNA(IF(B813="","",VLOOKUP(B813,RM!$C$4:$G983,14,FALSE)),IFERROR(MIN(IF('S-BOM'!$B$3:$B993=$B813,'S-BOM'!$H$3:$H993,"")),""))</f>
        <v>#NAME?</v>
      </c>
      <c r="F813" s="87" t="str">
        <f t="shared" si="7"/>
        <v/>
      </c>
      <c r="G813" s="87" t="str">
        <f t="shared" si="8"/>
        <v/>
      </c>
      <c r="H813" s="87"/>
      <c r="I813" s="87"/>
      <c r="J813" s="87"/>
    </row>
    <row r="814" spans="1:10">
      <c r="A814" s="2"/>
      <c r="B814" s="2"/>
      <c r="C814" s="120" t="str">
        <f>IF(B814="","",SUMIFS('A-BOM'!$D$3:$D993,'A-BOM'!$C$3:$C993,B814,'A-BOM'!$B$3:$B993,$B$2))</f>
        <v/>
      </c>
      <c r="D814" s="120" t="str">
        <f>IFERROR(IF(B814="","",VLOOKUP(B814,RM!$C$4:$F983,3,FALSE)),"")</f>
        <v/>
      </c>
      <c r="E814" s="118" t="e">
        <f t="array" aca="1" ref="E814" ca="1">_xludf.IFNA(IF(B814="","",VLOOKUP(B814,RM!$C$4:$G983,14,FALSE)),IFERROR(MIN(IF('S-BOM'!$B$3:$B993=$B814,'S-BOM'!$H$3:$H993,"")),""))</f>
        <v>#NAME?</v>
      </c>
      <c r="F814" s="87" t="str">
        <f t="shared" si="7"/>
        <v/>
      </c>
      <c r="G814" s="87" t="str">
        <f t="shared" si="8"/>
        <v/>
      </c>
      <c r="H814" s="87"/>
      <c r="I814" s="87"/>
      <c r="J814" s="87"/>
    </row>
    <row r="815" spans="1:10">
      <c r="A815" s="2"/>
      <c r="B815" s="2"/>
      <c r="C815" s="120" t="str">
        <f>IF(B815="","",SUMIFS('A-BOM'!$D$3:$D993,'A-BOM'!$C$3:$C993,B815,'A-BOM'!$B$3:$B993,$B$2))</f>
        <v/>
      </c>
      <c r="D815" s="120" t="str">
        <f>IFERROR(IF(B815="","",VLOOKUP(B815,RM!$C$4:$F983,3,FALSE)),"")</f>
        <v/>
      </c>
      <c r="E815" s="118" t="e">
        <f t="array" aca="1" ref="E815" ca="1">_xludf.IFNA(IF(B815="","",VLOOKUP(B815,RM!$C$4:$G983,14,FALSE)),IFERROR(MIN(IF('S-BOM'!$B$3:$B993=$B815,'S-BOM'!$H$3:$H993,"")),""))</f>
        <v>#NAME?</v>
      </c>
      <c r="F815" s="87" t="str">
        <f t="shared" si="7"/>
        <v/>
      </c>
      <c r="G815" s="87" t="str">
        <f t="shared" si="8"/>
        <v/>
      </c>
      <c r="H815" s="87"/>
      <c r="I815" s="87"/>
      <c r="J815" s="87"/>
    </row>
    <row r="816" spans="1:10">
      <c r="A816" s="2"/>
      <c r="B816" s="2"/>
      <c r="C816" s="120" t="str">
        <f>IF(B816="","",SUMIFS('A-BOM'!$D$3:$D993,'A-BOM'!$C$3:$C993,B816,'A-BOM'!$B$3:$B993,$B$2))</f>
        <v/>
      </c>
      <c r="D816" s="120" t="str">
        <f>IFERROR(IF(B816="","",VLOOKUP(B816,RM!$C$4:$F983,3,FALSE)),"")</f>
        <v/>
      </c>
      <c r="E816" s="118" t="e">
        <f t="array" aca="1" ref="E816" ca="1">_xludf.IFNA(IF(B816="","",VLOOKUP(B816,RM!$C$4:$G983,14,FALSE)),IFERROR(MIN(IF('S-BOM'!$B$3:$B993=$B816,'S-BOM'!$H$3:$H993,"")),""))</f>
        <v>#NAME?</v>
      </c>
      <c r="F816" s="87" t="str">
        <f t="shared" si="7"/>
        <v/>
      </c>
      <c r="G816" s="87" t="str">
        <f t="shared" si="8"/>
        <v/>
      </c>
      <c r="H816" s="87"/>
      <c r="I816" s="87"/>
      <c r="J816" s="87"/>
    </row>
    <row r="817" spans="1:10">
      <c r="A817" s="2"/>
      <c r="B817" s="2"/>
      <c r="C817" s="120" t="str">
        <f>IF(B817="","",SUMIFS('A-BOM'!$D$3:$D993,'A-BOM'!$C$3:$C993,B817,'A-BOM'!$B$3:$B993,$B$2))</f>
        <v/>
      </c>
      <c r="D817" s="120" t="str">
        <f>IFERROR(IF(B817="","",VLOOKUP(B817,RM!$C$4:$F983,3,FALSE)),"")</f>
        <v/>
      </c>
      <c r="E817" s="118" t="e">
        <f t="array" aca="1" ref="E817" ca="1">_xludf.IFNA(IF(B817="","",VLOOKUP(B817,RM!$C$4:$G983,14,FALSE)),IFERROR(MIN(IF('S-BOM'!$B$3:$B993=$B817,'S-BOM'!$H$3:$H993,"")),""))</f>
        <v>#NAME?</v>
      </c>
      <c r="F817" s="87" t="str">
        <f t="shared" si="7"/>
        <v/>
      </c>
      <c r="G817" s="87" t="str">
        <f t="shared" si="8"/>
        <v/>
      </c>
      <c r="H817" s="87"/>
      <c r="I817" s="87"/>
      <c r="J817" s="87"/>
    </row>
    <row r="818" spans="1:10">
      <c r="A818" s="2"/>
      <c r="B818" s="2"/>
      <c r="C818" s="120" t="str">
        <f>IF(B818="","",SUMIFS('A-BOM'!$D$3:$D993,'A-BOM'!$C$3:$C993,B818,'A-BOM'!$B$3:$B993,$B$2))</f>
        <v/>
      </c>
      <c r="D818" s="120" t="str">
        <f>IFERROR(IF(B818="","",VLOOKUP(B818,RM!$C$4:$F983,3,FALSE)),"")</f>
        <v/>
      </c>
      <c r="E818" s="118" t="e">
        <f t="array" aca="1" ref="E818" ca="1">_xludf.IFNA(IF(B818="","",VLOOKUP(B818,RM!$C$4:$G983,14,FALSE)),IFERROR(MIN(IF('S-BOM'!$B$3:$B993=$B818,'S-BOM'!$H$3:$H993,"")),""))</f>
        <v>#NAME?</v>
      </c>
      <c r="F818" s="87" t="str">
        <f t="shared" si="7"/>
        <v/>
      </c>
      <c r="G818" s="87" t="str">
        <f t="shared" si="8"/>
        <v/>
      </c>
      <c r="H818" s="87"/>
      <c r="I818" s="87"/>
      <c r="J818" s="87"/>
    </row>
    <row r="819" spans="1:10">
      <c r="A819" s="2"/>
      <c r="B819" s="2"/>
      <c r="C819" s="120" t="str">
        <f>IF(B819="","",SUMIFS('A-BOM'!$D$3:$D993,'A-BOM'!$C$3:$C993,B819,'A-BOM'!$B$3:$B993,$B$2))</f>
        <v/>
      </c>
      <c r="D819" s="120" t="str">
        <f>IFERROR(IF(B819="","",VLOOKUP(B819,RM!$C$4:$F983,3,FALSE)),"")</f>
        <v/>
      </c>
      <c r="E819" s="118" t="e">
        <f t="array" aca="1" ref="E819" ca="1">_xludf.IFNA(IF(B819="","",VLOOKUP(B819,RM!$C$4:$G983,14,FALSE)),IFERROR(MIN(IF('S-BOM'!$B$3:$B993=$B819,'S-BOM'!$H$3:$H993,"")),""))</f>
        <v>#NAME?</v>
      </c>
      <c r="F819" s="87" t="str">
        <f t="shared" si="7"/>
        <v/>
      </c>
      <c r="G819" s="87" t="str">
        <f t="shared" si="8"/>
        <v/>
      </c>
      <c r="H819" s="87"/>
      <c r="I819" s="87"/>
      <c r="J819" s="87"/>
    </row>
    <row r="820" spans="1:10">
      <c r="A820" s="2"/>
      <c r="B820" s="2"/>
      <c r="C820" s="120" t="str">
        <f>IF(B820="","",SUMIFS('A-BOM'!$D$3:$D993,'A-BOM'!$C$3:$C993,B820,'A-BOM'!$B$3:$B993,$B$2))</f>
        <v/>
      </c>
      <c r="D820" s="120" t="str">
        <f>IFERROR(IF(B820="","",VLOOKUP(B820,RM!$C$4:$F983,3,FALSE)),"")</f>
        <v/>
      </c>
      <c r="E820" s="118" t="e">
        <f t="array" aca="1" ref="E820" ca="1">_xludf.IFNA(IF(B820="","",VLOOKUP(B820,RM!$C$4:$G983,14,FALSE)),IFERROR(MIN(IF('S-BOM'!$B$3:$B993=$B820,'S-BOM'!$H$3:$H993,"")),""))</f>
        <v>#NAME?</v>
      </c>
      <c r="F820" s="87" t="str">
        <f t="shared" si="7"/>
        <v/>
      </c>
      <c r="G820" s="87" t="str">
        <f t="shared" si="8"/>
        <v/>
      </c>
      <c r="H820" s="87"/>
      <c r="I820" s="87"/>
      <c r="J820" s="87"/>
    </row>
    <row r="821" spans="1:10">
      <c r="A821" s="2"/>
      <c r="B821" s="2"/>
      <c r="C821" s="120" t="str">
        <f>IF(B821="","",SUMIFS('A-BOM'!$D$3:$D993,'A-BOM'!$C$3:$C993,B821,'A-BOM'!$B$3:$B993,$B$2))</f>
        <v/>
      </c>
      <c r="D821" s="120" t="str">
        <f>IFERROR(IF(B821="","",VLOOKUP(B821,RM!$C$4:$F983,3,FALSE)),"")</f>
        <v/>
      </c>
      <c r="E821" s="118" t="e">
        <f t="array" aca="1" ref="E821" ca="1">_xludf.IFNA(IF(B821="","",VLOOKUP(B821,RM!$C$4:$G983,14,FALSE)),IFERROR(MIN(IF('S-BOM'!$B$3:$B993=$B821,'S-BOM'!$H$3:$H993,"")),""))</f>
        <v>#NAME?</v>
      </c>
      <c r="F821" s="87" t="str">
        <f t="shared" si="7"/>
        <v/>
      </c>
      <c r="G821" s="87" t="str">
        <f t="shared" si="8"/>
        <v/>
      </c>
      <c r="H821" s="87"/>
      <c r="I821" s="87"/>
      <c r="J821" s="87"/>
    </row>
    <row r="822" spans="1:10">
      <c r="A822" s="2"/>
      <c r="B822" s="2"/>
      <c r="C822" s="120" t="str">
        <f>IF(B822="","",SUMIFS('A-BOM'!$D$3:$D993,'A-BOM'!$C$3:$C993,B822,'A-BOM'!$B$3:$B993,$B$2))</f>
        <v/>
      </c>
      <c r="D822" s="120" t="str">
        <f>IFERROR(IF(B822="","",VLOOKUP(B822,RM!$C$4:$F983,3,FALSE)),"")</f>
        <v/>
      </c>
      <c r="E822" s="118" t="e">
        <f t="array" aca="1" ref="E822" ca="1">_xludf.IFNA(IF(B822="","",VLOOKUP(B822,RM!$C$4:$G983,14,FALSE)),IFERROR(MIN(IF('S-BOM'!$B$3:$B993=$B822,'S-BOM'!$H$3:$H993,"")),""))</f>
        <v>#NAME?</v>
      </c>
      <c r="F822" s="87" t="str">
        <f t="shared" si="7"/>
        <v/>
      </c>
      <c r="G822" s="87" t="str">
        <f t="shared" si="8"/>
        <v/>
      </c>
      <c r="H822" s="87"/>
      <c r="I822" s="87"/>
      <c r="J822" s="87"/>
    </row>
    <row r="823" spans="1:10">
      <c r="A823" s="2"/>
      <c r="B823" s="2"/>
      <c r="C823" s="120" t="str">
        <f>IF(B823="","",SUMIFS('A-BOM'!$D$3:$D993,'A-BOM'!$C$3:$C993,B823,'A-BOM'!$B$3:$B993,$B$2))</f>
        <v/>
      </c>
      <c r="D823" s="120" t="str">
        <f>IFERROR(IF(B823="","",VLOOKUP(B823,RM!$C$4:$F983,3,FALSE)),"")</f>
        <v/>
      </c>
      <c r="E823" s="118" t="e">
        <f t="array" aca="1" ref="E823" ca="1">_xludf.IFNA(IF(B823="","",VLOOKUP(B823,RM!$C$4:$G983,14,FALSE)),IFERROR(MIN(IF('S-BOM'!$B$3:$B993=$B823,'S-BOM'!$H$3:$H993,"")),""))</f>
        <v>#NAME?</v>
      </c>
      <c r="F823" s="87" t="str">
        <f t="shared" si="7"/>
        <v/>
      </c>
      <c r="G823" s="87" t="str">
        <f t="shared" si="8"/>
        <v/>
      </c>
      <c r="H823" s="87"/>
      <c r="I823" s="87"/>
      <c r="J823" s="87"/>
    </row>
    <row r="824" spans="1:10">
      <c r="A824" s="2"/>
      <c r="B824" s="2"/>
      <c r="C824" s="120" t="str">
        <f>IF(B824="","",SUMIFS('A-BOM'!$D$3:$D993,'A-BOM'!$C$3:$C993,B824,'A-BOM'!$B$3:$B993,$B$2))</f>
        <v/>
      </c>
      <c r="D824" s="120" t="str">
        <f>IFERROR(IF(B824="","",VLOOKUP(B824,RM!$C$4:$F983,3,FALSE)),"")</f>
        <v/>
      </c>
      <c r="E824" s="118" t="e">
        <f t="array" aca="1" ref="E824" ca="1">_xludf.IFNA(IF(B824="","",VLOOKUP(B824,RM!$C$4:$G983,14,FALSE)),IFERROR(MIN(IF('S-BOM'!$B$3:$B993=$B824,'S-BOM'!$H$3:$H993,"")),""))</f>
        <v>#NAME?</v>
      </c>
      <c r="F824" s="87" t="str">
        <f t="shared" si="7"/>
        <v/>
      </c>
      <c r="G824" s="87" t="str">
        <f t="shared" si="8"/>
        <v/>
      </c>
      <c r="H824" s="87"/>
      <c r="I824" s="87"/>
      <c r="J824" s="87"/>
    </row>
    <row r="825" spans="1:10">
      <c r="A825" s="2"/>
      <c r="B825" s="2"/>
      <c r="C825" s="120" t="str">
        <f>IF(B825="","",SUMIFS('A-BOM'!$D$3:$D993,'A-BOM'!$C$3:$C993,B825,'A-BOM'!$B$3:$B993,$B$2))</f>
        <v/>
      </c>
      <c r="D825" s="120" t="str">
        <f>IFERROR(IF(B825="","",VLOOKUP(B825,RM!$C$4:$F983,3,FALSE)),"")</f>
        <v/>
      </c>
      <c r="E825" s="118" t="e">
        <f t="array" aca="1" ref="E825" ca="1">_xludf.IFNA(IF(B825="","",VLOOKUP(B825,RM!$C$4:$G983,14,FALSE)),IFERROR(MIN(IF('S-BOM'!$B$3:$B993=$B825,'S-BOM'!$H$3:$H993,"")),""))</f>
        <v>#NAME?</v>
      </c>
      <c r="F825" s="87" t="str">
        <f t="shared" si="7"/>
        <v/>
      </c>
      <c r="G825" s="87" t="str">
        <f t="shared" si="8"/>
        <v/>
      </c>
      <c r="H825" s="87"/>
      <c r="I825" s="87"/>
      <c r="J825" s="87"/>
    </row>
    <row r="826" spans="1:10">
      <c r="A826" s="2"/>
      <c r="B826" s="2"/>
      <c r="C826" s="120" t="str">
        <f>IF(B826="","",SUMIFS('A-BOM'!$D$3:$D993,'A-BOM'!$C$3:$C993,B826,'A-BOM'!$B$3:$B993,$B$2))</f>
        <v/>
      </c>
      <c r="D826" s="120" t="str">
        <f>IFERROR(IF(B826="","",VLOOKUP(B826,RM!$C$4:$F983,3,FALSE)),"")</f>
        <v/>
      </c>
      <c r="E826" s="118" t="e">
        <f t="array" aca="1" ref="E826" ca="1">_xludf.IFNA(IF(B826="","",VLOOKUP(B826,RM!$C$4:$G983,14,FALSE)),IFERROR(MIN(IF('S-BOM'!$B$3:$B993=$B826,'S-BOM'!$H$3:$H993,"")),""))</f>
        <v>#NAME?</v>
      </c>
      <c r="F826" s="87" t="str">
        <f t="shared" si="7"/>
        <v/>
      </c>
      <c r="G826" s="87" t="str">
        <f t="shared" si="8"/>
        <v/>
      </c>
      <c r="H826" s="87"/>
      <c r="I826" s="87"/>
      <c r="J826" s="87"/>
    </row>
    <row r="827" spans="1:10">
      <c r="A827" s="2"/>
      <c r="B827" s="2"/>
      <c r="C827" s="120" t="str">
        <f>IF(B827="","",SUMIFS('A-BOM'!$D$3:$D993,'A-BOM'!$C$3:$C993,B827,'A-BOM'!$B$3:$B993,$B$2))</f>
        <v/>
      </c>
      <c r="D827" s="120" t="str">
        <f>IFERROR(IF(B827="","",VLOOKUP(B827,RM!$C$4:$F983,3,FALSE)),"")</f>
        <v/>
      </c>
      <c r="E827" s="118" t="e">
        <f t="array" aca="1" ref="E827" ca="1">_xludf.IFNA(IF(B827="","",VLOOKUP(B827,RM!$C$4:$G983,14,FALSE)),IFERROR(MIN(IF('S-BOM'!$B$3:$B993=$B827,'S-BOM'!$H$3:$H993,"")),""))</f>
        <v>#NAME?</v>
      </c>
      <c r="F827" s="87" t="str">
        <f t="shared" si="7"/>
        <v/>
      </c>
      <c r="G827" s="87" t="str">
        <f t="shared" si="8"/>
        <v/>
      </c>
      <c r="H827" s="87"/>
      <c r="I827" s="87"/>
      <c r="J827" s="87"/>
    </row>
    <row r="828" spans="1:10">
      <c r="A828" s="2"/>
      <c r="B828" s="2"/>
      <c r="C828" s="120" t="str">
        <f>IF(B828="","",SUMIFS('A-BOM'!$D$3:$D993,'A-BOM'!$C$3:$C993,B828,'A-BOM'!$B$3:$B993,$B$2))</f>
        <v/>
      </c>
      <c r="D828" s="120" t="str">
        <f>IFERROR(IF(B828="","",VLOOKUP(B828,RM!$C$4:$F983,3,FALSE)),"")</f>
        <v/>
      </c>
      <c r="E828" s="118" t="e">
        <f t="array" aca="1" ref="E828" ca="1">_xludf.IFNA(IF(B828="","",VLOOKUP(B828,RM!$C$4:$G983,14,FALSE)),IFERROR(MIN(IF('S-BOM'!$B$3:$B993=$B828,'S-BOM'!$H$3:$H993,"")),""))</f>
        <v>#NAME?</v>
      </c>
      <c r="F828" s="87" t="str">
        <f t="shared" si="7"/>
        <v/>
      </c>
      <c r="G828" s="87" t="str">
        <f t="shared" si="8"/>
        <v/>
      </c>
      <c r="H828" s="87"/>
      <c r="I828" s="87"/>
      <c r="J828" s="87"/>
    </row>
    <row r="829" spans="1:10">
      <c r="A829" s="2"/>
      <c r="B829" s="2"/>
      <c r="C829" s="120" t="str">
        <f>IF(B829="","",SUMIFS('A-BOM'!$D$3:$D993,'A-BOM'!$C$3:$C993,B829,'A-BOM'!$B$3:$B993,$B$2))</f>
        <v/>
      </c>
      <c r="D829" s="120" t="str">
        <f>IFERROR(IF(B829="","",VLOOKUP(B829,RM!$C$4:$F983,3,FALSE)),"")</f>
        <v/>
      </c>
      <c r="E829" s="118" t="e">
        <f t="array" aca="1" ref="E829" ca="1">_xludf.IFNA(IF(B829="","",VLOOKUP(B829,RM!$C$4:$G983,14,FALSE)),IFERROR(MIN(IF('S-BOM'!$B$3:$B993=$B829,'S-BOM'!$H$3:$H993,"")),""))</f>
        <v>#NAME?</v>
      </c>
      <c r="F829" s="87" t="str">
        <f t="shared" si="7"/>
        <v/>
      </c>
      <c r="G829" s="87" t="str">
        <f t="shared" si="8"/>
        <v/>
      </c>
      <c r="H829" s="87"/>
      <c r="I829" s="87"/>
      <c r="J829" s="87"/>
    </row>
    <row r="830" spans="1:10">
      <c r="A830" s="2"/>
      <c r="B830" s="2"/>
      <c r="C830" s="120" t="str">
        <f>IF(B830="","",SUMIFS('A-BOM'!$D$3:$D993,'A-BOM'!$C$3:$C993,B830,'A-BOM'!$B$3:$B993,$B$2))</f>
        <v/>
      </c>
      <c r="D830" s="120" t="str">
        <f>IFERROR(IF(B830="","",VLOOKUP(B830,RM!$C$4:$F983,3,FALSE)),"")</f>
        <v/>
      </c>
      <c r="E830" s="118" t="e">
        <f t="array" aca="1" ref="E830" ca="1">_xludf.IFNA(IF(B830="","",VLOOKUP(B830,RM!$C$4:$G983,14,FALSE)),IFERROR(MIN(IF('S-BOM'!$B$3:$B993=$B830,'S-BOM'!$H$3:$H993,"")),""))</f>
        <v>#NAME?</v>
      </c>
      <c r="F830" s="87" t="str">
        <f t="shared" si="7"/>
        <v/>
      </c>
      <c r="G830" s="87" t="str">
        <f t="shared" si="8"/>
        <v/>
      </c>
      <c r="H830" s="87"/>
      <c r="I830" s="87"/>
      <c r="J830" s="87"/>
    </row>
    <row r="831" spans="1:10">
      <c r="A831" s="2"/>
      <c r="B831" s="2"/>
      <c r="C831" s="120" t="str">
        <f>IF(B831="","",SUMIFS('A-BOM'!$D$3:$D993,'A-BOM'!$C$3:$C993,B831,'A-BOM'!$B$3:$B993,$B$2))</f>
        <v/>
      </c>
      <c r="D831" s="120" t="str">
        <f>IFERROR(IF(B831="","",VLOOKUP(B831,RM!$C$4:$F983,3,FALSE)),"")</f>
        <v/>
      </c>
      <c r="E831" s="118" t="e">
        <f t="array" aca="1" ref="E831" ca="1">_xludf.IFNA(IF(B831="","",VLOOKUP(B831,RM!$C$4:$G983,14,FALSE)),IFERROR(MIN(IF('S-BOM'!$B$3:$B993=$B831,'S-BOM'!$H$3:$H993,"")),""))</f>
        <v>#NAME?</v>
      </c>
      <c r="F831" s="87" t="str">
        <f t="shared" si="7"/>
        <v/>
      </c>
      <c r="G831" s="87" t="str">
        <f t="shared" si="8"/>
        <v/>
      </c>
      <c r="H831" s="87"/>
      <c r="I831" s="87"/>
      <c r="J831" s="87"/>
    </row>
    <row r="832" spans="1:10">
      <c r="A832" s="2"/>
      <c r="B832" s="2"/>
      <c r="C832" s="120" t="str">
        <f>IF(B832="","",SUMIFS('A-BOM'!$D$3:$D993,'A-BOM'!$C$3:$C993,B832,'A-BOM'!$B$3:$B993,$B$2))</f>
        <v/>
      </c>
      <c r="D832" s="120" t="str">
        <f>IFERROR(IF(B832="","",VLOOKUP(B832,RM!$C$4:$F983,3,FALSE)),"")</f>
        <v/>
      </c>
      <c r="E832" s="118" t="e">
        <f t="array" aca="1" ref="E832" ca="1">_xludf.IFNA(IF(B832="","",VLOOKUP(B832,RM!$C$4:$G983,14,FALSE)),IFERROR(MIN(IF('S-BOM'!$B$3:$B993=$B832,'S-BOM'!$H$3:$H993,"")),""))</f>
        <v>#NAME?</v>
      </c>
      <c r="F832" s="87" t="str">
        <f t="shared" si="7"/>
        <v/>
      </c>
      <c r="G832" s="87" t="str">
        <f t="shared" si="8"/>
        <v/>
      </c>
      <c r="H832" s="87"/>
      <c r="I832" s="87"/>
      <c r="J832" s="87"/>
    </row>
    <row r="833" spans="1:10">
      <c r="A833" s="2"/>
      <c r="B833" s="2"/>
      <c r="C833" s="120" t="str">
        <f>IF(B833="","",SUMIFS('A-BOM'!$D$3:$D993,'A-BOM'!$C$3:$C993,B833,'A-BOM'!$B$3:$B993,$B$2))</f>
        <v/>
      </c>
      <c r="D833" s="120" t="str">
        <f>IFERROR(IF(B833="","",VLOOKUP(B833,RM!$C$4:$F983,3,FALSE)),"")</f>
        <v/>
      </c>
      <c r="E833" s="118" t="e">
        <f t="array" aca="1" ref="E833" ca="1">_xludf.IFNA(IF(B833="","",VLOOKUP(B833,RM!$C$4:$G983,14,FALSE)),IFERROR(MIN(IF('S-BOM'!$B$3:$B993=$B833,'S-BOM'!$H$3:$H993,"")),""))</f>
        <v>#NAME?</v>
      </c>
      <c r="F833" s="87" t="str">
        <f t="shared" si="7"/>
        <v/>
      </c>
      <c r="G833" s="87" t="str">
        <f t="shared" si="8"/>
        <v/>
      </c>
      <c r="H833" s="87"/>
      <c r="I833" s="87"/>
      <c r="J833" s="87"/>
    </row>
    <row r="834" spans="1:10">
      <c r="A834" s="2"/>
      <c r="B834" s="2"/>
      <c r="C834" s="120" t="str">
        <f>IF(B834="","",SUMIFS('A-BOM'!$D$3:$D993,'A-BOM'!$C$3:$C993,B834,'A-BOM'!$B$3:$B993,$B$2))</f>
        <v/>
      </c>
      <c r="D834" s="120" t="str">
        <f>IFERROR(IF(B834="","",VLOOKUP(B834,RM!$C$4:$F983,3,FALSE)),"")</f>
        <v/>
      </c>
      <c r="E834" s="118" t="e">
        <f t="array" aca="1" ref="E834" ca="1">_xludf.IFNA(IF(B834="","",VLOOKUP(B834,RM!$C$4:$G983,14,FALSE)),IFERROR(MIN(IF('S-BOM'!$B$3:$B993=$B834,'S-BOM'!$H$3:$H993,"")),""))</f>
        <v>#NAME?</v>
      </c>
      <c r="F834" s="87" t="str">
        <f t="shared" si="7"/>
        <v/>
      </c>
      <c r="G834" s="87" t="str">
        <f t="shared" si="8"/>
        <v/>
      </c>
      <c r="H834" s="87"/>
      <c r="I834" s="87"/>
      <c r="J834" s="87"/>
    </row>
    <row r="835" spans="1:10">
      <c r="A835" s="2"/>
      <c r="B835" s="2"/>
      <c r="C835" s="120" t="str">
        <f>IF(B835="","",SUMIFS('A-BOM'!$D$3:$D993,'A-BOM'!$C$3:$C993,B835,'A-BOM'!$B$3:$B993,$B$2))</f>
        <v/>
      </c>
      <c r="D835" s="120" t="str">
        <f>IFERROR(IF(B835="","",VLOOKUP(B835,RM!$C$4:$F983,3,FALSE)),"")</f>
        <v/>
      </c>
      <c r="E835" s="118" t="e">
        <f t="array" aca="1" ref="E835" ca="1">_xludf.IFNA(IF(B835="","",VLOOKUP(B835,RM!$C$4:$G983,14,FALSE)),IFERROR(MIN(IF('S-BOM'!$B$3:$B993=$B835,'S-BOM'!$H$3:$H993,"")),""))</f>
        <v>#NAME?</v>
      </c>
      <c r="F835" s="87" t="str">
        <f t="shared" si="7"/>
        <v/>
      </c>
      <c r="G835" s="87" t="str">
        <f t="shared" si="8"/>
        <v/>
      </c>
      <c r="H835" s="87"/>
      <c r="I835" s="87"/>
      <c r="J835" s="87"/>
    </row>
    <row r="836" spans="1:10">
      <c r="A836" s="2"/>
      <c r="B836" s="2"/>
      <c r="C836" s="120" t="str">
        <f>IF(B836="","",SUMIFS('A-BOM'!$D$3:$D993,'A-BOM'!$C$3:$C993,B836,'A-BOM'!$B$3:$B993,$B$2))</f>
        <v/>
      </c>
      <c r="D836" s="120" t="str">
        <f>IFERROR(IF(B836="","",VLOOKUP(B836,RM!$C$4:$F983,3,FALSE)),"")</f>
        <v/>
      </c>
      <c r="E836" s="118" t="e">
        <f t="array" aca="1" ref="E836" ca="1">_xludf.IFNA(IF(B836="","",VLOOKUP(B836,RM!$C$4:$G983,14,FALSE)),IFERROR(MIN(IF('S-BOM'!$B$3:$B993=$B836,'S-BOM'!$H$3:$H993,"")),""))</f>
        <v>#NAME?</v>
      </c>
      <c r="F836" s="87" t="str">
        <f t="shared" si="7"/>
        <v/>
      </c>
      <c r="G836" s="87" t="str">
        <f t="shared" si="8"/>
        <v/>
      </c>
      <c r="H836" s="87"/>
      <c r="I836" s="87"/>
      <c r="J836" s="87"/>
    </row>
    <row r="837" spans="1:10">
      <c r="A837" s="2"/>
      <c r="B837" s="2"/>
      <c r="C837" s="120" t="str">
        <f>IF(B837="","",SUMIFS('A-BOM'!$D$3:$D993,'A-BOM'!$C$3:$C993,B837,'A-BOM'!$B$3:$B993,$B$2))</f>
        <v/>
      </c>
      <c r="D837" s="120" t="str">
        <f>IFERROR(IF(B837="","",VLOOKUP(B837,RM!$C$4:$F983,3,FALSE)),"")</f>
        <v/>
      </c>
      <c r="E837" s="118" t="e">
        <f t="array" aca="1" ref="E837" ca="1">_xludf.IFNA(IF(B837="","",VLOOKUP(B837,RM!$C$4:$G983,14,FALSE)),IFERROR(MIN(IF('S-BOM'!$B$3:$B993=$B837,'S-BOM'!$H$3:$H993,"")),""))</f>
        <v>#NAME?</v>
      </c>
      <c r="F837" s="87" t="str">
        <f t="shared" si="7"/>
        <v/>
      </c>
      <c r="G837" s="87" t="str">
        <f t="shared" si="8"/>
        <v/>
      </c>
      <c r="H837" s="87"/>
      <c r="I837" s="87"/>
      <c r="J837" s="87"/>
    </row>
    <row r="838" spans="1:10">
      <c r="A838" s="2"/>
      <c r="B838" s="2"/>
      <c r="C838" s="120" t="str">
        <f>IF(B838="","",SUMIFS('A-BOM'!$D$3:$D993,'A-BOM'!$C$3:$C993,B838,'A-BOM'!$B$3:$B993,$B$2))</f>
        <v/>
      </c>
      <c r="D838" s="120" t="str">
        <f>IFERROR(IF(B838="","",VLOOKUP(B838,RM!$C$4:$F983,3,FALSE)),"")</f>
        <v/>
      </c>
      <c r="E838" s="118" t="e">
        <f t="array" aca="1" ref="E838" ca="1">_xludf.IFNA(IF(B838="","",VLOOKUP(B838,RM!$C$4:$G983,14,FALSE)),IFERROR(MIN(IF('S-BOM'!$B$3:$B993=$B838,'S-BOM'!$H$3:$H993,"")),""))</f>
        <v>#NAME?</v>
      </c>
      <c r="F838" s="87" t="str">
        <f t="shared" si="7"/>
        <v/>
      </c>
      <c r="G838" s="87" t="str">
        <f t="shared" si="8"/>
        <v/>
      </c>
      <c r="H838" s="87"/>
      <c r="I838" s="87"/>
      <c r="J838" s="87"/>
    </row>
    <row r="839" spans="1:10">
      <c r="A839" s="2"/>
      <c r="B839" s="2"/>
      <c r="C839" s="120" t="str">
        <f>IF(B839="","",SUMIFS('A-BOM'!$D$3:$D993,'A-BOM'!$C$3:$C993,B839,'A-BOM'!$B$3:$B993,$B$2))</f>
        <v/>
      </c>
      <c r="D839" s="120" t="str">
        <f>IFERROR(IF(B839="","",VLOOKUP(B839,RM!$C$4:$F983,3,FALSE)),"")</f>
        <v/>
      </c>
      <c r="E839" s="118" t="e">
        <f t="array" aca="1" ref="E839" ca="1">_xludf.IFNA(IF(B839="","",VLOOKUP(B839,RM!$C$4:$G983,14,FALSE)),IFERROR(MIN(IF('S-BOM'!$B$3:$B993=$B839,'S-BOM'!$H$3:$H993,"")),""))</f>
        <v>#NAME?</v>
      </c>
      <c r="F839" s="87" t="str">
        <f t="shared" si="7"/>
        <v/>
      </c>
      <c r="G839" s="87" t="str">
        <f t="shared" si="8"/>
        <v/>
      </c>
      <c r="H839" s="87"/>
      <c r="I839" s="87"/>
      <c r="J839" s="87"/>
    </row>
    <row r="840" spans="1:10">
      <c r="A840" s="2"/>
      <c r="B840" s="2"/>
      <c r="C840" s="120" t="str">
        <f>IF(B840="","",SUMIFS('A-BOM'!$D$3:$D993,'A-BOM'!$C$3:$C993,B840,'A-BOM'!$B$3:$B993,$B$2))</f>
        <v/>
      </c>
      <c r="D840" s="120" t="str">
        <f>IFERROR(IF(B840="","",VLOOKUP(B840,RM!$C$4:$F983,3,FALSE)),"")</f>
        <v/>
      </c>
      <c r="E840" s="118" t="e">
        <f t="array" aca="1" ref="E840" ca="1">_xludf.IFNA(IF(B840="","",VLOOKUP(B840,RM!$C$4:$G983,14,FALSE)),IFERROR(MIN(IF('S-BOM'!$B$3:$B993=$B840,'S-BOM'!$H$3:$H993,"")),""))</f>
        <v>#NAME?</v>
      </c>
      <c r="F840" s="87" t="str">
        <f t="shared" si="7"/>
        <v/>
      </c>
      <c r="G840" s="87" t="str">
        <f t="shared" si="8"/>
        <v/>
      </c>
      <c r="H840" s="87"/>
      <c r="I840" s="87"/>
      <c r="J840" s="87"/>
    </row>
    <row r="841" spans="1:10">
      <c r="A841" s="2"/>
      <c r="B841" s="2"/>
      <c r="C841" s="120" t="str">
        <f>IF(B841="","",SUMIFS('A-BOM'!$D$3:$D993,'A-BOM'!$C$3:$C993,B841,'A-BOM'!$B$3:$B993,$B$2))</f>
        <v/>
      </c>
      <c r="D841" s="120" t="str">
        <f>IFERROR(IF(B841="","",VLOOKUP(B841,RM!$C$4:$F983,3,FALSE)),"")</f>
        <v/>
      </c>
      <c r="E841" s="118" t="e">
        <f t="array" aca="1" ref="E841" ca="1">_xludf.IFNA(IF(B841="","",VLOOKUP(B841,RM!$C$4:$G983,14,FALSE)),IFERROR(MIN(IF('S-BOM'!$B$3:$B993=$B841,'S-BOM'!$H$3:$H993,"")),""))</f>
        <v>#NAME?</v>
      </c>
      <c r="F841" s="87" t="str">
        <f t="shared" si="7"/>
        <v/>
      </c>
      <c r="G841" s="87" t="str">
        <f t="shared" si="8"/>
        <v/>
      </c>
      <c r="H841" s="87"/>
      <c r="I841" s="87"/>
      <c r="J841" s="87"/>
    </row>
    <row r="842" spans="1:10">
      <c r="A842" s="2"/>
      <c r="B842" s="2"/>
      <c r="C842" s="120" t="str">
        <f>IF(B842="","",SUMIFS('A-BOM'!$D$3:$D993,'A-BOM'!$C$3:$C993,B842,'A-BOM'!$B$3:$B993,$B$2))</f>
        <v/>
      </c>
      <c r="D842" s="120" t="str">
        <f>IFERROR(IF(B842="","",VLOOKUP(B842,RM!$C$4:$F983,3,FALSE)),"")</f>
        <v/>
      </c>
      <c r="E842" s="118" t="e">
        <f t="array" aca="1" ref="E842" ca="1">_xludf.IFNA(IF(B842="","",VLOOKUP(B842,RM!$C$4:$G983,14,FALSE)),IFERROR(MIN(IF('S-BOM'!$B$3:$B993=$B842,'S-BOM'!$H$3:$H993,"")),""))</f>
        <v>#NAME?</v>
      </c>
      <c r="F842" s="87" t="str">
        <f t="shared" si="7"/>
        <v/>
      </c>
      <c r="G842" s="87" t="str">
        <f t="shared" si="8"/>
        <v/>
      </c>
      <c r="H842" s="87"/>
      <c r="I842" s="87"/>
      <c r="J842" s="87"/>
    </row>
    <row r="843" spans="1:10">
      <c r="A843" s="2"/>
      <c r="B843" s="2"/>
      <c r="C843" s="120" t="str">
        <f>IF(B843="","",SUMIFS('A-BOM'!$D$3:$D993,'A-BOM'!$C$3:$C993,B843,'A-BOM'!$B$3:$B993,$B$2))</f>
        <v/>
      </c>
      <c r="D843" s="120" t="str">
        <f>IFERROR(IF(B843="","",VLOOKUP(B843,RM!$C$4:$F983,3,FALSE)),"")</f>
        <v/>
      </c>
      <c r="E843" s="118" t="e">
        <f t="array" aca="1" ref="E843" ca="1">_xludf.IFNA(IF(B843="","",VLOOKUP(B843,RM!$C$4:$G983,14,FALSE)),IFERROR(MIN(IF('S-BOM'!$B$3:$B993=$B843,'S-BOM'!$H$3:$H993,"")),""))</f>
        <v>#NAME?</v>
      </c>
      <c r="F843" s="87" t="str">
        <f t="shared" si="7"/>
        <v/>
      </c>
      <c r="G843" s="87" t="str">
        <f t="shared" si="8"/>
        <v/>
      </c>
      <c r="H843" s="87"/>
      <c r="I843" s="87"/>
      <c r="J843" s="87"/>
    </row>
    <row r="844" spans="1:10">
      <c r="A844" s="2"/>
      <c r="B844" s="2"/>
      <c r="C844" s="120" t="str">
        <f>IF(B844="","",SUMIFS('A-BOM'!$D$3:$D993,'A-BOM'!$C$3:$C993,B844,'A-BOM'!$B$3:$B993,$B$2))</f>
        <v/>
      </c>
      <c r="D844" s="120" t="str">
        <f>IFERROR(IF(B844="","",VLOOKUP(B844,RM!$C$4:$F983,3,FALSE)),"")</f>
        <v/>
      </c>
      <c r="E844" s="118" t="e">
        <f t="array" aca="1" ref="E844" ca="1">_xludf.IFNA(IF(B844="","",VLOOKUP(B844,RM!$C$4:$G983,14,FALSE)),IFERROR(MIN(IF('S-BOM'!$B$3:$B993=$B844,'S-BOM'!$H$3:$H993,"")),""))</f>
        <v>#NAME?</v>
      </c>
      <c r="F844" s="87" t="str">
        <f t="shared" si="7"/>
        <v/>
      </c>
      <c r="G844" s="87" t="str">
        <f t="shared" si="8"/>
        <v/>
      </c>
      <c r="H844" s="87"/>
      <c r="I844" s="87"/>
      <c r="J844" s="87"/>
    </row>
    <row r="845" spans="1:10">
      <c r="A845" s="2"/>
      <c r="B845" s="2"/>
      <c r="C845" s="120" t="str">
        <f>IF(B845="","",SUMIFS('A-BOM'!$D$3:$D993,'A-BOM'!$C$3:$C993,B845,'A-BOM'!$B$3:$B993,$B$2))</f>
        <v/>
      </c>
      <c r="D845" s="120" t="str">
        <f>IFERROR(IF(B845="","",VLOOKUP(B845,RM!$C$4:$F983,3,FALSE)),"")</f>
        <v/>
      </c>
      <c r="E845" s="118" t="e">
        <f t="array" aca="1" ref="E845" ca="1">_xludf.IFNA(IF(B845="","",VLOOKUP(B845,RM!$C$4:$G983,14,FALSE)),IFERROR(MIN(IF('S-BOM'!$B$3:$B993=$B845,'S-BOM'!$H$3:$H993,"")),""))</f>
        <v>#NAME?</v>
      </c>
      <c r="F845" s="87" t="str">
        <f t="shared" si="7"/>
        <v/>
      </c>
      <c r="G845" s="87" t="str">
        <f t="shared" si="8"/>
        <v/>
      </c>
      <c r="H845" s="87"/>
      <c r="I845" s="87"/>
      <c r="J845" s="87"/>
    </row>
    <row r="846" spans="1:10">
      <c r="A846" s="2"/>
      <c r="B846" s="2"/>
      <c r="C846" s="120" t="str">
        <f>IF(B846="","",SUMIFS('A-BOM'!$D$3:$D993,'A-BOM'!$C$3:$C993,B846,'A-BOM'!$B$3:$B993,$B$2))</f>
        <v/>
      </c>
      <c r="D846" s="120" t="str">
        <f>IFERROR(IF(B846="","",VLOOKUP(B846,RM!$C$4:$F983,3,FALSE)),"")</f>
        <v/>
      </c>
      <c r="E846" s="118" t="e">
        <f t="array" aca="1" ref="E846" ca="1">_xludf.IFNA(IF(B846="","",VLOOKUP(B846,RM!$C$4:$G983,14,FALSE)),IFERROR(MIN(IF('S-BOM'!$B$3:$B993=$B846,'S-BOM'!$H$3:$H993,"")),""))</f>
        <v>#NAME?</v>
      </c>
      <c r="F846" s="87" t="str">
        <f t="shared" si="7"/>
        <v/>
      </c>
      <c r="G846" s="87" t="str">
        <f t="shared" si="8"/>
        <v/>
      </c>
      <c r="H846" s="87"/>
      <c r="I846" s="87"/>
      <c r="J846" s="87"/>
    </row>
    <row r="847" spans="1:10">
      <c r="A847" s="2"/>
      <c r="B847" s="2"/>
      <c r="C847" s="120" t="str">
        <f>IF(B847="","",SUMIFS('A-BOM'!$D$3:$D993,'A-BOM'!$C$3:$C993,B847,'A-BOM'!$B$3:$B993,$B$2))</f>
        <v/>
      </c>
      <c r="D847" s="120" t="str">
        <f>IFERROR(IF(B847="","",VLOOKUP(B847,RM!$C$4:$F983,3,FALSE)),"")</f>
        <v/>
      </c>
      <c r="E847" s="118" t="e">
        <f t="array" aca="1" ref="E847" ca="1">_xludf.IFNA(IF(B847="","",VLOOKUP(B847,RM!$C$4:$G983,14,FALSE)),IFERROR(MIN(IF('S-BOM'!$B$3:$B993=$B847,'S-BOM'!$H$3:$H993,"")),""))</f>
        <v>#NAME?</v>
      </c>
      <c r="F847" s="87" t="str">
        <f t="shared" si="7"/>
        <v/>
      </c>
      <c r="G847" s="87" t="str">
        <f t="shared" si="8"/>
        <v/>
      </c>
      <c r="H847" s="87"/>
      <c r="I847" s="87"/>
      <c r="J847" s="87"/>
    </row>
    <row r="848" spans="1:10">
      <c r="A848" s="2"/>
      <c r="B848" s="2"/>
      <c r="C848" s="120" t="str">
        <f>IF(B848="","",SUMIFS('A-BOM'!$D$3:$D993,'A-BOM'!$C$3:$C993,B848,'A-BOM'!$B$3:$B993,$B$2))</f>
        <v/>
      </c>
      <c r="D848" s="120" t="str">
        <f>IFERROR(IF(B848="","",VLOOKUP(B848,RM!$C$4:$F983,3,FALSE)),"")</f>
        <v/>
      </c>
      <c r="E848" s="118" t="e">
        <f t="array" aca="1" ref="E848" ca="1">_xludf.IFNA(IF(B848="","",VLOOKUP(B848,RM!$C$4:$G983,14,FALSE)),IFERROR(MIN(IF('S-BOM'!$B$3:$B993=$B848,'S-BOM'!$H$3:$H993,"")),""))</f>
        <v>#NAME?</v>
      </c>
      <c r="F848" s="87" t="str">
        <f t="shared" si="7"/>
        <v/>
      </c>
      <c r="G848" s="87" t="str">
        <f t="shared" si="8"/>
        <v/>
      </c>
      <c r="H848" s="87"/>
      <c r="I848" s="87"/>
      <c r="J848" s="87"/>
    </row>
    <row r="849" spans="1:10">
      <c r="A849" s="2"/>
      <c r="B849" s="2"/>
      <c r="C849" s="120" t="str">
        <f>IF(B849="","",SUMIFS('A-BOM'!$D$3:$D993,'A-BOM'!$C$3:$C993,B849,'A-BOM'!$B$3:$B993,$B$2))</f>
        <v/>
      </c>
      <c r="D849" s="120" t="str">
        <f>IFERROR(IF(B849="","",VLOOKUP(B849,RM!$C$4:$F983,3,FALSE)),"")</f>
        <v/>
      </c>
      <c r="E849" s="118" t="e">
        <f t="array" aca="1" ref="E849" ca="1">_xludf.IFNA(IF(B849="","",VLOOKUP(B849,RM!$C$4:$G983,14,FALSE)),IFERROR(MIN(IF('S-BOM'!$B$3:$B993=$B849,'S-BOM'!$H$3:$H993,"")),""))</f>
        <v>#NAME?</v>
      </c>
      <c r="F849" s="87" t="str">
        <f t="shared" si="7"/>
        <v/>
      </c>
      <c r="G849" s="87" t="str">
        <f t="shared" si="8"/>
        <v/>
      </c>
      <c r="H849" s="87"/>
      <c r="I849" s="87"/>
      <c r="J849" s="87"/>
    </row>
    <row r="850" spans="1:10">
      <c r="A850" s="2"/>
      <c r="B850" s="2"/>
      <c r="C850" s="120" t="str">
        <f>IF(B850="","",SUMIFS('A-BOM'!$D$3:$D993,'A-BOM'!$C$3:$C993,B850,'A-BOM'!$B$3:$B993,$B$2))</f>
        <v/>
      </c>
      <c r="D850" s="120" t="str">
        <f>IFERROR(IF(B850="","",VLOOKUP(B850,RM!$C$4:$F983,3,FALSE)),"")</f>
        <v/>
      </c>
      <c r="E850" s="118" t="e">
        <f t="array" aca="1" ref="E850" ca="1">_xludf.IFNA(IF(B850="","",VLOOKUP(B850,RM!$C$4:$G983,14,FALSE)),IFERROR(MIN(IF('S-BOM'!$B$3:$B993=$B850,'S-BOM'!$H$3:$H993,"")),""))</f>
        <v>#NAME?</v>
      </c>
      <c r="F850" s="87" t="str">
        <f t="shared" si="7"/>
        <v/>
      </c>
      <c r="G850" s="87" t="str">
        <f t="shared" si="8"/>
        <v/>
      </c>
      <c r="H850" s="87"/>
      <c r="I850" s="87"/>
      <c r="J850" s="87"/>
    </row>
    <row r="851" spans="1:10">
      <c r="A851" s="2"/>
      <c r="B851" s="2"/>
      <c r="C851" s="120" t="str">
        <f>IF(B851="","",SUMIFS('A-BOM'!$D$3:$D993,'A-BOM'!$C$3:$C993,B851,'A-BOM'!$B$3:$B993,$B$2))</f>
        <v/>
      </c>
      <c r="D851" s="120" t="str">
        <f>IFERROR(IF(B851="","",VLOOKUP(B851,RM!$C$4:$F983,3,FALSE)),"")</f>
        <v/>
      </c>
      <c r="E851" s="118" t="e">
        <f t="array" aca="1" ref="E851" ca="1">_xludf.IFNA(IF(B851="","",VLOOKUP(B851,RM!$C$4:$G983,14,FALSE)),IFERROR(MIN(IF('S-BOM'!$B$3:$B993=$B851,'S-BOM'!$H$3:$H993,"")),""))</f>
        <v>#NAME?</v>
      </c>
      <c r="F851" s="87" t="str">
        <f t="shared" si="7"/>
        <v/>
      </c>
      <c r="G851" s="87" t="str">
        <f t="shared" si="8"/>
        <v/>
      </c>
      <c r="H851" s="87"/>
      <c r="I851" s="87"/>
      <c r="J851" s="87"/>
    </row>
    <row r="852" spans="1:10">
      <c r="A852" s="2"/>
      <c r="B852" s="2"/>
      <c r="C852" s="120" t="str">
        <f>IF(B852="","",SUMIFS('A-BOM'!$D$3:$D993,'A-BOM'!$C$3:$C993,B852,'A-BOM'!$B$3:$B993,$B$2))</f>
        <v/>
      </c>
      <c r="D852" s="120" t="str">
        <f>IFERROR(IF(B852="","",VLOOKUP(B852,RM!$C$4:$F983,3,FALSE)),"")</f>
        <v/>
      </c>
      <c r="E852" s="118" t="e">
        <f t="array" aca="1" ref="E852" ca="1">_xludf.IFNA(IF(B852="","",VLOOKUP(B852,RM!$C$4:$G983,14,FALSE)),IFERROR(MIN(IF('S-BOM'!$B$3:$B993=$B852,'S-BOM'!$H$3:$H993,"")),""))</f>
        <v>#NAME?</v>
      </c>
      <c r="F852" s="87" t="str">
        <f t="shared" si="7"/>
        <v/>
      </c>
      <c r="G852" s="87" t="str">
        <f t="shared" si="8"/>
        <v/>
      </c>
      <c r="H852" s="87"/>
      <c r="I852" s="87"/>
      <c r="J852" s="87"/>
    </row>
    <row r="853" spans="1:10">
      <c r="A853" s="2"/>
      <c r="B853" s="2"/>
      <c r="C853" s="120" t="str">
        <f>IF(B853="","",SUMIFS('A-BOM'!$D$3:$D993,'A-BOM'!$C$3:$C993,B853,'A-BOM'!$B$3:$B993,$B$2))</f>
        <v/>
      </c>
      <c r="D853" s="120" t="str">
        <f>IFERROR(IF(B853="","",VLOOKUP(B853,RM!$C$4:$F983,3,FALSE)),"")</f>
        <v/>
      </c>
      <c r="E853" s="118" t="e">
        <f t="array" aca="1" ref="E853" ca="1">_xludf.IFNA(IF(B853="","",VLOOKUP(B853,RM!$C$4:$G983,14,FALSE)),IFERROR(MIN(IF('S-BOM'!$B$3:$B993=$B853,'S-BOM'!$H$3:$H993,"")),""))</f>
        <v>#NAME?</v>
      </c>
      <c r="F853" s="87" t="str">
        <f t="shared" si="7"/>
        <v/>
      </c>
      <c r="G853" s="87" t="str">
        <f t="shared" si="8"/>
        <v/>
      </c>
      <c r="H853" s="87"/>
      <c r="I853" s="87"/>
      <c r="J853" s="87"/>
    </row>
    <row r="854" spans="1:10">
      <c r="A854" s="2"/>
      <c r="B854" s="2"/>
      <c r="C854" s="120" t="str">
        <f>IF(B854="","",SUMIFS('A-BOM'!$D$3:$D993,'A-BOM'!$C$3:$C993,B854,'A-BOM'!$B$3:$B993,$B$2))</f>
        <v/>
      </c>
      <c r="D854" s="120" t="str">
        <f>IFERROR(IF(B854="","",VLOOKUP(B854,RM!$C$4:$F983,3,FALSE)),"")</f>
        <v/>
      </c>
      <c r="E854" s="118" t="e">
        <f t="array" aca="1" ref="E854" ca="1">_xludf.IFNA(IF(B854="","",VLOOKUP(B854,RM!$C$4:$G983,14,FALSE)),IFERROR(MIN(IF('S-BOM'!$B$3:$B993=$B854,'S-BOM'!$H$3:$H993,"")),""))</f>
        <v>#NAME?</v>
      </c>
      <c r="F854" s="87" t="str">
        <f t="shared" si="7"/>
        <v/>
      </c>
      <c r="G854" s="87" t="str">
        <f t="shared" si="8"/>
        <v/>
      </c>
      <c r="H854" s="87"/>
      <c r="I854" s="87"/>
      <c r="J854" s="87"/>
    </row>
    <row r="855" spans="1:10">
      <c r="A855" s="2"/>
      <c r="B855" s="2"/>
      <c r="C855" s="120" t="str">
        <f>IF(B855="","",SUMIFS('A-BOM'!$D$3:$D993,'A-BOM'!$C$3:$C993,B855,'A-BOM'!$B$3:$B993,$B$2))</f>
        <v/>
      </c>
      <c r="D855" s="120" t="str">
        <f>IFERROR(IF(B855="","",VLOOKUP(B855,RM!$C$4:$F983,3,FALSE)),"")</f>
        <v/>
      </c>
      <c r="E855" s="118" t="e">
        <f t="array" aca="1" ref="E855" ca="1">_xludf.IFNA(IF(B855="","",VLOOKUP(B855,RM!$C$4:$G983,14,FALSE)),IFERROR(MIN(IF('S-BOM'!$B$3:$B993=$B855,'S-BOM'!$H$3:$H993,"")),""))</f>
        <v>#NAME?</v>
      </c>
      <c r="F855" s="87" t="str">
        <f t="shared" si="7"/>
        <v/>
      </c>
      <c r="G855" s="87" t="str">
        <f t="shared" si="8"/>
        <v/>
      </c>
      <c r="H855" s="87"/>
      <c r="I855" s="87"/>
      <c r="J855" s="87"/>
    </row>
    <row r="856" spans="1:10">
      <c r="A856" s="2"/>
      <c r="B856" s="2"/>
      <c r="C856" s="120" t="str">
        <f>IF(B856="","",SUMIFS('A-BOM'!$D$3:$D993,'A-BOM'!$C$3:$C993,B856,'A-BOM'!$B$3:$B993,$B$2))</f>
        <v/>
      </c>
      <c r="D856" s="120" t="str">
        <f>IFERROR(IF(B856="","",VLOOKUP(B856,RM!$C$4:$F983,3,FALSE)),"")</f>
        <v/>
      </c>
      <c r="E856" s="118" t="e">
        <f t="array" aca="1" ref="E856" ca="1">_xludf.IFNA(IF(B856="","",VLOOKUP(B856,RM!$C$4:$G983,14,FALSE)),IFERROR(MIN(IF('S-BOM'!$B$3:$B993=$B856,'S-BOM'!$H$3:$H993,"")),""))</f>
        <v>#NAME?</v>
      </c>
      <c r="F856" s="87" t="str">
        <f t="shared" si="7"/>
        <v/>
      </c>
      <c r="G856" s="87" t="str">
        <f t="shared" si="8"/>
        <v/>
      </c>
      <c r="H856" s="87"/>
      <c r="I856" s="87"/>
      <c r="J856" s="87"/>
    </row>
    <row r="857" spans="1:10">
      <c r="A857" s="2"/>
      <c r="B857" s="2"/>
      <c r="C857" s="120" t="str">
        <f>IF(B857="","",SUMIFS('A-BOM'!$D$3:$D993,'A-BOM'!$C$3:$C993,B857,'A-BOM'!$B$3:$B993,$B$2))</f>
        <v/>
      </c>
      <c r="D857" s="120" t="str">
        <f>IFERROR(IF(B857="","",VLOOKUP(B857,RM!$C$4:$F983,3,FALSE)),"")</f>
        <v/>
      </c>
      <c r="E857" s="118" t="e">
        <f t="array" aca="1" ref="E857" ca="1">_xludf.IFNA(IF(B857="","",VLOOKUP(B857,RM!$C$4:$G983,14,FALSE)),IFERROR(MIN(IF('S-BOM'!$B$3:$B993=$B857,'S-BOM'!$H$3:$H993,"")),""))</f>
        <v>#NAME?</v>
      </c>
      <c r="F857" s="87" t="str">
        <f t="shared" si="7"/>
        <v/>
      </c>
      <c r="G857" s="87" t="str">
        <f t="shared" si="8"/>
        <v/>
      </c>
      <c r="H857" s="87"/>
      <c r="I857" s="87"/>
      <c r="J857" s="87"/>
    </row>
    <row r="858" spans="1:10">
      <c r="A858" s="2"/>
      <c r="B858" s="2"/>
      <c r="C858" s="120" t="str">
        <f>IF(B858="","",SUMIFS('A-BOM'!$D$3:$D993,'A-BOM'!$C$3:$C993,B858,'A-BOM'!$B$3:$B993,$B$2))</f>
        <v/>
      </c>
      <c r="D858" s="120" t="str">
        <f>IFERROR(IF(B858="","",VLOOKUP(B858,RM!$C$4:$F983,3,FALSE)),"")</f>
        <v/>
      </c>
      <c r="E858" s="118" t="e">
        <f t="array" aca="1" ref="E858" ca="1">_xludf.IFNA(IF(B858="","",VLOOKUP(B858,RM!$C$4:$G983,14,FALSE)),IFERROR(MIN(IF('S-BOM'!$B$3:$B993=$B858,'S-BOM'!$H$3:$H993,"")),""))</f>
        <v>#NAME?</v>
      </c>
      <c r="F858" s="87" t="str">
        <f t="shared" si="7"/>
        <v/>
      </c>
      <c r="G858" s="87" t="str">
        <f t="shared" si="8"/>
        <v/>
      </c>
      <c r="H858" s="87"/>
      <c r="I858" s="87"/>
      <c r="J858" s="87"/>
    </row>
    <row r="859" spans="1:10">
      <c r="A859" s="2"/>
      <c r="B859" s="2"/>
      <c r="C859" s="120" t="str">
        <f>IF(B859="","",SUMIFS('A-BOM'!$D$3:$D993,'A-BOM'!$C$3:$C993,B859,'A-BOM'!$B$3:$B993,$B$2))</f>
        <v/>
      </c>
      <c r="D859" s="120" t="str">
        <f>IFERROR(IF(B859="","",VLOOKUP(B859,RM!$C$4:$F983,3,FALSE)),"")</f>
        <v/>
      </c>
      <c r="E859" s="118" t="e">
        <f t="array" aca="1" ref="E859" ca="1">_xludf.IFNA(IF(B859="","",VLOOKUP(B859,RM!$C$4:$G983,14,FALSE)),IFERROR(MIN(IF('S-BOM'!$B$3:$B993=$B859,'S-BOM'!$H$3:$H993,"")),""))</f>
        <v>#NAME?</v>
      </c>
      <c r="F859" s="87" t="str">
        <f t="shared" si="7"/>
        <v/>
      </c>
      <c r="G859" s="87" t="str">
        <f t="shared" si="8"/>
        <v/>
      </c>
      <c r="H859" s="87"/>
      <c r="I859" s="87"/>
      <c r="J859" s="87"/>
    </row>
    <row r="860" spans="1:10">
      <c r="A860" s="2"/>
      <c r="B860" s="2"/>
      <c r="C860" s="120" t="str">
        <f>IF(B860="","",SUMIFS('A-BOM'!$D$3:$D993,'A-BOM'!$C$3:$C993,B860,'A-BOM'!$B$3:$B993,$B$2))</f>
        <v/>
      </c>
      <c r="D860" s="120" t="str">
        <f>IFERROR(IF(B860="","",VLOOKUP(B860,RM!$C$4:$F983,3,FALSE)),"")</f>
        <v/>
      </c>
      <c r="E860" s="118" t="e">
        <f t="array" aca="1" ref="E860" ca="1">_xludf.IFNA(IF(B860="","",VLOOKUP(B860,RM!$C$4:$G983,14,FALSE)),IFERROR(MIN(IF('S-BOM'!$B$3:$B993=$B860,'S-BOM'!$H$3:$H993,"")),""))</f>
        <v>#NAME?</v>
      </c>
      <c r="F860" s="87" t="str">
        <f t="shared" si="7"/>
        <v/>
      </c>
      <c r="G860" s="87" t="str">
        <f t="shared" si="8"/>
        <v/>
      </c>
      <c r="H860" s="87"/>
      <c r="I860" s="87"/>
      <c r="J860" s="87"/>
    </row>
    <row r="861" spans="1:10">
      <c r="A861" s="2"/>
      <c r="B861" s="2"/>
      <c r="C861" s="120" t="str">
        <f>IF(B861="","",SUMIFS('A-BOM'!$D$3:$D993,'A-BOM'!$C$3:$C993,B861,'A-BOM'!$B$3:$B993,$B$2))</f>
        <v/>
      </c>
      <c r="D861" s="120" t="str">
        <f>IFERROR(IF(B861="","",VLOOKUP(B861,RM!$C$4:$F983,3,FALSE)),"")</f>
        <v/>
      </c>
      <c r="E861" s="118" t="e">
        <f t="array" aca="1" ref="E861" ca="1">_xludf.IFNA(IF(B861="","",VLOOKUP(B861,RM!$C$4:$G983,14,FALSE)),IFERROR(MIN(IF('S-BOM'!$B$3:$B993=$B861,'S-BOM'!$H$3:$H993,"")),""))</f>
        <v>#NAME?</v>
      </c>
      <c r="F861" s="87" t="str">
        <f t="shared" si="7"/>
        <v/>
      </c>
      <c r="G861" s="87" t="str">
        <f t="shared" si="8"/>
        <v/>
      </c>
      <c r="H861" s="87"/>
      <c r="I861" s="87"/>
      <c r="J861" s="87"/>
    </row>
    <row r="862" spans="1:10">
      <c r="A862" s="2"/>
      <c r="B862" s="2"/>
      <c r="C862" s="120" t="str">
        <f>IF(B862="","",SUMIFS('A-BOM'!$D$3:$D993,'A-BOM'!$C$3:$C993,B862,'A-BOM'!$B$3:$B993,$B$2))</f>
        <v/>
      </c>
      <c r="D862" s="120" t="str">
        <f>IFERROR(IF(B862="","",VLOOKUP(B862,RM!$C$4:$F983,3,FALSE)),"")</f>
        <v/>
      </c>
      <c r="E862" s="118" t="e">
        <f t="array" aca="1" ref="E862" ca="1">_xludf.IFNA(IF(B862="","",VLOOKUP(B862,RM!$C$4:$G983,14,FALSE)),IFERROR(MIN(IF('S-BOM'!$B$3:$B993=$B862,'S-BOM'!$H$3:$H993,"")),""))</f>
        <v>#NAME?</v>
      </c>
      <c r="F862" s="87" t="str">
        <f t="shared" si="7"/>
        <v/>
      </c>
      <c r="G862" s="87" t="str">
        <f t="shared" si="8"/>
        <v/>
      </c>
      <c r="H862" s="87"/>
      <c r="I862" s="87"/>
      <c r="J862" s="87"/>
    </row>
    <row r="863" spans="1:10">
      <c r="A863" s="2"/>
      <c r="B863" s="2"/>
      <c r="C863" s="120" t="str">
        <f>IF(B863="","",SUMIFS('A-BOM'!$D$3:$D993,'A-BOM'!$C$3:$C993,B863,'A-BOM'!$B$3:$B993,$B$2))</f>
        <v/>
      </c>
      <c r="D863" s="120" t="str">
        <f>IFERROR(IF(B863="","",VLOOKUP(B863,RM!$C$4:$F983,3,FALSE)),"")</f>
        <v/>
      </c>
      <c r="E863" s="118" t="e">
        <f t="array" aca="1" ref="E863" ca="1">_xludf.IFNA(IF(B863="","",VLOOKUP(B863,RM!$C$4:$G983,14,FALSE)),IFERROR(MIN(IF('S-BOM'!$B$3:$B993=$B863,'S-BOM'!$H$3:$H993,"")),""))</f>
        <v>#NAME?</v>
      </c>
      <c r="F863" s="87" t="str">
        <f t="shared" si="7"/>
        <v/>
      </c>
      <c r="G863" s="87" t="str">
        <f t="shared" si="8"/>
        <v/>
      </c>
      <c r="H863" s="87"/>
      <c r="I863" s="87"/>
      <c r="J863" s="87"/>
    </row>
    <row r="864" spans="1:10">
      <c r="A864" s="2"/>
      <c r="B864" s="2"/>
      <c r="C864" s="120" t="str">
        <f>IF(B864="","",SUMIFS('A-BOM'!$D$3:$D993,'A-BOM'!$C$3:$C993,B864,'A-BOM'!$B$3:$B993,$B$2))</f>
        <v/>
      </c>
      <c r="D864" s="120" t="str">
        <f>IFERROR(IF(B864="","",VLOOKUP(B864,RM!$C$4:$F983,3,FALSE)),"")</f>
        <v/>
      </c>
      <c r="E864" s="118" t="e">
        <f t="array" aca="1" ref="E864" ca="1">_xludf.IFNA(IF(B864="","",VLOOKUP(B864,RM!$C$4:$G983,14,FALSE)),IFERROR(MIN(IF('S-BOM'!$B$3:$B993=$B864,'S-BOM'!$H$3:$H993,"")),""))</f>
        <v>#NAME?</v>
      </c>
      <c r="F864" s="87" t="str">
        <f t="shared" si="7"/>
        <v/>
      </c>
      <c r="G864" s="87" t="str">
        <f t="shared" si="8"/>
        <v/>
      </c>
      <c r="H864" s="87"/>
      <c r="I864" s="87"/>
      <c r="J864" s="87"/>
    </row>
    <row r="865" spans="1:10">
      <c r="A865" s="2"/>
      <c r="B865" s="2"/>
      <c r="C865" s="120" t="str">
        <f>IF(B865="","",SUMIFS('A-BOM'!$D$3:$D993,'A-BOM'!$C$3:$C993,B865,'A-BOM'!$B$3:$B993,$B$2))</f>
        <v/>
      </c>
      <c r="D865" s="120" t="str">
        <f>IFERROR(IF(B865="","",VLOOKUP(B865,RM!$C$4:$F983,3,FALSE)),"")</f>
        <v/>
      </c>
      <c r="E865" s="118" t="e">
        <f t="array" aca="1" ref="E865" ca="1">_xludf.IFNA(IF(B865="","",VLOOKUP(B865,RM!$C$4:$G983,14,FALSE)),IFERROR(MIN(IF('S-BOM'!$B$3:$B993=$B865,'S-BOM'!$H$3:$H993,"")),""))</f>
        <v>#NAME?</v>
      </c>
      <c r="F865" s="87" t="str">
        <f t="shared" si="7"/>
        <v/>
      </c>
      <c r="G865" s="87" t="str">
        <f t="shared" si="8"/>
        <v/>
      </c>
      <c r="H865" s="87"/>
      <c r="I865" s="87"/>
      <c r="J865" s="87"/>
    </row>
    <row r="866" spans="1:10">
      <c r="A866" s="2"/>
      <c r="B866" s="2"/>
      <c r="C866" s="120" t="str">
        <f>IF(B866="","",SUMIFS('A-BOM'!$D$3:$D993,'A-BOM'!$C$3:$C993,B866,'A-BOM'!$B$3:$B993,$B$2))</f>
        <v/>
      </c>
      <c r="D866" s="120" t="str">
        <f>IFERROR(IF(B866="","",VLOOKUP(B866,RM!$C$4:$F983,3,FALSE)),"")</f>
        <v/>
      </c>
      <c r="E866" s="118" t="e">
        <f t="array" aca="1" ref="E866" ca="1">_xludf.IFNA(IF(B866="","",VLOOKUP(B866,RM!$C$4:$G983,14,FALSE)),IFERROR(MIN(IF('S-BOM'!$B$3:$B993=$B866,'S-BOM'!$H$3:$H993,"")),""))</f>
        <v>#NAME?</v>
      </c>
      <c r="F866" s="87" t="str">
        <f t="shared" si="7"/>
        <v/>
      </c>
      <c r="G866" s="87" t="str">
        <f t="shared" si="8"/>
        <v/>
      </c>
      <c r="H866" s="87"/>
      <c r="I866" s="87"/>
      <c r="J866" s="87"/>
    </row>
    <row r="867" spans="1:10">
      <c r="A867" s="2"/>
      <c r="B867" s="2"/>
      <c r="C867" s="120" t="str">
        <f>IF(B867="","",SUMIFS('A-BOM'!$D$3:$D993,'A-BOM'!$C$3:$C993,B867,'A-BOM'!$B$3:$B993,$B$2))</f>
        <v/>
      </c>
      <c r="D867" s="120" t="str">
        <f>IFERROR(IF(B867="","",VLOOKUP(B867,RM!$C$4:$F983,3,FALSE)),"")</f>
        <v/>
      </c>
      <c r="E867" s="118" t="e">
        <f t="array" aca="1" ref="E867" ca="1">_xludf.IFNA(IF(B867="","",VLOOKUP(B867,RM!$C$4:$G983,14,FALSE)),IFERROR(MIN(IF('S-BOM'!$B$3:$B993=$B867,'S-BOM'!$H$3:$H993,"")),""))</f>
        <v>#NAME?</v>
      </c>
      <c r="F867" s="87" t="str">
        <f t="shared" si="7"/>
        <v/>
      </c>
      <c r="G867" s="87" t="str">
        <f t="shared" si="8"/>
        <v/>
      </c>
      <c r="H867" s="87"/>
      <c r="I867" s="87"/>
      <c r="J867" s="87"/>
    </row>
    <row r="868" spans="1:10">
      <c r="A868" s="2"/>
      <c r="B868" s="2"/>
      <c r="C868" s="120" t="str">
        <f>IF(B868="","",SUMIFS('A-BOM'!$D$3:$D993,'A-BOM'!$C$3:$C993,B868,'A-BOM'!$B$3:$B993,$B$2))</f>
        <v/>
      </c>
      <c r="D868" s="120" t="str">
        <f>IFERROR(IF(B868="","",VLOOKUP(B868,RM!$C$4:$F983,3,FALSE)),"")</f>
        <v/>
      </c>
      <c r="E868" s="118" t="e">
        <f t="array" aca="1" ref="E868" ca="1">_xludf.IFNA(IF(B868="","",VLOOKUP(B868,RM!$C$4:$G983,14,FALSE)),IFERROR(MIN(IF('S-BOM'!$B$3:$B993=$B868,'S-BOM'!$H$3:$H993,"")),""))</f>
        <v>#NAME?</v>
      </c>
      <c r="F868" s="87" t="str">
        <f t="shared" si="7"/>
        <v/>
      </c>
      <c r="G868" s="87" t="str">
        <f t="shared" si="8"/>
        <v/>
      </c>
      <c r="H868" s="87"/>
      <c r="I868" s="87"/>
      <c r="J868" s="87"/>
    </row>
    <row r="869" spans="1:10">
      <c r="A869" s="2"/>
      <c r="B869" s="2"/>
      <c r="C869" s="120" t="str">
        <f>IF(B869="","",SUMIFS('A-BOM'!$D$3:$D993,'A-BOM'!$C$3:$C993,B869,'A-BOM'!$B$3:$B993,$B$2))</f>
        <v/>
      </c>
      <c r="D869" s="120" t="str">
        <f>IFERROR(IF(B869="","",VLOOKUP(B869,RM!$C$4:$F983,3,FALSE)),"")</f>
        <v/>
      </c>
      <c r="E869" s="118" t="e">
        <f t="array" aca="1" ref="E869" ca="1">_xludf.IFNA(IF(B869="","",VLOOKUP(B869,RM!$C$4:$G983,14,FALSE)),IFERROR(MIN(IF('S-BOM'!$B$3:$B993=$B869,'S-BOM'!$H$3:$H993,"")),""))</f>
        <v>#NAME?</v>
      </c>
      <c r="F869" s="87" t="str">
        <f t="shared" si="7"/>
        <v/>
      </c>
      <c r="G869" s="87" t="str">
        <f t="shared" si="8"/>
        <v/>
      </c>
      <c r="H869" s="87"/>
      <c r="I869" s="87"/>
      <c r="J869" s="87"/>
    </row>
    <row r="870" spans="1:10">
      <c r="A870" s="2"/>
      <c r="B870" s="2"/>
      <c r="C870" s="120" t="str">
        <f>IF(B870="","",SUMIFS('A-BOM'!$D$3:$D993,'A-BOM'!$C$3:$C993,B870,'A-BOM'!$B$3:$B993,$B$2))</f>
        <v/>
      </c>
      <c r="D870" s="120" t="str">
        <f>IFERROR(IF(B870="","",VLOOKUP(B870,RM!$C$4:$F983,3,FALSE)),"")</f>
        <v/>
      </c>
      <c r="E870" s="118" t="e">
        <f t="array" aca="1" ref="E870" ca="1">_xludf.IFNA(IF(B870="","",VLOOKUP(B870,RM!$C$4:$G983,14,FALSE)),IFERROR(MIN(IF('S-BOM'!$B$3:$B993=$B870,'S-BOM'!$H$3:$H993,"")),""))</f>
        <v>#NAME?</v>
      </c>
      <c r="F870" s="87" t="str">
        <f t="shared" si="7"/>
        <v/>
      </c>
      <c r="G870" s="87" t="str">
        <f t="shared" si="8"/>
        <v/>
      </c>
      <c r="H870" s="87"/>
      <c r="I870" s="87"/>
      <c r="J870" s="87"/>
    </row>
    <row r="871" spans="1:10">
      <c r="A871" s="2"/>
      <c r="B871" s="2"/>
      <c r="C871" s="120" t="str">
        <f>IF(B871="","",SUMIFS('A-BOM'!$D$3:$D993,'A-BOM'!$C$3:$C993,B871,'A-BOM'!$B$3:$B993,$B$2))</f>
        <v/>
      </c>
      <c r="D871" s="120" t="str">
        <f>IFERROR(IF(B871="","",VLOOKUP(B871,RM!$C$4:$F983,3,FALSE)),"")</f>
        <v/>
      </c>
      <c r="E871" s="118" t="e">
        <f t="array" aca="1" ref="E871" ca="1">_xludf.IFNA(IF(B871="","",VLOOKUP(B871,RM!$C$4:$G983,14,FALSE)),IFERROR(MIN(IF('S-BOM'!$B$3:$B993=$B871,'S-BOM'!$H$3:$H993,"")),""))</f>
        <v>#NAME?</v>
      </c>
      <c r="F871" s="87" t="str">
        <f t="shared" si="7"/>
        <v/>
      </c>
      <c r="G871" s="87" t="str">
        <f t="shared" si="8"/>
        <v/>
      </c>
      <c r="H871" s="87"/>
      <c r="I871" s="87"/>
      <c r="J871" s="87"/>
    </row>
    <row r="872" spans="1:10">
      <c r="A872" s="2"/>
      <c r="B872" s="2"/>
      <c r="C872" s="120" t="str">
        <f>IF(B872="","",SUMIFS('A-BOM'!$D$3:$D993,'A-BOM'!$C$3:$C993,B872,'A-BOM'!$B$3:$B993,$B$2))</f>
        <v/>
      </c>
      <c r="D872" s="120" t="str">
        <f>IFERROR(IF(B872="","",VLOOKUP(B872,RM!$C$4:$F983,3,FALSE)),"")</f>
        <v/>
      </c>
      <c r="E872" s="118" t="e">
        <f t="array" aca="1" ref="E872" ca="1">_xludf.IFNA(IF(B872="","",VLOOKUP(B872,RM!$C$4:$G983,14,FALSE)),IFERROR(MIN(IF('S-BOM'!$B$3:$B993=$B872,'S-BOM'!$H$3:$H993,"")),""))</f>
        <v>#NAME?</v>
      </c>
      <c r="F872" s="87" t="str">
        <f t="shared" si="7"/>
        <v/>
      </c>
      <c r="G872" s="87" t="str">
        <f t="shared" si="8"/>
        <v/>
      </c>
      <c r="H872" s="87"/>
      <c r="I872" s="87"/>
      <c r="J872" s="87"/>
    </row>
    <row r="873" spans="1:10">
      <c r="A873" s="2"/>
      <c r="B873" s="2"/>
      <c r="C873" s="120" t="str">
        <f>IF(B873="","",SUMIFS('A-BOM'!$D$3:$D993,'A-BOM'!$C$3:$C993,B873,'A-BOM'!$B$3:$B993,$B$2))</f>
        <v/>
      </c>
      <c r="D873" s="120" t="str">
        <f>IFERROR(IF(B873="","",VLOOKUP(B873,RM!$C$4:$F983,3,FALSE)),"")</f>
        <v/>
      </c>
      <c r="E873" s="118" t="e">
        <f t="array" aca="1" ref="E873" ca="1">_xludf.IFNA(IF(B873="","",VLOOKUP(B873,RM!$C$4:$G983,14,FALSE)),IFERROR(MIN(IF('S-BOM'!$B$3:$B993=$B873,'S-BOM'!$H$3:$H993,"")),""))</f>
        <v>#NAME?</v>
      </c>
      <c r="F873" s="87" t="str">
        <f t="shared" si="7"/>
        <v/>
      </c>
      <c r="G873" s="87" t="str">
        <f t="shared" si="8"/>
        <v/>
      </c>
      <c r="H873" s="87"/>
      <c r="I873" s="87"/>
      <c r="J873" s="87"/>
    </row>
    <row r="874" spans="1:10">
      <c r="A874" s="2"/>
      <c r="B874" s="2"/>
      <c r="C874" s="120" t="str">
        <f>IF(B874="","",SUMIFS('A-BOM'!$D$3:$D993,'A-BOM'!$C$3:$C993,B874,'A-BOM'!$B$3:$B993,$B$2))</f>
        <v/>
      </c>
      <c r="D874" s="120" t="str">
        <f>IFERROR(IF(B874="","",VLOOKUP(B874,RM!$C$4:$F983,3,FALSE)),"")</f>
        <v/>
      </c>
      <c r="E874" s="118" t="e">
        <f t="array" aca="1" ref="E874" ca="1">_xludf.IFNA(IF(B874="","",VLOOKUP(B874,RM!$C$4:$G983,14,FALSE)),IFERROR(MIN(IF('S-BOM'!$B$3:$B993=$B874,'S-BOM'!$H$3:$H993,"")),""))</f>
        <v>#NAME?</v>
      </c>
      <c r="F874" s="87" t="str">
        <f t="shared" si="7"/>
        <v/>
      </c>
      <c r="G874" s="87" t="str">
        <f t="shared" si="8"/>
        <v/>
      </c>
      <c r="H874" s="87"/>
      <c r="I874" s="87"/>
      <c r="J874" s="87"/>
    </row>
    <row r="875" spans="1:10">
      <c r="A875" s="2"/>
      <c r="B875" s="2"/>
      <c r="C875" s="120" t="str">
        <f>IF(B875="","",SUMIFS('A-BOM'!$D$3:$D993,'A-BOM'!$C$3:$C993,B875,'A-BOM'!$B$3:$B993,$B$2))</f>
        <v/>
      </c>
      <c r="D875" s="120" t="str">
        <f>IFERROR(IF(B875="","",VLOOKUP(B875,RM!$C$4:$F983,3,FALSE)),"")</f>
        <v/>
      </c>
      <c r="E875" s="118" t="e">
        <f t="array" aca="1" ref="E875" ca="1">_xludf.IFNA(IF(B875="","",VLOOKUP(B875,RM!$C$4:$G983,14,FALSE)),IFERROR(MIN(IF('S-BOM'!$B$3:$B993=$B875,'S-BOM'!$H$3:$H993,"")),""))</f>
        <v>#NAME?</v>
      </c>
      <c r="F875" s="87" t="str">
        <f t="shared" si="7"/>
        <v/>
      </c>
      <c r="G875" s="87" t="str">
        <f t="shared" si="8"/>
        <v/>
      </c>
      <c r="H875" s="87"/>
      <c r="I875" s="87"/>
      <c r="J875" s="87"/>
    </row>
    <row r="876" spans="1:10">
      <c r="A876" s="2"/>
      <c r="B876" s="2"/>
      <c r="C876" s="120" t="str">
        <f>IF(B876="","",SUMIFS('A-BOM'!$D$3:$D993,'A-BOM'!$C$3:$C993,B876,'A-BOM'!$B$3:$B993,$B$2))</f>
        <v/>
      </c>
      <c r="D876" s="120" t="str">
        <f>IFERROR(IF(B876="","",VLOOKUP(B876,RM!$C$4:$F983,3,FALSE)),"")</f>
        <v/>
      </c>
      <c r="E876" s="118" t="e">
        <f t="array" aca="1" ref="E876" ca="1">_xludf.IFNA(IF(B876="","",VLOOKUP(B876,RM!$C$4:$G983,14,FALSE)),IFERROR(MIN(IF('S-BOM'!$B$3:$B993=$B876,'S-BOM'!$H$3:$H993,"")),""))</f>
        <v>#NAME?</v>
      </c>
      <c r="F876" s="87" t="str">
        <f t="shared" si="7"/>
        <v/>
      </c>
      <c r="G876" s="87" t="str">
        <f t="shared" si="8"/>
        <v/>
      </c>
      <c r="H876" s="87"/>
      <c r="I876" s="87"/>
      <c r="J876" s="87"/>
    </row>
    <row r="877" spans="1:10">
      <c r="A877" s="2"/>
      <c r="B877" s="2"/>
      <c r="C877" s="120" t="str">
        <f>IF(B877="","",SUMIFS('A-BOM'!$D$3:$D993,'A-BOM'!$C$3:$C993,B877,'A-BOM'!$B$3:$B993,$B$2))</f>
        <v/>
      </c>
      <c r="D877" s="120" t="str">
        <f>IFERROR(IF(B877="","",VLOOKUP(B877,RM!$C$4:$F983,3,FALSE)),"")</f>
        <v/>
      </c>
      <c r="E877" s="118" t="e">
        <f t="array" aca="1" ref="E877" ca="1">_xludf.IFNA(IF(B877="","",VLOOKUP(B877,RM!$C$4:$G983,14,FALSE)),IFERROR(MIN(IF('S-BOM'!$B$3:$B993=$B877,'S-BOM'!$H$3:$H993,"")),""))</f>
        <v>#NAME?</v>
      </c>
      <c r="F877" s="87" t="str">
        <f t="shared" si="7"/>
        <v/>
      </c>
      <c r="G877" s="87" t="str">
        <f t="shared" si="8"/>
        <v/>
      </c>
      <c r="H877" s="87"/>
      <c r="I877" s="87"/>
      <c r="J877" s="87"/>
    </row>
    <row r="878" spans="1:10">
      <c r="A878" s="2"/>
      <c r="B878" s="2"/>
      <c r="C878" s="120" t="str">
        <f>IF(B878="","",SUMIFS('A-BOM'!$D$3:$D993,'A-BOM'!$C$3:$C993,B878,'A-BOM'!$B$3:$B993,$B$2))</f>
        <v/>
      </c>
      <c r="D878" s="120" t="str">
        <f>IFERROR(IF(B878="","",VLOOKUP(B878,RM!$C$4:$F983,3,FALSE)),"")</f>
        <v/>
      </c>
      <c r="E878" s="118" t="e">
        <f t="array" aca="1" ref="E878" ca="1">_xludf.IFNA(IF(B878="","",VLOOKUP(B878,RM!$C$4:$G983,14,FALSE)),IFERROR(MIN(IF('S-BOM'!$B$3:$B993=$B878,'S-BOM'!$H$3:$H993,"")),""))</f>
        <v>#NAME?</v>
      </c>
      <c r="F878" s="87" t="str">
        <f t="shared" si="7"/>
        <v/>
      </c>
      <c r="G878" s="87" t="str">
        <f t="shared" si="8"/>
        <v/>
      </c>
      <c r="H878" s="87"/>
      <c r="I878" s="87"/>
      <c r="J878" s="87"/>
    </row>
    <row r="879" spans="1:10">
      <c r="A879" s="2"/>
      <c r="B879" s="2"/>
      <c r="C879" s="120" t="str">
        <f>IF(B879="","",SUMIFS('A-BOM'!$D$3:$D993,'A-BOM'!$C$3:$C993,B879,'A-BOM'!$B$3:$B993,$B$2))</f>
        <v/>
      </c>
      <c r="D879" s="120" t="str">
        <f>IFERROR(IF(B879="","",VLOOKUP(B879,RM!$C$4:$F983,3,FALSE)),"")</f>
        <v/>
      </c>
      <c r="E879" s="118" t="e">
        <f t="array" aca="1" ref="E879" ca="1">_xludf.IFNA(IF(B879="","",VLOOKUP(B879,RM!$C$4:$G983,14,FALSE)),IFERROR(MIN(IF('S-BOM'!$B$3:$B993=$B879,'S-BOM'!$H$3:$H993,"")),""))</f>
        <v>#NAME?</v>
      </c>
      <c r="F879" s="87" t="str">
        <f t="shared" si="7"/>
        <v/>
      </c>
      <c r="G879" s="87" t="str">
        <f t="shared" si="8"/>
        <v/>
      </c>
      <c r="H879" s="87"/>
      <c r="I879" s="87"/>
      <c r="J879" s="87"/>
    </row>
    <row r="880" spans="1:10">
      <c r="A880" s="2"/>
      <c r="B880" s="2"/>
      <c r="C880" s="120" t="str">
        <f>IF(B880="","",SUMIFS('A-BOM'!$D$3:$D993,'A-BOM'!$C$3:$C993,B880,'A-BOM'!$B$3:$B993,$B$2))</f>
        <v/>
      </c>
      <c r="D880" s="120" t="str">
        <f>IFERROR(IF(B880="","",VLOOKUP(B880,RM!$C$4:$F983,3,FALSE)),"")</f>
        <v/>
      </c>
      <c r="E880" s="118" t="e">
        <f t="array" aca="1" ref="E880" ca="1">_xludf.IFNA(IF(B880="","",VLOOKUP(B880,RM!$C$4:$G983,14,FALSE)),IFERROR(MIN(IF('S-BOM'!$B$3:$B993=$B880,'S-BOM'!$H$3:$H993,"")),""))</f>
        <v>#NAME?</v>
      </c>
      <c r="F880" s="87" t="str">
        <f t="shared" si="7"/>
        <v/>
      </c>
      <c r="G880" s="87" t="str">
        <f t="shared" si="8"/>
        <v/>
      </c>
      <c r="H880" s="87"/>
      <c r="I880" s="87"/>
      <c r="J880" s="87"/>
    </row>
    <row r="881" spans="1:10">
      <c r="A881" s="2"/>
      <c r="B881" s="2"/>
      <c r="C881" s="120" t="str">
        <f>IF(B881="","",SUMIFS('A-BOM'!$D$3:$D993,'A-BOM'!$C$3:$C993,B881,'A-BOM'!$B$3:$B993,$B$2))</f>
        <v/>
      </c>
      <c r="D881" s="120" t="str">
        <f>IFERROR(IF(B881="","",VLOOKUP(B881,RM!$C$4:$F983,3,FALSE)),"")</f>
        <v/>
      </c>
      <c r="E881" s="118" t="e">
        <f t="array" aca="1" ref="E881" ca="1">_xludf.IFNA(IF(B881="","",VLOOKUP(B881,RM!$C$4:$G983,14,FALSE)),IFERROR(MIN(IF('S-BOM'!$B$3:$B993=$B881,'S-BOM'!$H$3:$H993,"")),""))</f>
        <v>#NAME?</v>
      </c>
      <c r="F881" s="87" t="str">
        <f t="shared" si="7"/>
        <v/>
      </c>
      <c r="G881" s="87" t="str">
        <f t="shared" si="8"/>
        <v/>
      </c>
      <c r="H881" s="87"/>
      <c r="I881" s="87"/>
      <c r="J881" s="87"/>
    </row>
    <row r="882" spans="1:10">
      <c r="A882" s="2"/>
      <c r="B882" s="2"/>
      <c r="C882" s="120" t="str">
        <f>IF(B882="","",SUMIFS('A-BOM'!$D$3:$D993,'A-BOM'!$C$3:$C993,B882,'A-BOM'!$B$3:$B993,$B$2))</f>
        <v/>
      </c>
      <c r="D882" s="120" t="str">
        <f>IFERROR(IF(B882="","",VLOOKUP(B882,RM!$C$4:$F983,3,FALSE)),"")</f>
        <v/>
      </c>
      <c r="E882" s="118" t="e">
        <f t="array" aca="1" ref="E882" ca="1">_xludf.IFNA(IF(B882="","",VLOOKUP(B882,RM!$C$4:$G983,14,FALSE)),IFERROR(MIN(IF('S-BOM'!$B$3:$B993=$B882,'S-BOM'!$H$3:$H993,"")),""))</f>
        <v>#NAME?</v>
      </c>
      <c r="F882" s="87" t="str">
        <f t="shared" si="7"/>
        <v/>
      </c>
      <c r="G882" s="87" t="str">
        <f t="shared" si="8"/>
        <v/>
      </c>
      <c r="H882" s="87"/>
      <c r="I882" s="87"/>
      <c r="J882" s="87"/>
    </row>
    <row r="883" spans="1:10">
      <c r="A883" s="2"/>
      <c r="B883" s="2"/>
      <c r="C883" s="120" t="str">
        <f>IF(B883="","",SUMIFS('A-BOM'!$D$3:$D993,'A-BOM'!$C$3:$C993,B883,'A-BOM'!$B$3:$B993,$B$2))</f>
        <v/>
      </c>
      <c r="D883" s="120" t="str">
        <f>IFERROR(IF(B883="","",VLOOKUP(B883,RM!$C$4:$F983,3,FALSE)),"")</f>
        <v/>
      </c>
      <c r="E883" s="118" t="e">
        <f t="array" aca="1" ref="E883" ca="1">_xludf.IFNA(IF(B883="","",VLOOKUP(B883,RM!$C$4:$G983,14,FALSE)),IFERROR(MIN(IF('S-BOM'!$B$3:$B993=$B883,'S-BOM'!$H$3:$H993,"")),""))</f>
        <v>#NAME?</v>
      </c>
      <c r="F883" s="87" t="str">
        <f t="shared" si="7"/>
        <v/>
      </c>
      <c r="G883" s="87" t="str">
        <f t="shared" si="8"/>
        <v/>
      </c>
      <c r="H883" s="87"/>
      <c r="I883" s="87"/>
      <c r="J883" s="87"/>
    </row>
    <row r="884" spans="1:10">
      <c r="A884" s="2"/>
      <c r="B884" s="2"/>
      <c r="C884" s="120" t="str">
        <f>IF(B884="","",SUMIFS('A-BOM'!$D$3:$D993,'A-BOM'!$C$3:$C993,B884,'A-BOM'!$B$3:$B993,$B$2))</f>
        <v/>
      </c>
      <c r="D884" s="120" t="str">
        <f>IFERROR(IF(B884="","",VLOOKUP(B884,RM!$C$4:$F983,3,FALSE)),"")</f>
        <v/>
      </c>
      <c r="E884" s="118" t="e">
        <f t="array" aca="1" ref="E884" ca="1">_xludf.IFNA(IF(B884="","",VLOOKUP(B884,RM!$C$4:$G983,14,FALSE)),IFERROR(MIN(IF('S-BOM'!$B$3:$B993=$B884,'S-BOM'!$H$3:$H993,"")),""))</f>
        <v>#NAME?</v>
      </c>
      <c r="F884" s="87" t="str">
        <f t="shared" si="7"/>
        <v/>
      </c>
      <c r="G884" s="87" t="str">
        <f t="shared" si="8"/>
        <v/>
      </c>
      <c r="H884" s="87"/>
      <c r="I884" s="87"/>
      <c r="J884" s="87"/>
    </row>
    <row r="885" spans="1:10">
      <c r="A885" s="2"/>
      <c r="B885" s="2"/>
      <c r="C885" s="120" t="str">
        <f>IF(B885="","",SUMIFS('A-BOM'!$D$3:$D993,'A-BOM'!$C$3:$C993,B885,'A-BOM'!$B$3:$B993,$B$2))</f>
        <v/>
      </c>
      <c r="D885" s="120" t="str">
        <f>IFERROR(IF(B885="","",VLOOKUP(B885,RM!$C$4:$F983,3,FALSE)),"")</f>
        <v/>
      </c>
      <c r="E885" s="118" t="e">
        <f t="array" aca="1" ref="E885" ca="1">_xludf.IFNA(IF(B885="","",VLOOKUP(B885,RM!$C$4:$G983,14,FALSE)),IFERROR(MIN(IF('S-BOM'!$B$3:$B993=$B885,'S-BOM'!$H$3:$H993,"")),""))</f>
        <v>#NAME?</v>
      </c>
      <c r="F885" s="87" t="str">
        <f t="shared" si="7"/>
        <v/>
      </c>
      <c r="G885" s="87" t="str">
        <f t="shared" si="8"/>
        <v/>
      </c>
      <c r="H885" s="87"/>
      <c r="I885" s="87"/>
      <c r="J885" s="87"/>
    </row>
    <row r="886" spans="1:10">
      <c r="A886" s="2"/>
      <c r="B886" s="2"/>
      <c r="C886" s="120" t="str">
        <f>IF(B886="","",SUMIFS('A-BOM'!$D$3:$D993,'A-BOM'!$C$3:$C993,B886,'A-BOM'!$B$3:$B993,$B$2))</f>
        <v/>
      </c>
      <c r="D886" s="120" t="str">
        <f>IFERROR(IF(B886="","",VLOOKUP(B886,RM!$C$4:$F983,3,FALSE)),"")</f>
        <v/>
      </c>
      <c r="E886" s="118" t="e">
        <f t="array" aca="1" ref="E886" ca="1">_xludf.IFNA(IF(B886="","",VLOOKUP(B886,RM!$C$4:$G983,14,FALSE)),IFERROR(MIN(IF('S-BOM'!$B$3:$B993=$B886,'S-BOM'!$H$3:$H993,"")),""))</f>
        <v>#NAME?</v>
      </c>
      <c r="F886" s="87" t="str">
        <f t="shared" si="7"/>
        <v/>
      </c>
      <c r="G886" s="87" t="str">
        <f t="shared" si="8"/>
        <v/>
      </c>
      <c r="H886" s="87"/>
      <c r="I886" s="87"/>
      <c r="J886" s="87"/>
    </row>
    <row r="887" spans="1:10">
      <c r="A887" s="2"/>
      <c r="B887" s="2"/>
      <c r="C887" s="120" t="str">
        <f>IF(B887="","",SUMIFS('A-BOM'!$D$3:$D993,'A-BOM'!$C$3:$C993,B887,'A-BOM'!$B$3:$B993,$B$2))</f>
        <v/>
      </c>
      <c r="D887" s="120" t="str">
        <f>IFERROR(IF(B887="","",VLOOKUP(B887,RM!$C$4:$F983,3,FALSE)),"")</f>
        <v/>
      </c>
      <c r="E887" s="118" t="e">
        <f t="array" aca="1" ref="E887" ca="1">_xludf.IFNA(IF(B887="","",VLOOKUP(B887,RM!$C$4:$G983,14,FALSE)),IFERROR(MIN(IF('S-BOM'!$B$3:$B993=$B887,'S-BOM'!$H$3:$H993,"")),""))</f>
        <v>#NAME?</v>
      </c>
      <c r="F887" s="87" t="str">
        <f t="shared" si="7"/>
        <v/>
      </c>
      <c r="G887" s="87" t="str">
        <f t="shared" si="8"/>
        <v/>
      </c>
      <c r="H887" s="87"/>
      <c r="I887" s="87"/>
      <c r="J887" s="87"/>
    </row>
    <row r="888" spans="1:10">
      <c r="A888" s="2"/>
      <c r="B888" s="2"/>
      <c r="C888" s="120" t="str">
        <f>IF(B888="","",SUMIFS('A-BOM'!$D$3:$D993,'A-BOM'!$C$3:$C993,B888,'A-BOM'!$B$3:$B993,$B$2))</f>
        <v/>
      </c>
      <c r="D888" s="120" t="str">
        <f>IFERROR(IF(B888="","",VLOOKUP(B888,RM!$C$4:$F983,3,FALSE)),"")</f>
        <v/>
      </c>
      <c r="E888" s="118" t="e">
        <f t="array" aca="1" ref="E888" ca="1">_xludf.IFNA(IF(B888="","",VLOOKUP(B888,RM!$C$4:$G983,14,FALSE)),IFERROR(MIN(IF('S-BOM'!$B$3:$B993=$B888,'S-BOM'!$H$3:$H993,"")),""))</f>
        <v>#NAME?</v>
      </c>
      <c r="F888" s="87" t="str">
        <f t="shared" si="7"/>
        <v/>
      </c>
      <c r="G888" s="87" t="str">
        <f t="shared" si="8"/>
        <v/>
      </c>
      <c r="H888" s="87"/>
      <c r="I888" s="87"/>
      <c r="J888" s="87"/>
    </row>
    <row r="889" spans="1:10">
      <c r="A889" s="2"/>
      <c r="B889" s="2"/>
      <c r="C889" s="120" t="str">
        <f>IF(B889="","",SUMIFS('A-BOM'!$D$3:$D993,'A-BOM'!$C$3:$C993,B889,'A-BOM'!$B$3:$B993,$B$2))</f>
        <v/>
      </c>
      <c r="D889" s="120" t="str">
        <f>IFERROR(IF(B889="","",VLOOKUP(B889,RM!$C$4:$F983,3,FALSE)),"")</f>
        <v/>
      </c>
      <c r="E889" s="118" t="e">
        <f t="array" aca="1" ref="E889" ca="1">_xludf.IFNA(IF(B889="","",VLOOKUP(B889,RM!$C$4:$G983,14,FALSE)),IFERROR(MIN(IF('S-BOM'!$B$3:$B993=$B889,'S-BOM'!$H$3:$H993,"")),""))</f>
        <v>#NAME?</v>
      </c>
      <c r="F889" s="87" t="str">
        <f t="shared" si="7"/>
        <v/>
      </c>
      <c r="G889" s="87" t="str">
        <f t="shared" si="8"/>
        <v/>
      </c>
      <c r="H889" s="87"/>
      <c r="I889" s="87"/>
      <c r="J889" s="87"/>
    </row>
    <row r="890" spans="1:10">
      <c r="A890" s="2"/>
      <c r="B890" s="2"/>
      <c r="C890" s="120" t="str">
        <f>IF(B890="","",SUMIFS('A-BOM'!$D$3:$D993,'A-BOM'!$C$3:$C993,B890,'A-BOM'!$B$3:$B993,$B$2))</f>
        <v/>
      </c>
      <c r="D890" s="120" t="str">
        <f>IFERROR(IF(B890="","",VLOOKUP(B890,RM!$C$4:$F983,3,FALSE)),"")</f>
        <v/>
      </c>
      <c r="E890" s="118" t="e">
        <f t="array" aca="1" ref="E890" ca="1">_xludf.IFNA(IF(B890="","",VLOOKUP(B890,RM!$C$4:$G983,14,FALSE)),IFERROR(MIN(IF('S-BOM'!$B$3:$B993=$B890,'S-BOM'!$H$3:$H993,"")),""))</f>
        <v>#NAME?</v>
      </c>
      <c r="F890" s="87" t="str">
        <f t="shared" si="7"/>
        <v/>
      </c>
      <c r="G890" s="87" t="str">
        <f t="shared" si="8"/>
        <v/>
      </c>
      <c r="H890" s="87"/>
      <c r="I890" s="87"/>
      <c r="J890" s="87"/>
    </row>
    <row r="891" spans="1:10">
      <c r="A891" s="2"/>
      <c r="B891" s="2"/>
      <c r="C891" s="120" t="str">
        <f>IF(B891="","",SUMIFS('A-BOM'!$D$3:$D993,'A-BOM'!$C$3:$C993,B891,'A-BOM'!$B$3:$B993,$B$2))</f>
        <v/>
      </c>
      <c r="D891" s="120" t="str">
        <f>IFERROR(IF(B891="","",VLOOKUP(B891,RM!$C$4:$F983,3,FALSE)),"")</f>
        <v/>
      </c>
      <c r="E891" s="118" t="e">
        <f t="array" aca="1" ref="E891" ca="1">_xludf.IFNA(IF(B891="","",VLOOKUP(B891,RM!$C$4:$G983,14,FALSE)),IFERROR(MIN(IF('S-BOM'!$B$3:$B993=$B891,'S-BOM'!$H$3:$H993,"")),""))</f>
        <v>#NAME?</v>
      </c>
      <c r="F891" s="87" t="str">
        <f t="shared" si="7"/>
        <v/>
      </c>
      <c r="G891" s="87" t="str">
        <f t="shared" si="8"/>
        <v/>
      </c>
      <c r="H891" s="87"/>
      <c r="I891" s="87"/>
      <c r="J891" s="87"/>
    </row>
    <row r="892" spans="1:10">
      <c r="A892" s="2"/>
      <c r="B892" s="2"/>
      <c r="C892" s="120" t="str">
        <f>IF(B892="","",SUMIFS('A-BOM'!$D$3:$D993,'A-BOM'!$C$3:$C993,B892,'A-BOM'!$B$3:$B993,$B$2))</f>
        <v/>
      </c>
      <c r="D892" s="120" t="str">
        <f>IFERROR(IF(B892="","",VLOOKUP(B892,RM!$C$4:$F983,3,FALSE)),"")</f>
        <v/>
      </c>
      <c r="E892" s="118" t="e">
        <f t="array" aca="1" ref="E892" ca="1">_xludf.IFNA(IF(B892="","",VLOOKUP(B892,RM!$C$4:$G983,14,FALSE)),IFERROR(MIN(IF('S-BOM'!$B$3:$B993=$B892,'S-BOM'!$H$3:$H993,"")),""))</f>
        <v>#NAME?</v>
      </c>
      <c r="F892" s="87" t="str">
        <f t="shared" si="7"/>
        <v/>
      </c>
      <c r="G892" s="87" t="str">
        <f t="shared" si="8"/>
        <v/>
      </c>
      <c r="H892" s="87"/>
      <c r="I892" s="87"/>
      <c r="J892" s="87"/>
    </row>
    <row r="893" spans="1:10">
      <c r="A893" s="2"/>
      <c r="B893" s="2"/>
      <c r="C893" s="120" t="str">
        <f>IF(B893="","",SUMIFS('A-BOM'!$D$3:$D993,'A-BOM'!$C$3:$C993,B893,'A-BOM'!$B$3:$B993,$B$2))</f>
        <v/>
      </c>
      <c r="D893" s="120" t="str">
        <f>IFERROR(IF(B893="","",VLOOKUP(B893,RM!$C$4:$F983,3,FALSE)),"")</f>
        <v/>
      </c>
      <c r="E893" s="118" t="e">
        <f t="array" aca="1" ref="E893" ca="1">_xludf.IFNA(IF(B893="","",VLOOKUP(B893,RM!$C$4:$G983,14,FALSE)),IFERROR(MIN(IF('S-BOM'!$B$3:$B993=$B893,'S-BOM'!$H$3:$H993,"")),""))</f>
        <v>#NAME?</v>
      </c>
      <c r="F893" s="87" t="str">
        <f t="shared" si="7"/>
        <v/>
      </c>
      <c r="G893" s="87" t="str">
        <f t="shared" si="8"/>
        <v/>
      </c>
      <c r="H893" s="87"/>
      <c r="I893" s="87"/>
      <c r="J893" s="87"/>
    </row>
    <row r="894" spans="1:10">
      <c r="A894" s="2"/>
      <c r="B894" s="2"/>
      <c r="C894" s="120" t="str">
        <f>IF(B894="","",SUMIFS('A-BOM'!$D$3:$D993,'A-BOM'!$C$3:$C993,B894,'A-BOM'!$B$3:$B993,$B$2))</f>
        <v/>
      </c>
      <c r="D894" s="120" t="str">
        <f>IFERROR(IF(B894="","",VLOOKUP(B894,RM!$C$4:$F983,3,FALSE)),"")</f>
        <v/>
      </c>
      <c r="E894" s="118" t="e">
        <f t="array" aca="1" ref="E894" ca="1">_xludf.IFNA(IF(B894="","",VLOOKUP(B894,RM!$C$4:$G983,14,FALSE)),IFERROR(MIN(IF('S-BOM'!$B$3:$B993=$B894,'S-BOM'!$H$3:$H993,"")),""))</f>
        <v>#NAME?</v>
      </c>
      <c r="F894" s="87" t="str">
        <f t="shared" si="7"/>
        <v/>
      </c>
      <c r="G894" s="87" t="str">
        <f t="shared" si="8"/>
        <v/>
      </c>
      <c r="H894" s="87"/>
      <c r="I894" s="87"/>
      <c r="J894" s="87"/>
    </row>
    <row r="895" spans="1:10">
      <c r="A895" s="2"/>
      <c r="B895" s="2"/>
      <c r="C895" s="120" t="str">
        <f>IF(B895="","",SUMIFS('A-BOM'!$D$3:$D993,'A-BOM'!$C$3:$C993,B895,'A-BOM'!$B$3:$B993,$B$2))</f>
        <v/>
      </c>
      <c r="D895" s="120" t="str">
        <f>IFERROR(IF(B895="","",VLOOKUP(B895,RM!$C$4:$F983,3,FALSE)),"")</f>
        <v/>
      </c>
      <c r="E895" s="118" t="e">
        <f t="array" aca="1" ref="E895" ca="1">_xludf.IFNA(IF(B895="","",VLOOKUP(B895,RM!$C$4:$G983,14,FALSE)),IFERROR(MIN(IF('S-BOM'!$B$3:$B993=$B895,'S-BOM'!$H$3:$H993,"")),""))</f>
        <v>#NAME?</v>
      </c>
      <c r="F895" s="87" t="str">
        <f t="shared" si="7"/>
        <v/>
      </c>
      <c r="G895" s="87" t="str">
        <f t="shared" si="8"/>
        <v/>
      </c>
      <c r="H895" s="87"/>
      <c r="I895" s="87"/>
      <c r="J895" s="87"/>
    </row>
    <row r="896" spans="1:10">
      <c r="A896" s="2"/>
      <c r="B896" s="2"/>
      <c r="C896" s="120" t="str">
        <f>IF(B896="","",SUMIFS('A-BOM'!$D$3:$D993,'A-BOM'!$C$3:$C993,B896,'A-BOM'!$B$3:$B993,$B$2))</f>
        <v/>
      </c>
      <c r="D896" s="120" t="str">
        <f>IFERROR(IF(B896="","",VLOOKUP(B896,RM!$C$4:$F983,3,FALSE)),"")</f>
        <v/>
      </c>
      <c r="E896" s="118" t="e">
        <f t="array" aca="1" ref="E896" ca="1">_xludf.IFNA(IF(B896="","",VLOOKUP(B896,RM!$C$4:$G983,14,FALSE)),IFERROR(MIN(IF('S-BOM'!$B$3:$B993=$B896,'S-BOM'!$H$3:$H993,"")),""))</f>
        <v>#NAME?</v>
      </c>
      <c r="F896" s="87" t="str">
        <f t="shared" si="7"/>
        <v/>
      </c>
      <c r="G896" s="87" t="str">
        <f t="shared" si="8"/>
        <v/>
      </c>
      <c r="H896" s="87"/>
      <c r="I896" s="87"/>
      <c r="J896" s="87"/>
    </row>
    <row r="897" spans="1:10">
      <c r="A897" s="2"/>
      <c r="B897" s="2"/>
      <c r="C897" s="120" t="str">
        <f>IF(B897="","",SUMIFS('A-BOM'!$D$3:$D993,'A-BOM'!$C$3:$C993,B897,'A-BOM'!$B$3:$B993,$B$2))</f>
        <v/>
      </c>
      <c r="D897" s="120" t="str">
        <f>IFERROR(IF(B897="","",VLOOKUP(B897,RM!$C$4:$F983,3,FALSE)),"")</f>
        <v/>
      </c>
      <c r="E897" s="118" t="e">
        <f t="array" aca="1" ref="E897" ca="1">_xludf.IFNA(IF(B897="","",VLOOKUP(B897,RM!$C$4:$G983,14,FALSE)),IFERROR(MIN(IF('S-BOM'!$B$3:$B993=$B897,'S-BOM'!$H$3:$H993,"")),""))</f>
        <v>#NAME?</v>
      </c>
      <c r="F897" s="87" t="str">
        <f t="shared" si="7"/>
        <v/>
      </c>
      <c r="G897" s="87" t="str">
        <f t="shared" si="8"/>
        <v/>
      </c>
      <c r="H897" s="87"/>
      <c r="I897" s="87"/>
      <c r="J897" s="87"/>
    </row>
    <row r="898" spans="1:10">
      <c r="A898" s="2"/>
      <c r="B898" s="2"/>
      <c r="C898" s="120" t="str">
        <f>IF(B898="","",SUMIFS('A-BOM'!$D$3:$D993,'A-BOM'!$C$3:$C993,B898,'A-BOM'!$B$3:$B993,$B$2))</f>
        <v/>
      </c>
      <c r="D898" s="120" t="str">
        <f>IFERROR(IF(B898="","",VLOOKUP(B898,RM!$C$4:$F983,3,FALSE)),"")</f>
        <v/>
      </c>
      <c r="E898" s="118" t="e">
        <f t="array" aca="1" ref="E898" ca="1">_xludf.IFNA(IF(B898="","",VLOOKUP(B898,RM!$C$4:$G983,14,FALSE)),IFERROR(MIN(IF('S-BOM'!$B$3:$B993=$B898,'S-BOM'!$H$3:$H993,"")),""))</f>
        <v>#NAME?</v>
      </c>
      <c r="F898" s="87" t="str">
        <f t="shared" si="7"/>
        <v/>
      </c>
      <c r="G898" s="87" t="str">
        <f t="shared" si="8"/>
        <v/>
      </c>
      <c r="H898" s="87"/>
      <c r="I898" s="87"/>
      <c r="J898" s="87"/>
    </row>
    <row r="899" spans="1:10">
      <c r="A899" s="2"/>
      <c r="B899" s="2"/>
      <c r="C899" s="120" t="str">
        <f>IF(B899="","",SUMIFS('A-BOM'!$D$3:$D993,'A-BOM'!$C$3:$C993,B899,'A-BOM'!$B$3:$B993,$B$2))</f>
        <v/>
      </c>
      <c r="D899" s="120" t="str">
        <f>IFERROR(IF(B899="","",VLOOKUP(B899,RM!$C$4:$F983,3,FALSE)),"")</f>
        <v/>
      </c>
      <c r="E899" s="118" t="e">
        <f t="array" aca="1" ref="E899" ca="1">_xludf.IFNA(IF(B899="","",VLOOKUP(B899,RM!$C$4:$G983,14,FALSE)),IFERROR(MIN(IF('S-BOM'!$B$3:$B993=$B899,'S-BOM'!$H$3:$H993,"")),""))</f>
        <v>#NAME?</v>
      </c>
      <c r="F899" s="87" t="str">
        <f t="shared" si="7"/>
        <v/>
      </c>
      <c r="G899" s="87" t="str">
        <f t="shared" si="8"/>
        <v/>
      </c>
      <c r="H899" s="87"/>
      <c r="I899" s="87"/>
      <c r="J899" s="87"/>
    </row>
    <row r="900" spans="1:10">
      <c r="A900" s="2"/>
      <c r="B900" s="2"/>
      <c r="C900" s="120" t="str">
        <f>IF(B900="","",SUMIFS('A-BOM'!$D$3:$D993,'A-BOM'!$C$3:$C993,B900,'A-BOM'!$B$3:$B993,$B$2))</f>
        <v/>
      </c>
      <c r="D900" s="120" t="str">
        <f>IFERROR(IF(B900="","",VLOOKUP(B900,RM!$C$4:$F983,3,FALSE)),"")</f>
        <v/>
      </c>
      <c r="E900" s="118" t="e">
        <f t="array" aca="1" ref="E900" ca="1">_xludf.IFNA(IF(B900="","",VLOOKUP(B900,RM!$C$4:$G983,14,FALSE)),IFERROR(MIN(IF('S-BOM'!$B$3:$B993=$B900,'S-BOM'!$H$3:$H993,"")),""))</f>
        <v>#NAME?</v>
      </c>
      <c r="F900" s="87" t="str">
        <f t="shared" si="7"/>
        <v/>
      </c>
      <c r="G900" s="87" t="str">
        <f t="shared" si="8"/>
        <v/>
      </c>
      <c r="H900" s="87"/>
      <c r="I900" s="87"/>
      <c r="J900" s="87"/>
    </row>
    <row r="901" spans="1:10">
      <c r="A901" s="2"/>
      <c r="B901" s="2"/>
      <c r="C901" s="120" t="str">
        <f>IF(B901="","",SUMIFS('A-BOM'!$D$3:$D993,'A-BOM'!$C$3:$C993,B901,'A-BOM'!$B$3:$B993,$B$2))</f>
        <v/>
      </c>
      <c r="D901" s="120" t="str">
        <f>IFERROR(IF(B901="","",VLOOKUP(B901,RM!$C$4:$F983,3,FALSE)),"")</f>
        <v/>
      </c>
      <c r="E901" s="118" t="e">
        <f t="array" aca="1" ref="E901" ca="1">_xludf.IFNA(IF(B901="","",VLOOKUP(B901,RM!$C$4:$G983,14,FALSE)),IFERROR(MIN(IF('S-BOM'!$B$3:$B993=$B901,'S-BOM'!$H$3:$H993,"")),""))</f>
        <v>#NAME?</v>
      </c>
      <c r="F901" s="87" t="str">
        <f t="shared" si="7"/>
        <v/>
      </c>
      <c r="G901" s="87" t="str">
        <f t="shared" si="8"/>
        <v/>
      </c>
      <c r="H901" s="87"/>
      <c r="I901" s="87"/>
      <c r="J901" s="87"/>
    </row>
    <row r="902" spans="1:10">
      <c r="A902" s="2"/>
      <c r="B902" s="2"/>
      <c r="C902" s="120" t="str">
        <f>IF(B902="","",SUMIFS('A-BOM'!$D$3:$D993,'A-BOM'!$C$3:$C993,B902,'A-BOM'!$B$3:$B993,$B$2))</f>
        <v/>
      </c>
      <c r="D902" s="120" t="str">
        <f>IFERROR(IF(B902="","",VLOOKUP(B902,RM!$C$4:$F983,3,FALSE)),"")</f>
        <v/>
      </c>
      <c r="E902" s="118" t="e">
        <f t="array" aca="1" ref="E902" ca="1">_xludf.IFNA(IF(B902="","",VLOOKUP(B902,RM!$C$4:$G983,14,FALSE)),IFERROR(MIN(IF('S-BOM'!$B$3:$B993=$B902,'S-BOM'!$H$3:$H993,"")),""))</f>
        <v>#NAME?</v>
      </c>
      <c r="F902" s="87" t="str">
        <f t="shared" si="7"/>
        <v/>
      </c>
      <c r="G902" s="87" t="str">
        <f t="shared" si="8"/>
        <v/>
      </c>
      <c r="H902" s="87"/>
      <c r="I902" s="87"/>
      <c r="J902" s="87"/>
    </row>
    <row r="903" spans="1:10">
      <c r="A903" s="2"/>
      <c r="B903" s="2"/>
      <c r="C903" s="120" t="str">
        <f>IF(B903="","",SUMIFS('A-BOM'!$D$3:$D993,'A-BOM'!$C$3:$C993,B903,'A-BOM'!$B$3:$B993,$B$2))</f>
        <v/>
      </c>
      <c r="D903" s="120" t="str">
        <f>IFERROR(IF(B903="","",VLOOKUP(B903,RM!$C$4:$F983,3,FALSE)),"")</f>
        <v/>
      </c>
      <c r="E903" s="118" t="e">
        <f t="array" aca="1" ref="E903" ca="1">_xludf.IFNA(IF(B903="","",VLOOKUP(B903,RM!$C$4:$G983,14,FALSE)),IFERROR(MIN(IF('S-BOM'!$B$3:$B993=$B903,'S-BOM'!$H$3:$H993,"")),""))</f>
        <v>#NAME?</v>
      </c>
      <c r="F903" s="87" t="str">
        <f t="shared" si="7"/>
        <v/>
      </c>
      <c r="G903" s="87" t="str">
        <f t="shared" si="8"/>
        <v/>
      </c>
      <c r="H903" s="87"/>
      <c r="I903" s="87"/>
      <c r="J903" s="87"/>
    </row>
    <row r="904" spans="1:10">
      <c r="A904" s="2"/>
      <c r="B904" s="2"/>
      <c r="C904" s="120" t="str">
        <f>IF(B904="","",SUMIFS('A-BOM'!$D$3:$D993,'A-BOM'!$C$3:$C993,B904,'A-BOM'!$B$3:$B993,$B$2))</f>
        <v/>
      </c>
      <c r="D904" s="120" t="str">
        <f>IFERROR(IF(B904="","",VLOOKUP(B904,RM!$C$4:$F983,3,FALSE)),"")</f>
        <v/>
      </c>
      <c r="E904" s="118" t="e">
        <f t="array" aca="1" ref="E904" ca="1">_xludf.IFNA(IF(B904="","",VLOOKUP(B904,RM!$C$4:$G983,14,FALSE)),IFERROR(MIN(IF('S-BOM'!$B$3:$B993=$B904,'S-BOM'!$H$3:$H993,"")),""))</f>
        <v>#NAME?</v>
      </c>
      <c r="F904" s="87" t="str">
        <f t="shared" si="7"/>
        <v/>
      </c>
      <c r="G904" s="87" t="str">
        <f t="shared" si="8"/>
        <v/>
      </c>
      <c r="H904" s="87"/>
      <c r="I904" s="87"/>
      <c r="J904" s="87"/>
    </row>
    <row r="905" spans="1:10">
      <c r="A905" s="2"/>
      <c r="B905" s="2"/>
      <c r="C905" s="120" t="str">
        <f>IF(B905="","",SUMIFS('A-BOM'!$D$3:$D993,'A-BOM'!$C$3:$C993,B905,'A-BOM'!$B$3:$B993,$B$2))</f>
        <v/>
      </c>
      <c r="D905" s="120" t="str">
        <f>IFERROR(IF(B905="","",VLOOKUP(B905,RM!$C$4:$F983,3,FALSE)),"")</f>
        <v/>
      </c>
      <c r="E905" s="118" t="e">
        <f t="array" aca="1" ref="E905" ca="1">_xludf.IFNA(IF(B905="","",VLOOKUP(B905,RM!$C$4:$G983,14,FALSE)),IFERROR(MIN(IF('S-BOM'!$B$3:$B993=$B905,'S-BOM'!$H$3:$H993,"")),""))</f>
        <v>#NAME?</v>
      </c>
      <c r="F905" s="87" t="str">
        <f t="shared" si="7"/>
        <v/>
      </c>
      <c r="G905" s="87" t="str">
        <f t="shared" si="8"/>
        <v/>
      </c>
      <c r="H905" s="87"/>
      <c r="I905" s="87"/>
      <c r="J905" s="87"/>
    </row>
    <row r="906" spans="1:10">
      <c r="A906" s="2"/>
      <c r="B906" s="2"/>
      <c r="C906" s="120" t="str">
        <f>IF(B906="","",SUMIFS('A-BOM'!$D$3:$D993,'A-BOM'!$C$3:$C993,B906,'A-BOM'!$B$3:$B993,$B$2))</f>
        <v/>
      </c>
      <c r="D906" s="120" t="str">
        <f>IFERROR(IF(B906="","",VLOOKUP(B906,RM!$C$4:$F983,3,FALSE)),"")</f>
        <v/>
      </c>
      <c r="E906" s="118" t="e">
        <f t="array" aca="1" ref="E906" ca="1">_xludf.IFNA(IF(B906="","",VLOOKUP(B906,RM!$C$4:$G983,14,FALSE)),IFERROR(MIN(IF('S-BOM'!$B$3:$B993=$B906,'S-BOM'!$H$3:$H993,"")),""))</f>
        <v>#NAME?</v>
      </c>
      <c r="F906" s="87" t="str">
        <f t="shared" si="7"/>
        <v/>
      </c>
      <c r="G906" s="87" t="str">
        <f t="shared" si="8"/>
        <v/>
      </c>
      <c r="H906" s="87"/>
      <c r="I906" s="87"/>
      <c r="J906" s="87"/>
    </row>
    <row r="907" spans="1:10">
      <c r="A907" s="2"/>
      <c r="B907" s="2"/>
      <c r="C907" s="120" t="str">
        <f>IF(B907="","",SUMIFS('A-BOM'!$D$3:$D993,'A-BOM'!$C$3:$C993,B907,'A-BOM'!$B$3:$B993,$B$2))</f>
        <v/>
      </c>
      <c r="D907" s="120" t="str">
        <f>IFERROR(IF(B907="","",VLOOKUP(B907,RM!$C$4:$F983,3,FALSE)),"")</f>
        <v/>
      </c>
      <c r="E907" s="118" t="e">
        <f t="array" aca="1" ref="E907" ca="1">_xludf.IFNA(IF(B907="","",VLOOKUP(B907,RM!$C$4:$G983,14,FALSE)),IFERROR(MIN(IF('S-BOM'!$B$3:$B993=$B907,'S-BOM'!$H$3:$H993,"")),""))</f>
        <v>#NAME?</v>
      </c>
      <c r="F907" s="87" t="str">
        <f t="shared" si="7"/>
        <v/>
      </c>
      <c r="G907" s="87" t="str">
        <f t="shared" si="8"/>
        <v/>
      </c>
      <c r="H907" s="87"/>
      <c r="I907" s="87"/>
      <c r="J907" s="87"/>
    </row>
    <row r="908" spans="1:10">
      <c r="A908" s="2"/>
      <c r="B908" s="2"/>
      <c r="C908" s="120" t="str">
        <f>IF(B908="","",SUMIFS('A-BOM'!$D$3:$D993,'A-BOM'!$C$3:$C993,B908,'A-BOM'!$B$3:$B993,$B$2))</f>
        <v/>
      </c>
      <c r="D908" s="120" t="str">
        <f>IFERROR(IF(B908="","",VLOOKUP(B908,RM!$C$4:$F983,3,FALSE)),"")</f>
        <v/>
      </c>
      <c r="E908" s="118" t="e">
        <f t="array" aca="1" ref="E908" ca="1">_xludf.IFNA(IF(B908="","",VLOOKUP(B908,RM!$C$4:$G983,14,FALSE)),IFERROR(MIN(IF('S-BOM'!$B$3:$B993=$B908,'S-BOM'!$H$3:$H993,"")),""))</f>
        <v>#NAME?</v>
      </c>
      <c r="F908" s="87" t="str">
        <f t="shared" si="7"/>
        <v/>
      </c>
      <c r="G908" s="87" t="str">
        <f t="shared" si="8"/>
        <v/>
      </c>
      <c r="H908" s="87"/>
      <c r="I908" s="87"/>
      <c r="J908" s="87"/>
    </row>
    <row r="909" spans="1:10">
      <c r="A909" s="2"/>
      <c r="B909" s="2"/>
      <c r="C909" s="120" t="str">
        <f>IF(B909="","",SUMIFS('A-BOM'!$D$3:$D993,'A-BOM'!$C$3:$C993,B909,'A-BOM'!$B$3:$B993,$B$2))</f>
        <v/>
      </c>
      <c r="D909" s="120" t="str">
        <f>IFERROR(IF(B909="","",VLOOKUP(B909,RM!$C$4:$F983,3,FALSE)),"")</f>
        <v/>
      </c>
      <c r="E909" s="118" t="e">
        <f t="array" aca="1" ref="E909" ca="1">_xludf.IFNA(IF(B909="","",VLOOKUP(B909,RM!$C$4:$G983,14,FALSE)),IFERROR(MIN(IF('S-BOM'!$B$3:$B993=$B909,'S-BOM'!$H$3:$H993,"")),""))</f>
        <v>#NAME?</v>
      </c>
      <c r="F909" s="87" t="str">
        <f t="shared" si="7"/>
        <v/>
      </c>
      <c r="G909" s="87" t="str">
        <f t="shared" si="8"/>
        <v/>
      </c>
      <c r="H909" s="87"/>
      <c r="I909" s="87"/>
      <c r="J909" s="87"/>
    </row>
    <row r="910" spans="1:10">
      <c r="A910" s="2"/>
      <c r="B910" s="2"/>
      <c r="C910" s="120" t="str">
        <f>IF(B910="","",SUMIFS('A-BOM'!$D$3:$D993,'A-BOM'!$C$3:$C993,B910,'A-BOM'!$B$3:$B993,$B$2))</f>
        <v/>
      </c>
      <c r="D910" s="120" t="str">
        <f>IFERROR(IF(B910="","",VLOOKUP(B910,RM!$C$4:$F983,3,FALSE)),"")</f>
        <v/>
      </c>
      <c r="E910" s="118" t="e">
        <f t="array" aca="1" ref="E910" ca="1">_xludf.IFNA(IF(B910="","",VLOOKUP(B910,RM!$C$4:$G983,14,FALSE)),IFERROR(MIN(IF('S-BOM'!$B$3:$B993=$B910,'S-BOM'!$H$3:$H993,"")),""))</f>
        <v>#NAME?</v>
      </c>
      <c r="F910" s="87" t="str">
        <f t="shared" si="7"/>
        <v/>
      </c>
      <c r="G910" s="87" t="str">
        <f t="shared" si="8"/>
        <v/>
      </c>
      <c r="H910" s="87"/>
      <c r="I910" s="87"/>
      <c r="J910" s="87"/>
    </row>
    <row r="911" spans="1:10">
      <c r="A911" s="2"/>
      <c r="B911" s="2"/>
      <c r="C911" s="120" t="str">
        <f>IF(B911="","",SUMIFS('A-BOM'!$D$3:$D993,'A-BOM'!$C$3:$C993,B911,'A-BOM'!$B$3:$B993,$B$2))</f>
        <v/>
      </c>
      <c r="D911" s="120" t="str">
        <f>IFERROR(IF(B911="","",VLOOKUP(B911,RM!$C$4:$F983,3,FALSE)),"")</f>
        <v/>
      </c>
      <c r="E911" s="118" t="e">
        <f t="array" aca="1" ref="E911" ca="1">_xludf.IFNA(IF(B911="","",VLOOKUP(B911,RM!$C$4:$G983,14,FALSE)),IFERROR(MIN(IF('S-BOM'!$B$3:$B993=$B911,'S-BOM'!$H$3:$H993,"")),""))</f>
        <v>#NAME?</v>
      </c>
      <c r="F911" s="87" t="str">
        <f t="shared" si="7"/>
        <v/>
      </c>
      <c r="G911" s="87" t="str">
        <f t="shared" si="8"/>
        <v/>
      </c>
      <c r="H911" s="87"/>
      <c r="I911" s="87"/>
      <c r="J911" s="87"/>
    </row>
    <row r="912" spans="1:10">
      <c r="A912" s="2"/>
      <c r="B912" s="2"/>
      <c r="C912" s="120" t="str">
        <f>IF(B912="","",SUMIFS('A-BOM'!$D$3:$D993,'A-BOM'!$C$3:$C993,B912,'A-BOM'!$B$3:$B993,$B$2))</f>
        <v/>
      </c>
      <c r="D912" s="120" t="str">
        <f>IFERROR(IF(B912="","",VLOOKUP(B912,RM!$C$4:$F983,3,FALSE)),"")</f>
        <v/>
      </c>
      <c r="E912" s="118" t="e">
        <f t="array" aca="1" ref="E912" ca="1">_xludf.IFNA(IF(B912="","",VLOOKUP(B912,RM!$C$4:$G983,14,FALSE)),IFERROR(MIN(IF('S-BOM'!$B$3:$B993=$B912,'S-BOM'!$H$3:$H993,"")),""))</f>
        <v>#NAME?</v>
      </c>
      <c r="F912" s="87" t="str">
        <f t="shared" si="7"/>
        <v/>
      </c>
      <c r="G912" s="87" t="str">
        <f t="shared" si="8"/>
        <v/>
      </c>
      <c r="H912" s="87"/>
      <c r="I912" s="87"/>
      <c r="J912" s="87"/>
    </row>
    <row r="913" spans="1:10">
      <c r="A913" s="2"/>
      <c r="B913" s="2"/>
      <c r="C913" s="120" t="str">
        <f>IF(B913="","",SUMIFS('A-BOM'!$D$3:$D993,'A-BOM'!$C$3:$C993,B913,'A-BOM'!$B$3:$B993,$B$2))</f>
        <v/>
      </c>
      <c r="D913" s="120" t="str">
        <f>IFERROR(IF(B913="","",VLOOKUP(B913,RM!$C$4:$F983,3,FALSE)),"")</f>
        <v/>
      </c>
      <c r="E913" s="118" t="e">
        <f t="array" aca="1" ref="E913" ca="1">_xludf.IFNA(IF(B913="","",VLOOKUP(B913,RM!$C$4:$G983,14,FALSE)),IFERROR(MIN(IF('S-BOM'!$B$3:$B993=$B913,'S-BOM'!$H$3:$H993,"")),""))</f>
        <v>#NAME?</v>
      </c>
      <c r="F913" s="87" t="str">
        <f t="shared" si="7"/>
        <v/>
      </c>
      <c r="G913" s="87" t="str">
        <f t="shared" si="8"/>
        <v/>
      </c>
      <c r="H913" s="87"/>
      <c r="I913" s="87"/>
      <c r="J913" s="87"/>
    </row>
    <row r="914" spans="1:10">
      <c r="A914" s="2"/>
      <c r="B914" s="2"/>
      <c r="C914" s="120" t="str">
        <f>IF(B914="","",SUMIFS('A-BOM'!$D$3:$D993,'A-BOM'!$C$3:$C993,B914,'A-BOM'!$B$3:$B993,$B$2))</f>
        <v/>
      </c>
      <c r="D914" s="120" t="str">
        <f>IFERROR(IF(B914="","",VLOOKUP(B914,RM!$C$4:$F983,3,FALSE)),"")</f>
        <v/>
      </c>
      <c r="E914" s="118" t="e">
        <f t="array" aca="1" ref="E914" ca="1">_xludf.IFNA(IF(B914="","",VLOOKUP(B914,RM!$C$4:$G983,14,FALSE)),IFERROR(MIN(IF('S-BOM'!$B$3:$B993=$B914,'S-BOM'!$H$3:$H993,"")),""))</f>
        <v>#NAME?</v>
      </c>
      <c r="F914" s="87" t="str">
        <f t="shared" si="7"/>
        <v/>
      </c>
      <c r="G914" s="87" t="str">
        <f t="shared" si="8"/>
        <v/>
      </c>
      <c r="H914" s="87"/>
      <c r="I914" s="87"/>
      <c r="J914" s="87"/>
    </row>
    <row r="915" spans="1:10">
      <c r="A915" s="2"/>
      <c r="B915" s="2"/>
      <c r="C915" s="120" t="str">
        <f>IF(B915="","",SUMIFS('A-BOM'!$D$3:$D993,'A-BOM'!$C$3:$C993,B915,'A-BOM'!$B$3:$B993,$B$2))</f>
        <v/>
      </c>
      <c r="D915" s="120" t="str">
        <f>IFERROR(IF(B915="","",VLOOKUP(B915,RM!$C$4:$F983,3,FALSE)),"")</f>
        <v/>
      </c>
      <c r="E915" s="118" t="e">
        <f t="array" aca="1" ref="E915" ca="1">_xludf.IFNA(IF(B915="","",VLOOKUP(B915,RM!$C$4:$G983,14,FALSE)),IFERROR(MIN(IF('S-BOM'!$B$3:$B993=$B915,'S-BOM'!$H$3:$H993,"")),""))</f>
        <v>#NAME?</v>
      </c>
      <c r="F915" s="87" t="str">
        <f t="shared" si="7"/>
        <v/>
      </c>
      <c r="G915" s="87" t="str">
        <f t="shared" si="8"/>
        <v/>
      </c>
      <c r="H915" s="87"/>
      <c r="I915" s="87"/>
      <c r="J915" s="87"/>
    </row>
    <row r="916" spans="1:10">
      <c r="A916" s="2"/>
      <c r="B916" s="2"/>
      <c r="C916" s="120" t="str">
        <f>IF(B916="","",SUMIFS('A-BOM'!$D$3:$D993,'A-BOM'!$C$3:$C993,B916,'A-BOM'!$B$3:$B993,$B$2))</f>
        <v/>
      </c>
      <c r="D916" s="120" t="str">
        <f>IFERROR(IF(B916="","",VLOOKUP(B916,RM!$C$4:$F983,3,FALSE)),"")</f>
        <v/>
      </c>
      <c r="E916" s="118" t="e">
        <f t="array" aca="1" ref="E916" ca="1">_xludf.IFNA(IF(B916="","",VLOOKUP(B916,RM!$C$4:$G983,14,FALSE)),IFERROR(MIN(IF('S-BOM'!$B$3:$B993=$B916,'S-BOM'!$H$3:$H993,"")),""))</f>
        <v>#NAME?</v>
      </c>
      <c r="F916" s="87" t="str">
        <f t="shared" si="7"/>
        <v/>
      </c>
      <c r="G916" s="87" t="str">
        <f t="shared" si="8"/>
        <v/>
      </c>
      <c r="H916" s="87"/>
      <c r="I916" s="87"/>
      <c r="J916" s="87"/>
    </row>
    <row r="917" spans="1:10">
      <c r="A917" s="2"/>
      <c r="B917" s="2"/>
      <c r="C917" s="120" t="str">
        <f>IF(B917="","",SUMIFS('A-BOM'!$D$3:$D993,'A-BOM'!$C$3:$C993,B917,'A-BOM'!$B$3:$B993,$B$2))</f>
        <v/>
      </c>
      <c r="D917" s="120" t="str">
        <f>IFERROR(IF(B917="","",VLOOKUP(B917,RM!$C$4:$F983,3,FALSE)),"")</f>
        <v/>
      </c>
      <c r="E917" s="118" t="e">
        <f t="array" aca="1" ref="E917" ca="1">_xludf.IFNA(IF(B917="","",VLOOKUP(B917,RM!$C$4:$G983,14,FALSE)),IFERROR(MIN(IF('S-BOM'!$B$3:$B993=$B917,'S-BOM'!$H$3:$H993,"")),""))</f>
        <v>#NAME?</v>
      </c>
      <c r="F917" s="87" t="str">
        <f t="shared" si="7"/>
        <v/>
      </c>
      <c r="G917" s="87" t="str">
        <f t="shared" si="8"/>
        <v/>
      </c>
      <c r="H917" s="87"/>
      <c r="I917" s="87"/>
      <c r="J917" s="87"/>
    </row>
    <row r="918" spans="1:10">
      <c r="A918" s="2"/>
      <c r="B918" s="2"/>
      <c r="C918" s="120" t="str">
        <f>IF(B918="","",SUMIFS('A-BOM'!$D$3:$D993,'A-BOM'!$C$3:$C993,B918,'A-BOM'!$B$3:$B993,$B$2))</f>
        <v/>
      </c>
      <c r="D918" s="120" t="str">
        <f>IFERROR(IF(B918="","",VLOOKUP(B918,RM!$C$4:$F983,3,FALSE)),"")</f>
        <v/>
      </c>
      <c r="E918" s="118" t="e">
        <f t="array" aca="1" ref="E918" ca="1">_xludf.IFNA(IF(B918="","",VLOOKUP(B918,RM!$C$4:$G983,14,FALSE)),IFERROR(MIN(IF('S-BOM'!$B$3:$B993=$B918,'S-BOM'!$H$3:$H993,"")),""))</f>
        <v>#NAME?</v>
      </c>
      <c r="F918" s="87" t="str">
        <f t="shared" si="7"/>
        <v/>
      </c>
      <c r="G918" s="87" t="str">
        <f t="shared" si="8"/>
        <v/>
      </c>
      <c r="H918" s="87"/>
      <c r="I918" s="87"/>
      <c r="J918" s="87"/>
    </row>
    <row r="919" spans="1:10">
      <c r="A919" s="2"/>
      <c r="B919" s="2"/>
      <c r="C919" s="120" t="str">
        <f>IF(B919="","",SUMIFS('A-BOM'!$D$3:$D993,'A-BOM'!$C$3:$C993,B919,'A-BOM'!$B$3:$B993,$B$2))</f>
        <v/>
      </c>
      <c r="D919" s="120" t="str">
        <f>IFERROR(IF(B919="","",VLOOKUP(B919,RM!$C$4:$F983,3,FALSE)),"")</f>
        <v/>
      </c>
      <c r="E919" s="118" t="e">
        <f t="array" aca="1" ref="E919" ca="1">_xludf.IFNA(IF(B919="","",VLOOKUP(B919,RM!$C$4:$G983,14,FALSE)),IFERROR(MIN(IF('S-BOM'!$B$3:$B993=$B919,'S-BOM'!$H$3:$H993,"")),""))</f>
        <v>#NAME?</v>
      </c>
      <c r="F919" s="87" t="str">
        <f t="shared" si="7"/>
        <v/>
      </c>
      <c r="G919" s="87" t="str">
        <f t="shared" si="8"/>
        <v/>
      </c>
      <c r="H919" s="87"/>
      <c r="I919" s="87"/>
      <c r="J919" s="87"/>
    </row>
    <row r="920" spans="1:10">
      <c r="A920" s="2"/>
      <c r="B920" s="2"/>
      <c r="C920" s="120" t="str">
        <f>IF(B920="","",SUMIFS('A-BOM'!$D$3:$D993,'A-BOM'!$C$3:$C993,B920,'A-BOM'!$B$3:$B993,$B$2))</f>
        <v/>
      </c>
      <c r="D920" s="120" t="str">
        <f>IFERROR(IF(B920="","",VLOOKUP(B920,RM!$C$4:$F983,3,FALSE)),"")</f>
        <v/>
      </c>
      <c r="E920" s="118" t="e">
        <f t="array" aca="1" ref="E920" ca="1">_xludf.IFNA(IF(B920="","",VLOOKUP(B920,RM!$C$4:$G983,14,FALSE)),IFERROR(MIN(IF('S-BOM'!$B$3:$B993=$B920,'S-BOM'!$H$3:$H993,"")),""))</f>
        <v>#NAME?</v>
      </c>
      <c r="F920" s="87" t="str">
        <f t="shared" si="7"/>
        <v/>
      </c>
      <c r="G920" s="87" t="str">
        <f t="shared" si="8"/>
        <v/>
      </c>
      <c r="H920" s="87"/>
      <c r="I920" s="87"/>
      <c r="J920" s="87"/>
    </row>
    <row r="921" spans="1:10">
      <c r="A921" s="2"/>
      <c r="B921" s="2"/>
      <c r="C921" s="120" t="str">
        <f>IF(B921="","",SUMIFS('A-BOM'!$D$3:$D993,'A-BOM'!$C$3:$C993,B921,'A-BOM'!$B$3:$B993,$B$2))</f>
        <v/>
      </c>
      <c r="D921" s="120" t="str">
        <f>IFERROR(IF(B921="","",VLOOKUP(B921,RM!$C$4:$F983,3,FALSE)),"")</f>
        <v/>
      </c>
      <c r="E921" s="118" t="e">
        <f t="array" aca="1" ref="E921" ca="1">_xludf.IFNA(IF(B921="","",VLOOKUP(B921,RM!$C$4:$G983,14,FALSE)),IFERROR(MIN(IF('S-BOM'!$B$3:$B993=$B921,'S-BOM'!$H$3:$H993,"")),""))</f>
        <v>#NAME?</v>
      </c>
      <c r="F921" s="87" t="str">
        <f t="shared" si="7"/>
        <v/>
      </c>
      <c r="G921" s="87" t="str">
        <f t="shared" si="8"/>
        <v/>
      </c>
      <c r="H921" s="87"/>
      <c r="I921" s="87"/>
      <c r="J921" s="87"/>
    </row>
    <row r="922" spans="1:10">
      <c r="A922" s="2"/>
      <c r="B922" s="2"/>
      <c r="C922" s="120" t="str">
        <f>IF(B922="","",SUMIFS('A-BOM'!$D$3:$D993,'A-BOM'!$C$3:$C993,B922,'A-BOM'!$B$3:$B993,$B$2))</f>
        <v/>
      </c>
      <c r="D922" s="120" t="str">
        <f>IFERROR(IF(B922="","",VLOOKUP(B922,RM!$C$4:$F983,3,FALSE)),"")</f>
        <v/>
      </c>
      <c r="E922" s="118" t="e">
        <f t="array" aca="1" ref="E922" ca="1">_xludf.IFNA(IF(B922="","",VLOOKUP(B922,RM!$C$4:$G983,14,FALSE)),IFERROR(MIN(IF('S-BOM'!$B$3:$B993=$B922,'S-BOM'!$H$3:$H993,"")),""))</f>
        <v>#NAME?</v>
      </c>
      <c r="F922" s="87" t="str">
        <f t="shared" si="7"/>
        <v/>
      </c>
      <c r="G922" s="87" t="str">
        <f t="shared" si="8"/>
        <v/>
      </c>
      <c r="H922" s="87"/>
      <c r="I922" s="87"/>
      <c r="J922" s="87"/>
    </row>
    <row r="923" spans="1:10">
      <c r="A923" s="2"/>
      <c r="B923" s="2"/>
      <c r="C923" s="120" t="str">
        <f>IF(B923="","",SUMIFS('A-BOM'!$D$3:$D993,'A-BOM'!$C$3:$C993,B923,'A-BOM'!$B$3:$B993,$B$2))</f>
        <v/>
      </c>
      <c r="D923" s="120" t="str">
        <f>IFERROR(IF(B923="","",VLOOKUP(B923,RM!$C$4:$F983,3,FALSE)),"")</f>
        <v/>
      </c>
      <c r="E923" s="118" t="e">
        <f t="array" aca="1" ref="E923" ca="1">_xludf.IFNA(IF(B923="","",VLOOKUP(B923,RM!$C$4:$G983,14,FALSE)),IFERROR(MIN(IF('S-BOM'!$B$3:$B993=$B923,'S-BOM'!$H$3:$H993,"")),""))</f>
        <v>#NAME?</v>
      </c>
      <c r="F923" s="87" t="str">
        <f t="shared" si="7"/>
        <v/>
      </c>
      <c r="G923" s="87" t="str">
        <f t="shared" si="8"/>
        <v/>
      </c>
      <c r="H923" s="87"/>
      <c r="I923" s="87"/>
      <c r="J923" s="87"/>
    </row>
    <row r="924" spans="1:10">
      <c r="A924" s="2"/>
      <c r="B924" s="2"/>
      <c r="C924" s="120" t="str">
        <f>IF(B924="","",SUMIFS('A-BOM'!$D$3:$D993,'A-BOM'!$C$3:$C993,B924,'A-BOM'!$B$3:$B993,$B$2))</f>
        <v/>
      </c>
      <c r="D924" s="120" t="str">
        <f>IFERROR(IF(B924="","",VLOOKUP(B924,RM!$C$4:$F983,3,FALSE)),"")</f>
        <v/>
      </c>
      <c r="E924" s="118" t="e">
        <f t="array" aca="1" ref="E924" ca="1">_xludf.IFNA(IF(B924="","",VLOOKUP(B924,RM!$C$4:$G983,14,FALSE)),IFERROR(MIN(IF('S-BOM'!$B$3:$B993=$B924,'S-BOM'!$H$3:$H993,"")),""))</f>
        <v>#NAME?</v>
      </c>
      <c r="F924" s="87" t="str">
        <f t="shared" si="7"/>
        <v/>
      </c>
      <c r="G924" s="87" t="str">
        <f t="shared" si="8"/>
        <v/>
      </c>
      <c r="H924" s="87"/>
      <c r="I924" s="87"/>
      <c r="J924" s="87"/>
    </row>
    <row r="925" spans="1:10">
      <c r="A925" s="2"/>
      <c r="B925" s="2"/>
      <c r="C925" s="120" t="str">
        <f>IF(B925="","",SUMIFS('A-BOM'!$D$3:$D993,'A-BOM'!$C$3:$C993,B925,'A-BOM'!$B$3:$B993,$B$2))</f>
        <v/>
      </c>
      <c r="D925" s="120" t="str">
        <f>IFERROR(IF(B925="","",VLOOKUP(B925,RM!$C$4:$F983,3,FALSE)),"")</f>
        <v/>
      </c>
      <c r="E925" s="118" t="e">
        <f t="array" aca="1" ref="E925" ca="1">_xludf.IFNA(IF(B925="","",VLOOKUP(B925,RM!$C$4:$G983,14,FALSE)),IFERROR(MIN(IF('S-BOM'!$B$3:$B993=$B925,'S-BOM'!$H$3:$H993,"")),""))</f>
        <v>#NAME?</v>
      </c>
      <c r="F925" s="87" t="str">
        <f t="shared" si="7"/>
        <v/>
      </c>
      <c r="G925" s="87" t="str">
        <f t="shared" si="8"/>
        <v/>
      </c>
      <c r="H925" s="87"/>
      <c r="I925" s="87"/>
      <c r="J925" s="87"/>
    </row>
    <row r="926" spans="1:10">
      <c r="A926" s="2"/>
      <c r="B926" s="2"/>
      <c r="C926" s="120" t="str">
        <f>IF(B926="","",SUMIFS('A-BOM'!$D$3:$D993,'A-BOM'!$C$3:$C993,B926,'A-BOM'!$B$3:$B993,$B$2))</f>
        <v/>
      </c>
      <c r="D926" s="120" t="str">
        <f>IFERROR(IF(B926="","",VLOOKUP(B926,RM!$C$4:$F983,3,FALSE)),"")</f>
        <v/>
      </c>
      <c r="E926" s="118" t="e">
        <f t="array" aca="1" ref="E926" ca="1">_xludf.IFNA(IF(B926="","",VLOOKUP(B926,RM!$C$4:$G983,14,FALSE)),IFERROR(MIN(IF('S-BOM'!$B$3:$B993=$B926,'S-BOM'!$H$3:$H993,"")),""))</f>
        <v>#NAME?</v>
      </c>
      <c r="F926" s="87" t="str">
        <f t="shared" si="7"/>
        <v/>
      </c>
      <c r="G926" s="87" t="str">
        <f t="shared" si="8"/>
        <v/>
      </c>
      <c r="H926" s="87"/>
      <c r="I926" s="87"/>
      <c r="J926" s="87"/>
    </row>
    <row r="927" spans="1:10">
      <c r="A927" s="2"/>
      <c r="B927" s="2"/>
      <c r="C927" s="120" t="str">
        <f>IF(B927="","",SUMIFS('A-BOM'!$D$3:$D993,'A-BOM'!$C$3:$C993,B927,'A-BOM'!$B$3:$B993,$B$2))</f>
        <v/>
      </c>
      <c r="D927" s="120" t="str">
        <f>IFERROR(IF(B927="","",VLOOKUP(B927,RM!$C$4:$F983,3,FALSE)),"")</f>
        <v/>
      </c>
      <c r="E927" s="118" t="e">
        <f t="array" aca="1" ref="E927" ca="1">_xludf.IFNA(IF(B927="","",VLOOKUP(B927,RM!$C$4:$G983,14,FALSE)),IFERROR(MIN(IF('S-BOM'!$B$3:$B993=$B927,'S-BOM'!$H$3:$H993,"")),""))</f>
        <v>#NAME?</v>
      </c>
      <c r="F927" s="87" t="str">
        <f t="shared" si="7"/>
        <v/>
      </c>
      <c r="G927" s="87" t="str">
        <f t="shared" si="8"/>
        <v/>
      </c>
      <c r="H927" s="87"/>
      <c r="I927" s="87"/>
      <c r="J927" s="87"/>
    </row>
    <row r="928" spans="1:10">
      <c r="A928" s="2"/>
      <c r="B928" s="2"/>
      <c r="C928" s="120" t="str">
        <f>IF(B928="","",SUMIFS('A-BOM'!$D$3:$D993,'A-BOM'!$C$3:$C993,B928,'A-BOM'!$B$3:$B993,$B$2))</f>
        <v/>
      </c>
      <c r="D928" s="120" t="str">
        <f>IFERROR(IF(B928="","",VLOOKUP(B928,RM!$C$4:$F983,3,FALSE)),"")</f>
        <v/>
      </c>
      <c r="E928" s="118" t="e">
        <f t="array" aca="1" ref="E928" ca="1">_xludf.IFNA(IF(B928="","",VLOOKUP(B928,RM!$C$4:$G983,14,FALSE)),IFERROR(MIN(IF('S-BOM'!$B$3:$B993=$B928,'S-BOM'!$H$3:$H993,"")),""))</f>
        <v>#NAME?</v>
      </c>
      <c r="F928" s="87" t="str">
        <f t="shared" si="7"/>
        <v/>
      </c>
      <c r="G928" s="87" t="str">
        <f t="shared" si="8"/>
        <v/>
      </c>
      <c r="H928" s="87"/>
      <c r="I928" s="87"/>
      <c r="J928" s="87"/>
    </row>
    <row r="929" spans="1:10">
      <c r="A929" s="2"/>
      <c r="B929" s="2"/>
      <c r="C929" s="120" t="str">
        <f>IF(B929="","",SUMIFS('A-BOM'!$D$3:$D993,'A-BOM'!$C$3:$C993,B929,'A-BOM'!$B$3:$B993,$B$2))</f>
        <v/>
      </c>
      <c r="D929" s="120" t="str">
        <f>IFERROR(IF(B929="","",VLOOKUP(B929,RM!$C$4:$F983,3,FALSE)),"")</f>
        <v/>
      </c>
      <c r="E929" s="118" t="e">
        <f t="array" aca="1" ref="E929" ca="1">_xludf.IFNA(IF(B929="","",VLOOKUP(B929,RM!$C$4:$G983,14,FALSE)),IFERROR(MIN(IF('S-BOM'!$B$3:$B993=$B929,'S-BOM'!$H$3:$H993,"")),""))</f>
        <v>#NAME?</v>
      </c>
      <c r="F929" s="87" t="str">
        <f t="shared" si="7"/>
        <v/>
      </c>
      <c r="G929" s="87" t="str">
        <f t="shared" si="8"/>
        <v/>
      </c>
      <c r="H929" s="87"/>
      <c r="I929" s="87"/>
      <c r="J929" s="87"/>
    </row>
    <row r="930" spans="1:10">
      <c r="A930" s="2"/>
      <c r="B930" s="2"/>
      <c r="C930" s="120" t="str">
        <f>IF(B930="","",SUMIFS('A-BOM'!$D$3:$D993,'A-BOM'!$C$3:$C993,B930,'A-BOM'!$B$3:$B993,$B$2))</f>
        <v/>
      </c>
      <c r="D930" s="120" t="str">
        <f>IFERROR(IF(B930="","",VLOOKUP(B930,RM!$C$4:$F983,3,FALSE)),"")</f>
        <v/>
      </c>
      <c r="E930" s="118" t="e">
        <f t="array" aca="1" ref="E930" ca="1">_xludf.IFNA(IF(B930="","",VLOOKUP(B930,RM!$C$4:$G983,14,FALSE)),IFERROR(MIN(IF('S-BOM'!$B$3:$B993=$B930,'S-BOM'!$H$3:$H993,"")),""))</f>
        <v>#NAME?</v>
      </c>
      <c r="F930" s="87" t="str">
        <f t="shared" si="7"/>
        <v/>
      </c>
      <c r="G930" s="87" t="str">
        <f t="shared" si="8"/>
        <v/>
      </c>
      <c r="H930" s="87"/>
      <c r="I930" s="87"/>
      <c r="J930" s="87"/>
    </row>
    <row r="931" spans="1:10">
      <c r="A931" s="2"/>
      <c r="B931" s="2"/>
      <c r="C931" s="120" t="str">
        <f>IF(B931="","",SUMIFS('A-BOM'!$D$3:$D993,'A-BOM'!$C$3:$C993,B931,'A-BOM'!$B$3:$B993,$B$2))</f>
        <v/>
      </c>
      <c r="D931" s="120" t="str">
        <f>IFERROR(IF(B931="","",VLOOKUP(B931,RM!$C$4:$F983,3,FALSE)),"")</f>
        <v/>
      </c>
      <c r="E931" s="118" t="e">
        <f t="array" aca="1" ref="E931" ca="1">_xludf.IFNA(IF(B931="","",VLOOKUP(B931,RM!$C$4:$G983,14,FALSE)),IFERROR(MIN(IF('S-BOM'!$B$3:$B993=$B931,'S-BOM'!$H$3:$H993,"")),""))</f>
        <v>#NAME?</v>
      </c>
      <c r="F931" s="87" t="str">
        <f t="shared" si="7"/>
        <v/>
      </c>
      <c r="G931" s="87" t="str">
        <f t="shared" si="8"/>
        <v/>
      </c>
      <c r="H931" s="87"/>
      <c r="I931" s="87"/>
      <c r="J931" s="87"/>
    </row>
    <row r="932" spans="1:10">
      <c r="A932" s="2"/>
      <c r="B932" s="2"/>
      <c r="C932" s="120" t="str">
        <f>IF(B932="","",SUMIFS('A-BOM'!$D$3:$D993,'A-BOM'!$C$3:$C993,B932,'A-BOM'!$B$3:$B993,$B$2))</f>
        <v/>
      </c>
      <c r="D932" s="120" t="str">
        <f>IFERROR(IF(B932="","",VLOOKUP(B932,RM!$C$4:$F983,3,FALSE)),"")</f>
        <v/>
      </c>
      <c r="E932" s="118" t="e">
        <f t="array" aca="1" ref="E932" ca="1">_xludf.IFNA(IF(B932="","",VLOOKUP(B932,RM!$C$4:$G983,14,FALSE)),IFERROR(MIN(IF('S-BOM'!$B$3:$B993=$B932,'S-BOM'!$H$3:$H993,"")),""))</f>
        <v>#NAME?</v>
      </c>
      <c r="F932" s="87" t="str">
        <f t="shared" si="7"/>
        <v/>
      </c>
      <c r="G932" s="87" t="str">
        <f t="shared" si="8"/>
        <v/>
      </c>
      <c r="H932" s="87"/>
      <c r="I932" s="87"/>
      <c r="J932" s="87"/>
    </row>
    <row r="933" spans="1:10">
      <c r="A933" s="2"/>
      <c r="B933" s="2"/>
      <c r="C933" s="120" t="str">
        <f>IF(B933="","",SUMIFS('A-BOM'!$D$3:$D993,'A-BOM'!$C$3:$C993,B933,'A-BOM'!$B$3:$B993,$B$2))</f>
        <v/>
      </c>
      <c r="D933" s="120" t="str">
        <f>IFERROR(IF(B933="","",VLOOKUP(B933,RM!$C$4:$F983,3,FALSE)),"")</f>
        <v/>
      </c>
      <c r="E933" s="118" t="e">
        <f t="array" aca="1" ref="E933" ca="1">_xludf.IFNA(IF(B933="","",VLOOKUP(B933,RM!$C$4:$G983,14,FALSE)),IFERROR(MIN(IF('S-BOM'!$B$3:$B993=$B933,'S-BOM'!$H$3:$H993,"")),""))</f>
        <v>#NAME?</v>
      </c>
      <c r="F933" s="87" t="str">
        <f t="shared" si="7"/>
        <v/>
      </c>
      <c r="G933" s="87" t="str">
        <f t="shared" si="8"/>
        <v/>
      </c>
      <c r="H933" s="87"/>
      <c r="I933" s="87"/>
      <c r="J933" s="87"/>
    </row>
    <row r="934" spans="1:10">
      <c r="A934" s="2"/>
      <c r="B934" s="2"/>
      <c r="C934" s="120" t="str">
        <f>IF(B934="","",SUMIFS('A-BOM'!$D$3:$D993,'A-BOM'!$C$3:$C993,B934,'A-BOM'!$B$3:$B993,$B$2))</f>
        <v/>
      </c>
      <c r="D934" s="120" t="str">
        <f>IFERROR(IF(B934="","",VLOOKUP(B934,RM!$C$4:$F983,3,FALSE)),"")</f>
        <v/>
      </c>
      <c r="E934" s="118" t="e">
        <f t="array" aca="1" ref="E934" ca="1">_xludf.IFNA(IF(B934="","",VLOOKUP(B934,RM!$C$4:$G983,14,FALSE)),IFERROR(MIN(IF('S-BOM'!$B$3:$B993=$B934,'S-BOM'!$H$3:$H993,"")),""))</f>
        <v>#NAME?</v>
      </c>
      <c r="F934" s="87" t="str">
        <f t="shared" si="7"/>
        <v/>
      </c>
      <c r="G934" s="87" t="str">
        <f t="shared" si="8"/>
        <v/>
      </c>
      <c r="H934" s="87"/>
      <c r="I934" s="87"/>
      <c r="J934" s="87"/>
    </row>
    <row r="935" spans="1:10">
      <c r="A935" s="2"/>
      <c r="B935" s="2"/>
      <c r="C935" s="120" t="str">
        <f>IF(B935="","",SUMIFS('A-BOM'!$D$3:$D993,'A-BOM'!$C$3:$C993,B935,'A-BOM'!$B$3:$B993,$B$2))</f>
        <v/>
      </c>
      <c r="D935" s="120" t="str">
        <f>IFERROR(IF(B935="","",VLOOKUP(B935,RM!$C$4:$F983,3,FALSE)),"")</f>
        <v/>
      </c>
      <c r="E935" s="118" t="e">
        <f t="array" aca="1" ref="E935" ca="1">_xludf.IFNA(IF(B935="","",VLOOKUP(B935,RM!$C$4:$G983,14,FALSE)),IFERROR(MIN(IF('S-BOM'!$B$3:$B993=$B935,'S-BOM'!$H$3:$H993,"")),""))</f>
        <v>#NAME?</v>
      </c>
      <c r="F935" s="87" t="str">
        <f t="shared" si="7"/>
        <v/>
      </c>
      <c r="G935" s="87" t="str">
        <f t="shared" si="8"/>
        <v/>
      </c>
      <c r="H935" s="87"/>
      <c r="I935" s="87"/>
      <c r="J935" s="87"/>
    </row>
    <row r="936" spans="1:10">
      <c r="A936" s="2"/>
      <c r="B936" s="2"/>
      <c r="C936" s="120" t="str">
        <f>IF(B936="","",SUMIFS('A-BOM'!$D$3:$D993,'A-BOM'!$C$3:$C993,B936,'A-BOM'!$B$3:$B993,$B$2))</f>
        <v/>
      </c>
      <c r="D936" s="120" t="str">
        <f>IFERROR(IF(B936="","",VLOOKUP(B936,RM!$C$4:$F983,3,FALSE)),"")</f>
        <v/>
      </c>
      <c r="E936" s="118" t="e">
        <f t="array" aca="1" ref="E936" ca="1">_xludf.IFNA(IF(B936="","",VLOOKUP(B936,RM!$C$4:$G983,14,FALSE)),IFERROR(MIN(IF('S-BOM'!$B$3:$B993=$B936,'S-BOM'!$H$3:$H993,"")),""))</f>
        <v>#NAME?</v>
      </c>
      <c r="F936" s="87" t="str">
        <f t="shared" si="7"/>
        <v/>
      </c>
      <c r="G936" s="87" t="str">
        <f t="shared" si="8"/>
        <v/>
      </c>
      <c r="H936" s="87"/>
      <c r="I936" s="87"/>
      <c r="J936" s="87"/>
    </row>
    <row r="937" spans="1:10">
      <c r="A937" s="2"/>
      <c r="B937" s="2"/>
      <c r="C937" s="120" t="str">
        <f>IF(B937="","",SUMIFS('A-BOM'!$D$3:$D993,'A-BOM'!$C$3:$C993,B937,'A-BOM'!$B$3:$B993,$B$2))</f>
        <v/>
      </c>
      <c r="D937" s="120" t="str">
        <f>IFERROR(IF(B937="","",VLOOKUP(B937,RM!$C$4:$F983,3,FALSE)),"")</f>
        <v/>
      </c>
      <c r="E937" s="118" t="e">
        <f t="array" aca="1" ref="E937" ca="1">_xludf.IFNA(IF(B937="","",VLOOKUP(B937,RM!$C$4:$G983,14,FALSE)),IFERROR(MIN(IF('S-BOM'!$B$3:$B993=$B937,'S-BOM'!$H$3:$H993,"")),""))</f>
        <v>#NAME?</v>
      </c>
      <c r="F937" s="87" t="str">
        <f t="shared" si="7"/>
        <v/>
      </c>
      <c r="G937" s="87" t="str">
        <f t="shared" si="8"/>
        <v/>
      </c>
      <c r="H937" s="87"/>
      <c r="I937" s="87"/>
      <c r="J937" s="87"/>
    </row>
    <row r="938" spans="1:10">
      <c r="A938" s="2"/>
      <c r="B938" s="2"/>
      <c r="C938" s="120" t="str">
        <f>IF(B938="","",SUMIFS('A-BOM'!$D$3:$D993,'A-BOM'!$C$3:$C993,B938,'A-BOM'!$B$3:$B993,$B$2))</f>
        <v/>
      </c>
      <c r="D938" s="120" t="str">
        <f>IFERROR(IF(B938="","",VLOOKUP(B938,RM!$C$4:$F983,3,FALSE)),"")</f>
        <v/>
      </c>
      <c r="E938" s="118" t="e">
        <f t="array" aca="1" ref="E938" ca="1">_xludf.IFNA(IF(B938="","",VLOOKUP(B938,RM!$C$4:$G983,14,FALSE)),IFERROR(MIN(IF('S-BOM'!$B$3:$B993=$B938,'S-BOM'!$H$3:$H993,"")),""))</f>
        <v>#NAME?</v>
      </c>
      <c r="F938" s="87" t="str">
        <f t="shared" si="7"/>
        <v/>
      </c>
      <c r="G938" s="87" t="str">
        <f t="shared" si="8"/>
        <v/>
      </c>
      <c r="H938" s="87"/>
      <c r="I938" s="87"/>
      <c r="J938" s="87"/>
    </row>
    <row r="939" spans="1:10">
      <c r="A939" s="2"/>
      <c r="B939" s="2"/>
      <c r="C939" s="120" t="str">
        <f>IF(B939="","",SUMIFS('A-BOM'!$D$3:$D993,'A-BOM'!$C$3:$C993,B939,'A-BOM'!$B$3:$B993,$B$2))</f>
        <v/>
      </c>
      <c r="D939" s="120" t="str">
        <f>IFERROR(IF(B939="","",VLOOKUP(B939,RM!$C$4:$F983,3,FALSE)),"")</f>
        <v/>
      </c>
      <c r="E939" s="118" t="e">
        <f t="array" aca="1" ref="E939" ca="1">_xludf.IFNA(IF(B939="","",VLOOKUP(B939,RM!$C$4:$G983,14,FALSE)),IFERROR(MIN(IF('S-BOM'!$B$3:$B993=$B939,'S-BOM'!$H$3:$H993,"")),""))</f>
        <v>#NAME?</v>
      </c>
      <c r="F939" s="87" t="str">
        <f t="shared" si="7"/>
        <v/>
      </c>
      <c r="G939" s="87" t="str">
        <f t="shared" si="8"/>
        <v/>
      </c>
      <c r="H939" s="87"/>
      <c r="I939" s="87"/>
      <c r="J939" s="87"/>
    </row>
    <row r="940" spans="1:10">
      <c r="A940" s="2"/>
      <c r="B940" s="2"/>
      <c r="C940" s="120" t="str">
        <f>IF(B940="","",SUMIFS('A-BOM'!$D$3:$D993,'A-BOM'!$C$3:$C993,B940,'A-BOM'!$B$3:$B993,$B$2))</f>
        <v/>
      </c>
      <c r="D940" s="120" t="str">
        <f>IFERROR(IF(B940="","",VLOOKUP(B940,RM!$C$4:$F983,3,FALSE)),"")</f>
        <v/>
      </c>
      <c r="E940" s="118" t="e">
        <f t="array" aca="1" ref="E940" ca="1">_xludf.IFNA(IF(B940="","",VLOOKUP(B940,RM!$C$4:$G983,14,FALSE)),IFERROR(MIN(IF('S-BOM'!$B$3:$B993=$B940,'S-BOM'!$H$3:$H993,"")),""))</f>
        <v>#NAME?</v>
      </c>
      <c r="F940" s="87" t="str">
        <f t="shared" si="7"/>
        <v/>
      </c>
      <c r="G940" s="87" t="str">
        <f t="shared" si="8"/>
        <v/>
      </c>
      <c r="H940" s="87"/>
      <c r="I940" s="87"/>
      <c r="J940" s="87"/>
    </row>
    <row r="941" spans="1:10">
      <c r="A941" s="2"/>
      <c r="B941" s="2"/>
      <c r="C941" s="120" t="str">
        <f>IF(B941="","",SUMIFS('A-BOM'!$D$3:$D993,'A-BOM'!$C$3:$C993,B941,'A-BOM'!$B$3:$B993,$B$2))</f>
        <v/>
      </c>
      <c r="D941" s="120" t="str">
        <f>IFERROR(IF(B941="","",VLOOKUP(B941,RM!$C$4:$F983,3,FALSE)),"")</f>
        <v/>
      </c>
      <c r="E941" s="118" t="e">
        <f t="array" aca="1" ref="E941" ca="1">_xludf.IFNA(IF(B941="","",VLOOKUP(B941,RM!$C$4:$G983,14,FALSE)),IFERROR(MIN(IF('S-BOM'!$B$3:$B993=$B941,'S-BOM'!$H$3:$H993,"")),""))</f>
        <v>#NAME?</v>
      </c>
      <c r="F941" s="87" t="str">
        <f t="shared" si="7"/>
        <v/>
      </c>
      <c r="G941" s="87" t="str">
        <f t="shared" si="8"/>
        <v/>
      </c>
      <c r="H941" s="87"/>
      <c r="I941" s="87"/>
      <c r="J941" s="87"/>
    </row>
    <row r="942" spans="1:10">
      <c r="A942" s="2"/>
      <c r="B942" s="2"/>
      <c r="C942" s="120" t="str">
        <f>IF(B942="","",SUMIFS('A-BOM'!$D$3:$D993,'A-BOM'!$C$3:$C993,B942,'A-BOM'!$B$3:$B993,$B$2))</f>
        <v/>
      </c>
      <c r="D942" s="120" t="str">
        <f>IFERROR(IF(B942="","",VLOOKUP(B942,RM!$C$4:$F983,3,FALSE)),"")</f>
        <v/>
      </c>
      <c r="E942" s="118" t="e">
        <f t="array" aca="1" ref="E942" ca="1">_xludf.IFNA(IF(B942="","",VLOOKUP(B942,RM!$C$4:$G983,14,FALSE)),IFERROR(MIN(IF('S-BOM'!$B$3:$B993=$B942,'S-BOM'!$H$3:$H993,"")),""))</f>
        <v>#NAME?</v>
      </c>
      <c r="F942" s="87" t="str">
        <f t="shared" si="7"/>
        <v/>
      </c>
      <c r="G942" s="87" t="str">
        <f t="shared" si="8"/>
        <v/>
      </c>
      <c r="H942" s="87"/>
      <c r="I942" s="87"/>
      <c r="J942" s="87"/>
    </row>
    <row r="943" spans="1:10">
      <c r="A943" s="2"/>
      <c r="B943" s="2"/>
      <c r="C943" s="120" t="str">
        <f>IF(B943="","",SUMIFS('A-BOM'!$D$3:$D993,'A-BOM'!$C$3:$C993,B943,'A-BOM'!$B$3:$B993,$B$2))</f>
        <v/>
      </c>
      <c r="D943" s="120" t="str">
        <f>IFERROR(IF(B943="","",VLOOKUP(B943,RM!$C$4:$F983,3,FALSE)),"")</f>
        <v/>
      </c>
      <c r="E943" s="118" t="e">
        <f t="array" aca="1" ref="E943" ca="1">_xludf.IFNA(IF(B943="","",VLOOKUP(B943,RM!$C$4:$G983,14,FALSE)),IFERROR(MIN(IF('S-BOM'!$B$3:$B993=$B943,'S-BOM'!$H$3:$H993,"")),""))</f>
        <v>#NAME?</v>
      </c>
      <c r="F943" s="87" t="str">
        <f t="shared" si="7"/>
        <v/>
      </c>
      <c r="G943" s="87" t="str">
        <f t="shared" si="8"/>
        <v/>
      </c>
      <c r="H943" s="87"/>
      <c r="I943" s="87"/>
      <c r="J943" s="87"/>
    </row>
    <row r="944" spans="1:10">
      <c r="A944" s="2"/>
      <c r="B944" s="2"/>
      <c r="C944" s="120" t="str">
        <f>IF(B944="","",SUMIFS('A-BOM'!$D$3:$D993,'A-BOM'!$C$3:$C993,B944,'A-BOM'!$B$3:$B993,$B$2))</f>
        <v/>
      </c>
      <c r="D944" s="120" t="str">
        <f>IFERROR(IF(B944="","",VLOOKUP(B944,RM!$C$4:$F983,3,FALSE)),"")</f>
        <v/>
      </c>
      <c r="E944" s="118" t="e">
        <f t="array" aca="1" ref="E944" ca="1">_xludf.IFNA(IF(B944="","",VLOOKUP(B944,RM!$C$4:$G983,14,FALSE)),IFERROR(MIN(IF('S-BOM'!$B$3:$B993=$B944,'S-BOM'!$H$3:$H993,"")),""))</f>
        <v>#NAME?</v>
      </c>
      <c r="F944" s="87" t="str">
        <f t="shared" si="7"/>
        <v/>
      </c>
      <c r="G944" s="87" t="str">
        <f t="shared" si="8"/>
        <v/>
      </c>
      <c r="H944" s="87"/>
      <c r="I944" s="87"/>
      <c r="J944" s="87"/>
    </row>
    <row r="945" spans="1:10">
      <c r="A945" s="2"/>
      <c r="B945" s="2"/>
      <c r="C945" s="120" t="str">
        <f>IF(B945="","",SUMIFS('A-BOM'!$D$3:$D993,'A-BOM'!$C$3:$C993,B945,'A-BOM'!$B$3:$B993,$B$2))</f>
        <v/>
      </c>
      <c r="D945" s="120" t="str">
        <f>IFERROR(IF(B945="","",VLOOKUP(B945,RM!$C$4:$F983,3,FALSE)),"")</f>
        <v/>
      </c>
      <c r="E945" s="118" t="e">
        <f t="array" aca="1" ref="E945" ca="1">_xludf.IFNA(IF(B945="","",VLOOKUP(B945,RM!$C$4:$G983,14,FALSE)),IFERROR(MIN(IF('S-BOM'!$B$3:$B993=$B945,'S-BOM'!$H$3:$H993,"")),""))</f>
        <v>#NAME?</v>
      </c>
      <c r="F945" s="87" t="str">
        <f t="shared" si="7"/>
        <v/>
      </c>
      <c r="G945" s="87" t="str">
        <f t="shared" si="8"/>
        <v/>
      </c>
      <c r="H945" s="87"/>
      <c r="I945" s="87"/>
      <c r="J945" s="87"/>
    </row>
    <row r="946" spans="1:10">
      <c r="A946" s="2"/>
      <c r="B946" s="2"/>
      <c r="C946" s="120" t="str">
        <f>IF(B946="","",SUMIFS('A-BOM'!$D$3:$D993,'A-BOM'!$C$3:$C993,B946,'A-BOM'!$B$3:$B993,$B$2))</f>
        <v/>
      </c>
      <c r="D946" s="120" t="str">
        <f>IFERROR(IF(B946="","",VLOOKUP(B946,RM!$C$4:$F983,3,FALSE)),"")</f>
        <v/>
      </c>
      <c r="E946" s="118" t="e">
        <f t="array" aca="1" ref="E946" ca="1">_xludf.IFNA(IF(B946="","",VLOOKUP(B946,RM!$C$4:$G983,14,FALSE)),IFERROR(MIN(IF('S-BOM'!$B$3:$B993=$B946,'S-BOM'!$H$3:$H993,"")),""))</f>
        <v>#NAME?</v>
      </c>
      <c r="F946" s="87" t="str">
        <f t="shared" si="7"/>
        <v/>
      </c>
      <c r="G946" s="87" t="str">
        <f t="shared" si="8"/>
        <v/>
      </c>
      <c r="H946" s="87"/>
      <c r="I946" s="87"/>
      <c r="J946" s="87"/>
    </row>
    <row r="947" spans="1:10">
      <c r="A947" s="2"/>
      <c r="B947" s="2"/>
      <c r="C947" s="120" t="str">
        <f>IF(B947="","",SUMIFS('A-BOM'!$D$3:$D993,'A-BOM'!$C$3:$C993,B947,'A-BOM'!$B$3:$B993,$B$2))</f>
        <v/>
      </c>
      <c r="D947" s="120" t="str">
        <f>IFERROR(IF(B947="","",VLOOKUP(B947,RM!$C$4:$F983,3,FALSE)),"")</f>
        <v/>
      </c>
      <c r="E947" s="118" t="e">
        <f t="array" aca="1" ref="E947" ca="1">_xludf.IFNA(IF(B947="","",VLOOKUP(B947,RM!$C$4:$G983,14,FALSE)),IFERROR(MIN(IF('S-BOM'!$B$3:$B993=$B947,'S-BOM'!$H$3:$H993,"")),""))</f>
        <v>#NAME?</v>
      </c>
      <c r="F947" s="87" t="str">
        <f t="shared" si="7"/>
        <v/>
      </c>
      <c r="G947" s="87" t="str">
        <f t="shared" si="8"/>
        <v/>
      </c>
      <c r="H947" s="87"/>
      <c r="I947" s="87"/>
      <c r="J947" s="87"/>
    </row>
    <row r="948" spans="1:10">
      <c r="A948" s="2"/>
      <c r="B948" s="2"/>
      <c r="C948" s="120" t="str">
        <f>IF(B948="","",SUMIFS('A-BOM'!$D$3:$D993,'A-BOM'!$C$3:$C993,B948,'A-BOM'!$B$3:$B993,$B$2))</f>
        <v/>
      </c>
      <c r="D948" s="120" t="str">
        <f>IFERROR(IF(B948="","",VLOOKUP(B948,RM!$C$4:$F983,3,FALSE)),"")</f>
        <v/>
      </c>
      <c r="E948" s="118" t="e">
        <f t="array" aca="1" ref="E948" ca="1">_xludf.IFNA(IF(B948="","",VLOOKUP(B948,RM!$C$4:$G983,14,FALSE)),IFERROR(MIN(IF('S-BOM'!$B$3:$B993=$B948,'S-BOM'!$H$3:$H993,"")),""))</f>
        <v>#NAME?</v>
      </c>
      <c r="F948" s="87" t="str">
        <f t="shared" si="7"/>
        <v/>
      </c>
      <c r="G948" s="87" t="str">
        <f t="shared" si="8"/>
        <v/>
      </c>
      <c r="H948" s="87"/>
      <c r="I948" s="87"/>
      <c r="J948" s="87"/>
    </row>
    <row r="949" spans="1:10">
      <c r="A949" s="2"/>
      <c r="B949" s="2"/>
      <c r="C949" s="120" t="str">
        <f>IF(B949="","",SUMIFS('A-BOM'!$D$3:$D993,'A-BOM'!$C$3:$C993,B949,'A-BOM'!$B$3:$B993,$B$2))</f>
        <v/>
      </c>
      <c r="D949" s="120" t="str">
        <f>IFERROR(IF(B949="","",VLOOKUP(B949,RM!$C$4:$F983,3,FALSE)),"")</f>
        <v/>
      </c>
      <c r="E949" s="118" t="e">
        <f t="array" aca="1" ref="E949" ca="1">_xludf.IFNA(IF(B949="","",VLOOKUP(B949,RM!$C$4:$G983,14,FALSE)),IFERROR(MIN(IF('S-BOM'!$B$3:$B993=$B949,'S-BOM'!$H$3:$H993,"")),""))</f>
        <v>#NAME?</v>
      </c>
      <c r="F949" s="87" t="str">
        <f t="shared" si="7"/>
        <v/>
      </c>
      <c r="G949" s="87" t="str">
        <f t="shared" si="8"/>
        <v/>
      </c>
      <c r="H949" s="87"/>
      <c r="I949" s="87"/>
      <c r="J949" s="87"/>
    </row>
    <row r="950" spans="1:10">
      <c r="A950" s="2"/>
      <c r="B950" s="2"/>
      <c r="C950" s="120" t="str">
        <f>IF(B950="","",SUMIFS('A-BOM'!$D$3:$D993,'A-BOM'!$C$3:$C993,B950,'A-BOM'!$B$3:$B993,$B$2))</f>
        <v/>
      </c>
      <c r="D950" s="120" t="str">
        <f>IFERROR(IF(B950="","",VLOOKUP(B950,RM!$C$4:$F983,3,FALSE)),"")</f>
        <v/>
      </c>
      <c r="E950" s="118" t="e">
        <f t="array" aca="1" ref="E950" ca="1">_xludf.IFNA(IF(B950="","",VLOOKUP(B950,RM!$C$4:$G983,14,FALSE)),IFERROR(MIN(IF('S-BOM'!$B$3:$B993=$B950,'S-BOM'!$H$3:$H993,"")),""))</f>
        <v>#NAME?</v>
      </c>
      <c r="F950" s="87" t="str">
        <f t="shared" si="7"/>
        <v/>
      </c>
      <c r="G950" s="87" t="str">
        <f t="shared" si="8"/>
        <v/>
      </c>
      <c r="H950" s="87"/>
      <c r="I950" s="87"/>
      <c r="J950" s="87"/>
    </row>
    <row r="951" spans="1:10">
      <c r="A951" s="2"/>
      <c r="B951" s="2"/>
      <c r="C951" s="120" t="str">
        <f>IF(B951="","",SUMIFS('A-BOM'!$D$3:$D993,'A-BOM'!$C$3:$C993,B951,'A-BOM'!$B$3:$B993,$B$2))</f>
        <v/>
      </c>
      <c r="D951" s="120" t="str">
        <f>IFERROR(IF(B951="","",VLOOKUP(B951,RM!$C$4:$F983,3,FALSE)),"")</f>
        <v/>
      </c>
      <c r="E951" s="118" t="e">
        <f t="array" aca="1" ref="E951" ca="1">_xludf.IFNA(IF(B951="","",VLOOKUP(B951,RM!$C$4:$G983,14,FALSE)),IFERROR(MIN(IF('S-BOM'!$B$3:$B993=$B951,'S-BOM'!$H$3:$H993,"")),""))</f>
        <v>#NAME?</v>
      </c>
      <c r="F951" s="87" t="str">
        <f t="shared" si="7"/>
        <v/>
      </c>
      <c r="G951" s="87" t="str">
        <f t="shared" si="8"/>
        <v/>
      </c>
      <c r="H951" s="87"/>
      <c r="I951" s="87"/>
      <c r="J951" s="87"/>
    </row>
    <row r="952" spans="1:10">
      <c r="A952" s="2"/>
      <c r="B952" s="2"/>
      <c r="C952" s="120" t="str">
        <f>IF(B952="","",SUMIFS('A-BOM'!$D$3:$D993,'A-BOM'!$C$3:$C993,B952,'A-BOM'!$B$3:$B993,$B$2))</f>
        <v/>
      </c>
      <c r="D952" s="120" t="str">
        <f>IFERROR(IF(B952="","",VLOOKUP(B952,RM!$C$4:$F983,3,FALSE)),"")</f>
        <v/>
      </c>
      <c r="E952" s="118" t="e">
        <f t="array" aca="1" ref="E952" ca="1">_xludf.IFNA(IF(B952="","",VLOOKUP(B952,RM!$C$4:$G983,14,FALSE)),IFERROR(MIN(IF('S-BOM'!$B$3:$B993=$B952,'S-BOM'!$H$3:$H993,"")),""))</f>
        <v>#NAME?</v>
      </c>
      <c r="F952" s="87" t="str">
        <f t="shared" si="7"/>
        <v/>
      </c>
      <c r="G952" s="87" t="str">
        <f t="shared" si="8"/>
        <v/>
      </c>
      <c r="H952" s="87"/>
      <c r="I952" s="87"/>
      <c r="J952" s="87"/>
    </row>
    <row r="953" spans="1:10">
      <c r="A953" s="2"/>
      <c r="B953" s="2"/>
      <c r="C953" s="120" t="str">
        <f>IF(B953="","",SUMIFS('A-BOM'!$D$3:$D993,'A-BOM'!$C$3:$C993,B953,'A-BOM'!$B$3:$B993,$B$2))</f>
        <v/>
      </c>
      <c r="D953" s="120" t="str">
        <f>IFERROR(IF(B953="","",VLOOKUP(B953,RM!$C$4:$F983,3,FALSE)),"")</f>
        <v/>
      </c>
      <c r="E953" s="118" t="e">
        <f t="array" aca="1" ref="E953" ca="1">_xludf.IFNA(IF(B953="","",VLOOKUP(B953,RM!$C$4:$G983,14,FALSE)),IFERROR(MIN(IF('S-BOM'!$B$3:$B993=$B953,'S-BOM'!$H$3:$H993,"")),""))</f>
        <v>#NAME?</v>
      </c>
      <c r="F953" s="87" t="str">
        <f t="shared" si="7"/>
        <v/>
      </c>
      <c r="G953" s="87" t="str">
        <f t="shared" si="8"/>
        <v/>
      </c>
      <c r="H953" s="87"/>
      <c r="I953" s="87"/>
      <c r="J953" s="87"/>
    </row>
    <row r="954" spans="1:10">
      <c r="A954" s="2"/>
      <c r="B954" s="2"/>
      <c r="C954" s="120" t="str">
        <f>IF(B954="","",SUMIFS('A-BOM'!$D$3:$D993,'A-BOM'!$C$3:$C993,B954,'A-BOM'!$B$3:$B993,$B$2))</f>
        <v/>
      </c>
      <c r="D954" s="120" t="str">
        <f>IFERROR(IF(B954="","",VLOOKUP(B954,RM!$C$4:$F983,3,FALSE)),"")</f>
        <v/>
      </c>
      <c r="E954" s="118" t="e">
        <f t="array" aca="1" ref="E954" ca="1">_xludf.IFNA(IF(B954="","",VLOOKUP(B954,RM!$C$4:$G983,14,FALSE)),IFERROR(MIN(IF('S-BOM'!$B$3:$B993=$B954,'S-BOM'!$H$3:$H993,"")),""))</f>
        <v>#NAME?</v>
      </c>
      <c r="F954" s="87" t="str">
        <f t="shared" si="7"/>
        <v/>
      </c>
      <c r="G954" s="87" t="str">
        <f t="shared" si="8"/>
        <v/>
      </c>
      <c r="H954" s="87"/>
      <c r="I954" s="87"/>
      <c r="J954" s="87"/>
    </row>
    <row r="955" spans="1:10">
      <c r="A955" s="2"/>
      <c r="B955" s="2"/>
      <c r="C955" s="120" t="str">
        <f>IF(B955="","",SUMIFS('A-BOM'!$D$3:$D993,'A-BOM'!$C$3:$C993,B955,'A-BOM'!$B$3:$B993,$B$2))</f>
        <v/>
      </c>
      <c r="D955" s="120" t="str">
        <f>IFERROR(IF(B955="","",VLOOKUP(B955,RM!$C$4:$F983,3,FALSE)),"")</f>
        <v/>
      </c>
      <c r="E955" s="118" t="e">
        <f t="array" aca="1" ref="E955" ca="1">_xludf.IFNA(IF(B955="","",VLOOKUP(B955,RM!$C$4:$G983,14,FALSE)),IFERROR(MIN(IF('S-BOM'!$B$3:$B993=$B955,'S-BOM'!$H$3:$H993,"")),""))</f>
        <v>#NAME?</v>
      </c>
      <c r="F955" s="87" t="str">
        <f t="shared" si="7"/>
        <v/>
      </c>
      <c r="G955" s="87" t="str">
        <f t="shared" si="8"/>
        <v/>
      </c>
      <c r="H955" s="87"/>
      <c r="I955" s="87"/>
      <c r="J955" s="87"/>
    </row>
    <row r="956" spans="1:10">
      <c r="A956" s="2"/>
      <c r="B956" s="2"/>
      <c r="C956" s="120" t="str">
        <f>IF(B956="","",SUMIFS('A-BOM'!$D$3:$D993,'A-BOM'!$C$3:$C993,B956,'A-BOM'!$B$3:$B993,$B$2))</f>
        <v/>
      </c>
      <c r="D956" s="120" t="str">
        <f>IFERROR(IF(B956="","",VLOOKUP(B956,RM!$C$4:$F983,3,FALSE)),"")</f>
        <v/>
      </c>
      <c r="E956" s="118" t="e">
        <f t="array" aca="1" ref="E956" ca="1">_xludf.IFNA(IF(B956="","",VLOOKUP(B956,RM!$C$4:$G983,14,FALSE)),IFERROR(MIN(IF('S-BOM'!$B$3:$B993=$B956,'S-BOM'!$H$3:$H993,"")),""))</f>
        <v>#NAME?</v>
      </c>
      <c r="F956" s="87" t="str">
        <f t="shared" si="7"/>
        <v/>
      </c>
      <c r="G956" s="87" t="str">
        <f t="shared" si="8"/>
        <v/>
      </c>
      <c r="H956" s="87"/>
      <c r="I956" s="87"/>
      <c r="J956" s="87"/>
    </row>
    <row r="957" spans="1:10">
      <c r="A957" s="2"/>
      <c r="B957" s="2"/>
      <c r="C957" s="120" t="str">
        <f>IF(B957="","",SUMIFS('A-BOM'!$D$3:$D993,'A-BOM'!$C$3:$C993,B957,'A-BOM'!$B$3:$B993,$B$2))</f>
        <v/>
      </c>
      <c r="D957" s="120" t="str">
        <f>IFERROR(IF(B957="","",VLOOKUP(B957,RM!$C$4:$F983,3,FALSE)),"")</f>
        <v/>
      </c>
      <c r="E957" s="118" t="e">
        <f t="array" aca="1" ref="E957" ca="1">_xludf.IFNA(IF(B957="","",VLOOKUP(B957,RM!$C$4:$G983,14,FALSE)),IFERROR(MIN(IF('S-BOM'!$B$3:$B993=$B957,'S-BOM'!$H$3:$H993,"")),""))</f>
        <v>#NAME?</v>
      </c>
      <c r="F957" s="87" t="str">
        <f t="shared" si="7"/>
        <v/>
      </c>
      <c r="G957" s="87" t="str">
        <f t="shared" si="8"/>
        <v/>
      </c>
      <c r="H957" s="87"/>
      <c r="I957" s="87"/>
      <c r="J957" s="87"/>
    </row>
    <row r="958" spans="1:10">
      <c r="A958" s="2"/>
      <c r="B958" s="2"/>
      <c r="C958" s="120" t="str">
        <f>IF(B958="","",SUMIFS('A-BOM'!$D$3:$D993,'A-BOM'!$C$3:$C993,B958,'A-BOM'!$B$3:$B993,$B$2))</f>
        <v/>
      </c>
      <c r="D958" s="120" t="str">
        <f>IFERROR(IF(B958="","",VLOOKUP(B958,RM!$C$4:$F983,3,FALSE)),"")</f>
        <v/>
      </c>
      <c r="E958" s="118" t="e">
        <f t="array" aca="1" ref="E958" ca="1">_xludf.IFNA(IF(B958="","",VLOOKUP(B958,RM!$C$4:$G983,14,FALSE)),IFERROR(MIN(IF('S-BOM'!$B$3:$B993=$B958,'S-BOM'!$H$3:$H993,"")),""))</f>
        <v>#NAME?</v>
      </c>
      <c r="F958" s="87" t="str">
        <f t="shared" si="7"/>
        <v/>
      </c>
      <c r="G958" s="87" t="str">
        <f t="shared" si="8"/>
        <v/>
      </c>
      <c r="H958" s="87"/>
      <c r="I958" s="87"/>
      <c r="J958" s="87"/>
    </row>
    <row r="959" spans="1:10">
      <c r="A959" s="2"/>
      <c r="B959" s="2"/>
      <c r="C959" s="120" t="str">
        <f>IF(B959="","",SUMIFS('A-BOM'!$D$3:$D993,'A-BOM'!$C$3:$C993,B959,'A-BOM'!$B$3:$B993,$B$2))</f>
        <v/>
      </c>
      <c r="D959" s="120" t="str">
        <f>IFERROR(IF(B959="","",VLOOKUP(B959,RM!$C$4:$F983,3,FALSE)),"")</f>
        <v/>
      </c>
      <c r="E959" s="118" t="e">
        <f t="array" aca="1" ref="E959" ca="1">_xludf.IFNA(IF(B959="","",VLOOKUP(B959,RM!$C$4:$G983,14,FALSE)),IFERROR(MIN(IF('S-BOM'!$B$3:$B993=$B959,'S-BOM'!$H$3:$H993,"")),""))</f>
        <v>#NAME?</v>
      </c>
      <c r="F959" s="87" t="str">
        <f t="shared" si="7"/>
        <v/>
      </c>
      <c r="G959" s="87" t="str">
        <f t="shared" si="8"/>
        <v/>
      </c>
      <c r="H959" s="87"/>
      <c r="I959" s="87"/>
      <c r="J959" s="87"/>
    </row>
    <row r="960" spans="1:10">
      <c r="A960" s="2"/>
      <c r="B960" s="2"/>
      <c r="C960" s="120" t="str">
        <f>IF(B960="","",SUMIFS('A-BOM'!$D$3:$D993,'A-BOM'!$C$3:$C993,B960,'A-BOM'!$B$3:$B993,$B$2))</f>
        <v/>
      </c>
      <c r="D960" s="120" t="str">
        <f>IFERROR(IF(B960="","",VLOOKUP(B960,RM!$C$4:$F983,3,FALSE)),"")</f>
        <v/>
      </c>
      <c r="E960" s="118" t="e">
        <f t="array" aca="1" ref="E960" ca="1">_xludf.IFNA(IF(B960="","",VLOOKUP(B960,RM!$C$4:$G983,14,FALSE)),IFERROR(MIN(IF('S-BOM'!$B$3:$B993=$B960,'S-BOM'!$H$3:$H993,"")),""))</f>
        <v>#NAME?</v>
      </c>
      <c r="F960" s="87" t="str">
        <f t="shared" si="7"/>
        <v/>
      </c>
      <c r="G960" s="87" t="str">
        <f t="shared" si="8"/>
        <v/>
      </c>
      <c r="H960" s="87"/>
      <c r="I960" s="87"/>
      <c r="J960" s="87"/>
    </row>
    <row r="961" spans="1:10">
      <c r="A961" s="2"/>
      <c r="B961" s="2"/>
      <c r="C961" s="120" t="str">
        <f>IF(B961="","",SUMIFS('A-BOM'!$D$3:$D993,'A-BOM'!$C$3:$C993,B961,'A-BOM'!$B$3:$B993,$B$2))</f>
        <v/>
      </c>
      <c r="D961" s="120" t="str">
        <f>IFERROR(IF(B961="","",VLOOKUP(B961,RM!$C$4:$F983,3,FALSE)),"")</f>
        <v/>
      </c>
      <c r="E961" s="118" t="e">
        <f t="array" aca="1" ref="E961" ca="1">_xludf.IFNA(IF(B961="","",VLOOKUP(B961,RM!$C$4:$G983,14,FALSE)),IFERROR(MIN(IF('S-BOM'!$B$3:$B993=$B961,'S-BOM'!$H$3:$H993,"")),""))</f>
        <v>#NAME?</v>
      </c>
      <c r="F961" s="87" t="str">
        <f t="shared" si="7"/>
        <v/>
      </c>
      <c r="G961" s="87" t="str">
        <f t="shared" si="8"/>
        <v/>
      </c>
      <c r="H961" s="87"/>
      <c r="I961" s="87"/>
      <c r="J961" s="87"/>
    </row>
    <row r="962" spans="1:10">
      <c r="A962" s="2"/>
      <c r="B962" s="2"/>
      <c r="C962" s="120" t="str">
        <f>IF(B962="","",SUMIFS('A-BOM'!$D$3:$D993,'A-BOM'!$C$3:$C993,B962,'A-BOM'!$B$3:$B993,$B$2))</f>
        <v/>
      </c>
      <c r="D962" s="120" t="str">
        <f>IFERROR(IF(B962="","",VLOOKUP(B962,RM!$C$4:$F983,3,FALSE)),"")</f>
        <v/>
      </c>
      <c r="E962" s="118" t="e">
        <f t="array" aca="1" ref="E962" ca="1">_xludf.IFNA(IF(B962="","",VLOOKUP(B962,RM!$C$4:$G983,14,FALSE)),IFERROR(MIN(IF('S-BOM'!$B$3:$B993=$B962,'S-BOM'!$H$3:$H993,"")),""))</f>
        <v>#NAME?</v>
      </c>
      <c r="F962" s="87" t="str">
        <f t="shared" si="7"/>
        <v/>
      </c>
      <c r="G962" s="87" t="str">
        <f t="shared" si="8"/>
        <v/>
      </c>
      <c r="H962" s="87"/>
      <c r="I962" s="87"/>
      <c r="J962" s="87"/>
    </row>
    <row r="963" spans="1:10">
      <c r="A963" s="2"/>
      <c r="B963" s="2"/>
      <c r="C963" s="120" t="str">
        <f>IF(B963="","",SUMIFS('A-BOM'!$D$3:$D993,'A-BOM'!$C$3:$C993,B963,'A-BOM'!$B$3:$B993,$B$2))</f>
        <v/>
      </c>
      <c r="D963" s="120" t="str">
        <f>IFERROR(IF(B963="","",VLOOKUP(B963,RM!$C$4:$F983,3,FALSE)),"")</f>
        <v/>
      </c>
      <c r="E963" s="118" t="e">
        <f t="array" aca="1" ref="E963" ca="1">_xludf.IFNA(IF(B963="","",VLOOKUP(B963,RM!$C$4:$G983,14,FALSE)),IFERROR(MIN(IF('S-BOM'!$B$3:$B993=$B963,'S-BOM'!$H$3:$H993,"")),""))</f>
        <v>#NAME?</v>
      </c>
      <c r="F963" s="87" t="str">
        <f t="shared" si="7"/>
        <v/>
      </c>
      <c r="G963" s="87" t="str">
        <f t="shared" si="8"/>
        <v/>
      </c>
      <c r="H963" s="87"/>
      <c r="I963" s="87"/>
      <c r="J963" s="87"/>
    </row>
    <row r="964" spans="1:10">
      <c r="A964" s="2"/>
      <c r="B964" s="2"/>
      <c r="C964" s="120" t="str">
        <f>IF(B964="","",SUMIFS('A-BOM'!$D$3:$D993,'A-BOM'!$C$3:$C993,B964,'A-BOM'!$B$3:$B993,$B$2))</f>
        <v/>
      </c>
      <c r="D964" s="120" t="str">
        <f>IFERROR(IF(B964="","",VLOOKUP(B964,RM!$C$4:$F983,3,FALSE)),"")</f>
        <v/>
      </c>
      <c r="E964" s="118" t="e">
        <f t="array" aca="1" ref="E964" ca="1">_xludf.IFNA(IF(B964="","",VLOOKUP(B964,RM!$C$4:$G983,14,FALSE)),IFERROR(MIN(IF('S-BOM'!$B$3:$B993=$B964,'S-BOM'!$H$3:$H993,"")),""))</f>
        <v>#NAME?</v>
      </c>
      <c r="F964" s="87" t="str">
        <f t="shared" si="7"/>
        <v/>
      </c>
      <c r="G964" s="87" t="str">
        <f t="shared" si="8"/>
        <v/>
      </c>
      <c r="H964" s="87"/>
      <c r="I964" s="87"/>
      <c r="J964" s="87"/>
    </row>
    <row r="965" spans="1:10">
      <c r="A965" s="2"/>
      <c r="B965" s="2"/>
      <c r="C965" s="120" t="str">
        <f>IF(B965="","",SUMIFS('A-BOM'!$D$3:$D993,'A-BOM'!$C$3:$C993,B965,'A-BOM'!$B$3:$B993,$B$2))</f>
        <v/>
      </c>
      <c r="D965" s="120" t="str">
        <f>IFERROR(IF(B965="","",VLOOKUP(B965,RM!$C$4:$F983,3,FALSE)),"")</f>
        <v/>
      </c>
      <c r="E965" s="118" t="e">
        <f t="array" aca="1" ref="E965" ca="1">_xludf.IFNA(IF(B965="","",VLOOKUP(B965,RM!$C$4:$G983,14,FALSE)),IFERROR(MIN(IF('S-BOM'!$B$3:$B993=$B965,'S-BOM'!$H$3:$H993,"")),""))</f>
        <v>#NAME?</v>
      </c>
      <c r="F965" s="87" t="str">
        <f t="shared" si="7"/>
        <v/>
      </c>
      <c r="G965" s="87" t="str">
        <f t="shared" si="8"/>
        <v/>
      </c>
      <c r="H965" s="87"/>
      <c r="I965" s="87"/>
      <c r="J965" s="87"/>
    </row>
    <row r="966" spans="1:10">
      <c r="A966" s="2"/>
      <c r="B966" s="2"/>
      <c r="C966" s="120" t="str">
        <f>IF(B966="","",SUMIFS('A-BOM'!$D$3:$D993,'A-BOM'!$C$3:$C993,B966,'A-BOM'!$B$3:$B993,$B$2))</f>
        <v/>
      </c>
      <c r="D966" s="120" t="str">
        <f>IFERROR(IF(B966="","",VLOOKUP(B966,RM!$C$4:$F983,3,FALSE)),"")</f>
        <v/>
      </c>
      <c r="E966" s="118" t="e">
        <f t="array" aca="1" ref="E966" ca="1">_xludf.IFNA(IF(B966="","",VLOOKUP(B966,RM!$C$4:$G983,14,FALSE)),IFERROR(MIN(IF('S-BOM'!$B$3:$B993=$B966,'S-BOM'!$H$3:$H993,"")),""))</f>
        <v>#NAME?</v>
      </c>
      <c r="F966" s="87" t="str">
        <f t="shared" si="7"/>
        <v/>
      </c>
      <c r="G966" s="87" t="str">
        <f t="shared" si="8"/>
        <v/>
      </c>
      <c r="H966" s="87"/>
      <c r="I966" s="87"/>
      <c r="J966" s="87"/>
    </row>
    <row r="967" spans="1:10">
      <c r="A967" s="2"/>
      <c r="B967" s="2"/>
      <c r="C967" s="120" t="str">
        <f>IF(B967="","",SUMIFS('A-BOM'!$D$3:$D993,'A-BOM'!$C$3:$C993,B967,'A-BOM'!$B$3:$B993,$B$2))</f>
        <v/>
      </c>
      <c r="D967" s="120" t="str">
        <f>IFERROR(IF(B967="","",VLOOKUP(B967,RM!$C$4:$F983,3,FALSE)),"")</f>
        <v/>
      </c>
      <c r="E967" s="118" t="e">
        <f t="array" aca="1" ref="E967" ca="1">_xludf.IFNA(IF(B967="","",VLOOKUP(B967,RM!$C$4:$G983,14,FALSE)),IFERROR(MIN(IF('S-BOM'!$B$3:$B993=$B967,'S-BOM'!$H$3:$H993,"")),""))</f>
        <v>#NAME?</v>
      </c>
      <c r="F967" s="87" t="str">
        <f t="shared" si="7"/>
        <v/>
      </c>
      <c r="G967" s="87" t="str">
        <f t="shared" si="8"/>
        <v/>
      </c>
      <c r="H967" s="87"/>
      <c r="I967" s="87"/>
      <c r="J967" s="87"/>
    </row>
    <row r="968" spans="1:10">
      <c r="A968" s="2"/>
      <c r="B968" s="2"/>
      <c r="C968" s="120" t="str">
        <f>IF(B968="","",SUMIFS('A-BOM'!$D$3:$D993,'A-BOM'!$C$3:$C993,B968,'A-BOM'!$B$3:$B993,$B$2))</f>
        <v/>
      </c>
      <c r="D968" s="120" t="str">
        <f>IFERROR(IF(B968="","",VLOOKUP(B968,RM!$C$4:$F983,3,FALSE)),"")</f>
        <v/>
      </c>
      <c r="E968" s="118" t="e">
        <f t="array" aca="1" ref="E968" ca="1">_xludf.IFNA(IF(B968="","",VLOOKUP(B968,RM!$C$4:$G983,14,FALSE)),IFERROR(MIN(IF('S-BOM'!$B$3:$B993=$B968,'S-BOM'!$H$3:$H993,"")),""))</f>
        <v>#NAME?</v>
      </c>
      <c r="F968" s="87" t="str">
        <f t="shared" si="7"/>
        <v/>
      </c>
      <c r="G968" s="87" t="str">
        <f t="shared" si="8"/>
        <v/>
      </c>
      <c r="H968" s="87"/>
      <c r="I968" s="87"/>
      <c r="J968" s="87"/>
    </row>
    <row r="969" spans="1:10">
      <c r="A969" s="2"/>
      <c r="B969" s="2"/>
      <c r="C969" s="120" t="str">
        <f>IF(B969="","",SUMIFS('A-BOM'!$D$3:$D993,'A-BOM'!$C$3:$C993,B969,'A-BOM'!$B$3:$B993,$B$2))</f>
        <v/>
      </c>
      <c r="D969" s="120" t="str">
        <f>IFERROR(IF(B969="","",VLOOKUP(B969,RM!$C$4:$F983,3,FALSE)),"")</f>
        <v/>
      </c>
      <c r="E969" s="118" t="e">
        <f t="array" aca="1" ref="E969" ca="1">_xludf.IFNA(IF(B969="","",VLOOKUP(B969,RM!$C$4:$G983,14,FALSE)),IFERROR(MIN(IF('S-BOM'!$B$3:$B993=$B969,'S-BOM'!$H$3:$H993,"")),""))</f>
        <v>#NAME?</v>
      </c>
      <c r="F969" s="87" t="str">
        <f t="shared" si="7"/>
        <v/>
      </c>
      <c r="G969" s="87" t="str">
        <f t="shared" si="8"/>
        <v/>
      </c>
      <c r="H969" s="87"/>
      <c r="I969" s="87"/>
      <c r="J969" s="87"/>
    </row>
    <row r="970" spans="1:10">
      <c r="A970" s="2"/>
      <c r="B970" s="2"/>
      <c r="C970" s="120" t="str">
        <f>IF(B970="","",SUMIFS('A-BOM'!$D$3:$D993,'A-BOM'!$C$3:$C993,B970,'A-BOM'!$B$3:$B993,$B$2))</f>
        <v/>
      </c>
      <c r="D970" s="120" t="str">
        <f>IFERROR(IF(B970="","",VLOOKUP(B970,RM!$C$4:$F983,3,FALSE)),"")</f>
        <v/>
      </c>
      <c r="E970" s="118" t="e">
        <f t="array" aca="1" ref="E970" ca="1">_xludf.IFNA(IF(B970="","",VLOOKUP(B970,RM!$C$4:$G983,14,FALSE)),IFERROR(MIN(IF('S-BOM'!$B$3:$B993=$B970,'S-BOM'!$H$3:$H993,"")),""))</f>
        <v>#NAME?</v>
      </c>
      <c r="F970" s="87" t="str">
        <f t="shared" si="7"/>
        <v/>
      </c>
      <c r="G970" s="87" t="str">
        <f t="shared" si="8"/>
        <v/>
      </c>
      <c r="H970" s="87"/>
      <c r="I970" s="87"/>
      <c r="J970" s="87"/>
    </row>
    <row r="971" spans="1:10">
      <c r="A971" s="2"/>
      <c r="B971" s="2"/>
      <c r="C971" s="120" t="str">
        <f>IF(B971="","",SUMIFS('A-BOM'!$D$3:$D993,'A-BOM'!$C$3:$C993,B971,'A-BOM'!$B$3:$B993,$B$2))</f>
        <v/>
      </c>
      <c r="D971" s="120" t="str">
        <f>IFERROR(IF(B971="","",VLOOKUP(B971,RM!$C$4:$F983,3,FALSE)),"")</f>
        <v/>
      </c>
      <c r="E971" s="118" t="e">
        <f t="array" aca="1" ref="E971" ca="1">_xludf.IFNA(IF(B971="","",VLOOKUP(B971,RM!$C$4:$G983,14,FALSE)),IFERROR(MIN(IF('S-BOM'!$B$3:$B993=$B971,'S-BOM'!$H$3:$H993,"")),""))</f>
        <v>#NAME?</v>
      </c>
      <c r="F971" s="87" t="str">
        <f t="shared" si="7"/>
        <v/>
      </c>
      <c r="G971" s="87" t="str">
        <f t="shared" si="8"/>
        <v/>
      </c>
      <c r="H971" s="87"/>
      <c r="I971" s="87"/>
      <c r="J971" s="87"/>
    </row>
    <row r="972" spans="1:10">
      <c r="A972" s="2"/>
      <c r="B972" s="2"/>
      <c r="C972" s="120" t="str">
        <f>IF(B972="","",SUMIFS('A-BOM'!$D$3:$D993,'A-BOM'!$C$3:$C993,B972,'A-BOM'!$B$3:$B993,$B$2))</f>
        <v/>
      </c>
      <c r="D972" s="120" t="str">
        <f>IFERROR(IF(B972="","",VLOOKUP(B972,RM!$C$4:$F983,3,FALSE)),"")</f>
        <v/>
      </c>
      <c r="E972" s="118" t="e">
        <f t="array" aca="1" ref="E972" ca="1">_xludf.IFNA(IF(B972="","",VLOOKUP(B972,RM!$C$4:$G983,14,FALSE)),IFERROR(MIN(IF('S-BOM'!$B$3:$B993=$B972,'S-BOM'!$H$3:$H993,"")),""))</f>
        <v>#NAME?</v>
      </c>
      <c r="F972" s="87" t="str">
        <f t="shared" si="7"/>
        <v/>
      </c>
      <c r="G972" s="87" t="str">
        <f t="shared" si="8"/>
        <v/>
      </c>
      <c r="H972" s="87"/>
      <c r="I972" s="87"/>
      <c r="J972" s="87"/>
    </row>
    <row r="973" spans="1:10">
      <c r="A973" s="2"/>
      <c r="B973" s="2"/>
      <c r="C973" s="120" t="str">
        <f>IF(B973="","",SUMIFS('A-BOM'!$D$3:$D993,'A-BOM'!$C$3:$C993,B973,'A-BOM'!$B$3:$B993,$B$2))</f>
        <v/>
      </c>
      <c r="D973" s="120" t="str">
        <f>IFERROR(IF(B973="","",VLOOKUP(B973,RM!$C$4:$F983,3,FALSE)),"")</f>
        <v/>
      </c>
      <c r="E973" s="118" t="e">
        <f t="array" aca="1" ref="E973" ca="1">_xludf.IFNA(IF(B973="","",VLOOKUP(B973,RM!$C$4:$G983,14,FALSE)),IFERROR(MIN(IF('S-BOM'!$B$3:$B993=$B973,'S-BOM'!$H$3:$H993,"")),""))</f>
        <v>#NAME?</v>
      </c>
      <c r="F973" s="87" t="str">
        <f t="shared" si="7"/>
        <v/>
      </c>
      <c r="G973" s="87" t="str">
        <f t="shared" si="8"/>
        <v/>
      </c>
      <c r="H973" s="87"/>
      <c r="I973" s="87"/>
      <c r="J973" s="87"/>
    </row>
    <row r="974" spans="1:10">
      <c r="A974" s="2"/>
      <c r="B974" s="2"/>
      <c r="C974" s="120" t="str">
        <f>IF(B974="","",SUMIFS('A-BOM'!$D$3:$D993,'A-BOM'!$C$3:$C993,B974,'A-BOM'!$B$3:$B993,$B$2))</f>
        <v/>
      </c>
      <c r="D974" s="120" t="str">
        <f>IFERROR(IF(B974="","",VLOOKUP(B974,RM!$C$4:$F983,3,FALSE)),"")</f>
        <v/>
      </c>
      <c r="E974" s="118" t="e">
        <f t="array" aca="1" ref="E974" ca="1">_xludf.IFNA(IF(B974="","",VLOOKUP(B974,RM!$C$4:$G983,14,FALSE)),IFERROR(MIN(IF('S-BOM'!$B$3:$B993=$B974,'S-BOM'!$H$3:$H993,"")),""))</f>
        <v>#NAME?</v>
      </c>
      <c r="F974" s="87" t="str">
        <f t="shared" si="7"/>
        <v/>
      </c>
      <c r="G974" s="87" t="str">
        <f t="shared" si="8"/>
        <v/>
      </c>
      <c r="H974" s="87"/>
      <c r="I974" s="87"/>
      <c r="J974" s="87"/>
    </row>
    <row r="975" spans="1:10">
      <c r="A975" s="2"/>
      <c r="B975" s="2"/>
      <c r="C975" s="120" t="str">
        <f>IF(B975="","",SUMIFS('A-BOM'!$D$3:$D993,'A-BOM'!$C$3:$C993,B975,'A-BOM'!$B$3:$B993,$B$2))</f>
        <v/>
      </c>
      <c r="D975" s="120" t="str">
        <f>IFERROR(IF(B975="","",VLOOKUP(B975,RM!$C$4:$F983,3,FALSE)),"")</f>
        <v/>
      </c>
      <c r="E975" s="118" t="e">
        <f t="array" aca="1" ref="E975" ca="1">_xludf.IFNA(IF(B975="","",VLOOKUP(B975,RM!$C$4:$G983,14,FALSE)),IFERROR(MIN(IF('S-BOM'!$B$3:$B993=$B975,'S-BOM'!$H$3:$H993,"")),""))</f>
        <v>#NAME?</v>
      </c>
      <c r="F975" s="87" t="str">
        <f t="shared" si="7"/>
        <v/>
      </c>
      <c r="G975" s="87" t="str">
        <f t="shared" si="8"/>
        <v/>
      </c>
      <c r="H975" s="87"/>
      <c r="I975" s="87"/>
      <c r="J975" s="87"/>
    </row>
    <row r="976" spans="1:10">
      <c r="A976" s="2"/>
      <c r="B976" s="2"/>
      <c r="C976" s="120" t="str">
        <f>IF(B976="","",SUMIFS('A-BOM'!$D$3:$D993,'A-BOM'!$C$3:$C993,B976,'A-BOM'!$B$3:$B993,$B$2))</f>
        <v/>
      </c>
      <c r="D976" s="120" t="str">
        <f>IFERROR(IF(B976="","",VLOOKUP(B976,RM!$C$4:$F983,3,FALSE)),"")</f>
        <v/>
      </c>
      <c r="E976" s="118" t="e">
        <f t="array" aca="1" ref="E976" ca="1">_xludf.IFNA(IF(B976="","",VLOOKUP(B976,RM!$C$4:$G983,14,FALSE)),IFERROR(MIN(IF('S-BOM'!$B$3:$B993=$B976,'S-BOM'!$H$3:$H993,"")),""))</f>
        <v>#NAME?</v>
      </c>
      <c r="F976" s="87" t="str">
        <f t="shared" si="7"/>
        <v/>
      </c>
      <c r="G976" s="87" t="str">
        <f t="shared" si="8"/>
        <v/>
      </c>
      <c r="H976" s="87"/>
      <c r="I976" s="87"/>
      <c r="J976" s="87"/>
    </row>
    <row r="977" spans="1:10">
      <c r="A977" s="2"/>
      <c r="B977" s="2"/>
      <c r="C977" s="120" t="str">
        <f>IF(B977="","",SUMIFS('A-BOM'!$D$3:$D993,'A-BOM'!$C$3:$C993,B977,'A-BOM'!$B$3:$B993,$B$2))</f>
        <v/>
      </c>
      <c r="D977" s="120" t="str">
        <f>IFERROR(IF(B977="","",VLOOKUP(B977,RM!$C$4:$F983,3,FALSE)),"")</f>
        <v/>
      </c>
      <c r="E977" s="118" t="e">
        <f t="array" aca="1" ref="E977" ca="1">_xludf.IFNA(IF(B977="","",VLOOKUP(B977,RM!$C$4:$G983,14,FALSE)),IFERROR(MIN(IF('S-BOM'!$B$3:$B993=$B977,'S-BOM'!$H$3:$H993,"")),""))</f>
        <v>#NAME?</v>
      </c>
      <c r="F977" s="87" t="str">
        <f t="shared" si="7"/>
        <v/>
      </c>
      <c r="G977" s="87" t="str">
        <f t="shared" si="8"/>
        <v/>
      </c>
      <c r="H977" s="87"/>
      <c r="I977" s="87"/>
      <c r="J977" s="87"/>
    </row>
    <row r="978" spans="1:10">
      <c r="A978" s="2"/>
      <c r="B978" s="2"/>
      <c r="C978" s="120" t="str">
        <f>IF(B978="","",SUMIFS('A-BOM'!$D$3:$D993,'A-BOM'!$C$3:$C993,B978,'A-BOM'!$B$3:$B993,$B$2))</f>
        <v/>
      </c>
      <c r="D978" s="120" t="str">
        <f>IFERROR(IF(B978="","",VLOOKUP(B978,RM!$C$4:$F983,3,FALSE)),"")</f>
        <v/>
      </c>
      <c r="E978" s="118" t="e">
        <f t="array" aca="1" ref="E978" ca="1">_xludf.IFNA(IF(B978="","",VLOOKUP(B978,RM!$C$4:$G983,14,FALSE)),IFERROR(MIN(IF('S-BOM'!$B$3:$B993=$B978,'S-BOM'!$H$3:$H993,"")),""))</f>
        <v>#NAME?</v>
      </c>
      <c r="F978" s="87" t="str">
        <f t="shared" si="7"/>
        <v/>
      </c>
      <c r="G978" s="87" t="str">
        <f t="shared" si="8"/>
        <v/>
      </c>
      <c r="H978" s="87"/>
      <c r="I978" s="87"/>
      <c r="J978" s="87"/>
    </row>
    <row r="979" spans="1:10">
      <c r="A979" s="2"/>
      <c r="B979" s="2"/>
      <c r="C979" s="120" t="str">
        <f>IF(B979="","",SUMIFS('A-BOM'!$D$3:$D993,'A-BOM'!$C$3:$C993,B979,'A-BOM'!$B$3:$B993,$B$2))</f>
        <v/>
      </c>
      <c r="D979" s="120" t="str">
        <f>IFERROR(IF(B979="","",VLOOKUP(B979,RM!$C$4:$F983,3,FALSE)),"")</f>
        <v/>
      </c>
      <c r="E979" s="118" t="e">
        <f t="array" aca="1" ref="E979" ca="1">_xludf.IFNA(IF(B979="","",VLOOKUP(B979,RM!$C$4:$G983,14,FALSE)),IFERROR(MIN(IF('S-BOM'!$B$3:$B993=$B979,'S-BOM'!$H$3:$H993,"")),""))</f>
        <v>#NAME?</v>
      </c>
      <c r="F979" s="87" t="str">
        <f t="shared" si="7"/>
        <v/>
      </c>
      <c r="G979" s="87" t="str">
        <f t="shared" si="8"/>
        <v/>
      </c>
      <c r="H979" s="87"/>
      <c r="I979" s="87"/>
      <c r="J979" s="87"/>
    </row>
    <row r="980" spans="1:10">
      <c r="A980" s="2"/>
      <c r="B980" s="2"/>
      <c r="C980" s="120" t="str">
        <f>IF(B980="","",SUMIFS('A-BOM'!$D$3:$D993,'A-BOM'!$C$3:$C993,B980,'A-BOM'!$B$3:$B993,$B$2))</f>
        <v/>
      </c>
      <c r="D980" s="120" t="str">
        <f>IFERROR(IF(B980="","",VLOOKUP(B980,RM!$C$4:$F983,3,FALSE)),"")</f>
        <v/>
      </c>
      <c r="E980" s="118" t="e">
        <f t="array" aca="1" ref="E980" ca="1">_xludf.IFNA(IF(B980="","",VLOOKUP(B980,RM!$C$4:$G983,14,FALSE)),IFERROR(MIN(IF('S-BOM'!$B$3:$B993=$B980,'S-BOM'!$H$3:$H993,"")),""))</f>
        <v>#NAME?</v>
      </c>
      <c r="F980" s="87" t="str">
        <f t="shared" si="7"/>
        <v/>
      </c>
      <c r="G980" s="87" t="str">
        <f t="shared" si="8"/>
        <v/>
      </c>
      <c r="H980" s="87"/>
      <c r="I980" s="87"/>
      <c r="J980" s="87"/>
    </row>
    <row r="981" spans="1:10">
      <c r="A981" s="2"/>
      <c r="B981" s="2"/>
      <c r="C981" s="120" t="str">
        <f>IF(B981="","",SUMIFS('A-BOM'!$D$3:$D993,'A-BOM'!$C$3:$C993,B981,'A-BOM'!$B$3:$B993,$B$2))</f>
        <v/>
      </c>
      <c r="D981" s="120" t="str">
        <f>IFERROR(IF(B981="","",VLOOKUP(B981,RM!$C$4:$F983,3,FALSE)),"")</f>
        <v/>
      </c>
      <c r="E981" s="118" t="e">
        <f t="array" aca="1" ref="E981" ca="1">_xludf.IFNA(IF(B981="","",VLOOKUP(B981,RM!$C$4:$G983,14,FALSE)),IFERROR(MIN(IF('S-BOM'!$B$3:$B993=$B981,'S-BOM'!$H$3:$H993,"")),""))</f>
        <v>#NAME?</v>
      </c>
      <c r="F981" s="87" t="str">
        <f t="shared" si="7"/>
        <v/>
      </c>
      <c r="G981" s="87" t="str">
        <f t="shared" si="8"/>
        <v/>
      </c>
      <c r="H981" s="87"/>
      <c r="I981" s="87"/>
      <c r="J981" s="87"/>
    </row>
    <row r="982" spans="1:10">
      <c r="A982" s="2"/>
      <c r="B982" s="2"/>
      <c r="C982" s="120" t="str">
        <f>IF(B982="","",SUMIFS('A-BOM'!$D$3:$D993,'A-BOM'!$C$3:$C993,B982,'A-BOM'!$B$3:$B993,$B$2))</f>
        <v/>
      </c>
      <c r="D982" s="120" t="str">
        <f>IFERROR(IF(B982="","",VLOOKUP(B982,RM!$C$4:$F983,3,FALSE)),"")</f>
        <v/>
      </c>
      <c r="E982" s="118" t="e">
        <f t="array" aca="1" ref="E982" ca="1">_xludf.IFNA(IF(B982="","",VLOOKUP(B982,RM!$C$4:$G983,14,FALSE)),IFERROR(MIN(IF('S-BOM'!$B$3:$B993=$B982,'S-BOM'!$H$3:$H993,"")),""))</f>
        <v>#NAME?</v>
      </c>
      <c r="F982" s="87" t="str">
        <f t="shared" si="7"/>
        <v/>
      </c>
      <c r="G982" s="87" t="str">
        <f t="shared" si="8"/>
        <v/>
      </c>
      <c r="H982" s="87"/>
      <c r="I982" s="87"/>
      <c r="J982" s="87"/>
    </row>
    <row r="983" spans="1:10">
      <c r="A983" s="2"/>
      <c r="B983" s="2"/>
      <c r="C983" s="120" t="str">
        <f>IF(B983="","",SUMIFS('A-BOM'!$D$3:$D993,'A-BOM'!$C$3:$C993,B983,'A-BOM'!$B$3:$B993,$B$2))</f>
        <v/>
      </c>
      <c r="D983" s="120" t="str">
        <f>IFERROR(IF(B983="","",VLOOKUP(B983,RM!$C$4:$F983,3,FALSE)),"")</f>
        <v/>
      </c>
      <c r="E983" s="118" t="e">
        <f t="array" aca="1" ref="E983" ca="1">_xludf.IFNA(IF(B983="","",VLOOKUP(B983,RM!$C$4:$G983,14,FALSE)),IFERROR(MIN(IF('S-BOM'!$B$3:$B993=$B983,'S-BOM'!$H$3:$H993,"")),""))</f>
        <v>#NAME?</v>
      </c>
      <c r="F983" s="87" t="str">
        <f t="shared" si="7"/>
        <v/>
      </c>
      <c r="G983" s="87" t="str">
        <f t="shared" si="8"/>
        <v/>
      </c>
      <c r="H983" s="87"/>
      <c r="I983" s="87"/>
      <c r="J983" s="87"/>
    </row>
    <row r="984" spans="1:10">
      <c r="A984" s="2"/>
      <c r="B984" s="2"/>
      <c r="C984" s="120" t="str">
        <f>IF(B984="","",SUMIFS('A-BOM'!$D$3:$D993,'A-BOM'!$C$3:$C993,B984,'A-BOM'!$B$3:$B993,$B$2))</f>
        <v/>
      </c>
      <c r="D984" s="120" t="str">
        <f>IFERROR(IF(B984="","",VLOOKUP(B984,RM!$C$4:$F983,3,FALSE)),"")</f>
        <v/>
      </c>
      <c r="E984" s="118" t="e">
        <f t="array" aca="1" ref="E984" ca="1">_xludf.IFNA(IF(B984="","",VLOOKUP(B984,RM!$C$4:$G983,14,FALSE)),IFERROR(MIN(IF('S-BOM'!$B$3:$B993=$B984,'S-BOM'!$H$3:$H993,"")),""))</f>
        <v>#NAME?</v>
      </c>
      <c r="F984" s="87" t="str">
        <f t="shared" si="7"/>
        <v/>
      </c>
      <c r="G984" s="87" t="str">
        <f t="shared" si="8"/>
        <v/>
      </c>
      <c r="H984" s="87"/>
      <c r="I984" s="87"/>
      <c r="J984" s="87"/>
    </row>
    <row r="985" spans="1:10">
      <c r="A985" s="2"/>
      <c r="B985" s="2"/>
      <c r="C985" s="120" t="str">
        <f>IF(B985="","",SUMIFS('A-BOM'!$D$3:$D993,'A-BOM'!$C$3:$C993,B985,'A-BOM'!$B$3:$B993,$B$2))</f>
        <v/>
      </c>
      <c r="D985" s="120" t="str">
        <f>IFERROR(IF(B985="","",VLOOKUP(B985,RM!$C$4:$F983,3,FALSE)),"")</f>
        <v/>
      </c>
      <c r="E985" s="118" t="e">
        <f t="array" aca="1" ref="E985" ca="1">_xludf.IFNA(IF(B985="","",VLOOKUP(B985,RM!$C$4:$G983,14,FALSE)),IFERROR(MIN(IF('S-BOM'!$B$3:$B993=$B985,'S-BOM'!$H$3:$H993,"")),""))</f>
        <v>#NAME?</v>
      </c>
      <c r="F985" s="87" t="str">
        <f t="shared" si="7"/>
        <v/>
      </c>
      <c r="G985" s="87" t="str">
        <f t="shared" si="8"/>
        <v/>
      </c>
      <c r="H985" s="87"/>
      <c r="I985" s="87"/>
      <c r="J985" s="87"/>
    </row>
    <row r="986" spans="1:10">
      <c r="A986" s="2"/>
      <c r="B986" s="2"/>
      <c r="C986" s="120" t="str">
        <f>IF(B986="","",SUMIFS('A-BOM'!$D$3:$D993,'A-BOM'!$C$3:$C993,B986,'A-BOM'!$B$3:$B993,$B$2))</f>
        <v/>
      </c>
      <c r="D986" s="120" t="str">
        <f>IFERROR(IF(B986="","",VLOOKUP(B986,RM!$C$4:$F983,3,FALSE)),"")</f>
        <v/>
      </c>
      <c r="E986" s="118" t="e">
        <f t="array" aca="1" ref="E986" ca="1">_xludf.IFNA(IF(B986="","",VLOOKUP(B986,RM!$C$4:$G983,14,FALSE)),IFERROR(MIN(IF('S-BOM'!$B$3:$B993=$B986,'S-BOM'!$H$3:$H993,"")),""))</f>
        <v>#NAME?</v>
      </c>
      <c r="F986" s="87" t="str">
        <f t="shared" si="7"/>
        <v/>
      </c>
      <c r="G986" s="87" t="str">
        <f t="shared" si="8"/>
        <v/>
      </c>
      <c r="H986" s="87"/>
      <c r="I986" s="87"/>
      <c r="J986" s="87"/>
    </row>
    <row r="987" spans="1:10">
      <c r="A987" s="2"/>
      <c r="B987" s="2"/>
      <c r="C987" s="120" t="str">
        <f>IF(B987="","",SUMIFS('A-BOM'!$D$3:$D993,'A-BOM'!$C$3:$C993,B987,'A-BOM'!$B$3:$B993,$B$2))</f>
        <v/>
      </c>
      <c r="D987" s="120" t="str">
        <f>IFERROR(IF(B987="","",VLOOKUP(B987,RM!$C$4:$F983,3,FALSE)),"")</f>
        <v/>
      </c>
      <c r="E987" s="118" t="e">
        <f t="array" aca="1" ref="E987" ca="1">_xludf.IFNA(IF(B987="","",VLOOKUP(B987,RM!$C$4:$G983,14,FALSE)),IFERROR(MIN(IF('S-BOM'!$B$3:$B993=$B987,'S-BOM'!$H$3:$H993,"")),""))</f>
        <v>#NAME?</v>
      </c>
      <c r="F987" s="87" t="str">
        <f t="shared" si="7"/>
        <v/>
      </c>
      <c r="G987" s="87" t="str">
        <f t="shared" si="8"/>
        <v/>
      </c>
      <c r="H987" s="87"/>
      <c r="I987" s="87"/>
      <c r="J987" s="87"/>
    </row>
    <row r="988" spans="1:10">
      <c r="A988" s="2"/>
      <c r="B988" s="2"/>
      <c r="C988" s="120" t="str">
        <f>IF(B988="","",SUMIFS('A-BOM'!$D$3:$D993,'A-BOM'!$C$3:$C993,B988,'A-BOM'!$B$3:$B993,$B$2))</f>
        <v/>
      </c>
      <c r="D988" s="120" t="str">
        <f>IFERROR(IF(B988="","",VLOOKUP(B988,RM!$C$4:$F983,3,FALSE)),"")</f>
        <v/>
      </c>
      <c r="E988" s="118" t="e">
        <f t="array" aca="1" ref="E988" ca="1">_xludf.IFNA(IF(B988="","",VLOOKUP(B988,RM!$C$4:$G983,14,FALSE)),IFERROR(MIN(IF('S-BOM'!$B$3:$B993=$B988,'S-BOM'!$H$3:$H993,"")),""))</f>
        <v>#NAME?</v>
      </c>
      <c r="F988" s="87" t="str">
        <f t="shared" si="7"/>
        <v/>
      </c>
      <c r="G988" s="87" t="str">
        <f t="shared" si="8"/>
        <v/>
      </c>
      <c r="H988" s="87"/>
      <c r="I988" s="87"/>
      <c r="J988" s="87"/>
    </row>
    <row r="989" spans="1:10">
      <c r="A989" s="2"/>
      <c r="B989" s="2"/>
      <c r="C989" s="120" t="str">
        <f>IF(B989="","",SUMIFS('A-BOM'!$D$3:$D993,'A-BOM'!$C$3:$C993,B989,'A-BOM'!$B$3:$B993,$B$2))</f>
        <v/>
      </c>
      <c r="D989" s="120" t="str">
        <f>IFERROR(IF(B989="","",VLOOKUP(B989,RM!$C$4:$F983,3,FALSE)),"")</f>
        <v/>
      </c>
      <c r="E989" s="118" t="e">
        <f t="array" aca="1" ref="E989" ca="1">_xludf.IFNA(IF(B989="","",VLOOKUP(B989,RM!$C$4:$G983,14,FALSE)),IFERROR(MIN(IF('S-BOM'!$B$3:$B993=$B989,'S-BOM'!$H$3:$H993,"")),""))</f>
        <v>#NAME?</v>
      </c>
      <c r="F989" s="87" t="str">
        <f t="shared" si="7"/>
        <v/>
      </c>
      <c r="G989" s="87" t="str">
        <f t="shared" si="8"/>
        <v/>
      </c>
      <c r="H989" s="87"/>
      <c r="I989" s="87"/>
      <c r="J989" s="87"/>
    </row>
    <row r="990" spans="1:10">
      <c r="A990" s="2"/>
      <c r="B990" s="2"/>
      <c r="C990" s="120" t="str">
        <f>IF(B990="","",SUMIFS('A-BOM'!$D$3:$D993,'A-BOM'!$C$3:$C993,B990,'A-BOM'!$B$3:$B993,$B$2))</f>
        <v/>
      </c>
      <c r="D990" s="120" t="str">
        <f>IFERROR(IF(B990="","",VLOOKUP(B990,RM!$C$4:$F983,3,FALSE)),"")</f>
        <v/>
      </c>
      <c r="E990" s="118" t="e">
        <f t="array" aca="1" ref="E990" ca="1">_xludf.IFNA(IF(B990="","",VLOOKUP(B990,RM!$C$4:$G983,14,FALSE)),IFERROR(MIN(IF('S-BOM'!$B$3:$B993=$B990,'S-BOM'!$H$3:$H993,"")),""))</f>
        <v>#NAME?</v>
      </c>
      <c r="F990" s="87" t="str">
        <f t="shared" si="7"/>
        <v/>
      </c>
      <c r="G990" s="87" t="str">
        <f t="shared" si="8"/>
        <v/>
      </c>
      <c r="H990" s="87"/>
      <c r="I990" s="87"/>
      <c r="J990" s="87"/>
    </row>
    <row r="991" spans="1:10">
      <c r="A991" s="2"/>
      <c r="B991" s="2"/>
      <c r="C991" s="120" t="str">
        <f>IF(B991="","",SUMIFS('A-BOM'!$D$3:$D993,'A-BOM'!$C$3:$C993,B991,'A-BOM'!$B$3:$B993,$B$2))</f>
        <v/>
      </c>
      <c r="D991" s="120" t="str">
        <f>IFERROR(IF(B991="","",VLOOKUP(B991,RM!$C$4:$F983,3,FALSE)),"")</f>
        <v/>
      </c>
      <c r="E991" s="118" t="e">
        <f t="array" aca="1" ref="E991" ca="1">_xludf.IFNA(IF(B991="","",VLOOKUP(B991,RM!$C$4:$G983,14,FALSE)),IFERROR(MIN(IF('S-BOM'!$B$3:$B993=$B991,'S-BOM'!$H$3:$H993,"")),""))</f>
        <v>#NAME?</v>
      </c>
      <c r="F991" s="87" t="str">
        <f t="shared" si="7"/>
        <v/>
      </c>
      <c r="G991" s="87" t="str">
        <f t="shared" si="8"/>
        <v/>
      </c>
      <c r="H991" s="87"/>
      <c r="I991" s="87"/>
      <c r="J991" s="87"/>
    </row>
    <row r="992" spans="1:10">
      <c r="A992" s="2"/>
      <c r="B992" s="2"/>
      <c r="C992" s="120" t="str">
        <f>IF(B992="","",SUMIFS('A-BOM'!$D$3:$D993,'A-BOM'!$C$3:$C993,B992,'A-BOM'!$B$3:$B993,$B$2))</f>
        <v/>
      </c>
      <c r="D992" s="120" t="str">
        <f>IFERROR(IF(B992="","",VLOOKUP(B992,RM!$C$4:$F983,3,FALSE)),"")</f>
        <v/>
      </c>
      <c r="E992" s="118" t="e">
        <f t="array" aca="1" ref="E992" ca="1">_xludf.IFNA(IF(B992="","",VLOOKUP(B992,RM!$C$4:$G983,14,FALSE)),IFERROR(MIN(IF('S-BOM'!$B$3:$B993=$B992,'S-BOM'!$H$3:$H993,"")),""))</f>
        <v>#NAME?</v>
      </c>
      <c r="F992" s="87" t="str">
        <f t="shared" si="7"/>
        <v/>
      </c>
      <c r="G992" s="87" t="str">
        <f t="shared" si="8"/>
        <v/>
      </c>
      <c r="H992" s="87"/>
      <c r="I992" s="87"/>
      <c r="J992" s="87"/>
    </row>
    <row r="993" spans="1:10">
      <c r="A993" s="2"/>
      <c r="B993" s="2"/>
      <c r="C993" s="120" t="str">
        <f>IF(B993="","",SUMIFS('A-BOM'!$D$3:$D993,'A-BOM'!$C$3:$C993,B993,'A-BOM'!$B$3:$B993,$B$2))</f>
        <v/>
      </c>
      <c r="D993" s="120" t="str">
        <f>IFERROR(IF(B993="","",VLOOKUP(B993,RM!$C$4:$F983,3,FALSE)),"")</f>
        <v/>
      </c>
      <c r="E993" s="118" t="e">
        <f t="array" aca="1" ref="E993" ca="1">_xludf.IFNA(IF(B993="","",VLOOKUP(B993,RM!$C$4:$G983,14,FALSE)),IFERROR(MIN(IF('S-BOM'!$B$3:$B993=$B993,'S-BOM'!$H$3:$H993,"")),""))</f>
        <v>#NAME?</v>
      </c>
      <c r="F993" s="87" t="str">
        <f t="shared" si="7"/>
        <v/>
      </c>
      <c r="G993" s="87" t="str">
        <f t="shared" si="8"/>
        <v/>
      </c>
      <c r="H993" s="87"/>
      <c r="I993" s="87"/>
      <c r="J993" s="87"/>
    </row>
  </sheetData>
  <mergeCells count="1">
    <mergeCell ref="A1:B1"/>
  </mergeCells>
  <conditionalFormatting sqref="B4:B993">
    <cfRule type="expression" dxfId="21" priority="2">
      <formula>$G4&gt;0</formula>
    </cfRule>
  </conditionalFormatting>
  <conditionalFormatting sqref="B4:D993">
    <cfRule type="expression" dxfId="20" priority="1">
      <formula>D4="Set"</formula>
    </cfRule>
  </conditionalFormatting>
  <conditionalFormatting sqref="E4:E993">
    <cfRule type="expression" dxfId="19" priority="4">
      <formula>AND(B4&lt;&gt;"",E4=0)</formula>
    </cfRule>
  </conditionalFormatting>
  <conditionalFormatting sqref="G4:G993">
    <cfRule type="cellIs" dxfId="18" priority="3" operator="greaterThan">
      <formula>0</formula>
    </cfRule>
  </conditionalFormatting>
  <printOptions horizontalCentered="1" gridLines="1"/>
  <pageMargins left="0.7" right="0.7" top="0.75" bottom="0.75" header="0" footer="0"/>
  <pageSetup paperSize="9" pageOrder="overThenDown" orientation="portrait" cellComments="atEnd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A00-000000000000}">
          <x14:formula1>
            <xm:f>FG!$B$3:$B993</xm:f>
          </x14:formula1>
          <xm:sqref>B2</xm:sqref>
        </x14:dataValidation>
      </x14:dataValidation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J994"/>
  <sheetViews>
    <sheetView showGridLines="0" workbookViewId="0">
      <pane ySplit="3" topLeftCell="A4" activePane="bottomLeft" state="frozen"/>
      <selection pane="bottomLeft" activeCell="B5" sqref="B5"/>
    </sheetView>
  </sheetViews>
  <sheetFormatPr defaultColWidth="14.453125" defaultRowHeight="15" customHeight="1"/>
  <cols>
    <col min="1" max="1" width="10.7265625" customWidth="1"/>
    <col min="2" max="2" width="36" customWidth="1"/>
    <col min="3" max="3" width="12.7265625" customWidth="1"/>
    <col min="4" max="4" width="42" customWidth="1"/>
    <col min="5" max="5" width="10.453125" customWidth="1"/>
    <col min="6" max="6" width="13.81640625" customWidth="1"/>
    <col min="7" max="7" width="10.81640625" hidden="1" customWidth="1"/>
    <col min="8" max="9" width="7.1796875" hidden="1" customWidth="1"/>
    <col min="10" max="10" width="11.81640625" hidden="1" customWidth="1"/>
  </cols>
  <sheetData>
    <row r="1" spans="1:10">
      <c r="A1" s="243" t="s">
        <v>1805</v>
      </c>
      <c r="B1" s="241"/>
      <c r="C1" s="122" t="s">
        <v>1806</v>
      </c>
      <c r="D1" s="113" t="s">
        <v>1726</v>
      </c>
    </row>
    <row r="2" spans="1:10">
      <c r="A2" s="114" t="s">
        <v>1801</v>
      </c>
      <c r="B2" s="115" t="s">
        <v>1605</v>
      </c>
      <c r="C2" s="123">
        <f t="array" ref="C2">IFERROR(MIN(IF('S-BOM'!$B$3:$B994=$B$2,'S-BOM'!$H$3:$H994,"")),"")</f>
        <v>0</v>
      </c>
      <c r="D2" s="116">
        <v>110</v>
      </c>
    </row>
    <row r="3" spans="1:10">
      <c r="A3" s="92" t="s">
        <v>1440</v>
      </c>
      <c r="B3" s="92" t="s">
        <v>73</v>
      </c>
      <c r="C3" s="92" t="s">
        <v>1442</v>
      </c>
      <c r="D3" s="92" t="s">
        <v>1</v>
      </c>
      <c r="E3" s="92" t="s">
        <v>1733</v>
      </c>
      <c r="F3" s="117" t="s">
        <v>1726</v>
      </c>
      <c r="G3" s="92" t="s">
        <v>1803</v>
      </c>
      <c r="H3" s="92" t="s">
        <v>1728</v>
      </c>
      <c r="I3" s="92" t="s">
        <v>1729</v>
      </c>
      <c r="J3" s="92"/>
    </row>
    <row r="4" spans="1:10">
      <c r="A4" s="118">
        <f t="shared" ref="A4:A94" ca="1" si="0">IF(B4="","", ROW()-3)</f>
        <v>1</v>
      </c>
      <c r="B4" s="1" t="str">
        <f ca="1">IFERROR(__xludf.DUMMYFUNCTION("SORT(UNIQUE(FILTER('S-BOM'!C3:C994,'S-BOM'!B3:B994=B2)),1,true)"),"16AWG Lead")</f>
        <v>16AWG Lead</v>
      </c>
      <c r="C4" s="120">
        <f ca="1">IF(B4="","",SUMIFS('S-BOM'!$D$3:$D994,'S-BOM'!$C$3:$C994,B4,'S-BOM'!$B$3:$B994,$B$2))</f>
        <v>30</v>
      </c>
      <c r="D4" s="120" t="str">
        <f ca="1">IFERROR(IF(B4="","",VLOOKUP(B4,RM!$C$4:$F984,3,FALSE)),"")</f>
        <v/>
      </c>
      <c r="E4" s="118" t="e">
        <f ca="1">IF(B4="","",VLOOKUP(B4,RM!$C$4:$G984,14,FALSE))</f>
        <v>#N/A</v>
      </c>
      <c r="F4" s="87">
        <f t="shared" ref="F4:F258" ca="1" si="1">IF(B4="","",$D$2*C4)</f>
        <v>3300</v>
      </c>
      <c r="G4" s="87" t="e">
        <f t="shared" ref="G4:G258" ca="1" si="2">IF(B4="","",IF(E4&gt;F4,0,F4-E4))</f>
        <v>#N/A</v>
      </c>
      <c r="H4" s="87"/>
      <c r="I4" s="87"/>
      <c r="J4" s="87"/>
    </row>
    <row r="5" spans="1:10">
      <c r="A5" s="118">
        <f t="shared" ca="1" si="0"/>
        <v>2</v>
      </c>
      <c r="B5" s="1" t="str">
        <f ca="1">IFERROR(__xludf.DUMMYFUNCTION("""COMPUTED_VALUE"""),"2mm FRP 60x70mm")</f>
        <v>2mm FRP 60x70mm</v>
      </c>
      <c r="C5" s="120">
        <f ca="1">IF(B5="","",SUMIFS('S-BOM'!$D$3:$D994,'S-BOM'!$C$3:$C994,B5,'S-BOM'!$B$3:$B994,$B$2))</f>
        <v>1</v>
      </c>
      <c r="D5" s="120" t="str">
        <f ca="1">IFERROR(IF(B5="","",VLOOKUP(B5,RM!$C$4:$F984,3,FALSE)),"")</f>
        <v/>
      </c>
      <c r="E5" s="118" t="e">
        <f ca="1">IF(B5="","",VLOOKUP(B5,RM!$C$4:$G984,14,FALSE))</f>
        <v>#N/A</v>
      </c>
      <c r="F5" s="87">
        <f t="shared" ca="1" si="1"/>
        <v>110</v>
      </c>
      <c r="G5" s="87" t="e">
        <f t="shared" ca="1" si="2"/>
        <v>#N/A</v>
      </c>
      <c r="H5" s="87"/>
      <c r="I5" s="87"/>
      <c r="J5" s="87"/>
    </row>
    <row r="6" spans="1:10">
      <c r="A6" s="118">
        <f t="shared" ca="1" si="0"/>
        <v>3</v>
      </c>
      <c r="B6" s="1" t="str">
        <f ca="1">IFERROR(__xludf.DUMMYFUNCTION("""COMPUTED_VALUE"""),"2mm FRP 60x70mm with 18 mm hole")</f>
        <v>2mm FRP 60x70mm with 18 mm hole</v>
      </c>
      <c r="C6" s="120">
        <f ca="1">IF(B6="","",SUMIFS('S-BOM'!$D$3:$D994,'S-BOM'!$C$3:$C994,B6,'S-BOM'!$B$3:$B994,$B$2))</f>
        <v>1</v>
      </c>
      <c r="D6" s="120">
        <f ca="1">IFERROR(IF(B6="","",VLOOKUP(B6,RM!$C$4:$F984,3,FALSE)),"")</f>
        <v>0</v>
      </c>
      <c r="E6" s="118" t="e">
        <f ca="1">IF(B6="","",VLOOKUP(B6,RM!$C$4:$G984,14,FALSE))</f>
        <v>#REF!</v>
      </c>
      <c r="F6" s="87">
        <f t="shared" ca="1" si="1"/>
        <v>110</v>
      </c>
      <c r="G6" s="87" t="e">
        <f t="shared" ca="1" si="2"/>
        <v>#REF!</v>
      </c>
      <c r="H6" s="87"/>
      <c r="I6" s="87"/>
      <c r="J6" s="87"/>
    </row>
    <row r="7" spans="1:10">
      <c r="A7" s="118">
        <f t="shared" ca="1" si="0"/>
        <v>4</v>
      </c>
      <c r="B7" s="1" t="str">
        <f ca="1">IFERROR(__xludf.DUMMYFUNCTION("""COMPUTED_VALUE"""),"6mm female bullet connector")</f>
        <v>6mm female bullet connector</v>
      </c>
      <c r="C7" s="120">
        <f ca="1">IF(B7="","",SUMIFS('S-BOM'!$D$3:$D994,'S-BOM'!$C$3:$C994,B7,'S-BOM'!$B$3:$B994,$B$2))</f>
        <v>1</v>
      </c>
      <c r="D7" s="120" t="str">
        <f ca="1">IFERROR(IF(B7="","",VLOOKUP(B7,RM!$C$4:$F984,3,FALSE)),"")</f>
        <v/>
      </c>
      <c r="E7" s="118" t="e">
        <f ca="1">IF(B7="","",VLOOKUP(B7,RM!$C$4:$G984,14,FALSE))</f>
        <v>#N/A</v>
      </c>
      <c r="F7" s="87">
        <f t="shared" ca="1" si="1"/>
        <v>110</v>
      </c>
      <c r="G7" s="87" t="e">
        <f t="shared" ca="1" si="2"/>
        <v>#N/A</v>
      </c>
      <c r="H7" s="87"/>
      <c r="I7" s="87"/>
      <c r="J7" s="87"/>
    </row>
    <row r="8" spans="1:10">
      <c r="A8" s="118">
        <f t="shared" ca="1" si="0"/>
        <v>5</v>
      </c>
      <c r="B8" s="1" t="str">
        <f ca="1">IFERROR(__xludf.DUMMYFUNCTION("""COMPUTED_VALUE"""),"70mm Paper Separator")</f>
        <v>70mm Paper Separator</v>
      </c>
      <c r="C8" s="120">
        <f ca="1">IF(B8="","",SUMIFS('S-BOM'!$D$3:$D994,'S-BOM'!$C$3:$C994,B8,'S-BOM'!$B$3:$B994,$B$2))</f>
        <v>0.5</v>
      </c>
      <c r="D8" s="120" t="str">
        <f ca="1">IFERROR(IF(B8="","",VLOOKUP(B8,RM!$C$4:$F984,3,FALSE)),"")</f>
        <v/>
      </c>
      <c r="E8" s="118" t="e">
        <f ca="1">IF(B8="","",VLOOKUP(B8,RM!$C$4:$G984,14,FALSE))</f>
        <v>#N/A</v>
      </c>
      <c r="F8" s="87">
        <f t="shared" ca="1" si="1"/>
        <v>55</v>
      </c>
      <c r="G8" s="87" t="e">
        <f t="shared" ca="1" si="2"/>
        <v>#N/A</v>
      </c>
      <c r="H8" s="87"/>
      <c r="I8" s="87"/>
      <c r="J8" s="87"/>
    </row>
    <row r="9" spans="1:10">
      <c r="A9" s="118">
        <f t="shared" ca="1" si="0"/>
        <v>6</v>
      </c>
      <c r="B9" s="1" t="str">
        <f ca="1">IFERROR(__xludf.DUMMYFUNCTION("""COMPUTED_VALUE"""),"8mm male bullet connector")</f>
        <v>8mm male bullet connector</v>
      </c>
      <c r="C9" s="120">
        <f ca="1">IF(B9="","",SUMIFS('S-BOM'!$D$3:$D994,'S-BOM'!$C$3:$C994,B9,'S-BOM'!$B$3:$B994,$B$2))</f>
        <v>1</v>
      </c>
      <c r="D9" s="120" t="str">
        <f ca="1">IFERROR(IF(B9="","",VLOOKUP(B9,RM!$C$4:$F984,3,FALSE)),"")</f>
        <v/>
      </c>
      <c r="E9" s="118" t="e">
        <f ca="1">IF(B9="","",VLOOKUP(B9,RM!$C$4:$G984,14,FALSE))</f>
        <v>#N/A</v>
      </c>
      <c r="F9" s="87">
        <f t="shared" ca="1" si="1"/>
        <v>110</v>
      </c>
      <c r="G9" s="87" t="e">
        <f t="shared" ca="1" si="2"/>
        <v>#N/A</v>
      </c>
      <c r="H9" s="87"/>
      <c r="I9" s="87"/>
      <c r="J9" s="87"/>
    </row>
    <row r="10" spans="1:10">
      <c r="A10" s="118">
        <f t="shared" ca="1" si="0"/>
        <v>7</v>
      </c>
      <c r="B10" s="1" t="str">
        <f ca="1">IFERROR(__xludf.DUMMYFUNCTION("""COMPUTED_VALUE"""),"Battery Block Assy")</f>
        <v>Battery Block Assy</v>
      </c>
      <c r="C10" s="120">
        <f ca="1">IF(B10="","",SUMIFS('S-BOM'!$D$3:$D994,'S-BOM'!$C$3:$C994,B10,'S-BOM'!$B$3:$B994,$B$2))</f>
        <v>0</v>
      </c>
      <c r="D10" s="120" t="str">
        <f ca="1">IFERROR(IF(B10="","",VLOOKUP(B10,RM!$C$4:$F984,3,FALSE)),"")</f>
        <v/>
      </c>
      <c r="E10" s="118" t="e">
        <f ca="1">IF(B10="","",VLOOKUP(B10,RM!$C$4:$G984,14,FALSE))</f>
        <v>#N/A</v>
      </c>
      <c r="F10" s="87">
        <f t="shared" ca="1" si="1"/>
        <v>0</v>
      </c>
      <c r="G10" s="87" t="e">
        <f t="shared" ca="1" si="2"/>
        <v>#N/A</v>
      </c>
      <c r="H10" s="87"/>
      <c r="I10" s="87"/>
      <c r="J10" s="87"/>
    </row>
    <row r="11" spans="1:10">
      <c r="A11" s="118">
        <f t="shared" ca="1" si="0"/>
        <v>8</v>
      </c>
      <c r="B11" s="1" t="str">
        <f ca="1">IFERROR(__xludf.DUMMYFUNCTION("""COMPUTED_VALUE"""),"Black 8AWG")</f>
        <v>Black 8AWG</v>
      </c>
      <c r="C11" s="120">
        <f ca="1">IF(B11="","",SUMIFS('S-BOM'!$D$3:$D994,'S-BOM'!$C$3:$C994,B11,'S-BOM'!$B$3:$B994,$B$2))</f>
        <v>0.65</v>
      </c>
      <c r="D11" s="120" t="str">
        <f ca="1">IFERROR(IF(B11="","",VLOOKUP(B11,RM!$C$4:$F984,3,FALSE)),"")</f>
        <v/>
      </c>
      <c r="E11" s="118" t="e">
        <f ca="1">IF(B11="","",VLOOKUP(B11,RM!$C$4:$G984,14,FALSE))</f>
        <v>#N/A</v>
      </c>
      <c r="F11" s="87">
        <f t="shared" ca="1" si="1"/>
        <v>71.5</v>
      </c>
      <c r="G11" s="87" t="e">
        <f t="shared" ca="1" si="2"/>
        <v>#N/A</v>
      </c>
      <c r="H11" s="87"/>
      <c r="I11" s="87"/>
      <c r="J11" s="87"/>
    </row>
    <row r="12" spans="1:10">
      <c r="A12" s="118">
        <f t="shared" ca="1" si="0"/>
        <v>9</v>
      </c>
      <c r="B12" s="1" t="str">
        <f ca="1">IFERROR(__xludf.DUMMYFUNCTION("""COMPUTED_VALUE"""),"HeatShrink Tube 100mm")</f>
        <v>HeatShrink Tube 100mm</v>
      </c>
      <c r="C12" s="120">
        <f ca="1">IF(B12="","",SUMIFS('S-BOM'!$D$3:$D994,'S-BOM'!$C$3:$C994,B12,'S-BOM'!$B$3:$B994,$B$2))</f>
        <v>0.17</v>
      </c>
      <c r="D12" s="120" t="str">
        <f ca="1">IFERROR(IF(B12="","",VLOOKUP(B12,RM!$C$4:$F984,3,FALSE)),"")</f>
        <v/>
      </c>
      <c r="E12" s="118" t="e">
        <f ca="1">IF(B12="","",VLOOKUP(B12,RM!$C$4:$G984,14,FALSE))</f>
        <v>#N/A</v>
      </c>
      <c r="F12" s="87">
        <f t="shared" ca="1" si="1"/>
        <v>18.700000000000003</v>
      </c>
      <c r="G12" s="87" t="e">
        <f t="shared" ca="1" si="2"/>
        <v>#N/A</v>
      </c>
      <c r="H12" s="87"/>
      <c r="I12" s="87"/>
      <c r="J12" s="87"/>
    </row>
    <row r="13" spans="1:10">
      <c r="A13" s="118">
        <f t="shared" ca="1" si="0"/>
        <v>10</v>
      </c>
      <c r="B13" s="1" t="str">
        <f ca="1">IFERROR(__xludf.DUMMYFUNCTION("""COMPUTED_VALUE"""),"HeatShrink Tube 12:3")</f>
        <v>HeatShrink Tube 12:3</v>
      </c>
      <c r="C13" s="120">
        <f ca="1">IF(B13="","",SUMIFS('S-BOM'!$D$3:$D994,'S-BOM'!$C$3:$C994,B13,'S-BOM'!$B$3:$B994,$B$2))</f>
        <v>0.06</v>
      </c>
      <c r="D13" s="120" t="str">
        <f ca="1">IFERROR(IF(B13="","",VLOOKUP(B13,RM!$C$4:$F984,3,FALSE)),"")</f>
        <v/>
      </c>
      <c r="E13" s="118" t="e">
        <f ca="1">IF(B13="","",VLOOKUP(B13,RM!$C$4:$G984,14,FALSE))</f>
        <v>#N/A</v>
      </c>
      <c r="F13" s="87">
        <f t="shared" ca="1" si="1"/>
        <v>6.6</v>
      </c>
      <c r="G13" s="87" t="e">
        <f t="shared" ca="1" si="2"/>
        <v>#N/A</v>
      </c>
      <c r="H13" s="87"/>
      <c r="I13" s="87"/>
      <c r="J13" s="87"/>
    </row>
    <row r="14" spans="1:10">
      <c r="A14" s="118">
        <f t="shared" ca="1" si="0"/>
        <v>11</v>
      </c>
      <c r="B14" s="1" t="str">
        <f ca="1">IFERROR(__xludf.DUMMYFUNCTION("""COMPUTED_VALUE"""),"Red 8AWG")</f>
        <v>Red 8AWG</v>
      </c>
      <c r="C14" s="120">
        <f ca="1">IF(B14="","",SUMIFS('S-BOM'!$D$3:$D994,'S-BOM'!$C$3:$C994,B14,'S-BOM'!$B$3:$B994,$B$2))</f>
        <v>0.65</v>
      </c>
      <c r="D14" s="120" t="str">
        <f ca="1">IFERROR(IF(B14="","",VLOOKUP(B14,RM!$C$4:$F984,3,FALSE)),"")</f>
        <v/>
      </c>
      <c r="E14" s="118" t="e">
        <f ca="1">IF(B14="","",VLOOKUP(B14,RM!$C$4:$G984,14,FALSE))</f>
        <v>#N/A</v>
      </c>
      <c r="F14" s="87">
        <f t="shared" ca="1" si="1"/>
        <v>71.5</v>
      </c>
      <c r="G14" s="87" t="e">
        <f t="shared" ca="1" si="2"/>
        <v>#N/A</v>
      </c>
      <c r="H14" s="87"/>
      <c r="I14" s="87"/>
      <c r="J14" s="87"/>
    </row>
    <row r="15" spans="1:10">
      <c r="A15" s="118">
        <f t="shared" ca="1" si="0"/>
        <v>12</v>
      </c>
      <c r="B15" s="1" t="str">
        <f ca="1">IFERROR(__xludf.DUMMYFUNCTION("""COMPUTED_VALUE"""),"Soldering flux")</f>
        <v>Soldering flux</v>
      </c>
      <c r="C15" s="120">
        <f ca="1">IF(B15="","",SUMIFS('S-BOM'!$D$3:$D994,'S-BOM'!$C$3:$C994,B15,'S-BOM'!$B$3:$B994,$B$2))</f>
        <v>5</v>
      </c>
      <c r="D15" s="120">
        <f ca="1">IFERROR(IF(B15="","",VLOOKUP(B15,RM!$C$4:$F984,3,FALSE)),"")</f>
        <v>0</v>
      </c>
      <c r="E15" s="118" t="e">
        <f ca="1">IF(B15="","",VLOOKUP(B15,RM!$C$4:$G984,14,FALSE))</f>
        <v>#REF!</v>
      </c>
      <c r="F15" s="87">
        <f t="shared" ca="1" si="1"/>
        <v>550</v>
      </c>
      <c r="G15" s="87" t="e">
        <f t="shared" ca="1" si="2"/>
        <v>#REF!</v>
      </c>
      <c r="H15" s="87"/>
      <c r="I15" s="87"/>
      <c r="J15" s="87"/>
    </row>
    <row r="16" spans="1:10">
      <c r="A16" s="118">
        <f t="shared" ca="1" si="0"/>
        <v>13</v>
      </c>
      <c r="B16" s="1" t="str">
        <f ca="1">IFERROR(__xludf.DUMMYFUNCTION("""COMPUTED_VALUE"""),"STBD Signal CM Assy")</f>
        <v>STBD Signal CM Assy</v>
      </c>
      <c r="C16" s="120">
        <f ca="1">IF(B16="","",SUMIFS('S-BOM'!$D$3:$D994,'S-BOM'!$C$3:$C994,B16,'S-BOM'!$B$3:$B994,$B$2))</f>
        <v>1</v>
      </c>
      <c r="D16" s="120" t="str">
        <f ca="1">IFERROR(IF(B16="","",VLOOKUP(B16,RM!$C$4:$F984,3,FALSE)),"")</f>
        <v/>
      </c>
      <c r="E16" s="118" t="e">
        <f ca="1">IF(B16="","",VLOOKUP(B16,RM!$C$4:$G984,14,FALSE))</f>
        <v>#N/A</v>
      </c>
      <c r="F16" s="87">
        <f t="shared" ca="1" si="1"/>
        <v>110</v>
      </c>
      <c r="G16" s="87" t="e">
        <f t="shared" ca="1" si="2"/>
        <v>#N/A</v>
      </c>
      <c r="H16" s="87"/>
      <c r="I16" s="87"/>
      <c r="J16" s="87"/>
    </row>
    <row r="17" spans="1:10">
      <c r="A17" s="118">
        <f t="shared" ca="1" si="0"/>
        <v>14</v>
      </c>
      <c r="B17" s="1" t="str">
        <f ca="1">IFERROR(__xludf.DUMMYFUNCTION("""COMPUTED_VALUE"""),"Teroson MS930")</f>
        <v>Teroson MS930</v>
      </c>
      <c r="C17" s="120">
        <f ca="1">IF(B17="","",SUMIFS('S-BOM'!$D$3:$D994,'S-BOM'!$C$3:$C994,B17,'S-BOM'!$B$3:$B994,$B$2))</f>
        <v>20</v>
      </c>
      <c r="D17" s="120" t="str">
        <f ca="1">IFERROR(IF(B17="","",VLOOKUP(B17,RM!$C$4:$F984,3,FALSE)),"")</f>
        <v/>
      </c>
      <c r="E17" s="118" t="e">
        <f ca="1">IF(B17="","",VLOOKUP(B17,RM!$C$4:$G984,14,FALSE))</f>
        <v>#N/A</v>
      </c>
      <c r="F17" s="87">
        <f t="shared" ca="1" si="1"/>
        <v>2200</v>
      </c>
      <c r="G17" s="87" t="e">
        <f t="shared" ca="1" si="2"/>
        <v>#N/A</v>
      </c>
      <c r="H17" s="87"/>
      <c r="I17" s="87"/>
      <c r="J17" s="87"/>
    </row>
    <row r="18" spans="1:10">
      <c r="A18" s="118" t="str">
        <f t="shared" si="0"/>
        <v/>
      </c>
      <c r="B18" s="1"/>
      <c r="C18" s="120" t="str">
        <f>IF(B18="","",SUMIFS('S-BOM'!$D$3:$D994,'S-BOM'!$C$3:$C994,B18,'S-BOM'!$B$3:$B994,$B$2))</f>
        <v/>
      </c>
      <c r="D18" s="120" t="str">
        <f>IFERROR(IF(B18="","",VLOOKUP(B18,RM!$C$4:$F984,3,FALSE)),"")</f>
        <v/>
      </c>
      <c r="E18" s="118" t="str">
        <f>IF(B18="","",VLOOKUP(B18,RM!$C$4:$G984,14,FALSE))</f>
        <v/>
      </c>
      <c r="F18" s="87" t="str">
        <f t="shared" si="1"/>
        <v/>
      </c>
      <c r="G18" s="87" t="str">
        <f t="shared" si="2"/>
        <v/>
      </c>
      <c r="H18" s="87"/>
      <c r="I18" s="87"/>
      <c r="J18" s="87"/>
    </row>
    <row r="19" spans="1:10">
      <c r="A19" s="118" t="str">
        <f t="shared" si="0"/>
        <v/>
      </c>
      <c r="B19" s="1"/>
      <c r="C19" s="120" t="str">
        <f>IF(B19="","",SUMIFS('S-BOM'!$D$3:$D994,'S-BOM'!$C$3:$C994,B19,'S-BOM'!$B$3:$B994,$B$2))</f>
        <v/>
      </c>
      <c r="D19" s="120" t="str">
        <f>IFERROR(IF(B19="","",VLOOKUP(B19,RM!$C$4:$F984,3,FALSE)),"")</f>
        <v/>
      </c>
      <c r="E19" s="118" t="str">
        <f>IF(B19="","",VLOOKUP(B19,RM!$C$4:$G984,14,FALSE))</f>
        <v/>
      </c>
      <c r="F19" s="87" t="str">
        <f t="shared" si="1"/>
        <v/>
      </c>
      <c r="G19" s="87" t="str">
        <f t="shared" si="2"/>
        <v/>
      </c>
      <c r="H19" s="87"/>
      <c r="I19" s="87"/>
      <c r="J19" s="87"/>
    </row>
    <row r="20" spans="1:10">
      <c r="A20" s="118" t="str">
        <f t="shared" si="0"/>
        <v/>
      </c>
      <c r="B20" s="1"/>
      <c r="C20" s="120" t="str">
        <f>IF(B20="","",SUMIFS('S-BOM'!$D$3:$D994,'S-BOM'!$C$3:$C994,B20,'S-BOM'!$B$3:$B994,$B$2))</f>
        <v/>
      </c>
      <c r="D20" s="120" t="str">
        <f>IFERROR(IF(B20="","",VLOOKUP(B20,RM!$C$4:$F984,3,FALSE)),"")</f>
        <v/>
      </c>
      <c r="E20" s="118" t="str">
        <f>IF(B20="","",VLOOKUP(B20,RM!$C$4:$G984,14,FALSE))</f>
        <v/>
      </c>
      <c r="F20" s="87" t="str">
        <f t="shared" si="1"/>
        <v/>
      </c>
      <c r="G20" s="87" t="str">
        <f t="shared" si="2"/>
        <v/>
      </c>
      <c r="H20" s="87"/>
      <c r="I20" s="87"/>
      <c r="J20" s="87"/>
    </row>
    <row r="21" spans="1:10">
      <c r="A21" s="118" t="str">
        <f t="shared" si="0"/>
        <v/>
      </c>
      <c r="B21" s="1"/>
      <c r="C21" s="120" t="str">
        <f>IF(B21="","",SUMIFS('S-BOM'!$D$3:$D994,'S-BOM'!$C$3:$C994,B21,'S-BOM'!$B$3:$B994,$B$2))</f>
        <v/>
      </c>
      <c r="D21" s="120" t="str">
        <f>IFERROR(IF(B21="","",VLOOKUP(B21,RM!$C$4:$F984,3,FALSE)),"")</f>
        <v/>
      </c>
      <c r="E21" s="118" t="str">
        <f>IF(B21="","",VLOOKUP(B21,RM!$C$4:$G984,14,FALSE))</f>
        <v/>
      </c>
      <c r="F21" s="87" t="str">
        <f t="shared" si="1"/>
        <v/>
      </c>
      <c r="G21" s="87" t="str">
        <f t="shared" si="2"/>
        <v/>
      </c>
      <c r="H21" s="87"/>
      <c r="I21" s="87"/>
      <c r="J21" s="87"/>
    </row>
    <row r="22" spans="1:10">
      <c r="A22" s="118" t="str">
        <f t="shared" si="0"/>
        <v/>
      </c>
      <c r="B22" s="1"/>
      <c r="C22" s="120" t="str">
        <f>IF(B22="","",SUMIFS('S-BOM'!$D$3:$D994,'S-BOM'!$C$3:$C994,B22,'S-BOM'!$B$3:$B994,$B$2))</f>
        <v/>
      </c>
      <c r="D22" s="120" t="str">
        <f>IFERROR(IF(B22="","",VLOOKUP(B22,RM!$C$4:$F984,3,FALSE)),"")</f>
        <v/>
      </c>
      <c r="E22" s="118" t="str">
        <f>IF(B22="","",VLOOKUP(B22,RM!$C$4:$G984,14,FALSE))</f>
        <v/>
      </c>
      <c r="F22" s="87" t="str">
        <f t="shared" si="1"/>
        <v/>
      </c>
      <c r="G22" s="87" t="str">
        <f t="shared" si="2"/>
        <v/>
      </c>
      <c r="H22" s="87"/>
      <c r="I22" s="87"/>
      <c r="J22" s="87"/>
    </row>
    <row r="23" spans="1:10">
      <c r="A23" s="118" t="str">
        <f t="shared" si="0"/>
        <v/>
      </c>
      <c r="B23" s="1"/>
      <c r="C23" s="120" t="str">
        <f>IF(B23="","",SUMIFS('S-BOM'!$D$3:$D994,'S-BOM'!$C$3:$C994,B23,'S-BOM'!$B$3:$B994,$B$2))</f>
        <v/>
      </c>
      <c r="D23" s="120" t="str">
        <f>IFERROR(IF(B23="","",VLOOKUP(B23,RM!$C$4:$F984,3,FALSE)),"")</f>
        <v/>
      </c>
      <c r="E23" s="118" t="str">
        <f>IF(B23="","",VLOOKUP(B23,RM!$C$4:$G984,14,FALSE))</f>
        <v/>
      </c>
      <c r="F23" s="87" t="str">
        <f t="shared" si="1"/>
        <v/>
      </c>
      <c r="G23" s="87" t="str">
        <f t="shared" si="2"/>
        <v/>
      </c>
      <c r="H23" s="87"/>
      <c r="I23" s="87"/>
      <c r="J23" s="87"/>
    </row>
    <row r="24" spans="1:10">
      <c r="A24" s="118" t="str">
        <f t="shared" si="0"/>
        <v/>
      </c>
      <c r="B24" s="1"/>
      <c r="C24" s="120" t="str">
        <f>IF(B24="","",SUMIFS('S-BOM'!$D$3:$D994,'S-BOM'!$C$3:$C994,B24,'S-BOM'!$B$3:$B994,$B$2))</f>
        <v/>
      </c>
      <c r="D24" s="120" t="str">
        <f>IFERROR(IF(B24="","",VLOOKUP(B24,RM!$C$4:$F984,3,FALSE)),"")</f>
        <v/>
      </c>
      <c r="E24" s="118" t="str">
        <f>IF(B24="","",VLOOKUP(B24,RM!$C$4:$G984,14,FALSE))</f>
        <v/>
      </c>
      <c r="F24" s="87" t="str">
        <f t="shared" si="1"/>
        <v/>
      </c>
      <c r="G24" s="87" t="str">
        <f t="shared" si="2"/>
        <v/>
      </c>
      <c r="H24" s="87"/>
      <c r="I24" s="87"/>
      <c r="J24" s="87"/>
    </row>
    <row r="25" spans="1:10">
      <c r="A25" s="118" t="str">
        <f t="shared" si="0"/>
        <v/>
      </c>
      <c r="B25" s="1"/>
      <c r="C25" s="120" t="str">
        <f>IF(B25="","",SUMIFS('S-BOM'!$D$3:$D994,'S-BOM'!$C$3:$C994,B25,'S-BOM'!$B$3:$B994,$B$2))</f>
        <v/>
      </c>
      <c r="D25" s="120" t="str">
        <f>IFERROR(IF(B25="","",VLOOKUP(B25,RM!$C$4:$F984,3,FALSE)),"")</f>
        <v/>
      </c>
      <c r="E25" s="118" t="str">
        <f>IF(B25="","",VLOOKUP(B25,RM!$C$4:$G984,14,FALSE))</f>
        <v/>
      </c>
      <c r="F25" s="87" t="str">
        <f t="shared" si="1"/>
        <v/>
      </c>
      <c r="G25" s="87" t="str">
        <f t="shared" si="2"/>
        <v/>
      </c>
      <c r="H25" s="87"/>
      <c r="I25" s="87"/>
      <c r="J25" s="87"/>
    </row>
    <row r="26" spans="1:10">
      <c r="A26" s="118" t="str">
        <f t="shared" si="0"/>
        <v/>
      </c>
      <c r="B26" s="1"/>
      <c r="C26" s="120" t="str">
        <f>IF(B26="","",SUMIFS('S-BOM'!$D$3:$D994,'S-BOM'!$C$3:$C994,B26,'S-BOM'!$B$3:$B994,$B$2))</f>
        <v/>
      </c>
      <c r="D26" s="120" t="str">
        <f>IFERROR(IF(B26="","",VLOOKUP(B26,RM!$C$4:$F984,3,FALSE)),"")</f>
        <v/>
      </c>
      <c r="E26" s="118" t="str">
        <f>IF(B26="","",VLOOKUP(B26,RM!$C$4:$G984,14,FALSE))</f>
        <v/>
      </c>
      <c r="F26" s="87" t="str">
        <f t="shared" si="1"/>
        <v/>
      </c>
      <c r="G26" s="87" t="str">
        <f t="shared" si="2"/>
        <v/>
      </c>
      <c r="H26" s="87"/>
      <c r="I26" s="87"/>
      <c r="J26" s="87"/>
    </row>
    <row r="27" spans="1:10">
      <c r="A27" s="118" t="str">
        <f t="shared" si="0"/>
        <v/>
      </c>
      <c r="B27" s="1"/>
      <c r="C27" s="120" t="str">
        <f>IF(B27="","",SUMIFS('S-BOM'!$D$3:$D994,'S-BOM'!$C$3:$C994,B27,'S-BOM'!$B$3:$B994,$B$2))</f>
        <v/>
      </c>
      <c r="D27" s="120" t="str">
        <f>IFERROR(IF(B27="","",VLOOKUP(B27,RM!$C$4:$F984,3,FALSE)),"")</f>
        <v/>
      </c>
      <c r="E27" s="118" t="str">
        <f>IF(B27="","",VLOOKUP(B27,RM!$C$4:$G984,14,FALSE))</f>
        <v/>
      </c>
      <c r="F27" s="87" t="str">
        <f t="shared" si="1"/>
        <v/>
      </c>
      <c r="G27" s="87" t="str">
        <f t="shared" si="2"/>
        <v/>
      </c>
      <c r="H27" s="87"/>
      <c r="I27" s="87"/>
      <c r="J27" s="87"/>
    </row>
    <row r="28" spans="1:10">
      <c r="A28" s="118" t="str">
        <f t="shared" si="0"/>
        <v/>
      </c>
      <c r="B28" s="1"/>
      <c r="C28" s="120" t="str">
        <f>IF(B28="","",SUMIFS('S-BOM'!$D$3:$D994,'S-BOM'!$C$3:$C994,B28,'S-BOM'!$B$3:$B994,$B$2))</f>
        <v/>
      </c>
      <c r="D28" s="120" t="str">
        <f>IFERROR(IF(B28="","",VLOOKUP(B28,RM!$C$4:$F984,3,FALSE)),"")</f>
        <v/>
      </c>
      <c r="E28" s="118" t="str">
        <f>IF(B28="","",VLOOKUP(B28,RM!$C$4:$G984,14,FALSE))</f>
        <v/>
      </c>
      <c r="F28" s="87" t="str">
        <f t="shared" si="1"/>
        <v/>
      </c>
      <c r="G28" s="87" t="str">
        <f t="shared" si="2"/>
        <v/>
      </c>
      <c r="H28" s="87"/>
      <c r="I28" s="87"/>
      <c r="J28" s="87"/>
    </row>
    <row r="29" spans="1:10">
      <c r="A29" s="118" t="str">
        <f t="shared" si="0"/>
        <v/>
      </c>
      <c r="B29" s="1"/>
      <c r="C29" s="120" t="str">
        <f>IF(B29="","",SUMIFS('S-BOM'!$D$3:$D994,'S-BOM'!$C$3:$C994,B29,'S-BOM'!$B$3:$B994,$B$2))</f>
        <v/>
      </c>
      <c r="D29" s="120" t="str">
        <f>IFERROR(IF(B29="","",VLOOKUP(B29,RM!$C$4:$F984,3,FALSE)),"")</f>
        <v/>
      </c>
      <c r="E29" s="118" t="str">
        <f>IF(B29="","",VLOOKUP(B29,RM!$C$4:$G984,14,FALSE))</f>
        <v/>
      </c>
      <c r="F29" s="87" t="str">
        <f t="shared" si="1"/>
        <v/>
      </c>
      <c r="G29" s="87" t="str">
        <f t="shared" si="2"/>
        <v/>
      </c>
      <c r="H29" s="87"/>
      <c r="I29" s="87"/>
      <c r="J29" s="87"/>
    </row>
    <row r="30" spans="1:10">
      <c r="A30" s="118" t="str">
        <f t="shared" si="0"/>
        <v/>
      </c>
      <c r="B30" s="1"/>
      <c r="C30" s="120" t="str">
        <f>IF(B30="","",SUMIFS('S-BOM'!$D$3:$D994,'S-BOM'!$C$3:$C994,B30,'S-BOM'!$B$3:$B994,$B$2))</f>
        <v/>
      </c>
      <c r="D30" s="120" t="str">
        <f>IFERROR(IF(B30="","",VLOOKUP(B30,RM!$C$4:$F984,3,FALSE)),"")</f>
        <v/>
      </c>
      <c r="E30" s="118" t="str">
        <f>IF(B30="","",VLOOKUP(B30,RM!$C$4:$G984,14,FALSE))</f>
        <v/>
      </c>
      <c r="F30" s="87" t="str">
        <f t="shared" si="1"/>
        <v/>
      </c>
      <c r="G30" s="87" t="str">
        <f t="shared" si="2"/>
        <v/>
      </c>
      <c r="H30" s="87"/>
      <c r="I30" s="87"/>
      <c r="J30" s="87"/>
    </row>
    <row r="31" spans="1:10">
      <c r="A31" s="118" t="str">
        <f t="shared" si="0"/>
        <v/>
      </c>
      <c r="B31" s="1"/>
      <c r="C31" s="120" t="str">
        <f>IF(B31="","",SUMIFS('S-BOM'!$D$3:$D994,'S-BOM'!$C$3:$C994,B31,'S-BOM'!$B$3:$B994,$B$2))</f>
        <v/>
      </c>
      <c r="D31" s="120" t="str">
        <f>IFERROR(IF(B31="","",VLOOKUP(B31,RM!$C$4:$F984,3,FALSE)),"")</f>
        <v/>
      </c>
      <c r="E31" s="118" t="str">
        <f>IF(B31="","",VLOOKUP(B31,RM!$C$4:$G984,14,FALSE))</f>
        <v/>
      </c>
      <c r="F31" s="87" t="str">
        <f t="shared" si="1"/>
        <v/>
      </c>
      <c r="G31" s="87" t="str">
        <f t="shared" si="2"/>
        <v/>
      </c>
      <c r="H31" s="87"/>
      <c r="I31" s="87"/>
      <c r="J31" s="87"/>
    </row>
    <row r="32" spans="1:10">
      <c r="A32" s="118" t="str">
        <f t="shared" si="0"/>
        <v/>
      </c>
      <c r="B32" s="1"/>
      <c r="C32" s="120" t="str">
        <f>IF(B32="","",SUMIFS('S-BOM'!$D$3:$D994,'S-BOM'!$C$3:$C994,B32,'S-BOM'!$B$3:$B994,$B$2))</f>
        <v/>
      </c>
      <c r="D32" s="120" t="str">
        <f>IFERROR(IF(B32="","",VLOOKUP(B32,RM!$C$4:$F984,3,FALSE)),"")</f>
        <v/>
      </c>
      <c r="E32" s="118" t="str">
        <f>IF(B32="","",VLOOKUP(B32,RM!$C$4:$G984,14,FALSE))</f>
        <v/>
      </c>
      <c r="F32" s="87" t="str">
        <f t="shared" si="1"/>
        <v/>
      </c>
      <c r="G32" s="87" t="str">
        <f t="shared" si="2"/>
        <v/>
      </c>
      <c r="H32" s="87"/>
      <c r="I32" s="87"/>
      <c r="J32" s="87"/>
    </row>
    <row r="33" spans="1:10">
      <c r="A33" s="118" t="str">
        <f t="shared" si="0"/>
        <v/>
      </c>
      <c r="B33" s="1"/>
      <c r="C33" s="120" t="str">
        <f>IF(B33="","",SUMIFS('S-BOM'!$D$3:$D994,'S-BOM'!$C$3:$C994,B33,'S-BOM'!$B$3:$B994,$B$2))</f>
        <v/>
      </c>
      <c r="D33" s="120" t="str">
        <f>IFERROR(IF(B33="","",VLOOKUP(B33,RM!$C$4:$F984,3,FALSE)),"")</f>
        <v/>
      </c>
      <c r="E33" s="118" t="str">
        <f>IF(B33="","",VLOOKUP(B33,RM!$C$4:$G984,14,FALSE))</f>
        <v/>
      </c>
      <c r="F33" s="87" t="str">
        <f t="shared" si="1"/>
        <v/>
      </c>
      <c r="G33" s="87" t="str">
        <f t="shared" si="2"/>
        <v/>
      </c>
      <c r="H33" s="87"/>
      <c r="I33" s="87"/>
      <c r="J33" s="87"/>
    </row>
    <row r="34" spans="1:10">
      <c r="A34" s="118" t="str">
        <f t="shared" si="0"/>
        <v/>
      </c>
      <c r="B34" s="1"/>
      <c r="C34" s="120" t="str">
        <f>IF(B34="","",SUMIFS('S-BOM'!$D$3:$D994,'S-BOM'!$C$3:$C994,B34,'S-BOM'!$B$3:$B994,$B$2))</f>
        <v/>
      </c>
      <c r="D34" s="120" t="str">
        <f>IFERROR(IF(B34="","",VLOOKUP(B34,RM!$C$4:$F984,3,FALSE)),"")</f>
        <v/>
      </c>
      <c r="E34" s="118" t="str">
        <f>IF(B34="","",VLOOKUP(B34,RM!$C$4:$G984,14,FALSE))</f>
        <v/>
      </c>
      <c r="F34" s="87" t="str">
        <f t="shared" si="1"/>
        <v/>
      </c>
      <c r="G34" s="87" t="str">
        <f t="shared" si="2"/>
        <v/>
      </c>
      <c r="H34" s="87"/>
      <c r="I34" s="87"/>
      <c r="J34" s="87"/>
    </row>
    <row r="35" spans="1:10">
      <c r="A35" s="118" t="str">
        <f t="shared" si="0"/>
        <v/>
      </c>
      <c r="B35" s="1"/>
      <c r="C35" s="120" t="str">
        <f>IF(B35="","",SUMIFS('S-BOM'!$D$3:$D994,'S-BOM'!$C$3:$C994,B35,'S-BOM'!$B$3:$B994,$B$2))</f>
        <v/>
      </c>
      <c r="D35" s="120" t="str">
        <f>IFERROR(IF(B35="","",VLOOKUP(B35,RM!$C$4:$F984,3,FALSE)),"")</f>
        <v/>
      </c>
      <c r="E35" s="118" t="str">
        <f>IF(B35="","",VLOOKUP(B35,RM!$C$4:$G984,14,FALSE))</f>
        <v/>
      </c>
      <c r="F35" s="87" t="str">
        <f t="shared" si="1"/>
        <v/>
      </c>
      <c r="G35" s="87" t="str">
        <f t="shared" si="2"/>
        <v/>
      </c>
      <c r="H35" s="87"/>
      <c r="I35" s="87"/>
      <c r="J35" s="87"/>
    </row>
    <row r="36" spans="1:10">
      <c r="A36" s="118" t="str">
        <f t="shared" si="0"/>
        <v/>
      </c>
      <c r="B36" s="1"/>
      <c r="C36" s="120" t="str">
        <f>IF(B36="","",SUMIFS('S-BOM'!$D$3:$D994,'S-BOM'!$C$3:$C994,B36,'S-BOM'!$B$3:$B994,$B$2))</f>
        <v/>
      </c>
      <c r="D36" s="120" t="str">
        <f>IFERROR(IF(B36="","",VLOOKUP(B36,RM!$C$4:$F984,3,FALSE)),"")</f>
        <v/>
      </c>
      <c r="E36" s="118" t="str">
        <f>IF(B36="","",VLOOKUP(B36,RM!$C$4:$G984,14,FALSE))</f>
        <v/>
      </c>
      <c r="F36" s="87" t="str">
        <f t="shared" si="1"/>
        <v/>
      </c>
      <c r="G36" s="87" t="str">
        <f t="shared" si="2"/>
        <v/>
      </c>
      <c r="H36" s="87"/>
      <c r="I36" s="87"/>
      <c r="J36" s="87"/>
    </row>
    <row r="37" spans="1:10">
      <c r="A37" s="118" t="str">
        <f t="shared" si="0"/>
        <v/>
      </c>
      <c r="B37" s="1"/>
      <c r="C37" s="120" t="str">
        <f>IF(B37="","",SUMIFS('S-BOM'!$D$3:$D994,'S-BOM'!$C$3:$C994,B37,'S-BOM'!$B$3:$B994,$B$2))</f>
        <v/>
      </c>
      <c r="D37" s="120" t="str">
        <f>IFERROR(IF(B37="","",VLOOKUP(B37,RM!$C$4:$F984,3,FALSE)),"")</f>
        <v/>
      </c>
      <c r="E37" s="118" t="str">
        <f>IF(B37="","",VLOOKUP(B37,RM!$C$4:$G984,14,FALSE))</f>
        <v/>
      </c>
      <c r="F37" s="87" t="str">
        <f t="shared" si="1"/>
        <v/>
      </c>
      <c r="G37" s="87" t="str">
        <f t="shared" si="2"/>
        <v/>
      </c>
      <c r="H37" s="87"/>
      <c r="I37" s="87"/>
      <c r="J37" s="87"/>
    </row>
    <row r="38" spans="1:10">
      <c r="A38" s="118" t="str">
        <f t="shared" si="0"/>
        <v/>
      </c>
      <c r="B38" s="121"/>
      <c r="C38" s="120" t="str">
        <f>IF(B38="","",SUMIFS('S-BOM'!$D$3:$D994,'S-BOM'!$C$3:$C994,B38,'S-BOM'!$B$3:$B994,$B$2))</f>
        <v/>
      </c>
      <c r="D38" s="120" t="str">
        <f>IFERROR(IF(B38="","",VLOOKUP(B38,RM!$C$4:$F984,3,FALSE)),"")</f>
        <v/>
      </c>
      <c r="E38" s="118" t="str">
        <f>IF(B38="","",VLOOKUP(B38,RM!$C$4:$G984,14,FALSE))</f>
        <v/>
      </c>
      <c r="F38" s="87" t="str">
        <f t="shared" si="1"/>
        <v/>
      </c>
      <c r="G38" s="87" t="str">
        <f t="shared" si="2"/>
        <v/>
      </c>
      <c r="H38" s="87"/>
      <c r="I38" s="87"/>
      <c r="J38" s="87"/>
    </row>
    <row r="39" spans="1:10">
      <c r="A39" s="118" t="str">
        <f t="shared" si="0"/>
        <v/>
      </c>
      <c r="B39" s="71"/>
      <c r="C39" s="120" t="str">
        <f>IF(B39="","",SUMIFS('S-BOM'!$D$3:$D994,'S-BOM'!$C$3:$C994,B39,'S-BOM'!$B$3:$B994,$B$2))</f>
        <v/>
      </c>
      <c r="D39" s="120" t="str">
        <f>IFERROR(IF(B39="","",VLOOKUP(B39,RM!$C$4:$F984,3,FALSE)),"")</f>
        <v/>
      </c>
      <c r="E39" s="118" t="str">
        <f>IF(B39="","",VLOOKUP(B39,RM!$C$4:$G984,14,FALSE))</f>
        <v/>
      </c>
      <c r="F39" s="87" t="str">
        <f t="shared" si="1"/>
        <v/>
      </c>
      <c r="G39" s="87" t="str">
        <f t="shared" si="2"/>
        <v/>
      </c>
      <c r="H39" s="87"/>
      <c r="I39" s="87"/>
      <c r="J39" s="87"/>
    </row>
    <row r="40" spans="1:10">
      <c r="A40" s="118" t="str">
        <f t="shared" si="0"/>
        <v/>
      </c>
      <c r="B40" s="71"/>
      <c r="C40" s="120" t="str">
        <f>IF(B40="","",SUMIFS('S-BOM'!$D$3:$D994,'S-BOM'!$C$3:$C994,B40,'S-BOM'!$B$3:$B994,$B$2))</f>
        <v/>
      </c>
      <c r="D40" s="120" t="str">
        <f>IFERROR(IF(B40="","",VLOOKUP(B40,RM!$C$4:$F984,3,FALSE)),"")</f>
        <v/>
      </c>
      <c r="E40" s="118" t="str">
        <f>IF(B40="","",VLOOKUP(B40,RM!$C$4:$G984,14,FALSE))</f>
        <v/>
      </c>
      <c r="F40" s="87" t="str">
        <f t="shared" si="1"/>
        <v/>
      </c>
      <c r="G40" s="87" t="str">
        <f t="shared" si="2"/>
        <v/>
      </c>
      <c r="H40" s="87"/>
      <c r="I40" s="87"/>
      <c r="J40" s="87"/>
    </row>
    <row r="41" spans="1:10">
      <c r="A41" s="118" t="str">
        <f t="shared" si="0"/>
        <v/>
      </c>
      <c r="B41" s="71"/>
      <c r="C41" s="120" t="str">
        <f>IF(B41="","",SUMIFS('S-BOM'!$D$3:$D994,'S-BOM'!$C$3:$C994,B41,'S-BOM'!$B$3:$B994,$B$2))</f>
        <v/>
      </c>
      <c r="D41" s="120" t="str">
        <f>IFERROR(IF(B41="","",VLOOKUP(B41,RM!$C$4:$F984,3,FALSE)),"")</f>
        <v/>
      </c>
      <c r="E41" s="118" t="str">
        <f>IF(B41="","",VLOOKUP(B41,RM!$C$4:$G984,14,FALSE))</f>
        <v/>
      </c>
      <c r="F41" s="87" t="str">
        <f t="shared" si="1"/>
        <v/>
      </c>
      <c r="G41" s="87" t="str">
        <f t="shared" si="2"/>
        <v/>
      </c>
      <c r="H41" s="87"/>
      <c r="I41" s="87"/>
      <c r="J41" s="87"/>
    </row>
    <row r="42" spans="1:10">
      <c r="A42" s="118" t="str">
        <f t="shared" si="0"/>
        <v/>
      </c>
      <c r="B42" s="71"/>
      <c r="C42" s="120" t="str">
        <f>IF(B42="","",SUMIFS('S-BOM'!$D$3:$D994,'S-BOM'!$C$3:$C994,B42,'S-BOM'!$B$3:$B994,$B$2))</f>
        <v/>
      </c>
      <c r="D42" s="120" t="str">
        <f>IFERROR(IF(B42="","",VLOOKUP(B42,RM!$C$4:$F984,3,FALSE)),"")</f>
        <v/>
      </c>
      <c r="E42" s="118" t="str">
        <f>IF(B42="","",VLOOKUP(B42,RM!$C$4:$G984,14,FALSE))</f>
        <v/>
      </c>
      <c r="F42" s="87" t="str">
        <f t="shared" si="1"/>
        <v/>
      </c>
      <c r="G42" s="87" t="str">
        <f t="shared" si="2"/>
        <v/>
      </c>
      <c r="H42" s="87"/>
      <c r="I42" s="87"/>
      <c r="J42" s="87"/>
    </row>
    <row r="43" spans="1:10">
      <c r="A43" s="118" t="str">
        <f t="shared" si="0"/>
        <v/>
      </c>
      <c r="B43" s="1"/>
      <c r="C43" s="120" t="str">
        <f>IF(B43="","",SUMIFS('S-BOM'!$D$3:$D994,'S-BOM'!$C$3:$C994,B43,'S-BOM'!$B$3:$B994,$B$2))</f>
        <v/>
      </c>
      <c r="D43" s="120" t="str">
        <f>IFERROR(IF(B43="","",VLOOKUP(B43,RM!$C$4:$F984,3,FALSE)),"")</f>
        <v/>
      </c>
      <c r="E43" s="118" t="str">
        <f>IF(B43="","",VLOOKUP(B43,RM!$C$4:$G984,14,FALSE))</f>
        <v/>
      </c>
      <c r="F43" s="87" t="str">
        <f t="shared" si="1"/>
        <v/>
      </c>
      <c r="G43" s="87" t="str">
        <f t="shared" si="2"/>
        <v/>
      </c>
      <c r="H43" s="87"/>
      <c r="I43" s="87"/>
      <c r="J43" s="87"/>
    </row>
    <row r="44" spans="1:10">
      <c r="A44" s="118" t="str">
        <f t="shared" si="0"/>
        <v/>
      </c>
      <c r="B44" s="1"/>
      <c r="C44" s="120" t="str">
        <f>IF(B44="","",SUMIFS('S-BOM'!$D$3:$D994,'S-BOM'!$C$3:$C994,B44,'S-BOM'!$B$3:$B994,$B$2))</f>
        <v/>
      </c>
      <c r="D44" s="120" t="str">
        <f>IFERROR(IF(B44="","",VLOOKUP(B44,RM!$C$4:$F984,3,FALSE)),"")</f>
        <v/>
      </c>
      <c r="E44" s="118" t="str">
        <f>IF(B44="","",VLOOKUP(B44,RM!$C$4:$G984,14,FALSE))</f>
        <v/>
      </c>
      <c r="F44" s="87" t="str">
        <f t="shared" si="1"/>
        <v/>
      </c>
      <c r="G44" s="87" t="str">
        <f t="shared" si="2"/>
        <v/>
      </c>
      <c r="H44" s="87"/>
      <c r="I44" s="87"/>
      <c r="J44" s="87"/>
    </row>
    <row r="45" spans="1:10">
      <c r="A45" s="118" t="str">
        <f t="shared" si="0"/>
        <v/>
      </c>
      <c r="B45" s="1"/>
      <c r="C45" s="120" t="str">
        <f>IF(B45="","",SUMIFS('S-BOM'!$D$3:$D994,'S-BOM'!$C$3:$C994,B45,'S-BOM'!$B$3:$B994,$B$2))</f>
        <v/>
      </c>
      <c r="D45" s="120" t="str">
        <f>IFERROR(IF(B45="","",VLOOKUP(B45,RM!$C$4:$F984,3,FALSE)),"")</f>
        <v/>
      </c>
      <c r="E45" s="118" t="str">
        <f>IF(B45="","",VLOOKUP(B45,RM!$C$4:$G984,14,FALSE))</f>
        <v/>
      </c>
      <c r="F45" s="87" t="str">
        <f t="shared" si="1"/>
        <v/>
      </c>
      <c r="G45" s="87" t="str">
        <f t="shared" si="2"/>
        <v/>
      </c>
      <c r="H45" s="87"/>
      <c r="I45" s="87"/>
      <c r="J45" s="87"/>
    </row>
    <row r="46" spans="1:10">
      <c r="A46" s="118" t="str">
        <f t="shared" si="0"/>
        <v/>
      </c>
      <c r="B46" s="1"/>
      <c r="C46" s="120" t="str">
        <f>IF(B46="","",SUMIFS('S-BOM'!$D$3:$D994,'S-BOM'!$C$3:$C994,B46,'S-BOM'!$B$3:$B994,$B$2))</f>
        <v/>
      </c>
      <c r="D46" s="120" t="str">
        <f>IFERROR(IF(B46="","",VLOOKUP(B46,RM!$C$4:$F984,3,FALSE)),"")</f>
        <v/>
      </c>
      <c r="E46" s="118" t="str">
        <f>IF(B46="","",VLOOKUP(B46,RM!$C$4:$G984,14,FALSE))</f>
        <v/>
      </c>
      <c r="F46" s="87" t="str">
        <f t="shared" si="1"/>
        <v/>
      </c>
      <c r="G46" s="87" t="str">
        <f t="shared" si="2"/>
        <v/>
      </c>
      <c r="H46" s="87"/>
      <c r="I46" s="87"/>
      <c r="J46" s="87"/>
    </row>
    <row r="47" spans="1:10">
      <c r="A47" s="118" t="str">
        <f t="shared" si="0"/>
        <v/>
      </c>
      <c r="B47" s="1"/>
      <c r="C47" s="120" t="str">
        <f>IF(B47="","",SUMIFS('S-BOM'!$D$3:$D994,'S-BOM'!$C$3:$C994,B47,'S-BOM'!$B$3:$B994,$B$2))</f>
        <v/>
      </c>
      <c r="D47" s="120" t="str">
        <f>IFERROR(IF(B47="","",VLOOKUP(B47,RM!$C$4:$F984,3,FALSE)),"")</f>
        <v/>
      </c>
      <c r="E47" s="118" t="str">
        <f>IF(B47="","",VLOOKUP(B47,RM!$C$4:$G984,14,FALSE))</f>
        <v/>
      </c>
      <c r="F47" s="87" t="str">
        <f t="shared" si="1"/>
        <v/>
      </c>
      <c r="G47" s="87" t="str">
        <f t="shared" si="2"/>
        <v/>
      </c>
      <c r="H47" s="87"/>
      <c r="I47" s="87"/>
      <c r="J47" s="87"/>
    </row>
    <row r="48" spans="1:10">
      <c r="A48" s="118" t="str">
        <f t="shared" si="0"/>
        <v/>
      </c>
      <c r="B48" s="1"/>
      <c r="C48" s="120" t="str">
        <f>IF(B48="","",SUMIFS('S-BOM'!$D$3:$D994,'S-BOM'!$C$3:$C994,B48,'S-BOM'!$B$3:$B994,$B$2))</f>
        <v/>
      </c>
      <c r="D48" s="120" t="str">
        <f>IFERROR(IF(B48="","",VLOOKUP(B48,RM!$C$4:$F984,3,FALSE)),"")</f>
        <v/>
      </c>
      <c r="E48" s="118" t="str">
        <f>IF(B48="","",VLOOKUP(B48,RM!$C$4:$G984,14,FALSE))</f>
        <v/>
      </c>
      <c r="F48" s="87" t="str">
        <f t="shared" si="1"/>
        <v/>
      </c>
      <c r="G48" s="87" t="str">
        <f t="shared" si="2"/>
        <v/>
      </c>
      <c r="H48" s="87"/>
      <c r="I48" s="87"/>
      <c r="J48" s="87"/>
    </row>
    <row r="49" spans="1:10">
      <c r="A49" s="118" t="str">
        <f t="shared" si="0"/>
        <v/>
      </c>
      <c r="B49" s="1"/>
      <c r="C49" s="120" t="str">
        <f>IF(B49="","",SUMIFS('S-BOM'!$D$3:$D994,'S-BOM'!$C$3:$C994,B49,'S-BOM'!$B$3:$B994,$B$2))</f>
        <v/>
      </c>
      <c r="D49" s="120" t="str">
        <f>IFERROR(IF(B49="","",VLOOKUP(B49,RM!$C$4:$F984,3,FALSE)),"")</f>
        <v/>
      </c>
      <c r="E49" s="118" t="str">
        <f>IF(B49="","",VLOOKUP(B49,RM!$C$4:$G984,14,FALSE))</f>
        <v/>
      </c>
      <c r="F49" s="87" t="str">
        <f t="shared" si="1"/>
        <v/>
      </c>
      <c r="G49" s="87" t="str">
        <f t="shared" si="2"/>
        <v/>
      </c>
      <c r="H49" s="87"/>
      <c r="I49" s="87"/>
      <c r="J49" s="87"/>
    </row>
    <row r="50" spans="1:10">
      <c r="A50" s="118" t="str">
        <f t="shared" si="0"/>
        <v/>
      </c>
      <c r="B50" s="1"/>
      <c r="C50" s="120" t="str">
        <f>IF(B50="","",SUMIFS('S-BOM'!$D$3:$D994,'S-BOM'!$C$3:$C994,B50,'S-BOM'!$B$3:$B994,$B$2))</f>
        <v/>
      </c>
      <c r="D50" s="120" t="str">
        <f>IFERROR(IF(B50="","",VLOOKUP(B50,RM!$C$4:$F984,3,FALSE)),"")</f>
        <v/>
      </c>
      <c r="E50" s="118" t="str">
        <f>IF(B50="","",VLOOKUP(B50,RM!$C$4:$G984,14,FALSE))</f>
        <v/>
      </c>
      <c r="F50" s="87" t="str">
        <f t="shared" si="1"/>
        <v/>
      </c>
      <c r="G50" s="87" t="str">
        <f t="shared" si="2"/>
        <v/>
      </c>
      <c r="H50" s="87"/>
      <c r="I50" s="87"/>
      <c r="J50" s="87"/>
    </row>
    <row r="51" spans="1:10">
      <c r="A51" s="118" t="str">
        <f t="shared" si="0"/>
        <v/>
      </c>
      <c r="B51" s="1"/>
      <c r="C51" s="120" t="str">
        <f>IF(B51="","",SUMIFS('S-BOM'!$D$3:$D994,'S-BOM'!$C$3:$C994,B51,'S-BOM'!$B$3:$B994,$B$2))</f>
        <v/>
      </c>
      <c r="D51" s="120" t="str">
        <f>IFERROR(IF(B51="","",VLOOKUP(B51,RM!$C$4:$F984,3,FALSE)),"")</f>
        <v/>
      </c>
      <c r="E51" s="118" t="str">
        <f>IF(B51="","",VLOOKUP(B51,RM!$C$4:$G984,14,FALSE))</f>
        <v/>
      </c>
      <c r="F51" s="87" t="str">
        <f t="shared" si="1"/>
        <v/>
      </c>
      <c r="G51" s="87" t="str">
        <f t="shared" si="2"/>
        <v/>
      </c>
      <c r="H51" s="87"/>
      <c r="I51" s="87"/>
      <c r="J51" s="87"/>
    </row>
    <row r="52" spans="1:10">
      <c r="A52" s="118" t="str">
        <f t="shared" si="0"/>
        <v/>
      </c>
      <c r="B52" s="1"/>
      <c r="C52" s="120" t="str">
        <f>IF(B52="","",SUMIFS('S-BOM'!$D$3:$D994,'S-BOM'!$C$3:$C994,B52,'S-BOM'!$B$3:$B994,$B$2))</f>
        <v/>
      </c>
      <c r="D52" s="120" t="str">
        <f>IFERROR(IF(B52="","",VLOOKUP(B52,RM!$C$4:$F984,3,FALSE)),"")</f>
        <v/>
      </c>
      <c r="E52" s="118" t="str">
        <f>IF(B52="","",VLOOKUP(B52,RM!$C$4:$G984,14,FALSE))</f>
        <v/>
      </c>
      <c r="F52" s="87" t="str">
        <f t="shared" si="1"/>
        <v/>
      </c>
      <c r="G52" s="87" t="str">
        <f t="shared" si="2"/>
        <v/>
      </c>
      <c r="H52" s="87"/>
      <c r="I52" s="87"/>
      <c r="J52" s="87"/>
    </row>
    <row r="53" spans="1:10">
      <c r="A53" s="118" t="str">
        <f t="shared" si="0"/>
        <v/>
      </c>
      <c r="B53" s="1"/>
      <c r="C53" s="120" t="str">
        <f>IF(B53="","",SUMIFS('S-BOM'!$D$3:$D994,'S-BOM'!$C$3:$C994,B53,'S-BOM'!$B$3:$B994,$B$2))</f>
        <v/>
      </c>
      <c r="D53" s="120" t="str">
        <f>IFERROR(IF(B53="","",VLOOKUP(B53,RM!$C$4:$F984,3,FALSE)),"")</f>
        <v/>
      </c>
      <c r="E53" s="118" t="str">
        <f>IF(B53="","",VLOOKUP(B53,RM!$C$4:$G984,14,FALSE))</f>
        <v/>
      </c>
      <c r="F53" s="87" t="str">
        <f t="shared" si="1"/>
        <v/>
      </c>
      <c r="G53" s="87" t="str">
        <f t="shared" si="2"/>
        <v/>
      </c>
      <c r="H53" s="87"/>
      <c r="I53" s="87"/>
      <c r="J53" s="87"/>
    </row>
    <row r="54" spans="1:10">
      <c r="A54" s="118" t="str">
        <f t="shared" si="0"/>
        <v/>
      </c>
      <c r="B54" s="1"/>
      <c r="C54" s="120" t="str">
        <f>IF(B54="","",SUMIFS('S-BOM'!$D$3:$D994,'S-BOM'!$C$3:$C994,B54,'S-BOM'!$B$3:$B994,$B$2))</f>
        <v/>
      </c>
      <c r="D54" s="120" t="str">
        <f>IFERROR(IF(B54="","",VLOOKUP(B54,RM!$C$4:$F984,3,FALSE)),"")</f>
        <v/>
      </c>
      <c r="E54" s="118" t="str">
        <f>IF(B54="","",VLOOKUP(B54,RM!$C$4:$G984,14,FALSE))</f>
        <v/>
      </c>
      <c r="F54" s="87" t="str">
        <f t="shared" si="1"/>
        <v/>
      </c>
      <c r="G54" s="87" t="str">
        <f t="shared" si="2"/>
        <v/>
      </c>
      <c r="H54" s="87"/>
      <c r="I54" s="87"/>
      <c r="J54" s="87"/>
    </row>
    <row r="55" spans="1:10">
      <c r="A55" s="118" t="str">
        <f t="shared" si="0"/>
        <v/>
      </c>
      <c r="B55" s="1"/>
      <c r="C55" s="120" t="str">
        <f>IF(B55="","",SUMIFS('S-BOM'!$D$3:$D994,'S-BOM'!$C$3:$C994,B55,'S-BOM'!$B$3:$B994,$B$2))</f>
        <v/>
      </c>
      <c r="D55" s="120" t="str">
        <f>IFERROR(IF(B55="","",VLOOKUP(B55,RM!$C$4:$F984,3,FALSE)),"")</f>
        <v/>
      </c>
      <c r="E55" s="118" t="str">
        <f>IF(B55="","",VLOOKUP(B55,RM!$C$4:$G984,14,FALSE))</f>
        <v/>
      </c>
      <c r="F55" s="87" t="str">
        <f t="shared" si="1"/>
        <v/>
      </c>
      <c r="G55" s="87" t="str">
        <f t="shared" si="2"/>
        <v/>
      </c>
      <c r="H55" s="87"/>
      <c r="I55" s="87"/>
      <c r="J55" s="87"/>
    </row>
    <row r="56" spans="1:10">
      <c r="A56" s="118" t="str">
        <f t="shared" si="0"/>
        <v/>
      </c>
      <c r="B56" s="1"/>
      <c r="C56" s="120" t="str">
        <f>IF(B56="","",SUMIFS('S-BOM'!$D$3:$D994,'S-BOM'!$C$3:$C994,B56,'S-BOM'!$B$3:$B994,$B$2))</f>
        <v/>
      </c>
      <c r="D56" s="120" t="str">
        <f>IFERROR(IF(B56="","",VLOOKUP(B56,RM!$C$4:$F984,3,FALSE)),"")</f>
        <v/>
      </c>
      <c r="E56" s="118" t="str">
        <f>IF(B56="","",VLOOKUP(B56,RM!$C$4:$G984,14,FALSE))</f>
        <v/>
      </c>
      <c r="F56" s="87" t="str">
        <f t="shared" si="1"/>
        <v/>
      </c>
      <c r="G56" s="87" t="str">
        <f t="shared" si="2"/>
        <v/>
      </c>
      <c r="H56" s="87"/>
      <c r="I56" s="87"/>
      <c r="J56" s="87"/>
    </row>
    <row r="57" spans="1:10">
      <c r="A57" s="118" t="str">
        <f t="shared" si="0"/>
        <v/>
      </c>
      <c r="B57" s="1"/>
      <c r="C57" s="120" t="str">
        <f>IF(B57="","",SUMIFS('S-BOM'!$D$3:$D994,'S-BOM'!$C$3:$C994,B57,'S-BOM'!$B$3:$B994,$B$2))</f>
        <v/>
      </c>
      <c r="D57" s="120" t="str">
        <f>IFERROR(IF(B57="","",VLOOKUP(B57,RM!$C$4:$F984,3,FALSE)),"")</f>
        <v/>
      </c>
      <c r="E57" s="118" t="str">
        <f>IF(B57="","",VLOOKUP(B57,RM!$C$4:$G984,14,FALSE))</f>
        <v/>
      </c>
      <c r="F57" s="87" t="str">
        <f t="shared" si="1"/>
        <v/>
      </c>
      <c r="G57" s="87" t="str">
        <f t="shared" si="2"/>
        <v/>
      </c>
      <c r="H57" s="87"/>
      <c r="I57" s="87"/>
      <c r="J57" s="87"/>
    </row>
    <row r="58" spans="1:10">
      <c r="A58" s="118" t="str">
        <f t="shared" si="0"/>
        <v/>
      </c>
      <c r="B58" s="1"/>
      <c r="C58" s="120" t="str">
        <f>IF(B58="","",SUMIFS('S-BOM'!$D$3:$D994,'S-BOM'!$C$3:$C994,B58,'S-BOM'!$B$3:$B994,$B$2))</f>
        <v/>
      </c>
      <c r="D58" s="120" t="str">
        <f>IFERROR(IF(B58="","",VLOOKUP(B58,RM!$C$4:$F984,3,FALSE)),"")</f>
        <v/>
      </c>
      <c r="E58" s="118" t="str">
        <f>IF(B58="","",VLOOKUP(B58,RM!$C$4:$G984,14,FALSE))</f>
        <v/>
      </c>
      <c r="F58" s="87" t="str">
        <f t="shared" si="1"/>
        <v/>
      </c>
      <c r="G58" s="87" t="str">
        <f t="shared" si="2"/>
        <v/>
      </c>
      <c r="H58" s="87"/>
      <c r="I58" s="87"/>
      <c r="J58" s="87"/>
    </row>
    <row r="59" spans="1:10">
      <c r="A59" s="118" t="str">
        <f t="shared" si="0"/>
        <v/>
      </c>
      <c r="B59" s="1"/>
      <c r="C59" s="120" t="str">
        <f>IF(B59="","",SUMIFS('S-BOM'!$D$3:$D994,'S-BOM'!$C$3:$C994,B59,'S-BOM'!$B$3:$B994,$B$2))</f>
        <v/>
      </c>
      <c r="D59" s="120" t="str">
        <f>IFERROR(IF(B59="","",VLOOKUP(B59,RM!$C$4:$F984,3,FALSE)),"")</f>
        <v/>
      </c>
      <c r="E59" s="118" t="str">
        <f>IF(B59="","",VLOOKUP(B59,RM!$C$4:$G984,14,FALSE))</f>
        <v/>
      </c>
      <c r="F59" s="87" t="str">
        <f t="shared" si="1"/>
        <v/>
      </c>
      <c r="G59" s="87" t="str">
        <f t="shared" si="2"/>
        <v/>
      </c>
      <c r="H59" s="87"/>
      <c r="I59" s="87"/>
      <c r="J59" s="87"/>
    </row>
    <row r="60" spans="1:10">
      <c r="A60" s="118" t="str">
        <f t="shared" si="0"/>
        <v/>
      </c>
      <c r="B60" s="1"/>
      <c r="C60" s="120" t="str">
        <f>IF(B60="","",SUMIFS('S-BOM'!$D$3:$D994,'S-BOM'!$C$3:$C994,B60,'S-BOM'!$B$3:$B994,$B$2))</f>
        <v/>
      </c>
      <c r="D60" s="120" t="str">
        <f>IFERROR(IF(B60="","",VLOOKUP(B60,RM!$C$4:$F984,3,FALSE)),"")</f>
        <v/>
      </c>
      <c r="E60" s="118" t="str">
        <f>IF(B60="","",VLOOKUP(B60,RM!$C$4:$G984,14,FALSE))</f>
        <v/>
      </c>
      <c r="F60" s="87" t="str">
        <f t="shared" si="1"/>
        <v/>
      </c>
      <c r="G60" s="87" t="str">
        <f t="shared" si="2"/>
        <v/>
      </c>
      <c r="H60" s="87"/>
      <c r="I60" s="87"/>
      <c r="J60" s="87"/>
    </row>
    <row r="61" spans="1:10">
      <c r="A61" s="118" t="str">
        <f t="shared" si="0"/>
        <v/>
      </c>
      <c r="B61" s="1"/>
      <c r="C61" s="120" t="str">
        <f>IF(B61="","",SUMIFS('S-BOM'!$D$3:$D994,'S-BOM'!$C$3:$C994,B61,'S-BOM'!$B$3:$B994,$B$2))</f>
        <v/>
      </c>
      <c r="D61" s="120" t="str">
        <f>IFERROR(IF(B61="","",VLOOKUP(B61,RM!$C$4:$F984,3,FALSE)),"")</f>
        <v/>
      </c>
      <c r="E61" s="118" t="str">
        <f>IF(B61="","",VLOOKUP(B61,RM!$C$4:$G984,14,FALSE))</f>
        <v/>
      </c>
      <c r="F61" s="87" t="str">
        <f t="shared" si="1"/>
        <v/>
      </c>
      <c r="G61" s="87" t="str">
        <f t="shared" si="2"/>
        <v/>
      </c>
      <c r="H61" s="87"/>
      <c r="I61" s="87"/>
      <c r="J61" s="87"/>
    </row>
    <row r="62" spans="1:10">
      <c r="A62" s="118" t="str">
        <f t="shared" si="0"/>
        <v/>
      </c>
      <c r="B62" s="1"/>
      <c r="C62" s="120" t="str">
        <f>IF(B62="","",SUMIFS('S-BOM'!$D$3:$D994,'S-BOM'!$C$3:$C994,B62,'S-BOM'!$B$3:$B994,$B$2))</f>
        <v/>
      </c>
      <c r="D62" s="120" t="str">
        <f>IFERROR(IF(B62="","",VLOOKUP(B62,RM!$C$4:$F984,3,FALSE)),"")</f>
        <v/>
      </c>
      <c r="E62" s="118" t="str">
        <f>IF(B62="","",VLOOKUP(B62,RM!$C$4:$G984,14,FALSE))</f>
        <v/>
      </c>
      <c r="F62" s="87" t="str">
        <f t="shared" si="1"/>
        <v/>
      </c>
      <c r="G62" s="87" t="str">
        <f t="shared" si="2"/>
        <v/>
      </c>
      <c r="H62" s="87"/>
      <c r="I62" s="87"/>
      <c r="J62" s="87"/>
    </row>
    <row r="63" spans="1:10">
      <c r="A63" s="118" t="str">
        <f t="shared" si="0"/>
        <v/>
      </c>
      <c r="B63" s="1"/>
      <c r="C63" s="120" t="str">
        <f>IF(B63="","",SUMIFS('S-BOM'!$D$3:$D994,'S-BOM'!$C$3:$C994,B63,'S-BOM'!$B$3:$B994,$B$2))</f>
        <v/>
      </c>
      <c r="D63" s="120" t="str">
        <f>IFERROR(IF(B63="","",VLOOKUP(B63,RM!$C$4:$F984,3,FALSE)),"")</f>
        <v/>
      </c>
      <c r="E63" s="118" t="str">
        <f>IF(B63="","",VLOOKUP(B63,RM!$C$4:$G984,14,FALSE))</f>
        <v/>
      </c>
      <c r="F63" s="87" t="str">
        <f t="shared" si="1"/>
        <v/>
      </c>
      <c r="G63" s="87" t="str">
        <f t="shared" si="2"/>
        <v/>
      </c>
      <c r="H63" s="87"/>
      <c r="I63" s="87"/>
      <c r="J63" s="87"/>
    </row>
    <row r="64" spans="1:10">
      <c r="A64" s="118" t="str">
        <f t="shared" si="0"/>
        <v/>
      </c>
      <c r="B64" s="1"/>
      <c r="C64" s="120" t="str">
        <f>IF(B64="","",SUMIFS('S-BOM'!$D$3:$D994,'S-BOM'!$C$3:$C994,B64,'S-BOM'!$B$3:$B994,$B$2))</f>
        <v/>
      </c>
      <c r="D64" s="120" t="str">
        <f>IFERROR(IF(B64="","",VLOOKUP(B64,RM!$C$4:$F984,3,FALSE)),"")</f>
        <v/>
      </c>
      <c r="E64" s="118" t="str">
        <f>IF(B64="","",VLOOKUP(B64,RM!$C$4:$G984,14,FALSE))</f>
        <v/>
      </c>
      <c r="F64" s="87" t="str">
        <f t="shared" si="1"/>
        <v/>
      </c>
      <c r="G64" s="87" t="str">
        <f t="shared" si="2"/>
        <v/>
      </c>
      <c r="H64" s="87"/>
      <c r="I64" s="87"/>
      <c r="J64" s="87"/>
    </row>
    <row r="65" spans="1:10">
      <c r="A65" s="118" t="str">
        <f t="shared" si="0"/>
        <v/>
      </c>
      <c r="B65" s="1"/>
      <c r="C65" s="120" t="str">
        <f>IF(B65="","",SUMIFS('S-BOM'!$D$3:$D994,'S-BOM'!$C$3:$C994,B65,'S-BOM'!$B$3:$B994,$B$2))</f>
        <v/>
      </c>
      <c r="D65" s="120" t="str">
        <f>IFERROR(IF(B65="","",VLOOKUP(B65,RM!$C$4:$F984,3,FALSE)),"")</f>
        <v/>
      </c>
      <c r="E65" s="118" t="str">
        <f>IF(B65="","",VLOOKUP(B65,RM!$C$4:$G984,14,FALSE))</f>
        <v/>
      </c>
      <c r="F65" s="87" t="str">
        <f t="shared" si="1"/>
        <v/>
      </c>
      <c r="G65" s="87" t="str">
        <f t="shared" si="2"/>
        <v/>
      </c>
      <c r="H65" s="87"/>
      <c r="I65" s="87"/>
      <c r="J65" s="87"/>
    </row>
    <row r="66" spans="1:10">
      <c r="A66" s="118" t="str">
        <f t="shared" si="0"/>
        <v/>
      </c>
      <c r="B66" s="1"/>
      <c r="C66" s="120" t="str">
        <f>IF(B66="","",SUMIFS('S-BOM'!$D$3:$D994,'S-BOM'!$C$3:$C994,B66,'S-BOM'!$B$3:$B994,$B$2))</f>
        <v/>
      </c>
      <c r="D66" s="120" t="str">
        <f>IFERROR(IF(B66="","",VLOOKUP(B66,RM!$C$4:$F984,3,FALSE)),"")</f>
        <v/>
      </c>
      <c r="E66" s="118" t="str">
        <f>IF(B66="","",VLOOKUP(B66,RM!$C$4:$G984,14,FALSE))</f>
        <v/>
      </c>
      <c r="F66" s="87" t="str">
        <f t="shared" si="1"/>
        <v/>
      </c>
      <c r="G66" s="87" t="str">
        <f t="shared" si="2"/>
        <v/>
      </c>
      <c r="H66" s="87"/>
      <c r="I66" s="87"/>
      <c r="J66" s="87"/>
    </row>
    <row r="67" spans="1:10">
      <c r="A67" s="118" t="str">
        <f t="shared" si="0"/>
        <v/>
      </c>
      <c r="B67" s="1"/>
      <c r="C67" s="120" t="str">
        <f>IF(B67="","",SUMIFS('S-BOM'!$D$3:$D994,'S-BOM'!$C$3:$C994,B67,'S-BOM'!$B$3:$B994,$B$2))</f>
        <v/>
      </c>
      <c r="D67" s="120" t="str">
        <f>IFERROR(IF(B67="","",VLOOKUP(B67,RM!$C$4:$F984,3,FALSE)),"")</f>
        <v/>
      </c>
      <c r="E67" s="118" t="str">
        <f>IF(B67="","",VLOOKUP(B67,RM!$C$4:$G984,14,FALSE))</f>
        <v/>
      </c>
      <c r="F67" s="87" t="str">
        <f t="shared" si="1"/>
        <v/>
      </c>
      <c r="G67" s="87" t="str">
        <f t="shared" si="2"/>
        <v/>
      </c>
      <c r="H67" s="87"/>
      <c r="I67" s="87"/>
      <c r="J67" s="87"/>
    </row>
    <row r="68" spans="1:10">
      <c r="A68" s="118" t="str">
        <f t="shared" si="0"/>
        <v/>
      </c>
      <c r="B68" s="1"/>
      <c r="C68" s="120" t="str">
        <f>IF(B68="","",SUMIFS('S-BOM'!$D$3:$D994,'S-BOM'!$C$3:$C994,B68,'S-BOM'!$B$3:$B994,$B$2))</f>
        <v/>
      </c>
      <c r="D68" s="120" t="str">
        <f>IFERROR(IF(B68="","",VLOOKUP(B68,RM!$C$4:$F984,3,FALSE)),"")</f>
        <v/>
      </c>
      <c r="E68" s="118" t="str">
        <f>IF(B68="","",VLOOKUP(B68,RM!$C$4:$G984,14,FALSE))</f>
        <v/>
      </c>
      <c r="F68" s="87" t="str">
        <f t="shared" si="1"/>
        <v/>
      </c>
      <c r="G68" s="87" t="str">
        <f t="shared" si="2"/>
        <v/>
      </c>
      <c r="H68" s="87"/>
      <c r="I68" s="87"/>
      <c r="J68" s="87"/>
    </row>
    <row r="69" spans="1:10">
      <c r="A69" s="118" t="str">
        <f t="shared" si="0"/>
        <v/>
      </c>
      <c r="B69" s="1"/>
      <c r="C69" s="120" t="str">
        <f>IF(B69="","",SUMIFS('S-BOM'!$D$3:$D994,'S-BOM'!$C$3:$C994,B69,'S-BOM'!$B$3:$B994,$B$2))</f>
        <v/>
      </c>
      <c r="D69" s="120" t="str">
        <f>IFERROR(IF(B69="","",VLOOKUP(B69,RM!$C$4:$F984,3,FALSE)),"")</f>
        <v/>
      </c>
      <c r="E69" s="118" t="str">
        <f>IF(B69="","",VLOOKUP(B69,RM!$C$4:$G984,14,FALSE))</f>
        <v/>
      </c>
      <c r="F69" s="87" t="str">
        <f t="shared" si="1"/>
        <v/>
      </c>
      <c r="G69" s="87" t="str">
        <f t="shared" si="2"/>
        <v/>
      </c>
      <c r="H69" s="87"/>
      <c r="I69" s="87"/>
      <c r="J69" s="87"/>
    </row>
    <row r="70" spans="1:10">
      <c r="A70" s="118" t="str">
        <f t="shared" si="0"/>
        <v/>
      </c>
      <c r="B70" s="1"/>
      <c r="C70" s="120" t="str">
        <f>IF(B70="","",SUMIFS('S-BOM'!$D$3:$D994,'S-BOM'!$C$3:$C994,B70,'S-BOM'!$B$3:$B994,$B$2))</f>
        <v/>
      </c>
      <c r="D70" s="120" t="str">
        <f>IFERROR(IF(B70="","",VLOOKUP(B70,RM!$C$4:$F984,3,FALSE)),"")</f>
        <v/>
      </c>
      <c r="E70" s="118" t="str">
        <f>IF(B70="","",VLOOKUP(B70,RM!$C$4:$G984,14,FALSE))</f>
        <v/>
      </c>
      <c r="F70" s="87" t="str">
        <f t="shared" si="1"/>
        <v/>
      </c>
      <c r="G70" s="87" t="str">
        <f t="shared" si="2"/>
        <v/>
      </c>
      <c r="H70" s="87"/>
      <c r="I70" s="87"/>
      <c r="J70" s="87"/>
    </row>
    <row r="71" spans="1:10">
      <c r="A71" s="118" t="str">
        <f t="shared" si="0"/>
        <v/>
      </c>
      <c r="B71" s="1"/>
      <c r="C71" s="120" t="str">
        <f>IF(B71="","",SUMIFS('S-BOM'!$D$3:$D994,'S-BOM'!$C$3:$C994,B71,'S-BOM'!$B$3:$B994,$B$2))</f>
        <v/>
      </c>
      <c r="D71" s="120" t="str">
        <f>IFERROR(IF(B71="","",VLOOKUP(B71,RM!$C$4:$F984,3,FALSE)),"")</f>
        <v/>
      </c>
      <c r="E71" s="118" t="str">
        <f>IF(B71="","",VLOOKUP(B71,RM!$C$4:$G984,14,FALSE))</f>
        <v/>
      </c>
      <c r="F71" s="87" t="str">
        <f t="shared" si="1"/>
        <v/>
      </c>
      <c r="G71" s="87" t="str">
        <f t="shared" si="2"/>
        <v/>
      </c>
      <c r="H71" s="87"/>
      <c r="I71" s="87"/>
      <c r="J71" s="87"/>
    </row>
    <row r="72" spans="1:10">
      <c r="A72" s="118" t="str">
        <f t="shared" si="0"/>
        <v/>
      </c>
      <c r="B72" s="1"/>
      <c r="C72" s="120" t="str">
        <f>IF(B72="","",SUMIFS('S-BOM'!$D$3:$D994,'S-BOM'!$C$3:$C994,B72,'S-BOM'!$B$3:$B994,$B$2))</f>
        <v/>
      </c>
      <c r="D72" s="120" t="str">
        <f>IFERROR(IF(B72="","",VLOOKUP(B72,RM!$C$4:$F984,3,FALSE)),"")</f>
        <v/>
      </c>
      <c r="E72" s="118" t="str">
        <f>IF(B72="","",VLOOKUP(B72,RM!$C$4:$G984,14,FALSE))</f>
        <v/>
      </c>
      <c r="F72" s="87" t="str">
        <f t="shared" si="1"/>
        <v/>
      </c>
      <c r="G72" s="87" t="str">
        <f t="shared" si="2"/>
        <v/>
      </c>
      <c r="H72" s="87"/>
      <c r="I72" s="87"/>
      <c r="J72" s="87"/>
    </row>
    <row r="73" spans="1:10">
      <c r="A73" s="118" t="str">
        <f t="shared" si="0"/>
        <v/>
      </c>
      <c r="B73" s="1"/>
      <c r="C73" s="120" t="str">
        <f>IF(B73="","",SUMIFS('S-BOM'!$D$3:$D994,'S-BOM'!$C$3:$C994,B73,'S-BOM'!$B$3:$B994,$B$2))</f>
        <v/>
      </c>
      <c r="D73" s="120" t="str">
        <f>IFERROR(IF(B73="","",VLOOKUP(B73,RM!$C$4:$F984,3,FALSE)),"")</f>
        <v/>
      </c>
      <c r="E73" s="118" t="str">
        <f>IF(B73="","",VLOOKUP(B73,RM!$C$4:$G984,14,FALSE))</f>
        <v/>
      </c>
      <c r="F73" s="87" t="str">
        <f t="shared" si="1"/>
        <v/>
      </c>
      <c r="G73" s="87" t="str">
        <f t="shared" si="2"/>
        <v/>
      </c>
      <c r="H73" s="87"/>
      <c r="I73" s="87"/>
      <c r="J73" s="87"/>
    </row>
    <row r="74" spans="1:10">
      <c r="A74" s="118" t="str">
        <f t="shared" si="0"/>
        <v/>
      </c>
      <c r="B74" s="1"/>
      <c r="C74" s="120" t="str">
        <f>IF(B74="","",SUMIFS('S-BOM'!$D$3:$D994,'S-BOM'!$C$3:$C994,B74,'S-BOM'!$B$3:$B994,$B$2))</f>
        <v/>
      </c>
      <c r="D74" s="120" t="str">
        <f>IFERROR(IF(B74="","",VLOOKUP(B74,RM!$C$4:$F984,3,FALSE)),"")</f>
        <v/>
      </c>
      <c r="E74" s="118" t="str">
        <f>IF(B74="","",VLOOKUP(B74,RM!$C$4:$G984,14,FALSE))</f>
        <v/>
      </c>
      <c r="F74" s="87" t="str">
        <f t="shared" si="1"/>
        <v/>
      </c>
      <c r="G74" s="87" t="str">
        <f t="shared" si="2"/>
        <v/>
      </c>
      <c r="H74" s="87"/>
      <c r="I74" s="87"/>
      <c r="J74" s="87"/>
    </row>
    <row r="75" spans="1:10">
      <c r="A75" s="118" t="str">
        <f t="shared" si="0"/>
        <v/>
      </c>
      <c r="B75" s="1"/>
      <c r="C75" s="120" t="str">
        <f>IF(B75="","",SUMIFS('S-BOM'!$D$3:$D994,'S-BOM'!$C$3:$C994,B75,'S-BOM'!$B$3:$B994,$B$2))</f>
        <v/>
      </c>
      <c r="D75" s="120" t="str">
        <f>IFERROR(IF(B75="","",VLOOKUP(B75,RM!$C$4:$F984,3,FALSE)),"")</f>
        <v/>
      </c>
      <c r="E75" s="118" t="str">
        <f>IF(B75="","",VLOOKUP(B75,RM!$C$4:$G984,14,FALSE))</f>
        <v/>
      </c>
      <c r="F75" s="87" t="str">
        <f t="shared" si="1"/>
        <v/>
      </c>
      <c r="G75" s="87" t="str">
        <f t="shared" si="2"/>
        <v/>
      </c>
      <c r="H75" s="87"/>
      <c r="I75" s="87"/>
      <c r="J75" s="87"/>
    </row>
    <row r="76" spans="1:10">
      <c r="A76" s="118" t="str">
        <f t="shared" si="0"/>
        <v/>
      </c>
      <c r="B76" s="1"/>
      <c r="C76" s="120" t="str">
        <f>IF(B76="","",SUMIFS('S-BOM'!$D$3:$D994,'S-BOM'!$C$3:$C994,B76,'S-BOM'!$B$3:$B994,$B$2))</f>
        <v/>
      </c>
      <c r="D76" s="120" t="str">
        <f>IFERROR(IF(B76="","",VLOOKUP(B76,RM!$C$4:$F984,3,FALSE)),"")</f>
        <v/>
      </c>
      <c r="E76" s="118" t="str">
        <f>IF(B76="","",VLOOKUP(B76,RM!$C$4:$G984,14,FALSE))</f>
        <v/>
      </c>
      <c r="F76" s="87" t="str">
        <f t="shared" si="1"/>
        <v/>
      </c>
      <c r="G76" s="87" t="str">
        <f t="shared" si="2"/>
        <v/>
      </c>
      <c r="H76" s="87"/>
      <c r="I76" s="87"/>
      <c r="J76" s="87"/>
    </row>
    <row r="77" spans="1:10">
      <c r="A77" s="118" t="str">
        <f t="shared" si="0"/>
        <v/>
      </c>
      <c r="B77" s="1"/>
      <c r="C77" s="120" t="str">
        <f>IF(B77="","",SUMIFS('S-BOM'!$D$3:$D994,'S-BOM'!$C$3:$C994,B77,'S-BOM'!$B$3:$B994,$B$2))</f>
        <v/>
      </c>
      <c r="D77" s="120" t="str">
        <f>IFERROR(IF(B77="","",VLOOKUP(B77,RM!$C$4:$F984,3,FALSE)),"")</f>
        <v/>
      </c>
      <c r="E77" s="118" t="str">
        <f>IF(B77="","",VLOOKUP(B77,RM!$C$4:$G984,14,FALSE))</f>
        <v/>
      </c>
      <c r="F77" s="87" t="str">
        <f t="shared" si="1"/>
        <v/>
      </c>
      <c r="G77" s="87" t="str">
        <f t="shared" si="2"/>
        <v/>
      </c>
      <c r="H77" s="87"/>
      <c r="I77" s="87"/>
      <c r="J77" s="87"/>
    </row>
    <row r="78" spans="1:10">
      <c r="A78" s="118" t="str">
        <f t="shared" si="0"/>
        <v/>
      </c>
      <c r="B78" s="1"/>
      <c r="C78" s="120" t="str">
        <f>IF(B78="","",SUMIFS('S-BOM'!$D$3:$D994,'S-BOM'!$C$3:$C994,B78,'S-BOM'!$B$3:$B994,$B$2))</f>
        <v/>
      </c>
      <c r="D78" s="120" t="str">
        <f>IFERROR(IF(B78="","",VLOOKUP(B78,RM!$C$4:$F984,3,FALSE)),"")</f>
        <v/>
      </c>
      <c r="E78" s="118" t="str">
        <f>IF(B78="","",VLOOKUP(B78,RM!$C$4:$G984,14,FALSE))</f>
        <v/>
      </c>
      <c r="F78" s="87" t="str">
        <f t="shared" si="1"/>
        <v/>
      </c>
      <c r="G78" s="87" t="str">
        <f t="shared" si="2"/>
        <v/>
      </c>
      <c r="H78" s="87"/>
      <c r="I78" s="87"/>
      <c r="J78" s="87"/>
    </row>
    <row r="79" spans="1:10">
      <c r="A79" s="118" t="str">
        <f t="shared" si="0"/>
        <v/>
      </c>
      <c r="B79" s="1"/>
      <c r="C79" s="120" t="str">
        <f>IF(B79="","",SUMIFS('S-BOM'!$D$3:$D994,'S-BOM'!$C$3:$C994,B79,'S-BOM'!$B$3:$B994,$B$2))</f>
        <v/>
      </c>
      <c r="D79" s="120" t="str">
        <f>IFERROR(IF(B79="","",VLOOKUP(B79,RM!$C$4:$F984,3,FALSE)),"")</f>
        <v/>
      </c>
      <c r="E79" s="118" t="str">
        <f>IF(B79="","",VLOOKUP(B79,RM!$C$4:$G984,14,FALSE))</f>
        <v/>
      </c>
      <c r="F79" s="87" t="str">
        <f t="shared" si="1"/>
        <v/>
      </c>
      <c r="G79" s="87" t="str">
        <f t="shared" si="2"/>
        <v/>
      </c>
      <c r="H79" s="87"/>
      <c r="I79" s="87"/>
      <c r="J79" s="87"/>
    </row>
    <row r="80" spans="1:10">
      <c r="A80" s="118" t="str">
        <f t="shared" si="0"/>
        <v/>
      </c>
      <c r="B80" s="1"/>
      <c r="C80" s="120" t="str">
        <f>IF(B80="","",SUMIFS('S-BOM'!$D$3:$D994,'S-BOM'!$C$3:$C994,B80,'S-BOM'!$B$3:$B994,$B$2))</f>
        <v/>
      </c>
      <c r="D80" s="120" t="str">
        <f>IFERROR(IF(B80="","",VLOOKUP(B80,RM!$C$4:$F984,3,FALSE)),"")</f>
        <v/>
      </c>
      <c r="E80" s="118" t="str">
        <f>IF(B80="","",VLOOKUP(B80,RM!$C$4:$G984,14,FALSE))</f>
        <v/>
      </c>
      <c r="F80" s="87" t="str">
        <f t="shared" si="1"/>
        <v/>
      </c>
      <c r="G80" s="87" t="str">
        <f t="shared" si="2"/>
        <v/>
      </c>
      <c r="H80" s="87"/>
      <c r="I80" s="87"/>
      <c r="J80" s="87"/>
    </row>
    <row r="81" spans="1:10">
      <c r="A81" s="118" t="str">
        <f t="shared" si="0"/>
        <v/>
      </c>
      <c r="B81" s="1"/>
      <c r="C81" s="120" t="str">
        <f>IF(B81="","",SUMIFS('S-BOM'!$D$3:$D994,'S-BOM'!$C$3:$C994,B81,'S-BOM'!$B$3:$B994,$B$2))</f>
        <v/>
      </c>
      <c r="D81" s="120" t="str">
        <f>IFERROR(IF(B81="","",VLOOKUP(B81,RM!$C$4:$F984,3,FALSE)),"")</f>
        <v/>
      </c>
      <c r="E81" s="118" t="str">
        <f>IF(B81="","",VLOOKUP(B81,RM!$C$4:$G984,14,FALSE))</f>
        <v/>
      </c>
      <c r="F81" s="87" t="str">
        <f t="shared" si="1"/>
        <v/>
      </c>
      <c r="G81" s="87" t="str">
        <f t="shared" si="2"/>
        <v/>
      </c>
      <c r="H81" s="87"/>
      <c r="I81" s="87"/>
      <c r="J81" s="87"/>
    </row>
    <row r="82" spans="1:10">
      <c r="A82" s="118" t="str">
        <f t="shared" si="0"/>
        <v/>
      </c>
      <c r="B82" s="1"/>
      <c r="C82" s="120" t="str">
        <f>IF(B82="","",SUMIFS('S-BOM'!$D$3:$D994,'S-BOM'!$C$3:$C994,B82,'S-BOM'!$B$3:$B994,$B$2))</f>
        <v/>
      </c>
      <c r="D82" s="120" t="str">
        <f>IFERROR(IF(B82="","",VLOOKUP(B82,RM!$C$4:$F984,3,FALSE)),"")</f>
        <v/>
      </c>
      <c r="E82" s="118" t="str">
        <f>IF(B82="","",VLOOKUP(B82,RM!$C$4:$G984,14,FALSE))</f>
        <v/>
      </c>
      <c r="F82" s="87" t="str">
        <f t="shared" si="1"/>
        <v/>
      </c>
      <c r="G82" s="87" t="str">
        <f t="shared" si="2"/>
        <v/>
      </c>
      <c r="H82" s="87"/>
      <c r="I82" s="87"/>
      <c r="J82" s="87"/>
    </row>
    <row r="83" spans="1:10">
      <c r="A83" s="118" t="str">
        <f t="shared" si="0"/>
        <v/>
      </c>
      <c r="B83" s="1"/>
      <c r="C83" s="120" t="str">
        <f>IF(B83="","",SUMIFS('S-BOM'!$D$3:$D994,'S-BOM'!$C$3:$C994,B83,'S-BOM'!$B$3:$B994,$B$2))</f>
        <v/>
      </c>
      <c r="D83" s="120" t="str">
        <f>IFERROR(IF(B83="","",VLOOKUP(B83,RM!$C$4:$F984,3,FALSE)),"")</f>
        <v/>
      </c>
      <c r="E83" s="118" t="str">
        <f>IF(B83="","",VLOOKUP(B83,RM!$C$4:$G984,14,FALSE))</f>
        <v/>
      </c>
      <c r="F83" s="87" t="str">
        <f t="shared" si="1"/>
        <v/>
      </c>
      <c r="G83" s="87" t="str">
        <f t="shared" si="2"/>
        <v/>
      </c>
      <c r="H83" s="87"/>
      <c r="I83" s="87"/>
      <c r="J83" s="87"/>
    </row>
    <row r="84" spans="1:10">
      <c r="A84" s="118" t="str">
        <f t="shared" si="0"/>
        <v/>
      </c>
      <c r="B84" s="1"/>
      <c r="C84" s="120" t="str">
        <f>IF(B84="","",SUMIFS('S-BOM'!$D$3:$D994,'S-BOM'!$C$3:$C994,B84,'S-BOM'!$B$3:$B994,$B$2))</f>
        <v/>
      </c>
      <c r="D84" s="120" t="str">
        <f>IFERROR(IF(B84="","",VLOOKUP(B84,RM!$C$4:$F984,3,FALSE)),"")</f>
        <v/>
      </c>
      <c r="E84" s="118" t="str">
        <f>IF(B84="","",VLOOKUP(B84,RM!$C$4:$G984,14,FALSE))</f>
        <v/>
      </c>
      <c r="F84" s="87" t="str">
        <f t="shared" si="1"/>
        <v/>
      </c>
      <c r="G84" s="87" t="str">
        <f t="shared" si="2"/>
        <v/>
      </c>
      <c r="H84" s="87"/>
      <c r="I84" s="87"/>
      <c r="J84" s="87"/>
    </row>
    <row r="85" spans="1:10">
      <c r="A85" s="118" t="str">
        <f t="shared" si="0"/>
        <v/>
      </c>
      <c r="B85" s="1"/>
      <c r="C85" s="120" t="str">
        <f>IF(B85="","",SUMIFS('S-BOM'!$D$3:$D994,'S-BOM'!$C$3:$C994,B85,'S-BOM'!$B$3:$B994,$B$2))</f>
        <v/>
      </c>
      <c r="D85" s="120" t="str">
        <f>IFERROR(IF(B85="","",VLOOKUP(B85,RM!$C$4:$F984,3,FALSE)),"")</f>
        <v/>
      </c>
      <c r="E85" s="118" t="str">
        <f>IF(B85="","",VLOOKUP(B85,RM!$C$4:$G984,14,FALSE))</f>
        <v/>
      </c>
      <c r="F85" s="87" t="str">
        <f t="shared" si="1"/>
        <v/>
      </c>
      <c r="G85" s="87" t="str">
        <f t="shared" si="2"/>
        <v/>
      </c>
      <c r="H85" s="87"/>
      <c r="I85" s="87"/>
      <c r="J85" s="87"/>
    </row>
    <row r="86" spans="1:10">
      <c r="A86" s="118" t="str">
        <f t="shared" si="0"/>
        <v/>
      </c>
      <c r="B86" s="1"/>
      <c r="C86" s="120" t="str">
        <f>IF(B86="","",SUMIFS('S-BOM'!$D$3:$D994,'S-BOM'!$C$3:$C994,B86,'S-BOM'!$B$3:$B994,$B$2))</f>
        <v/>
      </c>
      <c r="D86" s="120" t="str">
        <f>IFERROR(IF(B86="","",VLOOKUP(B86,RM!$C$4:$F984,3,FALSE)),"")</f>
        <v/>
      </c>
      <c r="E86" s="118" t="str">
        <f>IF(B86="","",VLOOKUP(B86,RM!$C$4:$G984,14,FALSE))</f>
        <v/>
      </c>
      <c r="F86" s="87" t="str">
        <f t="shared" si="1"/>
        <v/>
      </c>
      <c r="G86" s="87" t="str">
        <f t="shared" si="2"/>
        <v/>
      </c>
      <c r="H86" s="87"/>
      <c r="I86" s="87"/>
      <c r="J86" s="87"/>
    </row>
    <row r="87" spans="1:10">
      <c r="A87" s="118" t="str">
        <f t="shared" si="0"/>
        <v/>
      </c>
      <c r="B87" s="1"/>
      <c r="C87" s="120" t="str">
        <f>IF(B87="","",SUMIFS('S-BOM'!$D$3:$D994,'S-BOM'!$C$3:$C994,B87,'S-BOM'!$B$3:$B994,$B$2))</f>
        <v/>
      </c>
      <c r="D87" s="120" t="str">
        <f>IFERROR(IF(B87="","",VLOOKUP(B87,RM!$C$4:$F984,3,FALSE)),"")</f>
        <v/>
      </c>
      <c r="E87" s="118" t="str">
        <f>IF(B87="","",VLOOKUP(B87,RM!$C$4:$G984,14,FALSE))</f>
        <v/>
      </c>
      <c r="F87" s="87" t="str">
        <f t="shared" si="1"/>
        <v/>
      </c>
      <c r="G87" s="87" t="str">
        <f t="shared" si="2"/>
        <v/>
      </c>
      <c r="H87" s="87"/>
      <c r="I87" s="87"/>
      <c r="J87" s="87"/>
    </row>
    <row r="88" spans="1:10">
      <c r="A88" s="118" t="str">
        <f t="shared" si="0"/>
        <v/>
      </c>
      <c r="B88" s="1"/>
      <c r="C88" s="120" t="str">
        <f>IF(B88="","",SUMIFS('S-BOM'!$D$3:$D994,'S-BOM'!$C$3:$C994,B88,'S-BOM'!$B$3:$B994,$B$2))</f>
        <v/>
      </c>
      <c r="D88" s="120" t="str">
        <f>IFERROR(IF(B88="","",VLOOKUP(B88,RM!$C$4:$F984,3,FALSE)),"")</f>
        <v/>
      </c>
      <c r="E88" s="118" t="str">
        <f>IF(B88="","",VLOOKUP(B88,RM!$C$4:$G984,14,FALSE))</f>
        <v/>
      </c>
      <c r="F88" s="87" t="str">
        <f t="shared" si="1"/>
        <v/>
      </c>
      <c r="G88" s="87" t="str">
        <f t="shared" si="2"/>
        <v/>
      </c>
      <c r="H88" s="87"/>
      <c r="I88" s="87"/>
      <c r="J88" s="87"/>
    </row>
    <row r="89" spans="1:10">
      <c r="A89" s="118" t="str">
        <f t="shared" si="0"/>
        <v/>
      </c>
      <c r="B89" s="1"/>
      <c r="C89" s="120" t="str">
        <f>IF(B89="","",SUMIFS('S-BOM'!$D$3:$D994,'S-BOM'!$C$3:$C994,B89,'S-BOM'!$B$3:$B994,$B$2))</f>
        <v/>
      </c>
      <c r="D89" s="120" t="str">
        <f>IFERROR(IF(B89="","",VLOOKUP(B89,RM!$C$4:$F984,3,FALSE)),"")</f>
        <v/>
      </c>
      <c r="E89" s="118" t="str">
        <f>IF(B89="","",VLOOKUP(B89,RM!$C$4:$G984,14,FALSE))</f>
        <v/>
      </c>
      <c r="F89" s="87" t="str">
        <f t="shared" si="1"/>
        <v/>
      </c>
      <c r="G89" s="87" t="str">
        <f t="shared" si="2"/>
        <v/>
      </c>
      <c r="H89" s="87"/>
      <c r="I89" s="87"/>
      <c r="J89" s="87"/>
    </row>
    <row r="90" spans="1:10">
      <c r="A90" s="118" t="str">
        <f t="shared" si="0"/>
        <v/>
      </c>
      <c r="B90" s="1"/>
      <c r="C90" s="120" t="str">
        <f>IF(B90="","",SUMIFS('S-BOM'!$D$3:$D994,'S-BOM'!$C$3:$C994,B90,'S-BOM'!$B$3:$B994,$B$2))</f>
        <v/>
      </c>
      <c r="D90" s="120" t="str">
        <f>IFERROR(IF(B90="","",VLOOKUP(B90,RM!$C$4:$F984,3,FALSE)),"")</f>
        <v/>
      </c>
      <c r="E90" s="118" t="str">
        <f>IF(B90="","",VLOOKUP(B90,RM!$C$4:$G984,14,FALSE))</f>
        <v/>
      </c>
      <c r="F90" s="87" t="str">
        <f t="shared" si="1"/>
        <v/>
      </c>
      <c r="G90" s="87" t="str">
        <f t="shared" si="2"/>
        <v/>
      </c>
      <c r="H90" s="87"/>
      <c r="I90" s="87"/>
      <c r="J90" s="87"/>
    </row>
    <row r="91" spans="1:10">
      <c r="A91" s="118" t="str">
        <f t="shared" si="0"/>
        <v/>
      </c>
      <c r="B91" s="1"/>
      <c r="C91" s="120" t="str">
        <f>IF(B91="","",SUMIFS('S-BOM'!$D$3:$D994,'S-BOM'!$C$3:$C994,B91,'S-BOM'!$B$3:$B994,$B$2))</f>
        <v/>
      </c>
      <c r="D91" s="120" t="str">
        <f>IFERROR(IF(B91="","",VLOOKUP(B91,RM!$C$4:$F984,3,FALSE)),"")</f>
        <v/>
      </c>
      <c r="E91" s="118" t="str">
        <f>IF(B91="","",VLOOKUP(B91,RM!$C$4:$G984,14,FALSE))</f>
        <v/>
      </c>
      <c r="F91" s="87" t="str">
        <f t="shared" si="1"/>
        <v/>
      </c>
      <c r="G91" s="87" t="str">
        <f t="shared" si="2"/>
        <v/>
      </c>
      <c r="H91" s="87"/>
      <c r="I91" s="87"/>
      <c r="J91" s="87"/>
    </row>
    <row r="92" spans="1:10">
      <c r="A92" s="118" t="str">
        <f t="shared" si="0"/>
        <v/>
      </c>
      <c r="B92" s="1"/>
      <c r="C92" s="120" t="str">
        <f>IF(B92="","",SUMIFS('S-BOM'!$D$3:$D994,'S-BOM'!$C$3:$C994,B92,'S-BOM'!$B$3:$B994,$B$2))</f>
        <v/>
      </c>
      <c r="D92" s="120" t="str">
        <f>IFERROR(IF(B92="","",VLOOKUP(B92,RM!$C$4:$F984,3,FALSE)),"")</f>
        <v/>
      </c>
      <c r="E92" s="118" t="str">
        <f>IF(B92="","",VLOOKUP(B92,RM!$C$4:$G984,14,FALSE))</f>
        <v/>
      </c>
      <c r="F92" s="87" t="str">
        <f t="shared" si="1"/>
        <v/>
      </c>
      <c r="G92" s="87" t="str">
        <f t="shared" si="2"/>
        <v/>
      </c>
      <c r="H92" s="87"/>
      <c r="I92" s="87"/>
      <c r="J92" s="87"/>
    </row>
    <row r="93" spans="1:10">
      <c r="A93" s="118" t="str">
        <f t="shared" si="0"/>
        <v/>
      </c>
      <c r="B93" s="1"/>
      <c r="C93" s="120" t="str">
        <f>IF(B93="","",SUMIFS('S-BOM'!$D$3:$D994,'S-BOM'!$C$3:$C994,B93,'S-BOM'!$B$3:$B994,$B$2))</f>
        <v/>
      </c>
      <c r="D93" s="120" t="str">
        <f>IFERROR(IF(B93="","",VLOOKUP(B93,RM!$C$4:$F984,3,FALSE)),"")</f>
        <v/>
      </c>
      <c r="E93" s="118" t="str">
        <f>IF(B93="","",VLOOKUP(B93,RM!$C$4:$G984,14,FALSE))</f>
        <v/>
      </c>
      <c r="F93" s="87" t="str">
        <f t="shared" si="1"/>
        <v/>
      </c>
      <c r="G93" s="87" t="str">
        <f t="shared" si="2"/>
        <v/>
      </c>
      <c r="H93" s="87"/>
      <c r="I93" s="87"/>
      <c r="J93" s="87"/>
    </row>
    <row r="94" spans="1:10">
      <c r="A94" s="118" t="str">
        <f t="shared" si="0"/>
        <v/>
      </c>
      <c r="B94" s="1"/>
      <c r="C94" s="120" t="str">
        <f>IF(B94="","",SUMIFS('S-BOM'!$D$3:$D994,'S-BOM'!$C$3:$C994,B94,'S-BOM'!$B$3:$B994,$B$2))</f>
        <v/>
      </c>
      <c r="D94" s="120" t="str">
        <f>IFERROR(IF(B94="","",VLOOKUP(B94,RM!$C$4:$F984,3,FALSE)),"")</f>
        <v/>
      </c>
      <c r="E94" s="118" t="str">
        <f>IF(B94="","",VLOOKUP(B94,RM!$C$4:$G984,14,FALSE))</f>
        <v/>
      </c>
      <c r="F94" s="87" t="str">
        <f t="shared" si="1"/>
        <v/>
      </c>
      <c r="G94" s="87" t="str">
        <f t="shared" si="2"/>
        <v/>
      </c>
      <c r="H94" s="87"/>
      <c r="I94" s="87"/>
      <c r="J94" s="87"/>
    </row>
    <row r="95" spans="1:10">
      <c r="A95" s="2"/>
      <c r="B95" s="2"/>
      <c r="C95" s="120" t="str">
        <f>IF(B95="","",SUMIFS('S-BOM'!$D$3:$D994,'S-BOM'!$C$3:$C994,B95,'S-BOM'!$B$3:$B994,$B$2))</f>
        <v/>
      </c>
      <c r="D95" s="120" t="str">
        <f>IFERROR(IF(B95="","",VLOOKUP(B95,RM!$C$4:$F984,3,FALSE)),"")</f>
        <v/>
      </c>
      <c r="E95" s="118" t="str">
        <f>IF(B95="","",VLOOKUP(B95,RM!$C$4:$G984,14,FALSE))</f>
        <v/>
      </c>
      <c r="F95" s="87" t="str">
        <f t="shared" si="1"/>
        <v/>
      </c>
      <c r="G95" s="87" t="str">
        <f t="shared" si="2"/>
        <v/>
      </c>
      <c r="H95" s="87"/>
      <c r="I95" s="87"/>
      <c r="J95" s="87"/>
    </row>
    <row r="96" spans="1:10">
      <c r="A96" s="2"/>
      <c r="B96" s="2"/>
      <c r="C96" s="120" t="str">
        <f>IF(B96="","",SUMIFS('S-BOM'!$D$3:$D994,'S-BOM'!$C$3:$C994,B96,'S-BOM'!$B$3:$B994,$B$2))</f>
        <v/>
      </c>
      <c r="D96" s="120" t="str">
        <f>IFERROR(IF(B96="","",VLOOKUP(B96,RM!$C$4:$F984,3,FALSE)),"")</f>
        <v/>
      </c>
      <c r="E96" s="118" t="str">
        <f>IF(B96="","",VLOOKUP(B96,RM!$C$4:$G984,14,FALSE))</f>
        <v/>
      </c>
      <c r="F96" s="87" t="str">
        <f t="shared" si="1"/>
        <v/>
      </c>
      <c r="G96" s="87" t="str">
        <f t="shared" si="2"/>
        <v/>
      </c>
      <c r="H96" s="87"/>
      <c r="I96" s="87"/>
      <c r="J96" s="87"/>
    </row>
    <row r="97" spans="1:10">
      <c r="A97" s="2"/>
      <c r="B97" s="2"/>
      <c r="C97" s="120" t="str">
        <f>IF(B97="","",SUMIFS('S-BOM'!$D$3:$D994,'S-BOM'!$C$3:$C994,B97,'S-BOM'!$B$3:$B994,$B$2))</f>
        <v/>
      </c>
      <c r="D97" s="120" t="str">
        <f>IFERROR(IF(B97="","",VLOOKUP(B97,RM!$C$4:$F984,3,FALSE)),"")</f>
        <v/>
      </c>
      <c r="E97" s="118" t="str">
        <f>IF(B97="","",VLOOKUP(B97,RM!$C$4:$G984,14,FALSE))</f>
        <v/>
      </c>
      <c r="F97" s="87" t="str">
        <f t="shared" si="1"/>
        <v/>
      </c>
      <c r="G97" s="87" t="str">
        <f t="shared" si="2"/>
        <v/>
      </c>
      <c r="H97" s="87"/>
      <c r="I97" s="87"/>
      <c r="J97" s="87"/>
    </row>
    <row r="98" spans="1:10">
      <c r="A98" s="2"/>
      <c r="B98" s="2"/>
      <c r="C98" s="120" t="str">
        <f>IF(B98="","",SUMIFS('S-BOM'!$D$3:$D994,'S-BOM'!$C$3:$C994,B98,'S-BOM'!$B$3:$B994,$B$2))</f>
        <v/>
      </c>
      <c r="D98" s="120" t="str">
        <f>IFERROR(IF(B98="","",VLOOKUP(B98,RM!$C$4:$F984,3,FALSE)),"")</f>
        <v/>
      </c>
      <c r="E98" s="118" t="str">
        <f>IF(B98="","",VLOOKUP(B98,RM!$C$4:$G984,14,FALSE))</f>
        <v/>
      </c>
      <c r="F98" s="87" t="str">
        <f t="shared" si="1"/>
        <v/>
      </c>
      <c r="G98" s="87" t="str">
        <f t="shared" si="2"/>
        <v/>
      </c>
      <c r="H98" s="87"/>
      <c r="I98" s="87"/>
      <c r="J98" s="87"/>
    </row>
    <row r="99" spans="1:10">
      <c r="A99" s="2"/>
      <c r="B99" s="2"/>
      <c r="C99" s="120" t="str">
        <f>IF(B99="","",SUMIFS('S-BOM'!$D$3:$D994,'S-BOM'!$C$3:$C994,B99,'S-BOM'!$B$3:$B994,$B$2))</f>
        <v/>
      </c>
      <c r="D99" s="120" t="str">
        <f>IFERROR(IF(B99="","",VLOOKUP(B99,RM!$C$4:$F984,3,FALSE)),"")</f>
        <v/>
      </c>
      <c r="E99" s="118" t="str">
        <f>IF(B99="","",VLOOKUP(B99,RM!$C$4:$G984,14,FALSE))</f>
        <v/>
      </c>
      <c r="F99" s="87" t="str">
        <f t="shared" si="1"/>
        <v/>
      </c>
      <c r="G99" s="87" t="str">
        <f t="shared" si="2"/>
        <v/>
      </c>
      <c r="H99" s="87"/>
      <c r="I99" s="87"/>
      <c r="J99" s="87"/>
    </row>
    <row r="100" spans="1:10">
      <c r="A100" s="2"/>
      <c r="B100" s="2"/>
      <c r="C100" s="120" t="str">
        <f>IF(B100="","",SUMIFS('S-BOM'!$D$3:$D994,'S-BOM'!$C$3:$C994,B100,'S-BOM'!$B$3:$B994,$B$2))</f>
        <v/>
      </c>
      <c r="D100" s="120" t="str">
        <f>IFERROR(IF(B100="","",VLOOKUP(B100,RM!$C$4:$F984,3,FALSE)),"")</f>
        <v/>
      </c>
      <c r="E100" s="118" t="str">
        <f>IF(B100="","",VLOOKUP(B100,RM!$C$4:$G984,14,FALSE))</f>
        <v/>
      </c>
      <c r="F100" s="87" t="str">
        <f t="shared" si="1"/>
        <v/>
      </c>
      <c r="G100" s="87" t="str">
        <f t="shared" si="2"/>
        <v/>
      </c>
      <c r="H100" s="87"/>
      <c r="I100" s="87"/>
      <c r="J100" s="87"/>
    </row>
    <row r="101" spans="1:10">
      <c r="A101" s="2"/>
      <c r="B101" s="2"/>
      <c r="C101" s="120" t="str">
        <f>IF(B101="","",SUMIFS('S-BOM'!$D$3:$D994,'S-BOM'!$C$3:$C994,B101,'S-BOM'!$B$3:$B994,$B$2))</f>
        <v/>
      </c>
      <c r="D101" s="120" t="str">
        <f>IFERROR(IF(B101="","",VLOOKUP(B101,RM!$C$4:$F984,3,FALSE)),"")</f>
        <v/>
      </c>
      <c r="E101" s="118" t="str">
        <f>IF(B101="","",VLOOKUP(B101,RM!$C$4:$G984,14,FALSE))</f>
        <v/>
      </c>
      <c r="F101" s="87" t="str">
        <f t="shared" si="1"/>
        <v/>
      </c>
      <c r="G101" s="87" t="str">
        <f t="shared" si="2"/>
        <v/>
      </c>
      <c r="H101" s="87"/>
      <c r="I101" s="87"/>
      <c r="J101" s="87"/>
    </row>
    <row r="102" spans="1:10">
      <c r="A102" s="2"/>
      <c r="B102" s="2"/>
      <c r="C102" s="120" t="str">
        <f>IF(B102="","",SUMIFS('S-BOM'!$D$3:$D994,'S-BOM'!$C$3:$C994,B102,'S-BOM'!$B$3:$B994,$B$2))</f>
        <v/>
      </c>
      <c r="D102" s="120" t="str">
        <f>IFERROR(IF(B102="","",VLOOKUP(B102,RM!$C$4:$F984,3,FALSE)),"")</f>
        <v/>
      </c>
      <c r="E102" s="118" t="str">
        <f>IF(B102="","",VLOOKUP(B102,RM!$C$4:$G984,14,FALSE))</f>
        <v/>
      </c>
      <c r="F102" s="87" t="str">
        <f t="shared" si="1"/>
        <v/>
      </c>
      <c r="G102" s="87" t="str">
        <f t="shared" si="2"/>
        <v/>
      </c>
      <c r="H102" s="87"/>
      <c r="I102" s="87"/>
      <c r="J102" s="87"/>
    </row>
    <row r="103" spans="1:10">
      <c r="A103" s="2"/>
      <c r="B103" s="2"/>
      <c r="C103" s="120" t="str">
        <f>IF(B103="","",SUMIFS('S-BOM'!$D$3:$D994,'S-BOM'!$C$3:$C994,B103,'S-BOM'!$B$3:$B994,$B$2))</f>
        <v/>
      </c>
      <c r="D103" s="120" t="str">
        <f>IFERROR(IF(B103="","",VLOOKUP(B103,RM!$C$4:$F984,3,FALSE)),"")</f>
        <v/>
      </c>
      <c r="E103" s="118" t="str">
        <f>IF(B103="","",VLOOKUP(B103,RM!$C$4:$G984,14,FALSE))</f>
        <v/>
      </c>
      <c r="F103" s="87" t="str">
        <f t="shared" si="1"/>
        <v/>
      </c>
      <c r="G103" s="87" t="str">
        <f t="shared" si="2"/>
        <v/>
      </c>
      <c r="H103" s="87"/>
      <c r="I103" s="87"/>
      <c r="J103" s="87"/>
    </row>
    <row r="104" spans="1:10">
      <c r="A104" s="2"/>
      <c r="B104" s="2"/>
      <c r="C104" s="120" t="str">
        <f>IF(B104="","",SUMIFS('S-BOM'!$D$3:$D994,'S-BOM'!$C$3:$C994,B104,'S-BOM'!$B$3:$B994,$B$2))</f>
        <v/>
      </c>
      <c r="D104" s="120" t="str">
        <f>IFERROR(IF(B104="","",VLOOKUP(B104,RM!$C$4:$F984,3,FALSE)),"")</f>
        <v/>
      </c>
      <c r="E104" s="118" t="str">
        <f>IF(B104="","",VLOOKUP(B104,RM!$C$4:$G984,14,FALSE))</f>
        <v/>
      </c>
      <c r="F104" s="87" t="str">
        <f t="shared" si="1"/>
        <v/>
      </c>
      <c r="G104" s="87" t="str">
        <f t="shared" si="2"/>
        <v/>
      </c>
      <c r="H104" s="87"/>
      <c r="I104" s="87"/>
      <c r="J104" s="87"/>
    </row>
    <row r="105" spans="1:10">
      <c r="A105" s="2"/>
      <c r="B105" s="2"/>
      <c r="C105" s="120" t="str">
        <f>IF(B105="","",SUMIFS('S-BOM'!$D$3:$D994,'S-BOM'!$C$3:$C994,B105,'S-BOM'!$B$3:$B994,$B$2))</f>
        <v/>
      </c>
      <c r="D105" s="120" t="str">
        <f>IFERROR(IF(B105="","",VLOOKUP(B105,RM!$C$4:$F984,3,FALSE)),"")</f>
        <v/>
      </c>
      <c r="E105" s="118" t="str">
        <f>IF(B105="","",VLOOKUP(B105,RM!$C$4:$G984,14,FALSE))</f>
        <v/>
      </c>
      <c r="F105" s="87" t="str">
        <f t="shared" si="1"/>
        <v/>
      </c>
      <c r="G105" s="87" t="str">
        <f t="shared" si="2"/>
        <v/>
      </c>
      <c r="H105" s="87"/>
      <c r="I105" s="87"/>
      <c r="J105" s="87"/>
    </row>
    <row r="106" spans="1:10">
      <c r="A106" s="2"/>
      <c r="B106" s="2"/>
      <c r="C106" s="120" t="str">
        <f>IF(B106="","",SUMIFS('S-BOM'!$D$3:$D994,'S-BOM'!$C$3:$C994,B106,'S-BOM'!$B$3:$B994,$B$2))</f>
        <v/>
      </c>
      <c r="D106" s="120" t="str">
        <f>IFERROR(IF(B106="","",VLOOKUP(B106,RM!$C$4:$F984,3,FALSE)),"")</f>
        <v/>
      </c>
      <c r="E106" s="118" t="str">
        <f>IF(B106="","",VLOOKUP(B106,RM!$C$4:$G984,14,FALSE))</f>
        <v/>
      </c>
      <c r="F106" s="87" t="str">
        <f t="shared" si="1"/>
        <v/>
      </c>
      <c r="G106" s="87" t="str">
        <f t="shared" si="2"/>
        <v/>
      </c>
      <c r="H106" s="87"/>
      <c r="I106" s="87"/>
      <c r="J106" s="87"/>
    </row>
    <row r="107" spans="1:10">
      <c r="A107" s="2"/>
      <c r="B107" s="2"/>
      <c r="C107" s="120" t="str">
        <f>IF(B107="","",SUMIFS('S-BOM'!$D$3:$D994,'S-BOM'!$C$3:$C994,B107,'S-BOM'!$B$3:$B994,$B$2))</f>
        <v/>
      </c>
      <c r="D107" s="120" t="str">
        <f>IFERROR(IF(B107="","",VLOOKUP(B107,RM!$C$4:$F984,3,FALSE)),"")</f>
        <v/>
      </c>
      <c r="E107" s="118" t="str">
        <f>IF(B107="","",VLOOKUP(B107,RM!$C$4:$G984,14,FALSE))</f>
        <v/>
      </c>
      <c r="F107" s="87" t="str">
        <f t="shared" si="1"/>
        <v/>
      </c>
      <c r="G107" s="87" t="str">
        <f t="shared" si="2"/>
        <v/>
      </c>
      <c r="H107" s="87"/>
      <c r="I107" s="87"/>
      <c r="J107" s="87"/>
    </row>
    <row r="108" spans="1:10">
      <c r="A108" s="2"/>
      <c r="B108" s="2"/>
      <c r="C108" s="120" t="str">
        <f>IF(B108="","",SUMIFS('S-BOM'!$D$3:$D994,'S-BOM'!$C$3:$C994,B108,'S-BOM'!$B$3:$B994,$B$2))</f>
        <v/>
      </c>
      <c r="D108" s="120" t="str">
        <f>IFERROR(IF(B108="","",VLOOKUP(B108,RM!$C$4:$F984,3,FALSE)),"")</f>
        <v/>
      </c>
      <c r="E108" s="118" t="str">
        <f>IF(B108="","",VLOOKUP(B108,RM!$C$4:$G984,14,FALSE))</f>
        <v/>
      </c>
      <c r="F108" s="87" t="str">
        <f t="shared" si="1"/>
        <v/>
      </c>
      <c r="G108" s="87" t="str">
        <f t="shared" si="2"/>
        <v/>
      </c>
      <c r="H108" s="87"/>
      <c r="I108" s="87"/>
      <c r="J108" s="87"/>
    </row>
    <row r="109" spans="1:10">
      <c r="A109" s="2"/>
      <c r="B109" s="2"/>
      <c r="C109" s="120" t="str">
        <f>IF(B109="","",SUMIFS('S-BOM'!$D$3:$D994,'S-BOM'!$C$3:$C994,B109,'S-BOM'!$B$3:$B994,$B$2))</f>
        <v/>
      </c>
      <c r="D109" s="120" t="str">
        <f>IFERROR(IF(B109="","",VLOOKUP(B109,RM!$C$4:$F984,3,FALSE)),"")</f>
        <v/>
      </c>
      <c r="E109" s="118" t="str">
        <f>IF(B109="","",VLOOKUP(B109,RM!$C$4:$G984,14,FALSE))</f>
        <v/>
      </c>
      <c r="F109" s="87" t="str">
        <f t="shared" si="1"/>
        <v/>
      </c>
      <c r="G109" s="87" t="str">
        <f t="shared" si="2"/>
        <v/>
      </c>
      <c r="H109" s="87"/>
      <c r="I109" s="87"/>
      <c r="J109" s="87"/>
    </row>
    <row r="110" spans="1:10">
      <c r="A110" s="2"/>
      <c r="B110" s="2"/>
      <c r="C110" s="120" t="str">
        <f>IF(B110="","",SUMIFS('S-BOM'!$D$3:$D994,'S-BOM'!$C$3:$C994,B110,'S-BOM'!$B$3:$B994,$B$2))</f>
        <v/>
      </c>
      <c r="D110" s="120" t="str">
        <f>IFERROR(IF(B110="","",VLOOKUP(B110,RM!$C$4:$F984,3,FALSE)),"")</f>
        <v/>
      </c>
      <c r="E110" s="118" t="str">
        <f>IF(B110="","",VLOOKUP(B110,RM!$C$4:$G984,14,FALSE))</f>
        <v/>
      </c>
      <c r="F110" s="87" t="str">
        <f t="shared" si="1"/>
        <v/>
      </c>
      <c r="G110" s="87" t="str">
        <f t="shared" si="2"/>
        <v/>
      </c>
      <c r="H110" s="87"/>
      <c r="I110" s="87"/>
      <c r="J110" s="87"/>
    </row>
    <row r="111" spans="1:10">
      <c r="A111" s="2"/>
      <c r="B111" s="2"/>
      <c r="C111" s="120" t="str">
        <f>IF(B111="","",SUMIFS('S-BOM'!$D$3:$D994,'S-BOM'!$C$3:$C994,B111,'S-BOM'!$B$3:$B994,$B$2))</f>
        <v/>
      </c>
      <c r="D111" s="120" t="str">
        <f>IFERROR(IF(B111="","",VLOOKUP(B111,RM!$C$4:$F984,3,FALSE)),"")</f>
        <v/>
      </c>
      <c r="E111" s="118" t="str">
        <f>IF(B111="","",VLOOKUP(B111,RM!$C$4:$G984,14,FALSE))</f>
        <v/>
      </c>
      <c r="F111" s="87" t="str">
        <f t="shared" si="1"/>
        <v/>
      </c>
      <c r="G111" s="87" t="str">
        <f t="shared" si="2"/>
        <v/>
      </c>
      <c r="H111" s="87"/>
      <c r="I111" s="87"/>
      <c r="J111" s="87"/>
    </row>
    <row r="112" spans="1:10">
      <c r="A112" s="2"/>
      <c r="B112" s="2"/>
      <c r="C112" s="120" t="str">
        <f>IF(B112="","",SUMIFS('S-BOM'!$D$3:$D994,'S-BOM'!$C$3:$C994,B112,'S-BOM'!$B$3:$B994,$B$2))</f>
        <v/>
      </c>
      <c r="D112" s="120" t="str">
        <f>IFERROR(IF(B112="","",VLOOKUP(B112,RM!$C$4:$F984,3,FALSE)),"")</f>
        <v/>
      </c>
      <c r="E112" s="118" t="str">
        <f>IF(B112="","",VLOOKUP(B112,RM!$C$4:$G984,14,FALSE))</f>
        <v/>
      </c>
      <c r="F112" s="87" t="str">
        <f t="shared" si="1"/>
        <v/>
      </c>
      <c r="G112" s="87" t="str">
        <f t="shared" si="2"/>
        <v/>
      </c>
      <c r="H112" s="87"/>
      <c r="I112" s="87"/>
      <c r="J112" s="87"/>
    </row>
    <row r="113" spans="1:10">
      <c r="A113" s="2"/>
      <c r="B113" s="2"/>
      <c r="C113" s="120" t="str">
        <f>IF(B113="","",SUMIFS('S-BOM'!$D$3:$D994,'S-BOM'!$C$3:$C994,B113,'S-BOM'!$B$3:$B994,$B$2))</f>
        <v/>
      </c>
      <c r="D113" s="120" t="str">
        <f>IFERROR(IF(B113="","",VLOOKUP(B113,RM!$C$4:$F984,3,FALSE)),"")</f>
        <v/>
      </c>
      <c r="E113" s="118" t="str">
        <f>IF(B113="","",VLOOKUP(B113,RM!$C$4:$G984,14,FALSE))</f>
        <v/>
      </c>
      <c r="F113" s="87" t="str">
        <f t="shared" si="1"/>
        <v/>
      </c>
      <c r="G113" s="87" t="str">
        <f t="shared" si="2"/>
        <v/>
      </c>
      <c r="H113" s="87"/>
      <c r="I113" s="87"/>
      <c r="J113" s="87"/>
    </row>
    <row r="114" spans="1:10">
      <c r="A114" s="2"/>
      <c r="B114" s="2"/>
      <c r="C114" s="120" t="str">
        <f>IF(B114="","",SUMIFS('S-BOM'!$D$3:$D994,'S-BOM'!$C$3:$C994,B114,'S-BOM'!$B$3:$B994,$B$2))</f>
        <v/>
      </c>
      <c r="D114" s="120" t="str">
        <f>IFERROR(IF(B114="","",VLOOKUP(B114,RM!$C$4:$F984,3,FALSE)),"")</f>
        <v/>
      </c>
      <c r="E114" s="118" t="str">
        <f>IF(B114="","",VLOOKUP(B114,RM!$C$4:$G984,14,FALSE))</f>
        <v/>
      </c>
      <c r="F114" s="87" t="str">
        <f t="shared" si="1"/>
        <v/>
      </c>
      <c r="G114" s="87" t="str">
        <f t="shared" si="2"/>
        <v/>
      </c>
      <c r="H114" s="87"/>
      <c r="I114" s="87"/>
      <c r="J114" s="87"/>
    </row>
    <row r="115" spans="1:10">
      <c r="A115" s="2"/>
      <c r="B115" s="2"/>
      <c r="C115" s="120" t="str">
        <f>IF(B115="","",SUMIFS('S-BOM'!$D$3:$D994,'S-BOM'!$C$3:$C994,B115,'S-BOM'!$B$3:$B994,$B$2))</f>
        <v/>
      </c>
      <c r="D115" s="120" t="str">
        <f>IFERROR(IF(B115="","",VLOOKUP(B115,RM!$C$4:$F984,3,FALSE)),"")</f>
        <v/>
      </c>
      <c r="E115" s="118" t="str">
        <f>IF(B115="","",VLOOKUP(B115,RM!$C$4:$G984,14,FALSE))</f>
        <v/>
      </c>
      <c r="F115" s="87" t="str">
        <f t="shared" si="1"/>
        <v/>
      </c>
      <c r="G115" s="87" t="str">
        <f t="shared" si="2"/>
        <v/>
      </c>
      <c r="H115" s="87"/>
      <c r="I115" s="87"/>
      <c r="J115" s="87"/>
    </row>
    <row r="116" spans="1:10">
      <c r="A116" s="2"/>
      <c r="B116" s="2"/>
      <c r="C116" s="120" t="str">
        <f>IF(B116="","",SUMIFS('S-BOM'!$D$3:$D994,'S-BOM'!$C$3:$C994,B116,'S-BOM'!$B$3:$B994,$B$2))</f>
        <v/>
      </c>
      <c r="D116" s="120" t="str">
        <f>IFERROR(IF(B116="","",VLOOKUP(B116,RM!$C$4:$F984,3,FALSE)),"")</f>
        <v/>
      </c>
      <c r="E116" s="118" t="str">
        <f>IF(B116="","",VLOOKUP(B116,RM!$C$4:$G984,14,FALSE))</f>
        <v/>
      </c>
      <c r="F116" s="87" t="str">
        <f t="shared" si="1"/>
        <v/>
      </c>
      <c r="G116" s="87" t="str">
        <f t="shared" si="2"/>
        <v/>
      </c>
      <c r="H116" s="87"/>
      <c r="I116" s="87"/>
      <c r="J116" s="87"/>
    </row>
    <row r="117" spans="1:10">
      <c r="A117" s="2"/>
      <c r="B117" s="2"/>
      <c r="C117" s="120" t="str">
        <f>IF(B117="","",SUMIFS('S-BOM'!$D$3:$D994,'S-BOM'!$C$3:$C994,B117,'S-BOM'!$B$3:$B994,$B$2))</f>
        <v/>
      </c>
      <c r="D117" s="120" t="str">
        <f>IFERROR(IF(B117="","",VLOOKUP(B117,RM!$C$4:$F984,3,FALSE)),"")</f>
        <v/>
      </c>
      <c r="E117" s="118" t="str">
        <f>IF(B117="","",VLOOKUP(B117,RM!$C$4:$G984,14,FALSE))</f>
        <v/>
      </c>
      <c r="F117" s="87" t="str">
        <f t="shared" si="1"/>
        <v/>
      </c>
      <c r="G117" s="87" t="str">
        <f t="shared" si="2"/>
        <v/>
      </c>
      <c r="H117" s="87"/>
      <c r="I117" s="87"/>
      <c r="J117" s="87"/>
    </row>
    <row r="118" spans="1:10">
      <c r="A118" s="2"/>
      <c r="B118" s="2"/>
      <c r="C118" s="120" t="str">
        <f>IF(B118="","",SUMIFS('S-BOM'!$D$3:$D994,'S-BOM'!$C$3:$C994,B118,'S-BOM'!$B$3:$B994,$B$2))</f>
        <v/>
      </c>
      <c r="D118" s="120" t="str">
        <f>IFERROR(IF(B118="","",VLOOKUP(B118,RM!$C$4:$F984,3,FALSE)),"")</f>
        <v/>
      </c>
      <c r="E118" s="118" t="str">
        <f>IF(B118="","",VLOOKUP(B118,RM!$C$4:$G984,14,FALSE))</f>
        <v/>
      </c>
      <c r="F118" s="87" t="str">
        <f t="shared" si="1"/>
        <v/>
      </c>
      <c r="G118" s="87" t="str">
        <f t="shared" si="2"/>
        <v/>
      </c>
      <c r="H118" s="87"/>
      <c r="I118" s="87"/>
      <c r="J118" s="87"/>
    </row>
    <row r="119" spans="1:10">
      <c r="A119" s="2"/>
      <c r="B119" s="2"/>
      <c r="C119" s="120" t="str">
        <f>IF(B119="","",SUMIFS('S-BOM'!$D$3:$D994,'S-BOM'!$C$3:$C994,B119,'S-BOM'!$B$3:$B994,$B$2))</f>
        <v/>
      </c>
      <c r="D119" s="120" t="str">
        <f>IFERROR(IF(B119="","",VLOOKUP(B119,RM!$C$4:$F984,3,FALSE)),"")</f>
        <v/>
      </c>
      <c r="E119" s="118" t="str">
        <f>IF(B119="","",VLOOKUP(B119,RM!$C$4:$G984,14,FALSE))</f>
        <v/>
      </c>
      <c r="F119" s="87" t="str">
        <f t="shared" si="1"/>
        <v/>
      </c>
      <c r="G119" s="87" t="str">
        <f t="shared" si="2"/>
        <v/>
      </c>
      <c r="H119" s="87"/>
      <c r="I119" s="87"/>
      <c r="J119" s="87"/>
    </row>
    <row r="120" spans="1:10">
      <c r="A120" s="2"/>
      <c r="B120" s="2"/>
      <c r="C120" s="120" t="str">
        <f>IF(B120="","",SUMIFS('S-BOM'!$D$3:$D994,'S-BOM'!$C$3:$C994,B120,'S-BOM'!$B$3:$B994,$B$2))</f>
        <v/>
      </c>
      <c r="D120" s="120" t="str">
        <f>IFERROR(IF(B120="","",VLOOKUP(B120,RM!$C$4:$F984,3,FALSE)),"")</f>
        <v/>
      </c>
      <c r="E120" s="118" t="str">
        <f>IF(B120="","",VLOOKUP(B120,RM!$C$4:$G984,14,FALSE))</f>
        <v/>
      </c>
      <c r="F120" s="87" t="str">
        <f t="shared" si="1"/>
        <v/>
      </c>
      <c r="G120" s="87" t="str">
        <f t="shared" si="2"/>
        <v/>
      </c>
      <c r="H120" s="87"/>
      <c r="I120" s="87"/>
      <c r="J120" s="87"/>
    </row>
    <row r="121" spans="1:10">
      <c r="A121" s="2"/>
      <c r="B121" s="2"/>
      <c r="C121" s="120" t="str">
        <f>IF(B121="","",SUMIFS('S-BOM'!$D$3:$D994,'S-BOM'!$C$3:$C994,B121,'S-BOM'!$B$3:$B994,$B$2))</f>
        <v/>
      </c>
      <c r="D121" s="120" t="str">
        <f>IFERROR(IF(B121="","",VLOOKUP(B121,RM!$C$4:$F984,3,FALSE)),"")</f>
        <v/>
      </c>
      <c r="E121" s="118" t="str">
        <f>IF(B121="","",VLOOKUP(B121,RM!$C$4:$G984,14,FALSE))</f>
        <v/>
      </c>
      <c r="F121" s="87" t="str">
        <f t="shared" si="1"/>
        <v/>
      </c>
      <c r="G121" s="87" t="str">
        <f t="shared" si="2"/>
        <v/>
      </c>
      <c r="H121" s="87"/>
      <c r="I121" s="87"/>
      <c r="J121" s="87"/>
    </row>
    <row r="122" spans="1:10">
      <c r="A122" s="2"/>
      <c r="B122" s="2"/>
      <c r="C122" s="120" t="str">
        <f>IF(B122="","",SUMIFS('S-BOM'!$D$3:$D994,'S-BOM'!$C$3:$C994,B122,'S-BOM'!$B$3:$B994,$B$2))</f>
        <v/>
      </c>
      <c r="D122" s="120" t="str">
        <f>IFERROR(IF(B122="","",VLOOKUP(B122,RM!$C$4:$F984,3,FALSE)),"")</f>
        <v/>
      </c>
      <c r="E122" s="118" t="str">
        <f>IF(B122="","",VLOOKUP(B122,RM!$C$4:$G984,14,FALSE))</f>
        <v/>
      </c>
      <c r="F122" s="87" t="str">
        <f t="shared" si="1"/>
        <v/>
      </c>
      <c r="G122" s="87" t="str">
        <f t="shared" si="2"/>
        <v/>
      </c>
      <c r="H122" s="87"/>
      <c r="I122" s="87"/>
      <c r="J122" s="87"/>
    </row>
    <row r="123" spans="1:10">
      <c r="A123" s="2"/>
      <c r="B123" s="2"/>
      <c r="C123" s="120" t="str">
        <f>IF(B123="","",SUMIFS('S-BOM'!$D$3:$D994,'S-BOM'!$C$3:$C994,B123,'S-BOM'!$B$3:$B994,$B$2))</f>
        <v/>
      </c>
      <c r="D123" s="120" t="str">
        <f>IFERROR(IF(B123="","",VLOOKUP(B123,RM!$C$4:$F984,3,FALSE)),"")</f>
        <v/>
      </c>
      <c r="E123" s="118" t="str">
        <f>IF(B123="","",VLOOKUP(B123,RM!$C$4:$G984,14,FALSE))</f>
        <v/>
      </c>
      <c r="F123" s="87" t="str">
        <f t="shared" si="1"/>
        <v/>
      </c>
      <c r="G123" s="87" t="str">
        <f t="shared" si="2"/>
        <v/>
      </c>
      <c r="H123" s="87"/>
      <c r="I123" s="87"/>
      <c r="J123" s="87"/>
    </row>
    <row r="124" spans="1:10">
      <c r="A124" s="2"/>
      <c r="B124" s="2"/>
      <c r="C124" s="120" t="str">
        <f>IF(B124="","",SUMIFS('S-BOM'!$D$3:$D994,'S-BOM'!$C$3:$C994,B124,'S-BOM'!$B$3:$B994,$B$2))</f>
        <v/>
      </c>
      <c r="D124" s="120" t="str">
        <f>IFERROR(IF(B124="","",VLOOKUP(B124,RM!$C$4:$F984,3,FALSE)),"")</f>
        <v/>
      </c>
      <c r="E124" s="118" t="str">
        <f>IF(B124="","",VLOOKUP(B124,RM!$C$4:$G984,14,FALSE))</f>
        <v/>
      </c>
      <c r="F124" s="87" t="str">
        <f t="shared" si="1"/>
        <v/>
      </c>
      <c r="G124" s="87" t="str">
        <f t="shared" si="2"/>
        <v/>
      </c>
      <c r="H124" s="87"/>
      <c r="I124" s="87"/>
      <c r="J124" s="87"/>
    </row>
    <row r="125" spans="1:10">
      <c r="A125" s="2"/>
      <c r="B125" s="2"/>
      <c r="C125" s="120" t="str">
        <f>IF(B125="","",SUMIFS('S-BOM'!$D$3:$D994,'S-BOM'!$C$3:$C994,B125,'S-BOM'!$B$3:$B994,$B$2))</f>
        <v/>
      </c>
      <c r="D125" s="120" t="str">
        <f>IFERROR(IF(B125="","",VLOOKUP(B125,RM!$C$4:$F984,3,FALSE)),"")</f>
        <v/>
      </c>
      <c r="E125" s="118" t="str">
        <f>IF(B125="","",VLOOKUP(B125,RM!$C$4:$G984,14,FALSE))</f>
        <v/>
      </c>
      <c r="F125" s="87" t="str">
        <f t="shared" si="1"/>
        <v/>
      </c>
      <c r="G125" s="87" t="str">
        <f t="shared" si="2"/>
        <v/>
      </c>
      <c r="H125" s="87"/>
      <c r="I125" s="87"/>
      <c r="J125" s="87"/>
    </row>
    <row r="126" spans="1:10">
      <c r="A126" s="2"/>
      <c r="B126" s="2"/>
      <c r="C126" s="120" t="str">
        <f>IF(B126="","",SUMIFS('S-BOM'!$D$3:$D994,'S-BOM'!$C$3:$C994,B126,'S-BOM'!$B$3:$B994,$B$2))</f>
        <v/>
      </c>
      <c r="D126" s="120" t="str">
        <f>IFERROR(IF(B126="","",VLOOKUP(B126,RM!$C$4:$F984,3,FALSE)),"")</f>
        <v/>
      </c>
      <c r="E126" s="118" t="str">
        <f>IF(B126="","",VLOOKUP(B126,RM!$C$4:$G984,14,FALSE))</f>
        <v/>
      </c>
      <c r="F126" s="87" t="str">
        <f t="shared" si="1"/>
        <v/>
      </c>
      <c r="G126" s="87" t="str">
        <f t="shared" si="2"/>
        <v/>
      </c>
      <c r="H126" s="87"/>
      <c r="I126" s="87"/>
      <c r="J126" s="87"/>
    </row>
    <row r="127" spans="1:10">
      <c r="A127" s="2"/>
      <c r="B127" s="2"/>
      <c r="C127" s="120" t="str">
        <f>IF(B127="","",SUMIFS('S-BOM'!$D$3:$D994,'S-BOM'!$C$3:$C994,B127,'S-BOM'!$B$3:$B994,$B$2))</f>
        <v/>
      </c>
      <c r="D127" s="120" t="str">
        <f>IFERROR(IF(B127="","",VLOOKUP(B127,RM!$C$4:$F984,3,FALSE)),"")</f>
        <v/>
      </c>
      <c r="E127" s="118" t="str">
        <f>IF(B127="","",VLOOKUP(B127,RM!$C$4:$G984,14,FALSE))</f>
        <v/>
      </c>
      <c r="F127" s="87" t="str">
        <f t="shared" si="1"/>
        <v/>
      </c>
      <c r="G127" s="87" t="str">
        <f t="shared" si="2"/>
        <v/>
      </c>
      <c r="H127" s="87"/>
      <c r="I127" s="87"/>
      <c r="J127" s="87"/>
    </row>
    <row r="128" spans="1:10">
      <c r="A128" s="2"/>
      <c r="B128" s="2"/>
      <c r="C128" s="120" t="str">
        <f>IF(B128="","",SUMIFS('S-BOM'!$D$3:$D994,'S-BOM'!$C$3:$C994,B128,'S-BOM'!$B$3:$B994,$B$2))</f>
        <v/>
      </c>
      <c r="D128" s="120" t="str">
        <f>IFERROR(IF(B128="","",VLOOKUP(B128,RM!$C$4:$F984,3,FALSE)),"")</f>
        <v/>
      </c>
      <c r="E128" s="118" t="str">
        <f>IF(B128="","",VLOOKUP(B128,RM!$C$4:$G984,14,FALSE))</f>
        <v/>
      </c>
      <c r="F128" s="87" t="str">
        <f t="shared" si="1"/>
        <v/>
      </c>
      <c r="G128" s="87" t="str">
        <f t="shared" si="2"/>
        <v/>
      </c>
      <c r="H128" s="87"/>
      <c r="I128" s="87"/>
      <c r="J128" s="87"/>
    </row>
    <row r="129" spans="1:10">
      <c r="A129" s="2"/>
      <c r="B129" s="2"/>
      <c r="C129" s="120" t="str">
        <f>IF(B129="","",SUMIFS('S-BOM'!$D$3:$D994,'S-BOM'!$C$3:$C994,B129,'S-BOM'!$B$3:$B994,$B$2))</f>
        <v/>
      </c>
      <c r="D129" s="120" t="str">
        <f>IFERROR(IF(B129="","",VLOOKUP(B129,RM!$C$4:$F984,3,FALSE)),"")</f>
        <v/>
      </c>
      <c r="E129" s="118" t="str">
        <f>IF(B129="","",VLOOKUP(B129,RM!$C$4:$G984,14,FALSE))</f>
        <v/>
      </c>
      <c r="F129" s="87" t="str">
        <f t="shared" si="1"/>
        <v/>
      </c>
      <c r="G129" s="87" t="str">
        <f t="shared" si="2"/>
        <v/>
      </c>
      <c r="H129" s="87"/>
      <c r="I129" s="87"/>
      <c r="J129" s="87"/>
    </row>
    <row r="130" spans="1:10">
      <c r="A130" s="2"/>
      <c r="B130" s="2"/>
      <c r="C130" s="120" t="str">
        <f>IF(B130="","",SUMIFS('S-BOM'!$D$3:$D994,'S-BOM'!$C$3:$C994,B130,'S-BOM'!$B$3:$B994,$B$2))</f>
        <v/>
      </c>
      <c r="D130" s="120" t="str">
        <f>IFERROR(IF(B130="","",VLOOKUP(B130,RM!$C$4:$F984,3,FALSE)),"")</f>
        <v/>
      </c>
      <c r="E130" s="118" t="str">
        <f>IF(B130="","",VLOOKUP(B130,RM!$C$4:$G984,14,FALSE))</f>
        <v/>
      </c>
      <c r="F130" s="87" t="str">
        <f t="shared" si="1"/>
        <v/>
      </c>
      <c r="G130" s="87" t="str">
        <f t="shared" si="2"/>
        <v/>
      </c>
      <c r="H130" s="87"/>
      <c r="I130" s="87"/>
      <c r="J130" s="87"/>
    </row>
    <row r="131" spans="1:10">
      <c r="A131" s="2"/>
      <c r="B131" s="2"/>
      <c r="C131" s="120" t="str">
        <f>IF(B131="","",SUMIFS('S-BOM'!$D$3:$D994,'S-BOM'!$C$3:$C994,B131,'S-BOM'!$B$3:$B994,$B$2))</f>
        <v/>
      </c>
      <c r="D131" s="120" t="str">
        <f>IFERROR(IF(B131="","",VLOOKUP(B131,RM!$C$4:$F984,3,FALSE)),"")</f>
        <v/>
      </c>
      <c r="E131" s="118" t="str">
        <f>IF(B131="","",VLOOKUP(B131,RM!$C$4:$G984,14,FALSE))</f>
        <v/>
      </c>
      <c r="F131" s="87" t="str">
        <f t="shared" si="1"/>
        <v/>
      </c>
      <c r="G131" s="87" t="str">
        <f t="shared" si="2"/>
        <v/>
      </c>
      <c r="H131" s="87"/>
      <c r="I131" s="87"/>
      <c r="J131" s="87"/>
    </row>
    <row r="132" spans="1:10">
      <c r="A132" s="2"/>
      <c r="B132" s="2"/>
      <c r="C132" s="120" t="str">
        <f>IF(B132="","",SUMIFS('S-BOM'!$D$3:$D994,'S-BOM'!$C$3:$C994,B132,'S-BOM'!$B$3:$B994,$B$2))</f>
        <v/>
      </c>
      <c r="D132" s="120" t="str">
        <f>IFERROR(IF(B132="","",VLOOKUP(B132,RM!$C$4:$F984,3,FALSE)),"")</f>
        <v/>
      </c>
      <c r="E132" s="118" t="str">
        <f>IF(B132="","",VLOOKUP(B132,RM!$C$4:$G984,14,FALSE))</f>
        <v/>
      </c>
      <c r="F132" s="87" t="str">
        <f t="shared" si="1"/>
        <v/>
      </c>
      <c r="G132" s="87" t="str">
        <f t="shared" si="2"/>
        <v/>
      </c>
      <c r="H132" s="87"/>
      <c r="I132" s="87"/>
      <c r="J132" s="87"/>
    </row>
    <row r="133" spans="1:10">
      <c r="A133" s="2"/>
      <c r="B133" s="2"/>
      <c r="C133" s="120" t="str">
        <f>IF(B133="","",SUMIFS('S-BOM'!$D$3:$D994,'S-BOM'!$C$3:$C994,B133,'S-BOM'!$B$3:$B994,$B$2))</f>
        <v/>
      </c>
      <c r="D133" s="120" t="str">
        <f>IFERROR(IF(B133="","",VLOOKUP(B133,RM!$C$4:$F984,3,FALSE)),"")</f>
        <v/>
      </c>
      <c r="E133" s="118" t="str">
        <f>IF(B133="","",VLOOKUP(B133,RM!$C$4:$G984,14,FALSE))</f>
        <v/>
      </c>
      <c r="F133" s="87" t="str">
        <f t="shared" si="1"/>
        <v/>
      </c>
      <c r="G133" s="87" t="str">
        <f t="shared" si="2"/>
        <v/>
      </c>
      <c r="H133" s="87"/>
      <c r="I133" s="87"/>
      <c r="J133" s="87"/>
    </row>
    <row r="134" spans="1:10">
      <c r="A134" s="2"/>
      <c r="B134" s="2"/>
      <c r="C134" s="120" t="str">
        <f>IF(B134="","",SUMIFS('S-BOM'!$D$3:$D994,'S-BOM'!$C$3:$C994,B134,'S-BOM'!$B$3:$B994,$B$2))</f>
        <v/>
      </c>
      <c r="D134" s="120" t="str">
        <f>IFERROR(IF(B134="","",VLOOKUP(B134,RM!$C$4:$F984,3,FALSE)),"")</f>
        <v/>
      </c>
      <c r="E134" s="118" t="str">
        <f>IF(B134="","",VLOOKUP(B134,RM!$C$4:$G984,14,FALSE))</f>
        <v/>
      </c>
      <c r="F134" s="87" t="str">
        <f t="shared" si="1"/>
        <v/>
      </c>
      <c r="G134" s="87" t="str">
        <f t="shared" si="2"/>
        <v/>
      </c>
      <c r="H134" s="87"/>
      <c r="I134" s="87"/>
      <c r="J134" s="87"/>
    </row>
    <row r="135" spans="1:10">
      <c r="A135" s="2"/>
      <c r="B135" s="2"/>
      <c r="C135" s="120" t="str">
        <f>IF(B135="","",SUMIFS('S-BOM'!$D$3:$D994,'S-BOM'!$C$3:$C994,B135,'S-BOM'!$B$3:$B994,$B$2))</f>
        <v/>
      </c>
      <c r="D135" s="120" t="str">
        <f>IFERROR(IF(B135="","",VLOOKUP(B135,RM!$C$4:$F984,3,FALSE)),"")</f>
        <v/>
      </c>
      <c r="E135" s="118" t="str">
        <f>IF(B135="","",VLOOKUP(B135,RM!$C$4:$G984,14,FALSE))</f>
        <v/>
      </c>
      <c r="F135" s="87" t="str">
        <f t="shared" si="1"/>
        <v/>
      </c>
      <c r="G135" s="87" t="str">
        <f t="shared" si="2"/>
        <v/>
      </c>
      <c r="H135" s="87"/>
      <c r="I135" s="87"/>
      <c r="J135" s="87"/>
    </row>
    <row r="136" spans="1:10">
      <c r="A136" s="2"/>
      <c r="B136" s="2"/>
      <c r="C136" s="120" t="str">
        <f>IF(B136="","",SUMIFS('S-BOM'!$D$3:$D994,'S-BOM'!$C$3:$C994,B136,'S-BOM'!$B$3:$B994,$B$2))</f>
        <v/>
      </c>
      <c r="D136" s="120" t="str">
        <f>IFERROR(IF(B136="","",VLOOKUP(B136,RM!$C$4:$F984,3,FALSE)),"")</f>
        <v/>
      </c>
      <c r="E136" s="118" t="str">
        <f>IF(B136="","",VLOOKUP(B136,RM!$C$4:$G984,14,FALSE))</f>
        <v/>
      </c>
      <c r="F136" s="87" t="str">
        <f t="shared" si="1"/>
        <v/>
      </c>
      <c r="G136" s="87" t="str">
        <f t="shared" si="2"/>
        <v/>
      </c>
      <c r="H136" s="87"/>
      <c r="I136" s="87"/>
      <c r="J136" s="87"/>
    </row>
    <row r="137" spans="1:10">
      <c r="A137" s="2"/>
      <c r="B137" s="2"/>
      <c r="C137" s="120" t="str">
        <f>IF(B137="","",SUMIFS('S-BOM'!$D$3:$D994,'S-BOM'!$C$3:$C994,B137,'S-BOM'!$B$3:$B994,$B$2))</f>
        <v/>
      </c>
      <c r="D137" s="120" t="str">
        <f>IFERROR(IF(B137="","",VLOOKUP(B137,RM!$C$4:$F984,3,FALSE)),"")</f>
        <v/>
      </c>
      <c r="E137" s="118" t="str">
        <f>IF(B137="","",VLOOKUP(B137,RM!$C$4:$G984,14,FALSE))</f>
        <v/>
      </c>
      <c r="F137" s="87" t="str">
        <f t="shared" si="1"/>
        <v/>
      </c>
      <c r="G137" s="87" t="str">
        <f t="shared" si="2"/>
        <v/>
      </c>
      <c r="H137" s="87"/>
      <c r="I137" s="87"/>
      <c r="J137" s="87"/>
    </row>
    <row r="138" spans="1:10">
      <c r="A138" s="2"/>
      <c r="B138" s="2"/>
      <c r="C138" s="120" t="str">
        <f>IF(B138="","",SUMIFS('S-BOM'!$D$3:$D994,'S-BOM'!$C$3:$C994,B138,'S-BOM'!$B$3:$B994,$B$2))</f>
        <v/>
      </c>
      <c r="D138" s="120" t="str">
        <f>IFERROR(IF(B138="","",VLOOKUP(B138,RM!$C$4:$F984,3,FALSE)),"")</f>
        <v/>
      </c>
      <c r="E138" s="118" t="str">
        <f>IF(B138="","",VLOOKUP(B138,RM!$C$4:$G984,14,FALSE))</f>
        <v/>
      </c>
      <c r="F138" s="87" t="str">
        <f t="shared" si="1"/>
        <v/>
      </c>
      <c r="G138" s="87" t="str">
        <f t="shared" si="2"/>
        <v/>
      </c>
      <c r="H138" s="87"/>
      <c r="I138" s="87"/>
      <c r="J138" s="87"/>
    </row>
    <row r="139" spans="1:10">
      <c r="A139" s="2"/>
      <c r="B139" s="2"/>
      <c r="C139" s="120" t="str">
        <f>IF(B139="","",SUMIFS('S-BOM'!$D$3:$D994,'S-BOM'!$C$3:$C994,B139,'S-BOM'!$B$3:$B994,$B$2))</f>
        <v/>
      </c>
      <c r="D139" s="120" t="str">
        <f>IFERROR(IF(B139="","",VLOOKUP(B139,RM!$C$4:$F984,3,FALSE)),"")</f>
        <v/>
      </c>
      <c r="E139" s="118" t="str">
        <f>IF(B139="","",VLOOKUP(B139,RM!$C$4:$G984,14,FALSE))</f>
        <v/>
      </c>
      <c r="F139" s="87" t="str">
        <f t="shared" si="1"/>
        <v/>
      </c>
      <c r="G139" s="87" t="str">
        <f t="shared" si="2"/>
        <v/>
      </c>
      <c r="H139" s="87"/>
      <c r="I139" s="87"/>
      <c r="J139" s="87"/>
    </row>
    <row r="140" spans="1:10">
      <c r="A140" s="2"/>
      <c r="B140" s="2"/>
      <c r="C140" s="120" t="str">
        <f>IF(B140="","",SUMIFS('S-BOM'!$D$3:$D994,'S-BOM'!$C$3:$C994,B140,'S-BOM'!$B$3:$B994,$B$2))</f>
        <v/>
      </c>
      <c r="D140" s="120" t="str">
        <f>IFERROR(IF(B140="","",VLOOKUP(B140,RM!$C$4:$F984,3,FALSE)),"")</f>
        <v/>
      </c>
      <c r="E140" s="118" t="str">
        <f>IF(B140="","",VLOOKUP(B140,RM!$C$4:$G984,14,FALSE))</f>
        <v/>
      </c>
      <c r="F140" s="87" t="str">
        <f t="shared" si="1"/>
        <v/>
      </c>
      <c r="G140" s="87" t="str">
        <f t="shared" si="2"/>
        <v/>
      </c>
      <c r="H140" s="87"/>
      <c r="I140" s="87"/>
      <c r="J140" s="87"/>
    </row>
    <row r="141" spans="1:10">
      <c r="A141" s="2"/>
      <c r="B141" s="2"/>
      <c r="C141" s="120" t="str">
        <f>IF(B141="","",SUMIFS('S-BOM'!$D$3:$D994,'S-BOM'!$C$3:$C994,B141,'S-BOM'!$B$3:$B994,$B$2))</f>
        <v/>
      </c>
      <c r="D141" s="120" t="str">
        <f>IFERROR(IF(B141="","",VLOOKUP(B141,RM!$C$4:$F984,3,FALSE)),"")</f>
        <v/>
      </c>
      <c r="E141" s="118" t="str">
        <f>IF(B141="","",VLOOKUP(B141,RM!$C$4:$G984,14,FALSE))</f>
        <v/>
      </c>
      <c r="F141" s="87" t="str">
        <f t="shared" si="1"/>
        <v/>
      </c>
      <c r="G141" s="87" t="str">
        <f t="shared" si="2"/>
        <v/>
      </c>
      <c r="H141" s="87"/>
      <c r="I141" s="87"/>
      <c r="J141" s="87"/>
    </row>
    <row r="142" spans="1:10">
      <c r="A142" s="2"/>
      <c r="B142" s="2"/>
      <c r="C142" s="120" t="str">
        <f>IF(B142="","",SUMIFS('S-BOM'!$D$3:$D994,'S-BOM'!$C$3:$C994,B142,'S-BOM'!$B$3:$B994,$B$2))</f>
        <v/>
      </c>
      <c r="D142" s="120" t="str">
        <f>IFERROR(IF(B142="","",VLOOKUP(B142,RM!$C$4:$F984,3,FALSE)),"")</f>
        <v/>
      </c>
      <c r="E142" s="118" t="str">
        <f>IF(B142="","",VLOOKUP(B142,RM!$C$4:$G984,14,FALSE))</f>
        <v/>
      </c>
      <c r="F142" s="87" t="str">
        <f t="shared" si="1"/>
        <v/>
      </c>
      <c r="G142" s="87" t="str">
        <f t="shared" si="2"/>
        <v/>
      </c>
      <c r="H142" s="87"/>
      <c r="I142" s="87"/>
      <c r="J142" s="87"/>
    </row>
    <row r="143" spans="1:10">
      <c r="A143" s="2"/>
      <c r="B143" s="2"/>
      <c r="C143" s="120" t="str">
        <f>IF(B143="","",SUMIFS('S-BOM'!$D$3:$D994,'S-BOM'!$C$3:$C994,B143,'S-BOM'!$B$3:$B994,$B$2))</f>
        <v/>
      </c>
      <c r="D143" s="120" t="str">
        <f>IFERROR(IF(B143="","",VLOOKUP(B143,RM!$C$4:$F984,3,FALSE)),"")</f>
        <v/>
      </c>
      <c r="E143" s="118" t="str">
        <f>IF(B143="","",VLOOKUP(B143,RM!$C$4:$G984,14,FALSE))</f>
        <v/>
      </c>
      <c r="F143" s="87" t="str">
        <f t="shared" si="1"/>
        <v/>
      </c>
      <c r="G143" s="87" t="str">
        <f t="shared" si="2"/>
        <v/>
      </c>
      <c r="H143" s="87"/>
      <c r="I143" s="87"/>
      <c r="J143" s="87"/>
    </row>
    <row r="144" spans="1:10">
      <c r="A144" s="2"/>
      <c r="B144" s="2"/>
      <c r="C144" s="120" t="str">
        <f>IF(B144="","",SUMIFS('S-BOM'!$D$3:$D994,'S-BOM'!$C$3:$C994,B144,'S-BOM'!$B$3:$B994,$B$2))</f>
        <v/>
      </c>
      <c r="D144" s="120" t="str">
        <f>IFERROR(IF(B144="","",VLOOKUP(B144,RM!$C$4:$F984,3,FALSE)),"")</f>
        <v/>
      </c>
      <c r="E144" s="118" t="str">
        <f>IF(B144="","",VLOOKUP(B144,RM!$C$4:$G984,14,FALSE))</f>
        <v/>
      </c>
      <c r="F144" s="87" t="str">
        <f t="shared" si="1"/>
        <v/>
      </c>
      <c r="G144" s="87" t="str">
        <f t="shared" si="2"/>
        <v/>
      </c>
      <c r="H144" s="87"/>
      <c r="I144" s="87"/>
      <c r="J144" s="87"/>
    </row>
    <row r="145" spans="1:10">
      <c r="A145" s="2"/>
      <c r="B145" s="2"/>
      <c r="C145" s="120" t="str">
        <f>IF(B145="","",SUMIFS('S-BOM'!$D$3:$D994,'S-BOM'!$C$3:$C994,B145,'S-BOM'!$B$3:$B994,$B$2))</f>
        <v/>
      </c>
      <c r="D145" s="120" t="str">
        <f>IFERROR(IF(B145="","",VLOOKUP(B145,RM!$C$4:$F984,3,FALSE)),"")</f>
        <v/>
      </c>
      <c r="E145" s="118" t="str">
        <f>IF(B145="","",VLOOKUP(B145,RM!$C$4:$G984,14,FALSE))</f>
        <v/>
      </c>
      <c r="F145" s="87" t="str">
        <f t="shared" si="1"/>
        <v/>
      </c>
      <c r="G145" s="87" t="str">
        <f t="shared" si="2"/>
        <v/>
      </c>
      <c r="H145" s="87"/>
      <c r="I145" s="87"/>
      <c r="J145" s="87"/>
    </row>
    <row r="146" spans="1:10">
      <c r="A146" s="2"/>
      <c r="B146" s="2"/>
      <c r="C146" s="120" t="str">
        <f>IF(B146="","",SUMIFS('S-BOM'!$D$3:$D994,'S-BOM'!$C$3:$C994,B146,'S-BOM'!$B$3:$B994,$B$2))</f>
        <v/>
      </c>
      <c r="D146" s="120" t="str">
        <f>IFERROR(IF(B146="","",VLOOKUP(B146,RM!$C$4:$F984,3,FALSE)),"")</f>
        <v/>
      </c>
      <c r="E146" s="118" t="str">
        <f>IF(B146="","",VLOOKUP(B146,RM!$C$4:$G984,14,FALSE))</f>
        <v/>
      </c>
      <c r="F146" s="87" t="str">
        <f t="shared" si="1"/>
        <v/>
      </c>
      <c r="G146" s="87" t="str">
        <f t="shared" si="2"/>
        <v/>
      </c>
      <c r="H146" s="87"/>
      <c r="I146" s="87"/>
      <c r="J146" s="87"/>
    </row>
    <row r="147" spans="1:10">
      <c r="A147" s="2"/>
      <c r="B147" s="2"/>
      <c r="C147" s="120" t="str">
        <f>IF(B147="","",SUMIFS('S-BOM'!$D$3:$D994,'S-BOM'!$C$3:$C994,B147,'S-BOM'!$B$3:$B994,$B$2))</f>
        <v/>
      </c>
      <c r="D147" s="120" t="str">
        <f>IFERROR(IF(B147="","",VLOOKUP(B147,RM!$C$4:$F984,3,FALSE)),"")</f>
        <v/>
      </c>
      <c r="E147" s="118" t="str">
        <f>IF(B147="","",VLOOKUP(B147,RM!$C$4:$G984,14,FALSE))</f>
        <v/>
      </c>
      <c r="F147" s="87" t="str">
        <f t="shared" si="1"/>
        <v/>
      </c>
      <c r="G147" s="87" t="str">
        <f t="shared" si="2"/>
        <v/>
      </c>
      <c r="H147" s="87"/>
      <c r="I147" s="87"/>
      <c r="J147" s="87"/>
    </row>
    <row r="148" spans="1:10">
      <c r="A148" s="2"/>
      <c r="B148" s="2"/>
      <c r="C148" s="120" t="str">
        <f>IF(B148="","",SUMIFS('S-BOM'!$D$3:$D994,'S-BOM'!$C$3:$C994,B148,'S-BOM'!$B$3:$B994,$B$2))</f>
        <v/>
      </c>
      <c r="D148" s="120" t="str">
        <f>IFERROR(IF(B148="","",VLOOKUP(B148,RM!$C$4:$F984,3,FALSE)),"")</f>
        <v/>
      </c>
      <c r="E148" s="118" t="str">
        <f>IF(B148="","",VLOOKUP(B148,RM!$C$4:$G984,14,FALSE))</f>
        <v/>
      </c>
      <c r="F148" s="87" t="str">
        <f t="shared" si="1"/>
        <v/>
      </c>
      <c r="G148" s="87" t="str">
        <f t="shared" si="2"/>
        <v/>
      </c>
      <c r="H148" s="87"/>
      <c r="I148" s="87"/>
      <c r="J148" s="87"/>
    </row>
    <row r="149" spans="1:10">
      <c r="A149" s="2"/>
      <c r="B149" s="2"/>
      <c r="C149" s="120" t="str">
        <f>IF(B149="","",SUMIFS('S-BOM'!$D$3:$D994,'S-BOM'!$C$3:$C994,B149,'S-BOM'!$B$3:$B994,$B$2))</f>
        <v/>
      </c>
      <c r="D149" s="120" t="str">
        <f>IFERROR(IF(B149="","",VLOOKUP(B149,RM!$C$4:$F984,3,FALSE)),"")</f>
        <v/>
      </c>
      <c r="E149" s="118" t="str">
        <f>IF(B149="","",VLOOKUP(B149,RM!$C$4:$G984,14,FALSE))</f>
        <v/>
      </c>
      <c r="F149" s="87" t="str">
        <f t="shared" si="1"/>
        <v/>
      </c>
      <c r="G149" s="87" t="str">
        <f t="shared" si="2"/>
        <v/>
      </c>
      <c r="H149" s="87"/>
      <c r="I149" s="87"/>
      <c r="J149" s="87"/>
    </row>
    <row r="150" spans="1:10">
      <c r="A150" s="2"/>
      <c r="B150" s="2"/>
      <c r="C150" s="120" t="str">
        <f>IF(B150="","",SUMIFS('S-BOM'!$D$3:$D994,'S-BOM'!$C$3:$C994,B150,'S-BOM'!$B$3:$B994,$B$2))</f>
        <v/>
      </c>
      <c r="D150" s="120" t="str">
        <f>IFERROR(IF(B150="","",VLOOKUP(B150,RM!$C$4:$F984,3,FALSE)),"")</f>
        <v/>
      </c>
      <c r="E150" s="118" t="str">
        <f>IF(B150="","",VLOOKUP(B150,RM!$C$4:$G984,14,FALSE))</f>
        <v/>
      </c>
      <c r="F150" s="87" t="str">
        <f t="shared" si="1"/>
        <v/>
      </c>
      <c r="G150" s="87" t="str">
        <f t="shared" si="2"/>
        <v/>
      </c>
      <c r="H150" s="87"/>
      <c r="I150" s="87"/>
      <c r="J150" s="87"/>
    </row>
    <row r="151" spans="1:10">
      <c r="A151" s="2"/>
      <c r="B151" s="2"/>
      <c r="C151" s="120" t="str">
        <f>IF(B151="","",SUMIFS('S-BOM'!$D$3:$D994,'S-BOM'!$C$3:$C994,B151,'S-BOM'!$B$3:$B994,$B$2))</f>
        <v/>
      </c>
      <c r="D151" s="120" t="str">
        <f>IFERROR(IF(B151="","",VLOOKUP(B151,RM!$C$4:$F984,3,FALSE)),"")</f>
        <v/>
      </c>
      <c r="E151" s="118" t="str">
        <f>IF(B151="","",VLOOKUP(B151,RM!$C$4:$G984,14,FALSE))</f>
        <v/>
      </c>
      <c r="F151" s="87" t="str">
        <f t="shared" si="1"/>
        <v/>
      </c>
      <c r="G151" s="87" t="str">
        <f t="shared" si="2"/>
        <v/>
      </c>
      <c r="H151" s="87"/>
      <c r="I151" s="87"/>
      <c r="J151" s="87"/>
    </row>
    <row r="152" spans="1:10">
      <c r="A152" s="2"/>
      <c r="B152" s="2"/>
      <c r="C152" s="120" t="str">
        <f>IF(B152="","",SUMIFS('S-BOM'!$D$3:$D994,'S-BOM'!$C$3:$C994,B152,'S-BOM'!$B$3:$B994,$B$2))</f>
        <v/>
      </c>
      <c r="D152" s="120" t="str">
        <f>IFERROR(IF(B152="","",VLOOKUP(B152,RM!$C$4:$F984,3,FALSE)),"")</f>
        <v/>
      </c>
      <c r="E152" s="118" t="str">
        <f>IF(B152="","",VLOOKUP(B152,RM!$C$4:$G984,14,FALSE))</f>
        <v/>
      </c>
      <c r="F152" s="87" t="str">
        <f t="shared" si="1"/>
        <v/>
      </c>
      <c r="G152" s="87" t="str">
        <f t="shared" si="2"/>
        <v/>
      </c>
      <c r="H152" s="87"/>
      <c r="I152" s="87"/>
      <c r="J152" s="87"/>
    </row>
    <row r="153" spans="1:10">
      <c r="A153" s="2"/>
      <c r="B153" s="2"/>
      <c r="C153" s="120" t="str">
        <f>IF(B153="","",SUMIFS('S-BOM'!$D$3:$D994,'S-BOM'!$C$3:$C994,B153,'S-BOM'!$B$3:$B994,$B$2))</f>
        <v/>
      </c>
      <c r="D153" s="120" t="str">
        <f>IFERROR(IF(B153="","",VLOOKUP(B153,RM!$C$4:$F984,3,FALSE)),"")</f>
        <v/>
      </c>
      <c r="E153" s="118" t="str">
        <f>IF(B153="","",VLOOKUP(B153,RM!$C$4:$G984,14,FALSE))</f>
        <v/>
      </c>
      <c r="F153" s="87" t="str">
        <f t="shared" si="1"/>
        <v/>
      </c>
      <c r="G153" s="87" t="str">
        <f t="shared" si="2"/>
        <v/>
      </c>
      <c r="H153" s="87"/>
      <c r="I153" s="87"/>
      <c r="J153" s="87"/>
    </row>
    <row r="154" spans="1:10">
      <c r="A154" s="2"/>
      <c r="B154" s="2"/>
      <c r="C154" s="120" t="str">
        <f>IF(B154="","",SUMIFS('S-BOM'!$D$3:$D994,'S-BOM'!$C$3:$C994,B154,'S-BOM'!$B$3:$B994,$B$2))</f>
        <v/>
      </c>
      <c r="D154" s="120" t="str">
        <f>IFERROR(IF(B154="","",VLOOKUP(B154,RM!$C$4:$F984,3,FALSE)),"")</f>
        <v/>
      </c>
      <c r="E154" s="118" t="str">
        <f>IF(B154="","",VLOOKUP(B154,RM!$C$4:$G984,14,FALSE))</f>
        <v/>
      </c>
      <c r="F154" s="87" t="str">
        <f t="shared" si="1"/>
        <v/>
      </c>
      <c r="G154" s="87" t="str">
        <f t="shared" si="2"/>
        <v/>
      </c>
      <c r="H154" s="87"/>
      <c r="I154" s="87"/>
      <c r="J154" s="87"/>
    </row>
    <row r="155" spans="1:10">
      <c r="A155" s="2"/>
      <c r="B155" s="2"/>
      <c r="C155" s="120" t="str">
        <f>IF(B155="","",SUMIFS('S-BOM'!$D$3:$D994,'S-BOM'!$C$3:$C994,B155,'S-BOM'!$B$3:$B994,$B$2))</f>
        <v/>
      </c>
      <c r="D155" s="120" t="str">
        <f>IFERROR(IF(B155="","",VLOOKUP(B155,RM!$C$4:$F984,3,FALSE)),"")</f>
        <v/>
      </c>
      <c r="E155" s="118" t="str">
        <f>IF(B155="","",VLOOKUP(B155,RM!$C$4:$G984,14,FALSE))</f>
        <v/>
      </c>
      <c r="F155" s="87" t="str">
        <f t="shared" si="1"/>
        <v/>
      </c>
      <c r="G155" s="87" t="str">
        <f t="shared" si="2"/>
        <v/>
      </c>
      <c r="H155" s="87"/>
      <c r="I155" s="87"/>
      <c r="J155" s="87"/>
    </row>
    <row r="156" spans="1:10">
      <c r="A156" s="2"/>
      <c r="B156" s="2"/>
      <c r="C156" s="120" t="str">
        <f>IF(B156="","",SUMIFS('S-BOM'!$D$3:$D994,'S-BOM'!$C$3:$C994,B156,'S-BOM'!$B$3:$B994,$B$2))</f>
        <v/>
      </c>
      <c r="D156" s="120" t="str">
        <f>IFERROR(IF(B156="","",VLOOKUP(B156,RM!$C$4:$F984,3,FALSE)),"")</f>
        <v/>
      </c>
      <c r="E156" s="118" t="str">
        <f>IF(B156="","",VLOOKUP(B156,RM!$C$4:$G984,14,FALSE))</f>
        <v/>
      </c>
      <c r="F156" s="87" t="str">
        <f t="shared" si="1"/>
        <v/>
      </c>
      <c r="G156" s="87" t="str">
        <f t="shared" si="2"/>
        <v/>
      </c>
      <c r="H156" s="87"/>
      <c r="I156" s="87"/>
      <c r="J156" s="87"/>
    </row>
    <row r="157" spans="1:10">
      <c r="A157" s="2"/>
      <c r="B157" s="2"/>
      <c r="C157" s="120" t="str">
        <f>IF(B157="","",SUMIFS('S-BOM'!$D$3:$D994,'S-BOM'!$C$3:$C994,B157,'S-BOM'!$B$3:$B994,$B$2))</f>
        <v/>
      </c>
      <c r="D157" s="120" t="str">
        <f>IFERROR(IF(B157="","",VLOOKUP(B157,RM!$C$4:$F984,3,FALSE)),"")</f>
        <v/>
      </c>
      <c r="E157" s="118" t="str">
        <f>IF(B157="","",VLOOKUP(B157,RM!$C$4:$G984,14,FALSE))</f>
        <v/>
      </c>
      <c r="F157" s="87" t="str">
        <f t="shared" si="1"/>
        <v/>
      </c>
      <c r="G157" s="87" t="str">
        <f t="shared" si="2"/>
        <v/>
      </c>
      <c r="H157" s="87"/>
      <c r="I157" s="87"/>
      <c r="J157" s="87"/>
    </row>
    <row r="158" spans="1:10">
      <c r="A158" s="2"/>
      <c r="B158" s="2"/>
      <c r="C158" s="120" t="str">
        <f>IF(B158="","",SUMIFS('S-BOM'!$D$3:$D994,'S-BOM'!$C$3:$C994,B158,'S-BOM'!$B$3:$B994,$B$2))</f>
        <v/>
      </c>
      <c r="D158" s="120" t="str">
        <f>IFERROR(IF(B158="","",VLOOKUP(B158,RM!$C$4:$F984,3,FALSE)),"")</f>
        <v/>
      </c>
      <c r="E158" s="118" t="str">
        <f>IF(B158="","",VLOOKUP(B158,RM!$C$4:$G984,14,FALSE))</f>
        <v/>
      </c>
      <c r="F158" s="87" t="str">
        <f t="shared" si="1"/>
        <v/>
      </c>
      <c r="G158" s="87" t="str">
        <f t="shared" si="2"/>
        <v/>
      </c>
      <c r="H158" s="87"/>
      <c r="I158" s="87"/>
      <c r="J158" s="87"/>
    </row>
    <row r="159" spans="1:10">
      <c r="A159" s="2"/>
      <c r="B159" s="2"/>
      <c r="C159" s="120" t="str">
        <f>IF(B159="","",SUMIFS('S-BOM'!$D$3:$D994,'S-BOM'!$C$3:$C994,B159,'S-BOM'!$B$3:$B994,$B$2))</f>
        <v/>
      </c>
      <c r="D159" s="120" t="str">
        <f>IFERROR(IF(B159="","",VLOOKUP(B159,RM!$C$4:$F984,3,FALSE)),"")</f>
        <v/>
      </c>
      <c r="E159" s="118" t="str">
        <f>IF(B159="","",VLOOKUP(B159,RM!$C$4:$G984,14,FALSE))</f>
        <v/>
      </c>
      <c r="F159" s="87" t="str">
        <f t="shared" si="1"/>
        <v/>
      </c>
      <c r="G159" s="87" t="str">
        <f t="shared" si="2"/>
        <v/>
      </c>
      <c r="H159" s="87"/>
      <c r="I159" s="87"/>
      <c r="J159" s="87"/>
    </row>
    <row r="160" spans="1:10">
      <c r="A160" s="2"/>
      <c r="B160" s="2"/>
      <c r="C160" s="120" t="str">
        <f>IF(B160="","",SUMIFS('S-BOM'!$D$3:$D994,'S-BOM'!$C$3:$C994,B160,'S-BOM'!$B$3:$B994,$B$2))</f>
        <v/>
      </c>
      <c r="D160" s="120" t="str">
        <f>IFERROR(IF(B160="","",VLOOKUP(B160,RM!$C$4:$F984,3,FALSE)),"")</f>
        <v/>
      </c>
      <c r="E160" s="118" t="str">
        <f>IF(B160="","",VLOOKUP(B160,RM!$C$4:$G984,14,FALSE))</f>
        <v/>
      </c>
      <c r="F160" s="87" t="str">
        <f t="shared" si="1"/>
        <v/>
      </c>
      <c r="G160" s="87" t="str">
        <f t="shared" si="2"/>
        <v/>
      </c>
      <c r="H160" s="87"/>
      <c r="I160" s="87"/>
      <c r="J160" s="87"/>
    </row>
    <row r="161" spans="1:10">
      <c r="A161" s="2"/>
      <c r="B161" s="2"/>
      <c r="C161" s="120" t="str">
        <f>IF(B161="","",SUMIFS('S-BOM'!$D$3:$D994,'S-BOM'!$C$3:$C994,B161,'S-BOM'!$B$3:$B994,$B$2))</f>
        <v/>
      </c>
      <c r="D161" s="120" t="str">
        <f>IFERROR(IF(B161="","",VLOOKUP(B161,RM!$C$4:$F984,3,FALSE)),"")</f>
        <v/>
      </c>
      <c r="E161" s="118" t="str">
        <f>IF(B161="","",VLOOKUP(B161,RM!$C$4:$G984,14,FALSE))</f>
        <v/>
      </c>
      <c r="F161" s="87" t="str">
        <f t="shared" si="1"/>
        <v/>
      </c>
      <c r="G161" s="87" t="str">
        <f t="shared" si="2"/>
        <v/>
      </c>
      <c r="H161" s="87"/>
      <c r="I161" s="87"/>
      <c r="J161" s="87"/>
    </row>
    <row r="162" spans="1:10">
      <c r="A162" s="2"/>
      <c r="B162" s="2"/>
      <c r="C162" s="120" t="str">
        <f>IF(B162="","",SUMIFS('S-BOM'!$D$3:$D994,'S-BOM'!$C$3:$C994,B162,'S-BOM'!$B$3:$B994,$B$2))</f>
        <v/>
      </c>
      <c r="D162" s="120" t="str">
        <f>IFERROR(IF(B162="","",VLOOKUP(B162,RM!$C$4:$F984,3,FALSE)),"")</f>
        <v/>
      </c>
      <c r="E162" s="118" t="str">
        <f>IF(B162="","",VLOOKUP(B162,RM!$C$4:$G984,14,FALSE))</f>
        <v/>
      </c>
      <c r="F162" s="87" t="str">
        <f t="shared" si="1"/>
        <v/>
      </c>
      <c r="G162" s="87" t="str">
        <f t="shared" si="2"/>
        <v/>
      </c>
      <c r="H162" s="87"/>
      <c r="I162" s="87"/>
      <c r="J162" s="87"/>
    </row>
    <row r="163" spans="1:10">
      <c r="A163" s="2"/>
      <c r="B163" s="2"/>
      <c r="C163" s="120" t="str">
        <f>IF(B163="","",SUMIFS('S-BOM'!$D$3:$D994,'S-BOM'!$C$3:$C994,B163,'S-BOM'!$B$3:$B994,$B$2))</f>
        <v/>
      </c>
      <c r="D163" s="120" t="str">
        <f>IFERROR(IF(B163="","",VLOOKUP(B163,RM!$C$4:$F984,3,FALSE)),"")</f>
        <v/>
      </c>
      <c r="E163" s="118" t="str">
        <f>IF(B163="","",VLOOKUP(B163,RM!$C$4:$G984,14,FALSE))</f>
        <v/>
      </c>
      <c r="F163" s="87" t="str">
        <f t="shared" si="1"/>
        <v/>
      </c>
      <c r="G163" s="87" t="str">
        <f t="shared" si="2"/>
        <v/>
      </c>
      <c r="H163" s="87"/>
      <c r="I163" s="87"/>
      <c r="J163" s="87"/>
    </row>
    <row r="164" spans="1:10">
      <c r="A164" s="2"/>
      <c r="B164" s="2"/>
      <c r="C164" s="120" t="str">
        <f>IF(B164="","",SUMIFS('S-BOM'!$D$3:$D994,'S-BOM'!$C$3:$C994,B164,'S-BOM'!$B$3:$B994,$B$2))</f>
        <v/>
      </c>
      <c r="D164" s="120" t="str">
        <f>IFERROR(IF(B164="","",VLOOKUP(B164,RM!$C$4:$F984,3,FALSE)),"")</f>
        <v/>
      </c>
      <c r="E164" s="118" t="str">
        <f>IF(B164="","",VLOOKUP(B164,RM!$C$4:$G984,14,FALSE))</f>
        <v/>
      </c>
      <c r="F164" s="87" t="str">
        <f t="shared" si="1"/>
        <v/>
      </c>
      <c r="G164" s="87" t="str">
        <f t="shared" si="2"/>
        <v/>
      </c>
      <c r="H164" s="87"/>
      <c r="I164" s="87"/>
      <c r="J164" s="87"/>
    </row>
    <row r="165" spans="1:10">
      <c r="A165" s="2"/>
      <c r="B165" s="2"/>
      <c r="C165" s="120" t="str">
        <f>IF(B165="","",SUMIFS('S-BOM'!$D$3:$D994,'S-BOM'!$C$3:$C994,B165,'S-BOM'!$B$3:$B994,$B$2))</f>
        <v/>
      </c>
      <c r="D165" s="120" t="str">
        <f>IFERROR(IF(B165="","",VLOOKUP(B165,RM!$C$4:$F984,3,FALSE)),"")</f>
        <v/>
      </c>
      <c r="E165" s="118" t="str">
        <f>IF(B165="","",VLOOKUP(B165,RM!$C$4:$G984,14,FALSE))</f>
        <v/>
      </c>
      <c r="F165" s="87" t="str">
        <f t="shared" si="1"/>
        <v/>
      </c>
      <c r="G165" s="87" t="str">
        <f t="shared" si="2"/>
        <v/>
      </c>
      <c r="H165" s="87"/>
      <c r="I165" s="87"/>
      <c r="J165" s="87"/>
    </row>
    <row r="166" spans="1:10">
      <c r="A166" s="2"/>
      <c r="B166" s="2"/>
      <c r="C166" s="120" t="str">
        <f>IF(B166="","",SUMIFS('S-BOM'!$D$3:$D994,'S-BOM'!$C$3:$C994,B166,'S-BOM'!$B$3:$B994,$B$2))</f>
        <v/>
      </c>
      <c r="D166" s="120" t="str">
        <f>IFERROR(IF(B166="","",VLOOKUP(B166,RM!$C$4:$F984,3,FALSE)),"")</f>
        <v/>
      </c>
      <c r="E166" s="118" t="str">
        <f>IF(B166="","",VLOOKUP(B166,RM!$C$4:$G984,14,FALSE))</f>
        <v/>
      </c>
      <c r="F166" s="87" t="str">
        <f t="shared" si="1"/>
        <v/>
      </c>
      <c r="G166" s="87" t="str">
        <f t="shared" si="2"/>
        <v/>
      </c>
      <c r="H166" s="87"/>
      <c r="I166" s="87"/>
      <c r="J166" s="87"/>
    </row>
    <row r="167" spans="1:10">
      <c r="A167" s="2"/>
      <c r="B167" s="2"/>
      <c r="C167" s="120" t="str">
        <f>IF(B167="","",SUMIFS('S-BOM'!$D$3:$D994,'S-BOM'!$C$3:$C994,B167,'S-BOM'!$B$3:$B994,$B$2))</f>
        <v/>
      </c>
      <c r="D167" s="120" t="str">
        <f>IFERROR(IF(B167="","",VLOOKUP(B167,RM!$C$4:$F984,3,FALSE)),"")</f>
        <v/>
      </c>
      <c r="E167" s="118" t="str">
        <f>IF(B167="","",VLOOKUP(B167,RM!$C$4:$G984,14,FALSE))</f>
        <v/>
      </c>
      <c r="F167" s="87" t="str">
        <f t="shared" si="1"/>
        <v/>
      </c>
      <c r="G167" s="87" t="str">
        <f t="shared" si="2"/>
        <v/>
      </c>
      <c r="H167" s="87"/>
      <c r="I167" s="87"/>
      <c r="J167" s="87"/>
    </row>
    <row r="168" spans="1:10">
      <c r="A168" s="2"/>
      <c r="B168" s="2"/>
      <c r="C168" s="120" t="str">
        <f>IF(B168="","",SUMIFS('S-BOM'!$D$3:$D994,'S-BOM'!$C$3:$C994,B168,'S-BOM'!$B$3:$B994,$B$2))</f>
        <v/>
      </c>
      <c r="D168" s="120" t="str">
        <f>IFERROR(IF(B168="","",VLOOKUP(B168,RM!$C$4:$F984,3,FALSE)),"")</f>
        <v/>
      </c>
      <c r="E168" s="118" t="str">
        <f>IF(B168="","",VLOOKUP(B168,RM!$C$4:$G984,14,FALSE))</f>
        <v/>
      </c>
      <c r="F168" s="87" t="str">
        <f t="shared" si="1"/>
        <v/>
      </c>
      <c r="G168" s="87" t="str">
        <f t="shared" si="2"/>
        <v/>
      </c>
      <c r="H168" s="87"/>
      <c r="I168" s="87"/>
      <c r="J168" s="87"/>
    </row>
    <row r="169" spans="1:10">
      <c r="A169" s="2"/>
      <c r="B169" s="2"/>
      <c r="C169" s="120" t="str">
        <f>IF(B169="","",SUMIFS('S-BOM'!$D$3:$D994,'S-BOM'!$C$3:$C994,B169,'S-BOM'!$B$3:$B994,$B$2))</f>
        <v/>
      </c>
      <c r="D169" s="120" t="str">
        <f>IFERROR(IF(B169="","",VLOOKUP(B169,RM!$C$4:$F984,3,FALSE)),"")</f>
        <v/>
      </c>
      <c r="E169" s="118" t="str">
        <f>IF(B169="","",VLOOKUP(B169,RM!$C$4:$G984,14,FALSE))</f>
        <v/>
      </c>
      <c r="F169" s="87" t="str">
        <f t="shared" si="1"/>
        <v/>
      </c>
      <c r="G169" s="87" t="str">
        <f t="shared" si="2"/>
        <v/>
      </c>
      <c r="H169" s="87"/>
      <c r="I169" s="87"/>
      <c r="J169" s="87"/>
    </row>
    <row r="170" spans="1:10">
      <c r="A170" s="2"/>
      <c r="B170" s="2"/>
      <c r="C170" s="120" t="str">
        <f>IF(B170="","",SUMIFS('S-BOM'!$D$3:$D994,'S-BOM'!$C$3:$C994,B170,'S-BOM'!$B$3:$B994,$B$2))</f>
        <v/>
      </c>
      <c r="D170" s="120" t="str">
        <f>IFERROR(IF(B170="","",VLOOKUP(B170,RM!$C$4:$F984,3,FALSE)),"")</f>
        <v/>
      </c>
      <c r="E170" s="118" t="str">
        <f>IF(B170="","",VLOOKUP(B170,RM!$C$4:$G984,14,FALSE))</f>
        <v/>
      </c>
      <c r="F170" s="87" t="str">
        <f t="shared" si="1"/>
        <v/>
      </c>
      <c r="G170" s="87" t="str">
        <f t="shared" si="2"/>
        <v/>
      </c>
      <c r="H170" s="87"/>
      <c r="I170" s="87"/>
      <c r="J170" s="87"/>
    </row>
    <row r="171" spans="1:10">
      <c r="A171" s="2"/>
      <c r="B171" s="2"/>
      <c r="C171" s="120" t="str">
        <f>IF(B171="","",SUMIFS('S-BOM'!$D$3:$D994,'S-BOM'!$C$3:$C994,B171,'S-BOM'!$B$3:$B994,$B$2))</f>
        <v/>
      </c>
      <c r="D171" s="120" t="str">
        <f>IFERROR(IF(B171="","",VLOOKUP(B171,RM!$C$4:$F984,3,FALSE)),"")</f>
        <v/>
      </c>
      <c r="E171" s="118" t="str">
        <f>IF(B171="","",VLOOKUP(B171,RM!$C$4:$G984,14,FALSE))</f>
        <v/>
      </c>
      <c r="F171" s="87" t="str">
        <f t="shared" si="1"/>
        <v/>
      </c>
      <c r="G171" s="87" t="str">
        <f t="shared" si="2"/>
        <v/>
      </c>
      <c r="H171" s="87"/>
      <c r="I171" s="87"/>
      <c r="J171" s="87"/>
    </row>
    <row r="172" spans="1:10">
      <c r="A172" s="2"/>
      <c r="B172" s="2"/>
      <c r="C172" s="120" t="str">
        <f>IF(B172="","",SUMIFS('S-BOM'!$D$3:$D994,'S-BOM'!$C$3:$C994,B172,'S-BOM'!$B$3:$B994,$B$2))</f>
        <v/>
      </c>
      <c r="D172" s="120" t="str">
        <f>IFERROR(IF(B172="","",VLOOKUP(B172,RM!$C$4:$F984,3,FALSE)),"")</f>
        <v/>
      </c>
      <c r="E172" s="118" t="str">
        <f>IF(B172="","",VLOOKUP(B172,RM!$C$4:$G984,14,FALSE))</f>
        <v/>
      </c>
      <c r="F172" s="87" t="str">
        <f t="shared" si="1"/>
        <v/>
      </c>
      <c r="G172" s="87" t="str">
        <f t="shared" si="2"/>
        <v/>
      </c>
      <c r="H172" s="87"/>
      <c r="I172" s="87"/>
      <c r="J172" s="87"/>
    </row>
    <row r="173" spans="1:10">
      <c r="A173" s="2"/>
      <c r="B173" s="2"/>
      <c r="C173" s="120" t="str">
        <f>IF(B173="","",SUMIFS('S-BOM'!$D$3:$D994,'S-BOM'!$C$3:$C994,B173,'S-BOM'!$B$3:$B994,$B$2))</f>
        <v/>
      </c>
      <c r="D173" s="120" t="str">
        <f>IFERROR(IF(B173="","",VLOOKUP(B173,RM!$C$4:$F984,3,FALSE)),"")</f>
        <v/>
      </c>
      <c r="E173" s="118" t="str">
        <f>IF(B173="","",VLOOKUP(B173,RM!$C$4:$G984,14,FALSE))</f>
        <v/>
      </c>
      <c r="F173" s="87" t="str">
        <f t="shared" si="1"/>
        <v/>
      </c>
      <c r="G173" s="87" t="str">
        <f t="shared" si="2"/>
        <v/>
      </c>
      <c r="H173" s="87"/>
      <c r="I173" s="87"/>
      <c r="J173" s="87"/>
    </row>
    <row r="174" spans="1:10">
      <c r="A174" s="2"/>
      <c r="B174" s="2"/>
      <c r="C174" s="120" t="str">
        <f>IF(B174="","",SUMIFS('S-BOM'!$D$3:$D994,'S-BOM'!$C$3:$C994,B174,'S-BOM'!$B$3:$B994,$B$2))</f>
        <v/>
      </c>
      <c r="D174" s="120" t="str">
        <f>IFERROR(IF(B174="","",VLOOKUP(B174,RM!$C$4:$F984,3,FALSE)),"")</f>
        <v/>
      </c>
      <c r="E174" s="118" t="str">
        <f>IF(B174="","",VLOOKUP(B174,RM!$C$4:$G984,14,FALSE))</f>
        <v/>
      </c>
      <c r="F174" s="87" t="str">
        <f t="shared" si="1"/>
        <v/>
      </c>
      <c r="G174" s="87" t="str">
        <f t="shared" si="2"/>
        <v/>
      </c>
      <c r="H174" s="87"/>
      <c r="I174" s="87"/>
      <c r="J174" s="87"/>
    </row>
    <row r="175" spans="1:10">
      <c r="A175" s="2"/>
      <c r="B175" s="2"/>
      <c r="C175" s="120" t="str">
        <f>IF(B175="","",SUMIFS('S-BOM'!$D$3:$D994,'S-BOM'!$C$3:$C994,B175,'S-BOM'!$B$3:$B994,$B$2))</f>
        <v/>
      </c>
      <c r="D175" s="120" t="str">
        <f>IFERROR(IF(B175="","",VLOOKUP(B175,RM!$C$4:$F984,3,FALSE)),"")</f>
        <v/>
      </c>
      <c r="E175" s="118" t="str">
        <f>IF(B175="","",VLOOKUP(B175,RM!$C$4:$G984,14,FALSE))</f>
        <v/>
      </c>
      <c r="F175" s="87" t="str">
        <f t="shared" si="1"/>
        <v/>
      </c>
      <c r="G175" s="87" t="str">
        <f t="shared" si="2"/>
        <v/>
      </c>
      <c r="H175" s="87"/>
      <c r="I175" s="87"/>
      <c r="J175" s="87"/>
    </row>
    <row r="176" spans="1:10">
      <c r="A176" s="2"/>
      <c r="B176" s="2"/>
      <c r="C176" s="120" t="str">
        <f>IF(B176="","",SUMIFS('S-BOM'!$D$3:$D994,'S-BOM'!$C$3:$C994,B176,'S-BOM'!$B$3:$B994,$B$2))</f>
        <v/>
      </c>
      <c r="D176" s="120" t="str">
        <f>IFERROR(IF(B176="","",VLOOKUP(B176,RM!$C$4:$F984,3,FALSE)),"")</f>
        <v/>
      </c>
      <c r="E176" s="118" t="str">
        <f>IF(B176="","",VLOOKUP(B176,RM!$C$4:$G984,14,FALSE))</f>
        <v/>
      </c>
      <c r="F176" s="87" t="str">
        <f t="shared" si="1"/>
        <v/>
      </c>
      <c r="G176" s="87" t="str">
        <f t="shared" si="2"/>
        <v/>
      </c>
      <c r="H176" s="87"/>
      <c r="I176" s="87"/>
      <c r="J176" s="87"/>
    </row>
    <row r="177" spans="1:10">
      <c r="A177" s="2"/>
      <c r="B177" s="2"/>
      <c r="C177" s="120" t="str">
        <f>IF(B177="","",SUMIFS('S-BOM'!$D$3:$D994,'S-BOM'!$C$3:$C994,B177,'S-BOM'!$B$3:$B994,$B$2))</f>
        <v/>
      </c>
      <c r="D177" s="120" t="str">
        <f>IFERROR(IF(B177="","",VLOOKUP(B177,RM!$C$4:$F984,3,FALSE)),"")</f>
        <v/>
      </c>
      <c r="E177" s="118" t="str">
        <f>IF(B177="","",VLOOKUP(B177,RM!$C$4:$G984,14,FALSE))</f>
        <v/>
      </c>
      <c r="F177" s="87" t="str">
        <f t="shared" si="1"/>
        <v/>
      </c>
      <c r="G177" s="87" t="str">
        <f t="shared" si="2"/>
        <v/>
      </c>
      <c r="H177" s="87"/>
      <c r="I177" s="87"/>
      <c r="J177" s="87"/>
    </row>
    <row r="178" spans="1:10">
      <c r="A178" s="2"/>
      <c r="B178" s="2"/>
      <c r="C178" s="120" t="str">
        <f>IF(B178="","",SUMIFS('S-BOM'!$D$3:$D994,'S-BOM'!$C$3:$C994,B178,'S-BOM'!$B$3:$B994,$B$2))</f>
        <v/>
      </c>
      <c r="D178" s="120" t="str">
        <f>IFERROR(IF(B178="","",VLOOKUP(B178,RM!$C$4:$F984,3,FALSE)),"")</f>
        <v/>
      </c>
      <c r="E178" s="118" t="str">
        <f>IF(B178="","",VLOOKUP(B178,RM!$C$4:$G984,14,FALSE))</f>
        <v/>
      </c>
      <c r="F178" s="87" t="str">
        <f t="shared" si="1"/>
        <v/>
      </c>
      <c r="G178" s="87" t="str">
        <f t="shared" si="2"/>
        <v/>
      </c>
      <c r="H178" s="87"/>
      <c r="I178" s="87"/>
      <c r="J178" s="87"/>
    </row>
    <row r="179" spans="1:10">
      <c r="A179" s="2"/>
      <c r="B179" s="2"/>
      <c r="C179" s="120" t="str">
        <f>IF(B179="","",SUMIFS('S-BOM'!$D$3:$D994,'S-BOM'!$C$3:$C994,B179,'S-BOM'!$B$3:$B994,$B$2))</f>
        <v/>
      </c>
      <c r="D179" s="120" t="str">
        <f>IFERROR(IF(B179="","",VLOOKUP(B179,RM!$C$4:$F984,3,FALSE)),"")</f>
        <v/>
      </c>
      <c r="E179" s="118" t="str">
        <f>IF(B179="","",VLOOKUP(B179,RM!$C$4:$G984,14,FALSE))</f>
        <v/>
      </c>
      <c r="F179" s="87" t="str">
        <f t="shared" si="1"/>
        <v/>
      </c>
      <c r="G179" s="87" t="str">
        <f t="shared" si="2"/>
        <v/>
      </c>
      <c r="H179" s="87"/>
      <c r="I179" s="87"/>
      <c r="J179" s="87"/>
    </row>
    <row r="180" spans="1:10">
      <c r="A180" s="2"/>
      <c r="B180" s="2"/>
      <c r="C180" s="120" t="str">
        <f>IF(B180="","",SUMIFS('S-BOM'!$D$3:$D994,'S-BOM'!$C$3:$C994,B180,'S-BOM'!$B$3:$B994,$B$2))</f>
        <v/>
      </c>
      <c r="D180" s="120" t="str">
        <f>IFERROR(IF(B180="","",VLOOKUP(B180,RM!$C$4:$F984,3,FALSE)),"")</f>
        <v/>
      </c>
      <c r="E180" s="118" t="str">
        <f>IF(B180="","",VLOOKUP(B180,RM!$C$4:$G984,14,FALSE))</f>
        <v/>
      </c>
      <c r="F180" s="87" t="str">
        <f t="shared" si="1"/>
        <v/>
      </c>
      <c r="G180" s="87" t="str">
        <f t="shared" si="2"/>
        <v/>
      </c>
      <c r="H180" s="87"/>
      <c r="I180" s="87"/>
      <c r="J180" s="87"/>
    </row>
    <row r="181" spans="1:10">
      <c r="A181" s="2"/>
      <c r="B181" s="2"/>
      <c r="C181" s="120" t="str">
        <f>IF(B181="","",SUMIFS('S-BOM'!$D$3:$D994,'S-BOM'!$C$3:$C994,B181,'S-BOM'!$B$3:$B994,$B$2))</f>
        <v/>
      </c>
      <c r="D181" s="120" t="str">
        <f>IFERROR(IF(B181="","",VLOOKUP(B181,RM!$C$4:$F984,3,FALSE)),"")</f>
        <v/>
      </c>
      <c r="E181" s="118" t="str">
        <f>IF(B181="","",VLOOKUP(B181,RM!$C$4:$G984,14,FALSE))</f>
        <v/>
      </c>
      <c r="F181" s="87" t="str">
        <f t="shared" si="1"/>
        <v/>
      </c>
      <c r="G181" s="87" t="str">
        <f t="shared" si="2"/>
        <v/>
      </c>
      <c r="H181" s="87"/>
      <c r="I181" s="87"/>
      <c r="J181" s="87"/>
    </row>
    <row r="182" spans="1:10">
      <c r="A182" s="2"/>
      <c r="B182" s="2"/>
      <c r="C182" s="120" t="str">
        <f>IF(B182="","",SUMIFS('S-BOM'!$D$3:$D994,'S-BOM'!$C$3:$C994,B182,'S-BOM'!$B$3:$B994,$B$2))</f>
        <v/>
      </c>
      <c r="D182" s="120" t="str">
        <f>IFERROR(IF(B182="","",VLOOKUP(B182,RM!$C$4:$F984,3,FALSE)),"")</f>
        <v/>
      </c>
      <c r="E182" s="118" t="str">
        <f>IF(B182="","",VLOOKUP(B182,RM!$C$4:$G984,14,FALSE))</f>
        <v/>
      </c>
      <c r="F182" s="87" t="str">
        <f t="shared" si="1"/>
        <v/>
      </c>
      <c r="G182" s="87" t="str">
        <f t="shared" si="2"/>
        <v/>
      </c>
      <c r="H182" s="87"/>
      <c r="I182" s="87"/>
      <c r="J182" s="87"/>
    </row>
    <row r="183" spans="1:10">
      <c r="A183" s="2"/>
      <c r="B183" s="2"/>
      <c r="C183" s="120" t="str">
        <f>IF(B183="","",SUMIFS('S-BOM'!$D$3:$D994,'S-BOM'!$C$3:$C994,B183,'S-BOM'!$B$3:$B994,$B$2))</f>
        <v/>
      </c>
      <c r="D183" s="120" t="str">
        <f>IFERROR(IF(B183="","",VLOOKUP(B183,RM!$C$4:$F984,3,FALSE)),"")</f>
        <v/>
      </c>
      <c r="E183" s="118" t="str">
        <f>IF(B183="","",VLOOKUP(B183,RM!$C$4:$G984,14,FALSE))</f>
        <v/>
      </c>
      <c r="F183" s="87" t="str">
        <f t="shared" si="1"/>
        <v/>
      </c>
      <c r="G183" s="87" t="str">
        <f t="shared" si="2"/>
        <v/>
      </c>
      <c r="H183" s="87"/>
      <c r="I183" s="87"/>
      <c r="J183" s="87"/>
    </row>
    <row r="184" spans="1:10">
      <c r="A184" s="2"/>
      <c r="B184" s="2"/>
      <c r="C184" s="120" t="str">
        <f>IF(B184="","",SUMIFS('S-BOM'!$D$3:$D994,'S-BOM'!$C$3:$C994,B184,'S-BOM'!$B$3:$B994,$B$2))</f>
        <v/>
      </c>
      <c r="D184" s="120" t="str">
        <f>IFERROR(IF(B184="","",VLOOKUP(B184,RM!$C$4:$F984,3,FALSE)),"")</f>
        <v/>
      </c>
      <c r="E184" s="118" t="str">
        <f>IF(B184="","",VLOOKUP(B184,RM!$C$4:$G984,14,FALSE))</f>
        <v/>
      </c>
      <c r="F184" s="87" t="str">
        <f t="shared" si="1"/>
        <v/>
      </c>
      <c r="G184" s="87" t="str">
        <f t="shared" si="2"/>
        <v/>
      </c>
      <c r="H184" s="87"/>
      <c r="I184" s="87"/>
      <c r="J184" s="87"/>
    </row>
    <row r="185" spans="1:10">
      <c r="A185" s="2"/>
      <c r="B185" s="2"/>
      <c r="C185" s="120" t="str">
        <f>IF(B185="","",SUMIFS('S-BOM'!$D$3:$D994,'S-BOM'!$C$3:$C994,B185,'S-BOM'!$B$3:$B994,$B$2))</f>
        <v/>
      </c>
      <c r="D185" s="120" t="str">
        <f>IFERROR(IF(B185="","",VLOOKUP(B185,RM!$C$4:$F984,3,FALSE)),"")</f>
        <v/>
      </c>
      <c r="E185" s="118" t="str">
        <f>IF(B185="","",VLOOKUP(B185,RM!$C$4:$G984,14,FALSE))</f>
        <v/>
      </c>
      <c r="F185" s="87" t="str">
        <f t="shared" si="1"/>
        <v/>
      </c>
      <c r="G185" s="87" t="str">
        <f t="shared" si="2"/>
        <v/>
      </c>
      <c r="H185" s="87"/>
      <c r="I185" s="87"/>
      <c r="J185" s="87"/>
    </row>
    <row r="186" spans="1:10">
      <c r="A186" s="2"/>
      <c r="B186" s="2"/>
      <c r="C186" s="120" t="str">
        <f>IF(B186="","",SUMIFS('S-BOM'!$D$3:$D994,'S-BOM'!$C$3:$C994,B186,'S-BOM'!$B$3:$B994,$B$2))</f>
        <v/>
      </c>
      <c r="D186" s="120" t="str">
        <f>IFERROR(IF(B186="","",VLOOKUP(B186,RM!$C$4:$F984,3,FALSE)),"")</f>
        <v/>
      </c>
      <c r="E186" s="118" t="str">
        <f>IF(B186="","",VLOOKUP(B186,RM!$C$4:$G984,14,FALSE))</f>
        <v/>
      </c>
      <c r="F186" s="87" t="str">
        <f t="shared" si="1"/>
        <v/>
      </c>
      <c r="G186" s="87" t="str">
        <f t="shared" si="2"/>
        <v/>
      </c>
      <c r="H186" s="87"/>
      <c r="I186" s="87"/>
      <c r="J186" s="87"/>
    </row>
    <row r="187" spans="1:10">
      <c r="A187" s="2"/>
      <c r="B187" s="2"/>
      <c r="C187" s="120" t="str">
        <f>IF(B187="","",SUMIFS('S-BOM'!$D$3:$D994,'S-BOM'!$C$3:$C994,B187,'S-BOM'!$B$3:$B994,$B$2))</f>
        <v/>
      </c>
      <c r="D187" s="120" t="str">
        <f>IFERROR(IF(B187="","",VLOOKUP(B187,RM!$C$4:$F984,3,FALSE)),"")</f>
        <v/>
      </c>
      <c r="E187" s="118" t="str">
        <f>IF(B187="","",VLOOKUP(B187,RM!$C$4:$G984,14,FALSE))</f>
        <v/>
      </c>
      <c r="F187" s="87" t="str">
        <f t="shared" si="1"/>
        <v/>
      </c>
      <c r="G187" s="87" t="str">
        <f t="shared" si="2"/>
        <v/>
      </c>
      <c r="H187" s="87"/>
      <c r="I187" s="87"/>
      <c r="J187" s="87"/>
    </row>
    <row r="188" spans="1:10">
      <c r="A188" s="2"/>
      <c r="B188" s="2"/>
      <c r="C188" s="120" t="str">
        <f>IF(B188="","",SUMIFS('S-BOM'!$D$3:$D994,'S-BOM'!$C$3:$C994,B188,'S-BOM'!$B$3:$B994,$B$2))</f>
        <v/>
      </c>
      <c r="D188" s="120" t="str">
        <f>IFERROR(IF(B188="","",VLOOKUP(B188,RM!$C$4:$F984,3,FALSE)),"")</f>
        <v/>
      </c>
      <c r="E188" s="118" t="str">
        <f>IF(B188="","",VLOOKUP(B188,RM!$C$4:$G984,14,FALSE))</f>
        <v/>
      </c>
      <c r="F188" s="87" t="str">
        <f t="shared" si="1"/>
        <v/>
      </c>
      <c r="G188" s="87" t="str">
        <f t="shared" si="2"/>
        <v/>
      </c>
      <c r="H188" s="87"/>
      <c r="I188" s="87"/>
      <c r="J188" s="87"/>
    </row>
    <row r="189" spans="1:10">
      <c r="A189" s="2"/>
      <c r="B189" s="2"/>
      <c r="C189" s="120" t="str">
        <f>IF(B189="","",SUMIFS('S-BOM'!$D$3:$D994,'S-BOM'!$C$3:$C994,B189,'S-BOM'!$B$3:$B994,$B$2))</f>
        <v/>
      </c>
      <c r="D189" s="120" t="str">
        <f>IFERROR(IF(B189="","",VLOOKUP(B189,RM!$C$4:$F984,3,FALSE)),"")</f>
        <v/>
      </c>
      <c r="E189" s="118" t="str">
        <f>IF(B189="","",VLOOKUP(B189,RM!$C$4:$G984,14,FALSE))</f>
        <v/>
      </c>
      <c r="F189" s="87" t="str">
        <f t="shared" si="1"/>
        <v/>
      </c>
      <c r="G189" s="87" t="str">
        <f t="shared" si="2"/>
        <v/>
      </c>
      <c r="H189" s="87"/>
      <c r="I189" s="87"/>
      <c r="J189" s="87"/>
    </row>
    <row r="190" spans="1:10">
      <c r="A190" s="2"/>
      <c r="B190" s="2"/>
      <c r="C190" s="120" t="str">
        <f>IF(B190="","",SUMIFS('S-BOM'!$D$3:$D994,'S-BOM'!$C$3:$C994,B190,'S-BOM'!$B$3:$B994,$B$2))</f>
        <v/>
      </c>
      <c r="D190" s="120" t="str">
        <f>IFERROR(IF(B190="","",VLOOKUP(B190,RM!$C$4:$F984,3,FALSE)),"")</f>
        <v/>
      </c>
      <c r="E190" s="118" t="str">
        <f>IF(B190="","",VLOOKUP(B190,RM!$C$4:$G984,14,FALSE))</f>
        <v/>
      </c>
      <c r="F190" s="87" t="str">
        <f t="shared" si="1"/>
        <v/>
      </c>
      <c r="G190" s="87" t="str">
        <f t="shared" si="2"/>
        <v/>
      </c>
      <c r="H190" s="87"/>
      <c r="I190" s="87"/>
      <c r="J190" s="87"/>
    </row>
    <row r="191" spans="1:10">
      <c r="A191" s="2"/>
      <c r="B191" s="2"/>
      <c r="C191" s="120" t="str">
        <f>IF(B191="","",SUMIFS('S-BOM'!$D$3:$D994,'S-BOM'!$C$3:$C994,B191,'S-BOM'!$B$3:$B994,$B$2))</f>
        <v/>
      </c>
      <c r="D191" s="120" t="str">
        <f>IFERROR(IF(B191="","",VLOOKUP(B191,RM!$C$4:$F984,3,FALSE)),"")</f>
        <v/>
      </c>
      <c r="E191" s="118" t="str">
        <f>IF(B191="","",VLOOKUP(B191,RM!$C$4:$G984,14,FALSE))</f>
        <v/>
      </c>
      <c r="F191" s="87" t="str">
        <f t="shared" si="1"/>
        <v/>
      </c>
      <c r="G191" s="87" t="str">
        <f t="shared" si="2"/>
        <v/>
      </c>
      <c r="H191" s="87"/>
      <c r="I191" s="87"/>
      <c r="J191" s="87"/>
    </row>
    <row r="192" spans="1:10">
      <c r="A192" s="2"/>
      <c r="B192" s="2"/>
      <c r="C192" s="120" t="str">
        <f>IF(B192="","",SUMIFS('S-BOM'!$D$3:$D994,'S-BOM'!$C$3:$C994,B192,'S-BOM'!$B$3:$B994,$B$2))</f>
        <v/>
      </c>
      <c r="D192" s="120" t="str">
        <f>IFERROR(IF(B192="","",VLOOKUP(B192,RM!$C$4:$F984,3,FALSE)),"")</f>
        <v/>
      </c>
      <c r="E192" s="118" t="str">
        <f>IF(B192="","",VLOOKUP(B192,RM!$C$4:$G984,14,FALSE))</f>
        <v/>
      </c>
      <c r="F192" s="87" t="str">
        <f t="shared" si="1"/>
        <v/>
      </c>
      <c r="G192" s="87" t="str">
        <f t="shared" si="2"/>
        <v/>
      </c>
      <c r="H192" s="87"/>
      <c r="I192" s="87"/>
      <c r="J192" s="87"/>
    </row>
    <row r="193" spans="1:10">
      <c r="A193" s="2"/>
      <c r="B193" s="2"/>
      <c r="C193" s="120" t="str">
        <f>IF(B193="","",SUMIFS('S-BOM'!$D$3:$D994,'S-BOM'!$C$3:$C994,B193,'S-BOM'!$B$3:$B994,$B$2))</f>
        <v/>
      </c>
      <c r="D193" s="120" t="str">
        <f>IFERROR(IF(B193="","",VLOOKUP(B193,RM!$C$4:$F984,3,FALSE)),"")</f>
        <v/>
      </c>
      <c r="E193" s="118" t="str">
        <f>IF(B193="","",VLOOKUP(B193,RM!$C$4:$G984,14,FALSE))</f>
        <v/>
      </c>
      <c r="F193" s="87" t="str">
        <f t="shared" si="1"/>
        <v/>
      </c>
      <c r="G193" s="87" t="str">
        <f t="shared" si="2"/>
        <v/>
      </c>
      <c r="H193" s="87"/>
      <c r="I193" s="87"/>
      <c r="J193" s="87"/>
    </row>
    <row r="194" spans="1:10">
      <c r="A194" s="2"/>
      <c r="B194" s="2"/>
      <c r="C194" s="120" t="str">
        <f>IF(B194="","",SUMIFS('S-BOM'!$D$3:$D994,'S-BOM'!$C$3:$C994,B194,'S-BOM'!$B$3:$B994,$B$2))</f>
        <v/>
      </c>
      <c r="D194" s="120" t="str">
        <f>IFERROR(IF(B194="","",VLOOKUP(B194,RM!$C$4:$F984,3,FALSE)),"")</f>
        <v/>
      </c>
      <c r="E194" s="118" t="str">
        <f>IF(B194="","",VLOOKUP(B194,RM!$C$4:$G984,14,FALSE))</f>
        <v/>
      </c>
      <c r="F194" s="87" t="str">
        <f t="shared" si="1"/>
        <v/>
      </c>
      <c r="G194" s="87" t="str">
        <f t="shared" si="2"/>
        <v/>
      </c>
      <c r="H194" s="87"/>
      <c r="I194" s="87"/>
      <c r="J194" s="87"/>
    </row>
    <row r="195" spans="1:10">
      <c r="A195" s="2"/>
      <c r="B195" s="2"/>
      <c r="C195" s="120" t="str">
        <f>IF(B195="","",SUMIFS('S-BOM'!$D$3:$D994,'S-BOM'!$C$3:$C994,B195,'S-BOM'!$B$3:$B994,$B$2))</f>
        <v/>
      </c>
      <c r="D195" s="120" t="str">
        <f>IFERROR(IF(B195="","",VLOOKUP(B195,RM!$C$4:$F984,3,FALSE)),"")</f>
        <v/>
      </c>
      <c r="E195" s="118" t="str">
        <f>IF(B195="","",VLOOKUP(B195,RM!$C$4:$G984,14,FALSE))</f>
        <v/>
      </c>
      <c r="F195" s="87" t="str">
        <f t="shared" si="1"/>
        <v/>
      </c>
      <c r="G195" s="87" t="str">
        <f t="shared" si="2"/>
        <v/>
      </c>
      <c r="H195" s="87"/>
      <c r="I195" s="87"/>
      <c r="J195" s="87"/>
    </row>
    <row r="196" spans="1:10">
      <c r="A196" s="2"/>
      <c r="B196" s="2"/>
      <c r="C196" s="120" t="str">
        <f>IF(B196="","",SUMIFS('S-BOM'!$D$3:$D994,'S-BOM'!$C$3:$C994,B196,'S-BOM'!$B$3:$B994,$B$2))</f>
        <v/>
      </c>
      <c r="D196" s="120" t="str">
        <f>IFERROR(IF(B196="","",VLOOKUP(B196,RM!$C$4:$F984,3,FALSE)),"")</f>
        <v/>
      </c>
      <c r="E196" s="118" t="str">
        <f>IF(B196="","",VLOOKUP(B196,RM!$C$4:$G984,14,FALSE))</f>
        <v/>
      </c>
      <c r="F196" s="87" t="str">
        <f t="shared" si="1"/>
        <v/>
      </c>
      <c r="G196" s="87" t="str">
        <f t="shared" si="2"/>
        <v/>
      </c>
      <c r="H196" s="87"/>
      <c r="I196" s="87"/>
      <c r="J196" s="87"/>
    </row>
    <row r="197" spans="1:10">
      <c r="A197" s="2"/>
      <c r="B197" s="2"/>
      <c r="C197" s="120" t="str">
        <f>IF(B197="","",SUMIFS('S-BOM'!$D$3:$D994,'S-BOM'!$C$3:$C994,B197,'S-BOM'!$B$3:$B994,$B$2))</f>
        <v/>
      </c>
      <c r="D197" s="120" t="str">
        <f>IFERROR(IF(B197="","",VLOOKUP(B197,RM!$C$4:$F984,3,FALSE)),"")</f>
        <v/>
      </c>
      <c r="E197" s="118" t="str">
        <f>IF(B197="","",VLOOKUP(B197,RM!$C$4:$G984,14,FALSE))</f>
        <v/>
      </c>
      <c r="F197" s="87" t="str">
        <f t="shared" si="1"/>
        <v/>
      </c>
      <c r="G197" s="87" t="str">
        <f t="shared" si="2"/>
        <v/>
      </c>
      <c r="H197" s="87"/>
      <c r="I197" s="87"/>
      <c r="J197" s="87"/>
    </row>
    <row r="198" spans="1:10">
      <c r="A198" s="2"/>
      <c r="B198" s="2"/>
      <c r="C198" s="120" t="str">
        <f>IF(B198="","",SUMIFS('S-BOM'!$D$3:$D994,'S-BOM'!$C$3:$C994,B198,'S-BOM'!$B$3:$B994,$B$2))</f>
        <v/>
      </c>
      <c r="D198" s="120" t="str">
        <f>IFERROR(IF(B198="","",VLOOKUP(B198,RM!$C$4:$F984,3,FALSE)),"")</f>
        <v/>
      </c>
      <c r="E198" s="118" t="str">
        <f>IF(B198="","",VLOOKUP(B198,RM!$C$4:$G984,14,FALSE))</f>
        <v/>
      </c>
      <c r="F198" s="87" t="str">
        <f t="shared" si="1"/>
        <v/>
      </c>
      <c r="G198" s="87" t="str">
        <f t="shared" si="2"/>
        <v/>
      </c>
      <c r="H198" s="87"/>
      <c r="I198" s="87"/>
      <c r="J198" s="87"/>
    </row>
    <row r="199" spans="1:10">
      <c r="A199" s="2"/>
      <c r="B199" s="2"/>
      <c r="C199" s="120" t="str">
        <f>IF(B199="","",SUMIFS('S-BOM'!$D$3:$D994,'S-BOM'!$C$3:$C994,B199,'S-BOM'!$B$3:$B994,$B$2))</f>
        <v/>
      </c>
      <c r="D199" s="120" t="str">
        <f>IFERROR(IF(B199="","",VLOOKUP(B199,RM!$C$4:$F984,3,FALSE)),"")</f>
        <v/>
      </c>
      <c r="E199" s="118" t="str">
        <f>IF(B199="","",VLOOKUP(B199,RM!$C$4:$G984,14,FALSE))</f>
        <v/>
      </c>
      <c r="F199" s="87" t="str">
        <f t="shared" si="1"/>
        <v/>
      </c>
      <c r="G199" s="87" t="str">
        <f t="shared" si="2"/>
        <v/>
      </c>
      <c r="H199" s="87"/>
      <c r="I199" s="87"/>
      <c r="J199" s="87"/>
    </row>
    <row r="200" spans="1:10">
      <c r="A200" s="2"/>
      <c r="B200" s="2"/>
      <c r="C200" s="120" t="str">
        <f>IF(B200="","",SUMIFS('S-BOM'!$D$3:$D994,'S-BOM'!$C$3:$C994,B200,'S-BOM'!$B$3:$B994,$B$2))</f>
        <v/>
      </c>
      <c r="D200" s="120" t="str">
        <f>IFERROR(IF(B200="","",VLOOKUP(B200,RM!$C$4:$F984,3,FALSE)),"")</f>
        <v/>
      </c>
      <c r="E200" s="118" t="str">
        <f>IF(B200="","",VLOOKUP(B200,RM!$C$4:$G984,14,FALSE))</f>
        <v/>
      </c>
      <c r="F200" s="87" t="str">
        <f t="shared" si="1"/>
        <v/>
      </c>
      <c r="G200" s="87" t="str">
        <f t="shared" si="2"/>
        <v/>
      </c>
      <c r="H200" s="87"/>
      <c r="I200" s="87"/>
      <c r="J200" s="87"/>
    </row>
    <row r="201" spans="1:10">
      <c r="A201" s="2"/>
      <c r="B201" s="2"/>
      <c r="C201" s="120" t="str">
        <f>IF(B201="","",SUMIFS('S-BOM'!$D$3:$D994,'S-BOM'!$C$3:$C994,B201,'S-BOM'!$B$3:$B994,$B$2))</f>
        <v/>
      </c>
      <c r="D201" s="120" t="str">
        <f>IFERROR(IF(B201="","",VLOOKUP(B201,RM!$C$4:$F984,3,FALSE)),"")</f>
        <v/>
      </c>
      <c r="E201" s="118" t="str">
        <f>IF(B201="","",VLOOKUP(B201,RM!$C$4:$G984,14,FALSE))</f>
        <v/>
      </c>
      <c r="F201" s="87" t="str">
        <f t="shared" si="1"/>
        <v/>
      </c>
      <c r="G201" s="87" t="str">
        <f t="shared" si="2"/>
        <v/>
      </c>
      <c r="H201" s="87"/>
      <c r="I201" s="87"/>
      <c r="J201" s="87"/>
    </row>
    <row r="202" spans="1:10">
      <c r="A202" s="2"/>
      <c r="B202" s="2"/>
      <c r="C202" s="120" t="str">
        <f>IF(B202="","",SUMIFS('S-BOM'!$D$3:$D994,'S-BOM'!$C$3:$C994,B202,'S-BOM'!$B$3:$B994,$B$2))</f>
        <v/>
      </c>
      <c r="D202" s="120" t="str">
        <f>IFERROR(IF(B202="","",VLOOKUP(B202,RM!$C$4:$F984,3,FALSE)),"")</f>
        <v/>
      </c>
      <c r="E202" s="118" t="str">
        <f>IF(B202="","",VLOOKUP(B202,RM!$C$4:$G984,14,FALSE))</f>
        <v/>
      </c>
      <c r="F202" s="87" t="str">
        <f t="shared" si="1"/>
        <v/>
      </c>
      <c r="G202" s="87" t="str">
        <f t="shared" si="2"/>
        <v/>
      </c>
      <c r="H202" s="87"/>
      <c r="I202" s="87"/>
      <c r="J202" s="87"/>
    </row>
    <row r="203" spans="1:10">
      <c r="A203" s="2"/>
      <c r="B203" s="2"/>
      <c r="C203" s="120" t="str">
        <f>IF(B203="","",SUMIFS('S-BOM'!$D$3:$D994,'S-BOM'!$C$3:$C994,B203,'S-BOM'!$B$3:$B994,$B$2))</f>
        <v/>
      </c>
      <c r="D203" s="120" t="str">
        <f>IFERROR(IF(B203="","",VLOOKUP(B203,RM!$C$4:$F984,3,FALSE)),"")</f>
        <v/>
      </c>
      <c r="E203" s="118" t="str">
        <f>IF(B203="","",VLOOKUP(B203,RM!$C$4:$G984,14,FALSE))</f>
        <v/>
      </c>
      <c r="F203" s="87" t="str">
        <f t="shared" si="1"/>
        <v/>
      </c>
      <c r="G203" s="87" t="str">
        <f t="shared" si="2"/>
        <v/>
      </c>
      <c r="H203" s="87"/>
      <c r="I203" s="87"/>
      <c r="J203" s="87"/>
    </row>
    <row r="204" spans="1:10">
      <c r="A204" s="2"/>
      <c r="B204" s="2"/>
      <c r="C204" s="120" t="str">
        <f>IF(B204="","",SUMIFS('S-BOM'!$D$3:$D994,'S-BOM'!$C$3:$C994,B204,'S-BOM'!$B$3:$B994,$B$2))</f>
        <v/>
      </c>
      <c r="D204" s="120" t="str">
        <f>IFERROR(IF(B204="","",VLOOKUP(B204,RM!$C$4:$F984,3,FALSE)),"")</f>
        <v/>
      </c>
      <c r="E204" s="118" t="str">
        <f>IF(B204="","",VLOOKUP(B204,RM!$C$4:$G984,14,FALSE))</f>
        <v/>
      </c>
      <c r="F204" s="87" t="str">
        <f t="shared" si="1"/>
        <v/>
      </c>
      <c r="G204" s="87" t="str">
        <f t="shared" si="2"/>
        <v/>
      </c>
      <c r="H204" s="87"/>
      <c r="I204" s="87"/>
      <c r="J204" s="87"/>
    </row>
    <row r="205" spans="1:10">
      <c r="A205" s="2"/>
      <c r="B205" s="2"/>
      <c r="C205" s="120" t="str">
        <f>IF(B205="","",SUMIFS('S-BOM'!$D$3:$D994,'S-BOM'!$C$3:$C994,B205,'S-BOM'!$B$3:$B994,$B$2))</f>
        <v/>
      </c>
      <c r="D205" s="120" t="str">
        <f>IFERROR(IF(B205="","",VLOOKUP(B205,RM!$C$4:$F984,3,FALSE)),"")</f>
        <v/>
      </c>
      <c r="E205" s="118" t="str">
        <f>IF(B205="","",VLOOKUP(B205,RM!$C$4:$G984,14,FALSE))</f>
        <v/>
      </c>
      <c r="F205" s="87" t="str">
        <f t="shared" si="1"/>
        <v/>
      </c>
      <c r="G205" s="87" t="str">
        <f t="shared" si="2"/>
        <v/>
      </c>
      <c r="H205" s="87"/>
      <c r="I205" s="87"/>
      <c r="J205" s="87"/>
    </row>
    <row r="206" spans="1:10">
      <c r="A206" s="2"/>
      <c r="B206" s="2"/>
      <c r="C206" s="120" t="str">
        <f>IF(B206="","",SUMIFS('S-BOM'!$D$3:$D994,'S-BOM'!$C$3:$C994,B206,'S-BOM'!$B$3:$B994,$B$2))</f>
        <v/>
      </c>
      <c r="D206" s="120" t="str">
        <f>IFERROR(IF(B206="","",VLOOKUP(B206,RM!$C$4:$F984,3,FALSE)),"")</f>
        <v/>
      </c>
      <c r="E206" s="118" t="str">
        <f>IF(B206="","",VLOOKUP(B206,RM!$C$4:$G984,14,FALSE))</f>
        <v/>
      </c>
      <c r="F206" s="87" t="str">
        <f t="shared" si="1"/>
        <v/>
      </c>
      <c r="G206" s="87" t="str">
        <f t="shared" si="2"/>
        <v/>
      </c>
      <c r="H206" s="87"/>
      <c r="I206" s="87"/>
      <c r="J206" s="87"/>
    </row>
    <row r="207" spans="1:10">
      <c r="A207" s="2"/>
      <c r="B207" s="2"/>
      <c r="C207" s="120" t="str">
        <f>IF(B207="","",SUMIFS('S-BOM'!$D$3:$D994,'S-BOM'!$C$3:$C994,B207,'S-BOM'!$B$3:$B994,$B$2))</f>
        <v/>
      </c>
      <c r="D207" s="120" t="str">
        <f>IFERROR(IF(B207="","",VLOOKUP(B207,RM!$C$4:$F984,3,FALSE)),"")</f>
        <v/>
      </c>
      <c r="E207" s="118" t="str">
        <f>IF(B207="","",VLOOKUP(B207,RM!$C$4:$G984,14,FALSE))</f>
        <v/>
      </c>
      <c r="F207" s="87" t="str">
        <f t="shared" si="1"/>
        <v/>
      </c>
      <c r="G207" s="87" t="str">
        <f t="shared" si="2"/>
        <v/>
      </c>
      <c r="H207" s="87"/>
      <c r="I207" s="87"/>
      <c r="J207" s="87"/>
    </row>
    <row r="208" spans="1:10">
      <c r="A208" s="2"/>
      <c r="B208" s="2"/>
      <c r="C208" s="120" t="str">
        <f>IF(B208="","",SUMIFS('S-BOM'!$D$3:$D994,'S-BOM'!$C$3:$C994,B208,'S-BOM'!$B$3:$B994,$B$2))</f>
        <v/>
      </c>
      <c r="D208" s="120" t="str">
        <f>IFERROR(IF(B208="","",VLOOKUP(B208,RM!$C$4:$F984,3,FALSE)),"")</f>
        <v/>
      </c>
      <c r="E208" s="118" t="str">
        <f>IF(B208="","",VLOOKUP(B208,RM!$C$4:$G984,14,FALSE))</f>
        <v/>
      </c>
      <c r="F208" s="87" t="str">
        <f t="shared" si="1"/>
        <v/>
      </c>
      <c r="G208" s="87" t="str">
        <f t="shared" si="2"/>
        <v/>
      </c>
      <c r="H208" s="87"/>
      <c r="I208" s="87"/>
      <c r="J208" s="87"/>
    </row>
    <row r="209" spans="1:10">
      <c r="A209" s="2"/>
      <c r="B209" s="2"/>
      <c r="C209" s="120" t="str">
        <f>IF(B209="","",SUMIFS('S-BOM'!$D$3:$D994,'S-BOM'!$C$3:$C994,B209,'S-BOM'!$B$3:$B994,$B$2))</f>
        <v/>
      </c>
      <c r="D209" s="120" t="str">
        <f>IFERROR(IF(B209="","",VLOOKUP(B209,RM!$C$4:$F984,3,FALSE)),"")</f>
        <v/>
      </c>
      <c r="E209" s="118" t="str">
        <f>IF(B209="","",VLOOKUP(B209,RM!$C$4:$G984,14,FALSE))</f>
        <v/>
      </c>
      <c r="F209" s="87" t="str">
        <f t="shared" si="1"/>
        <v/>
      </c>
      <c r="G209" s="87" t="str">
        <f t="shared" si="2"/>
        <v/>
      </c>
      <c r="H209" s="87"/>
      <c r="I209" s="87"/>
      <c r="J209" s="87"/>
    </row>
    <row r="210" spans="1:10">
      <c r="A210" s="2"/>
      <c r="B210" s="2"/>
      <c r="C210" s="120" t="str">
        <f>IF(B210="","",SUMIFS('S-BOM'!$D$3:$D994,'S-BOM'!$C$3:$C994,B210,'S-BOM'!$B$3:$B994,$B$2))</f>
        <v/>
      </c>
      <c r="D210" s="120" t="str">
        <f>IFERROR(IF(B210="","",VLOOKUP(B210,RM!$C$4:$F984,3,FALSE)),"")</f>
        <v/>
      </c>
      <c r="E210" s="118" t="str">
        <f>IF(B210="","",VLOOKUP(B210,RM!$C$4:$G984,14,FALSE))</f>
        <v/>
      </c>
      <c r="F210" s="87" t="str">
        <f t="shared" si="1"/>
        <v/>
      </c>
      <c r="G210" s="87" t="str">
        <f t="shared" si="2"/>
        <v/>
      </c>
      <c r="H210" s="87"/>
      <c r="I210" s="87"/>
      <c r="J210" s="87"/>
    </row>
    <row r="211" spans="1:10">
      <c r="A211" s="2"/>
      <c r="B211" s="2"/>
      <c r="C211" s="120" t="str">
        <f>IF(B211="","",SUMIFS('S-BOM'!$D$3:$D994,'S-BOM'!$C$3:$C994,B211,'S-BOM'!$B$3:$B994,$B$2))</f>
        <v/>
      </c>
      <c r="D211" s="120" t="str">
        <f>IFERROR(IF(B211="","",VLOOKUP(B211,RM!$C$4:$F984,3,FALSE)),"")</f>
        <v/>
      </c>
      <c r="E211" s="118" t="str">
        <f>IF(B211="","",VLOOKUP(B211,RM!$C$4:$G984,14,FALSE))</f>
        <v/>
      </c>
      <c r="F211" s="87" t="str">
        <f t="shared" si="1"/>
        <v/>
      </c>
      <c r="G211" s="87" t="str">
        <f t="shared" si="2"/>
        <v/>
      </c>
      <c r="H211" s="87"/>
      <c r="I211" s="87"/>
      <c r="J211" s="87"/>
    </row>
    <row r="212" spans="1:10">
      <c r="A212" s="2"/>
      <c r="B212" s="2"/>
      <c r="C212" s="120" t="str">
        <f>IF(B212="","",SUMIFS('S-BOM'!$D$3:$D994,'S-BOM'!$C$3:$C994,B212,'S-BOM'!$B$3:$B994,$B$2))</f>
        <v/>
      </c>
      <c r="D212" s="120" t="str">
        <f>IFERROR(IF(B212="","",VLOOKUP(B212,RM!$C$4:$F984,3,FALSE)),"")</f>
        <v/>
      </c>
      <c r="E212" s="118" t="str">
        <f>IF(B212="","",VLOOKUP(B212,RM!$C$4:$G984,14,FALSE))</f>
        <v/>
      </c>
      <c r="F212" s="87" t="str">
        <f t="shared" si="1"/>
        <v/>
      </c>
      <c r="G212" s="87" t="str">
        <f t="shared" si="2"/>
        <v/>
      </c>
      <c r="H212" s="87"/>
      <c r="I212" s="87"/>
      <c r="J212" s="87"/>
    </row>
    <row r="213" spans="1:10">
      <c r="A213" s="2"/>
      <c r="B213" s="2"/>
      <c r="C213" s="120" t="str">
        <f>IF(B213="","",SUMIFS('S-BOM'!$D$3:$D994,'S-BOM'!$C$3:$C994,B213,'S-BOM'!$B$3:$B994,$B$2))</f>
        <v/>
      </c>
      <c r="D213" s="120" t="str">
        <f>IFERROR(IF(B213="","",VLOOKUP(B213,RM!$C$4:$F984,3,FALSE)),"")</f>
        <v/>
      </c>
      <c r="E213" s="118" t="str">
        <f>IF(B213="","",VLOOKUP(B213,RM!$C$4:$G984,14,FALSE))</f>
        <v/>
      </c>
      <c r="F213" s="87" t="str">
        <f t="shared" si="1"/>
        <v/>
      </c>
      <c r="G213" s="87" t="str">
        <f t="shared" si="2"/>
        <v/>
      </c>
      <c r="H213" s="87"/>
      <c r="I213" s="87"/>
      <c r="J213" s="87"/>
    </row>
    <row r="214" spans="1:10">
      <c r="A214" s="2"/>
      <c r="B214" s="2"/>
      <c r="C214" s="120" t="str">
        <f>IF(B214="","",SUMIFS('S-BOM'!$D$3:$D994,'S-BOM'!$C$3:$C994,B214,'S-BOM'!$B$3:$B994,$B$2))</f>
        <v/>
      </c>
      <c r="D214" s="120" t="str">
        <f>IFERROR(IF(B214="","",VLOOKUP(B214,RM!$C$4:$F984,3,FALSE)),"")</f>
        <v/>
      </c>
      <c r="E214" s="118" t="str">
        <f>IF(B214="","",VLOOKUP(B214,RM!$C$4:$G984,14,FALSE))</f>
        <v/>
      </c>
      <c r="F214" s="87" t="str">
        <f t="shared" si="1"/>
        <v/>
      </c>
      <c r="G214" s="87" t="str">
        <f t="shared" si="2"/>
        <v/>
      </c>
      <c r="H214" s="87"/>
      <c r="I214" s="87"/>
      <c r="J214" s="87"/>
    </row>
    <row r="215" spans="1:10">
      <c r="A215" s="2"/>
      <c r="B215" s="2"/>
      <c r="C215" s="120" t="str">
        <f>IF(B215="","",SUMIFS('S-BOM'!$D$3:$D994,'S-BOM'!$C$3:$C994,B215,'S-BOM'!$B$3:$B994,$B$2))</f>
        <v/>
      </c>
      <c r="D215" s="120" t="str">
        <f>IFERROR(IF(B215="","",VLOOKUP(B215,RM!$C$4:$F984,3,FALSE)),"")</f>
        <v/>
      </c>
      <c r="E215" s="118" t="str">
        <f>IF(B215="","",VLOOKUP(B215,RM!$C$4:$G984,14,FALSE))</f>
        <v/>
      </c>
      <c r="F215" s="87" t="str">
        <f t="shared" si="1"/>
        <v/>
      </c>
      <c r="G215" s="87" t="str">
        <f t="shared" si="2"/>
        <v/>
      </c>
      <c r="H215" s="87"/>
      <c r="I215" s="87"/>
      <c r="J215" s="87"/>
    </row>
    <row r="216" spans="1:10">
      <c r="A216" s="2"/>
      <c r="B216" s="2"/>
      <c r="C216" s="120" t="str">
        <f>IF(B216="","",SUMIFS('S-BOM'!$D$3:$D994,'S-BOM'!$C$3:$C994,B216,'S-BOM'!$B$3:$B994,$B$2))</f>
        <v/>
      </c>
      <c r="D216" s="120" t="str">
        <f>IFERROR(IF(B216="","",VLOOKUP(B216,RM!$C$4:$F984,3,FALSE)),"")</f>
        <v/>
      </c>
      <c r="E216" s="118" t="str">
        <f>IF(B216="","",VLOOKUP(B216,RM!$C$4:$G984,14,FALSE))</f>
        <v/>
      </c>
      <c r="F216" s="87" t="str">
        <f t="shared" si="1"/>
        <v/>
      </c>
      <c r="G216" s="87" t="str">
        <f t="shared" si="2"/>
        <v/>
      </c>
      <c r="H216" s="87"/>
      <c r="I216" s="87"/>
      <c r="J216" s="87"/>
    </row>
    <row r="217" spans="1:10">
      <c r="A217" s="2"/>
      <c r="B217" s="2"/>
      <c r="C217" s="120" t="str">
        <f>IF(B217="","",SUMIFS('S-BOM'!$D$3:$D994,'S-BOM'!$C$3:$C994,B217,'S-BOM'!$B$3:$B994,$B$2))</f>
        <v/>
      </c>
      <c r="D217" s="120" t="str">
        <f>IFERROR(IF(B217="","",VLOOKUP(B217,RM!$C$4:$F984,3,FALSE)),"")</f>
        <v/>
      </c>
      <c r="E217" s="118" t="str">
        <f>IF(B217="","",VLOOKUP(B217,RM!$C$4:$G984,14,FALSE))</f>
        <v/>
      </c>
      <c r="F217" s="87" t="str">
        <f t="shared" si="1"/>
        <v/>
      </c>
      <c r="G217" s="87" t="str">
        <f t="shared" si="2"/>
        <v/>
      </c>
      <c r="H217" s="87"/>
      <c r="I217" s="87"/>
      <c r="J217" s="87"/>
    </row>
    <row r="218" spans="1:10">
      <c r="A218" s="2"/>
      <c r="B218" s="2"/>
      <c r="C218" s="120" t="str">
        <f>IF(B218="","",SUMIFS('S-BOM'!$D$3:$D994,'S-BOM'!$C$3:$C994,B218,'S-BOM'!$B$3:$B994,$B$2))</f>
        <v/>
      </c>
      <c r="D218" s="120" t="str">
        <f>IFERROR(IF(B218="","",VLOOKUP(B218,RM!$C$4:$F984,3,FALSE)),"")</f>
        <v/>
      </c>
      <c r="E218" s="118" t="str">
        <f>IF(B218="","",VLOOKUP(B218,RM!$C$4:$G984,14,FALSE))</f>
        <v/>
      </c>
      <c r="F218" s="87" t="str">
        <f t="shared" si="1"/>
        <v/>
      </c>
      <c r="G218" s="87" t="str">
        <f t="shared" si="2"/>
        <v/>
      </c>
      <c r="H218" s="87"/>
      <c r="I218" s="87"/>
      <c r="J218" s="87"/>
    </row>
    <row r="219" spans="1:10">
      <c r="A219" s="2"/>
      <c r="B219" s="2"/>
      <c r="C219" s="120" t="str">
        <f>IF(B219="","",SUMIFS('S-BOM'!$D$3:$D994,'S-BOM'!$C$3:$C994,B219,'S-BOM'!$B$3:$B994,$B$2))</f>
        <v/>
      </c>
      <c r="D219" s="120" t="str">
        <f>IFERROR(IF(B219="","",VLOOKUP(B219,RM!$C$4:$F984,3,FALSE)),"")</f>
        <v/>
      </c>
      <c r="E219" s="118" t="str">
        <f>IF(B219="","",VLOOKUP(B219,RM!$C$4:$G984,14,FALSE))</f>
        <v/>
      </c>
      <c r="F219" s="87" t="str">
        <f t="shared" si="1"/>
        <v/>
      </c>
      <c r="G219" s="87" t="str">
        <f t="shared" si="2"/>
        <v/>
      </c>
      <c r="H219" s="87"/>
      <c r="I219" s="87"/>
      <c r="J219" s="87"/>
    </row>
    <row r="220" spans="1:10">
      <c r="A220" s="2"/>
      <c r="B220" s="2"/>
      <c r="C220" s="120" t="str">
        <f>IF(B220="","",SUMIFS('S-BOM'!$D$3:$D994,'S-BOM'!$C$3:$C994,B220,'S-BOM'!$B$3:$B994,$B$2))</f>
        <v/>
      </c>
      <c r="D220" s="120" t="str">
        <f>IFERROR(IF(B220="","",VLOOKUP(B220,RM!$C$4:$F984,3,FALSE)),"")</f>
        <v/>
      </c>
      <c r="E220" s="118" t="str">
        <f>IF(B220="","",VLOOKUP(B220,RM!$C$4:$G984,14,FALSE))</f>
        <v/>
      </c>
      <c r="F220" s="87" t="str">
        <f t="shared" si="1"/>
        <v/>
      </c>
      <c r="G220" s="87" t="str">
        <f t="shared" si="2"/>
        <v/>
      </c>
      <c r="H220" s="87"/>
      <c r="I220" s="87"/>
      <c r="J220" s="87"/>
    </row>
    <row r="221" spans="1:10">
      <c r="A221" s="2"/>
      <c r="B221" s="2"/>
      <c r="C221" s="120" t="str">
        <f>IF(B221="","",SUMIFS('S-BOM'!$D$3:$D994,'S-BOM'!$C$3:$C994,B221,'S-BOM'!$B$3:$B994,$B$2))</f>
        <v/>
      </c>
      <c r="D221" s="120" t="str">
        <f>IFERROR(IF(B221="","",VLOOKUP(B221,RM!$C$4:$F984,3,FALSE)),"")</f>
        <v/>
      </c>
      <c r="E221" s="118" t="str">
        <f>IF(B221="","",VLOOKUP(B221,RM!$C$4:$G984,14,FALSE))</f>
        <v/>
      </c>
      <c r="F221" s="87" t="str">
        <f t="shared" si="1"/>
        <v/>
      </c>
      <c r="G221" s="87" t="str">
        <f t="shared" si="2"/>
        <v/>
      </c>
      <c r="H221" s="87"/>
      <c r="I221" s="87"/>
      <c r="J221" s="87"/>
    </row>
    <row r="222" spans="1:10">
      <c r="A222" s="2"/>
      <c r="B222" s="2"/>
      <c r="C222" s="120" t="str">
        <f>IF(B222="","",SUMIFS('S-BOM'!$D$3:$D994,'S-BOM'!$C$3:$C994,B222,'S-BOM'!$B$3:$B994,$B$2))</f>
        <v/>
      </c>
      <c r="D222" s="120" t="str">
        <f>IFERROR(IF(B222="","",VLOOKUP(B222,RM!$C$4:$F984,3,FALSE)),"")</f>
        <v/>
      </c>
      <c r="E222" s="118" t="str">
        <f>IF(B222="","",VLOOKUP(B222,RM!$C$4:$G984,14,FALSE))</f>
        <v/>
      </c>
      <c r="F222" s="87" t="str">
        <f t="shared" si="1"/>
        <v/>
      </c>
      <c r="G222" s="87" t="str">
        <f t="shared" si="2"/>
        <v/>
      </c>
      <c r="H222" s="87"/>
      <c r="I222" s="87"/>
      <c r="J222" s="87"/>
    </row>
    <row r="223" spans="1:10">
      <c r="A223" s="2"/>
      <c r="B223" s="2"/>
      <c r="C223" s="120" t="str">
        <f>IF(B223="","",SUMIFS('S-BOM'!$D$3:$D994,'S-BOM'!$C$3:$C994,B223,'S-BOM'!$B$3:$B994,$B$2))</f>
        <v/>
      </c>
      <c r="D223" s="120" t="str">
        <f>IFERROR(IF(B223="","",VLOOKUP(B223,RM!$C$4:$F984,3,FALSE)),"")</f>
        <v/>
      </c>
      <c r="E223" s="118" t="str">
        <f>IF(B223="","",VLOOKUP(B223,RM!$C$4:$G984,14,FALSE))</f>
        <v/>
      </c>
      <c r="F223" s="87" t="str">
        <f t="shared" si="1"/>
        <v/>
      </c>
      <c r="G223" s="87" t="str">
        <f t="shared" si="2"/>
        <v/>
      </c>
      <c r="H223" s="87"/>
      <c r="I223" s="87"/>
      <c r="J223" s="87"/>
    </row>
    <row r="224" spans="1:10">
      <c r="A224" s="2"/>
      <c r="B224" s="2"/>
      <c r="C224" s="120" t="str">
        <f>IF(B224="","",SUMIFS('S-BOM'!$D$3:$D994,'S-BOM'!$C$3:$C994,B224,'S-BOM'!$B$3:$B994,$B$2))</f>
        <v/>
      </c>
      <c r="D224" s="120" t="str">
        <f>IFERROR(IF(B224="","",VLOOKUP(B224,RM!$C$4:$F984,3,FALSE)),"")</f>
        <v/>
      </c>
      <c r="E224" s="118" t="str">
        <f>IF(B224="","",VLOOKUP(B224,RM!$C$4:$G984,14,FALSE))</f>
        <v/>
      </c>
      <c r="F224" s="87" t="str">
        <f t="shared" si="1"/>
        <v/>
      </c>
      <c r="G224" s="87" t="str">
        <f t="shared" si="2"/>
        <v/>
      </c>
      <c r="H224" s="87"/>
      <c r="I224" s="87"/>
      <c r="J224" s="87"/>
    </row>
    <row r="225" spans="1:10">
      <c r="A225" s="2"/>
      <c r="B225" s="2"/>
      <c r="C225" s="120" t="str">
        <f>IF(B225="","",SUMIFS('S-BOM'!$D$3:$D994,'S-BOM'!$C$3:$C994,B225,'S-BOM'!$B$3:$B994,$B$2))</f>
        <v/>
      </c>
      <c r="D225" s="120" t="str">
        <f>IFERROR(IF(B225="","",VLOOKUP(B225,RM!$C$4:$F984,3,FALSE)),"")</f>
        <v/>
      </c>
      <c r="E225" s="118" t="str">
        <f>IF(B225="","",VLOOKUP(B225,RM!$C$4:$G984,14,FALSE))</f>
        <v/>
      </c>
      <c r="F225" s="87" t="str">
        <f t="shared" si="1"/>
        <v/>
      </c>
      <c r="G225" s="87" t="str">
        <f t="shared" si="2"/>
        <v/>
      </c>
      <c r="H225" s="87"/>
      <c r="I225" s="87"/>
      <c r="J225" s="87"/>
    </row>
    <row r="226" spans="1:10">
      <c r="A226" s="2"/>
      <c r="B226" s="2"/>
      <c r="C226" s="120" t="str">
        <f>IF(B226="","",SUMIFS('S-BOM'!$D$3:$D994,'S-BOM'!$C$3:$C994,B226,'S-BOM'!$B$3:$B994,$B$2))</f>
        <v/>
      </c>
      <c r="D226" s="120" t="str">
        <f>IFERROR(IF(B226="","",VLOOKUP(B226,RM!$C$4:$F984,3,FALSE)),"")</f>
        <v/>
      </c>
      <c r="E226" s="118" t="str">
        <f>IF(B226="","",VLOOKUP(B226,RM!$C$4:$G984,14,FALSE))</f>
        <v/>
      </c>
      <c r="F226" s="87" t="str">
        <f t="shared" si="1"/>
        <v/>
      </c>
      <c r="G226" s="87" t="str">
        <f t="shared" si="2"/>
        <v/>
      </c>
      <c r="H226" s="87"/>
      <c r="I226" s="87"/>
      <c r="J226" s="87"/>
    </row>
    <row r="227" spans="1:10">
      <c r="A227" s="2"/>
      <c r="B227" s="2"/>
      <c r="C227" s="120" t="str">
        <f>IF(B227="","",SUMIFS('S-BOM'!$D$3:$D994,'S-BOM'!$C$3:$C994,B227,'S-BOM'!$B$3:$B994,$B$2))</f>
        <v/>
      </c>
      <c r="D227" s="120" t="str">
        <f>IFERROR(IF(B227="","",VLOOKUP(B227,RM!$C$4:$F984,3,FALSE)),"")</f>
        <v/>
      </c>
      <c r="E227" s="118" t="str">
        <f>IF(B227="","",VLOOKUP(B227,RM!$C$4:$G984,14,FALSE))</f>
        <v/>
      </c>
      <c r="F227" s="87" t="str">
        <f t="shared" si="1"/>
        <v/>
      </c>
      <c r="G227" s="87" t="str">
        <f t="shared" si="2"/>
        <v/>
      </c>
      <c r="H227" s="87"/>
      <c r="I227" s="87"/>
      <c r="J227" s="87"/>
    </row>
    <row r="228" spans="1:10">
      <c r="A228" s="2"/>
      <c r="B228" s="2"/>
      <c r="C228" s="120" t="str">
        <f>IF(B228="","",SUMIFS('S-BOM'!$D$3:$D994,'S-BOM'!$C$3:$C994,B228,'S-BOM'!$B$3:$B994,$B$2))</f>
        <v/>
      </c>
      <c r="D228" s="120" t="str">
        <f>IFERROR(IF(B228="","",VLOOKUP(B228,RM!$C$4:$F984,3,FALSE)),"")</f>
        <v/>
      </c>
      <c r="E228" s="118" t="str">
        <f>IF(B228="","",VLOOKUP(B228,RM!$C$4:$G984,14,FALSE))</f>
        <v/>
      </c>
      <c r="F228" s="87" t="str">
        <f t="shared" si="1"/>
        <v/>
      </c>
      <c r="G228" s="87" t="str">
        <f t="shared" si="2"/>
        <v/>
      </c>
      <c r="H228" s="87"/>
      <c r="I228" s="87"/>
      <c r="J228" s="87"/>
    </row>
    <row r="229" spans="1:10">
      <c r="A229" s="2"/>
      <c r="B229" s="2"/>
      <c r="C229" s="120" t="str">
        <f>IF(B229="","",SUMIFS('S-BOM'!$D$3:$D994,'S-BOM'!$C$3:$C994,B229,'S-BOM'!$B$3:$B994,$B$2))</f>
        <v/>
      </c>
      <c r="D229" s="120" t="str">
        <f>IFERROR(IF(B229="","",VLOOKUP(B229,RM!$C$4:$F984,3,FALSE)),"")</f>
        <v/>
      </c>
      <c r="E229" s="118" t="str">
        <f>IF(B229="","",VLOOKUP(B229,RM!$C$4:$G984,14,FALSE))</f>
        <v/>
      </c>
      <c r="F229" s="87" t="str">
        <f t="shared" si="1"/>
        <v/>
      </c>
      <c r="G229" s="87" t="str">
        <f t="shared" si="2"/>
        <v/>
      </c>
      <c r="H229" s="87"/>
      <c r="I229" s="87"/>
      <c r="J229" s="87"/>
    </row>
    <row r="230" spans="1:10">
      <c r="A230" s="2"/>
      <c r="B230" s="2"/>
      <c r="C230" s="120" t="str">
        <f>IF(B230="","",SUMIFS('S-BOM'!$D$3:$D994,'S-BOM'!$C$3:$C994,B230,'S-BOM'!$B$3:$B994,$B$2))</f>
        <v/>
      </c>
      <c r="D230" s="120" t="str">
        <f>IFERROR(IF(B230="","",VLOOKUP(B230,RM!$C$4:$F984,3,FALSE)),"")</f>
        <v/>
      </c>
      <c r="E230" s="118" t="str">
        <f>IF(B230="","",VLOOKUP(B230,RM!$C$4:$G984,14,FALSE))</f>
        <v/>
      </c>
      <c r="F230" s="87" t="str">
        <f t="shared" si="1"/>
        <v/>
      </c>
      <c r="G230" s="87" t="str">
        <f t="shared" si="2"/>
        <v/>
      </c>
      <c r="H230" s="87"/>
      <c r="I230" s="87"/>
      <c r="J230" s="87"/>
    </row>
    <row r="231" spans="1:10">
      <c r="A231" s="2"/>
      <c r="B231" s="2"/>
      <c r="C231" s="120" t="str">
        <f>IF(B231="","",SUMIFS('S-BOM'!$D$3:$D994,'S-BOM'!$C$3:$C994,B231,'S-BOM'!$B$3:$B994,$B$2))</f>
        <v/>
      </c>
      <c r="D231" s="120" t="str">
        <f>IFERROR(IF(B231="","",VLOOKUP(B231,RM!$C$4:$F984,3,FALSE)),"")</f>
        <v/>
      </c>
      <c r="E231" s="118" t="str">
        <f>IF(B231="","",VLOOKUP(B231,RM!$C$4:$G984,14,FALSE))</f>
        <v/>
      </c>
      <c r="F231" s="87" t="str">
        <f t="shared" si="1"/>
        <v/>
      </c>
      <c r="G231" s="87" t="str">
        <f t="shared" si="2"/>
        <v/>
      </c>
      <c r="H231" s="87"/>
      <c r="I231" s="87"/>
      <c r="J231" s="87"/>
    </row>
    <row r="232" spans="1:10">
      <c r="A232" s="2"/>
      <c r="B232" s="2"/>
      <c r="C232" s="120" t="str">
        <f>IF(B232="","",SUMIFS('S-BOM'!$D$3:$D994,'S-BOM'!$C$3:$C994,B232,'S-BOM'!$B$3:$B994,$B$2))</f>
        <v/>
      </c>
      <c r="D232" s="120" t="str">
        <f>IFERROR(IF(B232="","",VLOOKUP(B232,RM!$C$4:$F984,3,FALSE)),"")</f>
        <v/>
      </c>
      <c r="E232" s="118" t="str">
        <f>IF(B232="","",VLOOKUP(B232,RM!$C$4:$G984,14,FALSE))</f>
        <v/>
      </c>
      <c r="F232" s="87" t="str">
        <f t="shared" si="1"/>
        <v/>
      </c>
      <c r="G232" s="87" t="str">
        <f t="shared" si="2"/>
        <v/>
      </c>
      <c r="H232" s="87"/>
      <c r="I232" s="87"/>
      <c r="J232" s="87"/>
    </row>
    <row r="233" spans="1:10">
      <c r="A233" s="2"/>
      <c r="B233" s="2"/>
      <c r="C233" s="120" t="str">
        <f>IF(B233="","",SUMIFS('S-BOM'!$D$3:$D994,'S-BOM'!$C$3:$C994,B233,'S-BOM'!$B$3:$B994,$B$2))</f>
        <v/>
      </c>
      <c r="D233" s="120" t="str">
        <f>IFERROR(IF(B233="","",VLOOKUP(B233,RM!$C$4:$F984,3,FALSE)),"")</f>
        <v/>
      </c>
      <c r="E233" s="118" t="str">
        <f>IF(B233="","",VLOOKUP(B233,RM!$C$4:$G984,14,FALSE))</f>
        <v/>
      </c>
      <c r="F233" s="87" t="str">
        <f t="shared" si="1"/>
        <v/>
      </c>
      <c r="G233" s="87" t="str">
        <f t="shared" si="2"/>
        <v/>
      </c>
      <c r="H233" s="87"/>
      <c r="I233" s="87"/>
      <c r="J233" s="87"/>
    </row>
    <row r="234" spans="1:10">
      <c r="A234" s="2"/>
      <c r="B234" s="2"/>
      <c r="C234" s="120" t="str">
        <f>IF(B234="","",SUMIFS('S-BOM'!$D$3:$D994,'S-BOM'!$C$3:$C994,B234,'S-BOM'!$B$3:$B994,$B$2))</f>
        <v/>
      </c>
      <c r="D234" s="120" t="str">
        <f>IFERROR(IF(B234="","",VLOOKUP(B234,RM!$C$4:$F984,3,FALSE)),"")</f>
        <v/>
      </c>
      <c r="E234" s="118" t="str">
        <f>IF(B234="","",VLOOKUP(B234,RM!$C$4:$G984,14,FALSE))</f>
        <v/>
      </c>
      <c r="F234" s="87" t="str">
        <f t="shared" si="1"/>
        <v/>
      </c>
      <c r="G234" s="87" t="str">
        <f t="shared" si="2"/>
        <v/>
      </c>
      <c r="H234" s="87"/>
      <c r="I234" s="87"/>
      <c r="J234" s="87"/>
    </row>
    <row r="235" spans="1:10">
      <c r="A235" s="2"/>
      <c r="B235" s="2"/>
      <c r="C235" s="120" t="str">
        <f>IF(B235="","",SUMIFS('S-BOM'!$D$3:$D994,'S-BOM'!$C$3:$C994,B235,'S-BOM'!$B$3:$B994,$B$2))</f>
        <v/>
      </c>
      <c r="D235" s="120" t="str">
        <f>IFERROR(IF(B235="","",VLOOKUP(B235,RM!$C$4:$F984,3,FALSE)),"")</f>
        <v/>
      </c>
      <c r="E235" s="118" t="str">
        <f>IF(B235="","",VLOOKUP(B235,RM!$C$4:$G984,14,FALSE))</f>
        <v/>
      </c>
      <c r="F235" s="87" t="str">
        <f t="shared" si="1"/>
        <v/>
      </c>
      <c r="G235" s="87" t="str">
        <f t="shared" si="2"/>
        <v/>
      </c>
      <c r="H235" s="87"/>
      <c r="I235" s="87"/>
      <c r="J235" s="87"/>
    </row>
    <row r="236" spans="1:10">
      <c r="A236" s="2"/>
      <c r="B236" s="2"/>
      <c r="C236" s="120" t="str">
        <f>IF(B236="","",SUMIFS('S-BOM'!$D$3:$D994,'S-BOM'!$C$3:$C994,B236,'S-BOM'!$B$3:$B994,$B$2))</f>
        <v/>
      </c>
      <c r="D236" s="120" t="str">
        <f>IFERROR(IF(B236="","",VLOOKUP(B236,RM!$C$4:$F984,3,FALSE)),"")</f>
        <v/>
      </c>
      <c r="E236" s="118" t="str">
        <f>IF(B236="","",VLOOKUP(B236,RM!$C$4:$G984,14,FALSE))</f>
        <v/>
      </c>
      <c r="F236" s="87" t="str">
        <f t="shared" si="1"/>
        <v/>
      </c>
      <c r="G236" s="87" t="str">
        <f t="shared" si="2"/>
        <v/>
      </c>
      <c r="H236" s="87"/>
      <c r="I236" s="87"/>
      <c r="J236" s="87"/>
    </row>
    <row r="237" spans="1:10">
      <c r="A237" s="2"/>
      <c r="B237" s="2"/>
      <c r="C237" s="120" t="str">
        <f>IF(B237="","",SUMIFS('S-BOM'!$D$3:$D994,'S-BOM'!$C$3:$C994,B237,'S-BOM'!$B$3:$B994,$B$2))</f>
        <v/>
      </c>
      <c r="D237" s="120" t="str">
        <f>IFERROR(IF(B237="","",VLOOKUP(B237,RM!$C$4:$F984,3,FALSE)),"")</f>
        <v/>
      </c>
      <c r="E237" s="118" t="str">
        <f>IF(B237="","",VLOOKUP(B237,RM!$C$4:$G984,14,FALSE))</f>
        <v/>
      </c>
      <c r="F237" s="87" t="str">
        <f t="shared" si="1"/>
        <v/>
      </c>
      <c r="G237" s="87" t="str">
        <f t="shared" si="2"/>
        <v/>
      </c>
      <c r="H237" s="87"/>
      <c r="I237" s="87"/>
      <c r="J237" s="87"/>
    </row>
    <row r="238" spans="1:10">
      <c r="A238" s="2"/>
      <c r="B238" s="2"/>
      <c r="C238" s="120" t="str">
        <f>IF(B238="","",SUMIFS('S-BOM'!$D$3:$D994,'S-BOM'!$C$3:$C994,B238,'S-BOM'!$B$3:$B994,$B$2))</f>
        <v/>
      </c>
      <c r="D238" s="120" t="str">
        <f>IFERROR(IF(B238="","",VLOOKUP(B238,RM!$C$4:$F984,3,FALSE)),"")</f>
        <v/>
      </c>
      <c r="E238" s="118" t="str">
        <f>IF(B238="","",VLOOKUP(B238,RM!$C$4:$G984,14,FALSE))</f>
        <v/>
      </c>
      <c r="F238" s="87" t="str">
        <f t="shared" si="1"/>
        <v/>
      </c>
      <c r="G238" s="87" t="str">
        <f t="shared" si="2"/>
        <v/>
      </c>
      <c r="H238" s="87"/>
      <c r="I238" s="87"/>
      <c r="J238" s="87"/>
    </row>
    <row r="239" spans="1:10">
      <c r="A239" s="2"/>
      <c r="B239" s="2"/>
      <c r="C239" s="120" t="str">
        <f>IF(B239="","",SUMIFS('S-BOM'!$D$3:$D994,'S-BOM'!$C$3:$C994,B239,'S-BOM'!$B$3:$B994,$B$2))</f>
        <v/>
      </c>
      <c r="D239" s="120" t="str">
        <f>IFERROR(IF(B239="","",VLOOKUP(B239,RM!$C$4:$F984,3,FALSE)),"")</f>
        <v/>
      </c>
      <c r="E239" s="118" t="str">
        <f>IF(B239="","",VLOOKUP(B239,RM!$C$4:$G984,14,FALSE))</f>
        <v/>
      </c>
      <c r="F239" s="87" t="str">
        <f t="shared" si="1"/>
        <v/>
      </c>
      <c r="G239" s="87" t="str">
        <f t="shared" si="2"/>
        <v/>
      </c>
      <c r="H239" s="87"/>
      <c r="I239" s="87"/>
      <c r="J239" s="87"/>
    </row>
    <row r="240" spans="1:10">
      <c r="A240" s="2"/>
      <c r="B240" s="2"/>
      <c r="C240" s="120" t="str">
        <f>IF(B240="","",SUMIFS('S-BOM'!$D$3:$D994,'S-BOM'!$C$3:$C994,B240,'S-BOM'!$B$3:$B994,$B$2))</f>
        <v/>
      </c>
      <c r="D240" s="120" t="str">
        <f>IFERROR(IF(B240="","",VLOOKUP(B240,RM!$C$4:$F984,3,FALSE)),"")</f>
        <v/>
      </c>
      <c r="E240" s="118" t="str">
        <f>IF(B240="","",VLOOKUP(B240,RM!$C$4:$G984,14,FALSE))</f>
        <v/>
      </c>
      <c r="F240" s="87" t="str">
        <f t="shared" si="1"/>
        <v/>
      </c>
      <c r="G240" s="87" t="str">
        <f t="shared" si="2"/>
        <v/>
      </c>
      <c r="H240" s="87"/>
      <c r="I240" s="87"/>
      <c r="J240" s="87"/>
    </row>
    <row r="241" spans="1:10">
      <c r="A241" s="2"/>
      <c r="B241" s="2"/>
      <c r="C241" s="120" t="str">
        <f>IF(B241="","",SUMIFS('S-BOM'!$D$3:$D994,'S-BOM'!$C$3:$C994,B241,'S-BOM'!$B$3:$B994,$B$2))</f>
        <v/>
      </c>
      <c r="D241" s="120" t="str">
        <f>IFERROR(IF(B241="","",VLOOKUP(B241,RM!$C$4:$F984,3,FALSE)),"")</f>
        <v/>
      </c>
      <c r="E241" s="118" t="str">
        <f>IF(B241="","",VLOOKUP(B241,RM!$C$4:$G984,14,FALSE))</f>
        <v/>
      </c>
      <c r="F241" s="87" t="str">
        <f t="shared" si="1"/>
        <v/>
      </c>
      <c r="G241" s="87" t="str">
        <f t="shared" si="2"/>
        <v/>
      </c>
      <c r="H241" s="87"/>
      <c r="I241" s="87"/>
      <c r="J241" s="87"/>
    </row>
    <row r="242" spans="1:10">
      <c r="A242" s="2"/>
      <c r="B242" s="2"/>
      <c r="C242" s="120" t="str">
        <f>IF(B242="","",SUMIFS('S-BOM'!$D$3:$D994,'S-BOM'!$C$3:$C994,B242,'S-BOM'!$B$3:$B994,$B$2))</f>
        <v/>
      </c>
      <c r="D242" s="120" t="str">
        <f>IFERROR(IF(B242="","",VLOOKUP(B242,RM!$C$4:$F984,3,FALSE)),"")</f>
        <v/>
      </c>
      <c r="E242" s="118" t="str">
        <f>IF(B242="","",VLOOKUP(B242,RM!$C$4:$G984,14,FALSE))</f>
        <v/>
      </c>
      <c r="F242" s="87" t="str">
        <f t="shared" si="1"/>
        <v/>
      </c>
      <c r="G242" s="87" t="str">
        <f t="shared" si="2"/>
        <v/>
      </c>
      <c r="H242" s="87"/>
      <c r="I242" s="87"/>
      <c r="J242" s="87"/>
    </row>
    <row r="243" spans="1:10">
      <c r="A243" s="2"/>
      <c r="B243" s="2"/>
      <c r="C243" s="120" t="str">
        <f>IF(B243="","",SUMIFS('S-BOM'!$D$3:$D994,'S-BOM'!$C$3:$C994,B243,'S-BOM'!$B$3:$B994,$B$2))</f>
        <v/>
      </c>
      <c r="D243" s="120" t="str">
        <f>IFERROR(IF(B243="","",VLOOKUP(B243,RM!$C$4:$F984,3,FALSE)),"")</f>
        <v/>
      </c>
      <c r="E243" s="118" t="str">
        <f>IF(B243="","",VLOOKUP(B243,RM!$C$4:$G984,14,FALSE))</f>
        <v/>
      </c>
      <c r="F243" s="87" t="str">
        <f t="shared" si="1"/>
        <v/>
      </c>
      <c r="G243" s="87" t="str">
        <f t="shared" si="2"/>
        <v/>
      </c>
      <c r="H243" s="87"/>
      <c r="I243" s="87"/>
      <c r="J243" s="87"/>
    </row>
    <row r="244" spans="1:10">
      <c r="A244" s="2"/>
      <c r="B244" s="2"/>
      <c r="C244" s="120" t="str">
        <f>IF(B244="","",SUMIFS('S-BOM'!$D$3:$D994,'S-BOM'!$C$3:$C994,B244,'S-BOM'!$B$3:$B994,$B$2))</f>
        <v/>
      </c>
      <c r="D244" s="120" t="str">
        <f>IFERROR(IF(B244="","",VLOOKUP(B244,RM!$C$4:$F984,3,FALSE)),"")</f>
        <v/>
      </c>
      <c r="E244" s="118" t="str">
        <f>IF(B244="","",VLOOKUP(B244,RM!$C$4:$G984,14,FALSE))</f>
        <v/>
      </c>
      <c r="F244" s="87" t="str">
        <f t="shared" si="1"/>
        <v/>
      </c>
      <c r="G244" s="87" t="str">
        <f t="shared" si="2"/>
        <v/>
      </c>
      <c r="H244" s="87"/>
      <c r="I244" s="87"/>
      <c r="J244" s="87"/>
    </row>
    <row r="245" spans="1:10">
      <c r="A245" s="2"/>
      <c r="B245" s="2"/>
      <c r="C245" s="120" t="str">
        <f>IF(B245="","",SUMIFS('S-BOM'!$D$3:$D994,'S-BOM'!$C$3:$C994,B245,'S-BOM'!$B$3:$B994,$B$2))</f>
        <v/>
      </c>
      <c r="D245" s="120" t="str">
        <f>IFERROR(IF(B245="","",VLOOKUP(B245,RM!$C$4:$F984,3,FALSE)),"")</f>
        <v/>
      </c>
      <c r="E245" s="118" t="str">
        <f>IF(B245="","",VLOOKUP(B245,RM!$C$4:$G984,14,FALSE))</f>
        <v/>
      </c>
      <c r="F245" s="87" t="str">
        <f t="shared" si="1"/>
        <v/>
      </c>
      <c r="G245" s="87" t="str">
        <f t="shared" si="2"/>
        <v/>
      </c>
      <c r="H245" s="87"/>
      <c r="I245" s="87"/>
      <c r="J245" s="87"/>
    </row>
    <row r="246" spans="1:10">
      <c r="A246" s="2"/>
      <c r="B246" s="2"/>
      <c r="C246" s="120" t="str">
        <f>IF(B246="","",SUMIFS('S-BOM'!$D$3:$D994,'S-BOM'!$C$3:$C994,B246,'S-BOM'!$B$3:$B994,$B$2))</f>
        <v/>
      </c>
      <c r="D246" s="120" t="str">
        <f>IFERROR(IF(B246="","",VLOOKUP(B246,RM!$C$4:$F984,3,FALSE)),"")</f>
        <v/>
      </c>
      <c r="E246" s="118" t="str">
        <f>IF(B246="","",VLOOKUP(B246,RM!$C$4:$G984,14,FALSE))</f>
        <v/>
      </c>
      <c r="F246" s="87" t="str">
        <f t="shared" si="1"/>
        <v/>
      </c>
      <c r="G246" s="87" t="str">
        <f t="shared" si="2"/>
        <v/>
      </c>
      <c r="H246" s="87"/>
      <c r="I246" s="87"/>
      <c r="J246" s="87"/>
    </row>
    <row r="247" spans="1:10">
      <c r="A247" s="2"/>
      <c r="B247" s="2"/>
      <c r="C247" s="120" t="str">
        <f>IF(B247="","",SUMIFS('S-BOM'!$D$3:$D994,'S-BOM'!$C$3:$C994,B247,'S-BOM'!$B$3:$B994,$B$2))</f>
        <v/>
      </c>
      <c r="D247" s="120" t="str">
        <f>IFERROR(IF(B247="","",VLOOKUP(B247,RM!$C$4:$F984,3,FALSE)),"")</f>
        <v/>
      </c>
      <c r="E247" s="118" t="str">
        <f>IF(B247="","",VLOOKUP(B247,RM!$C$4:$G984,14,FALSE))</f>
        <v/>
      </c>
      <c r="F247" s="87" t="str">
        <f t="shared" si="1"/>
        <v/>
      </c>
      <c r="G247" s="87" t="str">
        <f t="shared" si="2"/>
        <v/>
      </c>
      <c r="H247" s="87"/>
      <c r="I247" s="87"/>
      <c r="J247" s="87"/>
    </row>
    <row r="248" spans="1:10">
      <c r="A248" s="2"/>
      <c r="B248" s="2"/>
      <c r="C248" s="120" t="str">
        <f>IF(B248="","",SUMIFS('S-BOM'!$D$3:$D994,'S-BOM'!$C$3:$C994,B248,'S-BOM'!$B$3:$B994,$B$2))</f>
        <v/>
      </c>
      <c r="D248" s="120" t="str">
        <f>IFERROR(IF(B248="","",VLOOKUP(B248,RM!$C$4:$F984,3,FALSE)),"")</f>
        <v/>
      </c>
      <c r="E248" s="118" t="str">
        <f>IF(B248="","",VLOOKUP(B248,RM!$C$4:$G984,14,FALSE))</f>
        <v/>
      </c>
      <c r="F248" s="87" t="str">
        <f t="shared" si="1"/>
        <v/>
      </c>
      <c r="G248" s="87" t="str">
        <f t="shared" si="2"/>
        <v/>
      </c>
      <c r="H248" s="87"/>
      <c r="I248" s="87"/>
      <c r="J248" s="87"/>
    </row>
    <row r="249" spans="1:10">
      <c r="A249" s="2"/>
      <c r="B249" s="2"/>
      <c r="C249" s="120" t="str">
        <f>IF(B249="","",SUMIFS('S-BOM'!$D$3:$D994,'S-BOM'!$C$3:$C994,B249,'S-BOM'!$B$3:$B994,$B$2))</f>
        <v/>
      </c>
      <c r="D249" s="120" t="str">
        <f>IFERROR(IF(B249="","",VLOOKUP(B249,RM!$C$4:$F984,3,FALSE)),"")</f>
        <v/>
      </c>
      <c r="E249" s="118" t="str">
        <f>IF(B249="","",VLOOKUP(B249,RM!$C$4:$G984,14,FALSE))</f>
        <v/>
      </c>
      <c r="F249" s="87" t="str">
        <f t="shared" si="1"/>
        <v/>
      </c>
      <c r="G249" s="87" t="str">
        <f t="shared" si="2"/>
        <v/>
      </c>
      <c r="H249" s="87"/>
      <c r="I249" s="87"/>
      <c r="J249" s="87"/>
    </row>
    <row r="250" spans="1:10">
      <c r="A250" s="2"/>
      <c r="B250" s="2"/>
      <c r="C250" s="120" t="str">
        <f>IF(B250="","",SUMIFS('S-BOM'!$D$3:$D994,'S-BOM'!$C$3:$C994,B250,'S-BOM'!$B$3:$B994,$B$2))</f>
        <v/>
      </c>
      <c r="D250" s="120" t="str">
        <f>IFERROR(IF(B250="","",VLOOKUP(B250,RM!$C$4:$F984,3,FALSE)),"")</f>
        <v/>
      </c>
      <c r="E250" s="118" t="str">
        <f>IF(B250="","",VLOOKUP(B250,RM!$C$4:$G984,14,FALSE))</f>
        <v/>
      </c>
      <c r="F250" s="87" t="str">
        <f t="shared" si="1"/>
        <v/>
      </c>
      <c r="G250" s="87" t="str">
        <f t="shared" si="2"/>
        <v/>
      </c>
      <c r="H250" s="87"/>
      <c r="I250" s="87"/>
      <c r="J250" s="87"/>
    </row>
    <row r="251" spans="1:10">
      <c r="A251" s="2"/>
      <c r="B251" s="2"/>
      <c r="C251" s="120" t="str">
        <f>IF(B251="","",SUMIFS('S-BOM'!$D$3:$D994,'S-BOM'!$C$3:$C994,B251,'S-BOM'!$B$3:$B994,$B$2))</f>
        <v/>
      </c>
      <c r="D251" s="120" t="str">
        <f>IFERROR(IF(B251="","",VLOOKUP(B251,RM!$C$4:$F984,3,FALSE)),"")</f>
        <v/>
      </c>
      <c r="E251" s="118" t="str">
        <f>IF(B251="","",VLOOKUP(B251,RM!$C$4:$G984,14,FALSE))</f>
        <v/>
      </c>
      <c r="F251" s="87" t="str">
        <f t="shared" si="1"/>
        <v/>
      </c>
      <c r="G251" s="87" t="str">
        <f t="shared" si="2"/>
        <v/>
      </c>
      <c r="H251" s="87"/>
      <c r="I251" s="87"/>
      <c r="J251" s="87"/>
    </row>
    <row r="252" spans="1:10">
      <c r="A252" s="2"/>
      <c r="B252" s="2"/>
      <c r="C252" s="120" t="str">
        <f>IF(B252="","",SUMIFS('S-BOM'!$D$3:$D994,'S-BOM'!$C$3:$C994,B252,'S-BOM'!$B$3:$B994,$B$2))</f>
        <v/>
      </c>
      <c r="D252" s="120" t="str">
        <f>IFERROR(IF(B252="","",VLOOKUP(B252,RM!$C$4:$F984,3,FALSE)),"")</f>
        <v/>
      </c>
      <c r="E252" s="118" t="str">
        <f>IF(B252="","",VLOOKUP(B252,RM!$C$4:$G984,14,FALSE))</f>
        <v/>
      </c>
      <c r="F252" s="87" t="str">
        <f t="shared" si="1"/>
        <v/>
      </c>
      <c r="G252" s="87" t="str">
        <f t="shared" si="2"/>
        <v/>
      </c>
      <c r="H252" s="87"/>
      <c r="I252" s="87"/>
      <c r="J252" s="87"/>
    </row>
    <row r="253" spans="1:10">
      <c r="A253" s="2"/>
      <c r="B253" s="2"/>
      <c r="C253" s="120" t="str">
        <f>IF(B253="","",SUMIFS('S-BOM'!$D$3:$D994,'S-BOM'!$C$3:$C994,B253,'S-BOM'!$B$3:$B994,$B$2))</f>
        <v/>
      </c>
      <c r="D253" s="120" t="str">
        <f>IFERROR(IF(B253="","",VLOOKUP(B253,RM!$C$4:$F984,3,FALSE)),"")</f>
        <v/>
      </c>
      <c r="E253" s="118" t="str">
        <f>IF(B253="","",VLOOKUP(B253,RM!$C$4:$G984,14,FALSE))</f>
        <v/>
      </c>
      <c r="F253" s="87" t="str">
        <f t="shared" si="1"/>
        <v/>
      </c>
      <c r="G253" s="87" t="str">
        <f t="shared" si="2"/>
        <v/>
      </c>
      <c r="H253" s="87"/>
      <c r="I253" s="87"/>
      <c r="J253" s="87"/>
    </row>
    <row r="254" spans="1:10">
      <c r="A254" s="2"/>
      <c r="B254" s="2"/>
      <c r="C254" s="120" t="str">
        <f>IF(B254="","",SUMIFS('S-BOM'!$D$3:$D994,'S-BOM'!$C$3:$C994,B254,'S-BOM'!$B$3:$B994,$B$2))</f>
        <v/>
      </c>
      <c r="D254" s="120" t="str">
        <f>IFERROR(IF(B254="","",VLOOKUP(B254,RM!$C$4:$F984,3,FALSE)),"")</f>
        <v/>
      </c>
      <c r="E254" s="118" t="str">
        <f>IF(B254="","",VLOOKUP(B254,RM!$C$4:$G984,14,FALSE))</f>
        <v/>
      </c>
      <c r="F254" s="87" t="str">
        <f t="shared" si="1"/>
        <v/>
      </c>
      <c r="G254" s="87" t="str">
        <f t="shared" si="2"/>
        <v/>
      </c>
      <c r="H254" s="87"/>
      <c r="I254" s="87"/>
      <c r="J254" s="87"/>
    </row>
    <row r="255" spans="1:10">
      <c r="A255" s="2"/>
      <c r="B255" s="2"/>
      <c r="C255" s="120" t="str">
        <f>IF(B255="","",SUMIFS('S-BOM'!$D$3:$D994,'S-BOM'!$C$3:$C994,B255,'S-BOM'!$B$3:$B994,$B$2))</f>
        <v/>
      </c>
      <c r="D255" s="120" t="str">
        <f>IFERROR(IF(B255="","",VLOOKUP(B255,RM!$C$4:$F984,3,FALSE)),"")</f>
        <v/>
      </c>
      <c r="E255" s="118" t="str">
        <f>IF(B255="","",VLOOKUP(B255,RM!$C$4:$G984,14,FALSE))</f>
        <v/>
      </c>
      <c r="F255" s="87" t="str">
        <f t="shared" si="1"/>
        <v/>
      </c>
      <c r="G255" s="87" t="str">
        <f t="shared" si="2"/>
        <v/>
      </c>
      <c r="H255" s="87"/>
      <c r="I255" s="87"/>
      <c r="J255" s="87"/>
    </row>
    <row r="256" spans="1:10">
      <c r="A256" s="2"/>
      <c r="B256" s="2"/>
      <c r="C256" s="120" t="str">
        <f>IF(B256="","",SUMIFS('S-BOM'!$D$3:$D994,'S-BOM'!$C$3:$C994,B256,'S-BOM'!$B$3:$B994,$B$2))</f>
        <v/>
      </c>
      <c r="D256" s="120" t="str">
        <f>IFERROR(IF(B256="","",VLOOKUP(B256,RM!$C$4:$F984,3,FALSE)),"")</f>
        <v/>
      </c>
      <c r="E256" s="118" t="str">
        <f>IF(B256="","",VLOOKUP(B256,RM!$C$4:$G984,14,FALSE))</f>
        <v/>
      </c>
      <c r="F256" s="87" t="str">
        <f t="shared" si="1"/>
        <v/>
      </c>
      <c r="G256" s="87" t="str">
        <f t="shared" si="2"/>
        <v/>
      </c>
      <c r="H256" s="87"/>
      <c r="I256" s="87"/>
      <c r="J256" s="87"/>
    </row>
    <row r="257" spans="1:10">
      <c r="A257" s="2"/>
      <c r="B257" s="2"/>
      <c r="C257" s="120" t="str">
        <f>IF(B257="","",SUMIFS('S-BOM'!$D$3:$D994,'S-BOM'!$C$3:$C994,B257,'S-BOM'!$B$3:$B994,$B$2))</f>
        <v/>
      </c>
      <c r="D257" s="120" t="str">
        <f>IFERROR(IF(B257="","",VLOOKUP(B257,RM!$C$4:$F984,3,FALSE)),"")</f>
        <v/>
      </c>
      <c r="E257" s="118" t="str">
        <f>IF(B257="","",VLOOKUP(B257,RM!$C$4:$G984,14,FALSE))</f>
        <v/>
      </c>
      <c r="F257" s="87" t="str">
        <f t="shared" si="1"/>
        <v/>
      </c>
      <c r="G257" s="87" t="str">
        <f t="shared" si="2"/>
        <v/>
      </c>
      <c r="H257" s="87"/>
      <c r="I257" s="87"/>
      <c r="J257" s="87"/>
    </row>
    <row r="258" spans="1:10">
      <c r="A258" s="2"/>
      <c r="B258" s="2"/>
      <c r="C258" s="120" t="str">
        <f>IF(B258="","",SUMIFS('S-BOM'!$D$3:$D994,'S-BOM'!$C$3:$C994,B258,'S-BOM'!$B$3:$B994,$B$2))</f>
        <v/>
      </c>
      <c r="D258" s="120" t="str">
        <f>IFERROR(IF(B258="","",VLOOKUP(B258,RM!$C$4:$F984,3,FALSE)),"")</f>
        <v/>
      </c>
      <c r="E258" s="118" t="str">
        <f>IF(B258="","",VLOOKUP(B258,RM!$C$4:$G984,14,FALSE))</f>
        <v/>
      </c>
      <c r="F258" s="87" t="str">
        <f t="shared" si="1"/>
        <v/>
      </c>
      <c r="G258" s="87" t="str">
        <f t="shared" si="2"/>
        <v/>
      </c>
      <c r="H258" s="87"/>
      <c r="I258" s="87"/>
      <c r="J258" s="87"/>
    </row>
    <row r="259" spans="1:10">
      <c r="A259" s="2"/>
      <c r="B259" s="2"/>
      <c r="C259" s="120" t="str">
        <f>IF(B259="","",SUMIFS('S-BOM'!$D$3:$D994,'S-BOM'!$C$3:$C994,B259,'S-BOM'!$B$3:$B994,$B$2))</f>
        <v/>
      </c>
      <c r="D259" s="120" t="str">
        <f>IFERROR(IF(B259="","",VLOOKUP(B259,RM!$C$4:$F984,3,FALSE)),"")</f>
        <v/>
      </c>
      <c r="E259" s="118" t="str">
        <f>IF(B259="","",VLOOKUP(B259,RM!$C$4:$G984,14,FALSE))</f>
        <v/>
      </c>
      <c r="F259" s="87" t="str">
        <f t="shared" ref="F259:F513" si="3">IF(B259="","",$D$2*C259)</f>
        <v/>
      </c>
      <c r="G259" s="87" t="str">
        <f t="shared" ref="G259:G513" si="4">IF(B259="","",IF(E259&gt;F259,0,F259-E259))</f>
        <v/>
      </c>
      <c r="H259" s="87"/>
      <c r="I259" s="87"/>
      <c r="J259" s="87"/>
    </row>
    <row r="260" spans="1:10">
      <c r="A260" s="2"/>
      <c r="B260" s="2"/>
      <c r="C260" s="120" t="str">
        <f>IF(B260="","",SUMIFS('S-BOM'!$D$3:$D994,'S-BOM'!$C$3:$C994,B260,'S-BOM'!$B$3:$B994,$B$2))</f>
        <v/>
      </c>
      <c r="D260" s="120" t="str">
        <f>IFERROR(IF(B260="","",VLOOKUP(B260,RM!$C$4:$F984,3,FALSE)),"")</f>
        <v/>
      </c>
      <c r="E260" s="118" t="str">
        <f>IF(B260="","",VLOOKUP(B260,RM!$C$4:$G984,14,FALSE))</f>
        <v/>
      </c>
      <c r="F260" s="87" t="str">
        <f t="shared" si="3"/>
        <v/>
      </c>
      <c r="G260" s="87" t="str">
        <f t="shared" si="4"/>
        <v/>
      </c>
      <c r="H260" s="87"/>
      <c r="I260" s="87"/>
      <c r="J260" s="87"/>
    </row>
    <row r="261" spans="1:10">
      <c r="A261" s="2"/>
      <c r="B261" s="2"/>
      <c r="C261" s="120" t="str">
        <f>IF(B261="","",SUMIFS('S-BOM'!$D$3:$D994,'S-BOM'!$C$3:$C994,B261,'S-BOM'!$B$3:$B994,$B$2))</f>
        <v/>
      </c>
      <c r="D261" s="120" t="str">
        <f>IFERROR(IF(B261="","",VLOOKUP(B261,RM!$C$4:$F984,3,FALSE)),"")</f>
        <v/>
      </c>
      <c r="E261" s="118" t="str">
        <f>IF(B261="","",VLOOKUP(B261,RM!$C$4:$G984,14,FALSE))</f>
        <v/>
      </c>
      <c r="F261" s="87" t="str">
        <f t="shared" si="3"/>
        <v/>
      </c>
      <c r="G261" s="87" t="str">
        <f t="shared" si="4"/>
        <v/>
      </c>
      <c r="H261" s="87"/>
      <c r="I261" s="87"/>
      <c r="J261" s="87"/>
    </row>
    <row r="262" spans="1:10">
      <c r="A262" s="2"/>
      <c r="B262" s="2"/>
      <c r="C262" s="120" t="str">
        <f>IF(B262="","",SUMIFS('S-BOM'!$D$3:$D994,'S-BOM'!$C$3:$C994,B262,'S-BOM'!$B$3:$B994,$B$2))</f>
        <v/>
      </c>
      <c r="D262" s="120" t="str">
        <f>IFERROR(IF(B262="","",VLOOKUP(B262,RM!$C$4:$F984,3,FALSE)),"")</f>
        <v/>
      </c>
      <c r="E262" s="118" t="str">
        <f>IF(B262="","",VLOOKUP(B262,RM!$C$4:$G984,14,FALSE))</f>
        <v/>
      </c>
      <c r="F262" s="87" t="str">
        <f t="shared" si="3"/>
        <v/>
      </c>
      <c r="G262" s="87" t="str">
        <f t="shared" si="4"/>
        <v/>
      </c>
      <c r="H262" s="87"/>
      <c r="I262" s="87"/>
      <c r="J262" s="87"/>
    </row>
    <row r="263" spans="1:10">
      <c r="A263" s="2"/>
      <c r="B263" s="2"/>
      <c r="C263" s="120" t="str">
        <f>IF(B263="","",SUMIFS('S-BOM'!$D$3:$D994,'S-BOM'!$C$3:$C994,B263,'S-BOM'!$B$3:$B994,$B$2))</f>
        <v/>
      </c>
      <c r="D263" s="120" t="str">
        <f>IFERROR(IF(B263="","",VLOOKUP(B263,RM!$C$4:$F984,3,FALSE)),"")</f>
        <v/>
      </c>
      <c r="E263" s="118" t="str">
        <f>IF(B263="","",VLOOKUP(B263,RM!$C$4:$G984,14,FALSE))</f>
        <v/>
      </c>
      <c r="F263" s="87" t="str">
        <f t="shared" si="3"/>
        <v/>
      </c>
      <c r="G263" s="87" t="str">
        <f t="shared" si="4"/>
        <v/>
      </c>
      <c r="H263" s="87"/>
      <c r="I263" s="87"/>
      <c r="J263" s="87"/>
    </row>
    <row r="264" spans="1:10">
      <c r="A264" s="2"/>
      <c r="B264" s="2"/>
      <c r="C264" s="120" t="str">
        <f>IF(B264="","",SUMIFS('S-BOM'!$D$3:$D994,'S-BOM'!$C$3:$C994,B264,'S-BOM'!$B$3:$B994,$B$2))</f>
        <v/>
      </c>
      <c r="D264" s="120" t="str">
        <f>IFERROR(IF(B264="","",VLOOKUP(B264,RM!$C$4:$F984,3,FALSE)),"")</f>
        <v/>
      </c>
      <c r="E264" s="118" t="str">
        <f>IF(B264="","",VLOOKUP(B264,RM!$C$4:$G984,14,FALSE))</f>
        <v/>
      </c>
      <c r="F264" s="87" t="str">
        <f t="shared" si="3"/>
        <v/>
      </c>
      <c r="G264" s="87" t="str">
        <f t="shared" si="4"/>
        <v/>
      </c>
      <c r="H264" s="87"/>
      <c r="I264" s="87"/>
      <c r="J264" s="87"/>
    </row>
    <row r="265" spans="1:10">
      <c r="A265" s="2"/>
      <c r="B265" s="2"/>
      <c r="C265" s="120" t="str">
        <f>IF(B265="","",SUMIFS('S-BOM'!$D$3:$D994,'S-BOM'!$C$3:$C994,B265,'S-BOM'!$B$3:$B994,$B$2))</f>
        <v/>
      </c>
      <c r="D265" s="120" t="str">
        <f>IFERROR(IF(B265="","",VLOOKUP(B265,RM!$C$4:$F984,3,FALSE)),"")</f>
        <v/>
      </c>
      <c r="E265" s="118" t="str">
        <f>IF(B265="","",VLOOKUP(B265,RM!$C$4:$G984,14,FALSE))</f>
        <v/>
      </c>
      <c r="F265" s="87" t="str">
        <f t="shared" si="3"/>
        <v/>
      </c>
      <c r="G265" s="87" t="str">
        <f t="shared" si="4"/>
        <v/>
      </c>
      <c r="H265" s="87"/>
      <c r="I265" s="87"/>
      <c r="J265" s="87"/>
    </row>
    <row r="266" spans="1:10">
      <c r="A266" s="2"/>
      <c r="B266" s="2"/>
      <c r="C266" s="120" t="str">
        <f>IF(B266="","",SUMIFS('S-BOM'!$D$3:$D994,'S-BOM'!$C$3:$C994,B266,'S-BOM'!$B$3:$B994,$B$2))</f>
        <v/>
      </c>
      <c r="D266" s="120" t="str">
        <f>IFERROR(IF(B266="","",VLOOKUP(B266,RM!$C$4:$F984,3,FALSE)),"")</f>
        <v/>
      </c>
      <c r="E266" s="118" t="str">
        <f>IF(B266="","",VLOOKUP(B266,RM!$C$4:$G984,14,FALSE))</f>
        <v/>
      </c>
      <c r="F266" s="87" t="str">
        <f t="shared" si="3"/>
        <v/>
      </c>
      <c r="G266" s="87" t="str">
        <f t="shared" si="4"/>
        <v/>
      </c>
      <c r="H266" s="87"/>
      <c r="I266" s="87"/>
      <c r="J266" s="87"/>
    </row>
    <row r="267" spans="1:10">
      <c r="A267" s="2"/>
      <c r="B267" s="2"/>
      <c r="C267" s="120" t="str">
        <f>IF(B267="","",SUMIFS('S-BOM'!$D$3:$D994,'S-BOM'!$C$3:$C994,B267,'S-BOM'!$B$3:$B994,$B$2))</f>
        <v/>
      </c>
      <c r="D267" s="120" t="str">
        <f>IFERROR(IF(B267="","",VLOOKUP(B267,RM!$C$4:$F984,3,FALSE)),"")</f>
        <v/>
      </c>
      <c r="E267" s="118" t="str">
        <f>IF(B267="","",VLOOKUP(B267,RM!$C$4:$G984,14,FALSE))</f>
        <v/>
      </c>
      <c r="F267" s="87" t="str">
        <f t="shared" si="3"/>
        <v/>
      </c>
      <c r="G267" s="87" t="str">
        <f t="shared" si="4"/>
        <v/>
      </c>
      <c r="H267" s="87"/>
      <c r="I267" s="87"/>
      <c r="J267" s="87"/>
    </row>
    <row r="268" spans="1:10">
      <c r="A268" s="2"/>
      <c r="B268" s="2"/>
      <c r="C268" s="120" t="str">
        <f>IF(B268="","",SUMIFS('S-BOM'!$D$3:$D994,'S-BOM'!$C$3:$C994,B268,'S-BOM'!$B$3:$B994,$B$2))</f>
        <v/>
      </c>
      <c r="D268" s="120" t="str">
        <f>IFERROR(IF(B268="","",VLOOKUP(B268,RM!$C$4:$F984,3,FALSE)),"")</f>
        <v/>
      </c>
      <c r="E268" s="118" t="str">
        <f>IF(B268="","",VLOOKUP(B268,RM!$C$4:$G984,14,FALSE))</f>
        <v/>
      </c>
      <c r="F268" s="87" t="str">
        <f t="shared" si="3"/>
        <v/>
      </c>
      <c r="G268" s="87" t="str">
        <f t="shared" si="4"/>
        <v/>
      </c>
      <c r="H268" s="87"/>
      <c r="I268" s="87"/>
      <c r="J268" s="87"/>
    </row>
    <row r="269" spans="1:10">
      <c r="A269" s="2"/>
      <c r="B269" s="2"/>
      <c r="C269" s="120" t="str">
        <f>IF(B269="","",SUMIFS('S-BOM'!$D$3:$D994,'S-BOM'!$C$3:$C994,B269,'S-BOM'!$B$3:$B994,$B$2))</f>
        <v/>
      </c>
      <c r="D269" s="120" t="str">
        <f>IFERROR(IF(B269="","",VLOOKUP(B269,RM!$C$4:$F984,3,FALSE)),"")</f>
        <v/>
      </c>
      <c r="E269" s="118" t="str">
        <f>IF(B269="","",VLOOKUP(B269,RM!$C$4:$G984,14,FALSE))</f>
        <v/>
      </c>
      <c r="F269" s="87" t="str">
        <f t="shared" si="3"/>
        <v/>
      </c>
      <c r="G269" s="87" t="str">
        <f t="shared" si="4"/>
        <v/>
      </c>
      <c r="H269" s="87"/>
      <c r="I269" s="87"/>
      <c r="J269" s="87"/>
    </row>
    <row r="270" spans="1:10">
      <c r="A270" s="2"/>
      <c r="B270" s="2"/>
      <c r="C270" s="120" t="str">
        <f>IF(B270="","",SUMIFS('S-BOM'!$D$3:$D994,'S-BOM'!$C$3:$C994,B270,'S-BOM'!$B$3:$B994,$B$2))</f>
        <v/>
      </c>
      <c r="D270" s="120" t="str">
        <f>IFERROR(IF(B270="","",VLOOKUP(B270,RM!$C$4:$F984,3,FALSE)),"")</f>
        <v/>
      </c>
      <c r="E270" s="118" t="str">
        <f>IF(B270="","",VLOOKUP(B270,RM!$C$4:$G984,14,FALSE))</f>
        <v/>
      </c>
      <c r="F270" s="87" t="str">
        <f t="shared" si="3"/>
        <v/>
      </c>
      <c r="G270" s="87" t="str">
        <f t="shared" si="4"/>
        <v/>
      </c>
      <c r="H270" s="87"/>
      <c r="I270" s="87"/>
      <c r="J270" s="87"/>
    </row>
    <row r="271" spans="1:10">
      <c r="A271" s="2"/>
      <c r="B271" s="2"/>
      <c r="C271" s="120" t="str">
        <f>IF(B271="","",SUMIFS('S-BOM'!$D$3:$D994,'S-BOM'!$C$3:$C994,B271,'S-BOM'!$B$3:$B994,$B$2))</f>
        <v/>
      </c>
      <c r="D271" s="120" t="str">
        <f>IFERROR(IF(B271="","",VLOOKUP(B271,RM!$C$4:$F984,3,FALSE)),"")</f>
        <v/>
      </c>
      <c r="E271" s="118" t="str">
        <f>IF(B271="","",VLOOKUP(B271,RM!$C$4:$G984,14,FALSE))</f>
        <v/>
      </c>
      <c r="F271" s="87" t="str">
        <f t="shared" si="3"/>
        <v/>
      </c>
      <c r="G271" s="87" t="str">
        <f t="shared" si="4"/>
        <v/>
      </c>
      <c r="H271" s="87"/>
      <c r="I271" s="87"/>
      <c r="J271" s="87"/>
    </row>
    <row r="272" spans="1:10">
      <c r="A272" s="2"/>
      <c r="B272" s="2"/>
      <c r="C272" s="120" t="str">
        <f>IF(B272="","",SUMIFS('S-BOM'!$D$3:$D994,'S-BOM'!$C$3:$C994,B272,'S-BOM'!$B$3:$B994,$B$2))</f>
        <v/>
      </c>
      <c r="D272" s="120" t="str">
        <f>IFERROR(IF(B272="","",VLOOKUP(B272,RM!$C$4:$F984,3,FALSE)),"")</f>
        <v/>
      </c>
      <c r="E272" s="118" t="str">
        <f>IF(B272="","",VLOOKUP(B272,RM!$C$4:$G984,14,FALSE))</f>
        <v/>
      </c>
      <c r="F272" s="87" t="str">
        <f t="shared" si="3"/>
        <v/>
      </c>
      <c r="G272" s="87" t="str">
        <f t="shared" si="4"/>
        <v/>
      </c>
      <c r="H272" s="87"/>
      <c r="I272" s="87"/>
      <c r="J272" s="87"/>
    </row>
    <row r="273" spans="1:10">
      <c r="A273" s="2"/>
      <c r="B273" s="2"/>
      <c r="C273" s="120" t="str">
        <f>IF(B273="","",SUMIFS('S-BOM'!$D$3:$D994,'S-BOM'!$C$3:$C994,B273,'S-BOM'!$B$3:$B994,$B$2))</f>
        <v/>
      </c>
      <c r="D273" s="120" t="str">
        <f>IFERROR(IF(B273="","",VLOOKUP(B273,RM!$C$4:$F984,3,FALSE)),"")</f>
        <v/>
      </c>
      <c r="E273" s="118" t="str">
        <f>IF(B273="","",VLOOKUP(B273,RM!$C$4:$G984,14,FALSE))</f>
        <v/>
      </c>
      <c r="F273" s="87" t="str">
        <f t="shared" si="3"/>
        <v/>
      </c>
      <c r="G273" s="87" t="str">
        <f t="shared" si="4"/>
        <v/>
      </c>
      <c r="H273" s="87"/>
      <c r="I273" s="87"/>
      <c r="J273" s="87"/>
    </row>
    <row r="274" spans="1:10">
      <c r="A274" s="2"/>
      <c r="B274" s="2"/>
      <c r="C274" s="120" t="str">
        <f>IF(B274="","",SUMIFS('S-BOM'!$D$3:$D994,'S-BOM'!$C$3:$C994,B274,'S-BOM'!$B$3:$B994,$B$2))</f>
        <v/>
      </c>
      <c r="D274" s="120" t="str">
        <f>IFERROR(IF(B274="","",VLOOKUP(B274,RM!$C$4:$F984,3,FALSE)),"")</f>
        <v/>
      </c>
      <c r="E274" s="118" t="str">
        <f>IF(B274="","",VLOOKUP(B274,RM!$C$4:$G984,14,FALSE))</f>
        <v/>
      </c>
      <c r="F274" s="87" t="str">
        <f t="shared" si="3"/>
        <v/>
      </c>
      <c r="G274" s="87" t="str">
        <f t="shared" si="4"/>
        <v/>
      </c>
      <c r="H274" s="87"/>
      <c r="I274" s="87"/>
      <c r="J274" s="87"/>
    </row>
    <row r="275" spans="1:10">
      <c r="A275" s="2"/>
      <c r="B275" s="2"/>
      <c r="C275" s="120" t="str">
        <f>IF(B275="","",SUMIFS('S-BOM'!$D$3:$D994,'S-BOM'!$C$3:$C994,B275,'S-BOM'!$B$3:$B994,$B$2))</f>
        <v/>
      </c>
      <c r="D275" s="120" t="str">
        <f>IFERROR(IF(B275="","",VLOOKUP(B275,RM!$C$4:$F984,3,FALSE)),"")</f>
        <v/>
      </c>
      <c r="E275" s="118" t="str">
        <f>IF(B275="","",VLOOKUP(B275,RM!$C$4:$G984,14,FALSE))</f>
        <v/>
      </c>
      <c r="F275" s="87" t="str">
        <f t="shared" si="3"/>
        <v/>
      </c>
      <c r="G275" s="87" t="str">
        <f t="shared" si="4"/>
        <v/>
      </c>
      <c r="H275" s="87"/>
      <c r="I275" s="87"/>
      <c r="J275" s="87"/>
    </row>
    <row r="276" spans="1:10">
      <c r="A276" s="2"/>
      <c r="B276" s="2"/>
      <c r="C276" s="120" t="str">
        <f>IF(B276="","",SUMIFS('S-BOM'!$D$3:$D994,'S-BOM'!$C$3:$C994,B276,'S-BOM'!$B$3:$B994,$B$2))</f>
        <v/>
      </c>
      <c r="D276" s="120" t="str">
        <f>IFERROR(IF(B276="","",VLOOKUP(B276,RM!$C$4:$F984,3,FALSE)),"")</f>
        <v/>
      </c>
      <c r="E276" s="118" t="str">
        <f>IF(B276="","",VLOOKUP(B276,RM!$C$4:$G984,14,FALSE))</f>
        <v/>
      </c>
      <c r="F276" s="87" t="str">
        <f t="shared" si="3"/>
        <v/>
      </c>
      <c r="G276" s="87" t="str">
        <f t="shared" si="4"/>
        <v/>
      </c>
      <c r="H276" s="87"/>
      <c r="I276" s="87"/>
      <c r="J276" s="87"/>
    </row>
    <row r="277" spans="1:10">
      <c r="A277" s="2"/>
      <c r="B277" s="2"/>
      <c r="C277" s="120" t="str">
        <f>IF(B277="","",SUMIFS('S-BOM'!$D$3:$D994,'S-BOM'!$C$3:$C994,B277,'S-BOM'!$B$3:$B994,$B$2))</f>
        <v/>
      </c>
      <c r="D277" s="120" t="str">
        <f>IFERROR(IF(B277="","",VLOOKUP(B277,RM!$C$4:$F984,3,FALSE)),"")</f>
        <v/>
      </c>
      <c r="E277" s="118" t="str">
        <f>IF(B277="","",VLOOKUP(B277,RM!$C$4:$G984,14,FALSE))</f>
        <v/>
      </c>
      <c r="F277" s="87" t="str">
        <f t="shared" si="3"/>
        <v/>
      </c>
      <c r="G277" s="87" t="str">
        <f t="shared" si="4"/>
        <v/>
      </c>
      <c r="H277" s="87"/>
      <c r="I277" s="87"/>
      <c r="J277" s="87"/>
    </row>
    <row r="278" spans="1:10">
      <c r="A278" s="2"/>
      <c r="B278" s="2"/>
      <c r="C278" s="120" t="str">
        <f>IF(B278="","",SUMIFS('S-BOM'!$D$3:$D994,'S-BOM'!$C$3:$C994,B278,'S-BOM'!$B$3:$B994,$B$2))</f>
        <v/>
      </c>
      <c r="D278" s="120" t="str">
        <f>IFERROR(IF(B278="","",VLOOKUP(B278,RM!$C$4:$F984,3,FALSE)),"")</f>
        <v/>
      </c>
      <c r="E278" s="118" t="str">
        <f>IF(B278="","",VLOOKUP(B278,RM!$C$4:$G984,14,FALSE))</f>
        <v/>
      </c>
      <c r="F278" s="87" t="str">
        <f t="shared" si="3"/>
        <v/>
      </c>
      <c r="G278" s="87" t="str">
        <f t="shared" si="4"/>
        <v/>
      </c>
      <c r="H278" s="87"/>
      <c r="I278" s="87"/>
      <c r="J278" s="87"/>
    </row>
    <row r="279" spans="1:10">
      <c r="A279" s="2"/>
      <c r="B279" s="2"/>
      <c r="C279" s="120" t="str">
        <f>IF(B279="","",SUMIFS('S-BOM'!$D$3:$D994,'S-BOM'!$C$3:$C994,B279,'S-BOM'!$B$3:$B994,$B$2))</f>
        <v/>
      </c>
      <c r="D279" s="120" t="str">
        <f>IFERROR(IF(B279="","",VLOOKUP(B279,RM!$C$4:$F984,3,FALSE)),"")</f>
        <v/>
      </c>
      <c r="E279" s="118" t="str">
        <f>IF(B279="","",VLOOKUP(B279,RM!$C$4:$G984,14,FALSE))</f>
        <v/>
      </c>
      <c r="F279" s="87" t="str">
        <f t="shared" si="3"/>
        <v/>
      </c>
      <c r="G279" s="87" t="str">
        <f t="shared" si="4"/>
        <v/>
      </c>
      <c r="H279" s="87"/>
      <c r="I279" s="87"/>
      <c r="J279" s="87"/>
    </row>
    <row r="280" spans="1:10">
      <c r="A280" s="2"/>
      <c r="B280" s="2"/>
      <c r="C280" s="120" t="str">
        <f>IF(B280="","",SUMIFS('S-BOM'!$D$3:$D994,'S-BOM'!$C$3:$C994,B280,'S-BOM'!$B$3:$B994,$B$2))</f>
        <v/>
      </c>
      <c r="D280" s="120" t="str">
        <f>IFERROR(IF(B280="","",VLOOKUP(B280,RM!$C$4:$F984,3,FALSE)),"")</f>
        <v/>
      </c>
      <c r="E280" s="118" t="str">
        <f>IF(B280="","",VLOOKUP(B280,RM!$C$4:$G984,14,FALSE))</f>
        <v/>
      </c>
      <c r="F280" s="87" t="str">
        <f t="shared" si="3"/>
        <v/>
      </c>
      <c r="G280" s="87" t="str">
        <f t="shared" si="4"/>
        <v/>
      </c>
      <c r="H280" s="87"/>
      <c r="I280" s="87"/>
      <c r="J280" s="87"/>
    </row>
    <row r="281" spans="1:10">
      <c r="A281" s="2"/>
      <c r="B281" s="2"/>
      <c r="C281" s="120" t="str">
        <f>IF(B281="","",SUMIFS('S-BOM'!$D$3:$D994,'S-BOM'!$C$3:$C994,B281,'S-BOM'!$B$3:$B994,$B$2))</f>
        <v/>
      </c>
      <c r="D281" s="120" t="str">
        <f>IFERROR(IF(B281="","",VLOOKUP(B281,RM!$C$4:$F984,3,FALSE)),"")</f>
        <v/>
      </c>
      <c r="E281" s="118" t="str">
        <f>IF(B281="","",VLOOKUP(B281,RM!$C$4:$G984,14,FALSE))</f>
        <v/>
      </c>
      <c r="F281" s="87" t="str">
        <f t="shared" si="3"/>
        <v/>
      </c>
      <c r="G281" s="87" t="str">
        <f t="shared" si="4"/>
        <v/>
      </c>
      <c r="H281" s="87"/>
      <c r="I281" s="87"/>
      <c r="J281" s="87"/>
    </row>
    <row r="282" spans="1:10">
      <c r="A282" s="2"/>
      <c r="B282" s="2"/>
      <c r="C282" s="120" t="str">
        <f>IF(B282="","",SUMIFS('S-BOM'!$D$3:$D994,'S-BOM'!$C$3:$C994,B282,'S-BOM'!$B$3:$B994,$B$2))</f>
        <v/>
      </c>
      <c r="D282" s="120" t="str">
        <f>IFERROR(IF(B282="","",VLOOKUP(B282,RM!$C$4:$F984,3,FALSE)),"")</f>
        <v/>
      </c>
      <c r="E282" s="118" t="str">
        <f>IF(B282="","",VLOOKUP(B282,RM!$C$4:$G984,14,FALSE))</f>
        <v/>
      </c>
      <c r="F282" s="87" t="str">
        <f t="shared" si="3"/>
        <v/>
      </c>
      <c r="G282" s="87" t="str">
        <f t="shared" si="4"/>
        <v/>
      </c>
      <c r="H282" s="87"/>
      <c r="I282" s="87"/>
      <c r="J282" s="87"/>
    </row>
    <row r="283" spans="1:10">
      <c r="A283" s="2"/>
      <c r="B283" s="2"/>
      <c r="C283" s="120" t="str">
        <f>IF(B283="","",SUMIFS('S-BOM'!$D$3:$D994,'S-BOM'!$C$3:$C994,B283,'S-BOM'!$B$3:$B994,$B$2))</f>
        <v/>
      </c>
      <c r="D283" s="120" t="str">
        <f>IFERROR(IF(B283="","",VLOOKUP(B283,RM!$C$4:$F984,3,FALSE)),"")</f>
        <v/>
      </c>
      <c r="E283" s="118" t="str">
        <f>IF(B283="","",VLOOKUP(B283,RM!$C$4:$G984,14,FALSE))</f>
        <v/>
      </c>
      <c r="F283" s="87" t="str">
        <f t="shared" si="3"/>
        <v/>
      </c>
      <c r="G283" s="87" t="str">
        <f t="shared" si="4"/>
        <v/>
      </c>
      <c r="H283" s="87"/>
      <c r="I283" s="87"/>
      <c r="J283" s="87"/>
    </row>
    <row r="284" spans="1:10">
      <c r="A284" s="2"/>
      <c r="B284" s="2"/>
      <c r="C284" s="120" t="str">
        <f>IF(B284="","",SUMIFS('S-BOM'!$D$3:$D994,'S-BOM'!$C$3:$C994,B284,'S-BOM'!$B$3:$B994,$B$2))</f>
        <v/>
      </c>
      <c r="D284" s="120" t="str">
        <f>IFERROR(IF(B284="","",VLOOKUP(B284,RM!$C$4:$F984,3,FALSE)),"")</f>
        <v/>
      </c>
      <c r="E284" s="118" t="str">
        <f>IF(B284="","",VLOOKUP(B284,RM!$C$4:$G984,14,FALSE))</f>
        <v/>
      </c>
      <c r="F284" s="87" t="str">
        <f t="shared" si="3"/>
        <v/>
      </c>
      <c r="G284" s="87" t="str">
        <f t="shared" si="4"/>
        <v/>
      </c>
      <c r="H284" s="87"/>
      <c r="I284" s="87"/>
      <c r="J284" s="87"/>
    </row>
    <row r="285" spans="1:10">
      <c r="A285" s="2"/>
      <c r="B285" s="2"/>
      <c r="C285" s="120" t="str">
        <f>IF(B285="","",SUMIFS('S-BOM'!$D$3:$D994,'S-BOM'!$C$3:$C994,B285,'S-BOM'!$B$3:$B994,$B$2))</f>
        <v/>
      </c>
      <c r="D285" s="120" t="str">
        <f>IFERROR(IF(B285="","",VLOOKUP(B285,RM!$C$4:$F984,3,FALSE)),"")</f>
        <v/>
      </c>
      <c r="E285" s="118" t="str">
        <f>IF(B285="","",VLOOKUP(B285,RM!$C$4:$G984,14,FALSE))</f>
        <v/>
      </c>
      <c r="F285" s="87" t="str">
        <f t="shared" si="3"/>
        <v/>
      </c>
      <c r="G285" s="87" t="str">
        <f t="shared" si="4"/>
        <v/>
      </c>
      <c r="H285" s="87"/>
      <c r="I285" s="87"/>
      <c r="J285" s="87"/>
    </row>
    <row r="286" spans="1:10">
      <c r="A286" s="2"/>
      <c r="B286" s="2"/>
      <c r="C286" s="120" t="str">
        <f>IF(B286="","",SUMIFS('S-BOM'!$D$3:$D994,'S-BOM'!$C$3:$C994,B286,'S-BOM'!$B$3:$B994,$B$2))</f>
        <v/>
      </c>
      <c r="D286" s="120" t="str">
        <f>IFERROR(IF(B286="","",VLOOKUP(B286,RM!$C$4:$F984,3,FALSE)),"")</f>
        <v/>
      </c>
      <c r="E286" s="118" t="str">
        <f>IF(B286="","",VLOOKUP(B286,RM!$C$4:$G984,14,FALSE))</f>
        <v/>
      </c>
      <c r="F286" s="87" t="str">
        <f t="shared" si="3"/>
        <v/>
      </c>
      <c r="G286" s="87" t="str">
        <f t="shared" si="4"/>
        <v/>
      </c>
      <c r="H286" s="87"/>
      <c r="I286" s="87"/>
      <c r="J286" s="87"/>
    </row>
    <row r="287" spans="1:10">
      <c r="A287" s="2"/>
      <c r="B287" s="2"/>
      <c r="C287" s="120" t="str">
        <f>IF(B287="","",SUMIFS('S-BOM'!$D$3:$D994,'S-BOM'!$C$3:$C994,B287,'S-BOM'!$B$3:$B994,$B$2))</f>
        <v/>
      </c>
      <c r="D287" s="120" t="str">
        <f>IFERROR(IF(B287="","",VLOOKUP(B287,RM!$C$4:$F984,3,FALSE)),"")</f>
        <v/>
      </c>
      <c r="E287" s="118" t="str">
        <f>IF(B287="","",VLOOKUP(B287,RM!$C$4:$G984,14,FALSE))</f>
        <v/>
      </c>
      <c r="F287" s="87" t="str">
        <f t="shared" si="3"/>
        <v/>
      </c>
      <c r="G287" s="87" t="str">
        <f t="shared" si="4"/>
        <v/>
      </c>
      <c r="H287" s="87"/>
      <c r="I287" s="87"/>
      <c r="J287" s="87"/>
    </row>
    <row r="288" spans="1:10">
      <c r="A288" s="2"/>
      <c r="B288" s="2"/>
      <c r="C288" s="120" t="str">
        <f>IF(B288="","",SUMIFS('S-BOM'!$D$3:$D994,'S-BOM'!$C$3:$C994,B288,'S-BOM'!$B$3:$B994,$B$2))</f>
        <v/>
      </c>
      <c r="D288" s="120" t="str">
        <f>IFERROR(IF(B288="","",VLOOKUP(B288,RM!$C$4:$F984,3,FALSE)),"")</f>
        <v/>
      </c>
      <c r="E288" s="118" t="str">
        <f>IF(B288="","",VLOOKUP(B288,RM!$C$4:$G984,14,FALSE))</f>
        <v/>
      </c>
      <c r="F288" s="87" t="str">
        <f t="shared" si="3"/>
        <v/>
      </c>
      <c r="G288" s="87" t="str">
        <f t="shared" si="4"/>
        <v/>
      </c>
      <c r="H288" s="87"/>
      <c r="I288" s="87"/>
      <c r="J288" s="87"/>
    </row>
    <row r="289" spans="1:10">
      <c r="A289" s="2"/>
      <c r="B289" s="2"/>
      <c r="C289" s="120" t="str">
        <f>IF(B289="","",SUMIFS('S-BOM'!$D$3:$D994,'S-BOM'!$C$3:$C994,B289,'S-BOM'!$B$3:$B994,$B$2))</f>
        <v/>
      </c>
      <c r="D289" s="120" t="str">
        <f>IFERROR(IF(B289="","",VLOOKUP(B289,RM!$C$4:$F984,3,FALSE)),"")</f>
        <v/>
      </c>
      <c r="E289" s="118" t="str">
        <f>IF(B289="","",VLOOKUP(B289,RM!$C$4:$G984,14,FALSE))</f>
        <v/>
      </c>
      <c r="F289" s="87" t="str">
        <f t="shared" si="3"/>
        <v/>
      </c>
      <c r="G289" s="87" t="str">
        <f t="shared" si="4"/>
        <v/>
      </c>
      <c r="H289" s="87"/>
      <c r="I289" s="87"/>
      <c r="J289" s="87"/>
    </row>
    <row r="290" spans="1:10">
      <c r="A290" s="2"/>
      <c r="B290" s="2"/>
      <c r="C290" s="120" t="str">
        <f>IF(B290="","",SUMIFS('S-BOM'!$D$3:$D994,'S-BOM'!$C$3:$C994,B290,'S-BOM'!$B$3:$B994,$B$2))</f>
        <v/>
      </c>
      <c r="D290" s="120" t="str">
        <f>IFERROR(IF(B290="","",VLOOKUP(B290,RM!$C$4:$F984,3,FALSE)),"")</f>
        <v/>
      </c>
      <c r="E290" s="118" t="str">
        <f>IF(B290="","",VLOOKUP(B290,RM!$C$4:$G984,14,FALSE))</f>
        <v/>
      </c>
      <c r="F290" s="87" t="str">
        <f t="shared" si="3"/>
        <v/>
      </c>
      <c r="G290" s="87" t="str">
        <f t="shared" si="4"/>
        <v/>
      </c>
      <c r="H290" s="87"/>
      <c r="I290" s="87"/>
      <c r="J290" s="87"/>
    </row>
    <row r="291" spans="1:10">
      <c r="A291" s="2"/>
      <c r="B291" s="2"/>
      <c r="C291" s="120" t="str">
        <f>IF(B291="","",SUMIFS('S-BOM'!$D$3:$D994,'S-BOM'!$C$3:$C994,B291,'S-BOM'!$B$3:$B994,$B$2))</f>
        <v/>
      </c>
      <c r="D291" s="120" t="str">
        <f>IFERROR(IF(B291="","",VLOOKUP(B291,RM!$C$4:$F984,3,FALSE)),"")</f>
        <v/>
      </c>
      <c r="E291" s="118" t="str">
        <f>IF(B291="","",VLOOKUP(B291,RM!$C$4:$G984,14,FALSE))</f>
        <v/>
      </c>
      <c r="F291" s="87" t="str">
        <f t="shared" si="3"/>
        <v/>
      </c>
      <c r="G291" s="87" t="str">
        <f t="shared" si="4"/>
        <v/>
      </c>
      <c r="H291" s="87"/>
      <c r="I291" s="87"/>
      <c r="J291" s="87"/>
    </row>
    <row r="292" spans="1:10">
      <c r="A292" s="2"/>
      <c r="B292" s="2"/>
      <c r="C292" s="120" t="str">
        <f>IF(B292="","",SUMIFS('S-BOM'!$D$3:$D994,'S-BOM'!$C$3:$C994,B292,'S-BOM'!$B$3:$B994,$B$2))</f>
        <v/>
      </c>
      <c r="D292" s="120" t="str">
        <f>IFERROR(IF(B292="","",VLOOKUP(B292,RM!$C$4:$F984,3,FALSE)),"")</f>
        <v/>
      </c>
      <c r="E292" s="118" t="str">
        <f>IF(B292="","",VLOOKUP(B292,RM!$C$4:$G984,14,FALSE))</f>
        <v/>
      </c>
      <c r="F292" s="87" t="str">
        <f t="shared" si="3"/>
        <v/>
      </c>
      <c r="G292" s="87" t="str">
        <f t="shared" si="4"/>
        <v/>
      </c>
      <c r="H292" s="87"/>
      <c r="I292" s="87"/>
      <c r="J292" s="87"/>
    </row>
    <row r="293" spans="1:10">
      <c r="A293" s="2"/>
      <c r="B293" s="2"/>
      <c r="C293" s="120" t="str">
        <f>IF(B293="","",SUMIFS('S-BOM'!$D$3:$D994,'S-BOM'!$C$3:$C994,B293,'S-BOM'!$B$3:$B994,$B$2))</f>
        <v/>
      </c>
      <c r="D293" s="120" t="str">
        <f>IFERROR(IF(B293="","",VLOOKUP(B293,RM!$C$4:$F984,3,FALSE)),"")</f>
        <v/>
      </c>
      <c r="E293" s="118" t="str">
        <f>IF(B293="","",VLOOKUP(B293,RM!$C$4:$G984,14,FALSE))</f>
        <v/>
      </c>
      <c r="F293" s="87" t="str">
        <f t="shared" si="3"/>
        <v/>
      </c>
      <c r="G293" s="87" t="str">
        <f t="shared" si="4"/>
        <v/>
      </c>
      <c r="H293" s="87"/>
      <c r="I293" s="87"/>
      <c r="J293" s="87"/>
    </row>
    <row r="294" spans="1:10">
      <c r="A294" s="2"/>
      <c r="B294" s="2"/>
      <c r="C294" s="120" t="str">
        <f>IF(B294="","",SUMIFS('S-BOM'!$D$3:$D994,'S-BOM'!$C$3:$C994,B294,'S-BOM'!$B$3:$B994,$B$2))</f>
        <v/>
      </c>
      <c r="D294" s="120" t="str">
        <f>IFERROR(IF(B294="","",VLOOKUP(B294,RM!$C$4:$F984,3,FALSE)),"")</f>
        <v/>
      </c>
      <c r="E294" s="118" t="str">
        <f>IF(B294="","",VLOOKUP(B294,RM!$C$4:$G984,14,FALSE))</f>
        <v/>
      </c>
      <c r="F294" s="87" t="str">
        <f t="shared" si="3"/>
        <v/>
      </c>
      <c r="G294" s="87" t="str">
        <f t="shared" si="4"/>
        <v/>
      </c>
      <c r="H294" s="87"/>
      <c r="I294" s="87"/>
      <c r="J294" s="87"/>
    </row>
    <row r="295" spans="1:10">
      <c r="A295" s="2"/>
      <c r="B295" s="2"/>
      <c r="C295" s="120" t="str">
        <f>IF(B295="","",SUMIFS('S-BOM'!$D$3:$D994,'S-BOM'!$C$3:$C994,B295,'S-BOM'!$B$3:$B994,$B$2))</f>
        <v/>
      </c>
      <c r="D295" s="120" t="str">
        <f>IFERROR(IF(B295="","",VLOOKUP(B295,RM!$C$4:$F984,3,FALSE)),"")</f>
        <v/>
      </c>
      <c r="E295" s="118" t="str">
        <f>IF(B295="","",VLOOKUP(B295,RM!$C$4:$G984,14,FALSE))</f>
        <v/>
      </c>
      <c r="F295" s="87" t="str">
        <f t="shared" si="3"/>
        <v/>
      </c>
      <c r="G295" s="87" t="str">
        <f t="shared" si="4"/>
        <v/>
      </c>
      <c r="H295" s="87"/>
      <c r="I295" s="87"/>
      <c r="J295" s="87"/>
    </row>
    <row r="296" spans="1:10">
      <c r="A296" s="2"/>
      <c r="B296" s="2"/>
      <c r="C296" s="120" t="str">
        <f>IF(B296="","",SUMIFS('S-BOM'!$D$3:$D994,'S-BOM'!$C$3:$C994,B296,'S-BOM'!$B$3:$B994,$B$2))</f>
        <v/>
      </c>
      <c r="D296" s="120" t="str">
        <f>IFERROR(IF(B296="","",VLOOKUP(B296,RM!$C$4:$F984,3,FALSE)),"")</f>
        <v/>
      </c>
      <c r="E296" s="118" t="str">
        <f>IF(B296="","",VLOOKUP(B296,RM!$C$4:$G984,14,FALSE))</f>
        <v/>
      </c>
      <c r="F296" s="87" t="str">
        <f t="shared" si="3"/>
        <v/>
      </c>
      <c r="G296" s="87" t="str">
        <f t="shared" si="4"/>
        <v/>
      </c>
      <c r="H296" s="87"/>
      <c r="I296" s="87"/>
      <c r="J296" s="87"/>
    </row>
    <row r="297" spans="1:10">
      <c r="A297" s="2"/>
      <c r="B297" s="2"/>
      <c r="C297" s="120" t="str">
        <f>IF(B297="","",SUMIFS('S-BOM'!$D$3:$D994,'S-BOM'!$C$3:$C994,B297,'S-BOM'!$B$3:$B994,$B$2))</f>
        <v/>
      </c>
      <c r="D297" s="120" t="str">
        <f>IFERROR(IF(B297="","",VLOOKUP(B297,RM!$C$4:$F984,3,FALSE)),"")</f>
        <v/>
      </c>
      <c r="E297" s="118" t="str">
        <f>IF(B297="","",VLOOKUP(B297,RM!$C$4:$G984,14,FALSE))</f>
        <v/>
      </c>
      <c r="F297" s="87" t="str">
        <f t="shared" si="3"/>
        <v/>
      </c>
      <c r="G297" s="87" t="str">
        <f t="shared" si="4"/>
        <v/>
      </c>
      <c r="H297" s="87"/>
      <c r="I297" s="87"/>
      <c r="J297" s="87"/>
    </row>
    <row r="298" spans="1:10">
      <c r="A298" s="2"/>
      <c r="B298" s="2"/>
      <c r="C298" s="120" t="str">
        <f>IF(B298="","",SUMIFS('S-BOM'!$D$3:$D994,'S-BOM'!$C$3:$C994,B298,'S-BOM'!$B$3:$B994,$B$2))</f>
        <v/>
      </c>
      <c r="D298" s="120" t="str">
        <f>IFERROR(IF(B298="","",VLOOKUP(B298,RM!$C$4:$F984,3,FALSE)),"")</f>
        <v/>
      </c>
      <c r="E298" s="118" t="str">
        <f>IF(B298="","",VLOOKUP(B298,RM!$C$4:$G984,14,FALSE))</f>
        <v/>
      </c>
      <c r="F298" s="87" t="str">
        <f t="shared" si="3"/>
        <v/>
      </c>
      <c r="G298" s="87" t="str">
        <f t="shared" si="4"/>
        <v/>
      </c>
      <c r="H298" s="87"/>
      <c r="I298" s="87"/>
      <c r="J298" s="87"/>
    </row>
    <row r="299" spans="1:10">
      <c r="A299" s="2"/>
      <c r="B299" s="2"/>
      <c r="C299" s="120" t="str">
        <f>IF(B299="","",SUMIFS('S-BOM'!$D$3:$D994,'S-BOM'!$C$3:$C994,B299,'S-BOM'!$B$3:$B994,$B$2))</f>
        <v/>
      </c>
      <c r="D299" s="120" t="str">
        <f>IFERROR(IF(B299="","",VLOOKUP(B299,RM!$C$4:$F984,3,FALSE)),"")</f>
        <v/>
      </c>
      <c r="E299" s="118" t="str">
        <f>IF(B299="","",VLOOKUP(B299,RM!$C$4:$G984,14,FALSE))</f>
        <v/>
      </c>
      <c r="F299" s="87" t="str">
        <f t="shared" si="3"/>
        <v/>
      </c>
      <c r="G299" s="87" t="str">
        <f t="shared" si="4"/>
        <v/>
      </c>
      <c r="H299" s="87"/>
      <c r="I299" s="87"/>
      <c r="J299" s="87"/>
    </row>
    <row r="300" spans="1:10">
      <c r="A300" s="2"/>
      <c r="B300" s="2"/>
      <c r="C300" s="120" t="str">
        <f>IF(B300="","",SUMIFS('S-BOM'!$D$3:$D994,'S-BOM'!$C$3:$C994,B300,'S-BOM'!$B$3:$B994,$B$2))</f>
        <v/>
      </c>
      <c r="D300" s="120" t="str">
        <f>IFERROR(IF(B300="","",VLOOKUP(B300,RM!$C$4:$F984,3,FALSE)),"")</f>
        <v/>
      </c>
      <c r="E300" s="118" t="str">
        <f>IF(B300="","",VLOOKUP(B300,RM!$C$4:$G984,14,FALSE))</f>
        <v/>
      </c>
      <c r="F300" s="87" t="str">
        <f t="shared" si="3"/>
        <v/>
      </c>
      <c r="G300" s="87" t="str">
        <f t="shared" si="4"/>
        <v/>
      </c>
      <c r="H300" s="87"/>
      <c r="I300" s="87"/>
      <c r="J300" s="87"/>
    </row>
    <row r="301" spans="1:10">
      <c r="A301" s="2"/>
      <c r="B301" s="2"/>
      <c r="C301" s="120" t="str">
        <f>IF(B301="","",SUMIFS('S-BOM'!$D$3:$D994,'S-BOM'!$C$3:$C994,B301,'S-BOM'!$B$3:$B994,$B$2))</f>
        <v/>
      </c>
      <c r="D301" s="120" t="str">
        <f>IFERROR(IF(B301="","",VLOOKUP(B301,RM!$C$4:$F984,3,FALSE)),"")</f>
        <v/>
      </c>
      <c r="E301" s="118" t="str">
        <f>IF(B301="","",VLOOKUP(B301,RM!$C$4:$G984,14,FALSE))</f>
        <v/>
      </c>
      <c r="F301" s="87" t="str">
        <f t="shared" si="3"/>
        <v/>
      </c>
      <c r="G301" s="87" t="str">
        <f t="shared" si="4"/>
        <v/>
      </c>
      <c r="H301" s="87"/>
      <c r="I301" s="87"/>
      <c r="J301" s="87"/>
    </row>
    <row r="302" spans="1:10">
      <c r="A302" s="2"/>
      <c r="B302" s="2"/>
      <c r="C302" s="120" t="str">
        <f>IF(B302="","",SUMIFS('S-BOM'!$D$3:$D994,'S-BOM'!$C$3:$C994,B302,'S-BOM'!$B$3:$B994,$B$2))</f>
        <v/>
      </c>
      <c r="D302" s="120" t="str">
        <f>IFERROR(IF(B302="","",VLOOKUP(B302,RM!$C$4:$F984,3,FALSE)),"")</f>
        <v/>
      </c>
      <c r="E302" s="118" t="str">
        <f>IF(B302="","",VLOOKUP(B302,RM!$C$4:$G984,14,FALSE))</f>
        <v/>
      </c>
      <c r="F302" s="87" t="str">
        <f t="shared" si="3"/>
        <v/>
      </c>
      <c r="G302" s="87" t="str">
        <f t="shared" si="4"/>
        <v/>
      </c>
      <c r="H302" s="87"/>
      <c r="I302" s="87"/>
      <c r="J302" s="87"/>
    </row>
    <row r="303" spans="1:10">
      <c r="A303" s="2"/>
      <c r="B303" s="2"/>
      <c r="C303" s="120" t="str">
        <f>IF(B303="","",SUMIFS('S-BOM'!$D$3:$D994,'S-BOM'!$C$3:$C994,B303,'S-BOM'!$B$3:$B994,$B$2))</f>
        <v/>
      </c>
      <c r="D303" s="120" t="str">
        <f>IFERROR(IF(B303="","",VLOOKUP(B303,RM!$C$4:$F984,3,FALSE)),"")</f>
        <v/>
      </c>
      <c r="E303" s="118" t="str">
        <f>IF(B303="","",VLOOKUP(B303,RM!$C$4:$G984,14,FALSE))</f>
        <v/>
      </c>
      <c r="F303" s="87" t="str">
        <f t="shared" si="3"/>
        <v/>
      </c>
      <c r="G303" s="87" t="str">
        <f t="shared" si="4"/>
        <v/>
      </c>
      <c r="H303" s="87"/>
      <c r="I303" s="87"/>
      <c r="J303" s="87"/>
    </row>
    <row r="304" spans="1:10">
      <c r="A304" s="2"/>
      <c r="B304" s="2"/>
      <c r="C304" s="120" t="str">
        <f>IF(B304="","",SUMIFS('S-BOM'!$D$3:$D994,'S-BOM'!$C$3:$C994,B304,'S-BOM'!$B$3:$B994,$B$2))</f>
        <v/>
      </c>
      <c r="D304" s="120" t="str">
        <f>IFERROR(IF(B304="","",VLOOKUP(B304,RM!$C$4:$F984,3,FALSE)),"")</f>
        <v/>
      </c>
      <c r="E304" s="118" t="str">
        <f>IF(B304="","",VLOOKUP(B304,RM!$C$4:$G984,14,FALSE))</f>
        <v/>
      </c>
      <c r="F304" s="87" t="str">
        <f t="shared" si="3"/>
        <v/>
      </c>
      <c r="G304" s="87" t="str">
        <f t="shared" si="4"/>
        <v/>
      </c>
      <c r="H304" s="87"/>
      <c r="I304" s="87"/>
      <c r="J304" s="87"/>
    </row>
    <row r="305" spans="1:10">
      <c r="A305" s="2"/>
      <c r="B305" s="2"/>
      <c r="C305" s="120" t="str">
        <f>IF(B305="","",SUMIFS('S-BOM'!$D$3:$D994,'S-BOM'!$C$3:$C994,B305,'S-BOM'!$B$3:$B994,$B$2))</f>
        <v/>
      </c>
      <c r="D305" s="120" t="str">
        <f>IFERROR(IF(B305="","",VLOOKUP(B305,RM!$C$4:$F984,3,FALSE)),"")</f>
        <v/>
      </c>
      <c r="E305" s="118" t="str">
        <f>IF(B305="","",VLOOKUP(B305,RM!$C$4:$G984,14,FALSE))</f>
        <v/>
      </c>
      <c r="F305" s="87" t="str">
        <f t="shared" si="3"/>
        <v/>
      </c>
      <c r="G305" s="87" t="str">
        <f t="shared" si="4"/>
        <v/>
      </c>
      <c r="H305" s="87"/>
      <c r="I305" s="87"/>
      <c r="J305" s="87"/>
    </row>
    <row r="306" spans="1:10">
      <c r="A306" s="2"/>
      <c r="B306" s="2"/>
      <c r="C306" s="120" t="str">
        <f>IF(B306="","",SUMIFS('S-BOM'!$D$3:$D994,'S-BOM'!$C$3:$C994,B306,'S-BOM'!$B$3:$B994,$B$2))</f>
        <v/>
      </c>
      <c r="D306" s="120" t="str">
        <f>IFERROR(IF(B306="","",VLOOKUP(B306,RM!$C$4:$F984,3,FALSE)),"")</f>
        <v/>
      </c>
      <c r="E306" s="118" t="str">
        <f>IF(B306="","",VLOOKUP(B306,RM!$C$4:$G984,14,FALSE))</f>
        <v/>
      </c>
      <c r="F306" s="87" t="str">
        <f t="shared" si="3"/>
        <v/>
      </c>
      <c r="G306" s="87" t="str">
        <f t="shared" si="4"/>
        <v/>
      </c>
      <c r="H306" s="87"/>
      <c r="I306" s="87"/>
      <c r="J306" s="87"/>
    </row>
    <row r="307" spans="1:10">
      <c r="A307" s="2"/>
      <c r="B307" s="2"/>
      <c r="C307" s="120" t="str">
        <f>IF(B307="","",SUMIFS('S-BOM'!$D$3:$D994,'S-BOM'!$C$3:$C994,B307,'S-BOM'!$B$3:$B994,$B$2))</f>
        <v/>
      </c>
      <c r="D307" s="120" t="str">
        <f>IFERROR(IF(B307="","",VLOOKUP(B307,RM!$C$4:$F984,3,FALSE)),"")</f>
        <v/>
      </c>
      <c r="E307" s="118" t="str">
        <f>IF(B307="","",VLOOKUP(B307,RM!$C$4:$G984,14,FALSE))</f>
        <v/>
      </c>
      <c r="F307" s="87" t="str">
        <f t="shared" si="3"/>
        <v/>
      </c>
      <c r="G307" s="87" t="str">
        <f t="shared" si="4"/>
        <v/>
      </c>
      <c r="H307" s="87"/>
      <c r="I307" s="87"/>
      <c r="J307" s="87"/>
    </row>
    <row r="308" spans="1:10">
      <c r="A308" s="2"/>
      <c r="B308" s="2"/>
      <c r="C308" s="120" t="str">
        <f>IF(B308="","",SUMIFS('S-BOM'!$D$3:$D994,'S-BOM'!$C$3:$C994,B308,'S-BOM'!$B$3:$B994,$B$2))</f>
        <v/>
      </c>
      <c r="D308" s="120" t="str">
        <f>IFERROR(IF(B308="","",VLOOKUP(B308,RM!$C$4:$F984,3,FALSE)),"")</f>
        <v/>
      </c>
      <c r="E308" s="118" t="str">
        <f>IF(B308="","",VLOOKUP(B308,RM!$C$4:$G984,14,FALSE))</f>
        <v/>
      </c>
      <c r="F308" s="87" t="str">
        <f t="shared" si="3"/>
        <v/>
      </c>
      <c r="G308" s="87" t="str">
        <f t="shared" si="4"/>
        <v/>
      </c>
      <c r="H308" s="87"/>
      <c r="I308" s="87"/>
      <c r="J308" s="87"/>
    </row>
    <row r="309" spans="1:10">
      <c r="A309" s="2"/>
      <c r="B309" s="2"/>
      <c r="C309" s="120" t="str">
        <f>IF(B309="","",SUMIFS('S-BOM'!$D$3:$D994,'S-BOM'!$C$3:$C994,B309,'S-BOM'!$B$3:$B994,$B$2))</f>
        <v/>
      </c>
      <c r="D309" s="120" t="str">
        <f>IFERROR(IF(B309="","",VLOOKUP(B309,RM!$C$4:$F984,3,FALSE)),"")</f>
        <v/>
      </c>
      <c r="E309" s="118" t="str">
        <f>IF(B309="","",VLOOKUP(B309,RM!$C$4:$G984,14,FALSE))</f>
        <v/>
      </c>
      <c r="F309" s="87" t="str">
        <f t="shared" si="3"/>
        <v/>
      </c>
      <c r="G309" s="87" t="str">
        <f t="shared" si="4"/>
        <v/>
      </c>
      <c r="H309" s="87"/>
      <c r="I309" s="87"/>
      <c r="J309" s="87"/>
    </row>
    <row r="310" spans="1:10">
      <c r="A310" s="2"/>
      <c r="B310" s="2"/>
      <c r="C310" s="120" t="str">
        <f>IF(B310="","",SUMIFS('S-BOM'!$D$3:$D994,'S-BOM'!$C$3:$C994,B310,'S-BOM'!$B$3:$B994,$B$2))</f>
        <v/>
      </c>
      <c r="D310" s="120" t="str">
        <f>IFERROR(IF(B310="","",VLOOKUP(B310,RM!$C$4:$F984,3,FALSE)),"")</f>
        <v/>
      </c>
      <c r="E310" s="118" t="str">
        <f>IF(B310="","",VLOOKUP(B310,RM!$C$4:$G984,14,FALSE))</f>
        <v/>
      </c>
      <c r="F310" s="87" t="str">
        <f t="shared" si="3"/>
        <v/>
      </c>
      <c r="G310" s="87" t="str">
        <f t="shared" si="4"/>
        <v/>
      </c>
      <c r="H310" s="87"/>
      <c r="I310" s="87"/>
      <c r="J310" s="87"/>
    </row>
    <row r="311" spans="1:10">
      <c r="A311" s="2"/>
      <c r="B311" s="2"/>
      <c r="C311" s="120" t="str">
        <f>IF(B311="","",SUMIFS('S-BOM'!$D$3:$D994,'S-BOM'!$C$3:$C994,B311,'S-BOM'!$B$3:$B994,$B$2))</f>
        <v/>
      </c>
      <c r="D311" s="120" t="str">
        <f>IFERROR(IF(B311="","",VLOOKUP(B311,RM!$C$4:$F984,3,FALSE)),"")</f>
        <v/>
      </c>
      <c r="E311" s="118" t="str">
        <f>IF(B311="","",VLOOKUP(B311,RM!$C$4:$G984,14,FALSE))</f>
        <v/>
      </c>
      <c r="F311" s="87" t="str">
        <f t="shared" si="3"/>
        <v/>
      </c>
      <c r="G311" s="87" t="str">
        <f t="shared" si="4"/>
        <v/>
      </c>
      <c r="H311" s="87"/>
      <c r="I311" s="87"/>
      <c r="J311" s="87"/>
    </row>
    <row r="312" spans="1:10">
      <c r="A312" s="2"/>
      <c r="B312" s="2"/>
      <c r="C312" s="120" t="str">
        <f>IF(B312="","",SUMIFS('S-BOM'!$D$3:$D994,'S-BOM'!$C$3:$C994,B312,'S-BOM'!$B$3:$B994,$B$2))</f>
        <v/>
      </c>
      <c r="D312" s="120" t="str">
        <f>IFERROR(IF(B312="","",VLOOKUP(B312,RM!$C$4:$F984,3,FALSE)),"")</f>
        <v/>
      </c>
      <c r="E312" s="118" t="str">
        <f>IF(B312="","",VLOOKUP(B312,RM!$C$4:$G984,14,FALSE))</f>
        <v/>
      </c>
      <c r="F312" s="87" t="str">
        <f t="shared" si="3"/>
        <v/>
      </c>
      <c r="G312" s="87" t="str">
        <f t="shared" si="4"/>
        <v/>
      </c>
      <c r="H312" s="87"/>
      <c r="I312" s="87"/>
      <c r="J312" s="87"/>
    </row>
    <row r="313" spans="1:10">
      <c r="A313" s="2"/>
      <c r="B313" s="2"/>
      <c r="C313" s="120" t="str">
        <f>IF(B313="","",SUMIFS('S-BOM'!$D$3:$D994,'S-BOM'!$C$3:$C994,B313,'S-BOM'!$B$3:$B994,$B$2))</f>
        <v/>
      </c>
      <c r="D313" s="120" t="str">
        <f>IFERROR(IF(B313="","",VLOOKUP(B313,RM!$C$4:$F984,3,FALSE)),"")</f>
        <v/>
      </c>
      <c r="E313" s="118" t="str">
        <f>IF(B313="","",VLOOKUP(B313,RM!$C$4:$G984,14,FALSE))</f>
        <v/>
      </c>
      <c r="F313" s="87" t="str">
        <f t="shared" si="3"/>
        <v/>
      </c>
      <c r="G313" s="87" t="str">
        <f t="shared" si="4"/>
        <v/>
      </c>
      <c r="H313" s="87"/>
      <c r="I313" s="87"/>
      <c r="J313" s="87"/>
    </row>
    <row r="314" spans="1:10">
      <c r="A314" s="2"/>
      <c r="B314" s="2"/>
      <c r="C314" s="120" t="str">
        <f>IF(B314="","",SUMIFS('S-BOM'!$D$3:$D994,'S-BOM'!$C$3:$C994,B314,'S-BOM'!$B$3:$B994,$B$2))</f>
        <v/>
      </c>
      <c r="D314" s="120" t="str">
        <f>IFERROR(IF(B314="","",VLOOKUP(B314,RM!$C$4:$F984,3,FALSE)),"")</f>
        <v/>
      </c>
      <c r="E314" s="118" t="str">
        <f>IF(B314="","",VLOOKUP(B314,RM!$C$4:$G984,14,FALSE))</f>
        <v/>
      </c>
      <c r="F314" s="87" t="str">
        <f t="shared" si="3"/>
        <v/>
      </c>
      <c r="G314" s="87" t="str">
        <f t="shared" si="4"/>
        <v/>
      </c>
      <c r="H314" s="87"/>
      <c r="I314" s="87"/>
      <c r="J314" s="87"/>
    </row>
    <row r="315" spans="1:10">
      <c r="A315" s="2"/>
      <c r="B315" s="2"/>
      <c r="C315" s="120" t="str">
        <f>IF(B315="","",SUMIFS('S-BOM'!$D$3:$D994,'S-BOM'!$C$3:$C994,B315,'S-BOM'!$B$3:$B994,$B$2))</f>
        <v/>
      </c>
      <c r="D315" s="120" t="str">
        <f>IFERROR(IF(B315="","",VLOOKUP(B315,RM!$C$4:$F984,3,FALSE)),"")</f>
        <v/>
      </c>
      <c r="E315" s="118" t="str">
        <f>IF(B315="","",VLOOKUP(B315,RM!$C$4:$G984,14,FALSE))</f>
        <v/>
      </c>
      <c r="F315" s="87" t="str">
        <f t="shared" si="3"/>
        <v/>
      </c>
      <c r="G315" s="87" t="str">
        <f t="shared" si="4"/>
        <v/>
      </c>
      <c r="H315" s="87"/>
      <c r="I315" s="87"/>
      <c r="J315" s="87"/>
    </row>
    <row r="316" spans="1:10">
      <c r="A316" s="2"/>
      <c r="B316" s="2"/>
      <c r="C316" s="120" t="str">
        <f>IF(B316="","",SUMIFS('S-BOM'!$D$3:$D994,'S-BOM'!$C$3:$C994,B316,'S-BOM'!$B$3:$B994,$B$2))</f>
        <v/>
      </c>
      <c r="D316" s="120" t="str">
        <f>IFERROR(IF(B316="","",VLOOKUP(B316,RM!$C$4:$F984,3,FALSE)),"")</f>
        <v/>
      </c>
      <c r="E316" s="118" t="str">
        <f>IF(B316="","",VLOOKUP(B316,RM!$C$4:$G984,14,FALSE))</f>
        <v/>
      </c>
      <c r="F316" s="87" t="str">
        <f t="shared" si="3"/>
        <v/>
      </c>
      <c r="G316" s="87" t="str">
        <f t="shared" si="4"/>
        <v/>
      </c>
      <c r="H316" s="87"/>
      <c r="I316" s="87"/>
      <c r="J316" s="87"/>
    </row>
    <row r="317" spans="1:10">
      <c r="A317" s="2"/>
      <c r="B317" s="2"/>
      <c r="C317" s="120" t="str">
        <f>IF(B317="","",SUMIFS('S-BOM'!$D$3:$D994,'S-BOM'!$C$3:$C994,B317,'S-BOM'!$B$3:$B994,$B$2))</f>
        <v/>
      </c>
      <c r="D317" s="120" t="str">
        <f>IFERROR(IF(B317="","",VLOOKUP(B317,RM!$C$4:$F984,3,FALSE)),"")</f>
        <v/>
      </c>
      <c r="E317" s="118" t="str">
        <f>IF(B317="","",VLOOKUP(B317,RM!$C$4:$G984,14,FALSE))</f>
        <v/>
      </c>
      <c r="F317" s="87" t="str">
        <f t="shared" si="3"/>
        <v/>
      </c>
      <c r="G317" s="87" t="str">
        <f t="shared" si="4"/>
        <v/>
      </c>
      <c r="H317" s="87"/>
      <c r="I317" s="87"/>
      <c r="J317" s="87"/>
    </row>
    <row r="318" spans="1:10">
      <c r="A318" s="2"/>
      <c r="B318" s="2"/>
      <c r="C318" s="120" t="str">
        <f>IF(B318="","",SUMIFS('S-BOM'!$D$3:$D994,'S-BOM'!$C$3:$C994,B318,'S-BOM'!$B$3:$B994,$B$2))</f>
        <v/>
      </c>
      <c r="D318" s="120" t="str">
        <f>IFERROR(IF(B318="","",VLOOKUP(B318,RM!$C$4:$F984,3,FALSE)),"")</f>
        <v/>
      </c>
      <c r="E318" s="118" t="str">
        <f>IF(B318="","",VLOOKUP(B318,RM!$C$4:$G984,14,FALSE))</f>
        <v/>
      </c>
      <c r="F318" s="87" t="str">
        <f t="shared" si="3"/>
        <v/>
      </c>
      <c r="G318" s="87" t="str">
        <f t="shared" si="4"/>
        <v/>
      </c>
      <c r="H318" s="87"/>
      <c r="I318" s="87"/>
      <c r="J318" s="87"/>
    </row>
    <row r="319" spans="1:10">
      <c r="A319" s="2"/>
      <c r="B319" s="2"/>
      <c r="C319" s="120" t="str">
        <f>IF(B319="","",SUMIFS('S-BOM'!$D$3:$D994,'S-BOM'!$C$3:$C994,B319,'S-BOM'!$B$3:$B994,$B$2))</f>
        <v/>
      </c>
      <c r="D319" s="120" t="str">
        <f>IFERROR(IF(B319="","",VLOOKUP(B319,RM!$C$4:$F984,3,FALSE)),"")</f>
        <v/>
      </c>
      <c r="E319" s="118" t="str">
        <f>IF(B319="","",VLOOKUP(B319,RM!$C$4:$G984,14,FALSE))</f>
        <v/>
      </c>
      <c r="F319" s="87" t="str">
        <f t="shared" si="3"/>
        <v/>
      </c>
      <c r="G319" s="87" t="str">
        <f t="shared" si="4"/>
        <v/>
      </c>
      <c r="H319" s="87"/>
      <c r="I319" s="87"/>
      <c r="J319" s="87"/>
    </row>
    <row r="320" spans="1:10">
      <c r="A320" s="2"/>
      <c r="B320" s="2"/>
      <c r="C320" s="120" t="str">
        <f>IF(B320="","",SUMIFS('S-BOM'!$D$3:$D994,'S-BOM'!$C$3:$C994,B320,'S-BOM'!$B$3:$B994,$B$2))</f>
        <v/>
      </c>
      <c r="D320" s="120" t="str">
        <f>IFERROR(IF(B320="","",VLOOKUP(B320,RM!$C$4:$F984,3,FALSE)),"")</f>
        <v/>
      </c>
      <c r="E320" s="118" t="str">
        <f>IF(B320="","",VLOOKUP(B320,RM!$C$4:$G984,14,FALSE))</f>
        <v/>
      </c>
      <c r="F320" s="87" t="str">
        <f t="shared" si="3"/>
        <v/>
      </c>
      <c r="G320" s="87" t="str">
        <f t="shared" si="4"/>
        <v/>
      </c>
      <c r="H320" s="87"/>
      <c r="I320" s="87"/>
      <c r="J320" s="87"/>
    </row>
    <row r="321" spans="1:10">
      <c r="A321" s="2"/>
      <c r="B321" s="2"/>
      <c r="C321" s="120" t="str">
        <f>IF(B321="","",SUMIFS('S-BOM'!$D$3:$D994,'S-BOM'!$C$3:$C994,B321,'S-BOM'!$B$3:$B994,$B$2))</f>
        <v/>
      </c>
      <c r="D321" s="120" t="str">
        <f>IFERROR(IF(B321="","",VLOOKUP(B321,RM!$C$4:$F984,3,FALSE)),"")</f>
        <v/>
      </c>
      <c r="E321" s="118" t="str">
        <f>IF(B321="","",VLOOKUP(B321,RM!$C$4:$G984,14,FALSE))</f>
        <v/>
      </c>
      <c r="F321" s="87" t="str">
        <f t="shared" si="3"/>
        <v/>
      </c>
      <c r="G321" s="87" t="str">
        <f t="shared" si="4"/>
        <v/>
      </c>
      <c r="H321" s="87"/>
      <c r="I321" s="87"/>
      <c r="J321" s="87"/>
    </row>
    <row r="322" spans="1:10">
      <c r="A322" s="2"/>
      <c r="B322" s="2"/>
      <c r="C322" s="120" t="str">
        <f>IF(B322="","",SUMIFS('S-BOM'!$D$3:$D994,'S-BOM'!$C$3:$C994,B322,'S-BOM'!$B$3:$B994,$B$2))</f>
        <v/>
      </c>
      <c r="D322" s="120" t="str">
        <f>IFERROR(IF(B322="","",VLOOKUP(B322,RM!$C$4:$F984,3,FALSE)),"")</f>
        <v/>
      </c>
      <c r="E322" s="118" t="str">
        <f>IF(B322="","",VLOOKUP(B322,RM!$C$4:$G984,14,FALSE))</f>
        <v/>
      </c>
      <c r="F322" s="87" t="str">
        <f t="shared" si="3"/>
        <v/>
      </c>
      <c r="G322" s="87" t="str">
        <f t="shared" si="4"/>
        <v/>
      </c>
      <c r="H322" s="87"/>
      <c r="I322" s="87"/>
      <c r="J322" s="87"/>
    </row>
    <row r="323" spans="1:10">
      <c r="A323" s="2"/>
      <c r="B323" s="2"/>
      <c r="C323" s="120" t="str">
        <f>IF(B323="","",SUMIFS('S-BOM'!$D$3:$D994,'S-BOM'!$C$3:$C994,B323,'S-BOM'!$B$3:$B994,$B$2))</f>
        <v/>
      </c>
      <c r="D323" s="120" t="str">
        <f>IFERROR(IF(B323="","",VLOOKUP(B323,RM!$C$4:$F984,3,FALSE)),"")</f>
        <v/>
      </c>
      <c r="E323" s="118" t="str">
        <f>IF(B323="","",VLOOKUP(B323,RM!$C$4:$G984,14,FALSE))</f>
        <v/>
      </c>
      <c r="F323" s="87" t="str">
        <f t="shared" si="3"/>
        <v/>
      </c>
      <c r="G323" s="87" t="str">
        <f t="shared" si="4"/>
        <v/>
      </c>
      <c r="H323" s="87"/>
      <c r="I323" s="87"/>
      <c r="J323" s="87"/>
    </row>
    <row r="324" spans="1:10">
      <c r="A324" s="2"/>
      <c r="B324" s="2"/>
      <c r="C324" s="120" t="str">
        <f>IF(B324="","",SUMIFS('S-BOM'!$D$3:$D994,'S-BOM'!$C$3:$C994,B324,'S-BOM'!$B$3:$B994,$B$2))</f>
        <v/>
      </c>
      <c r="D324" s="120" t="str">
        <f>IFERROR(IF(B324="","",VLOOKUP(B324,RM!$C$4:$F984,3,FALSE)),"")</f>
        <v/>
      </c>
      <c r="E324" s="118" t="str">
        <f>IF(B324="","",VLOOKUP(B324,RM!$C$4:$G984,14,FALSE))</f>
        <v/>
      </c>
      <c r="F324" s="87" t="str">
        <f t="shared" si="3"/>
        <v/>
      </c>
      <c r="G324" s="87" t="str">
        <f t="shared" si="4"/>
        <v/>
      </c>
      <c r="H324" s="87"/>
      <c r="I324" s="87"/>
      <c r="J324" s="87"/>
    </row>
    <row r="325" spans="1:10">
      <c r="A325" s="2"/>
      <c r="B325" s="2"/>
      <c r="C325" s="120" t="str">
        <f>IF(B325="","",SUMIFS('S-BOM'!$D$3:$D994,'S-BOM'!$C$3:$C994,B325,'S-BOM'!$B$3:$B994,$B$2))</f>
        <v/>
      </c>
      <c r="D325" s="120" t="str">
        <f>IFERROR(IF(B325="","",VLOOKUP(B325,RM!$C$4:$F984,3,FALSE)),"")</f>
        <v/>
      </c>
      <c r="E325" s="118" t="str">
        <f>IF(B325="","",VLOOKUP(B325,RM!$C$4:$G984,14,FALSE))</f>
        <v/>
      </c>
      <c r="F325" s="87" t="str">
        <f t="shared" si="3"/>
        <v/>
      </c>
      <c r="G325" s="87" t="str">
        <f t="shared" si="4"/>
        <v/>
      </c>
      <c r="H325" s="87"/>
      <c r="I325" s="87"/>
      <c r="J325" s="87"/>
    </row>
    <row r="326" spans="1:10">
      <c r="A326" s="2"/>
      <c r="B326" s="2"/>
      <c r="C326" s="120" t="str">
        <f>IF(B326="","",SUMIFS('S-BOM'!$D$3:$D994,'S-BOM'!$C$3:$C994,B326,'S-BOM'!$B$3:$B994,$B$2))</f>
        <v/>
      </c>
      <c r="D326" s="120" t="str">
        <f>IFERROR(IF(B326="","",VLOOKUP(B326,RM!$C$4:$F984,3,FALSE)),"")</f>
        <v/>
      </c>
      <c r="E326" s="118" t="str">
        <f>IF(B326="","",VLOOKUP(B326,RM!$C$4:$G984,14,FALSE))</f>
        <v/>
      </c>
      <c r="F326" s="87" t="str">
        <f t="shared" si="3"/>
        <v/>
      </c>
      <c r="G326" s="87" t="str">
        <f t="shared" si="4"/>
        <v/>
      </c>
      <c r="H326" s="87"/>
      <c r="I326" s="87"/>
      <c r="J326" s="87"/>
    </row>
    <row r="327" spans="1:10">
      <c r="A327" s="2"/>
      <c r="B327" s="2"/>
      <c r="C327" s="120" t="str">
        <f>IF(B327="","",SUMIFS('S-BOM'!$D$3:$D994,'S-BOM'!$C$3:$C994,B327,'S-BOM'!$B$3:$B994,$B$2))</f>
        <v/>
      </c>
      <c r="D327" s="120" t="str">
        <f>IFERROR(IF(B327="","",VLOOKUP(B327,RM!$C$4:$F984,3,FALSE)),"")</f>
        <v/>
      </c>
      <c r="E327" s="118" t="str">
        <f>IF(B327="","",VLOOKUP(B327,RM!$C$4:$G984,14,FALSE))</f>
        <v/>
      </c>
      <c r="F327" s="87" t="str">
        <f t="shared" si="3"/>
        <v/>
      </c>
      <c r="G327" s="87" t="str">
        <f t="shared" si="4"/>
        <v/>
      </c>
      <c r="H327" s="87"/>
      <c r="I327" s="87"/>
      <c r="J327" s="87"/>
    </row>
    <row r="328" spans="1:10">
      <c r="A328" s="2"/>
      <c r="B328" s="2"/>
      <c r="C328" s="120" t="str">
        <f>IF(B328="","",SUMIFS('S-BOM'!$D$3:$D994,'S-BOM'!$C$3:$C994,B328,'S-BOM'!$B$3:$B994,$B$2))</f>
        <v/>
      </c>
      <c r="D328" s="120" t="str">
        <f>IFERROR(IF(B328="","",VLOOKUP(B328,RM!$C$4:$F984,3,FALSE)),"")</f>
        <v/>
      </c>
      <c r="E328" s="118" t="str">
        <f>IF(B328="","",VLOOKUP(B328,RM!$C$4:$G984,14,FALSE))</f>
        <v/>
      </c>
      <c r="F328" s="87" t="str">
        <f t="shared" si="3"/>
        <v/>
      </c>
      <c r="G328" s="87" t="str">
        <f t="shared" si="4"/>
        <v/>
      </c>
      <c r="H328" s="87"/>
      <c r="I328" s="87"/>
      <c r="J328" s="87"/>
    </row>
    <row r="329" spans="1:10">
      <c r="A329" s="2"/>
      <c r="B329" s="2"/>
      <c r="C329" s="120" t="str">
        <f>IF(B329="","",SUMIFS('S-BOM'!$D$3:$D994,'S-BOM'!$C$3:$C994,B329,'S-BOM'!$B$3:$B994,$B$2))</f>
        <v/>
      </c>
      <c r="D329" s="120" t="str">
        <f>IFERROR(IF(B329="","",VLOOKUP(B329,RM!$C$4:$F984,3,FALSE)),"")</f>
        <v/>
      </c>
      <c r="E329" s="118" t="str">
        <f>IF(B329="","",VLOOKUP(B329,RM!$C$4:$G984,14,FALSE))</f>
        <v/>
      </c>
      <c r="F329" s="87" t="str">
        <f t="shared" si="3"/>
        <v/>
      </c>
      <c r="G329" s="87" t="str">
        <f t="shared" si="4"/>
        <v/>
      </c>
      <c r="H329" s="87"/>
      <c r="I329" s="87"/>
      <c r="J329" s="87"/>
    </row>
    <row r="330" spans="1:10">
      <c r="A330" s="2"/>
      <c r="B330" s="2"/>
      <c r="C330" s="120" t="str">
        <f>IF(B330="","",SUMIFS('S-BOM'!$D$3:$D994,'S-BOM'!$C$3:$C994,B330,'S-BOM'!$B$3:$B994,$B$2))</f>
        <v/>
      </c>
      <c r="D330" s="120" t="str">
        <f>IFERROR(IF(B330="","",VLOOKUP(B330,RM!$C$4:$F984,3,FALSE)),"")</f>
        <v/>
      </c>
      <c r="E330" s="118" t="str">
        <f>IF(B330="","",VLOOKUP(B330,RM!$C$4:$G984,14,FALSE))</f>
        <v/>
      </c>
      <c r="F330" s="87" t="str">
        <f t="shared" si="3"/>
        <v/>
      </c>
      <c r="G330" s="87" t="str">
        <f t="shared" si="4"/>
        <v/>
      </c>
      <c r="H330" s="87"/>
      <c r="I330" s="87"/>
      <c r="J330" s="87"/>
    </row>
    <row r="331" spans="1:10">
      <c r="A331" s="2"/>
      <c r="B331" s="2"/>
      <c r="C331" s="120" t="str">
        <f>IF(B331="","",SUMIFS('S-BOM'!$D$3:$D994,'S-BOM'!$C$3:$C994,B331,'S-BOM'!$B$3:$B994,$B$2))</f>
        <v/>
      </c>
      <c r="D331" s="120" t="str">
        <f>IFERROR(IF(B331="","",VLOOKUP(B331,RM!$C$4:$F984,3,FALSE)),"")</f>
        <v/>
      </c>
      <c r="E331" s="118" t="str">
        <f>IF(B331="","",VLOOKUP(B331,RM!$C$4:$G984,14,FALSE))</f>
        <v/>
      </c>
      <c r="F331" s="87" t="str">
        <f t="shared" si="3"/>
        <v/>
      </c>
      <c r="G331" s="87" t="str">
        <f t="shared" si="4"/>
        <v/>
      </c>
      <c r="H331" s="87"/>
      <c r="I331" s="87"/>
      <c r="J331" s="87"/>
    </row>
    <row r="332" spans="1:10">
      <c r="A332" s="2"/>
      <c r="B332" s="2"/>
      <c r="C332" s="120" t="str">
        <f>IF(B332="","",SUMIFS('S-BOM'!$D$3:$D994,'S-BOM'!$C$3:$C994,B332,'S-BOM'!$B$3:$B994,$B$2))</f>
        <v/>
      </c>
      <c r="D332" s="120" t="str">
        <f>IFERROR(IF(B332="","",VLOOKUP(B332,RM!$C$4:$F984,3,FALSE)),"")</f>
        <v/>
      </c>
      <c r="E332" s="118" t="str">
        <f>IF(B332="","",VLOOKUP(B332,RM!$C$4:$G984,14,FALSE))</f>
        <v/>
      </c>
      <c r="F332" s="87" t="str">
        <f t="shared" si="3"/>
        <v/>
      </c>
      <c r="G332" s="87" t="str">
        <f t="shared" si="4"/>
        <v/>
      </c>
      <c r="H332" s="87"/>
      <c r="I332" s="87"/>
      <c r="J332" s="87"/>
    </row>
    <row r="333" spans="1:10">
      <c r="A333" s="2"/>
      <c r="B333" s="2"/>
      <c r="C333" s="120" t="str">
        <f>IF(B333="","",SUMIFS('S-BOM'!$D$3:$D994,'S-BOM'!$C$3:$C994,B333,'S-BOM'!$B$3:$B994,$B$2))</f>
        <v/>
      </c>
      <c r="D333" s="120" t="str">
        <f>IFERROR(IF(B333="","",VLOOKUP(B333,RM!$C$4:$F984,3,FALSE)),"")</f>
        <v/>
      </c>
      <c r="E333" s="118" t="str">
        <f>IF(B333="","",VLOOKUP(B333,RM!$C$4:$G984,14,FALSE))</f>
        <v/>
      </c>
      <c r="F333" s="87" t="str">
        <f t="shared" si="3"/>
        <v/>
      </c>
      <c r="G333" s="87" t="str">
        <f t="shared" si="4"/>
        <v/>
      </c>
      <c r="H333" s="87"/>
      <c r="I333" s="87"/>
      <c r="J333" s="87"/>
    </row>
    <row r="334" spans="1:10">
      <c r="A334" s="2"/>
      <c r="B334" s="2"/>
      <c r="C334" s="120" t="str">
        <f>IF(B334="","",SUMIFS('S-BOM'!$D$3:$D994,'S-BOM'!$C$3:$C994,B334,'S-BOM'!$B$3:$B994,$B$2))</f>
        <v/>
      </c>
      <c r="D334" s="120" t="str">
        <f>IFERROR(IF(B334="","",VLOOKUP(B334,RM!$C$4:$F984,3,FALSE)),"")</f>
        <v/>
      </c>
      <c r="E334" s="118" t="str">
        <f>IF(B334="","",VLOOKUP(B334,RM!$C$4:$G984,14,FALSE))</f>
        <v/>
      </c>
      <c r="F334" s="87" t="str">
        <f t="shared" si="3"/>
        <v/>
      </c>
      <c r="G334" s="87" t="str">
        <f t="shared" si="4"/>
        <v/>
      </c>
      <c r="H334" s="87"/>
      <c r="I334" s="87"/>
      <c r="J334" s="87"/>
    </row>
    <row r="335" spans="1:10">
      <c r="A335" s="2"/>
      <c r="B335" s="2"/>
      <c r="C335" s="120" t="str">
        <f>IF(B335="","",SUMIFS('S-BOM'!$D$3:$D994,'S-BOM'!$C$3:$C994,B335,'S-BOM'!$B$3:$B994,$B$2))</f>
        <v/>
      </c>
      <c r="D335" s="120" t="str">
        <f>IFERROR(IF(B335="","",VLOOKUP(B335,RM!$C$4:$F984,3,FALSE)),"")</f>
        <v/>
      </c>
      <c r="E335" s="118" t="str">
        <f>IF(B335="","",VLOOKUP(B335,RM!$C$4:$G984,14,FALSE))</f>
        <v/>
      </c>
      <c r="F335" s="87" t="str">
        <f t="shared" si="3"/>
        <v/>
      </c>
      <c r="G335" s="87" t="str">
        <f t="shared" si="4"/>
        <v/>
      </c>
      <c r="H335" s="87"/>
      <c r="I335" s="87"/>
      <c r="J335" s="87"/>
    </row>
    <row r="336" spans="1:10">
      <c r="A336" s="2"/>
      <c r="B336" s="2"/>
      <c r="C336" s="120" t="str">
        <f>IF(B336="","",SUMIFS('S-BOM'!$D$3:$D994,'S-BOM'!$C$3:$C994,B336,'S-BOM'!$B$3:$B994,$B$2))</f>
        <v/>
      </c>
      <c r="D336" s="120" t="str">
        <f>IFERROR(IF(B336="","",VLOOKUP(B336,RM!$C$4:$F984,3,FALSE)),"")</f>
        <v/>
      </c>
      <c r="E336" s="118" t="str">
        <f>IF(B336="","",VLOOKUP(B336,RM!$C$4:$G984,14,FALSE))</f>
        <v/>
      </c>
      <c r="F336" s="87" t="str">
        <f t="shared" si="3"/>
        <v/>
      </c>
      <c r="G336" s="87" t="str">
        <f t="shared" si="4"/>
        <v/>
      </c>
      <c r="H336" s="87"/>
      <c r="I336" s="87"/>
      <c r="J336" s="87"/>
    </row>
    <row r="337" spans="1:10">
      <c r="A337" s="2"/>
      <c r="B337" s="2"/>
      <c r="C337" s="120" t="str">
        <f>IF(B337="","",SUMIFS('S-BOM'!$D$3:$D994,'S-BOM'!$C$3:$C994,B337,'S-BOM'!$B$3:$B994,$B$2))</f>
        <v/>
      </c>
      <c r="D337" s="120" t="str">
        <f>IFERROR(IF(B337="","",VLOOKUP(B337,RM!$C$4:$F984,3,FALSE)),"")</f>
        <v/>
      </c>
      <c r="E337" s="118" t="str">
        <f>IF(B337="","",VLOOKUP(B337,RM!$C$4:$G984,14,FALSE))</f>
        <v/>
      </c>
      <c r="F337" s="87" t="str">
        <f t="shared" si="3"/>
        <v/>
      </c>
      <c r="G337" s="87" t="str">
        <f t="shared" si="4"/>
        <v/>
      </c>
      <c r="H337" s="87"/>
      <c r="I337" s="87"/>
      <c r="J337" s="87"/>
    </row>
    <row r="338" spans="1:10">
      <c r="A338" s="2"/>
      <c r="B338" s="2"/>
      <c r="C338" s="120" t="str">
        <f>IF(B338="","",SUMIFS('S-BOM'!$D$3:$D994,'S-BOM'!$C$3:$C994,B338,'S-BOM'!$B$3:$B994,$B$2))</f>
        <v/>
      </c>
      <c r="D338" s="120" t="str">
        <f>IFERROR(IF(B338="","",VLOOKUP(B338,RM!$C$4:$F984,3,FALSE)),"")</f>
        <v/>
      </c>
      <c r="E338" s="118" t="str">
        <f>IF(B338="","",VLOOKUP(B338,RM!$C$4:$G984,14,FALSE))</f>
        <v/>
      </c>
      <c r="F338" s="87" t="str">
        <f t="shared" si="3"/>
        <v/>
      </c>
      <c r="G338" s="87" t="str">
        <f t="shared" si="4"/>
        <v/>
      </c>
      <c r="H338" s="87"/>
      <c r="I338" s="87"/>
      <c r="J338" s="87"/>
    </row>
    <row r="339" spans="1:10">
      <c r="A339" s="2"/>
      <c r="B339" s="2"/>
      <c r="C339" s="120" t="str">
        <f>IF(B339="","",SUMIFS('S-BOM'!$D$3:$D994,'S-BOM'!$C$3:$C994,B339,'S-BOM'!$B$3:$B994,$B$2))</f>
        <v/>
      </c>
      <c r="D339" s="120" t="str">
        <f>IFERROR(IF(B339="","",VLOOKUP(B339,RM!$C$4:$F984,3,FALSE)),"")</f>
        <v/>
      </c>
      <c r="E339" s="118" t="str">
        <f>IF(B339="","",VLOOKUP(B339,RM!$C$4:$G984,14,FALSE))</f>
        <v/>
      </c>
      <c r="F339" s="87" t="str">
        <f t="shared" si="3"/>
        <v/>
      </c>
      <c r="G339" s="87" t="str">
        <f t="shared" si="4"/>
        <v/>
      </c>
      <c r="H339" s="87"/>
      <c r="I339" s="87"/>
      <c r="J339" s="87"/>
    </row>
    <row r="340" spans="1:10">
      <c r="A340" s="2"/>
      <c r="B340" s="2"/>
      <c r="C340" s="120" t="str">
        <f>IF(B340="","",SUMIFS('S-BOM'!$D$3:$D994,'S-BOM'!$C$3:$C994,B340,'S-BOM'!$B$3:$B994,$B$2))</f>
        <v/>
      </c>
      <c r="D340" s="120" t="str">
        <f>IFERROR(IF(B340="","",VLOOKUP(B340,RM!$C$4:$F984,3,FALSE)),"")</f>
        <v/>
      </c>
      <c r="E340" s="118" t="str">
        <f>IF(B340="","",VLOOKUP(B340,RM!$C$4:$G984,14,FALSE))</f>
        <v/>
      </c>
      <c r="F340" s="87" t="str">
        <f t="shared" si="3"/>
        <v/>
      </c>
      <c r="G340" s="87" t="str">
        <f t="shared" si="4"/>
        <v/>
      </c>
      <c r="H340" s="87"/>
      <c r="I340" s="87"/>
      <c r="J340" s="87"/>
    </row>
    <row r="341" spans="1:10">
      <c r="A341" s="2"/>
      <c r="B341" s="2"/>
      <c r="C341" s="120" t="str">
        <f>IF(B341="","",SUMIFS('S-BOM'!$D$3:$D994,'S-BOM'!$C$3:$C994,B341,'S-BOM'!$B$3:$B994,$B$2))</f>
        <v/>
      </c>
      <c r="D341" s="120" t="str">
        <f>IFERROR(IF(B341="","",VLOOKUP(B341,RM!$C$4:$F984,3,FALSE)),"")</f>
        <v/>
      </c>
      <c r="E341" s="118" t="str">
        <f>IF(B341="","",VLOOKUP(B341,RM!$C$4:$G984,14,FALSE))</f>
        <v/>
      </c>
      <c r="F341" s="87" t="str">
        <f t="shared" si="3"/>
        <v/>
      </c>
      <c r="G341" s="87" t="str">
        <f t="shared" si="4"/>
        <v/>
      </c>
      <c r="H341" s="87"/>
      <c r="I341" s="87"/>
      <c r="J341" s="87"/>
    </row>
    <row r="342" spans="1:10">
      <c r="A342" s="2"/>
      <c r="B342" s="2"/>
      <c r="C342" s="120" t="str">
        <f>IF(B342="","",SUMIFS('S-BOM'!$D$3:$D994,'S-BOM'!$C$3:$C994,B342,'S-BOM'!$B$3:$B994,$B$2))</f>
        <v/>
      </c>
      <c r="D342" s="120" t="str">
        <f>IFERROR(IF(B342="","",VLOOKUP(B342,RM!$C$4:$F984,3,FALSE)),"")</f>
        <v/>
      </c>
      <c r="E342" s="118" t="str">
        <f>IF(B342="","",VLOOKUP(B342,RM!$C$4:$G984,14,FALSE))</f>
        <v/>
      </c>
      <c r="F342" s="87" t="str">
        <f t="shared" si="3"/>
        <v/>
      </c>
      <c r="G342" s="87" t="str">
        <f t="shared" si="4"/>
        <v/>
      </c>
      <c r="H342" s="87"/>
      <c r="I342" s="87"/>
      <c r="J342" s="87"/>
    </row>
    <row r="343" spans="1:10">
      <c r="A343" s="2"/>
      <c r="B343" s="2"/>
      <c r="C343" s="120" t="str">
        <f>IF(B343="","",SUMIFS('S-BOM'!$D$3:$D994,'S-BOM'!$C$3:$C994,B343,'S-BOM'!$B$3:$B994,$B$2))</f>
        <v/>
      </c>
      <c r="D343" s="120" t="str">
        <f>IFERROR(IF(B343="","",VLOOKUP(B343,RM!$C$4:$F984,3,FALSE)),"")</f>
        <v/>
      </c>
      <c r="E343" s="118" t="str">
        <f>IF(B343="","",VLOOKUP(B343,RM!$C$4:$G984,14,FALSE))</f>
        <v/>
      </c>
      <c r="F343" s="87" t="str">
        <f t="shared" si="3"/>
        <v/>
      </c>
      <c r="G343" s="87" t="str">
        <f t="shared" si="4"/>
        <v/>
      </c>
      <c r="H343" s="87"/>
      <c r="I343" s="87"/>
      <c r="J343" s="87"/>
    </row>
    <row r="344" spans="1:10">
      <c r="A344" s="2"/>
      <c r="B344" s="2"/>
      <c r="C344" s="120" t="str">
        <f>IF(B344="","",SUMIFS('S-BOM'!$D$3:$D994,'S-BOM'!$C$3:$C994,B344,'S-BOM'!$B$3:$B994,$B$2))</f>
        <v/>
      </c>
      <c r="D344" s="120" t="str">
        <f>IFERROR(IF(B344="","",VLOOKUP(B344,RM!$C$4:$F984,3,FALSE)),"")</f>
        <v/>
      </c>
      <c r="E344" s="118" t="str">
        <f>IF(B344="","",VLOOKUP(B344,RM!$C$4:$G984,14,FALSE))</f>
        <v/>
      </c>
      <c r="F344" s="87" t="str">
        <f t="shared" si="3"/>
        <v/>
      </c>
      <c r="G344" s="87" t="str">
        <f t="shared" si="4"/>
        <v/>
      </c>
      <c r="H344" s="87"/>
      <c r="I344" s="87"/>
      <c r="J344" s="87"/>
    </row>
    <row r="345" spans="1:10">
      <c r="A345" s="2"/>
      <c r="B345" s="2"/>
      <c r="C345" s="120" t="str">
        <f>IF(B345="","",SUMIFS('S-BOM'!$D$3:$D994,'S-BOM'!$C$3:$C994,B345,'S-BOM'!$B$3:$B994,$B$2))</f>
        <v/>
      </c>
      <c r="D345" s="120" t="str">
        <f>IFERROR(IF(B345="","",VLOOKUP(B345,RM!$C$4:$F984,3,FALSE)),"")</f>
        <v/>
      </c>
      <c r="E345" s="118" t="str">
        <f>IF(B345="","",VLOOKUP(B345,RM!$C$4:$G984,14,FALSE))</f>
        <v/>
      </c>
      <c r="F345" s="87" t="str">
        <f t="shared" si="3"/>
        <v/>
      </c>
      <c r="G345" s="87" t="str">
        <f t="shared" si="4"/>
        <v/>
      </c>
      <c r="H345" s="87"/>
      <c r="I345" s="87"/>
      <c r="J345" s="87"/>
    </row>
    <row r="346" spans="1:10">
      <c r="A346" s="2"/>
      <c r="B346" s="2"/>
      <c r="C346" s="120" t="str">
        <f>IF(B346="","",SUMIFS('S-BOM'!$D$3:$D994,'S-BOM'!$C$3:$C994,B346,'S-BOM'!$B$3:$B994,$B$2))</f>
        <v/>
      </c>
      <c r="D346" s="120" t="str">
        <f>IFERROR(IF(B346="","",VLOOKUP(B346,RM!$C$4:$F984,3,FALSE)),"")</f>
        <v/>
      </c>
      <c r="E346" s="118" t="str">
        <f>IF(B346="","",VLOOKUP(B346,RM!$C$4:$G984,14,FALSE))</f>
        <v/>
      </c>
      <c r="F346" s="87" t="str">
        <f t="shared" si="3"/>
        <v/>
      </c>
      <c r="G346" s="87" t="str">
        <f t="shared" si="4"/>
        <v/>
      </c>
      <c r="H346" s="87"/>
      <c r="I346" s="87"/>
      <c r="J346" s="87"/>
    </row>
    <row r="347" spans="1:10">
      <c r="A347" s="2"/>
      <c r="B347" s="2"/>
      <c r="C347" s="120" t="str">
        <f>IF(B347="","",SUMIFS('S-BOM'!$D$3:$D994,'S-BOM'!$C$3:$C994,B347,'S-BOM'!$B$3:$B994,$B$2))</f>
        <v/>
      </c>
      <c r="D347" s="120" t="str">
        <f>IFERROR(IF(B347="","",VLOOKUP(B347,RM!$C$4:$F984,3,FALSE)),"")</f>
        <v/>
      </c>
      <c r="E347" s="118" t="str">
        <f>IF(B347="","",VLOOKUP(B347,RM!$C$4:$G984,14,FALSE))</f>
        <v/>
      </c>
      <c r="F347" s="87" t="str">
        <f t="shared" si="3"/>
        <v/>
      </c>
      <c r="G347" s="87" t="str">
        <f t="shared" si="4"/>
        <v/>
      </c>
      <c r="H347" s="87"/>
      <c r="I347" s="87"/>
      <c r="J347" s="87"/>
    </row>
    <row r="348" spans="1:10">
      <c r="A348" s="2"/>
      <c r="B348" s="2"/>
      <c r="C348" s="120" t="str">
        <f>IF(B348="","",SUMIFS('S-BOM'!$D$3:$D994,'S-BOM'!$C$3:$C994,B348,'S-BOM'!$B$3:$B994,$B$2))</f>
        <v/>
      </c>
      <c r="D348" s="120" t="str">
        <f>IFERROR(IF(B348="","",VLOOKUP(B348,RM!$C$4:$F984,3,FALSE)),"")</f>
        <v/>
      </c>
      <c r="E348" s="118" t="str">
        <f>IF(B348="","",VLOOKUP(B348,RM!$C$4:$G984,14,FALSE))</f>
        <v/>
      </c>
      <c r="F348" s="87" t="str">
        <f t="shared" si="3"/>
        <v/>
      </c>
      <c r="G348" s="87" t="str">
        <f t="shared" si="4"/>
        <v/>
      </c>
      <c r="H348" s="87"/>
      <c r="I348" s="87"/>
      <c r="J348" s="87"/>
    </row>
    <row r="349" spans="1:10">
      <c r="A349" s="2"/>
      <c r="B349" s="2"/>
      <c r="C349" s="120" t="str">
        <f>IF(B349="","",SUMIFS('S-BOM'!$D$3:$D994,'S-BOM'!$C$3:$C994,B349,'S-BOM'!$B$3:$B994,$B$2))</f>
        <v/>
      </c>
      <c r="D349" s="120" t="str">
        <f>IFERROR(IF(B349="","",VLOOKUP(B349,RM!$C$4:$F984,3,FALSE)),"")</f>
        <v/>
      </c>
      <c r="E349" s="118" t="str">
        <f>IF(B349="","",VLOOKUP(B349,RM!$C$4:$G984,14,FALSE))</f>
        <v/>
      </c>
      <c r="F349" s="87" t="str">
        <f t="shared" si="3"/>
        <v/>
      </c>
      <c r="G349" s="87" t="str">
        <f t="shared" si="4"/>
        <v/>
      </c>
      <c r="H349" s="87"/>
      <c r="I349" s="87"/>
      <c r="J349" s="87"/>
    </row>
    <row r="350" spans="1:10">
      <c r="A350" s="2"/>
      <c r="B350" s="2"/>
      <c r="C350" s="120" t="str">
        <f>IF(B350="","",SUMIFS('S-BOM'!$D$3:$D994,'S-BOM'!$C$3:$C994,B350,'S-BOM'!$B$3:$B994,$B$2))</f>
        <v/>
      </c>
      <c r="D350" s="120" t="str">
        <f>IFERROR(IF(B350="","",VLOOKUP(B350,RM!$C$4:$F984,3,FALSE)),"")</f>
        <v/>
      </c>
      <c r="E350" s="118" t="str">
        <f>IF(B350="","",VLOOKUP(B350,RM!$C$4:$G984,14,FALSE))</f>
        <v/>
      </c>
      <c r="F350" s="87" t="str">
        <f t="shared" si="3"/>
        <v/>
      </c>
      <c r="G350" s="87" t="str">
        <f t="shared" si="4"/>
        <v/>
      </c>
      <c r="H350" s="87"/>
      <c r="I350" s="87"/>
      <c r="J350" s="87"/>
    </row>
    <row r="351" spans="1:10">
      <c r="A351" s="2"/>
      <c r="B351" s="2"/>
      <c r="C351" s="120" t="str">
        <f>IF(B351="","",SUMIFS('S-BOM'!$D$3:$D994,'S-BOM'!$C$3:$C994,B351,'S-BOM'!$B$3:$B994,$B$2))</f>
        <v/>
      </c>
      <c r="D351" s="120" t="str">
        <f>IFERROR(IF(B351="","",VLOOKUP(B351,RM!$C$4:$F984,3,FALSE)),"")</f>
        <v/>
      </c>
      <c r="E351" s="118" t="str">
        <f>IF(B351="","",VLOOKUP(B351,RM!$C$4:$G984,14,FALSE))</f>
        <v/>
      </c>
      <c r="F351" s="87" t="str">
        <f t="shared" si="3"/>
        <v/>
      </c>
      <c r="G351" s="87" t="str">
        <f t="shared" si="4"/>
        <v/>
      </c>
      <c r="H351" s="87"/>
      <c r="I351" s="87"/>
      <c r="J351" s="87"/>
    </row>
    <row r="352" spans="1:10">
      <c r="A352" s="2"/>
      <c r="B352" s="2"/>
      <c r="C352" s="120" t="str">
        <f>IF(B352="","",SUMIFS('S-BOM'!$D$3:$D994,'S-BOM'!$C$3:$C994,B352,'S-BOM'!$B$3:$B994,$B$2))</f>
        <v/>
      </c>
      <c r="D352" s="120" t="str">
        <f>IFERROR(IF(B352="","",VLOOKUP(B352,RM!$C$4:$F984,3,FALSE)),"")</f>
        <v/>
      </c>
      <c r="E352" s="118" t="str">
        <f>IF(B352="","",VLOOKUP(B352,RM!$C$4:$G984,14,FALSE))</f>
        <v/>
      </c>
      <c r="F352" s="87" t="str">
        <f t="shared" si="3"/>
        <v/>
      </c>
      <c r="G352" s="87" t="str">
        <f t="shared" si="4"/>
        <v/>
      </c>
      <c r="H352" s="87"/>
      <c r="I352" s="87"/>
      <c r="J352" s="87"/>
    </row>
    <row r="353" spans="1:10">
      <c r="A353" s="2"/>
      <c r="B353" s="2"/>
      <c r="C353" s="120" t="str">
        <f>IF(B353="","",SUMIFS('S-BOM'!$D$3:$D994,'S-BOM'!$C$3:$C994,B353,'S-BOM'!$B$3:$B994,$B$2))</f>
        <v/>
      </c>
      <c r="D353" s="120" t="str">
        <f>IFERROR(IF(B353="","",VLOOKUP(B353,RM!$C$4:$F984,3,FALSE)),"")</f>
        <v/>
      </c>
      <c r="E353" s="118" t="str">
        <f>IF(B353="","",VLOOKUP(B353,RM!$C$4:$G984,14,FALSE))</f>
        <v/>
      </c>
      <c r="F353" s="87" t="str">
        <f t="shared" si="3"/>
        <v/>
      </c>
      <c r="G353" s="87" t="str">
        <f t="shared" si="4"/>
        <v/>
      </c>
      <c r="H353" s="87"/>
      <c r="I353" s="87"/>
      <c r="J353" s="87"/>
    </row>
    <row r="354" spans="1:10">
      <c r="A354" s="2"/>
      <c r="B354" s="2"/>
      <c r="C354" s="120" t="str">
        <f>IF(B354="","",SUMIFS('S-BOM'!$D$3:$D994,'S-BOM'!$C$3:$C994,B354,'S-BOM'!$B$3:$B994,$B$2))</f>
        <v/>
      </c>
      <c r="D354" s="120" t="str">
        <f>IFERROR(IF(B354="","",VLOOKUP(B354,RM!$C$4:$F984,3,FALSE)),"")</f>
        <v/>
      </c>
      <c r="E354" s="118" t="str">
        <f>IF(B354="","",VLOOKUP(B354,RM!$C$4:$G984,14,FALSE))</f>
        <v/>
      </c>
      <c r="F354" s="87" t="str">
        <f t="shared" si="3"/>
        <v/>
      </c>
      <c r="G354" s="87" t="str">
        <f t="shared" si="4"/>
        <v/>
      </c>
      <c r="H354" s="87"/>
      <c r="I354" s="87"/>
      <c r="J354" s="87"/>
    </row>
    <row r="355" spans="1:10">
      <c r="A355" s="2"/>
      <c r="B355" s="2"/>
      <c r="C355" s="120" t="str">
        <f>IF(B355="","",SUMIFS('S-BOM'!$D$3:$D994,'S-BOM'!$C$3:$C994,B355,'S-BOM'!$B$3:$B994,$B$2))</f>
        <v/>
      </c>
      <c r="D355" s="120" t="str">
        <f>IFERROR(IF(B355="","",VLOOKUP(B355,RM!$C$4:$F984,3,FALSE)),"")</f>
        <v/>
      </c>
      <c r="E355" s="118" t="str">
        <f>IF(B355="","",VLOOKUP(B355,RM!$C$4:$G984,14,FALSE))</f>
        <v/>
      </c>
      <c r="F355" s="87" t="str">
        <f t="shared" si="3"/>
        <v/>
      </c>
      <c r="G355" s="87" t="str">
        <f t="shared" si="4"/>
        <v/>
      </c>
      <c r="H355" s="87"/>
      <c r="I355" s="87"/>
      <c r="J355" s="87"/>
    </row>
    <row r="356" spans="1:10">
      <c r="A356" s="2"/>
      <c r="B356" s="2"/>
      <c r="C356" s="120" t="str">
        <f>IF(B356="","",SUMIFS('S-BOM'!$D$3:$D994,'S-BOM'!$C$3:$C994,B356,'S-BOM'!$B$3:$B994,$B$2))</f>
        <v/>
      </c>
      <c r="D356" s="120" t="str">
        <f>IFERROR(IF(B356="","",VLOOKUP(B356,RM!$C$4:$F984,3,FALSE)),"")</f>
        <v/>
      </c>
      <c r="E356" s="118" t="str">
        <f>IF(B356="","",VLOOKUP(B356,RM!$C$4:$G984,14,FALSE))</f>
        <v/>
      </c>
      <c r="F356" s="87" t="str">
        <f t="shared" si="3"/>
        <v/>
      </c>
      <c r="G356" s="87" t="str">
        <f t="shared" si="4"/>
        <v/>
      </c>
      <c r="H356" s="87"/>
      <c r="I356" s="87"/>
      <c r="J356" s="87"/>
    </row>
    <row r="357" spans="1:10">
      <c r="A357" s="2"/>
      <c r="B357" s="2"/>
      <c r="C357" s="120" t="str">
        <f>IF(B357="","",SUMIFS('S-BOM'!$D$3:$D994,'S-BOM'!$C$3:$C994,B357,'S-BOM'!$B$3:$B994,$B$2))</f>
        <v/>
      </c>
      <c r="D357" s="120" t="str">
        <f>IFERROR(IF(B357="","",VLOOKUP(B357,RM!$C$4:$F984,3,FALSE)),"")</f>
        <v/>
      </c>
      <c r="E357" s="118" t="str">
        <f>IF(B357="","",VLOOKUP(B357,RM!$C$4:$G984,14,FALSE))</f>
        <v/>
      </c>
      <c r="F357" s="87" t="str">
        <f t="shared" si="3"/>
        <v/>
      </c>
      <c r="G357" s="87" t="str">
        <f t="shared" si="4"/>
        <v/>
      </c>
      <c r="H357" s="87"/>
      <c r="I357" s="87"/>
      <c r="J357" s="87"/>
    </row>
    <row r="358" spans="1:10">
      <c r="A358" s="2"/>
      <c r="B358" s="2"/>
      <c r="C358" s="120" t="str">
        <f>IF(B358="","",SUMIFS('S-BOM'!$D$3:$D994,'S-BOM'!$C$3:$C994,B358,'S-BOM'!$B$3:$B994,$B$2))</f>
        <v/>
      </c>
      <c r="D358" s="120" t="str">
        <f>IFERROR(IF(B358="","",VLOOKUP(B358,RM!$C$4:$F984,3,FALSE)),"")</f>
        <v/>
      </c>
      <c r="E358" s="118" t="str">
        <f>IF(B358="","",VLOOKUP(B358,RM!$C$4:$G984,14,FALSE))</f>
        <v/>
      </c>
      <c r="F358" s="87" t="str">
        <f t="shared" si="3"/>
        <v/>
      </c>
      <c r="G358" s="87" t="str">
        <f t="shared" si="4"/>
        <v/>
      </c>
      <c r="H358" s="87"/>
      <c r="I358" s="87"/>
      <c r="J358" s="87"/>
    </row>
    <row r="359" spans="1:10">
      <c r="A359" s="2"/>
      <c r="B359" s="2"/>
      <c r="C359" s="120" t="str">
        <f>IF(B359="","",SUMIFS('S-BOM'!$D$3:$D994,'S-BOM'!$C$3:$C994,B359,'S-BOM'!$B$3:$B994,$B$2))</f>
        <v/>
      </c>
      <c r="D359" s="120" t="str">
        <f>IFERROR(IF(B359="","",VLOOKUP(B359,RM!$C$4:$F984,3,FALSE)),"")</f>
        <v/>
      </c>
      <c r="E359" s="118" t="str">
        <f>IF(B359="","",VLOOKUP(B359,RM!$C$4:$G984,14,FALSE))</f>
        <v/>
      </c>
      <c r="F359" s="87" t="str">
        <f t="shared" si="3"/>
        <v/>
      </c>
      <c r="G359" s="87" t="str">
        <f t="shared" si="4"/>
        <v/>
      </c>
      <c r="H359" s="87"/>
      <c r="I359" s="87"/>
      <c r="J359" s="87"/>
    </row>
    <row r="360" spans="1:10">
      <c r="A360" s="2"/>
      <c r="B360" s="2"/>
      <c r="C360" s="120" t="str">
        <f>IF(B360="","",SUMIFS('S-BOM'!$D$3:$D994,'S-BOM'!$C$3:$C994,B360,'S-BOM'!$B$3:$B994,$B$2))</f>
        <v/>
      </c>
      <c r="D360" s="120" t="str">
        <f>IFERROR(IF(B360="","",VLOOKUP(B360,RM!$C$4:$F984,3,FALSE)),"")</f>
        <v/>
      </c>
      <c r="E360" s="118" t="str">
        <f>IF(B360="","",VLOOKUP(B360,RM!$C$4:$G984,14,FALSE))</f>
        <v/>
      </c>
      <c r="F360" s="87" t="str">
        <f t="shared" si="3"/>
        <v/>
      </c>
      <c r="G360" s="87" t="str">
        <f t="shared" si="4"/>
        <v/>
      </c>
      <c r="H360" s="87"/>
      <c r="I360" s="87"/>
      <c r="J360" s="87"/>
    </row>
    <row r="361" spans="1:10">
      <c r="A361" s="2"/>
      <c r="B361" s="2"/>
      <c r="C361" s="120" t="str">
        <f>IF(B361="","",SUMIFS('S-BOM'!$D$3:$D994,'S-BOM'!$C$3:$C994,B361,'S-BOM'!$B$3:$B994,$B$2))</f>
        <v/>
      </c>
      <c r="D361" s="120" t="str">
        <f>IFERROR(IF(B361="","",VLOOKUP(B361,RM!$C$4:$F984,3,FALSE)),"")</f>
        <v/>
      </c>
      <c r="E361" s="118" t="str">
        <f>IF(B361="","",VLOOKUP(B361,RM!$C$4:$G984,14,FALSE))</f>
        <v/>
      </c>
      <c r="F361" s="87" t="str">
        <f t="shared" si="3"/>
        <v/>
      </c>
      <c r="G361" s="87" t="str">
        <f t="shared" si="4"/>
        <v/>
      </c>
      <c r="H361" s="87"/>
      <c r="I361" s="87"/>
      <c r="J361" s="87"/>
    </row>
    <row r="362" spans="1:10">
      <c r="A362" s="2"/>
      <c r="B362" s="2"/>
      <c r="C362" s="120" t="str">
        <f>IF(B362="","",SUMIFS('S-BOM'!$D$3:$D994,'S-BOM'!$C$3:$C994,B362,'S-BOM'!$B$3:$B994,$B$2))</f>
        <v/>
      </c>
      <c r="D362" s="120" t="str">
        <f>IFERROR(IF(B362="","",VLOOKUP(B362,RM!$C$4:$F984,3,FALSE)),"")</f>
        <v/>
      </c>
      <c r="E362" s="118" t="str">
        <f>IF(B362="","",VLOOKUP(B362,RM!$C$4:$G984,14,FALSE))</f>
        <v/>
      </c>
      <c r="F362" s="87" t="str">
        <f t="shared" si="3"/>
        <v/>
      </c>
      <c r="G362" s="87" t="str">
        <f t="shared" si="4"/>
        <v/>
      </c>
      <c r="H362" s="87"/>
      <c r="I362" s="87"/>
      <c r="J362" s="87"/>
    </row>
    <row r="363" spans="1:10">
      <c r="A363" s="2"/>
      <c r="B363" s="2"/>
      <c r="C363" s="120" t="str">
        <f>IF(B363="","",SUMIFS('S-BOM'!$D$3:$D994,'S-BOM'!$C$3:$C994,B363,'S-BOM'!$B$3:$B994,$B$2))</f>
        <v/>
      </c>
      <c r="D363" s="120" t="str">
        <f>IFERROR(IF(B363="","",VLOOKUP(B363,RM!$C$4:$F984,3,FALSE)),"")</f>
        <v/>
      </c>
      <c r="E363" s="118" t="str">
        <f>IF(B363="","",VLOOKUP(B363,RM!$C$4:$G984,14,FALSE))</f>
        <v/>
      </c>
      <c r="F363" s="87" t="str">
        <f t="shared" si="3"/>
        <v/>
      </c>
      <c r="G363" s="87" t="str">
        <f t="shared" si="4"/>
        <v/>
      </c>
      <c r="H363" s="87"/>
      <c r="I363" s="87"/>
      <c r="J363" s="87"/>
    </row>
    <row r="364" spans="1:10">
      <c r="A364" s="2"/>
      <c r="B364" s="2"/>
      <c r="C364" s="120" t="str">
        <f>IF(B364="","",SUMIFS('S-BOM'!$D$3:$D994,'S-BOM'!$C$3:$C994,B364,'S-BOM'!$B$3:$B994,$B$2))</f>
        <v/>
      </c>
      <c r="D364" s="120" t="str">
        <f>IFERROR(IF(B364="","",VLOOKUP(B364,RM!$C$4:$F984,3,FALSE)),"")</f>
        <v/>
      </c>
      <c r="E364" s="118" t="str">
        <f>IF(B364="","",VLOOKUP(B364,RM!$C$4:$G984,14,FALSE))</f>
        <v/>
      </c>
      <c r="F364" s="87" t="str">
        <f t="shared" si="3"/>
        <v/>
      </c>
      <c r="G364" s="87" t="str">
        <f t="shared" si="4"/>
        <v/>
      </c>
      <c r="H364" s="87"/>
      <c r="I364" s="87"/>
      <c r="J364" s="87"/>
    </row>
    <row r="365" spans="1:10">
      <c r="A365" s="2"/>
      <c r="B365" s="2"/>
      <c r="C365" s="120" t="str">
        <f>IF(B365="","",SUMIFS('S-BOM'!$D$3:$D994,'S-BOM'!$C$3:$C994,B365,'S-BOM'!$B$3:$B994,$B$2))</f>
        <v/>
      </c>
      <c r="D365" s="120" t="str">
        <f>IFERROR(IF(B365="","",VLOOKUP(B365,RM!$C$4:$F984,3,FALSE)),"")</f>
        <v/>
      </c>
      <c r="E365" s="118" t="str">
        <f>IF(B365="","",VLOOKUP(B365,RM!$C$4:$G984,14,FALSE))</f>
        <v/>
      </c>
      <c r="F365" s="87" t="str">
        <f t="shared" si="3"/>
        <v/>
      </c>
      <c r="G365" s="87" t="str">
        <f t="shared" si="4"/>
        <v/>
      </c>
      <c r="H365" s="87"/>
      <c r="I365" s="87"/>
      <c r="J365" s="87"/>
    </row>
    <row r="366" spans="1:10">
      <c r="A366" s="2"/>
      <c r="B366" s="2"/>
      <c r="C366" s="120" t="str">
        <f>IF(B366="","",SUMIFS('S-BOM'!$D$3:$D994,'S-BOM'!$C$3:$C994,B366,'S-BOM'!$B$3:$B994,$B$2))</f>
        <v/>
      </c>
      <c r="D366" s="120" t="str">
        <f>IFERROR(IF(B366="","",VLOOKUP(B366,RM!$C$4:$F984,3,FALSE)),"")</f>
        <v/>
      </c>
      <c r="E366" s="118" t="str">
        <f>IF(B366="","",VLOOKUP(B366,RM!$C$4:$G984,14,FALSE))</f>
        <v/>
      </c>
      <c r="F366" s="87" t="str">
        <f t="shared" si="3"/>
        <v/>
      </c>
      <c r="G366" s="87" t="str">
        <f t="shared" si="4"/>
        <v/>
      </c>
      <c r="H366" s="87"/>
      <c r="I366" s="87"/>
      <c r="J366" s="87"/>
    </row>
    <row r="367" spans="1:10">
      <c r="A367" s="2"/>
      <c r="B367" s="2"/>
      <c r="C367" s="120" t="str">
        <f>IF(B367="","",SUMIFS('S-BOM'!$D$3:$D994,'S-BOM'!$C$3:$C994,B367,'S-BOM'!$B$3:$B994,$B$2))</f>
        <v/>
      </c>
      <c r="D367" s="120" t="str">
        <f>IFERROR(IF(B367="","",VLOOKUP(B367,RM!$C$4:$F984,3,FALSE)),"")</f>
        <v/>
      </c>
      <c r="E367" s="118" t="str">
        <f>IF(B367="","",VLOOKUP(B367,RM!$C$4:$G984,14,FALSE))</f>
        <v/>
      </c>
      <c r="F367" s="87" t="str">
        <f t="shared" si="3"/>
        <v/>
      </c>
      <c r="G367" s="87" t="str">
        <f t="shared" si="4"/>
        <v/>
      </c>
      <c r="H367" s="87"/>
      <c r="I367" s="87"/>
      <c r="J367" s="87"/>
    </row>
    <row r="368" spans="1:10">
      <c r="A368" s="2"/>
      <c r="B368" s="2"/>
      <c r="C368" s="120" t="str">
        <f>IF(B368="","",SUMIFS('S-BOM'!$D$3:$D994,'S-BOM'!$C$3:$C994,B368,'S-BOM'!$B$3:$B994,$B$2))</f>
        <v/>
      </c>
      <c r="D368" s="120" t="str">
        <f>IFERROR(IF(B368="","",VLOOKUP(B368,RM!$C$4:$F984,3,FALSE)),"")</f>
        <v/>
      </c>
      <c r="E368" s="118" t="str">
        <f>IF(B368="","",VLOOKUP(B368,RM!$C$4:$G984,14,FALSE))</f>
        <v/>
      </c>
      <c r="F368" s="87" t="str">
        <f t="shared" si="3"/>
        <v/>
      </c>
      <c r="G368" s="87" t="str">
        <f t="shared" si="4"/>
        <v/>
      </c>
      <c r="H368" s="87"/>
      <c r="I368" s="87"/>
      <c r="J368" s="87"/>
    </row>
    <row r="369" spans="1:10">
      <c r="A369" s="2"/>
      <c r="B369" s="2"/>
      <c r="C369" s="120" t="str">
        <f>IF(B369="","",SUMIFS('S-BOM'!$D$3:$D994,'S-BOM'!$C$3:$C994,B369,'S-BOM'!$B$3:$B994,$B$2))</f>
        <v/>
      </c>
      <c r="D369" s="120" t="str">
        <f>IFERROR(IF(B369="","",VLOOKUP(B369,RM!$C$4:$F984,3,FALSE)),"")</f>
        <v/>
      </c>
      <c r="E369" s="118" t="str">
        <f>IF(B369="","",VLOOKUP(B369,RM!$C$4:$G984,14,FALSE))</f>
        <v/>
      </c>
      <c r="F369" s="87" t="str">
        <f t="shared" si="3"/>
        <v/>
      </c>
      <c r="G369" s="87" t="str">
        <f t="shared" si="4"/>
        <v/>
      </c>
      <c r="H369" s="87"/>
      <c r="I369" s="87"/>
      <c r="J369" s="87"/>
    </row>
    <row r="370" spans="1:10">
      <c r="A370" s="2"/>
      <c r="B370" s="2"/>
      <c r="C370" s="120" t="str">
        <f>IF(B370="","",SUMIFS('S-BOM'!$D$3:$D994,'S-BOM'!$C$3:$C994,B370,'S-BOM'!$B$3:$B994,$B$2))</f>
        <v/>
      </c>
      <c r="D370" s="120" t="str">
        <f>IFERROR(IF(B370="","",VLOOKUP(B370,RM!$C$4:$F984,3,FALSE)),"")</f>
        <v/>
      </c>
      <c r="E370" s="118" t="str">
        <f>IF(B370="","",VLOOKUP(B370,RM!$C$4:$G984,14,FALSE))</f>
        <v/>
      </c>
      <c r="F370" s="87" t="str">
        <f t="shared" si="3"/>
        <v/>
      </c>
      <c r="G370" s="87" t="str">
        <f t="shared" si="4"/>
        <v/>
      </c>
      <c r="H370" s="87"/>
      <c r="I370" s="87"/>
      <c r="J370" s="87"/>
    </row>
    <row r="371" spans="1:10">
      <c r="A371" s="2"/>
      <c r="B371" s="2"/>
      <c r="C371" s="120" t="str">
        <f>IF(B371="","",SUMIFS('S-BOM'!$D$3:$D994,'S-BOM'!$C$3:$C994,B371,'S-BOM'!$B$3:$B994,$B$2))</f>
        <v/>
      </c>
      <c r="D371" s="120" t="str">
        <f>IFERROR(IF(B371="","",VLOOKUP(B371,RM!$C$4:$F984,3,FALSE)),"")</f>
        <v/>
      </c>
      <c r="E371" s="118" t="str">
        <f>IF(B371="","",VLOOKUP(B371,RM!$C$4:$G984,14,FALSE))</f>
        <v/>
      </c>
      <c r="F371" s="87" t="str">
        <f t="shared" si="3"/>
        <v/>
      </c>
      <c r="G371" s="87" t="str">
        <f t="shared" si="4"/>
        <v/>
      </c>
      <c r="H371" s="87"/>
      <c r="I371" s="87"/>
      <c r="J371" s="87"/>
    </row>
    <row r="372" spans="1:10">
      <c r="A372" s="2"/>
      <c r="B372" s="2"/>
      <c r="C372" s="120" t="str">
        <f>IF(B372="","",SUMIFS('S-BOM'!$D$3:$D994,'S-BOM'!$C$3:$C994,B372,'S-BOM'!$B$3:$B994,$B$2))</f>
        <v/>
      </c>
      <c r="D372" s="120" t="str">
        <f>IFERROR(IF(B372="","",VLOOKUP(B372,RM!$C$4:$F984,3,FALSE)),"")</f>
        <v/>
      </c>
      <c r="E372" s="118" t="str">
        <f>IF(B372="","",VLOOKUP(B372,RM!$C$4:$G984,14,FALSE))</f>
        <v/>
      </c>
      <c r="F372" s="87" t="str">
        <f t="shared" si="3"/>
        <v/>
      </c>
      <c r="G372" s="87" t="str">
        <f t="shared" si="4"/>
        <v/>
      </c>
      <c r="H372" s="87"/>
      <c r="I372" s="87"/>
      <c r="J372" s="87"/>
    </row>
    <row r="373" spans="1:10">
      <c r="A373" s="2"/>
      <c r="B373" s="2"/>
      <c r="C373" s="120" t="str">
        <f>IF(B373="","",SUMIFS('S-BOM'!$D$3:$D994,'S-BOM'!$C$3:$C994,B373,'S-BOM'!$B$3:$B994,$B$2))</f>
        <v/>
      </c>
      <c r="D373" s="120" t="str">
        <f>IFERROR(IF(B373="","",VLOOKUP(B373,RM!$C$4:$F984,3,FALSE)),"")</f>
        <v/>
      </c>
      <c r="E373" s="118" t="str">
        <f>IF(B373="","",VLOOKUP(B373,RM!$C$4:$G984,14,FALSE))</f>
        <v/>
      </c>
      <c r="F373" s="87" t="str">
        <f t="shared" si="3"/>
        <v/>
      </c>
      <c r="G373" s="87" t="str">
        <f t="shared" si="4"/>
        <v/>
      </c>
      <c r="H373" s="87"/>
      <c r="I373" s="87"/>
      <c r="J373" s="87"/>
    </row>
    <row r="374" spans="1:10">
      <c r="A374" s="2"/>
      <c r="B374" s="2"/>
      <c r="C374" s="120" t="str">
        <f>IF(B374="","",SUMIFS('S-BOM'!$D$3:$D994,'S-BOM'!$C$3:$C994,B374,'S-BOM'!$B$3:$B994,$B$2))</f>
        <v/>
      </c>
      <c r="D374" s="120" t="str">
        <f>IFERROR(IF(B374="","",VLOOKUP(B374,RM!$C$4:$F984,3,FALSE)),"")</f>
        <v/>
      </c>
      <c r="E374" s="118" t="str">
        <f>IF(B374="","",VLOOKUP(B374,RM!$C$4:$G984,14,FALSE))</f>
        <v/>
      </c>
      <c r="F374" s="87" t="str">
        <f t="shared" si="3"/>
        <v/>
      </c>
      <c r="G374" s="87" t="str">
        <f t="shared" si="4"/>
        <v/>
      </c>
      <c r="H374" s="87"/>
      <c r="I374" s="87"/>
      <c r="J374" s="87"/>
    </row>
    <row r="375" spans="1:10">
      <c r="A375" s="2"/>
      <c r="B375" s="2"/>
      <c r="C375" s="120" t="str">
        <f>IF(B375="","",SUMIFS('S-BOM'!$D$3:$D994,'S-BOM'!$C$3:$C994,B375,'S-BOM'!$B$3:$B994,$B$2))</f>
        <v/>
      </c>
      <c r="D375" s="120" t="str">
        <f>IFERROR(IF(B375="","",VLOOKUP(B375,RM!$C$4:$F984,3,FALSE)),"")</f>
        <v/>
      </c>
      <c r="E375" s="118" t="str">
        <f>IF(B375="","",VLOOKUP(B375,RM!$C$4:$G984,14,FALSE))</f>
        <v/>
      </c>
      <c r="F375" s="87" t="str">
        <f t="shared" si="3"/>
        <v/>
      </c>
      <c r="G375" s="87" t="str">
        <f t="shared" si="4"/>
        <v/>
      </c>
      <c r="H375" s="87"/>
      <c r="I375" s="87"/>
      <c r="J375" s="87"/>
    </row>
    <row r="376" spans="1:10">
      <c r="A376" s="2"/>
      <c r="B376" s="2"/>
      <c r="C376" s="120" t="str">
        <f>IF(B376="","",SUMIFS('S-BOM'!$D$3:$D994,'S-BOM'!$C$3:$C994,B376,'S-BOM'!$B$3:$B994,$B$2))</f>
        <v/>
      </c>
      <c r="D376" s="120" t="str">
        <f>IFERROR(IF(B376="","",VLOOKUP(B376,RM!$C$4:$F984,3,FALSE)),"")</f>
        <v/>
      </c>
      <c r="E376" s="118" t="str">
        <f>IF(B376="","",VLOOKUP(B376,RM!$C$4:$G984,14,FALSE))</f>
        <v/>
      </c>
      <c r="F376" s="87" t="str">
        <f t="shared" si="3"/>
        <v/>
      </c>
      <c r="G376" s="87" t="str">
        <f t="shared" si="4"/>
        <v/>
      </c>
      <c r="H376" s="87"/>
      <c r="I376" s="87"/>
      <c r="J376" s="87"/>
    </row>
    <row r="377" spans="1:10">
      <c r="A377" s="2"/>
      <c r="B377" s="2"/>
      <c r="C377" s="120" t="str">
        <f>IF(B377="","",SUMIFS('S-BOM'!$D$3:$D994,'S-BOM'!$C$3:$C994,B377,'S-BOM'!$B$3:$B994,$B$2))</f>
        <v/>
      </c>
      <c r="D377" s="120" t="str">
        <f>IFERROR(IF(B377="","",VLOOKUP(B377,RM!$C$4:$F984,3,FALSE)),"")</f>
        <v/>
      </c>
      <c r="E377" s="118" t="str">
        <f>IF(B377="","",VLOOKUP(B377,RM!$C$4:$G984,14,FALSE))</f>
        <v/>
      </c>
      <c r="F377" s="87" t="str">
        <f t="shared" si="3"/>
        <v/>
      </c>
      <c r="G377" s="87" t="str">
        <f t="shared" si="4"/>
        <v/>
      </c>
      <c r="H377" s="87"/>
      <c r="I377" s="87"/>
      <c r="J377" s="87"/>
    </row>
    <row r="378" spans="1:10">
      <c r="A378" s="2"/>
      <c r="B378" s="2"/>
      <c r="C378" s="120" t="str">
        <f>IF(B378="","",SUMIFS('S-BOM'!$D$3:$D994,'S-BOM'!$C$3:$C994,B378,'S-BOM'!$B$3:$B994,$B$2))</f>
        <v/>
      </c>
      <c r="D378" s="120" t="str">
        <f>IFERROR(IF(B378="","",VLOOKUP(B378,RM!$C$4:$F984,3,FALSE)),"")</f>
        <v/>
      </c>
      <c r="E378" s="118" t="str">
        <f>IF(B378="","",VLOOKUP(B378,RM!$C$4:$G984,14,FALSE))</f>
        <v/>
      </c>
      <c r="F378" s="87" t="str">
        <f t="shared" si="3"/>
        <v/>
      </c>
      <c r="G378" s="87" t="str">
        <f t="shared" si="4"/>
        <v/>
      </c>
      <c r="H378" s="87"/>
      <c r="I378" s="87"/>
      <c r="J378" s="87"/>
    </row>
    <row r="379" spans="1:10">
      <c r="A379" s="2"/>
      <c r="B379" s="2"/>
      <c r="C379" s="120" t="str">
        <f>IF(B379="","",SUMIFS('S-BOM'!$D$3:$D994,'S-BOM'!$C$3:$C994,B379,'S-BOM'!$B$3:$B994,$B$2))</f>
        <v/>
      </c>
      <c r="D379" s="120" t="str">
        <f>IFERROR(IF(B379="","",VLOOKUP(B379,RM!$C$4:$F984,3,FALSE)),"")</f>
        <v/>
      </c>
      <c r="E379" s="118" t="str">
        <f>IF(B379="","",VLOOKUP(B379,RM!$C$4:$G984,14,FALSE))</f>
        <v/>
      </c>
      <c r="F379" s="87" t="str">
        <f t="shared" si="3"/>
        <v/>
      </c>
      <c r="G379" s="87" t="str">
        <f t="shared" si="4"/>
        <v/>
      </c>
      <c r="H379" s="87"/>
      <c r="I379" s="87"/>
      <c r="J379" s="87"/>
    </row>
    <row r="380" spans="1:10">
      <c r="A380" s="2"/>
      <c r="B380" s="2"/>
      <c r="C380" s="120" t="str">
        <f>IF(B380="","",SUMIFS('S-BOM'!$D$3:$D994,'S-BOM'!$C$3:$C994,B380,'S-BOM'!$B$3:$B994,$B$2))</f>
        <v/>
      </c>
      <c r="D380" s="120" t="str">
        <f>IFERROR(IF(B380="","",VLOOKUP(B380,RM!$C$4:$F984,3,FALSE)),"")</f>
        <v/>
      </c>
      <c r="E380" s="118" t="str">
        <f>IF(B380="","",VLOOKUP(B380,RM!$C$4:$G984,14,FALSE))</f>
        <v/>
      </c>
      <c r="F380" s="87" t="str">
        <f t="shared" si="3"/>
        <v/>
      </c>
      <c r="G380" s="87" t="str">
        <f t="shared" si="4"/>
        <v/>
      </c>
      <c r="H380" s="87"/>
      <c r="I380" s="87"/>
      <c r="J380" s="87"/>
    </row>
    <row r="381" spans="1:10">
      <c r="A381" s="2"/>
      <c r="B381" s="2"/>
      <c r="C381" s="120" t="str">
        <f>IF(B381="","",SUMIFS('S-BOM'!$D$3:$D994,'S-BOM'!$C$3:$C994,B381,'S-BOM'!$B$3:$B994,$B$2))</f>
        <v/>
      </c>
      <c r="D381" s="120" t="str">
        <f>IFERROR(IF(B381="","",VLOOKUP(B381,RM!$C$4:$F984,3,FALSE)),"")</f>
        <v/>
      </c>
      <c r="E381" s="118" t="str">
        <f>IF(B381="","",VLOOKUP(B381,RM!$C$4:$G984,14,FALSE))</f>
        <v/>
      </c>
      <c r="F381" s="87" t="str">
        <f t="shared" si="3"/>
        <v/>
      </c>
      <c r="G381" s="87" t="str">
        <f t="shared" si="4"/>
        <v/>
      </c>
      <c r="H381" s="87"/>
      <c r="I381" s="87"/>
      <c r="J381" s="87"/>
    </row>
    <row r="382" spans="1:10">
      <c r="A382" s="2"/>
      <c r="B382" s="2"/>
      <c r="C382" s="120" t="str">
        <f>IF(B382="","",SUMIFS('S-BOM'!$D$3:$D994,'S-BOM'!$C$3:$C994,B382,'S-BOM'!$B$3:$B994,$B$2))</f>
        <v/>
      </c>
      <c r="D382" s="120" t="str">
        <f>IFERROR(IF(B382="","",VLOOKUP(B382,RM!$C$4:$F984,3,FALSE)),"")</f>
        <v/>
      </c>
      <c r="E382" s="118" t="str">
        <f>IF(B382="","",VLOOKUP(B382,RM!$C$4:$G984,14,FALSE))</f>
        <v/>
      </c>
      <c r="F382" s="87" t="str">
        <f t="shared" si="3"/>
        <v/>
      </c>
      <c r="G382" s="87" t="str">
        <f t="shared" si="4"/>
        <v/>
      </c>
      <c r="H382" s="87"/>
      <c r="I382" s="87"/>
      <c r="J382" s="87"/>
    </row>
    <row r="383" spans="1:10">
      <c r="A383" s="2"/>
      <c r="B383" s="2"/>
      <c r="C383" s="120" t="str">
        <f>IF(B383="","",SUMIFS('S-BOM'!$D$3:$D994,'S-BOM'!$C$3:$C994,B383,'S-BOM'!$B$3:$B994,$B$2))</f>
        <v/>
      </c>
      <c r="D383" s="120" t="str">
        <f>IFERROR(IF(B383="","",VLOOKUP(B383,RM!$C$4:$F984,3,FALSE)),"")</f>
        <v/>
      </c>
      <c r="E383" s="118" t="str">
        <f>IF(B383="","",VLOOKUP(B383,RM!$C$4:$G984,14,FALSE))</f>
        <v/>
      </c>
      <c r="F383" s="87" t="str">
        <f t="shared" si="3"/>
        <v/>
      </c>
      <c r="G383" s="87" t="str">
        <f t="shared" si="4"/>
        <v/>
      </c>
      <c r="H383" s="87"/>
      <c r="I383" s="87"/>
      <c r="J383" s="87"/>
    </row>
    <row r="384" spans="1:10">
      <c r="A384" s="2"/>
      <c r="B384" s="2"/>
      <c r="C384" s="120" t="str">
        <f>IF(B384="","",SUMIFS('S-BOM'!$D$3:$D994,'S-BOM'!$C$3:$C994,B384,'S-BOM'!$B$3:$B994,$B$2))</f>
        <v/>
      </c>
      <c r="D384" s="120" t="str">
        <f>IFERROR(IF(B384="","",VLOOKUP(B384,RM!$C$4:$F984,3,FALSE)),"")</f>
        <v/>
      </c>
      <c r="E384" s="118" t="str">
        <f>IF(B384="","",VLOOKUP(B384,RM!$C$4:$G984,14,FALSE))</f>
        <v/>
      </c>
      <c r="F384" s="87" t="str">
        <f t="shared" si="3"/>
        <v/>
      </c>
      <c r="G384" s="87" t="str">
        <f t="shared" si="4"/>
        <v/>
      </c>
      <c r="H384" s="87"/>
      <c r="I384" s="87"/>
      <c r="J384" s="87"/>
    </row>
    <row r="385" spans="1:10">
      <c r="A385" s="2"/>
      <c r="B385" s="2"/>
      <c r="C385" s="120" t="str">
        <f>IF(B385="","",SUMIFS('S-BOM'!$D$3:$D994,'S-BOM'!$C$3:$C994,B385,'S-BOM'!$B$3:$B994,$B$2))</f>
        <v/>
      </c>
      <c r="D385" s="120" t="str">
        <f>IFERROR(IF(B385="","",VLOOKUP(B385,RM!$C$4:$F984,3,FALSE)),"")</f>
        <v/>
      </c>
      <c r="E385" s="118" t="str">
        <f>IF(B385="","",VLOOKUP(B385,RM!$C$4:$G984,14,FALSE))</f>
        <v/>
      </c>
      <c r="F385" s="87" t="str">
        <f t="shared" si="3"/>
        <v/>
      </c>
      <c r="G385" s="87" t="str">
        <f t="shared" si="4"/>
        <v/>
      </c>
      <c r="H385" s="87"/>
      <c r="I385" s="87"/>
      <c r="J385" s="87"/>
    </row>
    <row r="386" spans="1:10">
      <c r="A386" s="2"/>
      <c r="B386" s="2"/>
      <c r="C386" s="120" t="str">
        <f>IF(B386="","",SUMIFS('S-BOM'!$D$3:$D994,'S-BOM'!$C$3:$C994,B386,'S-BOM'!$B$3:$B994,$B$2))</f>
        <v/>
      </c>
      <c r="D386" s="120" t="str">
        <f>IFERROR(IF(B386="","",VLOOKUP(B386,RM!$C$4:$F984,3,FALSE)),"")</f>
        <v/>
      </c>
      <c r="E386" s="118" t="str">
        <f>IF(B386="","",VLOOKUP(B386,RM!$C$4:$G984,14,FALSE))</f>
        <v/>
      </c>
      <c r="F386" s="87" t="str">
        <f t="shared" si="3"/>
        <v/>
      </c>
      <c r="G386" s="87" t="str">
        <f t="shared" si="4"/>
        <v/>
      </c>
      <c r="H386" s="87"/>
      <c r="I386" s="87"/>
      <c r="J386" s="87"/>
    </row>
    <row r="387" spans="1:10">
      <c r="A387" s="2"/>
      <c r="B387" s="2"/>
      <c r="C387" s="120" t="str">
        <f>IF(B387="","",SUMIFS('S-BOM'!$D$3:$D994,'S-BOM'!$C$3:$C994,B387,'S-BOM'!$B$3:$B994,$B$2))</f>
        <v/>
      </c>
      <c r="D387" s="120" t="str">
        <f>IFERROR(IF(B387="","",VLOOKUP(B387,RM!$C$4:$F984,3,FALSE)),"")</f>
        <v/>
      </c>
      <c r="E387" s="118" t="str">
        <f>IF(B387="","",VLOOKUP(B387,RM!$C$4:$G984,14,FALSE))</f>
        <v/>
      </c>
      <c r="F387" s="87" t="str">
        <f t="shared" si="3"/>
        <v/>
      </c>
      <c r="G387" s="87" t="str">
        <f t="shared" si="4"/>
        <v/>
      </c>
      <c r="H387" s="87"/>
      <c r="I387" s="87"/>
      <c r="J387" s="87"/>
    </row>
    <row r="388" spans="1:10">
      <c r="A388" s="2"/>
      <c r="B388" s="2"/>
      <c r="C388" s="120" t="str">
        <f>IF(B388="","",SUMIFS('S-BOM'!$D$3:$D994,'S-BOM'!$C$3:$C994,B388,'S-BOM'!$B$3:$B994,$B$2))</f>
        <v/>
      </c>
      <c r="D388" s="120" t="str">
        <f>IFERROR(IF(B388="","",VLOOKUP(B388,RM!$C$4:$F984,3,FALSE)),"")</f>
        <v/>
      </c>
      <c r="E388" s="118" t="str">
        <f>IF(B388="","",VLOOKUP(B388,RM!$C$4:$G984,14,FALSE))</f>
        <v/>
      </c>
      <c r="F388" s="87" t="str">
        <f t="shared" si="3"/>
        <v/>
      </c>
      <c r="G388" s="87" t="str">
        <f t="shared" si="4"/>
        <v/>
      </c>
      <c r="H388" s="87"/>
      <c r="I388" s="87"/>
      <c r="J388" s="87"/>
    </row>
    <row r="389" spans="1:10">
      <c r="A389" s="2"/>
      <c r="B389" s="2"/>
      <c r="C389" s="120" t="str">
        <f>IF(B389="","",SUMIFS('S-BOM'!$D$3:$D994,'S-BOM'!$C$3:$C994,B389,'S-BOM'!$B$3:$B994,$B$2))</f>
        <v/>
      </c>
      <c r="D389" s="120" t="str">
        <f>IFERROR(IF(B389="","",VLOOKUP(B389,RM!$C$4:$F984,3,FALSE)),"")</f>
        <v/>
      </c>
      <c r="E389" s="118" t="str">
        <f>IF(B389="","",VLOOKUP(B389,RM!$C$4:$G984,14,FALSE))</f>
        <v/>
      </c>
      <c r="F389" s="87" t="str">
        <f t="shared" si="3"/>
        <v/>
      </c>
      <c r="G389" s="87" t="str">
        <f t="shared" si="4"/>
        <v/>
      </c>
      <c r="H389" s="87"/>
      <c r="I389" s="87"/>
      <c r="J389" s="87"/>
    </row>
    <row r="390" spans="1:10">
      <c r="A390" s="2"/>
      <c r="B390" s="2"/>
      <c r="C390" s="120" t="str">
        <f>IF(B390="","",SUMIFS('S-BOM'!$D$3:$D994,'S-BOM'!$C$3:$C994,B390,'S-BOM'!$B$3:$B994,$B$2))</f>
        <v/>
      </c>
      <c r="D390" s="120" t="str">
        <f>IFERROR(IF(B390="","",VLOOKUP(B390,RM!$C$4:$F984,3,FALSE)),"")</f>
        <v/>
      </c>
      <c r="E390" s="118" t="str">
        <f>IF(B390="","",VLOOKUP(B390,RM!$C$4:$G984,14,FALSE))</f>
        <v/>
      </c>
      <c r="F390" s="87" t="str">
        <f t="shared" si="3"/>
        <v/>
      </c>
      <c r="G390" s="87" t="str">
        <f t="shared" si="4"/>
        <v/>
      </c>
      <c r="H390" s="87"/>
      <c r="I390" s="87"/>
      <c r="J390" s="87"/>
    </row>
    <row r="391" spans="1:10">
      <c r="A391" s="2"/>
      <c r="B391" s="2"/>
      <c r="C391" s="120" t="str">
        <f>IF(B391="","",SUMIFS('S-BOM'!$D$3:$D994,'S-BOM'!$C$3:$C994,B391,'S-BOM'!$B$3:$B994,$B$2))</f>
        <v/>
      </c>
      <c r="D391" s="120" t="str">
        <f>IFERROR(IF(B391="","",VLOOKUP(B391,RM!$C$4:$F984,3,FALSE)),"")</f>
        <v/>
      </c>
      <c r="E391" s="118" t="str">
        <f>IF(B391="","",VLOOKUP(B391,RM!$C$4:$G984,14,FALSE))</f>
        <v/>
      </c>
      <c r="F391" s="87" t="str">
        <f t="shared" si="3"/>
        <v/>
      </c>
      <c r="G391" s="87" t="str">
        <f t="shared" si="4"/>
        <v/>
      </c>
      <c r="H391" s="87"/>
      <c r="I391" s="87"/>
      <c r="J391" s="87"/>
    </row>
    <row r="392" spans="1:10">
      <c r="A392" s="2"/>
      <c r="B392" s="2"/>
      <c r="C392" s="120" t="str">
        <f>IF(B392="","",SUMIFS('S-BOM'!$D$3:$D994,'S-BOM'!$C$3:$C994,B392,'S-BOM'!$B$3:$B994,$B$2))</f>
        <v/>
      </c>
      <c r="D392" s="120" t="str">
        <f>IFERROR(IF(B392="","",VLOOKUP(B392,RM!$C$4:$F984,3,FALSE)),"")</f>
        <v/>
      </c>
      <c r="E392" s="118" t="str">
        <f>IF(B392="","",VLOOKUP(B392,RM!$C$4:$G984,14,FALSE))</f>
        <v/>
      </c>
      <c r="F392" s="87" t="str">
        <f t="shared" si="3"/>
        <v/>
      </c>
      <c r="G392" s="87" t="str">
        <f t="shared" si="4"/>
        <v/>
      </c>
      <c r="H392" s="87"/>
      <c r="I392" s="87"/>
      <c r="J392" s="87"/>
    </row>
    <row r="393" spans="1:10">
      <c r="A393" s="2"/>
      <c r="B393" s="2"/>
      <c r="C393" s="120" t="str">
        <f>IF(B393="","",SUMIFS('S-BOM'!$D$3:$D994,'S-BOM'!$C$3:$C994,B393,'S-BOM'!$B$3:$B994,$B$2))</f>
        <v/>
      </c>
      <c r="D393" s="120" t="str">
        <f>IFERROR(IF(B393="","",VLOOKUP(B393,RM!$C$4:$F984,3,FALSE)),"")</f>
        <v/>
      </c>
      <c r="E393" s="118" t="str">
        <f>IF(B393="","",VLOOKUP(B393,RM!$C$4:$G984,14,FALSE))</f>
        <v/>
      </c>
      <c r="F393" s="87" t="str">
        <f t="shared" si="3"/>
        <v/>
      </c>
      <c r="G393" s="87" t="str">
        <f t="shared" si="4"/>
        <v/>
      </c>
      <c r="H393" s="87"/>
      <c r="I393" s="87"/>
      <c r="J393" s="87"/>
    </row>
    <row r="394" spans="1:10">
      <c r="A394" s="2"/>
      <c r="B394" s="2"/>
      <c r="C394" s="120" t="str">
        <f>IF(B394="","",SUMIFS('S-BOM'!$D$3:$D994,'S-BOM'!$C$3:$C994,B394,'S-BOM'!$B$3:$B994,$B$2))</f>
        <v/>
      </c>
      <c r="D394" s="120" t="str">
        <f>IFERROR(IF(B394="","",VLOOKUP(B394,RM!$C$4:$F984,3,FALSE)),"")</f>
        <v/>
      </c>
      <c r="E394" s="118" t="str">
        <f>IF(B394="","",VLOOKUP(B394,RM!$C$4:$G984,14,FALSE))</f>
        <v/>
      </c>
      <c r="F394" s="87" t="str">
        <f t="shared" si="3"/>
        <v/>
      </c>
      <c r="G394" s="87" t="str">
        <f t="shared" si="4"/>
        <v/>
      </c>
      <c r="H394" s="87"/>
      <c r="I394" s="87"/>
      <c r="J394" s="87"/>
    </row>
    <row r="395" spans="1:10">
      <c r="A395" s="2"/>
      <c r="B395" s="2"/>
      <c r="C395" s="120" t="str">
        <f>IF(B395="","",SUMIFS('S-BOM'!$D$3:$D994,'S-BOM'!$C$3:$C994,B395,'S-BOM'!$B$3:$B994,$B$2))</f>
        <v/>
      </c>
      <c r="D395" s="120" t="str">
        <f>IFERROR(IF(B395="","",VLOOKUP(B395,RM!$C$4:$F984,3,FALSE)),"")</f>
        <v/>
      </c>
      <c r="E395" s="118" t="str">
        <f>IF(B395="","",VLOOKUP(B395,RM!$C$4:$G984,14,FALSE))</f>
        <v/>
      </c>
      <c r="F395" s="87" t="str">
        <f t="shared" si="3"/>
        <v/>
      </c>
      <c r="G395" s="87" t="str">
        <f t="shared" si="4"/>
        <v/>
      </c>
      <c r="H395" s="87"/>
      <c r="I395" s="87"/>
      <c r="J395" s="87"/>
    </row>
    <row r="396" spans="1:10">
      <c r="A396" s="2"/>
      <c r="B396" s="2"/>
      <c r="C396" s="120" t="str">
        <f>IF(B396="","",SUMIFS('S-BOM'!$D$3:$D994,'S-BOM'!$C$3:$C994,B396,'S-BOM'!$B$3:$B994,$B$2))</f>
        <v/>
      </c>
      <c r="D396" s="120" t="str">
        <f>IFERROR(IF(B396="","",VLOOKUP(B396,RM!$C$4:$F984,3,FALSE)),"")</f>
        <v/>
      </c>
      <c r="E396" s="118" t="str">
        <f>IF(B396="","",VLOOKUP(B396,RM!$C$4:$G984,14,FALSE))</f>
        <v/>
      </c>
      <c r="F396" s="87" t="str">
        <f t="shared" si="3"/>
        <v/>
      </c>
      <c r="G396" s="87" t="str">
        <f t="shared" si="4"/>
        <v/>
      </c>
      <c r="H396" s="87"/>
      <c r="I396" s="87"/>
      <c r="J396" s="87"/>
    </row>
    <row r="397" spans="1:10">
      <c r="A397" s="2"/>
      <c r="B397" s="2"/>
      <c r="C397" s="120" t="str">
        <f>IF(B397="","",SUMIFS('S-BOM'!$D$3:$D994,'S-BOM'!$C$3:$C994,B397,'S-BOM'!$B$3:$B994,$B$2))</f>
        <v/>
      </c>
      <c r="D397" s="120" t="str">
        <f>IFERROR(IF(B397="","",VLOOKUP(B397,RM!$C$4:$F984,3,FALSE)),"")</f>
        <v/>
      </c>
      <c r="E397" s="118" t="str">
        <f>IF(B397="","",VLOOKUP(B397,RM!$C$4:$G984,14,FALSE))</f>
        <v/>
      </c>
      <c r="F397" s="87" t="str">
        <f t="shared" si="3"/>
        <v/>
      </c>
      <c r="G397" s="87" t="str">
        <f t="shared" si="4"/>
        <v/>
      </c>
      <c r="H397" s="87"/>
      <c r="I397" s="87"/>
      <c r="J397" s="87"/>
    </row>
    <row r="398" spans="1:10">
      <c r="A398" s="2"/>
      <c r="B398" s="2"/>
      <c r="C398" s="120" t="str">
        <f>IF(B398="","",SUMIFS('S-BOM'!$D$3:$D994,'S-BOM'!$C$3:$C994,B398,'S-BOM'!$B$3:$B994,$B$2))</f>
        <v/>
      </c>
      <c r="D398" s="120" t="str">
        <f>IFERROR(IF(B398="","",VLOOKUP(B398,RM!$C$4:$F984,3,FALSE)),"")</f>
        <v/>
      </c>
      <c r="E398" s="118" t="str">
        <f>IF(B398="","",VLOOKUP(B398,RM!$C$4:$G984,14,FALSE))</f>
        <v/>
      </c>
      <c r="F398" s="87" t="str">
        <f t="shared" si="3"/>
        <v/>
      </c>
      <c r="G398" s="87" t="str">
        <f t="shared" si="4"/>
        <v/>
      </c>
      <c r="H398" s="87"/>
      <c r="I398" s="87"/>
      <c r="J398" s="87"/>
    </row>
    <row r="399" spans="1:10">
      <c r="A399" s="2"/>
      <c r="B399" s="2"/>
      <c r="C399" s="120" t="str">
        <f>IF(B399="","",SUMIFS('S-BOM'!$D$3:$D994,'S-BOM'!$C$3:$C994,B399,'S-BOM'!$B$3:$B994,$B$2))</f>
        <v/>
      </c>
      <c r="D399" s="120" t="str">
        <f>IFERROR(IF(B399="","",VLOOKUP(B399,RM!$C$4:$F984,3,FALSE)),"")</f>
        <v/>
      </c>
      <c r="E399" s="118" t="str">
        <f>IF(B399="","",VLOOKUP(B399,RM!$C$4:$G984,14,FALSE))</f>
        <v/>
      </c>
      <c r="F399" s="87" t="str">
        <f t="shared" si="3"/>
        <v/>
      </c>
      <c r="G399" s="87" t="str">
        <f t="shared" si="4"/>
        <v/>
      </c>
      <c r="H399" s="87"/>
      <c r="I399" s="87"/>
      <c r="J399" s="87"/>
    </row>
    <row r="400" spans="1:10">
      <c r="A400" s="2"/>
      <c r="B400" s="2"/>
      <c r="C400" s="120" t="str">
        <f>IF(B400="","",SUMIFS('S-BOM'!$D$3:$D994,'S-BOM'!$C$3:$C994,B400,'S-BOM'!$B$3:$B994,$B$2))</f>
        <v/>
      </c>
      <c r="D400" s="120" t="str">
        <f>IFERROR(IF(B400="","",VLOOKUP(B400,RM!$C$4:$F984,3,FALSE)),"")</f>
        <v/>
      </c>
      <c r="E400" s="118" t="str">
        <f>IF(B400="","",VLOOKUP(B400,RM!$C$4:$G984,14,FALSE))</f>
        <v/>
      </c>
      <c r="F400" s="87" t="str">
        <f t="shared" si="3"/>
        <v/>
      </c>
      <c r="G400" s="87" t="str">
        <f t="shared" si="4"/>
        <v/>
      </c>
      <c r="H400" s="87"/>
      <c r="I400" s="87"/>
      <c r="J400" s="87"/>
    </row>
    <row r="401" spans="1:10">
      <c r="A401" s="2"/>
      <c r="B401" s="2"/>
      <c r="C401" s="120" t="str">
        <f>IF(B401="","",SUMIFS('S-BOM'!$D$3:$D994,'S-BOM'!$C$3:$C994,B401,'S-BOM'!$B$3:$B994,$B$2))</f>
        <v/>
      </c>
      <c r="D401" s="120" t="str">
        <f>IFERROR(IF(B401="","",VLOOKUP(B401,RM!$C$4:$F984,3,FALSE)),"")</f>
        <v/>
      </c>
      <c r="E401" s="118" t="str">
        <f>IF(B401="","",VLOOKUP(B401,RM!$C$4:$G984,14,FALSE))</f>
        <v/>
      </c>
      <c r="F401" s="87" t="str">
        <f t="shared" si="3"/>
        <v/>
      </c>
      <c r="G401" s="87" t="str">
        <f t="shared" si="4"/>
        <v/>
      </c>
      <c r="H401" s="87"/>
      <c r="I401" s="87"/>
      <c r="J401" s="87"/>
    </row>
    <row r="402" spans="1:10">
      <c r="A402" s="2"/>
      <c r="B402" s="2"/>
      <c r="C402" s="120" t="str">
        <f>IF(B402="","",SUMIFS('S-BOM'!$D$3:$D994,'S-BOM'!$C$3:$C994,B402,'S-BOM'!$B$3:$B994,$B$2))</f>
        <v/>
      </c>
      <c r="D402" s="120" t="str">
        <f>IFERROR(IF(B402="","",VLOOKUP(B402,RM!$C$4:$F984,3,FALSE)),"")</f>
        <v/>
      </c>
      <c r="E402" s="118" t="str">
        <f>IF(B402="","",VLOOKUP(B402,RM!$C$4:$G984,14,FALSE))</f>
        <v/>
      </c>
      <c r="F402" s="87" t="str">
        <f t="shared" si="3"/>
        <v/>
      </c>
      <c r="G402" s="87" t="str">
        <f t="shared" si="4"/>
        <v/>
      </c>
      <c r="H402" s="87"/>
      <c r="I402" s="87"/>
      <c r="J402" s="87"/>
    </row>
    <row r="403" spans="1:10">
      <c r="A403" s="2"/>
      <c r="B403" s="2"/>
      <c r="C403" s="120" t="str">
        <f>IF(B403="","",SUMIFS('S-BOM'!$D$3:$D994,'S-BOM'!$C$3:$C994,B403,'S-BOM'!$B$3:$B994,$B$2))</f>
        <v/>
      </c>
      <c r="D403" s="120" t="str">
        <f>IFERROR(IF(B403="","",VLOOKUP(B403,RM!$C$4:$F984,3,FALSE)),"")</f>
        <v/>
      </c>
      <c r="E403" s="118" t="str">
        <f>IF(B403="","",VLOOKUP(B403,RM!$C$4:$G984,14,FALSE))</f>
        <v/>
      </c>
      <c r="F403" s="87" t="str">
        <f t="shared" si="3"/>
        <v/>
      </c>
      <c r="G403" s="87" t="str">
        <f t="shared" si="4"/>
        <v/>
      </c>
      <c r="H403" s="87"/>
      <c r="I403" s="87"/>
      <c r="J403" s="87"/>
    </row>
    <row r="404" spans="1:10">
      <c r="A404" s="2"/>
      <c r="B404" s="2"/>
      <c r="C404" s="120" t="str">
        <f>IF(B404="","",SUMIFS('S-BOM'!$D$3:$D994,'S-BOM'!$C$3:$C994,B404,'S-BOM'!$B$3:$B994,$B$2))</f>
        <v/>
      </c>
      <c r="D404" s="120" t="str">
        <f>IFERROR(IF(B404="","",VLOOKUP(B404,RM!$C$4:$F984,3,FALSE)),"")</f>
        <v/>
      </c>
      <c r="E404" s="118" t="str">
        <f>IF(B404="","",VLOOKUP(B404,RM!$C$4:$G984,14,FALSE))</f>
        <v/>
      </c>
      <c r="F404" s="87" t="str">
        <f t="shared" si="3"/>
        <v/>
      </c>
      <c r="G404" s="87" t="str">
        <f t="shared" si="4"/>
        <v/>
      </c>
      <c r="H404" s="87"/>
      <c r="I404" s="87"/>
      <c r="J404" s="87"/>
    </row>
    <row r="405" spans="1:10">
      <c r="A405" s="2"/>
      <c r="B405" s="2"/>
      <c r="C405" s="120" t="str">
        <f>IF(B405="","",SUMIFS('S-BOM'!$D$3:$D994,'S-BOM'!$C$3:$C994,B405,'S-BOM'!$B$3:$B994,$B$2))</f>
        <v/>
      </c>
      <c r="D405" s="120" t="str">
        <f>IFERROR(IF(B405="","",VLOOKUP(B405,RM!$C$4:$F984,3,FALSE)),"")</f>
        <v/>
      </c>
      <c r="E405" s="118" t="str">
        <f>IF(B405="","",VLOOKUP(B405,RM!$C$4:$G984,14,FALSE))</f>
        <v/>
      </c>
      <c r="F405" s="87" t="str">
        <f t="shared" si="3"/>
        <v/>
      </c>
      <c r="G405" s="87" t="str">
        <f t="shared" si="4"/>
        <v/>
      </c>
      <c r="H405" s="87"/>
      <c r="I405" s="87"/>
      <c r="J405" s="87"/>
    </row>
    <row r="406" spans="1:10">
      <c r="A406" s="2"/>
      <c r="B406" s="2"/>
      <c r="C406" s="120" t="str">
        <f>IF(B406="","",SUMIFS('S-BOM'!$D$3:$D994,'S-BOM'!$C$3:$C994,B406,'S-BOM'!$B$3:$B994,$B$2))</f>
        <v/>
      </c>
      <c r="D406" s="120" t="str">
        <f>IFERROR(IF(B406="","",VLOOKUP(B406,RM!$C$4:$F984,3,FALSE)),"")</f>
        <v/>
      </c>
      <c r="E406" s="118" t="str">
        <f>IF(B406="","",VLOOKUP(B406,RM!$C$4:$G984,14,FALSE))</f>
        <v/>
      </c>
      <c r="F406" s="87" t="str">
        <f t="shared" si="3"/>
        <v/>
      </c>
      <c r="G406" s="87" t="str">
        <f t="shared" si="4"/>
        <v/>
      </c>
      <c r="H406" s="87"/>
      <c r="I406" s="87"/>
      <c r="J406" s="87"/>
    </row>
    <row r="407" spans="1:10">
      <c r="A407" s="2"/>
      <c r="B407" s="2"/>
      <c r="C407" s="120" t="str">
        <f>IF(B407="","",SUMIFS('S-BOM'!$D$3:$D994,'S-BOM'!$C$3:$C994,B407,'S-BOM'!$B$3:$B994,$B$2))</f>
        <v/>
      </c>
      <c r="D407" s="120" t="str">
        <f>IFERROR(IF(B407="","",VLOOKUP(B407,RM!$C$4:$F984,3,FALSE)),"")</f>
        <v/>
      </c>
      <c r="E407" s="118" t="str">
        <f>IF(B407="","",VLOOKUP(B407,RM!$C$4:$G984,14,FALSE))</f>
        <v/>
      </c>
      <c r="F407" s="87" t="str">
        <f t="shared" si="3"/>
        <v/>
      </c>
      <c r="G407" s="87" t="str">
        <f t="shared" si="4"/>
        <v/>
      </c>
      <c r="H407" s="87"/>
      <c r="I407" s="87"/>
      <c r="J407" s="87"/>
    </row>
    <row r="408" spans="1:10">
      <c r="A408" s="2"/>
      <c r="B408" s="2"/>
      <c r="C408" s="120" t="str">
        <f>IF(B408="","",SUMIFS('S-BOM'!$D$3:$D994,'S-BOM'!$C$3:$C994,B408,'S-BOM'!$B$3:$B994,$B$2))</f>
        <v/>
      </c>
      <c r="D408" s="120" t="str">
        <f>IFERROR(IF(B408="","",VLOOKUP(B408,RM!$C$4:$F984,3,FALSE)),"")</f>
        <v/>
      </c>
      <c r="E408" s="118" t="str">
        <f>IF(B408="","",VLOOKUP(B408,RM!$C$4:$G984,14,FALSE))</f>
        <v/>
      </c>
      <c r="F408" s="87" t="str">
        <f t="shared" si="3"/>
        <v/>
      </c>
      <c r="G408" s="87" t="str">
        <f t="shared" si="4"/>
        <v/>
      </c>
      <c r="H408" s="87"/>
      <c r="I408" s="87"/>
      <c r="J408" s="87"/>
    </row>
    <row r="409" spans="1:10">
      <c r="A409" s="2"/>
      <c r="B409" s="2"/>
      <c r="C409" s="120" t="str">
        <f>IF(B409="","",SUMIFS('S-BOM'!$D$3:$D994,'S-BOM'!$C$3:$C994,B409,'S-BOM'!$B$3:$B994,$B$2))</f>
        <v/>
      </c>
      <c r="D409" s="120" t="str">
        <f>IFERROR(IF(B409="","",VLOOKUP(B409,RM!$C$4:$F984,3,FALSE)),"")</f>
        <v/>
      </c>
      <c r="E409" s="118" t="str">
        <f>IF(B409="","",VLOOKUP(B409,RM!$C$4:$G984,14,FALSE))</f>
        <v/>
      </c>
      <c r="F409" s="87" t="str">
        <f t="shared" si="3"/>
        <v/>
      </c>
      <c r="G409" s="87" t="str">
        <f t="shared" si="4"/>
        <v/>
      </c>
      <c r="H409" s="87"/>
      <c r="I409" s="87"/>
      <c r="J409" s="87"/>
    </row>
    <row r="410" spans="1:10">
      <c r="A410" s="2"/>
      <c r="B410" s="2"/>
      <c r="C410" s="120" t="str">
        <f>IF(B410="","",SUMIFS('S-BOM'!$D$3:$D994,'S-BOM'!$C$3:$C994,B410,'S-BOM'!$B$3:$B994,$B$2))</f>
        <v/>
      </c>
      <c r="D410" s="120" t="str">
        <f>IFERROR(IF(B410="","",VLOOKUP(B410,RM!$C$4:$F984,3,FALSE)),"")</f>
        <v/>
      </c>
      <c r="E410" s="118" t="str">
        <f>IF(B410="","",VLOOKUP(B410,RM!$C$4:$G984,14,FALSE))</f>
        <v/>
      </c>
      <c r="F410" s="87" t="str">
        <f t="shared" si="3"/>
        <v/>
      </c>
      <c r="G410" s="87" t="str">
        <f t="shared" si="4"/>
        <v/>
      </c>
      <c r="H410" s="87"/>
      <c r="I410" s="87"/>
      <c r="J410" s="87"/>
    </row>
    <row r="411" spans="1:10">
      <c r="A411" s="2"/>
      <c r="B411" s="2"/>
      <c r="C411" s="120" t="str">
        <f>IF(B411="","",SUMIFS('S-BOM'!$D$3:$D994,'S-BOM'!$C$3:$C994,B411,'S-BOM'!$B$3:$B994,$B$2))</f>
        <v/>
      </c>
      <c r="D411" s="120" t="str">
        <f>IFERROR(IF(B411="","",VLOOKUP(B411,RM!$C$4:$F984,3,FALSE)),"")</f>
        <v/>
      </c>
      <c r="E411" s="118" t="str">
        <f>IF(B411="","",VLOOKUP(B411,RM!$C$4:$G984,14,FALSE))</f>
        <v/>
      </c>
      <c r="F411" s="87" t="str">
        <f t="shared" si="3"/>
        <v/>
      </c>
      <c r="G411" s="87" t="str">
        <f t="shared" si="4"/>
        <v/>
      </c>
      <c r="H411" s="87"/>
      <c r="I411" s="87"/>
      <c r="J411" s="87"/>
    </row>
    <row r="412" spans="1:10">
      <c r="A412" s="2"/>
      <c r="B412" s="2"/>
      <c r="C412" s="120" t="str">
        <f>IF(B412="","",SUMIFS('S-BOM'!$D$3:$D994,'S-BOM'!$C$3:$C994,B412,'S-BOM'!$B$3:$B994,$B$2))</f>
        <v/>
      </c>
      <c r="D412" s="120" t="str">
        <f>IFERROR(IF(B412="","",VLOOKUP(B412,RM!$C$4:$F984,3,FALSE)),"")</f>
        <v/>
      </c>
      <c r="E412" s="118" t="str">
        <f>IF(B412="","",VLOOKUP(B412,RM!$C$4:$G984,14,FALSE))</f>
        <v/>
      </c>
      <c r="F412" s="87" t="str">
        <f t="shared" si="3"/>
        <v/>
      </c>
      <c r="G412" s="87" t="str">
        <f t="shared" si="4"/>
        <v/>
      </c>
      <c r="H412" s="87"/>
      <c r="I412" s="87"/>
      <c r="J412" s="87"/>
    </row>
    <row r="413" spans="1:10">
      <c r="A413" s="2"/>
      <c r="B413" s="2"/>
      <c r="C413" s="120" t="str">
        <f>IF(B413="","",SUMIFS('S-BOM'!$D$3:$D994,'S-BOM'!$C$3:$C994,B413,'S-BOM'!$B$3:$B994,$B$2))</f>
        <v/>
      </c>
      <c r="D413" s="120" t="str">
        <f>IFERROR(IF(B413="","",VLOOKUP(B413,RM!$C$4:$F984,3,FALSE)),"")</f>
        <v/>
      </c>
      <c r="E413" s="118" t="str">
        <f>IF(B413="","",VLOOKUP(B413,RM!$C$4:$G984,14,FALSE))</f>
        <v/>
      </c>
      <c r="F413" s="87" t="str">
        <f t="shared" si="3"/>
        <v/>
      </c>
      <c r="G413" s="87" t="str">
        <f t="shared" si="4"/>
        <v/>
      </c>
      <c r="H413" s="87"/>
      <c r="I413" s="87"/>
      <c r="J413" s="87"/>
    </row>
    <row r="414" spans="1:10">
      <c r="A414" s="2"/>
      <c r="B414" s="2"/>
      <c r="C414" s="120" t="str">
        <f>IF(B414="","",SUMIFS('S-BOM'!$D$3:$D994,'S-BOM'!$C$3:$C994,B414,'S-BOM'!$B$3:$B994,$B$2))</f>
        <v/>
      </c>
      <c r="D414" s="120" t="str">
        <f>IFERROR(IF(B414="","",VLOOKUP(B414,RM!$C$4:$F984,3,FALSE)),"")</f>
        <v/>
      </c>
      <c r="E414" s="118" t="str">
        <f>IF(B414="","",VLOOKUP(B414,RM!$C$4:$G984,14,FALSE))</f>
        <v/>
      </c>
      <c r="F414" s="87" t="str">
        <f t="shared" si="3"/>
        <v/>
      </c>
      <c r="G414" s="87" t="str">
        <f t="shared" si="4"/>
        <v/>
      </c>
      <c r="H414" s="87"/>
      <c r="I414" s="87"/>
      <c r="J414" s="87"/>
    </row>
    <row r="415" spans="1:10">
      <c r="A415" s="2"/>
      <c r="B415" s="2"/>
      <c r="C415" s="120" t="str">
        <f>IF(B415="","",SUMIFS('S-BOM'!$D$3:$D994,'S-BOM'!$C$3:$C994,B415,'S-BOM'!$B$3:$B994,$B$2))</f>
        <v/>
      </c>
      <c r="D415" s="120" t="str">
        <f>IFERROR(IF(B415="","",VLOOKUP(B415,RM!$C$4:$F984,3,FALSE)),"")</f>
        <v/>
      </c>
      <c r="E415" s="118" t="str">
        <f>IF(B415="","",VLOOKUP(B415,RM!$C$4:$G984,14,FALSE))</f>
        <v/>
      </c>
      <c r="F415" s="87" t="str">
        <f t="shared" si="3"/>
        <v/>
      </c>
      <c r="G415" s="87" t="str">
        <f t="shared" si="4"/>
        <v/>
      </c>
      <c r="H415" s="87"/>
      <c r="I415" s="87"/>
      <c r="J415" s="87"/>
    </row>
    <row r="416" spans="1:10">
      <c r="A416" s="2"/>
      <c r="B416" s="2"/>
      <c r="C416" s="120" t="str">
        <f>IF(B416="","",SUMIFS('S-BOM'!$D$3:$D994,'S-BOM'!$C$3:$C994,B416,'S-BOM'!$B$3:$B994,$B$2))</f>
        <v/>
      </c>
      <c r="D416" s="120" t="str">
        <f>IFERROR(IF(B416="","",VLOOKUP(B416,RM!$C$4:$F984,3,FALSE)),"")</f>
        <v/>
      </c>
      <c r="E416" s="118" t="str">
        <f>IF(B416="","",VLOOKUP(B416,RM!$C$4:$G984,14,FALSE))</f>
        <v/>
      </c>
      <c r="F416" s="87" t="str">
        <f t="shared" si="3"/>
        <v/>
      </c>
      <c r="G416" s="87" t="str">
        <f t="shared" si="4"/>
        <v/>
      </c>
      <c r="H416" s="87"/>
      <c r="I416" s="87"/>
      <c r="J416" s="87"/>
    </row>
    <row r="417" spans="1:10">
      <c r="A417" s="2"/>
      <c r="B417" s="2"/>
      <c r="C417" s="120" t="str">
        <f>IF(B417="","",SUMIFS('S-BOM'!$D$3:$D994,'S-BOM'!$C$3:$C994,B417,'S-BOM'!$B$3:$B994,$B$2))</f>
        <v/>
      </c>
      <c r="D417" s="120" t="str">
        <f>IFERROR(IF(B417="","",VLOOKUP(B417,RM!$C$4:$F984,3,FALSE)),"")</f>
        <v/>
      </c>
      <c r="E417" s="118" t="str">
        <f>IF(B417="","",VLOOKUP(B417,RM!$C$4:$G984,14,FALSE))</f>
        <v/>
      </c>
      <c r="F417" s="87" t="str">
        <f t="shared" si="3"/>
        <v/>
      </c>
      <c r="G417" s="87" t="str">
        <f t="shared" si="4"/>
        <v/>
      </c>
      <c r="H417" s="87"/>
      <c r="I417" s="87"/>
      <c r="J417" s="87"/>
    </row>
    <row r="418" spans="1:10">
      <c r="A418" s="2"/>
      <c r="B418" s="2"/>
      <c r="C418" s="120" t="str">
        <f>IF(B418="","",SUMIFS('S-BOM'!$D$3:$D994,'S-BOM'!$C$3:$C994,B418,'S-BOM'!$B$3:$B994,$B$2))</f>
        <v/>
      </c>
      <c r="D418" s="120" t="str">
        <f>IFERROR(IF(B418="","",VLOOKUP(B418,RM!$C$4:$F984,3,FALSE)),"")</f>
        <v/>
      </c>
      <c r="E418" s="118" t="str">
        <f>IF(B418="","",VLOOKUP(B418,RM!$C$4:$G984,14,FALSE))</f>
        <v/>
      </c>
      <c r="F418" s="87" t="str">
        <f t="shared" si="3"/>
        <v/>
      </c>
      <c r="G418" s="87" t="str">
        <f t="shared" si="4"/>
        <v/>
      </c>
      <c r="H418" s="87"/>
      <c r="I418" s="87"/>
      <c r="J418" s="87"/>
    </row>
    <row r="419" spans="1:10">
      <c r="A419" s="2"/>
      <c r="B419" s="2"/>
      <c r="C419" s="120" t="str">
        <f>IF(B419="","",SUMIFS('S-BOM'!$D$3:$D994,'S-BOM'!$C$3:$C994,B419,'S-BOM'!$B$3:$B994,$B$2))</f>
        <v/>
      </c>
      <c r="D419" s="120" t="str">
        <f>IFERROR(IF(B419="","",VLOOKUP(B419,RM!$C$4:$F984,3,FALSE)),"")</f>
        <v/>
      </c>
      <c r="E419" s="118" t="str">
        <f>IF(B419="","",VLOOKUP(B419,RM!$C$4:$G984,14,FALSE))</f>
        <v/>
      </c>
      <c r="F419" s="87" t="str">
        <f t="shared" si="3"/>
        <v/>
      </c>
      <c r="G419" s="87" t="str">
        <f t="shared" si="4"/>
        <v/>
      </c>
      <c r="H419" s="87"/>
      <c r="I419" s="87"/>
      <c r="J419" s="87"/>
    </row>
    <row r="420" spans="1:10">
      <c r="A420" s="2"/>
      <c r="B420" s="2"/>
      <c r="C420" s="120" t="str">
        <f>IF(B420="","",SUMIFS('S-BOM'!$D$3:$D994,'S-BOM'!$C$3:$C994,B420,'S-BOM'!$B$3:$B994,$B$2))</f>
        <v/>
      </c>
      <c r="D420" s="120" t="str">
        <f>IFERROR(IF(B420="","",VLOOKUP(B420,RM!$C$4:$F984,3,FALSE)),"")</f>
        <v/>
      </c>
      <c r="E420" s="118" t="str">
        <f>IF(B420="","",VLOOKUP(B420,RM!$C$4:$G984,14,FALSE))</f>
        <v/>
      </c>
      <c r="F420" s="87" t="str">
        <f t="shared" si="3"/>
        <v/>
      </c>
      <c r="G420" s="87" t="str">
        <f t="shared" si="4"/>
        <v/>
      </c>
      <c r="H420" s="87"/>
      <c r="I420" s="87"/>
      <c r="J420" s="87"/>
    </row>
    <row r="421" spans="1:10">
      <c r="A421" s="2"/>
      <c r="B421" s="2"/>
      <c r="C421" s="120" t="str">
        <f>IF(B421="","",SUMIFS('S-BOM'!$D$3:$D994,'S-BOM'!$C$3:$C994,B421,'S-BOM'!$B$3:$B994,$B$2))</f>
        <v/>
      </c>
      <c r="D421" s="120" t="str">
        <f>IFERROR(IF(B421="","",VLOOKUP(B421,RM!$C$4:$F984,3,FALSE)),"")</f>
        <v/>
      </c>
      <c r="E421" s="118" t="str">
        <f>IF(B421="","",VLOOKUP(B421,RM!$C$4:$G984,14,FALSE))</f>
        <v/>
      </c>
      <c r="F421" s="87" t="str">
        <f t="shared" si="3"/>
        <v/>
      </c>
      <c r="G421" s="87" t="str">
        <f t="shared" si="4"/>
        <v/>
      </c>
      <c r="H421" s="87"/>
      <c r="I421" s="87"/>
      <c r="J421" s="87"/>
    </row>
    <row r="422" spans="1:10">
      <c r="A422" s="2"/>
      <c r="B422" s="2"/>
      <c r="C422" s="120" t="str">
        <f>IF(B422="","",SUMIFS('S-BOM'!$D$3:$D994,'S-BOM'!$C$3:$C994,B422,'S-BOM'!$B$3:$B994,$B$2))</f>
        <v/>
      </c>
      <c r="D422" s="120" t="str">
        <f>IFERROR(IF(B422="","",VLOOKUP(B422,RM!$C$4:$F984,3,FALSE)),"")</f>
        <v/>
      </c>
      <c r="E422" s="118" t="str">
        <f>IF(B422="","",VLOOKUP(B422,RM!$C$4:$G984,14,FALSE))</f>
        <v/>
      </c>
      <c r="F422" s="87" t="str">
        <f t="shared" si="3"/>
        <v/>
      </c>
      <c r="G422" s="87" t="str">
        <f t="shared" si="4"/>
        <v/>
      </c>
      <c r="H422" s="87"/>
      <c r="I422" s="87"/>
      <c r="J422" s="87"/>
    </row>
    <row r="423" spans="1:10">
      <c r="A423" s="2"/>
      <c r="B423" s="2"/>
      <c r="C423" s="120" t="str">
        <f>IF(B423="","",SUMIFS('S-BOM'!$D$3:$D994,'S-BOM'!$C$3:$C994,B423,'S-BOM'!$B$3:$B994,$B$2))</f>
        <v/>
      </c>
      <c r="D423" s="120" t="str">
        <f>IFERROR(IF(B423="","",VLOOKUP(B423,RM!$C$4:$F984,3,FALSE)),"")</f>
        <v/>
      </c>
      <c r="E423" s="118" t="str">
        <f>IF(B423="","",VLOOKUP(B423,RM!$C$4:$G984,14,FALSE))</f>
        <v/>
      </c>
      <c r="F423" s="87" t="str">
        <f t="shared" si="3"/>
        <v/>
      </c>
      <c r="G423" s="87" t="str">
        <f t="shared" si="4"/>
        <v/>
      </c>
      <c r="H423" s="87"/>
      <c r="I423" s="87"/>
      <c r="J423" s="87"/>
    </row>
    <row r="424" spans="1:10">
      <c r="A424" s="2"/>
      <c r="B424" s="2"/>
      <c r="C424" s="120" t="str">
        <f>IF(B424="","",SUMIFS('S-BOM'!$D$3:$D994,'S-BOM'!$C$3:$C994,B424,'S-BOM'!$B$3:$B994,$B$2))</f>
        <v/>
      </c>
      <c r="D424" s="120" t="str">
        <f>IFERROR(IF(B424="","",VLOOKUP(B424,RM!$C$4:$F984,3,FALSE)),"")</f>
        <v/>
      </c>
      <c r="E424" s="118" t="str">
        <f>IF(B424="","",VLOOKUP(B424,RM!$C$4:$G984,14,FALSE))</f>
        <v/>
      </c>
      <c r="F424" s="87" t="str">
        <f t="shared" si="3"/>
        <v/>
      </c>
      <c r="G424" s="87" t="str">
        <f t="shared" si="4"/>
        <v/>
      </c>
      <c r="H424" s="87"/>
      <c r="I424" s="87"/>
      <c r="J424" s="87"/>
    </row>
    <row r="425" spans="1:10">
      <c r="A425" s="2"/>
      <c r="B425" s="2"/>
      <c r="C425" s="120" t="str">
        <f>IF(B425="","",SUMIFS('S-BOM'!$D$3:$D994,'S-BOM'!$C$3:$C994,B425,'S-BOM'!$B$3:$B994,$B$2))</f>
        <v/>
      </c>
      <c r="D425" s="120" t="str">
        <f>IFERROR(IF(B425="","",VLOOKUP(B425,RM!$C$4:$F984,3,FALSE)),"")</f>
        <v/>
      </c>
      <c r="E425" s="118" t="str">
        <f>IF(B425="","",VLOOKUP(B425,RM!$C$4:$G984,14,FALSE))</f>
        <v/>
      </c>
      <c r="F425" s="87" t="str">
        <f t="shared" si="3"/>
        <v/>
      </c>
      <c r="G425" s="87" t="str">
        <f t="shared" si="4"/>
        <v/>
      </c>
      <c r="H425" s="87"/>
      <c r="I425" s="87"/>
      <c r="J425" s="87"/>
    </row>
    <row r="426" spans="1:10">
      <c r="A426" s="2"/>
      <c r="B426" s="2"/>
      <c r="C426" s="120" t="str">
        <f>IF(B426="","",SUMIFS('S-BOM'!$D$3:$D994,'S-BOM'!$C$3:$C994,B426,'S-BOM'!$B$3:$B994,$B$2))</f>
        <v/>
      </c>
      <c r="D426" s="120" t="str">
        <f>IFERROR(IF(B426="","",VLOOKUP(B426,RM!$C$4:$F984,3,FALSE)),"")</f>
        <v/>
      </c>
      <c r="E426" s="118" t="str">
        <f>IF(B426="","",VLOOKUP(B426,RM!$C$4:$G984,14,FALSE))</f>
        <v/>
      </c>
      <c r="F426" s="87" t="str">
        <f t="shared" si="3"/>
        <v/>
      </c>
      <c r="G426" s="87" t="str">
        <f t="shared" si="4"/>
        <v/>
      </c>
      <c r="H426" s="87"/>
      <c r="I426" s="87"/>
      <c r="J426" s="87"/>
    </row>
    <row r="427" spans="1:10">
      <c r="A427" s="2"/>
      <c r="B427" s="2"/>
      <c r="C427" s="120" t="str">
        <f>IF(B427="","",SUMIFS('S-BOM'!$D$3:$D994,'S-BOM'!$C$3:$C994,B427,'S-BOM'!$B$3:$B994,$B$2))</f>
        <v/>
      </c>
      <c r="D427" s="120" t="str">
        <f>IFERROR(IF(B427="","",VLOOKUP(B427,RM!$C$4:$F984,3,FALSE)),"")</f>
        <v/>
      </c>
      <c r="E427" s="118" t="str">
        <f>IF(B427="","",VLOOKUP(B427,RM!$C$4:$G984,14,FALSE))</f>
        <v/>
      </c>
      <c r="F427" s="87" t="str">
        <f t="shared" si="3"/>
        <v/>
      </c>
      <c r="G427" s="87" t="str">
        <f t="shared" si="4"/>
        <v/>
      </c>
      <c r="H427" s="87"/>
      <c r="I427" s="87"/>
      <c r="J427" s="87"/>
    </row>
    <row r="428" spans="1:10">
      <c r="A428" s="2"/>
      <c r="B428" s="2"/>
      <c r="C428" s="120" t="str">
        <f>IF(B428="","",SUMIFS('S-BOM'!$D$3:$D994,'S-BOM'!$C$3:$C994,B428,'S-BOM'!$B$3:$B994,$B$2))</f>
        <v/>
      </c>
      <c r="D428" s="120" t="str">
        <f>IFERROR(IF(B428="","",VLOOKUP(B428,RM!$C$4:$F984,3,FALSE)),"")</f>
        <v/>
      </c>
      <c r="E428" s="118" t="str">
        <f>IF(B428="","",VLOOKUP(B428,RM!$C$4:$G984,14,FALSE))</f>
        <v/>
      </c>
      <c r="F428" s="87" t="str">
        <f t="shared" si="3"/>
        <v/>
      </c>
      <c r="G428" s="87" t="str">
        <f t="shared" si="4"/>
        <v/>
      </c>
      <c r="H428" s="87"/>
      <c r="I428" s="87"/>
      <c r="J428" s="87"/>
    </row>
    <row r="429" spans="1:10">
      <c r="A429" s="2"/>
      <c r="B429" s="2"/>
      <c r="C429" s="120" t="str">
        <f>IF(B429="","",SUMIFS('S-BOM'!$D$3:$D994,'S-BOM'!$C$3:$C994,B429,'S-BOM'!$B$3:$B994,$B$2))</f>
        <v/>
      </c>
      <c r="D429" s="120" t="str">
        <f>IFERROR(IF(B429="","",VLOOKUP(B429,RM!$C$4:$F984,3,FALSE)),"")</f>
        <v/>
      </c>
      <c r="E429" s="118" t="str">
        <f>IF(B429="","",VLOOKUP(B429,RM!$C$4:$G984,14,FALSE))</f>
        <v/>
      </c>
      <c r="F429" s="87" t="str">
        <f t="shared" si="3"/>
        <v/>
      </c>
      <c r="G429" s="87" t="str">
        <f t="shared" si="4"/>
        <v/>
      </c>
      <c r="H429" s="87"/>
      <c r="I429" s="87"/>
      <c r="J429" s="87"/>
    </row>
    <row r="430" spans="1:10">
      <c r="A430" s="2"/>
      <c r="B430" s="2"/>
      <c r="C430" s="120" t="str">
        <f>IF(B430="","",SUMIFS('S-BOM'!$D$3:$D994,'S-BOM'!$C$3:$C994,B430,'S-BOM'!$B$3:$B994,$B$2))</f>
        <v/>
      </c>
      <c r="D430" s="120" t="str">
        <f>IFERROR(IF(B430="","",VLOOKUP(B430,RM!$C$4:$F984,3,FALSE)),"")</f>
        <v/>
      </c>
      <c r="E430" s="118" t="str">
        <f>IF(B430="","",VLOOKUP(B430,RM!$C$4:$G984,14,FALSE))</f>
        <v/>
      </c>
      <c r="F430" s="87" t="str">
        <f t="shared" si="3"/>
        <v/>
      </c>
      <c r="G430" s="87" t="str">
        <f t="shared" si="4"/>
        <v/>
      </c>
      <c r="H430" s="87"/>
      <c r="I430" s="87"/>
      <c r="J430" s="87"/>
    </row>
    <row r="431" spans="1:10">
      <c r="A431" s="2"/>
      <c r="B431" s="2"/>
      <c r="C431" s="120" t="str">
        <f>IF(B431="","",SUMIFS('S-BOM'!$D$3:$D994,'S-BOM'!$C$3:$C994,B431,'S-BOM'!$B$3:$B994,$B$2))</f>
        <v/>
      </c>
      <c r="D431" s="120" t="str">
        <f>IFERROR(IF(B431="","",VLOOKUP(B431,RM!$C$4:$F984,3,FALSE)),"")</f>
        <v/>
      </c>
      <c r="E431" s="118" t="str">
        <f>IF(B431="","",VLOOKUP(B431,RM!$C$4:$G984,14,FALSE))</f>
        <v/>
      </c>
      <c r="F431" s="87" t="str">
        <f t="shared" si="3"/>
        <v/>
      </c>
      <c r="G431" s="87" t="str">
        <f t="shared" si="4"/>
        <v/>
      </c>
      <c r="H431" s="87"/>
      <c r="I431" s="87"/>
      <c r="J431" s="87"/>
    </row>
    <row r="432" spans="1:10">
      <c r="A432" s="2"/>
      <c r="B432" s="2"/>
      <c r="C432" s="120" t="str">
        <f>IF(B432="","",SUMIFS('S-BOM'!$D$3:$D994,'S-BOM'!$C$3:$C994,B432,'S-BOM'!$B$3:$B994,$B$2))</f>
        <v/>
      </c>
      <c r="D432" s="120" t="str">
        <f>IFERROR(IF(B432="","",VLOOKUP(B432,RM!$C$4:$F984,3,FALSE)),"")</f>
        <v/>
      </c>
      <c r="E432" s="118" t="str">
        <f>IF(B432="","",VLOOKUP(B432,RM!$C$4:$G984,14,FALSE))</f>
        <v/>
      </c>
      <c r="F432" s="87" t="str">
        <f t="shared" si="3"/>
        <v/>
      </c>
      <c r="G432" s="87" t="str">
        <f t="shared" si="4"/>
        <v/>
      </c>
      <c r="H432" s="87"/>
      <c r="I432" s="87"/>
      <c r="J432" s="87"/>
    </row>
    <row r="433" spans="1:10">
      <c r="A433" s="2"/>
      <c r="B433" s="2"/>
      <c r="C433" s="120" t="str">
        <f>IF(B433="","",SUMIFS('S-BOM'!$D$3:$D994,'S-BOM'!$C$3:$C994,B433,'S-BOM'!$B$3:$B994,$B$2))</f>
        <v/>
      </c>
      <c r="D433" s="120" t="str">
        <f>IFERROR(IF(B433="","",VLOOKUP(B433,RM!$C$4:$F984,3,FALSE)),"")</f>
        <v/>
      </c>
      <c r="E433" s="118" t="str">
        <f>IF(B433="","",VLOOKUP(B433,RM!$C$4:$G984,14,FALSE))</f>
        <v/>
      </c>
      <c r="F433" s="87" t="str">
        <f t="shared" si="3"/>
        <v/>
      </c>
      <c r="G433" s="87" t="str">
        <f t="shared" si="4"/>
        <v/>
      </c>
      <c r="H433" s="87"/>
      <c r="I433" s="87"/>
      <c r="J433" s="87"/>
    </row>
    <row r="434" spans="1:10">
      <c r="A434" s="2"/>
      <c r="B434" s="2"/>
      <c r="C434" s="120" t="str">
        <f>IF(B434="","",SUMIFS('S-BOM'!$D$3:$D994,'S-BOM'!$C$3:$C994,B434,'S-BOM'!$B$3:$B994,$B$2))</f>
        <v/>
      </c>
      <c r="D434" s="120" t="str">
        <f>IFERROR(IF(B434="","",VLOOKUP(B434,RM!$C$4:$F984,3,FALSE)),"")</f>
        <v/>
      </c>
      <c r="E434" s="118" t="str">
        <f>IF(B434="","",VLOOKUP(B434,RM!$C$4:$G984,14,FALSE))</f>
        <v/>
      </c>
      <c r="F434" s="87" t="str">
        <f t="shared" si="3"/>
        <v/>
      </c>
      <c r="G434" s="87" t="str">
        <f t="shared" si="4"/>
        <v/>
      </c>
      <c r="H434" s="87"/>
      <c r="I434" s="87"/>
      <c r="J434" s="87"/>
    </row>
    <row r="435" spans="1:10">
      <c r="A435" s="2"/>
      <c r="B435" s="2"/>
      <c r="C435" s="120" t="str">
        <f>IF(B435="","",SUMIFS('S-BOM'!$D$3:$D994,'S-BOM'!$C$3:$C994,B435,'S-BOM'!$B$3:$B994,$B$2))</f>
        <v/>
      </c>
      <c r="D435" s="120" t="str">
        <f>IFERROR(IF(B435="","",VLOOKUP(B435,RM!$C$4:$F984,3,FALSE)),"")</f>
        <v/>
      </c>
      <c r="E435" s="118" t="str">
        <f>IF(B435="","",VLOOKUP(B435,RM!$C$4:$G984,14,FALSE))</f>
        <v/>
      </c>
      <c r="F435" s="87" t="str">
        <f t="shared" si="3"/>
        <v/>
      </c>
      <c r="G435" s="87" t="str">
        <f t="shared" si="4"/>
        <v/>
      </c>
      <c r="H435" s="87"/>
      <c r="I435" s="87"/>
      <c r="J435" s="87"/>
    </row>
    <row r="436" spans="1:10">
      <c r="A436" s="2"/>
      <c r="B436" s="2"/>
      <c r="C436" s="120" t="str">
        <f>IF(B436="","",SUMIFS('S-BOM'!$D$3:$D994,'S-BOM'!$C$3:$C994,B436,'S-BOM'!$B$3:$B994,$B$2))</f>
        <v/>
      </c>
      <c r="D436" s="120" t="str">
        <f>IFERROR(IF(B436="","",VLOOKUP(B436,RM!$C$4:$F984,3,FALSE)),"")</f>
        <v/>
      </c>
      <c r="E436" s="118" t="str">
        <f>IF(B436="","",VLOOKUP(B436,RM!$C$4:$G984,14,FALSE))</f>
        <v/>
      </c>
      <c r="F436" s="87" t="str">
        <f t="shared" si="3"/>
        <v/>
      </c>
      <c r="G436" s="87" t="str">
        <f t="shared" si="4"/>
        <v/>
      </c>
      <c r="H436" s="87"/>
      <c r="I436" s="87"/>
      <c r="J436" s="87"/>
    </row>
    <row r="437" spans="1:10">
      <c r="A437" s="2"/>
      <c r="B437" s="2"/>
      <c r="C437" s="120" t="str">
        <f>IF(B437="","",SUMIFS('S-BOM'!$D$3:$D994,'S-BOM'!$C$3:$C994,B437,'S-BOM'!$B$3:$B994,$B$2))</f>
        <v/>
      </c>
      <c r="D437" s="120" t="str">
        <f>IFERROR(IF(B437="","",VLOOKUP(B437,RM!$C$4:$F984,3,FALSE)),"")</f>
        <v/>
      </c>
      <c r="E437" s="118" t="str">
        <f>IF(B437="","",VLOOKUP(B437,RM!$C$4:$G984,14,FALSE))</f>
        <v/>
      </c>
      <c r="F437" s="87" t="str">
        <f t="shared" si="3"/>
        <v/>
      </c>
      <c r="G437" s="87" t="str">
        <f t="shared" si="4"/>
        <v/>
      </c>
      <c r="H437" s="87"/>
      <c r="I437" s="87"/>
      <c r="J437" s="87"/>
    </row>
    <row r="438" spans="1:10">
      <c r="A438" s="2"/>
      <c r="B438" s="2"/>
      <c r="C438" s="120" t="str">
        <f>IF(B438="","",SUMIFS('S-BOM'!$D$3:$D994,'S-BOM'!$C$3:$C994,B438,'S-BOM'!$B$3:$B994,$B$2))</f>
        <v/>
      </c>
      <c r="D438" s="120" t="str">
        <f>IFERROR(IF(B438="","",VLOOKUP(B438,RM!$C$4:$F984,3,FALSE)),"")</f>
        <v/>
      </c>
      <c r="E438" s="118" t="str">
        <f>IF(B438="","",VLOOKUP(B438,RM!$C$4:$G984,14,FALSE))</f>
        <v/>
      </c>
      <c r="F438" s="87" t="str">
        <f t="shared" si="3"/>
        <v/>
      </c>
      <c r="G438" s="87" t="str">
        <f t="shared" si="4"/>
        <v/>
      </c>
      <c r="H438" s="87"/>
      <c r="I438" s="87"/>
      <c r="J438" s="87"/>
    </row>
    <row r="439" spans="1:10">
      <c r="A439" s="2"/>
      <c r="B439" s="2"/>
      <c r="C439" s="120" t="str">
        <f>IF(B439="","",SUMIFS('S-BOM'!$D$3:$D994,'S-BOM'!$C$3:$C994,B439,'S-BOM'!$B$3:$B994,$B$2))</f>
        <v/>
      </c>
      <c r="D439" s="120" t="str">
        <f>IFERROR(IF(B439="","",VLOOKUP(B439,RM!$C$4:$F984,3,FALSE)),"")</f>
        <v/>
      </c>
      <c r="E439" s="118" t="str">
        <f>IF(B439="","",VLOOKUP(B439,RM!$C$4:$G984,14,FALSE))</f>
        <v/>
      </c>
      <c r="F439" s="87" t="str">
        <f t="shared" si="3"/>
        <v/>
      </c>
      <c r="G439" s="87" t="str">
        <f t="shared" si="4"/>
        <v/>
      </c>
      <c r="H439" s="87"/>
      <c r="I439" s="87"/>
      <c r="J439" s="87"/>
    </row>
    <row r="440" spans="1:10">
      <c r="A440" s="2"/>
      <c r="B440" s="2"/>
      <c r="C440" s="120" t="str">
        <f>IF(B440="","",SUMIFS('S-BOM'!$D$3:$D994,'S-BOM'!$C$3:$C994,B440,'S-BOM'!$B$3:$B994,$B$2))</f>
        <v/>
      </c>
      <c r="D440" s="120" t="str">
        <f>IFERROR(IF(B440="","",VLOOKUP(B440,RM!$C$4:$F984,3,FALSE)),"")</f>
        <v/>
      </c>
      <c r="E440" s="118" t="str">
        <f>IF(B440="","",VLOOKUP(B440,RM!$C$4:$G984,14,FALSE))</f>
        <v/>
      </c>
      <c r="F440" s="87" t="str">
        <f t="shared" si="3"/>
        <v/>
      </c>
      <c r="G440" s="87" t="str">
        <f t="shared" si="4"/>
        <v/>
      </c>
      <c r="H440" s="87"/>
      <c r="I440" s="87"/>
      <c r="J440" s="87"/>
    </row>
    <row r="441" spans="1:10">
      <c r="A441" s="2"/>
      <c r="B441" s="2"/>
      <c r="C441" s="120" t="str">
        <f>IF(B441="","",SUMIFS('S-BOM'!$D$3:$D994,'S-BOM'!$C$3:$C994,B441,'S-BOM'!$B$3:$B994,$B$2))</f>
        <v/>
      </c>
      <c r="D441" s="120" t="str">
        <f>IFERROR(IF(B441="","",VLOOKUP(B441,RM!$C$4:$F984,3,FALSE)),"")</f>
        <v/>
      </c>
      <c r="E441" s="118" t="str">
        <f>IF(B441="","",VLOOKUP(B441,RM!$C$4:$G984,14,FALSE))</f>
        <v/>
      </c>
      <c r="F441" s="87" t="str">
        <f t="shared" si="3"/>
        <v/>
      </c>
      <c r="G441" s="87" t="str">
        <f t="shared" si="4"/>
        <v/>
      </c>
      <c r="H441" s="87"/>
      <c r="I441" s="87"/>
      <c r="J441" s="87"/>
    </row>
    <row r="442" spans="1:10">
      <c r="A442" s="2"/>
      <c r="B442" s="2"/>
      <c r="C442" s="120" t="str">
        <f>IF(B442="","",SUMIFS('S-BOM'!$D$3:$D994,'S-BOM'!$C$3:$C994,B442,'S-BOM'!$B$3:$B994,$B$2))</f>
        <v/>
      </c>
      <c r="D442" s="120" t="str">
        <f>IFERROR(IF(B442="","",VLOOKUP(B442,RM!$C$4:$F984,3,FALSE)),"")</f>
        <v/>
      </c>
      <c r="E442" s="118" t="str">
        <f>IF(B442="","",VLOOKUP(B442,RM!$C$4:$G984,14,FALSE))</f>
        <v/>
      </c>
      <c r="F442" s="87" t="str">
        <f t="shared" si="3"/>
        <v/>
      </c>
      <c r="G442" s="87" t="str">
        <f t="shared" si="4"/>
        <v/>
      </c>
      <c r="H442" s="87"/>
      <c r="I442" s="87"/>
      <c r="J442" s="87"/>
    </row>
    <row r="443" spans="1:10">
      <c r="A443" s="2"/>
      <c r="B443" s="2"/>
      <c r="C443" s="120" t="str">
        <f>IF(B443="","",SUMIFS('S-BOM'!$D$3:$D994,'S-BOM'!$C$3:$C994,B443,'S-BOM'!$B$3:$B994,$B$2))</f>
        <v/>
      </c>
      <c r="D443" s="120" t="str">
        <f>IFERROR(IF(B443="","",VLOOKUP(B443,RM!$C$4:$F984,3,FALSE)),"")</f>
        <v/>
      </c>
      <c r="E443" s="118" t="str">
        <f>IF(B443="","",VLOOKUP(B443,RM!$C$4:$G984,14,FALSE))</f>
        <v/>
      </c>
      <c r="F443" s="87" t="str">
        <f t="shared" si="3"/>
        <v/>
      </c>
      <c r="G443" s="87" t="str">
        <f t="shared" si="4"/>
        <v/>
      </c>
      <c r="H443" s="87"/>
      <c r="I443" s="87"/>
      <c r="J443" s="87"/>
    </row>
    <row r="444" spans="1:10">
      <c r="A444" s="2"/>
      <c r="B444" s="2"/>
      <c r="C444" s="120" t="str">
        <f>IF(B444="","",SUMIFS('S-BOM'!$D$3:$D994,'S-BOM'!$C$3:$C994,B444,'S-BOM'!$B$3:$B994,$B$2))</f>
        <v/>
      </c>
      <c r="D444" s="120" t="str">
        <f>IFERROR(IF(B444="","",VLOOKUP(B444,RM!$C$4:$F984,3,FALSE)),"")</f>
        <v/>
      </c>
      <c r="E444" s="118" t="str">
        <f>IF(B444="","",VLOOKUP(B444,RM!$C$4:$G984,14,FALSE))</f>
        <v/>
      </c>
      <c r="F444" s="87" t="str">
        <f t="shared" si="3"/>
        <v/>
      </c>
      <c r="G444" s="87" t="str">
        <f t="shared" si="4"/>
        <v/>
      </c>
      <c r="H444" s="87"/>
      <c r="I444" s="87"/>
      <c r="J444" s="87"/>
    </row>
    <row r="445" spans="1:10">
      <c r="A445" s="2"/>
      <c r="B445" s="2"/>
      <c r="C445" s="120" t="str">
        <f>IF(B445="","",SUMIFS('S-BOM'!$D$3:$D994,'S-BOM'!$C$3:$C994,B445,'S-BOM'!$B$3:$B994,$B$2))</f>
        <v/>
      </c>
      <c r="D445" s="120" t="str">
        <f>IFERROR(IF(B445="","",VLOOKUP(B445,RM!$C$4:$F984,3,FALSE)),"")</f>
        <v/>
      </c>
      <c r="E445" s="118" t="str">
        <f>IF(B445="","",VLOOKUP(B445,RM!$C$4:$G984,14,FALSE))</f>
        <v/>
      </c>
      <c r="F445" s="87" t="str">
        <f t="shared" si="3"/>
        <v/>
      </c>
      <c r="G445" s="87" t="str">
        <f t="shared" si="4"/>
        <v/>
      </c>
      <c r="H445" s="87"/>
      <c r="I445" s="87"/>
      <c r="J445" s="87"/>
    </row>
    <row r="446" spans="1:10">
      <c r="A446" s="2"/>
      <c r="B446" s="2"/>
      <c r="C446" s="120" t="str">
        <f>IF(B446="","",SUMIFS('S-BOM'!$D$3:$D994,'S-BOM'!$C$3:$C994,B446,'S-BOM'!$B$3:$B994,$B$2))</f>
        <v/>
      </c>
      <c r="D446" s="120" t="str">
        <f>IFERROR(IF(B446="","",VLOOKUP(B446,RM!$C$4:$F984,3,FALSE)),"")</f>
        <v/>
      </c>
      <c r="E446" s="118" t="str">
        <f>IF(B446="","",VLOOKUP(B446,RM!$C$4:$G984,14,FALSE))</f>
        <v/>
      </c>
      <c r="F446" s="87" t="str">
        <f t="shared" si="3"/>
        <v/>
      </c>
      <c r="G446" s="87" t="str">
        <f t="shared" si="4"/>
        <v/>
      </c>
      <c r="H446" s="87"/>
      <c r="I446" s="87"/>
      <c r="J446" s="87"/>
    </row>
    <row r="447" spans="1:10">
      <c r="A447" s="2"/>
      <c r="B447" s="2"/>
      <c r="C447" s="120" t="str">
        <f>IF(B447="","",SUMIFS('S-BOM'!$D$3:$D994,'S-BOM'!$C$3:$C994,B447,'S-BOM'!$B$3:$B994,$B$2))</f>
        <v/>
      </c>
      <c r="D447" s="120" t="str">
        <f>IFERROR(IF(B447="","",VLOOKUP(B447,RM!$C$4:$F984,3,FALSE)),"")</f>
        <v/>
      </c>
      <c r="E447" s="118" t="str">
        <f>IF(B447="","",VLOOKUP(B447,RM!$C$4:$G984,14,FALSE))</f>
        <v/>
      </c>
      <c r="F447" s="87" t="str">
        <f t="shared" si="3"/>
        <v/>
      </c>
      <c r="G447" s="87" t="str">
        <f t="shared" si="4"/>
        <v/>
      </c>
      <c r="H447" s="87"/>
      <c r="I447" s="87"/>
      <c r="J447" s="87"/>
    </row>
    <row r="448" spans="1:10">
      <c r="A448" s="2"/>
      <c r="B448" s="2"/>
      <c r="C448" s="120" t="str">
        <f>IF(B448="","",SUMIFS('S-BOM'!$D$3:$D994,'S-BOM'!$C$3:$C994,B448,'S-BOM'!$B$3:$B994,$B$2))</f>
        <v/>
      </c>
      <c r="D448" s="120" t="str">
        <f>IFERROR(IF(B448="","",VLOOKUP(B448,RM!$C$4:$F984,3,FALSE)),"")</f>
        <v/>
      </c>
      <c r="E448" s="118" t="str">
        <f>IF(B448="","",VLOOKUP(B448,RM!$C$4:$G984,14,FALSE))</f>
        <v/>
      </c>
      <c r="F448" s="87" t="str">
        <f t="shared" si="3"/>
        <v/>
      </c>
      <c r="G448" s="87" t="str">
        <f t="shared" si="4"/>
        <v/>
      </c>
      <c r="H448" s="87"/>
      <c r="I448" s="87"/>
      <c r="J448" s="87"/>
    </row>
    <row r="449" spans="1:10">
      <c r="A449" s="2"/>
      <c r="B449" s="2"/>
      <c r="C449" s="120" t="str">
        <f>IF(B449="","",SUMIFS('S-BOM'!$D$3:$D994,'S-BOM'!$C$3:$C994,B449,'S-BOM'!$B$3:$B994,$B$2))</f>
        <v/>
      </c>
      <c r="D449" s="120" t="str">
        <f>IFERROR(IF(B449="","",VLOOKUP(B449,RM!$C$4:$F984,3,FALSE)),"")</f>
        <v/>
      </c>
      <c r="E449" s="118" t="str">
        <f>IF(B449="","",VLOOKUP(B449,RM!$C$4:$G984,14,FALSE))</f>
        <v/>
      </c>
      <c r="F449" s="87" t="str">
        <f t="shared" si="3"/>
        <v/>
      </c>
      <c r="G449" s="87" t="str">
        <f t="shared" si="4"/>
        <v/>
      </c>
      <c r="H449" s="87"/>
      <c r="I449" s="87"/>
      <c r="J449" s="87"/>
    </row>
    <row r="450" spans="1:10">
      <c r="A450" s="2"/>
      <c r="B450" s="2"/>
      <c r="C450" s="120" t="str">
        <f>IF(B450="","",SUMIFS('S-BOM'!$D$3:$D994,'S-BOM'!$C$3:$C994,B450,'S-BOM'!$B$3:$B994,$B$2))</f>
        <v/>
      </c>
      <c r="D450" s="120" t="str">
        <f>IFERROR(IF(B450="","",VLOOKUP(B450,RM!$C$4:$F984,3,FALSE)),"")</f>
        <v/>
      </c>
      <c r="E450" s="118" t="str">
        <f>IF(B450="","",VLOOKUP(B450,RM!$C$4:$G984,14,FALSE))</f>
        <v/>
      </c>
      <c r="F450" s="87" t="str">
        <f t="shared" si="3"/>
        <v/>
      </c>
      <c r="G450" s="87" t="str">
        <f t="shared" si="4"/>
        <v/>
      </c>
      <c r="H450" s="87"/>
      <c r="I450" s="87"/>
      <c r="J450" s="87"/>
    </row>
    <row r="451" spans="1:10">
      <c r="A451" s="2"/>
      <c r="B451" s="2"/>
      <c r="C451" s="120" t="str">
        <f>IF(B451="","",SUMIFS('S-BOM'!$D$3:$D994,'S-BOM'!$C$3:$C994,B451,'S-BOM'!$B$3:$B994,$B$2))</f>
        <v/>
      </c>
      <c r="D451" s="120" t="str">
        <f>IFERROR(IF(B451="","",VLOOKUP(B451,RM!$C$4:$F984,3,FALSE)),"")</f>
        <v/>
      </c>
      <c r="E451" s="118" t="str">
        <f>IF(B451="","",VLOOKUP(B451,RM!$C$4:$G984,14,FALSE))</f>
        <v/>
      </c>
      <c r="F451" s="87" t="str">
        <f t="shared" si="3"/>
        <v/>
      </c>
      <c r="G451" s="87" t="str">
        <f t="shared" si="4"/>
        <v/>
      </c>
      <c r="H451" s="87"/>
      <c r="I451" s="87"/>
      <c r="J451" s="87"/>
    </row>
    <row r="452" spans="1:10">
      <c r="A452" s="2"/>
      <c r="B452" s="2"/>
      <c r="C452" s="120" t="str">
        <f>IF(B452="","",SUMIFS('S-BOM'!$D$3:$D994,'S-BOM'!$C$3:$C994,B452,'S-BOM'!$B$3:$B994,$B$2))</f>
        <v/>
      </c>
      <c r="D452" s="120" t="str">
        <f>IFERROR(IF(B452="","",VLOOKUP(B452,RM!$C$4:$F984,3,FALSE)),"")</f>
        <v/>
      </c>
      <c r="E452" s="118" t="str">
        <f>IF(B452="","",VLOOKUP(B452,RM!$C$4:$G984,14,FALSE))</f>
        <v/>
      </c>
      <c r="F452" s="87" t="str">
        <f t="shared" si="3"/>
        <v/>
      </c>
      <c r="G452" s="87" t="str">
        <f t="shared" si="4"/>
        <v/>
      </c>
      <c r="H452" s="87"/>
      <c r="I452" s="87"/>
      <c r="J452" s="87"/>
    </row>
    <row r="453" spans="1:10">
      <c r="A453" s="2"/>
      <c r="B453" s="2"/>
      <c r="C453" s="120" t="str">
        <f>IF(B453="","",SUMIFS('S-BOM'!$D$3:$D994,'S-BOM'!$C$3:$C994,B453,'S-BOM'!$B$3:$B994,$B$2))</f>
        <v/>
      </c>
      <c r="D453" s="120" t="str">
        <f>IFERROR(IF(B453="","",VLOOKUP(B453,RM!$C$4:$F984,3,FALSE)),"")</f>
        <v/>
      </c>
      <c r="E453" s="118" t="str">
        <f>IF(B453="","",VLOOKUP(B453,RM!$C$4:$G984,14,FALSE))</f>
        <v/>
      </c>
      <c r="F453" s="87" t="str">
        <f t="shared" si="3"/>
        <v/>
      </c>
      <c r="G453" s="87" t="str">
        <f t="shared" si="4"/>
        <v/>
      </c>
      <c r="H453" s="87"/>
      <c r="I453" s="87"/>
      <c r="J453" s="87"/>
    </row>
    <row r="454" spans="1:10">
      <c r="A454" s="2"/>
      <c r="B454" s="2"/>
      <c r="C454" s="120" t="str">
        <f>IF(B454="","",SUMIFS('S-BOM'!$D$3:$D994,'S-BOM'!$C$3:$C994,B454,'S-BOM'!$B$3:$B994,$B$2))</f>
        <v/>
      </c>
      <c r="D454" s="120" t="str">
        <f>IFERROR(IF(B454="","",VLOOKUP(B454,RM!$C$4:$F984,3,FALSE)),"")</f>
        <v/>
      </c>
      <c r="E454" s="118" t="str">
        <f>IF(B454="","",VLOOKUP(B454,RM!$C$4:$G984,14,FALSE))</f>
        <v/>
      </c>
      <c r="F454" s="87" t="str">
        <f t="shared" si="3"/>
        <v/>
      </c>
      <c r="G454" s="87" t="str">
        <f t="shared" si="4"/>
        <v/>
      </c>
      <c r="H454" s="87"/>
      <c r="I454" s="87"/>
      <c r="J454" s="87"/>
    </row>
    <row r="455" spans="1:10">
      <c r="A455" s="2"/>
      <c r="B455" s="2"/>
      <c r="C455" s="120" t="str">
        <f>IF(B455="","",SUMIFS('S-BOM'!$D$3:$D994,'S-BOM'!$C$3:$C994,B455,'S-BOM'!$B$3:$B994,$B$2))</f>
        <v/>
      </c>
      <c r="D455" s="120" t="str">
        <f>IFERROR(IF(B455="","",VLOOKUP(B455,RM!$C$4:$F984,3,FALSE)),"")</f>
        <v/>
      </c>
      <c r="E455" s="118" t="str">
        <f>IF(B455="","",VLOOKUP(B455,RM!$C$4:$G984,14,FALSE))</f>
        <v/>
      </c>
      <c r="F455" s="87" t="str">
        <f t="shared" si="3"/>
        <v/>
      </c>
      <c r="G455" s="87" t="str">
        <f t="shared" si="4"/>
        <v/>
      </c>
      <c r="H455" s="87"/>
      <c r="I455" s="87"/>
      <c r="J455" s="87"/>
    </row>
    <row r="456" spans="1:10">
      <c r="A456" s="2"/>
      <c r="B456" s="2"/>
      <c r="C456" s="120" t="str">
        <f>IF(B456="","",SUMIFS('S-BOM'!$D$3:$D994,'S-BOM'!$C$3:$C994,B456,'S-BOM'!$B$3:$B994,$B$2))</f>
        <v/>
      </c>
      <c r="D456" s="120" t="str">
        <f>IFERROR(IF(B456="","",VLOOKUP(B456,RM!$C$4:$F984,3,FALSE)),"")</f>
        <v/>
      </c>
      <c r="E456" s="118" t="str">
        <f>IF(B456="","",VLOOKUP(B456,RM!$C$4:$G984,14,FALSE))</f>
        <v/>
      </c>
      <c r="F456" s="87" t="str">
        <f t="shared" si="3"/>
        <v/>
      </c>
      <c r="G456" s="87" t="str">
        <f t="shared" si="4"/>
        <v/>
      </c>
      <c r="H456" s="87"/>
      <c r="I456" s="87"/>
      <c r="J456" s="87"/>
    </row>
    <row r="457" spans="1:10">
      <c r="A457" s="2"/>
      <c r="B457" s="2"/>
      <c r="C457" s="120" t="str">
        <f>IF(B457="","",SUMIFS('S-BOM'!$D$3:$D994,'S-BOM'!$C$3:$C994,B457,'S-BOM'!$B$3:$B994,$B$2))</f>
        <v/>
      </c>
      <c r="D457" s="120" t="str">
        <f>IFERROR(IF(B457="","",VLOOKUP(B457,RM!$C$4:$F984,3,FALSE)),"")</f>
        <v/>
      </c>
      <c r="E457" s="118" t="str">
        <f>IF(B457="","",VLOOKUP(B457,RM!$C$4:$G984,14,FALSE))</f>
        <v/>
      </c>
      <c r="F457" s="87" t="str">
        <f t="shared" si="3"/>
        <v/>
      </c>
      <c r="G457" s="87" t="str">
        <f t="shared" si="4"/>
        <v/>
      </c>
      <c r="H457" s="87"/>
      <c r="I457" s="87"/>
      <c r="J457" s="87"/>
    </row>
    <row r="458" spans="1:10">
      <c r="A458" s="2"/>
      <c r="B458" s="2"/>
      <c r="C458" s="120" t="str">
        <f>IF(B458="","",SUMIFS('S-BOM'!$D$3:$D994,'S-BOM'!$C$3:$C994,B458,'S-BOM'!$B$3:$B994,$B$2))</f>
        <v/>
      </c>
      <c r="D458" s="120" t="str">
        <f>IFERROR(IF(B458="","",VLOOKUP(B458,RM!$C$4:$F984,3,FALSE)),"")</f>
        <v/>
      </c>
      <c r="E458" s="118" t="str">
        <f>IF(B458="","",VLOOKUP(B458,RM!$C$4:$G984,14,FALSE))</f>
        <v/>
      </c>
      <c r="F458" s="87" t="str">
        <f t="shared" si="3"/>
        <v/>
      </c>
      <c r="G458" s="87" t="str">
        <f t="shared" si="4"/>
        <v/>
      </c>
      <c r="H458" s="87"/>
      <c r="I458" s="87"/>
      <c r="J458" s="87"/>
    </row>
    <row r="459" spans="1:10">
      <c r="A459" s="2"/>
      <c r="B459" s="2"/>
      <c r="C459" s="120" t="str">
        <f>IF(B459="","",SUMIFS('S-BOM'!$D$3:$D994,'S-BOM'!$C$3:$C994,B459,'S-BOM'!$B$3:$B994,$B$2))</f>
        <v/>
      </c>
      <c r="D459" s="120" t="str">
        <f>IFERROR(IF(B459="","",VLOOKUP(B459,RM!$C$4:$F984,3,FALSE)),"")</f>
        <v/>
      </c>
      <c r="E459" s="118" t="str">
        <f>IF(B459="","",VLOOKUP(B459,RM!$C$4:$G984,14,FALSE))</f>
        <v/>
      </c>
      <c r="F459" s="87" t="str">
        <f t="shared" si="3"/>
        <v/>
      </c>
      <c r="G459" s="87" t="str">
        <f t="shared" si="4"/>
        <v/>
      </c>
      <c r="H459" s="87"/>
      <c r="I459" s="87"/>
      <c r="J459" s="87"/>
    </row>
    <row r="460" spans="1:10">
      <c r="A460" s="2"/>
      <c r="B460" s="2"/>
      <c r="C460" s="120" t="str">
        <f>IF(B460="","",SUMIFS('S-BOM'!$D$3:$D994,'S-BOM'!$C$3:$C994,B460,'S-BOM'!$B$3:$B994,$B$2))</f>
        <v/>
      </c>
      <c r="D460" s="120" t="str">
        <f>IFERROR(IF(B460="","",VLOOKUP(B460,RM!$C$4:$F984,3,FALSE)),"")</f>
        <v/>
      </c>
      <c r="E460" s="118" t="str">
        <f>IF(B460="","",VLOOKUP(B460,RM!$C$4:$G984,14,FALSE))</f>
        <v/>
      </c>
      <c r="F460" s="87" t="str">
        <f t="shared" si="3"/>
        <v/>
      </c>
      <c r="G460" s="87" t="str">
        <f t="shared" si="4"/>
        <v/>
      </c>
      <c r="H460" s="87"/>
      <c r="I460" s="87"/>
      <c r="J460" s="87"/>
    </row>
    <row r="461" spans="1:10">
      <c r="A461" s="2"/>
      <c r="B461" s="2"/>
      <c r="C461" s="120" t="str">
        <f>IF(B461="","",SUMIFS('S-BOM'!$D$3:$D994,'S-BOM'!$C$3:$C994,B461,'S-BOM'!$B$3:$B994,$B$2))</f>
        <v/>
      </c>
      <c r="D461" s="120" t="str">
        <f>IFERROR(IF(B461="","",VLOOKUP(B461,RM!$C$4:$F984,3,FALSE)),"")</f>
        <v/>
      </c>
      <c r="E461" s="118" t="str">
        <f>IF(B461="","",VLOOKUP(B461,RM!$C$4:$G984,14,FALSE))</f>
        <v/>
      </c>
      <c r="F461" s="87" t="str">
        <f t="shared" si="3"/>
        <v/>
      </c>
      <c r="G461" s="87" t="str">
        <f t="shared" si="4"/>
        <v/>
      </c>
      <c r="H461" s="87"/>
      <c r="I461" s="87"/>
      <c r="J461" s="87"/>
    </row>
    <row r="462" spans="1:10">
      <c r="A462" s="2"/>
      <c r="B462" s="2"/>
      <c r="C462" s="120" t="str">
        <f>IF(B462="","",SUMIFS('S-BOM'!$D$3:$D994,'S-BOM'!$C$3:$C994,B462,'S-BOM'!$B$3:$B994,$B$2))</f>
        <v/>
      </c>
      <c r="D462" s="120" t="str">
        <f>IFERROR(IF(B462="","",VLOOKUP(B462,RM!$C$4:$F984,3,FALSE)),"")</f>
        <v/>
      </c>
      <c r="E462" s="118" t="str">
        <f>IF(B462="","",VLOOKUP(B462,RM!$C$4:$G984,14,FALSE))</f>
        <v/>
      </c>
      <c r="F462" s="87" t="str">
        <f t="shared" si="3"/>
        <v/>
      </c>
      <c r="G462" s="87" t="str">
        <f t="shared" si="4"/>
        <v/>
      </c>
      <c r="H462" s="87"/>
      <c r="I462" s="87"/>
      <c r="J462" s="87"/>
    </row>
    <row r="463" spans="1:10">
      <c r="A463" s="2"/>
      <c r="B463" s="2"/>
      <c r="C463" s="120" t="str">
        <f>IF(B463="","",SUMIFS('S-BOM'!$D$3:$D994,'S-BOM'!$C$3:$C994,B463,'S-BOM'!$B$3:$B994,$B$2))</f>
        <v/>
      </c>
      <c r="D463" s="120" t="str">
        <f>IFERROR(IF(B463="","",VLOOKUP(B463,RM!$C$4:$F984,3,FALSE)),"")</f>
        <v/>
      </c>
      <c r="E463" s="118" t="str">
        <f>IF(B463="","",VLOOKUP(B463,RM!$C$4:$G984,14,FALSE))</f>
        <v/>
      </c>
      <c r="F463" s="87" t="str">
        <f t="shared" si="3"/>
        <v/>
      </c>
      <c r="G463" s="87" t="str">
        <f t="shared" si="4"/>
        <v/>
      </c>
      <c r="H463" s="87"/>
      <c r="I463" s="87"/>
      <c r="J463" s="87"/>
    </row>
    <row r="464" spans="1:10">
      <c r="A464" s="2"/>
      <c r="B464" s="2"/>
      <c r="C464" s="120" t="str">
        <f>IF(B464="","",SUMIFS('S-BOM'!$D$3:$D994,'S-BOM'!$C$3:$C994,B464,'S-BOM'!$B$3:$B994,$B$2))</f>
        <v/>
      </c>
      <c r="D464" s="120" t="str">
        <f>IFERROR(IF(B464="","",VLOOKUP(B464,RM!$C$4:$F984,3,FALSE)),"")</f>
        <v/>
      </c>
      <c r="E464" s="118" t="str">
        <f>IF(B464="","",VLOOKUP(B464,RM!$C$4:$G984,14,FALSE))</f>
        <v/>
      </c>
      <c r="F464" s="87" t="str">
        <f t="shared" si="3"/>
        <v/>
      </c>
      <c r="G464" s="87" t="str">
        <f t="shared" si="4"/>
        <v/>
      </c>
      <c r="H464" s="87"/>
      <c r="I464" s="87"/>
      <c r="J464" s="87"/>
    </row>
    <row r="465" spans="1:10">
      <c r="A465" s="2"/>
      <c r="B465" s="2"/>
      <c r="C465" s="120" t="str">
        <f>IF(B465="","",SUMIFS('S-BOM'!$D$3:$D994,'S-BOM'!$C$3:$C994,B465,'S-BOM'!$B$3:$B994,$B$2))</f>
        <v/>
      </c>
      <c r="D465" s="120" t="str">
        <f>IFERROR(IF(B465="","",VLOOKUP(B465,RM!$C$4:$F984,3,FALSE)),"")</f>
        <v/>
      </c>
      <c r="E465" s="118" t="str">
        <f>IF(B465="","",VLOOKUP(B465,RM!$C$4:$G984,14,FALSE))</f>
        <v/>
      </c>
      <c r="F465" s="87" t="str">
        <f t="shared" si="3"/>
        <v/>
      </c>
      <c r="G465" s="87" t="str">
        <f t="shared" si="4"/>
        <v/>
      </c>
      <c r="H465" s="87"/>
      <c r="I465" s="87"/>
      <c r="J465" s="87"/>
    </row>
    <row r="466" spans="1:10">
      <c r="A466" s="2"/>
      <c r="B466" s="2"/>
      <c r="C466" s="120" t="str">
        <f>IF(B466="","",SUMIFS('S-BOM'!$D$3:$D994,'S-BOM'!$C$3:$C994,B466,'S-BOM'!$B$3:$B994,$B$2))</f>
        <v/>
      </c>
      <c r="D466" s="120" t="str">
        <f>IFERROR(IF(B466="","",VLOOKUP(B466,RM!$C$4:$F984,3,FALSE)),"")</f>
        <v/>
      </c>
      <c r="E466" s="118" t="str">
        <f>IF(B466="","",VLOOKUP(B466,RM!$C$4:$G984,14,FALSE))</f>
        <v/>
      </c>
      <c r="F466" s="87" t="str">
        <f t="shared" si="3"/>
        <v/>
      </c>
      <c r="G466" s="87" t="str">
        <f t="shared" si="4"/>
        <v/>
      </c>
      <c r="H466" s="87"/>
      <c r="I466" s="87"/>
      <c r="J466" s="87"/>
    </row>
    <row r="467" spans="1:10">
      <c r="A467" s="2"/>
      <c r="B467" s="2"/>
      <c r="C467" s="120" t="str">
        <f>IF(B467="","",SUMIFS('S-BOM'!$D$3:$D994,'S-BOM'!$C$3:$C994,B467,'S-BOM'!$B$3:$B994,$B$2))</f>
        <v/>
      </c>
      <c r="D467" s="120" t="str">
        <f>IFERROR(IF(B467="","",VLOOKUP(B467,RM!$C$4:$F984,3,FALSE)),"")</f>
        <v/>
      </c>
      <c r="E467" s="118" t="str">
        <f>IF(B467="","",VLOOKUP(B467,RM!$C$4:$G984,14,FALSE))</f>
        <v/>
      </c>
      <c r="F467" s="87" t="str">
        <f t="shared" si="3"/>
        <v/>
      </c>
      <c r="G467" s="87" t="str">
        <f t="shared" si="4"/>
        <v/>
      </c>
      <c r="H467" s="87"/>
      <c r="I467" s="87"/>
      <c r="J467" s="87"/>
    </row>
    <row r="468" spans="1:10">
      <c r="A468" s="2"/>
      <c r="B468" s="2"/>
      <c r="C468" s="120" t="str">
        <f>IF(B468="","",SUMIFS('S-BOM'!$D$3:$D994,'S-BOM'!$C$3:$C994,B468,'S-BOM'!$B$3:$B994,$B$2))</f>
        <v/>
      </c>
      <c r="D468" s="120" t="str">
        <f>IFERROR(IF(B468="","",VLOOKUP(B468,RM!$C$4:$F984,3,FALSE)),"")</f>
        <v/>
      </c>
      <c r="E468" s="118" t="str">
        <f>IF(B468="","",VLOOKUP(B468,RM!$C$4:$G984,14,FALSE))</f>
        <v/>
      </c>
      <c r="F468" s="87" t="str">
        <f t="shared" si="3"/>
        <v/>
      </c>
      <c r="G468" s="87" t="str">
        <f t="shared" si="4"/>
        <v/>
      </c>
      <c r="H468" s="87"/>
      <c r="I468" s="87"/>
      <c r="J468" s="87"/>
    </row>
    <row r="469" spans="1:10">
      <c r="A469" s="2"/>
      <c r="B469" s="2"/>
      <c r="C469" s="120" t="str">
        <f>IF(B469="","",SUMIFS('S-BOM'!$D$3:$D994,'S-BOM'!$C$3:$C994,B469,'S-BOM'!$B$3:$B994,$B$2))</f>
        <v/>
      </c>
      <c r="D469" s="120" t="str">
        <f>IFERROR(IF(B469="","",VLOOKUP(B469,RM!$C$4:$F984,3,FALSE)),"")</f>
        <v/>
      </c>
      <c r="E469" s="118" t="str">
        <f>IF(B469="","",VLOOKUP(B469,RM!$C$4:$G984,14,FALSE))</f>
        <v/>
      </c>
      <c r="F469" s="87" t="str">
        <f t="shared" si="3"/>
        <v/>
      </c>
      <c r="G469" s="87" t="str">
        <f t="shared" si="4"/>
        <v/>
      </c>
      <c r="H469" s="87"/>
      <c r="I469" s="87"/>
      <c r="J469" s="87"/>
    </row>
    <row r="470" spans="1:10">
      <c r="A470" s="2"/>
      <c r="B470" s="2"/>
      <c r="C470" s="120" t="str">
        <f>IF(B470="","",SUMIFS('S-BOM'!$D$3:$D994,'S-BOM'!$C$3:$C994,B470,'S-BOM'!$B$3:$B994,$B$2))</f>
        <v/>
      </c>
      <c r="D470" s="120" t="str">
        <f>IFERROR(IF(B470="","",VLOOKUP(B470,RM!$C$4:$F984,3,FALSE)),"")</f>
        <v/>
      </c>
      <c r="E470" s="118" t="str">
        <f>IF(B470="","",VLOOKUP(B470,RM!$C$4:$G984,14,FALSE))</f>
        <v/>
      </c>
      <c r="F470" s="87" t="str">
        <f t="shared" si="3"/>
        <v/>
      </c>
      <c r="G470" s="87" t="str">
        <f t="shared" si="4"/>
        <v/>
      </c>
      <c r="H470" s="87"/>
      <c r="I470" s="87"/>
      <c r="J470" s="87"/>
    </row>
    <row r="471" spans="1:10">
      <c r="A471" s="2"/>
      <c r="B471" s="2"/>
      <c r="C471" s="120" t="str">
        <f>IF(B471="","",SUMIFS('S-BOM'!$D$3:$D994,'S-BOM'!$C$3:$C994,B471,'S-BOM'!$B$3:$B994,$B$2))</f>
        <v/>
      </c>
      <c r="D471" s="120" t="str">
        <f>IFERROR(IF(B471="","",VLOOKUP(B471,RM!$C$4:$F984,3,FALSE)),"")</f>
        <v/>
      </c>
      <c r="E471" s="118" t="str">
        <f>IF(B471="","",VLOOKUP(B471,RM!$C$4:$G984,14,FALSE))</f>
        <v/>
      </c>
      <c r="F471" s="87" t="str">
        <f t="shared" si="3"/>
        <v/>
      </c>
      <c r="G471" s="87" t="str">
        <f t="shared" si="4"/>
        <v/>
      </c>
      <c r="H471" s="87"/>
      <c r="I471" s="87"/>
      <c r="J471" s="87"/>
    </row>
    <row r="472" spans="1:10">
      <c r="A472" s="2"/>
      <c r="B472" s="2"/>
      <c r="C472" s="120" t="str">
        <f>IF(B472="","",SUMIFS('S-BOM'!$D$3:$D994,'S-BOM'!$C$3:$C994,B472,'S-BOM'!$B$3:$B994,$B$2))</f>
        <v/>
      </c>
      <c r="D472" s="120" t="str">
        <f>IFERROR(IF(B472="","",VLOOKUP(B472,RM!$C$4:$F984,3,FALSE)),"")</f>
        <v/>
      </c>
      <c r="E472" s="118" t="str">
        <f>IF(B472="","",VLOOKUP(B472,RM!$C$4:$G984,14,FALSE))</f>
        <v/>
      </c>
      <c r="F472" s="87" t="str">
        <f t="shared" si="3"/>
        <v/>
      </c>
      <c r="G472" s="87" t="str">
        <f t="shared" si="4"/>
        <v/>
      </c>
      <c r="H472" s="87"/>
      <c r="I472" s="87"/>
      <c r="J472" s="87"/>
    </row>
    <row r="473" spans="1:10">
      <c r="A473" s="2"/>
      <c r="B473" s="2"/>
      <c r="C473" s="120" t="str">
        <f>IF(B473="","",SUMIFS('S-BOM'!$D$3:$D994,'S-BOM'!$C$3:$C994,B473,'S-BOM'!$B$3:$B994,$B$2))</f>
        <v/>
      </c>
      <c r="D473" s="120" t="str">
        <f>IFERROR(IF(B473="","",VLOOKUP(B473,RM!$C$4:$F984,3,FALSE)),"")</f>
        <v/>
      </c>
      <c r="E473" s="118" t="str">
        <f>IF(B473="","",VLOOKUP(B473,RM!$C$4:$G984,14,FALSE))</f>
        <v/>
      </c>
      <c r="F473" s="87" t="str">
        <f t="shared" si="3"/>
        <v/>
      </c>
      <c r="G473" s="87" t="str">
        <f t="shared" si="4"/>
        <v/>
      </c>
      <c r="H473" s="87"/>
      <c r="I473" s="87"/>
      <c r="J473" s="87"/>
    </row>
    <row r="474" spans="1:10">
      <c r="A474" s="2"/>
      <c r="B474" s="2"/>
      <c r="C474" s="120" t="str">
        <f>IF(B474="","",SUMIFS('S-BOM'!$D$3:$D994,'S-BOM'!$C$3:$C994,B474,'S-BOM'!$B$3:$B994,$B$2))</f>
        <v/>
      </c>
      <c r="D474" s="120" t="str">
        <f>IFERROR(IF(B474="","",VLOOKUP(B474,RM!$C$4:$F984,3,FALSE)),"")</f>
        <v/>
      </c>
      <c r="E474" s="118" t="str">
        <f>IF(B474="","",VLOOKUP(B474,RM!$C$4:$G984,14,FALSE))</f>
        <v/>
      </c>
      <c r="F474" s="87" t="str">
        <f t="shared" si="3"/>
        <v/>
      </c>
      <c r="G474" s="87" t="str">
        <f t="shared" si="4"/>
        <v/>
      </c>
      <c r="H474" s="87"/>
      <c r="I474" s="87"/>
      <c r="J474" s="87"/>
    </row>
    <row r="475" spans="1:10">
      <c r="A475" s="2"/>
      <c r="B475" s="2"/>
      <c r="C475" s="120" t="str">
        <f>IF(B475="","",SUMIFS('S-BOM'!$D$3:$D994,'S-BOM'!$C$3:$C994,B475,'S-BOM'!$B$3:$B994,$B$2))</f>
        <v/>
      </c>
      <c r="D475" s="120" t="str">
        <f>IFERROR(IF(B475="","",VLOOKUP(B475,RM!$C$4:$F984,3,FALSE)),"")</f>
        <v/>
      </c>
      <c r="E475" s="118" t="str">
        <f>IF(B475="","",VLOOKUP(B475,RM!$C$4:$G984,14,FALSE))</f>
        <v/>
      </c>
      <c r="F475" s="87" t="str">
        <f t="shared" si="3"/>
        <v/>
      </c>
      <c r="G475" s="87" t="str">
        <f t="shared" si="4"/>
        <v/>
      </c>
      <c r="H475" s="87"/>
      <c r="I475" s="87"/>
      <c r="J475" s="87"/>
    </row>
    <row r="476" spans="1:10">
      <c r="A476" s="2"/>
      <c r="B476" s="2"/>
      <c r="C476" s="120" t="str">
        <f>IF(B476="","",SUMIFS('S-BOM'!$D$3:$D994,'S-BOM'!$C$3:$C994,B476,'S-BOM'!$B$3:$B994,$B$2))</f>
        <v/>
      </c>
      <c r="D476" s="120" t="str">
        <f>IFERROR(IF(B476="","",VLOOKUP(B476,RM!$C$4:$F984,3,FALSE)),"")</f>
        <v/>
      </c>
      <c r="E476" s="118" t="str">
        <f>IF(B476="","",VLOOKUP(B476,RM!$C$4:$G984,14,FALSE))</f>
        <v/>
      </c>
      <c r="F476" s="87" t="str">
        <f t="shared" si="3"/>
        <v/>
      </c>
      <c r="G476" s="87" t="str">
        <f t="shared" si="4"/>
        <v/>
      </c>
      <c r="H476" s="87"/>
      <c r="I476" s="87"/>
      <c r="J476" s="87"/>
    </row>
    <row r="477" spans="1:10">
      <c r="A477" s="2"/>
      <c r="B477" s="2"/>
      <c r="C477" s="120" t="str">
        <f>IF(B477="","",SUMIFS('S-BOM'!$D$3:$D994,'S-BOM'!$C$3:$C994,B477,'S-BOM'!$B$3:$B994,$B$2))</f>
        <v/>
      </c>
      <c r="D477" s="120" t="str">
        <f>IFERROR(IF(B477="","",VLOOKUP(B477,RM!$C$4:$F984,3,FALSE)),"")</f>
        <v/>
      </c>
      <c r="E477" s="118" t="str">
        <f>IF(B477="","",VLOOKUP(B477,RM!$C$4:$G984,14,FALSE))</f>
        <v/>
      </c>
      <c r="F477" s="87" t="str">
        <f t="shared" si="3"/>
        <v/>
      </c>
      <c r="G477" s="87" t="str">
        <f t="shared" si="4"/>
        <v/>
      </c>
      <c r="H477" s="87"/>
      <c r="I477" s="87"/>
      <c r="J477" s="87"/>
    </row>
    <row r="478" spans="1:10">
      <c r="A478" s="2"/>
      <c r="B478" s="2"/>
      <c r="C478" s="120" t="str">
        <f>IF(B478="","",SUMIFS('S-BOM'!$D$3:$D994,'S-BOM'!$C$3:$C994,B478,'S-BOM'!$B$3:$B994,$B$2))</f>
        <v/>
      </c>
      <c r="D478" s="120" t="str">
        <f>IFERROR(IF(B478="","",VLOOKUP(B478,RM!$C$4:$F984,3,FALSE)),"")</f>
        <v/>
      </c>
      <c r="E478" s="118" t="str">
        <f>IF(B478="","",VLOOKUP(B478,RM!$C$4:$G984,14,FALSE))</f>
        <v/>
      </c>
      <c r="F478" s="87" t="str">
        <f t="shared" si="3"/>
        <v/>
      </c>
      <c r="G478" s="87" t="str">
        <f t="shared" si="4"/>
        <v/>
      </c>
      <c r="H478" s="87"/>
      <c r="I478" s="87"/>
      <c r="J478" s="87"/>
    </row>
    <row r="479" spans="1:10">
      <c r="A479" s="2"/>
      <c r="B479" s="2"/>
      <c r="C479" s="120" t="str">
        <f>IF(B479="","",SUMIFS('S-BOM'!$D$3:$D994,'S-BOM'!$C$3:$C994,B479,'S-BOM'!$B$3:$B994,$B$2))</f>
        <v/>
      </c>
      <c r="D479" s="120" t="str">
        <f>IFERROR(IF(B479="","",VLOOKUP(B479,RM!$C$4:$F984,3,FALSE)),"")</f>
        <v/>
      </c>
      <c r="E479" s="118" t="str">
        <f>IF(B479="","",VLOOKUP(B479,RM!$C$4:$G984,14,FALSE))</f>
        <v/>
      </c>
      <c r="F479" s="87" t="str">
        <f t="shared" si="3"/>
        <v/>
      </c>
      <c r="G479" s="87" t="str">
        <f t="shared" si="4"/>
        <v/>
      </c>
      <c r="H479" s="87"/>
      <c r="I479" s="87"/>
      <c r="J479" s="87"/>
    </row>
    <row r="480" spans="1:10">
      <c r="A480" s="2"/>
      <c r="B480" s="2"/>
      <c r="C480" s="120" t="str">
        <f>IF(B480="","",SUMIFS('S-BOM'!$D$3:$D994,'S-BOM'!$C$3:$C994,B480,'S-BOM'!$B$3:$B994,$B$2))</f>
        <v/>
      </c>
      <c r="D480" s="120" t="str">
        <f>IFERROR(IF(B480="","",VLOOKUP(B480,RM!$C$4:$F984,3,FALSE)),"")</f>
        <v/>
      </c>
      <c r="E480" s="118" t="str">
        <f>IF(B480="","",VLOOKUP(B480,RM!$C$4:$G984,14,FALSE))</f>
        <v/>
      </c>
      <c r="F480" s="87" t="str">
        <f t="shared" si="3"/>
        <v/>
      </c>
      <c r="G480" s="87" t="str">
        <f t="shared" si="4"/>
        <v/>
      </c>
      <c r="H480" s="87"/>
      <c r="I480" s="87"/>
      <c r="J480" s="87"/>
    </row>
    <row r="481" spans="1:10">
      <c r="A481" s="2"/>
      <c r="B481" s="2"/>
      <c r="C481" s="120" t="str">
        <f>IF(B481="","",SUMIFS('S-BOM'!$D$3:$D994,'S-BOM'!$C$3:$C994,B481,'S-BOM'!$B$3:$B994,$B$2))</f>
        <v/>
      </c>
      <c r="D481" s="120" t="str">
        <f>IFERROR(IF(B481="","",VLOOKUP(B481,RM!$C$4:$F984,3,FALSE)),"")</f>
        <v/>
      </c>
      <c r="E481" s="118" t="str">
        <f>IF(B481="","",VLOOKUP(B481,RM!$C$4:$G984,14,FALSE))</f>
        <v/>
      </c>
      <c r="F481" s="87" t="str">
        <f t="shared" si="3"/>
        <v/>
      </c>
      <c r="G481" s="87" t="str">
        <f t="shared" si="4"/>
        <v/>
      </c>
      <c r="H481" s="87"/>
      <c r="I481" s="87"/>
      <c r="J481" s="87"/>
    </row>
    <row r="482" spans="1:10">
      <c r="A482" s="2"/>
      <c r="B482" s="2"/>
      <c r="C482" s="120" t="str">
        <f>IF(B482="","",SUMIFS('S-BOM'!$D$3:$D994,'S-BOM'!$C$3:$C994,B482,'S-BOM'!$B$3:$B994,$B$2))</f>
        <v/>
      </c>
      <c r="D482" s="120" t="str">
        <f>IFERROR(IF(B482="","",VLOOKUP(B482,RM!$C$4:$F984,3,FALSE)),"")</f>
        <v/>
      </c>
      <c r="E482" s="118" t="str">
        <f>IF(B482="","",VLOOKUP(B482,RM!$C$4:$G984,14,FALSE))</f>
        <v/>
      </c>
      <c r="F482" s="87" t="str">
        <f t="shared" si="3"/>
        <v/>
      </c>
      <c r="G482" s="87" t="str">
        <f t="shared" si="4"/>
        <v/>
      </c>
      <c r="H482" s="87"/>
      <c r="I482" s="87"/>
      <c r="J482" s="87"/>
    </row>
    <row r="483" spans="1:10">
      <c r="A483" s="2"/>
      <c r="B483" s="2"/>
      <c r="C483" s="120" t="str">
        <f>IF(B483="","",SUMIFS('S-BOM'!$D$3:$D994,'S-BOM'!$C$3:$C994,B483,'S-BOM'!$B$3:$B994,$B$2))</f>
        <v/>
      </c>
      <c r="D483" s="120" t="str">
        <f>IFERROR(IF(B483="","",VLOOKUP(B483,RM!$C$4:$F984,3,FALSE)),"")</f>
        <v/>
      </c>
      <c r="E483" s="118" t="str">
        <f>IF(B483="","",VLOOKUP(B483,RM!$C$4:$G984,14,FALSE))</f>
        <v/>
      </c>
      <c r="F483" s="87" t="str">
        <f t="shared" si="3"/>
        <v/>
      </c>
      <c r="G483" s="87" t="str">
        <f t="shared" si="4"/>
        <v/>
      </c>
      <c r="H483" s="87"/>
      <c r="I483" s="87"/>
      <c r="J483" s="87"/>
    </row>
    <row r="484" spans="1:10">
      <c r="A484" s="2"/>
      <c r="B484" s="2"/>
      <c r="C484" s="120" t="str">
        <f>IF(B484="","",SUMIFS('S-BOM'!$D$3:$D994,'S-BOM'!$C$3:$C994,B484,'S-BOM'!$B$3:$B994,$B$2))</f>
        <v/>
      </c>
      <c r="D484" s="120" t="str">
        <f>IFERROR(IF(B484="","",VLOOKUP(B484,RM!$C$4:$F984,3,FALSE)),"")</f>
        <v/>
      </c>
      <c r="E484" s="118" t="str">
        <f>IF(B484="","",VLOOKUP(B484,RM!$C$4:$G984,14,FALSE))</f>
        <v/>
      </c>
      <c r="F484" s="87" t="str">
        <f t="shared" si="3"/>
        <v/>
      </c>
      <c r="G484" s="87" t="str">
        <f t="shared" si="4"/>
        <v/>
      </c>
      <c r="H484" s="87"/>
      <c r="I484" s="87"/>
      <c r="J484" s="87"/>
    </row>
    <row r="485" spans="1:10">
      <c r="A485" s="2"/>
      <c r="B485" s="2"/>
      <c r="C485" s="120" t="str">
        <f>IF(B485="","",SUMIFS('S-BOM'!$D$3:$D994,'S-BOM'!$C$3:$C994,B485,'S-BOM'!$B$3:$B994,$B$2))</f>
        <v/>
      </c>
      <c r="D485" s="120" t="str">
        <f>IFERROR(IF(B485="","",VLOOKUP(B485,RM!$C$4:$F984,3,FALSE)),"")</f>
        <v/>
      </c>
      <c r="E485" s="118" t="str">
        <f>IF(B485="","",VLOOKUP(B485,RM!$C$4:$G984,14,FALSE))</f>
        <v/>
      </c>
      <c r="F485" s="87" t="str">
        <f t="shared" si="3"/>
        <v/>
      </c>
      <c r="G485" s="87" t="str">
        <f t="shared" si="4"/>
        <v/>
      </c>
      <c r="H485" s="87"/>
      <c r="I485" s="87"/>
      <c r="J485" s="87"/>
    </row>
    <row r="486" spans="1:10">
      <c r="A486" s="2"/>
      <c r="B486" s="2"/>
      <c r="C486" s="120" t="str">
        <f>IF(B486="","",SUMIFS('S-BOM'!$D$3:$D994,'S-BOM'!$C$3:$C994,B486,'S-BOM'!$B$3:$B994,$B$2))</f>
        <v/>
      </c>
      <c r="D486" s="120" t="str">
        <f>IFERROR(IF(B486="","",VLOOKUP(B486,RM!$C$4:$F984,3,FALSE)),"")</f>
        <v/>
      </c>
      <c r="E486" s="118" t="str">
        <f>IF(B486="","",VLOOKUP(B486,RM!$C$4:$G984,14,FALSE))</f>
        <v/>
      </c>
      <c r="F486" s="87" t="str">
        <f t="shared" si="3"/>
        <v/>
      </c>
      <c r="G486" s="87" t="str">
        <f t="shared" si="4"/>
        <v/>
      </c>
      <c r="H486" s="87"/>
      <c r="I486" s="87"/>
      <c r="J486" s="87"/>
    </row>
    <row r="487" spans="1:10">
      <c r="A487" s="2"/>
      <c r="B487" s="2"/>
      <c r="C487" s="120" t="str">
        <f>IF(B487="","",SUMIFS('S-BOM'!$D$3:$D994,'S-BOM'!$C$3:$C994,B487,'S-BOM'!$B$3:$B994,$B$2))</f>
        <v/>
      </c>
      <c r="D487" s="120" t="str">
        <f>IFERROR(IF(B487="","",VLOOKUP(B487,RM!$C$4:$F984,3,FALSE)),"")</f>
        <v/>
      </c>
      <c r="E487" s="118" t="str">
        <f>IF(B487="","",VLOOKUP(B487,RM!$C$4:$G984,14,FALSE))</f>
        <v/>
      </c>
      <c r="F487" s="87" t="str">
        <f t="shared" si="3"/>
        <v/>
      </c>
      <c r="G487" s="87" t="str">
        <f t="shared" si="4"/>
        <v/>
      </c>
      <c r="H487" s="87"/>
      <c r="I487" s="87"/>
      <c r="J487" s="87"/>
    </row>
    <row r="488" spans="1:10">
      <c r="A488" s="2"/>
      <c r="B488" s="2"/>
      <c r="C488" s="120" t="str">
        <f>IF(B488="","",SUMIFS('S-BOM'!$D$3:$D994,'S-BOM'!$C$3:$C994,B488,'S-BOM'!$B$3:$B994,$B$2))</f>
        <v/>
      </c>
      <c r="D488" s="120" t="str">
        <f>IFERROR(IF(B488="","",VLOOKUP(B488,RM!$C$4:$F984,3,FALSE)),"")</f>
        <v/>
      </c>
      <c r="E488" s="118" t="str">
        <f>IF(B488="","",VLOOKUP(B488,RM!$C$4:$G984,14,FALSE))</f>
        <v/>
      </c>
      <c r="F488" s="87" t="str">
        <f t="shared" si="3"/>
        <v/>
      </c>
      <c r="G488" s="87" t="str">
        <f t="shared" si="4"/>
        <v/>
      </c>
      <c r="H488" s="87"/>
      <c r="I488" s="87"/>
      <c r="J488" s="87"/>
    </row>
    <row r="489" spans="1:10">
      <c r="A489" s="2"/>
      <c r="B489" s="2"/>
      <c r="C489" s="120" t="str">
        <f>IF(B489="","",SUMIFS('S-BOM'!$D$3:$D994,'S-BOM'!$C$3:$C994,B489,'S-BOM'!$B$3:$B994,$B$2))</f>
        <v/>
      </c>
      <c r="D489" s="120" t="str">
        <f>IFERROR(IF(B489="","",VLOOKUP(B489,RM!$C$4:$F984,3,FALSE)),"")</f>
        <v/>
      </c>
      <c r="E489" s="118" t="str">
        <f>IF(B489="","",VLOOKUP(B489,RM!$C$4:$G984,14,FALSE))</f>
        <v/>
      </c>
      <c r="F489" s="87" t="str">
        <f t="shared" si="3"/>
        <v/>
      </c>
      <c r="G489" s="87" t="str">
        <f t="shared" si="4"/>
        <v/>
      </c>
      <c r="H489" s="87"/>
      <c r="I489" s="87"/>
      <c r="J489" s="87"/>
    </row>
    <row r="490" spans="1:10">
      <c r="A490" s="2"/>
      <c r="B490" s="2"/>
      <c r="C490" s="120" t="str">
        <f>IF(B490="","",SUMIFS('S-BOM'!$D$3:$D994,'S-BOM'!$C$3:$C994,B490,'S-BOM'!$B$3:$B994,$B$2))</f>
        <v/>
      </c>
      <c r="D490" s="120" t="str">
        <f>IFERROR(IF(B490="","",VLOOKUP(B490,RM!$C$4:$F984,3,FALSE)),"")</f>
        <v/>
      </c>
      <c r="E490" s="118" t="str">
        <f>IF(B490="","",VLOOKUP(B490,RM!$C$4:$G984,14,FALSE))</f>
        <v/>
      </c>
      <c r="F490" s="87" t="str">
        <f t="shared" si="3"/>
        <v/>
      </c>
      <c r="G490" s="87" t="str">
        <f t="shared" si="4"/>
        <v/>
      </c>
      <c r="H490" s="87"/>
      <c r="I490" s="87"/>
      <c r="J490" s="87"/>
    </row>
    <row r="491" spans="1:10">
      <c r="A491" s="2"/>
      <c r="B491" s="2"/>
      <c r="C491" s="120" t="str">
        <f>IF(B491="","",SUMIFS('S-BOM'!$D$3:$D994,'S-BOM'!$C$3:$C994,B491,'S-BOM'!$B$3:$B994,$B$2))</f>
        <v/>
      </c>
      <c r="D491" s="120" t="str">
        <f>IFERROR(IF(B491="","",VLOOKUP(B491,RM!$C$4:$F984,3,FALSE)),"")</f>
        <v/>
      </c>
      <c r="E491" s="118" t="str">
        <f>IF(B491="","",VLOOKUP(B491,RM!$C$4:$G984,14,FALSE))</f>
        <v/>
      </c>
      <c r="F491" s="87" t="str">
        <f t="shared" si="3"/>
        <v/>
      </c>
      <c r="G491" s="87" t="str">
        <f t="shared" si="4"/>
        <v/>
      </c>
      <c r="H491" s="87"/>
      <c r="I491" s="87"/>
      <c r="J491" s="87"/>
    </row>
    <row r="492" spans="1:10">
      <c r="A492" s="2"/>
      <c r="B492" s="2"/>
      <c r="C492" s="120" t="str">
        <f>IF(B492="","",SUMIFS('S-BOM'!$D$3:$D994,'S-BOM'!$C$3:$C994,B492,'S-BOM'!$B$3:$B994,$B$2))</f>
        <v/>
      </c>
      <c r="D492" s="120" t="str">
        <f>IFERROR(IF(B492="","",VLOOKUP(B492,RM!$C$4:$F984,3,FALSE)),"")</f>
        <v/>
      </c>
      <c r="E492" s="118" t="str">
        <f>IF(B492="","",VLOOKUP(B492,RM!$C$4:$G984,14,FALSE))</f>
        <v/>
      </c>
      <c r="F492" s="87" t="str">
        <f t="shared" si="3"/>
        <v/>
      </c>
      <c r="G492" s="87" t="str">
        <f t="shared" si="4"/>
        <v/>
      </c>
      <c r="H492" s="87"/>
      <c r="I492" s="87"/>
      <c r="J492" s="87"/>
    </row>
    <row r="493" spans="1:10">
      <c r="A493" s="2"/>
      <c r="B493" s="2"/>
      <c r="C493" s="120" t="str">
        <f>IF(B493="","",SUMIFS('S-BOM'!$D$3:$D994,'S-BOM'!$C$3:$C994,B493,'S-BOM'!$B$3:$B994,$B$2))</f>
        <v/>
      </c>
      <c r="D493" s="120" t="str">
        <f>IFERROR(IF(B493="","",VLOOKUP(B493,RM!$C$4:$F984,3,FALSE)),"")</f>
        <v/>
      </c>
      <c r="E493" s="118" t="str">
        <f>IF(B493="","",VLOOKUP(B493,RM!$C$4:$G984,14,FALSE))</f>
        <v/>
      </c>
      <c r="F493" s="87" t="str">
        <f t="shared" si="3"/>
        <v/>
      </c>
      <c r="G493" s="87" t="str">
        <f t="shared" si="4"/>
        <v/>
      </c>
      <c r="H493" s="87"/>
      <c r="I493" s="87"/>
      <c r="J493" s="87"/>
    </row>
    <row r="494" spans="1:10">
      <c r="A494" s="2"/>
      <c r="B494" s="2"/>
      <c r="C494" s="120" t="str">
        <f>IF(B494="","",SUMIFS('S-BOM'!$D$3:$D994,'S-BOM'!$C$3:$C994,B494,'S-BOM'!$B$3:$B994,$B$2))</f>
        <v/>
      </c>
      <c r="D494" s="120" t="str">
        <f>IFERROR(IF(B494="","",VLOOKUP(B494,RM!$C$4:$F984,3,FALSE)),"")</f>
        <v/>
      </c>
      <c r="E494" s="118" t="str">
        <f>IF(B494="","",VLOOKUP(B494,RM!$C$4:$G984,14,FALSE))</f>
        <v/>
      </c>
      <c r="F494" s="87" t="str">
        <f t="shared" si="3"/>
        <v/>
      </c>
      <c r="G494" s="87" t="str">
        <f t="shared" si="4"/>
        <v/>
      </c>
      <c r="H494" s="87"/>
      <c r="I494" s="87"/>
      <c r="J494" s="87"/>
    </row>
    <row r="495" spans="1:10">
      <c r="A495" s="2"/>
      <c r="B495" s="2"/>
      <c r="C495" s="120" t="str">
        <f>IF(B495="","",SUMIFS('S-BOM'!$D$3:$D994,'S-BOM'!$C$3:$C994,B495,'S-BOM'!$B$3:$B994,$B$2))</f>
        <v/>
      </c>
      <c r="D495" s="120" t="str">
        <f>IFERROR(IF(B495="","",VLOOKUP(B495,RM!$C$4:$F984,3,FALSE)),"")</f>
        <v/>
      </c>
      <c r="E495" s="118" t="str">
        <f>IF(B495="","",VLOOKUP(B495,RM!$C$4:$G984,14,FALSE))</f>
        <v/>
      </c>
      <c r="F495" s="87" t="str">
        <f t="shared" si="3"/>
        <v/>
      </c>
      <c r="G495" s="87" t="str">
        <f t="shared" si="4"/>
        <v/>
      </c>
      <c r="H495" s="87"/>
      <c r="I495" s="87"/>
      <c r="J495" s="87"/>
    </row>
    <row r="496" spans="1:10">
      <c r="A496" s="2"/>
      <c r="B496" s="2"/>
      <c r="C496" s="120" t="str">
        <f>IF(B496="","",SUMIFS('S-BOM'!$D$3:$D994,'S-BOM'!$C$3:$C994,B496,'S-BOM'!$B$3:$B994,$B$2))</f>
        <v/>
      </c>
      <c r="D496" s="120" t="str">
        <f>IFERROR(IF(B496="","",VLOOKUP(B496,RM!$C$4:$F984,3,FALSE)),"")</f>
        <v/>
      </c>
      <c r="E496" s="118" t="str">
        <f>IF(B496="","",VLOOKUP(B496,RM!$C$4:$G984,14,FALSE))</f>
        <v/>
      </c>
      <c r="F496" s="87" t="str">
        <f t="shared" si="3"/>
        <v/>
      </c>
      <c r="G496" s="87" t="str">
        <f t="shared" si="4"/>
        <v/>
      </c>
      <c r="H496" s="87"/>
      <c r="I496" s="87"/>
      <c r="J496" s="87"/>
    </row>
    <row r="497" spans="1:10">
      <c r="A497" s="2"/>
      <c r="B497" s="2"/>
      <c r="C497" s="120" t="str">
        <f>IF(B497="","",SUMIFS('S-BOM'!$D$3:$D994,'S-BOM'!$C$3:$C994,B497,'S-BOM'!$B$3:$B994,$B$2))</f>
        <v/>
      </c>
      <c r="D497" s="120" t="str">
        <f>IFERROR(IF(B497="","",VLOOKUP(B497,RM!$C$4:$F984,3,FALSE)),"")</f>
        <v/>
      </c>
      <c r="E497" s="118" t="str">
        <f>IF(B497="","",VLOOKUP(B497,RM!$C$4:$G984,14,FALSE))</f>
        <v/>
      </c>
      <c r="F497" s="87" t="str">
        <f t="shared" si="3"/>
        <v/>
      </c>
      <c r="G497" s="87" t="str">
        <f t="shared" si="4"/>
        <v/>
      </c>
      <c r="H497" s="87"/>
      <c r="I497" s="87"/>
      <c r="J497" s="87"/>
    </row>
    <row r="498" spans="1:10">
      <c r="A498" s="2"/>
      <c r="B498" s="2"/>
      <c r="C498" s="120" t="str">
        <f>IF(B498="","",SUMIFS('S-BOM'!$D$3:$D994,'S-BOM'!$C$3:$C994,B498,'S-BOM'!$B$3:$B994,$B$2))</f>
        <v/>
      </c>
      <c r="D498" s="120" t="str">
        <f>IFERROR(IF(B498="","",VLOOKUP(B498,RM!$C$4:$F984,3,FALSE)),"")</f>
        <v/>
      </c>
      <c r="E498" s="118" t="str">
        <f>IF(B498="","",VLOOKUP(B498,RM!$C$4:$G984,14,FALSE))</f>
        <v/>
      </c>
      <c r="F498" s="87" t="str">
        <f t="shared" si="3"/>
        <v/>
      </c>
      <c r="G498" s="87" t="str">
        <f t="shared" si="4"/>
        <v/>
      </c>
      <c r="H498" s="87"/>
      <c r="I498" s="87"/>
      <c r="J498" s="87"/>
    </row>
    <row r="499" spans="1:10">
      <c r="A499" s="2"/>
      <c r="B499" s="2"/>
      <c r="C499" s="120" t="str">
        <f>IF(B499="","",SUMIFS('S-BOM'!$D$3:$D994,'S-BOM'!$C$3:$C994,B499,'S-BOM'!$B$3:$B994,$B$2))</f>
        <v/>
      </c>
      <c r="D499" s="120" t="str">
        <f>IFERROR(IF(B499="","",VLOOKUP(B499,RM!$C$4:$F984,3,FALSE)),"")</f>
        <v/>
      </c>
      <c r="E499" s="118" t="str">
        <f>IF(B499="","",VLOOKUP(B499,RM!$C$4:$G984,14,FALSE))</f>
        <v/>
      </c>
      <c r="F499" s="87" t="str">
        <f t="shared" si="3"/>
        <v/>
      </c>
      <c r="G499" s="87" t="str">
        <f t="shared" si="4"/>
        <v/>
      </c>
      <c r="H499" s="87"/>
      <c r="I499" s="87"/>
      <c r="J499" s="87"/>
    </row>
    <row r="500" spans="1:10">
      <c r="A500" s="2"/>
      <c r="B500" s="2"/>
      <c r="C500" s="120" t="str">
        <f>IF(B500="","",SUMIFS('S-BOM'!$D$3:$D994,'S-BOM'!$C$3:$C994,B500,'S-BOM'!$B$3:$B994,$B$2))</f>
        <v/>
      </c>
      <c r="D500" s="120" t="str">
        <f>IFERROR(IF(B500="","",VLOOKUP(B500,RM!$C$4:$F984,3,FALSE)),"")</f>
        <v/>
      </c>
      <c r="E500" s="118" t="str">
        <f>IF(B500="","",VLOOKUP(B500,RM!$C$4:$G984,14,FALSE))</f>
        <v/>
      </c>
      <c r="F500" s="87" t="str">
        <f t="shared" si="3"/>
        <v/>
      </c>
      <c r="G500" s="87" t="str">
        <f t="shared" si="4"/>
        <v/>
      </c>
      <c r="H500" s="87"/>
      <c r="I500" s="87"/>
      <c r="J500" s="87"/>
    </row>
    <row r="501" spans="1:10">
      <c r="A501" s="2"/>
      <c r="B501" s="2"/>
      <c r="C501" s="120" t="str">
        <f>IF(B501="","",SUMIFS('S-BOM'!$D$3:$D994,'S-BOM'!$C$3:$C994,B501,'S-BOM'!$B$3:$B994,$B$2))</f>
        <v/>
      </c>
      <c r="D501" s="120" t="str">
        <f>IFERROR(IF(B501="","",VLOOKUP(B501,RM!$C$4:$F984,3,FALSE)),"")</f>
        <v/>
      </c>
      <c r="E501" s="118" t="str">
        <f>IF(B501="","",VLOOKUP(B501,RM!$C$4:$G984,14,FALSE))</f>
        <v/>
      </c>
      <c r="F501" s="87" t="str">
        <f t="shared" si="3"/>
        <v/>
      </c>
      <c r="G501" s="87" t="str">
        <f t="shared" si="4"/>
        <v/>
      </c>
      <c r="H501" s="87"/>
      <c r="I501" s="87"/>
      <c r="J501" s="87"/>
    </row>
    <row r="502" spans="1:10">
      <c r="A502" s="2"/>
      <c r="B502" s="2"/>
      <c r="C502" s="120" t="str">
        <f>IF(B502="","",SUMIFS('S-BOM'!$D$3:$D994,'S-BOM'!$C$3:$C994,B502,'S-BOM'!$B$3:$B994,$B$2))</f>
        <v/>
      </c>
      <c r="D502" s="120" t="str">
        <f>IFERROR(IF(B502="","",VLOOKUP(B502,RM!$C$4:$F984,3,FALSE)),"")</f>
        <v/>
      </c>
      <c r="E502" s="118" t="str">
        <f>IF(B502="","",VLOOKUP(B502,RM!$C$4:$G984,14,FALSE))</f>
        <v/>
      </c>
      <c r="F502" s="87" t="str">
        <f t="shared" si="3"/>
        <v/>
      </c>
      <c r="G502" s="87" t="str">
        <f t="shared" si="4"/>
        <v/>
      </c>
      <c r="H502" s="87"/>
      <c r="I502" s="87"/>
      <c r="J502" s="87"/>
    </row>
    <row r="503" spans="1:10">
      <c r="A503" s="2"/>
      <c r="B503" s="2"/>
      <c r="C503" s="120" t="str">
        <f>IF(B503="","",SUMIFS('S-BOM'!$D$3:$D994,'S-BOM'!$C$3:$C994,B503,'S-BOM'!$B$3:$B994,$B$2))</f>
        <v/>
      </c>
      <c r="D503" s="120" t="str">
        <f>IFERROR(IF(B503="","",VLOOKUP(B503,RM!$C$4:$F984,3,FALSE)),"")</f>
        <v/>
      </c>
      <c r="E503" s="118" t="str">
        <f>IF(B503="","",VLOOKUP(B503,RM!$C$4:$G984,14,FALSE))</f>
        <v/>
      </c>
      <c r="F503" s="87" t="str">
        <f t="shared" si="3"/>
        <v/>
      </c>
      <c r="G503" s="87" t="str">
        <f t="shared" si="4"/>
        <v/>
      </c>
      <c r="H503" s="87"/>
      <c r="I503" s="87"/>
      <c r="J503" s="87"/>
    </row>
    <row r="504" spans="1:10">
      <c r="A504" s="2"/>
      <c r="B504" s="2"/>
      <c r="C504" s="120" t="str">
        <f>IF(B504="","",SUMIFS('S-BOM'!$D$3:$D994,'S-BOM'!$C$3:$C994,B504,'S-BOM'!$B$3:$B994,$B$2))</f>
        <v/>
      </c>
      <c r="D504" s="120" t="str">
        <f>IFERROR(IF(B504="","",VLOOKUP(B504,RM!$C$4:$F984,3,FALSE)),"")</f>
        <v/>
      </c>
      <c r="E504" s="118" t="str">
        <f>IF(B504="","",VLOOKUP(B504,RM!$C$4:$G984,14,FALSE))</f>
        <v/>
      </c>
      <c r="F504" s="87" t="str">
        <f t="shared" si="3"/>
        <v/>
      </c>
      <c r="G504" s="87" t="str">
        <f t="shared" si="4"/>
        <v/>
      </c>
      <c r="H504" s="87"/>
      <c r="I504" s="87"/>
      <c r="J504" s="87"/>
    </row>
    <row r="505" spans="1:10">
      <c r="A505" s="2"/>
      <c r="B505" s="2"/>
      <c r="C505" s="120" t="str">
        <f>IF(B505="","",SUMIFS('S-BOM'!$D$3:$D994,'S-BOM'!$C$3:$C994,B505,'S-BOM'!$B$3:$B994,$B$2))</f>
        <v/>
      </c>
      <c r="D505" s="120" t="str">
        <f>IFERROR(IF(B505="","",VLOOKUP(B505,RM!$C$4:$F984,3,FALSE)),"")</f>
        <v/>
      </c>
      <c r="E505" s="118" t="str">
        <f>IF(B505="","",VLOOKUP(B505,RM!$C$4:$G984,14,FALSE))</f>
        <v/>
      </c>
      <c r="F505" s="87" t="str">
        <f t="shared" si="3"/>
        <v/>
      </c>
      <c r="G505" s="87" t="str">
        <f t="shared" si="4"/>
        <v/>
      </c>
      <c r="H505" s="87"/>
      <c r="I505" s="87"/>
      <c r="J505" s="87"/>
    </row>
    <row r="506" spans="1:10">
      <c r="A506" s="2"/>
      <c r="B506" s="2"/>
      <c r="C506" s="120" t="str">
        <f>IF(B506="","",SUMIFS('S-BOM'!$D$3:$D994,'S-BOM'!$C$3:$C994,B506,'S-BOM'!$B$3:$B994,$B$2))</f>
        <v/>
      </c>
      <c r="D506" s="120" t="str">
        <f>IFERROR(IF(B506="","",VLOOKUP(B506,RM!$C$4:$F984,3,FALSE)),"")</f>
        <v/>
      </c>
      <c r="E506" s="118" t="str">
        <f>IF(B506="","",VLOOKUP(B506,RM!$C$4:$G984,14,FALSE))</f>
        <v/>
      </c>
      <c r="F506" s="87" t="str">
        <f t="shared" si="3"/>
        <v/>
      </c>
      <c r="G506" s="87" t="str">
        <f t="shared" si="4"/>
        <v/>
      </c>
      <c r="H506" s="87"/>
      <c r="I506" s="87"/>
      <c r="J506" s="87"/>
    </row>
    <row r="507" spans="1:10">
      <c r="A507" s="2"/>
      <c r="B507" s="2"/>
      <c r="C507" s="120" t="str">
        <f>IF(B507="","",SUMIFS('S-BOM'!$D$3:$D994,'S-BOM'!$C$3:$C994,B507,'S-BOM'!$B$3:$B994,$B$2))</f>
        <v/>
      </c>
      <c r="D507" s="120" t="str">
        <f>IFERROR(IF(B507="","",VLOOKUP(B507,RM!$C$4:$F984,3,FALSE)),"")</f>
        <v/>
      </c>
      <c r="E507" s="118" t="str">
        <f>IF(B507="","",VLOOKUP(B507,RM!$C$4:$G984,14,FALSE))</f>
        <v/>
      </c>
      <c r="F507" s="87" t="str">
        <f t="shared" si="3"/>
        <v/>
      </c>
      <c r="G507" s="87" t="str">
        <f t="shared" si="4"/>
        <v/>
      </c>
      <c r="H507" s="87"/>
      <c r="I507" s="87"/>
      <c r="J507" s="87"/>
    </row>
    <row r="508" spans="1:10">
      <c r="A508" s="2"/>
      <c r="B508" s="2"/>
      <c r="C508" s="120" t="str">
        <f>IF(B508="","",SUMIFS('S-BOM'!$D$3:$D994,'S-BOM'!$C$3:$C994,B508,'S-BOM'!$B$3:$B994,$B$2))</f>
        <v/>
      </c>
      <c r="D508" s="120" t="str">
        <f>IFERROR(IF(B508="","",VLOOKUP(B508,RM!$C$4:$F984,3,FALSE)),"")</f>
        <v/>
      </c>
      <c r="E508" s="118" t="str">
        <f>IF(B508="","",VLOOKUP(B508,RM!$C$4:$G984,14,FALSE))</f>
        <v/>
      </c>
      <c r="F508" s="87" t="str">
        <f t="shared" si="3"/>
        <v/>
      </c>
      <c r="G508" s="87" t="str">
        <f t="shared" si="4"/>
        <v/>
      </c>
      <c r="H508" s="87"/>
      <c r="I508" s="87"/>
      <c r="J508" s="87"/>
    </row>
    <row r="509" spans="1:10">
      <c r="A509" s="2"/>
      <c r="B509" s="2"/>
      <c r="C509" s="120" t="str">
        <f>IF(B509="","",SUMIFS('S-BOM'!$D$3:$D994,'S-BOM'!$C$3:$C994,B509,'S-BOM'!$B$3:$B994,$B$2))</f>
        <v/>
      </c>
      <c r="D509" s="120" t="str">
        <f>IFERROR(IF(B509="","",VLOOKUP(B509,RM!$C$4:$F984,3,FALSE)),"")</f>
        <v/>
      </c>
      <c r="E509" s="118" t="str">
        <f>IF(B509="","",VLOOKUP(B509,RM!$C$4:$G984,14,FALSE))</f>
        <v/>
      </c>
      <c r="F509" s="87" t="str">
        <f t="shared" si="3"/>
        <v/>
      </c>
      <c r="G509" s="87" t="str">
        <f t="shared" si="4"/>
        <v/>
      </c>
      <c r="H509" s="87"/>
      <c r="I509" s="87"/>
      <c r="J509" s="87"/>
    </row>
    <row r="510" spans="1:10">
      <c r="A510" s="2"/>
      <c r="B510" s="2"/>
      <c r="C510" s="120" t="str">
        <f>IF(B510="","",SUMIFS('S-BOM'!$D$3:$D994,'S-BOM'!$C$3:$C994,B510,'S-BOM'!$B$3:$B994,$B$2))</f>
        <v/>
      </c>
      <c r="D510" s="120" t="str">
        <f>IFERROR(IF(B510="","",VLOOKUP(B510,RM!$C$4:$F984,3,FALSE)),"")</f>
        <v/>
      </c>
      <c r="E510" s="118" t="str">
        <f>IF(B510="","",VLOOKUP(B510,RM!$C$4:$G984,14,FALSE))</f>
        <v/>
      </c>
      <c r="F510" s="87" t="str">
        <f t="shared" si="3"/>
        <v/>
      </c>
      <c r="G510" s="87" t="str">
        <f t="shared" si="4"/>
        <v/>
      </c>
      <c r="H510" s="87"/>
      <c r="I510" s="87"/>
      <c r="J510" s="87"/>
    </row>
    <row r="511" spans="1:10">
      <c r="A511" s="2"/>
      <c r="B511" s="2"/>
      <c r="C511" s="120" t="str">
        <f>IF(B511="","",SUMIFS('S-BOM'!$D$3:$D994,'S-BOM'!$C$3:$C994,B511,'S-BOM'!$B$3:$B994,$B$2))</f>
        <v/>
      </c>
      <c r="D511" s="120" t="str">
        <f>IFERROR(IF(B511="","",VLOOKUP(B511,RM!$C$4:$F984,3,FALSE)),"")</f>
        <v/>
      </c>
      <c r="E511" s="118" t="str">
        <f>IF(B511="","",VLOOKUP(B511,RM!$C$4:$G984,14,FALSE))</f>
        <v/>
      </c>
      <c r="F511" s="87" t="str">
        <f t="shared" si="3"/>
        <v/>
      </c>
      <c r="G511" s="87" t="str">
        <f t="shared" si="4"/>
        <v/>
      </c>
      <c r="H511" s="87"/>
      <c r="I511" s="87"/>
      <c r="J511" s="87"/>
    </row>
    <row r="512" spans="1:10">
      <c r="A512" s="2"/>
      <c r="B512" s="2"/>
      <c r="C512" s="120" t="str">
        <f>IF(B512="","",SUMIFS('S-BOM'!$D$3:$D994,'S-BOM'!$C$3:$C994,B512,'S-BOM'!$B$3:$B994,$B$2))</f>
        <v/>
      </c>
      <c r="D512" s="120" t="str">
        <f>IFERROR(IF(B512="","",VLOOKUP(B512,RM!$C$4:$F984,3,FALSE)),"")</f>
        <v/>
      </c>
      <c r="E512" s="118" t="str">
        <f>IF(B512="","",VLOOKUP(B512,RM!$C$4:$G984,14,FALSE))</f>
        <v/>
      </c>
      <c r="F512" s="87" t="str">
        <f t="shared" si="3"/>
        <v/>
      </c>
      <c r="G512" s="87" t="str">
        <f t="shared" si="4"/>
        <v/>
      </c>
      <c r="H512" s="87"/>
      <c r="I512" s="87"/>
      <c r="J512" s="87"/>
    </row>
    <row r="513" spans="1:10">
      <c r="A513" s="2"/>
      <c r="B513" s="2"/>
      <c r="C513" s="120" t="str">
        <f>IF(B513="","",SUMIFS('S-BOM'!$D$3:$D994,'S-BOM'!$C$3:$C994,B513,'S-BOM'!$B$3:$B994,$B$2))</f>
        <v/>
      </c>
      <c r="D513" s="120" t="str">
        <f>IFERROR(IF(B513="","",VLOOKUP(B513,RM!$C$4:$F984,3,FALSE)),"")</f>
        <v/>
      </c>
      <c r="E513" s="118" t="str">
        <f>IF(B513="","",VLOOKUP(B513,RM!$C$4:$G984,14,FALSE))</f>
        <v/>
      </c>
      <c r="F513" s="87" t="str">
        <f t="shared" si="3"/>
        <v/>
      </c>
      <c r="G513" s="87" t="str">
        <f t="shared" si="4"/>
        <v/>
      </c>
      <c r="H513" s="87"/>
      <c r="I513" s="87"/>
      <c r="J513" s="87"/>
    </row>
    <row r="514" spans="1:10">
      <c r="A514" s="2"/>
      <c r="B514" s="2"/>
      <c r="C514" s="120" t="str">
        <f>IF(B514="","",SUMIFS('S-BOM'!$D$3:$D994,'S-BOM'!$C$3:$C994,B514,'S-BOM'!$B$3:$B994,$B$2))</f>
        <v/>
      </c>
      <c r="D514" s="120" t="str">
        <f>IFERROR(IF(B514="","",VLOOKUP(B514,RM!$C$4:$F984,3,FALSE)),"")</f>
        <v/>
      </c>
      <c r="E514" s="118" t="str">
        <f>IF(B514="","",VLOOKUP(B514,RM!$C$4:$G984,14,FALSE))</f>
        <v/>
      </c>
      <c r="F514" s="87" t="str">
        <f t="shared" ref="F514:F768" si="5">IF(B514="","",$D$2*C514)</f>
        <v/>
      </c>
      <c r="G514" s="87" t="str">
        <f t="shared" ref="G514:G768" si="6">IF(B514="","",IF(E514&gt;F514,0,F514-E514))</f>
        <v/>
      </c>
      <c r="H514" s="87"/>
      <c r="I514" s="87"/>
      <c r="J514" s="87"/>
    </row>
    <row r="515" spans="1:10">
      <c r="A515" s="2"/>
      <c r="B515" s="2"/>
      <c r="C515" s="120" t="str">
        <f>IF(B515="","",SUMIFS('S-BOM'!$D$3:$D994,'S-BOM'!$C$3:$C994,B515,'S-BOM'!$B$3:$B994,$B$2))</f>
        <v/>
      </c>
      <c r="D515" s="120" t="str">
        <f>IFERROR(IF(B515="","",VLOOKUP(B515,RM!$C$4:$F984,3,FALSE)),"")</f>
        <v/>
      </c>
      <c r="E515" s="118" t="str">
        <f>IF(B515="","",VLOOKUP(B515,RM!$C$4:$G984,14,FALSE))</f>
        <v/>
      </c>
      <c r="F515" s="87" t="str">
        <f t="shared" si="5"/>
        <v/>
      </c>
      <c r="G515" s="87" t="str">
        <f t="shared" si="6"/>
        <v/>
      </c>
      <c r="H515" s="87"/>
      <c r="I515" s="87"/>
      <c r="J515" s="87"/>
    </row>
    <row r="516" spans="1:10">
      <c r="A516" s="2"/>
      <c r="B516" s="2"/>
      <c r="C516" s="120" t="str">
        <f>IF(B516="","",SUMIFS('S-BOM'!$D$3:$D994,'S-BOM'!$C$3:$C994,B516,'S-BOM'!$B$3:$B994,$B$2))</f>
        <v/>
      </c>
      <c r="D516" s="120" t="str">
        <f>IFERROR(IF(B516="","",VLOOKUP(B516,RM!$C$4:$F984,3,FALSE)),"")</f>
        <v/>
      </c>
      <c r="E516" s="118" t="str">
        <f>IF(B516="","",VLOOKUP(B516,RM!$C$4:$G984,14,FALSE))</f>
        <v/>
      </c>
      <c r="F516" s="87" t="str">
        <f t="shared" si="5"/>
        <v/>
      </c>
      <c r="G516" s="87" t="str">
        <f t="shared" si="6"/>
        <v/>
      </c>
      <c r="H516" s="87"/>
      <c r="I516" s="87"/>
      <c r="J516" s="87"/>
    </row>
    <row r="517" spans="1:10">
      <c r="A517" s="2"/>
      <c r="B517" s="2"/>
      <c r="C517" s="120" t="str">
        <f>IF(B517="","",SUMIFS('S-BOM'!$D$3:$D994,'S-BOM'!$C$3:$C994,B517,'S-BOM'!$B$3:$B994,$B$2))</f>
        <v/>
      </c>
      <c r="D517" s="120" t="str">
        <f>IFERROR(IF(B517="","",VLOOKUP(B517,RM!$C$4:$F984,3,FALSE)),"")</f>
        <v/>
      </c>
      <c r="E517" s="118" t="str">
        <f>IF(B517="","",VLOOKUP(B517,RM!$C$4:$G984,14,FALSE))</f>
        <v/>
      </c>
      <c r="F517" s="87" t="str">
        <f t="shared" si="5"/>
        <v/>
      </c>
      <c r="G517" s="87" t="str">
        <f t="shared" si="6"/>
        <v/>
      </c>
      <c r="H517" s="87"/>
      <c r="I517" s="87"/>
      <c r="J517" s="87"/>
    </row>
    <row r="518" spans="1:10">
      <c r="A518" s="2"/>
      <c r="B518" s="2"/>
      <c r="C518" s="120" t="str">
        <f>IF(B518="","",SUMIFS('S-BOM'!$D$3:$D994,'S-BOM'!$C$3:$C994,B518,'S-BOM'!$B$3:$B994,$B$2))</f>
        <v/>
      </c>
      <c r="D518" s="120" t="str">
        <f>IFERROR(IF(B518="","",VLOOKUP(B518,RM!$C$4:$F984,3,FALSE)),"")</f>
        <v/>
      </c>
      <c r="E518" s="118" t="str">
        <f>IF(B518="","",VLOOKUP(B518,RM!$C$4:$G984,14,FALSE))</f>
        <v/>
      </c>
      <c r="F518" s="87" t="str">
        <f t="shared" si="5"/>
        <v/>
      </c>
      <c r="G518" s="87" t="str">
        <f t="shared" si="6"/>
        <v/>
      </c>
      <c r="H518" s="87"/>
      <c r="I518" s="87"/>
      <c r="J518" s="87"/>
    </row>
    <row r="519" spans="1:10">
      <c r="A519" s="2"/>
      <c r="B519" s="2"/>
      <c r="C519" s="120" t="str">
        <f>IF(B519="","",SUMIFS('S-BOM'!$D$3:$D994,'S-BOM'!$C$3:$C994,B519,'S-BOM'!$B$3:$B994,$B$2))</f>
        <v/>
      </c>
      <c r="D519" s="120" t="str">
        <f>IFERROR(IF(B519="","",VLOOKUP(B519,RM!$C$4:$F984,3,FALSE)),"")</f>
        <v/>
      </c>
      <c r="E519" s="118" t="str">
        <f>IF(B519="","",VLOOKUP(B519,RM!$C$4:$G984,14,FALSE))</f>
        <v/>
      </c>
      <c r="F519" s="87" t="str">
        <f t="shared" si="5"/>
        <v/>
      </c>
      <c r="G519" s="87" t="str">
        <f t="shared" si="6"/>
        <v/>
      </c>
      <c r="H519" s="87"/>
      <c r="I519" s="87"/>
      <c r="J519" s="87"/>
    </row>
    <row r="520" spans="1:10">
      <c r="A520" s="2"/>
      <c r="B520" s="2"/>
      <c r="C520" s="120" t="str">
        <f>IF(B520="","",SUMIFS('S-BOM'!$D$3:$D994,'S-BOM'!$C$3:$C994,B520,'S-BOM'!$B$3:$B994,$B$2))</f>
        <v/>
      </c>
      <c r="D520" s="120" t="str">
        <f>IFERROR(IF(B520="","",VLOOKUP(B520,RM!$C$4:$F984,3,FALSE)),"")</f>
        <v/>
      </c>
      <c r="E520" s="118" t="str">
        <f>IF(B520="","",VLOOKUP(B520,RM!$C$4:$G984,14,FALSE))</f>
        <v/>
      </c>
      <c r="F520" s="87" t="str">
        <f t="shared" si="5"/>
        <v/>
      </c>
      <c r="G520" s="87" t="str">
        <f t="shared" si="6"/>
        <v/>
      </c>
      <c r="H520" s="87"/>
      <c r="I520" s="87"/>
      <c r="J520" s="87"/>
    </row>
    <row r="521" spans="1:10">
      <c r="A521" s="2"/>
      <c r="B521" s="2"/>
      <c r="C521" s="120" t="str">
        <f>IF(B521="","",SUMIFS('S-BOM'!$D$3:$D994,'S-BOM'!$C$3:$C994,B521,'S-BOM'!$B$3:$B994,$B$2))</f>
        <v/>
      </c>
      <c r="D521" s="120" t="str">
        <f>IFERROR(IF(B521="","",VLOOKUP(B521,RM!$C$4:$F984,3,FALSE)),"")</f>
        <v/>
      </c>
      <c r="E521" s="118" t="str">
        <f>IF(B521="","",VLOOKUP(B521,RM!$C$4:$G984,14,FALSE))</f>
        <v/>
      </c>
      <c r="F521" s="87" t="str">
        <f t="shared" si="5"/>
        <v/>
      </c>
      <c r="G521" s="87" t="str">
        <f t="shared" si="6"/>
        <v/>
      </c>
      <c r="H521" s="87"/>
      <c r="I521" s="87"/>
      <c r="J521" s="87"/>
    </row>
    <row r="522" spans="1:10">
      <c r="A522" s="2"/>
      <c r="B522" s="2"/>
      <c r="C522" s="120" t="str">
        <f>IF(B522="","",SUMIFS('S-BOM'!$D$3:$D994,'S-BOM'!$C$3:$C994,B522,'S-BOM'!$B$3:$B994,$B$2))</f>
        <v/>
      </c>
      <c r="D522" s="120" t="str">
        <f>IFERROR(IF(B522="","",VLOOKUP(B522,RM!$C$4:$F984,3,FALSE)),"")</f>
        <v/>
      </c>
      <c r="E522" s="118" t="str">
        <f>IF(B522="","",VLOOKUP(B522,RM!$C$4:$G984,14,FALSE))</f>
        <v/>
      </c>
      <c r="F522" s="87" t="str">
        <f t="shared" si="5"/>
        <v/>
      </c>
      <c r="G522" s="87" t="str">
        <f t="shared" si="6"/>
        <v/>
      </c>
      <c r="H522" s="87"/>
      <c r="I522" s="87"/>
      <c r="J522" s="87"/>
    </row>
    <row r="523" spans="1:10">
      <c r="A523" s="2"/>
      <c r="B523" s="2"/>
      <c r="C523" s="120" t="str">
        <f>IF(B523="","",SUMIFS('S-BOM'!$D$3:$D994,'S-BOM'!$C$3:$C994,B523,'S-BOM'!$B$3:$B994,$B$2))</f>
        <v/>
      </c>
      <c r="D523" s="120" t="str">
        <f>IFERROR(IF(B523="","",VLOOKUP(B523,RM!$C$4:$F984,3,FALSE)),"")</f>
        <v/>
      </c>
      <c r="E523" s="118" t="str">
        <f>IF(B523="","",VLOOKUP(B523,RM!$C$4:$G984,14,FALSE))</f>
        <v/>
      </c>
      <c r="F523" s="87" t="str">
        <f t="shared" si="5"/>
        <v/>
      </c>
      <c r="G523" s="87" t="str">
        <f t="shared" si="6"/>
        <v/>
      </c>
      <c r="H523" s="87"/>
      <c r="I523" s="87"/>
      <c r="J523" s="87"/>
    </row>
    <row r="524" spans="1:10">
      <c r="A524" s="2"/>
      <c r="B524" s="2"/>
      <c r="C524" s="120" t="str">
        <f>IF(B524="","",SUMIFS('S-BOM'!$D$3:$D994,'S-BOM'!$C$3:$C994,B524,'S-BOM'!$B$3:$B994,$B$2))</f>
        <v/>
      </c>
      <c r="D524" s="120" t="str">
        <f>IFERROR(IF(B524="","",VLOOKUP(B524,RM!$C$4:$F984,3,FALSE)),"")</f>
        <v/>
      </c>
      <c r="E524" s="118" t="str">
        <f>IF(B524="","",VLOOKUP(B524,RM!$C$4:$G984,14,FALSE))</f>
        <v/>
      </c>
      <c r="F524" s="87" t="str">
        <f t="shared" si="5"/>
        <v/>
      </c>
      <c r="G524" s="87" t="str">
        <f t="shared" si="6"/>
        <v/>
      </c>
      <c r="H524" s="87"/>
      <c r="I524" s="87"/>
      <c r="J524" s="87"/>
    </row>
    <row r="525" spans="1:10">
      <c r="A525" s="2"/>
      <c r="B525" s="2"/>
      <c r="C525" s="120" t="str">
        <f>IF(B525="","",SUMIFS('S-BOM'!$D$3:$D994,'S-BOM'!$C$3:$C994,B525,'S-BOM'!$B$3:$B994,$B$2))</f>
        <v/>
      </c>
      <c r="D525" s="120" t="str">
        <f>IFERROR(IF(B525="","",VLOOKUP(B525,RM!$C$4:$F984,3,FALSE)),"")</f>
        <v/>
      </c>
      <c r="E525" s="118" t="str">
        <f>IF(B525="","",VLOOKUP(B525,RM!$C$4:$G984,14,FALSE))</f>
        <v/>
      </c>
      <c r="F525" s="87" t="str">
        <f t="shared" si="5"/>
        <v/>
      </c>
      <c r="G525" s="87" t="str">
        <f t="shared" si="6"/>
        <v/>
      </c>
      <c r="H525" s="87"/>
      <c r="I525" s="87"/>
      <c r="J525" s="87"/>
    </row>
    <row r="526" spans="1:10">
      <c r="A526" s="2"/>
      <c r="B526" s="2"/>
      <c r="C526" s="120" t="str">
        <f>IF(B526="","",SUMIFS('S-BOM'!$D$3:$D994,'S-BOM'!$C$3:$C994,B526,'S-BOM'!$B$3:$B994,$B$2))</f>
        <v/>
      </c>
      <c r="D526" s="120" t="str">
        <f>IFERROR(IF(B526="","",VLOOKUP(B526,RM!$C$4:$F984,3,FALSE)),"")</f>
        <v/>
      </c>
      <c r="E526" s="118" t="str">
        <f>IF(B526="","",VLOOKUP(B526,RM!$C$4:$G984,14,FALSE))</f>
        <v/>
      </c>
      <c r="F526" s="87" t="str">
        <f t="shared" si="5"/>
        <v/>
      </c>
      <c r="G526" s="87" t="str">
        <f t="shared" si="6"/>
        <v/>
      </c>
      <c r="H526" s="87"/>
      <c r="I526" s="87"/>
      <c r="J526" s="87"/>
    </row>
    <row r="527" spans="1:10">
      <c r="A527" s="2"/>
      <c r="B527" s="2"/>
      <c r="C527" s="120" t="str">
        <f>IF(B527="","",SUMIFS('S-BOM'!$D$3:$D994,'S-BOM'!$C$3:$C994,B527,'S-BOM'!$B$3:$B994,$B$2))</f>
        <v/>
      </c>
      <c r="D527" s="120" t="str">
        <f>IFERROR(IF(B527="","",VLOOKUP(B527,RM!$C$4:$F984,3,FALSE)),"")</f>
        <v/>
      </c>
      <c r="E527" s="118" t="str">
        <f>IF(B527="","",VLOOKUP(B527,RM!$C$4:$G984,14,FALSE))</f>
        <v/>
      </c>
      <c r="F527" s="87" t="str">
        <f t="shared" si="5"/>
        <v/>
      </c>
      <c r="G527" s="87" t="str">
        <f t="shared" si="6"/>
        <v/>
      </c>
      <c r="H527" s="87"/>
      <c r="I527" s="87"/>
      <c r="J527" s="87"/>
    </row>
    <row r="528" spans="1:10">
      <c r="A528" s="2"/>
      <c r="B528" s="2"/>
      <c r="C528" s="120" t="str">
        <f>IF(B528="","",SUMIFS('S-BOM'!$D$3:$D994,'S-BOM'!$C$3:$C994,B528,'S-BOM'!$B$3:$B994,$B$2))</f>
        <v/>
      </c>
      <c r="D528" s="120" t="str">
        <f>IFERROR(IF(B528="","",VLOOKUP(B528,RM!$C$4:$F984,3,FALSE)),"")</f>
        <v/>
      </c>
      <c r="E528" s="118" t="str">
        <f>IF(B528="","",VLOOKUP(B528,RM!$C$4:$G984,14,FALSE))</f>
        <v/>
      </c>
      <c r="F528" s="87" t="str">
        <f t="shared" si="5"/>
        <v/>
      </c>
      <c r="G528" s="87" t="str">
        <f t="shared" si="6"/>
        <v/>
      </c>
      <c r="H528" s="87"/>
      <c r="I528" s="87"/>
      <c r="J528" s="87"/>
    </row>
    <row r="529" spans="1:10">
      <c r="A529" s="2"/>
      <c r="B529" s="2"/>
      <c r="C529" s="120" t="str">
        <f>IF(B529="","",SUMIFS('S-BOM'!$D$3:$D994,'S-BOM'!$C$3:$C994,B529,'S-BOM'!$B$3:$B994,$B$2))</f>
        <v/>
      </c>
      <c r="D529" s="120" t="str">
        <f>IFERROR(IF(B529="","",VLOOKUP(B529,RM!$C$4:$F984,3,FALSE)),"")</f>
        <v/>
      </c>
      <c r="E529" s="118" t="str">
        <f>IF(B529="","",VLOOKUP(B529,RM!$C$4:$G984,14,FALSE))</f>
        <v/>
      </c>
      <c r="F529" s="87" t="str">
        <f t="shared" si="5"/>
        <v/>
      </c>
      <c r="G529" s="87" t="str">
        <f t="shared" si="6"/>
        <v/>
      </c>
      <c r="H529" s="87"/>
      <c r="I529" s="87"/>
      <c r="J529" s="87"/>
    </row>
    <row r="530" spans="1:10">
      <c r="A530" s="2"/>
      <c r="B530" s="2"/>
      <c r="C530" s="120" t="str">
        <f>IF(B530="","",SUMIFS('S-BOM'!$D$3:$D994,'S-BOM'!$C$3:$C994,B530,'S-BOM'!$B$3:$B994,$B$2))</f>
        <v/>
      </c>
      <c r="D530" s="120" t="str">
        <f>IFERROR(IF(B530="","",VLOOKUP(B530,RM!$C$4:$F984,3,FALSE)),"")</f>
        <v/>
      </c>
      <c r="E530" s="118" t="str">
        <f>IF(B530="","",VLOOKUP(B530,RM!$C$4:$G984,14,FALSE))</f>
        <v/>
      </c>
      <c r="F530" s="87" t="str">
        <f t="shared" si="5"/>
        <v/>
      </c>
      <c r="G530" s="87" t="str">
        <f t="shared" si="6"/>
        <v/>
      </c>
      <c r="H530" s="87"/>
      <c r="I530" s="87"/>
      <c r="J530" s="87"/>
    </row>
    <row r="531" spans="1:10">
      <c r="A531" s="2"/>
      <c r="B531" s="2"/>
      <c r="C531" s="120" t="str">
        <f>IF(B531="","",SUMIFS('S-BOM'!$D$3:$D994,'S-BOM'!$C$3:$C994,B531,'S-BOM'!$B$3:$B994,$B$2))</f>
        <v/>
      </c>
      <c r="D531" s="120" t="str">
        <f>IFERROR(IF(B531="","",VLOOKUP(B531,RM!$C$4:$F984,3,FALSE)),"")</f>
        <v/>
      </c>
      <c r="E531" s="118" t="str">
        <f>IF(B531="","",VLOOKUP(B531,RM!$C$4:$G984,14,FALSE))</f>
        <v/>
      </c>
      <c r="F531" s="87" t="str">
        <f t="shared" si="5"/>
        <v/>
      </c>
      <c r="G531" s="87" t="str">
        <f t="shared" si="6"/>
        <v/>
      </c>
      <c r="H531" s="87"/>
      <c r="I531" s="87"/>
      <c r="J531" s="87"/>
    </row>
    <row r="532" spans="1:10">
      <c r="A532" s="2"/>
      <c r="B532" s="2"/>
      <c r="C532" s="120" t="str">
        <f>IF(B532="","",SUMIFS('S-BOM'!$D$3:$D994,'S-BOM'!$C$3:$C994,B532,'S-BOM'!$B$3:$B994,$B$2))</f>
        <v/>
      </c>
      <c r="D532" s="120" t="str">
        <f>IFERROR(IF(B532="","",VLOOKUP(B532,RM!$C$4:$F984,3,FALSE)),"")</f>
        <v/>
      </c>
      <c r="E532" s="118" t="str">
        <f>IF(B532="","",VLOOKUP(B532,RM!$C$4:$G984,14,FALSE))</f>
        <v/>
      </c>
      <c r="F532" s="87" t="str">
        <f t="shared" si="5"/>
        <v/>
      </c>
      <c r="G532" s="87" t="str">
        <f t="shared" si="6"/>
        <v/>
      </c>
      <c r="H532" s="87"/>
      <c r="I532" s="87"/>
      <c r="J532" s="87"/>
    </row>
    <row r="533" spans="1:10">
      <c r="A533" s="2"/>
      <c r="B533" s="2"/>
      <c r="C533" s="120" t="str">
        <f>IF(B533="","",SUMIFS('S-BOM'!$D$3:$D994,'S-BOM'!$C$3:$C994,B533,'S-BOM'!$B$3:$B994,$B$2))</f>
        <v/>
      </c>
      <c r="D533" s="120" t="str">
        <f>IFERROR(IF(B533="","",VLOOKUP(B533,RM!$C$4:$F984,3,FALSE)),"")</f>
        <v/>
      </c>
      <c r="E533" s="118" t="str">
        <f>IF(B533="","",VLOOKUP(B533,RM!$C$4:$G984,14,FALSE))</f>
        <v/>
      </c>
      <c r="F533" s="87" t="str">
        <f t="shared" si="5"/>
        <v/>
      </c>
      <c r="G533" s="87" t="str">
        <f t="shared" si="6"/>
        <v/>
      </c>
      <c r="H533" s="87"/>
      <c r="I533" s="87"/>
      <c r="J533" s="87"/>
    </row>
    <row r="534" spans="1:10">
      <c r="A534" s="2"/>
      <c r="B534" s="2"/>
      <c r="C534" s="120" t="str">
        <f>IF(B534="","",SUMIFS('S-BOM'!$D$3:$D994,'S-BOM'!$C$3:$C994,B534,'S-BOM'!$B$3:$B994,$B$2))</f>
        <v/>
      </c>
      <c r="D534" s="120" t="str">
        <f>IFERROR(IF(B534="","",VLOOKUP(B534,RM!$C$4:$F984,3,FALSE)),"")</f>
        <v/>
      </c>
      <c r="E534" s="118" t="str">
        <f>IF(B534="","",VLOOKUP(B534,RM!$C$4:$G984,14,FALSE))</f>
        <v/>
      </c>
      <c r="F534" s="87" t="str">
        <f t="shared" si="5"/>
        <v/>
      </c>
      <c r="G534" s="87" t="str">
        <f t="shared" si="6"/>
        <v/>
      </c>
      <c r="H534" s="87"/>
      <c r="I534" s="87"/>
      <c r="J534" s="87"/>
    </row>
    <row r="535" spans="1:10">
      <c r="A535" s="2"/>
      <c r="B535" s="2"/>
      <c r="C535" s="120" t="str">
        <f>IF(B535="","",SUMIFS('S-BOM'!$D$3:$D994,'S-BOM'!$C$3:$C994,B535,'S-BOM'!$B$3:$B994,$B$2))</f>
        <v/>
      </c>
      <c r="D535" s="120" t="str">
        <f>IFERROR(IF(B535="","",VLOOKUP(B535,RM!$C$4:$F984,3,FALSE)),"")</f>
        <v/>
      </c>
      <c r="E535" s="118" t="str">
        <f>IF(B535="","",VLOOKUP(B535,RM!$C$4:$G984,14,FALSE))</f>
        <v/>
      </c>
      <c r="F535" s="87" t="str">
        <f t="shared" si="5"/>
        <v/>
      </c>
      <c r="G535" s="87" t="str">
        <f t="shared" si="6"/>
        <v/>
      </c>
      <c r="H535" s="87"/>
      <c r="I535" s="87"/>
      <c r="J535" s="87"/>
    </row>
    <row r="536" spans="1:10">
      <c r="A536" s="2"/>
      <c r="B536" s="2"/>
      <c r="C536" s="120" t="str">
        <f>IF(B536="","",SUMIFS('S-BOM'!$D$3:$D994,'S-BOM'!$C$3:$C994,B536,'S-BOM'!$B$3:$B994,$B$2))</f>
        <v/>
      </c>
      <c r="D536" s="120" t="str">
        <f>IFERROR(IF(B536="","",VLOOKUP(B536,RM!$C$4:$F984,3,FALSE)),"")</f>
        <v/>
      </c>
      <c r="E536" s="118" t="str">
        <f>IF(B536="","",VLOOKUP(B536,RM!$C$4:$G984,14,FALSE))</f>
        <v/>
      </c>
      <c r="F536" s="87" t="str">
        <f t="shared" si="5"/>
        <v/>
      </c>
      <c r="G536" s="87" t="str">
        <f t="shared" si="6"/>
        <v/>
      </c>
      <c r="H536" s="87"/>
      <c r="I536" s="87"/>
      <c r="J536" s="87"/>
    </row>
    <row r="537" spans="1:10">
      <c r="A537" s="2"/>
      <c r="B537" s="2"/>
      <c r="C537" s="120" t="str">
        <f>IF(B537="","",SUMIFS('S-BOM'!$D$3:$D994,'S-BOM'!$C$3:$C994,B537,'S-BOM'!$B$3:$B994,$B$2))</f>
        <v/>
      </c>
      <c r="D537" s="120" t="str">
        <f>IFERROR(IF(B537="","",VLOOKUP(B537,RM!$C$4:$F984,3,FALSE)),"")</f>
        <v/>
      </c>
      <c r="E537" s="118" t="str">
        <f>IF(B537="","",VLOOKUP(B537,RM!$C$4:$G984,14,FALSE))</f>
        <v/>
      </c>
      <c r="F537" s="87" t="str">
        <f t="shared" si="5"/>
        <v/>
      </c>
      <c r="G537" s="87" t="str">
        <f t="shared" si="6"/>
        <v/>
      </c>
      <c r="H537" s="87"/>
      <c r="I537" s="87"/>
      <c r="J537" s="87"/>
    </row>
    <row r="538" spans="1:10">
      <c r="A538" s="2"/>
      <c r="B538" s="2"/>
      <c r="C538" s="120" t="str">
        <f>IF(B538="","",SUMIFS('S-BOM'!$D$3:$D994,'S-BOM'!$C$3:$C994,B538,'S-BOM'!$B$3:$B994,$B$2))</f>
        <v/>
      </c>
      <c r="D538" s="120" t="str">
        <f>IFERROR(IF(B538="","",VLOOKUP(B538,RM!$C$4:$F984,3,FALSE)),"")</f>
        <v/>
      </c>
      <c r="E538" s="118" t="str">
        <f>IF(B538="","",VLOOKUP(B538,RM!$C$4:$G984,14,FALSE))</f>
        <v/>
      </c>
      <c r="F538" s="87" t="str">
        <f t="shared" si="5"/>
        <v/>
      </c>
      <c r="G538" s="87" t="str">
        <f t="shared" si="6"/>
        <v/>
      </c>
      <c r="H538" s="87"/>
      <c r="I538" s="87"/>
      <c r="J538" s="87"/>
    </row>
    <row r="539" spans="1:10">
      <c r="A539" s="2"/>
      <c r="B539" s="2"/>
      <c r="C539" s="120" t="str">
        <f>IF(B539="","",SUMIFS('S-BOM'!$D$3:$D994,'S-BOM'!$C$3:$C994,B539,'S-BOM'!$B$3:$B994,$B$2))</f>
        <v/>
      </c>
      <c r="D539" s="120" t="str">
        <f>IFERROR(IF(B539="","",VLOOKUP(B539,RM!$C$4:$F984,3,FALSE)),"")</f>
        <v/>
      </c>
      <c r="E539" s="118" t="str">
        <f>IF(B539="","",VLOOKUP(B539,RM!$C$4:$G984,14,FALSE))</f>
        <v/>
      </c>
      <c r="F539" s="87" t="str">
        <f t="shared" si="5"/>
        <v/>
      </c>
      <c r="G539" s="87" t="str">
        <f t="shared" si="6"/>
        <v/>
      </c>
      <c r="H539" s="87"/>
      <c r="I539" s="87"/>
      <c r="J539" s="87"/>
    </row>
    <row r="540" spans="1:10">
      <c r="A540" s="2"/>
      <c r="B540" s="2"/>
      <c r="C540" s="120" t="str">
        <f>IF(B540="","",SUMIFS('S-BOM'!$D$3:$D994,'S-BOM'!$C$3:$C994,B540,'S-BOM'!$B$3:$B994,$B$2))</f>
        <v/>
      </c>
      <c r="D540" s="120" t="str">
        <f>IFERROR(IF(B540="","",VLOOKUP(B540,RM!$C$4:$F984,3,FALSE)),"")</f>
        <v/>
      </c>
      <c r="E540" s="118" t="str">
        <f>IF(B540="","",VLOOKUP(B540,RM!$C$4:$G984,14,FALSE))</f>
        <v/>
      </c>
      <c r="F540" s="87" t="str">
        <f t="shared" si="5"/>
        <v/>
      </c>
      <c r="G540" s="87" t="str">
        <f t="shared" si="6"/>
        <v/>
      </c>
      <c r="H540" s="87"/>
      <c r="I540" s="87"/>
      <c r="J540" s="87"/>
    </row>
    <row r="541" spans="1:10">
      <c r="A541" s="2"/>
      <c r="B541" s="2"/>
      <c r="C541" s="120" t="str">
        <f>IF(B541="","",SUMIFS('S-BOM'!$D$3:$D994,'S-BOM'!$C$3:$C994,B541,'S-BOM'!$B$3:$B994,$B$2))</f>
        <v/>
      </c>
      <c r="D541" s="120" t="str">
        <f>IFERROR(IF(B541="","",VLOOKUP(B541,RM!$C$4:$F984,3,FALSE)),"")</f>
        <v/>
      </c>
      <c r="E541" s="118" t="str">
        <f>IF(B541="","",VLOOKUP(B541,RM!$C$4:$G984,14,FALSE))</f>
        <v/>
      </c>
      <c r="F541" s="87" t="str">
        <f t="shared" si="5"/>
        <v/>
      </c>
      <c r="G541" s="87" t="str">
        <f t="shared" si="6"/>
        <v/>
      </c>
      <c r="H541" s="87"/>
      <c r="I541" s="87"/>
      <c r="J541" s="87"/>
    </row>
    <row r="542" spans="1:10">
      <c r="A542" s="2"/>
      <c r="B542" s="2"/>
      <c r="C542" s="120" t="str">
        <f>IF(B542="","",SUMIFS('S-BOM'!$D$3:$D994,'S-BOM'!$C$3:$C994,B542,'S-BOM'!$B$3:$B994,$B$2))</f>
        <v/>
      </c>
      <c r="D542" s="120" t="str">
        <f>IFERROR(IF(B542="","",VLOOKUP(B542,RM!$C$4:$F984,3,FALSE)),"")</f>
        <v/>
      </c>
      <c r="E542" s="118" t="str">
        <f>IF(B542="","",VLOOKUP(B542,RM!$C$4:$G984,14,FALSE))</f>
        <v/>
      </c>
      <c r="F542" s="87" t="str">
        <f t="shared" si="5"/>
        <v/>
      </c>
      <c r="G542" s="87" t="str">
        <f t="shared" si="6"/>
        <v/>
      </c>
      <c r="H542" s="87"/>
      <c r="I542" s="87"/>
      <c r="J542" s="87"/>
    </row>
    <row r="543" spans="1:10">
      <c r="A543" s="2"/>
      <c r="B543" s="2"/>
      <c r="C543" s="120" t="str">
        <f>IF(B543="","",SUMIFS('S-BOM'!$D$3:$D994,'S-BOM'!$C$3:$C994,B543,'S-BOM'!$B$3:$B994,$B$2))</f>
        <v/>
      </c>
      <c r="D543" s="120" t="str">
        <f>IFERROR(IF(B543="","",VLOOKUP(B543,RM!$C$4:$F984,3,FALSE)),"")</f>
        <v/>
      </c>
      <c r="E543" s="118" t="str">
        <f>IF(B543="","",VLOOKUP(B543,RM!$C$4:$G984,14,FALSE))</f>
        <v/>
      </c>
      <c r="F543" s="87" t="str">
        <f t="shared" si="5"/>
        <v/>
      </c>
      <c r="G543" s="87" t="str">
        <f t="shared" si="6"/>
        <v/>
      </c>
      <c r="H543" s="87"/>
      <c r="I543" s="87"/>
      <c r="J543" s="87"/>
    </row>
    <row r="544" spans="1:10">
      <c r="A544" s="2"/>
      <c r="B544" s="2"/>
      <c r="C544" s="120" t="str">
        <f>IF(B544="","",SUMIFS('S-BOM'!$D$3:$D994,'S-BOM'!$C$3:$C994,B544,'S-BOM'!$B$3:$B994,$B$2))</f>
        <v/>
      </c>
      <c r="D544" s="120" t="str">
        <f>IFERROR(IF(B544="","",VLOOKUP(B544,RM!$C$4:$F984,3,FALSE)),"")</f>
        <v/>
      </c>
      <c r="E544" s="118" t="str">
        <f>IF(B544="","",VLOOKUP(B544,RM!$C$4:$G984,14,FALSE))</f>
        <v/>
      </c>
      <c r="F544" s="87" t="str">
        <f t="shared" si="5"/>
        <v/>
      </c>
      <c r="G544" s="87" t="str">
        <f t="shared" si="6"/>
        <v/>
      </c>
      <c r="H544" s="87"/>
      <c r="I544" s="87"/>
      <c r="J544" s="87"/>
    </row>
    <row r="545" spans="1:10">
      <c r="A545" s="2"/>
      <c r="B545" s="2"/>
      <c r="C545" s="120" t="str">
        <f>IF(B545="","",SUMIFS('S-BOM'!$D$3:$D994,'S-BOM'!$C$3:$C994,B545,'S-BOM'!$B$3:$B994,$B$2))</f>
        <v/>
      </c>
      <c r="D545" s="120" t="str">
        <f>IFERROR(IF(B545="","",VLOOKUP(B545,RM!$C$4:$F984,3,FALSE)),"")</f>
        <v/>
      </c>
      <c r="E545" s="118" t="str">
        <f>IF(B545="","",VLOOKUP(B545,RM!$C$4:$G984,14,FALSE))</f>
        <v/>
      </c>
      <c r="F545" s="87" t="str">
        <f t="shared" si="5"/>
        <v/>
      </c>
      <c r="G545" s="87" t="str">
        <f t="shared" si="6"/>
        <v/>
      </c>
      <c r="H545" s="87"/>
      <c r="I545" s="87"/>
      <c r="J545" s="87"/>
    </row>
    <row r="546" spans="1:10">
      <c r="A546" s="2"/>
      <c r="B546" s="2"/>
      <c r="C546" s="120" t="str">
        <f>IF(B546="","",SUMIFS('S-BOM'!$D$3:$D994,'S-BOM'!$C$3:$C994,B546,'S-BOM'!$B$3:$B994,$B$2))</f>
        <v/>
      </c>
      <c r="D546" s="120" t="str">
        <f>IFERROR(IF(B546="","",VLOOKUP(B546,RM!$C$4:$F984,3,FALSE)),"")</f>
        <v/>
      </c>
      <c r="E546" s="118" t="str">
        <f>IF(B546="","",VLOOKUP(B546,RM!$C$4:$G984,14,FALSE))</f>
        <v/>
      </c>
      <c r="F546" s="87" t="str">
        <f t="shared" si="5"/>
        <v/>
      </c>
      <c r="G546" s="87" t="str">
        <f t="shared" si="6"/>
        <v/>
      </c>
      <c r="H546" s="87"/>
      <c r="I546" s="87"/>
      <c r="J546" s="87"/>
    </row>
    <row r="547" spans="1:10">
      <c r="A547" s="2"/>
      <c r="B547" s="2"/>
      <c r="C547" s="120" t="str">
        <f>IF(B547="","",SUMIFS('S-BOM'!$D$3:$D994,'S-BOM'!$C$3:$C994,B547,'S-BOM'!$B$3:$B994,$B$2))</f>
        <v/>
      </c>
      <c r="D547" s="120" t="str">
        <f>IFERROR(IF(B547="","",VLOOKUP(B547,RM!$C$4:$F984,3,FALSE)),"")</f>
        <v/>
      </c>
      <c r="E547" s="118" t="str">
        <f>IF(B547="","",VLOOKUP(B547,RM!$C$4:$G984,14,FALSE))</f>
        <v/>
      </c>
      <c r="F547" s="87" t="str">
        <f t="shared" si="5"/>
        <v/>
      </c>
      <c r="G547" s="87" t="str">
        <f t="shared" si="6"/>
        <v/>
      </c>
      <c r="H547" s="87"/>
      <c r="I547" s="87"/>
      <c r="J547" s="87"/>
    </row>
    <row r="548" spans="1:10">
      <c r="A548" s="2"/>
      <c r="B548" s="2"/>
      <c r="C548" s="120" t="str">
        <f>IF(B548="","",SUMIFS('S-BOM'!$D$3:$D994,'S-BOM'!$C$3:$C994,B548,'S-BOM'!$B$3:$B994,$B$2))</f>
        <v/>
      </c>
      <c r="D548" s="120" t="str">
        <f>IFERROR(IF(B548="","",VLOOKUP(B548,RM!$C$4:$F984,3,FALSE)),"")</f>
        <v/>
      </c>
      <c r="E548" s="118" t="str">
        <f>IF(B548="","",VLOOKUP(B548,RM!$C$4:$G984,14,FALSE))</f>
        <v/>
      </c>
      <c r="F548" s="87" t="str">
        <f t="shared" si="5"/>
        <v/>
      </c>
      <c r="G548" s="87" t="str">
        <f t="shared" si="6"/>
        <v/>
      </c>
      <c r="H548" s="87"/>
      <c r="I548" s="87"/>
      <c r="J548" s="87"/>
    </row>
    <row r="549" spans="1:10">
      <c r="A549" s="2"/>
      <c r="B549" s="2"/>
      <c r="C549" s="120" t="str">
        <f>IF(B549="","",SUMIFS('S-BOM'!$D$3:$D994,'S-BOM'!$C$3:$C994,B549,'S-BOM'!$B$3:$B994,$B$2))</f>
        <v/>
      </c>
      <c r="D549" s="120" t="str">
        <f>IFERROR(IF(B549="","",VLOOKUP(B549,RM!$C$4:$F984,3,FALSE)),"")</f>
        <v/>
      </c>
      <c r="E549" s="118" t="str">
        <f>IF(B549="","",VLOOKUP(B549,RM!$C$4:$G984,14,FALSE))</f>
        <v/>
      </c>
      <c r="F549" s="87" t="str">
        <f t="shared" si="5"/>
        <v/>
      </c>
      <c r="G549" s="87" t="str">
        <f t="shared" si="6"/>
        <v/>
      </c>
      <c r="H549" s="87"/>
      <c r="I549" s="87"/>
      <c r="J549" s="87"/>
    </row>
    <row r="550" spans="1:10">
      <c r="A550" s="2"/>
      <c r="B550" s="2"/>
      <c r="C550" s="120" t="str">
        <f>IF(B550="","",SUMIFS('S-BOM'!$D$3:$D994,'S-BOM'!$C$3:$C994,B550,'S-BOM'!$B$3:$B994,$B$2))</f>
        <v/>
      </c>
      <c r="D550" s="120" t="str">
        <f>IFERROR(IF(B550="","",VLOOKUP(B550,RM!$C$4:$F984,3,FALSE)),"")</f>
        <v/>
      </c>
      <c r="E550" s="118" t="str">
        <f>IF(B550="","",VLOOKUP(B550,RM!$C$4:$G984,14,FALSE))</f>
        <v/>
      </c>
      <c r="F550" s="87" t="str">
        <f t="shared" si="5"/>
        <v/>
      </c>
      <c r="G550" s="87" t="str">
        <f t="shared" si="6"/>
        <v/>
      </c>
      <c r="H550" s="87"/>
      <c r="I550" s="87"/>
      <c r="J550" s="87"/>
    </row>
    <row r="551" spans="1:10">
      <c r="A551" s="2"/>
      <c r="B551" s="2"/>
      <c r="C551" s="120" t="str">
        <f>IF(B551="","",SUMIFS('S-BOM'!$D$3:$D994,'S-BOM'!$C$3:$C994,B551,'S-BOM'!$B$3:$B994,$B$2))</f>
        <v/>
      </c>
      <c r="D551" s="120" t="str">
        <f>IFERROR(IF(B551="","",VLOOKUP(B551,RM!$C$4:$F984,3,FALSE)),"")</f>
        <v/>
      </c>
      <c r="E551" s="118" t="str">
        <f>IF(B551="","",VLOOKUP(B551,RM!$C$4:$G984,14,FALSE))</f>
        <v/>
      </c>
      <c r="F551" s="87" t="str">
        <f t="shared" si="5"/>
        <v/>
      </c>
      <c r="G551" s="87" t="str">
        <f t="shared" si="6"/>
        <v/>
      </c>
      <c r="H551" s="87"/>
      <c r="I551" s="87"/>
      <c r="J551" s="87"/>
    </row>
    <row r="552" spans="1:10">
      <c r="A552" s="2"/>
      <c r="B552" s="2"/>
      <c r="C552" s="120" t="str">
        <f>IF(B552="","",SUMIFS('S-BOM'!$D$3:$D994,'S-BOM'!$C$3:$C994,B552,'S-BOM'!$B$3:$B994,$B$2))</f>
        <v/>
      </c>
      <c r="D552" s="120" t="str">
        <f>IFERROR(IF(B552="","",VLOOKUP(B552,RM!$C$4:$F984,3,FALSE)),"")</f>
        <v/>
      </c>
      <c r="E552" s="118" t="str">
        <f>IF(B552="","",VLOOKUP(B552,RM!$C$4:$G984,14,FALSE))</f>
        <v/>
      </c>
      <c r="F552" s="87" t="str">
        <f t="shared" si="5"/>
        <v/>
      </c>
      <c r="G552" s="87" t="str">
        <f t="shared" si="6"/>
        <v/>
      </c>
      <c r="H552" s="87"/>
      <c r="I552" s="87"/>
      <c r="J552" s="87"/>
    </row>
    <row r="553" spans="1:10">
      <c r="A553" s="2"/>
      <c r="B553" s="2"/>
      <c r="C553" s="120" t="str">
        <f>IF(B553="","",SUMIFS('S-BOM'!$D$3:$D994,'S-BOM'!$C$3:$C994,B553,'S-BOM'!$B$3:$B994,$B$2))</f>
        <v/>
      </c>
      <c r="D553" s="120" t="str">
        <f>IFERROR(IF(B553="","",VLOOKUP(B553,RM!$C$4:$F984,3,FALSE)),"")</f>
        <v/>
      </c>
      <c r="E553" s="118" t="str">
        <f>IF(B553="","",VLOOKUP(B553,RM!$C$4:$G984,14,FALSE))</f>
        <v/>
      </c>
      <c r="F553" s="87" t="str">
        <f t="shared" si="5"/>
        <v/>
      </c>
      <c r="G553" s="87" t="str">
        <f t="shared" si="6"/>
        <v/>
      </c>
      <c r="H553" s="87"/>
      <c r="I553" s="87"/>
      <c r="J553" s="87"/>
    </row>
    <row r="554" spans="1:10">
      <c r="A554" s="2"/>
      <c r="B554" s="2"/>
      <c r="C554" s="120" t="str">
        <f>IF(B554="","",SUMIFS('S-BOM'!$D$3:$D994,'S-BOM'!$C$3:$C994,B554,'S-BOM'!$B$3:$B994,$B$2))</f>
        <v/>
      </c>
      <c r="D554" s="120" t="str">
        <f>IFERROR(IF(B554="","",VLOOKUP(B554,RM!$C$4:$F984,3,FALSE)),"")</f>
        <v/>
      </c>
      <c r="E554" s="118" t="str">
        <f>IF(B554="","",VLOOKUP(B554,RM!$C$4:$G984,14,FALSE))</f>
        <v/>
      </c>
      <c r="F554" s="87" t="str">
        <f t="shared" si="5"/>
        <v/>
      </c>
      <c r="G554" s="87" t="str">
        <f t="shared" si="6"/>
        <v/>
      </c>
      <c r="H554" s="87"/>
      <c r="I554" s="87"/>
      <c r="J554" s="87"/>
    </row>
    <row r="555" spans="1:10">
      <c r="A555" s="2"/>
      <c r="B555" s="2"/>
      <c r="C555" s="120" t="str">
        <f>IF(B555="","",SUMIFS('S-BOM'!$D$3:$D994,'S-BOM'!$C$3:$C994,B555,'S-BOM'!$B$3:$B994,$B$2))</f>
        <v/>
      </c>
      <c r="D555" s="120" t="str">
        <f>IFERROR(IF(B555="","",VLOOKUP(B555,RM!$C$4:$F984,3,FALSE)),"")</f>
        <v/>
      </c>
      <c r="E555" s="118" t="str">
        <f>IF(B555="","",VLOOKUP(B555,RM!$C$4:$G984,14,FALSE))</f>
        <v/>
      </c>
      <c r="F555" s="87" t="str">
        <f t="shared" si="5"/>
        <v/>
      </c>
      <c r="G555" s="87" t="str">
        <f t="shared" si="6"/>
        <v/>
      </c>
      <c r="H555" s="87"/>
      <c r="I555" s="87"/>
      <c r="J555" s="87"/>
    </row>
    <row r="556" spans="1:10">
      <c r="A556" s="2"/>
      <c r="B556" s="2"/>
      <c r="C556" s="120" t="str">
        <f>IF(B556="","",SUMIFS('S-BOM'!$D$3:$D994,'S-BOM'!$C$3:$C994,B556,'S-BOM'!$B$3:$B994,$B$2))</f>
        <v/>
      </c>
      <c r="D556" s="120" t="str">
        <f>IFERROR(IF(B556="","",VLOOKUP(B556,RM!$C$4:$F984,3,FALSE)),"")</f>
        <v/>
      </c>
      <c r="E556" s="118" t="str">
        <f>IF(B556="","",VLOOKUP(B556,RM!$C$4:$G984,14,FALSE))</f>
        <v/>
      </c>
      <c r="F556" s="87" t="str">
        <f t="shared" si="5"/>
        <v/>
      </c>
      <c r="G556" s="87" t="str">
        <f t="shared" si="6"/>
        <v/>
      </c>
      <c r="H556" s="87"/>
      <c r="I556" s="87"/>
      <c r="J556" s="87"/>
    </row>
    <row r="557" spans="1:10">
      <c r="A557" s="2"/>
      <c r="B557" s="2"/>
      <c r="C557" s="120" t="str">
        <f>IF(B557="","",SUMIFS('S-BOM'!$D$3:$D994,'S-BOM'!$C$3:$C994,B557,'S-BOM'!$B$3:$B994,$B$2))</f>
        <v/>
      </c>
      <c r="D557" s="120" t="str">
        <f>IFERROR(IF(B557="","",VLOOKUP(B557,RM!$C$4:$F984,3,FALSE)),"")</f>
        <v/>
      </c>
      <c r="E557" s="118" t="str">
        <f>IF(B557="","",VLOOKUP(B557,RM!$C$4:$G984,14,FALSE))</f>
        <v/>
      </c>
      <c r="F557" s="87" t="str">
        <f t="shared" si="5"/>
        <v/>
      </c>
      <c r="G557" s="87" t="str">
        <f t="shared" si="6"/>
        <v/>
      </c>
      <c r="H557" s="87"/>
      <c r="I557" s="87"/>
      <c r="J557" s="87"/>
    </row>
    <row r="558" spans="1:10">
      <c r="A558" s="2"/>
      <c r="B558" s="2"/>
      <c r="C558" s="120" t="str">
        <f>IF(B558="","",SUMIFS('S-BOM'!$D$3:$D994,'S-BOM'!$C$3:$C994,B558,'S-BOM'!$B$3:$B994,$B$2))</f>
        <v/>
      </c>
      <c r="D558" s="120" t="str">
        <f>IFERROR(IF(B558="","",VLOOKUP(B558,RM!$C$4:$F984,3,FALSE)),"")</f>
        <v/>
      </c>
      <c r="E558" s="118" t="str">
        <f>IF(B558="","",VLOOKUP(B558,RM!$C$4:$G984,14,FALSE))</f>
        <v/>
      </c>
      <c r="F558" s="87" t="str">
        <f t="shared" si="5"/>
        <v/>
      </c>
      <c r="G558" s="87" t="str">
        <f t="shared" si="6"/>
        <v/>
      </c>
      <c r="H558" s="87"/>
      <c r="I558" s="87"/>
      <c r="J558" s="87"/>
    </row>
    <row r="559" spans="1:10">
      <c r="A559" s="2"/>
      <c r="B559" s="2"/>
      <c r="C559" s="120" t="str">
        <f>IF(B559="","",SUMIFS('S-BOM'!$D$3:$D994,'S-BOM'!$C$3:$C994,B559,'S-BOM'!$B$3:$B994,$B$2))</f>
        <v/>
      </c>
      <c r="D559" s="120" t="str">
        <f>IFERROR(IF(B559="","",VLOOKUP(B559,RM!$C$4:$F984,3,FALSE)),"")</f>
        <v/>
      </c>
      <c r="E559" s="118" t="str">
        <f>IF(B559="","",VLOOKUP(B559,RM!$C$4:$G984,14,FALSE))</f>
        <v/>
      </c>
      <c r="F559" s="87" t="str">
        <f t="shared" si="5"/>
        <v/>
      </c>
      <c r="G559" s="87" t="str">
        <f t="shared" si="6"/>
        <v/>
      </c>
      <c r="H559" s="87"/>
      <c r="I559" s="87"/>
      <c r="J559" s="87"/>
    </row>
    <row r="560" spans="1:10">
      <c r="A560" s="2"/>
      <c r="B560" s="2"/>
      <c r="C560" s="120" t="str">
        <f>IF(B560="","",SUMIFS('S-BOM'!$D$3:$D994,'S-BOM'!$C$3:$C994,B560,'S-BOM'!$B$3:$B994,$B$2))</f>
        <v/>
      </c>
      <c r="D560" s="120" t="str">
        <f>IFERROR(IF(B560="","",VLOOKUP(B560,RM!$C$4:$F984,3,FALSE)),"")</f>
        <v/>
      </c>
      <c r="E560" s="118" t="str">
        <f>IF(B560="","",VLOOKUP(B560,RM!$C$4:$G984,14,FALSE))</f>
        <v/>
      </c>
      <c r="F560" s="87" t="str">
        <f t="shared" si="5"/>
        <v/>
      </c>
      <c r="G560" s="87" t="str">
        <f t="shared" si="6"/>
        <v/>
      </c>
      <c r="H560" s="87"/>
      <c r="I560" s="87"/>
      <c r="J560" s="87"/>
    </row>
    <row r="561" spans="1:10">
      <c r="A561" s="2"/>
      <c r="B561" s="2"/>
      <c r="C561" s="120" t="str">
        <f>IF(B561="","",SUMIFS('S-BOM'!$D$3:$D994,'S-BOM'!$C$3:$C994,B561,'S-BOM'!$B$3:$B994,$B$2))</f>
        <v/>
      </c>
      <c r="D561" s="120" t="str">
        <f>IFERROR(IF(B561="","",VLOOKUP(B561,RM!$C$4:$F984,3,FALSE)),"")</f>
        <v/>
      </c>
      <c r="E561" s="118" t="str">
        <f>IF(B561="","",VLOOKUP(B561,RM!$C$4:$G984,14,FALSE))</f>
        <v/>
      </c>
      <c r="F561" s="87" t="str">
        <f t="shared" si="5"/>
        <v/>
      </c>
      <c r="G561" s="87" t="str">
        <f t="shared" si="6"/>
        <v/>
      </c>
      <c r="H561" s="87"/>
      <c r="I561" s="87"/>
      <c r="J561" s="87"/>
    </row>
    <row r="562" spans="1:10">
      <c r="A562" s="2"/>
      <c r="B562" s="2"/>
      <c r="C562" s="120" t="str">
        <f>IF(B562="","",SUMIFS('S-BOM'!$D$3:$D994,'S-BOM'!$C$3:$C994,B562,'S-BOM'!$B$3:$B994,$B$2))</f>
        <v/>
      </c>
      <c r="D562" s="120" t="str">
        <f>IFERROR(IF(B562="","",VLOOKUP(B562,RM!$C$4:$F984,3,FALSE)),"")</f>
        <v/>
      </c>
      <c r="E562" s="118" t="str">
        <f>IF(B562="","",VLOOKUP(B562,RM!$C$4:$G984,14,FALSE))</f>
        <v/>
      </c>
      <c r="F562" s="87" t="str">
        <f t="shared" si="5"/>
        <v/>
      </c>
      <c r="G562" s="87" t="str">
        <f t="shared" si="6"/>
        <v/>
      </c>
      <c r="H562" s="87"/>
      <c r="I562" s="87"/>
      <c r="J562" s="87"/>
    </row>
    <row r="563" spans="1:10">
      <c r="A563" s="2"/>
      <c r="B563" s="2"/>
      <c r="C563" s="120" t="str">
        <f>IF(B563="","",SUMIFS('S-BOM'!$D$3:$D994,'S-BOM'!$C$3:$C994,B563,'S-BOM'!$B$3:$B994,$B$2))</f>
        <v/>
      </c>
      <c r="D563" s="120" t="str">
        <f>IFERROR(IF(B563="","",VLOOKUP(B563,RM!$C$4:$F984,3,FALSE)),"")</f>
        <v/>
      </c>
      <c r="E563" s="118" t="str">
        <f>IF(B563="","",VLOOKUP(B563,RM!$C$4:$G984,14,FALSE))</f>
        <v/>
      </c>
      <c r="F563" s="87" t="str">
        <f t="shared" si="5"/>
        <v/>
      </c>
      <c r="G563" s="87" t="str">
        <f t="shared" si="6"/>
        <v/>
      </c>
      <c r="H563" s="87"/>
      <c r="I563" s="87"/>
      <c r="J563" s="87"/>
    </row>
    <row r="564" spans="1:10">
      <c r="A564" s="2"/>
      <c r="B564" s="2"/>
      <c r="C564" s="120" t="str">
        <f>IF(B564="","",SUMIFS('S-BOM'!$D$3:$D994,'S-BOM'!$C$3:$C994,B564,'S-BOM'!$B$3:$B994,$B$2))</f>
        <v/>
      </c>
      <c r="D564" s="120" t="str">
        <f>IFERROR(IF(B564="","",VLOOKUP(B564,RM!$C$4:$F984,3,FALSE)),"")</f>
        <v/>
      </c>
      <c r="E564" s="118" t="str">
        <f>IF(B564="","",VLOOKUP(B564,RM!$C$4:$G984,14,FALSE))</f>
        <v/>
      </c>
      <c r="F564" s="87" t="str">
        <f t="shared" si="5"/>
        <v/>
      </c>
      <c r="G564" s="87" t="str">
        <f t="shared" si="6"/>
        <v/>
      </c>
      <c r="H564" s="87"/>
      <c r="I564" s="87"/>
      <c r="J564" s="87"/>
    </row>
    <row r="565" spans="1:10">
      <c r="A565" s="2"/>
      <c r="B565" s="2"/>
      <c r="C565" s="120" t="str">
        <f>IF(B565="","",SUMIFS('S-BOM'!$D$3:$D994,'S-BOM'!$C$3:$C994,B565,'S-BOM'!$B$3:$B994,$B$2))</f>
        <v/>
      </c>
      <c r="D565" s="120" t="str">
        <f>IFERROR(IF(B565="","",VLOOKUP(B565,RM!$C$4:$F984,3,FALSE)),"")</f>
        <v/>
      </c>
      <c r="E565" s="118" t="str">
        <f>IF(B565="","",VLOOKUP(B565,RM!$C$4:$G984,14,FALSE))</f>
        <v/>
      </c>
      <c r="F565" s="87" t="str">
        <f t="shared" si="5"/>
        <v/>
      </c>
      <c r="G565" s="87" t="str">
        <f t="shared" si="6"/>
        <v/>
      </c>
      <c r="H565" s="87"/>
      <c r="I565" s="87"/>
      <c r="J565" s="87"/>
    </row>
    <row r="566" spans="1:10">
      <c r="A566" s="2"/>
      <c r="B566" s="2"/>
      <c r="C566" s="120" t="str">
        <f>IF(B566="","",SUMIFS('S-BOM'!$D$3:$D994,'S-BOM'!$C$3:$C994,B566,'S-BOM'!$B$3:$B994,$B$2))</f>
        <v/>
      </c>
      <c r="D566" s="120" t="str">
        <f>IFERROR(IF(B566="","",VLOOKUP(B566,RM!$C$4:$F984,3,FALSE)),"")</f>
        <v/>
      </c>
      <c r="E566" s="118" t="str">
        <f>IF(B566="","",VLOOKUP(B566,RM!$C$4:$G984,14,FALSE))</f>
        <v/>
      </c>
      <c r="F566" s="87" t="str">
        <f t="shared" si="5"/>
        <v/>
      </c>
      <c r="G566" s="87" t="str">
        <f t="shared" si="6"/>
        <v/>
      </c>
      <c r="H566" s="87"/>
      <c r="I566" s="87"/>
      <c r="J566" s="87"/>
    </row>
    <row r="567" spans="1:10">
      <c r="A567" s="2"/>
      <c r="B567" s="2"/>
      <c r="C567" s="120" t="str">
        <f>IF(B567="","",SUMIFS('S-BOM'!$D$3:$D994,'S-BOM'!$C$3:$C994,B567,'S-BOM'!$B$3:$B994,$B$2))</f>
        <v/>
      </c>
      <c r="D567" s="120" t="str">
        <f>IFERROR(IF(B567="","",VLOOKUP(B567,RM!$C$4:$F984,3,FALSE)),"")</f>
        <v/>
      </c>
      <c r="E567" s="118" t="str">
        <f>IF(B567="","",VLOOKUP(B567,RM!$C$4:$G984,14,FALSE))</f>
        <v/>
      </c>
      <c r="F567" s="87" t="str">
        <f t="shared" si="5"/>
        <v/>
      </c>
      <c r="G567" s="87" t="str">
        <f t="shared" si="6"/>
        <v/>
      </c>
      <c r="H567" s="87"/>
      <c r="I567" s="87"/>
      <c r="J567" s="87"/>
    </row>
    <row r="568" spans="1:10">
      <c r="A568" s="2"/>
      <c r="B568" s="2"/>
      <c r="C568" s="120" t="str">
        <f>IF(B568="","",SUMIFS('S-BOM'!$D$3:$D994,'S-BOM'!$C$3:$C994,B568,'S-BOM'!$B$3:$B994,$B$2))</f>
        <v/>
      </c>
      <c r="D568" s="120" t="str">
        <f>IFERROR(IF(B568="","",VLOOKUP(B568,RM!$C$4:$F984,3,FALSE)),"")</f>
        <v/>
      </c>
      <c r="E568" s="118" t="str">
        <f>IF(B568="","",VLOOKUP(B568,RM!$C$4:$G984,14,FALSE))</f>
        <v/>
      </c>
      <c r="F568" s="87" t="str">
        <f t="shared" si="5"/>
        <v/>
      </c>
      <c r="G568" s="87" t="str">
        <f t="shared" si="6"/>
        <v/>
      </c>
      <c r="H568" s="87"/>
      <c r="I568" s="87"/>
      <c r="J568" s="87"/>
    </row>
    <row r="569" spans="1:10">
      <c r="A569" s="2"/>
      <c r="B569" s="2"/>
      <c r="C569" s="120" t="str">
        <f>IF(B569="","",SUMIFS('S-BOM'!$D$3:$D994,'S-BOM'!$C$3:$C994,B569,'S-BOM'!$B$3:$B994,$B$2))</f>
        <v/>
      </c>
      <c r="D569" s="120" t="str">
        <f>IFERROR(IF(B569="","",VLOOKUP(B569,RM!$C$4:$F984,3,FALSE)),"")</f>
        <v/>
      </c>
      <c r="E569" s="118" t="str">
        <f>IF(B569="","",VLOOKUP(B569,RM!$C$4:$G984,14,FALSE))</f>
        <v/>
      </c>
      <c r="F569" s="87" t="str">
        <f t="shared" si="5"/>
        <v/>
      </c>
      <c r="G569" s="87" t="str">
        <f t="shared" si="6"/>
        <v/>
      </c>
      <c r="H569" s="87"/>
      <c r="I569" s="87"/>
      <c r="J569" s="87"/>
    </row>
    <row r="570" spans="1:10">
      <c r="A570" s="2"/>
      <c r="B570" s="2"/>
      <c r="C570" s="120" t="str">
        <f>IF(B570="","",SUMIFS('S-BOM'!$D$3:$D994,'S-BOM'!$C$3:$C994,B570,'S-BOM'!$B$3:$B994,$B$2))</f>
        <v/>
      </c>
      <c r="D570" s="120" t="str">
        <f>IFERROR(IF(B570="","",VLOOKUP(B570,RM!$C$4:$F984,3,FALSE)),"")</f>
        <v/>
      </c>
      <c r="E570" s="118" t="str">
        <f>IF(B570="","",VLOOKUP(B570,RM!$C$4:$G984,14,FALSE))</f>
        <v/>
      </c>
      <c r="F570" s="87" t="str">
        <f t="shared" si="5"/>
        <v/>
      </c>
      <c r="G570" s="87" t="str">
        <f t="shared" si="6"/>
        <v/>
      </c>
      <c r="H570" s="87"/>
      <c r="I570" s="87"/>
      <c r="J570" s="87"/>
    </row>
    <row r="571" spans="1:10">
      <c r="A571" s="2"/>
      <c r="B571" s="2"/>
      <c r="C571" s="120" t="str">
        <f>IF(B571="","",SUMIFS('S-BOM'!$D$3:$D994,'S-BOM'!$C$3:$C994,B571,'S-BOM'!$B$3:$B994,$B$2))</f>
        <v/>
      </c>
      <c r="D571" s="120" t="str">
        <f>IFERROR(IF(B571="","",VLOOKUP(B571,RM!$C$4:$F984,3,FALSE)),"")</f>
        <v/>
      </c>
      <c r="E571" s="118" t="str">
        <f>IF(B571="","",VLOOKUP(B571,RM!$C$4:$G984,14,FALSE))</f>
        <v/>
      </c>
      <c r="F571" s="87" t="str">
        <f t="shared" si="5"/>
        <v/>
      </c>
      <c r="G571" s="87" t="str">
        <f t="shared" si="6"/>
        <v/>
      </c>
      <c r="H571" s="87"/>
      <c r="I571" s="87"/>
      <c r="J571" s="87"/>
    </row>
    <row r="572" spans="1:10">
      <c r="A572" s="2"/>
      <c r="B572" s="2"/>
      <c r="C572" s="120" t="str">
        <f>IF(B572="","",SUMIFS('S-BOM'!$D$3:$D994,'S-BOM'!$C$3:$C994,B572,'S-BOM'!$B$3:$B994,$B$2))</f>
        <v/>
      </c>
      <c r="D572" s="120" t="str">
        <f>IFERROR(IF(B572="","",VLOOKUP(B572,RM!$C$4:$F984,3,FALSE)),"")</f>
        <v/>
      </c>
      <c r="E572" s="118" t="str">
        <f>IF(B572="","",VLOOKUP(B572,RM!$C$4:$G984,14,FALSE))</f>
        <v/>
      </c>
      <c r="F572" s="87" t="str">
        <f t="shared" si="5"/>
        <v/>
      </c>
      <c r="G572" s="87" t="str">
        <f t="shared" si="6"/>
        <v/>
      </c>
      <c r="H572" s="87"/>
      <c r="I572" s="87"/>
      <c r="J572" s="87"/>
    </row>
    <row r="573" spans="1:10">
      <c r="A573" s="2"/>
      <c r="B573" s="2"/>
      <c r="C573" s="120" t="str">
        <f>IF(B573="","",SUMIFS('S-BOM'!$D$3:$D994,'S-BOM'!$C$3:$C994,B573,'S-BOM'!$B$3:$B994,$B$2))</f>
        <v/>
      </c>
      <c r="D573" s="120" t="str">
        <f>IFERROR(IF(B573="","",VLOOKUP(B573,RM!$C$4:$F984,3,FALSE)),"")</f>
        <v/>
      </c>
      <c r="E573" s="118" t="str">
        <f>IF(B573="","",VLOOKUP(B573,RM!$C$4:$G984,14,FALSE))</f>
        <v/>
      </c>
      <c r="F573" s="87" t="str">
        <f t="shared" si="5"/>
        <v/>
      </c>
      <c r="G573" s="87" t="str">
        <f t="shared" si="6"/>
        <v/>
      </c>
      <c r="H573" s="87"/>
      <c r="I573" s="87"/>
      <c r="J573" s="87"/>
    </row>
    <row r="574" spans="1:10">
      <c r="A574" s="2"/>
      <c r="B574" s="2"/>
      <c r="C574" s="120" t="str">
        <f>IF(B574="","",SUMIFS('S-BOM'!$D$3:$D994,'S-BOM'!$C$3:$C994,B574,'S-BOM'!$B$3:$B994,$B$2))</f>
        <v/>
      </c>
      <c r="D574" s="120" t="str">
        <f>IFERROR(IF(B574="","",VLOOKUP(B574,RM!$C$4:$F984,3,FALSE)),"")</f>
        <v/>
      </c>
      <c r="E574" s="118" t="str">
        <f>IF(B574="","",VLOOKUP(B574,RM!$C$4:$G984,14,FALSE))</f>
        <v/>
      </c>
      <c r="F574" s="87" t="str">
        <f t="shared" si="5"/>
        <v/>
      </c>
      <c r="G574" s="87" t="str">
        <f t="shared" si="6"/>
        <v/>
      </c>
      <c r="H574" s="87"/>
      <c r="I574" s="87"/>
      <c r="J574" s="87"/>
    </row>
    <row r="575" spans="1:10">
      <c r="A575" s="2"/>
      <c r="B575" s="2"/>
      <c r="C575" s="120" t="str">
        <f>IF(B575="","",SUMIFS('S-BOM'!$D$3:$D994,'S-BOM'!$C$3:$C994,B575,'S-BOM'!$B$3:$B994,$B$2))</f>
        <v/>
      </c>
      <c r="D575" s="120" t="str">
        <f>IFERROR(IF(B575="","",VLOOKUP(B575,RM!$C$4:$F984,3,FALSE)),"")</f>
        <v/>
      </c>
      <c r="E575" s="118" t="str">
        <f>IF(B575="","",VLOOKUP(B575,RM!$C$4:$G984,14,FALSE))</f>
        <v/>
      </c>
      <c r="F575" s="87" t="str">
        <f t="shared" si="5"/>
        <v/>
      </c>
      <c r="G575" s="87" t="str">
        <f t="shared" si="6"/>
        <v/>
      </c>
      <c r="H575" s="87"/>
      <c r="I575" s="87"/>
      <c r="J575" s="87"/>
    </row>
    <row r="576" spans="1:10">
      <c r="A576" s="2"/>
      <c r="B576" s="2"/>
      <c r="C576" s="120" t="str">
        <f>IF(B576="","",SUMIFS('S-BOM'!$D$3:$D994,'S-BOM'!$C$3:$C994,B576,'S-BOM'!$B$3:$B994,$B$2))</f>
        <v/>
      </c>
      <c r="D576" s="120" t="str">
        <f>IFERROR(IF(B576="","",VLOOKUP(B576,RM!$C$4:$F984,3,FALSE)),"")</f>
        <v/>
      </c>
      <c r="E576" s="118" t="str">
        <f>IF(B576="","",VLOOKUP(B576,RM!$C$4:$G984,14,FALSE))</f>
        <v/>
      </c>
      <c r="F576" s="87" t="str">
        <f t="shared" si="5"/>
        <v/>
      </c>
      <c r="G576" s="87" t="str">
        <f t="shared" si="6"/>
        <v/>
      </c>
      <c r="H576" s="87"/>
      <c r="I576" s="87"/>
      <c r="J576" s="87"/>
    </row>
    <row r="577" spans="1:10">
      <c r="A577" s="2"/>
      <c r="B577" s="2"/>
      <c r="C577" s="120" t="str">
        <f>IF(B577="","",SUMIFS('S-BOM'!$D$3:$D994,'S-BOM'!$C$3:$C994,B577,'S-BOM'!$B$3:$B994,$B$2))</f>
        <v/>
      </c>
      <c r="D577" s="120" t="str">
        <f>IFERROR(IF(B577="","",VLOOKUP(B577,RM!$C$4:$F984,3,FALSE)),"")</f>
        <v/>
      </c>
      <c r="E577" s="118" t="str">
        <f>IF(B577="","",VLOOKUP(B577,RM!$C$4:$G984,14,FALSE))</f>
        <v/>
      </c>
      <c r="F577" s="87" t="str">
        <f t="shared" si="5"/>
        <v/>
      </c>
      <c r="G577" s="87" t="str">
        <f t="shared" si="6"/>
        <v/>
      </c>
      <c r="H577" s="87"/>
      <c r="I577" s="87"/>
      <c r="J577" s="87"/>
    </row>
    <row r="578" spans="1:10">
      <c r="A578" s="2"/>
      <c r="B578" s="2"/>
      <c r="C578" s="120" t="str">
        <f>IF(B578="","",SUMIFS('S-BOM'!$D$3:$D994,'S-BOM'!$C$3:$C994,B578,'S-BOM'!$B$3:$B994,$B$2))</f>
        <v/>
      </c>
      <c r="D578" s="120" t="str">
        <f>IFERROR(IF(B578="","",VLOOKUP(B578,RM!$C$4:$F984,3,FALSE)),"")</f>
        <v/>
      </c>
      <c r="E578" s="118" t="str">
        <f>IF(B578="","",VLOOKUP(B578,RM!$C$4:$G984,14,FALSE))</f>
        <v/>
      </c>
      <c r="F578" s="87" t="str">
        <f t="shared" si="5"/>
        <v/>
      </c>
      <c r="G578" s="87" t="str">
        <f t="shared" si="6"/>
        <v/>
      </c>
      <c r="H578" s="87"/>
      <c r="I578" s="87"/>
      <c r="J578" s="87"/>
    </row>
    <row r="579" spans="1:10">
      <c r="A579" s="2"/>
      <c r="B579" s="2"/>
      <c r="C579" s="120" t="str">
        <f>IF(B579="","",SUMIFS('S-BOM'!$D$3:$D994,'S-BOM'!$C$3:$C994,B579,'S-BOM'!$B$3:$B994,$B$2))</f>
        <v/>
      </c>
      <c r="D579" s="120" t="str">
        <f>IFERROR(IF(B579="","",VLOOKUP(B579,RM!$C$4:$F984,3,FALSE)),"")</f>
        <v/>
      </c>
      <c r="E579" s="118" t="str">
        <f>IF(B579="","",VLOOKUP(B579,RM!$C$4:$G984,14,FALSE))</f>
        <v/>
      </c>
      <c r="F579" s="87" t="str">
        <f t="shared" si="5"/>
        <v/>
      </c>
      <c r="G579" s="87" t="str">
        <f t="shared" si="6"/>
        <v/>
      </c>
      <c r="H579" s="87"/>
      <c r="I579" s="87"/>
      <c r="J579" s="87"/>
    </row>
    <row r="580" spans="1:10">
      <c r="A580" s="2"/>
      <c r="B580" s="2"/>
      <c r="C580" s="120" t="str">
        <f>IF(B580="","",SUMIFS('S-BOM'!$D$3:$D994,'S-BOM'!$C$3:$C994,B580,'S-BOM'!$B$3:$B994,$B$2))</f>
        <v/>
      </c>
      <c r="D580" s="120" t="str">
        <f>IFERROR(IF(B580="","",VLOOKUP(B580,RM!$C$4:$F984,3,FALSE)),"")</f>
        <v/>
      </c>
      <c r="E580" s="118" t="str">
        <f>IF(B580="","",VLOOKUP(B580,RM!$C$4:$G984,14,FALSE))</f>
        <v/>
      </c>
      <c r="F580" s="87" t="str">
        <f t="shared" si="5"/>
        <v/>
      </c>
      <c r="G580" s="87" t="str">
        <f t="shared" si="6"/>
        <v/>
      </c>
      <c r="H580" s="87"/>
      <c r="I580" s="87"/>
      <c r="J580" s="87"/>
    </row>
    <row r="581" spans="1:10">
      <c r="A581" s="2"/>
      <c r="B581" s="2"/>
      <c r="C581" s="120" t="str">
        <f>IF(B581="","",SUMIFS('S-BOM'!$D$3:$D994,'S-BOM'!$C$3:$C994,B581,'S-BOM'!$B$3:$B994,$B$2))</f>
        <v/>
      </c>
      <c r="D581" s="120" t="str">
        <f>IFERROR(IF(B581="","",VLOOKUP(B581,RM!$C$4:$F984,3,FALSE)),"")</f>
        <v/>
      </c>
      <c r="E581" s="118" t="str">
        <f>IF(B581="","",VLOOKUP(B581,RM!$C$4:$G984,14,FALSE))</f>
        <v/>
      </c>
      <c r="F581" s="87" t="str">
        <f t="shared" si="5"/>
        <v/>
      </c>
      <c r="G581" s="87" t="str">
        <f t="shared" si="6"/>
        <v/>
      </c>
      <c r="H581" s="87"/>
      <c r="I581" s="87"/>
      <c r="J581" s="87"/>
    </row>
    <row r="582" spans="1:10">
      <c r="A582" s="2"/>
      <c r="B582" s="2"/>
      <c r="C582" s="120" t="str">
        <f>IF(B582="","",SUMIFS('S-BOM'!$D$3:$D994,'S-BOM'!$C$3:$C994,B582,'S-BOM'!$B$3:$B994,$B$2))</f>
        <v/>
      </c>
      <c r="D582" s="120" t="str">
        <f>IFERROR(IF(B582="","",VLOOKUP(B582,RM!$C$4:$F984,3,FALSE)),"")</f>
        <v/>
      </c>
      <c r="E582" s="118" t="str">
        <f>IF(B582="","",VLOOKUP(B582,RM!$C$4:$G984,14,FALSE))</f>
        <v/>
      </c>
      <c r="F582" s="87" t="str">
        <f t="shared" si="5"/>
        <v/>
      </c>
      <c r="G582" s="87" t="str">
        <f t="shared" si="6"/>
        <v/>
      </c>
      <c r="H582" s="87"/>
      <c r="I582" s="87"/>
      <c r="J582" s="87"/>
    </row>
    <row r="583" spans="1:10">
      <c r="A583" s="2"/>
      <c r="B583" s="2"/>
      <c r="C583" s="120" t="str">
        <f>IF(B583="","",SUMIFS('S-BOM'!$D$3:$D994,'S-BOM'!$C$3:$C994,B583,'S-BOM'!$B$3:$B994,$B$2))</f>
        <v/>
      </c>
      <c r="D583" s="120" t="str">
        <f>IFERROR(IF(B583="","",VLOOKUP(B583,RM!$C$4:$F984,3,FALSE)),"")</f>
        <v/>
      </c>
      <c r="E583" s="118" t="str">
        <f>IF(B583="","",VLOOKUP(B583,RM!$C$4:$G984,14,FALSE))</f>
        <v/>
      </c>
      <c r="F583" s="87" t="str">
        <f t="shared" si="5"/>
        <v/>
      </c>
      <c r="G583" s="87" t="str">
        <f t="shared" si="6"/>
        <v/>
      </c>
      <c r="H583" s="87"/>
      <c r="I583" s="87"/>
      <c r="J583" s="87"/>
    </row>
    <row r="584" spans="1:10">
      <c r="A584" s="2"/>
      <c r="B584" s="2"/>
      <c r="C584" s="120" t="str">
        <f>IF(B584="","",SUMIFS('S-BOM'!$D$3:$D994,'S-BOM'!$C$3:$C994,B584,'S-BOM'!$B$3:$B994,$B$2))</f>
        <v/>
      </c>
      <c r="D584" s="120" t="str">
        <f>IFERROR(IF(B584="","",VLOOKUP(B584,RM!$C$4:$F984,3,FALSE)),"")</f>
        <v/>
      </c>
      <c r="E584" s="118" t="str">
        <f>IF(B584="","",VLOOKUP(B584,RM!$C$4:$G984,14,FALSE))</f>
        <v/>
      </c>
      <c r="F584" s="87" t="str">
        <f t="shared" si="5"/>
        <v/>
      </c>
      <c r="G584" s="87" t="str">
        <f t="shared" si="6"/>
        <v/>
      </c>
      <c r="H584" s="87"/>
      <c r="I584" s="87"/>
      <c r="J584" s="87"/>
    </row>
    <row r="585" spans="1:10">
      <c r="A585" s="2"/>
      <c r="B585" s="2"/>
      <c r="C585" s="120" t="str">
        <f>IF(B585="","",SUMIFS('S-BOM'!$D$3:$D994,'S-BOM'!$C$3:$C994,B585,'S-BOM'!$B$3:$B994,$B$2))</f>
        <v/>
      </c>
      <c r="D585" s="120" t="str">
        <f>IFERROR(IF(B585="","",VLOOKUP(B585,RM!$C$4:$F984,3,FALSE)),"")</f>
        <v/>
      </c>
      <c r="E585" s="118" t="str">
        <f>IF(B585="","",VLOOKUP(B585,RM!$C$4:$G984,14,FALSE))</f>
        <v/>
      </c>
      <c r="F585" s="87" t="str">
        <f t="shared" si="5"/>
        <v/>
      </c>
      <c r="G585" s="87" t="str">
        <f t="shared" si="6"/>
        <v/>
      </c>
      <c r="H585" s="87"/>
      <c r="I585" s="87"/>
      <c r="J585" s="87"/>
    </row>
    <row r="586" spans="1:10">
      <c r="A586" s="2"/>
      <c r="B586" s="2"/>
      <c r="C586" s="120" t="str">
        <f>IF(B586="","",SUMIFS('S-BOM'!$D$3:$D994,'S-BOM'!$C$3:$C994,B586,'S-BOM'!$B$3:$B994,$B$2))</f>
        <v/>
      </c>
      <c r="D586" s="120" t="str">
        <f>IFERROR(IF(B586="","",VLOOKUP(B586,RM!$C$4:$F984,3,FALSE)),"")</f>
        <v/>
      </c>
      <c r="E586" s="118" t="str">
        <f>IF(B586="","",VLOOKUP(B586,RM!$C$4:$G984,14,FALSE))</f>
        <v/>
      </c>
      <c r="F586" s="87" t="str">
        <f t="shared" si="5"/>
        <v/>
      </c>
      <c r="G586" s="87" t="str">
        <f t="shared" si="6"/>
        <v/>
      </c>
      <c r="H586" s="87"/>
      <c r="I586" s="87"/>
      <c r="J586" s="87"/>
    </row>
    <row r="587" spans="1:10">
      <c r="A587" s="2"/>
      <c r="B587" s="2"/>
      <c r="C587" s="120" t="str">
        <f>IF(B587="","",SUMIFS('S-BOM'!$D$3:$D994,'S-BOM'!$C$3:$C994,B587,'S-BOM'!$B$3:$B994,$B$2))</f>
        <v/>
      </c>
      <c r="D587" s="120" t="str">
        <f>IFERROR(IF(B587="","",VLOOKUP(B587,RM!$C$4:$F984,3,FALSE)),"")</f>
        <v/>
      </c>
      <c r="E587" s="118" t="str">
        <f>IF(B587="","",VLOOKUP(B587,RM!$C$4:$G984,14,FALSE))</f>
        <v/>
      </c>
      <c r="F587" s="87" t="str">
        <f t="shared" si="5"/>
        <v/>
      </c>
      <c r="G587" s="87" t="str">
        <f t="shared" si="6"/>
        <v/>
      </c>
      <c r="H587" s="87"/>
      <c r="I587" s="87"/>
      <c r="J587" s="87"/>
    </row>
    <row r="588" spans="1:10">
      <c r="A588" s="2"/>
      <c r="B588" s="2"/>
      <c r="C588" s="120" t="str">
        <f>IF(B588="","",SUMIFS('S-BOM'!$D$3:$D994,'S-BOM'!$C$3:$C994,B588,'S-BOM'!$B$3:$B994,$B$2))</f>
        <v/>
      </c>
      <c r="D588" s="120" t="str">
        <f>IFERROR(IF(B588="","",VLOOKUP(B588,RM!$C$4:$F984,3,FALSE)),"")</f>
        <v/>
      </c>
      <c r="E588" s="118" t="str">
        <f>IF(B588="","",VLOOKUP(B588,RM!$C$4:$G984,14,FALSE))</f>
        <v/>
      </c>
      <c r="F588" s="87" t="str">
        <f t="shared" si="5"/>
        <v/>
      </c>
      <c r="G588" s="87" t="str">
        <f t="shared" si="6"/>
        <v/>
      </c>
      <c r="H588" s="87"/>
      <c r="I588" s="87"/>
      <c r="J588" s="87"/>
    </row>
    <row r="589" spans="1:10">
      <c r="A589" s="2"/>
      <c r="B589" s="2"/>
      <c r="C589" s="120" t="str">
        <f>IF(B589="","",SUMIFS('S-BOM'!$D$3:$D994,'S-BOM'!$C$3:$C994,B589,'S-BOM'!$B$3:$B994,$B$2))</f>
        <v/>
      </c>
      <c r="D589" s="120" t="str">
        <f>IFERROR(IF(B589="","",VLOOKUP(B589,RM!$C$4:$F984,3,FALSE)),"")</f>
        <v/>
      </c>
      <c r="E589" s="118" t="str">
        <f>IF(B589="","",VLOOKUP(B589,RM!$C$4:$G984,14,FALSE))</f>
        <v/>
      </c>
      <c r="F589" s="87" t="str">
        <f t="shared" si="5"/>
        <v/>
      </c>
      <c r="G589" s="87" t="str">
        <f t="shared" si="6"/>
        <v/>
      </c>
      <c r="H589" s="87"/>
      <c r="I589" s="87"/>
      <c r="J589" s="87"/>
    </row>
    <row r="590" spans="1:10">
      <c r="A590" s="2"/>
      <c r="B590" s="2"/>
      <c r="C590" s="120" t="str">
        <f>IF(B590="","",SUMIFS('S-BOM'!$D$3:$D994,'S-BOM'!$C$3:$C994,B590,'S-BOM'!$B$3:$B994,$B$2))</f>
        <v/>
      </c>
      <c r="D590" s="120" t="str">
        <f>IFERROR(IF(B590="","",VLOOKUP(B590,RM!$C$4:$F984,3,FALSE)),"")</f>
        <v/>
      </c>
      <c r="E590" s="118" t="str">
        <f>IF(B590="","",VLOOKUP(B590,RM!$C$4:$G984,14,FALSE))</f>
        <v/>
      </c>
      <c r="F590" s="87" t="str">
        <f t="shared" si="5"/>
        <v/>
      </c>
      <c r="G590" s="87" t="str">
        <f t="shared" si="6"/>
        <v/>
      </c>
      <c r="H590" s="87"/>
      <c r="I590" s="87"/>
      <c r="J590" s="87"/>
    </row>
    <row r="591" spans="1:10">
      <c r="A591" s="2"/>
      <c r="B591" s="2"/>
      <c r="C591" s="120" t="str">
        <f>IF(B591="","",SUMIFS('S-BOM'!$D$3:$D994,'S-BOM'!$C$3:$C994,B591,'S-BOM'!$B$3:$B994,$B$2))</f>
        <v/>
      </c>
      <c r="D591" s="120" t="str">
        <f>IFERROR(IF(B591="","",VLOOKUP(B591,RM!$C$4:$F984,3,FALSE)),"")</f>
        <v/>
      </c>
      <c r="E591" s="118" t="str">
        <f>IF(B591="","",VLOOKUP(B591,RM!$C$4:$G984,14,FALSE))</f>
        <v/>
      </c>
      <c r="F591" s="87" t="str">
        <f t="shared" si="5"/>
        <v/>
      </c>
      <c r="G591" s="87" t="str">
        <f t="shared" si="6"/>
        <v/>
      </c>
      <c r="H591" s="87"/>
      <c r="I591" s="87"/>
      <c r="J591" s="87"/>
    </row>
    <row r="592" spans="1:10">
      <c r="A592" s="2"/>
      <c r="B592" s="2"/>
      <c r="C592" s="120" t="str">
        <f>IF(B592="","",SUMIFS('S-BOM'!$D$3:$D994,'S-BOM'!$C$3:$C994,B592,'S-BOM'!$B$3:$B994,$B$2))</f>
        <v/>
      </c>
      <c r="D592" s="120" t="str">
        <f>IFERROR(IF(B592="","",VLOOKUP(B592,RM!$C$4:$F984,3,FALSE)),"")</f>
        <v/>
      </c>
      <c r="E592" s="118" t="str">
        <f>IF(B592="","",VLOOKUP(B592,RM!$C$4:$G984,14,FALSE))</f>
        <v/>
      </c>
      <c r="F592" s="87" t="str">
        <f t="shared" si="5"/>
        <v/>
      </c>
      <c r="G592" s="87" t="str">
        <f t="shared" si="6"/>
        <v/>
      </c>
      <c r="H592" s="87"/>
      <c r="I592" s="87"/>
      <c r="J592" s="87"/>
    </row>
    <row r="593" spans="1:10">
      <c r="A593" s="2"/>
      <c r="B593" s="2"/>
      <c r="C593" s="120" t="str">
        <f>IF(B593="","",SUMIFS('S-BOM'!$D$3:$D994,'S-BOM'!$C$3:$C994,B593,'S-BOM'!$B$3:$B994,$B$2))</f>
        <v/>
      </c>
      <c r="D593" s="120" t="str">
        <f>IFERROR(IF(B593="","",VLOOKUP(B593,RM!$C$4:$F984,3,FALSE)),"")</f>
        <v/>
      </c>
      <c r="E593" s="118" t="str">
        <f>IF(B593="","",VLOOKUP(B593,RM!$C$4:$G984,14,FALSE))</f>
        <v/>
      </c>
      <c r="F593" s="87" t="str">
        <f t="shared" si="5"/>
        <v/>
      </c>
      <c r="G593" s="87" t="str">
        <f t="shared" si="6"/>
        <v/>
      </c>
      <c r="H593" s="87"/>
      <c r="I593" s="87"/>
      <c r="J593" s="87"/>
    </row>
    <row r="594" spans="1:10">
      <c r="A594" s="2"/>
      <c r="B594" s="2"/>
      <c r="C594" s="120" t="str">
        <f>IF(B594="","",SUMIFS('S-BOM'!$D$3:$D994,'S-BOM'!$C$3:$C994,B594,'S-BOM'!$B$3:$B994,$B$2))</f>
        <v/>
      </c>
      <c r="D594" s="120" t="str">
        <f>IFERROR(IF(B594="","",VLOOKUP(B594,RM!$C$4:$F984,3,FALSE)),"")</f>
        <v/>
      </c>
      <c r="E594" s="118" t="str">
        <f>IF(B594="","",VLOOKUP(B594,RM!$C$4:$G984,14,FALSE))</f>
        <v/>
      </c>
      <c r="F594" s="87" t="str">
        <f t="shared" si="5"/>
        <v/>
      </c>
      <c r="G594" s="87" t="str">
        <f t="shared" si="6"/>
        <v/>
      </c>
      <c r="H594" s="87"/>
      <c r="I594" s="87"/>
      <c r="J594" s="87"/>
    </row>
    <row r="595" spans="1:10">
      <c r="A595" s="2"/>
      <c r="B595" s="2"/>
      <c r="C595" s="120" t="str">
        <f>IF(B595="","",SUMIFS('S-BOM'!$D$3:$D994,'S-BOM'!$C$3:$C994,B595,'S-BOM'!$B$3:$B994,$B$2))</f>
        <v/>
      </c>
      <c r="D595" s="120" t="str">
        <f>IFERROR(IF(B595="","",VLOOKUP(B595,RM!$C$4:$F984,3,FALSE)),"")</f>
        <v/>
      </c>
      <c r="E595" s="118" t="str">
        <f>IF(B595="","",VLOOKUP(B595,RM!$C$4:$G984,14,FALSE))</f>
        <v/>
      </c>
      <c r="F595" s="87" t="str">
        <f t="shared" si="5"/>
        <v/>
      </c>
      <c r="G595" s="87" t="str">
        <f t="shared" si="6"/>
        <v/>
      </c>
      <c r="H595" s="87"/>
      <c r="I595" s="87"/>
      <c r="J595" s="87"/>
    </row>
    <row r="596" spans="1:10">
      <c r="A596" s="2"/>
      <c r="B596" s="2"/>
      <c r="C596" s="120" t="str">
        <f>IF(B596="","",SUMIFS('S-BOM'!$D$3:$D994,'S-BOM'!$C$3:$C994,B596,'S-BOM'!$B$3:$B994,$B$2))</f>
        <v/>
      </c>
      <c r="D596" s="120" t="str">
        <f>IFERROR(IF(B596="","",VLOOKUP(B596,RM!$C$4:$F984,3,FALSE)),"")</f>
        <v/>
      </c>
      <c r="E596" s="118" t="str">
        <f>IF(B596="","",VLOOKUP(B596,RM!$C$4:$G984,14,FALSE))</f>
        <v/>
      </c>
      <c r="F596" s="87" t="str">
        <f t="shared" si="5"/>
        <v/>
      </c>
      <c r="G596" s="87" t="str">
        <f t="shared" si="6"/>
        <v/>
      </c>
      <c r="H596" s="87"/>
      <c r="I596" s="87"/>
      <c r="J596" s="87"/>
    </row>
    <row r="597" spans="1:10">
      <c r="A597" s="2"/>
      <c r="B597" s="2"/>
      <c r="C597" s="120" t="str">
        <f>IF(B597="","",SUMIFS('S-BOM'!$D$3:$D994,'S-BOM'!$C$3:$C994,B597,'S-BOM'!$B$3:$B994,$B$2))</f>
        <v/>
      </c>
      <c r="D597" s="120" t="str">
        <f>IFERROR(IF(B597="","",VLOOKUP(B597,RM!$C$4:$F984,3,FALSE)),"")</f>
        <v/>
      </c>
      <c r="E597" s="118" t="str">
        <f>IF(B597="","",VLOOKUP(B597,RM!$C$4:$G984,14,FALSE))</f>
        <v/>
      </c>
      <c r="F597" s="87" t="str">
        <f t="shared" si="5"/>
        <v/>
      </c>
      <c r="G597" s="87" t="str">
        <f t="shared" si="6"/>
        <v/>
      </c>
      <c r="H597" s="87"/>
      <c r="I597" s="87"/>
      <c r="J597" s="87"/>
    </row>
    <row r="598" spans="1:10">
      <c r="A598" s="2"/>
      <c r="B598" s="2"/>
      <c r="C598" s="120" t="str">
        <f>IF(B598="","",SUMIFS('S-BOM'!$D$3:$D994,'S-BOM'!$C$3:$C994,B598,'S-BOM'!$B$3:$B994,$B$2))</f>
        <v/>
      </c>
      <c r="D598" s="120" t="str">
        <f>IFERROR(IF(B598="","",VLOOKUP(B598,RM!$C$4:$F984,3,FALSE)),"")</f>
        <v/>
      </c>
      <c r="E598" s="118" t="str">
        <f>IF(B598="","",VLOOKUP(B598,RM!$C$4:$G984,14,FALSE))</f>
        <v/>
      </c>
      <c r="F598" s="87" t="str">
        <f t="shared" si="5"/>
        <v/>
      </c>
      <c r="G598" s="87" t="str">
        <f t="shared" si="6"/>
        <v/>
      </c>
      <c r="H598" s="87"/>
      <c r="I598" s="87"/>
      <c r="J598" s="87"/>
    </row>
    <row r="599" spans="1:10">
      <c r="A599" s="2"/>
      <c r="B599" s="2"/>
      <c r="C599" s="120" t="str">
        <f>IF(B599="","",SUMIFS('S-BOM'!$D$3:$D994,'S-BOM'!$C$3:$C994,B599,'S-BOM'!$B$3:$B994,$B$2))</f>
        <v/>
      </c>
      <c r="D599" s="120" t="str">
        <f>IFERROR(IF(B599="","",VLOOKUP(B599,RM!$C$4:$F984,3,FALSE)),"")</f>
        <v/>
      </c>
      <c r="E599" s="118" t="str">
        <f>IF(B599="","",VLOOKUP(B599,RM!$C$4:$G984,14,FALSE))</f>
        <v/>
      </c>
      <c r="F599" s="87" t="str">
        <f t="shared" si="5"/>
        <v/>
      </c>
      <c r="G599" s="87" t="str">
        <f t="shared" si="6"/>
        <v/>
      </c>
      <c r="H599" s="87"/>
      <c r="I599" s="87"/>
      <c r="J599" s="87"/>
    </row>
    <row r="600" spans="1:10">
      <c r="A600" s="2"/>
      <c r="B600" s="2"/>
      <c r="C600" s="120" t="str">
        <f>IF(B600="","",SUMIFS('S-BOM'!$D$3:$D994,'S-BOM'!$C$3:$C994,B600,'S-BOM'!$B$3:$B994,$B$2))</f>
        <v/>
      </c>
      <c r="D600" s="120" t="str">
        <f>IFERROR(IF(B600="","",VLOOKUP(B600,RM!$C$4:$F984,3,FALSE)),"")</f>
        <v/>
      </c>
      <c r="E600" s="118" t="str">
        <f>IF(B600="","",VLOOKUP(B600,RM!$C$4:$G984,14,FALSE))</f>
        <v/>
      </c>
      <c r="F600" s="87" t="str">
        <f t="shared" si="5"/>
        <v/>
      </c>
      <c r="G600" s="87" t="str">
        <f t="shared" si="6"/>
        <v/>
      </c>
      <c r="H600" s="87"/>
      <c r="I600" s="87"/>
      <c r="J600" s="87"/>
    </row>
    <row r="601" spans="1:10">
      <c r="A601" s="2"/>
      <c r="B601" s="2"/>
      <c r="C601" s="120" t="str">
        <f>IF(B601="","",SUMIFS('S-BOM'!$D$3:$D994,'S-BOM'!$C$3:$C994,B601,'S-BOM'!$B$3:$B994,$B$2))</f>
        <v/>
      </c>
      <c r="D601" s="120" t="str">
        <f>IFERROR(IF(B601="","",VLOOKUP(B601,RM!$C$4:$F984,3,FALSE)),"")</f>
        <v/>
      </c>
      <c r="E601" s="118" t="str">
        <f>IF(B601="","",VLOOKUP(B601,RM!$C$4:$G984,14,FALSE))</f>
        <v/>
      </c>
      <c r="F601" s="87" t="str">
        <f t="shared" si="5"/>
        <v/>
      </c>
      <c r="G601" s="87" t="str">
        <f t="shared" si="6"/>
        <v/>
      </c>
      <c r="H601" s="87"/>
      <c r="I601" s="87"/>
      <c r="J601" s="87"/>
    </row>
    <row r="602" spans="1:10">
      <c r="A602" s="2"/>
      <c r="B602" s="2"/>
      <c r="C602" s="120" t="str">
        <f>IF(B602="","",SUMIFS('S-BOM'!$D$3:$D994,'S-BOM'!$C$3:$C994,B602,'S-BOM'!$B$3:$B994,$B$2))</f>
        <v/>
      </c>
      <c r="D602" s="120" t="str">
        <f>IFERROR(IF(B602="","",VLOOKUP(B602,RM!$C$4:$F984,3,FALSE)),"")</f>
        <v/>
      </c>
      <c r="E602" s="118" t="str">
        <f>IF(B602="","",VLOOKUP(B602,RM!$C$4:$G984,14,FALSE))</f>
        <v/>
      </c>
      <c r="F602" s="87" t="str">
        <f t="shared" si="5"/>
        <v/>
      </c>
      <c r="G602" s="87" t="str">
        <f t="shared" si="6"/>
        <v/>
      </c>
      <c r="H602" s="87"/>
      <c r="I602" s="87"/>
      <c r="J602" s="87"/>
    </row>
    <row r="603" spans="1:10">
      <c r="A603" s="2"/>
      <c r="B603" s="2"/>
      <c r="C603" s="120" t="str">
        <f>IF(B603="","",SUMIFS('S-BOM'!$D$3:$D994,'S-BOM'!$C$3:$C994,B603,'S-BOM'!$B$3:$B994,$B$2))</f>
        <v/>
      </c>
      <c r="D603" s="120" t="str">
        <f>IFERROR(IF(B603="","",VLOOKUP(B603,RM!$C$4:$F984,3,FALSE)),"")</f>
        <v/>
      </c>
      <c r="E603" s="118" t="str">
        <f>IF(B603="","",VLOOKUP(B603,RM!$C$4:$G984,14,FALSE))</f>
        <v/>
      </c>
      <c r="F603" s="87" t="str">
        <f t="shared" si="5"/>
        <v/>
      </c>
      <c r="G603" s="87" t="str">
        <f t="shared" si="6"/>
        <v/>
      </c>
      <c r="H603" s="87"/>
      <c r="I603" s="87"/>
      <c r="J603" s="87"/>
    </row>
    <row r="604" spans="1:10">
      <c r="A604" s="2"/>
      <c r="B604" s="2"/>
      <c r="C604" s="120" t="str">
        <f>IF(B604="","",SUMIFS('S-BOM'!$D$3:$D994,'S-BOM'!$C$3:$C994,B604,'S-BOM'!$B$3:$B994,$B$2))</f>
        <v/>
      </c>
      <c r="D604" s="120" t="str">
        <f>IFERROR(IF(B604="","",VLOOKUP(B604,RM!$C$4:$F984,3,FALSE)),"")</f>
        <v/>
      </c>
      <c r="E604" s="118" t="str">
        <f>IF(B604="","",VLOOKUP(B604,RM!$C$4:$G984,14,FALSE))</f>
        <v/>
      </c>
      <c r="F604" s="87" t="str">
        <f t="shared" si="5"/>
        <v/>
      </c>
      <c r="G604" s="87" t="str">
        <f t="shared" si="6"/>
        <v/>
      </c>
      <c r="H604" s="87"/>
      <c r="I604" s="87"/>
      <c r="J604" s="87"/>
    </row>
    <row r="605" spans="1:10">
      <c r="A605" s="2"/>
      <c r="B605" s="2"/>
      <c r="C605" s="120" t="str">
        <f>IF(B605="","",SUMIFS('S-BOM'!$D$3:$D994,'S-BOM'!$C$3:$C994,B605,'S-BOM'!$B$3:$B994,$B$2))</f>
        <v/>
      </c>
      <c r="D605" s="120" t="str">
        <f>IFERROR(IF(B605="","",VLOOKUP(B605,RM!$C$4:$F984,3,FALSE)),"")</f>
        <v/>
      </c>
      <c r="E605" s="118" t="str">
        <f>IF(B605="","",VLOOKUP(B605,RM!$C$4:$G984,14,FALSE))</f>
        <v/>
      </c>
      <c r="F605" s="87" t="str">
        <f t="shared" si="5"/>
        <v/>
      </c>
      <c r="G605" s="87" t="str">
        <f t="shared" si="6"/>
        <v/>
      </c>
      <c r="H605" s="87"/>
      <c r="I605" s="87"/>
      <c r="J605" s="87"/>
    </row>
    <row r="606" spans="1:10">
      <c r="A606" s="2"/>
      <c r="B606" s="2"/>
      <c r="C606" s="120" t="str">
        <f>IF(B606="","",SUMIFS('S-BOM'!$D$3:$D994,'S-BOM'!$C$3:$C994,B606,'S-BOM'!$B$3:$B994,$B$2))</f>
        <v/>
      </c>
      <c r="D606" s="120" t="str">
        <f>IFERROR(IF(B606="","",VLOOKUP(B606,RM!$C$4:$F984,3,FALSE)),"")</f>
        <v/>
      </c>
      <c r="E606" s="118" t="str">
        <f>IF(B606="","",VLOOKUP(B606,RM!$C$4:$G984,14,FALSE))</f>
        <v/>
      </c>
      <c r="F606" s="87" t="str">
        <f t="shared" si="5"/>
        <v/>
      </c>
      <c r="G606" s="87" t="str">
        <f t="shared" si="6"/>
        <v/>
      </c>
      <c r="H606" s="87"/>
      <c r="I606" s="87"/>
      <c r="J606" s="87"/>
    </row>
    <row r="607" spans="1:10">
      <c r="A607" s="2"/>
      <c r="B607" s="2"/>
      <c r="C607" s="120" t="str">
        <f>IF(B607="","",SUMIFS('S-BOM'!$D$3:$D994,'S-BOM'!$C$3:$C994,B607,'S-BOM'!$B$3:$B994,$B$2))</f>
        <v/>
      </c>
      <c r="D607" s="120" t="str">
        <f>IFERROR(IF(B607="","",VLOOKUP(B607,RM!$C$4:$F984,3,FALSE)),"")</f>
        <v/>
      </c>
      <c r="E607" s="118" t="str">
        <f>IF(B607="","",VLOOKUP(B607,RM!$C$4:$G984,14,FALSE))</f>
        <v/>
      </c>
      <c r="F607" s="87" t="str">
        <f t="shared" si="5"/>
        <v/>
      </c>
      <c r="G607" s="87" t="str">
        <f t="shared" si="6"/>
        <v/>
      </c>
      <c r="H607" s="87"/>
      <c r="I607" s="87"/>
      <c r="J607" s="87"/>
    </row>
    <row r="608" spans="1:10">
      <c r="A608" s="2"/>
      <c r="B608" s="2"/>
      <c r="C608" s="120" t="str">
        <f>IF(B608="","",SUMIFS('S-BOM'!$D$3:$D994,'S-BOM'!$C$3:$C994,B608,'S-BOM'!$B$3:$B994,$B$2))</f>
        <v/>
      </c>
      <c r="D608" s="120" t="str">
        <f>IFERROR(IF(B608="","",VLOOKUP(B608,RM!$C$4:$F984,3,FALSE)),"")</f>
        <v/>
      </c>
      <c r="E608" s="118" t="str">
        <f>IF(B608="","",VLOOKUP(B608,RM!$C$4:$G984,14,FALSE))</f>
        <v/>
      </c>
      <c r="F608" s="87" t="str">
        <f t="shared" si="5"/>
        <v/>
      </c>
      <c r="G608" s="87" t="str">
        <f t="shared" si="6"/>
        <v/>
      </c>
      <c r="H608" s="87"/>
      <c r="I608" s="87"/>
      <c r="J608" s="87"/>
    </row>
    <row r="609" spans="1:10">
      <c r="A609" s="2"/>
      <c r="B609" s="2"/>
      <c r="C609" s="120" t="str">
        <f>IF(B609="","",SUMIFS('S-BOM'!$D$3:$D994,'S-BOM'!$C$3:$C994,B609,'S-BOM'!$B$3:$B994,$B$2))</f>
        <v/>
      </c>
      <c r="D609" s="120" t="str">
        <f>IFERROR(IF(B609="","",VLOOKUP(B609,RM!$C$4:$F984,3,FALSE)),"")</f>
        <v/>
      </c>
      <c r="E609" s="118" t="str">
        <f>IF(B609="","",VLOOKUP(B609,RM!$C$4:$G984,14,FALSE))</f>
        <v/>
      </c>
      <c r="F609" s="87" t="str">
        <f t="shared" si="5"/>
        <v/>
      </c>
      <c r="G609" s="87" t="str">
        <f t="shared" si="6"/>
        <v/>
      </c>
      <c r="H609" s="87"/>
      <c r="I609" s="87"/>
      <c r="J609" s="87"/>
    </row>
    <row r="610" spans="1:10">
      <c r="A610" s="2"/>
      <c r="B610" s="2"/>
      <c r="C610" s="120" t="str">
        <f>IF(B610="","",SUMIFS('S-BOM'!$D$3:$D994,'S-BOM'!$C$3:$C994,B610,'S-BOM'!$B$3:$B994,$B$2))</f>
        <v/>
      </c>
      <c r="D610" s="120" t="str">
        <f>IFERROR(IF(B610="","",VLOOKUP(B610,RM!$C$4:$F984,3,FALSE)),"")</f>
        <v/>
      </c>
      <c r="E610" s="118" t="str">
        <f>IF(B610="","",VLOOKUP(B610,RM!$C$4:$G984,14,FALSE))</f>
        <v/>
      </c>
      <c r="F610" s="87" t="str">
        <f t="shared" si="5"/>
        <v/>
      </c>
      <c r="G610" s="87" t="str">
        <f t="shared" si="6"/>
        <v/>
      </c>
      <c r="H610" s="87"/>
      <c r="I610" s="87"/>
      <c r="J610" s="87"/>
    </row>
    <row r="611" spans="1:10">
      <c r="A611" s="2"/>
      <c r="B611" s="2"/>
      <c r="C611" s="120" t="str">
        <f>IF(B611="","",SUMIFS('S-BOM'!$D$3:$D994,'S-BOM'!$C$3:$C994,B611,'S-BOM'!$B$3:$B994,$B$2))</f>
        <v/>
      </c>
      <c r="D611" s="120" t="str">
        <f>IFERROR(IF(B611="","",VLOOKUP(B611,RM!$C$4:$F984,3,FALSE)),"")</f>
        <v/>
      </c>
      <c r="E611" s="118" t="str">
        <f>IF(B611="","",VLOOKUP(B611,RM!$C$4:$G984,14,FALSE))</f>
        <v/>
      </c>
      <c r="F611" s="87" t="str">
        <f t="shared" si="5"/>
        <v/>
      </c>
      <c r="G611" s="87" t="str">
        <f t="shared" si="6"/>
        <v/>
      </c>
      <c r="H611" s="87"/>
      <c r="I611" s="87"/>
      <c r="J611" s="87"/>
    </row>
    <row r="612" spans="1:10">
      <c r="A612" s="2"/>
      <c r="B612" s="2"/>
      <c r="C612" s="120" t="str">
        <f>IF(B612="","",SUMIFS('S-BOM'!$D$3:$D994,'S-BOM'!$C$3:$C994,B612,'S-BOM'!$B$3:$B994,$B$2))</f>
        <v/>
      </c>
      <c r="D612" s="120" t="str">
        <f>IFERROR(IF(B612="","",VLOOKUP(B612,RM!$C$4:$F984,3,FALSE)),"")</f>
        <v/>
      </c>
      <c r="E612" s="118" t="str">
        <f>IF(B612="","",VLOOKUP(B612,RM!$C$4:$G984,14,FALSE))</f>
        <v/>
      </c>
      <c r="F612" s="87" t="str">
        <f t="shared" si="5"/>
        <v/>
      </c>
      <c r="G612" s="87" t="str">
        <f t="shared" si="6"/>
        <v/>
      </c>
      <c r="H612" s="87"/>
      <c r="I612" s="87"/>
      <c r="J612" s="87"/>
    </row>
    <row r="613" spans="1:10">
      <c r="A613" s="2"/>
      <c r="B613" s="2"/>
      <c r="C613" s="120" t="str">
        <f>IF(B613="","",SUMIFS('S-BOM'!$D$3:$D994,'S-BOM'!$C$3:$C994,B613,'S-BOM'!$B$3:$B994,$B$2))</f>
        <v/>
      </c>
      <c r="D613" s="120" t="str">
        <f>IFERROR(IF(B613="","",VLOOKUP(B613,RM!$C$4:$F984,3,FALSE)),"")</f>
        <v/>
      </c>
      <c r="E613" s="118" t="str">
        <f>IF(B613="","",VLOOKUP(B613,RM!$C$4:$G984,14,FALSE))</f>
        <v/>
      </c>
      <c r="F613" s="87" t="str">
        <f t="shared" si="5"/>
        <v/>
      </c>
      <c r="G613" s="87" t="str">
        <f t="shared" si="6"/>
        <v/>
      </c>
      <c r="H613" s="87"/>
      <c r="I613" s="87"/>
      <c r="J613" s="87"/>
    </row>
    <row r="614" spans="1:10">
      <c r="A614" s="2"/>
      <c r="B614" s="2"/>
      <c r="C614" s="120" t="str">
        <f>IF(B614="","",SUMIFS('S-BOM'!$D$3:$D994,'S-BOM'!$C$3:$C994,B614,'S-BOM'!$B$3:$B994,$B$2))</f>
        <v/>
      </c>
      <c r="D614" s="120" t="str">
        <f>IFERROR(IF(B614="","",VLOOKUP(B614,RM!$C$4:$F984,3,FALSE)),"")</f>
        <v/>
      </c>
      <c r="E614" s="118" t="str">
        <f>IF(B614="","",VLOOKUP(B614,RM!$C$4:$G984,14,FALSE))</f>
        <v/>
      </c>
      <c r="F614" s="87" t="str">
        <f t="shared" si="5"/>
        <v/>
      </c>
      <c r="G614" s="87" t="str">
        <f t="shared" si="6"/>
        <v/>
      </c>
      <c r="H614" s="87"/>
      <c r="I614" s="87"/>
      <c r="J614" s="87"/>
    </row>
    <row r="615" spans="1:10">
      <c r="A615" s="2"/>
      <c r="B615" s="2"/>
      <c r="C615" s="120" t="str">
        <f>IF(B615="","",SUMIFS('S-BOM'!$D$3:$D994,'S-BOM'!$C$3:$C994,B615,'S-BOM'!$B$3:$B994,$B$2))</f>
        <v/>
      </c>
      <c r="D615" s="120" t="str">
        <f>IFERROR(IF(B615="","",VLOOKUP(B615,RM!$C$4:$F984,3,FALSE)),"")</f>
        <v/>
      </c>
      <c r="E615" s="118" t="str">
        <f>IF(B615="","",VLOOKUP(B615,RM!$C$4:$G984,14,FALSE))</f>
        <v/>
      </c>
      <c r="F615" s="87" t="str">
        <f t="shared" si="5"/>
        <v/>
      </c>
      <c r="G615" s="87" t="str">
        <f t="shared" si="6"/>
        <v/>
      </c>
      <c r="H615" s="87"/>
      <c r="I615" s="87"/>
      <c r="J615" s="87"/>
    </row>
    <row r="616" spans="1:10">
      <c r="A616" s="2"/>
      <c r="B616" s="2"/>
      <c r="C616" s="120" t="str">
        <f>IF(B616="","",SUMIFS('S-BOM'!$D$3:$D994,'S-BOM'!$C$3:$C994,B616,'S-BOM'!$B$3:$B994,$B$2))</f>
        <v/>
      </c>
      <c r="D616" s="120" t="str">
        <f>IFERROR(IF(B616="","",VLOOKUP(B616,RM!$C$4:$F984,3,FALSE)),"")</f>
        <v/>
      </c>
      <c r="E616" s="118" t="str">
        <f>IF(B616="","",VLOOKUP(B616,RM!$C$4:$G984,14,FALSE))</f>
        <v/>
      </c>
      <c r="F616" s="87" t="str">
        <f t="shared" si="5"/>
        <v/>
      </c>
      <c r="G616" s="87" t="str">
        <f t="shared" si="6"/>
        <v/>
      </c>
      <c r="H616" s="87"/>
      <c r="I616" s="87"/>
      <c r="J616" s="87"/>
    </row>
    <row r="617" spans="1:10">
      <c r="A617" s="2"/>
      <c r="B617" s="2"/>
      <c r="C617" s="120" t="str">
        <f>IF(B617="","",SUMIFS('S-BOM'!$D$3:$D994,'S-BOM'!$C$3:$C994,B617,'S-BOM'!$B$3:$B994,$B$2))</f>
        <v/>
      </c>
      <c r="D617" s="120" t="str">
        <f>IFERROR(IF(B617="","",VLOOKUP(B617,RM!$C$4:$F984,3,FALSE)),"")</f>
        <v/>
      </c>
      <c r="E617" s="118" t="str">
        <f>IF(B617="","",VLOOKUP(B617,RM!$C$4:$G984,14,FALSE))</f>
        <v/>
      </c>
      <c r="F617" s="87" t="str">
        <f t="shared" si="5"/>
        <v/>
      </c>
      <c r="G617" s="87" t="str">
        <f t="shared" si="6"/>
        <v/>
      </c>
      <c r="H617" s="87"/>
      <c r="I617" s="87"/>
      <c r="J617" s="87"/>
    </row>
    <row r="618" spans="1:10">
      <c r="A618" s="2"/>
      <c r="B618" s="2"/>
      <c r="C618" s="120" t="str">
        <f>IF(B618="","",SUMIFS('S-BOM'!$D$3:$D994,'S-BOM'!$C$3:$C994,B618,'S-BOM'!$B$3:$B994,$B$2))</f>
        <v/>
      </c>
      <c r="D618" s="120" t="str">
        <f>IFERROR(IF(B618="","",VLOOKUP(B618,RM!$C$4:$F984,3,FALSE)),"")</f>
        <v/>
      </c>
      <c r="E618" s="118" t="str">
        <f>IF(B618="","",VLOOKUP(B618,RM!$C$4:$G984,14,FALSE))</f>
        <v/>
      </c>
      <c r="F618" s="87" t="str">
        <f t="shared" si="5"/>
        <v/>
      </c>
      <c r="G618" s="87" t="str">
        <f t="shared" si="6"/>
        <v/>
      </c>
      <c r="H618" s="87"/>
      <c r="I618" s="87"/>
      <c r="J618" s="87"/>
    </row>
    <row r="619" spans="1:10">
      <c r="A619" s="2"/>
      <c r="B619" s="2"/>
      <c r="C619" s="120" t="str">
        <f>IF(B619="","",SUMIFS('S-BOM'!$D$3:$D994,'S-BOM'!$C$3:$C994,B619,'S-BOM'!$B$3:$B994,$B$2))</f>
        <v/>
      </c>
      <c r="D619" s="120" t="str">
        <f>IFERROR(IF(B619="","",VLOOKUP(B619,RM!$C$4:$F984,3,FALSE)),"")</f>
        <v/>
      </c>
      <c r="E619" s="118" t="str">
        <f>IF(B619="","",VLOOKUP(B619,RM!$C$4:$G984,14,FALSE))</f>
        <v/>
      </c>
      <c r="F619" s="87" t="str">
        <f t="shared" si="5"/>
        <v/>
      </c>
      <c r="G619" s="87" t="str">
        <f t="shared" si="6"/>
        <v/>
      </c>
      <c r="H619" s="87"/>
      <c r="I619" s="87"/>
      <c r="J619" s="87"/>
    </row>
    <row r="620" spans="1:10">
      <c r="A620" s="2"/>
      <c r="B620" s="2"/>
      <c r="C620" s="120" t="str">
        <f>IF(B620="","",SUMIFS('S-BOM'!$D$3:$D994,'S-BOM'!$C$3:$C994,B620,'S-BOM'!$B$3:$B994,$B$2))</f>
        <v/>
      </c>
      <c r="D620" s="120" t="str">
        <f>IFERROR(IF(B620="","",VLOOKUP(B620,RM!$C$4:$F984,3,FALSE)),"")</f>
        <v/>
      </c>
      <c r="E620" s="118" t="str">
        <f>IF(B620="","",VLOOKUP(B620,RM!$C$4:$G984,14,FALSE))</f>
        <v/>
      </c>
      <c r="F620" s="87" t="str">
        <f t="shared" si="5"/>
        <v/>
      </c>
      <c r="G620" s="87" t="str">
        <f t="shared" si="6"/>
        <v/>
      </c>
      <c r="H620" s="87"/>
      <c r="I620" s="87"/>
      <c r="J620" s="87"/>
    </row>
    <row r="621" spans="1:10">
      <c r="A621" s="2"/>
      <c r="B621" s="2"/>
      <c r="C621" s="120" t="str">
        <f>IF(B621="","",SUMIFS('S-BOM'!$D$3:$D994,'S-BOM'!$C$3:$C994,B621,'S-BOM'!$B$3:$B994,$B$2))</f>
        <v/>
      </c>
      <c r="D621" s="120" t="str">
        <f>IFERROR(IF(B621="","",VLOOKUP(B621,RM!$C$4:$F984,3,FALSE)),"")</f>
        <v/>
      </c>
      <c r="E621" s="118" t="str">
        <f>IF(B621="","",VLOOKUP(B621,RM!$C$4:$G984,14,FALSE))</f>
        <v/>
      </c>
      <c r="F621" s="87" t="str">
        <f t="shared" si="5"/>
        <v/>
      </c>
      <c r="G621" s="87" t="str">
        <f t="shared" si="6"/>
        <v/>
      </c>
      <c r="H621" s="87"/>
      <c r="I621" s="87"/>
      <c r="J621" s="87"/>
    </row>
    <row r="622" spans="1:10">
      <c r="A622" s="2"/>
      <c r="B622" s="2"/>
      <c r="C622" s="120" t="str">
        <f>IF(B622="","",SUMIFS('S-BOM'!$D$3:$D994,'S-BOM'!$C$3:$C994,B622,'S-BOM'!$B$3:$B994,$B$2))</f>
        <v/>
      </c>
      <c r="D622" s="120" t="str">
        <f>IFERROR(IF(B622="","",VLOOKUP(B622,RM!$C$4:$F984,3,FALSE)),"")</f>
        <v/>
      </c>
      <c r="E622" s="118" t="str">
        <f>IF(B622="","",VLOOKUP(B622,RM!$C$4:$G984,14,FALSE))</f>
        <v/>
      </c>
      <c r="F622" s="87" t="str">
        <f t="shared" si="5"/>
        <v/>
      </c>
      <c r="G622" s="87" t="str">
        <f t="shared" si="6"/>
        <v/>
      </c>
      <c r="H622" s="87"/>
      <c r="I622" s="87"/>
      <c r="J622" s="87"/>
    </row>
    <row r="623" spans="1:10">
      <c r="A623" s="2"/>
      <c r="B623" s="2"/>
      <c r="C623" s="120" t="str">
        <f>IF(B623="","",SUMIFS('S-BOM'!$D$3:$D994,'S-BOM'!$C$3:$C994,B623,'S-BOM'!$B$3:$B994,$B$2))</f>
        <v/>
      </c>
      <c r="D623" s="120" t="str">
        <f>IFERROR(IF(B623="","",VLOOKUP(B623,RM!$C$4:$F984,3,FALSE)),"")</f>
        <v/>
      </c>
      <c r="E623" s="118" t="str">
        <f>IF(B623="","",VLOOKUP(B623,RM!$C$4:$G984,14,FALSE))</f>
        <v/>
      </c>
      <c r="F623" s="87" t="str">
        <f t="shared" si="5"/>
        <v/>
      </c>
      <c r="G623" s="87" t="str">
        <f t="shared" si="6"/>
        <v/>
      </c>
      <c r="H623" s="87"/>
      <c r="I623" s="87"/>
      <c r="J623" s="87"/>
    </row>
    <row r="624" spans="1:10">
      <c r="A624" s="2"/>
      <c r="B624" s="2"/>
      <c r="C624" s="120" t="str">
        <f>IF(B624="","",SUMIFS('S-BOM'!$D$3:$D994,'S-BOM'!$C$3:$C994,B624,'S-BOM'!$B$3:$B994,$B$2))</f>
        <v/>
      </c>
      <c r="D624" s="120" t="str">
        <f>IFERROR(IF(B624="","",VLOOKUP(B624,RM!$C$4:$F984,3,FALSE)),"")</f>
        <v/>
      </c>
      <c r="E624" s="118" t="str">
        <f>IF(B624="","",VLOOKUP(B624,RM!$C$4:$G984,14,FALSE))</f>
        <v/>
      </c>
      <c r="F624" s="87" t="str">
        <f t="shared" si="5"/>
        <v/>
      </c>
      <c r="G624" s="87" t="str">
        <f t="shared" si="6"/>
        <v/>
      </c>
      <c r="H624" s="87"/>
      <c r="I624" s="87"/>
      <c r="J624" s="87"/>
    </row>
    <row r="625" spans="1:10">
      <c r="A625" s="2"/>
      <c r="B625" s="2"/>
      <c r="C625" s="120" t="str">
        <f>IF(B625="","",SUMIFS('S-BOM'!$D$3:$D994,'S-BOM'!$C$3:$C994,B625,'S-BOM'!$B$3:$B994,$B$2))</f>
        <v/>
      </c>
      <c r="D625" s="120" t="str">
        <f>IFERROR(IF(B625="","",VLOOKUP(B625,RM!$C$4:$F984,3,FALSE)),"")</f>
        <v/>
      </c>
      <c r="E625" s="118" t="str">
        <f>IF(B625="","",VLOOKUP(B625,RM!$C$4:$G984,14,FALSE))</f>
        <v/>
      </c>
      <c r="F625" s="87" t="str">
        <f t="shared" si="5"/>
        <v/>
      </c>
      <c r="G625" s="87" t="str">
        <f t="shared" si="6"/>
        <v/>
      </c>
      <c r="H625" s="87"/>
      <c r="I625" s="87"/>
      <c r="J625" s="87"/>
    </row>
    <row r="626" spans="1:10">
      <c r="A626" s="2"/>
      <c r="B626" s="2"/>
      <c r="C626" s="120" t="str">
        <f>IF(B626="","",SUMIFS('S-BOM'!$D$3:$D994,'S-BOM'!$C$3:$C994,B626,'S-BOM'!$B$3:$B994,$B$2))</f>
        <v/>
      </c>
      <c r="D626" s="120" t="str">
        <f>IFERROR(IF(B626="","",VLOOKUP(B626,RM!$C$4:$F984,3,FALSE)),"")</f>
        <v/>
      </c>
      <c r="E626" s="118" t="str">
        <f>IF(B626="","",VLOOKUP(B626,RM!$C$4:$G984,14,FALSE))</f>
        <v/>
      </c>
      <c r="F626" s="87" t="str">
        <f t="shared" si="5"/>
        <v/>
      </c>
      <c r="G626" s="87" t="str">
        <f t="shared" si="6"/>
        <v/>
      </c>
      <c r="H626" s="87"/>
      <c r="I626" s="87"/>
      <c r="J626" s="87"/>
    </row>
    <row r="627" spans="1:10">
      <c r="A627" s="2"/>
      <c r="B627" s="2"/>
      <c r="C627" s="120" t="str">
        <f>IF(B627="","",SUMIFS('S-BOM'!$D$3:$D994,'S-BOM'!$C$3:$C994,B627,'S-BOM'!$B$3:$B994,$B$2))</f>
        <v/>
      </c>
      <c r="D627" s="120" t="str">
        <f>IFERROR(IF(B627="","",VLOOKUP(B627,RM!$C$4:$F984,3,FALSE)),"")</f>
        <v/>
      </c>
      <c r="E627" s="118" t="str">
        <f>IF(B627="","",VLOOKUP(B627,RM!$C$4:$G984,14,FALSE))</f>
        <v/>
      </c>
      <c r="F627" s="87" t="str">
        <f t="shared" si="5"/>
        <v/>
      </c>
      <c r="G627" s="87" t="str">
        <f t="shared" si="6"/>
        <v/>
      </c>
      <c r="H627" s="87"/>
      <c r="I627" s="87"/>
      <c r="J627" s="87"/>
    </row>
    <row r="628" spans="1:10">
      <c r="A628" s="2"/>
      <c r="B628" s="2"/>
      <c r="C628" s="120" t="str">
        <f>IF(B628="","",SUMIFS('S-BOM'!$D$3:$D994,'S-BOM'!$C$3:$C994,B628,'S-BOM'!$B$3:$B994,$B$2))</f>
        <v/>
      </c>
      <c r="D628" s="120" t="str">
        <f>IFERROR(IF(B628="","",VLOOKUP(B628,RM!$C$4:$F984,3,FALSE)),"")</f>
        <v/>
      </c>
      <c r="E628" s="118" t="str">
        <f>IF(B628="","",VLOOKUP(B628,RM!$C$4:$G984,14,FALSE))</f>
        <v/>
      </c>
      <c r="F628" s="87" t="str">
        <f t="shared" si="5"/>
        <v/>
      </c>
      <c r="G628" s="87" t="str">
        <f t="shared" si="6"/>
        <v/>
      </c>
      <c r="H628" s="87"/>
      <c r="I628" s="87"/>
      <c r="J628" s="87"/>
    </row>
    <row r="629" spans="1:10">
      <c r="A629" s="2"/>
      <c r="B629" s="2"/>
      <c r="C629" s="120" t="str">
        <f>IF(B629="","",SUMIFS('S-BOM'!$D$3:$D994,'S-BOM'!$C$3:$C994,B629,'S-BOM'!$B$3:$B994,$B$2))</f>
        <v/>
      </c>
      <c r="D629" s="120" t="str">
        <f>IFERROR(IF(B629="","",VLOOKUP(B629,RM!$C$4:$F984,3,FALSE)),"")</f>
        <v/>
      </c>
      <c r="E629" s="118" t="str">
        <f>IF(B629="","",VLOOKUP(B629,RM!$C$4:$G984,14,FALSE))</f>
        <v/>
      </c>
      <c r="F629" s="87" t="str">
        <f t="shared" si="5"/>
        <v/>
      </c>
      <c r="G629" s="87" t="str">
        <f t="shared" si="6"/>
        <v/>
      </c>
      <c r="H629" s="87"/>
      <c r="I629" s="87"/>
      <c r="J629" s="87"/>
    </row>
    <row r="630" spans="1:10">
      <c r="A630" s="2"/>
      <c r="B630" s="2"/>
      <c r="C630" s="120" t="str">
        <f>IF(B630="","",SUMIFS('S-BOM'!$D$3:$D994,'S-BOM'!$C$3:$C994,B630,'S-BOM'!$B$3:$B994,$B$2))</f>
        <v/>
      </c>
      <c r="D630" s="120" t="str">
        <f>IFERROR(IF(B630="","",VLOOKUP(B630,RM!$C$4:$F984,3,FALSE)),"")</f>
        <v/>
      </c>
      <c r="E630" s="118" t="str">
        <f>IF(B630="","",VLOOKUP(B630,RM!$C$4:$G984,14,FALSE))</f>
        <v/>
      </c>
      <c r="F630" s="87" t="str">
        <f t="shared" si="5"/>
        <v/>
      </c>
      <c r="G630" s="87" t="str">
        <f t="shared" si="6"/>
        <v/>
      </c>
      <c r="H630" s="87"/>
      <c r="I630" s="87"/>
      <c r="J630" s="87"/>
    </row>
    <row r="631" spans="1:10">
      <c r="A631" s="2"/>
      <c r="B631" s="2"/>
      <c r="C631" s="120" t="str">
        <f>IF(B631="","",SUMIFS('S-BOM'!$D$3:$D994,'S-BOM'!$C$3:$C994,B631,'S-BOM'!$B$3:$B994,$B$2))</f>
        <v/>
      </c>
      <c r="D631" s="120" t="str">
        <f>IFERROR(IF(B631="","",VLOOKUP(B631,RM!$C$4:$F984,3,FALSE)),"")</f>
        <v/>
      </c>
      <c r="E631" s="118" t="str">
        <f>IF(B631="","",VLOOKUP(B631,RM!$C$4:$G984,14,FALSE))</f>
        <v/>
      </c>
      <c r="F631" s="87" t="str">
        <f t="shared" si="5"/>
        <v/>
      </c>
      <c r="G631" s="87" t="str">
        <f t="shared" si="6"/>
        <v/>
      </c>
      <c r="H631" s="87"/>
      <c r="I631" s="87"/>
      <c r="J631" s="87"/>
    </row>
    <row r="632" spans="1:10">
      <c r="A632" s="2"/>
      <c r="B632" s="2"/>
      <c r="C632" s="120" t="str">
        <f>IF(B632="","",SUMIFS('S-BOM'!$D$3:$D994,'S-BOM'!$C$3:$C994,B632,'S-BOM'!$B$3:$B994,$B$2))</f>
        <v/>
      </c>
      <c r="D632" s="120" t="str">
        <f>IFERROR(IF(B632="","",VLOOKUP(B632,RM!$C$4:$F984,3,FALSE)),"")</f>
        <v/>
      </c>
      <c r="E632" s="118" t="str">
        <f>IF(B632="","",VLOOKUP(B632,RM!$C$4:$G984,14,FALSE))</f>
        <v/>
      </c>
      <c r="F632" s="87" t="str">
        <f t="shared" si="5"/>
        <v/>
      </c>
      <c r="G632" s="87" t="str">
        <f t="shared" si="6"/>
        <v/>
      </c>
      <c r="H632" s="87"/>
      <c r="I632" s="87"/>
      <c r="J632" s="87"/>
    </row>
    <row r="633" spans="1:10">
      <c r="A633" s="2"/>
      <c r="B633" s="2"/>
      <c r="C633" s="120" t="str">
        <f>IF(B633="","",SUMIFS('S-BOM'!$D$3:$D994,'S-BOM'!$C$3:$C994,B633,'S-BOM'!$B$3:$B994,$B$2))</f>
        <v/>
      </c>
      <c r="D633" s="120" t="str">
        <f>IFERROR(IF(B633="","",VLOOKUP(B633,RM!$C$4:$F984,3,FALSE)),"")</f>
        <v/>
      </c>
      <c r="E633" s="118" t="str">
        <f>IF(B633="","",VLOOKUP(B633,RM!$C$4:$G984,14,FALSE))</f>
        <v/>
      </c>
      <c r="F633" s="87" t="str">
        <f t="shared" si="5"/>
        <v/>
      </c>
      <c r="G633" s="87" t="str">
        <f t="shared" si="6"/>
        <v/>
      </c>
      <c r="H633" s="87"/>
      <c r="I633" s="87"/>
      <c r="J633" s="87"/>
    </row>
    <row r="634" spans="1:10">
      <c r="A634" s="2"/>
      <c r="B634" s="2"/>
      <c r="C634" s="120" t="str">
        <f>IF(B634="","",SUMIFS('S-BOM'!$D$3:$D994,'S-BOM'!$C$3:$C994,B634,'S-BOM'!$B$3:$B994,$B$2))</f>
        <v/>
      </c>
      <c r="D634" s="120" t="str">
        <f>IFERROR(IF(B634="","",VLOOKUP(B634,RM!$C$4:$F984,3,FALSE)),"")</f>
        <v/>
      </c>
      <c r="E634" s="118" t="str">
        <f>IF(B634="","",VLOOKUP(B634,RM!$C$4:$G984,14,FALSE))</f>
        <v/>
      </c>
      <c r="F634" s="87" t="str">
        <f t="shared" si="5"/>
        <v/>
      </c>
      <c r="G634" s="87" t="str">
        <f t="shared" si="6"/>
        <v/>
      </c>
      <c r="H634" s="87"/>
      <c r="I634" s="87"/>
      <c r="J634" s="87"/>
    </row>
    <row r="635" spans="1:10">
      <c r="A635" s="2"/>
      <c r="B635" s="2"/>
      <c r="C635" s="120" t="str">
        <f>IF(B635="","",SUMIFS('S-BOM'!$D$3:$D994,'S-BOM'!$C$3:$C994,B635,'S-BOM'!$B$3:$B994,$B$2))</f>
        <v/>
      </c>
      <c r="D635" s="120" t="str">
        <f>IFERROR(IF(B635="","",VLOOKUP(B635,RM!$C$4:$F984,3,FALSE)),"")</f>
        <v/>
      </c>
      <c r="E635" s="118" t="str">
        <f>IF(B635="","",VLOOKUP(B635,RM!$C$4:$G984,14,FALSE))</f>
        <v/>
      </c>
      <c r="F635" s="87" t="str">
        <f t="shared" si="5"/>
        <v/>
      </c>
      <c r="G635" s="87" t="str">
        <f t="shared" si="6"/>
        <v/>
      </c>
      <c r="H635" s="87"/>
      <c r="I635" s="87"/>
      <c r="J635" s="87"/>
    </row>
    <row r="636" spans="1:10">
      <c r="A636" s="2"/>
      <c r="B636" s="2"/>
      <c r="C636" s="120" t="str">
        <f>IF(B636="","",SUMIFS('S-BOM'!$D$3:$D994,'S-BOM'!$C$3:$C994,B636,'S-BOM'!$B$3:$B994,$B$2))</f>
        <v/>
      </c>
      <c r="D636" s="120" t="str">
        <f>IFERROR(IF(B636="","",VLOOKUP(B636,RM!$C$4:$F984,3,FALSE)),"")</f>
        <v/>
      </c>
      <c r="E636" s="118" t="str">
        <f>IF(B636="","",VLOOKUP(B636,RM!$C$4:$G984,14,FALSE))</f>
        <v/>
      </c>
      <c r="F636" s="87" t="str">
        <f t="shared" si="5"/>
        <v/>
      </c>
      <c r="G636" s="87" t="str">
        <f t="shared" si="6"/>
        <v/>
      </c>
      <c r="H636" s="87"/>
      <c r="I636" s="87"/>
      <c r="J636" s="87"/>
    </row>
    <row r="637" spans="1:10">
      <c r="A637" s="2"/>
      <c r="B637" s="2"/>
      <c r="C637" s="120" t="str">
        <f>IF(B637="","",SUMIFS('S-BOM'!$D$3:$D994,'S-BOM'!$C$3:$C994,B637,'S-BOM'!$B$3:$B994,$B$2))</f>
        <v/>
      </c>
      <c r="D637" s="120" t="str">
        <f>IFERROR(IF(B637="","",VLOOKUP(B637,RM!$C$4:$F984,3,FALSE)),"")</f>
        <v/>
      </c>
      <c r="E637" s="118" t="str">
        <f>IF(B637="","",VLOOKUP(B637,RM!$C$4:$G984,14,FALSE))</f>
        <v/>
      </c>
      <c r="F637" s="87" t="str">
        <f t="shared" si="5"/>
        <v/>
      </c>
      <c r="G637" s="87" t="str">
        <f t="shared" si="6"/>
        <v/>
      </c>
      <c r="H637" s="87"/>
      <c r="I637" s="87"/>
      <c r="J637" s="87"/>
    </row>
    <row r="638" spans="1:10">
      <c r="A638" s="2"/>
      <c r="B638" s="2"/>
      <c r="C638" s="120" t="str">
        <f>IF(B638="","",SUMIFS('S-BOM'!$D$3:$D994,'S-BOM'!$C$3:$C994,B638,'S-BOM'!$B$3:$B994,$B$2))</f>
        <v/>
      </c>
      <c r="D638" s="120" t="str">
        <f>IFERROR(IF(B638="","",VLOOKUP(B638,RM!$C$4:$F984,3,FALSE)),"")</f>
        <v/>
      </c>
      <c r="E638" s="118" t="str">
        <f>IF(B638="","",VLOOKUP(B638,RM!$C$4:$G984,14,FALSE))</f>
        <v/>
      </c>
      <c r="F638" s="87" t="str">
        <f t="shared" si="5"/>
        <v/>
      </c>
      <c r="G638" s="87" t="str">
        <f t="shared" si="6"/>
        <v/>
      </c>
      <c r="H638" s="87"/>
      <c r="I638" s="87"/>
      <c r="J638" s="87"/>
    </row>
    <row r="639" spans="1:10">
      <c r="A639" s="2"/>
      <c r="B639" s="2"/>
      <c r="C639" s="120" t="str">
        <f>IF(B639="","",SUMIFS('S-BOM'!$D$3:$D994,'S-BOM'!$C$3:$C994,B639,'S-BOM'!$B$3:$B994,$B$2))</f>
        <v/>
      </c>
      <c r="D639" s="120" t="str">
        <f>IFERROR(IF(B639="","",VLOOKUP(B639,RM!$C$4:$F984,3,FALSE)),"")</f>
        <v/>
      </c>
      <c r="E639" s="118" t="str">
        <f>IF(B639="","",VLOOKUP(B639,RM!$C$4:$G984,14,FALSE))</f>
        <v/>
      </c>
      <c r="F639" s="87" t="str">
        <f t="shared" si="5"/>
        <v/>
      </c>
      <c r="G639" s="87" t="str">
        <f t="shared" si="6"/>
        <v/>
      </c>
      <c r="H639" s="87"/>
      <c r="I639" s="87"/>
      <c r="J639" s="87"/>
    </row>
    <row r="640" spans="1:10">
      <c r="A640" s="2"/>
      <c r="B640" s="2"/>
      <c r="C640" s="120" t="str">
        <f>IF(B640="","",SUMIFS('S-BOM'!$D$3:$D994,'S-BOM'!$C$3:$C994,B640,'S-BOM'!$B$3:$B994,$B$2))</f>
        <v/>
      </c>
      <c r="D640" s="120" t="str">
        <f>IFERROR(IF(B640="","",VLOOKUP(B640,RM!$C$4:$F984,3,FALSE)),"")</f>
        <v/>
      </c>
      <c r="E640" s="118" t="str">
        <f>IF(B640="","",VLOOKUP(B640,RM!$C$4:$G984,14,FALSE))</f>
        <v/>
      </c>
      <c r="F640" s="87" t="str">
        <f t="shared" si="5"/>
        <v/>
      </c>
      <c r="G640" s="87" t="str">
        <f t="shared" si="6"/>
        <v/>
      </c>
      <c r="H640" s="87"/>
      <c r="I640" s="87"/>
      <c r="J640" s="87"/>
    </row>
    <row r="641" spans="1:10">
      <c r="A641" s="2"/>
      <c r="B641" s="2"/>
      <c r="C641" s="120" t="str">
        <f>IF(B641="","",SUMIFS('S-BOM'!$D$3:$D994,'S-BOM'!$C$3:$C994,B641,'S-BOM'!$B$3:$B994,$B$2))</f>
        <v/>
      </c>
      <c r="D641" s="120" t="str">
        <f>IFERROR(IF(B641="","",VLOOKUP(B641,RM!$C$4:$F984,3,FALSE)),"")</f>
        <v/>
      </c>
      <c r="E641" s="118" t="str">
        <f>IF(B641="","",VLOOKUP(B641,RM!$C$4:$G984,14,FALSE))</f>
        <v/>
      </c>
      <c r="F641" s="87" t="str">
        <f t="shared" si="5"/>
        <v/>
      </c>
      <c r="G641" s="87" t="str">
        <f t="shared" si="6"/>
        <v/>
      </c>
      <c r="H641" s="87"/>
      <c r="I641" s="87"/>
      <c r="J641" s="87"/>
    </row>
    <row r="642" spans="1:10">
      <c r="A642" s="2"/>
      <c r="B642" s="2"/>
      <c r="C642" s="120" t="str">
        <f>IF(B642="","",SUMIFS('S-BOM'!$D$3:$D994,'S-BOM'!$C$3:$C994,B642,'S-BOM'!$B$3:$B994,$B$2))</f>
        <v/>
      </c>
      <c r="D642" s="120" t="str">
        <f>IFERROR(IF(B642="","",VLOOKUP(B642,RM!$C$4:$F984,3,FALSE)),"")</f>
        <v/>
      </c>
      <c r="E642" s="118" t="str">
        <f>IF(B642="","",VLOOKUP(B642,RM!$C$4:$G984,14,FALSE))</f>
        <v/>
      </c>
      <c r="F642" s="87" t="str">
        <f t="shared" si="5"/>
        <v/>
      </c>
      <c r="G642" s="87" t="str">
        <f t="shared" si="6"/>
        <v/>
      </c>
      <c r="H642" s="87"/>
      <c r="I642" s="87"/>
      <c r="J642" s="87"/>
    </row>
    <row r="643" spans="1:10">
      <c r="A643" s="2"/>
      <c r="B643" s="2"/>
      <c r="C643" s="120" t="str">
        <f>IF(B643="","",SUMIFS('S-BOM'!$D$3:$D994,'S-BOM'!$C$3:$C994,B643,'S-BOM'!$B$3:$B994,$B$2))</f>
        <v/>
      </c>
      <c r="D643" s="120" t="str">
        <f>IFERROR(IF(B643="","",VLOOKUP(B643,RM!$C$4:$F984,3,FALSE)),"")</f>
        <v/>
      </c>
      <c r="E643" s="118" t="str">
        <f>IF(B643="","",VLOOKUP(B643,RM!$C$4:$G984,14,FALSE))</f>
        <v/>
      </c>
      <c r="F643" s="87" t="str">
        <f t="shared" si="5"/>
        <v/>
      </c>
      <c r="G643" s="87" t="str">
        <f t="shared" si="6"/>
        <v/>
      </c>
      <c r="H643" s="87"/>
      <c r="I643" s="87"/>
      <c r="J643" s="87"/>
    </row>
    <row r="644" spans="1:10">
      <c r="A644" s="2"/>
      <c r="B644" s="2"/>
      <c r="C644" s="120" t="str">
        <f>IF(B644="","",SUMIFS('S-BOM'!$D$3:$D994,'S-BOM'!$C$3:$C994,B644,'S-BOM'!$B$3:$B994,$B$2))</f>
        <v/>
      </c>
      <c r="D644" s="120" t="str">
        <f>IFERROR(IF(B644="","",VLOOKUP(B644,RM!$C$4:$F984,3,FALSE)),"")</f>
        <v/>
      </c>
      <c r="E644" s="118" t="str">
        <f>IF(B644="","",VLOOKUP(B644,RM!$C$4:$G984,14,FALSE))</f>
        <v/>
      </c>
      <c r="F644" s="87" t="str">
        <f t="shared" si="5"/>
        <v/>
      </c>
      <c r="G644" s="87" t="str">
        <f t="shared" si="6"/>
        <v/>
      </c>
      <c r="H644" s="87"/>
      <c r="I644" s="87"/>
      <c r="J644" s="87"/>
    </row>
    <row r="645" spans="1:10">
      <c r="A645" s="2"/>
      <c r="B645" s="2"/>
      <c r="C645" s="120" t="str">
        <f>IF(B645="","",SUMIFS('S-BOM'!$D$3:$D994,'S-BOM'!$C$3:$C994,B645,'S-BOM'!$B$3:$B994,$B$2))</f>
        <v/>
      </c>
      <c r="D645" s="120" t="str">
        <f>IFERROR(IF(B645="","",VLOOKUP(B645,RM!$C$4:$F984,3,FALSE)),"")</f>
        <v/>
      </c>
      <c r="E645" s="118" t="str">
        <f>IF(B645="","",VLOOKUP(B645,RM!$C$4:$G984,14,FALSE))</f>
        <v/>
      </c>
      <c r="F645" s="87" t="str">
        <f t="shared" si="5"/>
        <v/>
      </c>
      <c r="G645" s="87" t="str">
        <f t="shared" si="6"/>
        <v/>
      </c>
      <c r="H645" s="87"/>
      <c r="I645" s="87"/>
      <c r="J645" s="87"/>
    </row>
    <row r="646" spans="1:10">
      <c r="A646" s="2"/>
      <c r="B646" s="2"/>
      <c r="C646" s="120" t="str">
        <f>IF(B646="","",SUMIFS('S-BOM'!$D$3:$D994,'S-BOM'!$C$3:$C994,B646,'S-BOM'!$B$3:$B994,$B$2))</f>
        <v/>
      </c>
      <c r="D646" s="120" t="str">
        <f>IFERROR(IF(B646="","",VLOOKUP(B646,RM!$C$4:$F984,3,FALSE)),"")</f>
        <v/>
      </c>
      <c r="E646" s="118" t="str">
        <f>IF(B646="","",VLOOKUP(B646,RM!$C$4:$G984,14,FALSE))</f>
        <v/>
      </c>
      <c r="F646" s="87" t="str">
        <f t="shared" si="5"/>
        <v/>
      </c>
      <c r="G646" s="87" t="str">
        <f t="shared" si="6"/>
        <v/>
      </c>
      <c r="H646" s="87"/>
      <c r="I646" s="87"/>
      <c r="J646" s="87"/>
    </row>
    <row r="647" spans="1:10">
      <c r="A647" s="2"/>
      <c r="B647" s="2"/>
      <c r="C647" s="120" t="str">
        <f>IF(B647="","",SUMIFS('S-BOM'!$D$3:$D994,'S-BOM'!$C$3:$C994,B647,'S-BOM'!$B$3:$B994,$B$2))</f>
        <v/>
      </c>
      <c r="D647" s="120" t="str">
        <f>IFERROR(IF(B647="","",VLOOKUP(B647,RM!$C$4:$F984,3,FALSE)),"")</f>
        <v/>
      </c>
      <c r="E647" s="118" t="str">
        <f>IF(B647="","",VLOOKUP(B647,RM!$C$4:$G984,14,FALSE))</f>
        <v/>
      </c>
      <c r="F647" s="87" t="str">
        <f t="shared" si="5"/>
        <v/>
      </c>
      <c r="G647" s="87" t="str">
        <f t="shared" si="6"/>
        <v/>
      </c>
      <c r="H647" s="87"/>
      <c r="I647" s="87"/>
      <c r="J647" s="87"/>
    </row>
    <row r="648" spans="1:10">
      <c r="A648" s="2"/>
      <c r="B648" s="2"/>
      <c r="C648" s="120" t="str">
        <f>IF(B648="","",SUMIFS('S-BOM'!$D$3:$D994,'S-BOM'!$C$3:$C994,B648,'S-BOM'!$B$3:$B994,$B$2))</f>
        <v/>
      </c>
      <c r="D648" s="120" t="str">
        <f>IFERROR(IF(B648="","",VLOOKUP(B648,RM!$C$4:$F984,3,FALSE)),"")</f>
        <v/>
      </c>
      <c r="E648" s="118" t="str">
        <f>IF(B648="","",VLOOKUP(B648,RM!$C$4:$G984,14,FALSE))</f>
        <v/>
      </c>
      <c r="F648" s="87" t="str">
        <f t="shared" si="5"/>
        <v/>
      </c>
      <c r="G648" s="87" t="str">
        <f t="shared" si="6"/>
        <v/>
      </c>
      <c r="H648" s="87"/>
      <c r="I648" s="87"/>
      <c r="J648" s="87"/>
    </row>
    <row r="649" spans="1:10">
      <c r="A649" s="2"/>
      <c r="B649" s="2"/>
      <c r="C649" s="120" t="str">
        <f>IF(B649="","",SUMIFS('S-BOM'!$D$3:$D994,'S-BOM'!$C$3:$C994,B649,'S-BOM'!$B$3:$B994,$B$2))</f>
        <v/>
      </c>
      <c r="D649" s="120" t="str">
        <f>IFERROR(IF(B649="","",VLOOKUP(B649,RM!$C$4:$F984,3,FALSE)),"")</f>
        <v/>
      </c>
      <c r="E649" s="118" t="str">
        <f>IF(B649="","",VLOOKUP(B649,RM!$C$4:$G984,14,FALSE))</f>
        <v/>
      </c>
      <c r="F649" s="87" t="str">
        <f t="shared" si="5"/>
        <v/>
      </c>
      <c r="G649" s="87" t="str">
        <f t="shared" si="6"/>
        <v/>
      </c>
      <c r="H649" s="87"/>
      <c r="I649" s="87"/>
      <c r="J649" s="87"/>
    </row>
    <row r="650" spans="1:10">
      <c r="A650" s="2"/>
      <c r="B650" s="2"/>
      <c r="C650" s="120" t="str">
        <f>IF(B650="","",SUMIFS('S-BOM'!$D$3:$D994,'S-BOM'!$C$3:$C994,B650,'S-BOM'!$B$3:$B994,$B$2))</f>
        <v/>
      </c>
      <c r="D650" s="120" t="str">
        <f>IFERROR(IF(B650="","",VLOOKUP(B650,RM!$C$4:$F984,3,FALSE)),"")</f>
        <v/>
      </c>
      <c r="E650" s="118" t="str">
        <f>IF(B650="","",VLOOKUP(B650,RM!$C$4:$G984,14,FALSE))</f>
        <v/>
      </c>
      <c r="F650" s="87" t="str">
        <f t="shared" si="5"/>
        <v/>
      </c>
      <c r="G650" s="87" t="str">
        <f t="shared" si="6"/>
        <v/>
      </c>
      <c r="H650" s="87"/>
      <c r="I650" s="87"/>
      <c r="J650" s="87"/>
    </row>
    <row r="651" spans="1:10">
      <c r="A651" s="2"/>
      <c r="B651" s="2"/>
      <c r="C651" s="120" t="str">
        <f>IF(B651="","",SUMIFS('S-BOM'!$D$3:$D994,'S-BOM'!$C$3:$C994,B651,'S-BOM'!$B$3:$B994,$B$2))</f>
        <v/>
      </c>
      <c r="D651" s="120" t="str">
        <f>IFERROR(IF(B651="","",VLOOKUP(B651,RM!$C$4:$F984,3,FALSE)),"")</f>
        <v/>
      </c>
      <c r="E651" s="118" t="str">
        <f>IF(B651="","",VLOOKUP(B651,RM!$C$4:$G984,14,FALSE))</f>
        <v/>
      </c>
      <c r="F651" s="87" t="str">
        <f t="shared" si="5"/>
        <v/>
      </c>
      <c r="G651" s="87" t="str">
        <f t="shared" si="6"/>
        <v/>
      </c>
      <c r="H651" s="87"/>
      <c r="I651" s="87"/>
      <c r="J651" s="87"/>
    </row>
    <row r="652" spans="1:10">
      <c r="A652" s="2"/>
      <c r="B652" s="2"/>
      <c r="C652" s="120" t="str">
        <f>IF(B652="","",SUMIFS('S-BOM'!$D$3:$D994,'S-BOM'!$C$3:$C994,B652,'S-BOM'!$B$3:$B994,$B$2))</f>
        <v/>
      </c>
      <c r="D652" s="120" t="str">
        <f>IFERROR(IF(B652="","",VLOOKUP(B652,RM!$C$4:$F984,3,FALSE)),"")</f>
        <v/>
      </c>
      <c r="E652" s="118" t="str">
        <f>IF(B652="","",VLOOKUP(B652,RM!$C$4:$G984,14,FALSE))</f>
        <v/>
      </c>
      <c r="F652" s="87" t="str">
        <f t="shared" si="5"/>
        <v/>
      </c>
      <c r="G652" s="87" t="str">
        <f t="shared" si="6"/>
        <v/>
      </c>
      <c r="H652" s="87"/>
      <c r="I652" s="87"/>
      <c r="J652" s="87"/>
    </row>
    <row r="653" spans="1:10">
      <c r="A653" s="2"/>
      <c r="B653" s="2"/>
      <c r="C653" s="120" t="str">
        <f>IF(B653="","",SUMIFS('S-BOM'!$D$3:$D994,'S-BOM'!$C$3:$C994,B653,'S-BOM'!$B$3:$B994,$B$2))</f>
        <v/>
      </c>
      <c r="D653" s="120" t="str">
        <f>IFERROR(IF(B653="","",VLOOKUP(B653,RM!$C$4:$F984,3,FALSE)),"")</f>
        <v/>
      </c>
      <c r="E653" s="118" t="str">
        <f>IF(B653="","",VLOOKUP(B653,RM!$C$4:$G984,14,FALSE))</f>
        <v/>
      </c>
      <c r="F653" s="87" t="str">
        <f t="shared" si="5"/>
        <v/>
      </c>
      <c r="G653" s="87" t="str">
        <f t="shared" si="6"/>
        <v/>
      </c>
      <c r="H653" s="87"/>
      <c r="I653" s="87"/>
      <c r="J653" s="87"/>
    </row>
    <row r="654" spans="1:10">
      <c r="A654" s="2"/>
      <c r="B654" s="2"/>
      <c r="C654" s="120" t="str">
        <f>IF(B654="","",SUMIFS('S-BOM'!$D$3:$D994,'S-BOM'!$C$3:$C994,B654,'S-BOM'!$B$3:$B994,$B$2))</f>
        <v/>
      </c>
      <c r="D654" s="120" t="str">
        <f>IFERROR(IF(B654="","",VLOOKUP(B654,RM!$C$4:$F984,3,FALSE)),"")</f>
        <v/>
      </c>
      <c r="E654" s="118" t="str">
        <f>IF(B654="","",VLOOKUP(B654,RM!$C$4:$G984,14,FALSE))</f>
        <v/>
      </c>
      <c r="F654" s="87" t="str">
        <f t="shared" si="5"/>
        <v/>
      </c>
      <c r="G654" s="87" t="str">
        <f t="shared" si="6"/>
        <v/>
      </c>
      <c r="H654" s="87"/>
      <c r="I654" s="87"/>
      <c r="J654" s="87"/>
    </row>
    <row r="655" spans="1:10">
      <c r="A655" s="2"/>
      <c r="B655" s="2"/>
      <c r="C655" s="120" t="str">
        <f>IF(B655="","",SUMIFS('S-BOM'!$D$3:$D994,'S-BOM'!$C$3:$C994,B655,'S-BOM'!$B$3:$B994,$B$2))</f>
        <v/>
      </c>
      <c r="D655" s="120" t="str">
        <f>IFERROR(IF(B655="","",VLOOKUP(B655,RM!$C$4:$F984,3,FALSE)),"")</f>
        <v/>
      </c>
      <c r="E655" s="118" t="str">
        <f>IF(B655="","",VLOOKUP(B655,RM!$C$4:$G984,14,FALSE))</f>
        <v/>
      </c>
      <c r="F655" s="87" t="str">
        <f t="shared" si="5"/>
        <v/>
      </c>
      <c r="G655" s="87" t="str">
        <f t="shared" si="6"/>
        <v/>
      </c>
      <c r="H655" s="87"/>
      <c r="I655" s="87"/>
      <c r="J655" s="87"/>
    </row>
    <row r="656" spans="1:10">
      <c r="A656" s="2"/>
      <c r="B656" s="2"/>
      <c r="C656" s="120" t="str">
        <f>IF(B656="","",SUMIFS('S-BOM'!$D$3:$D994,'S-BOM'!$C$3:$C994,B656,'S-BOM'!$B$3:$B994,$B$2))</f>
        <v/>
      </c>
      <c r="D656" s="120" t="str">
        <f>IFERROR(IF(B656="","",VLOOKUP(B656,RM!$C$4:$F984,3,FALSE)),"")</f>
        <v/>
      </c>
      <c r="E656" s="118" t="str">
        <f>IF(B656="","",VLOOKUP(B656,RM!$C$4:$G984,14,FALSE))</f>
        <v/>
      </c>
      <c r="F656" s="87" t="str">
        <f t="shared" si="5"/>
        <v/>
      </c>
      <c r="G656" s="87" t="str">
        <f t="shared" si="6"/>
        <v/>
      </c>
      <c r="H656" s="87"/>
      <c r="I656" s="87"/>
      <c r="J656" s="87"/>
    </row>
    <row r="657" spans="1:10">
      <c r="A657" s="2"/>
      <c r="B657" s="2"/>
      <c r="C657" s="120" t="str">
        <f>IF(B657="","",SUMIFS('S-BOM'!$D$3:$D994,'S-BOM'!$C$3:$C994,B657,'S-BOM'!$B$3:$B994,$B$2))</f>
        <v/>
      </c>
      <c r="D657" s="120" t="str">
        <f>IFERROR(IF(B657="","",VLOOKUP(B657,RM!$C$4:$F984,3,FALSE)),"")</f>
        <v/>
      </c>
      <c r="E657" s="118" t="str">
        <f>IF(B657="","",VLOOKUP(B657,RM!$C$4:$G984,14,FALSE))</f>
        <v/>
      </c>
      <c r="F657" s="87" t="str">
        <f t="shared" si="5"/>
        <v/>
      </c>
      <c r="G657" s="87" t="str">
        <f t="shared" si="6"/>
        <v/>
      </c>
      <c r="H657" s="87"/>
      <c r="I657" s="87"/>
      <c r="J657" s="87"/>
    </row>
    <row r="658" spans="1:10">
      <c r="A658" s="2"/>
      <c r="B658" s="2"/>
      <c r="C658" s="120" t="str">
        <f>IF(B658="","",SUMIFS('S-BOM'!$D$3:$D994,'S-BOM'!$C$3:$C994,B658,'S-BOM'!$B$3:$B994,$B$2))</f>
        <v/>
      </c>
      <c r="D658" s="120" t="str">
        <f>IFERROR(IF(B658="","",VLOOKUP(B658,RM!$C$4:$F984,3,FALSE)),"")</f>
        <v/>
      </c>
      <c r="E658" s="118" t="str">
        <f>IF(B658="","",VLOOKUP(B658,RM!$C$4:$G984,14,FALSE))</f>
        <v/>
      </c>
      <c r="F658" s="87" t="str">
        <f t="shared" si="5"/>
        <v/>
      </c>
      <c r="G658" s="87" t="str">
        <f t="shared" si="6"/>
        <v/>
      </c>
      <c r="H658" s="87"/>
      <c r="I658" s="87"/>
      <c r="J658" s="87"/>
    </row>
    <row r="659" spans="1:10">
      <c r="A659" s="2"/>
      <c r="B659" s="2"/>
      <c r="C659" s="120" t="str">
        <f>IF(B659="","",SUMIFS('S-BOM'!$D$3:$D994,'S-BOM'!$C$3:$C994,B659,'S-BOM'!$B$3:$B994,$B$2))</f>
        <v/>
      </c>
      <c r="D659" s="120" t="str">
        <f>IFERROR(IF(B659="","",VLOOKUP(B659,RM!$C$4:$F984,3,FALSE)),"")</f>
        <v/>
      </c>
      <c r="E659" s="118" t="str">
        <f>IF(B659="","",VLOOKUP(B659,RM!$C$4:$G984,14,FALSE))</f>
        <v/>
      </c>
      <c r="F659" s="87" t="str">
        <f t="shared" si="5"/>
        <v/>
      </c>
      <c r="G659" s="87" t="str">
        <f t="shared" si="6"/>
        <v/>
      </c>
      <c r="H659" s="87"/>
      <c r="I659" s="87"/>
      <c r="J659" s="87"/>
    </row>
    <row r="660" spans="1:10">
      <c r="A660" s="2"/>
      <c r="B660" s="2"/>
      <c r="C660" s="120" t="str">
        <f>IF(B660="","",SUMIFS('S-BOM'!$D$3:$D994,'S-BOM'!$C$3:$C994,B660,'S-BOM'!$B$3:$B994,$B$2))</f>
        <v/>
      </c>
      <c r="D660" s="120" t="str">
        <f>IFERROR(IF(B660="","",VLOOKUP(B660,RM!$C$4:$F984,3,FALSE)),"")</f>
        <v/>
      </c>
      <c r="E660" s="118" t="str">
        <f>IF(B660="","",VLOOKUP(B660,RM!$C$4:$G984,14,FALSE))</f>
        <v/>
      </c>
      <c r="F660" s="87" t="str">
        <f t="shared" si="5"/>
        <v/>
      </c>
      <c r="G660" s="87" t="str">
        <f t="shared" si="6"/>
        <v/>
      </c>
      <c r="H660" s="87"/>
      <c r="I660" s="87"/>
      <c r="J660" s="87"/>
    </row>
    <row r="661" spans="1:10">
      <c r="A661" s="2"/>
      <c r="B661" s="2"/>
      <c r="C661" s="120" t="str">
        <f>IF(B661="","",SUMIFS('S-BOM'!$D$3:$D994,'S-BOM'!$C$3:$C994,B661,'S-BOM'!$B$3:$B994,$B$2))</f>
        <v/>
      </c>
      <c r="D661" s="120" t="str">
        <f>IFERROR(IF(B661="","",VLOOKUP(B661,RM!$C$4:$F984,3,FALSE)),"")</f>
        <v/>
      </c>
      <c r="E661" s="118" t="str">
        <f>IF(B661="","",VLOOKUP(B661,RM!$C$4:$G984,14,FALSE))</f>
        <v/>
      </c>
      <c r="F661" s="87" t="str">
        <f t="shared" si="5"/>
        <v/>
      </c>
      <c r="G661" s="87" t="str">
        <f t="shared" si="6"/>
        <v/>
      </c>
      <c r="H661" s="87"/>
      <c r="I661" s="87"/>
      <c r="J661" s="87"/>
    </row>
    <row r="662" spans="1:10">
      <c r="A662" s="2"/>
      <c r="B662" s="2"/>
      <c r="C662" s="120" t="str">
        <f>IF(B662="","",SUMIFS('S-BOM'!$D$3:$D994,'S-BOM'!$C$3:$C994,B662,'S-BOM'!$B$3:$B994,$B$2))</f>
        <v/>
      </c>
      <c r="D662" s="120" t="str">
        <f>IFERROR(IF(B662="","",VLOOKUP(B662,RM!$C$4:$F984,3,FALSE)),"")</f>
        <v/>
      </c>
      <c r="E662" s="118" t="str">
        <f>IF(B662="","",VLOOKUP(B662,RM!$C$4:$G984,14,FALSE))</f>
        <v/>
      </c>
      <c r="F662" s="87" t="str">
        <f t="shared" si="5"/>
        <v/>
      </c>
      <c r="G662" s="87" t="str">
        <f t="shared" si="6"/>
        <v/>
      </c>
      <c r="H662" s="87"/>
      <c r="I662" s="87"/>
      <c r="J662" s="87"/>
    </row>
    <row r="663" spans="1:10">
      <c r="A663" s="2"/>
      <c r="B663" s="2"/>
      <c r="C663" s="120" t="str">
        <f>IF(B663="","",SUMIFS('S-BOM'!$D$3:$D994,'S-BOM'!$C$3:$C994,B663,'S-BOM'!$B$3:$B994,$B$2))</f>
        <v/>
      </c>
      <c r="D663" s="120" t="str">
        <f>IFERROR(IF(B663="","",VLOOKUP(B663,RM!$C$4:$F984,3,FALSE)),"")</f>
        <v/>
      </c>
      <c r="E663" s="118" t="str">
        <f>IF(B663="","",VLOOKUP(B663,RM!$C$4:$G984,14,FALSE))</f>
        <v/>
      </c>
      <c r="F663" s="87" t="str">
        <f t="shared" si="5"/>
        <v/>
      </c>
      <c r="G663" s="87" t="str">
        <f t="shared" si="6"/>
        <v/>
      </c>
      <c r="H663" s="87"/>
      <c r="I663" s="87"/>
      <c r="J663" s="87"/>
    </row>
    <row r="664" spans="1:10">
      <c r="A664" s="2"/>
      <c r="B664" s="2"/>
      <c r="C664" s="120" t="str">
        <f>IF(B664="","",SUMIFS('S-BOM'!$D$3:$D994,'S-BOM'!$C$3:$C994,B664,'S-BOM'!$B$3:$B994,$B$2))</f>
        <v/>
      </c>
      <c r="D664" s="120" t="str">
        <f>IFERROR(IF(B664="","",VLOOKUP(B664,RM!$C$4:$F984,3,FALSE)),"")</f>
        <v/>
      </c>
      <c r="E664" s="118" t="str">
        <f>IF(B664="","",VLOOKUP(B664,RM!$C$4:$G984,14,FALSE))</f>
        <v/>
      </c>
      <c r="F664" s="87" t="str">
        <f t="shared" si="5"/>
        <v/>
      </c>
      <c r="G664" s="87" t="str">
        <f t="shared" si="6"/>
        <v/>
      </c>
      <c r="H664" s="87"/>
      <c r="I664" s="87"/>
      <c r="J664" s="87"/>
    </row>
    <row r="665" spans="1:10">
      <c r="A665" s="2"/>
      <c r="B665" s="2"/>
      <c r="C665" s="120" t="str">
        <f>IF(B665="","",SUMIFS('S-BOM'!$D$3:$D994,'S-BOM'!$C$3:$C994,B665,'S-BOM'!$B$3:$B994,$B$2))</f>
        <v/>
      </c>
      <c r="D665" s="120" t="str">
        <f>IFERROR(IF(B665="","",VLOOKUP(B665,RM!$C$4:$F984,3,FALSE)),"")</f>
        <v/>
      </c>
      <c r="E665" s="118" t="str">
        <f>IF(B665="","",VLOOKUP(B665,RM!$C$4:$G984,14,FALSE))</f>
        <v/>
      </c>
      <c r="F665" s="87" t="str">
        <f t="shared" si="5"/>
        <v/>
      </c>
      <c r="G665" s="87" t="str">
        <f t="shared" si="6"/>
        <v/>
      </c>
      <c r="H665" s="87"/>
      <c r="I665" s="87"/>
      <c r="J665" s="87"/>
    </row>
    <row r="666" spans="1:10">
      <c r="A666" s="2"/>
      <c r="B666" s="2"/>
      <c r="C666" s="120" t="str">
        <f>IF(B666="","",SUMIFS('S-BOM'!$D$3:$D994,'S-BOM'!$C$3:$C994,B666,'S-BOM'!$B$3:$B994,$B$2))</f>
        <v/>
      </c>
      <c r="D666" s="120" t="str">
        <f>IFERROR(IF(B666="","",VLOOKUP(B666,RM!$C$4:$F984,3,FALSE)),"")</f>
        <v/>
      </c>
      <c r="E666" s="118" t="str">
        <f>IF(B666="","",VLOOKUP(B666,RM!$C$4:$G984,14,FALSE))</f>
        <v/>
      </c>
      <c r="F666" s="87" t="str">
        <f t="shared" si="5"/>
        <v/>
      </c>
      <c r="G666" s="87" t="str">
        <f t="shared" si="6"/>
        <v/>
      </c>
      <c r="H666" s="87"/>
      <c r="I666" s="87"/>
      <c r="J666" s="87"/>
    </row>
    <row r="667" spans="1:10">
      <c r="A667" s="2"/>
      <c r="B667" s="2"/>
      <c r="C667" s="120" t="str">
        <f>IF(B667="","",SUMIFS('S-BOM'!$D$3:$D994,'S-BOM'!$C$3:$C994,B667,'S-BOM'!$B$3:$B994,$B$2))</f>
        <v/>
      </c>
      <c r="D667" s="120" t="str">
        <f>IFERROR(IF(B667="","",VLOOKUP(B667,RM!$C$4:$F984,3,FALSE)),"")</f>
        <v/>
      </c>
      <c r="E667" s="118" t="str">
        <f>IF(B667="","",VLOOKUP(B667,RM!$C$4:$G984,14,FALSE))</f>
        <v/>
      </c>
      <c r="F667" s="87" t="str">
        <f t="shared" si="5"/>
        <v/>
      </c>
      <c r="G667" s="87" t="str">
        <f t="shared" si="6"/>
        <v/>
      </c>
      <c r="H667" s="87"/>
      <c r="I667" s="87"/>
      <c r="J667" s="87"/>
    </row>
    <row r="668" spans="1:10">
      <c r="A668" s="2"/>
      <c r="B668" s="2"/>
      <c r="C668" s="120" t="str">
        <f>IF(B668="","",SUMIFS('S-BOM'!$D$3:$D994,'S-BOM'!$C$3:$C994,B668,'S-BOM'!$B$3:$B994,$B$2))</f>
        <v/>
      </c>
      <c r="D668" s="120" t="str">
        <f>IFERROR(IF(B668="","",VLOOKUP(B668,RM!$C$4:$F984,3,FALSE)),"")</f>
        <v/>
      </c>
      <c r="E668" s="118" t="str">
        <f>IF(B668="","",VLOOKUP(B668,RM!$C$4:$G984,14,FALSE))</f>
        <v/>
      </c>
      <c r="F668" s="87" t="str">
        <f t="shared" si="5"/>
        <v/>
      </c>
      <c r="G668" s="87" t="str">
        <f t="shared" si="6"/>
        <v/>
      </c>
      <c r="H668" s="87"/>
      <c r="I668" s="87"/>
      <c r="J668" s="87"/>
    </row>
    <row r="669" spans="1:10">
      <c r="A669" s="2"/>
      <c r="B669" s="2"/>
      <c r="C669" s="120" t="str">
        <f>IF(B669="","",SUMIFS('S-BOM'!$D$3:$D994,'S-BOM'!$C$3:$C994,B669,'S-BOM'!$B$3:$B994,$B$2))</f>
        <v/>
      </c>
      <c r="D669" s="120" t="str">
        <f>IFERROR(IF(B669="","",VLOOKUP(B669,RM!$C$4:$F984,3,FALSE)),"")</f>
        <v/>
      </c>
      <c r="E669" s="118" t="str">
        <f>IF(B669="","",VLOOKUP(B669,RM!$C$4:$G984,14,FALSE))</f>
        <v/>
      </c>
      <c r="F669" s="87" t="str">
        <f t="shared" si="5"/>
        <v/>
      </c>
      <c r="G669" s="87" t="str">
        <f t="shared" si="6"/>
        <v/>
      </c>
      <c r="H669" s="87"/>
      <c r="I669" s="87"/>
      <c r="J669" s="87"/>
    </row>
    <row r="670" spans="1:10">
      <c r="A670" s="2"/>
      <c r="B670" s="2"/>
      <c r="C670" s="120" t="str">
        <f>IF(B670="","",SUMIFS('S-BOM'!$D$3:$D994,'S-BOM'!$C$3:$C994,B670,'S-BOM'!$B$3:$B994,$B$2))</f>
        <v/>
      </c>
      <c r="D670" s="120" t="str">
        <f>IFERROR(IF(B670="","",VLOOKUP(B670,RM!$C$4:$F984,3,FALSE)),"")</f>
        <v/>
      </c>
      <c r="E670" s="118" t="str">
        <f>IF(B670="","",VLOOKUP(B670,RM!$C$4:$G984,14,FALSE))</f>
        <v/>
      </c>
      <c r="F670" s="87" t="str">
        <f t="shared" si="5"/>
        <v/>
      </c>
      <c r="G670" s="87" t="str">
        <f t="shared" si="6"/>
        <v/>
      </c>
      <c r="H670" s="87"/>
      <c r="I670" s="87"/>
      <c r="J670" s="87"/>
    </row>
    <row r="671" spans="1:10">
      <c r="A671" s="2"/>
      <c r="B671" s="2"/>
      <c r="C671" s="120" t="str">
        <f>IF(B671="","",SUMIFS('S-BOM'!$D$3:$D994,'S-BOM'!$C$3:$C994,B671,'S-BOM'!$B$3:$B994,$B$2))</f>
        <v/>
      </c>
      <c r="D671" s="120" t="str">
        <f>IFERROR(IF(B671="","",VLOOKUP(B671,RM!$C$4:$F984,3,FALSE)),"")</f>
        <v/>
      </c>
      <c r="E671" s="118" t="str">
        <f>IF(B671="","",VLOOKUP(B671,RM!$C$4:$G984,14,FALSE))</f>
        <v/>
      </c>
      <c r="F671" s="87" t="str">
        <f t="shared" si="5"/>
        <v/>
      </c>
      <c r="G671" s="87" t="str">
        <f t="shared" si="6"/>
        <v/>
      </c>
      <c r="H671" s="87"/>
      <c r="I671" s="87"/>
      <c r="J671" s="87"/>
    </row>
    <row r="672" spans="1:10">
      <c r="A672" s="2"/>
      <c r="B672" s="2"/>
      <c r="C672" s="120" t="str">
        <f>IF(B672="","",SUMIFS('S-BOM'!$D$3:$D994,'S-BOM'!$C$3:$C994,B672,'S-BOM'!$B$3:$B994,$B$2))</f>
        <v/>
      </c>
      <c r="D672" s="120" t="str">
        <f>IFERROR(IF(B672="","",VLOOKUP(B672,RM!$C$4:$F984,3,FALSE)),"")</f>
        <v/>
      </c>
      <c r="E672" s="118" t="str">
        <f>IF(B672="","",VLOOKUP(B672,RM!$C$4:$G984,14,FALSE))</f>
        <v/>
      </c>
      <c r="F672" s="87" t="str">
        <f t="shared" si="5"/>
        <v/>
      </c>
      <c r="G672" s="87" t="str">
        <f t="shared" si="6"/>
        <v/>
      </c>
      <c r="H672" s="87"/>
      <c r="I672" s="87"/>
      <c r="J672" s="87"/>
    </row>
    <row r="673" spans="1:10">
      <c r="A673" s="2"/>
      <c r="B673" s="2"/>
      <c r="C673" s="120" t="str">
        <f>IF(B673="","",SUMIFS('S-BOM'!$D$3:$D994,'S-BOM'!$C$3:$C994,B673,'S-BOM'!$B$3:$B994,$B$2))</f>
        <v/>
      </c>
      <c r="D673" s="120" t="str">
        <f>IFERROR(IF(B673="","",VLOOKUP(B673,RM!$C$4:$F984,3,FALSE)),"")</f>
        <v/>
      </c>
      <c r="E673" s="118" t="str">
        <f>IF(B673="","",VLOOKUP(B673,RM!$C$4:$G984,14,FALSE))</f>
        <v/>
      </c>
      <c r="F673" s="87" t="str">
        <f t="shared" si="5"/>
        <v/>
      </c>
      <c r="G673" s="87" t="str">
        <f t="shared" si="6"/>
        <v/>
      </c>
      <c r="H673" s="87"/>
      <c r="I673" s="87"/>
      <c r="J673" s="87"/>
    </row>
    <row r="674" spans="1:10">
      <c r="A674" s="2"/>
      <c r="B674" s="2"/>
      <c r="C674" s="120" t="str">
        <f>IF(B674="","",SUMIFS('S-BOM'!$D$3:$D994,'S-BOM'!$C$3:$C994,B674,'S-BOM'!$B$3:$B994,$B$2))</f>
        <v/>
      </c>
      <c r="D674" s="120" t="str">
        <f>IFERROR(IF(B674="","",VLOOKUP(B674,RM!$C$4:$F984,3,FALSE)),"")</f>
        <v/>
      </c>
      <c r="E674" s="118" t="str">
        <f>IF(B674="","",VLOOKUP(B674,RM!$C$4:$G984,14,FALSE))</f>
        <v/>
      </c>
      <c r="F674" s="87" t="str">
        <f t="shared" si="5"/>
        <v/>
      </c>
      <c r="G674" s="87" t="str">
        <f t="shared" si="6"/>
        <v/>
      </c>
      <c r="H674" s="87"/>
      <c r="I674" s="87"/>
      <c r="J674" s="87"/>
    </row>
    <row r="675" spans="1:10">
      <c r="A675" s="2"/>
      <c r="B675" s="2"/>
      <c r="C675" s="120" t="str">
        <f>IF(B675="","",SUMIFS('S-BOM'!$D$3:$D994,'S-BOM'!$C$3:$C994,B675,'S-BOM'!$B$3:$B994,$B$2))</f>
        <v/>
      </c>
      <c r="D675" s="120" t="str">
        <f>IFERROR(IF(B675="","",VLOOKUP(B675,RM!$C$4:$F984,3,FALSE)),"")</f>
        <v/>
      </c>
      <c r="E675" s="118" t="str">
        <f>IF(B675="","",VLOOKUP(B675,RM!$C$4:$G984,14,FALSE))</f>
        <v/>
      </c>
      <c r="F675" s="87" t="str">
        <f t="shared" si="5"/>
        <v/>
      </c>
      <c r="G675" s="87" t="str">
        <f t="shared" si="6"/>
        <v/>
      </c>
      <c r="H675" s="87"/>
      <c r="I675" s="87"/>
      <c r="J675" s="87"/>
    </row>
    <row r="676" spans="1:10">
      <c r="A676" s="2"/>
      <c r="B676" s="2"/>
      <c r="C676" s="120" t="str">
        <f>IF(B676="","",SUMIFS('S-BOM'!$D$3:$D994,'S-BOM'!$C$3:$C994,B676,'S-BOM'!$B$3:$B994,$B$2))</f>
        <v/>
      </c>
      <c r="D676" s="120" t="str">
        <f>IFERROR(IF(B676="","",VLOOKUP(B676,RM!$C$4:$F984,3,FALSE)),"")</f>
        <v/>
      </c>
      <c r="E676" s="118" t="str">
        <f>IF(B676="","",VLOOKUP(B676,RM!$C$4:$G984,14,FALSE))</f>
        <v/>
      </c>
      <c r="F676" s="87" t="str">
        <f t="shared" si="5"/>
        <v/>
      </c>
      <c r="G676" s="87" t="str">
        <f t="shared" si="6"/>
        <v/>
      </c>
      <c r="H676" s="87"/>
      <c r="I676" s="87"/>
      <c r="J676" s="87"/>
    </row>
    <row r="677" spans="1:10">
      <c r="A677" s="2"/>
      <c r="B677" s="2"/>
      <c r="C677" s="120" t="str">
        <f>IF(B677="","",SUMIFS('S-BOM'!$D$3:$D994,'S-BOM'!$C$3:$C994,B677,'S-BOM'!$B$3:$B994,$B$2))</f>
        <v/>
      </c>
      <c r="D677" s="120" t="str">
        <f>IFERROR(IF(B677="","",VLOOKUP(B677,RM!$C$4:$F984,3,FALSE)),"")</f>
        <v/>
      </c>
      <c r="E677" s="118" t="str">
        <f>IF(B677="","",VLOOKUP(B677,RM!$C$4:$G984,14,FALSE))</f>
        <v/>
      </c>
      <c r="F677" s="87" t="str">
        <f t="shared" si="5"/>
        <v/>
      </c>
      <c r="G677" s="87" t="str">
        <f t="shared" si="6"/>
        <v/>
      </c>
      <c r="H677" s="87"/>
      <c r="I677" s="87"/>
      <c r="J677" s="87"/>
    </row>
    <row r="678" spans="1:10">
      <c r="A678" s="2"/>
      <c r="B678" s="2"/>
      <c r="C678" s="120" t="str">
        <f>IF(B678="","",SUMIFS('S-BOM'!$D$3:$D994,'S-BOM'!$C$3:$C994,B678,'S-BOM'!$B$3:$B994,$B$2))</f>
        <v/>
      </c>
      <c r="D678" s="120" t="str">
        <f>IFERROR(IF(B678="","",VLOOKUP(B678,RM!$C$4:$F984,3,FALSE)),"")</f>
        <v/>
      </c>
      <c r="E678" s="118" t="str">
        <f>IF(B678="","",VLOOKUP(B678,RM!$C$4:$G984,14,FALSE))</f>
        <v/>
      </c>
      <c r="F678" s="87" t="str">
        <f t="shared" si="5"/>
        <v/>
      </c>
      <c r="G678" s="87" t="str">
        <f t="shared" si="6"/>
        <v/>
      </c>
      <c r="H678" s="87"/>
      <c r="I678" s="87"/>
      <c r="J678" s="87"/>
    </row>
    <row r="679" spans="1:10">
      <c r="A679" s="2"/>
      <c r="B679" s="2"/>
      <c r="C679" s="120" t="str">
        <f>IF(B679="","",SUMIFS('S-BOM'!$D$3:$D994,'S-BOM'!$C$3:$C994,B679,'S-BOM'!$B$3:$B994,$B$2))</f>
        <v/>
      </c>
      <c r="D679" s="120" t="str">
        <f>IFERROR(IF(B679="","",VLOOKUP(B679,RM!$C$4:$F984,3,FALSE)),"")</f>
        <v/>
      </c>
      <c r="E679" s="118" t="str">
        <f>IF(B679="","",VLOOKUP(B679,RM!$C$4:$G984,14,FALSE))</f>
        <v/>
      </c>
      <c r="F679" s="87" t="str">
        <f t="shared" si="5"/>
        <v/>
      </c>
      <c r="G679" s="87" t="str">
        <f t="shared" si="6"/>
        <v/>
      </c>
      <c r="H679" s="87"/>
      <c r="I679" s="87"/>
      <c r="J679" s="87"/>
    </row>
    <row r="680" spans="1:10">
      <c r="A680" s="2"/>
      <c r="B680" s="2"/>
      <c r="C680" s="120" t="str">
        <f>IF(B680="","",SUMIFS('S-BOM'!$D$3:$D994,'S-BOM'!$C$3:$C994,B680,'S-BOM'!$B$3:$B994,$B$2))</f>
        <v/>
      </c>
      <c r="D680" s="120" t="str">
        <f>IFERROR(IF(B680="","",VLOOKUP(B680,RM!$C$4:$F984,3,FALSE)),"")</f>
        <v/>
      </c>
      <c r="E680" s="118" t="str">
        <f>IF(B680="","",VLOOKUP(B680,RM!$C$4:$G984,14,FALSE))</f>
        <v/>
      </c>
      <c r="F680" s="87" t="str">
        <f t="shared" si="5"/>
        <v/>
      </c>
      <c r="G680" s="87" t="str">
        <f t="shared" si="6"/>
        <v/>
      </c>
      <c r="H680" s="87"/>
      <c r="I680" s="87"/>
      <c r="J680" s="87"/>
    </row>
    <row r="681" spans="1:10">
      <c r="A681" s="2"/>
      <c r="B681" s="2"/>
      <c r="C681" s="120" t="str">
        <f>IF(B681="","",SUMIFS('S-BOM'!$D$3:$D994,'S-BOM'!$C$3:$C994,B681,'S-BOM'!$B$3:$B994,$B$2))</f>
        <v/>
      </c>
      <c r="D681" s="120" t="str">
        <f>IFERROR(IF(B681="","",VLOOKUP(B681,RM!$C$4:$F984,3,FALSE)),"")</f>
        <v/>
      </c>
      <c r="E681" s="118" t="str">
        <f>IF(B681="","",VLOOKUP(B681,RM!$C$4:$G984,14,FALSE))</f>
        <v/>
      </c>
      <c r="F681" s="87" t="str">
        <f t="shared" si="5"/>
        <v/>
      </c>
      <c r="G681" s="87" t="str">
        <f t="shared" si="6"/>
        <v/>
      </c>
      <c r="H681" s="87"/>
      <c r="I681" s="87"/>
      <c r="J681" s="87"/>
    </row>
    <row r="682" spans="1:10">
      <c r="A682" s="2"/>
      <c r="B682" s="2"/>
      <c r="C682" s="120" t="str">
        <f>IF(B682="","",SUMIFS('S-BOM'!$D$3:$D994,'S-BOM'!$C$3:$C994,B682,'S-BOM'!$B$3:$B994,$B$2))</f>
        <v/>
      </c>
      <c r="D682" s="120" t="str">
        <f>IFERROR(IF(B682="","",VLOOKUP(B682,RM!$C$4:$F984,3,FALSE)),"")</f>
        <v/>
      </c>
      <c r="E682" s="118" t="str">
        <f>IF(B682="","",VLOOKUP(B682,RM!$C$4:$G984,14,FALSE))</f>
        <v/>
      </c>
      <c r="F682" s="87" t="str">
        <f t="shared" si="5"/>
        <v/>
      </c>
      <c r="G682" s="87" t="str">
        <f t="shared" si="6"/>
        <v/>
      </c>
      <c r="H682" s="87"/>
      <c r="I682" s="87"/>
      <c r="J682" s="87"/>
    </row>
    <row r="683" spans="1:10">
      <c r="A683" s="2"/>
      <c r="B683" s="2"/>
      <c r="C683" s="120" t="str">
        <f>IF(B683="","",SUMIFS('S-BOM'!$D$3:$D994,'S-BOM'!$C$3:$C994,B683,'S-BOM'!$B$3:$B994,$B$2))</f>
        <v/>
      </c>
      <c r="D683" s="120" t="str">
        <f>IFERROR(IF(B683="","",VLOOKUP(B683,RM!$C$4:$F984,3,FALSE)),"")</f>
        <v/>
      </c>
      <c r="E683" s="118" t="str">
        <f>IF(B683="","",VLOOKUP(B683,RM!$C$4:$G984,14,FALSE))</f>
        <v/>
      </c>
      <c r="F683" s="87" t="str">
        <f t="shared" si="5"/>
        <v/>
      </c>
      <c r="G683" s="87" t="str">
        <f t="shared" si="6"/>
        <v/>
      </c>
      <c r="H683" s="87"/>
      <c r="I683" s="87"/>
      <c r="J683" s="87"/>
    </row>
    <row r="684" spans="1:10">
      <c r="A684" s="2"/>
      <c r="B684" s="2"/>
      <c r="C684" s="120" t="str">
        <f>IF(B684="","",SUMIFS('S-BOM'!$D$3:$D994,'S-BOM'!$C$3:$C994,B684,'S-BOM'!$B$3:$B994,$B$2))</f>
        <v/>
      </c>
      <c r="D684" s="120" t="str">
        <f>IFERROR(IF(B684="","",VLOOKUP(B684,RM!$C$4:$F984,3,FALSE)),"")</f>
        <v/>
      </c>
      <c r="E684" s="118" t="str">
        <f>IF(B684="","",VLOOKUP(B684,RM!$C$4:$G984,14,FALSE))</f>
        <v/>
      </c>
      <c r="F684" s="87" t="str">
        <f t="shared" si="5"/>
        <v/>
      </c>
      <c r="G684" s="87" t="str">
        <f t="shared" si="6"/>
        <v/>
      </c>
      <c r="H684" s="87"/>
      <c r="I684" s="87"/>
      <c r="J684" s="87"/>
    </row>
    <row r="685" spans="1:10">
      <c r="A685" s="2"/>
      <c r="B685" s="2"/>
      <c r="C685" s="120" t="str">
        <f>IF(B685="","",SUMIFS('S-BOM'!$D$3:$D994,'S-BOM'!$C$3:$C994,B685,'S-BOM'!$B$3:$B994,$B$2))</f>
        <v/>
      </c>
      <c r="D685" s="120" t="str">
        <f>IFERROR(IF(B685="","",VLOOKUP(B685,RM!$C$4:$F984,3,FALSE)),"")</f>
        <v/>
      </c>
      <c r="E685" s="118" t="str">
        <f>IF(B685="","",VLOOKUP(B685,RM!$C$4:$G984,14,FALSE))</f>
        <v/>
      </c>
      <c r="F685" s="87" t="str">
        <f t="shared" si="5"/>
        <v/>
      </c>
      <c r="G685" s="87" t="str">
        <f t="shared" si="6"/>
        <v/>
      </c>
      <c r="H685" s="87"/>
      <c r="I685" s="87"/>
      <c r="J685" s="87"/>
    </row>
    <row r="686" spans="1:10">
      <c r="A686" s="2"/>
      <c r="B686" s="2"/>
      <c r="C686" s="120" t="str">
        <f>IF(B686="","",SUMIFS('S-BOM'!$D$3:$D994,'S-BOM'!$C$3:$C994,B686,'S-BOM'!$B$3:$B994,$B$2))</f>
        <v/>
      </c>
      <c r="D686" s="120" t="str">
        <f>IFERROR(IF(B686="","",VLOOKUP(B686,RM!$C$4:$F984,3,FALSE)),"")</f>
        <v/>
      </c>
      <c r="E686" s="118" t="str">
        <f>IF(B686="","",VLOOKUP(B686,RM!$C$4:$G984,14,FALSE))</f>
        <v/>
      </c>
      <c r="F686" s="87" t="str">
        <f t="shared" si="5"/>
        <v/>
      </c>
      <c r="G686" s="87" t="str">
        <f t="shared" si="6"/>
        <v/>
      </c>
      <c r="H686" s="87"/>
      <c r="I686" s="87"/>
      <c r="J686" s="87"/>
    </row>
    <row r="687" spans="1:10">
      <c r="A687" s="2"/>
      <c r="B687" s="2"/>
      <c r="C687" s="120" t="str">
        <f>IF(B687="","",SUMIFS('S-BOM'!$D$3:$D994,'S-BOM'!$C$3:$C994,B687,'S-BOM'!$B$3:$B994,$B$2))</f>
        <v/>
      </c>
      <c r="D687" s="120" t="str">
        <f>IFERROR(IF(B687="","",VLOOKUP(B687,RM!$C$4:$F984,3,FALSE)),"")</f>
        <v/>
      </c>
      <c r="E687" s="118" t="str">
        <f>IF(B687="","",VLOOKUP(B687,RM!$C$4:$G984,14,FALSE))</f>
        <v/>
      </c>
      <c r="F687" s="87" t="str">
        <f t="shared" si="5"/>
        <v/>
      </c>
      <c r="G687" s="87" t="str">
        <f t="shared" si="6"/>
        <v/>
      </c>
      <c r="H687" s="87"/>
      <c r="I687" s="87"/>
      <c r="J687" s="87"/>
    </row>
    <row r="688" spans="1:10">
      <c r="A688" s="2"/>
      <c r="B688" s="2"/>
      <c r="C688" s="120" t="str">
        <f>IF(B688="","",SUMIFS('S-BOM'!$D$3:$D994,'S-BOM'!$C$3:$C994,B688,'S-BOM'!$B$3:$B994,$B$2))</f>
        <v/>
      </c>
      <c r="D688" s="120" t="str">
        <f>IFERROR(IF(B688="","",VLOOKUP(B688,RM!$C$4:$F984,3,FALSE)),"")</f>
        <v/>
      </c>
      <c r="E688" s="118" t="str">
        <f>IF(B688="","",VLOOKUP(B688,RM!$C$4:$G984,14,FALSE))</f>
        <v/>
      </c>
      <c r="F688" s="87" t="str">
        <f t="shared" si="5"/>
        <v/>
      </c>
      <c r="G688" s="87" t="str">
        <f t="shared" si="6"/>
        <v/>
      </c>
      <c r="H688" s="87"/>
      <c r="I688" s="87"/>
      <c r="J688" s="87"/>
    </row>
    <row r="689" spans="1:10">
      <c r="A689" s="2"/>
      <c r="B689" s="2"/>
      <c r="C689" s="120" t="str">
        <f>IF(B689="","",SUMIFS('S-BOM'!$D$3:$D994,'S-BOM'!$C$3:$C994,B689,'S-BOM'!$B$3:$B994,$B$2))</f>
        <v/>
      </c>
      <c r="D689" s="120" t="str">
        <f>IFERROR(IF(B689="","",VLOOKUP(B689,RM!$C$4:$F984,3,FALSE)),"")</f>
        <v/>
      </c>
      <c r="E689" s="118" t="str">
        <f>IF(B689="","",VLOOKUP(B689,RM!$C$4:$G984,14,FALSE))</f>
        <v/>
      </c>
      <c r="F689" s="87" t="str">
        <f t="shared" si="5"/>
        <v/>
      </c>
      <c r="G689" s="87" t="str">
        <f t="shared" si="6"/>
        <v/>
      </c>
      <c r="H689" s="87"/>
      <c r="I689" s="87"/>
      <c r="J689" s="87"/>
    </row>
    <row r="690" spans="1:10">
      <c r="A690" s="2"/>
      <c r="B690" s="2"/>
      <c r="C690" s="120" t="str">
        <f>IF(B690="","",SUMIFS('S-BOM'!$D$3:$D994,'S-BOM'!$C$3:$C994,B690,'S-BOM'!$B$3:$B994,$B$2))</f>
        <v/>
      </c>
      <c r="D690" s="120" t="str">
        <f>IFERROR(IF(B690="","",VLOOKUP(B690,RM!$C$4:$F984,3,FALSE)),"")</f>
        <v/>
      </c>
      <c r="E690" s="118" t="str">
        <f>IF(B690="","",VLOOKUP(B690,RM!$C$4:$G984,14,FALSE))</f>
        <v/>
      </c>
      <c r="F690" s="87" t="str">
        <f t="shared" si="5"/>
        <v/>
      </c>
      <c r="G690" s="87" t="str">
        <f t="shared" si="6"/>
        <v/>
      </c>
      <c r="H690" s="87"/>
      <c r="I690" s="87"/>
      <c r="J690" s="87"/>
    </row>
    <row r="691" spans="1:10">
      <c r="A691" s="2"/>
      <c r="B691" s="2"/>
      <c r="C691" s="120" t="str">
        <f>IF(B691="","",SUMIFS('S-BOM'!$D$3:$D994,'S-BOM'!$C$3:$C994,B691,'S-BOM'!$B$3:$B994,$B$2))</f>
        <v/>
      </c>
      <c r="D691" s="120" t="str">
        <f>IFERROR(IF(B691="","",VLOOKUP(B691,RM!$C$4:$F984,3,FALSE)),"")</f>
        <v/>
      </c>
      <c r="E691" s="118" t="str">
        <f>IF(B691="","",VLOOKUP(B691,RM!$C$4:$G984,14,FALSE))</f>
        <v/>
      </c>
      <c r="F691" s="87" t="str">
        <f t="shared" si="5"/>
        <v/>
      </c>
      <c r="G691" s="87" t="str">
        <f t="shared" si="6"/>
        <v/>
      </c>
      <c r="H691" s="87"/>
      <c r="I691" s="87"/>
      <c r="J691" s="87"/>
    </row>
    <row r="692" spans="1:10">
      <c r="A692" s="2"/>
      <c r="B692" s="2"/>
      <c r="C692" s="120" t="str">
        <f>IF(B692="","",SUMIFS('S-BOM'!$D$3:$D994,'S-BOM'!$C$3:$C994,B692,'S-BOM'!$B$3:$B994,$B$2))</f>
        <v/>
      </c>
      <c r="D692" s="120" t="str">
        <f>IFERROR(IF(B692="","",VLOOKUP(B692,RM!$C$4:$F984,3,FALSE)),"")</f>
        <v/>
      </c>
      <c r="E692" s="118" t="str">
        <f>IF(B692="","",VLOOKUP(B692,RM!$C$4:$G984,14,FALSE))</f>
        <v/>
      </c>
      <c r="F692" s="87" t="str">
        <f t="shared" si="5"/>
        <v/>
      </c>
      <c r="G692" s="87" t="str">
        <f t="shared" si="6"/>
        <v/>
      </c>
      <c r="H692" s="87"/>
      <c r="I692" s="87"/>
      <c r="J692" s="87"/>
    </row>
    <row r="693" spans="1:10">
      <c r="A693" s="2"/>
      <c r="B693" s="2"/>
      <c r="C693" s="120" t="str">
        <f>IF(B693="","",SUMIFS('S-BOM'!$D$3:$D994,'S-BOM'!$C$3:$C994,B693,'S-BOM'!$B$3:$B994,$B$2))</f>
        <v/>
      </c>
      <c r="D693" s="120" t="str">
        <f>IFERROR(IF(B693="","",VLOOKUP(B693,RM!$C$4:$F984,3,FALSE)),"")</f>
        <v/>
      </c>
      <c r="E693" s="118" t="str">
        <f>IF(B693="","",VLOOKUP(B693,RM!$C$4:$G984,14,FALSE))</f>
        <v/>
      </c>
      <c r="F693" s="87" t="str">
        <f t="shared" si="5"/>
        <v/>
      </c>
      <c r="G693" s="87" t="str">
        <f t="shared" si="6"/>
        <v/>
      </c>
      <c r="H693" s="87"/>
      <c r="I693" s="87"/>
      <c r="J693" s="87"/>
    </row>
    <row r="694" spans="1:10">
      <c r="A694" s="2"/>
      <c r="B694" s="2"/>
      <c r="C694" s="120" t="str">
        <f>IF(B694="","",SUMIFS('S-BOM'!$D$3:$D994,'S-BOM'!$C$3:$C994,B694,'S-BOM'!$B$3:$B994,$B$2))</f>
        <v/>
      </c>
      <c r="D694" s="120" t="str">
        <f>IFERROR(IF(B694="","",VLOOKUP(B694,RM!$C$4:$F984,3,FALSE)),"")</f>
        <v/>
      </c>
      <c r="E694" s="118" t="str">
        <f>IF(B694="","",VLOOKUP(B694,RM!$C$4:$G984,14,FALSE))</f>
        <v/>
      </c>
      <c r="F694" s="87" t="str">
        <f t="shared" si="5"/>
        <v/>
      </c>
      <c r="G694" s="87" t="str">
        <f t="shared" si="6"/>
        <v/>
      </c>
      <c r="H694" s="87"/>
      <c r="I694" s="87"/>
      <c r="J694" s="87"/>
    </row>
    <row r="695" spans="1:10">
      <c r="A695" s="2"/>
      <c r="B695" s="2"/>
      <c r="C695" s="120" t="str">
        <f>IF(B695="","",SUMIFS('S-BOM'!$D$3:$D994,'S-BOM'!$C$3:$C994,B695,'S-BOM'!$B$3:$B994,$B$2))</f>
        <v/>
      </c>
      <c r="D695" s="120" t="str">
        <f>IFERROR(IF(B695="","",VLOOKUP(B695,RM!$C$4:$F984,3,FALSE)),"")</f>
        <v/>
      </c>
      <c r="E695" s="118" t="str">
        <f>IF(B695="","",VLOOKUP(B695,RM!$C$4:$G984,14,FALSE))</f>
        <v/>
      </c>
      <c r="F695" s="87" t="str">
        <f t="shared" si="5"/>
        <v/>
      </c>
      <c r="G695" s="87" t="str">
        <f t="shared" si="6"/>
        <v/>
      </c>
      <c r="H695" s="87"/>
      <c r="I695" s="87"/>
      <c r="J695" s="87"/>
    </row>
    <row r="696" spans="1:10">
      <c r="A696" s="2"/>
      <c r="B696" s="2"/>
      <c r="C696" s="120" t="str">
        <f>IF(B696="","",SUMIFS('S-BOM'!$D$3:$D994,'S-BOM'!$C$3:$C994,B696,'S-BOM'!$B$3:$B994,$B$2))</f>
        <v/>
      </c>
      <c r="D696" s="120" t="str">
        <f>IFERROR(IF(B696="","",VLOOKUP(B696,RM!$C$4:$F984,3,FALSE)),"")</f>
        <v/>
      </c>
      <c r="E696" s="118" t="str">
        <f>IF(B696="","",VLOOKUP(B696,RM!$C$4:$G984,14,FALSE))</f>
        <v/>
      </c>
      <c r="F696" s="87" t="str">
        <f t="shared" si="5"/>
        <v/>
      </c>
      <c r="G696" s="87" t="str">
        <f t="shared" si="6"/>
        <v/>
      </c>
      <c r="H696" s="87"/>
      <c r="I696" s="87"/>
      <c r="J696" s="87"/>
    </row>
    <row r="697" spans="1:10">
      <c r="A697" s="2"/>
      <c r="B697" s="2"/>
      <c r="C697" s="120" t="str">
        <f>IF(B697="","",SUMIFS('S-BOM'!$D$3:$D994,'S-BOM'!$C$3:$C994,B697,'S-BOM'!$B$3:$B994,$B$2))</f>
        <v/>
      </c>
      <c r="D697" s="120" t="str">
        <f>IFERROR(IF(B697="","",VLOOKUP(B697,RM!$C$4:$F984,3,FALSE)),"")</f>
        <v/>
      </c>
      <c r="E697" s="118" t="str">
        <f>IF(B697="","",VLOOKUP(B697,RM!$C$4:$G984,14,FALSE))</f>
        <v/>
      </c>
      <c r="F697" s="87" t="str">
        <f t="shared" si="5"/>
        <v/>
      </c>
      <c r="G697" s="87" t="str">
        <f t="shared" si="6"/>
        <v/>
      </c>
      <c r="H697" s="87"/>
      <c r="I697" s="87"/>
      <c r="J697" s="87"/>
    </row>
    <row r="698" spans="1:10">
      <c r="A698" s="2"/>
      <c r="B698" s="2"/>
      <c r="C698" s="120" t="str">
        <f>IF(B698="","",SUMIFS('S-BOM'!$D$3:$D994,'S-BOM'!$C$3:$C994,B698,'S-BOM'!$B$3:$B994,$B$2))</f>
        <v/>
      </c>
      <c r="D698" s="120" t="str">
        <f>IFERROR(IF(B698="","",VLOOKUP(B698,RM!$C$4:$F984,3,FALSE)),"")</f>
        <v/>
      </c>
      <c r="E698" s="118" t="str">
        <f>IF(B698="","",VLOOKUP(B698,RM!$C$4:$G984,14,FALSE))</f>
        <v/>
      </c>
      <c r="F698" s="87" t="str">
        <f t="shared" si="5"/>
        <v/>
      </c>
      <c r="G698" s="87" t="str">
        <f t="shared" si="6"/>
        <v/>
      </c>
      <c r="H698" s="87"/>
      <c r="I698" s="87"/>
      <c r="J698" s="87"/>
    </row>
    <row r="699" spans="1:10">
      <c r="A699" s="2"/>
      <c r="B699" s="2"/>
      <c r="C699" s="120" t="str">
        <f>IF(B699="","",SUMIFS('S-BOM'!$D$3:$D994,'S-BOM'!$C$3:$C994,B699,'S-BOM'!$B$3:$B994,$B$2))</f>
        <v/>
      </c>
      <c r="D699" s="120" t="str">
        <f>IFERROR(IF(B699="","",VLOOKUP(B699,RM!$C$4:$F984,3,FALSE)),"")</f>
        <v/>
      </c>
      <c r="E699" s="118" t="str">
        <f>IF(B699="","",VLOOKUP(B699,RM!$C$4:$G984,14,FALSE))</f>
        <v/>
      </c>
      <c r="F699" s="87" t="str">
        <f t="shared" si="5"/>
        <v/>
      </c>
      <c r="G699" s="87" t="str">
        <f t="shared" si="6"/>
        <v/>
      </c>
      <c r="H699" s="87"/>
      <c r="I699" s="87"/>
      <c r="J699" s="87"/>
    </row>
    <row r="700" spans="1:10">
      <c r="A700" s="2"/>
      <c r="B700" s="2"/>
      <c r="C700" s="120" t="str">
        <f>IF(B700="","",SUMIFS('S-BOM'!$D$3:$D994,'S-BOM'!$C$3:$C994,B700,'S-BOM'!$B$3:$B994,$B$2))</f>
        <v/>
      </c>
      <c r="D700" s="120" t="str">
        <f>IFERROR(IF(B700="","",VLOOKUP(B700,RM!$C$4:$F984,3,FALSE)),"")</f>
        <v/>
      </c>
      <c r="E700" s="118" t="str">
        <f>IF(B700="","",VLOOKUP(B700,RM!$C$4:$G984,14,FALSE))</f>
        <v/>
      </c>
      <c r="F700" s="87" t="str">
        <f t="shared" si="5"/>
        <v/>
      </c>
      <c r="G700" s="87" t="str">
        <f t="shared" si="6"/>
        <v/>
      </c>
      <c r="H700" s="87"/>
      <c r="I700" s="87"/>
      <c r="J700" s="87"/>
    </row>
    <row r="701" spans="1:10">
      <c r="A701" s="2"/>
      <c r="B701" s="2"/>
      <c r="C701" s="120" t="str">
        <f>IF(B701="","",SUMIFS('S-BOM'!$D$3:$D994,'S-BOM'!$C$3:$C994,B701,'S-BOM'!$B$3:$B994,$B$2))</f>
        <v/>
      </c>
      <c r="D701" s="120" t="str">
        <f>IFERROR(IF(B701="","",VLOOKUP(B701,RM!$C$4:$F984,3,FALSE)),"")</f>
        <v/>
      </c>
      <c r="E701" s="118" t="str">
        <f>IF(B701="","",VLOOKUP(B701,RM!$C$4:$G984,14,FALSE))</f>
        <v/>
      </c>
      <c r="F701" s="87" t="str">
        <f t="shared" si="5"/>
        <v/>
      </c>
      <c r="G701" s="87" t="str">
        <f t="shared" si="6"/>
        <v/>
      </c>
      <c r="H701" s="87"/>
      <c r="I701" s="87"/>
      <c r="J701" s="87"/>
    </row>
    <row r="702" spans="1:10">
      <c r="A702" s="2"/>
      <c r="B702" s="2"/>
      <c r="C702" s="120" t="str">
        <f>IF(B702="","",SUMIFS('S-BOM'!$D$3:$D994,'S-BOM'!$C$3:$C994,B702,'S-BOM'!$B$3:$B994,$B$2))</f>
        <v/>
      </c>
      <c r="D702" s="120" t="str">
        <f>IFERROR(IF(B702="","",VLOOKUP(B702,RM!$C$4:$F984,3,FALSE)),"")</f>
        <v/>
      </c>
      <c r="E702" s="118" t="str">
        <f>IF(B702="","",VLOOKUP(B702,RM!$C$4:$G984,14,FALSE))</f>
        <v/>
      </c>
      <c r="F702" s="87" t="str">
        <f t="shared" si="5"/>
        <v/>
      </c>
      <c r="G702" s="87" t="str">
        <f t="shared" si="6"/>
        <v/>
      </c>
      <c r="H702" s="87"/>
      <c r="I702" s="87"/>
      <c r="J702" s="87"/>
    </row>
    <row r="703" spans="1:10">
      <c r="A703" s="2"/>
      <c r="B703" s="2"/>
      <c r="C703" s="120" t="str">
        <f>IF(B703="","",SUMIFS('S-BOM'!$D$3:$D994,'S-BOM'!$C$3:$C994,B703,'S-BOM'!$B$3:$B994,$B$2))</f>
        <v/>
      </c>
      <c r="D703" s="120" t="str">
        <f>IFERROR(IF(B703="","",VLOOKUP(B703,RM!$C$4:$F984,3,FALSE)),"")</f>
        <v/>
      </c>
      <c r="E703" s="118" t="str">
        <f>IF(B703="","",VLOOKUP(B703,RM!$C$4:$G984,14,FALSE))</f>
        <v/>
      </c>
      <c r="F703" s="87" t="str">
        <f t="shared" si="5"/>
        <v/>
      </c>
      <c r="G703" s="87" t="str">
        <f t="shared" si="6"/>
        <v/>
      </c>
      <c r="H703" s="87"/>
      <c r="I703" s="87"/>
      <c r="J703" s="87"/>
    </row>
    <row r="704" spans="1:10">
      <c r="A704" s="2"/>
      <c r="B704" s="2"/>
      <c r="C704" s="120" t="str">
        <f>IF(B704="","",SUMIFS('S-BOM'!$D$3:$D994,'S-BOM'!$C$3:$C994,B704,'S-BOM'!$B$3:$B994,$B$2))</f>
        <v/>
      </c>
      <c r="D704" s="120" t="str">
        <f>IFERROR(IF(B704="","",VLOOKUP(B704,RM!$C$4:$F984,3,FALSE)),"")</f>
        <v/>
      </c>
      <c r="E704" s="118" t="str">
        <f>IF(B704="","",VLOOKUP(B704,RM!$C$4:$G984,14,FALSE))</f>
        <v/>
      </c>
      <c r="F704" s="87" t="str">
        <f t="shared" si="5"/>
        <v/>
      </c>
      <c r="G704" s="87" t="str">
        <f t="shared" si="6"/>
        <v/>
      </c>
      <c r="H704" s="87"/>
      <c r="I704" s="87"/>
      <c r="J704" s="87"/>
    </row>
    <row r="705" spans="1:10">
      <c r="A705" s="2"/>
      <c r="B705" s="2"/>
      <c r="C705" s="120" t="str">
        <f>IF(B705="","",SUMIFS('S-BOM'!$D$3:$D994,'S-BOM'!$C$3:$C994,B705,'S-BOM'!$B$3:$B994,$B$2))</f>
        <v/>
      </c>
      <c r="D705" s="120" t="str">
        <f>IFERROR(IF(B705="","",VLOOKUP(B705,RM!$C$4:$F984,3,FALSE)),"")</f>
        <v/>
      </c>
      <c r="E705" s="118" t="str">
        <f>IF(B705="","",VLOOKUP(B705,RM!$C$4:$G984,14,FALSE))</f>
        <v/>
      </c>
      <c r="F705" s="87" t="str">
        <f t="shared" si="5"/>
        <v/>
      </c>
      <c r="G705" s="87" t="str">
        <f t="shared" si="6"/>
        <v/>
      </c>
      <c r="H705" s="87"/>
      <c r="I705" s="87"/>
      <c r="J705" s="87"/>
    </row>
    <row r="706" spans="1:10">
      <c r="A706" s="2"/>
      <c r="B706" s="2"/>
      <c r="C706" s="120" t="str">
        <f>IF(B706="","",SUMIFS('S-BOM'!$D$3:$D994,'S-BOM'!$C$3:$C994,B706,'S-BOM'!$B$3:$B994,$B$2))</f>
        <v/>
      </c>
      <c r="D706" s="120" t="str">
        <f>IFERROR(IF(B706="","",VLOOKUP(B706,RM!$C$4:$F984,3,FALSE)),"")</f>
        <v/>
      </c>
      <c r="E706" s="118" t="str">
        <f>IF(B706="","",VLOOKUP(B706,RM!$C$4:$G984,14,FALSE))</f>
        <v/>
      </c>
      <c r="F706" s="87" t="str">
        <f t="shared" si="5"/>
        <v/>
      </c>
      <c r="G706" s="87" t="str">
        <f t="shared" si="6"/>
        <v/>
      </c>
      <c r="H706" s="87"/>
      <c r="I706" s="87"/>
      <c r="J706" s="87"/>
    </row>
    <row r="707" spans="1:10">
      <c r="A707" s="2"/>
      <c r="B707" s="2"/>
      <c r="C707" s="120" t="str">
        <f>IF(B707="","",SUMIFS('S-BOM'!$D$3:$D994,'S-BOM'!$C$3:$C994,B707,'S-BOM'!$B$3:$B994,$B$2))</f>
        <v/>
      </c>
      <c r="D707" s="120" t="str">
        <f>IFERROR(IF(B707="","",VLOOKUP(B707,RM!$C$4:$F984,3,FALSE)),"")</f>
        <v/>
      </c>
      <c r="E707" s="118" t="str">
        <f>IF(B707="","",VLOOKUP(B707,RM!$C$4:$G984,14,FALSE))</f>
        <v/>
      </c>
      <c r="F707" s="87" t="str">
        <f t="shared" si="5"/>
        <v/>
      </c>
      <c r="G707" s="87" t="str">
        <f t="shared" si="6"/>
        <v/>
      </c>
      <c r="H707" s="87"/>
      <c r="I707" s="87"/>
      <c r="J707" s="87"/>
    </row>
    <row r="708" spans="1:10">
      <c r="A708" s="2"/>
      <c r="B708" s="2"/>
      <c r="C708" s="120" t="str">
        <f>IF(B708="","",SUMIFS('S-BOM'!$D$3:$D994,'S-BOM'!$C$3:$C994,B708,'S-BOM'!$B$3:$B994,$B$2))</f>
        <v/>
      </c>
      <c r="D708" s="120" t="str">
        <f>IFERROR(IF(B708="","",VLOOKUP(B708,RM!$C$4:$F984,3,FALSE)),"")</f>
        <v/>
      </c>
      <c r="E708" s="118" t="str">
        <f>IF(B708="","",VLOOKUP(B708,RM!$C$4:$G984,14,FALSE))</f>
        <v/>
      </c>
      <c r="F708" s="87" t="str">
        <f t="shared" si="5"/>
        <v/>
      </c>
      <c r="G708" s="87" t="str">
        <f t="shared" si="6"/>
        <v/>
      </c>
      <c r="H708" s="87"/>
      <c r="I708" s="87"/>
      <c r="J708" s="87"/>
    </row>
    <row r="709" spans="1:10">
      <c r="A709" s="2"/>
      <c r="B709" s="2"/>
      <c r="C709" s="120" t="str">
        <f>IF(B709="","",SUMIFS('S-BOM'!$D$3:$D994,'S-BOM'!$C$3:$C994,B709,'S-BOM'!$B$3:$B994,$B$2))</f>
        <v/>
      </c>
      <c r="D709" s="120" t="str">
        <f>IFERROR(IF(B709="","",VLOOKUP(B709,RM!$C$4:$F984,3,FALSE)),"")</f>
        <v/>
      </c>
      <c r="E709" s="118" t="str">
        <f>IF(B709="","",VLOOKUP(B709,RM!$C$4:$G984,14,FALSE))</f>
        <v/>
      </c>
      <c r="F709" s="87" t="str">
        <f t="shared" si="5"/>
        <v/>
      </c>
      <c r="G709" s="87" t="str">
        <f t="shared" si="6"/>
        <v/>
      </c>
      <c r="H709" s="87"/>
      <c r="I709" s="87"/>
      <c r="J709" s="87"/>
    </row>
    <row r="710" spans="1:10">
      <c r="A710" s="2"/>
      <c r="B710" s="2"/>
      <c r="C710" s="120" t="str">
        <f>IF(B710="","",SUMIFS('S-BOM'!$D$3:$D994,'S-BOM'!$C$3:$C994,B710,'S-BOM'!$B$3:$B994,$B$2))</f>
        <v/>
      </c>
      <c r="D710" s="120" t="str">
        <f>IFERROR(IF(B710="","",VLOOKUP(B710,RM!$C$4:$F984,3,FALSE)),"")</f>
        <v/>
      </c>
      <c r="E710" s="118" t="str">
        <f>IF(B710="","",VLOOKUP(B710,RM!$C$4:$G984,14,FALSE))</f>
        <v/>
      </c>
      <c r="F710" s="87" t="str">
        <f t="shared" si="5"/>
        <v/>
      </c>
      <c r="G710" s="87" t="str">
        <f t="shared" si="6"/>
        <v/>
      </c>
      <c r="H710" s="87"/>
      <c r="I710" s="87"/>
      <c r="J710" s="87"/>
    </row>
    <row r="711" spans="1:10">
      <c r="A711" s="2"/>
      <c r="B711" s="2"/>
      <c r="C711" s="120" t="str">
        <f>IF(B711="","",SUMIFS('S-BOM'!$D$3:$D994,'S-BOM'!$C$3:$C994,B711,'S-BOM'!$B$3:$B994,$B$2))</f>
        <v/>
      </c>
      <c r="D711" s="120" t="str">
        <f>IFERROR(IF(B711="","",VLOOKUP(B711,RM!$C$4:$F984,3,FALSE)),"")</f>
        <v/>
      </c>
      <c r="E711" s="118" t="str">
        <f>IF(B711="","",VLOOKUP(B711,RM!$C$4:$G984,14,FALSE))</f>
        <v/>
      </c>
      <c r="F711" s="87" t="str">
        <f t="shared" si="5"/>
        <v/>
      </c>
      <c r="G711" s="87" t="str">
        <f t="shared" si="6"/>
        <v/>
      </c>
      <c r="H711" s="87"/>
      <c r="I711" s="87"/>
      <c r="J711" s="87"/>
    </row>
    <row r="712" spans="1:10">
      <c r="A712" s="2"/>
      <c r="B712" s="2"/>
      <c r="C712" s="120" t="str">
        <f>IF(B712="","",SUMIFS('S-BOM'!$D$3:$D994,'S-BOM'!$C$3:$C994,B712,'S-BOM'!$B$3:$B994,$B$2))</f>
        <v/>
      </c>
      <c r="D712" s="120" t="str">
        <f>IFERROR(IF(B712="","",VLOOKUP(B712,RM!$C$4:$F984,3,FALSE)),"")</f>
        <v/>
      </c>
      <c r="E712" s="118" t="str">
        <f>IF(B712="","",VLOOKUP(B712,RM!$C$4:$G984,14,FALSE))</f>
        <v/>
      </c>
      <c r="F712" s="87" t="str">
        <f t="shared" si="5"/>
        <v/>
      </c>
      <c r="G712" s="87" t="str">
        <f t="shared" si="6"/>
        <v/>
      </c>
      <c r="H712" s="87"/>
      <c r="I712" s="87"/>
      <c r="J712" s="87"/>
    </row>
    <row r="713" spans="1:10">
      <c r="A713" s="2"/>
      <c r="B713" s="2"/>
      <c r="C713" s="120" t="str">
        <f>IF(B713="","",SUMIFS('S-BOM'!$D$3:$D994,'S-BOM'!$C$3:$C994,B713,'S-BOM'!$B$3:$B994,$B$2))</f>
        <v/>
      </c>
      <c r="D713" s="120" t="str">
        <f>IFERROR(IF(B713="","",VLOOKUP(B713,RM!$C$4:$F984,3,FALSE)),"")</f>
        <v/>
      </c>
      <c r="E713" s="118" t="str">
        <f>IF(B713="","",VLOOKUP(B713,RM!$C$4:$G984,14,FALSE))</f>
        <v/>
      </c>
      <c r="F713" s="87" t="str">
        <f t="shared" si="5"/>
        <v/>
      </c>
      <c r="G713" s="87" t="str">
        <f t="shared" si="6"/>
        <v/>
      </c>
      <c r="H713" s="87"/>
      <c r="I713" s="87"/>
      <c r="J713" s="87"/>
    </row>
    <row r="714" spans="1:10">
      <c r="A714" s="2"/>
      <c r="B714" s="2"/>
      <c r="C714" s="120" t="str">
        <f>IF(B714="","",SUMIFS('S-BOM'!$D$3:$D994,'S-BOM'!$C$3:$C994,B714,'S-BOM'!$B$3:$B994,$B$2))</f>
        <v/>
      </c>
      <c r="D714" s="120" t="str">
        <f>IFERROR(IF(B714="","",VLOOKUP(B714,RM!$C$4:$F984,3,FALSE)),"")</f>
        <v/>
      </c>
      <c r="E714" s="118" t="str">
        <f>IF(B714="","",VLOOKUP(B714,RM!$C$4:$G984,14,FALSE))</f>
        <v/>
      </c>
      <c r="F714" s="87" t="str">
        <f t="shared" si="5"/>
        <v/>
      </c>
      <c r="G714" s="87" t="str">
        <f t="shared" si="6"/>
        <v/>
      </c>
      <c r="H714" s="87"/>
      <c r="I714" s="87"/>
      <c r="J714" s="87"/>
    </row>
    <row r="715" spans="1:10">
      <c r="A715" s="2"/>
      <c r="B715" s="2"/>
      <c r="C715" s="120" t="str">
        <f>IF(B715="","",SUMIFS('S-BOM'!$D$3:$D994,'S-BOM'!$C$3:$C994,B715,'S-BOM'!$B$3:$B994,$B$2))</f>
        <v/>
      </c>
      <c r="D715" s="120" t="str">
        <f>IFERROR(IF(B715="","",VLOOKUP(B715,RM!$C$4:$F984,3,FALSE)),"")</f>
        <v/>
      </c>
      <c r="E715" s="118" t="str">
        <f>IF(B715="","",VLOOKUP(B715,RM!$C$4:$G984,14,FALSE))</f>
        <v/>
      </c>
      <c r="F715" s="87" t="str">
        <f t="shared" si="5"/>
        <v/>
      </c>
      <c r="G715" s="87" t="str">
        <f t="shared" si="6"/>
        <v/>
      </c>
      <c r="H715" s="87"/>
      <c r="I715" s="87"/>
      <c r="J715" s="87"/>
    </row>
    <row r="716" spans="1:10">
      <c r="A716" s="2"/>
      <c r="B716" s="2"/>
      <c r="C716" s="120" t="str">
        <f>IF(B716="","",SUMIFS('S-BOM'!$D$3:$D994,'S-BOM'!$C$3:$C994,B716,'S-BOM'!$B$3:$B994,$B$2))</f>
        <v/>
      </c>
      <c r="D716" s="120" t="str">
        <f>IFERROR(IF(B716="","",VLOOKUP(B716,RM!$C$4:$F984,3,FALSE)),"")</f>
        <v/>
      </c>
      <c r="E716" s="118" t="str">
        <f>IF(B716="","",VLOOKUP(B716,RM!$C$4:$G984,14,FALSE))</f>
        <v/>
      </c>
      <c r="F716" s="87" t="str">
        <f t="shared" si="5"/>
        <v/>
      </c>
      <c r="G716" s="87" t="str">
        <f t="shared" si="6"/>
        <v/>
      </c>
      <c r="H716" s="87"/>
      <c r="I716" s="87"/>
      <c r="J716" s="87"/>
    </row>
    <row r="717" spans="1:10">
      <c r="A717" s="2"/>
      <c r="B717" s="2"/>
      <c r="C717" s="120" t="str">
        <f>IF(B717="","",SUMIFS('S-BOM'!$D$3:$D994,'S-BOM'!$C$3:$C994,B717,'S-BOM'!$B$3:$B994,$B$2))</f>
        <v/>
      </c>
      <c r="D717" s="120" t="str">
        <f>IFERROR(IF(B717="","",VLOOKUP(B717,RM!$C$4:$F984,3,FALSE)),"")</f>
        <v/>
      </c>
      <c r="E717" s="118" t="str">
        <f>IF(B717="","",VLOOKUP(B717,RM!$C$4:$G984,14,FALSE))</f>
        <v/>
      </c>
      <c r="F717" s="87" t="str">
        <f t="shared" si="5"/>
        <v/>
      </c>
      <c r="G717" s="87" t="str">
        <f t="shared" si="6"/>
        <v/>
      </c>
      <c r="H717" s="87"/>
      <c r="I717" s="87"/>
      <c r="J717" s="87"/>
    </row>
    <row r="718" spans="1:10">
      <c r="A718" s="2"/>
      <c r="B718" s="2"/>
      <c r="C718" s="120" t="str">
        <f>IF(B718="","",SUMIFS('S-BOM'!$D$3:$D994,'S-BOM'!$C$3:$C994,B718,'S-BOM'!$B$3:$B994,$B$2))</f>
        <v/>
      </c>
      <c r="D718" s="120" t="str">
        <f>IFERROR(IF(B718="","",VLOOKUP(B718,RM!$C$4:$F984,3,FALSE)),"")</f>
        <v/>
      </c>
      <c r="E718" s="118" t="str">
        <f>IF(B718="","",VLOOKUP(B718,RM!$C$4:$G984,14,FALSE))</f>
        <v/>
      </c>
      <c r="F718" s="87" t="str">
        <f t="shared" si="5"/>
        <v/>
      </c>
      <c r="G718" s="87" t="str">
        <f t="shared" si="6"/>
        <v/>
      </c>
      <c r="H718" s="87"/>
      <c r="I718" s="87"/>
      <c r="J718" s="87"/>
    </row>
    <row r="719" spans="1:10">
      <c r="A719" s="2"/>
      <c r="B719" s="2"/>
      <c r="C719" s="120" t="str">
        <f>IF(B719="","",SUMIFS('S-BOM'!$D$3:$D994,'S-BOM'!$C$3:$C994,B719,'S-BOM'!$B$3:$B994,$B$2))</f>
        <v/>
      </c>
      <c r="D719" s="120" t="str">
        <f>IFERROR(IF(B719="","",VLOOKUP(B719,RM!$C$4:$F984,3,FALSE)),"")</f>
        <v/>
      </c>
      <c r="E719" s="118" t="str">
        <f>IF(B719="","",VLOOKUP(B719,RM!$C$4:$G984,14,FALSE))</f>
        <v/>
      </c>
      <c r="F719" s="87" t="str">
        <f t="shared" si="5"/>
        <v/>
      </c>
      <c r="G719" s="87" t="str">
        <f t="shared" si="6"/>
        <v/>
      </c>
      <c r="H719" s="87"/>
      <c r="I719" s="87"/>
      <c r="J719" s="87"/>
    </row>
    <row r="720" spans="1:10">
      <c r="A720" s="2"/>
      <c r="B720" s="2"/>
      <c r="C720" s="120" t="str">
        <f>IF(B720="","",SUMIFS('S-BOM'!$D$3:$D994,'S-BOM'!$C$3:$C994,B720,'S-BOM'!$B$3:$B994,$B$2))</f>
        <v/>
      </c>
      <c r="D720" s="120" t="str">
        <f>IFERROR(IF(B720="","",VLOOKUP(B720,RM!$C$4:$F984,3,FALSE)),"")</f>
        <v/>
      </c>
      <c r="E720" s="118" t="str">
        <f>IF(B720="","",VLOOKUP(B720,RM!$C$4:$G984,14,FALSE))</f>
        <v/>
      </c>
      <c r="F720" s="87" t="str">
        <f t="shared" si="5"/>
        <v/>
      </c>
      <c r="G720" s="87" t="str">
        <f t="shared" si="6"/>
        <v/>
      </c>
      <c r="H720" s="87"/>
      <c r="I720" s="87"/>
      <c r="J720" s="87"/>
    </row>
    <row r="721" spans="1:10">
      <c r="A721" s="2"/>
      <c r="B721" s="2"/>
      <c r="C721" s="120" t="str">
        <f>IF(B721="","",SUMIFS('S-BOM'!$D$3:$D994,'S-BOM'!$C$3:$C994,B721,'S-BOM'!$B$3:$B994,$B$2))</f>
        <v/>
      </c>
      <c r="D721" s="120" t="str">
        <f>IFERROR(IF(B721="","",VLOOKUP(B721,RM!$C$4:$F984,3,FALSE)),"")</f>
        <v/>
      </c>
      <c r="E721" s="118" t="str">
        <f>IF(B721="","",VLOOKUP(B721,RM!$C$4:$G984,14,FALSE))</f>
        <v/>
      </c>
      <c r="F721" s="87" t="str">
        <f t="shared" si="5"/>
        <v/>
      </c>
      <c r="G721" s="87" t="str">
        <f t="shared" si="6"/>
        <v/>
      </c>
      <c r="H721" s="87"/>
      <c r="I721" s="87"/>
      <c r="J721" s="87"/>
    </row>
    <row r="722" spans="1:10">
      <c r="A722" s="2"/>
      <c r="B722" s="2"/>
      <c r="C722" s="120" t="str">
        <f>IF(B722="","",SUMIFS('S-BOM'!$D$3:$D994,'S-BOM'!$C$3:$C994,B722,'S-BOM'!$B$3:$B994,$B$2))</f>
        <v/>
      </c>
      <c r="D722" s="120" t="str">
        <f>IFERROR(IF(B722="","",VLOOKUP(B722,RM!$C$4:$F984,3,FALSE)),"")</f>
        <v/>
      </c>
      <c r="E722" s="118" t="str">
        <f>IF(B722="","",VLOOKUP(B722,RM!$C$4:$G984,14,FALSE))</f>
        <v/>
      </c>
      <c r="F722" s="87" t="str">
        <f t="shared" si="5"/>
        <v/>
      </c>
      <c r="G722" s="87" t="str">
        <f t="shared" si="6"/>
        <v/>
      </c>
      <c r="H722" s="87"/>
      <c r="I722" s="87"/>
      <c r="J722" s="87"/>
    </row>
    <row r="723" spans="1:10">
      <c r="A723" s="2"/>
      <c r="B723" s="2"/>
      <c r="C723" s="120" t="str">
        <f>IF(B723="","",SUMIFS('S-BOM'!$D$3:$D994,'S-BOM'!$C$3:$C994,B723,'S-BOM'!$B$3:$B994,$B$2))</f>
        <v/>
      </c>
      <c r="D723" s="120" t="str">
        <f>IFERROR(IF(B723="","",VLOOKUP(B723,RM!$C$4:$F984,3,FALSE)),"")</f>
        <v/>
      </c>
      <c r="E723" s="118" t="str">
        <f>IF(B723="","",VLOOKUP(B723,RM!$C$4:$G984,14,FALSE))</f>
        <v/>
      </c>
      <c r="F723" s="87" t="str">
        <f t="shared" si="5"/>
        <v/>
      </c>
      <c r="G723" s="87" t="str">
        <f t="shared" si="6"/>
        <v/>
      </c>
      <c r="H723" s="87"/>
      <c r="I723" s="87"/>
      <c r="J723" s="87"/>
    </row>
    <row r="724" spans="1:10">
      <c r="A724" s="2"/>
      <c r="B724" s="2"/>
      <c r="C724" s="120" t="str">
        <f>IF(B724="","",SUMIFS('S-BOM'!$D$3:$D994,'S-BOM'!$C$3:$C994,B724,'S-BOM'!$B$3:$B994,$B$2))</f>
        <v/>
      </c>
      <c r="D724" s="120" t="str">
        <f>IFERROR(IF(B724="","",VLOOKUP(B724,RM!$C$4:$F984,3,FALSE)),"")</f>
        <v/>
      </c>
      <c r="E724" s="118" t="str">
        <f>IF(B724="","",VLOOKUP(B724,RM!$C$4:$G984,14,FALSE))</f>
        <v/>
      </c>
      <c r="F724" s="87" t="str">
        <f t="shared" si="5"/>
        <v/>
      </c>
      <c r="G724" s="87" t="str">
        <f t="shared" si="6"/>
        <v/>
      </c>
      <c r="H724" s="87"/>
      <c r="I724" s="87"/>
      <c r="J724" s="87"/>
    </row>
    <row r="725" spans="1:10">
      <c r="A725" s="2"/>
      <c r="B725" s="2"/>
      <c r="C725" s="120" t="str">
        <f>IF(B725="","",SUMIFS('S-BOM'!$D$3:$D994,'S-BOM'!$C$3:$C994,B725,'S-BOM'!$B$3:$B994,$B$2))</f>
        <v/>
      </c>
      <c r="D725" s="120" t="str">
        <f>IFERROR(IF(B725="","",VLOOKUP(B725,RM!$C$4:$F984,3,FALSE)),"")</f>
        <v/>
      </c>
      <c r="E725" s="118" t="str">
        <f>IF(B725="","",VLOOKUP(B725,RM!$C$4:$G984,14,FALSE))</f>
        <v/>
      </c>
      <c r="F725" s="87" t="str">
        <f t="shared" si="5"/>
        <v/>
      </c>
      <c r="G725" s="87" t="str">
        <f t="shared" si="6"/>
        <v/>
      </c>
      <c r="H725" s="87"/>
      <c r="I725" s="87"/>
      <c r="J725" s="87"/>
    </row>
    <row r="726" spans="1:10">
      <c r="A726" s="2"/>
      <c r="B726" s="2"/>
      <c r="C726" s="120" t="str">
        <f>IF(B726="","",SUMIFS('S-BOM'!$D$3:$D994,'S-BOM'!$C$3:$C994,B726,'S-BOM'!$B$3:$B994,$B$2))</f>
        <v/>
      </c>
      <c r="D726" s="120" t="str">
        <f>IFERROR(IF(B726="","",VLOOKUP(B726,RM!$C$4:$F984,3,FALSE)),"")</f>
        <v/>
      </c>
      <c r="E726" s="118" t="str">
        <f>IF(B726="","",VLOOKUP(B726,RM!$C$4:$G984,14,FALSE))</f>
        <v/>
      </c>
      <c r="F726" s="87" t="str">
        <f t="shared" si="5"/>
        <v/>
      </c>
      <c r="G726" s="87" t="str">
        <f t="shared" si="6"/>
        <v/>
      </c>
      <c r="H726" s="87"/>
      <c r="I726" s="87"/>
      <c r="J726" s="87"/>
    </row>
    <row r="727" spans="1:10">
      <c r="A727" s="2"/>
      <c r="B727" s="2"/>
      <c r="C727" s="120" t="str">
        <f>IF(B727="","",SUMIFS('S-BOM'!$D$3:$D994,'S-BOM'!$C$3:$C994,B727,'S-BOM'!$B$3:$B994,$B$2))</f>
        <v/>
      </c>
      <c r="D727" s="120" t="str">
        <f>IFERROR(IF(B727="","",VLOOKUP(B727,RM!$C$4:$F984,3,FALSE)),"")</f>
        <v/>
      </c>
      <c r="E727" s="118" t="str">
        <f>IF(B727="","",VLOOKUP(B727,RM!$C$4:$G984,14,FALSE))</f>
        <v/>
      </c>
      <c r="F727" s="87" t="str">
        <f t="shared" si="5"/>
        <v/>
      </c>
      <c r="G727" s="87" t="str">
        <f t="shared" si="6"/>
        <v/>
      </c>
      <c r="H727" s="87"/>
      <c r="I727" s="87"/>
      <c r="J727" s="87"/>
    </row>
    <row r="728" spans="1:10">
      <c r="A728" s="2"/>
      <c r="B728" s="2"/>
      <c r="C728" s="120" t="str">
        <f>IF(B728="","",SUMIFS('S-BOM'!$D$3:$D994,'S-BOM'!$C$3:$C994,B728,'S-BOM'!$B$3:$B994,$B$2))</f>
        <v/>
      </c>
      <c r="D728" s="120" t="str">
        <f>IFERROR(IF(B728="","",VLOOKUP(B728,RM!$C$4:$F984,3,FALSE)),"")</f>
        <v/>
      </c>
      <c r="E728" s="118" t="str">
        <f>IF(B728="","",VLOOKUP(B728,RM!$C$4:$G984,14,FALSE))</f>
        <v/>
      </c>
      <c r="F728" s="87" t="str">
        <f t="shared" si="5"/>
        <v/>
      </c>
      <c r="G728" s="87" t="str">
        <f t="shared" si="6"/>
        <v/>
      </c>
      <c r="H728" s="87"/>
      <c r="I728" s="87"/>
      <c r="J728" s="87"/>
    </row>
    <row r="729" spans="1:10">
      <c r="A729" s="2"/>
      <c r="B729" s="2"/>
      <c r="C729" s="120" t="str">
        <f>IF(B729="","",SUMIFS('S-BOM'!$D$3:$D994,'S-BOM'!$C$3:$C994,B729,'S-BOM'!$B$3:$B994,$B$2))</f>
        <v/>
      </c>
      <c r="D729" s="120" t="str">
        <f>IFERROR(IF(B729="","",VLOOKUP(B729,RM!$C$4:$F984,3,FALSE)),"")</f>
        <v/>
      </c>
      <c r="E729" s="118" t="str">
        <f>IF(B729="","",VLOOKUP(B729,RM!$C$4:$G984,14,FALSE))</f>
        <v/>
      </c>
      <c r="F729" s="87" t="str">
        <f t="shared" si="5"/>
        <v/>
      </c>
      <c r="G729" s="87" t="str">
        <f t="shared" si="6"/>
        <v/>
      </c>
      <c r="H729" s="87"/>
      <c r="I729" s="87"/>
      <c r="J729" s="87"/>
    </row>
    <row r="730" spans="1:10">
      <c r="A730" s="2"/>
      <c r="B730" s="2"/>
      <c r="C730" s="120" t="str">
        <f>IF(B730="","",SUMIFS('S-BOM'!$D$3:$D994,'S-BOM'!$C$3:$C994,B730,'S-BOM'!$B$3:$B994,$B$2))</f>
        <v/>
      </c>
      <c r="D730" s="120" t="str">
        <f>IFERROR(IF(B730="","",VLOOKUP(B730,RM!$C$4:$F984,3,FALSE)),"")</f>
        <v/>
      </c>
      <c r="E730" s="118" t="str">
        <f>IF(B730="","",VLOOKUP(B730,RM!$C$4:$G984,14,FALSE))</f>
        <v/>
      </c>
      <c r="F730" s="87" t="str">
        <f t="shared" si="5"/>
        <v/>
      </c>
      <c r="G730" s="87" t="str">
        <f t="shared" si="6"/>
        <v/>
      </c>
      <c r="H730" s="87"/>
      <c r="I730" s="87"/>
      <c r="J730" s="87"/>
    </row>
    <row r="731" spans="1:10">
      <c r="A731" s="2"/>
      <c r="B731" s="2"/>
      <c r="C731" s="120" t="str">
        <f>IF(B731="","",SUMIFS('S-BOM'!$D$3:$D994,'S-BOM'!$C$3:$C994,B731,'S-BOM'!$B$3:$B994,$B$2))</f>
        <v/>
      </c>
      <c r="D731" s="120" t="str">
        <f>IFERROR(IF(B731="","",VLOOKUP(B731,RM!$C$4:$F984,3,FALSE)),"")</f>
        <v/>
      </c>
      <c r="E731" s="118" t="str">
        <f>IF(B731="","",VLOOKUP(B731,RM!$C$4:$G984,14,FALSE))</f>
        <v/>
      </c>
      <c r="F731" s="87" t="str">
        <f t="shared" si="5"/>
        <v/>
      </c>
      <c r="G731" s="87" t="str">
        <f t="shared" si="6"/>
        <v/>
      </c>
      <c r="H731" s="87"/>
      <c r="I731" s="87"/>
      <c r="J731" s="87"/>
    </row>
    <row r="732" spans="1:10">
      <c r="A732" s="2"/>
      <c r="B732" s="2"/>
      <c r="C732" s="120" t="str">
        <f>IF(B732="","",SUMIFS('S-BOM'!$D$3:$D994,'S-BOM'!$C$3:$C994,B732,'S-BOM'!$B$3:$B994,$B$2))</f>
        <v/>
      </c>
      <c r="D732" s="120" t="str">
        <f>IFERROR(IF(B732="","",VLOOKUP(B732,RM!$C$4:$F984,3,FALSE)),"")</f>
        <v/>
      </c>
      <c r="E732" s="118" t="str">
        <f>IF(B732="","",VLOOKUP(B732,RM!$C$4:$G984,14,FALSE))</f>
        <v/>
      </c>
      <c r="F732" s="87" t="str">
        <f t="shared" si="5"/>
        <v/>
      </c>
      <c r="G732" s="87" t="str">
        <f t="shared" si="6"/>
        <v/>
      </c>
      <c r="H732" s="87"/>
      <c r="I732" s="87"/>
      <c r="J732" s="87"/>
    </row>
    <row r="733" spans="1:10">
      <c r="A733" s="2"/>
      <c r="B733" s="2"/>
      <c r="C733" s="120" t="str">
        <f>IF(B733="","",SUMIFS('S-BOM'!$D$3:$D994,'S-BOM'!$C$3:$C994,B733,'S-BOM'!$B$3:$B994,$B$2))</f>
        <v/>
      </c>
      <c r="D733" s="120" t="str">
        <f>IFERROR(IF(B733="","",VLOOKUP(B733,RM!$C$4:$F984,3,FALSE)),"")</f>
        <v/>
      </c>
      <c r="E733" s="118" t="str">
        <f>IF(B733="","",VLOOKUP(B733,RM!$C$4:$G984,14,FALSE))</f>
        <v/>
      </c>
      <c r="F733" s="87" t="str">
        <f t="shared" si="5"/>
        <v/>
      </c>
      <c r="G733" s="87" t="str">
        <f t="shared" si="6"/>
        <v/>
      </c>
      <c r="H733" s="87"/>
      <c r="I733" s="87"/>
      <c r="J733" s="87"/>
    </row>
    <row r="734" spans="1:10">
      <c r="A734" s="2"/>
      <c r="B734" s="2"/>
      <c r="C734" s="120" t="str">
        <f>IF(B734="","",SUMIFS('S-BOM'!$D$3:$D994,'S-BOM'!$C$3:$C994,B734,'S-BOM'!$B$3:$B994,$B$2))</f>
        <v/>
      </c>
      <c r="D734" s="120" t="str">
        <f>IFERROR(IF(B734="","",VLOOKUP(B734,RM!$C$4:$F984,3,FALSE)),"")</f>
        <v/>
      </c>
      <c r="E734" s="118" t="str">
        <f>IF(B734="","",VLOOKUP(B734,RM!$C$4:$G984,14,FALSE))</f>
        <v/>
      </c>
      <c r="F734" s="87" t="str">
        <f t="shared" si="5"/>
        <v/>
      </c>
      <c r="G734" s="87" t="str">
        <f t="shared" si="6"/>
        <v/>
      </c>
      <c r="H734" s="87"/>
      <c r="I734" s="87"/>
      <c r="J734" s="87"/>
    </row>
    <row r="735" spans="1:10">
      <c r="A735" s="2"/>
      <c r="B735" s="2"/>
      <c r="C735" s="120" t="str">
        <f>IF(B735="","",SUMIFS('S-BOM'!$D$3:$D994,'S-BOM'!$C$3:$C994,B735,'S-BOM'!$B$3:$B994,$B$2))</f>
        <v/>
      </c>
      <c r="D735" s="120" t="str">
        <f>IFERROR(IF(B735="","",VLOOKUP(B735,RM!$C$4:$F984,3,FALSE)),"")</f>
        <v/>
      </c>
      <c r="E735" s="118" t="str">
        <f>IF(B735="","",VLOOKUP(B735,RM!$C$4:$G984,14,FALSE))</f>
        <v/>
      </c>
      <c r="F735" s="87" t="str">
        <f t="shared" si="5"/>
        <v/>
      </c>
      <c r="G735" s="87" t="str">
        <f t="shared" si="6"/>
        <v/>
      </c>
      <c r="H735" s="87"/>
      <c r="I735" s="87"/>
      <c r="J735" s="87"/>
    </row>
    <row r="736" spans="1:10">
      <c r="A736" s="2"/>
      <c r="B736" s="2"/>
      <c r="C736" s="120" t="str">
        <f>IF(B736="","",SUMIFS('S-BOM'!$D$3:$D994,'S-BOM'!$C$3:$C994,B736,'S-BOM'!$B$3:$B994,$B$2))</f>
        <v/>
      </c>
      <c r="D736" s="120" t="str">
        <f>IFERROR(IF(B736="","",VLOOKUP(B736,RM!$C$4:$F984,3,FALSE)),"")</f>
        <v/>
      </c>
      <c r="E736" s="118" t="str">
        <f>IF(B736="","",VLOOKUP(B736,RM!$C$4:$G984,14,FALSE))</f>
        <v/>
      </c>
      <c r="F736" s="87" t="str">
        <f t="shared" si="5"/>
        <v/>
      </c>
      <c r="G736" s="87" t="str">
        <f t="shared" si="6"/>
        <v/>
      </c>
      <c r="H736" s="87"/>
      <c r="I736" s="87"/>
      <c r="J736" s="87"/>
    </row>
    <row r="737" spans="1:10">
      <c r="A737" s="2"/>
      <c r="B737" s="2"/>
      <c r="C737" s="120" t="str">
        <f>IF(B737="","",SUMIFS('S-BOM'!$D$3:$D994,'S-BOM'!$C$3:$C994,B737,'S-BOM'!$B$3:$B994,$B$2))</f>
        <v/>
      </c>
      <c r="D737" s="120" t="str">
        <f>IFERROR(IF(B737="","",VLOOKUP(B737,RM!$C$4:$F984,3,FALSE)),"")</f>
        <v/>
      </c>
      <c r="E737" s="118" t="str">
        <f>IF(B737="","",VLOOKUP(B737,RM!$C$4:$G984,14,FALSE))</f>
        <v/>
      </c>
      <c r="F737" s="87" t="str">
        <f t="shared" si="5"/>
        <v/>
      </c>
      <c r="G737" s="87" t="str">
        <f t="shared" si="6"/>
        <v/>
      </c>
      <c r="H737" s="87"/>
      <c r="I737" s="87"/>
      <c r="J737" s="87"/>
    </row>
    <row r="738" spans="1:10">
      <c r="A738" s="2"/>
      <c r="B738" s="2"/>
      <c r="C738" s="120" t="str">
        <f>IF(B738="","",SUMIFS('S-BOM'!$D$3:$D994,'S-BOM'!$C$3:$C994,B738,'S-BOM'!$B$3:$B994,$B$2))</f>
        <v/>
      </c>
      <c r="D738" s="120" t="str">
        <f>IFERROR(IF(B738="","",VLOOKUP(B738,RM!$C$4:$F984,3,FALSE)),"")</f>
        <v/>
      </c>
      <c r="E738" s="118" t="str">
        <f>IF(B738="","",VLOOKUP(B738,RM!$C$4:$G984,14,FALSE))</f>
        <v/>
      </c>
      <c r="F738" s="87" t="str">
        <f t="shared" si="5"/>
        <v/>
      </c>
      <c r="G738" s="87" t="str">
        <f t="shared" si="6"/>
        <v/>
      </c>
      <c r="H738" s="87"/>
      <c r="I738" s="87"/>
      <c r="J738" s="87"/>
    </row>
    <row r="739" spans="1:10">
      <c r="A739" s="2"/>
      <c r="B739" s="2"/>
      <c r="C739" s="120" t="str">
        <f>IF(B739="","",SUMIFS('S-BOM'!$D$3:$D994,'S-BOM'!$C$3:$C994,B739,'S-BOM'!$B$3:$B994,$B$2))</f>
        <v/>
      </c>
      <c r="D739" s="120" t="str">
        <f>IFERROR(IF(B739="","",VLOOKUP(B739,RM!$C$4:$F984,3,FALSE)),"")</f>
        <v/>
      </c>
      <c r="E739" s="118" t="str">
        <f>IF(B739="","",VLOOKUP(B739,RM!$C$4:$G984,14,FALSE))</f>
        <v/>
      </c>
      <c r="F739" s="87" t="str">
        <f t="shared" si="5"/>
        <v/>
      </c>
      <c r="G739" s="87" t="str">
        <f t="shared" si="6"/>
        <v/>
      </c>
      <c r="H739" s="87"/>
      <c r="I739" s="87"/>
      <c r="J739" s="87"/>
    </row>
    <row r="740" spans="1:10">
      <c r="A740" s="2"/>
      <c r="B740" s="2"/>
      <c r="C740" s="120" t="str">
        <f>IF(B740="","",SUMIFS('S-BOM'!$D$3:$D994,'S-BOM'!$C$3:$C994,B740,'S-BOM'!$B$3:$B994,$B$2))</f>
        <v/>
      </c>
      <c r="D740" s="120" t="str">
        <f>IFERROR(IF(B740="","",VLOOKUP(B740,RM!$C$4:$F984,3,FALSE)),"")</f>
        <v/>
      </c>
      <c r="E740" s="118" t="str">
        <f>IF(B740="","",VLOOKUP(B740,RM!$C$4:$G984,14,FALSE))</f>
        <v/>
      </c>
      <c r="F740" s="87" t="str">
        <f t="shared" si="5"/>
        <v/>
      </c>
      <c r="G740" s="87" t="str">
        <f t="shared" si="6"/>
        <v/>
      </c>
      <c r="H740" s="87"/>
      <c r="I740" s="87"/>
      <c r="J740" s="87"/>
    </row>
    <row r="741" spans="1:10">
      <c r="A741" s="2"/>
      <c r="B741" s="2"/>
      <c r="C741" s="120" t="str">
        <f>IF(B741="","",SUMIFS('S-BOM'!$D$3:$D994,'S-BOM'!$C$3:$C994,B741,'S-BOM'!$B$3:$B994,$B$2))</f>
        <v/>
      </c>
      <c r="D741" s="120" t="str">
        <f>IFERROR(IF(B741="","",VLOOKUP(B741,RM!$C$4:$F984,3,FALSE)),"")</f>
        <v/>
      </c>
      <c r="E741" s="118" t="str">
        <f>IF(B741="","",VLOOKUP(B741,RM!$C$4:$G984,14,FALSE))</f>
        <v/>
      </c>
      <c r="F741" s="87" t="str">
        <f t="shared" si="5"/>
        <v/>
      </c>
      <c r="G741" s="87" t="str">
        <f t="shared" si="6"/>
        <v/>
      </c>
      <c r="H741" s="87"/>
      <c r="I741" s="87"/>
      <c r="J741" s="87"/>
    </row>
    <row r="742" spans="1:10">
      <c r="A742" s="2"/>
      <c r="B742" s="2"/>
      <c r="C742" s="120" t="str">
        <f>IF(B742="","",SUMIFS('S-BOM'!$D$3:$D994,'S-BOM'!$C$3:$C994,B742,'S-BOM'!$B$3:$B994,$B$2))</f>
        <v/>
      </c>
      <c r="D742" s="120" t="str">
        <f>IFERROR(IF(B742="","",VLOOKUP(B742,RM!$C$4:$F984,3,FALSE)),"")</f>
        <v/>
      </c>
      <c r="E742" s="118" t="str">
        <f>IF(B742="","",VLOOKUP(B742,RM!$C$4:$G984,14,FALSE))</f>
        <v/>
      </c>
      <c r="F742" s="87" t="str">
        <f t="shared" si="5"/>
        <v/>
      </c>
      <c r="G742" s="87" t="str">
        <f t="shared" si="6"/>
        <v/>
      </c>
      <c r="H742" s="87"/>
      <c r="I742" s="87"/>
      <c r="J742" s="87"/>
    </row>
    <row r="743" spans="1:10">
      <c r="A743" s="2"/>
      <c r="B743" s="2"/>
      <c r="C743" s="120" t="str">
        <f>IF(B743="","",SUMIFS('S-BOM'!$D$3:$D994,'S-BOM'!$C$3:$C994,B743,'S-BOM'!$B$3:$B994,$B$2))</f>
        <v/>
      </c>
      <c r="D743" s="120" t="str">
        <f>IFERROR(IF(B743="","",VLOOKUP(B743,RM!$C$4:$F984,3,FALSE)),"")</f>
        <v/>
      </c>
      <c r="E743" s="118" t="str">
        <f>IF(B743="","",VLOOKUP(B743,RM!$C$4:$G984,14,FALSE))</f>
        <v/>
      </c>
      <c r="F743" s="87" t="str">
        <f t="shared" si="5"/>
        <v/>
      </c>
      <c r="G743" s="87" t="str">
        <f t="shared" si="6"/>
        <v/>
      </c>
      <c r="H743" s="87"/>
      <c r="I743" s="87"/>
      <c r="J743" s="87"/>
    </row>
    <row r="744" spans="1:10">
      <c r="A744" s="2"/>
      <c r="B744" s="2"/>
      <c r="C744" s="120" t="str">
        <f>IF(B744="","",SUMIFS('S-BOM'!$D$3:$D994,'S-BOM'!$C$3:$C994,B744,'S-BOM'!$B$3:$B994,$B$2))</f>
        <v/>
      </c>
      <c r="D744" s="120" t="str">
        <f>IFERROR(IF(B744="","",VLOOKUP(B744,RM!$C$4:$F984,3,FALSE)),"")</f>
        <v/>
      </c>
      <c r="E744" s="118" t="str">
        <f>IF(B744="","",VLOOKUP(B744,RM!$C$4:$G984,14,FALSE))</f>
        <v/>
      </c>
      <c r="F744" s="87" t="str">
        <f t="shared" si="5"/>
        <v/>
      </c>
      <c r="G744" s="87" t="str">
        <f t="shared" si="6"/>
        <v/>
      </c>
      <c r="H744" s="87"/>
      <c r="I744" s="87"/>
      <c r="J744" s="87"/>
    </row>
    <row r="745" spans="1:10">
      <c r="A745" s="2"/>
      <c r="B745" s="2"/>
      <c r="C745" s="120" t="str">
        <f>IF(B745="","",SUMIFS('S-BOM'!$D$3:$D994,'S-BOM'!$C$3:$C994,B745,'S-BOM'!$B$3:$B994,$B$2))</f>
        <v/>
      </c>
      <c r="D745" s="120" t="str">
        <f>IFERROR(IF(B745="","",VLOOKUP(B745,RM!$C$4:$F984,3,FALSE)),"")</f>
        <v/>
      </c>
      <c r="E745" s="118" t="str">
        <f>IF(B745="","",VLOOKUP(B745,RM!$C$4:$G984,14,FALSE))</f>
        <v/>
      </c>
      <c r="F745" s="87" t="str">
        <f t="shared" si="5"/>
        <v/>
      </c>
      <c r="G745" s="87" t="str">
        <f t="shared" si="6"/>
        <v/>
      </c>
      <c r="H745" s="87"/>
      <c r="I745" s="87"/>
      <c r="J745" s="87"/>
    </row>
    <row r="746" spans="1:10">
      <c r="A746" s="2"/>
      <c r="B746" s="2"/>
      <c r="C746" s="120" t="str">
        <f>IF(B746="","",SUMIFS('S-BOM'!$D$3:$D994,'S-BOM'!$C$3:$C994,B746,'S-BOM'!$B$3:$B994,$B$2))</f>
        <v/>
      </c>
      <c r="D746" s="120" t="str">
        <f>IFERROR(IF(B746="","",VLOOKUP(B746,RM!$C$4:$F984,3,FALSE)),"")</f>
        <v/>
      </c>
      <c r="E746" s="118" t="str">
        <f>IF(B746="","",VLOOKUP(B746,RM!$C$4:$G984,14,FALSE))</f>
        <v/>
      </c>
      <c r="F746" s="87" t="str">
        <f t="shared" si="5"/>
        <v/>
      </c>
      <c r="G746" s="87" t="str">
        <f t="shared" si="6"/>
        <v/>
      </c>
      <c r="H746" s="87"/>
      <c r="I746" s="87"/>
      <c r="J746" s="87"/>
    </row>
    <row r="747" spans="1:10">
      <c r="A747" s="2"/>
      <c r="B747" s="2"/>
      <c r="C747" s="120" t="str">
        <f>IF(B747="","",SUMIFS('S-BOM'!$D$3:$D994,'S-BOM'!$C$3:$C994,B747,'S-BOM'!$B$3:$B994,$B$2))</f>
        <v/>
      </c>
      <c r="D747" s="120" t="str">
        <f>IFERROR(IF(B747="","",VLOOKUP(B747,RM!$C$4:$F984,3,FALSE)),"")</f>
        <v/>
      </c>
      <c r="E747" s="118" t="str">
        <f>IF(B747="","",VLOOKUP(B747,RM!$C$4:$G984,14,FALSE))</f>
        <v/>
      </c>
      <c r="F747" s="87" t="str">
        <f t="shared" si="5"/>
        <v/>
      </c>
      <c r="G747" s="87" t="str">
        <f t="shared" si="6"/>
        <v/>
      </c>
      <c r="H747" s="87"/>
      <c r="I747" s="87"/>
      <c r="J747" s="87"/>
    </row>
    <row r="748" spans="1:10">
      <c r="A748" s="2"/>
      <c r="B748" s="2"/>
      <c r="C748" s="120" t="str">
        <f>IF(B748="","",SUMIFS('S-BOM'!$D$3:$D994,'S-BOM'!$C$3:$C994,B748,'S-BOM'!$B$3:$B994,$B$2))</f>
        <v/>
      </c>
      <c r="D748" s="120" t="str">
        <f>IFERROR(IF(B748="","",VLOOKUP(B748,RM!$C$4:$F984,3,FALSE)),"")</f>
        <v/>
      </c>
      <c r="E748" s="118" t="str">
        <f>IF(B748="","",VLOOKUP(B748,RM!$C$4:$G984,14,FALSE))</f>
        <v/>
      </c>
      <c r="F748" s="87" t="str">
        <f t="shared" si="5"/>
        <v/>
      </c>
      <c r="G748" s="87" t="str">
        <f t="shared" si="6"/>
        <v/>
      </c>
      <c r="H748" s="87"/>
      <c r="I748" s="87"/>
      <c r="J748" s="87"/>
    </row>
    <row r="749" spans="1:10">
      <c r="A749" s="2"/>
      <c r="B749" s="2"/>
      <c r="C749" s="120" t="str">
        <f>IF(B749="","",SUMIFS('S-BOM'!$D$3:$D994,'S-BOM'!$C$3:$C994,B749,'S-BOM'!$B$3:$B994,$B$2))</f>
        <v/>
      </c>
      <c r="D749" s="120" t="str">
        <f>IFERROR(IF(B749="","",VLOOKUP(B749,RM!$C$4:$F984,3,FALSE)),"")</f>
        <v/>
      </c>
      <c r="E749" s="118" t="str">
        <f>IF(B749="","",VLOOKUP(B749,RM!$C$4:$G984,14,FALSE))</f>
        <v/>
      </c>
      <c r="F749" s="87" t="str">
        <f t="shared" si="5"/>
        <v/>
      </c>
      <c r="G749" s="87" t="str">
        <f t="shared" si="6"/>
        <v/>
      </c>
      <c r="H749" s="87"/>
      <c r="I749" s="87"/>
      <c r="J749" s="87"/>
    </row>
    <row r="750" spans="1:10">
      <c r="A750" s="2"/>
      <c r="B750" s="2"/>
      <c r="C750" s="120" t="str">
        <f>IF(B750="","",SUMIFS('S-BOM'!$D$3:$D994,'S-BOM'!$C$3:$C994,B750,'S-BOM'!$B$3:$B994,$B$2))</f>
        <v/>
      </c>
      <c r="D750" s="120" t="str">
        <f>IFERROR(IF(B750="","",VLOOKUP(B750,RM!$C$4:$F984,3,FALSE)),"")</f>
        <v/>
      </c>
      <c r="E750" s="118" t="str">
        <f>IF(B750="","",VLOOKUP(B750,RM!$C$4:$G984,14,FALSE))</f>
        <v/>
      </c>
      <c r="F750" s="87" t="str">
        <f t="shared" si="5"/>
        <v/>
      </c>
      <c r="G750" s="87" t="str">
        <f t="shared" si="6"/>
        <v/>
      </c>
      <c r="H750" s="87"/>
      <c r="I750" s="87"/>
      <c r="J750" s="87"/>
    </row>
    <row r="751" spans="1:10">
      <c r="A751" s="2"/>
      <c r="B751" s="2"/>
      <c r="C751" s="120" t="str">
        <f>IF(B751="","",SUMIFS('S-BOM'!$D$3:$D994,'S-BOM'!$C$3:$C994,B751,'S-BOM'!$B$3:$B994,$B$2))</f>
        <v/>
      </c>
      <c r="D751" s="120" t="str">
        <f>IFERROR(IF(B751="","",VLOOKUP(B751,RM!$C$4:$F984,3,FALSE)),"")</f>
        <v/>
      </c>
      <c r="E751" s="118" t="str">
        <f>IF(B751="","",VLOOKUP(B751,RM!$C$4:$G984,14,FALSE))</f>
        <v/>
      </c>
      <c r="F751" s="87" t="str">
        <f t="shared" si="5"/>
        <v/>
      </c>
      <c r="G751" s="87" t="str">
        <f t="shared" si="6"/>
        <v/>
      </c>
      <c r="H751" s="87"/>
      <c r="I751" s="87"/>
      <c r="J751" s="87"/>
    </row>
    <row r="752" spans="1:10">
      <c r="A752" s="2"/>
      <c r="B752" s="2"/>
      <c r="C752" s="120" t="str">
        <f>IF(B752="","",SUMIFS('S-BOM'!$D$3:$D994,'S-BOM'!$C$3:$C994,B752,'S-BOM'!$B$3:$B994,$B$2))</f>
        <v/>
      </c>
      <c r="D752" s="120" t="str">
        <f>IFERROR(IF(B752="","",VLOOKUP(B752,RM!$C$4:$F984,3,FALSE)),"")</f>
        <v/>
      </c>
      <c r="E752" s="118" t="str">
        <f>IF(B752="","",VLOOKUP(B752,RM!$C$4:$G984,14,FALSE))</f>
        <v/>
      </c>
      <c r="F752" s="87" t="str">
        <f t="shared" si="5"/>
        <v/>
      </c>
      <c r="G752" s="87" t="str">
        <f t="shared" si="6"/>
        <v/>
      </c>
      <c r="H752" s="87"/>
      <c r="I752" s="87"/>
      <c r="J752" s="87"/>
    </row>
    <row r="753" spans="1:10">
      <c r="A753" s="2"/>
      <c r="B753" s="2"/>
      <c r="C753" s="120" t="str">
        <f>IF(B753="","",SUMIFS('S-BOM'!$D$3:$D994,'S-BOM'!$C$3:$C994,B753,'S-BOM'!$B$3:$B994,$B$2))</f>
        <v/>
      </c>
      <c r="D753" s="120" t="str">
        <f>IFERROR(IF(B753="","",VLOOKUP(B753,RM!$C$4:$F984,3,FALSE)),"")</f>
        <v/>
      </c>
      <c r="E753" s="118" t="str">
        <f>IF(B753="","",VLOOKUP(B753,RM!$C$4:$G984,14,FALSE))</f>
        <v/>
      </c>
      <c r="F753" s="87" t="str">
        <f t="shared" si="5"/>
        <v/>
      </c>
      <c r="G753" s="87" t="str">
        <f t="shared" si="6"/>
        <v/>
      </c>
      <c r="H753" s="87"/>
      <c r="I753" s="87"/>
      <c r="J753" s="87"/>
    </row>
    <row r="754" spans="1:10">
      <c r="A754" s="2"/>
      <c r="B754" s="2"/>
      <c r="C754" s="120" t="str">
        <f>IF(B754="","",SUMIFS('S-BOM'!$D$3:$D994,'S-BOM'!$C$3:$C994,B754,'S-BOM'!$B$3:$B994,$B$2))</f>
        <v/>
      </c>
      <c r="D754" s="120" t="str">
        <f>IFERROR(IF(B754="","",VLOOKUP(B754,RM!$C$4:$F984,3,FALSE)),"")</f>
        <v/>
      </c>
      <c r="E754" s="118" t="str">
        <f>IF(B754="","",VLOOKUP(B754,RM!$C$4:$G984,14,FALSE))</f>
        <v/>
      </c>
      <c r="F754" s="87" t="str">
        <f t="shared" si="5"/>
        <v/>
      </c>
      <c r="G754" s="87" t="str">
        <f t="shared" si="6"/>
        <v/>
      </c>
      <c r="H754" s="87"/>
      <c r="I754" s="87"/>
      <c r="J754" s="87"/>
    </row>
    <row r="755" spans="1:10">
      <c r="A755" s="2"/>
      <c r="B755" s="2"/>
      <c r="C755" s="120" t="str">
        <f>IF(B755="","",SUMIFS('S-BOM'!$D$3:$D994,'S-BOM'!$C$3:$C994,B755,'S-BOM'!$B$3:$B994,$B$2))</f>
        <v/>
      </c>
      <c r="D755" s="120" t="str">
        <f>IFERROR(IF(B755="","",VLOOKUP(B755,RM!$C$4:$F984,3,FALSE)),"")</f>
        <v/>
      </c>
      <c r="E755" s="118" t="str">
        <f>IF(B755="","",VLOOKUP(B755,RM!$C$4:$G984,14,FALSE))</f>
        <v/>
      </c>
      <c r="F755" s="87" t="str">
        <f t="shared" si="5"/>
        <v/>
      </c>
      <c r="G755" s="87" t="str">
        <f t="shared" si="6"/>
        <v/>
      </c>
      <c r="H755" s="87"/>
      <c r="I755" s="87"/>
      <c r="J755" s="87"/>
    </row>
    <row r="756" spans="1:10">
      <c r="A756" s="2"/>
      <c r="B756" s="2"/>
      <c r="C756" s="120" t="str">
        <f>IF(B756="","",SUMIFS('S-BOM'!$D$3:$D994,'S-BOM'!$C$3:$C994,B756,'S-BOM'!$B$3:$B994,$B$2))</f>
        <v/>
      </c>
      <c r="D756" s="120" t="str">
        <f>IFERROR(IF(B756="","",VLOOKUP(B756,RM!$C$4:$F984,3,FALSE)),"")</f>
        <v/>
      </c>
      <c r="E756" s="118" t="str">
        <f>IF(B756="","",VLOOKUP(B756,RM!$C$4:$G984,14,FALSE))</f>
        <v/>
      </c>
      <c r="F756" s="87" t="str">
        <f t="shared" si="5"/>
        <v/>
      </c>
      <c r="G756" s="87" t="str">
        <f t="shared" si="6"/>
        <v/>
      </c>
      <c r="H756" s="87"/>
      <c r="I756" s="87"/>
      <c r="J756" s="87"/>
    </row>
    <row r="757" spans="1:10">
      <c r="A757" s="2"/>
      <c r="B757" s="2"/>
      <c r="C757" s="120" t="str">
        <f>IF(B757="","",SUMIFS('S-BOM'!$D$3:$D994,'S-BOM'!$C$3:$C994,B757,'S-BOM'!$B$3:$B994,$B$2))</f>
        <v/>
      </c>
      <c r="D757" s="120" t="str">
        <f>IFERROR(IF(B757="","",VLOOKUP(B757,RM!$C$4:$F984,3,FALSE)),"")</f>
        <v/>
      </c>
      <c r="E757" s="118" t="str">
        <f>IF(B757="","",VLOOKUP(B757,RM!$C$4:$G984,14,FALSE))</f>
        <v/>
      </c>
      <c r="F757" s="87" t="str">
        <f t="shared" si="5"/>
        <v/>
      </c>
      <c r="G757" s="87" t="str">
        <f t="shared" si="6"/>
        <v/>
      </c>
      <c r="H757" s="87"/>
      <c r="I757" s="87"/>
      <c r="J757" s="87"/>
    </row>
    <row r="758" spans="1:10">
      <c r="A758" s="2"/>
      <c r="B758" s="2"/>
      <c r="C758" s="120" t="str">
        <f>IF(B758="","",SUMIFS('S-BOM'!$D$3:$D994,'S-BOM'!$C$3:$C994,B758,'S-BOM'!$B$3:$B994,$B$2))</f>
        <v/>
      </c>
      <c r="D758" s="120" t="str">
        <f>IFERROR(IF(B758="","",VLOOKUP(B758,RM!$C$4:$F984,3,FALSE)),"")</f>
        <v/>
      </c>
      <c r="E758" s="118" t="str">
        <f>IF(B758="","",VLOOKUP(B758,RM!$C$4:$G984,14,FALSE))</f>
        <v/>
      </c>
      <c r="F758" s="87" t="str">
        <f t="shared" si="5"/>
        <v/>
      </c>
      <c r="G758" s="87" t="str">
        <f t="shared" si="6"/>
        <v/>
      </c>
      <c r="H758" s="87"/>
      <c r="I758" s="87"/>
      <c r="J758" s="87"/>
    </row>
    <row r="759" spans="1:10">
      <c r="A759" s="2"/>
      <c r="B759" s="2"/>
      <c r="C759" s="120" t="str">
        <f>IF(B759="","",SUMIFS('S-BOM'!$D$3:$D994,'S-BOM'!$C$3:$C994,B759,'S-BOM'!$B$3:$B994,$B$2))</f>
        <v/>
      </c>
      <c r="D759" s="120" t="str">
        <f>IFERROR(IF(B759="","",VLOOKUP(B759,RM!$C$4:$F984,3,FALSE)),"")</f>
        <v/>
      </c>
      <c r="E759" s="118" t="str">
        <f>IF(B759="","",VLOOKUP(B759,RM!$C$4:$G984,14,FALSE))</f>
        <v/>
      </c>
      <c r="F759" s="87" t="str">
        <f t="shared" si="5"/>
        <v/>
      </c>
      <c r="G759" s="87" t="str">
        <f t="shared" si="6"/>
        <v/>
      </c>
      <c r="H759" s="87"/>
      <c r="I759" s="87"/>
      <c r="J759" s="87"/>
    </row>
    <row r="760" spans="1:10">
      <c r="A760" s="2"/>
      <c r="B760" s="2"/>
      <c r="C760" s="120" t="str">
        <f>IF(B760="","",SUMIFS('S-BOM'!$D$3:$D994,'S-BOM'!$C$3:$C994,B760,'S-BOM'!$B$3:$B994,$B$2))</f>
        <v/>
      </c>
      <c r="D760" s="120" t="str">
        <f>IFERROR(IF(B760="","",VLOOKUP(B760,RM!$C$4:$F984,3,FALSE)),"")</f>
        <v/>
      </c>
      <c r="E760" s="118" t="str">
        <f>IF(B760="","",VLOOKUP(B760,RM!$C$4:$G984,14,FALSE))</f>
        <v/>
      </c>
      <c r="F760" s="87" t="str">
        <f t="shared" si="5"/>
        <v/>
      </c>
      <c r="G760" s="87" t="str">
        <f t="shared" si="6"/>
        <v/>
      </c>
      <c r="H760" s="87"/>
      <c r="I760" s="87"/>
      <c r="J760" s="87"/>
    </row>
    <row r="761" spans="1:10">
      <c r="A761" s="2"/>
      <c r="B761" s="2"/>
      <c r="C761" s="120" t="str">
        <f>IF(B761="","",SUMIFS('S-BOM'!$D$3:$D994,'S-BOM'!$C$3:$C994,B761,'S-BOM'!$B$3:$B994,$B$2))</f>
        <v/>
      </c>
      <c r="D761" s="120" t="str">
        <f>IFERROR(IF(B761="","",VLOOKUP(B761,RM!$C$4:$F984,3,FALSE)),"")</f>
        <v/>
      </c>
      <c r="E761" s="118" t="str">
        <f>IF(B761="","",VLOOKUP(B761,RM!$C$4:$G984,14,FALSE))</f>
        <v/>
      </c>
      <c r="F761" s="87" t="str">
        <f t="shared" si="5"/>
        <v/>
      </c>
      <c r="G761" s="87" t="str">
        <f t="shared" si="6"/>
        <v/>
      </c>
      <c r="H761" s="87"/>
      <c r="I761" s="87"/>
      <c r="J761" s="87"/>
    </row>
    <row r="762" spans="1:10">
      <c r="A762" s="2"/>
      <c r="B762" s="2"/>
      <c r="C762" s="120" t="str">
        <f>IF(B762="","",SUMIFS('S-BOM'!$D$3:$D994,'S-BOM'!$C$3:$C994,B762,'S-BOM'!$B$3:$B994,$B$2))</f>
        <v/>
      </c>
      <c r="D762" s="120" t="str">
        <f>IFERROR(IF(B762="","",VLOOKUP(B762,RM!$C$4:$F984,3,FALSE)),"")</f>
        <v/>
      </c>
      <c r="E762" s="118" t="str">
        <f>IF(B762="","",VLOOKUP(B762,RM!$C$4:$G984,14,FALSE))</f>
        <v/>
      </c>
      <c r="F762" s="87" t="str">
        <f t="shared" si="5"/>
        <v/>
      </c>
      <c r="G762" s="87" t="str">
        <f t="shared" si="6"/>
        <v/>
      </c>
      <c r="H762" s="87"/>
      <c r="I762" s="87"/>
      <c r="J762" s="87"/>
    </row>
    <row r="763" spans="1:10">
      <c r="A763" s="2"/>
      <c r="B763" s="2"/>
      <c r="C763" s="120" t="str">
        <f>IF(B763="","",SUMIFS('S-BOM'!$D$3:$D994,'S-BOM'!$C$3:$C994,B763,'S-BOM'!$B$3:$B994,$B$2))</f>
        <v/>
      </c>
      <c r="D763" s="120" t="str">
        <f>IFERROR(IF(B763="","",VLOOKUP(B763,RM!$C$4:$F984,3,FALSE)),"")</f>
        <v/>
      </c>
      <c r="E763" s="118" t="str">
        <f>IF(B763="","",VLOOKUP(B763,RM!$C$4:$G984,14,FALSE))</f>
        <v/>
      </c>
      <c r="F763" s="87" t="str">
        <f t="shared" si="5"/>
        <v/>
      </c>
      <c r="G763" s="87" t="str">
        <f t="shared" si="6"/>
        <v/>
      </c>
      <c r="H763" s="87"/>
      <c r="I763" s="87"/>
      <c r="J763" s="87"/>
    </row>
    <row r="764" spans="1:10">
      <c r="A764" s="2"/>
      <c r="B764" s="2"/>
      <c r="C764" s="120" t="str">
        <f>IF(B764="","",SUMIFS('S-BOM'!$D$3:$D994,'S-BOM'!$C$3:$C994,B764,'S-BOM'!$B$3:$B994,$B$2))</f>
        <v/>
      </c>
      <c r="D764" s="120" t="str">
        <f>IFERROR(IF(B764="","",VLOOKUP(B764,RM!$C$4:$F984,3,FALSE)),"")</f>
        <v/>
      </c>
      <c r="E764" s="118" t="str">
        <f>IF(B764="","",VLOOKUP(B764,RM!$C$4:$G984,14,FALSE))</f>
        <v/>
      </c>
      <c r="F764" s="87" t="str">
        <f t="shared" si="5"/>
        <v/>
      </c>
      <c r="G764" s="87" t="str">
        <f t="shared" si="6"/>
        <v/>
      </c>
      <c r="H764" s="87"/>
      <c r="I764" s="87"/>
      <c r="J764" s="87"/>
    </row>
    <row r="765" spans="1:10">
      <c r="A765" s="2"/>
      <c r="B765" s="2"/>
      <c r="C765" s="120" t="str">
        <f>IF(B765="","",SUMIFS('S-BOM'!$D$3:$D994,'S-BOM'!$C$3:$C994,B765,'S-BOM'!$B$3:$B994,$B$2))</f>
        <v/>
      </c>
      <c r="D765" s="120" t="str">
        <f>IFERROR(IF(B765="","",VLOOKUP(B765,RM!$C$4:$F984,3,FALSE)),"")</f>
        <v/>
      </c>
      <c r="E765" s="118" t="str">
        <f>IF(B765="","",VLOOKUP(B765,RM!$C$4:$G984,14,FALSE))</f>
        <v/>
      </c>
      <c r="F765" s="87" t="str">
        <f t="shared" si="5"/>
        <v/>
      </c>
      <c r="G765" s="87" t="str">
        <f t="shared" si="6"/>
        <v/>
      </c>
      <c r="H765" s="87"/>
      <c r="I765" s="87"/>
      <c r="J765" s="87"/>
    </row>
    <row r="766" spans="1:10">
      <c r="A766" s="2"/>
      <c r="B766" s="2"/>
      <c r="C766" s="120" t="str">
        <f>IF(B766="","",SUMIFS('S-BOM'!$D$3:$D994,'S-BOM'!$C$3:$C994,B766,'S-BOM'!$B$3:$B994,$B$2))</f>
        <v/>
      </c>
      <c r="D766" s="120" t="str">
        <f>IFERROR(IF(B766="","",VLOOKUP(B766,RM!$C$4:$F984,3,FALSE)),"")</f>
        <v/>
      </c>
      <c r="E766" s="118" t="str">
        <f>IF(B766="","",VLOOKUP(B766,RM!$C$4:$G984,14,FALSE))</f>
        <v/>
      </c>
      <c r="F766" s="87" t="str">
        <f t="shared" si="5"/>
        <v/>
      </c>
      <c r="G766" s="87" t="str">
        <f t="shared" si="6"/>
        <v/>
      </c>
      <c r="H766" s="87"/>
      <c r="I766" s="87"/>
      <c r="J766" s="87"/>
    </row>
    <row r="767" spans="1:10">
      <c r="A767" s="2"/>
      <c r="B767" s="2"/>
      <c r="C767" s="120" t="str">
        <f>IF(B767="","",SUMIFS('S-BOM'!$D$3:$D994,'S-BOM'!$C$3:$C994,B767,'S-BOM'!$B$3:$B994,$B$2))</f>
        <v/>
      </c>
      <c r="D767" s="120" t="str">
        <f>IFERROR(IF(B767="","",VLOOKUP(B767,RM!$C$4:$F984,3,FALSE)),"")</f>
        <v/>
      </c>
      <c r="E767" s="118" t="str">
        <f>IF(B767="","",VLOOKUP(B767,RM!$C$4:$G984,14,FALSE))</f>
        <v/>
      </c>
      <c r="F767" s="87" t="str">
        <f t="shared" si="5"/>
        <v/>
      </c>
      <c r="G767" s="87" t="str">
        <f t="shared" si="6"/>
        <v/>
      </c>
      <c r="H767" s="87"/>
      <c r="I767" s="87"/>
      <c r="J767" s="87"/>
    </row>
    <row r="768" spans="1:10">
      <c r="A768" s="2"/>
      <c r="B768" s="2"/>
      <c r="C768" s="120" t="str">
        <f>IF(B768="","",SUMIFS('S-BOM'!$D$3:$D994,'S-BOM'!$C$3:$C994,B768,'S-BOM'!$B$3:$B994,$B$2))</f>
        <v/>
      </c>
      <c r="D768" s="120" t="str">
        <f>IFERROR(IF(B768="","",VLOOKUP(B768,RM!$C$4:$F984,3,FALSE)),"")</f>
        <v/>
      </c>
      <c r="E768" s="118" t="str">
        <f>IF(B768="","",VLOOKUP(B768,RM!$C$4:$G984,14,FALSE))</f>
        <v/>
      </c>
      <c r="F768" s="87" t="str">
        <f t="shared" si="5"/>
        <v/>
      </c>
      <c r="G768" s="87" t="str">
        <f t="shared" si="6"/>
        <v/>
      </c>
      <c r="H768" s="87"/>
      <c r="I768" s="87"/>
      <c r="J768" s="87"/>
    </row>
    <row r="769" spans="1:10">
      <c r="A769" s="2"/>
      <c r="B769" s="2"/>
      <c r="C769" s="120" t="str">
        <f>IF(B769="","",SUMIFS('S-BOM'!$D$3:$D994,'S-BOM'!$C$3:$C994,B769,'S-BOM'!$B$3:$B994,$B$2))</f>
        <v/>
      </c>
      <c r="D769" s="120" t="str">
        <f>IFERROR(IF(B769="","",VLOOKUP(B769,RM!$C$4:$F984,3,FALSE)),"")</f>
        <v/>
      </c>
      <c r="E769" s="118" t="str">
        <f>IF(B769="","",VLOOKUP(B769,RM!$C$4:$G984,14,FALSE))</f>
        <v/>
      </c>
      <c r="F769" s="87" t="str">
        <f t="shared" ref="F769:F994" si="7">IF(B769="","",$D$2*C769)</f>
        <v/>
      </c>
      <c r="G769" s="87" t="str">
        <f t="shared" ref="G769:G994" si="8">IF(B769="","",IF(E769&gt;F769,0,F769-E769))</f>
        <v/>
      </c>
      <c r="H769" s="87"/>
      <c r="I769" s="87"/>
      <c r="J769" s="87"/>
    </row>
    <row r="770" spans="1:10">
      <c r="A770" s="2"/>
      <c r="B770" s="2"/>
      <c r="C770" s="120" t="str">
        <f>IF(B770="","",SUMIFS('S-BOM'!$D$3:$D994,'S-BOM'!$C$3:$C994,B770,'S-BOM'!$B$3:$B994,$B$2))</f>
        <v/>
      </c>
      <c r="D770" s="120" t="str">
        <f>IFERROR(IF(B770="","",VLOOKUP(B770,RM!$C$4:$F984,3,FALSE)),"")</f>
        <v/>
      </c>
      <c r="E770" s="118" t="str">
        <f>IF(B770="","",VLOOKUP(B770,RM!$C$4:$G984,14,FALSE))</f>
        <v/>
      </c>
      <c r="F770" s="87" t="str">
        <f t="shared" si="7"/>
        <v/>
      </c>
      <c r="G770" s="87" t="str">
        <f t="shared" si="8"/>
        <v/>
      </c>
      <c r="H770" s="87"/>
      <c r="I770" s="87"/>
      <c r="J770" s="87"/>
    </row>
    <row r="771" spans="1:10">
      <c r="A771" s="2"/>
      <c r="B771" s="2"/>
      <c r="C771" s="120" t="str">
        <f>IF(B771="","",SUMIFS('S-BOM'!$D$3:$D994,'S-BOM'!$C$3:$C994,B771,'S-BOM'!$B$3:$B994,$B$2))</f>
        <v/>
      </c>
      <c r="D771" s="120" t="str">
        <f>IFERROR(IF(B771="","",VLOOKUP(B771,RM!$C$4:$F984,3,FALSE)),"")</f>
        <v/>
      </c>
      <c r="E771" s="118" t="str">
        <f>IF(B771="","",VLOOKUP(B771,RM!$C$4:$G984,14,FALSE))</f>
        <v/>
      </c>
      <c r="F771" s="87" t="str">
        <f t="shared" si="7"/>
        <v/>
      </c>
      <c r="G771" s="87" t="str">
        <f t="shared" si="8"/>
        <v/>
      </c>
      <c r="H771" s="87"/>
      <c r="I771" s="87"/>
      <c r="J771" s="87"/>
    </row>
    <row r="772" spans="1:10">
      <c r="A772" s="2"/>
      <c r="B772" s="2"/>
      <c r="C772" s="120" t="str">
        <f>IF(B772="","",SUMIFS('S-BOM'!$D$3:$D994,'S-BOM'!$C$3:$C994,B772,'S-BOM'!$B$3:$B994,$B$2))</f>
        <v/>
      </c>
      <c r="D772" s="120" t="str">
        <f>IFERROR(IF(B772="","",VLOOKUP(B772,RM!$C$4:$F984,3,FALSE)),"")</f>
        <v/>
      </c>
      <c r="E772" s="118" t="str">
        <f>IF(B772="","",VLOOKUP(B772,RM!$C$4:$G984,14,FALSE))</f>
        <v/>
      </c>
      <c r="F772" s="87" t="str">
        <f t="shared" si="7"/>
        <v/>
      </c>
      <c r="G772" s="87" t="str">
        <f t="shared" si="8"/>
        <v/>
      </c>
      <c r="H772" s="87"/>
      <c r="I772" s="87"/>
      <c r="J772" s="87"/>
    </row>
    <row r="773" spans="1:10">
      <c r="A773" s="2"/>
      <c r="B773" s="2"/>
      <c r="C773" s="120" t="str">
        <f>IF(B773="","",SUMIFS('S-BOM'!$D$3:$D994,'S-BOM'!$C$3:$C994,B773,'S-BOM'!$B$3:$B994,$B$2))</f>
        <v/>
      </c>
      <c r="D773" s="120" t="str">
        <f>IFERROR(IF(B773="","",VLOOKUP(B773,RM!$C$4:$F984,3,FALSE)),"")</f>
        <v/>
      </c>
      <c r="E773" s="118" t="str">
        <f>IF(B773="","",VLOOKUP(B773,RM!$C$4:$G984,14,FALSE))</f>
        <v/>
      </c>
      <c r="F773" s="87" t="str">
        <f t="shared" si="7"/>
        <v/>
      </c>
      <c r="G773" s="87" t="str">
        <f t="shared" si="8"/>
        <v/>
      </c>
      <c r="H773" s="87"/>
      <c r="I773" s="87"/>
      <c r="J773" s="87"/>
    </row>
    <row r="774" spans="1:10">
      <c r="A774" s="2"/>
      <c r="B774" s="2"/>
      <c r="C774" s="120" t="str">
        <f>IF(B774="","",SUMIFS('S-BOM'!$D$3:$D994,'S-BOM'!$C$3:$C994,B774,'S-BOM'!$B$3:$B994,$B$2))</f>
        <v/>
      </c>
      <c r="D774" s="120" t="str">
        <f>IFERROR(IF(B774="","",VLOOKUP(B774,RM!$C$4:$F984,3,FALSE)),"")</f>
        <v/>
      </c>
      <c r="E774" s="118" t="str">
        <f>IF(B774="","",VLOOKUP(B774,RM!$C$4:$G984,14,FALSE))</f>
        <v/>
      </c>
      <c r="F774" s="87" t="str">
        <f t="shared" si="7"/>
        <v/>
      </c>
      <c r="G774" s="87" t="str">
        <f t="shared" si="8"/>
        <v/>
      </c>
      <c r="H774" s="87"/>
      <c r="I774" s="87"/>
      <c r="J774" s="87"/>
    </row>
    <row r="775" spans="1:10">
      <c r="A775" s="2"/>
      <c r="B775" s="2"/>
      <c r="C775" s="120" t="str">
        <f>IF(B775="","",SUMIFS('S-BOM'!$D$3:$D994,'S-BOM'!$C$3:$C994,B775,'S-BOM'!$B$3:$B994,$B$2))</f>
        <v/>
      </c>
      <c r="D775" s="120" t="str">
        <f>IFERROR(IF(B775="","",VLOOKUP(B775,RM!$C$4:$F984,3,FALSE)),"")</f>
        <v/>
      </c>
      <c r="E775" s="118" t="str">
        <f>IF(B775="","",VLOOKUP(B775,RM!$C$4:$G984,14,FALSE))</f>
        <v/>
      </c>
      <c r="F775" s="87" t="str">
        <f t="shared" si="7"/>
        <v/>
      </c>
      <c r="G775" s="87" t="str">
        <f t="shared" si="8"/>
        <v/>
      </c>
      <c r="H775" s="87"/>
      <c r="I775" s="87"/>
      <c r="J775" s="87"/>
    </row>
    <row r="776" spans="1:10">
      <c r="A776" s="2"/>
      <c r="B776" s="2"/>
      <c r="C776" s="120" t="str">
        <f>IF(B776="","",SUMIFS('S-BOM'!$D$3:$D994,'S-BOM'!$C$3:$C994,B776,'S-BOM'!$B$3:$B994,$B$2))</f>
        <v/>
      </c>
      <c r="D776" s="120" t="str">
        <f>IFERROR(IF(B776="","",VLOOKUP(B776,RM!$C$4:$F984,3,FALSE)),"")</f>
        <v/>
      </c>
      <c r="E776" s="118" t="str">
        <f>IF(B776="","",VLOOKUP(B776,RM!$C$4:$G984,14,FALSE))</f>
        <v/>
      </c>
      <c r="F776" s="87" t="str">
        <f t="shared" si="7"/>
        <v/>
      </c>
      <c r="G776" s="87" t="str">
        <f t="shared" si="8"/>
        <v/>
      </c>
      <c r="H776" s="87"/>
      <c r="I776" s="87"/>
      <c r="J776" s="87"/>
    </row>
    <row r="777" spans="1:10">
      <c r="A777" s="2"/>
      <c r="B777" s="2"/>
      <c r="C777" s="120" t="str">
        <f>IF(B777="","",SUMIFS('S-BOM'!$D$3:$D994,'S-BOM'!$C$3:$C994,B777,'S-BOM'!$B$3:$B994,$B$2))</f>
        <v/>
      </c>
      <c r="D777" s="120" t="str">
        <f>IFERROR(IF(B777="","",VLOOKUP(B777,RM!$C$4:$F984,3,FALSE)),"")</f>
        <v/>
      </c>
      <c r="E777" s="118" t="str">
        <f>IF(B777="","",VLOOKUP(B777,RM!$C$4:$G984,14,FALSE))</f>
        <v/>
      </c>
      <c r="F777" s="87" t="str">
        <f t="shared" si="7"/>
        <v/>
      </c>
      <c r="G777" s="87" t="str">
        <f t="shared" si="8"/>
        <v/>
      </c>
      <c r="H777" s="87"/>
      <c r="I777" s="87"/>
      <c r="J777" s="87"/>
    </row>
    <row r="778" spans="1:10">
      <c r="A778" s="2"/>
      <c r="B778" s="2"/>
      <c r="C778" s="120" t="str">
        <f>IF(B778="","",SUMIFS('S-BOM'!$D$3:$D994,'S-BOM'!$C$3:$C994,B778,'S-BOM'!$B$3:$B994,$B$2))</f>
        <v/>
      </c>
      <c r="D778" s="120" t="str">
        <f>IFERROR(IF(B778="","",VLOOKUP(B778,RM!$C$4:$F984,3,FALSE)),"")</f>
        <v/>
      </c>
      <c r="E778" s="118" t="str">
        <f>IF(B778="","",VLOOKUP(B778,RM!$C$4:$G984,14,FALSE))</f>
        <v/>
      </c>
      <c r="F778" s="87" t="str">
        <f t="shared" si="7"/>
        <v/>
      </c>
      <c r="G778" s="87" t="str">
        <f t="shared" si="8"/>
        <v/>
      </c>
      <c r="H778" s="87"/>
      <c r="I778" s="87"/>
      <c r="J778" s="87"/>
    </row>
    <row r="779" spans="1:10">
      <c r="A779" s="2"/>
      <c r="B779" s="2"/>
      <c r="C779" s="120" t="str">
        <f>IF(B779="","",SUMIFS('S-BOM'!$D$3:$D994,'S-BOM'!$C$3:$C994,B779,'S-BOM'!$B$3:$B994,$B$2))</f>
        <v/>
      </c>
      <c r="D779" s="120" t="str">
        <f>IFERROR(IF(B779="","",VLOOKUP(B779,RM!$C$4:$F984,3,FALSE)),"")</f>
        <v/>
      </c>
      <c r="E779" s="118" t="str">
        <f>IF(B779="","",VLOOKUP(B779,RM!$C$4:$G984,14,FALSE))</f>
        <v/>
      </c>
      <c r="F779" s="87" t="str">
        <f t="shared" si="7"/>
        <v/>
      </c>
      <c r="G779" s="87" t="str">
        <f t="shared" si="8"/>
        <v/>
      </c>
      <c r="H779" s="87"/>
      <c r="I779" s="87"/>
      <c r="J779" s="87"/>
    </row>
    <row r="780" spans="1:10">
      <c r="A780" s="2"/>
      <c r="B780" s="2"/>
      <c r="C780" s="120" t="str">
        <f>IF(B780="","",SUMIFS('S-BOM'!$D$3:$D994,'S-BOM'!$C$3:$C994,B780,'S-BOM'!$B$3:$B994,$B$2))</f>
        <v/>
      </c>
      <c r="D780" s="120" t="str">
        <f>IFERROR(IF(B780="","",VLOOKUP(B780,RM!$C$4:$F984,3,FALSE)),"")</f>
        <v/>
      </c>
      <c r="E780" s="118" t="str">
        <f>IF(B780="","",VLOOKUP(B780,RM!$C$4:$G984,14,FALSE))</f>
        <v/>
      </c>
      <c r="F780" s="87" t="str">
        <f t="shared" si="7"/>
        <v/>
      </c>
      <c r="G780" s="87" t="str">
        <f t="shared" si="8"/>
        <v/>
      </c>
      <c r="H780" s="87"/>
      <c r="I780" s="87"/>
      <c r="J780" s="87"/>
    </row>
    <row r="781" spans="1:10">
      <c r="A781" s="2"/>
      <c r="B781" s="2"/>
      <c r="C781" s="120" t="str">
        <f>IF(B781="","",SUMIFS('S-BOM'!$D$3:$D994,'S-BOM'!$C$3:$C994,B781,'S-BOM'!$B$3:$B994,$B$2))</f>
        <v/>
      </c>
      <c r="D781" s="120" t="str">
        <f>IFERROR(IF(B781="","",VLOOKUP(B781,RM!$C$4:$F984,3,FALSE)),"")</f>
        <v/>
      </c>
      <c r="E781" s="118" t="str">
        <f>IF(B781="","",VLOOKUP(B781,RM!$C$4:$G984,14,FALSE))</f>
        <v/>
      </c>
      <c r="F781" s="87" t="str">
        <f t="shared" si="7"/>
        <v/>
      </c>
      <c r="G781" s="87" t="str">
        <f t="shared" si="8"/>
        <v/>
      </c>
      <c r="H781" s="87"/>
      <c r="I781" s="87"/>
      <c r="J781" s="87"/>
    </row>
    <row r="782" spans="1:10">
      <c r="A782" s="2"/>
      <c r="B782" s="2"/>
      <c r="C782" s="120" t="str">
        <f>IF(B782="","",SUMIFS('S-BOM'!$D$3:$D994,'S-BOM'!$C$3:$C994,B782,'S-BOM'!$B$3:$B994,$B$2))</f>
        <v/>
      </c>
      <c r="D782" s="120" t="str">
        <f>IFERROR(IF(B782="","",VLOOKUP(B782,RM!$C$4:$F984,3,FALSE)),"")</f>
        <v/>
      </c>
      <c r="E782" s="118" t="str">
        <f>IF(B782="","",VLOOKUP(B782,RM!$C$4:$G984,14,FALSE))</f>
        <v/>
      </c>
      <c r="F782" s="87" t="str">
        <f t="shared" si="7"/>
        <v/>
      </c>
      <c r="G782" s="87" t="str">
        <f t="shared" si="8"/>
        <v/>
      </c>
      <c r="H782" s="87"/>
      <c r="I782" s="87"/>
      <c r="J782" s="87"/>
    </row>
    <row r="783" spans="1:10">
      <c r="A783" s="2"/>
      <c r="B783" s="2"/>
      <c r="C783" s="120" t="str">
        <f>IF(B783="","",SUMIFS('S-BOM'!$D$3:$D994,'S-BOM'!$C$3:$C994,B783,'S-BOM'!$B$3:$B994,$B$2))</f>
        <v/>
      </c>
      <c r="D783" s="120" t="str">
        <f>IFERROR(IF(B783="","",VLOOKUP(B783,RM!$C$4:$F984,3,FALSE)),"")</f>
        <v/>
      </c>
      <c r="E783" s="118" t="str">
        <f>IF(B783="","",VLOOKUP(B783,RM!$C$4:$G984,14,FALSE))</f>
        <v/>
      </c>
      <c r="F783" s="87" t="str">
        <f t="shared" si="7"/>
        <v/>
      </c>
      <c r="G783" s="87" t="str">
        <f t="shared" si="8"/>
        <v/>
      </c>
      <c r="H783" s="87"/>
      <c r="I783" s="87"/>
      <c r="J783" s="87"/>
    </row>
    <row r="784" spans="1:10">
      <c r="A784" s="2"/>
      <c r="B784" s="2"/>
      <c r="C784" s="120" t="str">
        <f>IF(B784="","",SUMIFS('S-BOM'!$D$3:$D994,'S-BOM'!$C$3:$C994,B784,'S-BOM'!$B$3:$B994,$B$2))</f>
        <v/>
      </c>
      <c r="D784" s="120" t="str">
        <f>IFERROR(IF(B784="","",VLOOKUP(B784,RM!$C$4:$F984,3,FALSE)),"")</f>
        <v/>
      </c>
      <c r="E784" s="118" t="str">
        <f>IF(B784="","",VLOOKUP(B784,RM!$C$4:$G984,14,FALSE))</f>
        <v/>
      </c>
      <c r="F784" s="87" t="str">
        <f t="shared" si="7"/>
        <v/>
      </c>
      <c r="G784" s="87" t="str">
        <f t="shared" si="8"/>
        <v/>
      </c>
      <c r="H784" s="87"/>
      <c r="I784" s="87"/>
      <c r="J784" s="87"/>
    </row>
    <row r="785" spans="1:10">
      <c r="A785" s="2"/>
      <c r="B785" s="2"/>
      <c r="C785" s="120" t="str">
        <f>IF(B785="","",SUMIFS('S-BOM'!$D$3:$D994,'S-BOM'!$C$3:$C994,B785,'S-BOM'!$B$3:$B994,$B$2))</f>
        <v/>
      </c>
      <c r="D785" s="120" t="str">
        <f>IFERROR(IF(B785="","",VLOOKUP(B785,RM!$C$4:$F984,3,FALSE)),"")</f>
        <v/>
      </c>
      <c r="E785" s="118" t="str">
        <f>IF(B785="","",VLOOKUP(B785,RM!$C$4:$G984,14,FALSE))</f>
        <v/>
      </c>
      <c r="F785" s="87" t="str">
        <f t="shared" si="7"/>
        <v/>
      </c>
      <c r="G785" s="87" t="str">
        <f t="shared" si="8"/>
        <v/>
      </c>
      <c r="H785" s="87"/>
      <c r="I785" s="87"/>
      <c r="J785" s="87"/>
    </row>
    <row r="786" spans="1:10">
      <c r="A786" s="2"/>
      <c r="B786" s="2"/>
      <c r="C786" s="120" t="str">
        <f>IF(B786="","",SUMIFS('S-BOM'!$D$3:$D994,'S-BOM'!$C$3:$C994,B786,'S-BOM'!$B$3:$B994,$B$2))</f>
        <v/>
      </c>
      <c r="D786" s="120" t="str">
        <f>IFERROR(IF(B786="","",VLOOKUP(B786,RM!$C$4:$F984,3,FALSE)),"")</f>
        <v/>
      </c>
      <c r="E786" s="118" t="str">
        <f>IF(B786="","",VLOOKUP(B786,RM!$C$4:$G984,14,FALSE))</f>
        <v/>
      </c>
      <c r="F786" s="87" t="str">
        <f t="shared" si="7"/>
        <v/>
      </c>
      <c r="G786" s="87" t="str">
        <f t="shared" si="8"/>
        <v/>
      </c>
      <c r="H786" s="87"/>
      <c r="I786" s="87"/>
      <c r="J786" s="87"/>
    </row>
    <row r="787" spans="1:10">
      <c r="A787" s="2"/>
      <c r="B787" s="2"/>
      <c r="C787" s="120" t="str">
        <f>IF(B787="","",SUMIFS('S-BOM'!$D$3:$D994,'S-BOM'!$C$3:$C994,B787,'S-BOM'!$B$3:$B994,$B$2))</f>
        <v/>
      </c>
      <c r="D787" s="120" t="str">
        <f>IFERROR(IF(B787="","",VLOOKUP(B787,RM!$C$4:$F984,3,FALSE)),"")</f>
        <v/>
      </c>
      <c r="E787" s="118" t="str">
        <f>IF(B787="","",VLOOKUP(B787,RM!$C$4:$G984,14,FALSE))</f>
        <v/>
      </c>
      <c r="F787" s="87" t="str">
        <f t="shared" si="7"/>
        <v/>
      </c>
      <c r="G787" s="87" t="str">
        <f t="shared" si="8"/>
        <v/>
      </c>
      <c r="H787" s="87"/>
      <c r="I787" s="87"/>
      <c r="J787" s="87"/>
    </row>
    <row r="788" spans="1:10">
      <c r="A788" s="2"/>
      <c r="B788" s="2"/>
      <c r="C788" s="120" t="str">
        <f>IF(B788="","",SUMIFS('S-BOM'!$D$3:$D994,'S-BOM'!$C$3:$C994,B788,'S-BOM'!$B$3:$B994,$B$2))</f>
        <v/>
      </c>
      <c r="D788" s="120" t="str">
        <f>IFERROR(IF(B788="","",VLOOKUP(B788,RM!$C$4:$F984,3,FALSE)),"")</f>
        <v/>
      </c>
      <c r="E788" s="118" t="str">
        <f>IF(B788="","",VLOOKUP(B788,RM!$C$4:$G984,14,FALSE))</f>
        <v/>
      </c>
      <c r="F788" s="87" t="str">
        <f t="shared" si="7"/>
        <v/>
      </c>
      <c r="G788" s="87" t="str">
        <f t="shared" si="8"/>
        <v/>
      </c>
      <c r="H788" s="87"/>
      <c r="I788" s="87"/>
      <c r="J788" s="87"/>
    </row>
    <row r="789" spans="1:10">
      <c r="A789" s="2"/>
      <c r="B789" s="2"/>
      <c r="C789" s="120" t="str">
        <f>IF(B789="","",SUMIFS('S-BOM'!$D$3:$D994,'S-BOM'!$C$3:$C994,B789,'S-BOM'!$B$3:$B994,$B$2))</f>
        <v/>
      </c>
      <c r="D789" s="120" t="str">
        <f>IFERROR(IF(B789="","",VLOOKUP(B789,RM!$C$4:$F984,3,FALSE)),"")</f>
        <v/>
      </c>
      <c r="E789" s="118" t="str">
        <f>IF(B789="","",VLOOKUP(B789,RM!$C$4:$G984,14,FALSE))</f>
        <v/>
      </c>
      <c r="F789" s="87" t="str">
        <f t="shared" si="7"/>
        <v/>
      </c>
      <c r="G789" s="87" t="str">
        <f t="shared" si="8"/>
        <v/>
      </c>
      <c r="H789" s="87"/>
      <c r="I789" s="87"/>
      <c r="J789" s="87"/>
    </row>
    <row r="790" spans="1:10">
      <c r="A790" s="2"/>
      <c r="B790" s="2"/>
      <c r="C790" s="120" t="str">
        <f>IF(B790="","",SUMIFS('S-BOM'!$D$3:$D994,'S-BOM'!$C$3:$C994,B790,'S-BOM'!$B$3:$B994,$B$2))</f>
        <v/>
      </c>
      <c r="D790" s="120" t="str">
        <f>IFERROR(IF(B790="","",VLOOKUP(B790,RM!$C$4:$F984,3,FALSE)),"")</f>
        <v/>
      </c>
      <c r="E790" s="118" t="str">
        <f>IF(B790="","",VLOOKUP(B790,RM!$C$4:$G984,14,FALSE))</f>
        <v/>
      </c>
      <c r="F790" s="87" t="str">
        <f t="shared" si="7"/>
        <v/>
      </c>
      <c r="G790" s="87" t="str">
        <f t="shared" si="8"/>
        <v/>
      </c>
      <c r="H790" s="87"/>
      <c r="I790" s="87"/>
      <c r="J790" s="87"/>
    </row>
    <row r="791" spans="1:10">
      <c r="A791" s="2"/>
      <c r="B791" s="2"/>
      <c r="C791" s="120" t="str">
        <f>IF(B791="","",SUMIFS('S-BOM'!$D$3:$D994,'S-BOM'!$C$3:$C994,B791,'S-BOM'!$B$3:$B994,$B$2))</f>
        <v/>
      </c>
      <c r="D791" s="120" t="str">
        <f>IFERROR(IF(B791="","",VLOOKUP(B791,RM!$C$4:$F984,3,FALSE)),"")</f>
        <v/>
      </c>
      <c r="E791" s="118" t="str">
        <f>IF(B791="","",VLOOKUP(B791,RM!$C$4:$G984,14,FALSE))</f>
        <v/>
      </c>
      <c r="F791" s="87" t="str">
        <f t="shared" si="7"/>
        <v/>
      </c>
      <c r="G791" s="87" t="str">
        <f t="shared" si="8"/>
        <v/>
      </c>
      <c r="H791" s="87"/>
      <c r="I791" s="87"/>
      <c r="J791" s="87"/>
    </row>
    <row r="792" spans="1:10">
      <c r="A792" s="2"/>
      <c r="B792" s="2"/>
      <c r="C792" s="120" t="str">
        <f>IF(B792="","",SUMIFS('S-BOM'!$D$3:$D994,'S-BOM'!$C$3:$C994,B792,'S-BOM'!$B$3:$B994,$B$2))</f>
        <v/>
      </c>
      <c r="D792" s="120" t="str">
        <f>IFERROR(IF(B792="","",VLOOKUP(B792,RM!$C$4:$F984,3,FALSE)),"")</f>
        <v/>
      </c>
      <c r="E792" s="118" t="str">
        <f>IF(B792="","",VLOOKUP(B792,RM!$C$4:$G984,14,FALSE))</f>
        <v/>
      </c>
      <c r="F792" s="87" t="str">
        <f t="shared" si="7"/>
        <v/>
      </c>
      <c r="G792" s="87" t="str">
        <f t="shared" si="8"/>
        <v/>
      </c>
      <c r="H792" s="87"/>
      <c r="I792" s="87"/>
      <c r="J792" s="87"/>
    </row>
    <row r="793" spans="1:10">
      <c r="A793" s="2"/>
      <c r="B793" s="2"/>
      <c r="C793" s="120" t="str">
        <f>IF(B793="","",SUMIFS('S-BOM'!$D$3:$D994,'S-BOM'!$C$3:$C994,B793,'S-BOM'!$B$3:$B994,$B$2))</f>
        <v/>
      </c>
      <c r="D793" s="120" t="str">
        <f>IFERROR(IF(B793="","",VLOOKUP(B793,RM!$C$4:$F984,3,FALSE)),"")</f>
        <v/>
      </c>
      <c r="E793" s="118" t="str">
        <f>IF(B793="","",VLOOKUP(B793,RM!$C$4:$G984,14,FALSE))</f>
        <v/>
      </c>
      <c r="F793" s="87" t="str">
        <f t="shared" si="7"/>
        <v/>
      </c>
      <c r="G793" s="87" t="str">
        <f t="shared" si="8"/>
        <v/>
      </c>
      <c r="H793" s="87"/>
      <c r="I793" s="87"/>
      <c r="J793" s="87"/>
    </row>
    <row r="794" spans="1:10">
      <c r="A794" s="2"/>
      <c r="B794" s="2"/>
      <c r="C794" s="120" t="str">
        <f>IF(B794="","",SUMIFS('S-BOM'!$D$3:$D994,'S-BOM'!$C$3:$C994,B794,'S-BOM'!$B$3:$B994,$B$2))</f>
        <v/>
      </c>
      <c r="D794" s="120" t="str">
        <f>IFERROR(IF(B794="","",VLOOKUP(B794,RM!$C$4:$F984,3,FALSE)),"")</f>
        <v/>
      </c>
      <c r="E794" s="118" t="str">
        <f>IF(B794="","",VLOOKUP(B794,RM!$C$4:$G984,14,FALSE))</f>
        <v/>
      </c>
      <c r="F794" s="87" t="str">
        <f t="shared" si="7"/>
        <v/>
      </c>
      <c r="G794" s="87" t="str">
        <f t="shared" si="8"/>
        <v/>
      </c>
      <c r="H794" s="87"/>
      <c r="I794" s="87"/>
      <c r="J794" s="87"/>
    </row>
    <row r="795" spans="1:10">
      <c r="A795" s="2"/>
      <c r="B795" s="2"/>
      <c r="C795" s="120" t="str">
        <f>IF(B795="","",SUMIFS('S-BOM'!$D$3:$D994,'S-BOM'!$C$3:$C994,B795,'S-BOM'!$B$3:$B994,$B$2))</f>
        <v/>
      </c>
      <c r="D795" s="120" t="str">
        <f>IFERROR(IF(B795="","",VLOOKUP(B795,RM!$C$4:$F984,3,FALSE)),"")</f>
        <v/>
      </c>
      <c r="E795" s="118" t="str">
        <f>IF(B795="","",VLOOKUP(B795,RM!$C$4:$G984,14,FALSE))</f>
        <v/>
      </c>
      <c r="F795" s="87" t="str">
        <f t="shared" si="7"/>
        <v/>
      </c>
      <c r="G795" s="87" t="str">
        <f t="shared" si="8"/>
        <v/>
      </c>
      <c r="H795" s="87"/>
      <c r="I795" s="87"/>
      <c r="J795" s="87"/>
    </row>
    <row r="796" spans="1:10">
      <c r="A796" s="2"/>
      <c r="B796" s="2"/>
      <c r="C796" s="120" t="str">
        <f>IF(B796="","",SUMIFS('S-BOM'!$D$3:$D994,'S-BOM'!$C$3:$C994,B796,'S-BOM'!$B$3:$B994,$B$2))</f>
        <v/>
      </c>
      <c r="D796" s="120" t="str">
        <f>IFERROR(IF(B796="","",VLOOKUP(B796,RM!$C$4:$F984,3,FALSE)),"")</f>
        <v/>
      </c>
      <c r="E796" s="118" t="str">
        <f>IF(B796="","",VLOOKUP(B796,RM!$C$4:$G984,14,FALSE))</f>
        <v/>
      </c>
      <c r="F796" s="87" t="str">
        <f t="shared" si="7"/>
        <v/>
      </c>
      <c r="G796" s="87" t="str">
        <f t="shared" si="8"/>
        <v/>
      </c>
      <c r="H796" s="87"/>
      <c r="I796" s="87"/>
      <c r="J796" s="87"/>
    </row>
    <row r="797" spans="1:10">
      <c r="A797" s="2"/>
      <c r="B797" s="2"/>
      <c r="C797" s="120" t="str">
        <f>IF(B797="","",SUMIFS('S-BOM'!$D$3:$D994,'S-BOM'!$C$3:$C994,B797,'S-BOM'!$B$3:$B994,$B$2))</f>
        <v/>
      </c>
      <c r="D797" s="120" t="str">
        <f>IFERROR(IF(B797="","",VLOOKUP(B797,RM!$C$4:$F984,3,FALSE)),"")</f>
        <v/>
      </c>
      <c r="E797" s="118" t="str">
        <f>IF(B797="","",VLOOKUP(B797,RM!$C$4:$G984,14,FALSE))</f>
        <v/>
      </c>
      <c r="F797" s="87" t="str">
        <f t="shared" si="7"/>
        <v/>
      </c>
      <c r="G797" s="87" t="str">
        <f t="shared" si="8"/>
        <v/>
      </c>
      <c r="H797" s="87"/>
      <c r="I797" s="87"/>
      <c r="J797" s="87"/>
    </row>
    <row r="798" spans="1:10">
      <c r="A798" s="2"/>
      <c r="B798" s="2"/>
      <c r="C798" s="120" t="str">
        <f>IF(B798="","",SUMIFS('S-BOM'!$D$3:$D994,'S-BOM'!$C$3:$C994,B798,'S-BOM'!$B$3:$B994,$B$2))</f>
        <v/>
      </c>
      <c r="D798" s="120" t="str">
        <f>IFERROR(IF(B798="","",VLOOKUP(B798,RM!$C$4:$F984,3,FALSE)),"")</f>
        <v/>
      </c>
      <c r="E798" s="118" t="str">
        <f>IF(B798="","",VLOOKUP(B798,RM!$C$4:$G984,14,FALSE))</f>
        <v/>
      </c>
      <c r="F798" s="87" t="str">
        <f t="shared" si="7"/>
        <v/>
      </c>
      <c r="G798" s="87" t="str">
        <f t="shared" si="8"/>
        <v/>
      </c>
      <c r="H798" s="87"/>
      <c r="I798" s="87"/>
      <c r="J798" s="87"/>
    </row>
    <row r="799" spans="1:10">
      <c r="A799" s="2"/>
      <c r="B799" s="2"/>
      <c r="C799" s="120" t="str">
        <f>IF(B799="","",SUMIFS('S-BOM'!$D$3:$D994,'S-BOM'!$C$3:$C994,B799,'S-BOM'!$B$3:$B994,$B$2))</f>
        <v/>
      </c>
      <c r="D799" s="120" t="str">
        <f>IFERROR(IF(B799="","",VLOOKUP(B799,RM!$C$4:$F984,3,FALSE)),"")</f>
        <v/>
      </c>
      <c r="E799" s="118" t="str">
        <f>IF(B799="","",VLOOKUP(B799,RM!$C$4:$G984,14,FALSE))</f>
        <v/>
      </c>
      <c r="F799" s="87" t="str">
        <f t="shared" si="7"/>
        <v/>
      </c>
      <c r="G799" s="87" t="str">
        <f t="shared" si="8"/>
        <v/>
      </c>
      <c r="H799" s="87"/>
      <c r="I799" s="87"/>
      <c r="J799" s="87"/>
    </row>
    <row r="800" spans="1:10">
      <c r="A800" s="2"/>
      <c r="B800" s="2"/>
      <c r="C800" s="120" t="str">
        <f>IF(B800="","",SUMIFS('S-BOM'!$D$3:$D994,'S-BOM'!$C$3:$C994,B800,'S-BOM'!$B$3:$B994,$B$2))</f>
        <v/>
      </c>
      <c r="D800" s="120" t="str">
        <f>IFERROR(IF(B800="","",VLOOKUP(B800,RM!$C$4:$F984,3,FALSE)),"")</f>
        <v/>
      </c>
      <c r="E800" s="118" t="str">
        <f>IF(B800="","",VLOOKUP(B800,RM!$C$4:$G984,14,FALSE))</f>
        <v/>
      </c>
      <c r="F800" s="87" t="str">
        <f t="shared" si="7"/>
        <v/>
      </c>
      <c r="G800" s="87" t="str">
        <f t="shared" si="8"/>
        <v/>
      </c>
      <c r="H800" s="87"/>
      <c r="I800" s="87"/>
      <c r="J800" s="87"/>
    </row>
    <row r="801" spans="1:10">
      <c r="A801" s="2"/>
      <c r="B801" s="2"/>
      <c r="C801" s="120" t="str">
        <f>IF(B801="","",SUMIFS('S-BOM'!$D$3:$D994,'S-BOM'!$C$3:$C994,B801,'S-BOM'!$B$3:$B994,$B$2))</f>
        <v/>
      </c>
      <c r="D801" s="120" t="str">
        <f>IFERROR(IF(B801="","",VLOOKUP(B801,RM!$C$4:$F984,3,FALSE)),"")</f>
        <v/>
      </c>
      <c r="E801" s="118" t="str">
        <f>IF(B801="","",VLOOKUP(B801,RM!$C$4:$G984,14,FALSE))</f>
        <v/>
      </c>
      <c r="F801" s="87" t="str">
        <f t="shared" si="7"/>
        <v/>
      </c>
      <c r="G801" s="87" t="str">
        <f t="shared" si="8"/>
        <v/>
      </c>
      <c r="H801" s="87"/>
      <c r="I801" s="87"/>
      <c r="J801" s="87"/>
    </row>
    <row r="802" spans="1:10">
      <c r="A802" s="2"/>
      <c r="B802" s="2"/>
      <c r="C802" s="120" t="str">
        <f>IF(B802="","",SUMIFS('S-BOM'!$D$3:$D994,'S-BOM'!$C$3:$C994,B802,'S-BOM'!$B$3:$B994,$B$2))</f>
        <v/>
      </c>
      <c r="D802" s="120" t="str">
        <f>IFERROR(IF(B802="","",VLOOKUP(B802,RM!$C$4:$F984,3,FALSE)),"")</f>
        <v/>
      </c>
      <c r="E802" s="118" t="str">
        <f>IF(B802="","",VLOOKUP(B802,RM!$C$4:$G984,14,FALSE))</f>
        <v/>
      </c>
      <c r="F802" s="87" t="str">
        <f t="shared" si="7"/>
        <v/>
      </c>
      <c r="G802" s="87" t="str">
        <f t="shared" si="8"/>
        <v/>
      </c>
      <c r="H802" s="87"/>
      <c r="I802" s="87"/>
      <c r="J802" s="87"/>
    </row>
    <row r="803" spans="1:10">
      <c r="A803" s="2"/>
      <c r="B803" s="2"/>
      <c r="C803" s="120" t="str">
        <f>IF(B803="","",SUMIFS('S-BOM'!$D$3:$D994,'S-BOM'!$C$3:$C994,B803,'S-BOM'!$B$3:$B994,$B$2))</f>
        <v/>
      </c>
      <c r="D803" s="120" t="str">
        <f>IFERROR(IF(B803="","",VLOOKUP(B803,RM!$C$4:$F984,3,FALSE)),"")</f>
        <v/>
      </c>
      <c r="E803" s="118" t="str">
        <f>IF(B803="","",VLOOKUP(B803,RM!$C$4:$G984,14,FALSE))</f>
        <v/>
      </c>
      <c r="F803" s="87" t="str">
        <f t="shared" si="7"/>
        <v/>
      </c>
      <c r="G803" s="87" t="str">
        <f t="shared" si="8"/>
        <v/>
      </c>
      <c r="H803" s="87"/>
      <c r="I803" s="87"/>
      <c r="J803" s="87"/>
    </row>
    <row r="804" spans="1:10">
      <c r="A804" s="2"/>
      <c r="B804" s="2"/>
      <c r="C804" s="120" t="str">
        <f>IF(B804="","",SUMIFS('S-BOM'!$D$3:$D994,'S-BOM'!$C$3:$C994,B804,'S-BOM'!$B$3:$B994,$B$2))</f>
        <v/>
      </c>
      <c r="D804" s="120" t="str">
        <f>IFERROR(IF(B804="","",VLOOKUP(B804,RM!$C$4:$F984,3,FALSE)),"")</f>
        <v/>
      </c>
      <c r="E804" s="118" t="str">
        <f>IF(B804="","",VLOOKUP(B804,RM!$C$4:$G984,14,FALSE))</f>
        <v/>
      </c>
      <c r="F804" s="87" t="str">
        <f t="shared" si="7"/>
        <v/>
      </c>
      <c r="G804" s="87" t="str">
        <f t="shared" si="8"/>
        <v/>
      </c>
      <c r="H804" s="87"/>
      <c r="I804" s="87"/>
      <c r="J804" s="87"/>
    </row>
    <row r="805" spans="1:10">
      <c r="A805" s="2"/>
      <c r="B805" s="2"/>
      <c r="C805" s="120" t="str">
        <f>IF(B805="","",SUMIFS('S-BOM'!$D$3:$D994,'S-BOM'!$C$3:$C994,B805,'S-BOM'!$B$3:$B994,$B$2))</f>
        <v/>
      </c>
      <c r="D805" s="120" t="str">
        <f>IFERROR(IF(B805="","",VLOOKUP(B805,RM!$C$4:$F984,3,FALSE)),"")</f>
        <v/>
      </c>
      <c r="E805" s="118" t="str">
        <f>IF(B805="","",VLOOKUP(B805,RM!$C$4:$G984,14,FALSE))</f>
        <v/>
      </c>
      <c r="F805" s="87" t="str">
        <f t="shared" si="7"/>
        <v/>
      </c>
      <c r="G805" s="87" t="str">
        <f t="shared" si="8"/>
        <v/>
      </c>
      <c r="H805" s="87"/>
      <c r="I805" s="87"/>
      <c r="J805" s="87"/>
    </row>
    <row r="806" spans="1:10">
      <c r="A806" s="2"/>
      <c r="B806" s="2"/>
      <c r="C806" s="120" t="str">
        <f>IF(B806="","",SUMIFS('S-BOM'!$D$3:$D994,'S-BOM'!$C$3:$C994,B806,'S-BOM'!$B$3:$B994,$B$2))</f>
        <v/>
      </c>
      <c r="D806" s="120" t="str">
        <f>IFERROR(IF(B806="","",VLOOKUP(B806,RM!$C$4:$F984,3,FALSE)),"")</f>
        <v/>
      </c>
      <c r="E806" s="118" t="str">
        <f>IF(B806="","",VLOOKUP(B806,RM!$C$4:$G984,14,FALSE))</f>
        <v/>
      </c>
      <c r="F806" s="87" t="str">
        <f t="shared" si="7"/>
        <v/>
      </c>
      <c r="G806" s="87" t="str">
        <f t="shared" si="8"/>
        <v/>
      </c>
      <c r="H806" s="87"/>
      <c r="I806" s="87"/>
      <c r="J806" s="87"/>
    </row>
    <row r="807" spans="1:10">
      <c r="A807" s="2"/>
      <c r="B807" s="2"/>
      <c r="C807" s="120" t="str">
        <f>IF(B807="","",SUMIFS('S-BOM'!$D$3:$D994,'S-BOM'!$C$3:$C994,B807,'S-BOM'!$B$3:$B994,$B$2))</f>
        <v/>
      </c>
      <c r="D807" s="120" t="str">
        <f>IFERROR(IF(B807="","",VLOOKUP(B807,RM!$C$4:$F984,3,FALSE)),"")</f>
        <v/>
      </c>
      <c r="E807" s="118" t="str">
        <f>IF(B807="","",VLOOKUP(B807,RM!$C$4:$G984,14,FALSE))</f>
        <v/>
      </c>
      <c r="F807" s="87" t="str">
        <f t="shared" si="7"/>
        <v/>
      </c>
      <c r="G807" s="87" t="str">
        <f t="shared" si="8"/>
        <v/>
      </c>
      <c r="H807" s="87"/>
      <c r="I807" s="87"/>
      <c r="J807" s="87"/>
    </row>
    <row r="808" spans="1:10">
      <c r="A808" s="2"/>
      <c r="B808" s="2"/>
      <c r="C808" s="120" t="str">
        <f>IF(B808="","",SUMIFS('S-BOM'!$D$3:$D994,'S-BOM'!$C$3:$C994,B808,'S-BOM'!$B$3:$B994,$B$2))</f>
        <v/>
      </c>
      <c r="D808" s="120" t="str">
        <f>IFERROR(IF(B808="","",VLOOKUP(B808,RM!$C$4:$F984,3,FALSE)),"")</f>
        <v/>
      </c>
      <c r="E808" s="118" t="str">
        <f>IF(B808="","",VLOOKUP(B808,RM!$C$4:$G984,14,FALSE))</f>
        <v/>
      </c>
      <c r="F808" s="87" t="str">
        <f t="shared" si="7"/>
        <v/>
      </c>
      <c r="G808" s="87" t="str">
        <f t="shared" si="8"/>
        <v/>
      </c>
      <c r="H808" s="87"/>
      <c r="I808" s="87"/>
      <c r="J808" s="87"/>
    </row>
    <row r="809" spans="1:10">
      <c r="A809" s="2"/>
      <c r="B809" s="2"/>
      <c r="C809" s="120" t="str">
        <f>IF(B809="","",SUMIFS('S-BOM'!$D$3:$D994,'S-BOM'!$C$3:$C994,B809,'S-BOM'!$B$3:$B994,$B$2))</f>
        <v/>
      </c>
      <c r="D809" s="120" t="str">
        <f>IFERROR(IF(B809="","",VLOOKUP(B809,RM!$C$4:$F984,3,FALSE)),"")</f>
        <v/>
      </c>
      <c r="E809" s="118" t="str">
        <f>IF(B809="","",VLOOKUP(B809,RM!$C$4:$G984,14,FALSE))</f>
        <v/>
      </c>
      <c r="F809" s="87" t="str">
        <f t="shared" si="7"/>
        <v/>
      </c>
      <c r="G809" s="87" t="str">
        <f t="shared" si="8"/>
        <v/>
      </c>
      <c r="H809" s="87"/>
      <c r="I809" s="87"/>
      <c r="J809" s="87"/>
    </row>
    <row r="810" spans="1:10">
      <c r="A810" s="2"/>
      <c r="B810" s="2"/>
      <c r="C810" s="120" t="str">
        <f>IF(B810="","",SUMIFS('S-BOM'!$D$3:$D994,'S-BOM'!$C$3:$C994,B810,'S-BOM'!$B$3:$B994,$B$2))</f>
        <v/>
      </c>
      <c r="D810" s="120" t="str">
        <f>IFERROR(IF(B810="","",VLOOKUP(B810,RM!$C$4:$F984,3,FALSE)),"")</f>
        <v/>
      </c>
      <c r="E810" s="118" t="str">
        <f>IF(B810="","",VLOOKUP(B810,RM!$C$4:$G984,14,FALSE))</f>
        <v/>
      </c>
      <c r="F810" s="87" t="str">
        <f t="shared" si="7"/>
        <v/>
      </c>
      <c r="G810" s="87" t="str">
        <f t="shared" si="8"/>
        <v/>
      </c>
      <c r="H810" s="87"/>
      <c r="I810" s="87"/>
      <c r="J810" s="87"/>
    </row>
    <row r="811" spans="1:10">
      <c r="A811" s="2"/>
      <c r="B811" s="2"/>
      <c r="C811" s="120" t="str">
        <f>IF(B811="","",SUMIFS('S-BOM'!$D$3:$D994,'S-BOM'!$C$3:$C994,B811,'S-BOM'!$B$3:$B994,$B$2))</f>
        <v/>
      </c>
      <c r="D811" s="120" t="str">
        <f>IFERROR(IF(B811="","",VLOOKUP(B811,RM!$C$4:$F984,3,FALSE)),"")</f>
        <v/>
      </c>
      <c r="E811" s="118" t="str">
        <f>IF(B811="","",VLOOKUP(B811,RM!$C$4:$G984,14,FALSE))</f>
        <v/>
      </c>
      <c r="F811" s="87" t="str">
        <f t="shared" si="7"/>
        <v/>
      </c>
      <c r="G811" s="87" t="str">
        <f t="shared" si="8"/>
        <v/>
      </c>
      <c r="H811" s="87"/>
      <c r="I811" s="87"/>
      <c r="J811" s="87"/>
    </row>
    <row r="812" spans="1:10">
      <c r="A812" s="2"/>
      <c r="B812" s="2"/>
      <c r="C812" s="120" t="str">
        <f>IF(B812="","",SUMIFS('S-BOM'!$D$3:$D994,'S-BOM'!$C$3:$C994,B812,'S-BOM'!$B$3:$B994,$B$2))</f>
        <v/>
      </c>
      <c r="D812" s="120" t="str">
        <f>IFERROR(IF(B812="","",VLOOKUP(B812,RM!$C$4:$F984,3,FALSE)),"")</f>
        <v/>
      </c>
      <c r="E812" s="118" t="str">
        <f>IF(B812="","",VLOOKUP(B812,RM!$C$4:$G984,14,FALSE))</f>
        <v/>
      </c>
      <c r="F812" s="87" t="str">
        <f t="shared" si="7"/>
        <v/>
      </c>
      <c r="G812" s="87" t="str">
        <f t="shared" si="8"/>
        <v/>
      </c>
      <c r="H812" s="87"/>
      <c r="I812" s="87"/>
      <c r="J812" s="87"/>
    </row>
    <row r="813" spans="1:10">
      <c r="A813" s="2"/>
      <c r="B813" s="2"/>
      <c r="C813" s="120" t="str">
        <f>IF(B813="","",SUMIFS('S-BOM'!$D$3:$D994,'S-BOM'!$C$3:$C994,B813,'S-BOM'!$B$3:$B994,$B$2))</f>
        <v/>
      </c>
      <c r="D813" s="120" t="str">
        <f>IFERROR(IF(B813="","",VLOOKUP(B813,RM!$C$4:$F984,3,FALSE)),"")</f>
        <v/>
      </c>
      <c r="E813" s="118" t="str">
        <f>IF(B813="","",VLOOKUP(B813,RM!$C$4:$G984,14,FALSE))</f>
        <v/>
      </c>
      <c r="F813" s="87" t="str">
        <f t="shared" si="7"/>
        <v/>
      </c>
      <c r="G813" s="87" t="str">
        <f t="shared" si="8"/>
        <v/>
      </c>
      <c r="H813" s="87"/>
      <c r="I813" s="87"/>
      <c r="J813" s="87"/>
    </row>
    <row r="814" spans="1:10">
      <c r="A814" s="2"/>
      <c r="B814" s="2"/>
      <c r="C814" s="120" t="str">
        <f>IF(B814="","",SUMIFS('S-BOM'!$D$3:$D994,'S-BOM'!$C$3:$C994,B814,'S-BOM'!$B$3:$B994,$B$2))</f>
        <v/>
      </c>
      <c r="D814" s="120" t="str">
        <f>IFERROR(IF(B814="","",VLOOKUP(B814,RM!$C$4:$F984,3,FALSE)),"")</f>
        <v/>
      </c>
      <c r="E814" s="118" t="str">
        <f>IF(B814="","",VLOOKUP(B814,RM!$C$4:$G984,14,FALSE))</f>
        <v/>
      </c>
      <c r="F814" s="87" t="str">
        <f t="shared" si="7"/>
        <v/>
      </c>
      <c r="G814" s="87" t="str">
        <f t="shared" si="8"/>
        <v/>
      </c>
      <c r="H814" s="87"/>
      <c r="I814" s="87"/>
      <c r="J814" s="87"/>
    </row>
    <row r="815" spans="1:10">
      <c r="A815" s="2"/>
      <c r="B815" s="2"/>
      <c r="C815" s="120" t="str">
        <f>IF(B815="","",SUMIFS('S-BOM'!$D$3:$D994,'S-BOM'!$C$3:$C994,B815,'S-BOM'!$B$3:$B994,$B$2))</f>
        <v/>
      </c>
      <c r="D815" s="120" t="str">
        <f>IFERROR(IF(B815="","",VLOOKUP(B815,RM!$C$4:$F984,3,FALSE)),"")</f>
        <v/>
      </c>
      <c r="E815" s="118" t="str">
        <f>IF(B815="","",VLOOKUP(B815,RM!$C$4:$G984,14,FALSE))</f>
        <v/>
      </c>
      <c r="F815" s="87" t="str">
        <f t="shared" si="7"/>
        <v/>
      </c>
      <c r="G815" s="87" t="str">
        <f t="shared" si="8"/>
        <v/>
      </c>
      <c r="H815" s="87"/>
      <c r="I815" s="87"/>
      <c r="J815" s="87"/>
    </row>
    <row r="816" spans="1:10">
      <c r="A816" s="2"/>
      <c r="B816" s="2"/>
      <c r="C816" s="120" t="str">
        <f>IF(B816="","",SUMIFS('S-BOM'!$D$3:$D994,'S-BOM'!$C$3:$C994,B816,'S-BOM'!$B$3:$B994,$B$2))</f>
        <v/>
      </c>
      <c r="D816" s="120" t="str">
        <f>IFERROR(IF(B816="","",VLOOKUP(B816,RM!$C$4:$F984,3,FALSE)),"")</f>
        <v/>
      </c>
      <c r="E816" s="118" t="str">
        <f>IF(B816="","",VLOOKUP(B816,RM!$C$4:$G984,14,FALSE))</f>
        <v/>
      </c>
      <c r="F816" s="87" t="str">
        <f t="shared" si="7"/>
        <v/>
      </c>
      <c r="G816" s="87" t="str">
        <f t="shared" si="8"/>
        <v/>
      </c>
      <c r="H816" s="87"/>
      <c r="I816" s="87"/>
      <c r="J816" s="87"/>
    </row>
    <row r="817" spans="1:10">
      <c r="A817" s="2"/>
      <c r="B817" s="2"/>
      <c r="C817" s="120" t="str">
        <f>IF(B817="","",SUMIFS('S-BOM'!$D$3:$D994,'S-BOM'!$C$3:$C994,B817,'S-BOM'!$B$3:$B994,$B$2))</f>
        <v/>
      </c>
      <c r="D817" s="120" t="str">
        <f>IFERROR(IF(B817="","",VLOOKUP(B817,RM!$C$4:$F984,3,FALSE)),"")</f>
        <v/>
      </c>
      <c r="E817" s="118" t="str">
        <f>IF(B817="","",VLOOKUP(B817,RM!$C$4:$G984,14,FALSE))</f>
        <v/>
      </c>
      <c r="F817" s="87" t="str">
        <f t="shared" si="7"/>
        <v/>
      </c>
      <c r="G817" s="87" t="str">
        <f t="shared" si="8"/>
        <v/>
      </c>
      <c r="H817" s="87"/>
      <c r="I817" s="87"/>
      <c r="J817" s="87"/>
    </row>
    <row r="818" spans="1:10">
      <c r="A818" s="2"/>
      <c r="B818" s="2"/>
      <c r="C818" s="120" t="str">
        <f>IF(B818="","",SUMIFS('S-BOM'!$D$3:$D994,'S-BOM'!$C$3:$C994,B818,'S-BOM'!$B$3:$B994,$B$2))</f>
        <v/>
      </c>
      <c r="D818" s="120" t="str">
        <f>IFERROR(IF(B818="","",VLOOKUP(B818,RM!$C$4:$F984,3,FALSE)),"")</f>
        <v/>
      </c>
      <c r="E818" s="118" t="str">
        <f>IF(B818="","",VLOOKUP(B818,RM!$C$4:$G984,14,FALSE))</f>
        <v/>
      </c>
      <c r="F818" s="87" t="str">
        <f t="shared" si="7"/>
        <v/>
      </c>
      <c r="G818" s="87" t="str">
        <f t="shared" si="8"/>
        <v/>
      </c>
      <c r="H818" s="87"/>
      <c r="I818" s="87"/>
      <c r="J818" s="87"/>
    </row>
    <row r="819" spans="1:10">
      <c r="A819" s="2"/>
      <c r="B819" s="2"/>
      <c r="C819" s="120" t="str">
        <f>IF(B819="","",SUMIFS('S-BOM'!$D$3:$D994,'S-BOM'!$C$3:$C994,B819,'S-BOM'!$B$3:$B994,$B$2))</f>
        <v/>
      </c>
      <c r="D819" s="120" t="str">
        <f>IFERROR(IF(B819="","",VLOOKUP(B819,RM!$C$4:$F984,3,FALSE)),"")</f>
        <v/>
      </c>
      <c r="E819" s="118" t="str">
        <f>IF(B819="","",VLOOKUP(B819,RM!$C$4:$G984,14,FALSE))</f>
        <v/>
      </c>
      <c r="F819" s="87" t="str">
        <f t="shared" si="7"/>
        <v/>
      </c>
      <c r="G819" s="87" t="str">
        <f t="shared" si="8"/>
        <v/>
      </c>
      <c r="H819" s="87"/>
      <c r="I819" s="87"/>
      <c r="J819" s="87"/>
    </row>
    <row r="820" spans="1:10">
      <c r="A820" s="2"/>
      <c r="B820" s="2"/>
      <c r="C820" s="120" t="str">
        <f>IF(B820="","",SUMIFS('S-BOM'!$D$3:$D994,'S-BOM'!$C$3:$C994,B820,'S-BOM'!$B$3:$B994,$B$2))</f>
        <v/>
      </c>
      <c r="D820" s="120" t="str">
        <f>IFERROR(IF(B820="","",VLOOKUP(B820,RM!$C$4:$F984,3,FALSE)),"")</f>
        <v/>
      </c>
      <c r="E820" s="118" t="str">
        <f>IF(B820="","",VLOOKUP(B820,RM!$C$4:$G984,14,FALSE))</f>
        <v/>
      </c>
      <c r="F820" s="87" t="str">
        <f t="shared" si="7"/>
        <v/>
      </c>
      <c r="G820" s="87" t="str">
        <f t="shared" si="8"/>
        <v/>
      </c>
      <c r="H820" s="87"/>
      <c r="I820" s="87"/>
      <c r="J820" s="87"/>
    </row>
    <row r="821" spans="1:10">
      <c r="A821" s="2"/>
      <c r="B821" s="2"/>
      <c r="C821" s="120" t="str">
        <f>IF(B821="","",SUMIFS('S-BOM'!$D$3:$D994,'S-BOM'!$C$3:$C994,B821,'S-BOM'!$B$3:$B994,$B$2))</f>
        <v/>
      </c>
      <c r="D821" s="120" t="str">
        <f>IFERROR(IF(B821="","",VLOOKUP(B821,RM!$C$4:$F984,3,FALSE)),"")</f>
        <v/>
      </c>
      <c r="E821" s="118" t="str">
        <f>IF(B821="","",VLOOKUP(B821,RM!$C$4:$G984,14,FALSE))</f>
        <v/>
      </c>
      <c r="F821" s="87" t="str">
        <f t="shared" si="7"/>
        <v/>
      </c>
      <c r="G821" s="87" t="str">
        <f t="shared" si="8"/>
        <v/>
      </c>
      <c r="H821" s="87"/>
      <c r="I821" s="87"/>
      <c r="J821" s="87"/>
    </row>
    <row r="822" spans="1:10">
      <c r="A822" s="2"/>
      <c r="B822" s="2"/>
      <c r="C822" s="120" t="str">
        <f>IF(B822="","",SUMIFS('S-BOM'!$D$3:$D994,'S-BOM'!$C$3:$C994,B822,'S-BOM'!$B$3:$B994,$B$2))</f>
        <v/>
      </c>
      <c r="D822" s="120" t="str">
        <f>IFERROR(IF(B822="","",VLOOKUP(B822,RM!$C$4:$F984,3,FALSE)),"")</f>
        <v/>
      </c>
      <c r="E822" s="118" t="str">
        <f>IF(B822="","",VLOOKUP(B822,RM!$C$4:$G984,14,FALSE))</f>
        <v/>
      </c>
      <c r="F822" s="87" t="str">
        <f t="shared" si="7"/>
        <v/>
      </c>
      <c r="G822" s="87" t="str">
        <f t="shared" si="8"/>
        <v/>
      </c>
      <c r="H822" s="87"/>
      <c r="I822" s="87"/>
      <c r="J822" s="87"/>
    </row>
    <row r="823" spans="1:10">
      <c r="A823" s="2"/>
      <c r="B823" s="2"/>
      <c r="C823" s="120" t="str">
        <f>IF(B823="","",SUMIFS('S-BOM'!$D$3:$D994,'S-BOM'!$C$3:$C994,B823,'S-BOM'!$B$3:$B994,$B$2))</f>
        <v/>
      </c>
      <c r="D823" s="120" t="str">
        <f>IFERROR(IF(B823="","",VLOOKUP(B823,RM!$C$4:$F984,3,FALSE)),"")</f>
        <v/>
      </c>
      <c r="E823" s="118" t="str">
        <f>IF(B823="","",VLOOKUP(B823,RM!$C$4:$G984,14,FALSE))</f>
        <v/>
      </c>
      <c r="F823" s="87" t="str">
        <f t="shared" si="7"/>
        <v/>
      </c>
      <c r="G823" s="87" t="str">
        <f t="shared" si="8"/>
        <v/>
      </c>
      <c r="H823" s="87"/>
      <c r="I823" s="87"/>
      <c r="J823" s="87"/>
    </row>
    <row r="824" spans="1:10">
      <c r="A824" s="2"/>
      <c r="B824" s="2"/>
      <c r="C824" s="120" t="str">
        <f>IF(B824="","",SUMIFS('S-BOM'!$D$3:$D994,'S-BOM'!$C$3:$C994,B824,'S-BOM'!$B$3:$B994,$B$2))</f>
        <v/>
      </c>
      <c r="D824" s="120" t="str">
        <f>IFERROR(IF(B824="","",VLOOKUP(B824,RM!$C$4:$F984,3,FALSE)),"")</f>
        <v/>
      </c>
      <c r="E824" s="118" t="str">
        <f>IF(B824="","",VLOOKUP(B824,RM!$C$4:$G984,14,FALSE))</f>
        <v/>
      </c>
      <c r="F824" s="87" t="str">
        <f t="shared" si="7"/>
        <v/>
      </c>
      <c r="G824" s="87" t="str">
        <f t="shared" si="8"/>
        <v/>
      </c>
      <c r="H824" s="87"/>
      <c r="I824" s="87"/>
      <c r="J824" s="87"/>
    </row>
    <row r="825" spans="1:10">
      <c r="A825" s="2"/>
      <c r="B825" s="2"/>
      <c r="C825" s="120" t="str">
        <f>IF(B825="","",SUMIFS('S-BOM'!$D$3:$D994,'S-BOM'!$C$3:$C994,B825,'S-BOM'!$B$3:$B994,$B$2))</f>
        <v/>
      </c>
      <c r="D825" s="120" t="str">
        <f>IFERROR(IF(B825="","",VLOOKUP(B825,RM!$C$4:$F984,3,FALSE)),"")</f>
        <v/>
      </c>
      <c r="E825" s="118" t="str">
        <f>IF(B825="","",VLOOKUP(B825,RM!$C$4:$G984,14,FALSE))</f>
        <v/>
      </c>
      <c r="F825" s="87" t="str">
        <f t="shared" si="7"/>
        <v/>
      </c>
      <c r="G825" s="87" t="str">
        <f t="shared" si="8"/>
        <v/>
      </c>
      <c r="H825" s="87"/>
      <c r="I825" s="87"/>
      <c r="J825" s="87"/>
    </row>
    <row r="826" spans="1:10">
      <c r="A826" s="2"/>
      <c r="B826" s="2"/>
      <c r="C826" s="120" t="str">
        <f>IF(B826="","",SUMIFS('S-BOM'!$D$3:$D994,'S-BOM'!$C$3:$C994,B826,'S-BOM'!$B$3:$B994,$B$2))</f>
        <v/>
      </c>
      <c r="D826" s="120" t="str">
        <f>IFERROR(IF(B826="","",VLOOKUP(B826,RM!$C$4:$F984,3,FALSE)),"")</f>
        <v/>
      </c>
      <c r="E826" s="118" t="str">
        <f>IF(B826="","",VLOOKUP(B826,RM!$C$4:$G984,14,FALSE))</f>
        <v/>
      </c>
      <c r="F826" s="87" t="str">
        <f t="shared" si="7"/>
        <v/>
      </c>
      <c r="G826" s="87" t="str">
        <f t="shared" si="8"/>
        <v/>
      </c>
      <c r="H826" s="87"/>
      <c r="I826" s="87"/>
      <c r="J826" s="87"/>
    </row>
    <row r="827" spans="1:10">
      <c r="A827" s="2"/>
      <c r="B827" s="2"/>
      <c r="C827" s="120" t="str">
        <f>IF(B827="","",SUMIFS('S-BOM'!$D$3:$D994,'S-BOM'!$C$3:$C994,B827,'S-BOM'!$B$3:$B994,$B$2))</f>
        <v/>
      </c>
      <c r="D827" s="120" t="str">
        <f>IFERROR(IF(B827="","",VLOOKUP(B827,RM!$C$4:$F984,3,FALSE)),"")</f>
        <v/>
      </c>
      <c r="E827" s="118" t="str">
        <f>IF(B827="","",VLOOKUP(B827,RM!$C$4:$G984,14,FALSE))</f>
        <v/>
      </c>
      <c r="F827" s="87" t="str">
        <f t="shared" si="7"/>
        <v/>
      </c>
      <c r="G827" s="87" t="str">
        <f t="shared" si="8"/>
        <v/>
      </c>
      <c r="H827" s="87"/>
      <c r="I827" s="87"/>
      <c r="J827" s="87"/>
    </row>
    <row r="828" spans="1:10">
      <c r="A828" s="2"/>
      <c r="B828" s="2"/>
      <c r="C828" s="120" t="str">
        <f>IF(B828="","",SUMIFS('S-BOM'!$D$3:$D994,'S-BOM'!$C$3:$C994,B828,'S-BOM'!$B$3:$B994,$B$2))</f>
        <v/>
      </c>
      <c r="D828" s="120" t="str">
        <f>IFERROR(IF(B828="","",VLOOKUP(B828,RM!$C$4:$F984,3,FALSE)),"")</f>
        <v/>
      </c>
      <c r="E828" s="118" t="str">
        <f>IF(B828="","",VLOOKUP(B828,RM!$C$4:$G984,14,FALSE))</f>
        <v/>
      </c>
      <c r="F828" s="87" t="str">
        <f t="shared" si="7"/>
        <v/>
      </c>
      <c r="G828" s="87" t="str">
        <f t="shared" si="8"/>
        <v/>
      </c>
      <c r="H828" s="87"/>
      <c r="I828" s="87"/>
      <c r="J828" s="87"/>
    </row>
    <row r="829" spans="1:10">
      <c r="A829" s="2"/>
      <c r="B829" s="2"/>
      <c r="C829" s="120" t="str">
        <f>IF(B829="","",SUMIFS('S-BOM'!$D$3:$D994,'S-BOM'!$C$3:$C994,B829,'S-BOM'!$B$3:$B994,$B$2))</f>
        <v/>
      </c>
      <c r="D829" s="120" t="str">
        <f>IFERROR(IF(B829="","",VLOOKUP(B829,RM!$C$4:$F984,3,FALSE)),"")</f>
        <v/>
      </c>
      <c r="E829" s="118" t="str">
        <f>IF(B829="","",VLOOKUP(B829,RM!$C$4:$G984,14,FALSE))</f>
        <v/>
      </c>
      <c r="F829" s="87" t="str">
        <f t="shared" si="7"/>
        <v/>
      </c>
      <c r="G829" s="87" t="str">
        <f t="shared" si="8"/>
        <v/>
      </c>
      <c r="H829" s="87"/>
      <c r="I829" s="87"/>
      <c r="J829" s="87"/>
    </row>
    <row r="830" spans="1:10">
      <c r="A830" s="2"/>
      <c r="B830" s="2"/>
      <c r="C830" s="120" t="str">
        <f>IF(B830="","",SUMIFS('S-BOM'!$D$3:$D994,'S-BOM'!$C$3:$C994,B830,'S-BOM'!$B$3:$B994,$B$2))</f>
        <v/>
      </c>
      <c r="D830" s="120" t="str">
        <f>IFERROR(IF(B830="","",VLOOKUP(B830,RM!$C$4:$F984,3,FALSE)),"")</f>
        <v/>
      </c>
      <c r="E830" s="118" t="str">
        <f>IF(B830="","",VLOOKUP(B830,RM!$C$4:$G984,14,FALSE))</f>
        <v/>
      </c>
      <c r="F830" s="87" t="str">
        <f t="shared" si="7"/>
        <v/>
      </c>
      <c r="G830" s="87" t="str">
        <f t="shared" si="8"/>
        <v/>
      </c>
      <c r="H830" s="87"/>
      <c r="I830" s="87"/>
      <c r="J830" s="87"/>
    </row>
    <row r="831" spans="1:10">
      <c r="A831" s="2"/>
      <c r="B831" s="2"/>
      <c r="C831" s="120" t="str">
        <f>IF(B831="","",SUMIFS('S-BOM'!$D$3:$D994,'S-BOM'!$C$3:$C994,B831,'S-BOM'!$B$3:$B994,$B$2))</f>
        <v/>
      </c>
      <c r="D831" s="120" t="str">
        <f>IFERROR(IF(B831="","",VLOOKUP(B831,RM!$C$4:$F984,3,FALSE)),"")</f>
        <v/>
      </c>
      <c r="E831" s="118" t="str">
        <f>IF(B831="","",VLOOKUP(B831,RM!$C$4:$G984,14,FALSE))</f>
        <v/>
      </c>
      <c r="F831" s="87" t="str">
        <f t="shared" si="7"/>
        <v/>
      </c>
      <c r="G831" s="87" t="str">
        <f t="shared" si="8"/>
        <v/>
      </c>
      <c r="H831" s="87"/>
      <c r="I831" s="87"/>
      <c r="J831" s="87"/>
    </row>
    <row r="832" spans="1:10">
      <c r="A832" s="2"/>
      <c r="B832" s="2"/>
      <c r="C832" s="120" t="str">
        <f>IF(B832="","",SUMIFS('S-BOM'!$D$3:$D994,'S-BOM'!$C$3:$C994,B832,'S-BOM'!$B$3:$B994,$B$2))</f>
        <v/>
      </c>
      <c r="D832" s="120" t="str">
        <f>IFERROR(IF(B832="","",VLOOKUP(B832,RM!$C$4:$F984,3,FALSE)),"")</f>
        <v/>
      </c>
      <c r="E832" s="118" t="str">
        <f>IF(B832="","",VLOOKUP(B832,RM!$C$4:$G984,14,FALSE))</f>
        <v/>
      </c>
      <c r="F832" s="87" t="str">
        <f t="shared" si="7"/>
        <v/>
      </c>
      <c r="G832" s="87" t="str">
        <f t="shared" si="8"/>
        <v/>
      </c>
      <c r="H832" s="87"/>
      <c r="I832" s="87"/>
      <c r="J832" s="87"/>
    </row>
    <row r="833" spans="1:10">
      <c r="A833" s="2"/>
      <c r="B833" s="2"/>
      <c r="C833" s="120" t="str">
        <f>IF(B833="","",SUMIFS('S-BOM'!$D$3:$D994,'S-BOM'!$C$3:$C994,B833,'S-BOM'!$B$3:$B994,$B$2))</f>
        <v/>
      </c>
      <c r="D833" s="120" t="str">
        <f>IFERROR(IF(B833="","",VLOOKUP(B833,RM!$C$4:$F984,3,FALSE)),"")</f>
        <v/>
      </c>
      <c r="E833" s="118" t="str">
        <f>IF(B833="","",VLOOKUP(B833,RM!$C$4:$G984,14,FALSE))</f>
        <v/>
      </c>
      <c r="F833" s="87" t="str">
        <f t="shared" si="7"/>
        <v/>
      </c>
      <c r="G833" s="87" t="str">
        <f t="shared" si="8"/>
        <v/>
      </c>
      <c r="H833" s="87"/>
      <c r="I833" s="87"/>
      <c r="J833" s="87"/>
    </row>
    <row r="834" spans="1:10">
      <c r="A834" s="2"/>
      <c r="B834" s="2"/>
      <c r="C834" s="120" t="str">
        <f>IF(B834="","",SUMIFS('S-BOM'!$D$3:$D994,'S-BOM'!$C$3:$C994,B834,'S-BOM'!$B$3:$B994,$B$2))</f>
        <v/>
      </c>
      <c r="D834" s="120" t="str">
        <f>IFERROR(IF(B834="","",VLOOKUP(B834,RM!$C$4:$F984,3,FALSE)),"")</f>
        <v/>
      </c>
      <c r="E834" s="118" t="str">
        <f>IF(B834="","",VLOOKUP(B834,RM!$C$4:$G984,14,FALSE))</f>
        <v/>
      </c>
      <c r="F834" s="87" t="str">
        <f t="shared" si="7"/>
        <v/>
      </c>
      <c r="G834" s="87" t="str">
        <f t="shared" si="8"/>
        <v/>
      </c>
      <c r="H834" s="87"/>
      <c r="I834" s="87"/>
      <c r="J834" s="87"/>
    </row>
    <row r="835" spans="1:10">
      <c r="A835" s="2"/>
      <c r="B835" s="2"/>
      <c r="C835" s="120" t="str">
        <f>IF(B835="","",SUMIFS('S-BOM'!$D$3:$D994,'S-BOM'!$C$3:$C994,B835,'S-BOM'!$B$3:$B994,$B$2))</f>
        <v/>
      </c>
      <c r="D835" s="120" t="str">
        <f>IFERROR(IF(B835="","",VLOOKUP(B835,RM!$C$4:$F984,3,FALSE)),"")</f>
        <v/>
      </c>
      <c r="E835" s="118" t="str">
        <f>IF(B835="","",VLOOKUP(B835,RM!$C$4:$G984,14,FALSE))</f>
        <v/>
      </c>
      <c r="F835" s="87" t="str">
        <f t="shared" si="7"/>
        <v/>
      </c>
      <c r="G835" s="87" t="str">
        <f t="shared" si="8"/>
        <v/>
      </c>
      <c r="H835" s="87"/>
      <c r="I835" s="87"/>
      <c r="J835" s="87"/>
    </row>
    <row r="836" spans="1:10">
      <c r="A836" s="2"/>
      <c r="B836" s="2"/>
      <c r="C836" s="120" t="str">
        <f>IF(B836="","",SUMIFS('S-BOM'!$D$3:$D994,'S-BOM'!$C$3:$C994,B836,'S-BOM'!$B$3:$B994,$B$2))</f>
        <v/>
      </c>
      <c r="D836" s="120" t="str">
        <f>IFERROR(IF(B836="","",VLOOKUP(B836,RM!$C$4:$F984,3,FALSE)),"")</f>
        <v/>
      </c>
      <c r="E836" s="118" t="str">
        <f>IF(B836="","",VLOOKUP(B836,RM!$C$4:$G984,14,FALSE))</f>
        <v/>
      </c>
      <c r="F836" s="87" t="str">
        <f t="shared" si="7"/>
        <v/>
      </c>
      <c r="G836" s="87" t="str">
        <f t="shared" si="8"/>
        <v/>
      </c>
      <c r="H836" s="87"/>
      <c r="I836" s="87"/>
      <c r="J836" s="87"/>
    </row>
    <row r="837" spans="1:10">
      <c r="A837" s="2"/>
      <c r="B837" s="2"/>
      <c r="C837" s="120" t="str">
        <f>IF(B837="","",SUMIFS('S-BOM'!$D$3:$D994,'S-BOM'!$C$3:$C994,B837,'S-BOM'!$B$3:$B994,$B$2))</f>
        <v/>
      </c>
      <c r="D837" s="120" t="str">
        <f>IFERROR(IF(B837="","",VLOOKUP(B837,RM!$C$4:$F984,3,FALSE)),"")</f>
        <v/>
      </c>
      <c r="E837" s="118" t="str">
        <f>IF(B837="","",VLOOKUP(B837,RM!$C$4:$G984,14,FALSE))</f>
        <v/>
      </c>
      <c r="F837" s="87" t="str">
        <f t="shared" si="7"/>
        <v/>
      </c>
      <c r="G837" s="87" t="str">
        <f t="shared" si="8"/>
        <v/>
      </c>
      <c r="H837" s="87"/>
      <c r="I837" s="87"/>
      <c r="J837" s="87"/>
    </row>
    <row r="838" spans="1:10">
      <c r="A838" s="2"/>
      <c r="B838" s="2"/>
      <c r="C838" s="120" t="str">
        <f>IF(B838="","",SUMIFS('S-BOM'!$D$3:$D994,'S-BOM'!$C$3:$C994,B838,'S-BOM'!$B$3:$B994,$B$2))</f>
        <v/>
      </c>
      <c r="D838" s="120" t="str">
        <f>IFERROR(IF(B838="","",VLOOKUP(B838,RM!$C$4:$F984,3,FALSE)),"")</f>
        <v/>
      </c>
      <c r="E838" s="118" t="str">
        <f>IF(B838="","",VLOOKUP(B838,RM!$C$4:$G984,14,FALSE))</f>
        <v/>
      </c>
      <c r="F838" s="87" t="str">
        <f t="shared" si="7"/>
        <v/>
      </c>
      <c r="G838" s="87" t="str">
        <f t="shared" si="8"/>
        <v/>
      </c>
      <c r="H838" s="87"/>
      <c r="I838" s="87"/>
      <c r="J838" s="87"/>
    </row>
    <row r="839" spans="1:10">
      <c r="A839" s="2"/>
      <c r="B839" s="2"/>
      <c r="C839" s="120" t="str">
        <f>IF(B839="","",SUMIFS('S-BOM'!$D$3:$D994,'S-BOM'!$C$3:$C994,B839,'S-BOM'!$B$3:$B994,$B$2))</f>
        <v/>
      </c>
      <c r="D839" s="120" t="str">
        <f>IFERROR(IF(B839="","",VLOOKUP(B839,RM!$C$4:$F984,3,FALSE)),"")</f>
        <v/>
      </c>
      <c r="E839" s="118" t="str">
        <f>IF(B839="","",VLOOKUP(B839,RM!$C$4:$G984,14,FALSE))</f>
        <v/>
      </c>
      <c r="F839" s="87" t="str">
        <f t="shared" si="7"/>
        <v/>
      </c>
      <c r="G839" s="87" t="str">
        <f t="shared" si="8"/>
        <v/>
      </c>
      <c r="H839" s="87"/>
      <c r="I839" s="87"/>
      <c r="J839" s="87"/>
    </row>
    <row r="840" spans="1:10">
      <c r="A840" s="2"/>
      <c r="B840" s="2"/>
      <c r="C840" s="120" t="str">
        <f>IF(B840="","",SUMIFS('S-BOM'!$D$3:$D994,'S-BOM'!$C$3:$C994,B840,'S-BOM'!$B$3:$B994,$B$2))</f>
        <v/>
      </c>
      <c r="D840" s="120" t="str">
        <f>IFERROR(IF(B840="","",VLOOKUP(B840,RM!$C$4:$F984,3,FALSE)),"")</f>
        <v/>
      </c>
      <c r="E840" s="118" t="str">
        <f>IF(B840="","",VLOOKUP(B840,RM!$C$4:$G984,14,FALSE))</f>
        <v/>
      </c>
      <c r="F840" s="87" t="str">
        <f t="shared" si="7"/>
        <v/>
      </c>
      <c r="G840" s="87" t="str">
        <f t="shared" si="8"/>
        <v/>
      </c>
      <c r="H840" s="87"/>
      <c r="I840" s="87"/>
      <c r="J840" s="87"/>
    </row>
    <row r="841" spans="1:10">
      <c r="A841" s="2"/>
      <c r="B841" s="2"/>
      <c r="C841" s="120" t="str">
        <f>IF(B841="","",SUMIFS('S-BOM'!$D$3:$D994,'S-BOM'!$C$3:$C994,B841,'S-BOM'!$B$3:$B994,$B$2))</f>
        <v/>
      </c>
      <c r="D841" s="120" t="str">
        <f>IFERROR(IF(B841="","",VLOOKUP(B841,RM!$C$4:$F984,3,FALSE)),"")</f>
        <v/>
      </c>
      <c r="E841" s="118" t="str">
        <f>IF(B841="","",VLOOKUP(B841,RM!$C$4:$G984,14,FALSE))</f>
        <v/>
      </c>
      <c r="F841" s="87" t="str">
        <f t="shared" si="7"/>
        <v/>
      </c>
      <c r="G841" s="87" t="str">
        <f t="shared" si="8"/>
        <v/>
      </c>
      <c r="H841" s="87"/>
      <c r="I841" s="87"/>
      <c r="J841" s="87"/>
    </row>
    <row r="842" spans="1:10">
      <c r="A842" s="2"/>
      <c r="B842" s="2"/>
      <c r="C842" s="120" t="str">
        <f>IF(B842="","",SUMIFS('S-BOM'!$D$3:$D994,'S-BOM'!$C$3:$C994,B842,'S-BOM'!$B$3:$B994,$B$2))</f>
        <v/>
      </c>
      <c r="D842" s="120" t="str">
        <f>IFERROR(IF(B842="","",VLOOKUP(B842,RM!$C$4:$F984,3,FALSE)),"")</f>
        <v/>
      </c>
      <c r="E842" s="118" t="str">
        <f>IF(B842="","",VLOOKUP(B842,RM!$C$4:$G984,14,FALSE))</f>
        <v/>
      </c>
      <c r="F842" s="87" t="str">
        <f t="shared" si="7"/>
        <v/>
      </c>
      <c r="G842" s="87" t="str">
        <f t="shared" si="8"/>
        <v/>
      </c>
      <c r="H842" s="87"/>
      <c r="I842" s="87"/>
      <c r="J842" s="87"/>
    </row>
    <row r="843" spans="1:10">
      <c r="A843" s="2"/>
      <c r="B843" s="2"/>
      <c r="C843" s="120" t="str">
        <f>IF(B843="","",SUMIFS('S-BOM'!$D$3:$D994,'S-BOM'!$C$3:$C994,B843,'S-BOM'!$B$3:$B994,$B$2))</f>
        <v/>
      </c>
      <c r="D843" s="120" t="str">
        <f>IFERROR(IF(B843="","",VLOOKUP(B843,RM!$C$4:$F984,3,FALSE)),"")</f>
        <v/>
      </c>
      <c r="E843" s="118" t="str">
        <f>IF(B843="","",VLOOKUP(B843,RM!$C$4:$G984,14,FALSE))</f>
        <v/>
      </c>
      <c r="F843" s="87" t="str">
        <f t="shared" si="7"/>
        <v/>
      </c>
      <c r="G843" s="87" t="str">
        <f t="shared" si="8"/>
        <v/>
      </c>
      <c r="H843" s="87"/>
      <c r="I843" s="87"/>
      <c r="J843" s="87"/>
    </row>
    <row r="844" spans="1:10">
      <c r="A844" s="2"/>
      <c r="B844" s="2"/>
      <c r="C844" s="120" t="str">
        <f>IF(B844="","",SUMIFS('S-BOM'!$D$3:$D994,'S-BOM'!$C$3:$C994,B844,'S-BOM'!$B$3:$B994,$B$2))</f>
        <v/>
      </c>
      <c r="D844" s="120" t="str">
        <f>IFERROR(IF(B844="","",VLOOKUP(B844,RM!$C$4:$F984,3,FALSE)),"")</f>
        <v/>
      </c>
      <c r="E844" s="118" t="str">
        <f>IF(B844="","",VLOOKUP(B844,RM!$C$4:$G984,14,FALSE))</f>
        <v/>
      </c>
      <c r="F844" s="87" t="str">
        <f t="shared" si="7"/>
        <v/>
      </c>
      <c r="G844" s="87" t="str">
        <f t="shared" si="8"/>
        <v/>
      </c>
      <c r="H844" s="87"/>
      <c r="I844" s="87"/>
      <c r="J844" s="87"/>
    </row>
    <row r="845" spans="1:10">
      <c r="A845" s="2"/>
      <c r="B845" s="2"/>
      <c r="C845" s="120" t="str">
        <f>IF(B845="","",SUMIFS('S-BOM'!$D$3:$D994,'S-BOM'!$C$3:$C994,B845,'S-BOM'!$B$3:$B994,$B$2))</f>
        <v/>
      </c>
      <c r="D845" s="120" t="str">
        <f>IFERROR(IF(B845="","",VLOOKUP(B845,RM!$C$4:$F984,3,FALSE)),"")</f>
        <v/>
      </c>
      <c r="E845" s="118" t="str">
        <f>IF(B845="","",VLOOKUP(B845,RM!$C$4:$G984,14,FALSE))</f>
        <v/>
      </c>
      <c r="F845" s="87" t="str">
        <f t="shared" si="7"/>
        <v/>
      </c>
      <c r="G845" s="87" t="str">
        <f t="shared" si="8"/>
        <v/>
      </c>
      <c r="H845" s="87"/>
      <c r="I845" s="87"/>
      <c r="J845" s="87"/>
    </row>
    <row r="846" spans="1:10">
      <c r="A846" s="2"/>
      <c r="B846" s="2"/>
      <c r="C846" s="120" t="str">
        <f>IF(B846="","",SUMIFS('S-BOM'!$D$3:$D994,'S-BOM'!$C$3:$C994,B846,'S-BOM'!$B$3:$B994,$B$2))</f>
        <v/>
      </c>
      <c r="D846" s="120" t="str">
        <f>IFERROR(IF(B846="","",VLOOKUP(B846,RM!$C$4:$F984,3,FALSE)),"")</f>
        <v/>
      </c>
      <c r="E846" s="118" t="str">
        <f>IF(B846="","",VLOOKUP(B846,RM!$C$4:$G984,14,FALSE))</f>
        <v/>
      </c>
      <c r="F846" s="87" t="str">
        <f t="shared" si="7"/>
        <v/>
      </c>
      <c r="G846" s="87" t="str">
        <f t="shared" si="8"/>
        <v/>
      </c>
      <c r="H846" s="87"/>
      <c r="I846" s="87"/>
      <c r="J846" s="87"/>
    </row>
    <row r="847" spans="1:10">
      <c r="A847" s="2"/>
      <c r="B847" s="2"/>
      <c r="C847" s="120" t="str">
        <f>IF(B847="","",SUMIFS('S-BOM'!$D$3:$D994,'S-BOM'!$C$3:$C994,B847,'S-BOM'!$B$3:$B994,$B$2))</f>
        <v/>
      </c>
      <c r="D847" s="120" t="str">
        <f>IFERROR(IF(B847="","",VLOOKUP(B847,RM!$C$4:$F984,3,FALSE)),"")</f>
        <v/>
      </c>
      <c r="E847" s="118" t="str">
        <f>IF(B847="","",VLOOKUP(B847,RM!$C$4:$G984,14,FALSE))</f>
        <v/>
      </c>
      <c r="F847" s="87" t="str">
        <f t="shared" si="7"/>
        <v/>
      </c>
      <c r="G847" s="87" t="str">
        <f t="shared" si="8"/>
        <v/>
      </c>
      <c r="H847" s="87"/>
      <c r="I847" s="87"/>
      <c r="J847" s="87"/>
    </row>
    <row r="848" spans="1:10">
      <c r="A848" s="2"/>
      <c r="B848" s="2"/>
      <c r="C848" s="120" t="str">
        <f>IF(B848="","",SUMIFS('S-BOM'!$D$3:$D994,'S-BOM'!$C$3:$C994,B848,'S-BOM'!$B$3:$B994,$B$2))</f>
        <v/>
      </c>
      <c r="D848" s="120" t="str">
        <f>IFERROR(IF(B848="","",VLOOKUP(B848,RM!$C$4:$F984,3,FALSE)),"")</f>
        <v/>
      </c>
      <c r="E848" s="118" t="str">
        <f>IF(B848="","",VLOOKUP(B848,RM!$C$4:$G984,14,FALSE))</f>
        <v/>
      </c>
      <c r="F848" s="87" t="str">
        <f t="shared" si="7"/>
        <v/>
      </c>
      <c r="G848" s="87" t="str">
        <f t="shared" si="8"/>
        <v/>
      </c>
      <c r="H848" s="87"/>
      <c r="I848" s="87"/>
      <c r="J848" s="87"/>
    </row>
    <row r="849" spans="1:10">
      <c r="A849" s="2"/>
      <c r="B849" s="2"/>
      <c r="C849" s="120" t="str">
        <f>IF(B849="","",SUMIFS('S-BOM'!$D$3:$D994,'S-BOM'!$C$3:$C994,B849,'S-BOM'!$B$3:$B994,$B$2))</f>
        <v/>
      </c>
      <c r="D849" s="120" t="str">
        <f>IFERROR(IF(B849="","",VLOOKUP(B849,RM!$C$4:$F984,3,FALSE)),"")</f>
        <v/>
      </c>
      <c r="E849" s="118" t="str">
        <f>IF(B849="","",VLOOKUP(B849,RM!$C$4:$G984,14,FALSE))</f>
        <v/>
      </c>
      <c r="F849" s="87" t="str">
        <f t="shared" si="7"/>
        <v/>
      </c>
      <c r="G849" s="87" t="str">
        <f t="shared" si="8"/>
        <v/>
      </c>
      <c r="H849" s="87"/>
      <c r="I849" s="87"/>
      <c r="J849" s="87"/>
    </row>
    <row r="850" spans="1:10">
      <c r="A850" s="2"/>
      <c r="B850" s="2"/>
      <c r="C850" s="120" t="str">
        <f>IF(B850="","",SUMIFS('S-BOM'!$D$3:$D994,'S-BOM'!$C$3:$C994,B850,'S-BOM'!$B$3:$B994,$B$2))</f>
        <v/>
      </c>
      <c r="D850" s="120" t="str">
        <f>IFERROR(IF(B850="","",VLOOKUP(B850,RM!$C$4:$F984,3,FALSE)),"")</f>
        <v/>
      </c>
      <c r="E850" s="118" t="str">
        <f>IF(B850="","",VLOOKUP(B850,RM!$C$4:$G984,14,FALSE))</f>
        <v/>
      </c>
      <c r="F850" s="87" t="str">
        <f t="shared" si="7"/>
        <v/>
      </c>
      <c r="G850" s="87" t="str">
        <f t="shared" si="8"/>
        <v/>
      </c>
      <c r="H850" s="87"/>
      <c r="I850" s="87"/>
      <c r="J850" s="87"/>
    </row>
    <row r="851" spans="1:10">
      <c r="A851" s="2"/>
      <c r="B851" s="2"/>
      <c r="C851" s="120" t="str">
        <f>IF(B851="","",SUMIFS('S-BOM'!$D$3:$D994,'S-BOM'!$C$3:$C994,B851,'S-BOM'!$B$3:$B994,$B$2))</f>
        <v/>
      </c>
      <c r="D851" s="120" t="str">
        <f>IFERROR(IF(B851="","",VLOOKUP(B851,RM!$C$4:$F984,3,FALSE)),"")</f>
        <v/>
      </c>
      <c r="E851" s="118" t="str">
        <f>IF(B851="","",VLOOKUP(B851,RM!$C$4:$G984,14,FALSE))</f>
        <v/>
      </c>
      <c r="F851" s="87" t="str">
        <f t="shared" si="7"/>
        <v/>
      </c>
      <c r="G851" s="87" t="str">
        <f t="shared" si="8"/>
        <v/>
      </c>
      <c r="H851" s="87"/>
      <c r="I851" s="87"/>
      <c r="J851" s="87"/>
    </row>
    <row r="852" spans="1:10">
      <c r="A852" s="2"/>
      <c r="B852" s="2"/>
      <c r="C852" s="120" t="str">
        <f>IF(B852="","",SUMIFS('S-BOM'!$D$3:$D994,'S-BOM'!$C$3:$C994,B852,'S-BOM'!$B$3:$B994,$B$2))</f>
        <v/>
      </c>
      <c r="D852" s="120" t="str">
        <f>IFERROR(IF(B852="","",VLOOKUP(B852,RM!$C$4:$F984,3,FALSE)),"")</f>
        <v/>
      </c>
      <c r="E852" s="118" t="str">
        <f>IF(B852="","",VLOOKUP(B852,RM!$C$4:$G984,14,FALSE))</f>
        <v/>
      </c>
      <c r="F852" s="87" t="str">
        <f t="shared" si="7"/>
        <v/>
      </c>
      <c r="G852" s="87" t="str">
        <f t="shared" si="8"/>
        <v/>
      </c>
      <c r="H852" s="87"/>
      <c r="I852" s="87"/>
      <c r="J852" s="87"/>
    </row>
    <row r="853" spans="1:10">
      <c r="A853" s="2"/>
      <c r="B853" s="2"/>
      <c r="C853" s="120" t="str">
        <f>IF(B853="","",SUMIFS('S-BOM'!$D$3:$D994,'S-BOM'!$C$3:$C994,B853,'S-BOM'!$B$3:$B994,$B$2))</f>
        <v/>
      </c>
      <c r="D853" s="120" t="str">
        <f>IFERROR(IF(B853="","",VLOOKUP(B853,RM!$C$4:$F984,3,FALSE)),"")</f>
        <v/>
      </c>
      <c r="E853" s="118" t="str">
        <f>IF(B853="","",VLOOKUP(B853,RM!$C$4:$G984,14,FALSE))</f>
        <v/>
      </c>
      <c r="F853" s="87" t="str">
        <f t="shared" si="7"/>
        <v/>
      </c>
      <c r="G853" s="87" t="str">
        <f t="shared" si="8"/>
        <v/>
      </c>
      <c r="H853" s="87"/>
      <c r="I853" s="87"/>
      <c r="J853" s="87"/>
    </row>
    <row r="854" spans="1:10">
      <c r="A854" s="2"/>
      <c r="B854" s="2"/>
      <c r="C854" s="120" t="str">
        <f>IF(B854="","",SUMIFS('S-BOM'!$D$3:$D994,'S-BOM'!$C$3:$C994,B854,'S-BOM'!$B$3:$B994,$B$2))</f>
        <v/>
      </c>
      <c r="D854" s="120" t="str">
        <f>IFERROR(IF(B854="","",VLOOKUP(B854,RM!$C$4:$F984,3,FALSE)),"")</f>
        <v/>
      </c>
      <c r="E854" s="118" t="str">
        <f>IF(B854="","",VLOOKUP(B854,RM!$C$4:$G984,14,FALSE))</f>
        <v/>
      </c>
      <c r="F854" s="87" t="str">
        <f t="shared" si="7"/>
        <v/>
      </c>
      <c r="G854" s="87" t="str">
        <f t="shared" si="8"/>
        <v/>
      </c>
      <c r="H854" s="87"/>
      <c r="I854" s="87"/>
      <c r="J854" s="87"/>
    </row>
    <row r="855" spans="1:10">
      <c r="A855" s="2"/>
      <c r="B855" s="2"/>
      <c r="C855" s="120" t="str">
        <f>IF(B855="","",SUMIFS('S-BOM'!$D$3:$D994,'S-BOM'!$C$3:$C994,B855,'S-BOM'!$B$3:$B994,$B$2))</f>
        <v/>
      </c>
      <c r="D855" s="120" t="str">
        <f>IFERROR(IF(B855="","",VLOOKUP(B855,RM!$C$4:$F984,3,FALSE)),"")</f>
        <v/>
      </c>
      <c r="E855" s="118" t="str">
        <f>IF(B855="","",VLOOKUP(B855,RM!$C$4:$G984,14,FALSE))</f>
        <v/>
      </c>
      <c r="F855" s="87" t="str">
        <f t="shared" si="7"/>
        <v/>
      </c>
      <c r="G855" s="87" t="str">
        <f t="shared" si="8"/>
        <v/>
      </c>
      <c r="H855" s="87"/>
      <c r="I855" s="87"/>
      <c r="J855" s="87"/>
    </row>
    <row r="856" spans="1:10">
      <c r="A856" s="2"/>
      <c r="B856" s="2"/>
      <c r="C856" s="120" t="str">
        <f>IF(B856="","",SUMIFS('S-BOM'!$D$3:$D994,'S-BOM'!$C$3:$C994,B856,'S-BOM'!$B$3:$B994,$B$2))</f>
        <v/>
      </c>
      <c r="D856" s="120" t="str">
        <f>IFERROR(IF(B856="","",VLOOKUP(B856,RM!$C$4:$F984,3,FALSE)),"")</f>
        <v/>
      </c>
      <c r="E856" s="118" t="str">
        <f>IF(B856="","",VLOOKUP(B856,RM!$C$4:$G984,14,FALSE))</f>
        <v/>
      </c>
      <c r="F856" s="87" t="str">
        <f t="shared" si="7"/>
        <v/>
      </c>
      <c r="G856" s="87" t="str">
        <f t="shared" si="8"/>
        <v/>
      </c>
      <c r="H856" s="87"/>
      <c r="I856" s="87"/>
      <c r="J856" s="87"/>
    </row>
    <row r="857" spans="1:10">
      <c r="A857" s="2"/>
      <c r="B857" s="2"/>
      <c r="C857" s="120" t="str">
        <f>IF(B857="","",SUMIFS('S-BOM'!$D$3:$D994,'S-BOM'!$C$3:$C994,B857,'S-BOM'!$B$3:$B994,$B$2))</f>
        <v/>
      </c>
      <c r="D857" s="120" t="str">
        <f>IFERROR(IF(B857="","",VLOOKUP(B857,RM!$C$4:$F984,3,FALSE)),"")</f>
        <v/>
      </c>
      <c r="E857" s="118" t="str">
        <f>IF(B857="","",VLOOKUP(B857,RM!$C$4:$G984,14,FALSE))</f>
        <v/>
      </c>
      <c r="F857" s="87" t="str">
        <f t="shared" si="7"/>
        <v/>
      </c>
      <c r="G857" s="87" t="str">
        <f t="shared" si="8"/>
        <v/>
      </c>
      <c r="H857" s="87"/>
      <c r="I857" s="87"/>
      <c r="J857" s="87"/>
    </row>
    <row r="858" spans="1:10">
      <c r="A858" s="2"/>
      <c r="B858" s="2"/>
      <c r="C858" s="120" t="str">
        <f>IF(B858="","",SUMIFS('S-BOM'!$D$3:$D994,'S-BOM'!$C$3:$C994,B858,'S-BOM'!$B$3:$B994,$B$2))</f>
        <v/>
      </c>
      <c r="D858" s="120" t="str">
        <f>IFERROR(IF(B858="","",VLOOKUP(B858,RM!$C$4:$F984,3,FALSE)),"")</f>
        <v/>
      </c>
      <c r="E858" s="118" t="str">
        <f>IF(B858="","",VLOOKUP(B858,RM!$C$4:$G984,14,FALSE))</f>
        <v/>
      </c>
      <c r="F858" s="87" t="str">
        <f t="shared" si="7"/>
        <v/>
      </c>
      <c r="G858" s="87" t="str">
        <f t="shared" si="8"/>
        <v/>
      </c>
      <c r="H858" s="87"/>
      <c r="I858" s="87"/>
      <c r="J858" s="87"/>
    </row>
    <row r="859" spans="1:10">
      <c r="A859" s="2"/>
      <c r="B859" s="2"/>
      <c r="C859" s="120" t="str">
        <f>IF(B859="","",SUMIFS('S-BOM'!$D$3:$D994,'S-BOM'!$C$3:$C994,B859,'S-BOM'!$B$3:$B994,$B$2))</f>
        <v/>
      </c>
      <c r="D859" s="120" t="str">
        <f>IFERROR(IF(B859="","",VLOOKUP(B859,RM!$C$4:$F984,3,FALSE)),"")</f>
        <v/>
      </c>
      <c r="E859" s="118" t="str">
        <f>IF(B859="","",VLOOKUP(B859,RM!$C$4:$G984,14,FALSE))</f>
        <v/>
      </c>
      <c r="F859" s="87" t="str">
        <f t="shared" si="7"/>
        <v/>
      </c>
      <c r="G859" s="87" t="str">
        <f t="shared" si="8"/>
        <v/>
      </c>
      <c r="H859" s="87"/>
      <c r="I859" s="87"/>
      <c r="J859" s="87"/>
    </row>
    <row r="860" spans="1:10">
      <c r="A860" s="2"/>
      <c r="B860" s="2"/>
      <c r="C860" s="120" t="str">
        <f>IF(B860="","",SUMIFS('S-BOM'!$D$3:$D994,'S-BOM'!$C$3:$C994,B860,'S-BOM'!$B$3:$B994,$B$2))</f>
        <v/>
      </c>
      <c r="D860" s="120" t="str">
        <f>IFERROR(IF(B860="","",VLOOKUP(B860,RM!$C$4:$F984,3,FALSE)),"")</f>
        <v/>
      </c>
      <c r="E860" s="118" t="str">
        <f>IF(B860="","",VLOOKUP(B860,RM!$C$4:$G984,14,FALSE))</f>
        <v/>
      </c>
      <c r="F860" s="87" t="str">
        <f t="shared" si="7"/>
        <v/>
      </c>
      <c r="G860" s="87" t="str">
        <f t="shared" si="8"/>
        <v/>
      </c>
      <c r="H860" s="87"/>
      <c r="I860" s="87"/>
      <c r="J860" s="87"/>
    </row>
    <row r="861" spans="1:10">
      <c r="A861" s="2"/>
      <c r="B861" s="2"/>
      <c r="C861" s="120" t="str">
        <f>IF(B861="","",SUMIFS('S-BOM'!$D$3:$D994,'S-BOM'!$C$3:$C994,B861,'S-BOM'!$B$3:$B994,$B$2))</f>
        <v/>
      </c>
      <c r="D861" s="120" t="str">
        <f>IFERROR(IF(B861="","",VLOOKUP(B861,RM!$C$4:$F984,3,FALSE)),"")</f>
        <v/>
      </c>
      <c r="E861" s="118" t="str">
        <f>IF(B861="","",VLOOKUP(B861,RM!$C$4:$G984,14,FALSE))</f>
        <v/>
      </c>
      <c r="F861" s="87" t="str">
        <f t="shared" si="7"/>
        <v/>
      </c>
      <c r="G861" s="87" t="str">
        <f t="shared" si="8"/>
        <v/>
      </c>
      <c r="H861" s="87"/>
      <c r="I861" s="87"/>
      <c r="J861" s="87"/>
    </row>
    <row r="862" spans="1:10">
      <c r="A862" s="2"/>
      <c r="B862" s="2"/>
      <c r="C862" s="120" t="str">
        <f>IF(B862="","",SUMIFS('S-BOM'!$D$3:$D994,'S-BOM'!$C$3:$C994,B862,'S-BOM'!$B$3:$B994,$B$2))</f>
        <v/>
      </c>
      <c r="D862" s="120" t="str">
        <f>IFERROR(IF(B862="","",VLOOKUP(B862,RM!$C$4:$F984,3,FALSE)),"")</f>
        <v/>
      </c>
      <c r="E862" s="118" t="str">
        <f>IF(B862="","",VLOOKUP(B862,RM!$C$4:$G984,14,FALSE))</f>
        <v/>
      </c>
      <c r="F862" s="87" t="str">
        <f t="shared" si="7"/>
        <v/>
      </c>
      <c r="G862" s="87" t="str">
        <f t="shared" si="8"/>
        <v/>
      </c>
      <c r="H862" s="87"/>
      <c r="I862" s="87"/>
      <c r="J862" s="87"/>
    </row>
    <row r="863" spans="1:10">
      <c r="A863" s="2"/>
      <c r="B863" s="2"/>
      <c r="C863" s="120" t="str">
        <f>IF(B863="","",SUMIFS('S-BOM'!$D$3:$D994,'S-BOM'!$C$3:$C994,B863,'S-BOM'!$B$3:$B994,$B$2))</f>
        <v/>
      </c>
      <c r="D863" s="120" t="str">
        <f>IFERROR(IF(B863="","",VLOOKUP(B863,RM!$C$4:$F984,3,FALSE)),"")</f>
        <v/>
      </c>
      <c r="E863" s="118" t="str">
        <f>IF(B863="","",VLOOKUP(B863,RM!$C$4:$G984,14,FALSE))</f>
        <v/>
      </c>
      <c r="F863" s="87" t="str">
        <f t="shared" si="7"/>
        <v/>
      </c>
      <c r="G863" s="87" t="str">
        <f t="shared" si="8"/>
        <v/>
      </c>
      <c r="H863" s="87"/>
      <c r="I863" s="87"/>
      <c r="J863" s="87"/>
    </row>
    <row r="864" spans="1:10">
      <c r="A864" s="2"/>
      <c r="B864" s="2"/>
      <c r="C864" s="120" t="str">
        <f>IF(B864="","",SUMIFS('S-BOM'!$D$3:$D994,'S-BOM'!$C$3:$C994,B864,'S-BOM'!$B$3:$B994,$B$2))</f>
        <v/>
      </c>
      <c r="D864" s="120" t="str">
        <f>IFERROR(IF(B864="","",VLOOKUP(B864,RM!$C$4:$F984,3,FALSE)),"")</f>
        <v/>
      </c>
      <c r="E864" s="118" t="str">
        <f>IF(B864="","",VLOOKUP(B864,RM!$C$4:$G984,14,FALSE))</f>
        <v/>
      </c>
      <c r="F864" s="87" t="str">
        <f t="shared" si="7"/>
        <v/>
      </c>
      <c r="G864" s="87" t="str">
        <f t="shared" si="8"/>
        <v/>
      </c>
      <c r="H864" s="87"/>
      <c r="I864" s="87"/>
      <c r="J864" s="87"/>
    </row>
    <row r="865" spans="1:10">
      <c r="A865" s="2"/>
      <c r="B865" s="2"/>
      <c r="C865" s="120" t="str">
        <f>IF(B865="","",SUMIFS('S-BOM'!$D$3:$D994,'S-BOM'!$C$3:$C994,B865,'S-BOM'!$B$3:$B994,$B$2))</f>
        <v/>
      </c>
      <c r="D865" s="120" t="str">
        <f>IFERROR(IF(B865="","",VLOOKUP(B865,RM!$C$4:$F984,3,FALSE)),"")</f>
        <v/>
      </c>
      <c r="E865" s="118" t="str">
        <f>IF(B865="","",VLOOKUP(B865,RM!$C$4:$G984,14,FALSE))</f>
        <v/>
      </c>
      <c r="F865" s="87" t="str">
        <f t="shared" si="7"/>
        <v/>
      </c>
      <c r="G865" s="87" t="str">
        <f t="shared" si="8"/>
        <v/>
      </c>
      <c r="H865" s="87"/>
      <c r="I865" s="87"/>
      <c r="J865" s="87"/>
    </row>
    <row r="866" spans="1:10">
      <c r="A866" s="2"/>
      <c r="B866" s="2"/>
      <c r="C866" s="120" t="str">
        <f>IF(B866="","",SUMIFS('S-BOM'!$D$3:$D994,'S-BOM'!$C$3:$C994,B866,'S-BOM'!$B$3:$B994,$B$2))</f>
        <v/>
      </c>
      <c r="D866" s="120" t="str">
        <f>IFERROR(IF(B866="","",VLOOKUP(B866,RM!$C$4:$F984,3,FALSE)),"")</f>
        <v/>
      </c>
      <c r="E866" s="118" t="str">
        <f>IF(B866="","",VLOOKUP(B866,RM!$C$4:$G984,14,FALSE))</f>
        <v/>
      </c>
      <c r="F866" s="87" t="str">
        <f t="shared" si="7"/>
        <v/>
      </c>
      <c r="G866" s="87" t="str">
        <f t="shared" si="8"/>
        <v/>
      </c>
      <c r="H866" s="87"/>
      <c r="I866" s="87"/>
      <c r="J866" s="87"/>
    </row>
    <row r="867" spans="1:10">
      <c r="A867" s="2"/>
      <c r="B867" s="2"/>
      <c r="C867" s="120" t="str">
        <f>IF(B867="","",SUMIFS('S-BOM'!$D$3:$D994,'S-BOM'!$C$3:$C994,B867,'S-BOM'!$B$3:$B994,$B$2))</f>
        <v/>
      </c>
      <c r="D867" s="120" t="str">
        <f>IFERROR(IF(B867="","",VLOOKUP(B867,RM!$C$4:$F984,3,FALSE)),"")</f>
        <v/>
      </c>
      <c r="E867" s="118" t="str">
        <f>IF(B867="","",VLOOKUP(B867,RM!$C$4:$G984,14,FALSE))</f>
        <v/>
      </c>
      <c r="F867" s="87" t="str">
        <f t="shared" si="7"/>
        <v/>
      </c>
      <c r="G867" s="87" t="str">
        <f t="shared" si="8"/>
        <v/>
      </c>
      <c r="H867" s="87"/>
      <c r="I867" s="87"/>
      <c r="J867" s="87"/>
    </row>
    <row r="868" spans="1:10">
      <c r="A868" s="2"/>
      <c r="B868" s="2"/>
      <c r="C868" s="120" t="str">
        <f>IF(B868="","",SUMIFS('S-BOM'!$D$3:$D994,'S-BOM'!$C$3:$C994,B868,'S-BOM'!$B$3:$B994,$B$2))</f>
        <v/>
      </c>
      <c r="D868" s="120" t="str">
        <f>IFERROR(IF(B868="","",VLOOKUP(B868,RM!$C$4:$F984,3,FALSE)),"")</f>
        <v/>
      </c>
      <c r="E868" s="118" t="str">
        <f>IF(B868="","",VLOOKUP(B868,RM!$C$4:$G984,14,FALSE))</f>
        <v/>
      </c>
      <c r="F868" s="87" t="str">
        <f t="shared" si="7"/>
        <v/>
      </c>
      <c r="G868" s="87" t="str">
        <f t="shared" si="8"/>
        <v/>
      </c>
      <c r="H868" s="87"/>
      <c r="I868" s="87"/>
      <c r="J868" s="87"/>
    </row>
    <row r="869" spans="1:10">
      <c r="A869" s="2"/>
      <c r="B869" s="2"/>
      <c r="C869" s="120" t="str">
        <f>IF(B869="","",SUMIFS('S-BOM'!$D$3:$D994,'S-BOM'!$C$3:$C994,B869,'S-BOM'!$B$3:$B994,$B$2))</f>
        <v/>
      </c>
      <c r="D869" s="120" t="str">
        <f>IFERROR(IF(B869="","",VLOOKUP(B869,RM!$C$4:$F984,3,FALSE)),"")</f>
        <v/>
      </c>
      <c r="E869" s="118" t="str">
        <f>IF(B869="","",VLOOKUP(B869,RM!$C$4:$G984,14,FALSE))</f>
        <v/>
      </c>
      <c r="F869" s="87" t="str">
        <f t="shared" si="7"/>
        <v/>
      </c>
      <c r="G869" s="87" t="str">
        <f t="shared" si="8"/>
        <v/>
      </c>
      <c r="H869" s="87"/>
      <c r="I869" s="87"/>
      <c r="J869" s="87"/>
    </row>
    <row r="870" spans="1:10">
      <c r="A870" s="2"/>
      <c r="B870" s="2"/>
      <c r="C870" s="120" t="str">
        <f>IF(B870="","",SUMIFS('S-BOM'!$D$3:$D994,'S-BOM'!$C$3:$C994,B870,'S-BOM'!$B$3:$B994,$B$2))</f>
        <v/>
      </c>
      <c r="D870" s="120" t="str">
        <f>IFERROR(IF(B870="","",VLOOKUP(B870,RM!$C$4:$F984,3,FALSE)),"")</f>
        <v/>
      </c>
      <c r="E870" s="118" t="str">
        <f>IF(B870="","",VLOOKUP(B870,RM!$C$4:$G984,14,FALSE))</f>
        <v/>
      </c>
      <c r="F870" s="87" t="str">
        <f t="shared" si="7"/>
        <v/>
      </c>
      <c r="G870" s="87" t="str">
        <f t="shared" si="8"/>
        <v/>
      </c>
      <c r="H870" s="87"/>
      <c r="I870" s="87"/>
      <c r="J870" s="87"/>
    </row>
    <row r="871" spans="1:10">
      <c r="A871" s="2"/>
      <c r="B871" s="2"/>
      <c r="C871" s="120" t="str">
        <f>IF(B871="","",SUMIFS('S-BOM'!$D$3:$D994,'S-BOM'!$C$3:$C994,B871,'S-BOM'!$B$3:$B994,$B$2))</f>
        <v/>
      </c>
      <c r="D871" s="120" t="str">
        <f>IFERROR(IF(B871="","",VLOOKUP(B871,RM!$C$4:$F984,3,FALSE)),"")</f>
        <v/>
      </c>
      <c r="E871" s="118" t="str">
        <f>IF(B871="","",VLOOKUP(B871,RM!$C$4:$G984,14,FALSE))</f>
        <v/>
      </c>
      <c r="F871" s="87" t="str">
        <f t="shared" si="7"/>
        <v/>
      </c>
      <c r="G871" s="87" t="str">
        <f t="shared" si="8"/>
        <v/>
      </c>
      <c r="H871" s="87"/>
      <c r="I871" s="87"/>
      <c r="J871" s="87"/>
    </row>
    <row r="872" spans="1:10">
      <c r="A872" s="2"/>
      <c r="B872" s="2"/>
      <c r="C872" s="120" t="str">
        <f>IF(B872="","",SUMIFS('S-BOM'!$D$3:$D994,'S-BOM'!$C$3:$C994,B872,'S-BOM'!$B$3:$B994,$B$2))</f>
        <v/>
      </c>
      <c r="D872" s="120" t="str">
        <f>IFERROR(IF(B872="","",VLOOKUP(B872,RM!$C$4:$F984,3,FALSE)),"")</f>
        <v/>
      </c>
      <c r="E872" s="118" t="str">
        <f>IF(B872="","",VLOOKUP(B872,RM!$C$4:$G984,14,FALSE))</f>
        <v/>
      </c>
      <c r="F872" s="87" t="str">
        <f t="shared" si="7"/>
        <v/>
      </c>
      <c r="G872" s="87" t="str">
        <f t="shared" si="8"/>
        <v/>
      </c>
      <c r="H872" s="87"/>
      <c r="I872" s="87"/>
      <c r="J872" s="87"/>
    </row>
    <row r="873" spans="1:10">
      <c r="A873" s="2"/>
      <c r="B873" s="2"/>
      <c r="C873" s="120" t="str">
        <f>IF(B873="","",SUMIFS('S-BOM'!$D$3:$D994,'S-BOM'!$C$3:$C994,B873,'S-BOM'!$B$3:$B994,$B$2))</f>
        <v/>
      </c>
      <c r="D873" s="120" t="str">
        <f>IFERROR(IF(B873="","",VLOOKUP(B873,RM!$C$4:$F984,3,FALSE)),"")</f>
        <v/>
      </c>
      <c r="E873" s="118" t="str">
        <f>IF(B873="","",VLOOKUP(B873,RM!$C$4:$G984,14,FALSE))</f>
        <v/>
      </c>
      <c r="F873" s="87" t="str">
        <f t="shared" si="7"/>
        <v/>
      </c>
      <c r="G873" s="87" t="str">
        <f t="shared" si="8"/>
        <v/>
      </c>
      <c r="H873" s="87"/>
      <c r="I873" s="87"/>
      <c r="J873" s="87"/>
    </row>
    <row r="874" spans="1:10">
      <c r="A874" s="2"/>
      <c r="B874" s="2"/>
      <c r="C874" s="120" t="str">
        <f>IF(B874="","",SUMIFS('S-BOM'!$D$3:$D994,'S-BOM'!$C$3:$C994,B874,'S-BOM'!$B$3:$B994,$B$2))</f>
        <v/>
      </c>
      <c r="D874" s="120" t="str">
        <f>IFERROR(IF(B874="","",VLOOKUP(B874,RM!$C$4:$F984,3,FALSE)),"")</f>
        <v/>
      </c>
      <c r="E874" s="118" t="str">
        <f>IF(B874="","",VLOOKUP(B874,RM!$C$4:$G984,14,FALSE))</f>
        <v/>
      </c>
      <c r="F874" s="87" t="str">
        <f t="shared" si="7"/>
        <v/>
      </c>
      <c r="G874" s="87" t="str">
        <f t="shared" si="8"/>
        <v/>
      </c>
      <c r="H874" s="87"/>
      <c r="I874" s="87"/>
      <c r="J874" s="87"/>
    </row>
    <row r="875" spans="1:10">
      <c r="A875" s="2"/>
      <c r="B875" s="2"/>
      <c r="C875" s="120" t="str">
        <f>IF(B875="","",SUMIFS('S-BOM'!$D$3:$D994,'S-BOM'!$C$3:$C994,B875,'S-BOM'!$B$3:$B994,$B$2))</f>
        <v/>
      </c>
      <c r="D875" s="120" t="str">
        <f>IFERROR(IF(B875="","",VLOOKUP(B875,RM!$C$4:$F984,3,FALSE)),"")</f>
        <v/>
      </c>
      <c r="E875" s="118" t="str">
        <f>IF(B875="","",VLOOKUP(B875,RM!$C$4:$G984,14,FALSE))</f>
        <v/>
      </c>
      <c r="F875" s="87" t="str">
        <f t="shared" si="7"/>
        <v/>
      </c>
      <c r="G875" s="87" t="str">
        <f t="shared" si="8"/>
        <v/>
      </c>
      <c r="H875" s="87"/>
      <c r="I875" s="87"/>
      <c r="J875" s="87"/>
    </row>
    <row r="876" spans="1:10">
      <c r="A876" s="2"/>
      <c r="B876" s="2"/>
      <c r="C876" s="120" t="str">
        <f>IF(B876="","",SUMIFS('S-BOM'!$D$3:$D994,'S-BOM'!$C$3:$C994,B876,'S-BOM'!$B$3:$B994,$B$2))</f>
        <v/>
      </c>
      <c r="D876" s="120" t="str">
        <f>IFERROR(IF(B876="","",VLOOKUP(B876,RM!$C$4:$F984,3,FALSE)),"")</f>
        <v/>
      </c>
      <c r="E876" s="118" t="str">
        <f>IF(B876="","",VLOOKUP(B876,RM!$C$4:$G984,14,FALSE))</f>
        <v/>
      </c>
      <c r="F876" s="87" t="str">
        <f t="shared" si="7"/>
        <v/>
      </c>
      <c r="G876" s="87" t="str">
        <f t="shared" si="8"/>
        <v/>
      </c>
      <c r="H876" s="87"/>
      <c r="I876" s="87"/>
      <c r="J876" s="87"/>
    </row>
    <row r="877" spans="1:10">
      <c r="A877" s="2"/>
      <c r="B877" s="2"/>
      <c r="C877" s="120" t="str">
        <f>IF(B877="","",SUMIFS('S-BOM'!$D$3:$D994,'S-BOM'!$C$3:$C994,B877,'S-BOM'!$B$3:$B994,$B$2))</f>
        <v/>
      </c>
      <c r="D877" s="120" t="str">
        <f>IFERROR(IF(B877="","",VLOOKUP(B877,RM!$C$4:$F984,3,FALSE)),"")</f>
        <v/>
      </c>
      <c r="E877" s="118" t="str">
        <f>IF(B877="","",VLOOKUP(B877,RM!$C$4:$G984,14,FALSE))</f>
        <v/>
      </c>
      <c r="F877" s="87" t="str">
        <f t="shared" si="7"/>
        <v/>
      </c>
      <c r="G877" s="87" t="str">
        <f t="shared" si="8"/>
        <v/>
      </c>
      <c r="H877" s="87"/>
      <c r="I877" s="87"/>
      <c r="J877" s="87"/>
    </row>
    <row r="878" spans="1:10">
      <c r="A878" s="2"/>
      <c r="B878" s="2"/>
      <c r="C878" s="120" t="str">
        <f>IF(B878="","",SUMIFS('S-BOM'!$D$3:$D994,'S-BOM'!$C$3:$C994,B878,'S-BOM'!$B$3:$B994,$B$2))</f>
        <v/>
      </c>
      <c r="D878" s="120" t="str">
        <f>IFERROR(IF(B878="","",VLOOKUP(B878,RM!$C$4:$F984,3,FALSE)),"")</f>
        <v/>
      </c>
      <c r="E878" s="118" t="str">
        <f>IF(B878="","",VLOOKUP(B878,RM!$C$4:$G984,14,FALSE))</f>
        <v/>
      </c>
      <c r="F878" s="87" t="str">
        <f t="shared" si="7"/>
        <v/>
      </c>
      <c r="G878" s="87" t="str">
        <f t="shared" si="8"/>
        <v/>
      </c>
      <c r="H878" s="87"/>
      <c r="I878" s="87"/>
      <c r="J878" s="87"/>
    </row>
    <row r="879" spans="1:10">
      <c r="A879" s="2"/>
      <c r="B879" s="2"/>
      <c r="C879" s="120" t="str">
        <f>IF(B879="","",SUMIFS('S-BOM'!$D$3:$D994,'S-BOM'!$C$3:$C994,B879,'S-BOM'!$B$3:$B994,$B$2))</f>
        <v/>
      </c>
      <c r="D879" s="120" t="str">
        <f>IFERROR(IF(B879="","",VLOOKUP(B879,RM!$C$4:$F984,3,FALSE)),"")</f>
        <v/>
      </c>
      <c r="E879" s="118" t="str">
        <f>IF(B879="","",VLOOKUP(B879,RM!$C$4:$G984,14,FALSE))</f>
        <v/>
      </c>
      <c r="F879" s="87" t="str">
        <f t="shared" si="7"/>
        <v/>
      </c>
      <c r="G879" s="87" t="str">
        <f t="shared" si="8"/>
        <v/>
      </c>
      <c r="H879" s="87"/>
      <c r="I879" s="87"/>
      <c r="J879" s="87"/>
    </row>
    <row r="880" spans="1:10">
      <c r="A880" s="2"/>
      <c r="B880" s="2"/>
      <c r="C880" s="120" t="str">
        <f>IF(B880="","",SUMIFS('S-BOM'!$D$3:$D994,'S-BOM'!$C$3:$C994,B880,'S-BOM'!$B$3:$B994,$B$2))</f>
        <v/>
      </c>
      <c r="D880" s="120" t="str">
        <f>IFERROR(IF(B880="","",VLOOKUP(B880,RM!$C$4:$F984,3,FALSE)),"")</f>
        <v/>
      </c>
      <c r="E880" s="118" t="str">
        <f>IF(B880="","",VLOOKUP(B880,RM!$C$4:$G984,14,FALSE))</f>
        <v/>
      </c>
      <c r="F880" s="87" t="str">
        <f t="shared" si="7"/>
        <v/>
      </c>
      <c r="G880" s="87" t="str">
        <f t="shared" si="8"/>
        <v/>
      </c>
      <c r="H880" s="87"/>
      <c r="I880" s="87"/>
      <c r="J880" s="87"/>
    </row>
    <row r="881" spans="1:10">
      <c r="A881" s="2"/>
      <c r="B881" s="2"/>
      <c r="C881" s="120" t="str">
        <f>IF(B881="","",SUMIFS('S-BOM'!$D$3:$D994,'S-BOM'!$C$3:$C994,B881,'S-BOM'!$B$3:$B994,$B$2))</f>
        <v/>
      </c>
      <c r="D881" s="120" t="str">
        <f>IFERROR(IF(B881="","",VLOOKUP(B881,RM!$C$4:$F984,3,FALSE)),"")</f>
        <v/>
      </c>
      <c r="E881" s="118" t="str">
        <f>IF(B881="","",VLOOKUP(B881,RM!$C$4:$G984,14,FALSE))</f>
        <v/>
      </c>
      <c r="F881" s="87" t="str">
        <f t="shared" si="7"/>
        <v/>
      </c>
      <c r="G881" s="87" t="str">
        <f t="shared" si="8"/>
        <v/>
      </c>
      <c r="H881" s="87"/>
      <c r="I881" s="87"/>
      <c r="J881" s="87"/>
    </row>
    <row r="882" spans="1:10">
      <c r="A882" s="2"/>
      <c r="B882" s="2"/>
      <c r="C882" s="120" t="str">
        <f>IF(B882="","",SUMIFS('S-BOM'!$D$3:$D994,'S-BOM'!$C$3:$C994,B882,'S-BOM'!$B$3:$B994,$B$2))</f>
        <v/>
      </c>
      <c r="D882" s="120" t="str">
        <f>IFERROR(IF(B882="","",VLOOKUP(B882,RM!$C$4:$F984,3,FALSE)),"")</f>
        <v/>
      </c>
      <c r="E882" s="118" t="str">
        <f>IF(B882="","",VLOOKUP(B882,RM!$C$4:$G984,14,FALSE))</f>
        <v/>
      </c>
      <c r="F882" s="87" t="str">
        <f t="shared" si="7"/>
        <v/>
      </c>
      <c r="G882" s="87" t="str">
        <f t="shared" si="8"/>
        <v/>
      </c>
      <c r="H882" s="87"/>
      <c r="I882" s="87"/>
      <c r="J882" s="87"/>
    </row>
    <row r="883" spans="1:10">
      <c r="A883" s="2"/>
      <c r="B883" s="2"/>
      <c r="C883" s="120" t="str">
        <f>IF(B883="","",SUMIFS('S-BOM'!$D$3:$D994,'S-BOM'!$C$3:$C994,B883,'S-BOM'!$B$3:$B994,$B$2))</f>
        <v/>
      </c>
      <c r="D883" s="120" t="str">
        <f>IFERROR(IF(B883="","",VLOOKUP(B883,RM!$C$4:$F984,3,FALSE)),"")</f>
        <v/>
      </c>
      <c r="E883" s="118" t="str">
        <f>IF(B883="","",VLOOKUP(B883,RM!$C$4:$G984,14,FALSE))</f>
        <v/>
      </c>
      <c r="F883" s="87" t="str">
        <f t="shared" si="7"/>
        <v/>
      </c>
      <c r="G883" s="87" t="str">
        <f t="shared" si="8"/>
        <v/>
      </c>
      <c r="H883" s="87"/>
      <c r="I883" s="87"/>
      <c r="J883" s="87"/>
    </row>
    <row r="884" spans="1:10">
      <c r="A884" s="2"/>
      <c r="B884" s="2"/>
      <c r="C884" s="120" t="str">
        <f>IF(B884="","",SUMIFS('S-BOM'!$D$3:$D994,'S-BOM'!$C$3:$C994,B884,'S-BOM'!$B$3:$B994,$B$2))</f>
        <v/>
      </c>
      <c r="D884" s="120" t="str">
        <f>IFERROR(IF(B884="","",VLOOKUP(B884,RM!$C$4:$F984,3,FALSE)),"")</f>
        <v/>
      </c>
      <c r="E884" s="118" t="str">
        <f>IF(B884="","",VLOOKUP(B884,RM!$C$4:$G984,14,FALSE))</f>
        <v/>
      </c>
      <c r="F884" s="87" t="str">
        <f t="shared" si="7"/>
        <v/>
      </c>
      <c r="G884" s="87" t="str">
        <f t="shared" si="8"/>
        <v/>
      </c>
      <c r="H884" s="87"/>
      <c r="I884" s="87"/>
      <c r="J884" s="87"/>
    </row>
    <row r="885" spans="1:10">
      <c r="A885" s="2"/>
      <c r="B885" s="2"/>
      <c r="C885" s="120" t="str">
        <f>IF(B885="","",SUMIFS('S-BOM'!$D$3:$D994,'S-BOM'!$C$3:$C994,B885,'S-BOM'!$B$3:$B994,$B$2))</f>
        <v/>
      </c>
      <c r="D885" s="120" t="str">
        <f>IFERROR(IF(B885="","",VLOOKUP(B885,RM!$C$4:$F984,3,FALSE)),"")</f>
        <v/>
      </c>
      <c r="E885" s="118" t="str">
        <f>IF(B885="","",VLOOKUP(B885,RM!$C$4:$G984,14,FALSE))</f>
        <v/>
      </c>
      <c r="F885" s="87" t="str">
        <f t="shared" si="7"/>
        <v/>
      </c>
      <c r="G885" s="87" t="str">
        <f t="shared" si="8"/>
        <v/>
      </c>
      <c r="H885" s="87"/>
      <c r="I885" s="87"/>
      <c r="J885" s="87"/>
    </row>
    <row r="886" spans="1:10">
      <c r="A886" s="2"/>
      <c r="B886" s="2"/>
      <c r="C886" s="120" t="str">
        <f>IF(B886="","",SUMIFS('S-BOM'!$D$3:$D994,'S-BOM'!$C$3:$C994,B886,'S-BOM'!$B$3:$B994,$B$2))</f>
        <v/>
      </c>
      <c r="D886" s="120" t="str">
        <f>IFERROR(IF(B886="","",VLOOKUP(B886,RM!$C$4:$F984,3,FALSE)),"")</f>
        <v/>
      </c>
      <c r="E886" s="118" t="str">
        <f>IF(B886="","",VLOOKUP(B886,RM!$C$4:$G984,14,FALSE))</f>
        <v/>
      </c>
      <c r="F886" s="87" t="str">
        <f t="shared" si="7"/>
        <v/>
      </c>
      <c r="G886" s="87" t="str">
        <f t="shared" si="8"/>
        <v/>
      </c>
      <c r="H886" s="87"/>
      <c r="I886" s="87"/>
      <c r="J886" s="87"/>
    </row>
    <row r="887" spans="1:10">
      <c r="A887" s="2"/>
      <c r="B887" s="2"/>
      <c r="C887" s="120" t="str">
        <f>IF(B887="","",SUMIFS('S-BOM'!$D$3:$D994,'S-BOM'!$C$3:$C994,B887,'S-BOM'!$B$3:$B994,$B$2))</f>
        <v/>
      </c>
      <c r="D887" s="120" t="str">
        <f>IFERROR(IF(B887="","",VLOOKUP(B887,RM!$C$4:$F984,3,FALSE)),"")</f>
        <v/>
      </c>
      <c r="E887" s="118" t="str">
        <f>IF(B887="","",VLOOKUP(B887,RM!$C$4:$G984,14,FALSE))</f>
        <v/>
      </c>
      <c r="F887" s="87" t="str">
        <f t="shared" si="7"/>
        <v/>
      </c>
      <c r="G887" s="87" t="str">
        <f t="shared" si="8"/>
        <v/>
      </c>
      <c r="H887" s="87"/>
      <c r="I887" s="87"/>
      <c r="J887" s="87"/>
    </row>
    <row r="888" spans="1:10">
      <c r="A888" s="2"/>
      <c r="B888" s="2"/>
      <c r="C888" s="120" t="str">
        <f>IF(B888="","",SUMIFS('S-BOM'!$D$3:$D994,'S-BOM'!$C$3:$C994,B888,'S-BOM'!$B$3:$B994,$B$2))</f>
        <v/>
      </c>
      <c r="D888" s="120" t="str">
        <f>IFERROR(IF(B888="","",VLOOKUP(B888,RM!$C$4:$F984,3,FALSE)),"")</f>
        <v/>
      </c>
      <c r="E888" s="118" t="str">
        <f>IF(B888="","",VLOOKUP(B888,RM!$C$4:$G984,14,FALSE))</f>
        <v/>
      </c>
      <c r="F888" s="87" t="str">
        <f t="shared" si="7"/>
        <v/>
      </c>
      <c r="G888" s="87" t="str">
        <f t="shared" si="8"/>
        <v/>
      </c>
      <c r="H888" s="87"/>
      <c r="I888" s="87"/>
      <c r="J888" s="87"/>
    </row>
    <row r="889" spans="1:10">
      <c r="A889" s="2"/>
      <c r="B889" s="2"/>
      <c r="C889" s="120" t="str">
        <f>IF(B889="","",SUMIFS('S-BOM'!$D$3:$D994,'S-BOM'!$C$3:$C994,B889,'S-BOM'!$B$3:$B994,$B$2))</f>
        <v/>
      </c>
      <c r="D889" s="120" t="str">
        <f>IFERROR(IF(B889="","",VLOOKUP(B889,RM!$C$4:$F984,3,FALSE)),"")</f>
        <v/>
      </c>
      <c r="E889" s="118" t="str">
        <f>IF(B889="","",VLOOKUP(B889,RM!$C$4:$G984,14,FALSE))</f>
        <v/>
      </c>
      <c r="F889" s="87" t="str">
        <f t="shared" si="7"/>
        <v/>
      </c>
      <c r="G889" s="87" t="str">
        <f t="shared" si="8"/>
        <v/>
      </c>
      <c r="H889" s="87"/>
      <c r="I889" s="87"/>
      <c r="J889" s="87"/>
    </row>
    <row r="890" spans="1:10">
      <c r="A890" s="2"/>
      <c r="B890" s="2"/>
      <c r="C890" s="120" t="str">
        <f>IF(B890="","",SUMIFS('S-BOM'!$D$3:$D994,'S-BOM'!$C$3:$C994,B890,'S-BOM'!$B$3:$B994,$B$2))</f>
        <v/>
      </c>
      <c r="D890" s="120" t="str">
        <f>IFERROR(IF(B890="","",VLOOKUP(B890,RM!$C$4:$F984,3,FALSE)),"")</f>
        <v/>
      </c>
      <c r="E890" s="118" t="str">
        <f>IF(B890="","",VLOOKUP(B890,RM!$C$4:$G984,14,FALSE))</f>
        <v/>
      </c>
      <c r="F890" s="87" t="str">
        <f t="shared" si="7"/>
        <v/>
      </c>
      <c r="G890" s="87" t="str">
        <f t="shared" si="8"/>
        <v/>
      </c>
      <c r="H890" s="87"/>
      <c r="I890" s="87"/>
      <c r="J890" s="87"/>
    </row>
    <row r="891" spans="1:10">
      <c r="A891" s="2"/>
      <c r="B891" s="2"/>
      <c r="C891" s="120" t="str">
        <f>IF(B891="","",SUMIFS('S-BOM'!$D$3:$D994,'S-BOM'!$C$3:$C994,B891,'S-BOM'!$B$3:$B994,$B$2))</f>
        <v/>
      </c>
      <c r="D891" s="120" t="str">
        <f>IFERROR(IF(B891="","",VLOOKUP(B891,RM!$C$4:$F984,3,FALSE)),"")</f>
        <v/>
      </c>
      <c r="E891" s="118" t="str">
        <f>IF(B891="","",VLOOKUP(B891,RM!$C$4:$G984,14,FALSE))</f>
        <v/>
      </c>
      <c r="F891" s="87" t="str">
        <f t="shared" si="7"/>
        <v/>
      </c>
      <c r="G891" s="87" t="str">
        <f t="shared" si="8"/>
        <v/>
      </c>
      <c r="H891" s="87"/>
      <c r="I891" s="87"/>
      <c r="J891" s="87"/>
    </row>
    <row r="892" spans="1:10">
      <c r="A892" s="2"/>
      <c r="B892" s="2"/>
      <c r="C892" s="120" t="str">
        <f>IF(B892="","",SUMIFS('S-BOM'!$D$3:$D994,'S-BOM'!$C$3:$C994,B892,'S-BOM'!$B$3:$B994,$B$2))</f>
        <v/>
      </c>
      <c r="D892" s="120" t="str">
        <f>IFERROR(IF(B892="","",VLOOKUP(B892,RM!$C$4:$F984,3,FALSE)),"")</f>
        <v/>
      </c>
      <c r="E892" s="118" t="str">
        <f>IF(B892="","",VLOOKUP(B892,RM!$C$4:$G984,14,FALSE))</f>
        <v/>
      </c>
      <c r="F892" s="87" t="str">
        <f t="shared" si="7"/>
        <v/>
      </c>
      <c r="G892" s="87" t="str">
        <f t="shared" si="8"/>
        <v/>
      </c>
      <c r="H892" s="87"/>
      <c r="I892" s="87"/>
      <c r="J892" s="87"/>
    </row>
    <row r="893" spans="1:10">
      <c r="A893" s="2"/>
      <c r="B893" s="2"/>
      <c r="C893" s="120" t="str">
        <f>IF(B893="","",SUMIFS('S-BOM'!$D$3:$D994,'S-BOM'!$C$3:$C994,B893,'S-BOM'!$B$3:$B994,$B$2))</f>
        <v/>
      </c>
      <c r="D893" s="120" t="str">
        <f>IFERROR(IF(B893="","",VLOOKUP(B893,RM!$C$4:$F984,3,FALSE)),"")</f>
        <v/>
      </c>
      <c r="E893" s="118" t="str">
        <f>IF(B893="","",VLOOKUP(B893,RM!$C$4:$G984,14,FALSE))</f>
        <v/>
      </c>
      <c r="F893" s="87" t="str">
        <f t="shared" si="7"/>
        <v/>
      </c>
      <c r="G893" s="87" t="str">
        <f t="shared" si="8"/>
        <v/>
      </c>
      <c r="H893" s="87"/>
      <c r="I893" s="87"/>
      <c r="J893" s="87"/>
    </row>
    <row r="894" spans="1:10">
      <c r="A894" s="2"/>
      <c r="B894" s="2"/>
      <c r="C894" s="120" t="str">
        <f>IF(B894="","",SUMIFS('S-BOM'!$D$3:$D994,'S-BOM'!$C$3:$C994,B894,'S-BOM'!$B$3:$B994,$B$2))</f>
        <v/>
      </c>
      <c r="D894" s="120" t="str">
        <f>IFERROR(IF(B894="","",VLOOKUP(B894,RM!$C$4:$F984,3,FALSE)),"")</f>
        <v/>
      </c>
      <c r="E894" s="118" t="str">
        <f>IF(B894="","",VLOOKUP(B894,RM!$C$4:$G984,14,FALSE))</f>
        <v/>
      </c>
      <c r="F894" s="87" t="str">
        <f t="shared" si="7"/>
        <v/>
      </c>
      <c r="G894" s="87" t="str">
        <f t="shared" si="8"/>
        <v/>
      </c>
      <c r="H894" s="87"/>
      <c r="I894" s="87"/>
      <c r="J894" s="87"/>
    </row>
    <row r="895" spans="1:10">
      <c r="A895" s="2"/>
      <c r="B895" s="2"/>
      <c r="C895" s="120" t="str">
        <f>IF(B895="","",SUMIFS('S-BOM'!$D$3:$D994,'S-BOM'!$C$3:$C994,B895,'S-BOM'!$B$3:$B994,$B$2))</f>
        <v/>
      </c>
      <c r="D895" s="120" t="str">
        <f>IFERROR(IF(B895="","",VLOOKUP(B895,RM!$C$4:$F984,3,FALSE)),"")</f>
        <v/>
      </c>
      <c r="E895" s="118" t="str">
        <f>IF(B895="","",VLOOKUP(B895,RM!$C$4:$G984,14,FALSE))</f>
        <v/>
      </c>
      <c r="F895" s="87" t="str">
        <f t="shared" si="7"/>
        <v/>
      </c>
      <c r="G895" s="87" t="str">
        <f t="shared" si="8"/>
        <v/>
      </c>
      <c r="H895" s="87"/>
      <c r="I895" s="87"/>
      <c r="J895" s="87"/>
    </row>
    <row r="896" spans="1:10">
      <c r="A896" s="2"/>
      <c r="B896" s="2"/>
      <c r="C896" s="120" t="str">
        <f>IF(B896="","",SUMIFS('S-BOM'!$D$3:$D994,'S-BOM'!$C$3:$C994,B896,'S-BOM'!$B$3:$B994,$B$2))</f>
        <v/>
      </c>
      <c r="D896" s="120" t="str">
        <f>IFERROR(IF(B896="","",VLOOKUP(B896,RM!$C$4:$F984,3,FALSE)),"")</f>
        <v/>
      </c>
      <c r="E896" s="118" t="str">
        <f>IF(B896="","",VLOOKUP(B896,RM!$C$4:$G984,14,FALSE))</f>
        <v/>
      </c>
      <c r="F896" s="87" t="str">
        <f t="shared" si="7"/>
        <v/>
      </c>
      <c r="G896" s="87" t="str">
        <f t="shared" si="8"/>
        <v/>
      </c>
      <c r="H896" s="87"/>
      <c r="I896" s="87"/>
      <c r="J896" s="87"/>
    </row>
    <row r="897" spans="1:10">
      <c r="A897" s="2"/>
      <c r="B897" s="2"/>
      <c r="C897" s="120" t="str">
        <f>IF(B897="","",SUMIFS('S-BOM'!$D$3:$D994,'S-BOM'!$C$3:$C994,B897,'S-BOM'!$B$3:$B994,$B$2))</f>
        <v/>
      </c>
      <c r="D897" s="120" t="str">
        <f>IFERROR(IF(B897="","",VLOOKUP(B897,RM!$C$4:$F984,3,FALSE)),"")</f>
        <v/>
      </c>
      <c r="E897" s="118" t="str">
        <f>IF(B897="","",VLOOKUP(B897,RM!$C$4:$G984,14,FALSE))</f>
        <v/>
      </c>
      <c r="F897" s="87" t="str">
        <f t="shared" si="7"/>
        <v/>
      </c>
      <c r="G897" s="87" t="str">
        <f t="shared" si="8"/>
        <v/>
      </c>
      <c r="H897" s="87"/>
      <c r="I897" s="87"/>
      <c r="J897" s="87"/>
    </row>
    <row r="898" spans="1:10">
      <c r="A898" s="2"/>
      <c r="B898" s="2"/>
      <c r="C898" s="120" t="str">
        <f>IF(B898="","",SUMIFS('S-BOM'!$D$3:$D994,'S-BOM'!$C$3:$C994,B898,'S-BOM'!$B$3:$B994,$B$2))</f>
        <v/>
      </c>
      <c r="D898" s="120" t="str">
        <f>IFERROR(IF(B898="","",VLOOKUP(B898,RM!$C$4:$F984,3,FALSE)),"")</f>
        <v/>
      </c>
      <c r="E898" s="118" t="str">
        <f>IF(B898="","",VLOOKUP(B898,RM!$C$4:$G984,14,FALSE))</f>
        <v/>
      </c>
      <c r="F898" s="87" t="str">
        <f t="shared" si="7"/>
        <v/>
      </c>
      <c r="G898" s="87" t="str">
        <f t="shared" si="8"/>
        <v/>
      </c>
      <c r="H898" s="87"/>
      <c r="I898" s="87"/>
      <c r="J898" s="87"/>
    </row>
    <row r="899" spans="1:10">
      <c r="A899" s="2"/>
      <c r="B899" s="2"/>
      <c r="C899" s="120" t="str">
        <f>IF(B899="","",SUMIFS('S-BOM'!$D$3:$D994,'S-BOM'!$C$3:$C994,B899,'S-BOM'!$B$3:$B994,$B$2))</f>
        <v/>
      </c>
      <c r="D899" s="120" t="str">
        <f>IFERROR(IF(B899="","",VLOOKUP(B899,RM!$C$4:$F984,3,FALSE)),"")</f>
        <v/>
      </c>
      <c r="E899" s="118" t="str">
        <f>IF(B899="","",VLOOKUP(B899,RM!$C$4:$G984,14,FALSE))</f>
        <v/>
      </c>
      <c r="F899" s="87" t="str">
        <f t="shared" si="7"/>
        <v/>
      </c>
      <c r="G899" s="87" t="str">
        <f t="shared" si="8"/>
        <v/>
      </c>
      <c r="H899" s="87"/>
      <c r="I899" s="87"/>
      <c r="J899" s="87"/>
    </row>
    <row r="900" spans="1:10">
      <c r="A900" s="2"/>
      <c r="B900" s="2"/>
      <c r="C900" s="120" t="str">
        <f>IF(B900="","",SUMIFS('S-BOM'!$D$3:$D994,'S-BOM'!$C$3:$C994,B900,'S-BOM'!$B$3:$B994,$B$2))</f>
        <v/>
      </c>
      <c r="D900" s="120" t="str">
        <f>IFERROR(IF(B900="","",VLOOKUP(B900,RM!$C$4:$F984,3,FALSE)),"")</f>
        <v/>
      </c>
      <c r="E900" s="118" t="str">
        <f>IF(B900="","",VLOOKUP(B900,RM!$C$4:$G984,14,FALSE))</f>
        <v/>
      </c>
      <c r="F900" s="87" t="str">
        <f t="shared" si="7"/>
        <v/>
      </c>
      <c r="G900" s="87" t="str">
        <f t="shared" si="8"/>
        <v/>
      </c>
      <c r="H900" s="87"/>
      <c r="I900" s="87"/>
      <c r="J900" s="87"/>
    </row>
    <row r="901" spans="1:10">
      <c r="A901" s="2"/>
      <c r="B901" s="2"/>
      <c r="C901" s="120" t="str">
        <f>IF(B901="","",SUMIFS('S-BOM'!$D$3:$D994,'S-BOM'!$C$3:$C994,B901,'S-BOM'!$B$3:$B994,$B$2))</f>
        <v/>
      </c>
      <c r="D901" s="120" t="str">
        <f>IFERROR(IF(B901="","",VLOOKUP(B901,RM!$C$4:$F984,3,FALSE)),"")</f>
        <v/>
      </c>
      <c r="E901" s="118" t="str">
        <f>IF(B901="","",VLOOKUP(B901,RM!$C$4:$G984,14,FALSE))</f>
        <v/>
      </c>
      <c r="F901" s="87" t="str">
        <f t="shared" si="7"/>
        <v/>
      </c>
      <c r="G901" s="87" t="str">
        <f t="shared" si="8"/>
        <v/>
      </c>
      <c r="H901" s="87"/>
      <c r="I901" s="87"/>
      <c r="J901" s="87"/>
    </row>
    <row r="902" spans="1:10">
      <c r="A902" s="2"/>
      <c r="B902" s="2"/>
      <c r="C902" s="120" t="str">
        <f>IF(B902="","",SUMIFS('S-BOM'!$D$3:$D994,'S-BOM'!$C$3:$C994,B902,'S-BOM'!$B$3:$B994,$B$2))</f>
        <v/>
      </c>
      <c r="D902" s="120" t="str">
        <f>IFERROR(IF(B902="","",VLOOKUP(B902,RM!$C$4:$F984,3,FALSE)),"")</f>
        <v/>
      </c>
      <c r="E902" s="118" t="str">
        <f>IF(B902="","",VLOOKUP(B902,RM!$C$4:$G984,14,FALSE))</f>
        <v/>
      </c>
      <c r="F902" s="87" t="str">
        <f t="shared" si="7"/>
        <v/>
      </c>
      <c r="G902" s="87" t="str">
        <f t="shared" si="8"/>
        <v/>
      </c>
      <c r="H902" s="87"/>
      <c r="I902" s="87"/>
      <c r="J902" s="87"/>
    </row>
    <row r="903" spans="1:10">
      <c r="A903" s="2"/>
      <c r="B903" s="2"/>
      <c r="C903" s="120" t="str">
        <f>IF(B903="","",SUMIFS('S-BOM'!$D$3:$D994,'S-BOM'!$C$3:$C994,B903,'S-BOM'!$B$3:$B994,$B$2))</f>
        <v/>
      </c>
      <c r="D903" s="120" t="str">
        <f>IFERROR(IF(B903="","",VLOOKUP(B903,RM!$C$4:$F984,3,FALSE)),"")</f>
        <v/>
      </c>
      <c r="E903" s="118" t="str">
        <f>IF(B903="","",VLOOKUP(B903,RM!$C$4:$G984,14,FALSE))</f>
        <v/>
      </c>
      <c r="F903" s="87" t="str">
        <f t="shared" si="7"/>
        <v/>
      </c>
      <c r="G903" s="87" t="str">
        <f t="shared" si="8"/>
        <v/>
      </c>
      <c r="H903" s="87"/>
      <c r="I903" s="87"/>
      <c r="J903" s="87"/>
    </row>
    <row r="904" spans="1:10">
      <c r="A904" s="2"/>
      <c r="B904" s="2"/>
      <c r="C904" s="120" t="str">
        <f>IF(B904="","",SUMIFS('S-BOM'!$D$3:$D994,'S-BOM'!$C$3:$C994,B904,'S-BOM'!$B$3:$B994,$B$2))</f>
        <v/>
      </c>
      <c r="D904" s="120" t="str">
        <f>IFERROR(IF(B904="","",VLOOKUP(B904,RM!$C$4:$F984,3,FALSE)),"")</f>
        <v/>
      </c>
      <c r="E904" s="118" t="str">
        <f>IF(B904="","",VLOOKUP(B904,RM!$C$4:$G984,14,FALSE))</f>
        <v/>
      </c>
      <c r="F904" s="87" t="str">
        <f t="shared" si="7"/>
        <v/>
      </c>
      <c r="G904" s="87" t="str">
        <f t="shared" si="8"/>
        <v/>
      </c>
      <c r="H904" s="87"/>
      <c r="I904" s="87"/>
      <c r="J904" s="87"/>
    </row>
    <row r="905" spans="1:10">
      <c r="A905" s="2"/>
      <c r="B905" s="2"/>
      <c r="C905" s="120" t="str">
        <f>IF(B905="","",SUMIFS('S-BOM'!$D$3:$D994,'S-BOM'!$C$3:$C994,B905,'S-BOM'!$B$3:$B994,$B$2))</f>
        <v/>
      </c>
      <c r="D905" s="120" t="str">
        <f>IFERROR(IF(B905="","",VLOOKUP(B905,RM!$C$4:$F984,3,FALSE)),"")</f>
        <v/>
      </c>
      <c r="E905" s="118" t="str">
        <f>IF(B905="","",VLOOKUP(B905,RM!$C$4:$G984,14,FALSE))</f>
        <v/>
      </c>
      <c r="F905" s="87" t="str">
        <f t="shared" si="7"/>
        <v/>
      </c>
      <c r="G905" s="87" t="str">
        <f t="shared" si="8"/>
        <v/>
      </c>
      <c r="H905" s="87"/>
      <c r="I905" s="87"/>
      <c r="J905" s="87"/>
    </row>
    <row r="906" spans="1:10">
      <c r="A906" s="2"/>
      <c r="B906" s="2"/>
      <c r="C906" s="120" t="str">
        <f>IF(B906="","",SUMIFS('S-BOM'!$D$3:$D994,'S-BOM'!$C$3:$C994,B906,'S-BOM'!$B$3:$B994,$B$2))</f>
        <v/>
      </c>
      <c r="D906" s="120" t="str">
        <f>IFERROR(IF(B906="","",VLOOKUP(B906,RM!$C$4:$F984,3,FALSE)),"")</f>
        <v/>
      </c>
      <c r="E906" s="118" t="str">
        <f>IF(B906="","",VLOOKUP(B906,RM!$C$4:$G984,14,FALSE))</f>
        <v/>
      </c>
      <c r="F906" s="87" t="str">
        <f t="shared" si="7"/>
        <v/>
      </c>
      <c r="G906" s="87" t="str">
        <f t="shared" si="8"/>
        <v/>
      </c>
      <c r="H906" s="87"/>
      <c r="I906" s="87"/>
      <c r="J906" s="87"/>
    </row>
    <row r="907" spans="1:10">
      <c r="A907" s="2"/>
      <c r="B907" s="2"/>
      <c r="C907" s="120" t="str">
        <f>IF(B907="","",SUMIFS('S-BOM'!$D$3:$D994,'S-BOM'!$C$3:$C994,B907,'S-BOM'!$B$3:$B994,$B$2))</f>
        <v/>
      </c>
      <c r="D907" s="120" t="str">
        <f>IFERROR(IF(B907="","",VLOOKUP(B907,RM!$C$4:$F984,3,FALSE)),"")</f>
        <v/>
      </c>
      <c r="E907" s="118" t="str">
        <f>IF(B907="","",VLOOKUP(B907,RM!$C$4:$G984,14,FALSE))</f>
        <v/>
      </c>
      <c r="F907" s="87" t="str">
        <f t="shared" si="7"/>
        <v/>
      </c>
      <c r="G907" s="87" t="str">
        <f t="shared" si="8"/>
        <v/>
      </c>
      <c r="H907" s="87"/>
      <c r="I907" s="87"/>
      <c r="J907" s="87"/>
    </row>
    <row r="908" spans="1:10">
      <c r="A908" s="2"/>
      <c r="B908" s="2"/>
      <c r="C908" s="120" t="str">
        <f>IF(B908="","",SUMIFS('S-BOM'!$D$3:$D994,'S-BOM'!$C$3:$C994,B908,'S-BOM'!$B$3:$B994,$B$2))</f>
        <v/>
      </c>
      <c r="D908" s="120" t="str">
        <f>IFERROR(IF(B908="","",VLOOKUP(B908,RM!$C$4:$F984,3,FALSE)),"")</f>
        <v/>
      </c>
      <c r="E908" s="118" t="str">
        <f>IF(B908="","",VLOOKUP(B908,RM!$C$4:$G984,14,FALSE))</f>
        <v/>
      </c>
      <c r="F908" s="87" t="str">
        <f t="shared" si="7"/>
        <v/>
      </c>
      <c r="G908" s="87" t="str">
        <f t="shared" si="8"/>
        <v/>
      </c>
      <c r="H908" s="87"/>
      <c r="I908" s="87"/>
      <c r="J908" s="87"/>
    </row>
    <row r="909" spans="1:10">
      <c r="A909" s="2"/>
      <c r="B909" s="2"/>
      <c r="C909" s="120" t="str">
        <f>IF(B909="","",SUMIFS('S-BOM'!$D$3:$D994,'S-BOM'!$C$3:$C994,B909,'S-BOM'!$B$3:$B994,$B$2))</f>
        <v/>
      </c>
      <c r="D909" s="120" t="str">
        <f>IFERROR(IF(B909="","",VLOOKUP(B909,RM!$C$4:$F984,3,FALSE)),"")</f>
        <v/>
      </c>
      <c r="E909" s="118" t="str">
        <f>IF(B909="","",VLOOKUP(B909,RM!$C$4:$G984,14,FALSE))</f>
        <v/>
      </c>
      <c r="F909" s="87" t="str">
        <f t="shared" si="7"/>
        <v/>
      </c>
      <c r="G909" s="87" t="str">
        <f t="shared" si="8"/>
        <v/>
      </c>
      <c r="H909" s="87"/>
      <c r="I909" s="87"/>
      <c r="J909" s="87"/>
    </row>
    <row r="910" spans="1:10">
      <c r="A910" s="2"/>
      <c r="B910" s="2"/>
      <c r="C910" s="120" t="str">
        <f>IF(B910="","",SUMIFS('S-BOM'!$D$3:$D994,'S-BOM'!$C$3:$C994,B910,'S-BOM'!$B$3:$B994,$B$2))</f>
        <v/>
      </c>
      <c r="D910" s="120" t="str">
        <f>IFERROR(IF(B910="","",VLOOKUP(B910,RM!$C$4:$F984,3,FALSE)),"")</f>
        <v/>
      </c>
      <c r="E910" s="118" t="str">
        <f>IF(B910="","",VLOOKUP(B910,RM!$C$4:$G984,14,FALSE))</f>
        <v/>
      </c>
      <c r="F910" s="87" t="str">
        <f t="shared" si="7"/>
        <v/>
      </c>
      <c r="G910" s="87" t="str">
        <f t="shared" si="8"/>
        <v/>
      </c>
      <c r="H910" s="87"/>
      <c r="I910" s="87"/>
      <c r="J910" s="87"/>
    </row>
    <row r="911" spans="1:10">
      <c r="A911" s="2"/>
      <c r="B911" s="2"/>
      <c r="C911" s="120" t="str">
        <f>IF(B911="","",SUMIFS('S-BOM'!$D$3:$D994,'S-BOM'!$C$3:$C994,B911,'S-BOM'!$B$3:$B994,$B$2))</f>
        <v/>
      </c>
      <c r="D911" s="120" t="str">
        <f>IFERROR(IF(B911="","",VLOOKUP(B911,RM!$C$4:$F984,3,FALSE)),"")</f>
        <v/>
      </c>
      <c r="E911" s="118" t="str">
        <f>IF(B911="","",VLOOKUP(B911,RM!$C$4:$G984,14,FALSE))</f>
        <v/>
      </c>
      <c r="F911" s="87" t="str">
        <f t="shared" si="7"/>
        <v/>
      </c>
      <c r="G911" s="87" t="str">
        <f t="shared" si="8"/>
        <v/>
      </c>
      <c r="H911" s="87"/>
      <c r="I911" s="87"/>
      <c r="J911" s="87"/>
    </row>
    <row r="912" spans="1:10">
      <c r="A912" s="2"/>
      <c r="B912" s="2"/>
      <c r="C912" s="120" t="str">
        <f>IF(B912="","",SUMIFS('S-BOM'!$D$3:$D994,'S-BOM'!$C$3:$C994,B912,'S-BOM'!$B$3:$B994,$B$2))</f>
        <v/>
      </c>
      <c r="D912" s="120" t="str">
        <f>IFERROR(IF(B912="","",VLOOKUP(B912,RM!$C$4:$F984,3,FALSE)),"")</f>
        <v/>
      </c>
      <c r="E912" s="118" t="str">
        <f>IF(B912="","",VLOOKUP(B912,RM!$C$4:$G984,14,FALSE))</f>
        <v/>
      </c>
      <c r="F912" s="87" t="str">
        <f t="shared" si="7"/>
        <v/>
      </c>
      <c r="G912" s="87" t="str">
        <f t="shared" si="8"/>
        <v/>
      </c>
      <c r="H912" s="87"/>
      <c r="I912" s="87"/>
      <c r="J912" s="87"/>
    </row>
    <row r="913" spans="1:10">
      <c r="A913" s="2"/>
      <c r="B913" s="2"/>
      <c r="C913" s="120" t="str">
        <f>IF(B913="","",SUMIFS('S-BOM'!$D$3:$D994,'S-BOM'!$C$3:$C994,B913,'S-BOM'!$B$3:$B994,$B$2))</f>
        <v/>
      </c>
      <c r="D913" s="120" t="str">
        <f>IFERROR(IF(B913="","",VLOOKUP(B913,RM!$C$4:$F984,3,FALSE)),"")</f>
        <v/>
      </c>
      <c r="E913" s="118" t="str">
        <f>IF(B913="","",VLOOKUP(B913,RM!$C$4:$G984,14,FALSE))</f>
        <v/>
      </c>
      <c r="F913" s="87" t="str">
        <f t="shared" si="7"/>
        <v/>
      </c>
      <c r="G913" s="87" t="str">
        <f t="shared" si="8"/>
        <v/>
      </c>
      <c r="H913" s="87"/>
      <c r="I913" s="87"/>
      <c r="J913" s="87"/>
    </row>
    <row r="914" spans="1:10">
      <c r="A914" s="2"/>
      <c r="B914" s="2"/>
      <c r="C914" s="120" t="str">
        <f>IF(B914="","",SUMIFS('S-BOM'!$D$3:$D994,'S-BOM'!$C$3:$C994,B914,'S-BOM'!$B$3:$B994,$B$2))</f>
        <v/>
      </c>
      <c r="D914" s="120" t="str">
        <f>IFERROR(IF(B914="","",VLOOKUP(B914,RM!$C$4:$F984,3,FALSE)),"")</f>
        <v/>
      </c>
      <c r="E914" s="118" t="str">
        <f>IF(B914="","",VLOOKUP(B914,RM!$C$4:$G984,14,FALSE))</f>
        <v/>
      </c>
      <c r="F914" s="87" t="str">
        <f t="shared" si="7"/>
        <v/>
      </c>
      <c r="G914" s="87" t="str">
        <f t="shared" si="8"/>
        <v/>
      </c>
      <c r="H914" s="87"/>
      <c r="I914" s="87"/>
      <c r="J914" s="87"/>
    </row>
    <row r="915" spans="1:10">
      <c r="A915" s="2"/>
      <c r="B915" s="2"/>
      <c r="C915" s="120" t="str">
        <f>IF(B915="","",SUMIFS('S-BOM'!$D$3:$D994,'S-BOM'!$C$3:$C994,B915,'S-BOM'!$B$3:$B994,$B$2))</f>
        <v/>
      </c>
      <c r="D915" s="120" t="str">
        <f>IFERROR(IF(B915="","",VLOOKUP(B915,RM!$C$4:$F984,3,FALSE)),"")</f>
        <v/>
      </c>
      <c r="E915" s="118" t="str">
        <f>IF(B915="","",VLOOKUP(B915,RM!$C$4:$G984,14,FALSE))</f>
        <v/>
      </c>
      <c r="F915" s="87" t="str">
        <f t="shared" si="7"/>
        <v/>
      </c>
      <c r="G915" s="87" t="str">
        <f t="shared" si="8"/>
        <v/>
      </c>
      <c r="H915" s="87"/>
      <c r="I915" s="87"/>
      <c r="J915" s="87"/>
    </row>
    <row r="916" spans="1:10">
      <c r="A916" s="2"/>
      <c r="B916" s="2"/>
      <c r="C916" s="120" t="str">
        <f>IF(B916="","",SUMIFS('S-BOM'!$D$3:$D994,'S-BOM'!$C$3:$C994,B916,'S-BOM'!$B$3:$B994,$B$2))</f>
        <v/>
      </c>
      <c r="D916" s="120" t="str">
        <f>IFERROR(IF(B916="","",VLOOKUP(B916,RM!$C$4:$F984,3,FALSE)),"")</f>
        <v/>
      </c>
      <c r="E916" s="118" t="str">
        <f>IF(B916="","",VLOOKUP(B916,RM!$C$4:$G984,14,FALSE))</f>
        <v/>
      </c>
      <c r="F916" s="87" t="str">
        <f t="shared" si="7"/>
        <v/>
      </c>
      <c r="G916" s="87" t="str">
        <f t="shared" si="8"/>
        <v/>
      </c>
      <c r="H916" s="87"/>
      <c r="I916" s="87"/>
      <c r="J916" s="87"/>
    </row>
    <row r="917" spans="1:10">
      <c r="A917" s="2"/>
      <c r="B917" s="2"/>
      <c r="C917" s="120" t="str">
        <f>IF(B917="","",SUMIFS('S-BOM'!$D$3:$D994,'S-BOM'!$C$3:$C994,B917,'S-BOM'!$B$3:$B994,$B$2))</f>
        <v/>
      </c>
      <c r="D917" s="120" t="str">
        <f>IFERROR(IF(B917="","",VLOOKUP(B917,RM!$C$4:$F984,3,FALSE)),"")</f>
        <v/>
      </c>
      <c r="E917" s="118" t="str">
        <f>IF(B917="","",VLOOKUP(B917,RM!$C$4:$G984,14,FALSE))</f>
        <v/>
      </c>
      <c r="F917" s="87" t="str">
        <f t="shared" si="7"/>
        <v/>
      </c>
      <c r="G917" s="87" t="str">
        <f t="shared" si="8"/>
        <v/>
      </c>
      <c r="H917" s="87"/>
      <c r="I917" s="87"/>
      <c r="J917" s="87"/>
    </row>
    <row r="918" spans="1:10">
      <c r="A918" s="2"/>
      <c r="B918" s="2"/>
      <c r="C918" s="120" t="str">
        <f>IF(B918="","",SUMIFS('S-BOM'!$D$3:$D994,'S-BOM'!$C$3:$C994,B918,'S-BOM'!$B$3:$B994,$B$2))</f>
        <v/>
      </c>
      <c r="D918" s="120" t="str">
        <f>IFERROR(IF(B918="","",VLOOKUP(B918,RM!$C$4:$F984,3,FALSE)),"")</f>
        <v/>
      </c>
      <c r="E918" s="118" t="str">
        <f>IF(B918="","",VLOOKUP(B918,RM!$C$4:$G984,14,FALSE))</f>
        <v/>
      </c>
      <c r="F918" s="87" t="str">
        <f t="shared" si="7"/>
        <v/>
      </c>
      <c r="G918" s="87" t="str">
        <f t="shared" si="8"/>
        <v/>
      </c>
      <c r="H918" s="87"/>
      <c r="I918" s="87"/>
      <c r="J918" s="87"/>
    </row>
    <row r="919" spans="1:10">
      <c r="A919" s="2"/>
      <c r="B919" s="2"/>
      <c r="C919" s="120" t="str">
        <f>IF(B919="","",SUMIFS('S-BOM'!$D$3:$D994,'S-BOM'!$C$3:$C994,B919,'S-BOM'!$B$3:$B994,$B$2))</f>
        <v/>
      </c>
      <c r="D919" s="120" t="str">
        <f>IFERROR(IF(B919="","",VLOOKUP(B919,RM!$C$4:$F984,3,FALSE)),"")</f>
        <v/>
      </c>
      <c r="E919" s="118" t="str">
        <f>IF(B919="","",VLOOKUP(B919,RM!$C$4:$G984,14,FALSE))</f>
        <v/>
      </c>
      <c r="F919" s="87" t="str">
        <f t="shared" si="7"/>
        <v/>
      </c>
      <c r="G919" s="87" t="str">
        <f t="shared" si="8"/>
        <v/>
      </c>
      <c r="H919" s="87"/>
      <c r="I919" s="87"/>
      <c r="J919" s="87"/>
    </row>
    <row r="920" spans="1:10">
      <c r="A920" s="2"/>
      <c r="B920" s="2"/>
      <c r="C920" s="120" t="str">
        <f>IF(B920="","",SUMIFS('S-BOM'!$D$3:$D994,'S-BOM'!$C$3:$C994,B920,'S-BOM'!$B$3:$B994,$B$2))</f>
        <v/>
      </c>
      <c r="D920" s="120" t="str">
        <f>IFERROR(IF(B920="","",VLOOKUP(B920,RM!$C$4:$F984,3,FALSE)),"")</f>
        <v/>
      </c>
      <c r="E920" s="118" t="str">
        <f>IF(B920="","",VLOOKUP(B920,RM!$C$4:$G984,14,FALSE))</f>
        <v/>
      </c>
      <c r="F920" s="87" t="str">
        <f t="shared" si="7"/>
        <v/>
      </c>
      <c r="G920" s="87" t="str">
        <f t="shared" si="8"/>
        <v/>
      </c>
      <c r="H920" s="87"/>
      <c r="I920" s="87"/>
      <c r="J920" s="87"/>
    </row>
    <row r="921" spans="1:10">
      <c r="A921" s="2"/>
      <c r="B921" s="2"/>
      <c r="C921" s="120" t="str">
        <f>IF(B921="","",SUMIFS('S-BOM'!$D$3:$D994,'S-BOM'!$C$3:$C994,B921,'S-BOM'!$B$3:$B994,$B$2))</f>
        <v/>
      </c>
      <c r="D921" s="120" t="str">
        <f>IFERROR(IF(B921="","",VLOOKUP(B921,RM!$C$4:$F984,3,FALSE)),"")</f>
        <v/>
      </c>
      <c r="E921" s="118" t="str">
        <f>IF(B921="","",VLOOKUP(B921,RM!$C$4:$G984,14,FALSE))</f>
        <v/>
      </c>
      <c r="F921" s="87" t="str">
        <f t="shared" si="7"/>
        <v/>
      </c>
      <c r="G921" s="87" t="str">
        <f t="shared" si="8"/>
        <v/>
      </c>
      <c r="H921" s="87"/>
      <c r="I921" s="87"/>
      <c r="J921" s="87"/>
    </row>
    <row r="922" spans="1:10">
      <c r="A922" s="2"/>
      <c r="B922" s="2"/>
      <c r="C922" s="120" t="str">
        <f>IF(B922="","",SUMIFS('S-BOM'!$D$3:$D994,'S-BOM'!$C$3:$C994,B922,'S-BOM'!$B$3:$B994,$B$2))</f>
        <v/>
      </c>
      <c r="D922" s="120" t="str">
        <f>IFERROR(IF(B922="","",VLOOKUP(B922,RM!$C$4:$F984,3,FALSE)),"")</f>
        <v/>
      </c>
      <c r="E922" s="118" t="str">
        <f>IF(B922="","",VLOOKUP(B922,RM!$C$4:$G984,14,FALSE))</f>
        <v/>
      </c>
      <c r="F922" s="87" t="str">
        <f t="shared" si="7"/>
        <v/>
      </c>
      <c r="G922" s="87" t="str">
        <f t="shared" si="8"/>
        <v/>
      </c>
      <c r="H922" s="87"/>
      <c r="I922" s="87"/>
      <c r="J922" s="87"/>
    </row>
    <row r="923" spans="1:10">
      <c r="A923" s="2"/>
      <c r="B923" s="2"/>
      <c r="C923" s="120" t="str">
        <f>IF(B923="","",SUMIFS('S-BOM'!$D$3:$D994,'S-BOM'!$C$3:$C994,B923,'S-BOM'!$B$3:$B994,$B$2))</f>
        <v/>
      </c>
      <c r="D923" s="120" t="str">
        <f>IFERROR(IF(B923="","",VLOOKUP(B923,RM!$C$4:$F984,3,FALSE)),"")</f>
        <v/>
      </c>
      <c r="E923" s="118" t="str">
        <f>IF(B923="","",VLOOKUP(B923,RM!$C$4:$G984,14,FALSE))</f>
        <v/>
      </c>
      <c r="F923" s="87" t="str">
        <f t="shared" si="7"/>
        <v/>
      </c>
      <c r="G923" s="87" t="str">
        <f t="shared" si="8"/>
        <v/>
      </c>
      <c r="H923" s="87"/>
      <c r="I923" s="87"/>
      <c r="J923" s="87"/>
    </row>
    <row r="924" spans="1:10">
      <c r="A924" s="2"/>
      <c r="B924" s="2"/>
      <c r="C924" s="120" t="str">
        <f>IF(B924="","",SUMIFS('S-BOM'!$D$3:$D994,'S-BOM'!$C$3:$C994,B924,'S-BOM'!$B$3:$B994,$B$2))</f>
        <v/>
      </c>
      <c r="D924" s="120" t="str">
        <f>IFERROR(IF(B924="","",VLOOKUP(B924,RM!$C$4:$F984,3,FALSE)),"")</f>
        <v/>
      </c>
      <c r="E924" s="118" t="str">
        <f>IF(B924="","",VLOOKUP(B924,RM!$C$4:$G984,14,FALSE))</f>
        <v/>
      </c>
      <c r="F924" s="87" t="str">
        <f t="shared" si="7"/>
        <v/>
      </c>
      <c r="G924" s="87" t="str">
        <f t="shared" si="8"/>
        <v/>
      </c>
      <c r="H924" s="87"/>
      <c r="I924" s="87"/>
      <c r="J924" s="87"/>
    </row>
    <row r="925" spans="1:10">
      <c r="A925" s="2"/>
      <c r="B925" s="2"/>
      <c r="C925" s="120" t="str">
        <f>IF(B925="","",SUMIFS('S-BOM'!$D$3:$D994,'S-BOM'!$C$3:$C994,B925,'S-BOM'!$B$3:$B994,$B$2))</f>
        <v/>
      </c>
      <c r="D925" s="120" t="str">
        <f>IFERROR(IF(B925="","",VLOOKUP(B925,RM!$C$4:$F984,3,FALSE)),"")</f>
        <v/>
      </c>
      <c r="E925" s="118" t="str">
        <f>IF(B925="","",VLOOKUP(B925,RM!$C$4:$G984,14,FALSE))</f>
        <v/>
      </c>
      <c r="F925" s="87" t="str">
        <f t="shared" si="7"/>
        <v/>
      </c>
      <c r="G925" s="87" t="str">
        <f t="shared" si="8"/>
        <v/>
      </c>
      <c r="H925" s="87"/>
      <c r="I925" s="87"/>
      <c r="J925" s="87"/>
    </row>
    <row r="926" spans="1:10">
      <c r="A926" s="2"/>
      <c r="B926" s="2"/>
      <c r="C926" s="120" t="str">
        <f>IF(B926="","",SUMIFS('S-BOM'!$D$3:$D994,'S-BOM'!$C$3:$C994,B926,'S-BOM'!$B$3:$B994,$B$2))</f>
        <v/>
      </c>
      <c r="D926" s="120" t="str">
        <f>IFERROR(IF(B926="","",VLOOKUP(B926,RM!$C$4:$F984,3,FALSE)),"")</f>
        <v/>
      </c>
      <c r="E926" s="118" t="str">
        <f>IF(B926="","",VLOOKUP(B926,RM!$C$4:$G984,14,FALSE))</f>
        <v/>
      </c>
      <c r="F926" s="87" t="str">
        <f t="shared" si="7"/>
        <v/>
      </c>
      <c r="G926" s="87" t="str">
        <f t="shared" si="8"/>
        <v/>
      </c>
      <c r="H926" s="87"/>
      <c r="I926" s="87"/>
      <c r="J926" s="87"/>
    </row>
    <row r="927" spans="1:10">
      <c r="A927" s="2"/>
      <c r="B927" s="2"/>
      <c r="C927" s="120" t="str">
        <f>IF(B927="","",SUMIFS('S-BOM'!$D$3:$D994,'S-BOM'!$C$3:$C994,B927,'S-BOM'!$B$3:$B994,$B$2))</f>
        <v/>
      </c>
      <c r="D927" s="120" t="str">
        <f>IFERROR(IF(B927="","",VLOOKUP(B927,RM!$C$4:$F984,3,FALSE)),"")</f>
        <v/>
      </c>
      <c r="E927" s="118" t="str">
        <f>IF(B927="","",VLOOKUP(B927,RM!$C$4:$G984,14,FALSE))</f>
        <v/>
      </c>
      <c r="F927" s="87" t="str">
        <f t="shared" si="7"/>
        <v/>
      </c>
      <c r="G927" s="87" t="str">
        <f t="shared" si="8"/>
        <v/>
      </c>
      <c r="H927" s="87"/>
      <c r="I927" s="87"/>
      <c r="J927" s="87"/>
    </row>
    <row r="928" spans="1:10">
      <c r="A928" s="2"/>
      <c r="B928" s="2"/>
      <c r="C928" s="120" t="str">
        <f>IF(B928="","",SUMIFS('S-BOM'!$D$3:$D994,'S-BOM'!$C$3:$C994,B928,'S-BOM'!$B$3:$B994,$B$2))</f>
        <v/>
      </c>
      <c r="D928" s="120" t="str">
        <f>IFERROR(IF(B928="","",VLOOKUP(B928,RM!$C$4:$F984,3,FALSE)),"")</f>
        <v/>
      </c>
      <c r="E928" s="118" t="str">
        <f>IF(B928="","",VLOOKUP(B928,RM!$C$4:$G984,14,FALSE))</f>
        <v/>
      </c>
      <c r="F928" s="87" t="str">
        <f t="shared" si="7"/>
        <v/>
      </c>
      <c r="G928" s="87" t="str">
        <f t="shared" si="8"/>
        <v/>
      </c>
      <c r="H928" s="87"/>
      <c r="I928" s="87"/>
      <c r="J928" s="87"/>
    </row>
    <row r="929" spans="1:10">
      <c r="A929" s="2"/>
      <c r="B929" s="2"/>
      <c r="C929" s="120" t="str">
        <f>IF(B929="","",SUMIFS('S-BOM'!$D$3:$D994,'S-BOM'!$C$3:$C994,B929,'S-BOM'!$B$3:$B994,$B$2))</f>
        <v/>
      </c>
      <c r="D929" s="120" t="str">
        <f>IFERROR(IF(B929="","",VLOOKUP(B929,RM!$C$4:$F984,3,FALSE)),"")</f>
        <v/>
      </c>
      <c r="E929" s="118" t="str">
        <f>IF(B929="","",VLOOKUP(B929,RM!$C$4:$G984,14,FALSE))</f>
        <v/>
      </c>
      <c r="F929" s="87" t="str">
        <f t="shared" si="7"/>
        <v/>
      </c>
      <c r="G929" s="87" t="str">
        <f t="shared" si="8"/>
        <v/>
      </c>
      <c r="H929" s="87"/>
      <c r="I929" s="87"/>
      <c r="J929" s="87"/>
    </row>
    <row r="930" spans="1:10">
      <c r="A930" s="2"/>
      <c r="B930" s="2"/>
      <c r="C930" s="120" t="str">
        <f>IF(B930="","",SUMIFS('S-BOM'!$D$3:$D994,'S-BOM'!$C$3:$C994,B930,'S-BOM'!$B$3:$B994,$B$2))</f>
        <v/>
      </c>
      <c r="D930" s="120" t="str">
        <f>IFERROR(IF(B930="","",VLOOKUP(B930,RM!$C$4:$F984,3,FALSE)),"")</f>
        <v/>
      </c>
      <c r="E930" s="118" t="str">
        <f>IF(B930="","",VLOOKUP(B930,RM!$C$4:$G984,14,FALSE))</f>
        <v/>
      </c>
      <c r="F930" s="87" t="str">
        <f t="shared" si="7"/>
        <v/>
      </c>
      <c r="G930" s="87" t="str">
        <f t="shared" si="8"/>
        <v/>
      </c>
      <c r="H930" s="87"/>
      <c r="I930" s="87"/>
      <c r="J930" s="87"/>
    </row>
    <row r="931" spans="1:10">
      <c r="A931" s="2"/>
      <c r="B931" s="2"/>
      <c r="C931" s="120" t="str">
        <f>IF(B931="","",SUMIFS('S-BOM'!$D$3:$D994,'S-BOM'!$C$3:$C994,B931,'S-BOM'!$B$3:$B994,$B$2))</f>
        <v/>
      </c>
      <c r="D931" s="120" t="str">
        <f>IFERROR(IF(B931="","",VLOOKUP(B931,RM!$C$4:$F984,3,FALSE)),"")</f>
        <v/>
      </c>
      <c r="E931" s="118" t="str">
        <f>IF(B931="","",VLOOKUP(B931,RM!$C$4:$G984,14,FALSE))</f>
        <v/>
      </c>
      <c r="F931" s="87" t="str">
        <f t="shared" si="7"/>
        <v/>
      </c>
      <c r="G931" s="87" t="str">
        <f t="shared" si="8"/>
        <v/>
      </c>
      <c r="H931" s="87"/>
      <c r="I931" s="87"/>
      <c r="J931" s="87"/>
    </row>
    <row r="932" spans="1:10">
      <c r="A932" s="2"/>
      <c r="B932" s="2"/>
      <c r="C932" s="120" t="str">
        <f>IF(B932="","",SUMIFS('S-BOM'!$D$3:$D994,'S-BOM'!$C$3:$C994,B932,'S-BOM'!$B$3:$B994,$B$2))</f>
        <v/>
      </c>
      <c r="D932" s="120" t="str">
        <f>IFERROR(IF(B932="","",VLOOKUP(B932,RM!$C$4:$F984,3,FALSE)),"")</f>
        <v/>
      </c>
      <c r="E932" s="118" t="str">
        <f>IF(B932="","",VLOOKUP(B932,RM!$C$4:$G984,14,FALSE))</f>
        <v/>
      </c>
      <c r="F932" s="87" t="str">
        <f t="shared" si="7"/>
        <v/>
      </c>
      <c r="G932" s="87" t="str">
        <f t="shared" si="8"/>
        <v/>
      </c>
      <c r="H932" s="87"/>
      <c r="I932" s="87"/>
      <c r="J932" s="87"/>
    </row>
    <row r="933" spans="1:10">
      <c r="A933" s="2"/>
      <c r="B933" s="2"/>
      <c r="C933" s="120" t="str">
        <f>IF(B933="","",SUMIFS('S-BOM'!$D$3:$D994,'S-BOM'!$C$3:$C994,B933,'S-BOM'!$B$3:$B994,$B$2))</f>
        <v/>
      </c>
      <c r="D933" s="120" t="str">
        <f>IFERROR(IF(B933="","",VLOOKUP(B933,RM!$C$4:$F984,3,FALSE)),"")</f>
        <v/>
      </c>
      <c r="E933" s="118" t="str">
        <f>IF(B933="","",VLOOKUP(B933,RM!$C$4:$G984,14,FALSE))</f>
        <v/>
      </c>
      <c r="F933" s="87" t="str">
        <f t="shared" si="7"/>
        <v/>
      </c>
      <c r="G933" s="87" t="str">
        <f t="shared" si="8"/>
        <v/>
      </c>
      <c r="H933" s="87"/>
      <c r="I933" s="87"/>
      <c r="J933" s="87"/>
    </row>
    <row r="934" spans="1:10">
      <c r="A934" s="2"/>
      <c r="B934" s="2"/>
      <c r="C934" s="120" t="str">
        <f>IF(B934="","",SUMIFS('S-BOM'!$D$3:$D994,'S-BOM'!$C$3:$C994,B934,'S-BOM'!$B$3:$B994,$B$2))</f>
        <v/>
      </c>
      <c r="D934" s="120" t="str">
        <f>IFERROR(IF(B934="","",VLOOKUP(B934,RM!$C$4:$F984,3,FALSE)),"")</f>
        <v/>
      </c>
      <c r="E934" s="118" t="str">
        <f>IF(B934="","",VLOOKUP(B934,RM!$C$4:$G984,14,FALSE))</f>
        <v/>
      </c>
      <c r="F934" s="87" t="str">
        <f t="shared" si="7"/>
        <v/>
      </c>
      <c r="G934" s="87" t="str">
        <f t="shared" si="8"/>
        <v/>
      </c>
      <c r="H934" s="87"/>
      <c r="I934" s="87"/>
      <c r="J934" s="87"/>
    </row>
    <row r="935" spans="1:10">
      <c r="A935" s="2"/>
      <c r="B935" s="2"/>
      <c r="C935" s="120" t="str">
        <f>IF(B935="","",SUMIFS('S-BOM'!$D$3:$D994,'S-BOM'!$C$3:$C994,B935,'S-BOM'!$B$3:$B994,$B$2))</f>
        <v/>
      </c>
      <c r="D935" s="120" t="str">
        <f>IFERROR(IF(B935="","",VLOOKUP(B935,RM!$C$4:$F984,3,FALSE)),"")</f>
        <v/>
      </c>
      <c r="E935" s="118" t="str">
        <f>IF(B935="","",VLOOKUP(B935,RM!$C$4:$G984,14,FALSE))</f>
        <v/>
      </c>
      <c r="F935" s="87" t="str">
        <f t="shared" si="7"/>
        <v/>
      </c>
      <c r="G935" s="87" t="str">
        <f t="shared" si="8"/>
        <v/>
      </c>
      <c r="H935" s="87"/>
      <c r="I935" s="87"/>
      <c r="J935" s="87"/>
    </row>
    <row r="936" spans="1:10">
      <c r="A936" s="2"/>
      <c r="B936" s="2"/>
      <c r="C936" s="120" t="str">
        <f>IF(B936="","",SUMIFS('S-BOM'!$D$3:$D994,'S-BOM'!$C$3:$C994,B936,'S-BOM'!$B$3:$B994,$B$2))</f>
        <v/>
      </c>
      <c r="D936" s="120" t="str">
        <f>IFERROR(IF(B936="","",VLOOKUP(B936,RM!$C$4:$F984,3,FALSE)),"")</f>
        <v/>
      </c>
      <c r="E936" s="118" t="str">
        <f>IF(B936="","",VLOOKUP(B936,RM!$C$4:$G984,14,FALSE))</f>
        <v/>
      </c>
      <c r="F936" s="87" t="str">
        <f t="shared" si="7"/>
        <v/>
      </c>
      <c r="G936" s="87" t="str">
        <f t="shared" si="8"/>
        <v/>
      </c>
      <c r="H936" s="87"/>
      <c r="I936" s="87"/>
      <c r="J936" s="87"/>
    </row>
    <row r="937" spans="1:10">
      <c r="A937" s="2"/>
      <c r="B937" s="2"/>
      <c r="C937" s="120" t="str">
        <f>IF(B937="","",SUMIFS('S-BOM'!$D$3:$D994,'S-BOM'!$C$3:$C994,B937,'S-BOM'!$B$3:$B994,$B$2))</f>
        <v/>
      </c>
      <c r="D937" s="120" t="str">
        <f>IFERROR(IF(B937="","",VLOOKUP(B937,RM!$C$4:$F984,3,FALSE)),"")</f>
        <v/>
      </c>
      <c r="E937" s="118" t="str">
        <f>IF(B937="","",VLOOKUP(B937,RM!$C$4:$G984,14,FALSE))</f>
        <v/>
      </c>
      <c r="F937" s="87" t="str">
        <f t="shared" si="7"/>
        <v/>
      </c>
      <c r="G937" s="87" t="str">
        <f t="shared" si="8"/>
        <v/>
      </c>
      <c r="H937" s="87"/>
      <c r="I937" s="87"/>
      <c r="J937" s="87"/>
    </row>
    <row r="938" spans="1:10">
      <c r="A938" s="2"/>
      <c r="B938" s="2"/>
      <c r="C938" s="120" t="str">
        <f>IF(B938="","",SUMIFS('S-BOM'!$D$3:$D994,'S-BOM'!$C$3:$C994,B938,'S-BOM'!$B$3:$B994,$B$2))</f>
        <v/>
      </c>
      <c r="D938" s="120" t="str">
        <f>IFERROR(IF(B938="","",VLOOKUP(B938,RM!$C$4:$F984,3,FALSE)),"")</f>
        <v/>
      </c>
      <c r="E938" s="118" t="str">
        <f>IF(B938="","",VLOOKUP(B938,RM!$C$4:$G984,14,FALSE))</f>
        <v/>
      </c>
      <c r="F938" s="87" t="str">
        <f t="shared" si="7"/>
        <v/>
      </c>
      <c r="G938" s="87" t="str">
        <f t="shared" si="8"/>
        <v/>
      </c>
      <c r="H938" s="87"/>
      <c r="I938" s="87"/>
      <c r="J938" s="87"/>
    </row>
    <row r="939" spans="1:10">
      <c r="A939" s="2"/>
      <c r="B939" s="2"/>
      <c r="C939" s="120" t="str">
        <f>IF(B939="","",SUMIFS('S-BOM'!$D$3:$D994,'S-BOM'!$C$3:$C994,B939,'S-BOM'!$B$3:$B994,$B$2))</f>
        <v/>
      </c>
      <c r="D939" s="120" t="str">
        <f>IFERROR(IF(B939="","",VLOOKUP(B939,RM!$C$4:$F984,3,FALSE)),"")</f>
        <v/>
      </c>
      <c r="E939" s="118" t="str">
        <f>IF(B939="","",VLOOKUP(B939,RM!$C$4:$G984,14,FALSE))</f>
        <v/>
      </c>
      <c r="F939" s="87" t="str">
        <f t="shared" si="7"/>
        <v/>
      </c>
      <c r="G939" s="87" t="str">
        <f t="shared" si="8"/>
        <v/>
      </c>
      <c r="H939" s="87"/>
      <c r="I939" s="87"/>
      <c r="J939" s="87"/>
    </row>
    <row r="940" spans="1:10">
      <c r="A940" s="2"/>
      <c r="B940" s="2"/>
      <c r="C940" s="120" t="str">
        <f>IF(B940="","",SUMIFS('S-BOM'!$D$3:$D994,'S-BOM'!$C$3:$C994,B940,'S-BOM'!$B$3:$B994,$B$2))</f>
        <v/>
      </c>
      <c r="D940" s="120" t="str">
        <f>IFERROR(IF(B940="","",VLOOKUP(B940,RM!$C$4:$F984,3,FALSE)),"")</f>
        <v/>
      </c>
      <c r="E940" s="118" t="str">
        <f>IF(B940="","",VLOOKUP(B940,RM!$C$4:$G984,14,FALSE))</f>
        <v/>
      </c>
      <c r="F940" s="87" t="str">
        <f t="shared" si="7"/>
        <v/>
      </c>
      <c r="G940" s="87" t="str">
        <f t="shared" si="8"/>
        <v/>
      </c>
      <c r="H940" s="87"/>
      <c r="I940" s="87"/>
      <c r="J940" s="87"/>
    </row>
    <row r="941" spans="1:10">
      <c r="A941" s="2"/>
      <c r="B941" s="2"/>
      <c r="C941" s="120" t="str">
        <f>IF(B941="","",SUMIFS('S-BOM'!$D$3:$D994,'S-BOM'!$C$3:$C994,B941,'S-BOM'!$B$3:$B994,$B$2))</f>
        <v/>
      </c>
      <c r="D941" s="120" t="str">
        <f>IFERROR(IF(B941="","",VLOOKUP(B941,RM!$C$4:$F984,3,FALSE)),"")</f>
        <v/>
      </c>
      <c r="E941" s="118" t="str">
        <f>IF(B941="","",VLOOKUP(B941,RM!$C$4:$G984,14,FALSE))</f>
        <v/>
      </c>
      <c r="F941" s="87" t="str">
        <f t="shared" si="7"/>
        <v/>
      </c>
      <c r="G941" s="87" t="str">
        <f t="shared" si="8"/>
        <v/>
      </c>
      <c r="H941" s="87"/>
      <c r="I941" s="87"/>
      <c r="J941" s="87"/>
    </row>
    <row r="942" spans="1:10">
      <c r="A942" s="2"/>
      <c r="B942" s="2"/>
      <c r="C942" s="120" t="str">
        <f>IF(B942="","",SUMIFS('S-BOM'!$D$3:$D994,'S-BOM'!$C$3:$C994,B942,'S-BOM'!$B$3:$B994,$B$2))</f>
        <v/>
      </c>
      <c r="D942" s="120" t="str">
        <f>IFERROR(IF(B942="","",VLOOKUP(B942,RM!$C$4:$F984,3,FALSE)),"")</f>
        <v/>
      </c>
      <c r="E942" s="118" t="str">
        <f>IF(B942="","",VLOOKUP(B942,RM!$C$4:$G984,14,FALSE))</f>
        <v/>
      </c>
      <c r="F942" s="87" t="str">
        <f t="shared" si="7"/>
        <v/>
      </c>
      <c r="G942" s="87" t="str">
        <f t="shared" si="8"/>
        <v/>
      </c>
      <c r="H942" s="87"/>
      <c r="I942" s="87"/>
      <c r="J942" s="87"/>
    </row>
    <row r="943" spans="1:10">
      <c r="A943" s="2"/>
      <c r="B943" s="2"/>
      <c r="C943" s="120" t="str">
        <f>IF(B943="","",SUMIFS('S-BOM'!$D$3:$D994,'S-BOM'!$C$3:$C994,B943,'S-BOM'!$B$3:$B994,$B$2))</f>
        <v/>
      </c>
      <c r="D943" s="120" t="str">
        <f>IFERROR(IF(B943="","",VLOOKUP(B943,RM!$C$4:$F984,3,FALSE)),"")</f>
        <v/>
      </c>
      <c r="E943" s="118" t="str">
        <f>IF(B943="","",VLOOKUP(B943,RM!$C$4:$G984,14,FALSE))</f>
        <v/>
      </c>
      <c r="F943" s="87" t="str">
        <f t="shared" si="7"/>
        <v/>
      </c>
      <c r="G943" s="87" t="str">
        <f t="shared" si="8"/>
        <v/>
      </c>
      <c r="H943" s="87"/>
      <c r="I943" s="87"/>
      <c r="J943" s="87"/>
    </row>
    <row r="944" spans="1:10">
      <c r="A944" s="2"/>
      <c r="B944" s="2"/>
      <c r="C944" s="120" t="str">
        <f>IF(B944="","",SUMIFS('S-BOM'!$D$3:$D994,'S-BOM'!$C$3:$C994,B944,'S-BOM'!$B$3:$B994,$B$2))</f>
        <v/>
      </c>
      <c r="D944" s="120" t="str">
        <f>IFERROR(IF(B944="","",VLOOKUP(B944,RM!$C$4:$F984,3,FALSE)),"")</f>
        <v/>
      </c>
      <c r="E944" s="118" t="str">
        <f>IF(B944="","",VLOOKUP(B944,RM!$C$4:$G984,14,FALSE))</f>
        <v/>
      </c>
      <c r="F944" s="87" t="str">
        <f t="shared" si="7"/>
        <v/>
      </c>
      <c r="G944" s="87" t="str">
        <f t="shared" si="8"/>
        <v/>
      </c>
      <c r="H944" s="87"/>
      <c r="I944" s="87"/>
      <c r="J944" s="87"/>
    </row>
    <row r="945" spans="1:10">
      <c r="A945" s="2"/>
      <c r="B945" s="2"/>
      <c r="C945" s="120" t="str">
        <f>IF(B945="","",SUMIFS('S-BOM'!$D$3:$D994,'S-BOM'!$C$3:$C994,B945,'S-BOM'!$B$3:$B994,$B$2))</f>
        <v/>
      </c>
      <c r="D945" s="120" t="str">
        <f>IFERROR(IF(B945="","",VLOOKUP(B945,RM!$C$4:$F984,3,FALSE)),"")</f>
        <v/>
      </c>
      <c r="E945" s="118" t="str">
        <f>IF(B945="","",VLOOKUP(B945,RM!$C$4:$G984,14,FALSE))</f>
        <v/>
      </c>
      <c r="F945" s="87" t="str">
        <f t="shared" si="7"/>
        <v/>
      </c>
      <c r="G945" s="87" t="str">
        <f t="shared" si="8"/>
        <v/>
      </c>
      <c r="H945" s="87"/>
      <c r="I945" s="87"/>
      <c r="J945" s="87"/>
    </row>
    <row r="946" spans="1:10">
      <c r="A946" s="2"/>
      <c r="B946" s="2"/>
      <c r="C946" s="120" t="str">
        <f>IF(B946="","",SUMIFS('S-BOM'!$D$3:$D994,'S-BOM'!$C$3:$C994,B946,'S-BOM'!$B$3:$B994,$B$2))</f>
        <v/>
      </c>
      <c r="D946" s="120" t="str">
        <f>IFERROR(IF(B946="","",VLOOKUP(B946,RM!$C$4:$F984,3,FALSE)),"")</f>
        <v/>
      </c>
      <c r="E946" s="118" t="str">
        <f>IF(B946="","",VLOOKUP(B946,RM!$C$4:$G984,14,FALSE))</f>
        <v/>
      </c>
      <c r="F946" s="87" t="str">
        <f t="shared" si="7"/>
        <v/>
      </c>
      <c r="G946" s="87" t="str">
        <f t="shared" si="8"/>
        <v/>
      </c>
      <c r="H946" s="87"/>
      <c r="I946" s="87"/>
      <c r="J946" s="87"/>
    </row>
    <row r="947" spans="1:10">
      <c r="A947" s="2"/>
      <c r="B947" s="2"/>
      <c r="C947" s="120" t="str">
        <f>IF(B947="","",SUMIFS('S-BOM'!$D$3:$D994,'S-BOM'!$C$3:$C994,B947,'S-BOM'!$B$3:$B994,$B$2))</f>
        <v/>
      </c>
      <c r="D947" s="120" t="str">
        <f>IFERROR(IF(B947="","",VLOOKUP(B947,RM!$C$4:$F984,3,FALSE)),"")</f>
        <v/>
      </c>
      <c r="E947" s="118" t="str">
        <f>IF(B947="","",VLOOKUP(B947,RM!$C$4:$G984,14,FALSE))</f>
        <v/>
      </c>
      <c r="F947" s="87" t="str">
        <f t="shared" si="7"/>
        <v/>
      </c>
      <c r="G947" s="87" t="str">
        <f t="shared" si="8"/>
        <v/>
      </c>
      <c r="H947" s="87"/>
      <c r="I947" s="87"/>
      <c r="J947" s="87"/>
    </row>
    <row r="948" spans="1:10">
      <c r="A948" s="2"/>
      <c r="B948" s="2"/>
      <c r="C948" s="120" t="str">
        <f>IF(B948="","",SUMIFS('S-BOM'!$D$3:$D994,'S-BOM'!$C$3:$C994,B948,'S-BOM'!$B$3:$B994,$B$2))</f>
        <v/>
      </c>
      <c r="D948" s="120" t="str">
        <f>IFERROR(IF(B948="","",VLOOKUP(B948,RM!$C$4:$F984,3,FALSE)),"")</f>
        <v/>
      </c>
      <c r="E948" s="118" t="str">
        <f>IF(B948="","",VLOOKUP(B948,RM!$C$4:$G984,14,FALSE))</f>
        <v/>
      </c>
      <c r="F948" s="87" t="str">
        <f t="shared" si="7"/>
        <v/>
      </c>
      <c r="G948" s="87" t="str">
        <f t="shared" si="8"/>
        <v/>
      </c>
      <c r="H948" s="87"/>
      <c r="I948" s="87"/>
      <c r="J948" s="87"/>
    </row>
    <row r="949" spans="1:10">
      <c r="A949" s="2"/>
      <c r="B949" s="2"/>
      <c r="C949" s="120" t="str">
        <f>IF(B949="","",SUMIFS('S-BOM'!$D$3:$D994,'S-BOM'!$C$3:$C994,B949,'S-BOM'!$B$3:$B994,$B$2))</f>
        <v/>
      </c>
      <c r="D949" s="120" t="str">
        <f>IFERROR(IF(B949="","",VLOOKUP(B949,RM!$C$4:$F984,3,FALSE)),"")</f>
        <v/>
      </c>
      <c r="E949" s="118" t="str">
        <f>IF(B949="","",VLOOKUP(B949,RM!$C$4:$G984,14,FALSE))</f>
        <v/>
      </c>
      <c r="F949" s="87" t="str">
        <f t="shared" si="7"/>
        <v/>
      </c>
      <c r="G949" s="87" t="str">
        <f t="shared" si="8"/>
        <v/>
      </c>
      <c r="H949" s="87"/>
      <c r="I949" s="87"/>
      <c r="J949" s="87"/>
    </row>
    <row r="950" spans="1:10">
      <c r="A950" s="2"/>
      <c r="B950" s="2"/>
      <c r="C950" s="120" t="str">
        <f>IF(B950="","",SUMIFS('S-BOM'!$D$3:$D994,'S-BOM'!$C$3:$C994,B950,'S-BOM'!$B$3:$B994,$B$2))</f>
        <v/>
      </c>
      <c r="D950" s="120" t="str">
        <f>IFERROR(IF(B950="","",VLOOKUP(B950,RM!$C$4:$F984,3,FALSE)),"")</f>
        <v/>
      </c>
      <c r="E950" s="118" t="str">
        <f>IF(B950="","",VLOOKUP(B950,RM!$C$4:$G984,14,FALSE))</f>
        <v/>
      </c>
      <c r="F950" s="87" t="str">
        <f t="shared" si="7"/>
        <v/>
      </c>
      <c r="G950" s="87" t="str">
        <f t="shared" si="8"/>
        <v/>
      </c>
      <c r="H950" s="87"/>
      <c r="I950" s="87"/>
      <c r="J950" s="87"/>
    </row>
    <row r="951" spans="1:10">
      <c r="A951" s="2"/>
      <c r="B951" s="2"/>
      <c r="C951" s="120" t="str">
        <f>IF(B951="","",SUMIFS('S-BOM'!$D$3:$D994,'S-BOM'!$C$3:$C994,B951,'S-BOM'!$B$3:$B994,$B$2))</f>
        <v/>
      </c>
      <c r="D951" s="120" t="str">
        <f>IFERROR(IF(B951="","",VLOOKUP(B951,RM!$C$4:$F984,3,FALSE)),"")</f>
        <v/>
      </c>
      <c r="E951" s="118" t="str">
        <f>IF(B951="","",VLOOKUP(B951,RM!$C$4:$G984,14,FALSE))</f>
        <v/>
      </c>
      <c r="F951" s="87" t="str">
        <f t="shared" si="7"/>
        <v/>
      </c>
      <c r="G951" s="87" t="str">
        <f t="shared" si="8"/>
        <v/>
      </c>
      <c r="H951" s="87"/>
      <c r="I951" s="87"/>
      <c r="J951" s="87"/>
    </row>
    <row r="952" spans="1:10">
      <c r="A952" s="2"/>
      <c r="B952" s="2"/>
      <c r="C952" s="120" t="str">
        <f>IF(B952="","",SUMIFS('S-BOM'!$D$3:$D994,'S-BOM'!$C$3:$C994,B952,'S-BOM'!$B$3:$B994,$B$2))</f>
        <v/>
      </c>
      <c r="D952" s="120" t="str">
        <f>IFERROR(IF(B952="","",VLOOKUP(B952,RM!$C$4:$F984,3,FALSE)),"")</f>
        <v/>
      </c>
      <c r="E952" s="118" t="str">
        <f>IF(B952="","",VLOOKUP(B952,RM!$C$4:$G984,14,FALSE))</f>
        <v/>
      </c>
      <c r="F952" s="87" t="str">
        <f t="shared" si="7"/>
        <v/>
      </c>
      <c r="G952" s="87" t="str">
        <f t="shared" si="8"/>
        <v/>
      </c>
      <c r="H952" s="87"/>
      <c r="I952" s="87"/>
      <c r="J952" s="87"/>
    </row>
    <row r="953" spans="1:10">
      <c r="A953" s="2"/>
      <c r="B953" s="2"/>
      <c r="C953" s="120" t="str">
        <f>IF(B953="","",SUMIFS('S-BOM'!$D$3:$D994,'S-BOM'!$C$3:$C994,B953,'S-BOM'!$B$3:$B994,$B$2))</f>
        <v/>
      </c>
      <c r="D953" s="120" t="str">
        <f>IFERROR(IF(B953="","",VLOOKUP(B953,RM!$C$4:$F984,3,FALSE)),"")</f>
        <v/>
      </c>
      <c r="E953" s="118" t="str">
        <f>IF(B953="","",VLOOKUP(B953,RM!$C$4:$G984,14,FALSE))</f>
        <v/>
      </c>
      <c r="F953" s="87" t="str">
        <f t="shared" si="7"/>
        <v/>
      </c>
      <c r="G953" s="87" t="str">
        <f t="shared" si="8"/>
        <v/>
      </c>
      <c r="H953" s="87"/>
      <c r="I953" s="87"/>
      <c r="J953" s="87"/>
    </row>
    <row r="954" spans="1:10">
      <c r="A954" s="2"/>
      <c r="B954" s="2"/>
      <c r="C954" s="120" t="str">
        <f>IF(B954="","",SUMIFS('S-BOM'!$D$3:$D994,'S-BOM'!$C$3:$C994,B954,'S-BOM'!$B$3:$B994,$B$2))</f>
        <v/>
      </c>
      <c r="D954" s="120" t="str">
        <f>IFERROR(IF(B954="","",VLOOKUP(B954,RM!$C$4:$F984,3,FALSE)),"")</f>
        <v/>
      </c>
      <c r="E954" s="118" t="str">
        <f>IF(B954="","",VLOOKUP(B954,RM!$C$4:$G984,14,FALSE))</f>
        <v/>
      </c>
      <c r="F954" s="87" t="str">
        <f t="shared" si="7"/>
        <v/>
      </c>
      <c r="G954" s="87" t="str">
        <f t="shared" si="8"/>
        <v/>
      </c>
      <c r="H954" s="87"/>
      <c r="I954" s="87"/>
      <c r="J954" s="87"/>
    </row>
    <row r="955" spans="1:10">
      <c r="A955" s="2"/>
      <c r="B955" s="2"/>
      <c r="C955" s="120" t="str">
        <f>IF(B955="","",SUMIFS('S-BOM'!$D$3:$D994,'S-BOM'!$C$3:$C994,B955,'S-BOM'!$B$3:$B994,$B$2))</f>
        <v/>
      </c>
      <c r="D955" s="120" t="str">
        <f>IFERROR(IF(B955="","",VLOOKUP(B955,RM!$C$4:$F984,3,FALSE)),"")</f>
        <v/>
      </c>
      <c r="E955" s="118" t="str">
        <f>IF(B955="","",VLOOKUP(B955,RM!$C$4:$G984,14,FALSE))</f>
        <v/>
      </c>
      <c r="F955" s="87" t="str">
        <f t="shared" si="7"/>
        <v/>
      </c>
      <c r="G955" s="87" t="str">
        <f t="shared" si="8"/>
        <v/>
      </c>
      <c r="H955" s="87"/>
      <c r="I955" s="87"/>
      <c r="J955" s="87"/>
    </row>
    <row r="956" spans="1:10">
      <c r="A956" s="2"/>
      <c r="B956" s="2"/>
      <c r="C956" s="120" t="str">
        <f>IF(B956="","",SUMIFS('S-BOM'!$D$3:$D994,'S-BOM'!$C$3:$C994,B956,'S-BOM'!$B$3:$B994,$B$2))</f>
        <v/>
      </c>
      <c r="D956" s="120" t="str">
        <f>IFERROR(IF(B956="","",VLOOKUP(B956,RM!$C$4:$F984,3,FALSE)),"")</f>
        <v/>
      </c>
      <c r="E956" s="118" t="str">
        <f>IF(B956="","",VLOOKUP(B956,RM!$C$4:$G984,14,FALSE))</f>
        <v/>
      </c>
      <c r="F956" s="87" t="str">
        <f t="shared" si="7"/>
        <v/>
      </c>
      <c r="G956" s="87" t="str">
        <f t="shared" si="8"/>
        <v/>
      </c>
      <c r="H956" s="87"/>
      <c r="I956" s="87"/>
      <c r="J956" s="87"/>
    </row>
    <row r="957" spans="1:10">
      <c r="A957" s="2"/>
      <c r="B957" s="2"/>
      <c r="C957" s="120" t="str">
        <f>IF(B957="","",SUMIFS('S-BOM'!$D$3:$D994,'S-BOM'!$C$3:$C994,B957,'S-BOM'!$B$3:$B994,$B$2))</f>
        <v/>
      </c>
      <c r="D957" s="120" t="str">
        <f>IFERROR(IF(B957="","",VLOOKUP(B957,RM!$C$4:$F984,3,FALSE)),"")</f>
        <v/>
      </c>
      <c r="E957" s="118" t="str">
        <f>IF(B957="","",VLOOKUP(B957,RM!$C$4:$G984,14,FALSE))</f>
        <v/>
      </c>
      <c r="F957" s="87" t="str">
        <f t="shared" si="7"/>
        <v/>
      </c>
      <c r="G957" s="87" t="str">
        <f t="shared" si="8"/>
        <v/>
      </c>
      <c r="H957" s="87"/>
      <c r="I957" s="87"/>
      <c r="J957" s="87"/>
    </row>
    <row r="958" spans="1:10">
      <c r="A958" s="2"/>
      <c r="B958" s="2"/>
      <c r="C958" s="120" t="str">
        <f>IF(B958="","",SUMIFS('S-BOM'!$D$3:$D994,'S-BOM'!$C$3:$C994,B958,'S-BOM'!$B$3:$B994,$B$2))</f>
        <v/>
      </c>
      <c r="D958" s="120" t="str">
        <f>IFERROR(IF(B958="","",VLOOKUP(B958,RM!$C$4:$F984,3,FALSE)),"")</f>
        <v/>
      </c>
      <c r="E958" s="118" t="str">
        <f>IF(B958="","",VLOOKUP(B958,RM!$C$4:$G984,14,FALSE))</f>
        <v/>
      </c>
      <c r="F958" s="87" t="str">
        <f t="shared" si="7"/>
        <v/>
      </c>
      <c r="G958" s="87" t="str">
        <f t="shared" si="8"/>
        <v/>
      </c>
      <c r="H958" s="87"/>
      <c r="I958" s="87"/>
      <c r="J958" s="87"/>
    </row>
    <row r="959" spans="1:10">
      <c r="A959" s="2"/>
      <c r="B959" s="2"/>
      <c r="C959" s="120" t="str">
        <f>IF(B959="","",SUMIFS('S-BOM'!$D$3:$D994,'S-BOM'!$C$3:$C994,B959,'S-BOM'!$B$3:$B994,$B$2))</f>
        <v/>
      </c>
      <c r="D959" s="120" t="str">
        <f>IFERROR(IF(B959="","",VLOOKUP(B959,RM!$C$4:$F984,3,FALSE)),"")</f>
        <v/>
      </c>
      <c r="E959" s="118" t="str">
        <f>IF(B959="","",VLOOKUP(B959,RM!$C$4:$G984,14,FALSE))</f>
        <v/>
      </c>
      <c r="F959" s="87" t="str">
        <f t="shared" si="7"/>
        <v/>
      </c>
      <c r="G959" s="87" t="str">
        <f t="shared" si="8"/>
        <v/>
      </c>
      <c r="H959" s="87"/>
      <c r="I959" s="87"/>
      <c r="J959" s="87"/>
    </row>
    <row r="960" spans="1:10">
      <c r="A960" s="2"/>
      <c r="B960" s="2"/>
      <c r="C960" s="120" t="str">
        <f>IF(B960="","",SUMIFS('S-BOM'!$D$3:$D994,'S-BOM'!$C$3:$C994,B960,'S-BOM'!$B$3:$B994,$B$2))</f>
        <v/>
      </c>
      <c r="D960" s="120" t="str">
        <f>IFERROR(IF(B960="","",VLOOKUP(B960,RM!$C$4:$F984,3,FALSE)),"")</f>
        <v/>
      </c>
      <c r="E960" s="118" t="str">
        <f>IF(B960="","",VLOOKUP(B960,RM!$C$4:$G984,14,FALSE))</f>
        <v/>
      </c>
      <c r="F960" s="87" t="str">
        <f t="shared" si="7"/>
        <v/>
      </c>
      <c r="G960" s="87" t="str">
        <f t="shared" si="8"/>
        <v/>
      </c>
      <c r="H960" s="87"/>
      <c r="I960" s="87"/>
      <c r="J960" s="87"/>
    </row>
    <row r="961" spans="1:10">
      <c r="A961" s="2"/>
      <c r="B961" s="2"/>
      <c r="C961" s="120" t="str">
        <f>IF(B961="","",SUMIFS('S-BOM'!$D$3:$D994,'S-BOM'!$C$3:$C994,B961,'S-BOM'!$B$3:$B994,$B$2))</f>
        <v/>
      </c>
      <c r="D961" s="120" t="str">
        <f>IFERROR(IF(B961="","",VLOOKUP(B961,RM!$C$4:$F984,3,FALSE)),"")</f>
        <v/>
      </c>
      <c r="E961" s="118" t="str">
        <f>IF(B961="","",VLOOKUP(B961,RM!$C$4:$G984,14,FALSE))</f>
        <v/>
      </c>
      <c r="F961" s="87" t="str">
        <f t="shared" si="7"/>
        <v/>
      </c>
      <c r="G961" s="87" t="str">
        <f t="shared" si="8"/>
        <v/>
      </c>
      <c r="H961" s="87"/>
      <c r="I961" s="87"/>
      <c r="J961" s="87"/>
    </row>
    <row r="962" spans="1:10">
      <c r="A962" s="2"/>
      <c r="B962" s="2"/>
      <c r="C962" s="120" t="str">
        <f>IF(B962="","",SUMIFS('S-BOM'!$D$3:$D994,'S-BOM'!$C$3:$C994,B962,'S-BOM'!$B$3:$B994,$B$2))</f>
        <v/>
      </c>
      <c r="D962" s="120" t="str">
        <f>IFERROR(IF(B962="","",VLOOKUP(B962,RM!$C$4:$F984,3,FALSE)),"")</f>
        <v/>
      </c>
      <c r="E962" s="118" t="str">
        <f>IF(B962="","",VLOOKUP(B962,RM!$C$4:$G984,14,FALSE))</f>
        <v/>
      </c>
      <c r="F962" s="87" t="str">
        <f t="shared" si="7"/>
        <v/>
      </c>
      <c r="G962" s="87" t="str">
        <f t="shared" si="8"/>
        <v/>
      </c>
      <c r="H962" s="87"/>
      <c r="I962" s="87"/>
      <c r="J962" s="87"/>
    </row>
    <row r="963" spans="1:10">
      <c r="A963" s="2"/>
      <c r="B963" s="2"/>
      <c r="C963" s="120" t="str">
        <f>IF(B963="","",SUMIFS('S-BOM'!$D$3:$D994,'S-BOM'!$C$3:$C994,B963,'S-BOM'!$B$3:$B994,$B$2))</f>
        <v/>
      </c>
      <c r="D963" s="120" t="str">
        <f>IFERROR(IF(B963="","",VLOOKUP(B963,RM!$C$4:$F984,3,FALSE)),"")</f>
        <v/>
      </c>
      <c r="E963" s="118" t="str">
        <f>IF(B963="","",VLOOKUP(B963,RM!$C$4:$G984,14,FALSE))</f>
        <v/>
      </c>
      <c r="F963" s="87" t="str">
        <f t="shared" si="7"/>
        <v/>
      </c>
      <c r="G963" s="87" t="str">
        <f t="shared" si="8"/>
        <v/>
      </c>
      <c r="H963" s="87"/>
      <c r="I963" s="87"/>
      <c r="J963" s="87"/>
    </row>
    <row r="964" spans="1:10">
      <c r="A964" s="2"/>
      <c r="B964" s="2"/>
      <c r="C964" s="120" t="str">
        <f>IF(B964="","",SUMIFS('S-BOM'!$D$3:$D994,'S-BOM'!$C$3:$C994,B964,'S-BOM'!$B$3:$B994,$B$2))</f>
        <v/>
      </c>
      <c r="D964" s="120" t="str">
        <f>IFERROR(IF(B964="","",VLOOKUP(B964,RM!$C$4:$F984,3,FALSE)),"")</f>
        <v/>
      </c>
      <c r="E964" s="118" t="str">
        <f>IF(B964="","",VLOOKUP(B964,RM!$C$4:$G984,14,FALSE))</f>
        <v/>
      </c>
      <c r="F964" s="87" t="str">
        <f t="shared" si="7"/>
        <v/>
      </c>
      <c r="G964" s="87" t="str">
        <f t="shared" si="8"/>
        <v/>
      </c>
      <c r="H964" s="87"/>
      <c r="I964" s="87"/>
      <c r="J964" s="87"/>
    </row>
    <row r="965" spans="1:10">
      <c r="A965" s="2"/>
      <c r="B965" s="2"/>
      <c r="C965" s="120" t="str">
        <f>IF(B965="","",SUMIFS('S-BOM'!$D$3:$D994,'S-BOM'!$C$3:$C994,B965,'S-BOM'!$B$3:$B994,$B$2))</f>
        <v/>
      </c>
      <c r="D965" s="120" t="str">
        <f>IFERROR(IF(B965="","",VLOOKUP(B965,RM!$C$4:$F984,3,FALSE)),"")</f>
        <v/>
      </c>
      <c r="E965" s="118" t="str">
        <f>IF(B965="","",VLOOKUP(B965,RM!$C$4:$G984,14,FALSE))</f>
        <v/>
      </c>
      <c r="F965" s="87" t="str">
        <f t="shared" si="7"/>
        <v/>
      </c>
      <c r="G965" s="87" t="str">
        <f t="shared" si="8"/>
        <v/>
      </c>
      <c r="H965" s="87"/>
      <c r="I965" s="87"/>
      <c r="J965" s="87"/>
    </row>
    <row r="966" spans="1:10">
      <c r="A966" s="2"/>
      <c r="B966" s="2"/>
      <c r="C966" s="120" t="str">
        <f>IF(B966="","",SUMIFS('S-BOM'!$D$3:$D994,'S-BOM'!$C$3:$C994,B966,'S-BOM'!$B$3:$B994,$B$2))</f>
        <v/>
      </c>
      <c r="D966" s="120" t="str">
        <f>IFERROR(IF(B966="","",VLOOKUP(B966,RM!$C$4:$F984,3,FALSE)),"")</f>
        <v/>
      </c>
      <c r="E966" s="118" t="str">
        <f>IF(B966="","",VLOOKUP(B966,RM!$C$4:$G984,14,FALSE))</f>
        <v/>
      </c>
      <c r="F966" s="87" t="str">
        <f t="shared" si="7"/>
        <v/>
      </c>
      <c r="G966" s="87" t="str">
        <f t="shared" si="8"/>
        <v/>
      </c>
      <c r="H966" s="87"/>
      <c r="I966" s="87"/>
      <c r="J966" s="87"/>
    </row>
    <row r="967" spans="1:10">
      <c r="A967" s="2"/>
      <c r="B967" s="2"/>
      <c r="C967" s="120" t="str">
        <f>IF(B967="","",SUMIFS('S-BOM'!$D$3:$D994,'S-BOM'!$C$3:$C994,B967,'S-BOM'!$B$3:$B994,$B$2))</f>
        <v/>
      </c>
      <c r="D967" s="120" t="str">
        <f>IFERROR(IF(B967="","",VLOOKUP(B967,RM!$C$4:$F984,3,FALSE)),"")</f>
        <v/>
      </c>
      <c r="E967" s="118" t="str">
        <f>IF(B967="","",VLOOKUP(B967,RM!$C$4:$G984,14,FALSE))</f>
        <v/>
      </c>
      <c r="F967" s="87" t="str">
        <f t="shared" si="7"/>
        <v/>
      </c>
      <c r="G967" s="87" t="str">
        <f t="shared" si="8"/>
        <v/>
      </c>
      <c r="H967" s="87"/>
      <c r="I967" s="87"/>
      <c r="J967" s="87"/>
    </row>
    <row r="968" spans="1:10">
      <c r="A968" s="2"/>
      <c r="B968" s="2"/>
      <c r="C968" s="120" t="str">
        <f>IF(B968="","",SUMIFS('S-BOM'!$D$3:$D994,'S-BOM'!$C$3:$C994,B968,'S-BOM'!$B$3:$B994,$B$2))</f>
        <v/>
      </c>
      <c r="D968" s="120" t="str">
        <f>IFERROR(IF(B968="","",VLOOKUP(B968,RM!$C$4:$F984,3,FALSE)),"")</f>
        <v/>
      </c>
      <c r="E968" s="118" t="str">
        <f>IF(B968="","",VLOOKUP(B968,RM!$C$4:$G984,14,FALSE))</f>
        <v/>
      </c>
      <c r="F968" s="87" t="str">
        <f t="shared" si="7"/>
        <v/>
      </c>
      <c r="G968" s="87" t="str">
        <f t="shared" si="8"/>
        <v/>
      </c>
      <c r="H968" s="87"/>
      <c r="I968" s="87"/>
      <c r="J968" s="87"/>
    </row>
    <row r="969" spans="1:10">
      <c r="A969" s="2"/>
      <c r="B969" s="2"/>
      <c r="C969" s="120" t="str">
        <f>IF(B969="","",SUMIFS('S-BOM'!$D$3:$D994,'S-BOM'!$C$3:$C994,B969,'S-BOM'!$B$3:$B994,$B$2))</f>
        <v/>
      </c>
      <c r="D969" s="120" t="str">
        <f>IFERROR(IF(B969="","",VLOOKUP(B969,RM!$C$4:$F984,3,FALSE)),"")</f>
        <v/>
      </c>
      <c r="E969" s="118" t="str">
        <f>IF(B969="","",VLOOKUP(B969,RM!$C$4:$G984,14,FALSE))</f>
        <v/>
      </c>
      <c r="F969" s="87" t="str">
        <f t="shared" si="7"/>
        <v/>
      </c>
      <c r="G969" s="87" t="str">
        <f t="shared" si="8"/>
        <v/>
      </c>
      <c r="H969" s="87"/>
      <c r="I969" s="87"/>
      <c r="J969" s="87"/>
    </row>
    <row r="970" spans="1:10">
      <c r="A970" s="2"/>
      <c r="B970" s="2"/>
      <c r="C970" s="120" t="str">
        <f>IF(B970="","",SUMIFS('S-BOM'!$D$3:$D994,'S-BOM'!$C$3:$C994,B970,'S-BOM'!$B$3:$B994,$B$2))</f>
        <v/>
      </c>
      <c r="D970" s="120" t="str">
        <f>IFERROR(IF(B970="","",VLOOKUP(B970,RM!$C$4:$F984,3,FALSE)),"")</f>
        <v/>
      </c>
      <c r="E970" s="118" t="str">
        <f>IF(B970="","",VLOOKUP(B970,RM!$C$4:$G984,14,FALSE))</f>
        <v/>
      </c>
      <c r="F970" s="87" t="str">
        <f t="shared" si="7"/>
        <v/>
      </c>
      <c r="G970" s="87" t="str">
        <f t="shared" si="8"/>
        <v/>
      </c>
      <c r="H970" s="87"/>
      <c r="I970" s="87"/>
      <c r="J970" s="87"/>
    </row>
    <row r="971" spans="1:10">
      <c r="A971" s="2"/>
      <c r="B971" s="2"/>
      <c r="C971" s="120" t="str">
        <f>IF(B971="","",SUMIFS('S-BOM'!$D$3:$D994,'S-BOM'!$C$3:$C994,B971,'S-BOM'!$B$3:$B994,$B$2))</f>
        <v/>
      </c>
      <c r="D971" s="120" t="str">
        <f>IFERROR(IF(B971="","",VLOOKUP(B971,RM!$C$4:$F984,3,FALSE)),"")</f>
        <v/>
      </c>
      <c r="E971" s="118" t="str">
        <f>IF(B971="","",VLOOKUP(B971,RM!$C$4:$G984,14,FALSE))</f>
        <v/>
      </c>
      <c r="F971" s="87" t="str">
        <f t="shared" si="7"/>
        <v/>
      </c>
      <c r="G971" s="87" t="str">
        <f t="shared" si="8"/>
        <v/>
      </c>
      <c r="H971" s="87"/>
      <c r="I971" s="87"/>
      <c r="J971" s="87"/>
    </row>
    <row r="972" spans="1:10">
      <c r="A972" s="2"/>
      <c r="B972" s="2"/>
      <c r="C972" s="120" t="str">
        <f>IF(B972="","",SUMIFS('S-BOM'!$D$3:$D994,'S-BOM'!$C$3:$C994,B972,'S-BOM'!$B$3:$B994,$B$2))</f>
        <v/>
      </c>
      <c r="D972" s="120" t="str">
        <f>IFERROR(IF(B972="","",VLOOKUP(B972,RM!$C$4:$F984,3,FALSE)),"")</f>
        <v/>
      </c>
      <c r="E972" s="118" t="str">
        <f>IF(B972="","",VLOOKUP(B972,RM!$C$4:$G984,14,FALSE))</f>
        <v/>
      </c>
      <c r="F972" s="87" t="str">
        <f t="shared" si="7"/>
        <v/>
      </c>
      <c r="G972" s="87" t="str">
        <f t="shared" si="8"/>
        <v/>
      </c>
      <c r="H972" s="87"/>
      <c r="I972" s="87"/>
      <c r="J972" s="87"/>
    </row>
    <row r="973" spans="1:10">
      <c r="A973" s="2"/>
      <c r="B973" s="2"/>
      <c r="C973" s="120" t="str">
        <f>IF(B973="","",SUMIFS('S-BOM'!$D$3:$D994,'S-BOM'!$C$3:$C994,B973,'S-BOM'!$B$3:$B994,$B$2))</f>
        <v/>
      </c>
      <c r="D973" s="120" t="str">
        <f>IFERROR(IF(B973="","",VLOOKUP(B973,RM!$C$4:$F984,3,FALSE)),"")</f>
        <v/>
      </c>
      <c r="E973" s="118" t="str">
        <f>IF(B973="","",VLOOKUP(B973,RM!$C$4:$G984,14,FALSE))</f>
        <v/>
      </c>
      <c r="F973" s="87" t="str">
        <f t="shared" si="7"/>
        <v/>
      </c>
      <c r="G973" s="87" t="str">
        <f t="shared" si="8"/>
        <v/>
      </c>
      <c r="H973" s="87"/>
      <c r="I973" s="87"/>
      <c r="J973" s="87"/>
    </row>
    <row r="974" spans="1:10">
      <c r="A974" s="2"/>
      <c r="B974" s="2"/>
      <c r="C974" s="120" t="str">
        <f>IF(B974="","",SUMIFS('S-BOM'!$D$3:$D994,'S-BOM'!$C$3:$C994,B974,'S-BOM'!$B$3:$B994,$B$2))</f>
        <v/>
      </c>
      <c r="D974" s="120" t="str">
        <f>IFERROR(IF(B974="","",VLOOKUP(B974,RM!$C$4:$F984,3,FALSE)),"")</f>
        <v/>
      </c>
      <c r="E974" s="118" t="str">
        <f>IF(B974="","",VLOOKUP(B974,RM!$C$4:$G984,14,FALSE))</f>
        <v/>
      </c>
      <c r="F974" s="87" t="str">
        <f t="shared" si="7"/>
        <v/>
      </c>
      <c r="G974" s="87" t="str">
        <f t="shared" si="8"/>
        <v/>
      </c>
      <c r="H974" s="87"/>
      <c r="I974" s="87"/>
      <c r="J974" s="87"/>
    </row>
    <row r="975" spans="1:10">
      <c r="A975" s="2"/>
      <c r="B975" s="2"/>
      <c r="C975" s="120" t="str">
        <f>IF(B975="","",SUMIFS('S-BOM'!$D$3:$D994,'S-BOM'!$C$3:$C994,B975,'S-BOM'!$B$3:$B994,$B$2))</f>
        <v/>
      </c>
      <c r="D975" s="120" t="str">
        <f>IFERROR(IF(B975="","",VLOOKUP(B975,RM!$C$4:$F984,3,FALSE)),"")</f>
        <v/>
      </c>
      <c r="E975" s="118" t="str">
        <f>IF(B975="","",VLOOKUP(B975,RM!$C$4:$G984,14,FALSE))</f>
        <v/>
      </c>
      <c r="F975" s="87" t="str">
        <f t="shared" si="7"/>
        <v/>
      </c>
      <c r="G975" s="87" t="str">
        <f t="shared" si="8"/>
        <v/>
      </c>
      <c r="H975" s="87"/>
      <c r="I975" s="87"/>
      <c r="J975" s="87"/>
    </row>
    <row r="976" spans="1:10">
      <c r="A976" s="2"/>
      <c r="B976" s="2"/>
      <c r="C976" s="120" t="str">
        <f>IF(B976="","",SUMIFS('S-BOM'!$D$3:$D994,'S-BOM'!$C$3:$C994,B976,'S-BOM'!$B$3:$B994,$B$2))</f>
        <v/>
      </c>
      <c r="D976" s="120" t="str">
        <f>IFERROR(IF(B976="","",VLOOKUP(B976,RM!$C$4:$F984,3,FALSE)),"")</f>
        <v/>
      </c>
      <c r="E976" s="118" t="str">
        <f>IF(B976="","",VLOOKUP(B976,RM!$C$4:$G984,14,FALSE))</f>
        <v/>
      </c>
      <c r="F976" s="87" t="str">
        <f t="shared" si="7"/>
        <v/>
      </c>
      <c r="G976" s="87" t="str">
        <f t="shared" si="8"/>
        <v/>
      </c>
      <c r="H976" s="87"/>
      <c r="I976" s="87"/>
      <c r="J976" s="87"/>
    </row>
    <row r="977" spans="1:10">
      <c r="A977" s="2"/>
      <c r="B977" s="2"/>
      <c r="C977" s="120" t="str">
        <f>IF(B977="","",SUMIFS('S-BOM'!$D$3:$D994,'S-BOM'!$C$3:$C994,B977,'S-BOM'!$B$3:$B994,$B$2))</f>
        <v/>
      </c>
      <c r="D977" s="120" t="str">
        <f>IFERROR(IF(B977="","",VLOOKUP(B977,RM!$C$4:$F984,3,FALSE)),"")</f>
        <v/>
      </c>
      <c r="E977" s="118" t="str">
        <f>IF(B977="","",VLOOKUP(B977,RM!$C$4:$G984,14,FALSE))</f>
        <v/>
      </c>
      <c r="F977" s="87" t="str">
        <f t="shared" si="7"/>
        <v/>
      </c>
      <c r="G977" s="87" t="str">
        <f t="shared" si="8"/>
        <v/>
      </c>
      <c r="H977" s="87"/>
      <c r="I977" s="87"/>
      <c r="J977" s="87"/>
    </row>
    <row r="978" spans="1:10">
      <c r="A978" s="2"/>
      <c r="B978" s="2"/>
      <c r="C978" s="120" t="str">
        <f>IF(B978="","",SUMIFS('S-BOM'!$D$3:$D994,'S-BOM'!$C$3:$C994,B978,'S-BOM'!$B$3:$B994,$B$2))</f>
        <v/>
      </c>
      <c r="D978" s="120" t="str">
        <f>IFERROR(IF(B978="","",VLOOKUP(B978,RM!$C$4:$F984,3,FALSE)),"")</f>
        <v/>
      </c>
      <c r="E978" s="118" t="str">
        <f>IF(B978="","",VLOOKUP(B978,RM!$C$4:$G984,14,FALSE))</f>
        <v/>
      </c>
      <c r="F978" s="87" t="str">
        <f t="shared" si="7"/>
        <v/>
      </c>
      <c r="G978" s="87" t="str">
        <f t="shared" si="8"/>
        <v/>
      </c>
      <c r="H978" s="87"/>
      <c r="I978" s="87"/>
      <c r="J978" s="87"/>
    </row>
    <row r="979" spans="1:10">
      <c r="A979" s="2"/>
      <c r="B979" s="2"/>
      <c r="C979" s="120" t="str">
        <f>IF(B979="","",SUMIFS('S-BOM'!$D$3:$D994,'S-BOM'!$C$3:$C994,B979,'S-BOM'!$B$3:$B994,$B$2))</f>
        <v/>
      </c>
      <c r="D979" s="120" t="str">
        <f>IFERROR(IF(B979="","",VLOOKUP(B979,RM!$C$4:$F984,3,FALSE)),"")</f>
        <v/>
      </c>
      <c r="E979" s="118" t="str">
        <f>IF(B979="","",VLOOKUP(B979,RM!$C$4:$G984,14,FALSE))</f>
        <v/>
      </c>
      <c r="F979" s="87" t="str">
        <f t="shared" si="7"/>
        <v/>
      </c>
      <c r="G979" s="87" t="str">
        <f t="shared" si="8"/>
        <v/>
      </c>
      <c r="H979" s="87"/>
      <c r="I979" s="87"/>
      <c r="J979" s="87"/>
    </row>
    <row r="980" spans="1:10">
      <c r="A980" s="2"/>
      <c r="B980" s="2"/>
      <c r="C980" s="120" t="str">
        <f>IF(B980="","",SUMIFS('S-BOM'!$D$3:$D994,'S-BOM'!$C$3:$C994,B980,'S-BOM'!$B$3:$B994,$B$2))</f>
        <v/>
      </c>
      <c r="D980" s="120" t="str">
        <f>IFERROR(IF(B980="","",VLOOKUP(B980,RM!$C$4:$F984,3,FALSE)),"")</f>
        <v/>
      </c>
      <c r="E980" s="118" t="str">
        <f>IF(B980="","",VLOOKUP(B980,RM!$C$4:$G984,14,FALSE))</f>
        <v/>
      </c>
      <c r="F980" s="87" t="str">
        <f t="shared" si="7"/>
        <v/>
      </c>
      <c r="G980" s="87" t="str">
        <f t="shared" si="8"/>
        <v/>
      </c>
      <c r="H980" s="87"/>
      <c r="I980" s="87"/>
      <c r="J980" s="87"/>
    </row>
    <row r="981" spans="1:10">
      <c r="A981" s="2"/>
      <c r="B981" s="2"/>
      <c r="C981" s="120" t="str">
        <f>IF(B981="","",SUMIFS('S-BOM'!$D$3:$D994,'S-BOM'!$C$3:$C994,B981,'S-BOM'!$B$3:$B994,$B$2))</f>
        <v/>
      </c>
      <c r="D981" s="120" t="str">
        <f>IFERROR(IF(B981="","",VLOOKUP(B981,RM!$C$4:$F984,3,FALSE)),"")</f>
        <v/>
      </c>
      <c r="E981" s="118" t="str">
        <f>IF(B981="","",VLOOKUP(B981,RM!$C$4:$G984,14,FALSE))</f>
        <v/>
      </c>
      <c r="F981" s="87" t="str">
        <f t="shared" si="7"/>
        <v/>
      </c>
      <c r="G981" s="87" t="str">
        <f t="shared" si="8"/>
        <v/>
      </c>
      <c r="H981" s="87"/>
      <c r="I981" s="87"/>
      <c r="J981" s="87"/>
    </row>
    <row r="982" spans="1:10">
      <c r="A982" s="2"/>
      <c r="B982" s="2"/>
      <c r="C982" s="120" t="str">
        <f>IF(B982="","",SUMIFS('S-BOM'!$D$3:$D994,'S-BOM'!$C$3:$C994,B982,'S-BOM'!$B$3:$B994,$B$2))</f>
        <v/>
      </c>
      <c r="D982" s="120" t="str">
        <f>IFERROR(IF(B982="","",VLOOKUP(B982,RM!$C$4:$F984,3,FALSE)),"")</f>
        <v/>
      </c>
      <c r="E982" s="118" t="str">
        <f>IF(B982="","",VLOOKUP(B982,RM!$C$4:$G984,14,FALSE))</f>
        <v/>
      </c>
      <c r="F982" s="87" t="str">
        <f t="shared" si="7"/>
        <v/>
      </c>
      <c r="G982" s="87" t="str">
        <f t="shared" si="8"/>
        <v/>
      </c>
      <c r="H982" s="87"/>
      <c r="I982" s="87"/>
      <c r="J982" s="87"/>
    </row>
    <row r="983" spans="1:10">
      <c r="A983" s="2"/>
      <c r="B983" s="2"/>
      <c r="C983" s="120" t="str">
        <f>IF(B983="","",SUMIFS('S-BOM'!$D$3:$D994,'S-BOM'!$C$3:$C994,B983,'S-BOM'!$B$3:$B994,$B$2))</f>
        <v/>
      </c>
      <c r="D983" s="120" t="str">
        <f>IFERROR(IF(B983="","",VLOOKUP(B983,RM!$C$4:$F984,3,FALSE)),"")</f>
        <v/>
      </c>
      <c r="E983" s="118" t="str">
        <f>IF(B983="","",VLOOKUP(B983,RM!$C$4:$G984,14,FALSE))</f>
        <v/>
      </c>
      <c r="F983" s="87" t="str">
        <f t="shared" si="7"/>
        <v/>
      </c>
      <c r="G983" s="87" t="str">
        <f t="shared" si="8"/>
        <v/>
      </c>
      <c r="H983" s="87"/>
      <c r="I983" s="87"/>
      <c r="J983" s="87"/>
    </row>
    <row r="984" spans="1:10">
      <c r="A984" s="2"/>
      <c r="B984" s="2"/>
      <c r="C984" s="120" t="str">
        <f>IF(B984="","",SUMIFS('S-BOM'!$D$3:$D994,'S-BOM'!$C$3:$C994,B984,'S-BOM'!$B$3:$B994,$B$2))</f>
        <v/>
      </c>
      <c r="D984" s="120" t="str">
        <f>IFERROR(IF(B984="","",VLOOKUP(B984,RM!$C$4:$F984,3,FALSE)),"")</f>
        <v/>
      </c>
      <c r="E984" s="118" t="str">
        <f>IF(B984="","",VLOOKUP(B984,RM!$C$4:$G984,14,FALSE))</f>
        <v/>
      </c>
      <c r="F984" s="87" t="str">
        <f t="shared" si="7"/>
        <v/>
      </c>
      <c r="G984" s="87" t="str">
        <f t="shared" si="8"/>
        <v/>
      </c>
      <c r="H984" s="87"/>
      <c r="I984" s="87"/>
      <c r="J984" s="87"/>
    </row>
    <row r="985" spans="1:10">
      <c r="A985" s="2"/>
      <c r="B985" s="2"/>
      <c r="C985" s="120" t="str">
        <f>IF(B985="","",SUMIFS('S-BOM'!$D$3:$D994,'S-BOM'!$C$3:$C994,B985,'S-BOM'!$B$3:$B994,$B$2))</f>
        <v/>
      </c>
      <c r="D985" s="120" t="str">
        <f>IFERROR(IF(B985="","",VLOOKUP(B985,RM!$C$4:$F984,3,FALSE)),"")</f>
        <v/>
      </c>
      <c r="E985" s="118" t="str">
        <f>IF(B985="","",VLOOKUP(B985,RM!$C$4:$G984,14,FALSE))</f>
        <v/>
      </c>
      <c r="F985" s="87" t="str">
        <f t="shared" si="7"/>
        <v/>
      </c>
      <c r="G985" s="87" t="str">
        <f t="shared" si="8"/>
        <v/>
      </c>
      <c r="H985" s="87"/>
      <c r="I985" s="87"/>
      <c r="J985" s="87"/>
    </row>
    <row r="986" spans="1:10">
      <c r="A986" s="2"/>
      <c r="B986" s="2"/>
      <c r="C986" s="120" t="str">
        <f>IF(B986="","",SUMIFS('S-BOM'!$D$3:$D994,'S-BOM'!$C$3:$C994,B986,'S-BOM'!$B$3:$B994,$B$2))</f>
        <v/>
      </c>
      <c r="D986" s="120" t="str">
        <f>IFERROR(IF(B986="","",VLOOKUP(B986,RM!$C$4:$F984,3,FALSE)),"")</f>
        <v/>
      </c>
      <c r="E986" s="118" t="str">
        <f>IF(B986="","",VLOOKUP(B986,RM!$C$4:$G984,14,FALSE))</f>
        <v/>
      </c>
      <c r="F986" s="87" t="str">
        <f t="shared" si="7"/>
        <v/>
      </c>
      <c r="G986" s="87" t="str">
        <f t="shared" si="8"/>
        <v/>
      </c>
      <c r="H986" s="87"/>
      <c r="I986" s="87"/>
      <c r="J986" s="87"/>
    </row>
    <row r="987" spans="1:10">
      <c r="A987" s="2"/>
      <c r="B987" s="2"/>
      <c r="C987" s="120" t="str">
        <f>IF(B987="","",SUMIFS('S-BOM'!$D$3:$D994,'S-BOM'!$C$3:$C994,B987,'S-BOM'!$B$3:$B994,$B$2))</f>
        <v/>
      </c>
      <c r="D987" s="120" t="str">
        <f>IFERROR(IF(B987="","",VLOOKUP(B987,RM!$C$4:$F984,3,FALSE)),"")</f>
        <v/>
      </c>
      <c r="E987" s="118" t="str">
        <f>IF(B987="","",VLOOKUP(B987,RM!$C$4:$G984,14,FALSE))</f>
        <v/>
      </c>
      <c r="F987" s="87" t="str">
        <f t="shared" si="7"/>
        <v/>
      </c>
      <c r="G987" s="87" t="str">
        <f t="shared" si="8"/>
        <v/>
      </c>
      <c r="H987" s="87"/>
      <c r="I987" s="87"/>
      <c r="J987" s="87"/>
    </row>
    <row r="988" spans="1:10">
      <c r="A988" s="2"/>
      <c r="B988" s="2"/>
      <c r="C988" s="120" t="str">
        <f>IF(B988="","",SUMIFS('S-BOM'!$D$3:$D994,'S-BOM'!$C$3:$C994,B988,'S-BOM'!$B$3:$B994,$B$2))</f>
        <v/>
      </c>
      <c r="D988" s="120" t="str">
        <f>IFERROR(IF(B988="","",VLOOKUP(B988,RM!$C$4:$F984,3,FALSE)),"")</f>
        <v/>
      </c>
      <c r="E988" s="118" t="str">
        <f>IF(B988="","",VLOOKUP(B988,RM!$C$4:$G984,14,FALSE))</f>
        <v/>
      </c>
      <c r="F988" s="87" t="str">
        <f t="shared" si="7"/>
        <v/>
      </c>
      <c r="G988" s="87" t="str">
        <f t="shared" si="8"/>
        <v/>
      </c>
      <c r="H988" s="87"/>
      <c r="I988" s="87"/>
      <c r="J988" s="87"/>
    </row>
    <row r="989" spans="1:10">
      <c r="A989" s="2"/>
      <c r="B989" s="2"/>
      <c r="C989" s="120" t="str">
        <f>IF(B989="","",SUMIFS('S-BOM'!$D$3:$D994,'S-BOM'!$C$3:$C994,B989,'S-BOM'!$B$3:$B994,$B$2))</f>
        <v/>
      </c>
      <c r="D989" s="120" t="str">
        <f>IFERROR(IF(B989="","",VLOOKUP(B989,RM!$C$4:$F984,3,FALSE)),"")</f>
        <v/>
      </c>
      <c r="E989" s="118" t="str">
        <f>IF(B989="","",VLOOKUP(B989,RM!$C$4:$G984,14,FALSE))</f>
        <v/>
      </c>
      <c r="F989" s="87" t="str">
        <f t="shared" si="7"/>
        <v/>
      </c>
      <c r="G989" s="87" t="str">
        <f t="shared" si="8"/>
        <v/>
      </c>
      <c r="H989" s="87"/>
      <c r="I989" s="87"/>
      <c r="J989" s="87"/>
    </row>
    <row r="990" spans="1:10">
      <c r="A990" s="2"/>
      <c r="B990" s="2"/>
      <c r="C990" s="120" t="str">
        <f>IF(B990="","",SUMIFS('S-BOM'!$D$3:$D994,'S-BOM'!$C$3:$C994,B990,'S-BOM'!$B$3:$B994,$B$2))</f>
        <v/>
      </c>
      <c r="D990" s="120" t="str">
        <f>IFERROR(IF(B990="","",VLOOKUP(B990,RM!$C$4:$F984,3,FALSE)),"")</f>
        <v/>
      </c>
      <c r="E990" s="118" t="str">
        <f>IF(B990="","",VLOOKUP(B990,RM!$C$4:$G984,14,FALSE))</f>
        <v/>
      </c>
      <c r="F990" s="87" t="str">
        <f t="shared" si="7"/>
        <v/>
      </c>
      <c r="G990" s="87" t="str">
        <f t="shared" si="8"/>
        <v/>
      </c>
      <c r="H990" s="87"/>
      <c r="I990" s="87"/>
      <c r="J990" s="87"/>
    </row>
    <row r="991" spans="1:10">
      <c r="A991" s="2"/>
      <c r="B991" s="2"/>
      <c r="C991" s="120" t="str">
        <f>IF(B991="","",SUMIFS('S-BOM'!$D$3:$D994,'S-BOM'!$C$3:$C994,B991,'S-BOM'!$B$3:$B994,$B$2))</f>
        <v/>
      </c>
      <c r="D991" s="120" t="str">
        <f>IFERROR(IF(B991="","",VLOOKUP(B991,RM!$C$4:$F984,3,FALSE)),"")</f>
        <v/>
      </c>
      <c r="E991" s="118" t="str">
        <f>IF(B991="","",VLOOKUP(B991,RM!$C$4:$G984,14,FALSE))</f>
        <v/>
      </c>
      <c r="F991" s="87" t="str">
        <f t="shared" si="7"/>
        <v/>
      </c>
      <c r="G991" s="87" t="str">
        <f t="shared" si="8"/>
        <v/>
      </c>
      <c r="H991" s="87"/>
      <c r="I991" s="87"/>
      <c r="J991" s="87"/>
    </row>
    <row r="992" spans="1:10">
      <c r="A992" s="2"/>
      <c r="B992" s="2"/>
      <c r="C992" s="120" t="str">
        <f>IF(B992="","",SUMIFS('S-BOM'!$D$3:$D994,'S-BOM'!$C$3:$C994,B992,'S-BOM'!$B$3:$B994,$B$2))</f>
        <v/>
      </c>
      <c r="D992" s="120" t="str">
        <f>IFERROR(IF(B992="","",VLOOKUP(B992,RM!$C$4:$F984,3,FALSE)),"")</f>
        <v/>
      </c>
      <c r="E992" s="118" t="str">
        <f>IF(B992="","",VLOOKUP(B992,RM!$C$4:$G984,14,FALSE))</f>
        <v/>
      </c>
      <c r="F992" s="87" t="str">
        <f t="shared" si="7"/>
        <v/>
      </c>
      <c r="G992" s="87" t="str">
        <f t="shared" si="8"/>
        <v/>
      </c>
      <c r="H992" s="87"/>
      <c r="I992" s="87"/>
      <c r="J992" s="87"/>
    </row>
    <row r="993" spans="1:10">
      <c r="A993" s="2"/>
      <c r="B993" s="2"/>
      <c r="C993" s="120" t="str">
        <f>IF(B993="","",SUMIFS('S-BOM'!$D$3:$D994,'S-BOM'!$C$3:$C994,B993,'S-BOM'!$B$3:$B994,$B$2))</f>
        <v/>
      </c>
      <c r="D993" s="120" t="str">
        <f>IFERROR(IF(B993="","",VLOOKUP(B993,RM!$C$4:$F984,3,FALSE)),"")</f>
        <v/>
      </c>
      <c r="E993" s="118" t="str">
        <f>IF(B993="","",VLOOKUP(B993,RM!$C$4:$G984,14,FALSE))</f>
        <v/>
      </c>
      <c r="F993" s="87" t="str">
        <f t="shared" si="7"/>
        <v/>
      </c>
      <c r="G993" s="87" t="str">
        <f t="shared" si="8"/>
        <v/>
      </c>
      <c r="H993" s="87"/>
      <c r="I993" s="87"/>
      <c r="J993" s="87"/>
    </row>
    <row r="994" spans="1:10">
      <c r="A994" s="2"/>
      <c r="B994" s="2"/>
      <c r="C994" s="120" t="str">
        <f>IF(B994="","",SUMIFS('S-BOM'!$D$3:$D994,'S-BOM'!$C$3:$C994,B994,'S-BOM'!$B$3:$B994,$B$2))</f>
        <v/>
      </c>
      <c r="D994" s="120" t="str">
        <f>IFERROR(IF(B994="","",VLOOKUP(B994,RM!$C$4:$F984,3,FALSE)),"")</f>
        <v/>
      </c>
      <c r="E994" s="118" t="str">
        <f>IF(B994="","",VLOOKUP(B994,RM!$C$4:$G984,14,FALSE))</f>
        <v/>
      </c>
      <c r="F994" s="87" t="str">
        <f t="shared" si="7"/>
        <v/>
      </c>
      <c r="G994" s="87" t="str">
        <f t="shared" si="8"/>
        <v/>
      </c>
      <c r="H994" s="87"/>
      <c r="I994" s="87"/>
      <c r="J994" s="87"/>
    </row>
  </sheetData>
  <mergeCells count="1">
    <mergeCell ref="A1:B1"/>
  </mergeCells>
  <conditionalFormatting sqref="B4:B994">
    <cfRule type="expression" dxfId="17" priority="2">
      <formula>$G4&gt;0</formula>
    </cfRule>
  </conditionalFormatting>
  <conditionalFormatting sqref="B4:D994">
    <cfRule type="expression" dxfId="16" priority="1">
      <formula>D4="Set"</formula>
    </cfRule>
  </conditionalFormatting>
  <conditionalFormatting sqref="E4:E994">
    <cfRule type="expression" dxfId="15" priority="4">
      <formula>AND(B4&lt;&gt;"",E4=0)</formula>
    </cfRule>
  </conditionalFormatting>
  <conditionalFormatting sqref="G4:G994">
    <cfRule type="cellIs" dxfId="14" priority="3" operator="greaterThan">
      <formula>0</formula>
    </cfRule>
  </conditionalFormatting>
  <printOptions horizontalCentered="1" gridLines="1"/>
  <pageMargins left="0.7" right="0.7" top="0.75" bottom="0.75" header="0" footer="0"/>
  <pageSetup paperSize="9" pageOrder="overThenDown" orientation="portrait" cellComments="atEnd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B00-000000000000}">
          <x14:formula1>
            <xm:f>'S-FG'!$B$3:$B994</xm:f>
          </x14:formula1>
          <xm:sqref>B2</xm:sqref>
        </x14:dataValidation>
      </x14:dataValidation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996"/>
  <sheetViews>
    <sheetView showGridLines="0" workbookViewId="0">
      <pane ySplit="2" topLeftCell="A3" activePane="bottomLeft" state="frozen"/>
      <selection pane="bottomLeft" activeCell="B4" sqref="B4"/>
    </sheetView>
  </sheetViews>
  <sheetFormatPr defaultColWidth="14.453125" defaultRowHeight="15" customHeight="1"/>
  <cols>
    <col min="1" max="1" width="17.54296875" customWidth="1"/>
    <col min="2" max="2" width="16.7265625" customWidth="1"/>
    <col min="3" max="3" width="36.7265625" customWidth="1"/>
    <col min="4" max="4" width="12.7265625" customWidth="1"/>
    <col min="5" max="5" width="8.7265625" customWidth="1"/>
    <col min="6" max="23" width="8.7265625" hidden="1" customWidth="1"/>
  </cols>
  <sheetData>
    <row r="1" spans="1:5" ht="15.5">
      <c r="A1" s="246" t="s">
        <v>1807</v>
      </c>
      <c r="B1" s="240"/>
      <c r="C1" s="240"/>
      <c r="D1" s="98"/>
    </row>
    <row r="2" spans="1:5" ht="14.5">
      <c r="A2" s="124" t="s">
        <v>1808</v>
      </c>
      <c r="B2" s="124" t="s">
        <v>1809</v>
      </c>
      <c r="C2" s="124" t="s">
        <v>1745</v>
      </c>
      <c r="D2" s="124" t="s">
        <v>1810</v>
      </c>
      <c r="E2" s="112" t="s">
        <v>1811</v>
      </c>
    </row>
    <row r="3" spans="1:5" ht="14.5">
      <c r="A3" s="125">
        <v>45147</v>
      </c>
      <c r="B3" s="126" t="s">
        <v>1812</v>
      </c>
      <c r="C3" s="2" t="s">
        <v>1560</v>
      </c>
      <c r="D3" s="87">
        <v>30</v>
      </c>
      <c r="E3" s="87">
        <f>IF(A3="","",IF(D3-SUMIFS(GRN!$E$3:$E996,GRN!$D$3:$D996,C3)&lt;0,0,D3-SUMIFS(GRN!$E$3:$E996,GRN!$D$3:$D996,C3)))</f>
        <v>30</v>
      </c>
    </row>
    <row r="4" spans="1:5" ht="14.5">
      <c r="A4" s="125">
        <v>45147</v>
      </c>
      <c r="B4" s="126" t="s">
        <v>1812</v>
      </c>
      <c r="C4" s="2" t="s">
        <v>1588</v>
      </c>
      <c r="D4" s="87">
        <v>100</v>
      </c>
      <c r="E4" s="87">
        <f>IF(A4="","",IF(D4-SUMIFS(GRN!$E$3:$E996,GRN!$D$3:$D996,C4)&lt;0,0,D4-SUMIFS(GRN!$E$3:$E996,GRN!$D$3:$D996,C4)))</f>
        <v>100</v>
      </c>
    </row>
    <row r="5" spans="1:5" ht="14.5">
      <c r="A5" s="125">
        <v>45147</v>
      </c>
      <c r="B5" s="126" t="s">
        <v>1812</v>
      </c>
      <c r="C5" s="2" t="s">
        <v>1591</v>
      </c>
      <c r="D5" s="87">
        <v>100</v>
      </c>
      <c r="E5" s="87">
        <f>IF(A5="","",IF(D5-SUMIFS(GRN!$E$3:$E996,GRN!$D$3:$D996,C5)&lt;0,0,D5-SUMIFS(GRN!$E$3:$E996,GRN!$D$3:$D996,C5)))</f>
        <v>100</v>
      </c>
    </row>
    <row r="6" spans="1:5" ht="14.5">
      <c r="A6" s="125">
        <v>45147</v>
      </c>
      <c r="B6" s="126" t="s">
        <v>1812</v>
      </c>
      <c r="C6" s="2" t="s">
        <v>1542</v>
      </c>
      <c r="D6" s="87">
        <v>30</v>
      </c>
      <c r="E6" s="87">
        <f>IF(A6="","",IF(D6-SUMIFS(GRN!$E$3:$E996,GRN!$D$3:$D996,C6)&lt;0,0,D6-SUMIFS(GRN!$E$3:$E996,GRN!$D$3:$D996,C6)))</f>
        <v>30</v>
      </c>
    </row>
    <row r="7" spans="1:5" ht="14.5">
      <c r="A7" s="125">
        <v>45147</v>
      </c>
      <c r="B7" s="126" t="s">
        <v>1812</v>
      </c>
      <c r="C7" s="2" t="s">
        <v>266</v>
      </c>
      <c r="D7" s="87">
        <v>200</v>
      </c>
      <c r="E7" s="87">
        <f>IF(A7="","",IF(D7-SUMIFS(GRN!$E$3:$E996,GRN!$D$3:$D996,C7)&lt;0,0,D7-SUMIFS(GRN!$E$3:$E996,GRN!$D$3:$D996,C7)))</f>
        <v>200</v>
      </c>
    </row>
    <row r="8" spans="1:5" ht="14.5">
      <c r="A8" s="127">
        <v>45353</v>
      </c>
      <c r="B8" s="87" t="s">
        <v>1813</v>
      </c>
      <c r="C8" s="2" t="s">
        <v>1688</v>
      </c>
      <c r="D8" s="87">
        <v>50</v>
      </c>
      <c r="E8" s="87">
        <f>IF(A8="","",IF(D8-SUMIFS(GRN!$E$3:$E996,GRN!$D$3:$D996,C8)&lt;0,0,D8-SUMIFS(GRN!$E$3:$E996,GRN!$D$3:$D996,C8)))</f>
        <v>50</v>
      </c>
    </row>
    <row r="9" spans="1:5" ht="14.5">
      <c r="A9" s="128"/>
      <c r="B9" s="87"/>
      <c r="C9" s="2"/>
      <c r="D9" s="87"/>
      <c r="E9" s="87" t="str">
        <f>IF(A9="","",IF(D9-SUMIFS(GRN!$E$3:$E996,GRN!$D$3:$D996,C9)&lt;0,0,D9-SUMIFS(GRN!$E$3:$E996,GRN!$D$3:$D996,C9)))</f>
        <v/>
      </c>
    </row>
    <row r="10" spans="1:5" ht="14.5">
      <c r="A10" s="128"/>
      <c r="B10" s="87"/>
      <c r="C10" s="2"/>
      <c r="D10" s="87"/>
      <c r="E10" s="87" t="str">
        <f>IF(A10="","",IF(D10-SUMIFS(GRN!$E$3:$E996,GRN!$D$3:$D996,C10)&lt;0,0,D10-SUMIFS(GRN!$E$3:$E996,GRN!$D$3:$D996,C10)))</f>
        <v/>
      </c>
    </row>
    <row r="11" spans="1:5" ht="14.5">
      <c r="A11" s="127"/>
      <c r="B11" s="87"/>
      <c r="C11" s="2"/>
      <c r="D11" s="87"/>
      <c r="E11" s="87" t="str">
        <f>IF(A11="","",IF(D11-SUMIFS(GRN!$E$3:$E996,GRN!$D$3:$D996,C11)&lt;0,0,D11-SUMIFS(GRN!$E$3:$E996,GRN!$D$3:$D996,C11)))</f>
        <v/>
      </c>
    </row>
    <row r="12" spans="1:5" ht="14.5">
      <c r="A12" s="128"/>
      <c r="B12" s="87"/>
      <c r="C12" s="2"/>
      <c r="D12" s="87"/>
      <c r="E12" s="87" t="str">
        <f>IF(A12="","",IF(D12-SUMIFS(GRN!$E$3:$E996,GRN!$D$3:$D996,C12)&lt;0,0,D12-SUMIFS(GRN!$E$3:$E996,GRN!$D$3:$D996,C12)))</f>
        <v/>
      </c>
    </row>
    <row r="13" spans="1:5" ht="14.5">
      <c r="A13" s="128"/>
      <c r="B13" s="87"/>
      <c r="C13" s="2"/>
      <c r="D13" s="87"/>
      <c r="E13" s="87" t="str">
        <f>IF(A13="","",IF(D13-SUMIFS(GRN!$E$3:$E996,GRN!$D$3:$D996,C13)&lt;0,0,D13-SUMIFS(GRN!$E$3:$E996,GRN!$D$3:$D996,C13)))</f>
        <v/>
      </c>
    </row>
    <row r="14" spans="1:5" ht="14.5">
      <c r="A14" s="128"/>
      <c r="B14" s="87"/>
      <c r="C14" s="2"/>
      <c r="D14" s="87"/>
      <c r="E14" s="87" t="str">
        <f>IF(A14="","",IF(D14-SUMIFS(GRN!$E$3:$E996,GRN!$D$3:$D996,C14)&lt;0,0,D14-SUMIFS(GRN!$E$3:$E996,GRN!$D$3:$D996,C14)))</f>
        <v/>
      </c>
    </row>
    <row r="15" spans="1:5" ht="14.5">
      <c r="A15" s="128"/>
      <c r="B15" s="87"/>
      <c r="C15" s="2"/>
      <c r="D15" s="87"/>
      <c r="E15" s="87" t="str">
        <f>IF(A15="","",IF(D15-SUMIFS(GRN!$E$3:$E996,GRN!$D$3:$D996,C15)&lt;0,0,D15-SUMIFS(GRN!$E$3:$E996,GRN!$D$3:$D996,C15)))</f>
        <v/>
      </c>
    </row>
    <row r="16" spans="1:5" ht="14.5">
      <c r="A16" s="128"/>
      <c r="B16" s="87"/>
      <c r="C16" s="2"/>
      <c r="D16" s="87"/>
      <c r="E16" s="87" t="str">
        <f>IF(A16="","",IF(D16-SUMIFS(GRN!$E$3:$E996,GRN!$D$3:$D996,C16)&lt;0,0,D16-SUMIFS(GRN!$E$3:$E996,GRN!$D$3:$D996,C16)))</f>
        <v/>
      </c>
    </row>
    <row r="17" spans="1:5" ht="15.75" customHeight="1">
      <c r="A17" s="128"/>
      <c r="B17" s="87"/>
      <c r="C17" s="2"/>
      <c r="D17" s="87"/>
      <c r="E17" s="87" t="str">
        <f>IF(A17="","",IF(D17-SUMIFS(GRN!$E$3:$E996,GRN!$D$3:$D996,C17)&lt;0,0,D17-SUMIFS(GRN!$E$3:$E996,GRN!$D$3:$D996,C17)))</f>
        <v/>
      </c>
    </row>
    <row r="18" spans="1:5" ht="15.75" customHeight="1">
      <c r="A18" s="128"/>
      <c r="B18" s="87"/>
      <c r="C18" s="2"/>
      <c r="D18" s="87"/>
      <c r="E18" s="87" t="str">
        <f>IF(A18="","",IF(D18-SUMIFS(GRN!$E$3:$E996,GRN!$D$3:$D996,C18)&lt;0,0,D18-SUMIFS(GRN!$E$3:$E996,GRN!$D$3:$D996,C18)))</f>
        <v/>
      </c>
    </row>
    <row r="19" spans="1:5" ht="15.75" customHeight="1">
      <c r="A19" s="128"/>
      <c r="B19" s="87"/>
      <c r="C19" s="2"/>
      <c r="D19" s="87"/>
      <c r="E19" s="87" t="str">
        <f>IF(A19="","",IF(D19-SUMIFS(GRN!$E$3:$E996,GRN!$D$3:$D996,C19)&lt;0,0,D19-SUMIFS(GRN!$E$3:$E996,GRN!$D$3:$D996,C19)))</f>
        <v/>
      </c>
    </row>
    <row r="20" spans="1:5" ht="15.75" customHeight="1">
      <c r="A20" s="128"/>
      <c r="B20" s="87"/>
      <c r="C20" s="2"/>
      <c r="D20" s="87"/>
      <c r="E20" s="87" t="str">
        <f>IF(A20="","",IF(D20-SUMIFS(GRN!$E$3:$E996,GRN!$D$3:$D996,C20)&lt;0,0,D20-SUMIFS(GRN!$E$3:$E996,GRN!$D$3:$D996,C20)))</f>
        <v/>
      </c>
    </row>
    <row r="21" spans="1:5" ht="15.75" customHeight="1">
      <c r="A21" s="128"/>
      <c r="B21" s="87"/>
      <c r="C21" s="2"/>
      <c r="D21" s="87"/>
      <c r="E21" s="87" t="str">
        <f>IF(A21="","",IF(D21-SUMIFS(GRN!$E$3:$E996,GRN!$D$3:$D996,C21)&lt;0,0,D21-SUMIFS(GRN!$E$3:$E996,GRN!$D$3:$D996,C21)))</f>
        <v/>
      </c>
    </row>
    <row r="22" spans="1:5" ht="15.75" customHeight="1">
      <c r="A22" s="128"/>
      <c r="B22" s="87"/>
      <c r="C22" s="2"/>
      <c r="D22" s="87"/>
      <c r="E22" s="87" t="str">
        <f>IF(A22="","",IF(D22-SUMIFS(GRN!$E$3:$E996,GRN!$D$3:$D996,C22)&lt;0,0,D22-SUMIFS(GRN!$E$3:$E996,GRN!$D$3:$D996,C22)))</f>
        <v/>
      </c>
    </row>
    <row r="23" spans="1:5" ht="15.75" customHeight="1">
      <c r="A23" s="128"/>
      <c r="B23" s="87"/>
      <c r="C23" s="2"/>
      <c r="D23" s="87"/>
      <c r="E23" s="87" t="str">
        <f>IF(A23="","",IF(D23-SUMIFS(GRN!$E$3:$E996,GRN!$D$3:$D996,C23)&lt;0,0,D23-SUMIFS(GRN!$E$3:$E996,GRN!$D$3:$D996,C23)))</f>
        <v/>
      </c>
    </row>
    <row r="24" spans="1:5" ht="15.75" customHeight="1">
      <c r="A24" s="128"/>
      <c r="B24" s="87"/>
      <c r="C24" s="2"/>
      <c r="D24" s="87"/>
      <c r="E24" s="87" t="str">
        <f>IF(A24="","",IF(D24-SUMIFS(GRN!$E$3:$E996,GRN!$D$3:$D996,C24)&lt;0,0,D24-SUMIFS(GRN!$E$3:$E996,GRN!$D$3:$D996,C24)))</f>
        <v/>
      </c>
    </row>
    <row r="25" spans="1:5" ht="15.75" customHeight="1">
      <c r="A25" s="128"/>
      <c r="B25" s="87"/>
      <c r="C25" s="2"/>
      <c r="D25" s="87"/>
      <c r="E25" s="87" t="str">
        <f>IF(A25="","",IF(D25-SUMIFS(GRN!$E$3:$E996,GRN!$D$3:$D996,C25)&lt;0,0,D25-SUMIFS(GRN!$E$3:$E996,GRN!$D$3:$D996,C25)))</f>
        <v/>
      </c>
    </row>
    <row r="26" spans="1:5" ht="15.75" customHeight="1">
      <c r="A26" s="128"/>
      <c r="B26" s="87"/>
      <c r="C26" s="2"/>
      <c r="D26" s="87"/>
      <c r="E26" s="87" t="str">
        <f>IF(A26="","",IF(D26-SUMIFS(GRN!$E$3:$E996,GRN!$D$3:$D996,C26)&lt;0,0,D26-SUMIFS(GRN!$E$3:$E996,GRN!$D$3:$D996,C26)))</f>
        <v/>
      </c>
    </row>
    <row r="27" spans="1:5" ht="15.75" customHeight="1">
      <c r="A27" s="128"/>
      <c r="B27" s="87"/>
      <c r="C27" s="2"/>
      <c r="D27" s="87"/>
      <c r="E27" s="87" t="str">
        <f>IF(A27="","",IF(D27-SUMIFS(GRN!$E$3:$E996,GRN!$D$3:$D996,C27)&lt;0,0,D27-SUMIFS(GRN!$E$3:$E996,GRN!$D$3:$D996,C27)))</f>
        <v/>
      </c>
    </row>
    <row r="28" spans="1:5" ht="15.75" customHeight="1">
      <c r="A28" s="128"/>
      <c r="B28" s="87"/>
      <c r="C28" s="2"/>
      <c r="D28" s="87"/>
      <c r="E28" s="87" t="str">
        <f>IF(A28="","",IF(D28-SUMIFS(GRN!$E$3:$E996,GRN!$D$3:$D996,C28)&lt;0,0,D28-SUMIFS(GRN!$E$3:$E996,GRN!$D$3:$D996,C28)))</f>
        <v/>
      </c>
    </row>
    <row r="29" spans="1:5" ht="15.75" customHeight="1">
      <c r="A29" s="128"/>
      <c r="B29" s="87"/>
      <c r="C29" s="2"/>
      <c r="D29" s="87"/>
      <c r="E29" s="87" t="str">
        <f>IF(A29="","",IF(D29-SUMIFS(GRN!$E$3:$E996,GRN!$D$3:$D996,C29)&lt;0,0,D29-SUMIFS(GRN!$E$3:$E996,GRN!$D$3:$D996,C29)))</f>
        <v/>
      </c>
    </row>
    <row r="30" spans="1:5" ht="15.75" customHeight="1">
      <c r="A30" s="128"/>
      <c r="B30" s="87"/>
      <c r="C30" s="2"/>
      <c r="D30" s="87"/>
      <c r="E30" s="87" t="str">
        <f>IF(A30="","",IF(D30-SUMIFS(GRN!$E$3:$E996,GRN!$D$3:$D996,C30)&lt;0,0,D30-SUMIFS(GRN!$E$3:$E996,GRN!$D$3:$D996,C30)))</f>
        <v/>
      </c>
    </row>
    <row r="31" spans="1:5" ht="15.75" customHeight="1">
      <c r="A31" s="128"/>
      <c r="B31" s="87"/>
      <c r="C31" s="2"/>
      <c r="D31" s="87"/>
      <c r="E31" s="87" t="str">
        <f>IF(A31="","",IF(D31-SUMIFS(GRN!$E$3:$E996,GRN!$D$3:$D996,C31)&lt;0,0,D31-SUMIFS(GRN!$E$3:$E996,GRN!$D$3:$D996,C31)))</f>
        <v/>
      </c>
    </row>
    <row r="32" spans="1:5" ht="15.75" customHeight="1">
      <c r="A32" s="128"/>
      <c r="B32" s="87"/>
      <c r="C32" s="2"/>
      <c r="D32" s="87"/>
      <c r="E32" s="87" t="str">
        <f>IF(A32="","",IF(D32-SUMIFS(GRN!$E$3:$E996,GRN!$D$3:$D996,C32)&lt;0,0,D32-SUMIFS(GRN!$E$3:$E996,GRN!$D$3:$D996,C32)))</f>
        <v/>
      </c>
    </row>
    <row r="33" spans="1:5" ht="15.75" customHeight="1">
      <c r="A33" s="128"/>
      <c r="B33" s="87"/>
      <c r="C33" s="2"/>
      <c r="D33" s="87"/>
      <c r="E33" s="87" t="str">
        <f>IF(A33="","",IF(D33-SUMIFS(GRN!$E$3:$E996,GRN!$D$3:$D996,C33)&lt;0,0,D33-SUMIFS(GRN!$E$3:$E996,GRN!$D$3:$D996,C33)))</f>
        <v/>
      </c>
    </row>
    <row r="34" spans="1:5" ht="15.75" customHeight="1">
      <c r="A34" s="128"/>
      <c r="B34" s="87"/>
      <c r="C34" s="2"/>
      <c r="D34" s="87"/>
      <c r="E34" s="87" t="str">
        <f>IF(A34="","",IF(D34-SUMIFS(GRN!$E$3:$E996,GRN!$D$3:$D996,C34)&lt;0,0,D34-SUMIFS(GRN!$E$3:$E996,GRN!$D$3:$D996,C34)))</f>
        <v/>
      </c>
    </row>
    <row r="35" spans="1:5" ht="15.75" customHeight="1">
      <c r="A35" s="128"/>
      <c r="B35" s="87"/>
      <c r="C35" s="2"/>
      <c r="D35" s="87"/>
      <c r="E35" s="87" t="str">
        <f>IF(A35="","",IF(D35-SUMIFS(GRN!$E$3:$E996,GRN!$D$3:$D996,C35)&lt;0,0,D35-SUMIFS(GRN!$E$3:$E996,GRN!$D$3:$D996,C35)))</f>
        <v/>
      </c>
    </row>
    <row r="36" spans="1:5" ht="15.75" customHeight="1">
      <c r="A36" s="128"/>
      <c r="B36" s="87"/>
      <c r="C36" s="2"/>
      <c r="D36" s="87"/>
      <c r="E36" s="87" t="str">
        <f>IF(A36="","",IF(D36-SUMIFS(GRN!$E$3:$E996,GRN!$D$3:$D996,C36)&lt;0,0,D36-SUMIFS(GRN!$E$3:$E996,GRN!$D$3:$D996,C36)))</f>
        <v/>
      </c>
    </row>
    <row r="37" spans="1:5" ht="15.75" customHeight="1">
      <c r="A37" s="128"/>
      <c r="B37" s="87"/>
      <c r="C37" s="2"/>
      <c r="D37" s="87"/>
      <c r="E37" s="87" t="str">
        <f>IF(A37="","",IF(D37-SUMIFS(GRN!$E$3:$E996,GRN!$D$3:$D996,C37)&lt;0,0,D37-SUMIFS(GRN!$E$3:$E996,GRN!$D$3:$D996,C37)))</f>
        <v/>
      </c>
    </row>
    <row r="38" spans="1:5" ht="15.75" customHeight="1">
      <c r="A38" s="128"/>
      <c r="B38" s="87"/>
      <c r="C38" s="2"/>
      <c r="D38" s="87"/>
      <c r="E38" s="87" t="str">
        <f>IF(A38="","",IF(D38-SUMIFS(GRN!$E$3:$E996,GRN!$D$3:$D996,C38)&lt;0,0,D38-SUMIFS(GRN!$E$3:$E996,GRN!$D$3:$D996,C38)))</f>
        <v/>
      </c>
    </row>
    <row r="39" spans="1:5" ht="15.75" customHeight="1">
      <c r="A39" s="128"/>
      <c r="B39" s="87"/>
      <c r="C39" s="2"/>
      <c r="D39" s="87"/>
      <c r="E39" s="87" t="str">
        <f>IF(A39="","",IF(D39-SUMIFS(GRN!$E$3:$E996,GRN!$D$3:$D996,C39)&lt;0,0,D39-SUMIFS(GRN!$E$3:$E996,GRN!$D$3:$D996,C39)))</f>
        <v/>
      </c>
    </row>
    <row r="40" spans="1:5" ht="15.75" customHeight="1">
      <c r="A40" s="128"/>
      <c r="B40" s="87"/>
      <c r="C40" s="2"/>
      <c r="D40" s="87"/>
      <c r="E40" s="87" t="str">
        <f>IF(A40="","",IF(D40-SUMIFS(GRN!$E$3:$E996,GRN!$D$3:$D996,C40)&lt;0,0,D40-SUMIFS(GRN!$E$3:$E996,GRN!$D$3:$D996,C40)))</f>
        <v/>
      </c>
    </row>
    <row r="41" spans="1:5" ht="15.75" customHeight="1">
      <c r="A41" s="128"/>
      <c r="B41" s="87"/>
      <c r="C41" s="2"/>
      <c r="D41" s="87"/>
      <c r="E41" s="87" t="str">
        <f>IF(A41="","",IF(D41-SUMIFS(GRN!$E$3:$E996,GRN!$D$3:$D996,C41)&lt;0,0,D41-SUMIFS(GRN!$E$3:$E996,GRN!$D$3:$D996,C41)))</f>
        <v/>
      </c>
    </row>
    <row r="42" spans="1:5" ht="15.75" customHeight="1">
      <c r="A42" s="128"/>
      <c r="B42" s="87"/>
      <c r="C42" s="2"/>
      <c r="D42" s="87"/>
      <c r="E42" s="87" t="str">
        <f>IF(A42="","",IF(D42-SUMIFS(GRN!$E$3:$E996,GRN!$D$3:$D996,C42)&lt;0,0,D42-SUMIFS(GRN!$E$3:$E996,GRN!$D$3:$D996,C42)))</f>
        <v/>
      </c>
    </row>
    <row r="43" spans="1:5" ht="15.75" customHeight="1">
      <c r="A43" s="128"/>
      <c r="B43" s="87"/>
      <c r="C43" s="2"/>
      <c r="D43" s="87"/>
      <c r="E43" s="87" t="str">
        <f>IF(A43="","",IF(D43-SUMIFS(GRN!$E$3:$E996,GRN!$D$3:$D996,C43)&lt;0,0,D43-SUMIFS(GRN!$E$3:$E996,GRN!$D$3:$D996,C43)))</f>
        <v/>
      </c>
    </row>
    <row r="44" spans="1:5" ht="15.75" customHeight="1">
      <c r="A44" s="128"/>
      <c r="B44" s="87"/>
      <c r="C44" s="2"/>
      <c r="D44" s="87"/>
      <c r="E44" s="87" t="str">
        <f>IF(A44="","",IF(D44-SUMIFS(GRN!$E$3:$E996,GRN!$D$3:$D996,C44)&lt;0,0,D44-SUMIFS(GRN!$E$3:$E996,GRN!$D$3:$D996,C44)))</f>
        <v/>
      </c>
    </row>
    <row r="45" spans="1:5" ht="15.75" customHeight="1">
      <c r="A45" s="128"/>
      <c r="B45" s="87"/>
      <c r="C45" s="2"/>
      <c r="D45" s="87"/>
      <c r="E45" s="87" t="str">
        <f>IF(A45="","",IF(D45-SUMIFS(GRN!$E$3:$E996,GRN!$D$3:$D996,C45)&lt;0,0,D45-SUMIFS(GRN!$E$3:$E996,GRN!$D$3:$D996,C45)))</f>
        <v/>
      </c>
    </row>
    <row r="46" spans="1:5" ht="15.75" customHeight="1">
      <c r="A46" s="127"/>
      <c r="B46" s="87"/>
      <c r="C46" s="2"/>
      <c r="D46" s="87"/>
      <c r="E46" s="87" t="str">
        <f>IF(A46="","",IF(D46-SUMIFS(GRN!$E$3:$E996,GRN!$D$3:$D996,C46)&lt;0,0,D46-SUMIFS(GRN!$E$3:$E996,GRN!$D$3:$D996,C46)))</f>
        <v/>
      </c>
    </row>
    <row r="47" spans="1:5" ht="15.75" customHeight="1">
      <c r="A47" s="128"/>
      <c r="B47" s="87"/>
      <c r="C47" s="2"/>
      <c r="D47" s="87"/>
      <c r="E47" s="87" t="str">
        <f>IF(A47="","",IF(D47-SUMIFS(GRN!$E$3:$E996,GRN!$D$3:$D996,C47)&lt;0,0,D47-SUMIFS(GRN!$E$3:$E996,GRN!$D$3:$D996,C47)))</f>
        <v/>
      </c>
    </row>
    <row r="48" spans="1:5" ht="15.75" customHeight="1">
      <c r="A48" s="128"/>
      <c r="B48" s="87"/>
      <c r="C48" s="2"/>
      <c r="D48" s="87"/>
      <c r="E48" s="87" t="str">
        <f>IF(A48="","",IF(D48-SUMIFS(GRN!$E$3:$E996,GRN!$D$3:$D996,C48)&lt;0,0,D48-SUMIFS(GRN!$E$3:$E996,GRN!$D$3:$D996,C48)))</f>
        <v/>
      </c>
    </row>
    <row r="49" spans="1:5" ht="15.75" customHeight="1">
      <c r="A49" s="128"/>
      <c r="B49" s="87"/>
      <c r="C49" s="2"/>
      <c r="D49" s="87"/>
      <c r="E49" s="87" t="str">
        <f>IF(A49="","",IF(D49-SUMIFS(GRN!$E$3:$E996,GRN!$D$3:$D996,C49)&lt;0,0,D49-SUMIFS(GRN!$E$3:$E996,GRN!$D$3:$D996,C49)))</f>
        <v/>
      </c>
    </row>
    <row r="50" spans="1:5" ht="15.75" customHeight="1">
      <c r="A50" s="128"/>
      <c r="B50" s="87"/>
      <c r="C50" s="2"/>
      <c r="D50" s="87"/>
      <c r="E50" s="87" t="str">
        <f>IF(A50="","",IF(D50-SUMIFS(GRN!$E$3:$E996,GRN!$D$3:$D996,C50)&lt;0,0,D50-SUMIFS(GRN!$E$3:$E996,GRN!$D$3:$D996,C50)))</f>
        <v/>
      </c>
    </row>
    <row r="51" spans="1:5" ht="15.75" customHeight="1">
      <c r="A51" s="128"/>
      <c r="B51" s="87"/>
      <c r="C51" s="2"/>
      <c r="D51" s="87"/>
      <c r="E51" s="87" t="str">
        <f>IF(A51="","",IF(D51-SUMIFS(GRN!$E$3:$E996,GRN!$D$3:$D996,C51)&lt;0,0,D51-SUMIFS(GRN!$E$3:$E996,GRN!$D$3:$D996,C51)))</f>
        <v/>
      </c>
    </row>
    <row r="52" spans="1:5" ht="15.75" customHeight="1">
      <c r="A52" s="128"/>
      <c r="B52" s="87"/>
      <c r="C52" s="2"/>
      <c r="D52" s="87"/>
      <c r="E52" s="87" t="str">
        <f>IF(A52="","",IF(D52-SUMIFS(GRN!$E$3:$E996,GRN!$D$3:$D996,C52)&lt;0,0,D52-SUMIFS(GRN!$E$3:$E996,GRN!$D$3:$D996,C52)))</f>
        <v/>
      </c>
    </row>
    <row r="53" spans="1:5" ht="15.75" customHeight="1">
      <c r="A53" s="128"/>
      <c r="B53" s="87"/>
      <c r="C53" s="2"/>
      <c r="D53" s="87"/>
      <c r="E53" s="87" t="str">
        <f>IF(A53="","",IF(D53-SUMIFS(GRN!$E$3:$E996,GRN!$D$3:$D996,C53)&lt;0,0,D53-SUMIFS(GRN!$E$3:$E996,GRN!$D$3:$D996,C53)))</f>
        <v/>
      </c>
    </row>
    <row r="54" spans="1:5" ht="15.75" customHeight="1">
      <c r="A54" s="128"/>
      <c r="B54" s="87"/>
      <c r="C54" s="2"/>
      <c r="D54" s="87"/>
      <c r="E54" s="87" t="str">
        <f>IF(A54="","",IF(D54-SUMIFS(GRN!$E$3:$E996,GRN!$D$3:$D996,C54)&lt;0,0,D54-SUMIFS(GRN!$E$3:$E996,GRN!$D$3:$D996,C54)))</f>
        <v/>
      </c>
    </row>
    <row r="55" spans="1:5" ht="15.75" customHeight="1">
      <c r="A55" s="129"/>
      <c r="B55" s="87"/>
      <c r="C55" s="2"/>
      <c r="D55" s="87"/>
      <c r="E55" s="87" t="str">
        <f>IF(A55="","",IF(D55-SUMIFS(GRN!$E$3:$E996,GRN!$D$3:$D996,C55)&lt;0,0,D55-SUMIFS(GRN!$E$3:$E996,GRN!$D$3:$D996,C55)))</f>
        <v/>
      </c>
    </row>
    <row r="56" spans="1:5" ht="15.75" customHeight="1">
      <c r="A56" s="129"/>
      <c r="B56" s="87"/>
      <c r="C56" s="2"/>
      <c r="D56" s="87"/>
      <c r="E56" s="87" t="str">
        <f>IF(A56="","",IF(D56-SUMIFS(GRN!$E$3:$E996,GRN!$D$3:$D996,C56)&lt;0,0,D56-SUMIFS(GRN!$E$3:$E996,GRN!$D$3:$D996,C56)))</f>
        <v/>
      </c>
    </row>
    <row r="57" spans="1:5" ht="15.75" customHeight="1">
      <c r="A57" s="129"/>
      <c r="B57" s="87"/>
      <c r="C57" s="2"/>
      <c r="D57" s="87"/>
      <c r="E57" s="87" t="str">
        <f>IF(A57="","",IF(D57-SUMIFS(GRN!$E$3:$E996,GRN!$D$3:$D996,C57)&lt;0,0,D57-SUMIFS(GRN!$E$3:$E996,GRN!$D$3:$D996,C57)))</f>
        <v/>
      </c>
    </row>
    <row r="58" spans="1:5" ht="15.75" customHeight="1">
      <c r="A58" s="130"/>
      <c r="B58" s="130"/>
      <c r="C58" s="2"/>
      <c r="D58" s="87"/>
      <c r="E58" s="87" t="str">
        <f>IF(A58="","",IF(D58-SUMIFS(GRN!$E$3:$E996,GRN!$D$3:$D996,C58)&lt;0,0,D58-SUMIFS(GRN!$E$3:$E996,GRN!$D$3:$D996,C58)))</f>
        <v/>
      </c>
    </row>
    <row r="59" spans="1:5" ht="15.75" customHeight="1">
      <c r="A59" s="130"/>
      <c r="B59" s="130"/>
      <c r="C59" s="2"/>
      <c r="D59" s="87"/>
      <c r="E59" s="87" t="str">
        <f>IF(A59="","",IF(D59-SUMIFS(GRN!$E$3:$E996,GRN!$D$3:$D996,C59)&lt;0,0,D59-SUMIFS(GRN!$E$3:$E996,GRN!$D$3:$D996,C59)))</f>
        <v/>
      </c>
    </row>
    <row r="60" spans="1:5" ht="15.75" customHeight="1">
      <c r="A60" s="129"/>
      <c r="B60" s="130"/>
      <c r="C60" s="2"/>
      <c r="D60" s="87"/>
      <c r="E60" s="87" t="str">
        <f>IF(A60="","",IF(D60-SUMIFS(GRN!$E$3:$E996,GRN!$D$3:$D996,C60)&lt;0,0,D60-SUMIFS(GRN!$E$3:$E996,GRN!$D$3:$D996,C60)))</f>
        <v/>
      </c>
    </row>
    <row r="61" spans="1:5" ht="15.75" customHeight="1">
      <c r="A61" s="129"/>
      <c r="B61" s="130"/>
      <c r="C61" s="2"/>
      <c r="D61" s="87"/>
      <c r="E61" s="87" t="str">
        <f>IF(A61="","",IF(D61-SUMIFS(GRN!$E$3:$E996,GRN!$D$3:$D996,C61)&lt;0,0,D61-SUMIFS(GRN!$E$3:$E996,GRN!$D$3:$D996,C61)))</f>
        <v/>
      </c>
    </row>
    <row r="62" spans="1:5" ht="15.75" customHeight="1">
      <c r="A62" s="128"/>
      <c r="B62" s="87"/>
      <c r="C62" s="2"/>
      <c r="D62" s="87"/>
      <c r="E62" s="87" t="str">
        <f>IF(A62="","",IF(D62-SUMIFS(GRN!$E$3:$E996,GRN!$D$3:$D996,C62)&lt;0,0,D62-SUMIFS(GRN!$E$3:$E996,GRN!$D$3:$D996,C62)))</f>
        <v/>
      </c>
    </row>
    <row r="63" spans="1:5" ht="15.75" customHeight="1">
      <c r="A63" s="128"/>
      <c r="B63" s="130"/>
      <c r="C63" s="2"/>
      <c r="D63" s="87"/>
      <c r="E63" s="87" t="str">
        <f>IF(A63="","",IF(D63-SUMIFS(GRN!$E$3:$E996,GRN!$D$3:$D996,C63)&lt;0,0,D63-SUMIFS(GRN!$E$3:$E996,GRN!$D$3:$D996,C63)))</f>
        <v/>
      </c>
    </row>
    <row r="64" spans="1:5" ht="15.75" customHeight="1">
      <c r="A64" s="128"/>
      <c r="B64" s="129"/>
      <c r="C64" s="2"/>
      <c r="D64" s="87"/>
      <c r="E64" s="87" t="str">
        <f>IF(A64="","",IF(D64-SUMIFS(GRN!$E$3:$E996,GRN!$D$3:$D996,C64)&lt;0,0,D64-SUMIFS(GRN!$E$3:$E996,GRN!$D$3:$D996,C64)))</f>
        <v/>
      </c>
    </row>
    <row r="65" spans="1:5" ht="15.75" customHeight="1">
      <c r="A65" s="128"/>
      <c r="B65" s="129"/>
      <c r="C65" s="2"/>
      <c r="D65" s="87"/>
      <c r="E65" s="87" t="str">
        <f>IF(A65="","",IF(D65-SUMIFS(GRN!$E$3:$E996,GRN!$D$3:$D996,C65)&lt;0,0,D65-SUMIFS(GRN!$E$3:$E996,GRN!$D$3:$D996,C65)))</f>
        <v/>
      </c>
    </row>
    <row r="66" spans="1:5" ht="15.75" customHeight="1">
      <c r="A66" s="128"/>
      <c r="B66" s="129"/>
      <c r="C66" s="2"/>
      <c r="D66" s="87"/>
      <c r="E66" s="87"/>
    </row>
    <row r="67" spans="1:5" ht="15.75" customHeight="1">
      <c r="A67" s="129"/>
      <c r="B67" s="130"/>
      <c r="C67" s="2"/>
      <c r="D67" s="87"/>
      <c r="E67" s="87" t="str">
        <f>IF(A67="","",IF(D67-SUMIFS(GRN!$E$3:$E996,GRN!$D$3:$D996,C67)&lt;0,0,D67-SUMIFS(GRN!$E$3:$E996,GRN!$D$3:$D996,C67)))</f>
        <v/>
      </c>
    </row>
    <row r="68" spans="1:5" ht="15.75" customHeight="1">
      <c r="A68" s="129"/>
      <c r="B68" s="130"/>
      <c r="C68" s="2"/>
      <c r="D68" s="87"/>
      <c r="E68" s="87" t="str">
        <f>IF(A68="","",IF(D68-SUMIFS(GRN!$E$3:$E996,GRN!$D$3:$D996,C68)&lt;0,0,D68-SUMIFS(GRN!$E$3:$E996,GRN!$D$3:$D996,C68)))</f>
        <v/>
      </c>
    </row>
    <row r="69" spans="1:5" ht="15.75" customHeight="1">
      <c r="A69" s="130"/>
      <c r="B69" s="130"/>
      <c r="C69" s="2"/>
      <c r="D69" s="87"/>
      <c r="E69" s="87" t="str">
        <f>IF(A69="","",IF(D69-SUMIFS(GRN!$E$3:$E996,GRN!$D$3:$D996,C69)&lt;0,0,D69-SUMIFS(GRN!$E$3:$E996,GRN!$D$3:$D996,C69)))</f>
        <v/>
      </c>
    </row>
    <row r="70" spans="1:5" ht="15.75" customHeight="1">
      <c r="A70" s="130"/>
      <c r="B70" s="130"/>
      <c r="C70" s="2"/>
      <c r="D70" s="87"/>
      <c r="E70" s="87" t="str">
        <f>IF(A70="","",IF(D70-SUMIFS(GRN!$E$3:$E996,GRN!$D$3:$D996,C70)&lt;0,0,D70-SUMIFS(GRN!$E$3:$E996,GRN!$D$3:$D996,C70)))</f>
        <v/>
      </c>
    </row>
    <row r="71" spans="1:5" ht="15.75" customHeight="1">
      <c r="A71" s="129"/>
      <c r="B71" s="129"/>
      <c r="C71" s="2"/>
      <c r="D71" s="87"/>
      <c r="E71" s="87" t="str">
        <f>IF(A71="","",IF(D71-SUMIFS(GRN!$E$3:$E996,GRN!$D$3:$D996,C71)&lt;0,0,D71-SUMIFS(GRN!$E$3:$E996,GRN!$D$3:$D996,C71)))</f>
        <v/>
      </c>
    </row>
    <row r="72" spans="1:5" ht="15.75" customHeight="1">
      <c r="A72" s="129"/>
      <c r="B72" s="129"/>
      <c r="C72" s="2"/>
      <c r="D72" s="87"/>
      <c r="E72" s="87" t="str">
        <f>IF(A72="","",IF(D72-SUMIFS(GRN!$E$3:$E996,GRN!$D$3:$D996,C72)&lt;0,0,D72-SUMIFS(GRN!$E$3:$E996,GRN!$D$3:$D996,C72)))</f>
        <v/>
      </c>
    </row>
    <row r="73" spans="1:5" ht="15.75" customHeight="1">
      <c r="A73" s="129"/>
      <c r="B73" s="129"/>
      <c r="C73" s="2"/>
      <c r="D73" s="87"/>
      <c r="E73" s="87" t="str">
        <f>IF(A73="","",IF(D73-SUMIFS(GRN!$E$3:$E996,GRN!$D$3:$D996,C73)&lt;0,0,D73-SUMIFS(GRN!$E$3:$E996,GRN!$D$3:$D996,C73)))</f>
        <v/>
      </c>
    </row>
    <row r="74" spans="1:5" ht="15.75" customHeight="1">
      <c r="A74" s="129"/>
      <c r="B74" s="129"/>
      <c r="C74" s="2"/>
      <c r="D74" s="87"/>
      <c r="E74" s="87" t="str">
        <f>IF(A74="","",IF(D74-SUMIFS(GRN!$E$3:$E996,GRN!$D$3:$D996,C74)&lt;0,0,D74-SUMIFS(GRN!$E$3:$E996,GRN!$D$3:$D996,C74)))</f>
        <v/>
      </c>
    </row>
    <row r="75" spans="1:5" ht="15.75" customHeight="1">
      <c r="A75" s="129"/>
      <c r="B75" s="129"/>
      <c r="C75" s="2"/>
      <c r="D75" s="87"/>
      <c r="E75" s="87" t="str">
        <f>IF(A75="","",IF(D75-SUMIFS(GRN!$E$3:$E996,GRN!$D$3:$D996,C75)&lt;0,0,D75-SUMIFS(GRN!$E$3:$E996,GRN!$D$3:$D996,C75)))</f>
        <v/>
      </c>
    </row>
    <row r="76" spans="1:5" ht="15.75" customHeight="1">
      <c r="A76" s="129"/>
      <c r="B76" s="129"/>
      <c r="C76" s="2"/>
      <c r="D76" s="87"/>
      <c r="E76" s="87" t="str">
        <f>IF(A76="","",IF(D76-SUMIFS(GRN!$E$3:$E996,GRN!$D$3:$D996,C76)&lt;0,0,D76-SUMIFS(GRN!$E$3:$E996,GRN!$D$3:$D996,C76)))</f>
        <v/>
      </c>
    </row>
    <row r="77" spans="1:5" ht="15.75" customHeight="1">
      <c r="A77" s="129"/>
      <c r="B77" s="129"/>
      <c r="C77" s="2"/>
      <c r="D77" s="87"/>
      <c r="E77" s="87" t="str">
        <f>IF(A77="","",IF(D77-SUMIFS(GRN!$E$3:$E996,GRN!$D$3:$D996,C77)&lt;0,0,D77-SUMIFS(GRN!$E$3:$E996,GRN!$D$3:$D996,C77)))</f>
        <v/>
      </c>
    </row>
    <row r="78" spans="1:5" ht="15.75" customHeight="1">
      <c r="A78" s="129"/>
      <c r="B78" s="129"/>
      <c r="C78" s="2"/>
      <c r="D78" s="87"/>
      <c r="E78" s="87" t="str">
        <f>IF(A78="","",IF(D78-SUMIFS(GRN!$E$3:$E996,GRN!$D$3:$D996,C78)&lt;0,0,D78-SUMIFS(GRN!$E$3:$E996,GRN!$D$3:$D996,C78)))</f>
        <v/>
      </c>
    </row>
    <row r="79" spans="1:5" ht="15.75" customHeight="1">
      <c r="A79" s="129"/>
      <c r="B79" s="129"/>
      <c r="C79" s="2"/>
      <c r="D79" s="87"/>
      <c r="E79" s="87" t="str">
        <f>IF(A79="","",IF(D79-SUMIFS(GRN!$E$3:$E996,GRN!$D$3:$D996,C79)&lt;0,0,D79-SUMIFS(GRN!$E$3:$E996,GRN!$D$3:$D996,C79)))</f>
        <v/>
      </c>
    </row>
    <row r="80" spans="1:5" ht="15.75" customHeight="1">
      <c r="A80" s="129"/>
      <c r="B80" s="129"/>
      <c r="C80" s="2"/>
      <c r="D80" s="87"/>
      <c r="E80" s="87" t="str">
        <f>IF(A80="","",IF(D80-SUMIFS(GRN!$E$3:$E996,GRN!$D$3:$D996,C80)&lt;0,0,D80-SUMIFS(GRN!$E$3:$E996,GRN!$D$3:$D996,C80)))</f>
        <v/>
      </c>
    </row>
    <row r="81" spans="1:5" ht="15.75" customHeight="1">
      <c r="A81" s="129"/>
      <c r="B81" s="129"/>
      <c r="C81" s="2"/>
      <c r="D81" s="87"/>
      <c r="E81" s="87" t="str">
        <f>IF(A81="","",IF(D81-SUMIFS(GRN!$E$3:$E996,GRN!$D$3:$D996,C81)&lt;0,0,D81-SUMIFS(GRN!$E$3:$E996,GRN!$D$3:$D996,C81)))</f>
        <v/>
      </c>
    </row>
    <row r="82" spans="1:5" ht="15.75" customHeight="1">
      <c r="A82" s="129"/>
      <c r="B82" s="129"/>
      <c r="C82" s="2"/>
      <c r="D82" s="87"/>
      <c r="E82" s="87" t="str">
        <f>IF(A82="","",IF(D82-SUMIFS(GRN!$E$3:$E996,GRN!$D$3:$D996,C82)&lt;0,0,D82-SUMIFS(GRN!$E$3:$E996,GRN!$D$3:$D996,C82)))</f>
        <v/>
      </c>
    </row>
    <row r="83" spans="1:5" ht="15.75" customHeight="1">
      <c r="A83" s="129"/>
      <c r="B83" s="129"/>
      <c r="C83" s="2"/>
      <c r="D83" s="87"/>
      <c r="E83" s="87" t="str">
        <f>IF(A83="","",IF(D83-SUMIFS(GRN!$E$3:$E996,GRN!$D$3:$D996,C83)&lt;0,0,D83-SUMIFS(GRN!$E$3:$E996,GRN!$D$3:$D996,C83)))</f>
        <v/>
      </c>
    </row>
    <row r="84" spans="1:5" ht="15.75" customHeight="1">
      <c r="A84" s="129"/>
      <c r="B84" s="129"/>
      <c r="C84" s="2"/>
      <c r="D84" s="87"/>
      <c r="E84" s="87" t="str">
        <f>IF(A84="","",IF(D84-SUMIFS(GRN!$E$3:$E996,GRN!$D$3:$D996,C84)&lt;0,0,D84-SUMIFS(GRN!$E$3:$E996,GRN!$D$3:$D996,C84)))</f>
        <v/>
      </c>
    </row>
    <row r="85" spans="1:5" ht="15.75" customHeight="1">
      <c r="A85" s="129"/>
      <c r="B85" s="129"/>
      <c r="C85" s="2"/>
      <c r="D85" s="87"/>
      <c r="E85" s="87" t="str">
        <f>IF(A85="","",IF(D85-SUMIFS(GRN!$E$3:$E996,GRN!$D$3:$D996,C85)&lt;0,0,D85-SUMIFS(GRN!$E$3:$E996,GRN!$D$3:$D996,C85)))</f>
        <v/>
      </c>
    </row>
    <row r="86" spans="1:5" ht="15.75" customHeight="1">
      <c r="A86" s="129"/>
      <c r="B86" s="129"/>
      <c r="C86" s="2"/>
      <c r="D86" s="87"/>
      <c r="E86" s="87" t="str">
        <f>IF(A86="","",IF(D86-SUMIFS(GRN!$E$3:$E996,GRN!$D$3:$D996,C86)&lt;0,0,D86-SUMIFS(GRN!$E$3:$E996,GRN!$D$3:$D996,C86)))</f>
        <v/>
      </c>
    </row>
    <row r="87" spans="1:5" ht="15.75" customHeight="1">
      <c r="A87" s="129"/>
      <c r="B87" s="129"/>
      <c r="C87" s="2"/>
      <c r="D87" s="87"/>
      <c r="E87" s="87" t="str">
        <f>IF(A87="","",IF(D87-SUMIFS(GRN!$E$3:$E996,GRN!$D$3:$D996,C87)&lt;0,0,D87-SUMIFS(GRN!$E$3:$E996,GRN!$D$3:$D996,C87)))</f>
        <v/>
      </c>
    </row>
    <row r="88" spans="1:5" ht="15.75" customHeight="1">
      <c r="A88" s="129"/>
      <c r="B88" s="129"/>
      <c r="C88" s="2"/>
      <c r="D88" s="87"/>
      <c r="E88" s="87" t="str">
        <f>IF(A88="","",IF(D88-SUMIFS(GRN!$E$3:$E996,GRN!$D$3:$D996,C88)&lt;0,0,D88-SUMIFS(GRN!$E$3:$E996,GRN!$D$3:$D996,C88)))</f>
        <v/>
      </c>
    </row>
    <row r="89" spans="1:5" ht="15.75" customHeight="1">
      <c r="A89" s="129"/>
      <c r="B89" s="129"/>
      <c r="C89" s="2"/>
      <c r="D89" s="87"/>
      <c r="E89" s="87" t="str">
        <f>IF(A89="","",IF(D89-SUMIFS(GRN!$E$3:$E996,GRN!$D$3:$D996,C89)&lt;0,0,D89-SUMIFS(GRN!$E$3:$E996,GRN!$D$3:$D996,C89)))</f>
        <v/>
      </c>
    </row>
    <row r="90" spans="1:5" ht="15.75" customHeight="1">
      <c r="A90" s="129"/>
      <c r="B90" s="129"/>
      <c r="C90" s="2"/>
      <c r="D90" s="87"/>
      <c r="E90" s="87" t="str">
        <f>IF(A90="","",IF(D90-SUMIFS(GRN!$E$3:$E996,GRN!$D$3:$D996,C90)&lt;0,0,D90-SUMIFS(GRN!$E$3:$E996,GRN!$D$3:$D996,C90)))</f>
        <v/>
      </c>
    </row>
    <row r="91" spans="1:5" ht="15.75" customHeight="1">
      <c r="A91" s="129"/>
      <c r="B91" s="129"/>
      <c r="C91" s="2"/>
      <c r="D91" s="87"/>
      <c r="E91" s="87" t="str">
        <f>IF(A91="","",IF(D91-SUMIFS(GRN!$E$3:$E996,GRN!$D$3:$D996,C91)&lt;0,0,D91-SUMIFS(GRN!$E$3:$E996,GRN!$D$3:$D996,C91)))</f>
        <v/>
      </c>
    </row>
    <row r="92" spans="1:5" ht="15.75" customHeight="1">
      <c r="A92" s="129"/>
      <c r="B92" s="129"/>
      <c r="C92" s="2"/>
      <c r="D92" s="87"/>
      <c r="E92" s="87" t="str">
        <f>IF(A92="","",IF(D92-SUMIFS(GRN!$E$3:$E996,GRN!$D$3:$D996,C92)&lt;0,0,D92-SUMIFS(GRN!$E$3:$E996,GRN!$D$3:$D996,C92)))</f>
        <v/>
      </c>
    </row>
    <row r="93" spans="1:5" ht="15.75" customHeight="1">
      <c r="A93" s="129"/>
      <c r="B93" s="129"/>
      <c r="C93" s="2"/>
      <c r="D93" s="87"/>
      <c r="E93" s="87" t="str">
        <f>IF(A93="","",IF(D93-SUMIFS(GRN!$E$3:$E996,GRN!$D$3:$D996,C93)&lt;0,0,D93-SUMIFS(GRN!$E$3:$E996,GRN!$D$3:$D996,C93)))</f>
        <v/>
      </c>
    </row>
    <row r="94" spans="1:5" ht="15.75" customHeight="1">
      <c r="A94" s="129"/>
      <c r="B94" s="129"/>
      <c r="C94" s="2"/>
      <c r="D94" s="87"/>
      <c r="E94" s="87" t="str">
        <f>IF(A94="","",IF(D94-SUMIFS(GRN!$E$3:$E996,GRN!$D$3:$D996,C94)&lt;0,0,D94-SUMIFS(GRN!$E$3:$E996,GRN!$D$3:$D996,C94)))</f>
        <v/>
      </c>
    </row>
    <row r="95" spans="1:5" ht="15.75" customHeight="1">
      <c r="A95" s="129"/>
      <c r="B95" s="129"/>
      <c r="C95" s="2"/>
      <c r="D95" s="87"/>
      <c r="E95" s="87" t="str">
        <f>IF(A95="","",IF(D95-SUMIFS(GRN!$E$3:$E996,GRN!$D$3:$D996,C95)&lt;0,0,D95-SUMIFS(GRN!$E$3:$E996,GRN!$D$3:$D996,C95)))</f>
        <v/>
      </c>
    </row>
    <row r="96" spans="1:5" ht="15.75" customHeight="1">
      <c r="A96" s="129"/>
      <c r="B96" s="129"/>
      <c r="C96" s="2"/>
      <c r="D96" s="87"/>
      <c r="E96" s="87" t="str">
        <f>IF(A96="","",IF(D96-SUMIFS(GRN!$E$3:$E996,GRN!$D$3:$D996,C96)&lt;0,0,D96-SUMIFS(GRN!$E$3:$E996,GRN!$D$3:$D996,C96)))</f>
        <v/>
      </c>
    </row>
    <row r="97" spans="1:5" ht="15.75" customHeight="1">
      <c r="A97" s="128"/>
      <c r="B97" s="128"/>
      <c r="C97" s="2"/>
      <c r="D97" s="87"/>
      <c r="E97" s="87" t="str">
        <f>IF(A97="","",IF(D97-SUMIFS(GRN!$E$3:$E996,GRN!$D$3:$D996,C97)&lt;0,0,D97-SUMIFS(GRN!$E$3:$E996,GRN!$D$3:$D996,C97)))</f>
        <v/>
      </c>
    </row>
    <row r="98" spans="1:5" ht="15.75" customHeight="1">
      <c r="A98" s="128"/>
      <c r="B98" s="128"/>
      <c r="C98" s="2"/>
      <c r="D98" s="87"/>
      <c r="E98" s="87" t="str">
        <f>IF(A98="","",IF(D98-SUMIFS(GRN!$E$3:$E996,GRN!$D$3:$D996,C98)&lt;0,0,D98-SUMIFS(GRN!$E$3:$E996,GRN!$D$3:$D996,C98)))</f>
        <v/>
      </c>
    </row>
    <row r="99" spans="1:5" ht="15.75" customHeight="1">
      <c r="A99" s="128"/>
      <c r="B99" s="128"/>
      <c r="C99" s="2"/>
      <c r="D99" s="87"/>
      <c r="E99" s="87" t="str">
        <f>IF(A99="","",IF(D99-SUMIFS(GRN!$E$3:$E996,GRN!$D$3:$D996,C99)&lt;0,0,D99-SUMIFS(GRN!$E$3:$E996,GRN!$D$3:$D996,C99)))</f>
        <v/>
      </c>
    </row>
    <row r="100" spans="1:5" ht="15.75" customHeight="1">
      <c r="A100" s="128"/>
      <c r="B100" s="128"/>
      <c r="C100" s="2"/>
      <c r="D100" s="87"/>
      <c r="E100" s="87" t="str">
        <f>IF(A100="","",IF(D100-SUMIFS(GRN!$E$3:$E996,GRN!$D$3:$D996,C100)&lt;0,0,D100-SUMIFS(GRN!$E$3:$E996,GRN!$D$3:$D996,C100)))</f>
        <v/>
      </c>
    </row>
    <row r="101" spans="1:5" ht="15.75" customHeight="1">
      <c r="A101" s="128"/>
      <c r="B101" s="128"/>
      <c r="C101" s="2"/>
      <c r="D101" s="87"/>
      <c r="E101" s="87" t="str">
        <f>IF(A101="","",IF(D101-SUMIFS(GRN!$E$3:$E996,GRN!$D$3:$D996,C101)&lt;0,0,D101-SUMIFS(GRN!$E$3:$E996,GRN!$D$3:$D996,C101)))</f>
        <v/>
      </c>
    </row>
    <row r="102" spans="1:5" ht="15.75" customHeight="1">
      <c r="A102" s="128"/>
      <c r="B102" s="128"/>
      <c r="C102" s="2"/>
      <c r="D102" s="87"/>
      <c r="E102" s="87" t="str">
        <f>IF(A102="","",IF(D102-SUMIFS(GRN!$E$3:$E996,GRN!$D$3:$D996,C102)&lt;0,0,D102-SUMIFS(GRN!$E$3:$E996,GRN!$D$3:$D996,C102)))</f>
        <v/>
      </c>
    </row>
    <row r="103" spans="1:5" ht="15.75" customHeight="1">
      <c r="A103" s="128"/>
      <c r="B103" s="128"/>
      <c r="C103" s="2"/>
      <c r="D103" s="87"/>
      <c r="E103" s="87" t="str">
        <f>IF(A103="","",IF(D103-SUMIFS(GRN!$E$3:$E996,GRN!$D$3:$D996,C103)&lt;0,0,D103-SUMIFS(GRN!$E$3:$E996,GRN!$D$3:$D996,C103)))</f>
        <v/>
      </c>
    </row>
    <row r="104" spans="1:5" ht="15.75" customHeight="1">
      <c r="A104" s="128"/>
      <c r="B104" s="128"/>
      <c r="C104" s="2"/>
      <c r="D104" s="87"/>
      <c r="E104" s="87" t="str">
        <f>IF(A104="","",IF(D104-SUMIFS(GRN!$E$3:$E996,GRN!$D$3:$D996,C104)&lt;0,0,D104-SUMIFS(GRN!$E$3:$E996,GRN!$D$3:$D996,C104)))</f>
        <v/>
      </c>
    </row>
    <row r="105" spans="1:5" ht="15.75" customHeight="1">
      <c r="A105" s="128"/>
      <c r="B105" s="128"/>
      <c r="C105" s="2"/>
      <c r="D105" s="87"/>
      <c r="E105" s="87" t="str">
        <f>IF(A105="","",IF(D105-SUMIFS(GRN!$E$3:$E996,GRN!$D$3:$D996,C105)&lt;0,0,D105-SUMIFS(GRN!$E$3:$E996,GRN!$D$3:$D996,C105)))</f>
        <v/>
      </c>
    </row>
    <row r="106" spans="1:5" ht="15.75" customHeight="1">
      <c r="A106" s="128"/>
      <c r="B106" s="128"/>
      <c r="C106" s="2"/>
      <c r="D106" s="87"/>
      <c r="E106" s="87" t="str">
        <f>IF(A106="","",IF(D106-SUMIFS(GRN!$E$3:$E996,GRN!$D$3:$D996,C106)&lt;0,0,D106-SUMIFS(GRN!$E$3:$E996,GRN!$D$3:$D996,C106)))</f>
        <v/>
      </c>
    </row>
    <row r="107" spans="1:5" ht="15.75" customHeight="1">
      <c r="A107" s="128"/>
      <c r="B107" s="128"/>
      <c r="C107" s="2"/>
      <c r="D107" s="87"/>
      <c r="E107" s="87" t="str">
        <f>IF(A107="","",IF(D107-SUMIFS(GRN!$E$3:$E996,GRN!$D$3:$D996,C107)&lt;0,0,D107-SUMIFS(GRN!$E$3:$E996,GRN!$D$3:$D996,C107)))</f>
        <v/>
      </c>
    </row>
    <row r="108" spans="1:5" ht="15.75" customHeight="1">
      <c r="A108" s="128"/>
      <c r="B108" s="128"/>
      <c r="C108" s="2"/>
      <c r="D108" s="87"/>
      <c r="E108" s="87" t="str">
        <f>IF(A108="","",IF(D108-SUMIFS(GRN!$E$3:$E996,GRN!$D$3:$D996,C108)&lt;0,0,D108-SUMIFS(GRN!$E$3:$E996,GRN!$D$3:$D996,C108)))</f>
        <v/>
      </c>
    </row>
    <row r="109" spans="1:5" ht="15.75" customHeight="1">
      <c r="A109" s="128"/>
      <c r="B109" s="128"/>
      <c r="C109" s="2"/>
      <c r="D109" s="87"/>
      <c r="E109" s="87" t="str">
        <f>IF(A109="","",IF(D109-SUMIFS(GRN!$E$3:$E996,GRN!$D$3:$D996,C109)&lt;0,0,D109-SUMIFS(GRN!$E$3:$E996,GRN!$D$3:$D996,C109)))</f>
        <v/>
      </c>
    </row>
    <row r="110" spans="1:5" ht="15.75" customHeight="1">
      <c r="A110" s="128"/>
      <c r="B110" s="128"/>
      <c r="C110" s="2"/>
      <c r="D110" s="87"/>
      <c r="E110" s="87" t="str">
        <f>IF(A110="","",IF(D110-SUMIFS(GRN!$E$3:$E996,GRN!$D$3:$D996,C110)&lt;0,0,D110-SUMIFS(GRN!$E$3:$E996,GRN!$D$3:$D996,C110)))</f>
        <v/>
      </c>
    </row>
    <row r="111" spans="1:5" ht="15.75" customHeight="1">
      <c r="A111" s="128"/>
      <c r="B111" s="128"/>
      <c r="C111" s="2"/>
      <c r="D111" s="87"/>
      <c r="E111" s="87" t="str">
        <f>IF(A111="","",IF(D111-SUMIFS(GRN!$E$3:$E996,GRN!$D$3:$D996,C111)&lt;0,0,D111-SUMIFS(GRN!$E$3:$E996,GRN!$D$3:$D996,C111)))</f>
        <v/>
      </c>
    </row>
    <row r="112" spans="1:5" ht="15.75" customHeight="1">
      <c r="A112" s="128"/>
      <c r="B112" s="128"/>
      <c r="C112" s="2"/>
      <c r="D112" s="87"/>
      <c r="E112" s="87" t="str">
        <f>IF(A112="","",IF(D112-SUMIFS(GRN!$E$3:$E996,GRN!$D$3:$D996,C112)&lt;0,0,D112-SUMIFS(GRN!$E$3:$E996,GRN!$D$3:$D996,C112)))</f>
        <v/>
      </c>
    </row>
    <row r="113" spans="1:5" ht="15.75" customHeight="1">
      <c r="A113" s="128"/>
      <c r="B113" s="128"/>
      <c r="C113" s="2"/>
      <c r="D113" s="87"/>
      <c r="E113" s="87" t="str">
        <f>IF(A113="","",IF(D113-SUMIFS(GRN!$E$3:$E996,GRN!$D$3:$D996,C113)&lt;0,0,D113-SUMIFS(GRN!$E$3:$E996,GRN!$D$3:$D996,C113)))</f>
        <v/>
      </c>
    </row>
    <row r="114" spans="1:5" ht="15.75" customHeight="1">
      <c r="A114" s="128"/>
      <c r="B114" s="128"/>
      <c r="C114" s="2"/>
      <c r="D114" s="87"/>
      <c r="E114" s="87" t="str">
        <f>IF(A114="","",IF(D114-SUMIFS(GRN!$E$3:$E996,GRN!$D$3:$D996,C114)&lt;0,0,D114-SUMIFS(GRN!$E$3:$E996,GRN!$D$3:$D996,C114)))</f>
        <v/>
      </c>
    </row>
    <row r="115" spans="1:5" ht="15.75" customHeight="1">
      <c r="A115" s="128"/>
      <c r="B115" s="128"/>
      <c r="C115" s="2"/>
      <c r="D115" s="87"/>
      <c r="E115" s="87" t="str">
        <f>IF(A115="","",IF(D115-SUMIFS(GRN!$E$3:$E996,GRN!$D$3:$D996,C115)&lt;0,0,D115-SUMIFS(GRN!$E$3:$E996,GRN!$D$3:$D996,C115)))</f>
        <v/>
      </c>
    </row>
    <row r="116" spans="1:5" ht="15.75" customHeight="1">
      <c r="A116" s="128"/>
      <c r="B116" s="128"/>
      <c r="C116" s="2"/>
      <c r="D116" s="87"/>
      <c r="E116" s="87" t="str">
        <f>IF(A116="","",IF(D116-SUMIFS(GRN!$E$3:$E996,GRN!$D$3:$D996,C116)&lt;0,0,D116-SUMIFS(GRN!$E$3:$E996,GRN!$D$3:$D996,C116)))</f>
        <v/>
      </c>
    </row>
    <row r="117" spans="1:5" ht="15.75" customHeight="1">
      <c r="A117" s="128"/>
      <c r="B117" s="128"/>
      <c r="C117" s="2"/>
      <c r="D117" s="87"/>
      <c r="E117" s="87" t="str">
        <f>IF(A117="","",IF(D117-SUMIFS(GRN!$E$3:$E996,GRN!$D$3:$D996,C117)&lt;0,0,D117-SUMIFS(GRN!$E$3:$E996,GRN!$D$3:$D996,C117)))</f>
        <v/>
      </c>
    </row>
    <row r="118" spans="1:5" ht="15.75" customHeight="1">
      <c r="A118" s="128"/>
      <c r="B118" s="128"/>
      <c r="C118" s="2"/>
      <c r="D118" s="87"/>
      <c r="E118" s="87" t="str">
        <f>IF(A118="","",IF(D118-SUMIFS(GRN!$E$3:$E996,GRN!$D$3:$D996,C118)&lt;0,0,D118-SUMIFS(GRN!$E$3:$E996,GRN!$D$3:$D996,C118)))</f>
        <v/>
      </c>
    </row>
    <row r="119" spans="1:5" ht="15.75" customHeight="1">
      <c r="A119" s="128"/>
      <c r="B119" s="128"/>
      <c r="C119" s="2"/>
      <c r="D119" s="87"/>
      <c r="E119" s="87" t="str">
        <f>IF(A119="","",IF(D119-SUMIFS(GRN!$E$3:$E996,GRN!$D$3:$D996,C119)&lt;0,0,D119-SUMIFS(GRN!$E$3:$E996,GRN!$D$3:$D996,C119)))</f>
        <v/>
      </c>
    </row>
    <row r="120" spans="1:5" ht="15.75" customHeight="1">
      <c r="A120" s="128"/>
      <c r="B120" s="128"/>
      <c r="C120" s="2"/>
      <c r="D120" s="87"/>
      <c r="E120" s="87" t="str">
        <f>IF(A120="","",IF(D120-SUMIFS(GRN!$E$3:$E996,GRN!$D$3:$D996,C120)&lt;0,0,D120-SUMIFS(GRN!$E$3:$E996,GRN!$D$3:$D996,C120)))</f>
        <v/>
      </c>
    </row>
    <row r="121" spans="1:5" ht="15.75" customHeight="1">
      <c r="A121" s="128"/>
      <c r="B121" s="128"/>
      <c r="C121" s="2"/>
      <c r="D121" s="87"/>
      <c r="E121" s="87" t="str">
        <f>IF(A121="","",IF(D121-SUMIFS(GRN!$E$3:$E996,GRN!$D$3:$D996,C121)&lt;0,0,D121-SUMIFS(GRN!$E$3:$E996,GRN!$D$3:$D996,C121)))</f>
        <v/>
      </c>
    </row>
    <row r="122" spans="1:5" ht="15.75" customHeight="1">
      <c r="A122" s="128"/>
      <c r="B122" s="128"/>
      <c r="C122" s="2"/>
      <c r="D122" s="87"/>
      <c r="E122" s="87" t="str">
        <f>IF(A122="","",IF(D122-SUMIFS(GRN!$E$3:$E996,GRN!$D$3:$D996,C122)&lt;0,0,D122-SUMIFS(GRN!$E$3:$E996,GRN!$D$3:$D996,C122)))</f>
        <v/>
      </c>
    </row>
    <row r="123" spans="1:5" ht="15.75" customHeight="1">
      <c r="A123" s="128"/>
      <c r="B123" s="128"/>
      <c r="C123" s="2"/>
      <c r="D123" s="87"/>
      <c r="E123" s="87" t="str">
        <f>IF(A123="","",IF(D123-SUMIFS(GRN!$E$3:$E996,GRN!$D$3:$D996,C123)&lt;0,0,D123-SUMIFS(GRN!$E$3:$E996,GRN!$D$3:$D996,C123)))</f>
        <v/>
      </c>
    </row>
    <row r="124" spans="1:5" ht="15.75" customHeight="1">
      <c r="A124" s="128"/>
      <c r="B124" s="128"/>
      <c r="C124" s="2"/>
      <c r="D124" s="87"/>
      <c r="E124" s="87" t="str">
        <f>IF(A124="","",IF(D124-SUMIFS(GRN!$E$3:$E996,GRN!$D$3:$D996,C124)&lt;0,0,D124-SUMIFS(GRN!$E$3:$E996,GRN!$D$3:$D996,C124)))</f>
        <v/>
      </c>
    </row>
    <row r="125" spans="1:5" ht="15.75" customHeight="1">
      <c r="A125" s="128"/>
      <c r="B125" s="128"/>
      <c r="C125" s="2"/>
      <c r="D125" s="87"/>
      <c r="E125" s="87" t="str">
        <f>IF(A125="","",IF(D125-SUMIFS(GRN!$E$3:$E996,GRN!$D$3:$D996,C125)&lt;0,0,D125-SUMIFS(GRN!$E$3:$E996,GRN!$D$3:$D996,C125)))</f>
        <v/>
      </c>
    </row>
    <row r="126" spans="1:5" ht="15.75" customHeight="1">
      <c r="A126" s="128"/>
      <c r="B126" s="128"/>
      <c r="C126" s="2"/>
      <c r="D126" s="87"/>
      <c r="E126" s="87" t="str">
        <f>IF(A126="","",IF(D126-SUMIFS(GRN!$E$3:$E996,GRN!$D$3:$D996,C126)&lt;0,0,D126-SUMIFS(GRN!$E$3:$E996,GRN!$D$3:$D996,C126)))</f>
        <v/>
      </c>
    </row>
    <row r="127" spans="1:5" ht="15.75" customHeight="1">
      <c r="A127" s="128"/>
      <c r="B127" s="128"/>
      <c r="C127" s="2"/>
      <c r="D127" s="87"/>
      <c r="E127" s="87" t="str">
        <f>IF(A127="","",IF(D127-SUMIFS(GRN!$E$3:$E996,GRN!$D$3:$D996,C127)&lt;0,0,D127-SUMIFS(GRN!$E$3:$E996,GRN!$D$3:$D996,C127)))</f>
        <v/>
      </c>
    </row>
    <row r="128" spans="1:5" ht="15.75" customHeight="1">
      <c r="A128" s="128"/>
      <c r="B128" s="128"/>
      <c r="C128" s="2"/>
      <c r="D128" s="87"/>
      <c r="E128" s="87" t="str">
        <f>IF(A128="","",IF(D128-SUMIFS(GRN!$E$3:$E996,GRN!$D$3:$D996,C128)&lt;0,0,D128-SUMIFS(GRN!$E$3:$E996,GRN!$D$3:$D996,C128)))</f>
        <v/>
      </c>
    </row>
    <row r="129" spans="1:5" ht="15.75" customHeight="1">
      <c r="A129" s="128"/>
      <c r="B129" s="128"/>
      <c r="C129" s="2"/>
      <c r="D129" s="87"/>
      <c r="E129" s="87" t="str">
        <f>IF(A129="","",IF(D129-SUMIFS(GRN!$E$3:$E996,GRN!$D$3:$D996,C129)&lt;0,0,D129-SUMIFS(GRN!$E$3:$E996,GRN!$D$3:$D996,C129)))</f>
        <v/>
      </c>
    </row>
    <row r="130" spans="1:5" ht="15.75" customHeight="1">
      <c r="A130" s="128"/>
      <c r="B130" s="128"/>
      <c r="C130" s="2"/>
      <c r="D130" s="87"/>
      <c r="E130" s="87" t="str">
        <f>IF(A130="","",IF(D130-SUMIFS(GRN!$E$3:$E996,GRN!$D$3:$D996,C130)&lt;0,0,D130-SUMIFS(GRN!$E$3:$E996,GRN!$D$3:$D996,C130)))</f>
        <v/>
      </c>
    </row>
    <row r="131" spans="1:5" ht="15.75" customHeight="1">
      <c r="A131" s="128"/>
      <c r="B131" s="128"/>
      <c r="C131" s="2"/>
      <c r="D131" s="87"/>
      <c r="E131" s="87" t="str">
        <f>IF(A131="","",IF(D131-SUMIFS(GRN!$E$3:$E996,GRN!$D$3:$D996,C131)&lt;0,0,D131-SUMIFS(GRN!$E$3:$E996,GRN!$D$3:$D996,C131)))</f>
        <v/>
      </c>
    </row>
    <row r="132" spans="1:5" ht="15.75" customHeight="1">
      <c r="A132" s="128"/>
      <c r="B132" s="128"/>
      <c r="C132" s="2"/>
      <c r="D132" s="87"/>
      <c r="E132" s="87" t="str">
        <f>IF(A132="","",IF(D132-SUMIFS(GRN!$E$3:$E996,GRN!$D$3:$D996,C132)&lt;0,0,D132-SUMIFS(GRN!$E$3:$E996,GRN!$D$3:$D996,C132)))</f>
        <v/>
      </c>
    </row>
    <row r="133" spans="1:5" ht="15.75" customHeight="1">
      <c r="A133" s="128"/>
      <c r="B133" s="128"/>
      <c r="C133" s="2"/>
      <c r="D133" s="87"/>
      <c r="E133" s="87" t="str">
        <f>IF(A133="","",IF(D133-SUMIFS(GRN!$E$3:$E996,GRN!$D$3:$D996,C133)&lt;0,0,D133-SUMIFS(GRN!$E$3:$E996,GRN!$D$3:$D996,C133)))</f>
        <v/>
      </c>
    </row>
    <row r="134" spans="1:5" ht="15.75" customHeight="1">
      <c r="A134" s="128"/>
      <c r="B134" s="128"/>
      <c r="C134" s="2"/>
      <c r="D134" s="87"/>
      <c r="E134" s="87" t="str">
        <f>IF(A134="","",IF(D134-SUMIFS(GRN!$E$3:$E996,GRN!$D$3:$D996,C134)&lt;0,0,D134-SUMIFS(GRN!$E$3:$E996,GRN!$D$3:$D996,C134)))</f>
        <v/>
      </c>
    </row>
    <row r="135" spans="1:5" ht="15.75" customHeight="1">
      <c r="A135" s="128"/>
      <c r="B135" s="128"/>
      <c r="C135" s="2"/>
      <c r="D135" s="87"/>
      <c r="E135" s="87" t="str">
        <f>IF(A135="","",IF(D135-SUMIFS(GRN!$E$3:$E996,GRN!$D$3:$D996,C135)&lt;0,0,D135-SUMIFS(GRN!$E$3:$E996,GRN!$D$3:$D996,C135)))</f>
        <v/>
      </c>
    </row>
    <row r="136" spans="1:5" ht="15.75" customHeight="1">
      <c r="A136" s="128"/>
      <c r="B136" s="128"/>
      <c r="C136" s="2"/>
      <c r="D136" s="87"/>
      <c r="E136" s="87" t="str">
        <f>IF(A136="","",IF(D136-SUMIFS(GRN!$E$3:$E996,GRN!$D$3:$D996,C136)&lt;0,0,D136-SUMIFS(GRN!$E$3:$E996,GRN!$D$3:$D996,C136)))</f>
        <v/>
      </c>
    </row>
    <row r="137" spans="1:5" ht="15.75" customHeight="1">
      <c r="A137" s="128"/>
      <c r="B137" s="128"/>
      <c r="C137" s="2"/>
      <c r="D137" s="87"/>
      <c r="E137" s="87" t="str">
        <f>IF(A137="","",IF(D137-SUMIFS(GRN!$E$3:$E996,GRN!$D$3:$D996,C137)&lt;0,0,D137-SUMIFS(GRN!$E$3:$E996,GRN!$D$3:$D996,C137)))</f>
        <v/>
      </c>
    </row>
    <row r="138" spans="1:5" ht="15.75" customHeight="1">
      <c r="A138" s="128"/>
      <c r="B138" s="128"/>
      <c r="C138" s="2"/>
      <c r="D138" s="87"/>
      <c r="E138" s="87" t="str">
        <f>IF(A138="","",IF(D138-SUMIFS(GRN!$E$3:$E996,GRN!$D$3:$D996,C138)&lt;0,0,D138-SUMIFS(GRN!$E$3:$E996,GRN!$D$3:$D996,C138)))</f>
        <v/>
      </c>
    </row>
    <row r="139" spans="1:5" ht="15.75" customHeight="1">
      <c r="A139" s="128"/>
      <c r="B139" s="128"/>
      <c r="C139" s="2"/>
      <c r="D139" s="87"/>
      <c r="E139" s="87" t="str">
        <f>IF(A139="","",IF(D139-SUMIFS(GRN!$E$3:$E996,GRN!$D$3:$D996,C139)&lt;0,0,D139-SUMIFS(GRN!$E$3:$E996,GRN!$D$3:$D996,C139)))</f>
        <v/>
      </c>
    </row>
    <row r="140" spans="1:5" ht="15.75" customHeight="1">
      <c r="A140" s="128"/>
      <c r="B140" s="128"/>
      <c r="C140" s="2"/>
      <c r="D140" s="87"/>
      <c r="E140" s="87" t="str">
        <f>IF(A140="","",IF(D140-SUMIFS(GRN!$E$3:$E996,GRN!$D$3:$D996,C140)&lt;0,0,D140-SUMIFS(GRN!$E$3:$E996,GRN!$D$3:$D996,C140)))</f>
        <v/>
      </c>
    </row>
    <row r="141" spans="1:5" ht="15.75" customHeight="1">
      <c r="A141" s="128"/>
      <c r="B141" s="128"/>
      <c r="C141" s="2"/>
      <c r="D141" s="87"/>
      <c r="E141" s="87" t="str">
        <f>IF(A141="","",IF(D141-SUMIFS(GRN!$E$3:$E996,GRN!$D$3:$D996,C141)&lt;0,0,D141-SUMIFS(GRN!$E$3:$E996,GRN!$D$3:$D996,C141)))</f>
        <v/>
      </c>
    </row>
    <row r="142" spans="1:5" ht="15.75" customHeight="1">
      <c r="A142" s="128"/>
      <c r="B142" s="128"/>
      <c r="C142" s="2"/>
      <c r="D142" s="87"/>
      <c r="E142" s="87" t="str">
        <f>IF(A142="","",IF(D142-SUMIFS(GRN!$E$3:$E996,GRN!$D$3:$D996,C142)&lt;0,0,D142-SUMIFS(GRN!$E$3:$E996,GRN!$D$3:$D996,C142)))</f>
        <v/>
      </c>
    </row>
    <row r="143" spans="1:5" ht="15.75" customHeight="1">
      <c r="A143" s="128"/>
      <c r="B143" s="128"/>
      <c r="C143" s="2"/>
      <c r="D143" s="87"/>
      <c r="E143" s="87" t="str">
        <f>IF(A143="","",IF(D143-SUMIFS(GRN!$E$3:$E996,GRN!$D$3:$D996,C143)&lt;0,0,D143-SUMIFS(GRN!$E$3:$E996,GRN!$D$3:$D996,C143)))</f>
        <v/>
      </c>
    </row>
    <row r="144" spans="1:5" ht="15.75" customHeight="1">
      <c r="A144" s="128"/>
      <c r="B144" s="128"/>
      <c r="C144" s="2"/>
      <c r="D144" s="87"/>
      <c r="E144" s="87" t="str">
        <f>IF(A144="","",IF(D144-SUMIFS(GRN!$E$3:$E996,GRN!$D$3:$D996,C144)&lt;0,0,D144-SUMIFS(GRN!$E$3:$E996,GRN!$D$3:$D996,C144)))</f>
        <v/>
      </c>
    </row>
    <row r="145" spans="1:5" ht="15.75" customHeight="1">
      <c r="A145" s="128"/>
      <c r="B145" s="128"/>
      <c r="C145" s="2"/>
      <c r="D145" s="87"/>
      <c r="E145" s="87" t="str">
        <f>IF(A145="","",IF(D145-SUMIFS(GRN!$E$3:$E996,GRN!$D$3:$D996,C145)&lt;0,0,D145-SUMIFS(GRN!$E$3:$E996,GRN!$D$3:$D996,C145)))</f>
        <v/>
      </c>
    </row>
    <row r="146" spans="1:5" ht="15.75" customHeight="1">
      <c r="A146" s="128"/>
      <c r="B146" s="128"/>
      <c r="C146" s="2"/>
      <c r="D146" s="87"/>
      <c r="E146" s="87" t="str">
        <f>IF(A146="","",IF(D146-SUMIFS(GRN!$E$3:$E996,GRN!$D$3:$D996,C146)&lt;0,0,D146-SUMIFS(GRN!$E$3:$E996,GRN!$D$3:$D996,C146)))</f>
        <v/>
      </c>
    </row>
    <row r="147" spans="1:5" ht="15.75" customHeight="1">
      <c r="A147" s="128"/>
      <c r="B147" s="128"/>
      <c r="C147" s="2"/>
      <c r="D147" s="87"/>
      <c r="E147" s="87" t="str">
        <f>IF(A147="","",IF(D147-SUMIFS(GRN!$E$3:$E996,GRN!$D$3:$D996,C147)&lt;0,0,D147-SUMIFS(GRN!$E$3:$E996,GRN!$D$3:$D996,C147)))</f>
        <v/>
      </c>
    </row>
    <row r="148" spans="1:5" ht="15.75" customHeight="1">
      <c r="A148" s="128"/>
      <c r="B148" s="128"/>
      <c r="C148" s="2"/>
      <c r="D148" s="87"/>
      <c r="E148" s="87" t="str">
        <f>IF(A148="","",IF(D148-SUMIFS(GRN!$E$3:$E996,GRN!$D$3:$D996,C148)&lt;0,0,D148-SUMIFS(GRN!$E$3:$E996,GRN!$D$3:$D996,C148)))</f>
        <v/>
      </c>
    </row>
    <row r="149" spans="1:5" ht="15.75" customHeight="1">
      <c r="A149" s="128"/>
      <c r="B149" s="128"/>
      <c r="C149" s="2"/>
      <c r="D149" s="87"/>
      <c r="E149" s="87" t="str">
        <f>IF(A149="","",IF(D149-SUMIFS(GRN!$E$3:$E996,GRN!$D$3:$D996,C149)&lt;0,0,D149-SUMIFS(GRN!$E$3:$E996,GRN!$D$3:$D996,C149)))</f>
        <v/>
      </c>
    </row>
    <row r="150" spans="1:5" ht="15.75" customHeight="1">
      <c r="A150" s="128"/>
      <c r="B150" s="128"/>
      <c r="C150" s="2"/>
      <c r="D150" s="87"/>
      <c r="E150" s="87" t="str">
        <f>IF(A150="","",IF(D150-SUMIFS(GRN!$E$3:$E996,GRN!$D$3:$D996,C150)&lt;0,0,D150-SUMIFS(GRN!$E$3:$E996,GRN!$D$3:$D996,C150)))</f>
        <v/>
      </c>
    </row>
    <row r="151" spans="1:5" ht="15.75" customHeight="1">
      <c r="A151" s="128"/>
      <c r="B151" s="128"/>
      <c r="C151" s="2"/>
      <c r="D151" s="87"/>
      <c r="E151" s="87" t="str">
        <f>IF(A151="","",IF(D151-SUMIFS(GRN!$E$3:$E996,GRN!$D$3:$D996,C151)&lt;0,0,D151-SUMIFS(GRN!$E$3:$E996,GRN!$D$3:$D996,C151)))</f>
        <v/>
      </c>
    </row>
    <row r="152" spans="1:5" ht="15.75" customHeight="1">
      <c r="A152" s="128"/>
      <c r="B152" s="128"/>
      <c r="C152" s="2"/>
      <c r="D152" s="87"/>
      <c r="E152" s="87" t="str">
        <f>IF(A152="","",IF(D152-SUMIFS(GRN!$E$3:$E996,GRN!$D$3:$D996,C152)&lt;0,0,D152-SUMIFS(GRN!$E$3:$E996,GRN!$D$3:$D996,C152)))</f>
        <v/>
      </c>
    </row>
    <row r="153" spans="1:5" ht="15.75" customHeight="1">
      <c r="A153" s="128"/>
      <c r="B153" s="128"/>
      <c r="C153" s="2"/>
      <c r="D153" s="87"/>
      <c r="E153" s="87" t="str">
        <f>IF(A153="","",IF(D153-SUMIFS(GRN!$E$3:$E996,GRN!$D$3:$D996,C153)&lt;0,0,D153-SUMIFS(GRN!$E$3:$E996,GRN!$D$3:$D996,C153)))</f>
        <v/>
      </c>
    </row>
    <row r="154" spans="1:5" ht="15.75" customHeight="1">
      <c r="A154" s="128"/>
      <c r="B154" s="128"/>
      <c r="C154" s="2"/>
      <c r="D154" s="87"/>
      <c r="E154" s="87" t="str">
        <f>IF(A154="","",IF(D154-SUMIFS(GRN!$E$3:$E996,GRN!$D$3:$D996,C154)&lt;0,0,D154-SUMIFS(GRN!$E$3:$E996,GRN!$D$3:$D996,C154)))</f>
        <v/>
      </c>
    </row>
    <row r="155" spans="1:5" ht="15.75" customHeight="1">
      <c r="A155" s="128"/>
      <c r="B155" s="128"/>
      <c r="C155" s="2"/>
      <c r="D155" s="87"/>
      <c r="E155" s="87" t="str">
        <f>IF(A155="","",IF(D155-SUMIFS(GRN!$E$3:$E996,GRN!$D$3:$D996,C155)&lt;0,0,D155-SUMIFS(GRN!$E$3:$E996,GRN!$D$3:$D996,C155)))</f>
        <v/>
      </c>
    </row>
    <row r="156" spans="1:5" ht="15.75" customHeight="1">
      <c r="A156" s="128"/>
      <c r="B156" s="128"/>
      <c r="C156" s="2"/>
      <c r="D156" s="87"/>
      <c r="E156" s="87" t="str">
        <f>IF(A156="","",IF(D156-SUMIFS(GRN!$E$3:$E996,GRN!$D$3:$D996,C156)&lt;0,0,D156-SUMIFS(GRN!$E$3:$E996,GRN!$D$3:$D996,C156)))</f>
        <v/>
      </c>
    </row>
    <row r="157" spans="1:5" ht="15.75" customHeight="1">
      <c r="A157" s="128"/>
      <c r="B157" s="128"/>
      <c r="C157" s="2"/>
      <c r="D157" s="87"/>
      <c r="E157" s="87" t="str">
        <f>IF(A157="","",IF(D157-SUMIFS(GRN!$E$3:$E996,GRN!$D$3:$D996,C157)&lt;0,0,D157-SUMIFS(GRN!$E$3:$E996,GRN!$D$3:$D996,C157)))</f>
        <v/>
      </c>
    </row>
    <row r="158" spans="1:5" ht="15.75" customHeight="1">
      <c r="A158" s="128"/>
      <c r="B158" s="128"/>
      <c r="C158" s="2"/>
      <c r="D158" s="87"/>
      <c r="E158" s="87" t="str">
        <f>IF(A158="","",IF(D158-SUMIFS(GRN!$E$3:$E996,GRN!$D$3:$D996,C158)&lt;0,0,D158-SUMIFS(GRN!$E$3:$E996,GRN!$D$3:$D996,C158)))</f>
        <v/>
      </c>
    </row>
    <row r="159" spans="1:5" ht="15.75" customHeight="1">
      <c r="A159" s="128"/>
      <c r="B159" s="128"/>
      <c r="C159" s="2"/>
      <c r="D159" s="87"/>
      <c r="E159" s="87" t="str">
        <f>IF(A159="","",IF(D159-SUMIFS(GRN!$E$3:$E996,GRN!$D$3:$D996,C159)&lt;0,0,D159-SUMIFS(GRN!$E$3:$E996,GRN!$D$3:$D996,C159)))</f>
        <v/>
      </c>
    </row>
    <row r="160" spans="1:5" ht="15.75" customHeight="1">
      <c r="A160" s="128"/>
      <c r="B160" s="128"/>
      <c r="C160" s="2"/>
      <c r="D160" s="87"/>
      <c r="E160" s="87" t="str">
        <f>IF(A160="","",IF(D160-SUMIFS(GRN!$E$3:$E996,GRN!$D$3:$D996,C160)&lt;0,0,D160-SUMIFS(GRN!$E$3:$E996,GRN!$D$3:$D996,C160)))</f>
        <v/>
      </c>
    </row>
    <row r="161" spans="1:5" ht="15.75" customHeight="1">
      <c r="A161" s="128"/>
      <c r="B161" s="128"/>
      <c r="C161" s="2"/>
      <c r="D161" s="87"/>
      <c r="E161" s="87" t="str">
        <f>IF(A161="","",IF(D161-SUMIFS(GRN!$E$3:$E996,GRN!$D$3:$D996,C161)&lt;0,0,D161-SUMIFS(GRN!$E$3:$E996,GRN!$D$3:$D996,C161)))</f>
        <v/>
      </c>
    </row>
    <row r="162" spans="1:5" ht="15.75" customHeight="1">
      <c r="A162" s="128"/>
      <c r="B162" s="128"/>
      <c r="C162" s="2"/>
      <c r="D162" s="87"/>
      <c r="E162" s="87" t="str">
        <f>IF(A162="","",IF(D162-SUMIFS(GRN!$E$3:$E996,GRN!$D$3:$D996,C162)&lt;0,0,D162-SUMIFS(GRN!$E$3:$E996,GRN!$D$3:$D996,C162)))</f>
        <v/>
      </c>
    </row>
    <row r="163" spans="1:5" ht="15.75" customHeight="1">
      <c r="A163" s="128"/>
      <c r="B163" s="128"/>
      <c r="C163" s="2"/>
      <c r="D163" s="87"/>
      <c r="E163" s="87" t="str">
        <f>IF(A163="","",IF(D163-SUMIFS(GRN!$E$3:$E996,GRN!$D$3:$D996,C163)&lt;0,0,D163-SUMIFS(GRN!$E$3:$E996,GRN!$D$3:$D996,C163)))</f>
        <v/>
      </c>
    </row>
    <row r="164" spans="1:5" ht="15.75" customHeight="1">
      <c r="A164" s="128"/>
      <c r="B164" s="128"/>
      <c r="C164" s="2"/>
      <c r="D164" s="87"/>
      <c r="E164" s="87" t="str">
        <f>IF(A164="","",IF(D164-SUMIFS(GRN!$E$3:$E996,GRN!$D$3:$D996,C164)&lt;0,0,D164-SUMIFS(GRN!$E$3:$E996,GRN!$D$3:$D996,C164)))</f>
        <v/>
      </c>
    </row>
    <row r="165" spans="1:5" ht="15.75" customHeight="1">
      <c r="A165" s="128"/>
      <c r="B165" s="128"/>
      <c r="C165" s="2"/>
      <c r="D165" s="87"/>
      <c r="E165" s="87" t="str">
        <f>IF(A165="","",IF(D165-SUMIFS(GRN!$E$3:$E996,GRN!$D$3:$D996,C165)&lt;0,0,D165-SUMIFS(GRN!$E$3:$E996,GRN!$D$3:$D996,C165)))</f>
        <v/>
      </c>
    </row>
    <row r="166" spans="1:5" ht="15.75" customHeight="1">
      <c r="A166" s="128"/>
      <c r="B166" s="128"/>
      <c r="C166" s="2"/>
      <c r="D166" s="87"/>
      <c r="E166" s="87" t="str">
        <f>IF(A166="","",IF(D166-SUMIFS(GRN!$E$3:$E996,GRN!$D$3:$D996,C166)&lt;0,0,D166-SUMIFS(GRN!$E$3:$E996,GRN!$D$3:$D996,C166)))</f>
        <v/>
      </c>
    </row>
    <row r="167" spans="1:5" ht="15.75" customHeight="1">
      <c r="A167" s="128"/>
      <c r="B167" s="128"/>
      <c r="C167" s="2"/>
      <c r="D167" s="87"/>
      <c r="E167" s="87" t="str">
        <f>IF(A167="","",IF(D167-SUMIFS(GRN!$E$3:$E996,GRN!$D$3:$D996,C167)&lt;0,0,D167-SUMIFS(GRN!$E$3:$E996,GRN!$D$3:$D996,C167)))</f>
        <v/>
      </c>
    </row>
    <row r="168" spans="1:5" ht="15.75" customHeight="1">
      <c r="A168" s="128"/>
      <c r="B168" s="128"/>
      <c r="C168" s="2"/>
      <c r="D168" s="87"/>
      <c r="E168" s="87" t="str">
        <f>IF(A168="","",IF(D168-SUMIFS(GRN!$E$3:$E996,GRN!$D$3:$D996,C168)&lt;0,0,D168-SUMIFS(GRN!$E$3:$E996,GRN!$D$3:$D996,C168)))</f>
        <v/>
      </c>
    </row>
    <row r="169" spans="1:5" ht="15.75" customHeight="1">
      <c r="A169" s="128"/>
      <c r="B169" s="128"/>
      <c r="C169" s="2"/>
      <c r="D169" s="87"/>
      <c r="E169" s="87" t="str">
        <f>IF(A169="","",IF(D169-SUMIFS(GRN!$E$3:$E996,GRN!$D$3:$D996,C169)&lt;0,0,D169-SUMIFS(GRN!$E$3:$E996,GRN!$D$3:$D996,C169)))</f>
        <v/>
      </c>
    </row>
    <row r="170" spans="1:5" ht="15.75" customHeight="1">
      <c r="A170" s="128"/>
      <c r="B170" s="128"/>
      <c r="C170" s="2"/>
      <c r="D170" s="87"/>
      <c r="E170" s="87" t="str">
        <f>IF(A170="","",IF(D170-SUMIFS(GRN!$E$3:$E996,GRN!$D$3:$D996,C170)&lt;0,0,D170-SUMIFS(GRN!$E$3:$E996,GRN!$D$3:$D996,C170)))</f>
        <v/>
      </c>
    </row>
    <row r="171" spans="1:5" ht="15.75" customHeight="1">
      <c r="A171" s="128"/>
      <c r="B171" s="128"/>
      <c r="C171" s="2"/>
      <c r="D171" s="87"/>
      <c r="E171" s="87" t="str">
        <f>IF(A171="","",IF(D171-SUMIFS(GRN!$E$3:$E996,GRN!$D$3:$D996,C171)&lt;0,0,D171-SUMIFS(GRN!$E$3:$E996,GRN!$D$3:$D996,C171)))</f>
        <v/>
      </c>
    </row>
    <row r="172" spans="1:5" ht="15.75" customHeight="1">
      <c r="A172" s="128"/>
      <c r="B172" s="128"/>
      <c r="C172" s="2"/>
      <c r="D172" s="87"/>
      <c r="E172" s="87" t="str">
        <f>IF(A172="","",IF(D172-SUMIFS(GRN!$E$3:$E996,GRN!$D$3:$D996,C172)&lt;0,0,D172-SUMIFS(GRN!$E$3:$E996,GRN!$D$3:$D996,C172)))</f>
        <v/>
      </c>
    </row>
    <row r="173" spans="1:5" ht="15.75" customHeight="1">
      <c r="A173" s="128"/>
      <c r="B173" s="128"/>
      <c r="C173" s="2"/>
      <c r="D173" s="87"/>
      <c r="E173" s="87" t="str">
        <f>IF(A173="","",IF(D173-SUMIFS(GRN!$E$3:$E996,GRN!$D$3:$D996,C173)&lt;0,0,D173-SUMIFS(GRN!$E$3:$E996,GRN!$D$3:$D996,C173)))</f>
        <v/>
      </c>
    </row>
    <row r="174" spans="1:5" ht="15.75" customHeight="1">
      <c r="A174" s="128"/>
      <c r="B174" s="128"/>
      <c r="C174" s="2"/>
      <c r="D174" s="87"/>
      <c r="E174" s="87" t="str">
        <f>IF(A174="","",IF(D174-SUMIFS(GRN!$E$3:$E996,GRN!$D$3:$D996,C174)&lt;0,0,D174-SUMIFS(GRN!$E$3:$E996,GRN!$D$3:$D996,C174)))</f>
        <v/>
      </c>
    </row>
    <row r="175" spans="1:5" ht="15.75" customHeight="1">
      <c r="A175" s="128"/>
      <c r="B175" s="128"/>
      <c r="C175" s="2"/>
      <c r="D175" s="87"/>
      <c r="E175" s="87" t="str">
        <f>IF(A175="","",IF(D175-SUMIFS(GRN!$E$3:$E996,GRN!$D$3:$D996,C175)&lt;0,0,D175-SUMIFS(GRN!$E$3:$E996,GRN!$D$3:$D996,C175)))</f>
        <v/>
      </c>
    </row>
    <row r="176" spans="1:5" ht="15.75" customHeight="1">
      <c r="A176" s="128"/>
      <c r="B176" s="128"/>
      <c r="C176" s="2"/>
      <c r="D176" s="87"/>
      <c r="E176" s="87" t="str">
        <f>IF(A176="","",IF(D176-SUMIFS(GRN!$E$3:$E996,GRN!$D$3:$D996,C176)&lt;0,0,D176-SUMIFS(GRN!$E$3:$E996,GRN!$D$3:$D996,C176)))</f>
        <v/>
      </c>
    </row>
    <row r="177" spans="1:5" ht="15.75" customHeight="1">
      <c r="A177" s="128"/>
      <c r="B177" s="128"/>
      <c r="C177" s="2"/>
      <c r="D177" s="87"/>
      <c r="E177" s="87" t="str">
        <f>IF(A177="","",IF(D177-SUMIFS(GRN!$E$3:$E996,GRN!$D$3:$D996,C177)&lt;0,0,D177-SUMIFS(GRN!$E$3:$E996,GRN!$D$3:$D996,C177)))</f>
        <v/>
      </c>
    </row>
    <row r="178" spans="1:5" ht="15.75" customHeight="1">
      <c r="A178" s="128"/>
      <c r="B178" s="128"/>
      <c r="C178" s="2"/>
      <c r="D178" s="87"/>
      <c r="E178" s="87" t="str">
        <f>IF(A178="","",IF(D178-SUMIFS(GRN!$E$3:$E996,GRN!$D$3:$D996,C178)&lt;0,0,D178-SUMIFS(GRN!$E$3:$E996,GRN!$D$3:$D996,C178)))</f>
        <v/>
      </c>
    </row>
    <row r="179" spans="1:5" ht="15.75" customHeight="1">
      <c r="A179" s="128"/>
      <c r="B179" s="128"/>
      <c r="C179" s="2"/>
      <c r="D179" s="87"/>
      <c r="E179" s="87" t="str">
        <f>IF(A179="","",IF(D179-SUMIFS(GRN!$E$3:$E996,GRN!$D$3:$D996,C179)&lt;0,0,D179-SUMIFS(GRN!$E$3:$E996,GRN!$D$3:$D996,C179)))</f>
        <v/>
      </c>
    </row>
    <row r="180" spans="1:5" ht="15.75" customHeight="1">
      <c r="A180" s="128"/>
      <c r="B180" s="128"/>
      <c r="C180" s="2"/>
      <c r="D180" s="87"/>
      <c r="E180" s="87" t="str">
        <f>IF(A180="","",IF(D180-SUMIFS(GRN!$E$3:$E996,GRN!$D$3:$D996,C180)&lt;0,0,D180-SUMIFS(GRN!$E$3:$E996,GRN!$D$3:$D996,C180)))</f>
        <v/>
      </c>
    </row>
    <row r="181" spans="1:5" ht="15.75" customHeight="1">
      <c r="A181" s="128"/>
      <c r="B181" s="128"/>
      <c r="C181" s="2"/>
      <c r="D181" s="87"/>
      <c r="E181" s="87" t="str">
        <f>IF(A181="","",IF(D181-SUMIFS(GRN!$E$3:$E996,GRN!$D$3:$D996,C181)&lt;0,0,D181-SUMIFS(GRN!$E$3:$E996,GRN!$D$3:$D996,C181)))</f>
        <v/>
      </c>
    </row>
    <row r="182" spans="1:5" ht="15.75" customHeight="1">
      <c r="A182" s="128"/>
      <c r="B182" s="128"/>
      <c r="C182" s="2"/>
      <c r="D182" s="87"/>
      <c r="E182" s="87" t="str">
        <f>IF(A182="","",IF(D182-SUMIFS(GRN!$E$3:$E996,GRN!$D$3:$D996,C182)&lt;0,0,D182-SUMIFS(GRN!$E$3:$E996,GRN!$D$3:$D996,C182)))</f>
        <v/>
      </c>
    </row>
    <row r="183" spans="1:5" ht="15.75" customHeight="1">
      <c r="A183" s="128"/>
      <c r="B183" s="128"/>
      <c r="C183" s="2"/>
      <c r="D183" s="87"/>
      <c r="E183" s="87" t="str">
        <f>IF(A183="","",IF(D183-SUMIFS(GRN!$E$3:$E996,GRN!$D$3:$D996,C183)&lt;0,0,D183-SUMIFS(GRN!$E$3:$E996,GRN!$D$3:$D996,C183)))</f>
        <v/>
      </c>
    </row>
    <row r="184" spans="1:5" ht="15.75" customHeight="1">
      <c r="A184" s="128"/>
      <c r="B184" s="128"/>
      <c r="C184" s="2"/>
      <c r="D184" s="87"/>
      <c r="E184" s="87" t="str">
        <f>IF(A184="","",IF(D184-SUMIFS(GRN!$E$3:$E996,GRN!$D$3:$D996,C184)&lt;0,0,D184-SUMIFS(GRN!$E$3:$E996,GRN!$D$3:$D996,C184)))</f>
        <v/>
      </c>
    </row>
    <row r="185" spans="1:5" ht="15.75" customHeight="1">
      <c r="A185" s="128"/>
      <c r="B185" s="128"/>
      <c r="C185" s="2"/>
      <c r="D185" s="87"/>
      <c r="E185" s="87" t="str">
        <f>IF(A185="","",IF(D185-SUMIFS(GRN!$E$3:$E996,GRN!$D$3:$D996,C185)&lt;0,0,D185-SUMIFS(GRN!$E$3:$E996,GRN!$D$3:$D996,C185)))</f>
        <v/>
      </c>
    </row>
    <row r="186" spans="1:5" ht="15.75" customHeight="1">
      <c r="A186" s="128"/>
      <c r="B186" s="128"/>
      <c r="C186" s="2"/>
      <c r="D186" s="87"/>
      <c r="E186" s="87" t="str">
        <f>IF(A186="","",IF(D186-SUMIFS(GRN!$E$3:$E996,GRN!$D$3:$D996,C186)&lt;0,0,D186-SUMIFS(GRN!$E$3:$E996,GRN!$D$3:$D996,C186)))</f>
        <v/>
      </c>
    </row>
    <row r="187" spans="1:5" ht="15.75" customHeight="1">
      <c r="A187" s="128"/>
      <c r="B187" s="128"/>
      <c r="C187" s="2"/>
      <c r="D187" s="87"/>
      <c r="E187" s="87" t="str">
        <f>IF(A187="","",IF(D187-SUMIFS(GRN!$E$3:$E996,GRN!$D$3:$D996,C187)&lt;0,0,D187-SUMIFS(GRN!$E$3:$E996,GRN!$D$3:$D996,C187)))</f>
        <v/>
      </c>
    </row>
    <row r="188" spans="1:5" ht="15.75" customHeight="1">
      <c r="A188" s="128"/>
      <c r="B188" s="128"/>
      <c r="C188" s="2"/>
      <c r="D188" s="87"/>
      <c r="E188" s="87" t="str">
        <f>IF(A188="","",IF(D188-SUMIFS(GRN!$E$3:$E996,GRN!$D$3:$D996,C188)&lt;0,0,D188-SUMIFS(GRN!$E$3:$E996,GRN!$D$3:$D996,C188)))</f>
        <v/>
      </c>
    </row>
    <row r="189" spans="1:5" ht="15.75" customHeight="1">
      <c r="A189" s="128"/>
      <c r="B189" s="128"/>
      <c r="C189" s="2"/>
      <c r="D189" s="87"/>
      <c r="E189" s="87" t="str">
        <f>IF(A189="","",IF(D189-SUMIFS(GRN!$E$3:$E996,GRN!$D$3:$D996,C189)&lt;0,0,D189-SUMIFS(GRN!$E$3:$E996,GRN!$D$3:$D996,C189)))</f>
        <v/>
      </c>
    </row>
    <row r="190" spans="1:5" ht="15.75" customHeight="1">
      <c r="A190" s="128"/>
      <c r="B190" s="128"/>
      <c r="C190" s="2"/>
      <c r="D190" s="87"/>
      <c r="E190" s="87" t="str">
        <f>IF(A190="","",IF(D190-SUMIFS(GRN!$E$3:$E996,GRN!$D$3:$D996,C190)&lt;0,0,D190-SUMIFS(GRN!$E$3:$E996,GRN!$D$3:$D996,C190)))</f>
        <v/>
      </c>
    </row>
    <row r="191" spans="1:5" ht="15.75" customHeight="1">
      <c r="A191" s="128"/>
      <c r="B191" s="128"/>
      <c r="C191" s="2"/>
      <c r="D191" s="87"/>
      <c r="E191" s="87" t="str">
        <f>IF(A191="","",IF(D191-SUMIFS(GRN!$E$3:$E996,GRN!$D$3:$D996,C191)&lt;0,0,D191-SUMIFS(GRN!$E$3:$E996,GRN!$D$3:$D996,C191)))</f>
        <v/>
      </c>
    </row>
    <row r="192" spans="1:5" ht="15.75" customHeight="1">
      <c r="A192" s="128"/>
      <c r="B192" s="128"/>
      <c r="C192" s="2"/>
      <c r="D192" s="87"/>
      <c r="E192" s="87" t="str">
        <f>IF(A192="","",IF(D192-SUMIFS(GRN!$E$3:$E996,GRN!$D$3:$D996,C192)&lt;0,0,D192-SUMIFS(GRN!$E$3:$E996,GRN!$D$3:$D996,C192)))</f>
        <v/>
      </c>
    </row>
    <row r="193" spans="1:5" ht="15.75" customHeight="1">
      <c r="A193" s="128"/>
      <c r="B193" s="128"/>
      <c r="C193" s="2"/>
      <c r="D193" s="87"/>
      <c r="E193" s="87" t="str">
        <f>IF(A193="","",IF(D193-SUMIFS(GRN!$E$3:$E996,GRN!$D$3:$D996,C193)&lt;0,0,D193-SUMIFS(GRN!$E$3:$E996,GRN!$D$3:$D996,C193)))</f>
        <v/>
      </c>
    </row>
    <row r="194" spans="1:5" ht="15.75" customHeight="1">
      <c r="A194" s="128"/>
      <c r="B194" s="128"/>
      <c r="C194" s="2"/>
      <c r="D194" s="87"/>
      <c r="E194" s="87" t="str">
        <f>IF(A194="","",IF(D194-SUMIFS(GRN!$E$3:$E996,GRN!$D$3:$D996,C194)&lt;0,0,D194-SUMIFS(GRN!$E$3:$E996,GRN!$D$3:$D996,C194)))</f>
        <v/>
      </c>
    </row>
    <row r="195" spans="1:5" ht="15.75" customHeight="1">
      <c r="A195" s="128"/>
      <c r="B195" s="128"/>
      <c r="C195" s="2"/>
      <c r="D195" s="87"/>
      <c r="E195" s="87" t="str">
        <f>IF(A195="","",IF(D195-SUMIFS(GRN!$E$3:$E996,GRN!$D$3:$D996,C195)&lt;0,0,D195-SUMIFS(GRN!$E$3:$E996,GRN!$D$3:$D996,C195)))</f>
        <v/>
      </c>
    </row>
    <row r="196" spans="1:5" ht="15.75" customHeight="1">
      <c r="A196" s="128"/>
      <c r="B196" s="128"/>
      <c r="C196" s="2"/>
      <c r="D196" s="87"/>
      <c r="E196" s="87" t="str">
        <f>IF(A196="","",IF(D196-SUMIFS(GRN!$E$3:$E996,GRN!$D$3:$D996,C196)&lt;0,0,D196-SUMIFS(GRN!$E$3:$E996,GRN!$D$3:$D996,C196)))</f>
        <v/>
      </c>
    </row>
    <row r="197" spans="1:5" ht="15.75" customHeight="1">
      <c r="A197" s="128"/>
      <c r="B197" s="128"/>
      <c r="C197" s="2"/>
      <c r="D197" s="87"/>
      <c r="E197" s="87" t="str">
        <f>IF(A197="","",IF(D197-SUMIFS(GRN!$E$3:$E996,GRN!$D$3:$D996,C197)&lt;0,0,D197-SUMIFS(GRN!$E$3:$E996,GRN!$D$3:$D996,C197)))</f>
        <v/>
      </c>
    </row>
    <row r="198" spans="1:5" ht="15.75" customHeight="1">
      <c r="A198" s="128"/>
      <c r="B198" s="128"/>
      <c r="C198" s="2"/>
      <c r="D198" s="87"/>
      <c r="E198" s="87" t="str">
        <f>IF(A198="","",IF(D198-SUMIFS(GRN!$E$3:$E996,GRN!$D$3:$D996,C198)&lt;0,0,D198-SUMIFS(GRN!$E$3:$E996,GRN!$D$3:$D996,C198)))</f>
        <v/>
      </c>
    </row>
    <row r="199" spans="1:5" ht="15.75" customHeight="1">
      <c r="A199" s="128"/>
      <c r="B199" s="128"/>
      <c r="C199" s="2"/>
      <c r="D199" s="87"/>
      <c r="E199" s="87" t="str">
        <f>IF(A199="","",IF(D199-SUMIFS(GRN!$E$3:$E996,GRN!$D$3:$D996,C199)&lt;0,0,D199-SUMIFS(GRN!$E$3:$E996,GRN!$D$3:$D996,C199)))</f>
        <v/>
      </c>
    </row>
    <row r="200" spans="1:5" ht="15.75" customHeight="1">
      <c r="A200" s="128"/>
      <c r="B200" s="128"/>
      <c r="C200" s="2"/>
      <c r="D200" s="87"/>
      <c r="E200" s="87" t="str">
        <f>IF(A200="","",IF(D200-SUMIFS(GRN!$E$3:$E996,GRN!$D$3:$D996,C200)&lt;0,0,D200-SUMIFS(GRN!$E$3:$E996,GRN!$D$3:$D996,C200)))</f>
        <v/>
      </c>
    </row>
    <row r="201" spans="1:5" ht="15.75" customHeight="1">
      <c r="A201" s="128"/>
      <c r="B201" s="128"/>
      <c r="C201" s="2"/>
      <c r="D201" s="87"/>
      <c r="E201" s="87" t="str">
        <f>IF(A201="","",IF(D201-SUMIFS(GRN!$E$3:$E996,GRN!$D$3:$D996,C201)&lt;0,0,D201-SUMIFS(GRN!$E$3:$E996,GRN!$D$3:$D996,C201)))</f>
        <v/>
      </c>
    </row>
    <row r="202" spans="1:5" ht="15.75" customHeight="1">
      <c r="A202" s="128"/>
      <c r="B202" s="128"/>
      <c r="C202" s="2"/>
      <c r="D202" s="87"/>
      <c r="E202" s="87" t="str">
        <f>IF(A202="","",IF(D202-SUMIFS(GRN!$E$3:$E996,GRN!$D$3:$D996,C202)&lt;0,0,D202-SUMIFS(GRN!$E$3:$E996,GRN!$D$3:$D996,C202)))</f>
        <v/>
      </c>
    </row>
    <row r="203" spans="1:5" ht="15.75" customHeight="1">
      <c r="A203" s="128"/>
      <c r="B203" s="128"/>
      <c r="C203" s="2"/>
      <c r="D203" s="87"/>
      <c r="E203" s="87" t="str">
        <f>IF(A203="","",IF(D203-SUMIFS(GRN!$E$3:$E996,GRN!$D$3:$D996,C203)&lt;0,0,D203-SUMIFS(GRN!$E$3:$E996,GRN!$D$3:$D996,C203)))</f>
        <v/>
      </c>
    </row>
    <row r="204" spans="1:5" ht="15.75" customHeight="1">
      <c r="A204" s="128"/>
      <c r="B204" s="128"/>
      <c r="C204" s="2"/>
      <c r="D204" s="87"/>
      <c r="E204" s="87" t="str">
        <f>IF(A204="","",IF(D204-SUMIFS(GRN!$E$3:$E996,GRN!$D$3:$D996,C204)&lt;0,0,D204-SUMIFS(GRN!$E$3:$E996,GRN!$D$3:$D996,C204)))</f>
        <v/>
      </c>
    </row>
    <row r="205" spans="1:5" ht="15.75" customHeight="1">
      <c r="A205" s="128"/>
      <c r="B205" s="128"/>
      <c r="C205" s="2"/>
      <c r="D205" s="87"/>
      <c r="E205" s="87" t="str">
        <f>IF(A205="","",IF(D205-SUMIFS(GRN!$E$3:$E996,GRN!$D$3:$D996,C205)&lt;0,0,D205-SUMIFS(GRN!$E$3:$E996,GRN!$D$3:$D996,C205)))</f>
        <v/>
      </c>
    </row>
    <row r="206" spans="1:5" ht="15.75" customHeight="1">
      <c r="A206" s="128"/>
      <c r="B206" s="128"/>
      <c r="C206" s="2"/>
      <c r="D206" s="87"/>
      <c r="E206" s="87" t="str">
        <f>IF(A206="","",IF(D206-SUMIFS(GRN!$E$3:$E996,GRN!$D$3:$D996,C206)&lt;0,0,D206-SUMIFS(GRN!$E$3:$E996,GRN!$D$3:$D996,C206)))</f>
        <v/>
      </c>
    </row>
    <row r="207" spans="1:5" ht="15.75" customHeight="1">
      <c r="A207" s="128"/>
      <c r="B207" s="128"/>
      <c r="C207" s="2"/>
      <c r="D207" s="87"/>
      <c r="E207" s="87" t="str">
        <f>IF(A207="","",IF(D207-SUMIFS(GRN!$E$3:$E996,GRN!$D$3:$D996,C207)&lt;0,0,D207-SUMIFS(GRN!$E$3:$E996,GRN!$D$3:$D996,C207)))</f>
        <v/>
      </c>
    </row>
    <row r="208" spans="1:5" ht="15.75" customHeight="1">
      <c r="A208" s="128"/>
      <c r="B208" s="128"/>
      <c r="C208" s="2"/>
      <c r="D208" s="87"/>
      <c r="E208" s="87" t="str">
        <f>IF(A208="","",IF(D208-SUMIFS(GRN!$E$3:$E996,GRN!$D$3:$D996,C208)&lt;0,0,D208-SUMIFS(GRN!$E$3:$E996,GRN!$D$3:$D996,C208)))</f>
        <v/>
      </c>
    </row>
    <row r="209" spans="1:5" ht="15.75" customHeight="1">
      <c r="A209" s="128"/>
      <c r="B209" s="128"/>
      <c r="C209" s="2"/>
      <c r="D209" s="87"/>
      <c r="E209" s="87" t="str">
        <f>IF(A209="","",IF(D209-SUMIFS(GRN!$E$3:$E996,GRN!$D$3:$D996,C209)&lt;0,0,D209-SUMIFS(GRN!$E$3:$E996,GRN!$D$3:$D996,C209)))</f>
        <v/>
      </c>
    </row>
    <row r="210" spans="1:5" ht="15.75" customHeight="1">
      <c r="A210" s="128"/>
      <c r="B210" s="128"/>
      <c r="C210" s="2"/>
      <c r="D210" s="87"/>
      <c r="E210" s="87" t="str">
        <f>IF(A210="","",IF(D210-SUMIFS(GRN!$E$3:$E996,GRN!$D$3:$D996,C210)&lt;0,0,D210-SUMIFS(GRN!$E$3:$E996,GRN!$D$3:$D996,C210)))</f>
        <v/>
      </c>
    </row>
    <row r="211" spans="1:5" ht="15.75" customHeight="1">
      <c r="A211" s="128"/>
      <c r="B211" s="128"/>
      <c r="C211" s="2"/>
      <c r="D211" s="87"/>
      <c r="E211" s="87" t="str">
        <f>IF(A211="","",IF(D211-SUMIFS(GRN!$E$3:$E996,GRN!$D$3:$D996,C211)&lt;0,0,D211-SUMIFS(GRN!$E$3:$E996,GRN!$D$3:$D996,C211)))</f>
        <v/>
      </c>
    </row>
    <row r="212" spans="1:5" ht="15.75" customHeight="1">
      <c r="A212" s="128"/>
      <c r="B212" s="128"/>
      <c r="C212" s="2"/>
      <c r="D212" s="87"/>
      <c r="E212" s="87" t="str">
        <f>IF(A212="","",IF(D212-SUMIFS(GRN!$E$3:$E996,GRN!$D$3:$D996,C212)&lt;0,0,D212-SUMIFS(GRN!$E$3:$E996,GRN!$D$3:$D996,C212)))</f>
        <v/>
      </c>
    </row>
    <row r="213" spans="1:5" ht="15.75" customHeight="1">
      <c r="A213" s="128"/>
      <c r="B213" s="128"/>
      <c r="C213" s="2"/>
      <c r="D213" s="87"/>
      <c r="E213" s="87" t="str">
        <f>IF(A213="","",IF(D213-SUMIFS(GRN!$E$3:$E996,GRN!$D$3:$D996,C213)&lt;0,0,D213-SUMIFS(GRN!$E$3:$E996,GRN!$D$3:$D996,C213)))</f>
        <v/>
      </c>
    </row>
    <row r="214" spans="1:5" ht="15.75" customHeight="1">
      <c r="A214" s="128"/>
      <c r="B214" s="128"/>
      <c r="C214" s="2"/>
      <c r="D214" s="87"/>
      <c r="E214" s="87" t="str">
        <f>IF(A214="","",IF(D214-SUMIFS(GRN!$E$3:$E996,GRN!$D$3:$D996,C214)&lt;0,0,D214-SUMIFS(GRN!$E$3:$E996,GRN!$D$3:$D996,C214)))</f>
        <v/>
      </c>
    </row>
    <row r="215" spans="1:5" ht="15.75" customHeight="1">
      <c r="A215" s="128"/>
      <c r="B215" s="128"/>
      <c r="C215" s="2"/>
      <c r="D215" s="87"/>
      <c r="E215" s="87" t="str">
        <f>IF(A215="","",IF(D215-SUMIFS(GRN!$E$3:$E996,GRN!$D$3:$D996,C215)&lt;0,0,D215-SUMIFS(GRN!$E$3:$E996,GRN!$D$3:$D996,C215)))</f>
        <v/>
      </c>
    </row>
    <row r="216" spans="1:5" ht="15.75" customHeight="1">
      <c r="A216" s="128"/>
      <c r="B216" s="128"/>
      <c r="C216" s="2"/>
      <c r="D216" s="87"/>
      <c r="E216" s="87" t="str">
        <f>IF(A216="","",IF(D216-SUMIFS(GRN!$E$3:$E996,GRN!$D$3:$D996,C216)&lt;0,0,D216-SUMIFS(GRN!$E$3:$E996,GRN!$D$3:$D996,C216)))</f>
        <v/>
      </c>
    </row>
    <row r="217" spans="1:5" ht="15.75" customHeight="1">
      <c r="A217" s="128"/>
      <c r="B217" s="128"/>
      <c r="C217" s="2"/>
      <c r="D217" s="87"/>
      <c r="E217" s="87" t="str">
        <f>IF(A217="","",IF(D217-SUMIFS(GRN!$E$3:$E996,GRN!$D$3:$D996,C217)&lt;0,0,D217-SUMIFS(GRN!$E$3:$E996,GRN!$D$3:$D996,C217)))</f>
        <v/>
      </c>
    </row>
    <row r="218" spans="1:5" ht="15.75" customHeight="1">
      <c r="A218" s="128"/>
      <c r="B218" s="128"/>
      <c r="C218" s="2"/>
      <c r="D218" s="87"/>
      <c r="E218" s="87" t="str">
        <f>IF(A218="","",IF(D218-SUMIFS(GRN!$E$3:$E996,GRN!$D$3:$D996,C218)&lt;0,0,D218-SUMIFS(GRN!$E$3:$E996,GRN!$D$3:$D996,C218)))</f>
        <v/>
      </c>
    </row>
    <row r="219" spans="1:5" ht="15.75" customHeight="1">
      <c r="A219" s="128"/>
      <c r="B219" s="128"/>
      <c r="C219" s="2"/>
      <c r="D219" s="87"/>
      <c r="E219" s="87" t="str">
        <f>IF(A219="","",IF(D219-SUMIFS(GRN!$E$3:$E996,GRN!$D$3:$D996,C219)&lt;0,0,D219-SUMIFS(GRN!$E$3:$E996,GRN!$D$3:$D996,C219)))</f>
        <v/>
      </c>
    </row>
    <row r="220" spans="1:5" ht="15.75" customHeight="1">
      <c r="A220" s="128"/>
      <c r="B220" s="128"/>
      <c r="C220" s="2"/>
      <c r="D220" s="87"/>
      <c r="E220" s="87" t="str">
        <f>IF(A220="","",IF(D220-SUMIFS(GRN!$E$3:$E996,GRN!$D$3:$D996,C220)&lt;0,0,D220-SUMIFS(GRN!$E$3:$E996,GRN!$D$3:$D996,C220)))</f>
        <v/>
      </c>
    </row>
    <row r="221" spans="1:5" ht="15.75" customHeight="1">
      <c r="A221" s="128"/>
      <c r="B221" s="128"/>
      <c r="C221" s="2"/>
      <c r="D221" s="87"/>
      <c r="E221" s="87" t="str">
        <f>IF(A221="","",IF(D221-SUMIFS(GRN!$E$3:$E996,GRN!$D$3:$D996,C221)&lt;0,0,D221-SUMIFS(GRN!$E$3:$E996,GRN!$D$3:$D996,C221)))</f>
        <v/>
      </c>
    </row>
    <row r="222" spans="1:5" ht="15.75" customHeight="1">
      <c r="A222" s="128"/>
      <c r="B222" s="128"/>
      <c r="C222" s="2"/>
      <c r="D222" s="87"/>
      <c r="E222" s="87" t="str">
        <f>IF(A222="","",IF(D222-SUMIFS(GRN!$E$3:$E996,GRN!$D$3:$D996,C222)&lt;0,0,D222-SUMIFS(GRN!$E$3:$E996,GRN!$D$3:$D996,C222)))</f>
        <v/>
      </c>
    </row>
    <row r="223" spans="1:5" ht="15.75" customHeight="1">
      <c r="A223" s="128"/>
      <c r="B223" s="128"/>
      <c r="C223" s="2"/>
      <c r="D223" s="87"/>
      <c r="E223" s="87" t="str">
        <f>IF(A223="","",IF(D223-SUMIFS(GRN!$E$3:$E996,GRN!$D$3:$D996,C223)&lt;0,0,D223-SUMIFS(GRN!$E$3:$E996,GRN!$D$3:$D996,C223)))</f>
        <v/>
      </c>
    </row>
    <row r="224" spans="1:5" ht="15.75" customHeight="1">
      <c r="A224" s="128"/>
      <c r="B224" s="128"/>
      <c r="C224" s="2"/>
      <c r="D224" s="87"/>
      <c r="E224" s="87" t="str">
        <f>IF(A224="","",IF(D224-SUMIFS(GRN!$E$3:$E996,GRN!$D$3:$D996,C224)&lt;0,0,D224-SUMIFS(GRN!$E$3:$E996,GRN!$D$3:$D996,C224)))</f>
        <v/>
      </c>
    </row>
    <row r="225" spans="1:5" ht="15.75" customHeight="1">
      <c r="A225" s="128"/>
      <c r="B225" s="128"/>
      <c r="C225" s="2"/>
      <c r="D225" s="87"/>
      <c r="E225" s="87" t="str">
        <f>IF(A225="","",IF(D225-SUMIFS(GRN!$E$3:$E996,GRN!$D$3:$D996,C225)&lt;0,0,D225-SUMIFS(GRN!$E$3:$E996,GRN!$D$3:$D996,C225)))</f>
        <v/>
      </c>
    </row>
    <row r="226" spans="1:5" ht="15.75" customHeight="1">
      <c r="A226" s="128"/>
      <c r="B226" s="128"/>
      <c r="C226" s="2"/>
      <c r="D226" s="87"/>
      <c r="E226" s="87" t="str">
        <f>IF(A226="","",IF(D226-SUMIFS(GRN!$E$3:$E996,GRN!$D$3:$D996,C226)&lt;0,0,D226-SUMIFS(GRN!$E$3:$E996,GRN!$D$3:$D996,C226)))</f>
        <v/>
      </c>
    </row>
    <row r="227" spans="1:5" ht="15.75" customHeight="1">
      <c r="A227" s="128"/>
      <c r="B227" s="128"/>
      <c r="C227" s="2"/>
      <c r="D227" s="87"/>
      <c r="E227" s="87" t="str">
        <f>IF(A227="","",IF(D227-SUMIFS(GRN!$E$3:$E996,GRN!$D$3:$D996,C227)&lt;0,0,D227-SUMIFS(GRN!$E$3:$E996,GRN!$D$3:$D996,C227)))</f>
        <v/>
      </c>
    </row>
    <row r="228" spans="1:5" ht="15.75" customHeight="1">
      <c r="A228" s="128"/>
      <c r="B228" s="128"/>
      <c r="C228" s="2"/>
      <c r="D228" s="87"/>
      <c r="E228" s="87" t="str">
        <f>IF(A228="","",IF(D228-SUMIFS(GRN!$E$3:$E996,GRN!$D$3:$D996,C228)&lt;0,0,D228-SUMIFS(GRN!$E$3:$E996,GRN!$D$3:$D996,C228)))</f>
        <v/>
      </c>
    </row>
    <row r="229" spans="1:5" ht="15.75" customHeight="1">
      <c r="A229" s="128"/>
      <c r="B229" s="128"/>
      <c r="C229" s="2"/>
      <c r="D229" s="87"/>
      <c r="E229" s="87" t="str">
        <f>IF(A229="","",IF(D229-SUMIFS(GRN!$E$3:$E996,GRN!$D$3:$D996,C229)&lt;0,0,D229-SUMIFS(GRN!$E$3:$E996,GRN!$D$3:$D996,C229)))</f>
        <v/>
      </c>
    </row>
    <row r="230" spans="1:5" ht="15.75" customHeight="1">
      <c r="A230" s="128"/>
      <c r="B230" s="128"/>
      <c r="C230" s="2"/>
      <c r="D230" s="87"/>
      <c r="E230" s="87" t="str">
        <f>IF(A230="","",IF(D230-SUMIFS(GRN!$E$3:$E996,GRN!$D$3:$D996,C230)&lt;0,0,D230-SUMIFS(GRN!$E$3:$E996,GRN!$D$3:$D996,C230)))</f>
        <v/>
      </c>
    </row>
    <row r="231" spans="1:5" ht="15.75" customHeight="1">
      <c r="A231" s="128"/>
      <c r="B231" s="128"/>
      <c r="C231" s="2"/>
      <c r="D231" s="87"/>
      <c r="E231" s="87" t="str">
        <f>IF(A231="","",IF(D231-SUMIFS(GRN!$E$3:$E996,GRN!$D$3:$D996,C231)&lt;0,0,D231-SUMIFS(GRN!$E$3:$E996,GRN!$D$3:$D996,C231)))</f>
        <v/>
      </c>
    </row>
    <row r="232" spans="1:5" ht="15.75" customHeight="1">
      <c r="A232" s="128"/>
      <c r="B232" s="128"/>
      <c r="C232" s="2"/>
      <c r="D232" s="87"/>
      <c r="E232" s="87" t="str">
        <f>IF(A232="","",IF(D232-SUMIFS(GRN!$E$3:$E996,GRN!$D$3:$D996,C232)&lt;0,0,D232-SUMIFS(GRN!$E$3:$E996,GRN!$D$3:$D996,C232)))</f>
        <v/>
      </c>
    </row>
    <row r="233" spans="1:5" ht="15.75" customHeight="1">
      <c r="A233" s="128"/>
      <c r="B233" s="128"/>
      <c r="C233" s="2"/>
      <c r="D233" s="87"/>
      <c r="E233" s="87" t="str">
        <f>IF(A233="","",IF(D233-SUMIFS(GRN!$E$3:$E996,GRN!$D$3:$D996,C233)&lt;0,0,D233-SUMIFS(GRN!$E$3:$E996,GRN!$D$3:$D996,C233)))</f>
        <v/>
      </c>
    </row>
    <row r="234" spans="1:5" ht="15.75" customHeight="1">
      <c r="A234" s="128"/>
      <c r="B234" s="128"/>
      <c r="C234" s="2"/>
      <c r="D234" s="87"/>
      <c r="E234" s="87" t="str">
        <f>IF(A234="","",IF(D234-SUMIFS(GRN!$E$3:$E996,GRN!$D$3:$D996,C234)&lt;0,0,D234-SUMIFS(GRN!$E$3:$E996,GRN!$D$3:$D996,C234)))</f>
        <v/>
      </c>
    </row>
    <row r="235" spans="1:5" ht="15.75" customHeight="1">
      <c r="A235" s="128"/>
      <c r="B235" s="128"/>
      <c r="C235" s="2"/>
      <c r="D235" s="87"/>
      <c r="E235" s="87" t="str">
        <f>IF(A235="","",IF(D235-SUMIFS(GRN!$E$3:$E996,GRN!$D$3:$D996,C235)&lt;0,0,D235-SUMIFS(GRN!$E$3:$E996,GRN!$D$3:$D996,C235)))</f>
        <v/>
      </c>
    </row>
    <row r="236" spans="1:5" ht="15.75" customHeight="1">
      <c r="A236" s="128"/>
      <c r="B236" s="128"/>
      <c r="C236" s="2"/>
      <c r="D236" s="87"/>
      <c r="E236" s="87" t="str">
        <f>IF(A236="","",IF(D236-SUMIFS(GRN!$E$3:$E996,GRN!$D$3:$D996,C236)&lt;0,0,D236-SUMIFS(GRN!$E$3:$E996,GRN!$D$3:$D996,C236)))</f>
        <v/>
      </c>
    </row>
    <row r="237" spans="1:5" ht="15.75" customHeight="1">
      <c r="A237" s="128"/>
      <c r="B237" s="128"/>
      <c r="C237" s="2"/>
      <c r="D237" s="87"/>
      <c r="E237" s="87" t="str">
        <f>IF(A237="","",IF(D237-SUMIFS(GRN!$E$3:$E996,GRN!$D$3:$D996,C237)&lt;0,0,D237-SUMIFS(GRN!$E$3:$E996,GRN!$D$3:$D996,C237)))</f>
        <v/>
      </c>
    </row>
    <row r="238" spans="1:5" ht="15.75" customHeight="1">
      <c r="A238" s="128"/>
      <c r="B238" s="128"/>
      <c r="C238" s="2"/>
      <c r="D238" s="87"/>
      <c r="E238" s="87" t="str">
        <f>IF(A238="","",IF(D238-SUMIFS(GRN!$E$3:$E996,GRN!$D$3:$D996,C238)&lt;0,0,D238-SUMIFS(GRN!$E$3:$E996,GRN!$D$3:$D996,C238)))</f>
        <v/>
      </c>
    </row>
    <row r="239" spans="1:5" ht="15.75" customHeight="1">
      <c r="A239" s="128"/>
      <c r="B239" s="128"/>
      <c r="C239" s="2"/>
      <c r="D239" s="87"/>
      <c r="E239" s="87" t="str">
        <f>IF(A239="","",IF(D239-SUMIFS(GRN!$E$3:$E996,GRN!$D$3:$D996,C239)&lt;0,0,D239-SUMIFS(GRN!$E$3:$E996,GRN!$D$3:$D996,C239)))</f>
        <v/>
      </c>
    </row>
    <row r="240" spans="1:5" ht="15.75" customHeight="1">
      <c r="A240" s="128"/>
      <c r="B240" s="128"/>
      <c r="C240" s="2"/>
      <c r="D240" s="87"/>
      <c r="E240" s="87" t="str">
        <f>IF(A240="","",IF(D240-SUMIFS(GRN!$E$3:$E996,GRN!$D$3:$D996,C240)&lt;0,0,D240-SUMIFS(GRN!$E$3:$E996,GRN!$D$3:$D996,C240)))</f>
        <v/>
      </c>
    </row>
    <row r="241" spans="1:5" ht="15.75" customHeight="1">
      <c r="A241" s="128"/>
      <c r="B241" s="128"/>
      <c r="C241" s="2"/>
      <c r="D241" s="87"/>
      <c r="E241" s="87" t="str">
        <f>IF(A241="","",IF(D241-SUMIFS(GRN!$E$3:$E996,GRN!$D$3:$D996,C241)&lt;0,0,D241-SUMIFS(GRN!$E$3:$E996,GRN!$D$3:$D996,C241)))</f>
        <v/>
      </c>
    </row>
    <row r="242" spans="1:5" ht="15.75" customHeight="1">
      <c r="A242" s="128"/>
      <c r="B242" s="128"/>
      <c r="C242" s="2"/>
      <c r="D242" s="87"/>
      <c r="E242" s="87" t="str">
        <f>IF(A242="","",IF(D242-SUMIFS(GRN!$E$3:$E996,GRN!$D$3:$D996,C242)&lt;0,0,D242-SUMIFS(GRN!$E$3:$E996,GRN!$D$3:$D996,C242)))</f>
        <v/>
      </c>
    </row>
    <row r="243" spans="1:5" ht="15.75" customHeight="1">
      <c r="A243" s="128"/>
      <c r="B243" s="128"/>
      <c r="C243" s="2"/>
      <c r="D243" s="87"/>
      <c r="E243" s="87" t="str">
        <f>IF(A243="","",IF(D243-SUMIFS(GRN!$E$3:$E996,GRN!$D$3:$D996,C243)&lt;0,0,D243-SUMIFS(GRN!$E$3:$E996,GRN!$D$3:$D996,C243)))</f>
        <v/>
      </c>
    </row>
    <row r="244" spans="1:5" ht="15.75" customHeight="1">
      <c r="A244" s="128"/>
      <c r="B244" s="128"/>
      <c r="C244" s="2"/>
      <c r="D244" s="87"/>
      <c r="E244" s="87" t="str">
        <f>IF(A244="","",IF(D244-SUMIFS(GRN!$E$3:$E996,GRN!$D$3:$D996,C244)&lt;0,0,D244-SUMIFS(GRN!$E$3:$E996,GRN!$D$3:$D996,C244)))</f>
        <v/>
      </c>
    </row>
    <row r="245" spans="1:5" ht="15.75" customHeight="1">
      <c r="A245" s="128"/>
      <c r="B245" s="128"/>
      <c r="C245" s="2"/>
      <c r="D245" s="87"/>
      <c r="E245" s="87" t="str">
        <f>IF(A245="","",IF(D245-SUMIFS(GRN!$E$3:$E996,GRN!$D$3:$D996,C245)&lt;0,0,D245-SUMIFS(GRN!$E$3:$E996,GRN!$D$3:$D996,C245)))</f>
        <v/>
      </c>
    </row>
    <row r="246" spans="1:5" ht="15.75" customHeight="1">
      <c r="A246" s="128"/>
      <c r="B246" s="128"/>
      <c r="C246" s="2"/>
      <c r="D246" s="87"/>
      <c r="E246" s="87" t="str">
        <f>IF(A246="","",IF(D246-SUMIFS(GRN!$E$3:$E996,GRN!$D$3:$D996,C246)&lt;0,0,D246-SUMIFS(GRN!$E$3:$E996,GRN!$D$3:$D996,C246)))</f>
        <v/>
      </c>
    </row>
    <row r="247" spans="1:5" ht="15.75" customHeight="1">
      <c r="A247" s="128"/>
      <c r="B247" s="128"/>
      <c r="C247" s="2"/>
      <c r="D247" s="87"/>
      <c r="E247" s="87" t="str">
        <f>IF(A247="","",IF(D247-SUMIFS(GRN!$E$3:$E996,GRN!$D$3:$D996,C247)&lt;0,0,D247-SUMIFS(GRN!$E$3:$E996,GRN!$D$3:$D996,C247)))</f>
        <v/>
      </c>
    </row>
    <row r="248" spans="1:5" ht="15.75" customHeight="1">
      <c r="A248" s="128"/>
      <c r="B248" s="128"/>
      <c r="C248" s="2"/>
      <c r="D248" s="87"/>
      <c r="E248" s="87" t="str">
        <f>IF(A248="","",IF(D248-SUMIFS(GRN!$E$3:$E996,GRN!$D$3:$D996,C248)&lt;0,0,D248-SUMIFS(GRN!$E$3:$E996,GRN!$D$3:$D996,C248)))</f>
        <v/>
      </c>
    </row>
    <row r="249" spans="1:5" ht="15.75" customHeight="1">
      <c r="A249" s="128"/>
      <c r="B249" s="128"/>
      <c r="C249" s="2"/>
      <c r="D249" s="87"/>
      <c r="E249" s="87" t="str">
        <f>IF(A249="","",IF(D249-SUMIFS(GRN!$E$3:$E996,GRN!$D$3:$D996,C249)&lt;0,0,D249-SUMIFS(GRN!$E$3:$E996,GRN!$D$3:$D996,C249)))</f>
        <v/>
      </c>
    </row>
    <row r="250" spans="1:5" ht="15.75" customHeight="1">
      <c r="A250" s="128"/>
      <c r="B250" s="128"/>
      <c r="C250" s="2"/>
      <c r="D250" s="87"/>
      <c r="E250" s="87" t="str">
        <f>IF(A250="","",IF(D250-SUMIFS(GRN!$E$3:$E996,GRN!$D$3:$D996,C250)&lt;0,0,D250-SUMIFS(GRN!$E$3:$E996,GRN!$D$3:$D996,C250)))</f>
        <v/>
      </c>
    </row>
    <row r="251" spans="1:5" ht="15.75" customHeight="1">
      <c r="A251" s="128"/>
      <c r="B251" s="128"/>
      <c r="C251" s="2"/>
      <c r="D251" s="87"/>
      <c r="E251" s="87" t="str">
        <f>IF(A251="","",IF(D251-SUMIFS(GRN!$E$3:$E996,GRN!$D$3:$D996,C251)&lt;0,0,D251-SUMIFS(GRN!$E$3:$E996,GRN!$D$3:$D996,C251)))</f>
        <v/>
      </c>
    </row>
    <row r="252" spans="1:5" ht="15.75" customHeight="1">
      <c r="A252" s="128"/>
      <c r="B252" s="128"/>
      <c r="C252" s="2"/>
      <c r="D252" s="87"/>
      <c r="E252" s="87" t="str">
        <f>IF(A252="","",IF(D252-SUMIFS(GRN!$E$3:$E996,GRN!$D$3:$D996,C252)&lt;0,0,D252-SUMIFS(GRN!$E$3:$E996,GRN!$D$3:$D996,C252)))</f>
        <v/>
      </c>
    </row>
    <row r="253" spans="1:5" ht="15.75" customHeight="1">
      <c r="A253" s="128"/>
      <c r="B253" s="128"/>
      <c r="C253" s="2"/>
      <c r="D253" s="87"/>
      <c r="E253" s="87" t="str">
        <f>IF(A253="","",IF(D253-SUMIFS(GRN!$E$3:$E996,GRN!$D$3:$D996,C253)&lt;0,0,D253-SUMIFS(GRN!$E$3:$E996,GRN!$D$3:$D996,C253)))</f>
        <v/>
      </c>
    </row>
    <row r="254" spans="1:5" ht="15.75" customHeight="1">
      <c r="A254" s="128"/>
      <c r="B254" s="128"/>
      <c r="C254" s="2"/>
      <c r="D254" s="87"/>
      <c r="E254" s="87" t="str">
        <f>IF(A254="","",IF(D254-SUMIFS(GRN!$E$3:$E996,GRN!$D$3:$D996,C254)&lt;0,0,D254-SUMIFS(GRN!$E$3:$E996,GRN!$D$3:$D996,C254)))</f>
        <v/>
      </c>
    </row>
    <row r="255" spans="1:5" ht="15.75" customHeight="1">
      <c r="A255" s="128"/>
      <c r="B255" s="128"/>
      <c r="C255" s="2"/>
      <c r="D255" s="87"/>
      <c r="E255" s="87" t="str">
        <f>IF(A255="","",IF(D255-SUMIFS(GRN!$E$3:$E996,GRN!$D$3:$D996,C255)&lt;0,0,D255-SUMIFS(GRN!$E$3:$E996,GRN!$D$3:$D996,C255)))</f>
        <v/>
      </c>
    </row>
    <row r="256" spans="1:5" ht="15.75" customHeight="1">
      <c r="A256" s="128"/>
      <c r="B256" s="128"/>
      <c r="C256" s="2"/>
      <c r="D256" s="87"/>
      <c r="E256" s="87" t="str">
        <f>IF(A256="","",IF(D256-SUMIFS(GRN!$E$3:$E996,GRN!$D$3:$D996,C256)&lt;0,0,D256-SUMIFS(GRN!$E$3:$E996,GRN!$D$3:$D996,C256)))</f>
        <v/>
      </c>
    </row>
    <row r="257" spans="1:5" ht="15.75" customHeight="1">
      <c r="A257" s="128"/>
      <c r="B257" s="128"/>
      <c r="C257" s="2"/>
      <c r="D257" s="87"/>
      <c r="E257" s="87" t="str">
        <f>IF(A257="","",IF(D257-SUMIFS(GRN!$E$3:$E996,GRN!$D$3:$D996,C257)&lt;0,0,D257-SUMIFS(GRN!$E$3:$E996,GRN!$D$3:$D996,C257)))</f>
        <v/>
      </c>
    </row>
    <row r="258" spans="1:5" ht="15.75" customHeight="1">
      <c r="A258" s="128"/>
      <c r="B258" s="128"/>
      <c r="C258" s="2"/>
      <c r="D258" s="87"/>
      <c r="E258" s="87" t="str">
        <f>IF(A258="","",IF(D258-SUMIFS(GRN!$E$3:$E996,GRN!$D$3:$D996,C258)&lt;0,0,D258-SUMIFS(GRN!$E$3:$E996,GRN!$D$3:$D996,C258)))</f>
        <v/>
      </c>
    </row>
    <row r="259" spans="1:5" ht="15.75" customHeight="1">
      <c r="A259" s="128"/>
      <c r="B259" s="128"/>
      <c r="C259" s="2"/>
      <c r="D259" s="87"/>
      <c r="E259" s="87" t="str">
        <f>IF(A259="","",IF(D259-SUMIFS(GRN!$E$3:$E996,GRN!$D$3:$D996,C259)&lt;0,0,D259-SUMIFS(GRN!$E$3:$E996,GRN!$D$3:$D996,C259)))</f>
        <v/>
      </c>
    </row>
    <row r="260" spans="1:5" ht="15.75" customHeight="1">
      <c r="A260" s="128"/>
      <c r="B260" s="128"/>
      <c r="C260" s="2"/>
      <c r="D260" s="87"/>
      <c r="E260" s="87" t="str">
        <f>IF(A260="","",IF(D260-SUMIFS(GRN!$E$3:$E996,GRN!$D$3:$D996,C260)&lt;0,0,D260-SUMIFS(GRN!$E$3:$E996,GRN!$D$3:$D996,C260)))</f>
        <v/>
      </c>
    </row>
    <row r="261" spans="1:5" ht="15.75" customHeight="1">
      <c r="A261" s="128"/>
      <c r="B261" s="128"/>
      <c r="C261" s="2"/>
      <c r="D261" s="87"/>
      <c r="E261" s="87" t="str">
        <f>IF(A261="","",IF(D261-SUMIFS(GRN!$E$3:$E996,GRN!$D$3:$D996,C261)&lt;0,0,D261-SUMIFS(GRN!$E$3:$E996,GRN!$D$3:$D996,C261)))</f>
        <v/>
      </c>
    </row>
    <row r="262" spans="1:5" ht="15.75" customHeight="1">
      <c r="A262" s="128"/>
      <c r="B262" s="128"/>
      <c r="C262" s="2"/>
      <c r="D262" s="87"/>
      <c r="E262" s="87" t="str">
        <f>IF(A262="","",IF(D262-SUMIFS(GRN!$E$3:$E996,GRN!$D$3:$D996,C262)&lt;0,0,D262-SUMIFS(GRN!$E$3:$E996,GRN!$D$3:$D996,C262)))</f>
        <v/>
      </c>
    </row>
    <row r="263" spans="1:5" ht="15.75" customHeight="1">
      <c r="A263" s="128"/>
      <c r="B263" s="128"/>
      <c r="C263" s="2"/>
      <c r="D263" s="87"/>
      <c r="E263" s="87" t="str">
        <f>IF(A263="","",IF(D263-SUMIFS(GRN!$E$3:$E996,GRN!$D$3:$D996,C263)&lt;0,0,D263-SUMIFS(GRN!$E$3:$E996,GRN!$D$3:$D996,C263)))</f>
        <v/>
      </c>
    </row>
    <row r="264" spans="1:5" ht="15.75" customHeight="1">
      <c r="A264" s="128"/>
      <c r="B264" s="128"/>
      <c r="C264" s="2"/>
      <c r="D264" s="87"/>
      <c r="E264" s="87" t="str">
        <f>IF(A264="","",IF(D264-SUMIFS(GRN!$E$3:$E996,GRN!$D$3:$D996,C264)&lt;0,0,D264-SUMIFS(GRN!$E$3:$E996,GRN!$D$3:$D996,C264)))</f>
        <v/>
      </c>
    </row>
    <row r="265" spans="1:5" ht="15.75" customHeight="1">
      <c r="A265" s="128"/>
      <c r="B265" s="128"/>
      <c r="C265" s="2"/>
      <c r="D265" s="87"/>
      <c r="E265" s="87" t="str">
        <f>IF(A265="","",IF(D265-SUMIFS(GRN!$E$3:$E996,GRN!$D$3:$D996,C265)&lt;0,0,D265-SUMIFS(GRN!$E$3:$E996,GRN!$D$3:$D996,C265)))</f>
        <v/>
      </c>
    </row>
    <row r="266" spans="1:5" ht="15.75" customHeight="1">
      <c r="A266" s="128"/>
      <c r="B266" s="128"/>
      <c r="C266" s="2"/>
      <c r="D266" s="87"/>
      <c r="E266" s="87" t="str">
        <f>IF(A266="","",IF(D266-SUMIFS(GRN!$E$3:$E996,GRN!$D$3:$D996,C266)&lt;0,0,D266-SUMIFS(GRN!$E$3:$E996,GRN!$D$3:$D996,C266)))</f>
        <v/>
      </c>
    </row>
    <row r="267" spans="1:5" ht="15.75" customHeight="1">
      <c r="A267" s="128"/>
      <c r="B267" s="128"/>
      <c r="C267" s="2"/>
      <c r="D267" s="87"/>
      <c r="E267" s="87" t="str">
        <f>IF(A267="","",IF(D267-SUMIFS(GRN!$E$3:$E996,GRN!$D$3:$D996,C267)&lt;0,0,D267-SUMIFS(GRN!$E$3:$E996,GRN!$D$3:$D996,C267)))</f>
        <v/>
      </c>
    </row>
    <row r="268" spans="1:5" ht="15.75" customHeight="1">
      <c r="A268" s="128"/>
      <c r="B268" s="128"/>
      <c r="C268" s="2"/>
      <c r="D268" s="87"/>
      <c r="E268" s="87" t="str">
        <f>IF(A268="","",IF(D268-SUMIFS(GRN!$E$3:$E996,GRN!$D$3:$D996,C268)&lt;0,0,D268-SUMIFS(GRN!$E$3:$E996,GRN!$D$3:$D996,C268)))</f>
        <v/>
      </c>
    </row>
    <row r="269" spans="1:5" ht="15.75" customHeight="1">
      <c r="A269" s="128"/>
      <c r="B269" s="128"/>
      <c r="C269" s="2"/>
      <c r="D269" s="87"/>
      <c r="E269" s="87" t="str">
        <f>IF(A269="","",IF(D269-SUMIFS(GRN!$E$3:$E996,GRN!$D$3:$D996,C269)&lt;0,0,D269-SUMIFS(GRN!$E$3:$E996,GRN!$D$3:$D996,C269)))</f>
        <v/>
      </c>
    </row>
    <row r="270" spans="1:5" ht="15.75" customHeight="1">
      <c r="A270" s="128"/>
      <c r="B270" s="128"/>
      <c r="C270" s="2"/>
      <c r="D270" s="87"/>
      <c r="E270" s="87" t="str">
        <f>IF(A270="","",IF(D270-SUMIFS(GRN!$E$3:$E996,GRN!$D$3:$D996,C270)&lt;0,0,D270-SUMIFS(GRN!$E$3:$E996,GRN!$D$3:$D996,C270)))</f>
        <v/>
      </c>
    </row>
    <row r="271" spans="1:5" ht="15.75" customHeight="1">
      <c r="A271" s="128"/>
      <c r="B271" s="128"/>
      <c r="C271" s="2"/>
      <c r="D271" s="87"/>
      <c r="E271" s="87" t="str">
        <f>IF(A271="","",IF(D271-SUMIFS(GRN!$E$3:$E996,GRN!$D$3:$D996,C271)&lt;0,0,D271-SUMIFS(GRN!$E$3:$E996,GRN!$D$3:$D996,C271)))</f>
        <v/>
      </c>
    </row>
    <row r="272" spans="1:5" ht="15.75" customHeight="1">
      <c r="A272" s="128"/>
      <c r="B272" s="128"/>
      <c r="C272" s="2"/>
      <c r="D272" s="87"/>
      <c r="E272" s="87" t="str">
        <f>IF(A272="","",IF(D272-SUMIFS(GRN!$E$3:$E996,GRN!$D$3:$D996,C272)&lt;0,0,D272-SUMIFS(GRN!$E$3:$E996,GRN!$D$3:$D996,C272)))</f>
        <v/>
      </c>
    </row>
    <row r="273" spans="1:5" ht="15.75" customHeight="1">
      <c r="A273" s="128"/>
      <c r="B273" s="128"/>
      <c r="C273" s="2"/>
      <c r="D273" s="87"/>
      <c r="E273" s="87" t="str">
        <f>IF(A273="","",IF(D273-SUMIFS(GRN!$E$3:$E996,GRN!$D$3:$D996,C273)&lt;0,0,D273-SUMIFS(GRN!$E$3:$E996,GRN!$D$3:$D996,C273)))</f>
        <v/>
      </c>
    </row>
    <row r="274" spans="1:5" ht="15.75" customHeight="1">
      <c r="A274" s="128"/>
      <c r="B274" s="128"/>
      <c r="C274" s="2"/>
      <c r="D274" s="87"/>
      <c r="E274" s="87" t="str">
        <f>IF(A274="","",IF(D274-SUMIFS(GRN!$E$3:$E996,GRN!$D$3:$D996,C274)&lt;0,0,D274-SUMIFS(GRN!$E$3:$E996,GRN!$D$3:$D996,C274)))</f>
        <v/>
      </c>
    </row>
    <row r="275" spans="1:5" ht="15.75" customHeight="1">
      <c r="A275" s="128"/>
      <c r="B275" s="128"/>
      <c r="C275" s="2"/>
      <c r="D275" s="87"/>
      <c r="E275" s="87" t="str">
        <f>IF(A275="","",IF(D275-SUMIFS(GRN!$E$3:$E996,GRN!$D$3:$D996,C275)&lt;0,0,D275-SUMIFS(GRN!$E$3:$E996,GRN!$D$3:$D996,C275)))</f>
        <v/>
      </c>
    </row>
    <row r="276" spans="1:5" ht="15.75" customHeight="1">
      <c r="A276" s="128"/>
      <c r="B276" s="128"/>
      <c r="C276" s="2"/>
      <c r="D276" s="87"/>
      <c r="E276" s="87" t="str">
        <f>IF(A276="","",IF(D276-SUMIFS(GRN!$E$3:$E996,GRN!$D$3:$D996,C276)&lt;0,0,D276-SUMIFS(GRN!$E$3:$E996,GRN!$D$3:$D996,C276)))</f>
        <v/>
      </c>
    </row>
    <row r="277" spans="1:5" ht="15.75" customHeight="1">
      <c r="A277" s="128"/>
      <c r="B277" s="128"/>
      <c r="C277" s="2"/>
      <c r="D277" s="87"/>
      <c r="E277" s="87" t="str">
        <f>IF(A277="","",IF(D277-SUMIFS(GRN!$E$3:$E996,GRN!$D$3:$D996,C277)&lt;0,0,D277-SUMIFS(GRN!$E$3:$E996,GRN!$D$3:$D996,C277)))</f>
        <v/>
      </c>
    </row>
    <row r="278" spans="1:5" ht="15.75" customHeight="1">
      <c r="A278" s="128"/>
      <c r="B278" s="128"/>
      <c r="C278" s="2"/>
      <c r="D278" s="87"/>
      <c r="E278" s="87" t="str">
        <f>IF(A278="","",IF(D278-SUMIFS(GRN!$E$3:$E996,GRN!$D$3:$D996,C278)&lt;0,0,D278-SUMIFS(GRN!$E$3:$E996,GRN!$D$3:$D996,C278)))</f>
        <v/>
      </c>
    </row>
    <row r="279" spans="1:5" ht="15.75" customHeight="1">
      <c r="A279" s="128"/>
      <c r="B279" s="128"/>
      <c r="C279" s="2"/>
      <c r="D279" s="87"/>
      <c r="E279" s="87" t="str">
        <f>IF(A279="","",IF(D279-SUMIFS(GRN!$E$3:$E996,GRN!$D$3:$D996,C279)&lt;0,0,D279-SUMIFS(GRN!$E$3:$E996,GRN!$D$3:$D996,C279)))</f>
        <v/>
      </c>
    </row>
    <row r="280" spans="1:5" ht="15.75" customHeight="1">
      <c r="A280" s="128"/>
      <c r="B280" s="128"/>
      <c r="C280" s="2"/>
      <c r="D280" s="87"/>
      <c r="E280" s="87" t="str">
        <f>IF(A280="","",IF(D280-SUMIFS(GRN!$E$3:$E996,GRN!$D$3:$D996,C280)&lt;0,0,D280-SUMIFS(GRN!$E$3:$E996,GRN!$D$3:$D996,C280)))</f>
        <v/>
      </c>
    </row>
    <row r="281" spans="1:5" ht="15.75" customHeight="1">
      <c r="A281" s="128"/>
      <c r="B281" s="128"/>
      <c r="C281" s="2"/>
      <c r="D281" s="87"/>
      <c r="E281" s="87" t="str">
        <f>IF(A281="","",IF(D281-SUMIFS(GRN!$E$3:$E996,GRN!$D$3:$D996,C281)&lt;0,0,D281-SUMIFS(GRN!$E$3:$E996,GRN!$D$3:$D996,C281)))</f>
        <v/>
      </c>
    </row>
    <row r="282" spans="1:5" ht="15.75" customHeight="1">
      <c r="A282" s="128"/>
      <c r="B282" s="128"/>
      <c r="C282" s="2"/>
      <c r="D282" s="87"/>
      <c r="E282" s="87" t="str">
        <f>IF(A282="","",IF(D282-SUMIFS(GRN!$E$3:$E996,GRN!$D$3:$D996,C282)&lt;0,0,D282-SUMIFS(GRN!$E$3:$E996,GRN!$D$3:$D996,C282)))</f>
        <v/>
      </c>
    </row>
    <row r="283" spans="1:5" ht="15.75" customHeight="1">
      <c r="A283" s="128"/>
      <c r="B283" s="128"/>
      <c r="C283" s="2"/>
      <c r="D283" s="87"/>
      <c r="E283" s="87" t="str">
        <f>IF(A283="","",IF(D283-SUMIFS(GRN!$E$3:$E996,GRN!$D$3:$D996,C283)&lt;0,0,D283-SUMIFS(GRN!$E$3:$E996,GRN!$D$3:$D996,C283)))</f>
        <v/>
      </c>
    </row>
    <row r="284" spans="1:5" ht="15.75" customHeight="1">
      <c r="A284" s="128"/>
      <c r="B284" s="128"/>
      <c r="C284" s="2"/>
      <c r="D284" s="87"/>
      <c r="E284" s="87" t="str">
        <f>IF(A284="","",IF(D284-SUMIFS(GRN!$E$3:$E996,GRN!$D$3:$D996,C284)&lt;0,0,D284-SUMIFS(GRN!$E$3:$E996,GRN!$D$3:$D996,C284)))</f>
        <v/>
      </c>
    </row>
    <row r="285" spans="1:5" ht="15.75" customHeight="1">
      <c r="A285" s="128"/>
      <c r="B285" s="128"/>
      <c r="C285" s="2"/>
      <c r="D285" s="87"/>
      <c r="E285" s="87" t="str">
        <f>IF(A285="","",IF(D285-SUMIFS(GRN!$E$3:$E996,GRN!$D$3:$D996,C285)&lt;0,0,D285-SUMIFS(GRN!$E$3:$E996,GRN!$D$3:$D996,C285)))</f>
        <v/>
      </c>
    </row>
    <row r="286" spans="1:5" ht="15.75" customHeight="1">
      <c r="A286" s="128"/>
      <c r="B286" s="128"/>
      <c r="C286" s="2"/>
      <c r="D286" s="87"/>
      <c r="E286" s="87" t="str">
        <f>IF(A286="","",IF(D286-SUMIFS(GRN!$E$3:$E996,GRN!$D$3:$D996,C286)&lt;0,0,D286-SUMIFS(GRN!$E$3:$E996,GRN!$D$3:$D996,C286)))</f>
        <v/>
      </c>
    </row>
    <row r="287" spans="1:5" ht="15.75" customHeight="1">
      <c r="A287" s="128"/>
      <c r="B287" s="128"/>
      <c r="C287" s="2"/>
      <c r="D287" s="87"/>
      <c r="E287" s="87" t="str">
        <f>IF(A287="","",IF(D287-SUMIFS(GRN!$E$3:$E996,GRN!$D$3:$D996,C287)&lt;0,0,D287-SUMIFS(GRN!$E$3:$E996,GRN!$D$3:$D996,C287)))</f>
        <v/>
      </c>
    </row>
    <row r="288" spans="1:5" ht="15.75" customHeight="1">
      <c r="A288" s="128"/>
      <c r="B288" s="128"/>
      <c r="C288" s="2"/>
      <c r="D288" s="87"/>
      <c r="E288" s="87" t="str">
        <f>IF(A288="","",IF(D288-SUMIFS(GRN!$E$3:$E996,GRN!$D$3:$D996,C288)&lt;0,0,D288-SUMIFS(GRN!$E$3:$E996,GRN!$D$3:$D996,C288)))</f>
        <v/>
      </c>
    </row>
    <row r="289" spans="1:5" ht="15.75" customHeight="1">
      <c r="A289" s="128"/>
      <c r="B289" s="128"/>
      <c r="C289" s="2"/>
      <c r="D289" s="87"/>
      <c r="E289" s="87" t="str">
        <f>IF(A289="","",IF(D289-SUMIFS(GRN!$E$3:$E996,GRN!$D$3:$D996,C289)&lt;0,0,D289-SUMIFS(GRN!$E$3:$E996,GRN!$D$3:$D996,C289)))</f>
        <v/>
      </c>
    </row>
    <row r="290" spans="1:5" ht="15.75" customHeight="1">
      <c r="A290" s="128"/>
      <c r="B290" s="128"/>
      <c r="C290" s="2"/>
      <c r="D290" s="87"/>
      <c r="E290" s="87" t="str">
        <f>IF(A290="","",IF(D290-SUMIFS(GRN!$E$3:$E996,GRN!$D$3:$D996,C290)&lt;0,0,D290-SUMIFS(GRN!$E$3:$E996,GRN!$D$3:$D996,C290)))</f>
        <v/>
      </c>
    </row>
    <row r="291" spans="1:5" ht="15.75" customHeight="1">
      <c r="A291" s="128"/>
      <c r="B291" s="128"/>
      <c r="C291" s="2"/>
      <c r="D291" s="87"/>
      <c r="E291" s="87" t="str">
        <f>IF(A291="","",IF(D291-SUMIFS(GRN!$E$3:$E996,GRN!$D$3:$D996,C291)&lt;0,0,D291-SUMIFS(GRN!$E$3:$E996,GRN!$D$3:$D996,C291)))</f>
        <v/>
      </c>
    </row>
    <row r="292" spans="1:5" ht="15.75" customHeight="1">
      <c r="A292" s="128"/>
      <c r="B292" s="128"/>
      <c r="C292" s="2"/>
      <c r="D292" s="87"/>
      <c r="E292" s="87" t="str">
        <f>IF(A292="","",IF(D292-SUMIFS(GRN!$E$3:$E996,GRN!$D$3:$D996,C292)&lt;0,0,D292-SUMIFS(GRN!$E$3:$E996,GRN!$D$3:$D996,C292)))</f>
        <v/>
      </c>
    </row>
    <row r="293" spans="1:5" ht="15.75" customHeight="1">
      <c r="A293" s="128"/>
      <c r="B293" s="128"/>
      <c r="C293" s="2"/>
      <c r="D293" s="87"/>
      <c r="E293" s="87" t="str">
        <f>IF(A293="","",IF(D293-SUMIFS(GRN!$E$3:$E996,GRN!$D$3:$D996,C293)&lt;0,0,D293-SUMIFS(GRN!$E$3:$E996,GRN!$D$3:$D996,C293)))</f>
        <v/>
      </c>
    </row>
    <row r="294" spans="1:5" ht="15.75" customHeight="1">
      <c r="A294" s="128"/>
      <c r="B294" s="128"/>
      <c r="C294" s="2"/>
      <c r="D294" s="87"/>
      <c r="E294" s="87" t="str">
        <f>IF(A294="","",IF(D294-SUMIFS(GRN!$E$3:$E996,GRN!$D$3:$D996,C294)&lt;0,0,D294-SUMIFS(GRN!$E$3:$E996,GRN!$D$3:$D996,C294)))</f>
        <v/>
      </c>
    </row>
    <row r="295" spans="1:5" ht="15.75" customHeight="1">
      <c r="A295" s="128"/>
      <c r="B295" s="128"/>
      <c r="C295" s="2"/>
      <c r="D295" s="87"/>
      <c r="E295" s="87" t="str">
        <f>IF(A295="","",IF(D295-SUMIFS(GRN!$E$3:$E996,GRN!$D$3:$D996,C295)&lt;0,0,D295-SUMIFS(GRN!$E$3:$E996,GRN!$D$3:$D996,C295)))</f>
        <v/>
      </c>
    </row>
    <row r="296" spans="1:5" ht="15.75" customHeight="1">
      <c r="A296" s="128"/>
      <c r="B296" s="128"/>
      <c r="C296" s="2"/>
      <c r="D296" s="87"/>
      <c r="E296" s="87" t="str">
        <f>IF(A296="","",IF(D296-SUMIFS(GRN!$E$3:$E996,GRN!$D$3:$D996,C296)&lt;0,0,D296-SUMIFS(GRN!$E$3:$E996,GRN!$D$3:$D996,C296)))</f>
        <v/>
      </c>
    </row>
    <row r="297" spans="1:5" ht="15.75" customHeight="1">
      <c r="A297" s="128"/>
      <c r="B297" s="128"/>
      <c r="C297" s="2"/>
      <c r="D297" s="87"/>
      <c r="E297" s="87" t="str">
        <f>IF(A297="","",IF(D297-SUMIFS(GRN!$E$3:$E996,GRN!$D$3:$D996,C297)&lt;0,0,D297-SUMIFS(GRN!$E$3:$E996,GRN!$D$3:$D996,C297)))</f>
        <v/>
      </c>
    </row>
    <row r="298" spans="1:5" ht="15.75" customHeight="1">
      <c r="A298" s="128"/>
      <c r="B298" s="128"/>
      <c r="C298" s="2"/>
      <c r="D298" s="87"/>
      <c r="E298" s="87" t="str">
        <f>IF(A298="","",IF(D298-SUMIFS(GRN!$E$3:$E996,GRN!$D$3:$D996,C298)&lt;0,0,D298-SUMIFS(GRN!$E$3:$E996,GRN!$D$3:$D996,C298)))</f>
        <v/>
      </c>
    </row>
    <row r="299" spans="1:5" ht="15.75" customHeight="1">
      <c r="A299" s="128"/>
      <c r="B299" s="128"/>
      <c r="C299" s="2"/>
      <c r="D299" s="87"/>
      <c r="E299" s="87" t="str">
        <f>IF(A299="","",IF(D299-SUMIFS(GRN!$E$3:$E996,GRN!$D$3:$D996,C299)&lt;0,0,D299-SUMIFS(GRN!$E$3:$E996,GRN!$D$3:$D996,C299)))</f>
        <v/>
      </c>
    </row>
    <row r="300" spans="1:5" ht="15.75" customHeight="1">
      <c r="A300" s="128"/>
      <c r="B300" s="128"/>
      <c r="C300" s="2"/>
      <c r="D300" s="87"/>
      <c r="E300" s="87" t="str">
        <f>IF(A300="","",IF(D300-SUMIFS(GRN!$E$3:$E996,GRN!$D$3:$D996,C300)&lt;0,0,D300-SUMIFS(GRN!$E$3:$E996,GRN!$D$3:$D996,C300)))</f>
        <v/>
      </c>
    </row>
    <row r="301" spans="1:5" ht="15.75" customHeight="1">
      <c r="A301" s="128"/>
      <c r="B301" s="128"/>
      <c r="C301" s="2"/>
      <c r="D301" s="87"/>
      <c r="E301" s="87" t="str">
        <f>IF(A301="","",IF(D301-SUMIFS(GRN!$E$3:$E996,GRN!$D$3:$D996,C301)&lt;0,0,D301-SUMIFS(GRN!$E$3:$E996,GRN!$D$3:$D996,C301)))</f>
        <v/>
      </c>
    </row>
    <row r="302" spans="1:5" ht="15.75" customHeight="1">
      <c r="A302" s="128"/>
      <c r="B302" s="128"/>
      <c r="C302" s="2"/>
      <c r="D302" s="87"/>
      <c r="E302" s="87" t="str">
        <f>IF(A302="","",IF(D302-SUMIFS(GRN!$E$3:$E996,GRN!$D$3:$D996,C302)&lt;0,0,D302-SUMIFS(GRN!$E$3:$E996,GRN!$D$3:$D996,C302)))</f>
        <v/>
      </c>
    </row>
    <row r="303" spans="1:5" ht="15.75" customHeight="1">
      <c r="A303" s="128"/>
      <c r="B303" s="128"/>
      <c r="C303" s="2"/>
      <c r="D303" s="87"/>
      <c r="E303" s="87" t="str">
        <f>IF(A303="","",IF(D303-SUMIFS(GRN!$E$3:$E996,GRN!$D$3:$D996,C303)&lt;0,0,D303-SUMIFS(GRN!$E$3:$E996,GRN!$D$3:$D996,C303)))</f>
        <v/>
      </c>
    </row>
    <row r="304" spans="1:5" ht="15.75" customHeight="1">
      <c r="A304" s="128"/>
      <c r="B304" s="128"/>
      <c r="C304" s="2"/>
      <c r="D304" s="87"/>
      <c r="E304" s="87" t="str">
        <f>IF(A304="","",IF(D304-SUMIFS(GRN!$E$3:$E996,GRN!$D$3:$D996,C304)&lt;0,0,D304-SUMIFS(GRN!$E$3:$E996,GRN!$D$3:$D996,C304)))</f>
        <v/>
      </c>
    </row>
    <row r="305" spans="1:5" ht="15.75" customHeight="1">
      <c r="A305" s="128"/>
      <c r="B305" s="128"/>
      <c r="C305" s="2"/>
      <c r="D305" s="87"/>
      <c r="E305" s="87" t="str">
        <f>IF(A305="","",IF(D305-SUMIFS(GRN!$E$3:$E996,GRN!$D$3:$D996,C305)&lt;0,0,D305-SUMIFS(GRN!$E$3:$E996,GRN!$D$3:$D996,C305)))</f>
        <v/>
      </c>
    </row>
    <row r="306" spans="1:5" ht="15.75" customHeight="1">
      <c r="A306" s="128"/>
      <c r="B306" s="128"/>
      <c r="C306" s="2"/>
      <c r="D306" s="87"/>
      <c r="E306" s="87" t="str">
        <f>IF(A306="","",IF(D306-SUMIFS(GRN!$E$3:$E996,GRN!$D$3:$D996,C306)&lt;0,0,D306-SUMIFS(GRN!$E$3:$E996,GRN!$D$3:$D996,C306)))</f>
        <v/>
      </c>
    </row>
    <row r="307" spans="1:5" ht="15.75" customHeight="1">
      <c r="A307" s="128"/>
      <c r="B307" s="128"/>
      <c r="C307" s="2"/>
      <c r="D307" s="87"/>
      <c r="E307" s="87" t="str">
        <f>IF(A307="","",IF(D307-SUMIFS(GRN!$E$3:$E996,GRN!$D$3:$D996,C307)&lt;0,0,D307-SUMIFS(GRN!$E$3:$E996,GRN!$D$3:$D996,C307)))</f>
        <v/>
      </c>
    </row>
    <row r="308" spans="1:5" ht="15.75" customHeight="1">
      <c r="A308" s="128"/>
      <c r="B308" s="128"/>
      <c r="C308" s="2"/>
      <c r="D308" s="87"/>
      <c r="E308" s="87" t="str">
        <f>IF(A308="","",IF(D308-SUMIFS(GRN!$E$3:$E996,GRN!$D$3:$D996,C308)&lt;0,0,D308-SUMIFS(GRN!$E$3:$E996,GRN!$D$3:$D996,C308)))</f>
        <v/>
      </c>
    </row>
    <row r="309" spans="1:5" ht="15.75" customHeight="1">
      <c r="A309" s="128"/>
      <c r="B309" s="128"/>
      <c r="C309" s="2"/>
      <c r="D309" s="87"/>
      <c r="E309" s="87" t="str">
        <f>IF(A309="","",IF(D309-SUMIFS(GRN!$E$3:$E996,GRN!$D$3:$D996,C309)&lt;0,0,D309-SUMIFS(GRN!$E$3:$E996,GRN!$D$3:$D996,C309)))</f>
        <v/>
      </c>
    </row>
    <row r="310" spans="1:5" ht="15.75" customHeight="1">
      <c r="A310" s="128"/>
      <c r="B310" s="128"/>
      <c r="C310" s="2"/>
      <c r="D310" s="87"/>
      <c r="E310" s="87" t="str">
        <f>IF(A310="","",IF(D310-SUMIFS(GRN!$E$3:$E996,GRN!$D$3:$D996,C310)&lt;0,0,D310-SUMIFS(GRN!$E$3:$E996,GRN!$D$3:$D996,C310)))</f>
        <v/>
      </c>
    </row>
    <row r="311" spans="1:5" ht="15.75" customHeight="1">
      <c r="A311" s="128"/>
      <c r="B311" s="128"/>
      <c r="C311" s="2"/>
      <c r="D311" s="87"/>
      <c r="E311" s="87" t="str">
        <f>IF(A311="","",IF(D311-SUMIFS(GRN!$E$3:$E996,GRN!$D$3:$D996,C311)&lt;0,0,D311-SUMIFS(GRN!$E$3:$E996,GRN!$D$3:$D996,C311)))</f>
        <v/>
      </c>
    </row>
    <row r="312" spans="1:5" ht="15.75" customHeight="1">
      <c r="A312" s="128"/>
      <c r="B312" s="128"/>
      <c r="C312" s="2"/>
      <c r="D312" s="87"/>
      <c r="E312" s="87" t="str">
        <f>IF(A312="","",IF(D312-SUMIFS(GRN!$E$3:$E996,GRN!$D$3:$D996,C312)&lt;0,0,D312-SUMIFS(GRN!$E$3:$E996,GRN!$D$3:$D996,C312)))</f>
        <v/>
      </c>
    </row>
    <row r="313" spans="1:5" ht="15.75" customHeight="1">
      <c r="A313" s="128"/>
      <c r="B313" s="128"/>
      <c r="C313" s="2"/>
      <c r="D313" s="87"/>
      <c r="E313" s="87" t="str">
        <f>IF(A313="","",IF(D313-SUMIFS(GRN!$E$3:$E996,GRN!$D$3:$D996,C313)&lt;0,0,D313-SUMIFS(GRN!$E$3:$E996,GRN!$D$3:$D996,C313)))</f>
        <v/>
      </c>
    </row>
    <row r="314" spans="1:5" ht="15.75" customHeight="1">
      <c r="A314" s="128"/>
      <c r="B314" s="128"/>
      <c r="C314" s="2"/>
      <c r="D314" s="87"/>
      <c r="E314" s="87" t="str">
        <f>IF(A314="","",IF(D314-SUMIFS(GRN!$E$3:$E996,GRN!$D$3:$D996,C314)&lt;0,0,D314-SUMIFS(GRN!$E$3:$E996,GRN!$D$3:$D996,C314)))</f>
        <v/>
      </c>
    </row>
    <row r="315" spans="1:5" ht="15.75" customHeight="1">
      <c r="A315" s="128"/>
      <c r="B315" s="128"/>
      <c r="C315" s="2"/>
      <c r="D315" s="87"/>
      <c r="E315" s="87" t="str">
        <f>IF(A315="","",IF(D315-SUMIFS(GRN!$E$3:$E996,GRN!$D$3:$D996,C315)&lt;0,0,D315-SUMIFS(GRN!$E$3:$E996,GRN!$D$3:$D996,C315)))</f>
        <v/>
      </c>
    </row>
    <row r="316" spans="1:5" ht="15.75" customHeight="1">
      <c r="A316" s="128"/>
      <c r="B316" s="128"/>
      <c r="C316" s="2"/>
      <c r="D316" s="87"/>
      <c r="E316" s="87" t="str">
        <f>IF(A316="","",IF(D316-SUMIFS(GRN!$E$3:$E996,GRN!$D$3:$D996,C316)&lt;0,0,D316-SUMIFS(GRN!$E$3:$E996,GRN!$D$3:$D996,C316)))</f>
        <v/>
      </c>
    </row>
    <row r="317" spans="1:5" ht="15.75" customHeight="1">
      <c r="A317" s="128"/>
      <c r="B317" s="128"/>
      <c r="C317" s="2"/>
      <c r="D317" s="87"/>
      <c r="E317" s="87" t="str">
        <f>IF(A317="","",IF(D317-SUMIFS(GRN!$E$3:$E996,GRN!$D$3:$D996,C317)&lt;0,0,D317-SUMIFS(GRN!$E$3:$E996,GRN!$D$3:$D996,C317)))</f>
        <v/>
      </c>
    </row>
    <row r="318" spans="1:5" ht="15.75" customHeight="1">
      <c r="A318" s="128"/>
      <c r="B318" s="128"/>
      <c r="C318" s="2"/>
      <c r="D318" s="87"/>
      <c r="E318" s="87" t="str">
        <f>IF(A318="","",IF(D318-SUMIFS(GRN!$E$3:$E996,GRN!$D$3:$D996,C318)&lt;0,0,D318-SUMIFS(GRN!$E$3:$E996,GRN!$D$3:$D996,C318)))</f>
        <v/>
      </c>
    </row>
    <row r="319" spans="1:5" ht="15.75" customHeight="1">
      <c r="A319" s="128"/>
      <c r="B319" s="128"/>
      <c r="C319" s="2"/>
      <c r="D319" s="87"/>
      <c r="E319" s="87" t="str">
        <f>IF(A319="","",IF(D319-SUMIFS(GRN!$E$3:$E996,GRN!$D$3:$D996,C319)&lt;0,0,D319-SUMIFS(GRN!$E$3:$E996,GRN!$D$3:$D996,C319)))</f>
        <v/>
      </c>
    </row>
    <row r="320" spans="1:5" ht="15.75" customHeight="1">
      <c r="A320" s="128"/>
      <c r="B320" s="128"/>
      <c r="C320" s="2"/>
      <c r="D320" s="87"/>
      <c r="E320" s="87" t="str">
        <f>IF(A320="","",IF(D320-SUMIFS(GRN!$E$3:$E996,GRN!$D$3:$D996,C320)&lt;0,0,D320-SUMIFS(GRN!$E$3:$E996,GRN!$D$3:$D996,C320)))</f>
        <v/>
      </c>
    </row>
    <row r="321" spans="1:5" ht="15.75" customHeight="1">
      <c r="A321" s="128"/>
      <c r="B321" s="128"/>
      <c r="C321" s="2"/>
      <c r="D321" s="87"/>
      <c r="E321" s="87" t="str">
        <f>IF(A321="","",IF(D321-SUMIFS(GRN!$E$3:$E996,GRN!$D$3:$D996,C321)&lt;0,0,D321-SUMIFS(GRN!$E$3:$E996,GRN!$D$3:$D996,C321)))</f>
        <v/>
      </c>
    </row>
    <row r="322" spans="1:5" ht="15.75" customHeight="1">
      <c r="A322" s="128"/>
      <c r="B322" s="128"/>
      <c r="C322" s="2"/>
      <c r="D322" s="87"/>
      <c r="E322" s="87" t="str">
        <f>IF(A322="","",IF(D322-SUMIFS(GRN!$E$3:$E996,GRN!$D$3:$D996,C322)&lt;0,0,D322-SUMIFS(GRN!$E$3:$E996,GRN!$D$3:$D996,C322)))</f>
        <v/>
      </c>
    </row>
    <row r="323" spans="1:5" ht="15.75" customHeight="1">
      <c r="A323" s="128"/>
      <c r="B323" s="128"/>
      <c r="C323" s="2"/>
      <c r="D323" s="87"/>
      <c r="E323" s="87" t="str">
        <f>IF(A323="","",IF(D323-SUMIFS(GRN!$E$3:$E996,GRN!$D$3:$D996,C323)&lt;0,0,D323-SUMIFS(GRN!$E$3:$E996,GRN!$D$3:$D996,C323)))</f>
        <v/>
      </c>
    </row>
    <row r="324" spans="1:5" ht="15.75" customHeight="1">
      <c r="A324" s="128"/>
      <c r="B324" s="128"/>
      <c r="C324" s="2"/>
      <c r="D324" s="87"/>
      <c r="E324" s="87" t="str">
        <f>IF(A324="","",IF(D324-SUMIFS(GRN!$E$3:$E996,GRN!$D$3:$D996,C324)&lt;0,0,D324-SUMIFS(GRN!$E$3:$E996,GRN!$D$3:$D996,C324)))</f>
        <v/>
      </c>
    </row>
    <row r="325" spans="1:5" ht="15.75" customHeight="1">
      <c r="A325" s="128"/>
      <c r="B325" s="128"/>
      <c r="C325" s="2"/>
      <c r="D325" s="87"/>
      <c r="E325" s="87" t="str">
        <f>IF(A325="","",IF(D325-SUMIFS(GRN!$E$3:$E996,GRN!$D$3:$D996,C325)&lt;0,0,D325-SUMIFS(GRN!$E$3:$E996,GRN!$D$3:$D996,C325)))</f>
        <v/>
      </c>
    </row>
    <row r="326" spans="1:5" ht="15.75" customHeight="1">
      <c r="A326" s="128"/>
      <c r="B326" s="128"/>
      <c r="C326" s="2"/>
      <c r="D326" s="87"/>
      <c r="E326" s="87" t="str">
        <f>IF(A326="","",IF(D326-SUMIFS(GRN!$E$3:$E996,GRN!$D$3:$D996,C326)&lt;0,0,D326-SUMIFS(GRN!$E$3:$E996,GRN!$D$3:$D996,C326)))</f>
        <v/>
      </c>
    </row>
    <row r="327" spans="1:5" ht="15.75" customHeight="1">
      <c r="A327" s="128"/>
      <c r="B327" s="128"/>
      <c r="C327" s="2"/>
      <c r="D327" s="87"/>
      <c r="E327" s="87" t="str">
        <f>IF(A327="","",IF(D327-SUMIFS(GRN!$E$3:$E996,GRN!$D$3:$D996,C327)&lt;0,0,D327-SUMIFS(GRN!$E$3:$E996,GRN!$D$3:$D996,C327)))</f>
        <v/>
      </c>
    </row>
    <row r="328" spans="1:5" ht="15.75" customHeight="1">
      <c r="A328" s="128"/>
      <c r="B328" s="128"/>
      <c r="C328" s="2"/>
      <c r="D328" s="87"/>
      <c r="E328" s="87" t="str">
        <f>IF(A328="","",IF(D328-SUMIFS(GRN!$E$3:$E996,GRN!$D$3:$D996,C328)&lt;0,0,D328-SUMIFS(GRN!$E$3:$E996,GRN!$D$3:$D996,C328)))</f>
        <v/>
      </c>
    </row>
    <row r="329" spans="1:5" ht="15.75" customHeight="1">
      <c r="A329" s="128"/>
      <c r="B329" s="128"/>
      <c r="C329" s="2"/>
      <c r="D329" s="87"/>
      <c r="E329" s="87" t="str">
        <f>IF(A329="","",IF(D329-SUMIFS(GRN!$E$3:$E996,GRN!$D$3:$D996,C329)&lt;0,0,D329-SUMIFS(GRN!$E$3:$E996,GRN!$D$3:$D996,C329)))</f>
        <v/>
      </c>
    </row>
    <row r="330" spans="1:5" ht="15.75" customHeight="1">
      <c r="A330" s="128"/>
      <c r="B330" s="128"/>
      <c r="C330" s="2"/>
      <c r="D330" s="87"/>
      <c r="E330" s="87" t="str">
        <f>IF(A330="","",IF(D330-SUMIFS(GRN!$E$3:$E996,GRN!$D$3:$D996,C330)&lt;0,0,D330-SUMIFS(GRN!$E$3:$E996,GRN!$D$3:$D996,C330)))</f>
        <v/>
      </c>
    </row>
    <row r="331" spans="1:5" ht="15.75" customHeight="1">
      <c r="A331" s="128"/>
      <c r="B331" s="128"/>
      <c r="C331" s="2"/>
      <c r="D331" s="87"/>
      <c r="E331" s="87" t="str">
        <f>IF(A331="","",IF(D331-SUMIFS(GRN!$E$3:$E996,GRN!$D$3:$D996,C331)&lt;0,0,D331-SUMIFS(GRN!$E$3:$E996,GRN!$D$3:$D996,C331)))</f>
        <v/>
      </c>
    </row>
    <row r="332" spans="1:5" ht="15.75" customHeight="1">
      <c r="A332" s="128"/>
      <c r="B332" s="128"/>
      <c r="C332" s="2"/>
      <c r="D332" s="87"/>
      <c r="E332" s="87" t="str">
        <f>IF(A332="","",IF(D332-SUMIFS(GRN!$E$3:$E996,GRN!$D$3:$D996,C332)&lt;0,0,D332-SUMIFS(GRN!$E$3:$E996,GRN!$D$3:$D996,C332)))</f>
        <v/>
      </c>
    </row>
    <row r="333" spans="1:5" ht="15.75" customHeight="1">
      <c r="A333" s="128"/>
      <c r="B333" s="128"/>
      <c r="C333" s="2"/>
      <c r="D333" s="87"/>
      <c r="E333" s="87" t="str">
        <f>IF(A333="","",IF(D333-SUMIFS(GRN!$E$3:$E996,GRN!$D$3:$D996,C333)&lt;0,0,D333-SUMIFS(GRN!$E$3:$E996,GRN!$D$3:$D996,C333)))</f>
        <v/>
      </c>
    </row>
    <row r="334" spans="1:5" ht="15.75" customHeight="1">
      <c r="A334" s="128"/>
      <c r="B334" s="128"/>
      <c r="C334" s="2"/>
      <c r="D334" s="87"/>
      <c r="E334" s="87" t="str">
        <f>IF(A334="","",IF(D334-SUMIFS(GRN!$E$3:$E996,GRN!$D$3:$D996,C334)&lt;0,0,D334-SUMIFS(GRN!$E$3:$E996,GRN!$D$3:$D996,C334)))</f>
        <v/>
      </c>
    </row>
    <row r="335" spans="1:5" ht="15.75" customHeight="1">
      <c r="A335" s="128"/>
      <c r="B335" s="128"/>
      <c r="C335" s="2"/>
      <c r="D335" s="87"/>
      <c r="E335" s="87" t="str">
        <f>IF(A335="","",IF(D335-SUMIFS(GRN!$E$3:$E996,GRN!$D$3:$D996,C335)&lt;0,0,D335-SUMIFS(GRN!$E$3:$E996,GRN!$D$3:$D996,C335)))</f>
        <v/>
      </c>
    </row>
    <row r="336" spans="1:5" ht="15.75" customHeight="1">
      <c r="A336" s="128"/>
      <c r="B336" s="128"/>
      <c r="C336" s="2"/>
      <c r="D336" s="87"/>
      <c r="E336" s="87" t="str">
        <f>IF(A336="","",IF(D336-SUMIFS(GRN!$E$3:$E996,GRN!$D$3:$D996,C336)&lt;0,0,D336-SUMIFS(GRN!$E$3:$E996,GRN!$D$3:$D996,C336)))</f>
        <v/>
      </c>
    </row>
    <row r="337" spans="1:5" ht="15.75" customHeight="1">
      <c r="A337" s="128"/>
      <c r="B337" s="128"/>
      <c r="C337" s="2"/>
      <c r="D337" s="87"/>
      <c r="E337" s="87" t="str">
        <f>IF(A337="","",IF(D337-SUMIFS(GRN!$E$3:$E996,GRN!$D$3:$D996,C337)&lt;0,0,D337-SUMIFS(GRN!$E$3:$E996,GRN!$D$3:$D996,C337)))</f>
        <v/>
      </c>
    </row>
    <row r="338" spans="1:5" ht="15.75" customHeight="1">
      <c r="A338" s="128"/>
      <c r="B338" s="128"/>
      <c r="C338" s="2"/>
      <c r="D338" s="87"/>
      <c r="E338" s="87" t="str">
        <f>IF(A338="","",IF(D338-SUMIFS(GRN!$E$3:$E996,GRN!$D$3:$D996,C338)&lt;0,0,D338-SUMIFS(GRN!$E$3:$E996,GRN!$D$3:$D996,C338)))</f>
        <v/>
      </c>
    </row>
    <row r="339" spans="1:5" ht="15.75" customHeight="1">
      <c r="A339" s="128"/>
      <c r="B339" s="128"/>
      <c r="C339" s="2"/>
      <c r="D339" s="87"/>
      <c r="E339" s="87" t="str">
        <f>IF(A339="","",IF(D339-SUMIFS(GRN!$E$3:$E996,GRN!$D$3:$D996,C339)&lt;0,0,D339-SUMIFS(GRN!$E$3:$E996,GRN!$D$3:$D996,C339)))</f>
        <v/>
      </c>
    </row>
    <row r="340" spans="1:5" ht="15.75" customHeight="1">
      <c r="A340" s="128"/>
      <c r="B340" s="128"/>
      <c r="C340" s="2"/>
      <c r="D340" s="87"/>
      <c r="E340" s="87" t="str">
        <f>IF(A340="","",IF(D340-SUMIFS(GRN!$E$3:$E996,GRN!$D$3:$D996,C340)&lt;0,0,D340-SUMIFS(GRN!$E$3:$E996,GRN!$D$3:$D996,C340)))</f>
        <v/>
      </c>
    </row>
    <row r="341" spans="1:5" ht="15.75" customHeight="1">
      <c r="A341" s="128"/>
      <c r="B341" s="128"/>
      <c r="C341" s="2"/>
      <c r="D341" s="87"/>
      <c r="E341" s="87" t="str">
        <f>IF(A341="","",IF(D341-SUMIFS(GRN!$E$3:$E996,GRN!$D$3:$D996,C341)&lt;0,0,D341-SUMIFS(GRN!$E$3:$E996,GRN!$D$3:$D996,C341)))</f>
        <v/>
      </c>
    </row>
    <row r="342" spans="1:5" ht="15.75" customHeight="1">
      <c r="A342" s="128"/>
      <c r="B342" s="128"/>
      <c r="C342" s="2"/>
      <c r="D342" s="87"/>
      <c r="E342" s="87" t="str">
        <f>IF(A342="","",IF(D342-SUMIFS(GRN!$E$3:$E996,GRN!$D$3:$D996,C342)&lt;0,0,D342-SUMIFS(GRN!$E$3:$E996,GRN!$D$3:$D996,C342)))</f>
        <v/>
      </c>
    </row>
    <row r="343" spans="1:5" ht="15.75" customHeight="1">
      <c r="A343" s="128"/>
      <c r="B343" s="128"/>
      <c r="C343" s="2"/>
      <c r="D343" s="87"/>
      <c r="E343" s="87" t="str">
        <f>IF(A343="","",IF(D343-SUMIFS(GRN!$E$3:$E996,GRN!$D$3:$D996,C343)&lt;0,0,D343-SUMIFS(GRN!$E$3:$E996,GRN!$D$3:$D996,C343)))</f>
        <v/>
      </c>
    </row>
    <row r="344" spans="1:5" ht="15.75" customHeight="1">
      <c r="A344" s="128"/>
      <c r="B344" s="128"/>
      <c r="C344" s="2"/>
      <c r="D344" s="87"/>
      <c r="E344" s="87" t="str">
        <f>IF(A344="","",IF(D344-SUMIFS(GRN!$E$3:$E996,GRN!$D$3:$D996,C344)&lt;0,0,D344-SUMIFS(GRN!$E$3:$E996,GRN!$D$3:$D996,C344)))</f>
        <v/>
      </c>
    </row>
    <row r="345" spans="1:5" ht="15.75" customHeight="1">
      <c r="A345" s="128"/>
      <c r="B345" s="128"/>
      <c r="C345" s="2"/>
      <c r="D345" s="87"/>
      <c r="E345" s="87" t="str">
        <f>IF(A345="","",IF(D345-SUMIFS(GRN!$E$3:$E996,GRN!$D$3:$D996,C345)&lt;0,0,D345-SUMIFS(GRN!$E$3:$E996,GRN!$D$3:$D996,C345)))</f>
        <v/>
      </c>
    </row>
    <row r="346" spans="1:5" ht="15.75" customHeight="1">
      <c r="A346" s="128"/>
      <c r="B346" s="128"/>
      <c r="C346" s="2"/>
      <c r="D346" s="87"/>
      <c r="E346" s="87" t="str">
        <f>IF(A346="","",IF(D346-SUMIFS(GRN!$E$3:$E996,GRN!$D$3:$D996,C346)&lt;0,0,D346-SUMIFS(GRN!$E$3:$E996,GRN!$D$3:$D996,C346)))</f>
        <v/>
      </c>
    </row>
    <row r="347" spans="1:5" ht="15.75" customHeight="1">
      <c r="A347" s="128"/>
      <c r="B347" s="128"/>
      <c r="C347" s="2"/>
      <c r="D347" s="87"/>
      <c r="E347" s="87" t="str">
        <f>IF(A347="","",IF(D347-SUMIFS(GRN!$E$3:$E996,GRN!$D$3:$D996,C347)&lt;0,0,D347-SUMIFS(GRN!$E$3:$E996,GRN!$D$3:$D996,C347)))</f>
        <v/>
      </c>
    </row>
    <row r="348" spans="1:5" ht="15.75" customHeight="1">
      <c r="A348" s="128"/>
      <c r="B348" s="128"/>
      <c r="C348" s="2"/>
      <c r="D348" s="87"/>
      <c r="E348" s="87" t="str">
        <f>IF(A348="","",IF(D348-SUMIFS(GRN!$E$3:$E996,GRN!$D$3:$D996,C348)&lt;0,0,D348-SUMIFS(GRN!$E$3:$E996,GRN!$D$3:$D996,C348)))</f>
        <v/>
      </c>
    </row>
    <row r="349" spans="1:5" ht="15.75" customHeight="1">
      <c r="A349" s="128"/>
      <c r="B349" s="128"/>
      <c r="C349" s="2"/>
      <c r="D349" s="87"/>
      <c r="E349" s="87" t="str">
        <f>IF(A349="","",IF(D349-SUMIFS(GRN!$E$3:$E996,GRN!$D$3:$D996,C349)&lt;0,0,D349-SUMIFS(GRN!$E$3:$E996,GRN!$D$3:$D996,C349)))</f>
        <v/>
      </c>
    </row>
    <row r="350" spans="1:5" ht="15.75" customHeight="1">
      <c r="A350" s="128"/>
      <c r="B350" s="128"/>
      <c r="C350" s="2"/>
      <c r="D350" s="87"/>
      <c r="E350" s="87" t="str">
        <f>IF(A350="","",IF(D350-SUMIFS(GRN!$E$3:$E996,GRN!$D$3:$D996,C350)&lt;0,0,D350-SUMIFS(GRN!$E$3:$E996,GRN!$D$3:$D996,C350)))</f>
        <v/>
      </c>
    </row>
    <row r="351" spans="1:5" ht="15.75" customHeight="1">
      <c r="A351" s="128"/>
      <c r="B351" s="128"/>
      <c r="C351" s="2"/>
      <c r="D351" s="87"/>
      <c r="E351" s="87" t="str">
        <f>IF(A351="","",IF(D351-SUMIFS(GRN!$E$3:$E996,GRN!$D$3:$D996,C351)&lt;0,0,D351-SUMIFS(GRN!$E$3:$E996,GRN!$D$3:$D996,C351)))</f>
        <v/>
      </c>
    </row>
    <row r="352" spans="1:5" ht="15.75" customHeight="1">
      <c r="A352" s="128"/>
      <c r="B352" s="128"/>
      <c r="C352" s="2"/>
      <c r="D352" s="87"/>
      <c r="E352" s="87" t="str">
        <f>IF(A352="","",IF(D352-SUMIFS(GRN!$E$3:$E996,GRN!$D$3:$D996,C352)&lt;0,0,D352-SUMIFS(GRN!$E$3:$E996,GRN!$D$3:$D996,C352)))</f>
        <v/>
      </c>
    </row>
    <row r="353" spans="1:5" ht="15.75" customHeight="1">
      <c r="A353" s="128"/>
      <c r="B353" s="128"/>
      <c r="C353" s="2"/>
      <c r="D353" s="87"/>
      <c r="E353" s="87" t="str">
        <f>IF(A353="","",IF(D353-SUMIFS(GRN!$E$3:$E996,GRN!$D$3:$D996,C353)&lt;0,0,D353-SUMIFS(GRN!$E$3:$E996,GRN!$D$3:$D996,C353)))</f>
        <v/>
      </c>
    </row>
    <row r="354" spans="1:5" ht="15.75" customHeight="1">
      <c r="A354" s="128"/>
      <c r="B354" s="128"/>
      <c r="C354" s="2"/>
      <c r="D354" s="87"/>
      <c r="E354" s="87" t="str">
        <f>IF(A354="","",IF(D354-SUMIFS(GRN!$E$3:$E996,GRN!$D$3:$D996,C354)&lt;0,0,D354-SUMIFS(GRN!$E$3:$E996,GRN!$D$3:$D996,C354)))</f>
        <v/>
      </c>
    </row>
    <row r="355" spans="1:5" ht="15.75" customHeight="1">
      <c r="A355" s="128"/>
      <c r="B355" s="128"/>
      <c r="C355" s="2"/>
      <c r="D355" s="87"/>
      <c r="E355" s="87" t="str">
        <f>IF(A355="","",IF(D355-SUMIFS(GRN!$E$3:$E996,GRN!$D$3:$D996,C355)&lt;0,0,D355-SUMIFS(GRN!$E$3:$E996,GRN!$D$3:$D996,C355)))</f>
        <v/>
      </c>
    </row>
    <row r="356" spans="1:5" ht="15.75" customHeight="1">
      <c r="A356" s="128"/>
      <c r="B356" s="128"/>
      <c r="C356" s="2"/>
      <c r="D356" s="87"/>
      <c r="E356" s="87" t="str">
        <f>IF(A356="","",IF(D356-SUMIFS(GRN!$E$3:$E996,GRN!$D$3:$D996,C356)&lt;0,0,D356-SUMIFS(GRN!$E$3:$E996,GRN!$D$3:$D996,C356)))</f>
        <v/>
      </c>
    </row>
    <row r="357" spans="1:5" ht="15.75" customHeight="1">
      <c r="A357" s="128"/>
      <c r="B357" s="128"/>
      <c r="C357" s="2"/>
      <c r="D357" s="87"/>
      <c r="E357" s="87" t="str">
        <f>IF(A357="","",IF(D357-SUMIFS(GRN!$E$3:$E996,GRN!$D$3:$D996,C357)&lt;0,0,D357-SUMIFS(GRN!$E$3:$E996,GRN!$D$3:$D996,C357)))</f>
        <v/>
      </c>
    </row>
    <row r="358" spans="1:5" ht="15.75" customHeight="1">
      <c r="A358" s="128"/>
      <c r="B358" s="128"/>
      <c r="C358" s="2"/>
      <c r="D358" s="87"/>
      <c r="E358" s="87" t="str">
        <f>IF(A358="","",IF(D358-SUMIFS(GRN!$E$3:$E996,GRN!$D$3:$D996,C358)&lt;0,0,D358-SUMIFS(GRN!$E$3:$E996,GRN!$D$3:$D996,C358)))</f>
        <v/>
      </c>
    </row>
    <row r="359" spans="1:5" ht="15.75" customHeight="1">
      <c r="A359" s="128"/>
      <c r="B359" s="128"/>
      <c r="C359" s="2"/>
      <c r="D359" s="87"/>
      <c r="E359" s="87" t="str">
        <f>IF(A359="","",IF(D359-SUMIFS(GRN!$E$3:$E996,GRN!$D$3:$D996,C359)&lt;0,0,D359-SUMIFS(GRN!$E$3:$E996,GRN!$D$3:$D996,C359)))</f>
        <v/>
      </c>
    </row>
    <row r="360" spans="1:5" ht="15.75" customHeight="1">
      <c r="A360" s="128"/>
      <c r="B360" s="128"/>
      <c r="C360" s="2"/>
      <c r="D360" s="87"/>
      <c r="E360" s="87" t="str">
        <f>IF(A360="","",IF(D360-SUMIFS(GRN!$E$3:$E996,GRN!$D$3:$D996,C360)&lt;0,0,D360-SUMIFS(GRN!$E$3:$E996,GRN!$D$3:$D996,C360)))</f>
        <v/>
      </c>
    </row>
    <row r="361" spans="1:5" ht="15.75" customHeight="1">
      <c r="A361" s="128"/>
      <c r="B361" s="128"/>
      <c r="C361" s="2"/>
      <c r="D361" s="87"/>
      <c r="E361" s="87" t="str">
        <f>IF(A361="","",IF(D361-SUMIFS(GRN!$E$3:$E996,GRN!$D$3:$D996,C361)&lt;0,0,D361-SUMIFS(GRN!$E$3:$E996,GRN!$D$3:$D996,C361)))</f>
        <v/>
      </c>
    </row>
    <row r="362" spans="1:5" ht="15.75" customHeight="1">
      <c r="A362" s="128"/>
      <c r="B362" s="128"/>
      <c r="C362" s="2"/>
      <c r="D362" s="87"/>
      <c r="E362" s="87" t="str">
        <f>IF(A362="","",IF(D362-SUMIFS(GRN!$E$3:$E996,GRN!$D$3:$D996,C362)&lt;0,0,D362-SUMIFS(GRN!$E$3:$E996,GRN!$D$3:$D996,C362)))</f>
        <v/>
      </c>
    </row>
    <row r="363" spans="1:5" ht="15.75" customHeight="1">
      <c r="A363" s="128"/>
      <c r="B363" s="128"/>
      <c r="C363" s="2"/>
      <c r="D363" s="87"/>
      <c r="E363" s="87" t="str">
        <f>IF(A363="","",IF(D363-SUMIFS(GRN!$E$3:$E996,GRN!$D$3:$D996,C363)&lt;0,0,D363-SUMIFS(GRN!$E$3:$E996,GRN!$D$3:$D996,C363)))</f>
        <v/>
      </c>
    </row>
    <row r="364" spans="1:5" ht="15.75" customHeight="1">
      <c r="A364" s="128"/>
      <c r="B364" s="128"/>
      <c r="C364" s="2"/>
      <c r="D364" s="87"/>
      <c r="E364" s="87" t="str">
        <f>IF(A364="","",IF(D364-SUMIFS(GRN!$E$3:$E996,GRN!$D$3:$D996,C364)&lt;0,0,D364-SUMIFS(GRN!$E$3:$E996,GRN!$D$3:$D996,C364)))</f>
        <v/>
      </c>
    </row>
    <row r="365" spans="1:5" ht="15.75" customHeight="1">
      <c r="A365" s="128"/>
      <c r="B365" s="128"/>
      <c r="C365" s="2"/>
      <c r="D365" s="87"/>
      <c r="E365" s="87" t="str">
        <f>IF(A365="","",IF(D365-SUMIFS(GRN!$E$3:$E996,GRN!$D$3:$D996,C365)&lt;0,0,D365-SUMIFS(GRN!$E$3:$E996,GRN!$D$3:$D996,C365)))</f>
        <v/>
      </c>
    </row>
    <row r="366" spans="1:5" ht="15.75" customHeight="1">
      <c r="A366" s="128"/>
      <c r="B366" s="128"/>
      <c r="C366" s="2"/>
      <c r="D366" s="87"/>
      <c r="E366" s="87" t="str">
        <f>IF(A366="","",IF(D366-SUMIFS(GRN!$E$3:$E996,GRN!$D$3:$D996,C366)&lt;0,0,D366-SUMIFS(GRN!$E$3:$E996,GRN!$D$3:$D996,C366)))</f>
        <v/>
      </c>
    </row>
    <row r="367" spans="1:5" ht="15.75" customHeight="1">
      <c r="A367" s="128"/>
      <c r="B367" s="128"/>
      <c r="C367" s="2"/>
      <c r="D367" s="87"/>
      <c r="E367" s="87" t="str">
        <f>IF(A367="","",IF(D367-SUMIFS(GRN!$E$3:$E996,GRN!$D$3:$D996,C367)&lt;0,0,D367-SUMIFS(GRN!$E$3:$E996,GRN!$D$3:$D996,C367)))</f>
        <v/>
      </c>
    </row>
    <row r="368" spans="1:5" ht="15.75" customHeight="1">
      <c r="A368" s="128"/>
      <c r="B368" s="128"/>
      <c r="C368" s="2"/>
      <c r="D368" s="87"/>
      <c r="E368" s="87" t="str">
        <f>IF(A368="","",IF(D368-SUMIFS(GRN!$E$3:$E996,GRN!$D$3:$D996,C368)&lt;0,0,D368-SUMIFS(GRN!$E$3:$E996,GRN!$D$3:$D996,C368)))</f>
        <v/>
      </c>
    </row>
    <row r="369" spans="1:5" ht="15.75" customHeight="1">
      <c r="A369" s="128"/>
      <c r="B369" s="128"/>
      <c r="C369" s="2"/>
      <c r="D369" s="87"/>
      <c r="E369" s="87" t="str">
        <f>IF(A369="","",IF(D369-SUMIFS(GRN!$E$3:$E996,GRN!$D$3:$D996,C369)&lt;0,0,D369-SUMIFS(GRN!$E$3:$E996,GRN!$D$3:$D996,C369)))</f>
        <v/>
      </c>
    </row>
    <row r="370" spans="1:5" ht="15.75" customHeight="1">
      <c r="A370" s="128"/>
      <c r="B370" s="128"/>
      <c r="C370" s="2"/>
      <c r="D370" s="87"/>
      <c r="E370" s="87" t="str">
        <f>IF(A370="","",IF(D370-SUMIFS(GRN!$E$3:$E996,GRN!$D$3:$D996,C370)&lt;0,0,D370-SUMIFS(GRN!$E$3:$E996,GRN!$D$3:$D996,C370)))</f>
        <v/>
      </c>
    </row>
    <row r="371" spans="1:5" ht="15.75" customHeight="1">
      <c r="A371" s="128"/>
      <c r="B371" s="128"/>
      <c r="C371" s="2"/>
      <c r="D371" s="87"/>
      <c r="E371" s="87" t="str">
        <f>IF(A371="","",IF(D371-SUMIFS(GRN!$E$3:$E996,GRN!$D$3:$D996,C371)&lt;0,0,D371-SUMIFS(GRN!$E$3:$E996,GRN!$D$3:$D996,C371)))</f>
        <v/>
      </c>
    </row>
    <row r="372" spans="1:5" ht="15.75" customHeight="1">
      <c r="A372" s="128"/>
      <c r="B372" s="128"/>
      <c r="C372" s="2"/>
      <c r="D372" s="87"/>
      <c r="E372" s="87" t="str">
        <f>IF(A372="","",IF(D372-SUMIFS(GRN!$E$3:$E996,GRN!$D$3:$D996,C372)&lt;0,0,D372-SUMIFS(GRN!$E$3:$E996,GRN!$D$3:$D996,C372)))</f>
        <v/>
      </c>
    </row>
    <row r="373" spans="1:5" ht="15.75" customHeight="1">
      <c r="A373" s="128"/>
      <c r="B373" s="128"/>
      <c r="C373" s="2"/>
      <c r="D373" s="87"/>
      <c r="E373" s="87" t="str">
        <f>IF(A373="","",IF(D373-SUMIFS(GRN!$E$3:$E996,GRN!$D$3:$D996,C373)&lt;0,0,D373-SUMIFS(GRN!$E$3:$E996,GRN!$D$3:$D996,C373)))</f>
        <v/>
      </c>
    </row>
    <row r="374" spans="1:5" ht="15.75" customHeight="1">
      <c r="A374" s="128"/>
      <c r="B374" s="128"/>
      <c r="C374" s="2"/>
      <c r="D374" s="87"/>
      <c r="E374" s="87" t="str">
        <f>IF(A374="","",IF(D374-SUMIFS(GRN!$E$3:$E996,GRN!$D$3:$D996,C374)&lt;0,0,D374-SUMIFS(GRN!$E$3:$E996,GRN!$D$3:$D996,C374)))</f>
        <v/>
      </c>
    </row>
    <row r="375" spans="1:5" ht="15.75" customHeight="1">
      <c r="A375" s="128"/>
      <c r="B375" s="128"/>
      <c r="C375" s="2"/>
      <c r="D375" s="87"/>
      <c r="E375" s="87" t="str">
        <f>IF(A375="","",IF(D375-SUMIFS(GRN!$E$3:$E996,GRN!$D$3:$D996,C375)&lt;0,0,D375-SUMIFS(GRN!$E$3:$E996,GRN!$D$3:$D996,C375)))</f>
        <v/>
      </c>
    </row>
    <row r="376" spans="1:5" ht="15.75" customHeight="1">
      <c r="A376" s="128"/>
      <c r="B376" s="128"/>
      <c r="C376" s="2"/>
      <c r="D376" s="87"/>
      <c r="E376" s="87" t="str">
        <f>IF(A376="","",IF(D376-SUMIFS(GRN!$E$3:$E996,GRN!$D$3:$D996,C376)&lt;0,0,D376-SUMIFS(GRN!$E$3:$E996,GRN!$D$3:$D996,C376)))</f>
        <v/>
      </c>
    </row>
    <row r="377" spans="1:5" ht="15.75" customHeight="1">
      <c r="A377" s="128"/>
      <c r="B377" s="128"/>
      <c r="C377" s="2"/>
      <c r="D377" s="87"/>
      <c r="E377" s="87" t="str">
        <f>IF(A377="","",IF(D377-SUMIFS(GRN!$E$3:$E996,GRN!$D$3:$D996,C377)&lt;0,0,D377-SUMIFS(GRN!$E$3:$E996,GRN!$D$3:$D996,C377)))</f>
        <v/>
      </c>
    </row>
    <row r="378" spans="1:5" ht="15.75" customHeight="1">
      <c r="A378" s="128"/>
      <c r="B378" s="128"/>
      <c r="C378" s="2"/>
      <c r="D378" s="87"/>
      <c r="E378" s="87" t="str">
        <f>IF(A378="","",IF(D378-SUMIFS(GRN!$E$3:$E996,GRN!$D$3:$D996,C378)&lt;0,0,D378-SUMIFS(GRN!$E$3:$E996,GRN!$D$3:$D996,C378)))</f>
        <v/>
      </c>
    </row>
    <row r="379" spans="1:5" ht="15.75" customHeight="1">
      <c r="A379" s="128"/>
      <c r="B379" s="128"/>
      <c r="C379" s="2"/>
      <c r="D379" s="87"/>
      <c r="E379" s="87" t="str">
        <f>IF(A379="","",IF(D379-SUMIFS(GRN!$E$3:$E996,GRN!$D$3:$D996,C379)&lt;0,0,D379-SUMIFS(GRN!$E$3:$E996,GRN!$D$3:$D996,C379)))</f>
        <v/>
      </c>
    </row>
    <row r="380" spans="1:5" ht="15.75" customHeight="1">
      <c r="A380" s="128"/>
      <c r="B380" s="128"/>
      <c r="C380" s="2"/>
      <c r="D380" s="87"/>
      <c r="E380" s="87" t="str">
        <f>IF(A380="","",IF(D380-SUMIFS(GRN!$E$3:$E996,GRN!$D$3:$D996,C380)&lt;0,0,D380-SUMIFS(GRN!$E$3:$E996,GRN!$D$3:$D996,C380)))</f>
        <v/>
      </c>
    </row>
    <row r="381" spans="1:5" ht="15.75" customHeight="1">
      <c r="A381" s="128"/>
      <c r="B381" s="128"/>
      <c r="C381" s="2"/>
      <c r="D381" s="87"/>
      <c r="E381" s="87" t="str">
        <f>IF(A381="","",IF(D381-SUMIFS(GRN!$E$3:$E996,GRN!$D$3:$D996,C381)&lt;0,0,D381-SUMIFS(GRN!$E$3:$E996,GRN!$D$3:$D996,C381)))</f>
        <v/>
      </c>
    </row>
    <row r="382" spans="1:5" ht="15.75" customHeight="1">
      <c r="A382" s="128"/>
      <c r="B382" s="128"/>
      <c r="C382" s="2"/>
      <c r="D382" s="87"/>
      <c r="E382" s="87" t="str">
        <f>IF(A382="","",IF(D382-SUMIFS(GRN!$E$3:$E996,GRN!$D$3:$D996,C382)&lt;0,0,D382-SUMIFS(GRN!$E$3:$E996,GRN!$D$3:$D996,C382)))</f>
        <v/>
      </c>
    </row>
    <row r="383" spans="1:5" ht="15.75" customHeight="1">
      <c r="A383" s="128"/>
      <c r="B383" s="128"/>
      <c r="C383" s="2"/>
      <c r="D383" s="87"/>
      <c r="E383" s="87" t="str">
        <f>IF(A383="","",IF(D383-SUMIFS(GRN!$E$3:$E996,GRN!$D$3:$D996,C383)&lt;0,0,D383-SUMIFS(GRN!$E$3:$E996,GRN!$D$3:$D996,C383)))</f>
        <v/>
      </c>
    </row>
    <row r="384" spans="1:5" ht="15.75" customHeight="1">
      <c r="A384" s="128"/>
      <c r="B384" s="128"/>
      <c r="C384" s="2"/>
      <c r="D384" s="87"/>
      <c r="E384" s="87" t="str">
        <f>IF(A384="","",IF(D384-SUMIFS(GRN!$E$3:$E996,GRN!$D$3:$D996,C384)&lt;0,0,D384-SUMIFS(GRN!$E$3:$E996,GRN!$D$3:$D996,C384)))</f>
        <v/>
      </c>
    </row>
    <row r="385" spans="1:5" ht="15.75" customHeight="1">
      <c r="A385" s="128"/>
      <c r="B385" s="128"/>
      <c r="C385" s="2"/>
      <c r="D385" s="87"/>
      <c r="E385" s="87" t="str">
        <f>IF(A385="","",IF(D385-SUMIFS(GRN!$E$3:$E996,GRN!$D$3:$D996,C385)&lt;0,0,D385-SUMIFS(GRN!$E$3:$E996,GRN!$D$3:$D996,C385)))</f>
        <v/>
      </c>
    </row>
    <row r="386" spans="1:5" ht="15.75" customHeight="1">
      <c r="A386" s="128"/>
      <c r="B386" s="128"/>
      <c r="C386" s="2"/>
      <c r="D386" s="87"/>
      <c r="E386" s="87" t="str">
        <f>IF(A386="","",IF(D386-SUMIFS(GRN!$E$3:$E996,GRN!$D$3:$D996,C386)&lt;0,0,D386-SUMIFS(GRN!$E$3:$E996,GRN!$D$3:$D996,C386)))</f>
        <v/>
      </c>
    </row>
    <row r="387" spans="1:5" ht="15.75" customHeight="1">
      <c r="A387" s="128"/>
      <c r="B387" s="128"/>
      <c r="C387" s="2"/>
      <c r="D387" s="87"/>
      <c r="E387" s="87" t="str">
        <f>IF(A387="","",IF(D387-SUMIFS(GRN!$E$3:$E996,GRN!$D$3:$D996,C387)&lt;0,0,D387-SUMIFS(GRN!$E$3:$E996,GRN!$D$3:$D996,C387)))</f>
        <v/>
      </c>
    </row>
    <row r="388" spans="1:5" ht="15.75" customHeight="1">
      <c r="A388" s="128"/>
      <c r="B388" s="128"/>
      <c r="C388" s="2"/>
      <c r="D388" s="87"/>
      <c r="E388" s="87" t="str">
        <f>IF(A388="","",IF(D388-SUMIFS(GRN!$E$3:$E996,GRN!$D$3:$D996,C388)&lt;0,0,D388-SUMIFS(GRN!$E$3:$E996,GRN!$D$3:$D996,C388)))</f>
        <v/>
      </c>
    </row>
    <row r="389" spans="1:5" ht="15.75" customHeight="1">
      <c r="A389" s="128"/>
      <c r="B389" s="128"/>
      <c r="C389" s="2"/>
      <c r="D389" s="87"/>
      <c r="E389" s="87" t="str">
        <f>IF(A389="","",IF(D389-SUMIFS(GRN!$E$3:$E996,GRN!$D$3:$D996,C389)&lt;0,0,D389-SUMIFS(GRN!$E$3:$E996,GRN!$D$3:$D996,C389)))</f>
        <v/>
      </c>
    </row>
    <row r="390" spans="1:5" ht="15.75" customHeight="1">
      <c r="A390" s="128"/>
      <c r="B390" s="128"/>
      <c r="C390" s="2"/>
      <c r="D390" s="87"/>
      <c r="E390" s="87" t="str">
        <f>IF(A390="","",IF(D390-SUMIFS(GRN!$E$3:$E996,GRN!$D$3:$D996,C390)&lt;0,0,D390-SUMIFS(GRN!$E$3:$E996,GRN!$D$3:$D996,C390)))</f>
        <v/>
      </c>
    </row>
    <row r="391" spans="1:5" ht="15.75" customHeight="1">
      <c r="A391" s="128"/>
      <c r="B391" s="128"/>
      <c r="C391" s="2"/>
      <c r="D391" s="87"/>
      <c r="E391" s="87" t="str">
        <f>IF(A391="","",IF(D391-SUMIFS(GRN!$E$3:$E996,GRN!$D$3:$D996,C391)&lt;0,0,D391-SUMIFS(GRN!$E$3:$E996,GRN!$D$3:$D996,C391)))</f>
        <v/>
      </c>
    </row>
    <row r="392" spans="1:5" ht="15.75" customHeight="1">
      <c r="A392" s="128"/>
      <c r="B392" s="128"/>
      <c r="C392" s="2"/>
      <c r="D392" s="87"/>
      <c r="E392" s="87" t="str">
        <f>IF(A392="","",IF(D392-SUMIFS(GRN!$E$3:$E996,GRN!$D$3:$D996,C392)&lt;0,0,D392-SUMIFS(GRN!$E$3:$E996,GRN!$D$3:$D996,C392)))</f>
        <v/>
      </c>
    </row>
    <row r="393" spans="1:5" ht="15.75" customHeight="1">
      <c r="A393" s="128"/>
      <c r="B393" s="128"/>
      <c r="C393" s="2"/>
      <c r="D393" s="87"/>
      <c r="E393" s="87" t="str">
        <f>IF(A393="","",IF(D393-SUMIFS(GRN!$E$3:$E996,GRN!$D$3:$D996,C393)&lt;0,0,D393-SUMIFS(GRN!$E$3:$E996,GRN!$D$3:$D996,C393)))</f>
        <v/>
      </c>
    </row>
    <row r="394" spans="1:5" ht="15.75" customHeight="1">
      <c r="A394" s="128"/>
      <c r="B394" s="128"/>
      <c r="C394" s="2"/>
      <c r="D394" s="87"/>
      <c r="E394" s="87" t="str">
        <f>IF(A394="","",IF(D394-SUMIFS(GRN!$E$3:$E996,GRN!$D$3:$D996,C394)&lt;0,0,D394-SUMIFS(GRN!$E$3:$E996,GRN!$D$3:$D996,C394)))</f>
        <v/>
      </c>
    </row>
    <row r="395" spans="1:5" ht="15.75" customHeight="1">
      <c r="A395" s="128"/>
      <c r="B395" s="128"/>
      <c r="C395" s="2"/>
      <c r="D395" s="87"/>
      <c r="E395" s="87" t="str">
        <f>IF(A395="","",IF(D395-SUMIFS(GRN!$E$3:$E996,GRN!$D$3:$D996,C395)&lt;0,0,D395-SUMIFS(GRN!$E$3:$E996,GRN!$D$3:$D996,C395)))</f>
        <v/>
      </c>
    </row>
    <row r="396" spans="1:5" ht="15.75" customHeight="1">
      <c r="A396" s="128"/>
      <c r="B396" s="128"/>
      <c r="C396" s="2"/>
      <c r="D396" s="87"/>
      <c r="E396" s="87" t="str">
        <f>IF(A396="","",IF(D396-SUMIFS(GRN!$E$3:$E996,GRN!$D$3:$D996,C396)&lt;0,0,D396-SUMIFS(GRN!$E$3:$E996,GRN!$D$3:$D996,C396)))</f>
        <v/>
      </c>
    </row>
    <row r="397" spans="1:5" ht="15.75" customHeight="1">
      <c r="A397" s="128"/>
      <c r="B397" s="128"/>
      <c r="C397" s="2"/>
      <c r="D397" s="87"/>
      <c r="E397" s="87" t="str">
        <f>IF(A397="","",IF(D397-SUMIFS(GRN!$E$3:$E996,GRN!$D$3:$D996,C397)&lt;0,0,D397-SUMIFS(GRN!$E$3:$E996,GRN!$D$3:$D996,C397)))</f>
        <v/>
      </c>
    </row>
    <row r="398" spans="1:5" ht="15.75" customHeight="1">
      <c r="A398" s="128"/>
      <c r="B398" s="128"/>
      <c r="C398" s="2"/>
      <c r="D398" s="87"/>
      <c r="E398" s="87" t="str">
        <f>IF(A398="","",IF(D398-SUMIFS(GRN!$E$3:$E996,GRN!$D$3:$D996,C398)&lt;0,0,D398-SUMIFS(GRN!$E$3:$E996,GRN!$D$3:$D996,C398)))</f>
        <v/>
      </c>
    </row>
    <row r="399" spans="1:5" ht="15.75" customHeight="1">
      <c r="A399" s="128"/>
      <c r="B399" s="128"/>
      <c r="C399" s="2"/>
      <c r="D399" s="87"/>
      <c r="E399" s="87" t="str">
        <f>IF(A399="","",IF(D399-SUMIFS(GRN!$E$3:$E996,GRN!$D$3:$D996,C399)&lt;0,0,D399-SUMIFS(GRN!$E$3:$E996,GRN!$D$3:$D996,C399)))</f>
        <v/>
      </c>
    </row>
    <row r="400" spans="1:5" ht="15.75" customHeight="1">
      <c r="A400" s="128"/>
      <c r="B400" s="128"/>
      <c r="C400" s="2"/>
      <c r="D400" s="87"/>
      <c r="E400" s="87" t="str">
        <f>IF(A400="","",IF(D400-SUMIFS(GRN!$E$3:$E996,GRN!$D$3:$D996,C400)&lt;0,0,D400-SUMIFS(GRN!$E$3:$E996,GRN!$D$3:$D996,C400)))</f>
        <v/>
      </c>
    </row>
    <row r="401" spans="1:5" ht="15.75" customHeight="1">
      <c r="A401" s="128"/>
      <c r="B401" s="128"/>
      <c r="C401" s="2"/>
      <c r="D401" s="87"/>
      <c r="E401" s="87" t="str">
        <f>IF(A401="","",IF(D401-SUMIFS(GRN!$E$3:$E996,GRN!$D$3:$D996,C401)&lt;0,0,D401-SUMIFS(GRN!$E$3:$E996,GRN!$D$3:$D996,C401)))</f>
        <v/>
      </c>
    </row>
    <row r="402" spans="1:5" ht="15.75" customHeight="1">
      <c r="A402" s="128"/>
      <c r="B402" s="128"/>
      <c r="C402" s="2"/>
      <c r="D402" s="87"/>
      <c r="E402" s="87" t="str">
        <f>IF(A402="","",IF(D402-SUMIFS(GRN!$E$3:$E996,GRN!$D$3:$D996,C402)&lt;0,0,D402-SUMIFS(GRN!$E$3:$E996,GRN!$D$3:$D996,C402)))</f>
        <v/>
      </c>
    </row>
    <row r="403" spans="1:5" ht="15.75" customHeight="1">
      <c r="A403" s="128"/>
      <c r="B403" s="128"/>
      <c r="C403" s="2"/>
      <c r="D403" s="87"/>
      <c r="E403" s="87" t="str">
        <f>IF(A403="","",IF(D403-SUMIFS(GRN!$E$3:$E996,GRN!$D$3:$D996,C403)&lt;0,0,D403-SUMIFS(GRN!$E$3:$E996,GRN!$D$3:$D996,C403)))</f>
        <v/>
      </c>
    </row>
    <row r="404" spans="1:5" ht="15.75" customHeight="1">
      <c r="A404" s="128"/>
      <c r="B404" s="128"/>
      <c r="C404" s="2"/>
      <c r="D404" s="87"/>
      <c r="E404" s="87" t="str">
        <f>IF(A404="","",IF(D404-SUMIFS(GRN!$E$3:$E996,GRN!$D$3:$D996,C404)&lt;0,0,D404-SUMIFS(GRN!$E$3:$E996,GRN!$D$3:$D996,C404)))</f>
        <v/>
      </c>
    </row>
    <row r="405" spans="1:5" ht="15.75" customHeight="1">
      <c r="A405" s="128"/>
      <c r="B405" s="128"/>
      <c r="C405" s="2"/>
      <c r="D405" s="87"/>
      <c r="E405" s="87" t="str">
        <f>IF(A405="","",IF(D405-SUMIFS(GRN!$E$3:$E996,GRN!$D$3:$D996,C405)&lt;0,0,D405-SUMIFS(GRN!$E$3:$E996,GRN!$D$3:$D996,C405)))</f>
        <v/>
      </c>
    </row>
    <row r="406" spans="1:5" ht="15.75" customHeight="1">
      <c r="A406" s="128"/>
      <c r="B406" s="128"/>
      <c r="C406" s="2"/>
      <c r="D406" s="87"/>
      <c r="E406" s="87" t="str">
        <f>IF(A406="","",IF(D406-SUMIFS(GRN!$E$3:$E996,GRN!$D$3:$D996,C406)&lt;0,0,D406-SUMIFS(GRN!$E$3:$E996,GRN!$D$3:$D996,C406)))</f>
        <v/>
      </c>
    </row>
    <row r="407" spans="1:5" ht="15.75" customHeight="1">
      <c r="A407" s="128"/>
      <c r="B407" s="128"/>
      <c r="C407" s="2"/>
      <c r="D407" s="87"/>
      <c r="E407" s="87" t="str">
        <f>IF(A407="","",IF(D407-SUMIFS(GRN!$E$3:$E996,GRN!$D$3:$D996,C407)&lt;0,0,D407-SUMIFS(GRN!$E$3:$E996,GRN!$D$3:$D996,C407)))</f>
        <v/>
      </c>
    </row>
    <row r="408" spans="1:5" ht="15.75" customHeight="1">
      <c r="A408" s="128"/>
      <c r="B408" s="128"/>
      <c r="C408" s="2"/>
      <c r="D408" s="87"/>
      <c r="E408" s="87" t="str">
        <f>IF(A408="","",IF(D408-SUMIFS(GRN!$E$3:$E996,GRN!$D$3:$D996,C408)&lt;0,0,D408-SUMIFS(GRN!$E$3:$E996,GRN!$D$3:$D996,C408)))</f>
        <v/>
      </c>
    </row>
    <row r="409" spans="1:5" ht="15.75" customHeight="1">
      <c r="A409" s="128"/>
      <c r="B409" s="128"/>
      <c r="C409" s="2"/>
      <c r="D409" s="87"/>
      <c r="E409" s="87" t="str">
        <f>IF(A409="","",IF(D409-SUMIFS(GRN!$E$3:$E996,GRN!$D$3:$D996,C409)&lt;0,0,D409-SUMIFS(GRN!$E$3:$E996,GRN!$D$3:$D996,C409)))</f>
        <v/>
      </c>
    </row>
    <row r="410" spans="1:5" ht="15.75" customHeight="1">
      <c r="A410" s="128"/>
      <c r="B410" s="128"/>
      <c r="C410" s="2"/>
      <c r="D410" s="87"/>
      <c r="E410" s="87" t="str">
        <f>IF(A410="","",IF(D410-SUMIFS(GRN!$E$3:$E996,GRN!$D$3:$D996,C410)&lt;0,0,D410-SUMIFS(GRN!$E$3:$E996,GRN!$D$3:$D996,C410)))</f>
        <v/>
      </c>
    </row>
    <row r="411" spans="1:5" ht="15.75" customHeight="1">
      <c r="A411" s="128"/>
      <c r="B411" s="128"/>
      <c r="C411" s="2"/>
      <c r="D411" s="87"/>
      <c r="E411" s="87" t="str">
        <f>IF(A411="","",IF(D411-SUMIFS(GRN!$E$3:$E996,GRN!$D$3:$D996,C411)&lt;0,0,D411-SUMIFS(GRN!$E$3:$E996,GRN!$D$3:$D996,C411)))</f>
        <v/>
      </c>
    </row>
    <row r="412" spans="1:5" ht="15.75" customHeight="1">
      <c r="A412" s="128"/>
      <c r="B412" s="128"/>
      <c r="C412" s="2"/>
      <c r="D412" s="87"/>
      <c r="E412" s="87" t="str">
        <f>IF(A412="","",IF(D412-SUMIFS(GRN!$E$3:$E996,GRN!$D$3:$D996,C412)&lt;0,0,D412-SUMIFS(GRN!$E$3:$E996,GRN!$D$3:$D996,C412)))</f>
        <v/>
      </c>
    </row>
    <row r="413" spans="1:5" ht="15.75" customHeight="1">
      <c r="A413" s="128"/>
      <c r="B413" s="128"/>
      <c r="C413" s="2"/>
      <c r="D413" s="87"/>
      <c r="E413" s="87" t="str">
        <f>IF(A413="","",IF(D413-SUMIFS(GRN!$E$3:$E996,GRN!$D$3:$D996,C413)&lt;0,0,D413-SUMIFS(GRN!$E$3:$E996,GRN!$D$3:$D996,C413)))</f>
        <v/>
      </c>
    </row>
    <row r="414" spans="1:5" ht="15.75" customHeight="1">
      <c r="A414" s="128"/>
      <c r="B414" s="128"/>
      <c r="C414" s="2"/>
      <c r="D414" s="87"/>
      <c r="E414" s="87" t="str">
        <f>IF(A414="","",IF(D414-SUMIFS(GRN!$E$3:$E996,GRN!$D$3:$D996,C414)&lt;0,0,D414-SUMIFS(GRN!$E$3:$E996,GRN!$D$3:$D996,C414)))</f>
        <v/>
      </c>
    </row>
    <row r="415" spans="1:5" ht="15.75" customHeight="1">
      <c r="A415" s="128"/>
      <c r="B415" s="128"/>
      <c r="C415" s="2"/>
      <c r="D415" s="87"/>
      <c r="E415" s="87" t="str">
        <f>IF(A415="","",IF(D415-SUMIFS(GRN!$E$3:$E996,GRN!$D$3:$D996,C415)&lt;0,0,D415-SUMIFS(GRN!$E$3:$E996,GRN!$D$3:$D996,C415)))</f>
        <v/>
      </c>
    </row>
    <row r="416" spans="1:5" ht="15.75" customHeight="1">
      <c r="A416" s="128"/>
      <c r="B416" s="128"/>
      <c r="C416" s="2"/>
      <c r="D416" s="87"/>
      <c r="E416" s="87" t="str">
        <f>IF(A416="","",IF(D416-SUMIFS(GRN!$E$3:$E996,GRN!$D$3:$D996,C416)&lt;0,0,D416-SUMIFS(GRN!$E$3:$E996,GRN!$D$3:$D996,C416)))</f>
        <v/>
      </c>
    </row>
    <row r="417" spans="1:5" ht="15.75" customHeight="1">
      <c r="A417" s="128"/>
      <c r="B417" s="128"/>
      <c r="C417" s="2"/>
      <c r="D417" s="87"/>
      <c r="E417" s="87" t="str">
        <f>IF(A417="","",IF(D417-SUMIFS(GRN!$E$3:$E996,GRN!$D$3:$D996,C417)&lt;0,0,D417-SUMIFS(GRN!$E$3:$E996,GRN!$D$3:$D996,C417)))</f>
        <v/>
      </c>
    </row>
    <row r="418" spans="1:5" ht="15.75" customHeight="1">
      <c r="A418" s="128"/>
      <c r="B418" s="128"/>
      <c r="C418" s="2"/>
      <c r="D418" s="87"/>
      <c r="E418" s="87" t="str">
        <f>IF(A418="","",IF(D418-SUMIFS(GRN!$E$3:$E996,GRN!$D$3:$D996,C418)&lt;0,0,D418-SUMIFS(GRN!$E$3:$E996,GRN!$D$3:$D996,C418)))</f>
        <v/>
      </c>
    </row>
    <row r="419" spans="1:5" ht="15.75" customHeight="1">
      <c r="A419" s="128"/>
      <c r="B419" s="128"/>
      <c r="C419" s="2"/>
      <c r="D419" s="87"/>
      <c r="E419" s="87" t="str">
        <f>IF(A419="","",IF(D419-SUMIFS(GRN!$E$3:$E996,GRN!$D$3:$D996,C419)&lt;0,0,D419-SUMIFS(GRN!$E$3:$E996,GRN!$D$3:$D996,C419)))</f>
        <v/>
      </c>
    </row>
    <row r="420" spans="1:5" ht="15.75" customHeight="1">
      <c r="A420" s="128"/>
      <c r="B420" s="128"/>
      <c r="C420" s="2"/>
      <c r="D420" s="87"/>
      <c r="E420" s="87" t="str">
        <f>IF(A420="","",IF(D420-SUMIFS(GRN!$E$3:$E996,GRN!$D$3:$D996,C420)&lt;0,0,D420-SUMIFS(GRN!$E$3:$E996,GRN!$D$3:$D996,C420)))</f>
        <v/>
      </c>
    </row>
    <row r="421" spans="1:5" ht="15.75" customHeight="1">
      <c r="A421" s="128"/>
      <c r="B421" s="128"/>
      <c r="C421" s="2"/>
      <c r="D421" s="87"/>
      <c r="E421" s="87" t="str">
        <f>IF(A421="","",IF(D421-SUMIFS(GRN!$E$3:$E996,GRN!$D$3:$D996,C421)&lt;0,0,D421-SUMIFS(GRN!$E$3:$E996,GRN!$D$3:$D996,C421)))</f>
        <v/>
      </c>
    </row>
    <row r="422" spans="1:5" ht="15.75" customHeight="1">
      <c r="A422" s="128"/>
      <c r="B422" s="128"/>
      <c r="C422" s="2"/>
      <c r="D422" s="87"/>
      <c r="E422" s="87" t="str">
        <f>IF(A422="","",IF(D422-SUMIFS(GRN!$E$3:$E996,GRN!$D$3:$D996,C422)&lt;0,0,D422-SUMIFS(GRN!$E$3:$E996,GRN!$D$3:$D996,C422)))</f>
        <v/>
      </c>
    </row>
    <row r="423" spans="1:5" ht="15.75" customHeight="1">
      <c r="A423" s="128"/>
      <c r="B423" s="128"/>
      <c r="C423" s="2"/>
      <c r="D423" s="87"/>
      <c r="E423" s="87" t="str">
        <f>IF(A423="","",IF(D423-SUMIFS(GRN!$E$3:$E996,GRN!$D$3:$D996,C423)&lt;0,0,D423-SUMIFS(GRN!$E$3:$E996,GRN!$D$3:$D996,C423)))</f>
        <v/>
      </c>
    </row>
    <row r="424" spans="1:5" ht="15.75" customHeight="1">
      <c r="A424" s="128"/>
      <c r="B424" s="128"/>
      <c r="C424" s="2"/>
      <c r="D424" s="87"/>
      <c r="E424" s="87" t="str">
        <f>IF(A424="","",IF(D424-SUMIFS(GRN!$E$3:$E996,GRN!$D$3:$D996,C424)&lt;0,0,D424-SUMIFS(GRN!$E$3:$E996,GRN!$D$3:$D996,C424)))</f>
        <v/>
      </c>
    </row>
    <row r="425" spans="1:5" ht="15.75" customHeight="1">
      <c r="A425" s="128"/>
      <c r="B425" s="128"/>
      <c r="C425" s="2"/>
      <c r="D425" s="87"/>
      <c r="E425" s="87" t="str">
        <f>IF(A425="","",IF(D425-SUMIFS(GRN!$E$3:$E996,GRN!$D$3:$D996,C425)&lt;0,0,D425-SUMIFS(GRN!$E$3:$E996,GRN!$D$3:$D996,C425)))</f>
        <v/>
      </c>
    </row>
    <row r="426" spans="1:5" ht="15.75" customHeight="1">
      <c r="A426" s="128"/>
      <c r="B426" s="128"/>
      <c r="C426" s="2"/>
      <c r="D426" s="87"/>
      <c r="E426" s="87" t="str">
        <f>IF(A426="","",IF(D426-SUMIFS(GRN!$E$3:$E996,GRN!$D$3:$D996,C426)&lt;0,0,D426-SUMIFS(GRN!$E$3:$E996,GRN!$D$3:$D996,C426)))</f>
        <v/>
      </c>
    </row>
    <row r="427" spans="1:5" ht="15.75" customHeight="1">
      <c r="A427" s="128"/>
      <c r="B427" s="128"/>
      <c r="C427" s="2"/>
      <c r="D427" s="87"/>
      <c r="E427" s="87" t="str">
        <f>IF(A427="","",IF(D427-SUMIFS(GRN!$E$3:$E996,GRN!$D$3:$D996,C427)&lt;0,0,D427-SUMIFS(GRN!$E$3:$E996,GRN!$D$3:$D996,C427)))</f>
        <v/>
      </c>
    </row>
    <row r="428" spans="1:5" ht="15.75" customHeight="1">
      <c r="A428" s="128"/>
      <c r="B428" s="128"/>
      <c r="C428" s="2"/>
      <c r="D428" s="87"/>
      <c r="E428" s="87" t="str">
        <f>IF(A428="","",IF(D428-SUMIFS(GRN!$E$3:$E996,GRN!$D$3:$D996,C428)&lt;0,0,D428-SUMIFS(GRN!$E$3:$E996,GRN!$D$3:$D996,C428)))</f>
        <v/>
      </c>
    </row>
    <row r="429" spans="1:5" ht="15.75" customHeight="1">
      <c r="A429" s="128"/>
      <c r="B429" s="128"/>
      <c r="C429" s="2"/>
      <c r="D429" s="87"/>
      <c r="E429" s="87" t="str">
        <f>IF(A429="","",IF(D429-SUMIFS(GRN!$E$3:$E996,GRN!$D$3:$D996,C429)&lt;0,0,D429-SUMIFS(GRN!$E$3:$E996,GRN!$D$3:$D996,C429)))</f>
        <v/>
      </c>
    </row>
    <row r="430" spans="1:5" ht="15.75" customHeight="1">
      <c r="A430" s="128"/>
      <c r="B430" s="128"/>
      <c r="C430" s="2"/>
      <c r="D430" s="87"/>
      <c r="E430" s="87" t="str">
        <f>IF(A430="","",IF(D430-SUMIFS(GRN!$E$3:$E996,GRN!$D$3:$D996,C430)&lt;0,0,D430-SUMIFS(GRN!$E$3:$E996,GRN!$D$3:$D996,C430)))</f>
        <v/>
      </c>
    </row>
    <row r="431" spans="1:5" ht="15.75" customHeight="1">
      <c r="A431" s="128"/>
      <c r="B431" s="128"/>
      <c r="C431" s="2"/>
      <c r="D431" s="87"/>
      <c r="E431" s="87" t="str">
        <f>IF(A431="","",IF(D431-SUMIFS(GRN!$E$3:$E996,GRN!$D$3:$D996,C431)&lt;0,0,D431-SUMIFS(GRN!$E$3:$E996,GRN!$D$3:$D996,C431)))</f>
        <v/>
      </c>
    </row>
    <row r="432" spans="1:5" ht="15.75" customHeight="1">
      <c r="A432" s="128"/>
      <c r="B432" s="128"/>
      <c r="C432" s="2"/>
      <c r="D432" s="87"/>
      <c r="E432" s="87" t="str">
        <f>IF(A432="","",IF(D432-SUMIFS(GRN!$E$3:$E996,GRN!$D$3:$D996,C432)&lt;0,0,D432-SUMIFS(GRN!$E$3:$E996,GRN!$D$3:$D996,C432)))</f>
        <v/>
      </c>
    </row>
    <row r="433" spans="1:5" ht="15.75" customHeight="1">
      <c r="A433" s="128"/>
      <c r="B433" s="128"/>
      <c r="C433" s="2"/>
      <c r="D433" s="87"/>
      <c r="E433" s="87" t="str">
        <f>IF(A433="","",IF(D433-SUMIFS(GRN!$E$3:$E996,GRN!$D$3:$D996,C433)&lt;0,0,D433-SUMIFS(GRN!$E$3:$E996,GRN!$D$3:$D996,C433)))</f>
        <v/>
      </c>
    </row>
    <row r="434" spans="1:5" ht="15.75" customHeight="1">
      <c r="A434" s="128"/>
      <c r="B434" s="128"/>
      <c r="C434" s="2"/>
      <c r="D434" s="87"/>
      <c r="E434" s="87" t="str">
        <f>IF(A434="","",IF(D434-SUMIFS(GRN!$E$3:$E996,GRN!$D$3:$D996,C434)&lt;0,0,D434-SUMIFS(GRN!$E$3:$E996,GRN!$D$3:$D996,C434)))</f>
        <v/>
      </c>
    </row>
    <row r="435" spans="1:5" ht="15.75" customHeight="1">
      <c r="A435" s="128"/>
      <c r="B435" s="128"/>
      <c r="C435" s="2"/>
      <c r="D435" s="87"/>
      <c r="E435" s="87" t="str">
        <f>IF(A435="","",IF(D435-SUMIFS(GRN!$E$3:$E996,GRN!$D$3:$D996,C435)&lt;0,0,D435-SUMIFS(GRN!$E$3:$E996,GRN!$D$3:$D996,C435)))</f>
        <v/>
      </c>
    </row>
    <row r="436" spans="1:5" ht="15.75" customHeight="1">
      <c r="A436" s="128"/>
      <c r="B436" s="128"/>
      <c r="C436" s="2"/>
      <c r="D436" s="87"/>
      <c r="E436" s="87" t="str">
        <f>IF(A436="","",IF(D436-SUMIFS(GRN!$E$3:$E996,GRN!$D$3:$D996,C436)&lt;0,0,D436-SUMIFS(GRN!$E$3:$E996,GRN!$D$3:$D996,C436)))</f>
        <v/>
      </c>
    </row>
    <row r="437" spans="1:5" ht="15.75" customHeight="1">
      <c r="A437" s="128"/>
      <c r="B437" s="128"/>
      <c r="C437" s="2"/>
      <c r="D437" s="87"/>
      <c r="E437" s="87" t="str">
        <f>IF(A437="","",IF(D437-SUMIFS(GRN!$E$3:$E996,GRN!$D$3:$D996,C437)&lt;0,0,D437-SUMIFS(GRN!$E$3:$E996,GRN!$D$3:$D996,C437)))</f>
        <v/>
      </c>
    </row>
    <row r="438" spans="1:5" ht="15.75" customHeight="1">
      <c r="A438" s="128"/>
      <c r="B438" s="128"/>
      <c r="C438" s="2"/>
      <c r="D438" s="87"/>
      <c r="E438" s="87" t="str">
        <f>IF(A438="","",IF(D438-SUMIFS(GRN!$E$3:$E996,GRN!$D$3:$D996,C438)&lt;0,0,D438-SUMIFS(GRN!$E$3:$E996,GRN!$D$3:$D996,C438)))</f>
        <v/>
      </c>
    </row>
    <row r="439" spans="1:5" ht="15.75" customHeight="1">
      <c r="A439" s="128"/>
      <c r="B439" s="128"/>
      <c r="C439" s="2"/>
      <c r="D439" s="87"/>
      <c r="E439" s="87" t="str">
        <f>IF(A439="","",IF(D439-SUMIFS(GRN!$E$3:$E996,GRN!$D$3:$D996,C439)&lt;0,0,D439-SUMIFS(GRN!$E$3:$E996,GRN!$D$3:$D996,C439)))</f>
        <v/>
      </c>
    </row>
    <row r="440" spans="1:5" ht="15.75" customHeight="1">
      <c r="A440" s="128"/>
      <c r="B440" s="128"/>
      <c r="C440" s="2"/>
      <c r="D440" s="87"/>
      <c r="E440" s="87" t="str">
        <f>IF(A440="","",IF(D440-SUMIFS(GRN!$E$3:$E996,GRN!$D$3:$D996,C440)&lt;0,0,D440-SUMIFS(GRN!$E$3:$E996,GRN!$D$3:$D996,C440)))</f>
        <v/>
      </c>
    </row>
    <row r="441" spans="1:5" ht="15.75" customHeight="1">
      <c r="A441" s="128"/>
      <c r="B441" s="128"/>
      <c r="C441" s="2"/>
      <c r="D441" s="87"/>
      <c r="E441" s="87" t="str">
        <f>IF(A441="","",IF(D441-SUMIFS(GRN!$E$3:$E996,GRN!$D$3:$D996,C441)&lt;0,0,D441-SUMIFS(GRN!$E$3:$E996,GRN!$D$3:$D996,C441)))</f>
        <v/>
      </c>
    </row>
    <row r="442" spans="1:5" ht="15.75" customHeight="1">
      <c r="A442" s="128"/>
      <c r="B442" s="128"/>
      <c r="C442" s="2"/>
      <c r="D442" s="87"/>
      <c r="E442" s="87" t="str">
        <f>IF(A442="","",IF(D442-SUMIFS(GRN!$E$3:$E996,GRN!$D$3:$D996,C442)&lt;0,0,D442-SUMIFS(GRN!$E$3:$E996,GRN!$D$3:$D996,C442)))</f>
        <v/>
      </c>
    </row>
    <row r="443" spans="1:5" ht="15.75" customHeight="1">
      <c r="A443" s="128"/>
      <c r="B443" s="128"/>
      <c r="C443" s="2"/>
      <c r="D443" s="87"/>
      <c r="E443" s="87" t="str">
        <f>IF(A443="","",IF(D443-SUMIFS(GRN!$E$3:$E996,GRN!$D$3:$D996,C443)&lt;0,0,D443-SUMIFS(GRN!$E$3:$E996,GRN!$D$3:$D996,C443)))</f>
        <v/>
      </c>
    </row>
    <row r="444" spans="1:5" ht="15.75" customHeight="1">
      <c r="A444" s="128"/>
      <c r="B444" s="128"/>
      <c r="C444" s="2"/>
      <c r="D444" s="87"/>
      <c r="E444" s="87" t="str">
        <f>IF(A444="","",IF(D444-SUMIFS(GRN!$E$3:$E996,GRN!$D$3:$D996,C444)&lt;0,0,D444-SUMIFS(GRN!$E$3:$E996,GRN!$D$3:$D996,C444)))</f>
        <v/>
      </c>
    </row>
    <row r="445" spans="1:5" ht="15.75" customHeight="1">
      <c r="A445" s="128"/>
      <c r="B445" s="128"/>
      <c r="C445" s="2"/>
      <c r="D445" s="87"/>
      <c r="E445" s="87" t="str">
        <f>IF(A445="","",IF(D445-SUMIFS(GRN!$E$3:$E996,GRN!$D$3:$D996,C445)&lt;0,0,D445-SUMIFS(GRN!$E$3:$E996,GRN!$D$3:$D996,C445)))</f>
        <v/>
      </c>
    </row>
    <row r="446" spans="1:5" ht="15.75" customHeight="1">
      <c r="A446" s="128"/>
      <c r="B446" s="128"/>
      <c r="C446" s="2"/>
      <c r="D446" s="87"/>
      <c r="E446" s="87" t="str">
        <f>IF(A446="","",IF(D446-SUMIFS(GRN!$E$3:$E996,GRN!$D$3:$D996,C446)&lt;0,0,D446-SUMIFS(GRN!$E$3:$E996,GRN!$D$3:$D996,C446)))</f>
        <v/>
      </c>
    </row>
    <row r="447" spans="1:5" ht="15.75" customHeight="1">
      <c r="A447" s="128"/>
      <c r="B447" s="128"/>
      <c r="C447" s="2"/>
      <c r="D447" s="87"/>
      <c r="E447" s="87" t="str">
        <f>IF(A447="","",IF(D447-SUMIFS(GRN!$E$3:$E996,GRN!$D$3:$D996,C447)&lt;0,0,D447-SUMIFS(GRN!$E$3:$E996,GRN!$D$3:$D996,C447)))</f>
        <v/>
      </c>
    </row>
    <row r="448" spans="1:5" ht="15.75" customHeight="1">
      <c r="A448" s="128"/>
      <c r="B448" s="128"/>
      <c r="C448" s="2"/>
      <c r="D448" s="87"/>
      <c r="E448" s="87" t="str">
        <f>IF(A448="","",IF(D448-SUMIFS(GRN!$E$3:$E996,GRN!$D$3:$D996,C448)&lt;0,0,D448-SUMIFS(GRN!$E$3:$E996,GRN!$D$3:$D996,C448)))</f>
        <v/>
      </c>
    </row>
    <row r="449" spans="1:5" ht="15.75" customHeight="1">
      <c r="A449" s="128"/>
      <c r="B449" s="128"/>
      <c r="C449" s="2"/>
      <c r="D449" s="87"/>
      <c r="E449" s="87" t="str">
        <f>IF(A449="","",IF(D449-SUMIFS(GRN!$E$3:$E996,GRN!$D$3:$D996,C449)&lt;0,0,D449-SUMIFS(GRN!$E$3:$E996,GRN!$D$3:$D996,C449)))</f>
        <v/>
      </c>
    </row>
    <row r="450" spans="1:5" ht="15.75" customHeight="1">
      <c r="A450" s="128"/>
      <c r="B450" s="128"/>
      <c r="C450" s="2"/>
      <c r="D450" s="87"/>
      <c r="E450" s="87" t="str">
        <f>IF(A450="","",IF(D450-SUMIFS(GRN!$E$3:$E996,GRN!$D$3:$D996,C450)&lt;0,0,D450-SUMIFS(GRN!$E$3:$E996,GRN!$D$3:$D996,C450)))</f>
        <v/>
      </c>
    </row>
    <row r="451" spans="1:5" ht="15.75" customHeight="1">
      <c r="A451" s="128"/>
      <c r="B451" s="128"/>
      <c r="C451" s="2"/>
      <c r="D451" s="87"/>
      <c r="E451" s="87" t="str">
        <f>IF(A451="","",IF(D451-SUMIFS(GRN!$E$3:$E996,GRN!$D$3:$D996,C451)&lt;0,0,D451-SUMIFS(GRN!$E$3:$E996,GRN!$D$3:$D996,C451)))</f>
        <v/>
      </c>
    </row>
    <row r="452" spans="1:5" ht="15.75" customHeight="1">
      <c r="A452" s="128"/>
      <c r="B452" s="128"/>
      <c r="C452" s="2"/>
      <c r="D452" s="87"/>
      <c r="E452" s="87" t="str">
        <f>IF(A452="","",IF(D452-SUMIFS(GRN!$E$3:$E996,GRN!$D$3:$D996,C452)&lt;0,0,D452-SUMIFS(GRN!$E$3:$E996,GRN!$D$3:$D996,C452)))</f>
        <v/>
      </c>
    </row>
    <row r="453" spans="1:5" ht="15.75" customHeight="1">
      <c r="A453" s="128"/>
      <c r="B453" s="128"/>
      <c r="C453" s="2"/>
      <c r="D453" s="87"/>
      <c r="E453" s="87" t="str">
        <f>IF(A453="","",IF(D453-SUMIFS(GRN!$E$3:$E996,GRN!$D$3:$D996,C453)&lt;0,0,D453-SUMIFS(GRN!$E$3:$E996,GRN!$D$3:$D996,C453)))</f>
        <v/>
      </c>
    </row>
    <row r="454" spans="1:5" ht="15.75" customHeight="1">
      <c r="A454" s="128"/>
      <c r="B454" s="128"/>
      <c r="C454" s="2"/>
      <c r="D454" s="87"/>
      <c r="E454" s="87" t="str">
        <f>IF(A454="","",IF(D454-SUMIFS(GRN!$E$3:$E996,GRN!$D$3:$D996,C454)&lt;0,0,D454-SUMIFS(GRN!$E$3:$E996,GRN!$D$3:$D996,C454)))</f>
        <v/>
      </c>
    </row>
    <row r="455" spans="1:5" ht="15.75" customHeight="1">
      <c r="A455" s="128"/>
      <c r="B455" s="128"/>
      <c r="C455" s="2"/>
      <c r="D455" s="87"/>
      <c r="E455" s="87" t="str">
        <f>IF(A455="","",IF(D455-SUMIFS(GRN!$E$3:$E996,GRN!$D$3:$D996,C455)&lt;0,0,D455-SUMIFS(GRN!$E$3:$E996,GRN!$D$3:$D996,C455)))</f>
        <v/>
      </c>
    </row>
    <row r="456" spans="1:5" ht="15.75" customHeight="1">
      <c r="A456" s="128"/>
      <c r="B456" s="128"/>
      <c r="C456" s="2"/>
      <c r="D456" s="87"/>
      <c r="E456" s="87" t="str">
        <f>IF(A456="","",IF(D456-SUMIFS(GRN!$E$3:$E996,GRN!$D$3:$D996,C456)&lt;0,0,D456-SUMIFS(GRN!$E$3:$E996,GRN!$D$3:$D996,C456)))</f>
        <v/>
      </c>
    </row>
    <row r="457" spans="1:5" ht="15.75" customHeight="1">
      <c r="A457" s="128"/>
      <c r="B457" s="128"/>
      <c r="C457" s="2"/>
      <c r="D457" s="87"/>
      <c r="E457" s="87" t="str">
        <f>IF(A457="","",IF(D457-SUMIFS(GRN!$E$3:$E996,GRN!$D$3:$D996,C457)&lt;0,0,D457-SUMIFS(GRN!$E$3:$E996,GRN!$D$3:$D996,C457)))</f>
        <v/>
      </c>
    </row>
    <row r="458" spans="1:5" ht="15.75" customHeight="1">
      <c r="A458" s="128"/>
      <c r="B458" s="128"/>
      <c r="C458" s="2"/>
      <c r="D458" s="87"/>
      <c r="E458" s="87" t="str">
        <f>IF(A458="","",IF(D458-SUMIFS(GRN!$E$3:$E996,GRN!$D$3:$D996,C458)&lt;0,0,D458-SUMIFS(GRN!$E$3:$E996,GRN!$D$3:$D996,C458)))</f>
        <v/>
      </c>
    </row>
    <row r="459" spans="1:5" ht="15.75" customHeight="1">
      <c r="A459" s="128"/>
      <c r="B459" s="128"/>
      <c r="C459" s="2"/>
      <c r="D459" s="87"/>
      <c r="E459" s="87" t="str">
        <f>IF(A459="","",IF(D459-SUMIFS(GRN!$E$3:$E996,GRN!$D$3:$D996,C459)&lt;0,0,D459-SUMIFS(GRN!$E$3:$E996,GRN!$D$3:$D996,C459)))</f>
        <v/>
      </c>
    </row>
    <row r="460" spans="1:5" ht="15.75" customHeight="1">
      <c r="A460" s="128"/>
      <c r="B460" s="128"/>
      <c r="C460" s="2"/>
      <c r="D460" s="87"/>
      <c r="E460" s="87" t="str">
        <f>IF(A460="","",IF(D460-SUMIFS(GRN!$E$3:$E996,GRN!$D$3:$D996,C460)&lt;0,0,D460-SUMIFS(GRN!$E$3:$E996,GRN!$D$3:$D996,C460)))</f>
        <v/>
      </c>
    </row>
    <row r="461" spans="1:5" ht="15.75" customHeight="1">
      <c r="A461" s="128"/>
      <c r="B461" s="128"/>
      <c r="C461" s="2"/>
      <c r="D461" s="87"/>
      <c r="E461" s="87" t="str">
        <f>IF(A461="","",IF(D461-SUMIFS(GRN!$E$3:$E996,GRN!$D$3:$D996,C461)&lt;0,0,D461-SUMIFS(GRN!$E$3:$E996,GRN!$D$3:$D996,C461)))</f>
        <v/>
      </c>
    </row>
    <row r="462" spans="1:5" ht="15.75" customHeight="1">
      <c r="A462" s="128"/>
      <c r="B462" s="128"/>
      <c r="C462" s="2"/>
      <c r="D462" s="87"/>
      <c r="E462" s="87" t="str">
        <f>IF(A462="","",IF(D462-SUMIFS(GRN!$E$3:$E996,GRN!$D$3:$D996,C462)&lt;0,0,D462-SUMIFS(GRN!$E$3:$E996,GRN!$D$3:$D996,C462)))</f>
        <v/>
      </c>
    </row>
    <row r="463" spans="1:5" ht="15.75" customHeight="1">
      <c r="A463" s="128"/>
      <c r="B463" s="128"/>
      <c r="C463" s="2"/>
      <c r="D463" s="87"/>
      <c r="E463" s="87" t="str">
        <f>IF(A463="","",IF(D463-SUMIFS(GRN!$E$3:$E996,GRN!$D$3:$D996,C463)&lt;0,0,D463-SUMIFS(GRN!$E$3:$E996,GRN!$D$3:$D996,C463)))</f>
        <v/>
      </c>
    </row>
    <row r="464" spans="1:5" ht="15.75" customHeight="1">
      <c r="A464" s="128"/>
      <c r="B464" s="128"/>
      <c r="C464" s="2"/>
      <c r="D464" s="87"/>
      <c r="E464" s="87" t="str">
        <f>IF(A464="","",IF(D464-SUMIFS(GRN!$E$3:$E996,GRN!$D$3:$D996,C464)&lt;0,0,D464-SUMIFS(GRN!$E$3:$E996,GRN!$D$3:$D996,C464)))</f>
        <v/>
      </c>
    </row>
    <row r="465" spans="1:5" ht="15.75" customHeight="1">
      <c r="A465" s="128"/>
      <c r="B465" s="128"/>
      <c r="C465" s="2"/>
      <c r="D465" s="87"/>
      <c r="E465" s="87" t="str">
        <f>IF(A465="","",IF(D465-SUMIFS(GRN!$E$3:$E996,GRN!$D$3:$D996,C465)&lt;0,0,D465-SUMIFS(GRN!$E$3:$E996,GRN!$D$3:$D996,C465)))</f>
        <v/>
      </c>
    </row>
    <row r="466" spans="1:5" ht="15.75" customHeight="1">
      <c r="A466" s="128"/>
      <c r="B466" s="128"/>
      <c r="C466" s="2"/>
      <c r="D466" s="87"/>
      <c r="E466" s="87" t="str">
        <f>IF(A466="","",IF(D466-SUMIFS(GRN!$E$3:$E996,GRN!$D$3:$D996,C466)&lt;0,0,D466-SUMIFS(GRN!$E$3:$E996,GRN!$D$3:$D996,C466)))</f>
        <v/>
      </c>
    </row>
    <row r="467" spans="1:5" ht="15.75" customHeight="1">
      <c r="A467" s="128"/>
      <c r="B467" s="128"/>
      <c r="C467" s="2"/>
      <c r="D467" s="87"/>
      <c r="E467" s="87" t="str">
        <f>IF(A467="","",IF(D467-SUMIFS(GRN!$E$3:$E996,GRN!$D$3:$D996,C467)&lt;0,0,D467-SUMIFS(GRN!$E$3:$E996,GRN!$D$3:$D996,C467)))</f>
        <v/>
      </c>
    </row>
    <row r="468" spans="1:5" ht="15.75" customHeight="1">
      <c r="A468" s="128"/>
      <c r="B468" s="128"/>
      <c r="C468" s="2"/>
      <c r="D468" s="87"/>
      <c r="E468" s="87" t="str">
        <f>IF(A468="","",IF(D468-SUMIFS(GRN!$E$3:$E996,GRN!$D$3:$D996,C468)&lt;0,0,D468-SUMIFS(GRN!$E$3:$E996,GRN!$D$3:$D996,C468)))</f>
        <v/>
      </c>
    </row>
    <row r="469" spans="1:5" ht="15.75" customHeight="1">
      <c r="A469" s="128"/>
      <c r="B469" s="128"/>
      <c r="C469" s="2"/>
      <c r="D469" s="87"/>
      <c r="E469" s="87" t="str">
        <f>IF(A469="","",IF(D469-SUMIFS(GRN!$E$3:$E996,GRN!$D$3:$D996,C469)&lt;0,0,D469-SUMIFS(GRN!$E$3:$E996,GRN!$D$3:$D996,C469)))</f>
        <v/>
      </c>
    </row>
    <row r="470" spans="1:5" ht="15.75" customHeight="1">
      <c r="A470" s="128"/>
      <c r="B470" s="128"/>
      <c r="C470" s="2"/>
      <c r="D470" s="87"/>
      <c r="E470" s="87" t="str">
        <f>IF(A470="","",IF(D470-SUMIFS(GRN!$E$3:$E996,GRN!$D$3:$D996,C470)&lt;0,0,D470-SUMIFS(GRN!$E$3:$E996,GRN!$D$3:$D996,C470)))</f>
        <v/>
      </c>
    </row>
    <row r="471" spans="1:5" ht="15.75" customHeight="1">
      <c r="A471" s="128"/>
      <c r="B471" s="128"/>
      <c r="C471" s="2"/>
      <c r="D471" s="87"/>
      <c r="E471" s="87" t="str">
        <f>IF(A471="","",IF(D471-SUMIFS(GRN!$E$3:$E996,GRN!$D$3:$D996,C471)&lt;0,0,D471-SUMIFS(GRN!$E$3:$E996,GRN!$D$3:$D996,C471)))</f>
        <v/>
      </c>
    </row>
    <row r="472" spans="1:5" ht="15.75" customHeight="1">
      <c r="A472" s="128"/>
      <c r="B472" s="128"/>
      <c r="C472" s="2"/>
      <c r="D472" s="87"/>
      <c r="E472" s="87" t="str">
        <f>IF(A472="","",IF(D472-SUMIFS(GRN!$E$3:$E996,GRN!$D$3:$D996,C472)&lt;0,0,D472-SUMIFS(GRN!$E$3:$E996,GRN!$D$3:$D996,C472)))</f>
        <v/>
      </c>
    </row>
    <row r="473" spans="1:5" ht="15.75" customHeight="1">
      <c r="A473" s="128"/>
      <c r="B473" s="128"/>
      <c r="C473" s="2"/>
      <c r="D473" s="87"/>
      <c r="E473" s="87" t="str">
        <f>IF(A473="","",IF(D473-SUMIFS(GRN!$E$3:$E996,GRN!$D$3:$D996,C473)&lt;0,0,D473-SUMIFS(GRN!$E$3:$E996,GRN!$D$3:$D996,C473)))</f>
        <v/>
      </c>
    </row>
    <row r="474" spans="1:5" ht="15.75" customHeight="1">
      <c r="A474" s="128"/>
      <c r="B474" s="128"/>
      <c r="C474" s="2"/>
      <c r="D474" s="87"/>
      <c r="E474" s="87" t="str">
        <f>IF(A474="","",IF(D474-SUMIFS(GRN!$E$3:$E996,GRN!$D$3:$D996,C474)&lt;0,0,D474-SUMIFS(GRN!$E$3:$E996,GRN!$D$3:$D996,C474)))</f>
        <v/>
      </c>
    </row>
    <row r="475" spans="1:5" ht="15.75" customHeight="1">
      <c r="A475" s="128"/>
      <c r="B475" s="128"/>
      <c r="C475" s="2"/>
      <c r="D475" s="87"/>
      <c r="E475" s="87" t="str">
        <f>IF(A475="","",IF(D475-SUMIFS(GRN!$E$3:$E996,GRN!$D$3:$D996,C475)&lt;0,0,D475-SUMIFS(GRN!$E$3:$E996,GRN!$D$3:$D996,C475)))</f>
        <v/>
      </c>
    </row>
    <row r="476" spans="1:5" ht="15.75" customHeight="1">
      <c r="A476" s="128"/>
      <c r="B476" s="128"/>
      <c r="C476" s="2"/>
      <c r="D476" s="87"/>
      <c r="E476" s="87" t="str">
        <f>IF(A476="","",IF(D476-SUMIFS(GRN!$E$3:$E996,GRN!$D$3:$D996,C476)&lt;0,0,D476-SUMIFS(GRN!$E$3:$E996,GRN!$D$3:$D996,C476)))</f>
        <v/>
      </c>
    </row>
    <row r="477" spans="1:5" ht="15.75" customHeight="1">
      <c r="A477" s="128"/>
      <c r="B477" s="128"/>
      <c r="C477" s="2"/>
      <c r="D477" s="87"/>
      <c r="E477" s="87" t="str">
        <f>IF(A477="","",IF(D477-SUMIFS(GRN!$E$3:$E996,GRN!$D$3:$D996,C477)&lt;0,0,D477-SUMIFS(GRN!$E$3:$E996,GRN!$D$3:$D996,C477)))</f>
        <v/>
      </c>
    </row>
    <row r="478" spans="1:5" ht="15.75" customHeight="1">
      <c r="A478" s="128"/>
      <c r="B478" s="128"/>
      <c r="C478" s="2"/>
      <c r="D478" s="87"/>
      <c r="E478" s="87" t="str">
        <f>IF(A478="","",IF(D478-SUMIFS(GRN!$E$3:$E996,GRN!$D$3:$D996,C478)&lt;0,0,D478-SUMIFS(GRN!$E$3:$E996,GRN!$D$3:$D996,C478)))</f>
        <v/>
      </c>
    </row>
    <row r="479" spans="1:5" ht="15.75" customHeight="1">
      <c r="A479" s="128"/>
      <c r="B479" s="128"/>
      <c r="C479" s="2"/>
      <c r="D479" s="87"/>
      <c r="E479" s="87" t="str">
        <f>IF(A479="","",IF(D479-SUMIFS(GRN!$E$3:$E996,GRN!$D$3:$D996,C479)&lt;0,0,D479-SUMIFS(GRN!$E$3:$E996,GRN!$D$3:$D996,C479)))</f>
        <v/>
      </c>
    </row>
    <row r="480" spans="1:5" ht="15.75" customHeight="1">
      <c r="A480" s="128"/>
      <c r="B480" s="128"/>
      <c r="C480" s="2"/>
      <c r="D480" s="87"/>
      <c r="E480" s="87" t="str">
        <f>IF(A480="","",IF(D480-SUMIFS(GRN!$E$3:$E996,GRN!$D$3:$D996,C480)&lt;0,0,D480-SUMIFS(GRN!$E$3:$E996,GRN!$D$3:$D996,C480)))</f>
        <v/>
      </c>
    </row>
    <row r="481" spans="1:5" ht="15.75" customHeight="1">
      <c r="A481" s="128"/>
      <c r="B481" s="128"/>
      <c r="C481" s="2"/>
      <c r="D481" s="87"/>
      <c r="E481" s="87" t="str">
        <f>IF(A481="","",IF(D481-SUMIFS(GRN!$E$3:$E996,GRN!$D$3:$D996,C481)&lt;0,0,D481-SUMIFS(GRN!$E$3:$E996,GRN!$D$3:$D996,C481)))</f>
        <v/>
      </c>
    </row>
    <row r="482" spans="1:5" ht="15.75" customHeight="1">
      <c r="A482" s="128"/>
      <c r="B482" s="128"/>
      <c r="C482" s="2"/>
      <c r="D482" s="87"/>
      <c r="E482" s="87" t="str">
        <f>IF(A482="","",IF(D482-SUMIFS(GRN!$E$3:$E996,GRN!$D$3:$D996,C482)&lt;0,0,D482-SUMIFS(GRN!$E$3:$E996,GRN!$D$3:$D996,C482)))</f>
        <v/>
      </c>
    </row>
    <row r="483" spans="1:5" ht="15.75" customHeight="1">
      <c r="A483" s="128"/>
      <c r="B483" s="128"/>
      <c r="C483" s="2"/>
      <c r="D483" s="87"/>
      <c r="E483" s="87" t="str">
        <f>IF(A483="","",IF(D483-SUMIFS(GRN!$E$3:$E996,GRN!$D$3:$D996,C483)&lt;0,0,D483-SUMIFS(GRN!$E$3:$E996,GRN!$D$3:$D996,C483)))</f>
        <v/>
      </c>
    </row>
    <row r="484" spans="1:5" ht="15.75" customHeight="1">
      <c r="A484" s="128"/>
      <c r="B484" s="128"/>
      <c r="C484" s="2"/>
      <c r="D484" s="87"/>
      <c r="E484" s="87" t="str">
        <f>IF(A484="","",IF(D484-SUMIFS(GRN!$E$3:$E996,GRN!$D$3:$D996,C484)&lt;0,0,D484-SUMIFS(GRN!$E$3:$E996,GRN!$D$3:$D996,C484)))</f>
        <v/>
      </c>
    </row>
    <row r="485" spans="1:5" ht="15.75" customHeight="1">
      <c r="A485" s="128"/>
      <c r="B485" s="128"/>
      <c r="C485" s="2"/>
      <c r="D485" s="87"/>
      <c r="E485" s="87" t="str">
        <f>IF(A485="","",IF(D485-SUMIFS(GRN!$E$3:$E996,GRN!$D$3:$D996,C485)&lt;0,0,D485-SUMIFS(GRN!$E$3:$E996,GRN!$D$3:$D996,C485)))</f>
        <v/>
      </c>
    </row>
    <row r="486" spans="1:5" ht="15.75" customHeight="1">
      <c r="A486" s="128"/>
      <c r="B486" s="128"/>
      <c r="C486" s="2"/>
      <c r="D486" s="87"/>
      <c r="E486" s="87" t="str">
        <f>IF(A486="","",IF(D486-SUMIFS(GRN!$E$3:$E996,GRN!$D$3:$D996,C486)&lt;0,0,D486-SUMIFS(GRN!$E$3:$E996,GRN!$D$3:$D996,C486)))</f>
        <v/>
      </c>
    </row>
    <row r="487" spans="1:5" ht="15.75" customHeight="1">
      <c r="A487" s="128"/>
      <c r="B487" s="128"/>
      <c r="C487" s="2"/>
      <c r="D487" s="87"/>
      <c r="E487" s="87" t="str">
        <f>IF(A487="","",IF(D487-SUMIFS(GRN!$E$3:$E996,GRN!$D$3:$D996,C487)&lt;0,0,D487-SUMIFS(GRN!$E$3:$E996,GRN!$D$3:$D996,C487)))</f>
        <v/>
      </c>
    </row>
    <row r="488" spans="1:5" ht="15.75" customHeight="1">
      <c r="A488" s="128"/>
      <c r="B488" s="128"/>
      <c r="C488" s="2"/>
      <c r="D488" s="87"/>
      <c r="E488" s="87" t="str">
        <f>IF(A488="","",IF(D488-SUMIFS(GRN!$E$3:$E996,GRN!$D$3:$D996,C488)&lt;0,0,D488-SUMIFS(GRN!$E$3:$E996,GRN!$D$3:$D996,C488)))</f>
        <v/>
      </c>
    </row>
    <row r="489" spans="1:5" ht="15.75" customHeight="1">
      <c r="A489" s="128"/>
      <c r="B489" s="128"/>
      <c r="C489" s="2"/>
      <c r="D489" s="87"/>
      <c r="E489" s="87" t="str">
        <f>IF(A489="","",IF(D489-SUMIFS(GRN!$E$3:$E996,GRN!$D$3:$D996,C489)&lt;0,0,D489-SUMIFS(GRN!$E$3:$E996,GRN!$D$3:$D996,C489)))</f>
        <v/>
      </c>
    </row>
    <row r="490" spans="1:5" ht="15.75" customHeight="1">
      <c r="A490" s="128"/>
      <c r="B490" s="128"/>
      <c r="C490" s="2"/>
      <c r="D490" s="87"/>
      <c r="E490" s="87" t="str">
        <f>IF(A490="","",IF(D490-SUMIFS(GRN!$E$3:$E996,GRN!$D$3:$D996,C490)&lt;0,0,D490-SUMIFS(GRN!$E$3:$E996,GRN!$D$3:$D996,C490)))</f>
        <v/>
      </c>
    </row>
    <row r="491" spans="1:5" ht="15.75" customHeight="1">
      <c r="A491" s="128"/>
      <c r="B491" s="128"/>
      <c r="C491" s="2"/>
      <c r="D491" s="87"/>
      <c r="E491" s="87" t="str">
        <f>IF(A491="","",IF(D491-SUMIFS(GRN!$E$3:$E996,GRN!$D$3:$D996,C491)&lt;0,0,D491-SUMIFS(GRN!$E$3:$E996,GRN!$D$3:$D996,C491)))</f>
        <v/>
      </c>
    </row>
    <row r="492" spans="1:5" ht="15.75" customHeight="1">
      <c r="A492" s="128"/>
      <c r="B492" s="128"/>
      <c r="C492" s="2"/>
      <c r="D492" s="87"/>
      <c r="E492" s="87" t="str">
        <f>IF(A492="","",IF(D492-SUMIFS(GRN!$E$3:$E996,GRN!$D$3:$D996,C492)&lt;0,0,D492-SUMIFS(GRN!$E$3:$E996,GRN!$D$3:$D996,C492)))</f>
        <v/>
      </c>
    </row>
    <row r="493" spans="1:5" ht="15.75" customHeight="1">
      <c r="A493" s="128"/>
      <c r="B493" s="128"/>
      <c r="C493" s="2"/>
      <c r="D493" s="87"/>
      <c r="E493" s="87" t="str">
        <f>IF(A493="","",IF(D493-SUMIFS(GRN!$E$3:$E996,GRN!$D$3:$D996,C493)&lt;0,0,D493-SUMIFS(GRN!$E$3:$E996,GRN!$D$3:$D996,C493)))</f>
        <v/>
      </c>
    </row>
    <row r="494" spans="1:5" ht="15.75" customHeight="1">
      <c r="A494" s="128"/>
      <c r="B494" s="128"/>
      <c r="C494" s="2"/>
      <c r="D494" s="87"/>
      <c r="E494" s="87" t="str">
        <f>IF(A494="","",IF(D494-SUMIFS(GRN!$E$3:$E996,GRN!$D$3:$D996,C494)&lt;0,0,D494-SUMIFS(GRN!$E$3:$E996,GRN!$D$3:$D996,C494)))</f>
        <v/>
      </c>
    </row>
    <row r="495" spans="1:5" ht="15.75" customHeight="1">
      <c r="A495" s="128"/>
      <c r="B495" s="128"/>
      <c r="C495" s="2"/>
      <c r="D495" s="87"/>
      <c r="E495" s="87" t="str">
        <f>IF(A495="","",IF(D495-SUMIFS(GRN!$E$3:$E996,GRN!$D$3:$D996,C495)&lt;0,0,D495-SUMIFS(GRN!$E$3:$E996,GRN!$D$3:$D996,C495)))</f>
        <v/>
      </c>
    </row>
    <row r="496" spans="1:5" ht="15.75" customHeight="1">
      <c r="A496" s="128"/>
      <c r="B496" s="128"/>
      <c r="C496" s="2"/>
      <c r="D496" s="87"/>
      <c r="E496" s="87" t="str">
        <f>IF(A496="","",IF(D496-SUMIFS(GRN!$E$3:$E996,GRN!$D$3:$D996,C496)&lt;0,0,D496-SUMIFS(GRN!$E$3:$E996,GRN!$D$3:$D996,C496)))</f>
        <v/>
      </c>
    </row>
    <row r="497" spans="1:5" ht="15.75" customHeight="1">
      <c r="A497" s="128"/>
      <c r="B497" s="128"/>
      <c r="C497" s="2"/>
      <c r="D497" s="87"/>
      <c r="E497" s="87" t="str">
        <f>IF(A497="","",IF(D497-SUMIFS(GRN!$E$3:$E996,GRN!$D$3:$D996,C497)&lt;0,0,D497-SUMIFS(GRN!$E$3:$E996,GRN!$D$3:$D996,C497)))</f>
        <v/>
      </c>
    </row>
    <row r="498" spans="1:5" ht="15.75" customHeight="1">
      <c r="A498" s="128"/>
      <c r="B498" s="128"/>
      <c r="C498" s="2"/>
      <c r="D498" s="87"/>
      <c r="E498" s="87" t="str">
        <f>IF(A498="","",IF(D498-SUMIFS(GRN!$E$3:$E996,GRN!$D$3:$D996,C498)&lt;0,0,D498-SUMIFS(GRN!$E$3:$E996,GRN!$D$3:$D996,C498)))</f>
        <v/>
      </c>
    </row>
    <row r="499" spans="1:5" ht="15.75" customHeight="1">
      <c r="A499" s="128"/>
      <c r="B499" s="128"/>
      <c r="C499" s="2"/>
      <c r="D499" s="87"/>
      <c r="E499" s="87" t="str">
        <f>IF(A499="","",IF(D499-SUMIFS(GRN!$E$3:$E996,GRN!$D$3:$D996,C499)&lt;0,0,D499-SUMIFS(GRN!$E$3:$E996,GRN!$D$3:$D996,C499)))</f>
        <v/>
      </c>
    </row>
    <row r="500" spans="1:5" ht="15.75" customHeight="1">
      <c r="A500" s="128"/>
      <c r="B500" s="128"/>
      <c r="C500" s="2"/>
      <c r="D500" s="87"/>
      <c r="E500" s="87" t="str">
        <f>IF(A500="","",IF(D500-SUMIFS(GRN!$E$3:$E996,GRN!$D$3:$D996,C500)&lt;0,0,D500-SUMIFS(GRN!$E$3:$E996,GRN!$D$3:$D996,C500)))</f>
        <v/>
      </c>
    </row>
    <row r="501" spans="1:5" ht="15.75" customHeight="1">
      <c r="A501" s="128"/>
      <c r="B501" s="128"/>
      <c r="C501" s="2"/>
      <c r="D501" s="87"/>
      <c r="E501" s="87" t="str">
        <f>IF(A501="","",IF(D501-SUMIFS(GRN!$E$3:$E996,GRN!$D$3:$D996,C501)&lt;0,0,D501-SUMIFS(GRN!$E$3:$E996,GRN!$D$3:$D996,C501)))</f>
        <v/>
      </c>
    </row>
    <row r="502" spans="1:5" ht="15.75" customHeight="1">
      <c r="A502" s="128"/>
      <c r="B502" s="128"/>
      <c r="C502" s="2"/>
      <c r="D502" s="87"/>
      <c r="E502" s="87" t="str">
        <f>IF(A502="","",IF(D502-SUMIFS(GRN!$E$3:$E996,GRN!$D$3:$D996,C502)&lt;0,0,D502-SUMIFS(GRN!$E$3:$E996,GRN!$D$3:$D996,C502)))</f>
        <v/>
      </c>
    </row>
    <row r="503" spans="1:5" ht="15.75" customHeight="1">
      <c r="A503" s="128"/>
      <c r="B503" s="128"/>
      <c r="C503" s="2"/>
      <c r="D503" s="87"/>
      <c r="E503" s="87" t="str">
        <f>IF(A503="","",IF(D503-SUMIFS(GRN!$E$3:$E996,GRN!$D$3:$D996,C503)&lt;0,0,D503-SUMIFS(GRN!$E$3:$E996,GRN!$D$3:$D996,C503)))</f>
        <v/>
      </c>
    </row>
    <row r="504" spans="1:5" ht="15.75" customHeight="1">
      <c r="A504" s="128"/>
      <c r="B504" s="128"/>
      <c r="C504" s="2"/>
      <c r="D504" s="87"/>
      <c r="E504" s="87" t="str">
        <f>IF(A504="","",IF(D504-SUMIFS(GRN!$E$3:$E996,GRN!$D$3:$D996,C504)&lt;0,0,D504-SUMIFS(GRN!$E$3:$E996,GRN!$D$3:$D996,C504)))</f>
        <v/>
      </c>
    </row>
    <row r="505" spans="1:5" ht="15.75" customHeight="1">
      <c r="A505" s="128"/>
      <c r="B505" s="128"/>
      <c r="C505" s="2"/>
      <c r="D505" s="87"/>
      <c r="E505" s="87" t="str">
        <f>IF(A505="","",IF(D505-SUMIFS(GRN!$E$3:$E996,GRN!$D$3:$D996,C505)&lt;0,0,D505-SUMIFS(GRN!$E$3:$E996,GRN!$D$3:$D996,C505)))</f>
        <v/>
      </c>
    </row>
    <row r="506" spans="1:5" ht="15.75" customHeight="1">
      <c r="A506" s="128"/>
      <c r="B506" s="128"/>
      <c r="C506" s="2"/>
      <c r="D506" s="87"/>
      <c r="E506" s="87" t="str">
        <f>IF(A506="","",IF(D506-SUMIFS(GRN!$E$3:$E996,GRN!$D$3:$D996,C506)&lt;0,0,D506-SUMIFS(GRN!$E$3:$E996,GRN!$D$3:$D996,C506)))</f>
        <v/>
      </c>
    </row>
    <row r="507" spans="1:5" ht="15.75" customHeight="1">
      <c r="A507" s="128"/>
      <c r="B507" s="128"/>
      <c r="C507" s="2"/>
      <c r="D507" s="87"/>
      <c r="E507" s="87" t="str">
        <f>IF(A507="","",IF(D507-SUMIFS(GRN!$E$3:$E996,GRN!$D$3:$D996,C507)&lt;0,0,D507-SUMIFS(GRN!$E$3:$E996,GRN!$D$3:$D996,C507)))</f>
        <v/>
      </c>
    </row>
    <row r="508" spans="1:5" ht="15.75" customHeight="1">
      <c r="A508" s="128"/>
      <c r="B508" s="128"/>
      <c r="C508" s="2"/>
      <c r="D508" s="87"/>
      <c r="E508" s="87" t="str">
        <f>IF(A508="","",IF(D508-SUMIFS(GRN!$E$3:$E996,GRN!$D$3:$D996,C508)&lt;0,0,D508-SUMIFS(GRN!$E$3:$E996,GRN!$D$3:$D996,C508)))</f>
        <v/>
      </c>
    </row>
    <row r="509" spans="1:5" ht="15.75" customHeight="1">
      <c r="A509" s="128"/>
      <c r="B509" s="128"/>
      <c r="C509" s="2"/>
      <c r="D509" s="87"/>
      <c r="E509" s="87" t="str">
        <f>IF(A509="","",IF(D509-SUMIFS(GRN!$E$3:$E996,GRN!$D$3:$D996,C509)&lt;0,0,D509-SUMIFS(GRN!$E$3:$E996,GRN!$D$3:$D996,C509)))</f>
        <v/>
      </c>
    </row>
    <row r="510" spans="1:5" ht="15.75" customHeight="1">
      <c r="A510" s="128"/>
      <c r="B510" s="128"/>
      <c r="C510" s="2"/>
      <c r="D510" s="87"/>
      <c r="E510" s="87" t="str">
        <f>IF(A510="","",IF(D510-SUMIFS(GRN!$E$3:$E996,GRN!$D$3:$D996,C510)&lt;0,0,D510-SUMIFS(GRN!$E$3:$E996,GRN!$D$3:$D996,C510)))</f>
        <v/>
      </c>
    </row>
    <row r="511" spans="1:5" ht="15.75" customHeight="1">
      <c r="A511" s="128"/>
      <c r="B511" s="128"/>
      <c r="C511" s="2"/>
      <c r="D511" s="87"/>
      <c r="E511" s="87" t="str">
        <f>IF(A511="","",IF(D511-SUMIFS(GRN!$E$3:$E996,GRN!$D$3:$D996,C511)&lt;0,0,D511-SUMIFS(GRN!$E$3:$E996,GRN!$D$3:$D996,C511)))</f>
        <v/>
      </c>
    </row>
    <row r="512" spans="1:5" ht="15.75" customHeight="1">
      <c r="A512" s="128"/>
      <c r="B512" s="128"/>
      <c r="C512" s="2"/>
      <c r="D512" s="87"/>
      <c r="E512" s="87" t="str">
        <f>IF(A512="","",IF(D512-SUMIFS(GRN!$E$3:$E996,GRN!$D$3:$D996,C512)&lt;0,0,D512-SUMIFS(GRN!$E$3:$E996,GRN!$D$3:$D996,C512)))</f>
        <v/>
      </c>
    </row>
    <row r="513" spans="1:5" ht="15.75" customHeight="1">
      <c r="A513" s="128"/>
      <c r="B513" s="128"/>
      <c r="C513" s="2"/>
      <c r="D513" s="87"/>
      <c r="E513" s="87" t="str">
        <f>IF(A513="","",IF(D513-SUMIFS(GRN!$E$3:$E996,GRN!$D$3:$D996,C513)&lt;0,0,D513-SUMIFS(GRN!$E$3:$E996,GRN!$D$3:$D996,C513)))</f>
        <v/>
      </c>
    </row>
    <row r="514" spans="1:5" ht="15.75" customHeight="1">
      <c r="A514" s="128"/>
      <c r="B514" s="128"/>
      <c r="C514" s="2"/>
      <c r="D514" s="87"/>
      <c r="E514" s="87" t="str">
        <f>IF(A514="","",IF(D514-SUMIFS(GRN!$E$3:$E996,GRN!$D$3:$D996,C514)&lt;0,0,D514-SUMIFS(GRN!$E$3:$E996,GRN!$D$3:$D996,C514)))</f>
        <v/>
      </c>
    </row>
    <row r="515" spans="1:5" ht="15.75" customHeight="1">
      <c r="A515" s="128"/>
      <c r="B515" s="128"/>
      <c r="C515" s="2"/>
      <c r="D515" s="87"/>
      <c r="E515" s="87" t="str">
        <f>IF(A515="","",IF(D515-SUMIFS(GRN!$E$3:$E996,GRN!$D$3:$D996,C515)&lt;0,0,D515-SUMIFS(GRN!$E$3:$E996,GRN!$D$3:$D996,C515)))</f>
        <v/>
      </c>
    </row>
    <row r="516" spans="1:5" ht="15.75" customHeight="1">
      <c r="A516" s="128"/>
      <c r="B516" s="128"/>
      <c r="C516" s="2"/>
      <c r="D516" s="87"/>
      <c r="E516" s="87" t="str">
        <f>IF(A516="","",IF(D516-SUMIFS(GRN!$E$3:$E996,GRN!$D$3:$D996,C516)&lt;0,0,D516-SUMIFS(GRN!$E$3:$E996,GRN!$D$3:$D996,C516)))</f>
        <v/>
      </c>
    </row>
    <row r="517" spans="1:5" ht="15.75" customHeight="1">
      <c r="A517" s="128"/>
      <c r="B517" s="128"/>
      <c r="C517" s="2"/>
      <c r="D517" s="87"/>
      <c r="E517" s="87" t="str">
        <f>IF(A517="","",IF(D517-SUMIFS(GRN!$E$3:$E996,GRN!$D$3:$D996,C517)&lt;0,0,D517-SUMIFS(GRN!$E$3:$E996,GRN!$D$3:$D996,C517)))</f>
        <v/>
      </c>
    </row>
    <row r="518" spans="1:5" ht="15.75" customHeight="1">
      <c r="A518" s="128"/>
      <c r="B518" s="128"/>
      <c r="C518" s="2"/>
      <c r="D518" s="87"/>
      <c r="E518" s="87" t="str">
        <f>IF(A518="","",IF(D518-SUMIFS(GRN!$E$3:$E996,GRN!$D$3:$D996,C518)&lt;0,0,D518-SUMIFS(GRN!$E$3:$E996,GRN!$D$3:$D996,C518)))</f>
        <v/>
      </c>
    </row>
    <row r="519" spans="1:5" ht="15.75" customHeight="1">
      <c r="A519" s="128"/>
      <c r="B519" s="128"/>
      <c r="C519" s="2"/>
      <c r="D519" s="87"/>
      <c r="E519" s="87" t="str">
        <f>IF(A519="","",IF(D519-SUMIFS(GRN!$E$3:$E996,GRN!$D$3:$D996,C519)&lt;0,0,D519-SUMIFS(GRN!$E$3:$E996,GRN!$D$3:$D996,C519)))</f>
        <v/>
      </c>
    </row>
    <row r="520" spans="1:5" ht="15.75" customHeight="1">
      <c r="A520" s="128"/>
      <c r="B520" s="128"/>
      <c r="C520" s="2"/>
      <c r="D520" s="87"/>
      <c r="E520" s="87" t="str">
        <f>IF(A520="","",IF(D520-SUMIFS(GRN!$E$3:$E996,GRN!$D$3:$D996,C520)&lt;0,0,D520-SUMIFS(GRN!$E$3:$E996,GRN!$D$3:$D996,C520)))</f>
        <v/>
      </c>
    </row>
    <row r="521" spans="1:5" ht="15.75" customHeight="1">
      <c r="A521" s="128"/>
      <c r="B521" s="128"/>
      <c r="C521" s="2"/>
      <c r="D521" s="87"/>
      <c r="E521" s="87" t="str">
        <f>IF(A521="","",IF(D521-SUMIFS(GRN!$E$3:$E996,GRN!$D$3:$D996,C521)&lt;0,0,D521-SUMIFS(GRN!$E$3:$E996,GRN!$D$3:$D996,C521)))</f>
        <v/>
      </c>
    </row>
    <row r="522" spans="1:5" ht="15.75" customHeight="1">
      <c r="A522" s="128"/>
      <c r="B522" s="128"/>
      <c r="C522" s="2"/>
      <c r="D522" s="87"/>
      <c r="E522" s="87" t="str">
        <f>IF(A522="","",IF(D522-SUMIFS(GRN!$E$3:$E996,GRN!$D$3:$D996,C522)&lt;0,0,D522-SUMIFS(GRN!$E$3:$E996,GRN!$D$3:$D996,C522)))</f>
        <v/>
      </c>
    </row>
    <row r="523" spans="1:5" ht="15.75" customHeight="1">
      <c r="A523" s="128"/>
      <c r="B523" s="128"/>
      <c r="C523" s="2"/>
      <c r="D523" s="87"/>
      <c r="E523" s="87" t="str">
        <f>IF(A523="","",IF(D523-SUMIFS(GRN!$E$3:$E996,GRN!$D$3:$D996,C523)&lt;0,0,D523-SUMIFS(GRN!$E$3:$E996,GRN!$D$3:$D996,C523)))</f>
        <v/>
      </c>
    </row>
    <row r="524" spans="1:5" ht="15.75" customHeight="1">
      <c r="A524" s="128"/>
      <c r="B524" s="128"/>
      <c r="C524" s="2"/>
      <c r="D524" s="87"/>
      <c r="E524" s="87" t="str">
        <f>IF(A524="","",IF(D524-SUMIFS(GRN!$E$3:$E996,GRN!$D$3:$D996,C524)&lt;0,0,D524-SUMIFS(GRN!$E$3:$E996,GRN!$D$3:$D996,C524)))</f>
        <v/>
      </c>
    </row>
    <row r="525" spans="1:5" ht="15.75" customHeight="1">
      <c r="A525" s="128"/>
      <c r="B525" s="128"/>
      <c r="C525" s="2"/>
      <c r="D525" s="87"/>
      <c r="E525" s="87" t="str">
        <f>IF(A525="","",IF(D525-SUMIFS(GRN!$E$3:$E996,GRN!$D$3:$D996,C525)&lt;0,0,D525-SUMIFS(GRN!$E$3:$E996,GRN!$D$3:$D996,C525)))</f>
        <v/>
      </c>
    </row>
    <row r="526" spans="1:5" ht="15.75" customHeight="1">
      <c r="A526" s="128"/>
      <c r="B526" s="128"/>
      <c r="C526" s="2"/>
      <c r="D526" s="87"/>
      <c r="E526" s="87" t="str">
        <f>IF(A526="","",IF(D526-SUMIFS(GRN!$E$3:$E996,GRN!$D$3:$D996,C526)&lt;0,0,D526-SUMIFS(GRN!$E$3:$E996,GRN!$D$3:$D996,C526)))</f>
        <v/>
      </c>
    </row>
    <row r="527" spans="1:5" ht="15.75" customHeight="1">
      <c r="A527" s="128"/>
      <c r="B527" s="128"/>
      <c r="C527" s="2"/>
      <c r="D527" s="87"/>
      <c r="E527" s="87" t="str">
        <f>IF(A527="","",IF(D527-SUMIFS(GRN!$E$3:$E996,GRN!$D$3:$D996,C527)&lt;0,0,D527-SUMIFS(GRN!$E$3:$E996,GRN!$D$3:$D996,C527)))</f>
        <v/>
      </c>
    </row>
    <row r="528" spans="1:5" ht="15.75" customHeight="1">
      <c r="A528" s="128"/>
      <c r="B528" s="128"/>
      <c r="C528" s="2"/>
      <c r="D528" s="87"/>
      <c r="E528" s="87" t="str">
        <f>IF(A528="","",IF(D528-SUMIFS(GRN!$E$3:$E996,GRN!$D$3:$D996,C528)&lt;0,0,D528-SUMIFS(GRN!$E$3:$E996,GRN!$D$3:$D996,C528)))</f>
        <v/>
      </c>
    </row>
    <row r="529" spans="1:5" ht="15.75" customHeight="1">
      <c r="A529" s="128"/>
      <c r="B529" s="128"/>
      <c r="C529" s="2"/>
      <c r="D529" s="87"/>
      <c r="E529" s="87" t="str">
        <f>IF(A529="","",IF(D529-SUMIFS(GRN!$E$3:$E996,GRN!$D$3:$D996,C529)&lt;0,0,D529-SUMIFS(GRN!$E$3:$E996,GRN!$D$3:$D996,C529)))</f>
        <v/>
      </c>
    </row>
    <row r="530" spans="1:5" ht="15.75" customHeight="1">
      <c r="A530" s="128"/>
      <c r="B530" s="128"/>
      <c r="C530" s="2"/>
      <c r="D530" s="87"/>
      <c r="E530" s="87" t="str">
        <f>IF(A530="","",IF(D530-SUMIFS(GRN!$E$3:$E996,GRN!$D$3:$D996,C530)&lt;0,0,D530-SUMIFS(GRN!$E$3:$E996,GRN!$D$3:$D996,C530)))</f>
        <v/>
      </c>
    </row>
    <row r="531" spans="1:5" ht="15.75" customHeight="1">
      <c r="A531" s="128"/>
      <c r="B531" s="128"/>
      <c r="C531" s="2"/>
      <c r="D531" s="87"/>
      <c r="E531" s="87" t="str">
        <f>IF(A531="","",IF(D531-SUMIFS(GRN!$E$3:$E996,GRN!$D$3:$D996,C531)&lt;0,0,D531-SUMIFS(GRN!$E$3:$E996,GRN!$D$3:$D996,C531)))</f>
        <v/>
      </c>
    </row>
    <row r="532" spans="1:5" ht="15.75" customHeight="1">
      <c r="A532" s="128"/>
      <c r="B532" s="128"/>
      <c r="C532" s="2"/>
      <c r="D532" s="87"/>
      <c r="E532" s="87" t="str">
        <f>IF(A532="","",IF(D532-SUMIFS(GRN!$E$3:$E996,GRN!$D$3:$D996,C532)&lt;0,0,D532-SUMIFS(GRN!$E$3:$E996,GRN!$D$3:$D996,C532)))</f>
        <v/>
      </c>
    </row>
    <row r="533" spans="1:5" ht="15.75" customHeight="1">
      <c r="A533" s="128"/>
      <c r="B533" s="128"/>
      <c r="C533" s="2"/>
      <c r="D533" s="87"/>
      <c r="E533" s="87" t="str">
        <f>IF(A533="","",IF(D533-SUMIFS(GRN!$E$3:$E996,GRN!$D$3:$D996,C533)&lt;0,0,D533-SUMIFS(GRN!$E$3:$E996,GRN!$D$3:$D996,C533)))</f>
        <v/>
      </c>
    </row>
    <row r="534" spans="1:5" ht="15.75" customHeight="1">
      <c r="A534" s="128"/>
      <c r="B534" s="128"/>
      <c r="C534" s="2"/>
      <c r="D534" s="87"/>
      <c r="E534" s="87" t="str">
        <f>IF(A534="","",IF(D534-SUMIFS(GRN!$E$3:$E996,GRN!$D$3:$D996,C534)&lt;0,0,D534-SUMIFS(GRN!$E$3:$E996,GRN!$D$3:$D996,C534)))</f>
        <v/>
      </c>
    </row>
    <row r="535" spans="1:5" ht="15.75" customHeight="1">
      <c r="A535" s="128"/>
      <c r="B535" s="128"/>
      <c r="C535" s="2"/>
      <c r="D535" s="87"/>
      <c r="E535" s="87" t="str">
        <f>IF(A535="","",IF(D535-SUMIFS(GRN!$E$3:$E996,GRN!$D$3:$D996,C535)&lt;0,0,D535-SUMIFS(GRN!$E$3:$E996,GRN!$D$3:$D996,C535)))</f>
        <v/>
      </c>
    </row>
    <row r="536" spans="1:5" ht="15.75" customHeight="1">
      <c r="A536" s="128"/>
      <c r="B536" s="128"/>
      <c r="C536" s="2"/>
      <c r="D536" s="87"/>
      <c r="E536" s="87" t="str">
        <f>IF(A536="","",IF(D536-SUMIFS(GRN!$E$3:$E996,GRN!$D$3:$D996,C536)&lt;0,0,D536-SUMIFS(GRN!$E$3:$E996,GRN!$D$3:$D996,C536)))</f>
        <v/>
      </c>
    </row>
    <row r="537" spans="1:5" ht="15.75" customHeight="1">
      <c r="A537" s="128"/>
      <c r="B537" s="128"/>
      <c r="C537" s="2"/>
      <c r="D537" s="87"/>
      <c r="E537" s="87" t="str">
        <f>IF(A537="","",IF(D537-SUMIFS(GRN!$E$3:$E996,GRN!$D$3:$D996,C537)&lt;0,0,D537-SUMIFS(GRN!$E$3:$E996,GRN!$D$3:$D996,C537)))</f>
        <v/>
      </c>
    </row>
    <row r="538" spans="1:5" ht="15.75" customHeight="1">
      <c r="A538" s="128"/>
      <c r="B538" s="128"/>
      <c r="C538" s="2"/>
      <c r="D538" s="87"/>
      <c r="E538" s="87" t="str">
        <f>IF(A538="","",IF(D538-SUMIFS(GRN!$E$3:$E996,GRN!$D$3:$D996,C538)&lt;0,0,D538-SUMIFS(GRN!$E$3:$E996,GRN!$D$3:$D996,C538)))</f>
        <v/>
      </c>
    </row>
    <row r="539" spans="1:5" ht="15.75" customHeight="1">
      <c r="A539" s="128"/>
      <c r="B539" s="128"/>
      <c r="C539" s="2"/>
      <c r="D539" s="87"/>
      <c r="E539" s="87" t="str">
        <f>IF(A539="","",IF(D539-SUMIFS(GRN!$E$3:$E996,GRN!$D$3:$D996,C539)&lt;0,0,D539-SUMIFS(GRN!$E$3:$E996,GRN!$D$3:$D996,C539)))</f>
        <v/>
      </c>
    </row>
    <row r="540" spans="1:5" ht="15.75" customHeight="1">
      <c r="A540" s="128"/>
      <c r="B540" s="128"/>
      <c r="C540" s="2"/>
      <c r="D540" s="87"/>
      <c r="E540" s="87" t="str">
        <f>IF(A540="","",IF(D540-SUMIFS(GRN!$E$3:$E996,GRN!$D$3:$D996,C540)&lt;0,0,D540-SUMIFS(GRN!$E$3:$E996,GRN!$D$3:$D996,C540)))</f>
        <v/>
      </c>
    </row>
    <row r="541" spans="1:5" ht="15.75" customHeight="1">
      <c r="A541" s="128"/>
      <c r="B541" s="128"/>
      <c r="C541" s="2"/>
      <c r="D541" s="87"/>
      <c r="E541" s="87" t="str">
        <f>IF(A541="","",IF(D541-SUMIFS(GRN!$E$3:$E996,GRN!$D$3:$D996,C541)&lt;0,0,D541-SUMIFS(GRN!$E$3:$E996,GRN!$D$3:$D996,C541)))</f>
        <v/>
      </c>
    </row>
    <row r="542" spans="1:5" ht="15.75" customHeight="1">
      <c r="A542" s="128"/>
      <c r="B542" s="128"/>
      <c r="C542" s="2"/>
      <c r="D542" s="87"/>
      <c r="E542" s="87" t="str">
        <f>IF(A542="","",IF(D542-SUMIFS(GRN!$E$3:$E996,GRN!$D$3:$D996,C542)&lt;0,0,D542-SUMIFS(GRN!$E$3:$E996,GRN!$D$3:$D996,C542)))</f>
        <v/>
      </c>
    </row>
    <row r="543" spans="1:5" ht="15.75" customHeight="1">
      <c r="A543" s="128"/>
      <c r="B543" s="128"/>
      <c r="C543" s="2"/>
      <c r="D543" s="87"/>
      <c r="E543" s="87" t="str">
        <f>IF(A543="","",IF(D543-SUMIFS(GRN!$E$3:$E996,GRN!$D$3:$D996,C543)&lt;0,0,D543-SUMIFS(GRN!$E$3:$E996,GRN!$D$3:$D996,C543)))</f>
        <v/>
      </c>
    </row>
    <row r="544" spans="1:5" ht="15.75" customHeight="1">
      <c r="A544" s="128"/>
      <c r="B544" s="128"/>
      <c r="C544" s="2"/>
      <c r="D544" s="87"/>
      <c r="E544" s="87" t="str">
        <f>IF(A544="","",IF(D544-SUMIFS(GRN!$E$3:$E996,GRN!$D$3:$D996,C544)&lt;0,0,D544-SUMIFS(GRN!$E$3:$E996,GRN!$D$3:$D996,C544)))</f>
        <v/>
      </c>
    </row>
    <row r="545" spans="1:5" ht="15.75" customHeight="1">
      <c r="A545" s="128"/>
      <c r="B545" s="128"/>
      <c r="C545" s="2"/>
      <c r="D545" s="87"/>
      <c r="E545" s="87" t="str">
        <f>IF(A545="","",IF(D545-SUMIFS(GRN!$E$3:$E996,GRN!$D$3:$D996,C545)&lt;0,0,D545-SUMIFS(GRN!$E$3:$E996,GRN!$D$3:$D996,C545)))</f>
        <v/>
      </c>
    </row>
    <row r="546" spans="1:5" ht="15.75" customHeight="1">
      <c r="A546" s="128"/>
      <c r="B546" s="128"/>
      <c r="C546" s="2"/>
      <c r="D546" s="87"/>
      <c r="E546" s="87" t="str">
        <f>IF(A546="","",IF(D546-SUMIFS(GRN!$E$3:$E996,GRN!$D$3:$D996,C546)&lt;0,0,D546-SUMIFS(GRN!$E$3:$E996,GRN!$D$3:$D996,C546)))</f>
        <v/>
      </c>
    </row>
    <row r="547" spans="1:5" ht="15.75" customHeight="1">
      <c r="A547" s="128"/>
      <c r="B547" s="128"/>
      <c r="C547" s="2"/>
      <c r="D547" s="87"/>
      <c r="E547" s="87" t="str">
        <f>IF(A547="","",IF(D547-SUMIFS(GRN!$E$3:$E996,GRN!$D$3:$D996,C547)&lt;0,0,D547-SUMIFS(GRN!$E$3:$E996,GRN!$D$3:$D996,C547)))</f>
        <v/>
      </c>
    </row>
    <row r="548" spans="1:5" ht="15.75" customHeight="1">
      <c r="A548" s="128"/>
      <c r="B548" s="128"/>
      <c r="C548" s="2"/>
      <c r="D548" s="87"/>
      <c r="E548" s="87" t="str">
        <f>IF(A548="","",IF(D548-SUMIFS(GRN!$E$3:$E996,GRN!$D$3:$D996,C548)&lt;0,0,D548-SUMIFS(GRN!$E$3:$E996,GRN!$D$3:$D996,C548)))</f>
        <v/>
      </c>
    </row>
    <row r="549" spans="1:5" ht="15.75" customHeight="1">
      <c r="A549" s="128"/>
      <c r="B549" s="128"/>
      <c r="C549" s="2"/>
      <c r="D549" s="87"/>
      <c r="E549" s="87" t="str">
        <f>IF(A549="","",IF(D549-SUMIFS(GRN!$E$3:$E996,GRN!$D$3:$D996,C549)&lt;0,0,D549-SUMIFS(GRN!$E$3:$E996,GRN!$D$3:$D996,C549)))</f>
        <v/>
      </c>
    </row>
    <row r="550" spans="1:5" ht="15.75" customHeight="1">
      <c r="A550" s="128"/>
      <c r="B550" s="128"/>
      <c r="C550" s="2"/>
      <c r="D550" s="87"/>
      <c r="E550" s="87" t="str">
        <f>IF(A550="","",IF(D550-SUMIFS(GRN!$E$3:$E996,GRN!$D$3:$D996,C550)&lt;0,0,D550-SUMIFS(GRN!$E$3:$E996,GRN!$D$3:$D996,C550)))</f>
        <v/>
      </c>
    </row>
    <row r="551" spans="1:5" ht="15.75" customHeight="1">
      <c r="A551" s="128"/>
      <c r="B551" s="128"/>
      <c r="C551" s="2"/>
      <c r="D551" s="87"/>
      <c r="E551" s="87" t="str">
        <f>IF(A551="","",IF(D551-SUMIFS(GRN!$E$3:$E996,GRN!$D$3:$D996,C551)&lt;0,0,D551-SUMIFS(GRN!$E$3:$E996,GRN!$D$3:$D996,C551)))</f>
        <v/>
      </c>
    </row>
    <row r="552" spans="1:5" ht="15.75" customHeight="1">
      <c r="A552" s="128"/>
      <c r="B552" s="128"/>
      <c r="C552" s="2"/>
      <c r="D552" s="87"/>
      <c r="E552" s="87" t="str">
        <f>IF(A552="","",IF(D552-SUMIFS(GRN!$E$3:$E996,GRN!$D$3:$D996,C552)&lt;0,0,D552-SUMIFS(GRN!$E$3:$E996,GRN!$D$3:$D996,C552)))</f>
        <v/>
      </c>
    </row>
    <row r="553" spans="1:5" ht="15.75" customHeight="1">
      <c r="A553" s="128"/>
      <c r="B553" s="128"/>
      <c r="C553" s="2"/>
      <c r="D553" s="87"/>
      <c r="E553" s="87" t="str">
        <f>IF(A553="","",IF(D553-SUMIFS(GRN!$E$3:$E996,GRN!$D$3:$D996,C553)&lt;0,0,D553-SUMIFS(GRN!$E$3:$E996,GRN!$D$3:$D996,C553)))</f>
        <v/>
      </c>
    </row>
    <row r="554" spans="1:5" ht="15.75" customHeight="1">
      <c r="A554" s="128"/>
      <c r="B554" s="128"/>
      <c r="C554" s="2"/>
      <c r="D554" s="87"/>
      <c r="E554" s="87" t="str">
        <f>IF(A554="","",IF(D554-SUMIFS(GRN!$E$3:$E996,GRN!$D$3:$D996,C554)&lt;0,0,D554-SUMIFS(GRN!$E$3:$E996,GRN!$D$3:$D996,C554)))</f>
        <v/>
      </c>
    </row>
    <row r="555" spans="1:5" ht="15.75" customHeight="1">
      <c r="A555" s="128"/>
      <c r="B555" s="128"/>
      <c r="C555" s="2"/>
      <c r="D555" s="87"/>
      <c r="E555" s="87" t="str">
        <f>IF(A555="","",IF(D555-SUMIFS(GRN!$E$3:$E996,GRN!$D$3:$D996,C555)&lt;0,0,D555-SUMIFS(GRN!$E$3:$E996,GRN!$D$3:$D996,C555)))</f>
        <v/>
      </c>
    </row>
    <row r="556" spans="1:5" ht="15.75" customHeight="1">
      <c r="A556" s="128"/>
      <c r="B556" s="128"/>
      <c r="C556" s="2"/>
      <c r="D556" s="87"/>
      <c r="E556" s="87" t="str">
        <f>IF(A556="","",IF(D556-SUMIFS(GRN!$E$3:$E996,GRN!$D$3:$D996,C556)&lt;0,0,D556-SUMIFS(GRN!$E$3:$E996,GRN!$D$3:$D996,C556)))</f>
        <v/>
      </c>
    </row>
    <row r="557" spans="1:5" ht="15.75" customHeight="1">
      <c r="A557" s="128"/>
      <c r="B557" s="128"/>
      <c r="C557" s="2"/>
      <c r="D557" s="87"/>
      <c r="E557" s="87" t="str">
        <f>IF(A557="","",IF(D557-SUMIFS(GRN!$E$3:$E996,GRN!$D$3:$D996,C557)&lt;0,0,D557-SUMIFS(GRN!$E$3:$E996,GRN!$D$3:$D996,C557)))</f>
        <v/>
      </c>
    </row>
    <row r="558" spans="1:5" ht="15.75" customHeight="1">
      <c r="A558" s="128"/>
      <c r="B558" s="128"/>
      <c r="C558" s="2"/>
      <c r="D558" s="87"/>
      <c r="E558" s="87" t="str">
        <f>IF(A558="","",IF(D558-SUMIFS(GRN!$E$3:$E996,GRN!$D$3:$D996,C558)&lt;0,0,D558-SUMIFS(GRN!$E$3:$E996,GRN!$D$3:$D996,C558)))</f>
        <v/>
      </c>
    </row>
    <row r="559" spans="1:5" ht="15.75" customHeight="1">
      <c r="A559" s="128"/>
      <c r="B559" s="128"/>
      <c r="C559" s="2"/>
      <c r="D559" s="87"/>
      <c r="E559" s="87" t="str">
        <f>IF(A559="","",IF(D559-SUMIFS(GRN!$E$3:$E996,GRN!$D$3:$D996,C559)&lt;0,0,D559-SUMIFS(GRN!$E$3:$E996,GRN!$D$3:$D996,C559)))</f>
        <v/>
      </c>
    </row>
    <row r="560" spans="1:5" ht="15.75" customHeight="1">
      <c r="A560" s="128"/>
      <c r="B560" s="128"/>
      <c r="C560" s="2"/>
      <c r="D560" s="87"/>
      <c r="E560" s="87" t="str">
        <f>IF(A560="","",IF(D560-SUMIFS(GRN!$E$3:$E996,GRN!$D$3:$D996,C560)&lt;0,0,D560-SUMIFS(GRN!$E$3:$E996,GRN!$D$3:$D996,C560)))</f>
        <v/>
      </c>
    </row>
    <row r="561" spans="1:5" ht="15.75" customHeight="1">
      <c r="A561" s="128"/>
      <c r="B561" s="128"/>
      <c r="C561" s="2"/>
      <c r="D561" s="87"/>
      <c r="E561" s="87" t="str">
        <f>IF(A561="","",IF(D561-SUMIFS(GRN!$E$3:$E996,GRN!$D$3:$D996,C561)&lt;0,0,D561-SUMIFS(GRN!$E$3:$E996,GRN!$D$3:$D996,C561)))</f>
        <v/>
      </c>
    </row>
    <row r="562" spans="1:5" ht="15.75" customHeight="1">
      <c r="A562" s="128"/>
      <c r="B562" s="128"/>
      <c r="C562" s="2"/>
      <c r="D562" s="87"/>
      <c r="E562" s="87" t="str">
        <f>IF(A562="","",IF(D562-SUMIFS(GRN!$E$3:$E996,GRN!$D$3:$D996,C562)&lt;0,0,D562-SUMIFS(GRN!$E$3:$E996,GRN!$D$3:$D996,C562)))</f>
        <v/>
      </c>
    </row>
    <row r="563" spans="1:5" ht="15.75" customHeight="1">
      <c r="A563" s="128"/>
      <c r="B563" s="128"/>
      <c r="C563" s="2"/>
      <c r="D563" s="87"/>
      <c r="E563" s="87" t="str">
        <f>IF(A563="","",IF(D563-SUMIFS(GRN!$E$3:$E996,GRN!$D$3:$D996,C563)&lt;0,0,D563-SUMIFS(GRN!$E$3:$E996,GRN!$D$3:$D996,C563)))</f>
        <v/>
      </c>
    </row>
    <row r="564" spans="1:5" ht="15.75" customHeight="1">
      <c r="A564" s="128"/>
      <c r="B564" s="128"/>
      <c r="C564" s="2"/>
      <c r="D564" s="87"/>
      <c r="E564" s="87" t="str">
        <f>IF(A564="","",IF(D564-SUMIFS(GRN!$E$3:$E996,GRN!$D$3:$D996,C564)&lt;0,0,D564-SUMIFS(GRN!$E$3:$E996,GRN!$D$3:$D996,C564)))</f>
        <v/>
      </c>
    </row>
    <row r="565" spans="1:5" ht="15.75" customHeight="1">
      <c r="A565" s="128"/>
      <c r="B565" s="128"/>
      <c r="C565" s="2"/>
      <c r="D565" s="87"/>
      <c r="E565" s="87" t="str">
        <f>IF(A565="","",IF(D565-SUMIFS(GRN!$E$3:$E996,GRN!$D$3:$D996,C565)&lt;0,0,D565-SUMIFS(GRN!$E$3:$E996,GRN!$D$3:$D996,C565)))</f>
        <v/>
      </c>
    </row>
    <row r="566" spans="1:5" ht="15.75" customHeight="1">
      <c r="A566" s="128"/>
      <c r="B566" s="128"/>
      <c r="C566" s="2"/>
      <c r="D566" s="87"/>
      <c r="E566" s="87" t="str">
        <f>IF(A566="","",IF(D566-SUMIFS(GRN!$E$3:$E996,GRN!$D$3:$D996,C566)&lt;0,0,D566-SUMIFS(GRN!$E$3:$E996,GRN!$D$3:$D996,C566)))</f>
        <v/>
      </c>
    </row>
    <row r="567" spans="1:5" ht="15.75" customHeight="1">
      <c r="A567" s="128"/>
      <c r="B567" s="128"/>
      <c r="C567" s="2"/>
      <c r="D567" s="87"/>
      <c r="E567" s="87" t="str">
        <f>IF(A567="","",IF(D567-SUMIFS(GRN!$E$3:$E996,GRN!$D$3:$D996,C567)&lt;0,0,D567-SUMIFS(GRN!$E$3:$E996,GRN!$D$3:$D996,C567)))</f>
        <v/>
      </c>
    </row>
    <row r="568" spans="1:5" ht="15.75" customHeight="1">
      <c r="A568" s="128"/>
      <c r="B568" s="128"/>
      <c r="C568" s="2"/>
      <c r="D568" s="87"/>
      <c r="E568" s="87" t="str">
        <f>IF(A568="","",IF(D568-SUMIFS(GRN!$E$3:$E996,GRN!$D$3:$D996,C568)&lt;0,0,D568-SUMIFS(GRN!$E$3:$E996,GRN!$D$3:$D996,C568)))</f>
        <v/>
      </c>
    </row>
    <row r="569" spans="1:5" ht="15.75" customHeight="1">
      <c r="A569" s="128"/>
      <c r="B569" s="128"/>
      <c r="C569" s="2"/>
      <c r="D569" s="87"/>
      <c r="E569" s="87" t="str">
        <f>IF(A569="","",IF(D569-SUMIFS(GRN!$E$3:$E996,GRN!$D$3:$D996,C569)&lt;0,0,D569-SUMIFS(GRN!$E$3:$E996,GRN!$D$3:$D996,C569)))</f>
        <v/>
      </c>
    </row>
    <row r="570" spans="1:5" ht="15.75" customHeight="1">
      <c r="A570" s="128"/>
      <c r="B570" s="128"/>
      <c r="C570" s="2"/>
      <c r="D570" s="87"/>
      <c r="E570" s="87" t="str">
        <f>IF(A570="","",IF(D570-SUMIFS(GRN!$E$3:$E996,GRN!$D$3:$D996,C570)&lt;0,0,D570-SUMIFS(GRN!$E$3:$E996,GRN!$D$3:$D996,C570)))</f>
        <v/>
      </c>
    </row>
    <row r="571" spans="1:5" ht="15.75" customHeight="1">
      <c r="A571" s="128"/>
      <c r="B571" s="128"/>
      <c r="C571" s="2"/>
      <c r="D571" s="87"/>
      <c r="E571" s="87" t="str">
        <f>IF(A571="","",IF(D571-SUMIFS(GRN!$E$3:$E996,GRN!$D$3:$D996,C571)&lt;0,0,D571-SUMIFS(GRN!$E$3:$E996,GRN!$D$3:$D996,C571)))</f>
        <v/>
      </c>
    </row>
    <row r="572" spans="1:5" ht="15.75" customHeight="1">
      <c r="A572" s="128"/>
      <c r="B572" s="128"/>
      <c r="C572" s="2"/>
      <c r="D572" s="87"/>
      <c r="E572" s="87" t="str">
        <f>IF(A572="","",IF(D572-SUMIFS(GRN!$E$3:$E996,GRN!$D$3:$D996,C572)&lt;0,0,D572-SUMIFS(GRN!$E$3:$E996,GRN!$D$3:$D996,C572)))</f>
        <v/>
      </c>
    </row>
    <row r="573" spans="1:5" ht="15.75" customHeight="1">
      <c r="A573" s="128"/>
      <c r="B573" s="128"/>
      <c r="C573" s="2"/>
      <c r="D573" s="87"/>
      <c r="E573" s="87" t="str">
        <f>IF(A573="","",IF(D573-SUMIFS(GRN!$E$3:$E996,GRN!$D$3:$D996,C573)&lt;0,0,D573-SUMIFS(GRN!$E$3:$E996,GRN!$D$3:$D996,C573)))</f>
        <v/>
      </c>
    </row>
    <row r="574" spans="1:5" ht="15.75" customHeight="1">
      <c r="A574" s="128"/>
      <c r="B574" s="128"/>
      <c r="C574" s="2"/>
      <c r="D574" s="87"/>
      <c r="E574" s="87" t="str">
        <f>IF(A574="","",IF(D574-SUMIFS(GRN!$E$3:$E996,GRN!$D$3:$D996,C574)&lt;0,0,D574-SUMIFS(GRN!$E$3:$E996,GRN!$D$3:$D996,C574)))</f>
        <v/>
      </c>
    </row>
    <row r="575" spans="1:5" ht="15.75" customHeight="1">
      <c r="A575" s="128"/>
      <c r="B575" s="128"/>
      <c r="C575" s="2"/>
      <c r="D575" s="87"/>
      <c r="E575" s="87" t="str">
        <f>IF(A575="","",IF(D575-SUMIFS(GRN!$E$3:$E996,GRN!$D$3:$D996,C575)&lt;0,0,D575-SUMIFS(GRN!$E$3:$E996,GRN!$D$3:$D996,C575)))</f>
        <v/>
      </c>
    </row>
    <row r="576" spans="1:5" ht="15.75" customHeight="1">
      <c r="A576" s="128"/>
      <c r="B576" s="128"/>
      <c r="C576" s="2"/>
      <c r="D576" s="87"/>
      <c r="E576" s="87" t="str">
        <f>IF(A576="","",IF(D576-SUMIFS(GRN!$E$3:$E996,GRN!$D$3:$D996,C576)&lt;0,0,D576-SUMIFS(GRN!$E$3:$E996,GRN!$D$3:$D996,C576)))</f>
        <v/>
      </c>
    </row>
    <row r="577" spans="1:5" ht="15.75" customHeight="1">
      <c r="A577" s="128"/>
      <c r="B577" s="128"/>
      <c r="C577" s="2"/>
      <c r="D577" s="87"/>
      <c r="E577" s="87" t="str">
        <f>IF(A577="","",IF(D577-SUMIFS(GRN!$E$3:$E996,GRN!$D$3:$D996,C577)&lt;0,0,D577-SUMIFS(GRN!$E$3:$E996,GRN!$D$3:$D996,C577)))</f>
        <v/>
      </c>
    </row>
    <row r="578" spans="1:5" ht="15.75" customHeight="1">
      <c r="A578" s="128"/>
      <c r="B578" s="128"/>
      <c r="C578" s="2"/>
      <c r="D578" s="87"/>
      <c r="E578" s="87" t="str">
        <f>IF(A578="","",IF(D578-SUMIFS(GRN!$E$3:$E996,GRN!$D$3:$D996,C578)&lt;0,0,D578-SUMIFS(GRN!$E$3:$E996,GRN!$D$3:$D996,C578)))</f>
        <v/>
      </c>
    </row>
    <row r="579" spans="1:5" ht="15.75" customHeight="1">
      <c r="A579" s="128"/>
      <c r="B579" s="128"/>
      <c r="C579" s="2"/>
      <c r="D579" s="87"/>
      <c r="E579" s="87" t="str">
        <f>IF(A579="","",IF(D579-SUMIFS(GRN!$E$3:$E996,GRN!$D$3:$D996,C579)&lt;0,0,D579-SUMIFS(GRN!$E$3:$E996,GRN!$D$3:$D996,C579)))</f>
        <v/>
      </c>
    </row>
    <row r="580" spans="1:5" ht="15.75" customHeight="1">
      <c r="A580" s="128"/>
      <c r="B580" s="128"/>
      <c r="C580" s="2"/>
      <c r="D580" s="87"/>
      <c r="E580" s="87" t="str">
        <f>IF(A580="","",IF(D580-SUMIFS(GRN!$E$3:$E996,GRN!$D$3:$D996,C580)&lt;0,0,D580-SUMIFS(GRN!$E$3:$E996,GRN!$D$3:$D996,C580)))</f>
        <v/>
      </c>
    </row>
    <row r="581" spans="1:5" ht="15.75" customHeight="1">
      <c r="A581" s="128"/>
      <c r="B581" s="128"/>
      <c r="C581" s="2"/>
      <c r="D581" s="87"/>
      <c r="E581" s="87" t="str">
        <f>IF(A581="","",IF(D581-SUMIFS(GRN!$E$3:$E996,GRN!$D$3:$D996,C581)&lt;0,0,D581-SUMIFS(GRN!$E$3:$E996,GRN!$D$3:$D996,C581)))</f>
        <v/>
      </c>
    </row>
    <row r="582" spans="1:5" ht="15.75" customHeight="1">
      <c r="A582" s="128"/>
      <c r="B582" s="128"/>
      <c r="C582" s="2"/>
      <c r="D582" s="87"/>
      <c r="E582" s="87" t="str">
        <f>IF(A582="","",IF(D582-SUMIFS(GRN!$E$3:$E996,GRN!$D$3:$D996,C582)&lt;0,0,D582-SUMIFS(GRN!$E$3:$E996,GRN!$D$3:$D996,C582)))</f>
        <v/>
      </c>
    </row>
    <row r="583" spans="1:5" ht="15.75" customHeight="1">
      <c r="A583" s="128"/>
      <c r="B583" s="128"/>
      <c r="C583" s="2"/>
      <c r="D583" s="87"/>
      <c r="E583" s="87" t="str">
        <f>IF(A583="","",IF(D583-SUMIFS(GRN!$E$3:$E996,GRN!$D$3:$D996,C583)&lt;0,0,D583-SUMIFS(GRN!$E$3:$E996,GRN!$D$3:$D996,C583)))</f>
        <v/>
      </c>
    </row>
    <row r="584" spans="1:5" ht="15.75" customHeight="1">
      <c r="A584" s="128"/>
      <c r="B584" s="128"/>
      <c r="C584" s="2"/>
      <c r="D584" s="87"/>
      <c r="E584" s="87" t="str">
        <f>IF(A584="","",IF(D584-SUMIFS(GRN!$E$3:$E996,GRN!$D$3:$D996,C584)&lt;0,0,D584-SUMIFS(GRN!$E$3:$E996,GRN!$D$3:$D996,C584)))</f>
        <v/>
      </c>
    </row>
    <row r="585" spans="1:5" ht="15.75" customHeight="1">
      <c r="A585" s="128"/>
      <c r="B585" s="128"/>
      <c r="C585" s="2"/>
      <c r="D585" s="87"/>
      <c r="E585" s="87" t="str">
        <f>IF(A585="","",IF(D585-SUMIFS(GRN!$E$3:$E996,GRN!$D$3:$D996,C585)&lt;0,0,D585-SUMIFS(GRN!$E$3:$E996,GRN!$D$3:$D996,C585)))</f>
        <v/>
      </c>
    </row>
    <row r="586" spans="1:5" ht="15.75" customHeight="1">
      <c r="A586" s="128"/>
      <c r="B586" s="128"/>
      <c r="C586" s="2"/>
      <c r="D586" s="87"/>
      <c r="E586" s="87" t="str">
        <f>IF(A586="","",IF(D586-SUMIFS(GRN!$E$3:$E996,GRN!$D$3:$D996,C586)&lt;0,0,D586-SUMIFS(GRN!$E$3:$E996,GRN!$D$3:$D996,C586)))</f>
        <v/>
      </c>
    </row>
    <row r="587" spans="1:5" ht="15.75" customHeight="1">
      <c r="A587" s="128"/>
      <c r="B587" s="128"/>
      <c r="C587" s="2"/>
      <c r="D587" s="87"/>
      <c r="E587" s="87" t="str">
        <f>IF(A587="","",IF(D587-SUMIFS(GRN!$E$3:$E996,GRN!$D$3:$D996,C587)&lt;0,0,D587-SUMIFS(GRN!$E$3:$E996,GRN!$D$3:$D996,C587)))</f>
        <v/>
      </c>
    </row>
    <row r="588" spans="1:5" ht="15.75" customHeight="1">
      <c r="A588" s="128"/>
      <c r="B588" s="128"/>
      <c r="C588" s="2"/>
      <c r="D588" s="87"/>
      <c r="E588" s="87" t="str">
        <f>IF(A588="","",IF(D588-SUMIFS(GRN!$E$3:$E996,GRN!$D$3:$D996,C588)&lt;0,0,D588-SUMIFS(GRN!$E$3:$E996,GRN!$D$3:$D996,C588)))</f>
        <v/>
      </c>
    </row>
    <row r="589" spans="1:5" ht="15.75" customHeight="1">
      <c r="A589" s="128"/>
      <c r="B589" s="128"/>
      <c r="C589" s="2"/>
      <c r="D589" s="87"/>
      <c r="E589" s="87" t="str">
        <f>IF(A589="","",IF(D589-SUMIFS(GRN!$E$3:$E996,GRN!$D$3:$D996,C589)&lt;0,0,D589-SUMIFS(GRN!$E$3:$E996,GRN!$D$3:$D996,C589)))</f>
        <v/>
      </c>
    </row>
    <row r="590" spans="1:5" ht="15.75" customHeight="1">
      <c r="A590" s="128"/>
      <c r="B590" s="128"/>
      <c r="C590" s="2"/>
      <c r="D590" s="87"/>
      <c r="E590" s="87" t="str">
        <f>IF(A590="","",IF(D590-SUMIFS(GRN!$E$3:$E996,GRN!$D$3:$D996,C590)&lt;0,0,D590-SUMIFS(GRN!$E$3:$E996,GRN!$D$3:$D996,C590)))</f>
        <v/>
      </c>
    </row>
    <row r="591" spans="1:5" ht="15.75" customHeight="1">
      <c r="A591" s="128"/>
      <c r="B591" s="128"/>
      <c r="C591" s="2"/>
      <c r="D591" s="87"/>
      <c r="E591" s="87" t="str">
        <f>IF(A591="","",IF(D591-SUMIFS(GRN!$E$3:$E996,GRN!$D$3:$D996,C591)&lt;0,0,D591-SUMIFS(GRN!$E$3:$E996,GRN!$D$3:$D996,C591)))</f>
        <v/>
      </c>
    </row>
    <row r="592" spans="1:5" ht="15.75" customHeight="1">
      <c r="A592" s="128"/>
      <c r="B592" s="128"/>
      <c r="C592" s="2"/>
      <c r="D592" s="87"/>
      <c r="E592" s="87" t="str">
        <f>IF(A592="","",IF(D592-SUMIFS(GRN!$E$3:$E996,GRN!$D$3:$D996,C592)&lt;0,0,D592-SUMIFS(GRN!$E$3:$E996,GRN!$D$3:$D996,C592)))</f>
        <v/>
      </c>
    </row>
    <row r="593" spans="1:5" ht="15.75" customHeight="1">
      <c r="A593" s="128"/>
      <c r="B593" s="128"/>
      <c r="C593" s="2"/>
      <c r="D593" s="87"/>
      <c r="E593" s="87" t="str">
        <f>IF(A593="","",IF(D593-SUMIFS(GRN!$E$3:$E996,GRN!$D$3:$D996,C593)&lt;0,0,D593-SUMIFS(GRN!$E$3:$E996,GRN!$D$3:$D996,C593)))</f>
        <v/>
      </c>
    </row>
    <row r="594" spans="1:5" ht="15.75" customHeight="1">
      <c r="A594" s="128"/>
      <c r="B594" s="128"/>
      <c r="C594" s="2"/>
      <c r="D594" s="87"/>
      <c r="E594" s="87" t="str">
        <f>IF(A594="","",IF(D594-SUMIFS(GRN!$E$3:$E996,GRN!$D$3:$D996,C594)&lt;0,0,D594-SUMIFS(GRN!$E$3:$E996,GRN!$D$3:$D996,C594)))</f>
        <v/>
      </c>
    </row>
    <row r="595" spans="1:5" ht="15.75" customHeight="1">
      <c r="A595" s="128"/>
      <c r="B595" s="128"/>
      <c r="C595" s="2"/>
      <c r="D595" s="87"/>
      <c r="E595" s="87" t="str">
        <f>IF(A595="","",IF(D595-SUMIFS(GRN!$E$3:$E996,GRN!$D$3:$D996,C595)&lt;0,0,D595-SUMIFS(GRN!$E$3:$E996,GRN!$D$3:$D996,C595)))</f>
        <v/>
      </c>
    </row>
    <row r="596" spans="1:5" ht="15.75" customHeight="1">
      <c r="A596" s="128"/>
      <c r="B596" s="128"/>
      <c r="C596" s="2"/>
      <c r="D596" s="87"/>
      <c r="E596" s="87" t="str">
        <f>IF(A596="","",IF(D596-SUMIFS(GRN!$E$3:$E996,GRN!$D$3:$D996,C596)&lt;0,0,D596-SUMIFS(GRN!$E$3:$E996,GRN!$D$3:$D996,C596)))</f>
        <v/>
      </c>
    </row>
    <row r="597" spans="1:5" ht="15.75" customHeight="1">
      <c r="A597" s="128"/>
      <c r="B597" s="128"/>
      <c r="C597" s="2"/>
      <c r="D597" s="87"/>
      <c r="E597" s="87" t="str">
        <f>IF(A597="","",IF(D597-SUMIFS(GRN!$E$3:$E996,GRN!$D$3:$D996,C597)&lt;0,0,D597-SUMIFS(GRN!$E$3:$E996,GRN!$D$3:$D996,C597)))</f>
        <v/>
      </c>
    </row>
    <row r="598" spans="1:5" ht="15.75" customHeight="1">
      <c r="A598" s="128"/>
      <c r="B598" s="128"/>
      <c r="C598" s="2"/>
      <c r="D598" s="87"/>
      <c r="E598" s="87" t="str">
        <f>IF(A598="","",IF(D598-SUMIFS(GRN!$E$3:$E996,GRN!$D$3:$D996,C598)&lt;0,0,D598-SUMIFS(GRN!$E$3:$E996,GRN!$D$3:$D996,C598)))</f>
        <v/>
      </c>
    </row>
    <row r="599" spans="1:5" ht="15.75" customHeight="1">
      <c r="A599" s="128"/>
      <c r="B599" s="128"/>
      <c r="C599" s="2"/>
      <c r="D599" s="87"/>
      <c r="E599" s="87" t="str">
        <f>IF(A599="","",IF(D599-SUMIFS(GRN!$E$3:$E996,GRN!$D$3:$D996,C599)&lt;0,0,D599-SUMIFS(GRN!$E$3:$E996,GRN!$D$3:$D996,C599)))</f>
        <v/>
      </c>
    </row>
    <row r="600" spans="1:5" ht="15.75" customHeight="1">
      <c r="A600" s="128"/>
      <c r="B600" s="128"/>
      <c r="C600" s="2"/>
      <c r="D600" s="87"/>
      <c r="E600" s="87" t="str">
        <f>IF(A600="","",IF(D600-SUMIFS(GRN!$E$3:$E996,GRN!$D$3:$D996,C600)&lt;0,0,D600-SUMIFS(GRN!$E$3:$E996,GRN!$D$3:$D996,C600)))</f>
        <v/>
      </c>
    </row>
    <row r="601" spans="1:5" ht="15.75" customHeight="1">
      <c r="A601" s="128"/>
      <c r="B601" s="128"/>
      <c r="C601" s="2"/>
      <c r="D601" s="87"/>
      <c r="E601" s="87" t="str">
        <f>IF(A601="","",IF(D601-SUMIFS(GRN!$E$3:$E996,GRN!$D$3:$D996,C601)&lt;0,0,D601-SUMIFS(GRN!$E$3:$E996,GRN!$D$3:$D996,C601)))</f>
        <v/>
      </c>
    </row>
    <row r="602" spans="1:5" ht="15.75" customHeight="1">
      <c r="A602" s="128"/>
      <c r="B602" s="128"/>
      <c r="C602" s="2"/>
      <c r="D602" s="87"/>
      <c r="E602" s="87" t="str">
        <f>IF(A602="","",IF(D602-SUMIFS(GRN!$E$3:$E996,GRN!$D$3:$D996,C602)&lt;0,0,D602-SUMIFS(GRN!$E$3:$E996,GRN!$D$3:$D996,C602)))</f>
        <v/>
      </c>
    </row>
    <row r="603" spans="1:5" ht="15.75" customHeight="1">
      <c r="A603" s="128"/>
      <c r="B603" s="128"/>
      <c r="C603" s="2"/>
      <c r="D603" s="87"/>
      <c r="E603" s="87" t="str">
        <f>IF(A603="","",IF(D603-SUMIFS(GRN!$E$3:$E996,GRN!$D$3:$D996,C603)&lt;0,0,D603-SUMIFS(GRN!$E$3:$E996,GRN!$D$3:$D996,C603)))</f>
        <v/>
      </c>
    </row>
    <row r="604" spans="1:5" ht="15.75" customHeight="1">
      <c r="A604" s="128"/>
      <c r="B604" s="128"/>
      <c r="C604" s="2"/>
      <c r="D604" s="87"/>
      <c r="E604" s="87" t="str">
        <f>IF(A604="","",IF(D604-SUMIFS(GRN!$E$3:$E996,GRN!$D$3:$D996,C604)&lt;0,0,D604-SUMIFS(GRN!$E$3:$E996,GRN!$D$3:$D996,C604)))</f>
        <v/>
      </c>
    </row>
    <row r="605" spans="1:5" ht="15.75" customHeight="1">
      <c r="A605" s="128"/>
      <c r="B605" s="128"/>
      <c r="C605" s="2"/>
      <c r="D605" s="87"/>
      <c r="E605" s="87" t="str">
        <f>IF(A605="","",IF(D605-SUMIFS(GRN!$E$3:$E996,GRN!$D$3:$D996,C605)&lt;0,0,D605-SUMIFS(GRN!$E$3:$E996,GRN!$D$3:$D996,C605)))</f>
        <v/>
      </c>
    </row>
    <row r="606" spans="1:5" ht="15.75" customHeight="1">
      <c r="A606" s="128"/>
      <c r="B606" s="128"/>
      <c r="C606" s="2"/>
      <c r="D606" s="87"/>
      <c r="E606" s="87" t="str">
        <f>IF(A606="","",IF(D606-SUMIFS(GRN!$E$3:$E996,GRN!$D$3:$D996,C606)&lt;0,0,D606-SUMIFS(GRN!$E$3:$E996,GRN!$D$3:$D996,C606)))</f>
        <v/>
      </c>
    </row>
    <row r="607" spans="1:5" ht="15.75" customHeight="1">
      <c r="A607" s="128"/>
      <c r="B607" s="128"/>
      <c r="C607" s="2"/>
      <c r="D607" s="87"/>
      <c r="E607" s="87" t="str">
        <f>IF(A607="","",IF(D607-SUMIFS(GRN!$E$3:$E996,GRN!$D$3:$D996,C607)&lt;0,0,D607-SUMIFS(GRN!$E$3:$E996,GRN!$D$3:$D996,C607)))</f>
        <v/>
      </c>
    </row>
    <row r="608" spans="1:5" ht="15.75" customHeight="1">
      <c r="A608" s="128"/>
      <c r="B608" s="128"/>
      <c r="C608" s="2"/>
      <c r="D608" s="87"/>
      <c r="E608" s="87" t="str">
        <f>IF(A608="","",IF(D608-SUMIFS(GRN!$E$3:$E996,GRN!$D$3:$D996,C608)&lt;0,0,D608-SUMIFS(GRN!$E$3:$E996,GRN!$D$3:$D996,C608)))</f>
        <v/>
      </c>
    </row>
    <row r="609" spans="1:5" ht="15.75" customHeight="1">
      <c r="A609" s="128"/>
      <c r="B609" s="128"/>
      <c r="C609" s="2"/>
      <c r="D609" s="87"/>
      <c r="E609" s="87" t="str">
        <f>IF(A609="","",IF(D609-SUMIFS(GRN!$E$3:$E996,GRN!$D$3:$D996,C609)&lt;0,0,D609-SUMIFS(GRN!$E$3:$E996,GRN!$D$3:$D996,C609)))</f>
        <v/>
      </c>
    </row>
    <row r="610" spans="1:5" ht="15.75" customHeight="1">
      <c r="A610" s="128"/>
      <c r="B610" s="128"/>
      <c r="C610" s="2"/>
      <c r="D610" s="87"/>
      <c r="E610" s="87" t="str">
        <f>IF(A610="","",IF(D610-SUMIFS(GRN!$E$3:$E996,GRN!$D$3:$D996,C610)&lt;0,0,D610-SUMIFS(GRN!$E$3:$E996,GRN!$D$3:$D996,C610)))</f>
        <v/>
      </c>
    </row>
    <row r="611" spans="1:5" ht="15.75" customHeight="1">
      <c r="A611" s="128"/>
      <c r="B611" s="128"/>
      <c r="C611" s="2"/>
      <c r="D611" s="87"/>
      <c r="E611" s="87" t="str">
        <f>IF(A611="","",IF(D611-SUMIFS(GRN!$E$3:$E996,GRN!$D$3:$D996,C611)&lt;0,0,D611-SUMIFS(GRN!$E$3:$E996,GRN!$D$3:$D996,C611)))</f>
        <v/>
      </c>
    </row>
    <row r="612" spans="1:5" ht="15.75" customHeight="1">
      <c r="A612" s="128"/>
      <c r="B612" s="128"/>
      <c r="C612" s="2"/>
      <c r="D612" s="87"/>
      <c r="E612" s="87" t="str">
        <f>IF(A612="","",IF(D612-SUMIFS(GRN!$E$3:$E996,GRN!$D$3:$D996,C612)&lt;0,0,D612-SUMIFS(GRN!$E$3:$E996,GRN!$D$3:$D996,C612)))</f>
        <v/>
      </c>
    </row>
    <row r="613" spans="1:5" ht="15.75" customHeight="1">
      <c r="A613" s="128"/>
      <c r="B613" s="128"/>
      <c r="C613" s="2"/>
      <c r="D613" s="87"/>
      <c r="E613" s="87" t="str">
        <f>IF(A613="","",IF(D613-SUMIFS(GRN!$E$3:$E996,GRN!$D$3:$D996,C613)&lt;0,0,D613-SUMIFS(GRN!$E$3:$E996,GRN!$D$3:$D996,C613)))</f>
        <v/>
      </c>
    </row>
    <row r="614" spans="1:5" ht="15.75" customHeight="1">
      <c r="A614" s="128"/>
      <c r="B614" s="128"/>
      <c r="C614" s="2"/>
      <c r="D614" s="87"/>
      <c r="E614" s="87" t="str">
        <f>IF(A614="","",IF(D614-SUMIFS(GRN!$E$3:$E996,GRN!$D$3:$D996,C614)&lt;0,0,D614-SUMIFS(GRN!$E$3:$E996,GRN!$D$3:$D996,C614)))</f>
        <v/>
      </c>
    </row>
    <row r="615" spans="1:5" ht="15.75" customHeight="1">
      <c r="A615" s="128"/>
      <c r="B615" s="128"/>
      <c r="C615" s="2"/>
      <c r="D615" s="87"/>
      <c r="E615" s="87" t="str">
        <f>IF(A615="","",IF(D615-SUMIFS(GRN!$E$3:$E996,GRN!$D$3:$D996,C615)&lt;0,0,D615-SUMIFS(GRN!$E$3:$E996,GRN!$D$3:$D996,C615)))</f>
        <v/>
      </c>
    </row>
    <row r="616" spans="1:5" ht="15.75" customHeight="1">
      <c r="A616" s="128"/>
      <c r="B616" s="128"/>
      <c r="C616" s="2"/>
      <c r="D616" s="87"/>
      <c r="E616" s="87" t="str">
        <f>IF(A616="","",IF(D616-SUMIFS(GRN!$E$3:$E996,GRN!$D$3:$D996,C616)&lt;0,0,D616-SUMIFS(GRN!$E$3:$E996,GRN!$D$3:$D996,C616)))</f>
        <v/>
      </c>
    </row>
    <row r="617" spans="1:5" ht="15.75" customHeight="1">
      <c r="A617" s="128"/>
      <c r="B617" s="128"/>
      <c r="C617" s="2"/>
      <c r="D617" s="87"/>
      <c r="E617" s="87" t="str">
        <f>IF(A617="","",IF(D617-SUMIFS(GRN!$E$3:$E996,GRN!$D$3:$D996,C617)&lt;0,0,D617-SUMIFS(GRN!$E$3:$E996,GRN!$D$3:$D996,C617)))</f>
        <v/>
      </c>
    </row>
    <row r="618" spans="1:5" ht="15.75" customHeight="1">
      <c r="A618" s="128"/>
      <c r="B618" s="128"/>
      <c r="C618" s="2"/>
      <c r="D618" s="87"/>
      <c r="E618" s="87" t="str">
        <f>IF(A618="","",IF(D618-SUMIFS(GRN!$E$3:$E996,GRN!$D$3:$D996,C618)&lt;0,0,D618-SUMIFS(GRN!$E$3:$E996,GRN!$D$3:$D996,C618)))</f>
        <v/>
      </c>
    </row>
    <row r="619" spans="1:5" ht="15.75" customHeight="1">
      <c r="A619" s="128"/>
      <c r="B619" s="128"/>
      <c r="C619" s="2"/>
      <c r="D619" s="87"/>
      <c r="E619" s="87" t="str">
        <f>IF(A619="","",IF(D619-SUMIFS(GRN!$E$3:$E996,GRN!$D$3:$D996,C619)&lt;0,0,D619-SUMIFS(GRN!$E$3:$E996,GRN!$D$3:$D996,C619)))</f>
        <v/>
      </c>
    </row>
    <row r="620" spans="1:5" ht="15.75" customHeight="1">
      <c r="A620" s="128"/>
      <c r="B620" s="128"/>
      <c r="C620" s="2"/>
      <c r="D620" s="87"/>
      <c r="E620" s="87" t="str">
        <f>IF(A620="","",IF(D620-SUMIFS(GRN!$E$3:$E996,GRN!$D$3:$D996,C620)&lt;0,0,D620-SUMIFS(GRN!$E$3:$E996,GRN!$D$3:$D996,C620)))</f>
        <v/>
      </c>
    </row>
    <row r="621" spans="1:5" ht="15.75" customHeight="1">
      <c r="A621" s="128"/>
      <c r="B621" s="128"/>
      <c r="C621" s="2"/>
      <c r="D621" s="87"/>
      <c r="E621" s="87" t="str">
        <f>IF(A621="","",IF(D621-SUMIFS(GRN!$E$3:$E996,GRN!$D$3:$D996,C621)&lt;0,0,D621-SUMIFS(GRN!$E$3:$E996,GRN!$D$3:$D996,C621)))</f>
        <v/>
      </c>
    </row>
    <row r="622" spans="1:5" ht="15.75" customHeight="1">
      <c r="A622" s="128"/>
      <c r="B622" s="128"/>
      <c r="C622" s="2"/>
      <c r="D622" s="87"/>
      <c r="E622" s="87" t="str">
        <f>IF(A622="","",IF(D622-SUMIFS(GRN!$E$3:$E996,GRN!$D$3:$D996,C622)&lt;0,0,D622-SUMIFS(GRN!$E$3:$E996,GRN!$D$3:$D996,C622)))</f>
        <v/>
      </c>
    </row>
    <row r="623" spans="1:5" ht="15.75" customHeight="1">
      <c r="A623" s="128"/>
      <c r="B623" s="128"/>
      <c r="C623" s="2"/>
      <c r="D623" s="87"/>
      <c r="E623" s="87" t="str">
        <f>IF(A623="","",IF(D623-SUMIFS(GRN!$E$3:$E996,GRN!$D$3:$D996,C623)&lt;0,0,D623-SUMIFS(GRN!$E$3:$E996,GRN!$D$3:$D996,C623)))</f>
        <v/>
      </c>
    </row>
    <row r="624" spans="1:5" ht="15.75" customHeight="1">
      <c r="A624" s="128"/>
      <c r="B624" s="128"/>
      <c r="C624" s="2"/>
      <c r="D624" s="87"/>
      <c r="E624" s="87" t="str">
        <f>IF(A624="","",IF(D624-SUMIFS(GRN!$E$3:$E996,GRN!$D$3:$D996,C624)&lt;0,0,D624-SUMIFS(GRN!$E$3:$E996,GRN!$D$3:$D996,C624)))</f>
        <v/>
      </c>
    </row>
    <row r="625" spans="1:5" ht="15.75" customHeight="1">
      <c r="A625" s="128"/>
      <c r="B625" s="128"/>
      <c r="C625" s="2"/>
      <c r="D625" s="87"/>
      <c r="E625" s="87" t="str">
        <f>IF(A625="","",IF(D625-SUMIFS(GRN!$E$3:$E996,GRN!$D$3:$D996,C625)&lt;0,0,D625-SUMIFS(GRN!$E$3:$E996,GRN!$D$3:$D996,C625)))</f>
        <v/>
      </c>
    </row>
    <row r="626" spans="1:5" ht="15.75" customHeight="1">
      <c r="A626" s="128"/>
      <c r="B626" s="128"/>
      <c r="C626" s="2"/>
      <c r="D626" s="87"/>
      <c r="E626" s="87" t="str">
        <f>IF(A626="","",IF(D626-SUMIFS(GRN!$E$3:$E996,GRN!$D$3:$D996,C626)&lt;0,0,D626-SUMIFS(GRN!$E$3:$E996,GRN!$D$3:$D996,C626)))</f>
        <v/>
      </c>
    </row>
    <row r="627" spans="1:5" ht="15.75" customHeight="1">
      <c r="A627" s="128"/>
      <c r="B627" s="128"/>
      <c r="C627" s="2"/>
      <c r="D627" s="87"/>
      <c r="E627" s="87" t="str">
        <f>IF(A627="","",IF(D627-SUMIFS(GRN!$E$3:$E996,GRN!$D$3:$D996,C627)&lt;0,0,D627-SUMIFS(GRN!$E$3:$E996,GRN!$D$3:$D996,C627)))</f>
        <v/>
      </c>
    </row>
    <row r="628" spans="1:5" ht="15.75" customHeight="1">
      <c r="A628" s="128"/>
      <c r="B628" s="128"/>
      <c r="C628" s="2"/>
      <c r="D628" s="87"/>
      <c r="E628" s="87" t="str">
        <f>IF(A628="","",IF(D628-SUMIFS(GRN!$E$3:$E996,GRN!$D$3:$D996,C628)&lt;0,0,D628-SUMIFS(GRN!$E$3:$E996,GRN!$D$3:$D996,C628)))</f>
        <v/>
      </c>
    </row>
    <row r="629" spans="1:5" ht="15.75" customHeight="1">
      <c r="A629" s="128"/>
      <c r="B629" s="128"/>
      <c r="C629" s="2"/>
      <c r="D629" s="87"/>
      <c r="E629" s="87" t="str">
        <f>IF(A629="","",IF(D629-SUMIFS(GRN!$E$3:$E996,GRN!$D$3:$D996,C629)&lt;0,0,D629-SUMIFS(GRN!$E$3:$E996,GRN!$D$3:$D996,C629)))</f>
        <v/>
      </c>
    </row>
    <row r="630" spans="1:5" ht="15.75" customHeight="1">
      <c r="A630" s="128"/>
      <c r="B630" s="128"/>
      <c r="C630" s="2"/>
      <c r="D630" s="87"/>
      <c r="E630" s="87" t="str">
        <f>IF(A630="","",IF(D630-SUMIFS(GRN!$E$3:$E996,GRN!$D$3:$D996,C630)&lt;0,0,D630-SUMIFS(GRN!$E$3:$E996,GRN!$D$3:$D996,C630)))</f>
        <v/>
      </c>
    </row>
    <row r="631" spans="1:5" ht="15.75" customHeight="1">
      <c r="A631" s="128"/>
      <c r="B631" s="128"/>
      <c r="C631" s="2"/>
      <c r="D631" s="87"/>
      <c r="E631" s="87" t="str">
        <f>IF(A631="","",IF(D631-SUMIFS(GRN!$E$3:$E996,GRN!$D$3:$D996,C631)&lt;0,0,D631-SUMIFS(GRN!$E$3:$E996,GRN!$D$3:$D996,C631)))</f>
        <v/>
      </c>
    </row>
    <row r="632" spans="1:5" ht="15.75" customHeight="1">
      <c r="A632" s="128"/>
      <c r="B632" s="128"/>
      <c r="C632" s="2"/>
      <c r="D632" s="87"/>
      <c r="E632" s="87" t="str">
        <f>IF(A632="","",IF(D632-SUMIFS(GRN!$E$3:$E996,GRN!$D$3:$D996,C632)&lt;0,0,D632-SUMIFS(GRN!$E$3:$E996,GRN!$D$3:$D996,C632)))</f>
        <v/>
      </c>
    </row>
    <row r="633" spans="1:5" ht="15.75" customHeight="1">
      <c r="A633" s="128"/>
      <c r="B633" s="128"/>
      <c r="C633" s="2"/>
      <c r="D633" s="87"/>
      <c r="E633" s="87" t="str">
        <f>IF(A633="","",IF(D633-SUMIFS(GRN!$E$3:$E996,GRN!$D$3:$D996,C633)&lt;0,0,D633-SUMIFS(GRN!$E$3:$E996,GRN!$D$3:$D996,C633)))</f>
        <v/>
      </c>
    </row>
    <row r="634" spans="1:5" ht="15.75" customHeight="1">
      <c r="A634" s="128"/>
      <c r="B634" s="128"/>
      <c r="C634" s="2"/>
      <c r="D634" s="87"/>
      <c r="E634" s="87" t="str">
        <f>IF(A634="","",IF(D634-SUMIFS(GRN!$E$3:$E996,GRN!$D$3:$D996,C634)&lt;0,0,D634-SUMIFS(GRN!$E$3:$E996,GRN!$D$3:$D996,C634)))</f>
        <v/>
      </c>
    </row>
    <row r="635" spans="1:5" ht="15.75" customHeight="1">
      <c r="A635" s="128"/>
      <c r="B635" s="128"/>
      <c r="C635" s="2"/>
      <c r="D635" s="87"/>
      <c r="E635" s="87" t="str">
        <f>IF(A635="","",IF(D635-SUMIFS(GRN!$E$3:$E996,GRN!$D$3:$D996,C635)&lt;0,0,D635-SUMIFS(GRN!$E$3:$E996,GRN!$D$3:$D996,C635)))</f>
        <v/>
      </c>
    </row>
    <row r="636" spans="1:5" ht="15.75" customHeight="1">
      <c r="A636" s="128"/>
      <c r="B636" s="128"/>
      <c r="C636" s="2"/>
      <c r="D636" s="87"/>
      <c r="E636" s="87" t="str">
        <f>IF(A636="","",IF(D636-SUMIFS(GRN!$E$3:$E996,GRN!$D$3:$D996,C636)&lt;0,0,D636-SUMIFS(GRN!$E$3:$E996,GRN!$D$3:$D996,C636)))</f>
        <v/>
      </c>
    </row>
    <row r="637" spans="1:5" ht="15.75" customHeight="1">
      <c r="A637" s="128"/>
      <c r="B637" s="128"/>
      <c r="C637" s="2"/>
      <c r="D637" s="87"/>
      <c r="E637" s="87" t="str">
        <f>IF(A637="","",IF(D637-SUMIFS(GRN!$E$3:$E996,GRN!$D$3:$D996,C637)&lt;0,0,D637-SUMIFS(GRN!$E$3:$E996,GRN!$D$3:$D996,C637)))</f>
        <v/>
      </c>
    </row>
    <row r="638" spans="1:5" ht="15.75" customHeight="1">
      <c r="A638" s="128"/>
      <c r="B638" s="128"/>
      <c r="C638" s="2"/>
      <c r="D638" s="87"/>
      <c r="E638" s="87" t="str">
        <f>IF(A638="","",IF(D638-SUMIFS(GRN!$E$3:$E996,GRN!$D$3:$D996,C638)&lt;0,0,D638-SUMIFS(GRN!$E$3:$E996,GRN!$D$3:$D996,C638)))</f>
        <v/>
      </c>
    </row>
    <row r="639" spans="1:5" ht="15.75" customHeight="1">
      <c r="A639" s="128"/>
      <c r="B639" s="128"/>
      <c r="C639" s="2"/>
      <c r="D639" s="87"/>
      <c r="E639" s="87" t="str">
        <f>IF(A639="","",IF(D639-SUMIFS(GRN!$E$3:$E996,GRN!$D$3:$D996,C639)&lt;0,0,D639-SUMIFS(GRN!$E$3:$E996,GRN!$D$3:$D996,C639)))</f>
        <v/>
      </c>
    </row>
    <row r="640" spans="1:5" ht="15.75" customHeight="1">
      <c r="A640" s="128"/>
      <c r="B640" s="128"/>
      <c r="C640" s="2"/>
      <c r="D640" s="87"/>
      <c r="E640" s="87" t="str">
        <f>IF(A640="","",IF(D640-SUMIFS(GRN!$E$3:$E996,GRN!$D$3:$D996,C640)&lt;0,0,D640-SUMIFS(GRN!$E$3:$E996,GRN!$D$3:$D996,C640)))</f>
        <v/>
      </c>
    </row>
    <row r="641" spans="1:5" ht="15.75" customHeight="1">
      <c r="A641" s="128"/>
      <c r="B641" s="128"/>
      <c r="C641" s="2"/>
      <c r="D641" s="87"/>
      <c r="E641" s="87" t="str">
        <f>IF(A641="","",IF(D641-SUMIFS(GRN!$E$3:$E996,GRN!$D$3:$D996,C641)&lt;0,0,D641-SUMIFS(GRN!$E$3:$E996,GRN!$D$3:$D996,C641)))</f>
        <v/>
      </c>
    </row>
    <row r="642" spans="1:5" ht="15.75" customHeight="1">
      <c r="A642" s="128"/>
      <c r="B642" s="128"/>
      <c r="C642" s="2"/>
      <c r="D642" s="87"/>
      <c r="E642" s="87" t="str">
        <f>IF(A642="","",IF(D642-SUMIFS(GRN!$E$3:$E996,GRN!$D$3:$D996,C642)&lt;0,0,D642-SUMIFS(GRN!$E$3:$E996,GRN!$D$3:$D996,C642)))</f>
        <v/>
      </c>
    </row>
    <row r="643" spans="1:5" ht="15.75" customHeight="1">
      <c r="A643" s="128"/>
      <c r="B643" s="128"/>
      <c r="C643" s="2"/>
      <c r="D643" s="87"/>
      <c r="E643" s="87" t="str">
        <f>IF(A643="","",IF(D643-SUMIFS(GRN!$E$3:$E996,GRN!$D$3:$D996,C643)&lt;0,0,D643-SUMIFS(GRN!$E$3:$E996,GRN!$D$3:$D996,C643)))</f>
        <v/>
      </c>
    </row>
    <row r="644" spans="1:5" ht="15.75" customHeight="1">
      <c r="A644" s="128"/>
      <c r="B644" s="128"/>
      <c r="C644" s="2"/>
      <c r="D644" s="87"/>
      <c r="E644" s="87" t="str">
        <f>IF(A644="","",IF(D644-SUMIFS(GRN!$E$3:$E996,GRN!$D$3:$D996,C644)&lt;0,0,D644-SUMIFS(GRN!$E$3:$E996,GRN!$D$3:$D996,C644)))</f>
        <v/>
      </c>
    </row>
    <row r="645" spans="1:5" ht="15.75" customHeight="1">
      <c r="A645" s="128"/>
      <c r="B645" s="128"/>
      <c r="C645" s="2"/>
      <c r="D645" s="87"/>
      <c r="E645" s="87" t="str">
        <f>IF(A645="","",IF(D645-SUMIFS(GRN!$E$3:$E996,GRN!$D$3:$D996,C645)&lt;0,0,D645-SUMIFS(GRN!$E$3:$E996,GRN!$D$3:$D996,C645)))</f>
        <v/>
      </c>
    </row>
    <row r="646" spans="1:5" ht="15.75" customHeight="1">
      <c r="A646" s="128"/>
      <c r="B646" s="128"/>
      <c r="C646" s="2"/>
      <c r="D646" s="87"/>
      <c r="E646" s="87" t="str">
        <f>IF(A646="","",IF(D646-SUMIFS(GRN!$E$3:$E996,GRN!$D$3:$D996,C646)&lt;0,0,D646-SUMIFS(GRN!$E$3:$E996,GRN!$D$3:$D996,C646)))</f>
        <v/>
      </c>
    </row>
    <row r="647" spans="1:5" ht="15.75" customHeight="1">
      <c r="A647" s="128"/>
      <c r="B647" s="128"/>
      <c r="C647" s="2"/>
      <c r="D647" s="87"/>
      <c r="E647" s="87" t="str">
        <f>IF(A647="","",IF(D647-SUMIFS(GRN!$E$3:$E996,GRN!$D$3:$D996,C647)&lt;0,0,D647-SUMIFS(GRN!$E$3:$E996,GRN!$D$3:$D996,C647)))</f>
        <v/>
      </c>
    </row>
    <row r="648" spans="1:5" ht="15.75" customHeight="1">
      <c r="A648" s="128"/>
      <c r="B648" s="128"/>
      <c r="C648" s="2"/>
      <c r="D648" s="87"/>
      <c r="E648" s="87" t="str">
        <f>IF(A648="","",IF(D648-SUMIFS(GRN!$E$3:$E996,GRN!$D$3:$D996,C648)&lt;0,0,D648-SUMIFS(GRN!$E$3:$E996,GRN!$D$3:$D996,C648)))</f>
        <v/>
      </c>
    </row>
    <row r="649" spans="1:5" ht="15.75" customHeight="1">
      <c r="A649" s="128"/>
      <c r="B649" s="128"/>
      <c r="C649" s="2"/>
      <c r="D649" s="87"/>
      <c r="E649" s="87" t="str">
        <f>IF(A649="","",IF(D649-SUMIFS(GRN!$E$3:$E996,GRN!$D$3:$D996,C649)&lt;0,0,D649-SUMIFS(GRN!$E$3:$E996,GRN!$D$3:$D996,C649)))</f>
        <v/>
      </c>
    </row>
    <row r="650" spans="1:5" ht="15.75" customHeight="1">
      <c r="A650" s="128"/>
      <c r="B650" s="128"/>
      <c r="C650" s="2"/>
      <c r="D650" s="87"/>
      <c r="E650" s="87" t="str">
        <f>IF(A650="","",IF(D650-SUMIFS(GRN!$E$3:$E996,GRN!$D$3:$D996,C650)&lt;0,0,D650-SUMIFS(GRN!$E$3:$E996,GRN!$D$3:$D996,C650)))</f>
        <v/>
      </c>
    </row>
    <row r="651" spans="1:5" ht="15.75" customHeight="1">
      <c r="A651" s="128"/>
      <c r="B651" s="128"/>
      <c r="C651" s="2"/>
      <c r="D651" s="87"/>
      <c r="E651" s="87" t="str">
        <f>IF(A651="","",IF(D651-SUMIFS(GRN!$E$3:$E996,GRN!$D$3:$D996,C651)&lt;0,0,D651-SUMIFS(GRN!$E$3:$E996,GRN!$D$3:$D996,C651)))</f>
        <v/>
      </c>
    </row>
    <row r="652" spans="1:5" ht="15.75" customHeight="1">
      <c r="A652" s="128"/>
      <c r="B652" s="128"/>
      <c r="C652" s="2"/>
      <c r="D652" s="87"/>
      <c r="E652" s="87" t="str">
        <f>IF(A652="","",IF(D652-SUMIFS(GRN!$E$3:$E996,GRN!$D$3:$D996,C652)&lt;0,0,D652-SUMIFS(GRN!$E$3:$E996,GRN!$D$3:$D996,C652)))</f>
        <v/>
      </c>
    </row>
    <row r="653" spans="1:5" ht="15.75" customHeight="1">
      <c r="A653" s="128"/>
      <c r="B653" s="128"/>
      <c r="C653" s="2"/>
      <c r="D653" s="87"/>
      <c r="E653" s="87" t="str">
        <f>IF(A653="","",IF(D653-SUMIFS(GRN!$E$3:$E996,GRN!$D$3:$D996,C653)&lt;0,0,D653-SUMIFS(GRN!$E$3:$E996,GRN!$D$3:$D996,C653)))</f>
        <v/>
      </c>
    </row>
    <row r="654" spans="1:5" ht="15.75" customHeight="1">
      <c r="A654" s="128"/>
      <c r="B654" s="128"/>
      <c r="C654" s="2"/>
      <c r="D654" s="87"/>
      <c r="E654" s="87" t="str">
        <f>IF(A654="","",IF(D654-SUMIFS(GRN!$E$3:$E996,GRN!$D$3:$D996,C654)&lt;0,0,D654-SUMIFS(GRN!$E$3:$E996,GRN!$D$3:$D996,C654)))</f>
        <v/>
      </c>
    </row>
    <row r="655" spans="1:5" ht="15.75" customHeight="1">
      <c r="A655" s="128"/>
      <c r="B655" s="128"/>
      <c r="C655" s="2"/>
      <c r="D655" s="87"/>
      <c r="E655" s="87" t="str">
        <f>IF(A655="","",IF(D655-SUMIFS(GRN!$E$3:$E996,GRN!$D$3:$D996,C655)&lt;0,0,D655-SUMIFS(GRN!$E$3:$E996,GRN!$D$3:$D996,C655)))</f>
        <v/>
      </c>
    </row>
    <row r="656" spans="1:5" ht="15.75" customHeight="1">
      <c r="A656" s="128"/>
      <c r="B656" s="128"/>
      <c r="C656" s="2"/>
      <c r="D656" s="87"/>
      <c r="E656" s="87" t="str">
        <f>IF(A656="","",IF(D656-SUMIFS(GRN!$E$3:$E996,GRN!$D$3:$D996,C656)&lt;0,0,D656-SUMIFS(GRN!$E$3:$E996,GRN!$D$3:$D996,C656)))</f>
        <v/>
      </c>
    </row>
    <row r="657" spans="1:5" ht="15.75" customHeight="1">
      <c r="A657" s="128"/>
      <c r="B657" s="128"/>
      <c r="C657" s="2"/>
      <c r="D657" s="87"/>
      <c r="E657" s="87" t="str">
        <f>IF(A657="","",IF(D657-SUMIFS(GRN!$E$3:$E996,GRN!$D$3:$D996,C657)&lt;0,0,D657-SUMIFS(GRN!$E$3:$E996,GRN!$D$3:$D996,C657)))</f>
        <v/>
      </c>
    </row>
    <row r="658" spans="1:5" ht="15.75" customHeight="1">
      <c r="A658" s="128"/>
      <c r="B658" s="128"/>
      <c r="C658" s="2"/>
      <c r="D658" s="87"/>
      <c r="E658" s="87" t="str">
        <f>IF(A658="","",IF(D658-SUMIFS(GRN!$E$3:$E996,GRN!$D$3:$D996,C658)&lt;0,0,D658-SUMIFS(GRN!$E$3:$E996,GRN!$D$3:$D996,C658)))</f>
        <v/>
      </c>
    </row>
    <row r="659" spans="1:5" ht="15.75" customHeight="1">
      <c r="A659" s="128"/>
      <c r="B659" s="128"/>
      <c r="C659" s="2"/>
      <c r="D659" s="87"/>
      <c r="E659" s="87" t="str">
        <f>IF(A659="","",IF(D659-SUMIFS(GRN!$E$3:$E996,GRN!$D$3:$D996,C659)&lt;0,0,D659-SUMIFS(GRN!$E$3:$E996,GRN!$D$3:$D996,C659)))</f>
        <v/>
      </c>
    </row>
    <row r="660" spans="1:5" ht="15.75" customHeight="1">
      <c r="A660" s="128"/>
      <c r="B660" s="128"/>
      <c r="C660" s="2"/>
      <c r="D660" s="87"/>
      <c r="E660" s="87" t="str">
        <f>IF(A660="","",IF(D660-SUMIFS(GRN!$E$3:$E996,GRN!$D$3:$D996,C660)&lt;0,0,D660-SUMIFS(GRN!$E$3:$E996,GRN!$D$3:$D996,C660)))</f>
        <v/>
      </c>
    </row>
    <row r="661" spans="1:5" ht="15.75" customHeight="1">
      <c r="A661" s="128"/>
      <c r="B661" s="128"/>
      <c r="C661" s="2"/>
      <c r="D661" s="87"/>
      <c r="E661" s="87" t="str">
        <f>IF(A661="","",IF(D661-SUMIFS(GRN!$E$3:$E996,GRN!$D$3:$D996,C661)&lt;0,0,D661-SUMIFS(GRN!$E$3:$E996,GRN!$D$3:$D996,C661)))</f>
        <v/>
      </c>
    </row>
    <row r="662" spans="1:5" ht="15.75" customHeight="1">
      <c r="A662" s="128"/>
      <c r="B662" s="128"/>
      <c r="C662" s="2"/>
      <c r="D662" s="87"/>
      <c r="E662" s="87" t="str">
        <f>IF(A662="","",IF(D662-SUMIFS(GRN!$E$3:$E996,GRN!$D$3:$D996,C662)&lt;0,0,D662-SUMIFS(GRN!$E$3:$E996,GRN!$D$3:$D996,C662)))</f>
        <v/>
      </c>
    </row>
    <row r="663" spans="1:5" ht="15.75" customHeight="1">
      <c r="A663" s="128"/>
      <c r="B663" s="128"/>
      <c r="C663" s="2"/>
      <c r="D663" s="87"/>
      <c r="E663" s="87" t="str">
        <f>IF(A663="","",IF(D663-SUMIFS(GRN!$E$3:$E996,GRN!$D$3:$D996,C663)&lt;0,0,D663-SUMIFS(GRN!$E$3:$E996,GRN!$D$3:$D996,C663)))</f>
        <v/>
      </c>
    </row>
    <row r="664" spans="1:5" ht="15.75" customHeight="1">
      <c r="A664" s="128"/>
      <c r="B664" s="128"/>
      <c r="C664" s="2"/>
      <c r="D664" s="87"/>
      <c r="E664" s="87" t="str">
        <f>IF(A664="","",IF(D664-SUMIFS(GRN!$E$3:$E996,GRN!$D$3:$D996,C664)&lt;0,0,D664-SUMIFS(GRN!$E$3:$E996,GRN!$D$3:$D996,C664)))</f>
        <v/>
      </c>
    </row>
    <row r="665" spans="1:5" ht="15.75" customHeight="1">
      <c r="A665" s="128"/>
      <c r="B665" s="128"/>
      <c r="C665" s="2"/>
      <c r="D665" s="87"/>
      <c r="E665" s="87" t="str">
        <f>IF(A665="","",IF(D665-SUMIFS(GRN!$E$3:$E996,GRN!$D$3:$D996,C665)&lt;0,0,D665-SUMIFS(GRN!$E$3:$E996,GRN!$D$3:$D996,C665)))</f>
        <v/>
      </c>
    </row>
    <row r="666" spans="1:5" ht="15.75" customHeight="1">
      <c r="A666" s="128"/>
      <c r="B666" s="128"/>
      <c r="C666" s="2"/>
      <c r="D666" s="87"/>
      <c r="E666" s="87" t="str">
        <f>IF(A666="","",IF(D666-SUMIFS(GRN!$E$3:$E996,GRN!$D$3:$D996,C666)&lt;0,0,D666-SUMIFS(GRN!$E$3:$E996,GRN!$D$3:$D996,C666)))</f>
        <v/>
      </c>
    </row>
    <row r="667" spans="1:5" ht="15.75" customHeight="1">
      <c r="A667" s="128"/>
      <c r="B667" s="128"/>
      <c r="C667" s="2"/>
      <c r="D667" s="87"/>
      <c r="E667" s="87" t="str">
        <f>IF(A667="","",IF(D667-SUMIFS(GRN!$E$3:$E996,GRN!$D$3:$D996,C667)&lt;0,0,D667-SUMIFS(GRN!$E$3:$E996,GRN!$D$3:$D996,C667)))</f>
        <v/>
      </c>
    </row>
    <row r="668" spans="1:5" ht="15.75" customHeight="1">
      <c r="A668" s="128"/>
      <c r="B668" s="128"/>
      <c r="C668" s="2"/>
      <c r="D668" s="87"/>
      <c r="E668" s="87" t="str">
        <f>IF(A668="","",IF(D668-SUMIFS(GRN!$E$3:$E996,GRN!$D$3:$D996,C668)&lt;0,0,D668-SUMIFS(GRN!$E$3:$E996,GRN!$D$3:$D996,C668)))</f>
        <v/>
      </c>
    </row>
    <row r="669" spans="1:5" ht="15.75" customHeight="1">
      <c r="A669" s="128"/>
      <c r="B669" s="128"/>
      <c r="C669" s="2"/>
      <c r="D669" s="87"/>
      <c r="E669" s="87" t="str">
        <f>IF(A669="","",IF(D669-SUMIFS(GRN!$E$3:$E996,GRN!$D$3:$D996,C669)&lt;0,0,D669-SUMIFS(GRN!$E$3:$E996,GRN!$D$3:$D996,C669)))</f>
        <v/>
      </c>
    </row>
    <row r="670" spans="1:5" ht="15.75" customHeight="1">
      <c r="A670" s="128"/>
      <c r="B670" s="128"/>
      <c r="C670" s="2"/>
      <c r="D670" s="87"/>
      <c r="E670" s="87" t="str">
        <f>IF(A670="","",IF(D670-SUMIFS(GRN!$E$3:$E996,GRN!$D$3:$D996,C670)&lt;0,0,D670-SUMIFS(GRN!$E$3:$E996,GRN!$D$3:$D996,C670)))</f>
        <v/>
      </c>
    </row>
    <row r="671" spans="1:5" ht="15.75" customHeight="1">
      <c r="A671" s="128"/>
      <c r="B671" s="128"/>
      <c r="C671" s="2"/>
      <c r="D671" s="87"/>
      <c r="E671" s="87" t="str">
        <f>IF(A671="","",IF(D671-SUMIFS(GRN!$E$3:$E996,GRN!$D$3:$D996,C671)&lt;0,0,D671-SUMIFS(GRN!$E$3:$E996,GRN!$D$3:$D996,C671)))</f>
        <v/>
      </c>
    </row>
    <row r="672" spans="1:5" ht="15.75" customHeight="1">
      <c r="A672" s="128"/>
      <c r="B672" s="128"/>
      <c r="C672" s="2"/>
      <c r="D672" s="87"/>
      <c r="E672" s="87" t="str">
        <f>IF(A672="","",IF(D672-SUMIFS(GRN!$E$3:$E996,GRN!$D$3:$D996,C672)&lt;0,0,D672-SUMIFS(GRN!$E$3:$E996,GRN!$D$3:$D996,C672)))</f>
        <v/>
      </c>
    </row>
    <row r="673" spans="1:5" ht="15.75" customHeight="1">
      <c r="A673" s="128"/>
      <c r="B673" s="128"/>
      <c r="C673" s="2"/>
      <c r="D673" s="87"/>
      <c r="E673" s="87" t="str">
        <f>IF(A673="","",IF(D673-SUMIFS(GRN!$E$3:$E996,GRN!$D$3:$D996,C673)&lt;0,0,D673-SUMIFS(GRN!$E$3:$E996,GRN!$D$3:$D996,C673)))</f>
        <v/>
      </c>
    </row>
    <row r="674" spans="1:5" ht="15.75" customHeight="1">
      <c r="A674" s="128"/>
      <c r="B674" s="128"/>
      <c r="C674" s="2"/>
      <c r="D674" s="87"/>
      <c r="E674" s="87" t="str">
        <f>IF(A674="","",IF(D674-SUMIFS(GRN!$E$3:$E996,GRN!$D$3:$D996,C674)&lt;0,0,D674-SUMIFS(GRN!$E$3:$E996,GRN!$D$3:$D996,C674)))</f>
        <v/>
      </c>
    </row>
    <row r="675" spans="1:5" ht="15.75" customHeight="1">
      <c r="A675" s="128"/>
      <c r="B675" s="128"/>
      <c r="C675" s="2"/>
      <c r="D675" s="87"/>
      <c r="E675" s="87" t="str">
        <f>IF(A675="","",IF(D675-SUMIFS(GRN!$E$3:$E996,GRN!$D$3:$D996,C675)&lt;0,0,D675-SUMIFS(GRN!$E$3:$E996,GRN!$D$3:$D996,C675)))</f>
        <v/>
      </c>
    </row>
    <row r="676" spans="1:5" ht="15.75" customHeight="1">
      <c r="A676" s="128"/>
      <c r="B676" s="128"/>
      <c r="C676" s="2"/>
      <c r="D676" s="87"/>
      <c r="E676" s="87" t="str">
        <f>IF(A676="","",IF(D676-SUMIFS(GRN!$E$3:$E996,GRN!$D$3:$D996,C676)&lt;0,0,D676-SUMIFS(GRN!$E$3:$E996,GRN!$D$3:$D996,C676)))</f>
        <v/>
      </c>
    </row>
    <row r="677" spans="1:5" ht="15.75" customHeight="1">
      <c r="A677" s="128"/>
      <c r="B677" s="128"/>
      <c r="C677" s="2"/>
      <c r="D677" s="87"/>
      <c r="E677" s="87" t="str">
        <f>IF(A677="","",IF(D677-SUMIFS(GRN!$E$3:$E996,GRN!$D$3:$D996,C677)&lt;0,0,D677-SUMIFS(GRN!$E$3:$E996,GRN!$D$3:$D996,C677)))</f>
        <v/>
      </c>
    </row>
    <row r="678" spans="1:5" ht="15.75" customHeight="1">
      <c r="A678" s="128"/>
      <c r="B678" s="128"/>
      <c r="C678" s="2"/>
      <c r="D678" s="87"/>
      <c r="E678" s="87" t="str">
        <f>IF(A678="","",IF(D678-SUMIFS(GRN!$E$3:$E996,GRN!$D$3:$D996,C678)&lt;0,0,D678-SUMIFS(GRN!$E$3:$E996,GRN!$D$3:$D996,C678)))</f>
        <v/>
      </c>
    </row>
    <row r="679" spans="1:5" ht="15.75" customHeight="1">
      <c r="A679" s="128"/>
      <c r="B679" s="128"/>
      <c r="C679" s="2"/>
      <c r="D679" s="87"/>
      <c r="E679" s="87" t="str">
        <f>IF(A679="","",IF(D679-SUMIFS(GRN!$E$3:$E996,GRN!$D$3:$D996,C679)&lt;0,0,D679-SUMIFS(GRN!$E$3:$E996,GRN!$D$3:$D996,C679)))</f>
        <v/>
      </c>
    </row>
    <row r="680" spans="1:5" ht="15.75" customHeight="1">
      <c r="A680" s="128"/>
      <c r="B680" s="128"/>
      <c r="C680" s="2"/>
      <c r="D680" s="87"/>
      <c r="E680" s="87" t="str">
        <f>IF(A680="","",IF(D680-SUMIFS(GRN!$E$3:$E996,GRN!$D$3:$D996,C680)&lt;0,0,D680-SUMIFS(GRN!$E$3:$E996,GRN!$D$3:$D996,C680)))</f>
        <v/>
      </c>
    </row>
    <row r="681" spans="1:5" ht="15.75" customHeight="1">
      <c r="A681" s="128"/>
      <c r="B681" s="128"/>
      <c r="C681" s="2"/>
      <c r="D681" s="87"/>
      <c r="E681" s="87" t="str">
        <f>IF(A681="","",IF(D681-SUMIFS(GRN!$E$3:$E996,GRN!$D$3:$D996,C681)&lt;0,0,D681-SUMIFS(GRN!$E$3:$E996,GRN!$D$3:$D996,C681)))</f>
        <v/>
      </c>
    </row>
    <row r="682" spans="1:5" ht="15.75" customHeight="1">
      <c r="A682" s="128"/>
      <c r="B682" s="128"/>
      <c r="C682" s="2"/>
      <c r="D682" s="87"/>
      <c r="E682" s="87" t="str">
        <f>IF(A682="","",IF(D682-SUMIFS(GRN!$E$3:$E996,GRN!$D$3:$D996,C682)&lt;0,0,D682-SUMIFS(GRN!$E$3:$E996,GRN!$D$3:$D996,C682)))</f>
        <v/>
      </c>
    </row>
    <row r="683" spans="1:5" ht="15.75" customHeight="1">
      <c r="A683" s="128"/>
      <c r="B683" s="128"/>
      <c r="C683" s="2"/>
      <c r="D683" s="87"/>
      <c r="E683" s="87" t="str">
        <f>IF(A683="","",IF(D683-SUMIFS(GRN!$E$3:$E996,GRN!$D$3:$D996,C683)&lt;0,0,D683-SUMIFS(GRN!$E$3:$E996,GRN!$D$3:$D996,C683)))</f>
        <v/>
      </c>
    </row>
    <row r="684" spans="1:5" ht="15.75" customHeight="1">
      <c r="A684" s="128"/>
      <c r="B684" s="128"/>
      <c r="C684" s="2"/>
      <c r="D684" s="87"/>
      <c r="E684" s="87" t="str">
        <f>IF(A684="","",IF(D684-SUMIFS(GRN!$E$3:$E996,GRN!$D$3:$D996,C684)&lt;0,0,D684-SUMIFS(GRN!$E$3:$E996,GRN!$D$3:$D996,C684)))</f>
        <v/>
      </c>
    </row>
    <row r="685" spans="1:5" ht="15.75" customHeight="1">
      <c r="A685" s="128"/>
      <c r="B685" s="128"/>
      <c r="C685" s="2"/>
      <c r="D685" s="87"/>
      <c r="E685" s="87" t="str">
        <f>IF(A685="","",IF(D685-SUMIFS(GRN!$E$3:$E996,GRN!$D$3:$D996,C685)&lt;0,0,D685-SUMIFS(GRN!$E$3:$E996,GRN!$D$3:$D996,C685)))</f>
        <v/>
      </c>
    </row>
    <row r="686" spans="1:5" ht="15.75" customHeight="1">
      <c r="A686" s="128"/>
      <c r="B686" s="128"/>
      <c r="C686" s="2"/>
      <c r="D686" s="87"/>
      <c r="E686" s="87" t="str">
        <f>IF(A686="","",IF(D686-SUMIFS(GRN!$E$3:$E996,GRN!$D$3:$D996,C686)&lt;0,0,D686-SUMIFS(GRN!$E$3:$E996,GRN!$D$3:$D996,C686)))</f>
        <v/>
      </c>
    </row>
    <row r="687" spans="1:5" ht="15.75" customHeight="1">
      <c r="A687" s="128"/>
      <c r="B687" s="128"/>
      <c r="C687" s="2"/>
      <c r="D687" s="87"/>
      <c r="E687" s="87" t="str">
        <f>IF(A687="","",IF(D687-SUMIFS(GRN!$E$3:$E996,GRN!$D$3:$D996,C687)&lt;0,0,D687-SUMIFS(GRN!$E$3:$E996,GRN!$D$3:$D996,C687)))</f>
        <v/>
      </c>
    </row>
    <row r="688" spans="1:5" ht="15.75" customHeight="1">
      <c r="A688" s="128"/>
      <c r="B688" s="128"/>
      <c r="C688" s="2"/>
      <c r="D688" s="87"/>
      <c r="E688" s="87" t="str">
        <f>IF(A688="","",IF(D688-SUMIFS(GRN!$E$3:$E996,GRN!$D$3:$D996,C688)&lt;0,0,D688-SUMIFS(GRN!$E$3:$E996,GRN!$D$3:$D996,C688)))</f>
        <v/>
      </c>
    </row>
    <row r="689" spans="1:5" ht="15.75" customHeight="1">
      <c r="A689" s="128"/>
      <c r="B689" s="128"/>
      <c r="C689" s="2"/>
      <c r="D689" s="87"/>
      <c r="E689" s="87" t="str">
        <f>IF(A689="","",IF(D689-SUMIFS(GRN!$E$3:$E996,GRN!$D$3:$D996,C689)&lt;0,0,D689-SUMIFS(GRN!$E$3:$E996,GRN!$D$3:$D996,C689)))</f>
        <v/>
      </c>
    </row>
    <row r="690" spans="1:5" ht="15.75" customHeight="1">
      <c r="A690" s="128"/>
      <c r="B690" s="128"/>
      <c r="C690" s="2"/>
      <c r="D690" s="87"/>
      <c r="E690" s="87" t="str">
        <f>IF(A690="","",IF(D690-SUMIFS(GRN!$E$3:$E996,GRN!$D$3:$D996,C690)&lt;0,0,D690-SUMIFS(GRN!$E$3:$E996,GRN!$D$3:$D996,C690)))</f>
        <v/>
      </c>
    </row>
    <row r="691" spans="1:5" ht="15.75" customHeight="1">
      <c r="A691" s="128"/>
      <c r="B691" s="128"/>
      <c r="C691" s="2"/>
      <c r="D691" s="87"/>
      <c r="E691" s="87" t="str">
        <f>IF(A691="","",IF(D691-SUMIFS(GRN!$E$3:$E996,GRN!$D$3:$D996,C691)&lt;0,0,D691-SUMIFS(GRN!$E$3:$E996,GRN!$D$3:$D996,C691)))</f>
        <v/>
      </c>
    </row>
    <row r="692" spans="1:5" ht="15.75" customHeight="1">
      <c r="A692" s="128"/>
      <c r="B692" s="128"/>
      <c r="C692" s="2"/>
      <c r="D692" s="87"/>
      <c r="E692" s="87" t="str">
        <f>IF(A692="","",IF(D692-SUMIFS(GRN!$E$3:$E996,GRN!$D$3:$D996,C692)&lt;0,0,D692-SUMIFS(GRN!$E$3:$E996,GRN!$D$3:$D996,C692)))</f>
        <v/>
      </c>
    </row>
    <row r="693" spans="1:5" ht="15.75" customHeight="1">
      <c r="A693" s="128"/>
      <c r="B693" s="128"/>
      <c r="C693" s="2"/>
      <c r="D693" s="87"/>
      <c r="E693" s="87" t="str">
        <f>IF(A693="","",IF(D693-SUMIFS(GRN!$E$3:$E996,GRN!$D$3:$D996,C693)&lt;0,0,D693-SUMIFS(GRN!$E$3:$E996,GRN!$D$3:$D996,C693)))</f>
        <v/>
      </c>
    </row>
    <row r="694" spans="1:5" ht="15.75" customHeight="1">
      <c r="A694" s="128"/>
      <c r="B694" s="128"/>
      <c r="C694" s="2"/>
      <c r="D694" s="87"/>
      <c r="E694" s="87" t="str">
        <f>IF(A694="","",IF(D694-SUMIFS(GRN!$E$3:$E996,GRN!$D$3:$D996,C694)&lt;0,0,D694-SUMIFS(GRN!$E$3:$E996,GRN!$D$3:$D996,C694)))</f>
        <v/>
      </c>
    </row>
    <row r="695" spans="1:5" ht="15.75" customHeight="1">
      <c r="A695" s="128"/>
      <c r="B695" s="128"/>
      <c r="C695" s="2"/>
      <c r="D695" s="87"/>
      <c r="E695" s="87" t="str">
        <f>IF(A695="","",IF(D695-SUMIFS(GRN!$E$3:$E996,GRN!$D$3:$D996,C695)&lt;0,0,D695-SUMIFS(GRN!$E$3:$E996,GRN!$D$3:$D996,C695)))</f>
        <v/>
      </c>
    </row>
    <row r="696" spans="1:5" ht="15.75" customHeight="1">
      <c r="A696" s="128"/>
      <c r="B696" s="128"/>
      <c r="C696" s="2"/>
      <c r="D696" s="87"/>
      <c r="E696" s="87" t="str">
        <f>IF(A696="","",IF(D696-SUMIFS(GRN!$E$3:$E996,GRN!$D$3:$D996,C696)&lt;0,0,D696-SUMIFS(GRN!$E$3:$E996,GRN!$D$3:$D996,C696)))</f>
        <v/>
      </c>
    </row>
    <row r="697" spans="1:5" ht="15.75" customHeight="1">
      <c r="A697" s="128"/>
      <c r="B697" s="128"/>
      <c r="C697" s="2"/>
      <c r="D697" s="87"/>
      <c r="E697" s="87" t="str">
        <f>IF(A697="","",IF(D697-SUMIFS(GRN!$E$3:$E996,GRN!$D$3:$D996,C697)&lt;0,0,D697-SUMIFS(GRN!$E$3:$E996,GRN!$D$3:$D996,C697)))</f>
        <v/>
      </c>
    </row>
    <row r="698" spans="1:5" ht="15.75" customHeight="1">
      <c r="A698" s="128"/>
      <c r="B698" s="128"/>
      <c r="C698" s="2"/>
      <c r="D698" s="87"/>
      <c r="E698" s="87" t="str">
        <f>IF(A698="","",IF(D698-SUMIFS(GRN!$E$3:$E996,GRN!$D$3:$D996,C698)&lt;0,0,D698-SUMIFS(GRN!$E$3:$E996,GRN!$D$3:$D996,C698)))</f>
        <v/>
      </c>
    </row>
    <row r="699" spans="1:5" ht="15.75" customHeight="1">
      <c r="A699" s="128"/>
      <c r="B699" s="128"/>
      <c r="C699" s="2"/>
      <c r="D699" s="87"/>
      <c r="E699" s="87" t="str">
        <f>IF(A699="","",IF(D699-SUMIFS(GRN!$E$3:$E996,GRN!$D$3:$D996,C699)&lt;0,0,D699-SUMIFS(GRN!$E$3:$E996,GRN!$D$3:$D996,C699)))</f>
        <v/>
      </c>
    </row>
    <row r="700" spans="1:5" ht="15.75" customHeight="1">
      <c r="A700" s="128"/>
      <c r="B700" s="128"/>
      <c r="C700" s="2"/>
      <c r="D700" s="87"/>
      <c r="E700" s="87" t="str">
        <f>IF(A700="","",IF(D700-SUMIFS(GRN!$E$3:$E996,GRN!$D$3:$D996,C700)&lt;0,0,D700-SUMIFS(GRN!$E$3:$E996,GRN!$D$3:$D996,C700)))</f>
        <v/>
      </c>
    </row>
    <row r="701" spans="1:5" ht="15.75" customHeight="1">
      <c r="A701" s="128"/>
      <c r="B701" s="128"/>
      <c r="C701" s="2"/>
      <c r="D701" s="87"/>
      <c r="E701" s="87" t="str">
        <f>IF(A701="","",IF(D701-SUMIFS(GRN!$E$3:$E996,GRN!$D$3:$D996,C701)&lt;0,0,D701-SUMIFS(GRN!$E$3:$E996,GRN!$D$3:$D996,C701)))</f>
        <v/>
      </c>
    </row>
    <row r="702" spans="1:5" ht="15.75" customHeight="1">
      <c r="A702" s="128"/>
      <c r="B702" s="128"/>
      <c r="C702" s="2"/>
      <c r="D702" s="87"/>
      <c r="E702" s="87" t="str">
        <f>IF(A702="","",IF(D702-SUMIFS(GRN!$E$3:$E996,GRN!$D$3:$D996,C702)&lt;0,0,D702-SUMIFS(GRN!$E$3:$E996,GRN!$D$3:$D996,C702)))</f>
        <v/>
      </c>
    </row>
    <row r="703" spans="1:5" ht="15.75" customHeight="1">
      <c r="A703" s="128"/>
      <c r="B703" s="128"/>
      <c r="C703" s="2"/>
      <c r="D703" s="87"/>
      <c r="E703" s="87" t="str">
        <f>IF(A703="","",IF(D703-SUMIFS(GRN!$E$3:$E996,GRN!$D$3:$D996,C703)&lt;0,0,D703-SUMIFS(GRN!$E$3:$E996,GRN!$D$3:$D996,C703)))</f>
        <v/>
      </c>
    </row>
    <row r="704" spans="1:5" ht="15.75" customHeight="1">
      <c r="A704" s="128"/>
      <c r="B704" s="128"/>
      <c r="C704" s="2"/>
      <c r="D704" s="87"/>
      <c r="E704" s="87" t="str">
        <f>IF(A704="","",IF(D704-SUMIFS(GRN!$E$3:$E996,GRN!$D$3:$D996,C704)&lt;0,0,D704-SUMIFS(GRN!$E$3:$E996,GRN!$D$3:$D996,C704)))</f>
        <v/>
      </c>
    </row>
    <row r="705" spans="1:5" ht="15.75" customHeight="1">
      <c r="A705" s="128"/>
      <c r="B705" s="128"/>
      <c r="C705" s="2"/>
      <c r="D705" s="87"/>
      <c r="E705" s="87" t="str">
        <f>IF(A705="","",IF(D705-SUMIFS(GRN!$E$3:$E996,GRN!$D$3:$D996,C705)&lt;0,0,D705-SUMIFS(GRN!$E$3:$E996,GRN!$D$3:$D996,C705)))</f>
        <v/>
      </c>
    </row>
    <row r="706" spans="1:5" ht="15.75" customHeight="1">
      <c r="A706" s="128"/>
      <c r="B706" s="128"/>
      <c r="C706" s="2"/>
      <c r="D706" s="87"/>
      <c r="E706" s="87" t="str">
        <f>IF(A706="","",IF(D706-SUMIFS(GRN!$E$3:$E996,GRN!$D$3:$D996,C706)&lt;0,0,D706-SUMIFS(GRN!$E$3:$E996,GRN!$D$3:$D996,C706)))</f>
        <v/>
      </c>
    </row>
    <row r="707" spans="1:5" ht="15.75" customHeight="1">
      <c r="A707" s="128"/>
      <c r="B707" s="128"/>
      <c r="C707" s="2"/>
      <c r="D707" s="87"/>
      <c r="E707" s="87" t="str">
        <f>IF(A707="","",IF(D707-SUMIFS(GRN!$E$3:$E996,GRN!$D$3:$D996,C707)&lt;0,0,D707-SUMIFS(GRN!$E$3:$E996,GRN!$D$3:$D996,C707)))</f>
        <v/>
      </c>
    </row>
    <row r="708" spans="1:5" ht="15.75" customHeight="1">
      <c r="A708" s="128"/>
      <c r="B708" s="128"/>
      <c r="C708" s="2"/>
      <c r="D708" s="87"/>
      <c r="E708" s="87" t="str">
        <f>IF(A708="","",IF(D708-SUMIFS(GRN!$E$3:$E996,GRN!$D$3:$D996,C708)&lt;0,0,D708-SUMIFS(GRN!$E$3:$E996,GRN!$D$3:$D996,C708)))</f>
        <v/>
      </c>
    </row>
    <row r="709" spans="1:5" ht="15.75" customHeight="1">
      <c r="A709" s="128"/>
      <c r="B709" s="128"/>
      <c r="C709" s="2"/>
      <c r="D709" s="87"/>
      <c r="E709" s="87" t="str">
        <f>IF(A709="","",IF(D709-SUMIFS(GRN!$E$3:$E996,GRN!$D$3:$D996,C709)&lt;0,0,D709-SUMIFS(GRN!$E$3:$E996,GRN!$D$3:$D996,C709)))</f>
        <v/>
      </c>
    </row>
    <row r="710" spans="1:5" ht="15.75" customHeight="1">
      <c r="A710" s="128"/>
      <c r="B710" s="128"/>
      <c r="C710" s="2"/>
      <c r="D710" s="87"/>
      <c r="E710" s="87" t="str">
        <f>IF(A710="","",IF(D710-SUMIFS(GRN!$E$3:$E996,GRN!$D$3:$D996,C710)&lt;0,0,D710-SUMIFS(GRN!$E$3:$E996,GRN!$D$3:$D996,C710)))</f>
        <v/>
      </c>
    </row>
    <row r="711" spans="1:5" ht="15.75" customHeight="1">
      <c r="A711" s="128"/>
      <c r="B711" s="128"/>
      <c r="C711" s="2"/>
      <c r="D711" s="87"/>
      <c r="E711" s="87" t="str">
        <f>IF(A711="","",IF(D711-SUMIFS(GRN!$E$3:$E996,GRN!$D$3:$D996,C711)&lt;0,0,D711-SUMIFS(GRN!$E$3:$E996,GRN!$D$3:$D996,C711)))</f>
        <v/>
      </c>
    </row>
    <row r="712" spans="1:5" ht="15.75" customHeight="1">
      <c r="A712" s="128"/>
      <c r="B712" s="128"/>
      <c r="C712" s="2"/>
      <c r="D712" s="87"/>
      <c r="E712" s="87" t="str">
        <f>IF(A712="","",IF(D712-SUMIFS(GRN!$E$3:$E996,GRN!$D$3:$D996,C712)&lt;0,0,D712-SUMIFS(GRN!$E$3:$E996,GRN!$D$3:$D996,C712)))</f>
        <v/>
      </c>
    </row>
    <row r="713" spans="1:5" ht="15.75" customHeight="1">
      <c r="A713" s="128"/>
      <c r="B713" s="128"/>
      <c r="C713" s="2"/>
      <c r="D713" s="87"/>
      <c r="E713" s="87" t="str">
        <f>IF(A713="","",IF(D713-SUMIFS(GRN!$E$3:$E996,GRN!$D$3:$D996,C713)&lt;0,0,D713-SUMIFS(GRN!$E$3:$E996,GRN!$D$3:$D996,C713)))</f>
        <v/>
      </c>
    </row>
    <row r="714" spans="1:5" ht="15.75" customHeight="1">
      <c r="A714" s="128"/>
      <c r="B714" s="128"/>
      <c r="C714" s="2"/>
      <c r="D714" s="87"/>
      <c r="E714" s="87" t="str">
        <f>IF(A714="","",IF(D714-SUMIFS(GRN!$E$3:$E996,GRN!$D$3:$D996,C714)&lt;0,0,D714-SUMIFS(GRN!$E$3:$E996,GRN!$D$3:$D996,C714)))</f>
        <v/>
      </c>
    </row>
    <row r="715" spans="1:5" ht="15.75" customHeight="1">
      <c r="A715" s="128"/>
      <c r="B715" s="128"/>
      <c r="C715" s="2"/>
      <c r="D715" s="87"/>
      <c r="E715" s="87" t="str">
        <f>IF(A715="","",IF(D715-SUMIFS(GRN!$E$3:$E996,GRN!$D$3:$D996,C715)&lt;0,0,D715-SUMIFS(GRN!$E$3:$E996,GRN!$D$3:$D996,C715)))</f>
        <v/>
      </c>
    </row>
    <row r="716" spans="1:5" ht="15.75" customHeight="1">
      <c r="A716" s="128"/>
      <c r="B716" s="128"/>
      <c r="C716" s="2"/>
      <c r="D716" s="87"/>
      <c r="E716" s="87" t="str">
        <f>IF(A716="","",IF(D716-SUMIFS(GRN!$E$3:$E996,GRN!$D$3:$D996,C716)&lt;0,0,D716-SUMIFS(GRN!$E$3:$E996,GRN!$D$3:$D996,C716)))</f>
        <v/>
      </c>
    </row>
    <row r="717" spans="1:5" ht="15.75" customHeight="1">
      <c r="A717" s="128"/>
      <c r="B717" s="128"/>
      <c r="C717" s="2"/>
      <c r="D717" s="87"/>
      <c r="E717" s="87" t="str">
        <f>IF(A717="","",IF(D717-SUMIFS(GRN!$E$3:$E996,GRN!$D$3:$D996,C717)&lt;0,0,D717-SUMIFS(GRN!$E$3:$E996,GRN!$D$3:$D996,C717)))</f>
        <v/>
      </c>
    </row>
    <row r="718" spans="1:5" ht="15.75" customHeight="1">
      <c r="A718" s="128"/>
      <c r="B718" s="128"/>
      <c r="C718" s="2"/>
      <c r="D718" s="87"/>
      <c r="E718" s="87" t="str">
        <f>IF(A718="","",IF(D718-SUMIFS(GRN!$E$3:$E996,GRN!$D$3:$D996,C718)&lt;0,0,D718-SUMIFS(GRN!$E$3:$E996,GRN!$D$3:$D996,C718)))</f>
        <v/>
      </c>
    </row>
    <row r="719" spans="1:5" ht="15.75" customHeight="1">
      <c r="A719" s="128"/>
      <c r="B719" s="128"/>
      <c r="C719" s="2"/>
      <c r="D719" s="87"/>
      <c r="E719" s="87" t="str">
        <f>IF(A719="","",IF(D719-SUMIFS(GRN!$E$3:$E996,GRN!$D$3:$D996,C719)&lt;0,0,D719-SUMIFS(GRN!$E$3:$E996,GRN!$D$3:$D996,C719)))</f>
        <v/>
      </c>
    </row>
    <row r="720" spans="1:5" ht="15.75" customHeight="1">
      <c r="A720" s="128"/>
      <c r="B720" s="128"/>
      <c r="C720" s="2"/>
      <c r="D720" s="87"/>
      <c r="E720" s="87" t="str">
        <f>IF(A720="","",IF(D720-SUMIFS(GRN!$E$3:$E996,GRN!$D$3:$D996,C720)&lt;0,0,D720-SUMIFS(GRN!$E$3:$E996,GRN!$D$3:$D996,C720)))</f>
        <v/>
      </c>
    </row>
    <row r="721" spans="1:5" ht="15.75" customHeight="1">
      <c r="A721" s="128"/>
      <c r="B721" s="128"/>
      <c r="C721" s="2"/>
      <c r="D721" s="87"/>
      <c r="E721" s="87" t="str">
        <f>IF(A721="","",IF(D721-SUMIFS(GRN!$E$3:$E996,GRN!$D$3:$D996,C721)&lt;0,0,D721-SUMIFS(GRN!$E$3:$E996,GRN!$D$3:$D996,C721)))</f>
        <v/>
      </c>
    </row>
    <row r="722" spans="1:5" ht="15.75" customHeight="1">
      <c r="A722" s="128"/>
      <c r="B722" s="128"/>
      <c r="C722" s="2"/>
      <c r="D722" s="87"/>
      <c r="E722" s="87" t="str">
        <f>IF(A722="","",IF(D722-SUMIFS(GRN!$E$3:$E996,GRN!$D$3:$D996,C722)&lt;0,0,D722-SUMIFS(GRN!$E$3:$E996,GRN!$D$3:$D996,C722)))</f>
        <v/>
      </c>
    </row>
    <row r="723" spans="1:5" ht="15.75" customHeight="1">
      <c r="A723" s="128"/>
      <c r="B723" s="128"/>
      <c r="C723" s="2"/>
      <c r="D723" s="87"/>
      <c r="E723" s="87" t="str">
        <f>IF(A723="","",IF(D723-SUMIFS(GRN!$E$3:$E996,GRN!$D$3:$D996,C723)&lt;0,0,D723-SUMIFS(GRN!$E$3:$E996,GRN!$D$3:$D996,C723)))</f>
        <v/>
      </c>
    </row>
    <row r="724" spans="1:5" ht="15.75" customHeight="1">
      <c r="A724" s="128"/>
      <c r="B724" s="128"/>
      <c r="C724" s="2"/>
      <c r="D724" s="87"/>
      <c r="E724" s="87" t="str">
        <f>IF(A724="","",IF(D724-SUMIFS(GRN!$E$3:$E996,GRN!$D$3:$D996,C724)&lt;0,0,D724-SUMIFS(GRN!$E$3:$E996,GRN!$D$3:$D996,C724)))</f>
        <v/>
      </c>
    </row>
    <row r="725" spans="1:5" ht="15.75" customHeight="1">
      <c r="A725" s="128"/>
      <c r="B725" s="128"/>
      <c r="C725" s="2"/>
      <c r="D725" s="87"/>
      <c r="E725" s="87" t="str">
        <f>IF(A725="","",IF(D725-SUMIFS(GRN!$E$3:$E996,GRN!$D$3:$D996,C725)&lt;0,0,D725-SUMIFS(GRN!$E$3:$E996,GRN!$D$3:$D996,C725)))</f>
        <v/>
      </c>
    </row>
    <row r="726" spans="1:5" ht="15.75" customHeight="1">
      <c r="A726" s="128"/>
      <c r="B726" s="128"/>
      <c r="C726" s="2"/>
      <c r="D726" s="87"/>
      <c r="E726" s="87" t="str">
        <f>IF(A726="","",IF(D726-SUMIFS(GRN!$E$3:$E996,GRN!$D$3:$D996,C726)&lt;0,0,D726-SUMIFS(GRN!$E$3:$E996,GRN!$D$3:$D996,C726)))</f>
        <v/>
      </c>
    </row>
    <row r="727" spans="1:5" ht="15.75" customHeight="1">
      <c r="A727" s="128"/>
      <c r="B727" s="128"/>
      <c r="C727" s="2"/>
      <c r="D727" s="87"/>
      <c r="E727" s="87" t="str">
        <f>IF(A727="","",IF(D727-SUMIFS(GRN!$E$3:$E996,GRN!$D$3:$D996,C727)&lt;0,0,D727-SUMIFS(GRN!$E$3:$E996,GRN!$D$3:$D996,C727)))</f>
        <v/>
      </c>
    </row>
    <row r="728" spans="1:5" ht="15.75" customHeight="1">
      <c r="A728" s="128"/>
      <c r="B728" s="128"/>
      <c r="C728" s="2"/>
      <c r="D728" s="87"/>
      <c r="E728" s="87" t="str">
        <f>IF(A728="","",IF(D728-SUMIFS(GRN!$E$3:$E996,GRN!$D$3:$D996,C728)&lt;0,0,D728-SUMIFS(GRN!$E$3:$E996,GRN!$D$3:$D996,C728)))</f>
        <v/>
      </c>
    </row>
    <row r="729" spans="1:5" ht="15.75" customHeight="1">
      <c r="A729" s="128"/>
      <c r="B729" s="128"/>
      <c r="C729" s="2"/>
      <c r="D729" s="87"/>
      <c r="E729" s="87" t="str">
        <f>IF(A729="","",IF(D729-SUMIFS(GRN!$E$3:$E996,GRN!$D$3:$D996,C729)&lt;0,0,D729-SUMIFS(GRN!$E$3:$E996,GRN!$D$3:$D996,C729)))</f>
        <v/>
      </c>
    </row>
    <row r="730" spans="1:5" ht="15.75" customHeight="1">
      <c r="A730" s="128"/>
      <c r="B730" s="128"/>
      <c r="C730" s="2"/>
      <c r="D730" s="87"/>
      <c r="E730" s="87" t="str">
        <f>IF(A730="","",IF(D730-SUMIFS(GRN!$E$3:$E996,GRN!$D$3:$D996,C730)&lt;0,0,D730-SUMIFS(GRN!$E$3:$E996,GRN!$D$3:$D996,C730)))</f>
        <v/>
      </c>
    </row>
    <row r="731" spans="1:5" ht="15.75" customHeight="1">
      <c r="A731" s="128"/>
      <c r="B731" s="128"/>
      <c r="C731" s="2"/>
      <c r="D731" s="87"/>
      <c r="E731" s="87" t="str">
        <f>IF(A731="","",IF(D731-SUMIFS(GRN!$E$3:$E996,GRN!$D$3:$D996,C731)&lt;0,0,D731-SUMIFS(GRN!$E$3:$E996,GRN!$D$3:$D996,C731)))</f>
        <v/>
      </c>
    </row>
    <row r="732" spans="1:5" ht="15.75" customHeight="1">
      <c r="A732" s="128"/>
      <c r="B732" s="128"/>
      <c r="C732" s="2"/>
      <c r="D732" s="87"/>
      <c r="E732" s="87" t="str">
        <f>IF(A732="","",IF(D732-SUMIFS(GRN!$E$3:$E996,GRN!$D$3:$D996,C732)&lt;0,0,D732-SUMIFS(GRN!$E$3:$E996,GRN!$D$3:$D996,C732)))</f>
        <v/>
      </c>
    </row>
    <row r="733" spans="1:5" ht="15.75" customHeight="1">
      <c r="A733" s="128"/>
      <c r="B733" s="128"/>
      <c r="C733" s="2"/>
      <c r="D733" s="87"/>
      <c r="E733" s="87" t="str">
        <f>IF(A733="","",IF(D733-SUMIFS(GRN!$E$3:$E996,GRN!$D$3:$D996,C733)&lt;0,0,D733-SUMIFS(GRN!$E$3:$E996,GRN!$D$3:$D996,C733)))</f>
        <v/>
      </c>
    </row>
    <row r="734" spans="1:5" ht="15.75" customHeight="1">
      <c r="A734" s="128"/>
      <c r="B734" s="128"/>
      <c r="C734" s="2"/>
      <c r="D734" s="87"/>
      <c r="E734" s="87" t="str">
        <f>IF(A734="","",IF(D734-SUMIFS(GRN!$E$3:$E996,GRN!$D$3:$D996,C734)&lt;0,0,D734-SUMIFS(GRN!$E$3:$E996,GRN!$D$3:$D996,C734)))</f>
        <v/>
      </c>
    </row>
    <row r="735" spans="1:5" ht="15.75" customHeight="1">
      <c r="A735" s="128"/>
      <c r="B735" s="128"/>
      <c r="C735" s="2"/>
      <c r="D735" s="87"/>
      <c r="E735" s="87" t="str">
        <f>IF(A735="","",IF(D735-SUMIFS(GRN!$E$3:$E996,GRN!$D$3:$D996,C735)&lt;0,0,D735-SUMIFS(GRN!$E$3:$E996,GRN!$D$3:$D996,C735)))</f>
        <v/>
      </c>
    </row>
    <row r="736" spans="1:5" ht="15.75" customHeight="1">
      <c r="A736" s="128"/>
      <c r="B736" s="128"/>
      <c r="C736" s="2"/>
      <c r="D736" s="87"/>
      <c r="E736" s="87" t="str">
        <f>IF(A736="","",IF(D736-SUMIFS(GRN!$E$3:$E996,GRN!$D$3:$D996,C736)&lt;0,0,D736-SUMIFS(GRN!$E$3:$E996,GRN!$D$3:$D996,C736)))</f>
        <v/>
      </c>
    </row>
    <row r="737" spans="1:5" ht="15.75" customHeight="1">
      <c r="A737" s="128"/>
      <c r="B737" s="128"/>
      <c r="C737" s="2"/>
      <c r="D737" s="87"/>
      <c r="E737" s="87" t="str">
        <f>IF(A737="","",IF(D737-SUMIFS(GRN!$E$3:$E996,GRN!$D$3:$D996,C737)&lt;0,0,D737-SUMIFS(GRN!$E$3:$E996,GRN!$D$3:$D996,C737)))</f>
        <v/>
      </c>
    </row>
    <row r="738" spans="1:5" ht="15.75" customHeight="1">
      <c r="A738" s="128"/>
      <c r="B738" s="128"/>
      <c r="C738" s="2"/>
      <c r="D738" s="87"/>
      <c r="E738" s="87" t="str">
        <f>IF(A738="","",IF(D738-SUMIFS(GRN!$E$3:$E996,GRN!$D$3:$D996,C738)&lt;0,0,D738-SUMIFS(GRN!$E$3:$E996,GRN!$D$3:$D996,C738)))</f>
        <v/>
      </c>
    </row>
    <row r="739" spans="1:5" ht="15.75" customHeight="1">
      <c r="A739" s="128"/>
      <c r="B739" s="128"/>
      <c r="C739" s="2"/>
      <c r="D739" s="87"/>
      <c r="E739" s="87" t="str">
        <f>IF(A739="","",IF(D739-SUMIFS(GRN!$E$3:$E996,GRN!$D$3:$D996,C739)&lt;0,0,D739-SUMIFS(GRN!$E$3:$E996,GRN!$D$3:$D996,C739)))</f>
        <v/>
      </c>
    </row>
    <row r="740" spans="1:5" ht="15.75" customHeight="1">
      <c r="A740" s="128"/>
      <c r="B740" s="128"/>
      <c r="C740" s="2"/>
      <c r="D740" s="87"/>
      <c r="E740" s="87" t="str">
        <f>IF(A740="","",IF(D740-SUMIFS(GRN!$E$3:$E996,GRN!$D$3:$D996,C740)&lt;0,0,D740-SUMIFS(GRN!$E$3:$E996,GRN!$D$3:$D996,C740)))</f>
        <v/>
      </c>
    </row>
    <row r="741" spans="1:5" ht="15.75" customHeight="1">
      <c r="A741" s="128"/>
      <c r="B741" s="128"/>
      <c r="C741" s="2"/>
      <c r="D741" s="87"/>
      <c r="E741" s="87" t="str">
        <f>IF(A741="","",IF(D741-SUMIFS(GRN!$E$3:$E996,GRN!$D$3:$D996,C741)&lt;0,0,D741-SUMIFS(GRN!$E$3:$E996,GRN!$D$3:$D996,C741)))</f>
        <v/>
      </c>
    </row>
    <row r="742" spans="1:5" ht="15.75" customHeight="1">
      <c r="A742" s="128"/>
      <c r="B742" s="128"/>
      <c r="C742" s="2"/>
      <c r="D742" s="87"/>
      <c r="E742" s="87" t="str">
        <f>IF(A742="","",IF(D742-SUMIFS(GRN!$E$3:$E996,GRN!$D$3:$D996,C742)&lt;0,0,D742-SUMIFS(GRN!$E$3:$E996,GRN!$D$3:$D996,C742)))</f>
        <v/>
      </c>
    </row>
    <row r="743" spans="1:5" ht="15.75" customHeight="1">
      <c r="A743" s="128"/>
      <c r="B743" s="128"/>
      <c r="C743" s="2"/>
      <c r="D743" s="87"/>
      <c r="E743" s="87" t="str">
        <f>IF(A743="","",IF(D743-SUMIFS(GRN!$E$3:$E996,GRN!$D$3:$D996,C743)&lt;0,0,D743-SUMIFS(GRN!$E$3:$E996,GRN!$D$3:$D996,C743)))</f>
        <v/>
      </c>
    </row>
    <row r="744" spans="1:5" ht="15.75" customHeight="1">
      <c r="A744" s="128"/>
      <c r="B744" s="128"/>
      <c r="C744" s="2"/>
      <c r="D744" s="87"/>
      <c r="E744" s="87" t="str">
        <f>IF(A744="","",IF(D744-SUMIFS(GRN!$E$3:$E996,GRN!$D$3:$D996,C744)&lt;0,0,D744-SUMIFS(GRN!$E$3:$E996,GRN!$D$3:$D996,C744)))</f>
        <v/>
      </c>
    </row>
    <row r="745" spans="1:5" ht="15.75" customHeight="1">
      <c r="A745" s="128"/>
      <c r="B745" s="128"/>
      <c r="C745" s="2"/>
      <c r="D745" s="87"/>
      <c r="E745" s="87" t="str">
        <f>IF(A745="","",IF(D745-SUMIFS(GRN!$E$3:$E996,GRN!$D$3:$D996,C745)&lt;0,0,D745-SUMIFS(GRN!$E$3:$E996,GRN!$D$3:$D996,C745)))</f>
        <v/>
      </c>
    </row>
    <row r="746" spans="1:5" ht="15.75" customHeight="1">
      <c r="A746" s="128"/>
      <c r="B746" s="128"/>
      <c r="C746" s="2"/>
      <c r="D746" s="87"/>
      <c r="E746" s="87" t="str">
        <f>IF(A746="","",IF(D746-SUMIFS(GRN!$E$3:$E996,GRN!$D$3:$D996,C746)&lt;0,0,D746-SUMIFS(GRN!$E$3:$E996,GRN!$D$3:$D996,C746)))</f>
        <v/>
      </c>
    </row>
    <row r="747" spans="1:5" ht="15.75" customHeight="1">
      <c r="A747" s="128"/>
      <c r="B747" s="128"/>
      <c r="C747" s="2"/>
      <c r="D747" s="87"/>
      <c r="E747" s="87" t="str">
        <f>IF(A747="","",IF(D747-SUMIFS(GRN!$E$3:$E996,GRN!$D$3:$D996,C747)&lt;0,0,D747-SUMIFS(GRN!$E$3:$E996,GRN!$D$3:$D996,C747)))</f>
        <v/>
      </c>
    </row>
    <row r="748" spans="1:5" ht="15.75" customHeight="1">
      <c r="A748" s="128"/>
      <c r="B748" s="128"/>
      <c r="C748" s="2"/>
      <c r="D748" s="87"/>
      <c r="E748" s="87" t="str">
        <f>IF(A748="","",IF(D748-SUMIFS(GRN!$E$3:$E996,GRN!$D$3:$D996,C748)&lt;0,0,D748-SUMIFS(GRN!$E$3:$E996,GRN!$D$3:$D996,C748)))</f>
        <v/>
      </c>
    </row>
    <row r="749" spans="1:5" ht="15.75" customHeight="1">
      <c r="A749" s="128"/>
      <c r="B749" s="128"/>
      <c r="C749" s="2"/>
      <c r="D749" s="87"/>
      <c r="E749" s="87" t="str">
        <f>IF(A749="","",IF(D749-SUMIFS(GRN!$E$3:$E996,GRN!$D$3:$D996,C749)&lt;0,0,D749-SUMIFS(GRN!$E$3:$E996,GRN!$D$3:$D996,C749)))</f>
        <v/>
      </c>
    </row>
    <row r="750" spans="1:5" ht="15.75" customHeight="1">
      <c r="A750" s="128"/>
      <c r="B750" s="128"/>
      <c r="C750" s="2"/>
      <c r="D750" s="87"/>
      <c r="E750" s="87" t="str">
        <f>IF(A750="","",IF(D750-SUMIFS(GRN!$E$3:$E996,GRN!$D$3:$D996,C750)&lt;0,0,D750-SUMIFS(GRN!$E$3:$E996,GRN!$D$3:$D996,C750)))</f>
        <v/>
      </c>
    </row>
    <row r="751" spans="1:5" ht="15.75" customHeight="1">
      <c r="A751" s="128"/>
      <c r="B751" s="128"/>
      <c r="C751" s="2"/>
      <c r="D751" s="87"/>
      <c r="E751" s="87" t="str">
        <f>IF(A751="","",IF(D751-SUMIFS(GRN!$E$3:$E996,GRN!$D$3:$D996,C751)&lt;0,0,D751-SUMIFS(GRN!$E$3:$E996,GRN!$D$3:$D996,C751)))</f>
        <v/>
      </c>
    </row>
    <row r="752" spans="1:5" ht="15.75" customHeight="1">
      <c r="A752" s="128"/>
      <c r="B752" s="128"/>
      <c r="C752" s="2"/>
      <c r="D752" s="87"/>
      <c r="E752" s="87" t="str">
        <f>IF(A752="","",IF(D752-SUMIFS(GRN!$E$3:$E996,GRN!$D$3:$D996,C752)&lt;0,0,D752-SUMIFS(GRN!$E$3:$E996,GRN!$D$3:$D996,C752)))</f>
        <v/>
      </c>
    </row>
    <row r="753" spans="1:5" ht="15.75" customHeight="1">
      <c r="A753" s="128"/>
      <c r="B753" s="128"/>
      <c r="C753" s="2"/>
      <c r="D753" s="87"/>
      <c r="E753" s="87" t="str">
        <f>IF(A753="","",IF(D753-SUMIFS(GRN!$E$3:$E996,GRN!$D$3:$D996,C753)&lt;0,0,D753-SUMIFS(GRN!$E$3:$E996,GRN!$D$3:$D996,C753)))</f>
        <v/>
      </c>
    </row>
    <row r="754" spans="1:5" ht="15.75" customHeight="1">
      <c r="A754" s="128"/>
      <c r="B754" s="128"/>
      <c r="C754" s="2"/>
      <c r="D754" s="87"/>
      <c r="E754" s="87" t="str">
        <f>IF(A754="","",IF(D754-SUMIFS(GRN!$E$3:$E996,GRN!$D$3:$D996,C754)&lt;0,0,D754-SUMIFS(GRN!$E$3:$E996,GRN!$D$3:$D996,C754)))</f>
        <v/>
      </c>
    </row>
    <row r="755" spans="1:5" ht="15.75" customHeight="1">
      <c r="A755" s="128"/>
      <c r="B755" s="128"/>
      <c r="C755" s="2"/>
      <c r="D755" s="87"/>
      <c r="E755" s="87" t="str">
        <f>IF(A755="","",IF(D755-SUMIFS(GRN!$E$3:$E996,GRN!$D$3:$D996,C755)&lt;0,0,D755-SUMIFS(GRN!$E$3:$E996,GRN!$D$3:$D996,C755)))</f>
        <v/>
      </c>
    </row>
    <row r="756" spans="1:5" ht="15.75" customHeight="1">
      <c r="A756" s="128"/>
      <c r="B756" s="128"/>
      <c r="C756" s="2"/>
      <c r="D756" s="87"/>
      <c r="E756" s="87" t="str">
        <f>IF(A756="","",IF(D756-SUMIFS(GRN!$E$3:$E996,GRN!$D$3:$D996,C756)&lt;0,0,D756-SUMIFS(GRN!$E$3:$E996,GRN!$D$3:$D996,C756)))</f>
        <v/>
      </c>
    </row>
    <row r="757" spans="1:5" ht="15.75" customHeight="1">
      <c r="A757" s="128"/>
      <c r="B757" s="128"/>
      <c r="C757" s="2"/>
      <c r="D757" s="87"/>
      <c r="E757" s="87" t="str">
        <f>IF(A757="","",IF(D757-SUMIFS(GRN!$E$3:$E996,GRN!$D$3:$D996,C757)&lt;0,0,D757-SUMIFS(GRN!$E$3:$E996,GRN!$D$3:$D996,C757)))</f>
        <v/>
      </c>
    </row>
    <row r="758" spans="1:5" ht="15.75" customHeight="1">
      <c r="A758" s="128"/>
      <c r="B758" s="128"/>
      <c r="C758" s="2"/>
      <c r="D758" s="87"/>
      <c r="E758" s="87" t="str">
        <f>IF(A758="","",IF(D758-SUMIFS(GRN!$E$3:$E996,GRN!$D$3:$D996,C758)&lt;0,0,D758-SUMIFS(GRN!$E$3:$E996,GRN!$D$3:$D996,C758)))</f>
        <v/>
      </c>
    </row>
    <row r="759" spans="1:5" ht="15.75" customHeight="1">
      <c r="A759" s="128"/>
      <c r="B759" s="128"/>
      <c r="C759" s="2"/>
      <c r="D759" s="87"/>
      <c r="E759" s="87" t="str">
        <f>IF(A759="","",IF(D759-SUMIFS(GRN!$E$3:$E996,GRN!$D$3:$D996,C759)&lt;0,0,D759-SUMIFS(GRN!$E$3:$E996,GRN!$D$3:$D996,C759)))</f>
        <v/>
      </c>
    </row>
    <row r="760" spans="1:5" ht="15.75" customHeight="1">
      <c r="A760" s="128"/>
      <c r="B760" s="128"/>
      <c r="C760" s="2"/>
      <c r="D760" s="87"/>
      <c r="E760" s="87" t="str">
        <f>IF(A760="","",IF(D760-SUMIFS(GRN!$E$3:$E996,GRN!$D$3:$D996,C760)&lt;0,0,D760-SUMIFS(GRN!$E$3:$E996,GRN!$D$3:$D996,C760)))</f>
        <v/>
      </c>
    </row>
    <row r="761" spans="1:5" ht="15.75" customHeight="1">
      <c r="A761" s="128"/>
      <c r="B761" s="128"/>
      <c r="C761" s="2"/>
      <c r="D761" s="87"/>
      <c r="E761" s="87" t="str">
        <f>IF(A761="","",IF(D761-SUMIFS(GRN!$E$3:$E996,GRN!$D$3:$D996,C761)&lt;0,0,D761-SUMIFS(GRN!$E$3:$E996,GRN!$D$3:$D996,C761)))</f>
        <v/>
      </c>
    </row>
    <row r="762" spans="1:5" ht="15.75" customHeight="1">
      <c r="A762" s="128"/>
      <c r="B762" s="128"/>
      <c r="C762" s="2"/>
      <c r="D762" s="87"/>
      <c r="E762" s="87" t="str">
        <f>IF(A762="","",IF(D762-SUMIFS(GRN!$E$3:$E996,GRN!$D$3:$D996,C762)&lt;0,0,D762-SUMIFS(GRN!$E$3:$E996,GRN!$D$3:$D996,C762)))</f>
        <v/>
      </c>
    </row>
    <row r="763" spans="1:5" ht="15.75" customHeight="1">
      <c r="A763" s="128"/>
      <c r="B763" s="128"/>
      <c r="C763" s="2"/>
      <c r="D763" s="87"/>
      <c r="E763" s="87" t="str">
        <f>IF(A763="","",IF(D763-SUMIFS(GRN!$E$3:$E996,GRN!$D$3:$D996,C763)&lt;0,0,D763-SUMIFS(GRN!$E$3:$E996,GRN!$D$3:$D996,C763)))</f>
        <v/>
      </c>
    </row>
    <row r="764" spans="1:5" ht="15.75" customHeight="1">
      <c r="A764" s="128"/>
      <c r="B764" s="128"/>
      <c r="C764" s="2"/>
      <c r="D764" s="87"/>
      <c r="E764" s="87" t="str">
        <f>IF(A764="","",IF(D764-SUMIFS(GRN!$E$3:$E996,GRN!$D$3:$D996,C764)&lt;0,0,D764-SUMIFS(GRN!$E$3:$E996,GRN!$D$3:$D996,C764)))</f>
        <v/>
      </c>
    </row>
    <row r="765" spans="1:5" ht="15.75" customHeight="1">
      <c r="A765" s="128"/>
      <c r="B765" s="128"/>
      <c r="C765" s="2"/>
      <c r="D765" s="87"/>
      <c r="E765" s="87" t="str">
        <f>IF(A765="","",IF(D765-SUMIFS(GRN!$E$3:$E996,GRN!$D$3:$D996,C765)&lt;0,0,D765-SUMIFS(GRN!$E$3:$E996,GRN!$D$3:$D996,C765)))</f>
        <v/>
      </c>
    </row>
    <row r="766" spans="1:5" ht="15.75" customHeight="1">
      <c r="A766" s="128"/>
      <c r="B766" s="128"/>
      <c r="C766" s="2"/>
      <c r="D766" s="87"/>
      <c r="E766" s="87" t="str">
        <f>IF(A766="","",IF(D766-SUMIFS(GRN!$E$3:$E996,GRN!$D$3:$D996,C766)&lt;0,0,D766-SUMIFS(GRN!$E$3:$E996,GRN!$D$3:$D996,C766)))</f>
        <v/>
      </c>
    </row>
    <row r="767" spans="1:5" ht="15.75" customHeight="1">
      <c r="A767" s="128"/>
      <c r="B767" s="128"/>
      <c r="C767" s="2"/>
      <c r="D767" s="87"/>
      <c r="E767" s="87" t="str">
        <f>IF(A767="","",IF(D767-SUMIFS(GRN!$E$3:$E996,GRN!$D$3:$D996,C767)&lt;0,0,D767-SUMIFS(GRN!$E$3:$E996,GRN!$D$3:$D996,C767)))</f>
        <v/>
      </c>
    </row>
    <row r="768" spans="1:5" ht="15.75" customHeight="1">
      <c r="A768" s="128"/>
      <c r="B768" s="128"/>
      <c r="C768" s="2"/>
      <c r="D768" s="87"/>
      <c r="E768" s="87" t="str">
        <f>IF(A768="","",IF(D768-SUMIFS(GRN!$E$3:$E996,GRN!$D$3:$D996,C768)&lt;0,0,D768-SUMIFS(GRN!$E$3:$E996,GRN!$D$3:$D996,C768)))</f>
        <v/>
      </c>
    </row>
    <row r="769" spans="1:5" ht="15.75" customHeight="1">
      <c r="A769" s="128"/>
      <c r="B769" s="128"/>
      <c r="C769" s="2"/>
      <c r="D769" s="87"/>
      <c r="E769" s="87" t="str">
        <f>IF(A769="","",IF(D769-SUMIFS(GRN!$E$3:$E996,GRN!$D$3:$D996,C769)&lt;0,0,D769-SUMIFS(GRN!$E$3:$E996,GRN!$D$3:$D996,C769)))</f>
        <v/>
      </c>
    </row>
    <row r="770" spans="1:5" ht="15.75" customHeight="1">
      <c r="A770" s="128"/>
      <c r="B770" s="128"/>
      <c r="C770" s="2"/>
      <c r="D770" s="87"/>
      <c r="E770" s="87" t="str">
        <f>IF(A770="","",IF(D770-SUMIFS(GRN!$E$3:$E996,GRN!$D$3:$D996,C770)&lt;0,0,D770-SUMIFS(GRN!$E$3:$E996,GRN!$D$3:$D996,C770)))</f>
        <v/>
      </c>
    </row>
    <row r="771" spans="1:5" ht="15.75" customHeight="1">
      <c r="A771" s="128"/>
      <c r="B771" s="128"/>
      <c r="C771" s="2"/>
      <c r="D771" s="87"/>
      <c r="E771" s="87" t="str">
        <f>IF(A771="","",IF(D771-SUMIFS(GRN!$E$3:$E996,GRN!$D$3:$D996,C771)&lt;0,0,D771-SUMIFS(GRN!$E$3:$E996,GRN!$D$3:$D996,C771)))</f>
        <v/>
      </c>
    </row>
    <row r="772" spans="1:5" ht="15.75" customHeight="1">
      <c r="A772" s="128"/>
      <c r="B772" s="128"/>
      <c r="C772" s="2"/>
      <c r="D772" s="87"/>
      <c r="E772" s="87" t="str">
        <f>IF(A772="","",IF(D772-SUMIFS(GRN!$E$3:$E996,GRN!$D$3:$D996,C772)&lt;0,0,D772-SUMIFS(GRN!$E$3:$E996,GRN!$D$3:$D996,C772)))</f>
        <v/>
      </c>
    </row>
    <row r="773" spans="1:5" ht="15.75" customHeight="1">
      <c r="A773" s="128"/>
      <c r="B773" s="128"/>
      <c r="C773" s="2"/>
      <c r="D773" s="87"/>
      <c r="E773" s="87" t="str">
        <f>IF(A773="","",IF(D773-SUMIFS(GRN!$E$3:$E996,GRN!$D$3:$D996,C773)&lt;0,0,D773-SUMIFS(GRN!$E$3:$E996,GRN!$D$3:$D996,C773)))</f>
        <v/>
      </c>
    </row>
    <row r="774" spans="1:5" ht="15.75" customHeight="1">
      <c r="A774" s="128"/>
      <c r="B774" s="128"/>
      <c r="C774" s="2"/>
      <c r="D774" s="87"/>
      <c r="E774" s="87" t="str">
        <f>IF(A774="","",IF(D774-SUMIFS(GRN!$E$3:$E996,GRN!$D$3:$D996,C774)&lt;0,0,D774-SUMIFS(GRN!$E$3:$E996,GRN!$D$3:$D996,C774)))</f>
        <v/>
      </c>
    </row>
    <row r="775" spans="1:5" ht="15.75" customHeight="1">
      <c r="A775" s="128"/>
      <c r="B775" s="128"/>
      <c r="C775" s="2"/>
      <c r="D775" s="87"/>
      <c r="E775" s="87" t="str">
        <f>IF(A775="","",IF(D775-SUMIFS(GRN!$E$3:$E996,GRN!$D$3:$D996,C775)&lt;0,0,D775-SUMIFS(GRN!$E$3:$E996,GRN!$D$3:$D996,C775)))</f>
        <v/>
      </c>
    </row>
    <row r="776" spans="1:5" ht="15.75" customHeight="1">
      <c r="A776" s="128"/>
      <c r="B776" s="128"/>
      <c r="C776" s="2"/>
      <c r="D776" s="87"/>
      <c r="E776" s="87" t="str">
        <f>IF(A776="","",IF(D776-SUMIFS(GRN!$E$3:$E996,GRN!$D$3:$D996,C776)&lt;0,0,D776-SUMIFS(GRN!$E$3:$E996,GRN!$D$3:$D996,C776)))</f>
        <v/>
      </c>
    </row>
    <row r="777" spans="1:5" ht="15.75" customHeight="1">
      <c r="A777" s="128"/>
      <c r="B777" s="128"/>
      <c r="C777" s="2"/>
      <c r="D777" s="87"/>
      <c r="E777" s="87" t="str">
        <f>IF(A777="","",IF(D777-SUMIFS(GRN!$E$3:$E996,GRN!$D$3:$D996,C777)&lt;0,0,D777-SUMIFS(GRN!$E$3:$E996,GRN!$D$3:$D996,C777)))</f>
        <v/>
      </c>
    </row>
    <row r="778" spans="1:5" ht="15.75" customHeight="1">
      <c r="A778" s="128"/>
      <c r="B778" s="128"/>
      <c r="C778" s="2"/>
      <c r="D778" s="87"/>
      <c r="E778" s="87" t="str">
        <f>IF(A778="","",IF(D778-SUMIFS(GRN!$E$3:$E996,GRN!$D$3:$D996,C778)&lt;0,0,D778-SUMIFS(GRN!$E$3:$E996,GRN!$D$3:$D996,C778)))</f>
        <v/>
      </c>
    </row>
    <row r="779" spans="1:5" ht="15.75" customHeight="1">
      <c r="A779" s="128"/>
      <c r="B779" s="128"/>
      <c r="C779" s="2"/>
      <c r="D779" s="87"/>
      <c r="E779" s="87" t="str">
        <f>IF(A779="","",IF(D779-SUMIFS(GRN!$E$3:$E996,GRN!$D$3:$D996,C779)&lt;0,0,D779-SUMIFS(GRN!$E$3:$E996,GRN!$D$3:$D996,C779)))</f>
        <v/>
      </c>
    </row>
    <row r="780" spans="1:5" ht="15.75" customHeight="1">
      <c r="A780" s="128"/>
      <c r="B780" s="128"/>
      <c r="C780" s="2"/>
      <c r="D780" s="87"/>
      <c r="E780" s="87" t="str">
        <f>IF(A780="","",IF(D780-SUMIFS(GRN!$E$3:$E996,GRN!$D$3:$D996,C780)&lt;0,0,D780-SUMIFS(GRN!$E$3:$E996,GRN!$D$3:$D996,C780)))</f>
        <v/>
      </c>
    </row>
    <row r="781" spans="1:5" ht="15.75" customHeight="1">
      <c r="A781" s="128"/>
      <c r="B781" s="128"/>
      <c r="C781" s="2"/>
      <c r="D781" s="87"/>
      <c r="E781" s="87" t="str">
        <f>IF(A781="","",IF(D781-SUMIFS(GRN!$E$3:$E996,GRN!$D$3:$D996,C781)&lt;0,0,D781-SUMIFS(GRN!$E$3:$E996,GRN!$D$3:$D996,C781)))</f>
        <v/>
      </c>
    </row>
    <row r="782" spans="1:5" ht="15.75" customHeight="1">
      <c r="A782" s="128"/>
      <c r="B782" s="128"/>
      <c r="C782" s="2"/>
      <c r="D782" s="87"/>
      <c r="E782" s="87" t="str">
        <f>IF(A782="","",IF(D782-SUMIFS(GRN!$E$3:$E996,GRN!$D$3:$D996,C782)&lt;0,0,D782-SUMIFS(GRN!$E$3:$E996,GRN!$D$3:$D996,C782)))</f>
        <v/>
      </c>
    </row>
    <row r="783" spans="1:5" ht="15.75" customHeight="1">
      <c r="A783" s="128"/>
      <c r="B783" s="128"/>
      <c r="C783" s="2"/>
      <c r="D783" s="87"/>
      <c r="E783" s="87" t="str">
        <f>IF(A783="","",IF(D783-SUMIFS(GRN!$E$3:$E996,GRN!$D$3:$D996,C783)&lt;0,0,D783-SUMIFS(GRN!$E$3:$E996,GRN!$D$3:$D996,C783)))</f>
        <v/>
      </c>
    </row>
    <row r="784" spans="1:5" ht="15.75" customHeight="1">
      <c r="A784" s="128"/>
      <c r="B784" s="128"/>
      <c r="C784" s="2"/>
      <c r="D784" s="87"/>
      <c r="E784" s="87" t="str">
        <f>IF(A784="","",IF(D784-SUMIFS(GRN!$E$3:$E996,GRN!$D$3:$D996,C784)&lt;0,0,D784-SUMIFS(GRN!$E$3:$E996,GRN!$D$3:$D996,C784)))</f>
        <v/>
      </c>
    </row>
    <row r="785" spans="1:5" ht="15.75" customHeight="1">
      <c r="A785" s="128"/>
      <c r="B785" s="128"/>
      <c r="C785" s="2"/>
      <c r="D785" s="87"/>
      <c r="E785" s="87" t="str">
        <f>IF(A785="","",IF(D785-SUMIFS(GRN!$E$3:$E996,GRN!$D$3:$D996,C785)&lt;0,0,D785-SUMIFS(GRN!$E$3:$E996,GRN!$D$3:$D996,C785)))</f>
        <v/>
      </c>
    </row>
    <row r="786" spans="1:5" ht="15.75" customHeight="1">
      <c r="A786" s="128"/>
      <c r="B786" s="128"/>
      <c r="C786" s="2"/>
      <c r="D786" s="87"/>
      <c r="E786" s="87" t="str">
        <f>IF(A786="","",IF(D786-SUMIFS(GRN!$E$3:$E996,GRN!$D$3:$D996,C786)&lt;0,0,D786-SUMIFS(GRN!$E$3:$E996,GRN!$D$3:$D996,C786)))</f>
        <v/>
      </c>
    </row>
    <row r="787" spans="1:5" ht="15.75" customHeight="1">
      <c r="A787" s="128"/>
      <c r="B787" s="128"/>
      <c r="C787" s="2"/>
      <c r="D787" s="87"/>
      <c r="E787" s="87" t="str">
        <f>IF(A787="","",IF(D787-SUMIFS(GRN!$E$3:$E996,GRN!$D$3:$D996,C787)&lt;0,0,D787-SUMIFS(GRN!$E$3:$E996,GRN!$D$3:$D996,C787)))</f>
        <v/>
      </c>
    </row>
    <row r="788" spans="1:5" ht="15.75" customHeight="1">
      <c r="A788" s="128"/>
      <c r="B788" s="128"/>
      <c r="C788" s="2"/>
      <c r="D788" s="87"/>
      <c r="E788" s="87" t="str">
        <f>IF(A788="","",IF(D788-SUMIFS(GRN!$E$3:$E996,GRN!$D$3:$D996,C788)&lt;0,0,D788-SUMIFS(GRN!$E$3:$E996,GRN!$D$3:$D996,C788)))</f>
        <v/>
      </c>
    </row>
    <row r="789" spans="1:5" ht="15.75" customHeight="1">
      <c r="A789" s="128"/>
      <c r="B789" s="128"/>
      <c r="C789" s="2"/>
      <c r="D789" s="87"/>
      <c r="E789" s="87" t="str">
        <f>IF(A789="","",IF(D789-SUMIFS(GRN!$E$3:$E996,GRN!$D$3:$D996,C789)&lt;0,0,D789-SUMIFS(GRN!$E$3:$E996,GRN!$D$3:$D996,C789)))</f>
        <v/>
      </c>
    </row>
    <row r="790" spans="1:5" ht="15.75" customHeight="1">
      <c r="A790" s="128"/>
      <c r="B790" s="128"/>
      <c r="C790" s="2"/>
      <c r="D790" s="87"/>
      <c r="E790" s="87" t="str">
        <f>IF(A790="","",IF(D790-SUMIFS(GRN!$E$3:$E996,GRN!$D$3:$D996,C790)&lt;0,0,D790-SUMIFS(GRN!$E$3:$E996,GRN!$D$3:$D996,C790)))</f>
        <v/>
      </c>
    </row>
    <row r="791" spans="1:5" ht="15.75" customHeight="1">
      <c r="A791" s="128"/>
      <c r="B791" s="128"/>
      <c r="C791" s="2"/>
      <c r="D791" s="87"/>
      <c r="E791" s="87" t="str">
        <f>IF(A791="","",IF(D791-SUMIFS(GRN!$E$3:$E996,GRN!$D$3:$D996,C791)&lt;0,0,D791-SUMIFS(GRN!$E$3:$E996,GRN!$D$3:$D996,C791)))</f>
        <v/>
      </c>
    </row>
    <row r="792" spans="1:5" ht="15.75" customHeight="1">
      <c r="A792" s="128"/>
      <c r="B792" s="128"/>
      <c r="C792" s="2"/>
      <c r="D792" s="87"/>
      <c r="E792" s="87" t="str">
        <f>IF(A792="","",IF(D792-SUMIFS(GRN!$E$3:$E996,GRN!$D$3:$D996,C792)&lt;0,0,D792-SUMIFS(GRN!$E$3:$E996,GRN!$D$3:$D996,C792)))</f>
        <v/>
      </c>
    </row>
    <row r="793" spans="1:5" ht="15.75" customHeight="1">
      <c r="A793" s="128"/>
      <c r="B793" s="128"/>
      <c r="C793" s="2"/>
      <c r="D793" s="87"/>
      <c r="E793" s="87" t="str">
        <f>IF(A793="","",IF(D793-SUMIFS(GRN!$E$3:$E996,GRN!$D$3:$D996,C793)&lt;0,0,D793-SUMIFS(GRN!$E$3:$E996,GRN!$D$3:$D996,C793)))</f>
        <v/>
      </c>
    </row>
    <row r="794" spans="1:5" ht="15.75" customHeight="1">
      <c r="A794" s="128"/>
      <c r="B794" s="128"/>
      <c r="C794" s="2"/>
      <c r="D794" s="87"/>
      <c r="E794" s="87" t="str">
        <f>IF(A794="","",IF(D794-SUMIFS(GRN!$E$3:$E996,GRN!$D$3:$D996,C794)&lt;0,0,D794-SUMIFS(GRN!$E$3:$E996,GRN!$D$3:$D996,C794)))</f>
        <v/>
      </c>
    </row>
    <row r="795" spans="1:5" ht="15.75" customHeight="1">
      <c r="A795" s="128"/>
      <c r="B795" s="128"/>
      <c r="C795" s="2"/>
      <c r="D795" s="87"/>
      <c r="E795" s="87" t="str">
        <f>IF(A795="","",IF(D795-SUMIFS(GRN!$E$3:$E996,GRN!$D$3:$D996,C795)&lt;0,0,D795-SUMIFS(GRN!$E$3:$E996,GRN!$D$3:$D996,C795)))</f>
        <v/>
      </c>
    </row>
    <row r="796" spans="1:5" ht="15.75" customHeight="1">
      <c r="A796" s="128"/>
      <c r="B796" s="128"/>
      <c r="C796" s="2"/>
      <c r="D796" s="87"/>
      <c r="E796" s="87" t="str">
        <f>IF(A796="","",IF(D796-SUMIFS(GRN!$E$3:$E996,GRN!$D$3:$D996,C796)&lt;0,0,D796-SUMIFS(GRN!$E$3:$E996,GRN!$D$3:$D996,C796)))</f>
        <v/>
      </c>
    </row>
    <row r="797" spans="1:5" ht="15.75" customHeight="1">
      <c r="A797" s="128"/>
      <c r="B797" s="128"/>
      <c r="C797" s="2"/>
      <c r="D797" s="87"/>
      <c r="E797" s="87" t="str">
        <f>IF(A797="","",IF(D797-SUMIFS(GRN!$E$3:$E996,GRN!$D$3:$D996,C797)&lt;0,0,D797-SUMIFS(GRN!$E$3:$E996,GRN!$D$3:$D996,C797)))</f>
        <v/>
      </c>
    </row>
    <row r="798" spans="1:5" ht="15.75" customHeight="1">
      <c r="A798" s="128"/>
      <c r="B798" s="128"/>
      <c r="C798" s="2"/>
      <c r="D798" s="87"/>
      <c r="E798" s="87" t="str">
        <f>IF(A798="","",IF(D798-SUMIFS(GRN!$E$3:$E996,GRN!$D$3:$D996,C798)&lt;0,0,D798-SUMIFS(GRN!$E$3:$E996,GRN!$D$3:$D996,C798)))</f>
        <v/>
      </c>
    </row>
    <row r="799" spans="1:5" ht="15.75" customHeight="1">
      <c r="A799" s="128"/>
      <c r="B799" s="128"/>
      <c r="C799" s="2"/>
      <c r="D799" s="87"/>
      <c r="E799" s="87" t="str">
        <f>IF(A799="","",IF(D799-SUMIFS(GRN!$E$3:$E996,GRN!$D$3:$D996,C799)&lt;0,0,D799-SUMIFS(GRN!$E$3:$E996,GRN!$D$3:$D996,C799)))</f>
        <v/>
      </c>
    </row>
    <row r="800" spans="1:5" ht="15.75" customHeight="1">
      <c r="A800" s="128"/>
      <c r="B800" s="128"/>
      <c r="C800" s="2"/>
      <c r="D800" s="87"/>
      <c r="E800" s="87" t="str">
        <f>IF(A800="","",IF(D800-SUMIFS(GRN!$E$3:$E996,GRN!$D$3:$D996,C800)&lt;0,0,D800-SUMIFS(GRN!$E$3:$E996,GRN!$D$3:$D996,C800)))</f>
        <v/>
      </c>
    </row>
    <row r="801" spans="1:5" ht="15.75" customHeight="1">
      <c r="A801" s="128"/>
      <c r="B801" s="128"/>
      <c r="C801" s="2"/>
      <c r="D801" s="87"/>
      <c r="E801" s="87" t="str">
        <f>IF(A801="","",IF(D801-SUMIFS(GRN!$E$3:$E996,GRN!$D$3:$D996,C801)&lt;0,0,D801-SUMIFS(GRN!$E$3:$E996,GRN!$D$3:$D996,C801)))</f>
        <v/>
      </c>
    </row>
    <row r="802" spans="1:5" ht="15.75" customHeight="1">
      <c r="A802" s="128"/>
      <c r="B802" s="128"/>
      <c r="C802" s="2"/>
      <c r="D802" s="87"/>
      <c r="E802" s="87" t="str">
        <f>IF(A802="","",IF(D802-SUMIFS(GRN!$E$3:$E996,GRN!$D$3:$D996,C802)&lt;0,0,D802-SUMIFS(GRN!$E$3:$E996,GRN!$D$3:$D996,C802)))</f>
        <v/>
      </c>
    </row>
    <row r="803" spans="1:5" ht="15.75" customHeight="1">
      <c r="A803" s="128"/>
      <c r="B803" s="128"/>
      <c r="C803" s="2"/>
      <c r="D803" s="87"/>
      <c r="E803" s="87" t="str">
        <f>IF(A803="","",IF(D803-SUMIFS(GRN!$E$3:$E996,GRN!$D$3:$D996,C803)&lt;0,0,D803-SUMIFS(GRN!$E$3:$E996,GRN!$D$3:$D996,C803)))</f>
        <v/>
      </c>
    </row>
    <row r="804" spans="1:5" ht="15.75" customHeight="1">
      <c r="A804" s="128"/>
      <c r="B804" s="128"/>
      <c r="C804" s="2"/>
      <c r="D804" s="87"/>
      <c r="E804" s="87" t="str">
        <f>IF(A804="","",IF(D804-SUMIFS(GRN!$E$3:$E996,GRN!$D$3:$D996,C804)&lt;0,0,D804-SUMIFS(GRN!$E$3:$E996,GRN!$D$3:$D996,C804)))</f>
        <v/>
      </c>
    </row>
    <row r="805" spans="1:5" ht="15.75" customHeight="1">
      <c r="A805" s="128"/>
      <c r="B805" s="128"/>
      <c r="C805" s="2"/>
      <c r="D805" s="87"/>
      <c r="E805" s="87" t="str">
        <f>IF(A805="","",IF(D805-SUMIFS(GRN!$E$3:$E996,GRN!$D$3:$D996,C805)&lt;0,0,D805-SUMIFS(GRN!$E$3:$E996,GRN!$D$3:$D996,C805)))</f>
        <v/>
      </c>
    </row>
    <row r="806" spans="1:5" ht="15.75" customHeight="1">
      <c r="A806" s="128"/>
      <c r="B806" s="128"/>
      <c r="C806" s="2"/>
      <c r="D806" s="87"/>
      <c r="E806" s="87" t="str">
        <f>IF(A806="","",IF(D806-SUMIFS(GRN!$E$3:$E996,GRN!$D$3:$D996,C806)&lt;0,0,D806-SUMIFS(GRN!$E$3:$E996,GRN!$D$3:$D996,C806)))</f>
        <v/>
      </c>
    </row>
    <row r="807" spans="1:5" ht="15.75" customHeight="1">
      <c r="A807" s="128"/>
      <c r="B807" s="128"/>
      <c r="C807" s="2"/>
      <c r="D807" s="87"/>
      <c r="E807" s="87" t="str">
        <f>IF(A807="","",IF(D807-SUMIFS(GRN!$E$3:$E996,GRN!$D$3:$D996,C807)&lt;0,0,D807-SUMIFS(GRN!$E$3:$E996,GRN!$D$3:$D996,C807)))</f>
        <v/>
      </c>
    </row>
    <row r="808" spans="1:5" ht="15.75" customHeight="1">
      <c r="A808" s="128"/>
      <c r="B808" s="128"/>
      <c r="C808" s="2"/>
      <c r="D808" s="87"/>
      <c r="E808" s="87" t="str">
        <f>IF(A808="","",IF(D808-SUMIFS(GRN!$E$3:$E996,GRN!$D$3:$D996,C808)&lt;0,0,D808-SUMIFS(GRN!$E$3:$E996,GRN!$D$3:$D996,C808)))</f>
        <v/>
      </c>
    </row>
    <row r="809" spans="1:5" ht="15.75" customHeight="1">
      <c r="A809" s="128"/>
      <c r="B809" s="128"/>
      <c r="C809" s="2"/>
      <c r="D809" s="87"/>
      <c r="E809" s="87" t="str">
        <f>IF(A809="","",IF(D809-SUMIFS(GRN!$E$3:$E996,GRN!$D$3:$D996,C809)&lt;0,0,D809-SUMIFS(GRN!$E$3:$E996,GRN!$D$3:$D996,C809)))</f>
        <v/>
      </c>
    </row>
    <row r="810" spans="1:5" ht="15.75" customHeight="1">
      <c r="A810" s="128"/>
      <c r="B810" s="128"/>
      <c r="C810" s="2"/>
      <c r="D810" s="87"/>
      <c r="E810" s="87" t="str">
        <f>IF(A810="","",IF(D810-SUMIFS(GRN!$E$3:$E996,GRN!$D$3:$D996,C810)&lt;0,0,D810-SUMIFS(GRN!$E$3:$E996,GRN!$D$3:$D996,C810)))</f>
        <v/>
      </c>
    </row>
    <row r="811" spans="1:5" ht="15.75" customHeight="1">
      <c r="A811" s="128"/>
      <c r="B811" s="128"/>
      <c r="C811" s="2"/>
      <c r="D811" s="87"/>
      <c r="E811" s="87" t="str">
        <f>IF(A811="","",IF(D811-SUMIFS(GRN!$E$3:$E996,GRN!$D$3:$D996,C811)&lt;0,0,D811-SUMIFS(GRN!$E$3:$E996,GRN!$D$3:$D996,C811)))</f>
        <v/>
      </c>
    </row>
    <row r="812" spans="1:5" ht="15.75" customHeight="1">
      <c r="A812" s="128"/>
      <c r="B812" s="128"/>
      <c r="C812" s="2"/>
      <c r="D812" s="87"/>
      <c r="E812" s="87" t="str">
        <f>IF(A812="","",IF(D812-SUMIFS(GRN!$E$3:$E996,GRN!$D$3:$D996,C812)&lt;0,0,D812-SUMIFS(GRN!$E$3:$E996,GRN!$D$3:$D996,C812)))</f>
        <v/>
      </c>
    </row>
    <row r="813" spans="1:5" ht="15.75" customHeight="1">
      <c r="A813" s="128"/>
      <c r="B813" s="128"/>
      <c r="C813" s="2"/>
      <c r="D813" s="87"/>
      <c r="E813" s="87" t="str">
        <f>IF(A813="","",IF(D813-SUMIFS(GRN!$E$3:$E996,GRN!$D$3:$D996,C813)&lt;0,0,D813-SUMIFS(GRN!$E$3:$E996,GRN!$D$3:$D996,C813)))</f>
        <v/>
      </c>
    </row>
    <row r="814" spans="1:5" ht="15.75" customHeight="1">
      <c r="A814" s="128"/>
      <c r="B814" s="128"/>
      <c r="C814" s="2"/>
      <c r="D814" s="87"/>
      <c r="E814" s="87" t="str">
        <f>IF(A814="","",IF(D814-SUMIFS(GRN!$E$3:$E996,GRN!$D$3:$D996,C814)&lt;0,0,D814-SUMIFS(GRN!$E$3:$E996,GRN!$D$3:$D996,C814)))</f>
        <v/>
      </c>
    </row>
    <row r="815" spans="1:5" ht="15.75" customHeight="1">
      <c r="A815" s="128"/>
      <c r="B815" s="128"/>
      <c r="C815" s="2"/>
      <c r="D815" s="87"/>
      <c r="E815" s="87" t="str">
        <f>IF(A815="","",IF(D815-SUMIFS(GRN!$E$3:$E996,GRN!$D$3:$D996,C815)&lt;0,0,D815-SUMIFS(GRN!$E$3:$E996,GRN!$D$3:$D996,C815)))</f>
        <v/>
      </c>
    </row>
    <row r="816" spans="1:5" ht="15.75" customHeight="1">
      <c r="A816" s="128"/>
      <c r="B816" s="128"/>
      <c r="C816" s="2"/>
      <c r="D816" s="87"/>
      <c r="E816" s="87" t="str">
        <f>IF(A816="","",IF(D816-SUMIFS(GRN!$E$3:$E996,GRN!$D$3:$D996,C816)&lt;0,0,D816-SUMIFS(GRN!$E$3:$E996,GRN!$D$3:$D996,C816)))</f>
        <v/>
      </c>
    </row>
    <row r="817" spans="1:5" ht="15.75" customHeight="1">
      <c r="A817" s="128"/>
      <c r="B817" s="128"/>
      <c r="C817" s="2"/>
      <c r="D817" s="87"/>
      <c r="E817" s="87" t="str">
        <f>IF(A817="","",IF(D817-SUMIFS(GRN!$E$3:$E996,GRN!$D$3:$D996,C817)&lt;0,0,D817-SUMIFS(GRN!$E$3:$E996,GRN!$D$3:$D996,C817)))</f>
        <v/>
      </c>
    </row>
    <row r="818" spans="1:5" ht="15.75" customHeight="1">
      <c r="A818" s="128"/>
      <c r="B818" s="128"/>
      <c r="C818" s="2"/>
      <c r="D818" s="87"/>
      <c r="E818" s="87" t="str">
        <f>IF(A818="","",IF(D818-SUMIFS(GRN!$E$3:$E996,GRN!$D$3:$D996,C818)&lt;0,0,D818-SUMIFS(GRN!$E$3:$E996,GRN!$D$3:$D996,C818)))</f>
        <v/>
      </c>
    </row>
    <row r="819" spans="1:5" ht="15.75" customHeight="1">
      <c r="A819" s="128"/>
      <c r="B819" s="128"/>
      <c r="C819" s="2"/>
      <c r="D819" s="87"/>
      <c r="E819" s="87" t="str">
        <f>IF(A819="","",IF(D819-SUMIFS(GRN!$E$3:$E996,GRN!$D$3:$D996,C819)&lt;0,0,D819-SUMIFS(GRN!$E$3:$E996,GRN!$D$3:$D996,C819)))</f>
        <v/>
      </c>
    </row>
    <row r="820" spans="1:5" ht="15.75" customHeight="1">
      <c r="A820" s="128"/>
      <c r="B820" s="128"/>
      <c r="C820" s="2"/>
      <c r="D820" s="87"/>
      <c r="E820" s="87" t="str">
        <f>IF(A820="","",IF(D820-SUMIFS(GRN!$E$3:$E996,GRN!$D$3:$D996,C820)&lt;0,0,D820-SUMIFS(GRN!$E$3:$E996,GRN!$D$3:$D996,C820)))</f>
        <v/>
      </c>
    </row>
    <row r="821" spans="1:5" ht="15.75" customHeight="1">
      <c r="A821" s="128"/>
      <c r="B821" s="128"/>
      <c r="C821" s="2"/>
      <c r="D821" s="87"/>
      <c r="E821" s="87" t="str">
        <f>IF(A821="","",IF(D821-SUMIFS(GRN!$E$3:$E996,GRN!$D$3:$D996,C821)&lt;0,0,D821-SUMIFS(GRN!$E$3:$E996,GRN!$D$3:$D996,C821)))</f>
        <v/>
      </c>
    </row>
    <row r="822" spans="1:5" ht="15.75" customHeight="1">
      <c r="A822" s="128"/>
      <c r="B822" s="128"/>
      <c r="C822" s="2"/>
      <c r="D822" s="87"/>
      <c r="E822" s="87" t="str">
        <f>IF(A822="","",IF(D822-SUMIFS(GRN!$E$3:$E996,GRN!$D$3:$D996,C822)&lt;0,0,D822-SUMIFS(GRN!$E$3:$E996,GRN!$D$3:$D996,C822)))</f>
        <v/>
      </c>
    </row>
    <row r="823" spans="1:5" ht="15.75" customHeight="1">
      <c r="A823" s="128"/>
      <c r="B823" s="128"/>
      <c r="C823" s="2"/>
      <c r="D823" s="87"/>
      <c r="E823" s="87" t="str">
        <f>IF(A823="","",IF(D823-SUMIFS(GRN!$E$3:$E996,GRN!$D$3:$D996,C823)&lt;0,0,D823-SUMIFS(GRN!$E$3:$E996,GRN!$D$3:$D996,C823)))</f>
        <v/>
      </c>
    </row>
    <row r="824" spans="1:5" ht="15.75" customHeight="1">
      <c r="A824" s="128"/>
      <c r="B824" s="128"/>
      <c r="C824" s="2"/>
      <c r="D824" s="87"/>
      <c r="E824" s="87" t="str">
        <f>IF(A824="","",IF(D824-SUMIFS(GRN!$E$3:$E996,GRN!$D$3:$D996,C824)&lt;0,0,D824-SUMIFS(GRN!$E$3:$E996,GRN!$D$3:$D996,C824)))</f>
        <v/>
      </c>
    </row>
    <row r="825" spans="1:5" ht="15.75" customHeight="1">
      <c r="A825" s="128"/>
      <c r="B825" s="128"/>
      <c r="C825" s="2"/>
      <c r="D825" s="87"/>
      <c r="E825" s="87" t="str">
        <f>IF(A825="","",IF(D825-SUMIFS(GRN!$E$3:$E996,GRN!$D$3:$D996,C825)&lt;0,0,D825-SUMIFS(GRN!$E$3:$E996,GRN!$D$3:$D996,C825)))</f>
        <v/>
      </c>
    </row>
    <row r="826" spans="1:5" ht="15.75" customHeight="1">
      <c r="A826" s="128"/>
      <c r="B826" s="128"/>
      <c r="C826" s="2"/>
      <c r="D826" s="87"/>
      <c r="E826" s="87" t="str">
        <f>IF(A826="","",IF(D826-SUMIFS(GRN!$E$3:$E996,GRN!$D$3:$D996,C826)&lt;0,0,D826-SUMIFS(GRN!$E$3:$E996,GRN!$D$3:$D996,C826)))</f>
        <v/>
      </c>
    </row>
    <row r="827" spans="1:5" ht="15.75" customHeight="1">
      <c r="A827" s="128"/>
      <c r="B827" s="128"/>
      <c r="C827" s="2"/>
      <c r="D827" s="87"/>
      <c r="E827" s="87" t="str">
        <f>IF(A827="","",IF(D827-SUMIFS(GRN!$E$3:$E996,GRN!$D$3:$D996,C827)&lt;0,0,D827-SUMIFS(GRN!$E$3:$E996,GRN!$D$3:$D996,C827)))</f>
        <v/>
      </c>
    </row>
    <row r="828" spans="1:5" ht="15.75" customHeight="1">
      <c r="A828" s="128"/>
      <c r="B828" s="128"/>
      <c r="C828" s="2"/>
      <c r="D828" s="87"/>
      <c r="E828" s="87" t="str">
        <f>IF(A828="","",IF(D828-SUMIFS(GRN!$E$3:$E996,GRN!$D$3:$D996,C828)&lt;0,0,D828-SUMIFS(GRN!$E$3:$E996,GRN!$D$3:$D996,C828)))</f>
        <v/>
      </c>
    </row>
    <row r="829" spans="1:5" ht="15.75" customHeight="1">
      <c r="A829" s="128"/>
      <c r="B829" s="128"/>
      <c r="C829" s="2"/>
      <c r="D829" s="87"/>
      <c r="E829" s="87" t="str">
        <f>IF(A829="","",IF(D829-SUMIFS(GRN!$E$3:$E996,GRN!$D$3:$D996,C829)&lt;0,0,D829-SUMIFS(GRN!$E$3:$E996,GRN!$D$3:$D996,C829)))</f>
        <v/>
      </c>
    </row>
    <row r="830" spans="1:5" ht="15.75" customHeight="1">
      <c r="A830" s="128"/>
      <c r="B830" s="128"/>
      <c r="C830" s="2"/>
      <c r="D830" s="87"/>
      <c r="E830" s="87" t="str">
        <f>IF(A830="","",IF(D830-SUMIFS(GRN!$E$3:$E996,GRN!$D$3:$D996,C830)&lt;0,0,D830-SUMIFS(GRN!$E$3:$E996,GRN!$D$3:$D996,C830)))</f>
        <v/>
      </c>
    </row>
    <row r="831" spans="1:5" ht="15.75" customHeight="1">
      <c r="A831" s="128"/>
      <c r="B831" s="128"/>
      <c r="C831" s="2"/>
      <c r="D831" s="87"/>
      <c r="E831" s="87" t="str">
        <f>IF(A831="","",IF(D831-SUMIFS(GRN!$E$3:$E996,GRN!$D$3:$D996,C831)&lt;0,0,D831-SUMIFS(GRN!$E$3:$E996,GRN!$D$3:$D996,C831)))</f>
        <v/>
      </c>
    </row>
    <row r="832" spans="1:5" ht="15.75" customHeight="1">
      <c r="A832" s="128"/>
      <c r="B832" s="128"/>
      <c r="C832" s="2"/>
      <c r="D832" s="87"/>
      <c r="E832" s="87" t="str">
        <f>IF(A832="","",IF(D832-SUMIFS(GRN!$E$3:$E996,GRN!$D$3:$D996,C832)&lt;0,0,D832-SUMIFS(GRN!$E$3:$E996,GRN!$D$3:$D996,C832)))</f>
        <v/>
      </c>
    </row>
    <row r="833" spans="1:5" ht="15.75" customHeight="1">
      <c r="A833" s="128"/>
      <c r="B833" s="128"/>
      <c r="C833" s="2"/>
      <c r="D833" s="87"/>
      <c r="E833" s="87" t="str">
        <f>IF(A833="","",IF(D833-SUMIFS(GRN!$E$3:$E996,GRN!$D$3:$D996,C833)&lt;0,0,D833-SUMIFS(GRN!$E$3:$E996,GRN!$D$3:$D996,C833)))</f>
        <v/>
      </c>
    </row>
    <row r="834" spans="1:5" ht="15.75" customHeight="1">
      <c r="A834" s="128"/>
      <c r="B834" s="128"/>
      <c r="C834" s="2"/>
      <c r="D834" s="87"/>
      <c r="E834" s="87" t="str">
        <f>IF(A834="","",IF(D834-SUMIFS(GRN!$E$3:$E996,GRN!$D$3:$D996,C834)&lt;0,0,D834-SUMIFS(GRN!$E$3:$E996,GRN!$D$3:$D996,C834)))</f>
        <v/>
      </c>
    </row>
    <row r="835" spans="1:5" ht="15.75" customHeight="1">
      <c r="A835" s="128"/>
      <c r="B835" s="128"/>
      <c r="C835" s="2"/>
      <c r="D835" s="87"/>
      <c r="E835" s="87" t="str">
        <f>IF(A835="","",IF(D835-SUMIFS(GRN!$E$3:$E996,GRN!$D$3:$D996,C835)&lt;0,0,D835-SUMIFS(GRN!$E$3:$E996,GRN!$D$3:$D996,C835)))</f>
        <v/>
      </c>
    </row>
    <row r="836" spans="1:5" ht="15.75" customHeight="1">
      <c r="A836" s="128"/>
      <c r="B836" s="128"/>
      <c r="C836" s="2"/>
      <c r="D836" s="87"/>
      <c r="E836" s="87" t="str">
        <f>IF(A836="","",IF(D836-SUMIFS(GRN!$E$3:$E996,GRN!$D$3:$D996,C836)&lt;0,0,D836-SUMIFS(GRN!$E$3:$E996,GRN!$D$3:$D996,C836)))</f>
        <v/>
      </c>
    </row>
    <row r="837" spans="1:5" ht="15.75" customHeight="1">
      <c r="A837" s="128"/>
      <c r="B837" s="128"/>
      <c r="C837" s="2"/>
      <c r="D837" s="87"/>
      <c r="E837" s="87" t="str">
        <f>IF(A837="","",IF(D837-SUMIFS(GRN!$E$3:$E996,GRN!$D$3:$D996,C837)&lt;0,0,D837-SUMIFS(GRN!$E$3:$E996,GRN!$D$3:$D996,C837)))</f>
        <v/>
      </c>
    </row>
    <row r="838" spans="1:5" ht="15.75" customHeight="1">
      <c r="A838" s="128"/>
      <c r="B838" s="128"/>
      <c r="C838" s="2"/>
      <c r="D838" s="87"/>
      <c r="E838" s="87" t="str">
        <f>IF(A838="","",IF(D838-SUMIFS(GRN!$E$3:$E996,GRN!$D$3:$D996,C838)&lt;0,0,D838-SUMIFS(GRN!$E$3:$E996,GRN!$D$3:$D996,C838)))</f>
        <v/>
      </c>
    </row>
    <row r="839" spans="1:5" ht="15.75" customHeight="1">
      <c r="A839" s="128"/>
      <c r="B839" s="128"/>
      <c r="C839" s="2"/>
      <c r="D839" s="87"/>
      <c r="E839" s="87" t="str">
        <f>IF(A839="","",IF(D839-SUMIFS(GRN!$E$3:$E996,GRN!$D$3:$D996,C839)&lt;0,0,D839-SUMIFS(GRN!$E$3:$E996,GRN!$D$3:$D996,C839)))</f>
        <v/>
      </c>
    </row>
    <row r="840" spans="1:5" ht="15.75" customHeight="1">
      <c r="A840" s="128"/>
      <c r="B840" s="128"/>
      <c r="C840" s="2"/>
      <c r="D840" s="87"/>
      <c r="E840" s="87" t="str">
        <f>IF(A840="","",IF(D840-SUMIFS(GRN!$E$3:$E996,GRN!$D$3:$D996,C840)&lt;0,0,D840-SUMIFS(GRN!$E$3:$E996,GRN!$D$3:$D996,C840)))</f>
        <v/>
      </c>
    </row>
    <row r="841" spans="1:5" ht="15.75" customHeight="1">
      <c r="A841" s="128"/>
      <c r="B841" s="128"/>
      <c r="C841" s="2"/>
      <c r="D841" s="87"/>
      <c r="E841" s="87" t="str">
        <f>IF(A841="","",IF(D841-SUMIFS(GRN!$E$3:$E996,GRN!$D$3:$D996,C841)&lt;0,0,D841-SUMIFS(GRN!$E$3:$E996,GRN!$D$3:$D996,C841)))</f>
        <v/>
      </c>
    </row>
    <row r="842" spans="1:5" ht="15.75" customHeight="1">
      <c r="A842" s="128"/>
      <c r="B842" s="128"/>
      <c r="C842" s="2"/>
      <c r="D842" s="87"/>
      <c r="E842" s="87" t="str">
        <f>IF(A842="","",IF(D842-SUMIFS(GRN!$E$3:$E996,GRN!$D$3:$D996,C842)&lt;0,0,D842-SUMIFS(GRN!$E$3:$E996,GRN!$D$3:$D996,C842)))</f>
        <v/>
      </c>
    </row>
    <row r="843" spans="1:5" ht="15.75" customHeight="1">
      <c r="A843" s="128"/>
      <c r="B843" s="128"/>
      <c r="C843" s="2"/>
      <c r="D843" s="87"/>
      <c r="E843" s="87" t="str">
        <f>IF(A843="","",IF(D843-SUMIFS(GRN!$E$3:$E996,GRN!$D$3:$D996,C843)&lt;0,0,D843-SUMIFS(GRN!$E$3:$E996,GRN!$D$3:$D996,C843)))</f>
        <v/>
      </c>
    </row>
    <row r="844" spans="1:5" ht="15.75" customHeight="1">
      <c r="A844" s="128"/>
      <c r="B844" s="128"/>
      <c r="C844" s="2"/>
      <c r="D844" s="87"/>
      <c r="E844" s="87" t="str">
        <f>IF(A844="","",IF(D844-SUMIFS(GRN!$E$3:$E996,GRN!$D$3:$D996,C844)&lt;0,0,D844-SUMIFS(GRN!$E$3:$E996,GRN!$D$3:$D996,C844)))</f>
        <v/>
      </c>
    </row>
    <row r="845" spans="1:5" ht="15.75" customHeight="1">
      <c r="A845" s="128"/>
      <c r="B845" s="128"/>
      <c r="C845" s="2"/>
      <c r="D845" s="87"/>
      <c r="E845" s="87" t="str">
        <f>IF(A845="","",IF(D845-SUMIFS(GRN!$E$3:$E996,GRN!$D$3:$D996,C845)&lt;0,0,D845-SUMIFS(GRN!$E$3:$E996,GRN!$D$3:$D996,C845)))</f>
        <v/>
      </c>
    </row>
    <row r="846" spans="1:5" ht="15.75" customHeight="1">
      <c r="A846" s="128"/>
      <c r="B846" s="128"/>
      <c r="C846" s="2"/>
      <c r="D846" s="87"/>
      <c r="E846" s="87" t="str">
        <f>IF(A846="","",IF(D846-SUMIFS(GRN!$E$3:$E996,GRN!$D$3:$D996,C846)&lt;0,0,D846-SUMIFS(GRN!$E$3:$E996,GRN!$D$3:$D996,C846)))</f>
        <v/>
      </c>
    </row>
    <row r="847" spans="1:5" ht="15.75" customHeight="1">
      <c r="A847" s="128"/>
      <c r="B847" s="128"/>
      <c r="C847" s="2"/>
      <c r="D847" s="87"/>
      <c r="E847" s="87" t="str">
        <f>IF(A847="","",IF(D847-SUMIFS(GRN!$E$3:$E996,GRN!$D$3:$D996,C847)&lt;0,0,D847-SUMIFS(GRN!$E$3:$E996,GRN!$D$3:$D996,C847)))</f>
        <v/>
      </c>
    </row>
    <row r="848" spans="1:5" ht="15.75" customHeight="1">
      <c r="A848" s="128"/>
      <c r="B848" s="128"/>
      <c r="C848" s="2"/>
      <c r="D848" s="87"/>
      <c r="E848" s="87" t="str">
        <f>IF(A848="","",IF(D848-SUMIFS(GRN!$E$3:$E996,GRN!$D$3:$D996,C848)&lt;0,0,D848-SUMIFS(GRN!$E$3:$E996,GRN!$D$3:$D996,C848)))</f>
        <v/>
      </c>
    </row>
    <row r="849" spans="1:5" ht="15.75" customHeight="1">
      <c r="A849" s="128"/>
      <c r="B849" s="128"/>
      <c r="C849" s="2"/>
      <c r="D849" s="87"/>
      <c r="E849" s="87" t="str">
        <f>IF(A849="","",IF(D849-SUMIFS(GRN!$E$3:$E996,GRN!$D$3:$D996,C849)&lt;0,0,D849-SUMIFS(GRN!$E$3:$E996,GRN!$D$3:$D996,C849)))</f>
        <v/>
      </c>
    </row>
    <row r="850" spans="1:5" ht="15.75" customHeight="1">
      <c r="A850" s="128"/>
      <c r="B850" s="128"/>
      <c r="C850" s="2"/>
      <c r="D850" s="87"/>
      <c r="E850" s="87" t="str">
        <f>IF(A850="","",IF(D850-SUMIFS(GRN!$E$3:$E996,GRN!$D$3:$D996,C850)&lt;0,0,D850-SUMIFS(GRN!$E$3:$E996,GRN!$D$3:$D996,C850)))</f>
        <v/>
      </c>
    </row>
    <row r="851" spans="1:5" ht="15.75" customHeight="1">
      <c r="A851" s="128"/>
      <c r="B851" s="128"/>
      <c r="C851" s="2"/>
      <c r="D851" s="87"/>
      <c r="E851" s="87" t="str">
        <f>IF(A851="","",IF(D851-SUMIFS(GRN!$E$3:$E996,GRN!$D$3:$D996,C851)&lt;0,0,D851-SUMIFS(GRN!$E$3:$E996,GRN!$D$3:$D996,C851)))</f>
        <v/>
      </c>
    </row>
    <row r="852" spans="1:5" ht="15.75" customHeight="1">
      <c r="A852" s="128"/>
      <c r="B852" s="128"/>
      <c r="C852" s="2"/>
      <c r="D852" s="87"/>
      <c r="E852" s="87" t="str">
        <f>IF(A852="","",IF(D852-SUMIFS(GRN!$E$3:$E996,GRN!$D$3:$D996,C852)&lt;0,0,D852-SUMIFS(GRN!$E$3:$E996,GRN!$D$3:$D996,C852)))</f>
        <v/>
      </c>
    </row>
    <row r="853" spans="1:5" ht="15.75" customHeight="1">
      <c r="A853" s="128"/>
      <c r="B853" s="128"/>
      <c r="C853" s="2"/>
      <c r="D853" s="87"/>
      <c r="E853" s="87" t="str">
        <f>IF(A853="","",IF(D853-SUMIFS(GRN!$E$3:$E996,GRN!$D$3:$D996,C853)&lt;0,0,D853-SUMIFS(GRN!$E$3:$E996,GRN!$D$3:$D996,C853)))</f>
        <v/>
      </c>
    </row>
    <row r="854" spans="1:5" ht="15.75" customHeight="1">
      <c r="A854" s="128"/>
      <c r="B854" s="128"/>
      <c r="C854" s="2"/>
      <c r="D854" s="87"/>
      <c r="E854" s="87" t="str">
        <f>IF(A854="","",IF(D854-SUMIFS(GRN!$E$3:$E996,GRN!$D$3:$D996,C854)&lt;0,0,D854-SUMIFS(GRN!$E$3:$E996,GRN!$D$3:$D996,C854)))</f>
        <v/>
      </c>
    </row>
    <row r="855" spans="1:5" ht="15.75" customHeight="1">
      <c r="A855" s="128"/>
      <c r="B855" s="128"/>
      <c r="C855" s="2"/>
      <c r="D855" s="87"/>
      <c r="E855" s="87" t="str">
        <f>IF(A855="","",IF(D855-SUMIFS(GRN!$E$3:$E996,GRN!$D$3:$D996,C855)&lt;0,0,D855-SUMIFS(GRN!$E$3:$E996,GRN!$D$3:$D996,C855)))</f>
        <v/>
      </c>
    </row>
    <row r="856" spans="1:5" ht="15.75" customHeight="1">
      <c r="A856" s="128"/>
      <c r="B856" s="128"/>
      <c r="C856" s="2"/>
      <c r="D856" s="87"/>
      <c r="E856" s="87" t="str">
        <f>IF(A856="","",IF(D856-SUMIFS(GRN!$E$3:$E996,GRN!$D$3:$D996,C856)&lt;0,0,D856-SUMIFS(GRN!$E$3:$E996,GRN!$D$3:$D996,C856)))</f>
        <v/>
      </c>
    </row>
    <row r="857" spans="1:5" ht="15.75" customHeight="1">
      <c r="A857" s="128"/>
      <c r="B857" s="128"/>
      <c r="C857" s="2"/>
      <c r="D857" s="87"/>
      <c r="E857" s="87" t="str">
        <f>IF(A857="","",IF(D857-SUMIFS(GRN!$E$3:$E996,GRN!$D$3:$D996,C857)&lt;0,0,D857-SUMIFS(GRN!$E$3:$E996,GRN!$D$3:$D996,C857)))</f>
        <v/>
      </c>
    </row>
    <row r="858" spans="1:5" ht="15.75" customHeight="1">
      <c r="A858" s="128"/>
      <c r="B858" s="128"/>
      <c r="C858" s="2"/>
      <c r="D858" s="87"/>
      <c r="E858" s="87" t="str">
        <f>IF(A858="","",IF(D858-SUMIFS(GRN!$E$3:$E996,GRN!$D$3:$D996,C858)&lt;0,0,D858-SUMIFS(GRN!$E$3:$E996,GRN!$D$3:$D996,C858)))</f>
        <v/>
      </c>
    </row>
    <row r="859" spans="1:5" ht="15.75" customHeight="1">
      <c r="A859" s="128"/>
      <c r="B859" s="128"/>
      <c r="C859" s="2"/>
      <c r="D859" s="87"/>
      <c r="E859" s="87" t="str">
        <f>IF(A859="","",IF(D859-SUMIFS(GRN!$E$3:$E996,GRN!$D$3:$D996,C859)&lt;0,0,D859-SUMIFS(GRN!$E$3:$E996,GRN!$D$3:$D996,C859)))</f>
        <v/>
      </c>
    </row>
    <row r="860" spans="1:5" ht="15.75" customHeight="1">
      <c r="A860" s="128"/>
      <c r="B860" s="128"/>
      <c r="C860" s="2"/>
      <c r="D860" s="87"/>
      <c r="E860" s="87" t="str">
        <f>IF(A860="","",IF(D860-SUMIFS(GRN!$E$3:$E996,GRN!$D$3:$D996,C860)&lt;0,0,D860-SUMIFS(GRN!$E$3:$E996,GRN!$D$3:$D996,C860)))</f>
        <v/>
      </c>
    </row>
    <row r="861" spans="1:5" ht="15.75" customHeight="1">
      <c r="A861" s="128"/>
      <c r="B861" s="128"/>
      <c r="C861" s="2"/>
      <c r="D861" s="87"/>
      <c r="E861" s="87" t="str">
        <f>IF(A861="","",IF(D861-SUMIFS(GRN!$E$3:$E996,GRN!$D$3:$D996,C861)&lt;0,0,D861-SUMIFS(GRN!$E$3:$E996,GRN!$D$3:$D996,C861)))</f>
        <v/>
      </c>
    </row>
    <row r="862" spans="1:5" ht="15.75" customHeight="1">
      <c r="A862" s="128"/>
      <c r="B862" s="128"/>
      <c r="C862" s="2"/>
      <c r="D862" s="87"/>
      <c r="E862" s="87" t="str">
        <f>IF(A862="","",IF(D862-SUMIFS(GRN!$E$3:$E996,GRN!$D$3:$D996,C862)&lt;0,0,D862-SUMIFS(GRN!$E$3:$E996,GRN!$D$3:$D996,C862)))</f>
        <v/>
      </c>
    </row>
    <row r="863" spans="1:5" ht="15.75" customHeight="1">
      <c r="A863" s="128"/>
      <c r="B863" s="128"/>
      <c r="C863" s="2"/>
      <c r="D863" s="87"/>
      <c r="E863" s="87" t="str">
        <f>IF(A863="","",IF(D863-SUMIFS(GRN!$E$3:$E996,GRN!$D$3:$D996,C863)&lt;0,0,D863-SUMIFS(GRN!$E$3:$E996,GRN!$D$3:$D996,C863)))</f>
        <v/>
      </c>
    </row>
    <row r="864" spans="1:5" ht="15.75" customHeight="1">
      <c r="A864" s="128"/>
      <c r="B864" s="128"/>
      <c r="C864" s="2"/>
      <c r="D864" s="87"/>
      <c r="E864" s="87" t="str">
        <f>IF(A864="","",IF(D864-SUMIFS(GRN!$E$3:$E996,GRN!$D$3:$D996,C864)&lt;0,0,D864-SUMIFS(GRN!$E$3:$E996,GRN!$D$3:$D996,C864)))</f>
        <v/>
      </c>
    </row>
    <row r="865" spans="1:5" ht="15.75" customHeight="1">
      <c r="A865" s="128"/>
      <c r="B865" s="128"/>
      <c r="C865" s="2"/>
      <c r="D865" s="87"/>
      <c r="E865" s="87" t="str">
        <f>IF(A865="","",IF(D865-SUMIFS(GRN!$E$3:$E996,GRN!$D$3:$D996,C865)&lt;0,0,D865-SUMIFS(GRN!$E$3:$E996,GRN!$D$3:$D996,C865)))</f>
        <v/>
      </c>
    </row>
    <row r="866" spans="1:5" ht="15.75" customHeight="1">
      <c r="A866" s="128"/>
      <c r="B866" s="128"/>
      <c r="C866" s="2"/>
      <c r="D866" s="87"/>
      <c r="E866" s="87" t="str">
        <f>IF(A866="","",IF(D866-SUMIFS(GRN!$E$3:$E996,GRN!$D$3:$D996,C866)&lt;0,0,D866-SUMIFS(GRN!$E$3:$E996,GRN!$D$3:$D996,C866)))</f>
        <v/>
      </c>
    </row>
    <row r="867" spans="1:5" ht="15.75" customHeight="1">
      <c r="A867" s="128"/>
      <c r="B867" s="128"/>
      <c r="C867" s="2"/>
      <c r="D867" s="87"/>
      <c r="E867" s="87" t="str">
        <f>IF(A867="","",IF(D867-SUMIFS(GRN!$E$3:$E996,GRN!$D$3:$D996,C867)&lt;0,0,D867-SUMIFS(GRN!$E$3:$E996,GRN!$D$3:$D996,C867)))</f>
        <v/>
      </c>
    </row>
    <row r="868" spans="1:5" ht="15.75" customHeight="1">
      <c r="A868" s="128"/>
      <c r="B868" s="128"/>
      <c r="C868" s="2"/>
      <c r="D868" s="87"/>
      <c r="E868" s="87" t="str">
        <f>IF(A868="","",IF(D868-SUMIFS(GRN!$E$3:$E996,GRN!$D$3:$D996,C868)&lt;0,0,D868-SUMIFS(GRN!$E$3:$E996,GRN!$D$3:$D996,C868)))</f>
        <v/>
      </c>
    </row>
    <row r="869" spans="1:5" ht="15.75" customHeight="1">
      <c r="A869" s="128"/>
      <c r="B869" s="128"/>
      <c r="C869" s="2"/>
      <c r="D869" s="87"/>
      <c r="E869" s="87" t="str">
        <f>IF(A869="","",IF(D869-SUMIFS(GRN!$E$3:$E996,GRN!$D$3:$D996,C869)&lt;0,0,D869-SUMIFS(GRN!$E$3:$E996,GRN!$D$3:$D996,C869)))</f>
        <v/>
      </c>
    </row>
    <row r="870" spans="1:5" ht="15.75" customHeight="1">
      <c r="A870" s="128"/>
      <c r="B870" s="128"/>
      <c r="C870" s="2"/>
      <c r="D870" s="87"/>
      <c r="E870" s="87" t="str">
        <f>IF(A870="","",IF(D870-SUMIFS(GRN!$E$3:$E996,GRN!$D$3:$D996,C870)&lt;0,0,D870-SUMIFS(GRN!$E$3:$E996,GRN!$D$3:$D996,C870)))</f>
        <v/>
      </c>
    </row>
    <row r="871" spans="1:5" ht="15.75" customHeight="1">
      <c r="A871" s="128"/>
      <c r="B871" s="128"/>
      <c r="C871" s="2"/>
      <c r="D871" s="87"/>
      <c r="E871" s="87" t="str">
        <f>IF(A871="","",IF(D871-SUMIFS(GRN!$E$3:$E996,GRN!$D$3:$D996,C871)&lt;0,0,D871-SUMIFS(GRN!$E$3:$E996,GRN!$D$3:$D996,C871)))</f>
        <v/>
      </c>
    </row>
    <row r="872" spans="1:5" ht="15.75" customHeight="1">
      <c r="A872" s="128"/>
      <c r="B872" s="128"/>
      <c r="C872" s="2"/>
      <c r="D872" s="87"/>
      <c r="E872" s="87" t="str">
        <f>IF(A872="","",IF(D872-SUMIFS(GRN!$E$3:$E996,GRN!$D$3:$D996,C872)&lt;0,0,D872-SUMIFS(GRN!$E$3:$E996,GRN!$D$3:$D996,C872)))</f>
        <v/>
      </c>
    </row>
    <row r="873" spans="1:5" ht="15.75" customHeight="1">
      <c r="A873" s="128"/>
      <c r="B873" s="128"/>
      <c r="C873" s="2"/>
      <c r="D873" s="87"/>
      <c r="E873" s="87" t="str">
        <f>IF(A873="","",IF(D873-SUMIFS(GRN!$E$3:$E996,GRN!$D$3:$D996,C873)&lt;0,0,D873-SUMIFS(GRN!$E$3:$E996,GRN!$D$3:$D996,C873)))</f>
        <v/>
      </c>
    </row>
    <row r="874" spans="1:5" ht="15.75" customHeight="1">
      <c r="A874" s="128"/>
      <c r="B874" s="128"/>
      <c r="C874" s="2"/>
      <c r="D874" s="87"/>
      <c r="E874" s="87" t="str">
        <f>IF(A874="","",IF(D874-SUMIFS(GRN!$E$3:$E996,GRN!$D$3:$D996,C874)&lt;0,0,D874-SUMIFS(GRN!$E$3:$E996,GRN!$D$3:$D996,C874)))</f>
        <v/>
      </c>
    </row>
    <row r="875" spans="1:5" ht="15.75" customHeight="1">
      <c r="A875" s="128"/>
      <c r="B875" s="128"/>
      <c r="C875" s="2"/>
      <c r="D875" s="87"/>
      <c r="E875" s="87" t="str">
        <f>IF(A875="","",IF(D875-SUMIFS(GRN!$E$3:$E996,GRN!$D$3:$D996,C875)&lt;0,0,D875-SUMIFS(GRN!$E$3:$E996,GRN!$D$3:$D996,C875)))</f>
        <v/>
      </c>
    </row>
    <row r="876" spans="1:5" ht="15.75" customHeight="1">
      <c r="A876" s="128"/>
      <c r="B876" s="128"/>
      <c r="C876" s="2"/>
      <c r="D876" s="87"/>
      <c r="E876" s="87" t="str">
        <f>IF(A876="","",IF(D876-SUMIFS(GRN!$E$3:$E996,GRN!$D$3:$D996,C876)&lt;0,0,D876-SUMIFS(GRN!$E$3:$E996,GRN!$D$3:$D996,C876)))</f>
        <v/>
      </c>
    </row>
    <row r="877" spans="1:5" ht="15.75" customHeight="1">
      <c r="A877" s="128"/>
      <c r="B877" s="128"/>
      <c r="C877" s="2"/>
      <c r="D877" s="87"/>
      <c r="E877" s="87" t="str">
        <f>IF(A877="","",IF(D877-SUMIFS(GRN!$E$3:$E996,GRN!$D$3:$D996,C877)&lt;0,0,D877-SUMIFS(GRN!$E$3:$E996,GRN!$D$3:$D996,C877)))</f>
        <v/>
      </c>
    </row>
    <row r="878" spans="1:5" ht="15.75" customHeight="1">
      <c r="A878" s="128"/>
      <c r="B878" s="128"/>
      <c r="C878" s="2"/>
      <c r="D878" s="87"/>
      <c r="E878" s="87" t="str">
        <f>IF(A878="","",IF(D878-SUMIFS(GRN!$E$3:$E996,GRN!$D$3:$D996,C878)&lt;0,0,D878-SUMIFS(GRN!$E$3:$E996,GRN!$D$3:$D996,C878)))</f>
        <v/>
      </c>
    </row>
    <row r="879" spans="1:5" ht="15.75" customHeight="1">
      <c r="A879" s="128"/>
      <c r="B879" s="128"/>
      <c r="C879" s="2"/>
      <c r="D879" s="87"/>
      <c r="E879" s="87" t="str">
        <f>IF(A879="","",IF(D879-SUMIFS(GRN!$E$3:$E996,GRN!$D$3:$D996,C879)&lt;0,0,D879-SUMIFS(GRN!$E$3:$E996,GRN!$D$3:$D996,C879)))</f>
        <v/>
      </c>
    </row>
    <row r="880" spans="1:5" ht="15.75" customHeight="1">
      <c r="A880" s="128"/>
      <c r="B880" s="128"/>
      <c r="C880" s="2"/>
      <c r="D880" s="87"/>
      <c r="E880" s="87" t="str">
        <f>IF(A880="","",IF(D880-SUMIFS(GRN!$E$3:$E996,GRN!$D$3:$D996,C880)&lt;0,0,D880-SUMIFS(GRN!$E$3:$E996,GRN!$D$3:$D996,C880)))</f>
        <v/>
      </c>
    </row>
    <row r="881" spans="1:5" ht="15.75" customHeight="1">
      <c r="A881" s="128"/>
      <c r="B881" s="128"/>
      <c r="C881" s="2"/>
      <c r="D881" s="87"/>
      <c r="E881" s="87" t="str">
        <f>IF(A881="","",IF(D881-SUMIFS(GRN!$E$3:$E996,GRN!$D$3:$D996,C881)&lt;0,0,D881-SUMIFS(GRN!$E$3:$E996,GRN!$D$3:$D996,C881)))</f>
        <v/>
      </c>
    </row>
    <row r="882" spans="1:5" ht="15.75" customHeight="1">
      <c r="A882" s="128"/>
      <c r="B882" s="128"/>
      <c r="C882" s="2"/>
      <c r="D882" s="87"/>
      <c r="E882" s="87" t="str">
        <f>IF(A882="","",IF(D882-SUMIFS(GRN!$E$3:$E996,GRN!$D$3:$D996,C882)&lt;0,0,D882-SUMIFS(GRN!$E$3:$E996,GRN!$D$3:$D996,C882)))</f>
        <v/>
      </c>
    </row>
    <row r="883" spans="1:5" ht="15.75" customHeight="1">
      <c r="A883" s="128"/>
      <c r="B883" s="128"/>
      <c r="C883" s="2"/>
      <c r="D883" s="87"/>
      <c r="E883" s="87" t="str">
        <f>IF(A883="","",IF(D883-SUMIFS(GRN!$E$3:$E996,GRN!$D$3:$D996,C883)&lt;0,0,D883-SUMIFS(GRN!$E$3:$E996,GRN!$D$3:$D996,C883)))</f>
        <v/>
      </c>
    </row>
    <row r="884" spans="1:5" ht="15.75" customHeight="1">
      <c r="A884" s="128"/>
      <c r="B884" s="128"/>
      <c r="C884" s="2"/>
      <c r="D884" s="87"/>
      <c r="E884" s="87" t="str">
        <f>IF(A884="","",IF(D884-SUMIFS(GRN!$E$3:$E996,GRN!$D$3:$D996,C884)&lt;0,0,D884-SUMIFS(GRN!$E$3:$E996,GRN!$D$3:$D996,C884)))</f>
        <v/>
      </c>
    </row>
    <row r="885" spans="1:5" ht="15.75" customHeight="1">
      <c r="A885" s="128"/>
      <c r="B885" s="128"/>
      <c r="C885" s="2"/>
      <c r="D885" s="87"/>
      <c r="E885" s="87" t="str">
        <f>IF(A885="","",IF(D885-SUMIFS(GRN!$E$3:$E996,GRN!$D$3:$D996,C885)&lt;0,0,D885-SUMIFS(GRN!$E$3:$E996,GRN!$D$3:$D996,C885)))</f>
        <v/>
      </c>
    </row>
    <row r="886" spans="1:5" ht="15.75" customHeight="1">
      <c r="A886" s="128"/>
      <c r="B886" s="128"/>
      <c r="C886" s="2"/>
      <c r="D886" s="87"/>
      <c r="E886" s="87" t="str">
        <f>IF(A886="","",IF(D886-SUMIFS(GRN!$E$3:$E996,GRN!$D$3:$D996,C886)&lt;0,0,D886-SUMIFS(GRN!$E$3:$E996,GRN!$D$3:$D996,C886)))</f>
        <v/>
      </c>
    </row>
    <row r="887" spans="1:5" ht="15.75" customHeight="1">
      <c r="A887" s="128"/>
      <c r="B887" s="128"/>
      <c r="C887" s="2"/>
      <c r="D887" s="87"/>
      <c r="E887" s="87" t="str">
        <f>IF(A887="","",IF(D887-SUMIFS(GRN!$E$3:$E996,GRN!$D$3:$D996,C887)&lt;0,0,D887-SUMIFS(GRN!$E$3:$E996,GRN!$D$3:$D996,C887)))</f>
        <v/>
      </c>
    </row>
    <row r="888" spans="1:5" ht="15.75" customHeight="1">
      <c r="A888" s="128"/>
      <c r="B888" s="128"/>
      <c r="C888" s="2"/>
      <c r="D888" s="87"/>
      <c r="E888" s="87" t="str">
        <f>IF(A888="","",IF(D888-SUMIFS(GRN!$E$3:$E996,GRN!$D$3:$D996,C888)&lt;0,0,D888-SUMIFS(GRN!$E$3:$E996,GRN!$D$3:$D996,C888)))</f>
        <v/>
      </c>
    </row>
    <row r="889" spans="1:5" ht="15.75" customHeight="1">
      <c r="A889" s="128"/>
      <c r="B889" s="128"/>
      <c r="C889" s="2"/>
      <c r="D889" s="87"/>
      <c r="E889" s="87" t="str">
        <f>IF(A889="","",IF(D889-SUMIFS(GRN!$E$3:$E996,GRN!$D$3:$D996,C889)&lt;0,0,D889-SUMIFS(GRN!$E$3:$E996,GRN!$D$3:$D996,C889)))</f>
        <v/>
      </c>
    </row>
    <row r="890" spans="1:5" ht="15.75" customHeight="1">
      <c r="A890" s="128"/>
      <c r="B890" s="128"/>
      <c r="C890" s="2"/>
      <c r="D890" s="87"/>
      <c r="E890" s="87" t="str">
        <f>IF(A890="","",IF(D890-SUMIFS(GRN!$E$3:$E996,GRN!$D$3:$D996,C890)&lt;0,0,D890-SUMIFS(GRN!$E$3:$E996,GRN!$D$3:$D996,C890)))</f>
        <v/>
      </c>
    </row>
    <row r="891" spans="1:5" ht="15.75" customHeight="1">
      <c r="A891" s="128"/>
      <c r="B891" s="128"/>
      <c r="C891" s="2"/>
      <c r="D891" s="87"/>
      <c r="E891" s="87" t="str">
        <f>IF(A891="","",IF(D891-SUMIFS(GRN!$E$3:$E996,GRN!$D$3:$D996,C891)&lt;0,0,D891-SUMIFS(GRN!$E$3:$E996,GRN!$D$3:$D996,C891)))</f>
        <v/>
      </c>
    </row>
    <row r="892" spans="1:5" ht="15.75" customHeight="1">
      <c r="A892" s="128"/>
      <c r="B892" s="128"/>
      <c r="C892" s="2"/>
      <c r="D892" s="87"/>
      <c r="E892" s="87" t="str">
        <f>IF(A892="","",IF(D892-SUMIFS(GRN!$E$3:$E996,GRN!$D$3:$D996,C892)&lt;0,0,D892-SUMIFS(GRN!$E$3:$E996,GRN!$D$3:$D996,C892)))</f>
        <v/>
      </c>
    </row>
    <row r="893" spans="1:5" ht="15.75" customHeight="1">
      <c r="A893" s="128"/>
      <c r="B893" s="128"/>
      <c r="C893" s="2"/>
      <c r="D893" s="87"/>
      <c r="E893" s="87" t="str">
        <f>IF(A893="","",IF(D893-SUMIFS(GRN!$E$3:$E996,GRN!$D$3:$D996,C893)&lt;0,0,D893-SUMIFS(GRN!$E$3:$E996,GRN!$D$3:$D996,C893)))</f>
        <v/>
      </c>
    </row>
    <row r="894" spans="1:5" ht="15.75" customHeight="1">
      <c r="A894" s="128"/>
      <c r="B894" s="128"/>
      <c r="C894" s="2"/>
      <c r="D894" s="87"/>
      <c r="E894" s="87" t="str">
        <f>IF(A894="","",IF(D894-SUMIFS(GRN!$E$3:$E996,GRN!$D$3:$D996,C894)&lt;0,0,D894-SUMIFS(GRN!$E$3:$E996,GRN!$D$3:$D996,C894)))</f>
        <v/>
      </c>
    </row>
    <row r="895" spans="1:5" ht="15.75" customHeight="1">
      <c r="A895" s="128"/>
      <c r="B895" s="128"/>
      <c r="C895" s="2"/>
      <c r="D895" s="87"/>
      <c r="E895" s="87" t="str">
        <f>IF(A895="","",IF(D895-SUMIFS(GRN!$E$3:$E996,GRN!$D$3:$D996,C895)&lt;0,0,D895-SUMIFS(GRN!$E$3:$E996,GRN!$D$3:$D996,C895)))</f>
        <v/>
      </c>
    </row>
    <row r="896" spans="1:5" ht="15.75" customHeight="1">
      <c r="A896" s="128"/>
      <c r="B896" s="128"/>
      <c r="C896" s="2"/>
      <c r="D896" s="87"/>
      <c r="E896" s="87" t="str">
        <f>IF(A896="","",IF(D896-SUMIFS(GRN!$E$3:$E996,GRN!$D$3:$D996,C896)&lt;0,0,D896-SUMIFS(GRN!$E$3:$E996,GRN!$D$3:$D996,C896)))</f>
        <v/>
      </c>
    </row>
    <row r="897" spans="1:5" ht="15.75" customHeight="1">
      <c r="A897" s="128"/>
      <c r="B897" s="128"/>
      <c r="C897" s="2"/>
      <c r="D897" s="87"/>
      <c r="E897" s="87" t="str">
        <f>IF(A897="","",IF(D897-SUMIFS(GRN!$E$3:$E996,GRN!$D$3:$D996,C897)&lt;0,0,D897-SUMIFS(GRN!$E$3:$E996,GRN!$D$3:$D996,C897)))</f>
        <v/>
      </c>
    </row>
    <row r="898" spans="1:5" ht="15.75" customHeight="1">
      <c r="A898" s="128"/>
      <c r="B898" s="128"/>
      <c r="C898" s="2"/>
      <c r="D898" s="87"/>
      <c r="E898" s="87" t="str">
        <f>IF(A898="","",IF(D898-SUMIFS(GRN!$E$3:$E996,GRN!$D$3:$D996,C898)&lt;0,0,D898-SUMIFS(GRN!$E$3:$E996,GRN!$D$3:$D996,C898)))</f>
        <v/>
      </c>
    </row>
    <row r="899" spans="1:5" ht="15.75" customHeight="1">
      <c r="A899" s="128"/>
      <c r="B899" s="128"/>
      <c r="C899" s="2"/>
      <c r="D899" s="87"/>
      <c r="E899" s="87" t="str">
        <f>IF(A899="","",IF(D899-SUMIFS(GRN!$E$3:$E996,GRN!$D$3:$D996,C899)&lt;0,0,D899-SUMIFS(GRN!$E$3:$E996,GRN!$D$3:$D996,C899)))</f>
        <v/>
      </c>
    </row>
    <row r="900" spans="1:5" ht="15.75" customHeight="1">
      <c r="A900" s="128"/>
      <c r="B900" s="128"/>
      <c r="C900" s="2"/>
      <c r="D900" s="87"/>
      <c r="E900" s="87" t="str">
        <f>IF(A900="","",IF(D900-SUMIFS(GRN!$E$3:$E996,GRN!$D$3:$D996,C900)&lt;0,0,D900-SUMIFS(GRN!$E$3:$E996,GRN!$D$3:$D996,C900)))</f>
        <v/>
      </c>
    </row>
    <row r="901" spans="1:5" ht="15.75" customHeight="1">
      <c r="A901" s="128"/>
      <c r="B901" s="128"/>
      <c r="C901" s="2"/>
      <c r="D901" s="87"/>
      <c r="E901" s="87" t="str">
        <f>IF(A901="","",IF(D901-SUMIFS(GRN!$E$3:$E996,GRN!$D$3:$D996,C901)&lt;0,0,D901-SUMIFS(GRN!$E$3:$E996,GRN!$D$3:$D996,C901)))</f>
        <v/>
      </c>
    </row>
    <row r="902" spans="1:5" ht="15.75" customHeight="1">
      <c r="A902" s="128"/>
      <c r="B902" s="128"/>
      <c r="C902" s="2"/>
      <c r="D902" s="87"/>
      <c r="E902" s="87" t="str">
        <f>IF(A902="","",IF(D902-SUMIFS(GRN!$E$3:$E996,GRN!$D$3:$D996,C902)&lt;0,0,D902-SUMIFS(GRN!$E$3:$E996,GRN!$D$3:$D996,C902)))</f>
        <v/>
      </c>
    </row>
    <row r="903" spans="1:5" ht="15.75" customHeight="1">
      <c r="A903" s="128"/>
      <c r="B903" s="128"/>
      <c r="C903" s="2"/>
      <c r="D903" s="87"/>
      <c r="E903" s="87" t="str">
        <f>IF(A903="","",IF(D903-SUMIFS(GRN!$E$3:$E996,GRN!$D$3:$D996,C903)&lt;0,0,D903-SUMIFS(GRN!$E$3:$E996,GRN!$D$3:$D996,C903)))</f>
        <v/>
      </c>
    </row>
    <row r="904" spans="1:5" ht="15.75" customHeight="1">
      <c r="A904" s="128"/>
      <c r="B904" s="128"/>
      <c r="C904" s="2"/>
      <c r="D904" s="87"/>
      <c r="E904" s="87" t="str">
        <f>IF(A904="","",IF(D904-SUMIFS(GRN!$E$3:$E996,GRN!$D$3:$D996,C904)&lt;0,0,D904-SUMIFS(GRN!$E$3:$E996,GRN!$D$3:$D996,C904)))</f>
        <v/>
      </c>
    </row>
    <row r="905" spans="1:5" ht="15.75" customHeight="1">
      <c r="A905" s="128"/>
      <c r="B905" s="128"/>
      <c r="C905" s="2"/>
      <c r="D905" s="87"/>
      <c r="E905" s="87" t="str">
        <f>IF(A905="","",IF(D905-SUMIFS(GRN!$E$3:$E996,GRN!$D$3:$D996,C905)&lt;0,0,D905-SUMIFS(GRN!$E$3:$E996,GRN!$D$3:$D996,C905)))</f>
        <v/>
      </c>
    </row>
    <row r="906" spans="1:5" ht="15.75" customHeight="1">
      <c r="A906" s="128"/>
      <c r="B906" s="128"/>
      <c r="C906" s="2"/>
      <c r="D906" s="87"/>
      <c r="E906" s="87" t="str">
        <f>IF(A906="","",IF(D906-SUMIFS(GRN!$E$3:$E996,GRN!$D$3:$D996,C906)&lt;0,0,D906-SUMIFS(GRN!$E$3:$E996,GRN!$D$3:$D996,C906)))</f>
        <v/>
      </c>
    </row>
    <row r="907" spans="1:5" ht="15.75" customHeight="1">
      <c r="A907" s="128"/>
      <c r="B907" s="128"/>
      <c r="C907" s="2"/>
      <c r="D907" s="87"/>
      <c r="E907" s="87" t="str">
        <f>IF(A907="","",IF(D907-SUMIFS(GRN!$E$3:$E996,GRN!$D$3:$D996,C907)&lt;0,0,D907-SUMIFS(GRN!$E$3:$E996,GRN!$D$3:$D996,C907)))</f>
        <v/>
      </c>
    </row>
    <row r="908" spans="1:5" ht="15.75" customHeight="1">
      <c r="A908" s="128"/>
      <c r="B908" s="128"/>
      <c r="C908" s="2"/>
      <c r="D908" s="87"/>
      <c r="E908" s="87" t="str">
        <f>IF(A908="","",IF(D908-SUMIFS(GRN!$E$3:$E996,GRN!$D$3:$D996,C908)&lt;0,0,D908-SUMIFS(GRN!$E$3:$E996,GRN!$D$3:$D996,C908)))</f>
        <v/>
      </c>
    </row>
    <row r="909" spans="1:5" ht="15.75" customHeight="1">
      <c r="A909" s="128"/>
      <c r="B909" s="128"/>
      <c r="C909" s="2"/>
      <c r="D909" s="87"/>
      <c r="E909" s="87" t="str">
        <f>IF(A909="","",IF(D909-SUMIFS(GRN!$E$3:$E996,GRN!$D$3:$D996,C909)&lt;0,0,D909-SUMIFS(GRN!$E$3:$E996,GRN!$D$3:$D996,C909)))</f>
        <v/>
      </c>
    </row>
    <row r="910" spans="1:5" ht="15.75" customHeight="1">
      <c r="A910" s="128"/>
      <c r="B910" s="128"/>
      <c r="C910" s="2"/>
      <c r="D910" s="87"/>
      <c r="E910" s="87" t="str">
        <f>IF(A910="","",IF(D910-SUMIFS(GRN!$E$3:$E996,GRN!$D$3:$D996,C910)&lt;0,0,D910-SUMIFS(GRN!$E$3:$E996,GRN!$D$3:$D996,C910)))</f>
        <v/>
      </c>
    </row>
    <row r="911" spans="1:5" ht="15.75" customHeight="1">
      <c r="A911" s="128"/>
      <c r="B911" s="128"/>
      <c r="C911" s="2"/>
      <c r="D911" s="87"/>
      <c r="E911" s="87" t="str">
        <f>IF(A911="","",IF(D911-SUMIFS(GRN!$E$3:$E996,GRN!$D$3:$D996,C911)&lt;0,0,D911-SUMIFS(GRN!$E$3:$E996,GRN!$D$3:$D996,C911)))</f>
        <v/>
      </c>
    </row>
    <row r="912" spans="1:5" ht="15.75" customHeight="1">
      <c r="A912" s="128"/>
      <c r="B912" s="128"/>
      <c r="C912" s="2"/>
      <c r="D912" s="87"/>
      <c r="E912" s="87" t="str">
        <f>IF(A912="","",IF(D912-SUMIFS(GRN!$E$3:$E996,GRN!$D$3:$D996,C912)&lt;0,0,D912-SUMIFS(GRN!$E$3:$E996,GRN!$D$3:$D996,C912)))</f>
        <v/>
      </c>
    </row>
    <row r="913" spans="1:5" ht="15.75" customHeight="1">
      <c r="A913" s="128"/>
      <c r="B913" s="128"/>
      <c r="C913" s="2"/>
      <c r="D913" s="87"/>
      <c r="E913" s="87" t="str">
        <f>IF(A913="","",IF(D913-SUMIFS(GRN!$E$3:$E996,GRN!$D$3:$D996,C913)&lt;0,0,D913-SUMIFS(GRN!$E$3:$E996,GRN!$D$3:$D996,C913)))</f>
        <v/>
      </c>
    </row>
    <row r="914" spans="1:5" ht="15.75" customHeight="1">
      <c r="A914" s="128"/>
      <c r="B914" s="128"/>
      <c r="C914" s="2"/>
      <c r="D914" s="87"/>
      <c r="E914" s="87" t="str">
        <f>IF(A914="","",IF(D914-SUMIFS(GRN!$E$3:$E996,GRN!$D$3:$D996,C914)&lt;0,0,D914-SUMIFS(GRN!$E$3:$E996,GRN!$D$3:$D996,C914)))</f>
        <v/>
      </c>
    </row>
    <row r="915" spans="1:5" ht="15.75" customHeight="1">
      <c r="A915" s="128"/>
      <c r="B915" s="128"/>
      <c r="C915" s="2"/>
      <c r="D915" s="87"/>
      <c r="E915" s="87" t="str">
        <f>IF(A915="","",IF(D915-SUMIFS(GRN!$E$3:$E996,GRN!$D$3:$D996,C915)&lt;0,0,D915-SUMIFS(GRN!$E$3:$E996,GRN!$D$3:$D996,C915)))</f>
        <v/>
      </c>
    </row>
    <row r="916" spans="1:5" ht="15.75" customHeight="1">
      <c r="A916" s="128"/>
      <c r="B916" s="128"/>
      <c r="C916" s="2"/>
      <c r="D916" s="87"/>
      <c r="E916" s="87" t="str">
        <f>IF(A916="","",IF(D916-SUMIFS(GRN!$E$3:$E996,GRN!$D$3:$D996,C916)&lt;0,0,D916-SUMIFS(GRN!$E$3:$E996,GRN!$D$3:$D996,C916)))</f>
        <v/>
      </c>
    </row>
    <row r="917" spans="1:5" ht="15.75" customHeight="1">
      <c r="A917" s="128"/>
      <c r="B917" s="128"/>
      <c r="C917" s="2"/>
      <c r="D917" s="87"/>
      <c r="E917" s="87" t="str">
        <f>IF(A917="","",IF(D917-SUMIFS(GRN!$E$3:$E996,GRN!$D$3:$D996,C917)&lt;0,0,D917-SUMIFS(GRN!$E$3:$E996,GRN!$D$3:$D996,C917)))</f>
        <v/>
      </c>
    </row>
    <row r="918" spans="1:5" ht="15.75" customHeight="1">
      <c r="A918" s="128"/>
      <c r="B918" s="128"/>
      <c r="C918" s="2"/>
      <c r="D918" s="87"/>
      <c r="E918" s="87" t="str">
        <f>IF(A918="","",IF(D918-SUMIFS(GRN!$E$3:$E996,GRN!$D$3:$D996,C918)&lt;0,0,D918-SUMIFS(GRN!$E$3:$E996,GRN!$D$3:$D996,C918)))</f>
        <v/>
      </c>
    </row>
    <row r="919" spans="1:5" ht="15.75" customHeight="1">
      <c r="A919" s="128"/>
      <c r="B919" s="128"/>
      <c r="C919" s="2"/>
      <c r="D919" s="87"/>
      <c r="E919" s="87" t="str">
        <f>IF(A919="","",IF(D919-SUMIFS(GRN!$E$3:$E996,GRN!$D$3:$D996,C919)&lt;0,0,D919-SUMIFS(GRN!$E$3:$E996,GRN!$D$3:$D996,C919)))</f>
        <v/>
      </c>
    </row>
    <row r="920" spans="1:5" ht="15.75" customHeight="1">
      <c r="A920" s="128"/>
      <c r="B920" s="128"/>
      <c r="C920" s="2"/>
      <c r="D920" s="87"/>
      <c r="E920" s="87" t="str">
        <f>IF(A920="","",IF(D920-SUMIFS(GRN!$E$3:$E996,GRN!$D$3:$D996,C920)&lt;0,0,D920-SUMIFS(GRN!$E$3:$E996,GRN!$D$3:$D996,C920)))</f>
        <v/>
      </c>
    </row>
    <row r="921" spans="1:5" ht="15.75" customHeight="1">
      <c r="A921" s="128"/>
      <c r="B921" s="128"/>
      <c r="C921" s="2"/>
      <c r="D921" s="87"/>
      <c r="E921" s="87" t="str">
        <f>IF(A921="","",IF(D921-SUMIFS(GRN!$E$3:$E996,GRN!$D$3:$D996,C921)&lt;0,0,D921-SUMIFS(GRN!$E$3:$E996,GRN!$D$3:$D996,C921)))</f>
        <v/>
      </c>
    </row>
    <row r="922" spans="1:5" ht="15.75" customHeight="1">
      <c r="A922" s="128"/>
      <c r="B922" s="128"/>
      <c r="C922" s="2"/>
      <c r="D922" s="87"/>
      <c r="E922" s="87" t="str">
        <f>IF(A922="","",IF(D922-SUMIFS(GRN!$E$3:$E996,GRN!$D$3:$D996,C922)&lt;0,0,D922-SUMIFS(GRN!$E$3:$E996,GRN!$D$3:$D996,C922)))</f>
        <v/>
      </c>
    </row>
    <row r="923" spans="1:5" ht="15.75" customHeight="1">
      <c r="A923" s="128"/>
      <c r="B923" s="128"/>
      <c r="C923" s="2"/>
      <c r="D923" s="87"/>
      <c r="E923" s="87" t="str">
        <f>IF(A923="","",IF(D923-SUMIFS(GRN!$E$3:$E996,GRN!$D$3:$D996,C923)&lt;0,0,D923-SUMIFS(GRN!$E$3:$E996,GRN!$D$3:$D996,C923)))</f>
        <v/>
      </c>
    </row>
    <row r="924" spans="1:5" ht="15.75" customHeight="1">
      <c r="A924" s="128"/>
      <c r="B924" s="128"/>
      <c r="C924" s="2"/>
      <c r="D924" s="87"/>
      <c r="E924" s="87" t="str">
        <f>IF(A924="","",IF(D924-SUMIFS(GRN!$E$3:$E996,GRN!$D$3:$D996,C924)&lt;0,0,D924-SUMIFS(GRN!$E$3:$E996,GRN!$D$3:$D996,C924)))</f>
        <v/>
      </c>
    </row>
    <row r="925" spans="1:5" ht="15.75" customHeight="1">
      <c r="A925" s="128"/>
      <c r="B925" s="128"/>
      <c r="C925" s="2"/>
      <c r="D925" s="87"/>
      <c r="E925" s="87" t="str">
        <f>IF(A925="","",IF(D925-SUMIFS(GRN!$E$3:$E996,GRN!$D$3:$D996,C925)&lt;0,0,D925-SUMIFS(GRN!$E$3:$E996,GRN!$D$3:$D996,C925)))</f>
        <v/>
      </c>
    </row>
    <row r="926" spans="1:5" ht="15.75" customHeight="1">
      <c r="A926" s="128"/>
      <c r="B926" s="128"/>
      <c r="C926" s="2"/>
      <c r="D926" s="87"/>
      <c r="E926" s="87" t="str">
        <f>IF(A926="","",IF(D926-SUMIFS(GRN!$E$3:$E996,GRN!$D$3:$D996,C926)&lt;0,0,D926-SUMIFS(GRN!$E$3:$E996,GRN!$D$3:$D996,C926)))</f>
        <v/>
      </c>
    </row>
    <row r="927" spans="1:5" ht="15.75" customHeight="1">
      <c r="A927" s="128"/>
      <c r="B927" s="128"/>
      <c r="C927" s="2"/>
      <c r="D927" s="87"/>
      <c r="E927" s="87" t="str">
        <f>IF(A927="","",IF(D927-SUMIFS(GRN!$E$3:$E996,GRN!$D$3:$D996,C927)&lt;0,0,D927-SUMIFS(GRN!$E$3:$E996,GRN!$D$3:$D996,C927)))</f>
        <v/>
      </c>
    </row>
    <row r="928" spans="1:5" ht="15.75" customHeight="1">
      <c r="A928" s="128"/>
      <c r="B928" s="128"/>
      <c r="C928" s="2"/>
      <c r="D928" s="87"/>
      <c r="E928" s="87" t="str">
        <f>IF(A928="","",IF(D928-SUMIFS(GRN!$E$3:$E996,GRN!$D$3:$D996,C928)&lt;0,0,D928-SUMIFS(GRN!$E$3:$E996,GRN!$D$3:$D996,C928)))</f>
        <v/>
      </c>
    </row>
    <row r="929" spans="1:5" ht="15.75" customHeight="1">
      <c r="A929" s="128"/>
      <c r="B929" s="128"/>
      <c r="C929" s="2"/>
      <c r="D929" s="87"/>
      <c r="E929" s="87" t="str">
        <f>IF(A929="","",IF(D929-SUMIFS(GRN!$E$3:$E996,GRN!$D$3:$D996,C929)&lt;0,0,D929-SUMIFS(GRN!$E$3:$E996,GRN!$D$3:$D996,C929)))</f>
        <v/>
      </c>
    </row>
    <row r="930" spans="1:5" ht="15.75" customHeight="1">
      <c r="A930" s="128"/>
      <c r="B930" s="128"/>
      <c r="C930" s="2"/>
      <c r="D930" s="87"/>
      <c r="E930" s="87" t="str">
        <f>IF(A930="","",IF(D930-SUMIFS(GRN!$E$3:$E996,GRN!$D$3:$D996,C930)&lt;0,0,D930-SUMIFS(GRN!$E$3:$E996,GRN!$D$3:$D996,C930)))</f>
        <v/>
      </c>
    </row>
    <row r="931" spans="1:5" ht="15.75" customHeight="1">
      <c r="A931" s="128"/>
      <c r="B931" s="128"/>
      <c r="C931" s="2"/>
      <c r="D931" s="87"/>
      <c r="E931" s="87" t="str">
        <f>IF(A931="","",IF(D931-SUMIFS(GRN!$E$3:$E996,GRN!$D$3:$D996,C931)&lt;0,0,D931-SUMIFS(GRN!$E$3:$E996,GRN!$D$3:$D996,C931)))</f>
        <v/>
      </c>
    </row>
    <row r="932" spans="1:5" ht="15.75" customHeight="1">
      <c r="A932" s="128"/>
      <c r="B932" s="128"/>
      <c r="C932" s="2"/>
      <c r="D932" s="87"/>
      <c r="E932" s="87" t="str">
        <f>IF(A932="","",IF(D932-SUMIFS(GRN!$E$3:$E996,GRN!$D$3:$D996,C932)&lt;0,0,D932-SUMIFS(GRN!$E$3:$E996,GRN!$D$3:$D996,C932)))</f>
        <v/>
      </c>
    </row>
    <row r="933" spans="1:5" ht="15.75" customHeight="1">
      <c r="A933" s="128"/>
      <c r="B933" s="128"/>
      <c r="C933" s="2"/>
      <c r="D933" s="87"/>
      <c r="E933" s="87" t="str">
        <f>IF(A933="","",IF(D933-SUMIFS(GRN!$E$3:$E996,GRN!$D$3:$D996,C933)&lt;0,0,D933-SUMIFS(GRN!$E$3:$E996,GRN!$D$3:$D996,C933)))</f>
        <v/>
      </c>
    </row>
    <row r="934" spans="1:5" ht="15.75" customHeight="1">
      <c r="A934" s="128"/>
      <c r="B934" s="128"/>
      <c r="C934" s="2"/>
      <c r="D934" s="87"/>
      <c r="E934" s="87" t="str">
        <f>IF(A934="","",IF(D934-SUMIFS(GRN!$E$3:$E996,GRN!$D$3:$D996,C934)&lt;0,0,D934-SUMIFS(GRN!$E$3:$E996,GRN!$D$3:$D996,C934)))</f>
        <v/>
      </c>
    </row>
    <row r="935" spans="1:5" ht="15.75" customHeight="1">
      <c r="A935" s="128"/>
      <c r="B935" s="128"/>
      <c r="C935" s="2"/>
      <c r="D935" s="87"/>
      <c r="E935" s="87" t="str">
        <f>IF(A935="","",IF(D935-SUMIFS(GRN!$E$3:$E996,GRN!$D$3:$D996,C935)&lt;0,0,D935-SUMIFS(GRN!$E$3:$E996,GRN!$D$3:$D996,C935)))</f>
        <v/>
      </c>
    </row>
    <row r="936" spans="1:5" ht="15.75" customHeight="1">
      <c r="A936" s="128"/>
      <c r="B936" s="128"/>
      <c r="C936" s="2"/>
      <c r="D936" s="87"/>
      <c r="E936" s="87" t="str">
        <f>IF(A936="","",IF(D936-SUMIFS(GRN!$E$3:$E996,GRN!$D$3:$D996,C936)&lt;0,0,D936-SUMIFS(GRN!$E$3:$E996,GRN!$D$3:$D996,C936)))</f>
        <v/>
      </c>
    </row>
    <row r="937" spans="1:5" ht="15.75" customHeight="1">
      <c r="A937" s="128"/>
      <c r="B937" s="128"/>
      <c r="C937" s="2"/>
      <c r="D937" s="87"/>
      <c r="E937" s="87" t="str">
        <f>IF(A937="","",IF(D937-SUMIFS(GRN!$E$3:$E996,GRN!$D$3:$D996,C937)&lt;0,0,D937-SUMIFS(GRN!$E$3:$E996,GRN!$D$3:$D996,C937)))</f>
        <v/>
      </c>
    </row>
    <row r="938" spans="1:5" ht="15.75" customHeight="1">
      <c r="A938" s="128"/>
      <c r="B938" s="128"/>
      <c r="C938" s="2"/>
      <c r="D938" s="87"/>
      <c r="E938" s="87" t="str">
        <f>IF(A938="","",IF(D938-SUMIFS(GRN!$E$3:$E996,GRN!$D$3:$D996,C938)&lt;0,0,D938-SUMIFS(GRN!$E$3:$E996,GRN!$D$3:$D996,C938)))</f>
        <v/>
      </c>
    </row>
    <row r="939" spans="1:5" ht="15.75" customHeight="1">
      <c r="A939" s="128"/>
      <c r="B939" s="128"/>
      <c r="C939" s="2"/>
      <c r="D939" s="87"/>
      <c r="E939" s="87" t="str">
        <f>IF(A939="","",IF(D939-SUMIFS(GRN!$E$3:$E996,GRN!$D$3:$D996,C939)&lt;0,0,D939-SUMIFS(GRN!$E$3:$E996,GRN!$D$3:$D996,C939)))</f>
        <v/>
      </c>
    </row>
    <row r="940" spans="1:5" ht="15.75" customHeight="1">
      <c r="A940" s="128"/>
      <c r="B940" s="128"/>
      <c r="C940" s="2"/>
      <c r="D940" s="87"/>
      <c r="E940" s="87" t="str">
        <f>IF(A940="","",IF(D940-SUMIFS(GRN!$E$3:$E996,GRN!$D$3:$D996,C940)&lt;0,0,D940-SUMIFS(GRN!$E$3:$E996,GRN!$D$3:$D996,C940)))</f>
        <v/>
      </c>
    </row>
    <row r="941" spans="1:5" ht="15.75" customHeight="1">
      <c r="A941" s="128"/>
      <c r="B941" s="128"/>
      <c r="C941" s="2"/>
      <c r="D941" s="87"/>
      <c r="E941" s="87" t="str">
        <f>IF(A941="","",IF(D941-SUMIFS(GRN!$E$3:$E996,GRN!$D$3:$D996,C941)&lt;0,0,D941-SUMIFS(GRN!$E$3:$E996,GRN!$D$3:$D996,C941)))</f>
        <v/>
      </c>
    </row>
    <row r="942" spans="1:5" ht="15.75" customHeight="1">
      <c r="A942" s="128"/>
      <c r="B942" s="128"/>
      <c r="C942" s="2"/>
      <c r="D942" s="87"/>
      <c r="E942" s="87" t="str">
        <f>IF(A942="","",IF(D942-SUMIFS(GRN!$E$3:$E996,GRN!$D$3:$D996,C942)&lt;0,0,D942-SUMIFS(GRN!$E$3:$E996,GRN!$D$3:$D996,C942)))</f>
        <v/>
      </c>
    </row>
    <row r="943" spans="1:5" ht="15.75" customHeight="1">
      <c r="A943" s="128"/>
      <c r="B943" s="128"/>
      <c r="C943" s="2"/>
      <c r="D943" s="87"/>
      <c r="E943" s="87" t="str">
        <f>IF(A943="","",IF(D943-SUMIFS(GRN!$E$3:$E996,GRN!$D$3:$D996,C943)&lt;0,0,D943-SUMIFS(GRN!$E$3:$E996,GRN!$D$3:$D996,C943)))</f>
        <v/>
      </c>
    </row>
    <row r="944" spans="1:5" ht="15.75" customHeight="1">
      <c r="A944" s="128"/>
      <c r="B944" s="128"/>
      <c r="C944" s="2"/>
      <c r="D944" s="87"/>
      <c r="E944" s="87" t="str">
        <f>IF(A944="","",IF(D944-SUMIFS(GRN!$E$3:$E996,GRN!$D$3:$D996,C944)&lt;0,0,D944-SUMIFS(GRN!$E$3:$E996,GRN!$D$3:$D996,C944)))</f>
        <v/>
      </c>
    </row>
    <row r="945" spans="1:5" ht="15.75" customHeight="1">
      <c r="A945" s="128"/>
      <c r="B945" s="128"/>
      <c r="C945" s="2"/>
      <c r="D945" s="87"/>
      <c r="E945" s="87" t="str">
        <f>IF(A945="","",IF(D945-SUMIFS(GRN!$E$3:$E996,GRN!$D$3:$D996,C945)&lt;0,0,D945-SUMIFS(GRN!$E$3:$E996,GRN!$D$3:$D996,C945)))</f>
        <v/>
      </c>
    </row>
    <row r="946" spans="1:5" ht="15.75" customHeight="1">
      <c r="A946" s="128"/>
      <c r="B946" s="128"/>
      <c r="C946" s="2"/>
      <c r="D946" s="87"/>
      <c r="E946" s="87" t="str">
        <f>IF(A946="","",IF(D946-SUMIFS(GRN!$E$3:$E996,GRN!$D$3:$D996,C946)&lt;0,0,D946-SUMIFS(GRN!$E$3:$E996,GRN!$D$3:$D996,C946)))</f>
        <v/>
      </c>
    </row>
    <row r="947" spans="1:5" ht="15.75" customHeight="1">
      <c r="A947" s="128"/>
      <c r="B947" s="128"/>
      <c r="C947" s="2"/>
      <c r="D947" s="87"/>
      <c r="E947" s="87" t="str">
        <f>IF(A947="","",IF(D947-SUMIFS(GRN!$E$3:$E996,GRN!$D$3:$D996,C947)&lt;0,0,D947-SUMIFS(GRN!$E$3:$E996,GRN!$D$3:$D996,C947)))</f>
        <v/>
      </c>
    </row>
    <row r="948" spans="1:5" ht="15.75" customHeight="1">
      <c r="A948" s="128"/>
      <c r="B948" s="128"/>
      <c r="C948" s="2"/>
      <c r="D948" s="87"/>
      <c r="E948" s="87" t="str">
        <f>IF(A948="","",IF(D948-SUMIFS(GRN!$E$3:$E996,GRN!$D$3:$D996,C948)&lt;0,0,D948-SUMIFS(GRN!$E$3:$E996,GRN!$D$3:$D996,C948)))</f>
        <v/>
      </c>
    </row>
    <row r="949" spans="1:5" ht="15.75" customHeight="1">
      <c r="A949" s="128"/>
      <c r="B949" s="128"/>
      <c r="C949" s="2"/>
      <c r="D949" s="87"/>
      <c r="E949" s="87" t="str">
        <f>IF(A949="","",IF(D949-SUMIFS(GRN!$E$3:$E996,GRN!$D$3:$D996,C949)&lt;0,0,D949-SUMIFS(GRN!$E$3:$E996,GRN!$D$3:$D996,C949)))</f>
        <v/>
      </c>
    </row>
    <row r="950" spans="1:5" ht="15.75" customHeight="1">
      <c r="A950" s="128"/>
      <c r="B950" s="128"/>
      <c r="C950" s="2"/>
      <c r="D950" s="87"/>
      <c r="E950" s="87" t="str">
        <f>IF(A950="","",IF(D950-SUMIFS(GRN!$E$3:$E996,GRN!$D$3:$D996,C950)&lt;0,0,D950-SUMIFS(GRN!$E$3:$E996,GRN!$D$3:$D996,C950)))</f>
        <v/>
      </c>
    </row>
    <row r="951" spans="1:5" ht="15.75" customHeight="1">
      <c r="A951" s="128"/>
      <c r="B951" s="128"/>
      <c r="C951" s="2"/>
      <c r="D951" s="87"/>
      <c r="E951" s="87" t="str">
        <f>IF(A951="","",IF(D951-SUMIFS(GRN!$E$3:$E996,GRN!$D$3:$D996,C951)&lt;0,0,D951-SUMIFS(GRN!$E$3:$E996,GRN!$D$3:$D996,C951)))</f>
        <v/>
      </c>
    </row>
    <row r="952" spans="1:5" ht="15.75" customHeight="1">
      <c r="A952" s="128"/>
      <c r="B952" s="128"/>
      <c r="C952" s="2"/>
      <c r="D952" s="87"/>
      <c r="E952" s="87" t="str">
        <f>IF(A952="","",IF(D952-SUMIFS(GRN!$E$3:$E996,GRN!$D$3:$D996,C952)&lt;0,0,D952-SUMIFS(GRN!$E$3:$E996,GRN!$D$3:$D996,C952)))</f>
        <v/>
      </c>
    </row>
    <row r="953" spans="1:5" ht="15.75" customHeight="1">
      <c r="A953" s="128"/>
      <c r="B953" s="128"/>
      <c r="C953" s="2"/>
      <c r="D953" s="87"/>
      <c r="E953" s="87" t="str">
        <f>IF(A953="","",IF(D953-SUMIFS(GRN!$E$3:$E996,GRN!$D$3:$D996,C953)&lt;0,0,D953-SUMIFS(GRN!$E$3:$E996,GRN!$D$3:$D996,C953)))</f>
        <v/>
      </c>
    </row>
    <row r="954" spans="1:5" ht="15.75" customHeight="1">
      <c r="A954" s="128"/>
      <c r="B954" s="128"/>
      <c r="C954" s="2"/>
      <c r="D954" s="87"/>
      <c r="E954" s="87" t="str">
        <f>IF(A954="","",IF(D954-SUMIFS(GRN!$E$3:$E996,GRN!$D$3:$D996,C954)&lt;0,0,D954-SUMIFS(GRN!$E$3:$E996,GRN!$D$3:$D996,C954)))</f>
        <v/>
      </c>
    </row>
    <row r="955" spans="1:5" ht="15.75" customHeight="1">
      <c r="A955" s="128"/>
      <c r="B955" s="128"/>
      <c r="C955" s="2"/>
      <c r="D955" s="87"/>
      <c r="E955" s="87" t="str">
        <f>IF(A955="","",IF(D955-SUMIFS(GRN!$E$3:$E996,GRN!$D$3:$D996,C955)&lt;0,0,D955-SUMIFS(GRN!$E$3:$E996,GRN!$D$3:$D996,C955)))</f>
        <v/>
      </c>
    </row>
    <row r="956" spans="1:5" ht="15.75" customHeight="1">
      <c r="A956" s="128"/>
      <c r="B956" s="128"/>
      <c r="C956" s="2"/>
      <c r="D956" s="87"/>
      <c r="E956" s="87" t="str">
        <f>IF(A956="","",IF(D956-SUMIFS(GRN!$E$3:$E996,GRN!$D$3:$D996,C956)&lt;0,0,D956-SUMIFS(GRN!$E$3:$E996,GRN!$D$3:$D996,C956)))</f>
        <v/>
      </c>
    </row>
    <row r="957" spans="1:5" ht="15.75" customHeight="1">
      <c r="A957" s="128"/>
      <c r="B957" s="128"/>
      <c r="C957" s="2"/>
      <c r="D957" s="87"/>
      <c r="E957" s="87" t="str">
        <f>IF(A957="","",IF(D957-SUMIFS(GRN!$E$3:$E996,GRN!$D$3:$D996,C957)&lt;0,0,D957-SUMIFS(GRN!$E$3:$E996,GRN!$D$3:$D996,C957)))</f>
        <v/>
      </c>
    </row>
    <row r="958" spans="1:5" ht="15.75" customHeight="1">
      <c r="A958" s="128"/>
      <c r="B958" s="128"/>
      <c r="C958" s="2"/>
      <c r="D958" s="87"/>
      <c r="E958" s="87" t="str">
        <f>IF(A958="","",IF(D958-SUMIFS(GRN!$E$3:$E996,GRN!$D$3:$D996,C958)&lt;0,0,D958-SUMIFS(GRN!$E$3:$E996,GRN!$D$3:$D996,C958)))</f>
        <v/>
      </c>
    </row>
    <row r="959" spans="1:5" ht="15.75" customHeight="1">
      <c r="A959" s="128"/>
      <c r="B959" s="128"/>
      <c r="C959" s="2"/>
      <c r="D959" s="87"/>
      <c r="E959" s="87" t="str">
        <f>IF(A959="","",IF(D959-SUMIFS(GRN!$E$3:$E996,GRN!$D$3:$D996,C959)&lt;0,0,D959-SUMIFS(GRN!$E$3:$E996,GRN!$D$3:$D996,C959)))</f>
        <v/>
      </c>
    </row>
    <row r="960" spans="1:5" ht="15.75" customHeight="1">
      <c r="A960" s="128"/>
      <c r="B960" s="128"/>
      <c r="C960" s="2"/>
      <c r="D960" s="87"/>
      <c r="E960" s="87" t="str">
        <f>IF(A960="","",IF(D960-SUMIFS(GRN!$E$3:$E996,GRN!$D$3:$D996,C960)&lt;0,0,D960-SUMIFS(GRN!$E$3:$E996,GRN!$D$3:$D996,C960)))</f>
        <v/>
      </c>
    </row>
    <row r="961" spans="1:5" ht="15.75" customHeight="1">
      <c r="A961" s="128"/>
      <c r="B961" s="128"/>
      <c r="C961" s="2"/>
      <c r="D961" s="87"/>
      <c r="E961" s="87" t="str">
        <f>IF(A961="","",IF(D961-SUMIFS(GRN!$E$3:$E996,GRN!$D$3:$D996,C961)&lt;0,0,D961-SUMIFS(GRN!$E$3:$E996,GRN!$D$3:$D996,C961)))</f>
        <v/>
      </c>
    </row>
    <row r="962" spans="1:5" ht="15.75" customHeight="1">
      <c r="A962" s="128"/>
      <c r="B962" s="128"/>
      <c r="C962" s="2"/>
      <c r="D962" s="87"/>
      <c r="E962" s="87" t="str">
        <f>IF(A962="","",IF(D962-SUMIFS(GRN!$E$3:$E996,GRN!$D$3:$D996,C962)&lt;0,0,D962-SUMIFS(GRN!$E$3:$E996,GRN!$D$3:$D996,C962)))</f>
        <v/>
      </c>
    </row>
    <row r="963" spans="1:5" ht="15.75" customHeight="1">
      <c r="A963" s="128"/>
      <c r="B963" s="128"/>
      <c r="C963" s="2"/>
      <c r="D963" s="87"/>
      <c r="E963" s="87" t="str">
        <f>IF(A963="","",IF(D963-SUMIFS(GRN!$E$3:$E996,GRN!$D$3:$D996,C963)&lt;0,0,D963-SUMIFS(GRN!$E$3:$E996,GRN!$D$3:$D996,C963)))</f>
        <v/>
      </c>
    </row>
    <row r="964" spans="1:5" ht="15.75" customHeight="1">
      <c r="A964" s="128"/>
      <c r="B964" s="128"/>
      <c r="C964" s="2"/>
      <c r="D964" s="87"/>
      <c r="E964" s="87" t="str">
        <f>IF(A964="","",IF(D964-SUMIFS(GRN!$E$3:$E996,GRN!$D$3:$D996,C964)&lt;0,0,D964-SUMIFS(GRN!$E$3:$E996,GRN!$D$3:$D996,C964)))</f>
        <v/>
      </c>
    </row>
    <row r="965" spans="1:5" ht="15.75" customHeight="1">
      <c r="A965" s="128"/>
      <c r="B965" s="128"/>
      <c r="C965" s="2"/>
      <c r="D965" s="87"/>
      <c r="E965" s="87" t="str">
        <f>IF(A965="","",IF(D965-SUMIFS(GRN!$E$3:$E996,GRN!$D$3:$D996,C965)&lt;0,0,D965-SUMIFS(GRN!$E$3:$E996,GRN!$D$3:$D996,C965)))</f>
        <v/>
      </c>
    </row>
    <row r="966" spans="1:5" ht="15.75" customHeight="1">
      <c r="A966" s="128"/>
      <c r="B966" s="128"/>
      <c r="C966" s="2"/>
      <c r="D966" s="87"/>
      <c r="E966" s="87" t="str">
        <f>IF(A966="","",IF(D966-SUMIFS(GRN!$E$3:$E996,GRN!$D$3:$D996,C966)&lt;0,0,D966-SUMIFS(GRN!$E$3:$E996,GRN!$D$3:$D996,C966)))</f>
        <v/>
      </c>
    </row>
    <row r="967" spans="1:5" ht="15.75" customHeight="1">
      <c r="A967" s="128"/>
      <c r="B967" s="128"/>
      <c r="C967" s="2"/>
      <c r="D967" s="87"/>
      <c r="E967" s="87" t="str">
        <f>IF(A967="","",IF(D967-SUMIFS(GRN!$E$3:$E996,GRN!$D$3:$D996,C967)&lt;0,0,D967-SUMIFS(GRN!$E$3:$E996,GRN!$D$3:$D996,C967)))</f>
        <v/>
      </c>
    </row>
    <row r="968" spans="1:5" ht="15.75" customHeight="1">
      <c r="A968" s="128"/>
      <c r="B968" s="128"/>
      <c r="C968" s="2"/>
      <c r="D968" s="87"/>
      <c r="E968" s="87" t="str">
        <f>IF(A968="","",IF(D968-SUMIFS(GRN!$E$3:$E996,GRN!$D$3:$D996,C968)&lt;0,0,D968-SUMIFS(GRN!$E$3:$E996,GRN!$D$3:$D996,C968)))</f>
        <v/>
      </c>
    </row>
    <row r="969" spans="1:5" ht="15.75" customHeight="1">
      <c r="A969" s="128"/>
      <c r="B969" s="128"/>
      <c r="C969" s="2"/>
      <c r="D969" s="87"/>
      <c r="E969" s="87" t="str">
        <f>IF(A969="","",IF(D969-SUMIFS(GRN!$E$3:$E996,GRN!$D$3:$D996,C969)&lt;0,0,D969-SUMIFS(GRN!$E$3:$E996,GRN!$D$3:$D996,C969)))</f>
        <v/>
      </c>
    </row>
    <row r="970" spans="1:5" ht="15.75" customHeight="1">
      <c r="A970" s="128"/>
      <c r="B970" s="128"/>
      <c r="C970" s="2"/>
      <c r="D970" s="87"/>
      <c r="E970" s="87" t="str">
        <f>IF(A970="","",IF(D970-SUMIFS(GRN!$E$3:$E996,GRN!$D$3:$D996,C970)&lt;0,0,D970-SUMIFS(GRN!$E$3:$E996,GRN!$D$3:$D996,C970)))</f>
        <v/>
      </c>
    </row>
    <row r="971" spans="1:5" ht="15.75" customHeight="1">
      <c r="A971" s="128"/>
      <c r="B971" s="128"/>
      <c r="C971" s="2"/>
      <c r="D971" s="87"/>
      <c r="E971" s="87" t="str">
        <f>IF(A971="","",IF(D971-SUMIFS(GRN!$E$3:$E996,GRN!$D$3:$D996,C971)&lt;0,0,D971-SUMIFS(GRN!$E$3:$E996,GRN!$D$3:$D996,C971)))</f>
        <v/>
      </c>
    </row>
    <row r="972" spans="1:5" ht="15.75" customHeight="1">
      <c r="A972" s="128"/>
      <c r="B972" s="128"/>
      <c r="C972" s="2"/>
      <c r="D972" s="87"/>
      <c r="E972" s="87" t="str">
        <f>IF(A972="","",IF(D972-SUMIFS(GRN!$E$3:$E996,GRN!$D$3:$D996,C972)&lt;0,0,D972-SUMIFS(GRN!$E$3:$E996,GRN!$D$3:$D996,C972)))</f>
        <v/>
      </c>
    </row>
    <row r="973" spans="1:5" ht="15.75" customHeight="1">
      <c r="A973" s="128"/>
      <c r="B973" s="128"/>
      <c r="C973" s="2"/>
      <c r="D973" s="87"/>
      <c r="E973" s="87" t="str">
        <f>IF(A973="","",IF(D973-SUMIFS(GRN!$E$3:$E996,GRN!$D$3:$D996,C973)&lt;0,0,D973-SUMIFS(GRN!$E$3:$E996,GRN!$D$3:$D996,C973)))</f>
        <v/>
      </c>
    </row>
    <row r="974" spans="1:5" ht="15.75" customHeight="1">
      <c r="A974" s="128"/>
      <c r="B974" s="128"/>
      <c r="C974" s="2"/>
      <c r="D974" s="87"/>
      <c r="E974" s="87" t="str">
        <f>IF(A974="","",IF(D974-SUMIFS(GRN!$E$3:$E996,GRN!$D$3:$D996,C974)&lt;0,0,D974-SUMIFS(GRN!$E$3:$E996,GRN!$D$3:$D996,C974)))</f>
        <v/>
      </c>
    </row>
    <row r="975" spans="1:5" ht="15.75" customHeight="1">
      <c r="A975" s="128"/>
      <c r="B975" s="128"/>
      <c r="C975" s="2"/>
      <c r="D975" s="87"/>
      <c r="E975" s="87" t="str">
        <f>IF(A975="","",IF(D975-SUMIFS(GRN!$E$3:$E996,GRN!$D$3:$D996,C975)&lt;0,0,D975-SUMIFS(GRN!$E$3:$E996,GRN!$D$3:$D996,C975)))</f>
        <v/>
      </c>
    </row>
    <row r="976" spans="1:5" ht="15.75" customHeight="1">
      <c r="A976" s="128"/>
      <c r="B976" s="128"/>
      <c r="C976" s="2"/>
      <c r="D976" s="87"/>
      <c r="E976" s="87" t="str">
        <f>IF(A976="","",IF(D976-SUMIFS(GRN!$E$3:$E996,GRN!$D$3:$D996,C976)&lt;0,0,D976-SUMIFS(GRN!$E$3:$E996,GRN!$D$3:$D996,C976)))</f>
        <v/>
      </c>
    </row>
    <row r="977" spans="1:5" ht="15.75" customHeight="1">
      <c r="A977" s="128"/>
      <c r="B977" s="128"/>
      <c r="C977" s="2"/>
      <c r="D977" s="87"/>
      <c r="E977" s="87" t="str">
        <f>IF(A977="","",IF(D977-SUMIFS(GRN!$E$3:$E996,GRN!$D$3:$D996,C977)&lt;0,0,D977-SUMIFS(GRN!$E$3:$E996,GRN!$D$3:$D996,C977)))</f>
        <v/>
      </c>
    </row>
    <row r="978" spans="1:5" ht="15.75" customHeight="1">
      <c r="A978" s="128"/>
      <c r="B978" s="128"/>
      <c r="C978" s="2"/>
      <c r="D978" s="87"/>
      <c r="E978" s="87" t="str">
        <f>IF(A978="","",IF(D978-SUMIFS(GRN!$E$3:$E996,GRN!$D$3:$D996,C978)&lt;0,0,D978-SUMIFS(GRN!$E$3:$E996,GRN!$D$3:$D996,C978)))</f>
        <v/>
      </c>
    </row>
    <row r="979" spans="1:5" ht="15.75" customHeight="1">
      <c r="A979" s="128"/>
      <c r="B979" s="128"/>
      <c r="C979" s="2"/>
      <c r="D979" s="87"/>
      <c r="E979" s="87" t="str">
        <f>IF(A979="","",IF(D979-SUMIFS(GRN!$E$3:$E996,GRN!$D$3:$D996,C979)&lt;0,0,D979-SUMIFS(GRN!$E$3:$E996,GRN!$D$3:$D996,C979)))</f>
        <v/>
      </c>
    </row>
    <row r="980" spans="1:5" ht="15.75" customHeight="1">
      <c r="A980" s="128"/>
      <c r="B980" s="128"/>
      <c r="C980" s="2"/>
      <c r="D980" s="87"/>
      <c r="E980" s="87" t="str">
        <f>IF(A980="","",IF(D980-SUMIFS(GRN!$E$3:$E996,GRN!$D$3:$D996,C980)&lt;0,0,D980-SUMIFS(GRN!$E$3:$E996,GRN!$D$3:$D996,C980)))</f>
        <v/>
      </c>
    </row>
    <row r="981" spans="1:5" ht="15.75" customHeight="1">
      <c r="A981" s="128"/>
      <c r="B981" s="128"/>
      <c r="C981" s="2"/>
      <c r="D981" s="87"/>
      <c r="E981" s="87" t="str">
        <f>IF(A981="","",IF(D981-SUMIFS(GRN!$E$3:$E996,GRN!$D$3:$D996,C981)&lt;0,0,D981-SUMIFS(GRN!$E$3:$E996,GRN!$D$3:$D996,C981)))</f>
        <v/>
      </c>
    </row>
    <row r="982" spans="1:5" ht="15.75" customHeight="1">
      <c r="A982" s="128"/>
      <c r="B982" s="128"/>
      <c r="C982" s="2"/>
      <c r="D982" s="87"/>
      <c r="E982" s="87" t="str">
        <f>IF(A982="","",IF(D982-SUMIFS(GRN!$E$3:$E996,GRN!$D$3:$D996,C982)&lt;0,0,D982-SUMIFS(GRN!$E$3:$E996,GRN!$D$3:$D996,C982)))</f>
        <v/>
      </c>
    </row>
    <row r="983" spans="1:5" ht="15.75" customHeight="1">
      <c r="A983" s="128"/>
      <c r="B983" s="128"/>
      <c r="C983" s="2"/>
      <c r="D983" s="87"/>
      <c r="E983" s="87" t="str">
        <f>IF(A983="","",IF(D983-SUMIFS(GRN!$E$3:$E996,GRN!$D$3:$D996,C983)&lt;0,0,D983-SUMIFS(GRN!$E$3:$E996,GRN!$D$3:$D996,C983)))</f>
        <v/>
      </c>
    </row>
    <row r="984" spans="1:5" ht="15.75" customHeight="1">
      <c r="A984" s="128"/>
      <c r="B984" s="128"/>
      <c r="C984" s="2"/>
      <c r="D984" s="87"/>
      <c r="E984" s="87" t="str">
        <f>IF(A984="","",IF(D984-SUMIFS(GRN!$E$3:$E996,GRN!$D$3:$D996,C984)&lt;0,0,D984-SUMIFS(GRN!$E$3:$E996,GRN!$D$3:$D996,C984)))</f>
        <v/>
      </c>
    </row>
    <row r="985" spans="1:5" ht="15.75" customHeight="1">
      <c r="A985" s="128"/>
      <c r="B985" s="128"/>
      <c r="C985" s="2"/>
      <c r="D985" s="87"/>
      <c r="E985" s="87" t="str">
        <f>IF(A985="","",IF(D985-SUMIFS(GRN!$E$3:$E996,GRN!$D$3:$D996,C985)&lt;0,0,D985-SUMIFS(GRN!$E$3:$E996,GRN!$D$3:$D996,C985)))</f>
        <v/>
      </c>
    </row>
    <row r="986" spans="1:5" ht="15.75" customHeight="1">
      <c r="A986" s="128"/>
      <c r="B986" s="128"/>
      <c r="C986" s="2"/>
      <c r="D986" s="87"/>
      <c r="E986" s="87" t="str">
        <f>IF(A986="","",IF(D986-SUMIFS(GRN!$E$3:$E996,GRN!$D$3:$D996,C986)&lt;0,0,D986-SUMIFS(GRN!$E$3:$E996,GRN!$D$3:$D996,C986)))</f>
        <v/>
      </c>
    </row>
    <row r="987" spans="1:5" ht="15.75" customHeight="1">
      <c r="A987" s="128"/>
      <c r="B987" s="128"/>
      <c r="C987" s="2"/>
      <c r="D987" s="87"/>
      <c r="E987" s="87" t="str">
        <f>IF(A987="","",IF(D987-SUMIFS(GRN!$E$3:$E996,GRN!$D$3:$D996,C987)&lt;0,0,D987-SUMIFS(GRN!$E$3:$E996,GRN!$D$3:$D996,C987)))</f>
        <v/>
      </c>
    </row>
    <row r="988" spans="1:5" ht="15.75" customHeight="1">
      <c r="A988" s="128"/>
      <c r="B988" s="128"/>
      <c r="C988" s="2"/>
      <c r="D988" s="87"/>
      <c r="E988" s="87" t="str">
        <f>IF(A988="","",IF(D988-SUMIFS(GRN!$E$3:$E996,GRN!$D$3:$D996,C988)&lt;0,0,D988-SUMIFS(GRN!$E$3:$E996,GRN!$D$3:$D996,C988)))</f>
        <v/>
      </c>
    </row>
    <row r="989" spans="1:5" ht="15.75" customHeight="1">
      <c r="A989" s="128"/>
      <c r="B989" s="128"/>
      <c r="C989" s="2"/>
      <c r="D989" s="87"/>
      <c r="E989" s="87" t="str">
        <f>IF(A989="","",IF(D989-SUMIFS(GRN!$E$3:$E996,GRN!$D$3:$D996,C989)&lt;0,0,D989-SUMIFS(GRN!$E$3:$E996,GRN!$D$3:$D996,C989)))</f>
        <v/>
      </c>
    </row>
    <row r="990" spans="1:5" ht="15.75" customHeight="1">
      <c r="A990" s="128"/>
      <c r="B990" s="128"/>
      <c r="C990" s="2"/>
      <c r="D990" s="87"/>
      <c r="E990" s="87" t="str">
        <f>IF(A990="","",IF(D990-SUMIFS(GRN!$E$3:$E996,GRN!$D$3:$D996,C990)&lt;0,0,D990-SUMIFS(GRN!$E$3:$E996,GRN!$D$3:$D996,C990)))</f>
        <v/>
      </c>
    </row>
    <row r="991" spans="1:5" ht="15.75" customHeight="1">
      <c r="A991" s="128"/>
      <c r="B991" s="128"/>
      <c r="C991" s="2"/>
      <c r="D991" s="87"/>
      <c r="E991" s="87" t="str">
        <f>IF(A991="","",IF(D991-SUMIFS(GRN!$E$3:$E996,GRN!$D$3:$D996,C991)&lt;0,0,D991-SUMIFS(GRN!$E$3:$E996,GRN!$D$3:$D996,C991)))</f>
        <v/>
      </c>
    </row>
    <row r="992" spans="1:5" ht="15.75" customHeight="1">
      <c r="A992" s="128"/>
      <c r="B992" s="128"/>
      <c r="C992" s="2"/>
      <c r="D992" s="87"/>
      <c r="E992" s="87" t="str">
        <f>IF(A992="","",IF(D992-SUMIFS(GRN!$E$3:$E996,GRN!$D$3:$D996,C992)&lt;0,0,D992-SUMIFS(GRN!$E$3:$E996,GRN!$D$3:$D996,C992)))</f>
        <v/>
      </c>
    </row>
    <row r="993" spans="1:5" ht="15.75" customHeight="1">
      <c r="A993" s="128"/>
      <c r="B993" s="128"/>
      <c r="C993" s="2"/>
      <c r="D993" s="87"/>
      <c r="E993" s="87" t="str">
        <f>IF(A993="","",IF(D993-SUMIFS(GRN!$E$3:$E996,GRN!$D$3:$D996,C993)&lt;0,0,D993-SUMIFS(GRN!$E$3:$E996,GRN!$D$3:$D996,C993)))</f>
        <v/>
      </c>
    </row>
    <row r="994" spans="1:5" ht="15.75" customHeight="1">
      <c r="A994" s="128"/>
      <c r="B994" s="128"/>
      <c r="C994" s="2"/>
      <c r="D994" s="87"/>
      <c r="E994" s="87" t="str">
        <f>IF(A994="","",IF(D994-SUMIFS(GRN!$E$3:$E996,GRN!$D$3:$D996,C994)&lt;0,0,D994-SUMIFS(GRN!$E$3:$E996,GRN!$D$3:$D996,C994)))</f>
        <v/>
      </c>
    </row>
    <row r="995" spans="1:5" ht="15.75" customHeight="1">
      <c r="A995" s="128"/>
      <c r="B995" s="128"/>
      <c r="C995" s="2"/>
      <c r="D995" s="87"/>
      <c r="E995" s="87" t="str">
        <f>IF(A995="","",IF(D995-SUMIFS(GRN!$E$3:$E996,GRN!$D$3:$D996,C995)&lt;0,0,D995-SUMIFS(GRN!$E$3:$E996,GRN!$D$3:$D996,C995)))</f>
        <v/>
      </c>
    </row>
    <row r="996" spans="1:5" ht="15.75" customHeight="1">
      <c r="A996" s="128"/>
      <c r="B996" s="128"/>
      <c r="C996" s="2"/>
      <c r="D996" s="87"/>
      <c r="E996" s="87" t="str">
        <f>IF(A996="","",IF(D996-SUMIFS(GRN!$E$3:$E996,GRN!$D$3:$D996,C996)&lt;0,0,D996-SUMIFS(GRN!$E$3:$E996,GRN!$D$3:$D996,C996)))</f>
        <v/>
      </c>
    </row>
  </sheetData>
  <mergeCells count="1">
    <mergeCell ref="A1:C1"/>
  </mergeCells>
  <pageMargins left="0.7" right="0.7" top="0.75" bottom="0.75" header="0" footer="0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C00-000000000000}">
          <x14:formula1>
            <xm:f>RM!$C$4:$C986</xm:f>
          </x14:formula1>
          <xm:sqref>C3:C996</xm:sqref>
        </x14:dataValidation>
      </x14:dataValidations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N990"/>
  <sheetViews>
    <sheetView workbookViewId="0">
      <pane ySplit="2" topLeftCell="A3" activePane="bottomLeft" state="frozen"/>
      <selection pane="bottomLeft" activeCell="B4" sqref="B4"/>
    </sheetView>
  </sheetViews>
  <sheetFormatPr defaultColWidth="14.453125" defaultRowHeight="15" customHeight="1"/>
  <cols>
    <col min="1" max="1" width="4.453125" customWidth="1"/>
    <col min="2" max="2" width="35.1796875" customWidth="1"/>
    <col min="3" max="3" width="42.453125" customWidth="1"/>
    <col min="4" max="4" width="10.1796875" customWidth="1"/>
    <col min="5" max="6" width="24.1796875" customWidth="1"/>
    <col min="7" max="7" width="2.54296875" customWidth="1"/>
    <col min="8" max="14" width="14.453125" hidden="1"/>
  </cols>
  <sheetData>
    <row r="1" spans="1:6">
      <c r="A1" s="62"/>
      <c r="B1" s="62" t="s">
        <v>1814</v>
      </c>
      <c r="C1" s="131"/>
      <c r="D1" s="131"/>
      <c r="E1" s="131"/>
      <c r="F1" s="132"/>
    </row>
    <row r="2" spans="1:6">
      <c r="A2" s="134" t="s">
        <v>1738</v>
      </c>
      <c r="B2" s="135" t="s">
        <v>1815</v>
      </c>
      <c r="C2" s="135" t="s">
        <v>1816</v>
      </c>
      <c r="D2" s="135" t="s">
        <v>1810</v>
      </c>
      <c r="E2" s="135" t="s">
        <v>1</v>
      </c>
      <c r="F2" s="135" t="s">
        <v>1817</v>
      </c>
    </row>
    <row r="3" spans="1:6">
      <c r="A3" s="136">
        <v>1</v>
      </c>
      <c r="B3" s="137" t="s">
        <v>1802</v>
      </c>
      <c r="C3" s="138" t="s">
        <v>1446</v>
      </c>
      <c r="D3" s="136">
        <v>2</v>
      </c>
      <c r="E3" s="139" t="str">
        <f ca="1">IF(B3="","",VLOOKUP(C3,CombineSFG!$H$2:$J990,3,FALSE))</f>
        <v>Number</v>
      </c>
      <c r="F3" s="136" t="s">
        <v>1818</v>
      </c>
    </row>
    <row r="4" spans="1:6">
      <c r="A4" s="136">
        <f t="shared" ref="A4:A28" si="0">IF(B4="","",ROW()-2)</f>
        <v>2</v>
      </c>
      <c r="B4" s="137" t="s">
        <v>1802</v>
      </c>
      <c r="C4" s="141" t="s">
        <v>1586</v>
      </c>
      <c r="D4" s="136">
        <v>1</v>
      </c>
      <c r="E4" s="139" t="str">
        <f ca="1">IF(B4="","",VLOOKUP(C4,CombineSFG!$H$2:$J990,3,FALSE))</f>
        <v>Number</v>
      </c>
      <c r="F4" s="136" t="s">
        <v>1819</v>
      </c>
    </row>
    <row r="5" spans="1:6">
      <c r="A5" s="136">
        <f t="shared" si="0"/>
        <v>3</v>
      </c>
      <c r="B5" s="137" t="s">
        <v>1802</v>
      </c>
      <c r="C5" s="138" t="s">
        <v>93</v>
      </c>
      <c r="D5" s="136">
        <v>1</v>
      </c>
      <c r="E5" s="139" t="str">
        <f ca="1">IF(B5="","",VLOOKUP(C5,CombineSFG!$H$2:$J990,3,FALSE))</f>
        <v>Number</v>
      </c>
      <c r="F5" s="136" t="s">
        <v>1819</v>
      </c>
    </row>
    <row r="6" spans="1:6">
      <c r="A6" s="136">
        <f t="shared" si="0"/>
        <v>4</v>
      </c>
      <c r="B6" s="137" t="s">
        <v>1802</v>
      </c>
      <c r="C6" s="141" t="s">
        <v>1539</v>
      </c>
      <c r="D6" s="136">
        <v>1</v>
      </c>
      <c r="E6" s="139" t="str">
        <f ca="1">IF(B6="","",VLOOKUP(C6,CombineSFG!$H$2:$J990,3,FALSE))</f>
        <v>Number</v>
      </c>
      <c r="F6" s="136" t="s">
        <v>1819</v>
      </c>
    </row>
    <row r="7" spans="1:6">
      <c r="A7" s="136">
        <f t="shared" si="0"/>
        <v>5</v>
      </c>
      <c r="B7" s="137" t="s">
        <v>1802</v>
      </c>
      <c r="C7" s="141" t="s">
        <v>1479</v>
      </c>
      <c r="D7" s="136">
        <v>1</v>
      </c>
      <c r="E7" s="139" t="str">
        <f ca="1">IF(B7="","",VLOOKUP(C7,CombineSFG!$H$2:$J990,3,FALSE))</f>
        <v>Number</v>
      </c>
      <c r="F7" s="136" t="s">
        <v>1819</v>
      </c>
    </row>
    <row r="8" spans="1:6">
      <c r="A8" s="136">
        <f t="shared" si="0"/>
        <v>6</v>
      </c>
      <c r="B8" s="137" t="s">
        <v>1802</v>
      </c>
      <c r="C8" s="138" t="s">
        <v>1498</v>
      </c>
      <c r="D8" s="136">
        <v>1</v>
      </c>
      <c r="E8" s="139" t="str">
        <f ca="1">IF(B8="","",VLOOKUP(C8,CombineSFG!$H$2:$J990,3,FALSE))</f>
        <v>Number</v>
      </c>
      <c r="F8" s="136" t="s">
        <v>1819</v>
      </c>
    </row>
    <row r="9" spans="1:6">
      <c r="A9" s="136">
        <f t="shared" si="0"/>
        <v>7</v>
      </c>
      <c r="B9" s="137" t="s">
        <v>1802</v>
      </c>
      <c r="C9" s="141" t="s">
        <v>1511</v>
      </c>
      <c r="D9" s="136">
        <v>1</v>
      </c>
      <c r="E9" s="139" t="str">
        <f ca="1">IF(B9="","",VLOOKUP(C9,CombineSFG!$H$2:$J990,3,FALSE))</f>
        <v>Number</v>
      </c>
      <c r="F9" s="136" t="s">
        <v>1819</v>
      </c>
    </row>
    <row r="10" spans="1:6">
      <c r="A10" s="136">
        <f t="shared" si="0"/>
        <v>8</v>
      </c>
      <c r="B10" s="137" t="s">
        <v>1802</v>
      </c>
      <c r="C10" s="138" t="s">
        <v>1550</v>
      </c>
      <c r="D10" s="136">
        <v>1</v>
      </c>
      <c r="E10" s="139" t="str">
        <f ca="1">IF(B10="","",VLOOKUP(C10,CombineSFG!$H$2:$J990,3,FALSE))</f>
        <v>Number</v>
      </c>
      <c r="F10" s="136" t="s">
        <v>1819</v>
      </c>
    </row>
    <row r="11" spans="1:6">
      <c r="A11" s="136">
        <f t="shared" si="0"/>
        <v>9</v>
      </c>
      <c r="B11" s="137" t="s">
        <v>1802</v>
      </c>
      <c r="C11" s="141" t="s">
        <v>1600</v>
      </c>
      <c r="D11" s="136">
        <v>2</v>
      </c>
      <c r="E11" s="139" t="str">
        <f ca="1">IF(B11="","",VLOOKUP(C11,CombineSFG!$H$2:$J990,3,FALSE))</f>
        <v>Number</v>
      </c>
      <c r="F11" s="136" t="s">
        <v>1820</v>
      </c>
    </row>
    <row r="12" spans="1:6">
      <c r="A12" s="136">
        <f t="shared" si="0"/>
        <v>10</v>
      </c>
      <c r="B12" s="137" t="s">
        <v>1802</v>
      </c>
      <c r="C12" s="138" t="s">
        <v>1468</v>
      </c>
      <c r="D12" s="136">
        <v>1</v>
      </c>
      <c r="E12" s="139" t="str">
        <f ca="1">IF(B12="","",VLOOKUP(C12,CombineSFG!$H$2:$J990,3,FALSE))</f>
        <v>Number</v>
      </c>
      <c r="F12" s="136" t="s">
        <v>1821</v>
      </c>
    </row>
    <row r="13" spans="1:6">
      <c r="A13" s="136">
        <f t="shared" si="0"/>
        <v>11</v>
      </c>
      <c r="B13" s="137" t="s">
        <v>1802</v>
      </c>
      <c r="C13" s="141" t="s">
        <v>1478</v>
      </c>
      <c r="D13" s="136">
        <v>1</v>
      </c>
      <c r="E13" s="139" t="str">
        <f ca="1">IF(B13="","",VLOOKUP(C13,CombineSFG!$H$2:$J990,3,FALSE))</f>
        <v>Number</v>
      </c>
      <c r="F13" s="136" t="s">
        <v>1821</v>
      </c>
    </row>
    <row r="14" spans="1:6">
      <c r="A14" s="136">
        <f t="shared" si="0"/>
        <v>12</v>
      </c>
      <c r="B14" s="137" t="s">
        <v>1802</v>
      </c>
      <c r="C14" s="138" t="s">
        <v>1605</v>
      </c>
      <c r="D14" s="136">
        <v>1</v>
      </c>
      <c r="E14" s="139" t="str">
        <f ca="1">IF(B14="","",VLOOKUP(C14,CombineSFG!$H$2:$J990,3,FALSE))</f>
        <v>Number</v>
      </c>
      <c r="F14" s="136" t="s">
        <v>1820</v>
      </c>
    </row>
    <row r="15" spans="1:6">
      <c r="A15" s="136">
        <f t="shared" si="0"/>
        <v>13</v>
      </c>
      <c r="B15" s="137" t="s">
        <v>1802</v>
      </c>
      <c r="C15" s="137" t="s">
        <v>1610</v>
      </c>
      <c r="D15" s="136">
        <v>1</v>
      </c>
      <c r="E15" s="139" t="str">
        <f ca="1">IF(B15="","",VLOOKUP(C15,CombineSFG!$H$2:$J990,3,FALSE))</f>
        <v>Number</v>
      </c>
      <c r="F15" s="136" t="s">
        <v>1820</v>
      </c>
    </row>
    <row r="16" spans="1:6">
      <c r="A16" s="136">
        <f t="shared" si="0"/>
        <v>14</v>
      </c>
      <c r="B16" s="137" t="s">
        <v>1802</v>
      </c>
      <c r="C16" s="137" t="s">
        <v>1519</v>
      </c>
      <c r="D16" s="136">
        <v>1</v>
      </c>
      <c r="E16" s="139" t="str">
        <f ca="1">IF(B16="","",VLOOKUP(C16,CombineSFG!$H$2:$J990,3,FALSE))</f>
        <v>Number</v>
      </c>
      <c r="F16" s="136" t="s">
        <v>1821</v>
      </c>
    </row>
    <row r="17" spans="1:6">
      <c r="A17" s="136">
        <f t="shared" si="0"/>
        <v>15</v>
      </c>
      <c r="B17" s="137" t="s">
        <v>1802</v>
      </c>
      <c r="C17" s="137" t="s">
        <v>1579</v>
      </c>
      <c r="D17" s="136">
        <v>1</v>
      </c>
      <c r="E17" s="139" t="str">
        <f ca="1">IF(B17="","",VLOOKUP(C17,CombineSFG!$H$2:$J990,3,FALSE))</f>
        <v>Number</v>
      </c>
      <c r="F17" s="136" t="s">
        <v>1822</v>
      </c>
    </row>
    <row r="18" spans="1:6">
      <c r="A18" s="136">
        <f t="shared" si="0"/>
        <v>16</v>
      </c>
      <c r="B18" s="137" t="s">
        <v>1802</v>
      </c>
      <c r="C18" s="137" t="s">
        <v>1587</v>
      </c>
      <c r="D18" s="136">
        <v>1</v>
      </c>
      <c r="E18" s="139" t="str">
        <f ca="1">IF(B18="","",VLOOKUP(C18,CombineSFG!$H$2:$J990,3,FALSE))</f>
        <v>Number</v>
      </c>
      <c r="F18" s="136" t="s">
        <v>1823</v>
      </c>
    </row>
    <row r="19" spans="1:6">
      <c r="A19" s="136">
        <f t="shared" si="0"/>
        <v>17</v>
      </c>
      <c r="B19" s="137" t="s">
        <v>1802</v>
      </c>
      <c r="C19" s="137" t="s">
        <v>1590</v>
      </c>
      <c r="D19" s="136">
        <v>1</v>
      </c>
      <c r="E19" s="139" t="str">
        <f ca="1">IF(B19="","",VLOOKUP(C19,CombineSFG!$H$2:$J990,3,FALSE))</f>
        <v>Number</v>
      </c>
      <c r="F19" s="136" t="s">
        <v>1823</v>
      </c>
    </row>
    <row r="20" spans="1:6">
      <c r="A20" s="136">
        <f t="shared" si="0"/>
        <v>18</v>
      </c>
      <c r="B20" s="137" t="s">
        <v>1802</v>
      </c>
      <c r="C20" s="137" t="s">
        <v>1593</v>
      </c>
      <c r="D20" s="136">
        <v>1</v>
      </c>
      <c r="E20" s="139" t="str">
        <f ca="1">IF(B20="","",VLOOKUP(C20,CombineSFG!$H$2:$J990,3,FALSE))</f>
        <v>Number</v>
      </c>
      <c r="F20" s="136" t="s">
        <v>1824</v>
      </c>
    </row>
    <row r="21" spans="1:6">
      <c r="A21" s="136">
        <f t="shared" si="0"/>
        <v>19</v>
      </c>
      <c r="B21" s="137" t="s">
        <v>1802</v>
      </c>
      <c r="C21" s="137" t="s">
        <v>1599</v>
      </c>
      <c r="D21" s="136">
        <v>1</v>
      </c>
      <c r="E21" s="139" t="str">
        <f ca="1">IF(B21="","",VLOOKUP(C21,CombineSFG!$H$2:$J990,3,FALSE))</f>
        <v>Number</v>
      </c>
      <c r="F21" s="136" t="s">
        <v>1824</v>
      </c>
    </row>
    <row r="22" spans="1:6">
      <c r="A22" s="136">
        <f t="shared" si="0"/>
        <v>20</v>
      </c>
      <c r="B22" s="137" t="s">
        <v>1802</v>
      </c>
      <c r="C22" s="137" t="s">
        <v>1612</v>
      </c>
      <c r="D22" s="136">
        <v>1</v>
      </c>
      <c r="E22" s="139" t="str">
        <f ca="1">IF(B22="","",VLOOKUP(C22,CombineSFG!$H$2:$J990,3,FALSE))</f>
        <v>Number</v>
      </c>
      <c r="F22" s="136" t="s">
        <v>1818</v>
      </c>
    </row>
    <row r="23" spans="1:6">
      <c r="A23" s="136">
        <f t="shared" si="0"/>
        <v>21</v>
      </c>
      <c r="B23" s="137" t="s">
        <v>1802</v>
      </c>
      <c r="C23" s="137" t="s">
        <v>1616</v>
      </c>
      <c r="D23" s="136">
        <v>1</v>
      </c>
      <c r="E23" s="139" t="str">
        <f ca="1">IF(B23="","",VLOOKUP(C23,CombineSFG!$H$2:$J990,3,FALSE))</f>
        <v>Number</v>
      </c>
      <c r="F23" s="136" t="s">
        <v>1818</v>
      </c>
    </row>
    <row r="24" spans="1:6">
      <c r="A24" s="136">
        <f t="shared" si="0"/>
        <v>22</v>
      </c>
      <c r="B24" s="137" t="s">
        <v>1802</v>
      </c>
      <c r="C24" s="137" t="s">
        <v>112</v>
      </c>
      <c r="D24" s="136">
        <v>1</v>
      </c>
      <c r="E24" s="139" t="str">
        <f ca="1">IF(B24="","",VLOOKUP(C24,CombineSFG!$H$2:$J990,3,FALSE))</f>
        <v>Number</v>
      </c>
      <c r="F24" s="136" t="s">
        <v>1824</v>
      </c>
    </row>
    <row r="25" spans="1:6">
      <c r="A25" s="136">
        <f t="shared" si="0"/>
        <v>23</v>
      </c>
      <c r="B25" s="137" t="s">
        <v>1802</v>
      </c>
      <c r="C25" s="137" t="s">
        <v>87</v>
      </c>
      <c r="D25" s="136">
        <v>1</v>
      </c>
      <c r="E25" s="139" t="str">
        <f ca="1">IF(B25="","",VLOOKUP(C25,CombineSFG!$H$2:$J990,3,FALSE))</f>
        <v>Number</v>
      </c>
      <c r="F25" s="136" t="s">
        <v>1825</v>
      </c>
    </row>
    <row r="26" spans="1:6">
      <c r="A26" s="136">
        <f t="shared" si="0"/>
        <v>24</v>
      </c>
      <c r="B26" s="137" t="s">
        <v>1802</v>
      </c>
      <c r="C26" s="137" t="s">
        <v>107</v>
      </c>
      <c r="D26" s="136">
        <v>1</v>
      </c>
      <c r="E26" s="139" t="str">
        <f ca="1">IF(B26="","",VLOOKUP(C26,CombineSFG!$H$2:$J990,3,FALSE))</f>
        <v>Number</v>
      </c>
      <c r="F26" s="136" t="s">
        <v>1825</v>
      </c>
    </row>
    <row r="27" spans="1:6">
      <c r="A27" s="136">
        <f t="shared" si="0"/>
        <v>25</v>
      </c>
      <c r="B27" s="137" t="s">
        <v>1802</v>
      </c>
      <c r="C27" s="137" t="s">
        <v>1661</v>
      </c>
      <c r="D27" s="136">
        <v>0</v>
      </c>
      <c r="E27" s="139" t="str">
        <f ca="1">IF(B27="","",VLOOKUP(C27,CombineSFG!$H$2:$J990,3,FALSE))</f>
        <v>Number</v>
      </c>
      <c r="F27" s="136" t="s">
        <v>1821</v>
      </c>
    </row>
    <row r="28" spans="1:6">
      <c r="A28" s="136">
        <f t="shared" si="0"/>
        <v>26</v>
      </c>
      <c r="B28" s="137" t="s">
        <v>1802</v>
      </c>
      <c r="C28" s="137" t="s">
        <v>1672</v>
      </c>
      <c r="D28" s="136">
        <v>0</v>
      </c>
      <c r="E28" s="139" t="str">
        <f ca="1">IF(B28="","",VLOOKUP(C28,CombineSFG!$H$2:$J990,3,FALSE))</f>
        <v>Number</v>
      </c>
      <c r="F28" s="136" t="s">
        <v>1826</v>
      </c>
    </row>
    <row r="29" spans="1:6">
      <c r="A29" s="136">
        <v>30</v>
      </c>
      <c r="B29" s="137" t="s">
        <v>1802</v>
      </c>
      <c r="C29" s="137" t="s">
        <v>1676</v>
      </c>
      <c r="D29" s="136">
        <v>1</v>
      </c>
      <c r="E29" s="139" t="str">
        <f ca="1">IF(B29="","",VLOOKUP(C29,CombineSFG!$H$2:$J990,3,FALSE))</f>
        <v>Number</v>
      </c>
      <c r="F29" s="136" t="s">
        <v>1824</v>
      </c>
    </row>
    <row r="30" spans="1:6">
      <c r="A30" s="136">
        <f t="shared" ref="A30:A284" si="1">IF(B30="","",ROW()-2)</f>
        <v>28</v>
      </c>
      <c r="B30" s="137" t="s">
        <v>1802</v>
      </c>
      <c r="C30" s="137" t="s">
        <v>1695</v>
      </c>
      <c r="D30" s="136">
        <v>1</v>
      </c>
      <c r="E30" s="139" t="str">
        <f ca="1">IF(B30="","",VLOOKUP(C30,CombineSFG!$H$2:$J990,3,FALSE))</f>
        <v>Number</v>
      </c>
      <c r="F30" s="136" t="s">
        <v>1826</v>
      </c>
    </row>
    <row r="31" spans="1:6">
      <c r="A31" s="136">
        <f t="shared" si="1"/>
        <v>29</v>
      </c>
      <c r="B31" s="137" t="s">
        <v>1802</v>
      </c>
      <c r="C31" s="137" t="s">
        <v>1698</v>
      </c>
      <c r="D31" s="136">
        <v>1</v>
      </c>
      <c r="E31" s="139" t="str">
        <f ca="1">IF(B31="","",VLOOKUP(C31,CombineSFG!$H$2:$J990,3,FALSE))</f>
        <v>Number</v>
      </c>
      <c r="F31" s="136" t="s">
        <v>1826</v>
      </c>
    </row>
    <row r="32" spans="1:6">
      <c r="A32" s="136">
        <f t="shared" si="1"/>
        <v>30</v>
      </c>
      <c r="B32" s="142" t="s">
        <v>1802</v>
      </c>
      <c r="C32" s="143" t="s">
        <v>91</v>
      </c>
      <c r="D32" s="144">
        <v>1</v>
      </c>
      <c r="E32" s="139" t="str">
        <f ca="1">IF(B32="","",VLOOKUP(C32,CombineSFG!$H$2:$J990,3,FALSE))</f>
        <v>Number</v>
      </c>
      <c r="F32" s="144" t="s">
        <v>1822</v>
      </c>
    </row>
    <row r="33" spans="1:6">
      <c r="A33" s="136">
        <f t="shared" si="1"/>
        <v>31</v>
      </c>
      <c r="B33" s="142" t="s">
        <v>1802</v>
      </c>
      <c r="C33" s="145" t="s">
        <v>1541</v>
      </c>
      <c r="D33" s="146">
        <v>1</v>
      </c>
      <c r="E33" s="139" t="str">
        <f ca="1">IF(B33="","",VLOOKUP(C33,CombineSFG!$H$2:$J990,3,FALSE))</f>
        <v>Number</v>
      </c>
      <c r="F33" s="144" t="s">
        <v>1822</v>
      </c>
    </row>
    <row r="34" spans="1:6">
      <c r="A34" s="136">
        <f t="shared" si="1"/>
        <v>32</v>
      </c>
      <c r="B34" s="147" t="s">
        <v>1802</v>
      </c>
      <c r="C34" s="148" t="s">
        <v>1701</v>
      </c>
      <c r="D34" s="149">
        <v>1</v>
      </c>
      <c r="E34" s="139" t="str">
        <f ca="1">IF(B34="","",VLOOKUP(C34,CombineSFG!$H$2:$J990,3,FALSE))</f>
        <v>Number</v>
      </c>
      <c r="F34" s="144" t="s">
        <v>1822</v>
      </c>
    </row>
    <row r="35" spans="1:6">
      <c r="A35" s="136">
        <f t="shared" si="1"/>
        <v>33</v>
      </c>
      <c r="B35" s="150" t="s">
        <v>1802</v>
      </c>
      <c r="C35" s="145" t="s">
        <v>1703</v>
      </c>
      <c r="D35" s="146">
        <v>1</v>
      </c>
      <c r="E35" s="139" t="str">
        <f ca="1">IF(B35="","",VLOOKUP(C35,CombineSFG!$H$2:$J990,3,FALSE))</f>
        <v>Number</v>
      </c>
      <c r="F35" s="146" t="s">
        <v>1827</v>
      </c>
    </row>
    <row r="36" spans="1:6">
      <c r="A36" s="136">
        <f t="shared" si="1"/>
        <v>34</v>
      </c>
      <c r="B36" s="150" t="s">
        <v>1802</v>
      </c>
      <c r="C36" s="137" t="s">
        <v>1689</v>
      </c>
      <c r="D36" s="136">
        <v>1</v>
      </c>
      <c r="E36" s="139" t="str">
        <f ca="1">IF(B36="","",VLOOKUP(C36,CombineSFG!$H$2:$J990,3,FALSE))</f>
        <v>Number</v>
      </c>
      <c r="F36" s="136" t="s">
        <v>1827</v>
      </c>
    </row>
    <row r="37" spans="1:6">
      <c r="A37" s="136" t="str">
        <f t="shared" si="1"/>
        <v/>
      </c>
      <c r="B37" s="137"/>
      <c r="C37" s="137"/>
      <c r="D37" s="136"/>
      <c r="E37" s="139" t="str">
        <f>IF(B37="","",VLOOKUP(C37,CombineSFG!$H$2:$J990,3,FALSE))</f>
        <v/>
      </c>
      <c r="F37" s="136"/>
    </row>
    <row r="38" spans="1:6">
      <c r="A38" s="136" t="str">
        <f t="shared" si="1"/>
        <v/>
      </c>
      <c r="B38" s="137"/>
      <c r="C38" s="137"/>
      <c r="D38" s="136"/>
      <c r="E38" s="139" t="str">
        <f>IF(B38="","",VLOOKUP(C38,CombineSFG!$H$2:$J990,3,FALSE))</f>
        <v/>
      </c>
      <c r="F38" s="136"/>
    </row>
    <row r="39" spans="1:6">
      <c r="A39" s="136" t="str">
        <f t="shared" si="1"/>
        <v/>
      </c>
      <c r="B39" s="137"/>
      <c r="C39" s="137"/>
      <c r="D39" s="136"/>
      <c r="E39" s="139" t="str">
        <f>IF(B39="","",VLOOKUP(C39,CombineSFG!$H$2:$J990,3,FALSE))</f>
        <v/>
      </c>
      <c r="F39" s="136"/>
    </row>
    <row r="40" spans="1:6">
      <c r="A40" s="136" t="str">
        <f t="shared" si="1"/>
        <v/>
      </c>
      <c r="B40" s="137"/>
      <c r="C40" s="137"/>
      <c r="D40" s="136"/>
      <c r="E40" s="139" t="str">
        <f>IF(B40="","",VLOOKUP(C40,CombineSFG!$H$2:$J990,3,FALSE))</f>
        <v/>
      </c>
      <c r="F40" s="136"/>
    </row>
    <row r="41" spans="1:6">
      <c r="A41" s="136" t="str">
        <f t="shared" si="1"/>
        <v/>
      </c>
      <c r="B41" s="137"/>
      <c r="C41" s="137"/>
      <c r="D41" s="136"/>
      <c r="E41" s="139" t="str">
        <f>IF(B41="","",VLOOKUP(C41,CombineSFG!$H$2:$J990,3,FALSE))</f>
        <v/>
      </c>
      <c r="F41" s="136"/>
    </row>
    <row r="42" spans="1:6">
      <c r="A42" s="136" t="str">
        <f t="shared" si="1"/>
        <v/>
      </c>
      <c r="B42" s="137"/>
      <c r="C42" s="137"/>
      <c r="D42" s="136"/>
      <c r="E42" s="139" t="str">
        <f>IF(B42="","",VLOOKUP(C42,CombineSFG!$H$2:$J990,3,FALSE))</f>
        <v/>
      </c>
      <c r="F42" s="136"/>
    </row>
    <row r="43" spans="1:6">
      <c r="A43" s="136" t="str">
        <f t="shared" si="1"/>
        <v/>
      </c>
      <c r="B43" s="137"/>
      <c r="C43" s="137"/>
      <c r="D43" s="136"/>
      <c r="E43" s="139" t="str">
        <f>IF(B43="","",VLOOKUP(C43,CombineSFG!$H$2:$J990,3,FALSE))</f>
        <v/>
      </c>
      <c r="F43" s="136"/>
    </row>
    <row r="44" spans="1:6">
      <c r="A44" s="136" t="str">
        <f t="shared" si="1"/>
        <v/>
      </c>
      <c r="B44" s="137"/>
      <c r="C44" s="137"/>
      <c r="D44" s="136"/>
      <c r="E44" s="139" t="str">
        <f>IF(B44="","",VLOOKUP(C44,CombineSFG!$H$2:$J990,3,FALSE))</f>
        <v/>
      </c>
      <c r="F44" s="136"/>
    </row>
    <row r="45" spans="1:6">
      <c r="A45" s="136" t="str">
        <f t="shared" si="1"/>
        <v/>
      </c>
      <c r="B45" s="137"/>
      <c r="C45" s="137"/>
      <c r="D45" s="136"/>
      <c r="E45" s="139" t="str">
        <f>IF(B45="","",VLOOKUP(C45,CombineSFG!$H$2:$J990,3,FALSE))</f>
        <v/>
      </c>
      <c r="F45" s="136"/>
    </row>
    <row r="46" spans="1:6">
      <c r="A46" s="136" t="str">
        <f t="shared" si="1"/>
        <v/>
      </c>
      <c r="B46" s="137"/>
      <c r="C46" s="137"/>
      <c r="D46" s="136"/>
      <c r="E46" s="139" t="str">
        <f>IF(B46="","",VLOOKUP(C46,CombineSFG!$H$2:$J990,3,FALSE))</f>
        <v/>
      </c>
      <c r="F46" s="136"/>
    </row>
    <row r="47" spans="1:6">
      <c r="A47" s="136" t="str">
        <f t="shared" si="1"/>
        <v/>
      </c>
      <c r="B47" s="137"/>
      <c r="C47" s="137"/>
      <c r="D47" s="136"/>
      <c r="E47" s="139" t="str">
        <f>IF(B47="","",VLOOKUP(C47,CombineSFG!$H$2:$J990,3,FALSE))</f>
        <v/>
      </c>
      <c r="F47" s="136"/>
    </row>
    <row r="48" spans="1:6">
      <c r="A48" s="136" t="str">
        <f t="shared" si="1"/>
        <v/>
      </c>
      <c r="B48" s="137"/>
      <c r="C48" s="137"/>
      <c r="D48" s="136"/>
      <c r="E48" s="139" t="str">
        <f>IF(B48="","",VLOOKUP(C48,CombineSFG!$H$2:$J990,3,FALSE))</f>
        <v/>
      </c>
      <c r="F48" s="136"/>
    </row>
    <row r="49" spans="1:6">
      <c r="A49" s="136" t="str">
        <f t="shared" si="1"/>
        <v/>
      </c>
      <c r="B49" s="137"/>
      <c r="C49" s="137"/>
      <c r="D49" s="136"/>
      <c r="E49" s="139" t="str">
        <f>IF(B49="","",VLOOKUP(C49,CombineSFG!$H$2:$J990,3,FALSE))</f>
        <v/>
      </c>
      <c r="F49" s="136"/>
    </row>
    <row r="50" spans="1:6">
      <c r="A50" s="136" t="str">
        <f t="shared" si="1"/>
        <v/>
      </c>
      <c r="B50" s="137"/>
      <c r="C50" s="137"/>
      <c r="D50" s="136"/>
      <c r="E50" s="139" t="str">
        <f>IF(B50="","",VLOOKUP(C50,CombineSFG!$H$2:$J990,3,FALSE))</f>
        <v/>
      </c>
      <c r="F50" s="136"/>
    </row>
    <row r="51" spans="1:6">
      <c r="A51" s="136" t="str">
        <f t="shared" si="1"/>
        <v/>
      </c>
      <c r="B51" s="137"/>
      <c r="C51" s="137"/>
      <c r="D51" s="136"/>
      <c r="E51" s="139" t="str">
        <f>IF(B51="","",VLOOKUP(C51,CombineSFG!$H$2:$J990,3,FALSE))</f>
        <v/>
      </c>
      <c r="F51" s="136"/>
    </row>
    <row r="52" spans="1:6">
      <c r="A52" s="136" t="str">
        <f t="shared" si="1"/>
        <v/>
      </c>
      <c r="B52" s="137"/>
      <c r="C52" s="137"/>
      <c r="D52" s="136"/>
      <c r="E52" s="139" t="str">
        <f>IF(B52="","",VLOOKUP(C52,CombineSFG!$H$2:$J990,3,FALSE))</f>
        <v/>
      </c>
      <c r="F52" s="136"/>
    </row>
    <row r="53" spans="1:6">
      <c r="A53" s="136" t="str">
        <f t="shared" si="1"/>
        <v/>
      </c>
      <c r="B53" s="137"/>
      <c r="C53" s="137"/>
      <c r="D53" s="136"/>
      <c r="E53" s="139" t="str">
        <f>IF(B53="","",VLOOKUP(C53,CombineSFG!$H$2:$J990,3,FALSE))</f>
        <v/>
      </c>
      <c r="F53" s="136"/>
    </row>
    <row r="54" spans="1:6">
      <c r="A54" s="136" t="str">
        <f t="shared" si="1"/>
        <v/>
      </c>
      <c r="B54" s="137"/>
      <c r="C54" s="137"/>
      <c r="D54" s="136"/>
      <c r="E54" s="139" t="str">
        <f>IF(B54="","",VLOOKUP(C54,CombineSFG!$H$2:$J990,3,FALSE))</f>
        <v/>
      </c>
      <c r="F54" s="136"/>
    </row>
    <row r="55" spans="1:6">
      <c r="A55" s="136" t="str">
        <f t="shared" si="1"/>
        <v/>
      </c>
      <c r="B55" s="137"/>
      <c r="C55" s="137"/>
      <c r="D55" s="136"/>
      <c r="E55" s="139" t="str">
        <f>IF(B55="","",VLOOKUP(C55,CombineSFG!$H$2:$J990,3,FALSE))</f>
        <v/>
      </c>
      <c r="F55" s="136"/>
    </row>
    <row r="56" spans="1:6">
      <c r="A56" s="136" t="str">
        <f t="shared" si="1"/>
        <v/>
      </c>
      <c r="B56" s="137"/>
      <c r="C56" s="137"/>
      <c r="D56" s="136"/>
      <c r="E56" s="139" t="str">
        <f>IF(B56="","",VLOOKUP(C56,CombineSFG!$H$2:$J990,3,FALSE))</f>
        <v/>
      </c>
      <c r="F56" s="136"/>
    </row>
    <row r="57" spans="1:6">
      <c r="A57" s="136" t="str">
        <f t="shared" si="1"/>
        <v/>
      </c>
      <c r="B57" s="137"/>
      <c r="C57" s="137"/>
      <c r="D57" s="136"/>
      <c r="E57" s="139" t="str">
        <f>IF(B57="","",VLOOKUP(C57,CombineSFG!$H$2:$J990,3,FALSE))</f>
        <v/>
      </c>
      <c r="F57" s="136"/>
    </row>
    <row r="58" spans="1:6">
      <c r="A58" s="136" t="str">
        <f t="shared" si="1"/>
        <v/>
      </c>
      <c r="B58" s="137"/>
      <c r="C58" s="137"/>
      <c r="D58" s="136"/>
      <c r="E58" s="139" t="str">
        <f>IF(B58="","",VLOOKUP(C58,CombineSFG!$H$2:$J990,3,FALSE))</f>
        <v/>
      </c>
      <c r="F58" s="136"/>
    </row>
    <row r="59" spans="1:6">
      <c r="A59" s="136" t="str">
        <f t="shared" si="1"/>
        <v/>
      </c>
      <c r="B59" s="137"/>
      <c r="C59" s="137"/>
      <c r="D59" s="136"/>
      <c r="E59" s="139" t="str">
        <f>IF(B59="","",VLOOKUP(C59,CombineSFG!$H$2:$J990,3,FALSE))</f>
        <v/>
      </c>
      <c r="F59" s="136"/>
    </row>
    <row r="60" spans="1:6">
      <c r="A60" s="136" t="str">
        <f t="shared" si="1"/>
        <v/>
      </c>
      <c r="B60" s="137"/>
      <c r="C60" s="137"/>
      <c r="D60" s="136"/>
      <c r="E60" s="139" t="str">
        <f>IF(B60="","",VLOOKUP(C60,CombineSFG!$H$2:$J990,3,FALSE))</f>
        <v/>
      </c>
      <c r="F60" s="136"/>
    </row>
    <row r="61" spans="1:6">
      <c r="A61" s="136" t="str">
        <f t="shared" si="1"/>
        <v/>
      </c>
      <c r="B61" s="137"/>
      <c r="C61" s="137"/>
      <c r="D61" s="136"/>
      <c r="E61" s="139" t="str">
        <f>IF(B61="","",VLOOKUP(C61,CombineSFG!$H$2:$J990,3,FALSE))</f>
        <v/>
      </c>
      <c r="F61" s="136"/>
    </row>
    <row r="62" spans="1:6">
      <c r="A62" s="136" t="str">
        <f t="shared" si="1"/>
        <v/>
      </c>
      <c r="B62" s="137"/>
      <c r="C62" s="137"/>
      <c r="D62" s="136"/>
      <c r="E62" s="139" t="str">
        <f>IF(B62="","",VLOOKUP(C62,CombineSFG!$H$2:$J990,3,FALSE))</f>
        <v/>
      </c>
      <c r="F62" s="136"/>
    </row>
    <row r="63" spans="1:6">
      <c r="A63" s="136" t="str">
        <f t="shared" si="1"/>
        <v/>
      </c>
      <c r="B63" s="137"/>
      <c r="C63" s="137"/>
      <c r="D63" s="136"/>
      <c r="E63" s="139" t="str">
        <f>IF(B63="","",VLOOKUP(C63,CombineSFG!$H$2:$J990,3,FALSE))</f>
        <v/>
      </c>
      <c r="F63" s="136"/>
    </row>
    <row r="64" spans="1:6">
      <c r="A64" s="136" t="str">
        <f t="shared" si="1"/>
        <v/>
      </c>
      <c r="B64" s="137"/>
      <c r="C64" s="137"/>
      <c r="D64" s="136"/>
      <c r="E64" s="139" t="str">
        <f>IF(B64="","",VLOOKUP(C64,CombineSFG!$H$2:$J990,3,FALSE))</f>
        <v/>
      </c>
      <c r="F64" s="136"/>
    </row>
    <row r="65" spans="1:6">
      <c r="A65" s="136" t="str">
        <f t="shared" si="1"/>
        <v/>
      </c>
      <c r="B65" s="137"/>
      <c r="C65" s="137"/>
      <c r="D65" s="136"/>
      <c r="E65" s="139" t="str">
        <f>IF(B65="","",VLOOKUP(C65,CombineSFG!$H$2:$J990,3,FALSE))</f>
        <v/>
      </c>
      <c r="F65" s="136"/>
    </row>
    <row r="66" spans="1:6">
      <c r="A66" s="136" t="str">
        <f t="shared" si="1"/>
        <v/>
      </c>
      <c r="B66" s="137"/>
      <c r="C66" s="137"/>
      <c r="D66" s="136"/>
      <c r="E66" s="139" t="str">
        <f>IF(B66="","",VLOOKUP(C66,CombineSFG!$H$2:$J990,3,FALSE))</f>
        <v/>
      </c>
      <c r="F66" s="136"/>
    </row>
    <row r="67" spans="1:6">
      <c r="A67" s="136" t="str">
        <f t="shared" si="1"/>
        <v/>
      </c>
      <c r="B67" s="137"/>
      <c r="C67" s="137"/>
      <c r="D67" s="136"/>
      <c r="E67" s="139" t="str">
        <f>IF(B67="","",VLOOKUP(C67,CombineSFG!$H$2:$J990,3,FALSE))</f>
        <v/>
      </c>
      <c r="F67" s="136"/>
    </row>
    <row r="68" spans="1:6">
      <c r="A68" s="136" t="str">
        <f t="shared" si="1"/>
        <v/>
      </c>
      <c r="B68" s="137"/>
      <c r="C68" s="137"/>
      <c r="D68" s="136"/>
      <c r="E68" s="139" t="str">
        <f>IF(B68="","",VLOOKUP(C68,CombineSFG!$H$2:$J990,3,FALSE))</f>
        <v/>
      </c>
      <c r="F68" s="136"/>
    </row>
    <row r="69" spans="1:6">
      <c r="A69" s="136" t="str">
        <f t="shared" si="1"/>
        <v/>
      </c>
      <c r="B69" s="137"/>
      <c r="C69" s="137"/>
      <c r="D69" s="136"/>
      <c r="E69" s="139" t="str">
        <f>IF(B69="","",VLOOKUP(C69,CombineSFG!$H$2:$J990,3,FALSE))</f>
        <v/>
      </c>
      <c r="F69" s="136"/>
    </row>
    <row r="70" spans="1:6">
      <c r="A70" s="136" t="str">
        <f t="shared" si="1"/>
        <v/>
      </c>
      <c r="B70" s="137"/>
      <c r="C70" s="137"/>
      <c r="D70" s="136"/>
      <c r="E70" s="139" t="str">
        <f>IF(B70="","",VLOOKUP(C70,CombineSFG!$H$2:$J990,3,FALSE))</f>
        <v/>
      </c>
      <c r="F70" s="136"/>
    </row>
    <row r="71" spans="1:6">
      <c r="A71" s="136" t="str">
        <f t="shared" si="1"/>
        <v/>
      </c>
      <c r="B71" s="137"/>
      <c r="C71" s="137"/>
      <c r="D71" s="136"/>
      <c r="E71" s="139" t="str">
        <f>IF(B71="","",VLOOKUP(C71,CombineSFG!$H$2:$J990,3,FALSE))</f>
        <v/>
      </c>
      <c r="F71" s="136"/>
    </row>
    <row r="72" spans="1:6">
      <c r="A72" s="136" t="str">
        <f t="shared" si="1"/>
        <v/>
      </c>
      <c r="B72" s="137"/>
      <c r="C72" s="137"/>
      <c r="D72" s="136"/>
      <c r="E72" s="139" t="str">
        <f>IF(B72="","",VLOOKUP(C72,CombineSFG!$H$2:$J990,3,FALSE))</f>
        <v/>
      </c>
      <c r="F72" s="136"/>
    </row>
    <row r="73" spans="1:6">
      <c r="A73" s="136" t="str">
        <f t="shared" si="1"/>
        <v/>
      </c>
      <c r="B73" s="137"/>
      <c r="C73" s="137"/>
      <c r="D73" s="136"/>
      <c r="E73" s="139" t="str">
        <f>IF(B73="","",VLOOKUP(C73,CombineSFG!$H$2:$J990,3,FALSE))</f>
        <v/>
      </c>
      <c r="F73" s="136"/>
    </row>
    <row r="74" spans="1:6">
      <c r="A74" s="136" t="str">
        <f t="shared" si="1"/>
        <v/>
      </c>
      <c r="B74" s="137"/>
      <c r="C74" s="137"/>
      <c r="D74" s="136"/>
      <c r="E74" s="139" t="str">
        <f>IF(B74="","",VLOOKUP(C74,CombineSFG!$H$2:$J990,3,FALSE))</f>
        <v/>
      </c>
      <c r="F74" s="136"/>
    </row>
    <row r="75" spans="1:6">
      <c r="A75" s="136" t="str">
        <f t="shared" si="1"/>
        <v/>
      </c>
      <c r="B75" s="137"/>
      <c r="C75" s="137"/>
      <c r="D75" s="136"/>
      <c r="E75" s="139" t="str">
        <f>IF(B75="","",VLOOKUP(C75,CombineSFG!$H$2:$J990,3,FALSE))</f>
        <v/>
      </c>
      <c r="F75" s="136"/>
    </row>
    <row r="76" spans="1:6">
      <c r="A76" s="136" t="str">
        <f t="shared" si="1"/>
        <v/>
      </c>
      <c r="B76" s="137"/>
      <c r="C76" s="137"/>
      <c r="D76" s="136"/>
      <c r="E76" s="139" t="str">
        <f>IF(B76="","",VLOOKUP(C76,CombineSFG!$H$2:$J990,3,FALSE))</f>
        <v/>
      </c>
      <c r="F76" s="136"/>
    </row>
    <row r="77" spans="1:6">
      <c r="A77" s="136" t="str">
        <f t="shared" si="1"/>
        <v/>
      </c>
      <c r="B77" s="137"/>
      <c r="C77" s="137"/>
      <c r="D77" s="136"/>
      <c r="E77" s="139" t="str">
        <f>IF(B77="","",VLOOKUP(C77,CombineSFG!$H$2:$J990,3,FALSE))</f>
        <v/>
      </c>
      <c r="F77" s="136"/>
    </row>
    <row r="78" spans="1:6">
      <c r="A78" s="136" t="str">
        <f t="shared" si="1"/>
        <v/>
      </c>
      <c r="B78" s="151"/>
      <c r="C78" s="137"/>
      <c r="D78" s="136"/>
      <c r="E78" s="139" t="str">
        <f>IF(B78="","",VLOOKUP(C78,CombineSFG!$H$2:$J990,3,FALSE))</f>
        <v/>
      </c>
      <c r="F78" s="136"/>
    </row>
    <row r="79" spans="1:6">
      <c r="A79" s="136" t="str">
        <f t="shared" si="1"/>
        <v/>
      </c>
      <c r="B79" s="151"/>
      <c r="C79" s="137"/>
      <c r="D79" s="136"/>
      <c r="E79" s="139" t="str">
        <f>IF(B79="","",VLOOKUP(C79,CombineSFG!$H$2:$J990,3,FALSE))</f>
        <v/>
      </c>
      <c r="F79" s="136"/>
    </row>
    <row r="80" spans="1:6">
      <c r="A80" s="136" t="str">
        <f t="shared" si="1"/>
        <v/>
      </c>
      <c r="B80" s="151"/>
      <c r="C80" s="137"/>
      <c r="D80" s="136"/>
      <c r="E80" s="139" t="str">
        <f>IF(B80="","",VLOOKUP(C80,CombineSFG!$H$2:$J990,3,FALSE))</f>
        <v/>
      </c>
      <c r="F80" s="136"/>
    </row>
    <row r="81" spans="1:6">
      <c r="A81" s="136" t="str">
        <f t="shared" si="1"/>
        <v/>
      </c>
      <c r="B81" s="151"/>
      <c r="C81" s="137"/>
      <c r="D81" s="136"/>
      <c r="E81" s="139" t="str">
        <f>IF(B81="","",VLOOKUP(C81,CombineSFG!$H$2:$J990,3,FALSE))</f>
        <v/>
      </c>
      <c r="F81" s="136"/>
    </row>
    <row r="82" spans="1:6">
      <c r="A82" s="136" t="str">
        <f t="shared" si="1"/>
        <v/>
      </c>
      <c r="B82" s="151"/>
      <c r="C82" s="137"/>
      <c r="D82" s="136"/>
      <c r="E82" s="139" t="str">
        <f>IF(B82="","",VLOOKUP(C82,CombineSFG!$H$2:$J990,3,FALSE))</f>
        <v/>
      </c>
      <c r="F82" s="136"/>
    </row>
    <row r="83" spans="1:6">
      <c r="A83" s="136" t="str">
        <f t="shared" si="1"/>
        <v/>
      </c>
      <c r="B83" s="151"/>
      <c r="C83" s="137"/>
      <c r="D83" s="136"/>
      <c r="E83" s="139" t="str">
        <f>IF(B83="","",VLOOKUP(C83,CombineSFG!$H$2:$J990,3,FALSE))</f>
        <v/>
      </c>
      <c r="F83" s="136"/>
    </row>
    <row r="84" spans="1:6">
      <c r="A84" s="136" t="str">
        <f t="shared" si="1"/>
        <v/>
      </c>
      <c r="B84" s="137"/>
      <c r="C84" s="137"/>
      <c r="D84" s="136"/>
      <c r="E84" s="139" t="str">
        <f>IF(B84="","",VLOOKUP(C84,CombineSFG!$H$2:$J990,3,FALSE))</f>
        <v/>
      </c>
      <c r="F84" s="136"/>
    </row>
    <row r="85" spans="1:6">
      <c r="A85" s="136" t="str">
        <f t="shared" si="1"/>
        <v/>
      </c>
      <c r="B85" s="137"/>
      <c r="C85" s="137"/>
      <c r="D85" s="136"/>
      <c r="E85" s="139" t="str">
        <f>IF(B85="","",VLOOKUP(C85,CombineSFG!$H$2:$J990,3,FALSE))</f>
        <v/>
      </c>
      <c r="F85" s="136"/>
    </row>
    <row r="86" spans="1:6">
      <c r="A86" s="136" t="str">
        <f t="shared" si="1"/>
        <v/>
      </c>
      <c r="B86" s="137"/>
      <c r="C86" s="137"/>
      <c r="D86" s="136"/>
      <c r="E86" s="139" t="str">
        <f>IF(B86="","",VLOOKUP(C86,CombineSFG!$H$2:$J990,3,FALSE))</f>
        <v/>
      </c>
      <c r="F86" s="136"/>
    </row>
    <row r="87" spans="1:6">
      <c r="A87" s="136" t="str">
        <f t="shared" si="1"/>
        <v/>
      </c>
      <c r="B87" s="137"/>
      <c r="C87" s="137"/>
      <c r="D87" s="136"/>
      <c r="E87" s="139" t="str">
        <f>IF(B87="","",VLOOKUP(C87,CombineSFG!$H$2:$J990,3,FALSE))</f>
        <v/>
      </c>
      <c r="F87" s="136"/>
    </row>
    <row r="88" spans="1:6">
      <c r="A88" s="136" t="str">
        <f t="shared" si="1"/>
        <v/>
      </c>
      <c r="B88" s="137"/>
      <c r="C88" s="137"/>
      <c r="D88" s="136"/>
      <c r="E88" s="139" t="str">
        <f>IF(B88="","",VLOOKUP(C88,CombineSFG!$H$2:$J990,3,FALSE))</f>
        <v/>
      </c>
      <c r="F88" s="136"/>
    </row>
    <row r="89" spans="1:6">
      <c r="A89" s="136" t="str">
        <f t="shared" si="1"/>
        <v/>
      </c>
      <c r="B89" s="137"/>
      <c r="C89" s="137"/>
      <c r="D89" s="136"/>
      <c r="E89" s="139" t="str">
        <f>IF(B89="","",VLOOKUP(C89,CombineSFG!$H$2:$J990,3,FALSE))</f>
        <v/>
      </c>
      <c r="F89" s="136"/>
    </row>
    <row r="90" spans="1:6">
      <c r="A90" s="136" t="str">
        <f t="shared" si="1"/>
        <v/>
      </c>
      <c r="B90" s="137"/>
      <c r="C90" s="137"/>
      <c r="D90" s="136"/>
      <c r="E90" s="139" t="str">
        <f>IF(B90="","",VLOOKUP(C90,CombineSFG!$H$2:$J990,3,FALSE))</f>
        <v/>
      </c>
      <c r="F90" s="136"/>
    </row>
    <row r="91" spans="1:6">
      <c r="A91" s="136" t="str">
        <f t="shared" si="1"/>
        <v/>
      </c>
      <c r="B91" s="137"/>
      <c r="C91" s="137"/>
      <c r="D91" s="136"/>
      <c r="E91" s="139" t="str">
        <f>IF(B91="","",VLOOKUP(C91,CombineSFG!$H$2:$J990,3,FALSE))</f>
        <v/>
      </c>
      <c r="F91" s="136"/>
    </row>
    <row r="92" spans="1:6">
      <c r="A92" s="136" t="str">
        <f t="shared" si="1"/>
        <v/>
      </c>
      <c r="B92" s="137"/>
      <c r="C92" s="137"/>
      <c r="D92" s="136"/>
      <c r="E92" s="139" t="str">
        <f>IF(B92="","",VLOOKUP(C92,CombineSFG!$H$2:$J990,3,FALSE))</f>
        <v/>
      </c>
      <c r="F92" s="136"/>
    </row>
    <row r="93" spans="1:6">
      <c r="A93" s="136" t="str">
        <f t="shared" si="1"/>
        <v/>
      </c>
      <c r="B93" s="137"/>
      <c r="C93" s="137"/>
      <c r="D93" s="136"/>
      <c r="E93" s="139" t="str">
        <f>IF(B93="","",VLOOKUP(C93,CombineSFG!$H$2:$J990,3,FALSE))</f>
        <v/>
      </c>
      <c r="F93" s="136"/>
    </row>
    <row r="94" spans="1:6">
      <c r="A94" s="136" t="str">
        <f t="shared" si="1"/>
        <v/>
      </c>
      <c r="B94" s="137"/>
      <c r="C94" s="137"/>
      <c r="D94" s="136"/>
      <c r="E94" s="139" t="str">
        <f>IF(B94="","",VLOOKUP(C94,CombineSFG!$H$2:$J990,3,FALSE))</f>
        <v/>
      </c>
      <c r="F94" s="136"/>
    </row>
    <row r="95" spans="1:6">
      <c r="A95" s="136" t="str">
        <f t="shared" si="1"/>
        <v/>
      </c>
      <c r="B95" s="137"/>
      <c r="C95" s="137"/>
      <c r="D95" s="136"/>
      <c r="E95" s="139" t="str">
        <f>IF(B95="","",VLOOKUP(C95,CombineSFG!$H$2:$J990,3,FALSE))</f>
        <v/>
      </c>
      <c r="F95" s="136"/>
    </row>
    <row r="96" spans="1:6">
      <c r="A96" s="136" t="str">
        <f t="shared" si="1"/>
        <v/>
      </c>
      <c r="B96" s="137"/>
      <c r="C96" s="137"/>
      <c r="D96" s="136"/>
      <c r="E96" s="139" t="str">
        <f>IF(B96="","",VLOOKUP(C96,CombineSFG!$H$2:$J990,3,FALSE))</f>
        <v/>
      </c>
      <c r="F96" s="136"/>
    </row>
    <row r="97" spans="1:6">
      <c r="A97" s="136" t="str">
        <f t="shared" si="1"/>
        <v/>
      </c>
      <c r="B97" s="137"/>
      <c r="C97" s="137"/>
      <c r="D97" s="136"/>
      <c r="E97" s="139" t="str">
        <f>IF(B97="","",VLOOKUP(C97,CombineSFG!$H$2:$J990,3,FALSE))</f>
        <v/>
      </c>
      <c r="F97" s="136"/>
    </row>
    <row r="98" spans="1:6">
      <c r="A98" s="136" t="str">
        <f t="shared" si="1"/>
        <v/>
      </c>
      <c r="B98" s="137"/>
      <c r="C98" s="137"/>
      <c r="D98" s="136"/>
      <c r="E98" s="139" t="str">
        <f>IF(B98="","",VLOOKUP(C98,CombineSFG!$H$2:$J990,3,FALSE))</f>
        <v/>
      </c>
      <c r="F98" s="136"/>
    </row>
    <row r="99" spans="1:6">
      <c r="A99" s="136" t="str">
        <f t="shared" si="1"/>
        <v/>
      </c>
      <c r="B99" s="137"/>
      <c r="C99" s="137"/>
      <c r="D99" s="136"/>
      <c r="E99" s="139" t="str">
        <f>IF(B99="","",VLOOKUP(C99,CombineSFG!$H$2:$J990,3,FALSE))</f>
        <v/>
      </c>
      <c r="F99" s="136"/>
    </row>
    <row r="100" spans="1:6">
      <c r="A100" s="136" t="str">
        <f t="shared" si="1"/>
        <v/>
      </c>
      <c r="B100" s="137"/>
      <c r="C100" s="137"/>
      <c r="D100" s="136"/>
      <c r="E100" s="139" t="str">
        <f>IF(B100="","",VLOOKUP(C100,CombineSFG!$H$2:$J990,3,FALSE))</f>
        <v/>
      </c>
      <c r="F100" s="136"/>
    </row>
    <row r="101" spans="1:6">
      <c r="A101" s="136" t="str">
        <f t="shared" si="1"/>
        <v/>
      </c>
      <c r="B101" s="137"/>
      <c r="C101" s="137"/>
      <c r="D101" s="136"/>
      <c r="E101" s="139" t="str">
        <f>IF(B101="","",VLOOKUP(C101,CombineSFG!$H$2:$J990,3,FALSE))</f>
        <v/>
      </c>
      <c r="F101" s="136"/>
    </row>
    <row r="102" spans="1:6">
      <c r="A102" s="136" t="str">
        <f t="shared" si="1"/>
        <v/>
      </c>
      <c r="B102" s="137"/>
      <c r="C102" s="137"/>
      <c r="D102" s="136"/>
      <c r="E102" s="139" t="str">
        <f>IF(B102="","",VLOOKUP(C102,CombineSFG!$H$2:$J990,3,FALSE))</f>
        <v/>
      </c>
      <c r="F102" s="136"/>
    </row>
    <row r="103" spans="1:6">
      <c r="A103" s="136" t="str">
        <f t="shared" si="1"/>
        <v/>
      </c>
      <c r="B103" s="137"/>
      <c r="C103" s="137"/>
      <c r="D103" s="136"/>
      <c r="E103" s="139" t="str">
        <f>IF(B103="","",VLOOKUP(C103,CombineSFG!$H$2:$J990,3,FALSE))</f>
        <v/>
      </c>
      <c r="F103" s="136"/>
    </row>
    <row r="104" spans="1:6">
      <c r="A104" s="136" t="str">
        <f t="shared" si="1"/>
        <v/>
      </c>
      <c r="B104" s="137"/>
      <c r="C104" s="137"/>
      <c r="D104" s="136"/>
      <c r="E104" s="139" t="str">
        <f>IF(B104="","",VLOOKUP(C104,CombineSFG!$H$2:$J990,3,FALSE))</f>
        <v/>
      </c>
      <c r="F104" s="136"/>
    </row>
    <row r="105" spans="1:6">
      <c r="A105" s="136" t="str">
        <f t="shared" si="1"/>
        <v/>
      </c>
      <c r="B105" s="137"/>
      <c r="C105" s="137"/>
      <c r="D105" s="136"/>
      <c r="E105" s="139" t="str">
        <f>IF(B105="","",VLOOKUP(C105,CombineSFG!$H$2:$J990,3,FALSE))</f>
        <v/>
      </c>
      <c r="F105" s="136"/>
    </row>
    <row r="106" spans="1:6">
      <c r="A106" s="136" t="str">
        <f t="shared" si="1"/>
        <v/>
      </c>
      <c r="B106" s="137"/>
      <c r="C106" s="137"/>
      <c r="D106" s="136"/>
      <c r="E106" s="139" t="str">
        <f>IF(B106="","",VLOOKUP(C106,CombineSFG!$H$2:$J990,3,FALSE))</f>
        <v/>
      </c>
      <c r="F106" s="136"/>
    </row>
    <row r="107" spans="1:6">
      <c r="A107" s="136" t="str">
        <f t="shared" si="1"/>
        <v/>
      </c>
      <c r="B107" s="137"/>
      <c r="C107" s="137"/>
      <c r="D107" s="136"/>
      <c r="E107" s="139" t="str">
        <f>IF(B107="","",VLOOKUP(C107,CombineSFG!$H$2:$J990,3,FALSE))</f>
        <v/>
      </c>
      <c r="F107" s="136"/>
    </row>
    <row r="108" spans="1:6">
      <c r="A108" s="136" t="str">
        <f t="shared" si="1"/>
        <v/>
      </c>
      <c r="B108" s="137"/>
      <c r="C108" s="137"/>
      <c r="D108" s="136"/>
      <c r="E108" s="139" t="str">
        <f>IF(B108="","",VLOOKUP(C108,CombineSFG!$H$2:$J990,3,FALSE))</f>
        <v/>
      </c>
      <c r="F108" s="136"/>
    </row>
    <row r="109" spans="1:6">
      <c r="A109" s="136" t="str">
        <f t="shared" si="1"/>
        <v/>
      </c>
      <c r="B109" s="137"/>
      <c r="C109" s="137"/>
      <c r="D109" s="136"/>
      <c r="E109" s="139" t="str">
        <f>IF(B109="","",VLOOKUP(C109,CombineSFG!$H$2:$J990,3,FALSE))</f>
        <v/>
      </c>
      <c r="F109" s="136"/>
    </row>
    <row r="110" spans="1:6">
      <c r="A110" s="136" t="str">
        <f t="shared" si="1"/>
        <v/>
      </c>
      <c r="B110" s="137"/>
      <c r="C110" s="137"/>
      <c r="D110" s="136"/>
      <c r="E110" s="139" t="str">
        <f>IF(B110="","",VLOOKUP(C110,CombineSFG!$H$2:$J990,3,FALSE))</f>
        <v/>
      </c>
      <c r="F110" s="136"/>
    </row>
    <row r="111" spans="1:6">
      <c r="A111" s="136" t="str">
        <f t="shared" si="1"/>
        <v/>
      </c>
      <c r="B111" s="137"/>
      <c r="C111" s="137"/>
      <c r="D111" s="136"/>
      <c r="E111" s="139" t="str">
        <f>IF(B111="","",VLOOKUP(C111,CombineSFG!$H$2:$J990,3,FALSE))</f>
        <v/>
      </c>
      <c r="F111" s="136"/>
    </row>
    <row r="112" spans="1:6">
      <c r="A112" s="136" t="str">
        <f t="shared" si="1"/>
        <v/>
      </c>
      <c r="B112" s="137"/>
      <c r="C112" s="137"/>
      <c r="D112" s="136"/>
      <c r="E112" s="139" t="str">
        <f>IF(B112="","",VLOOKUP(C112,CombineSFG!$H$2:$J990,3,FALSE))</f>
        <v/>
      </c>
      <c r="F112" s="136"/>
    </row>
    <row r="113" spans="1:6">
      <c r="A113" s="136" t="str">
        <f t="shared" si="1"/>
        <v/>
      </c>
      <c r="B113" s="137"/>
      <c r="C113" s="137"/>
      <c r="D113" s="136"/>
      <c r="E113" s="139" t="str">
        <f>IF(B113="","",VLOOKUP(C113,CombineSFG!$H$2:$J990,3,FALSE))</f>
        <v/>
      </c>
      <c r="F113" s="136"/>
    </row>
    <row r="114" spans="1:6">
      <c r="A114" s="136" t="str">
        <f t="shared" si="1"/>
        <v/>
      </c>
      <c r="B114" s="137"/>
      <c r="C114" s="137"/>
      <c r="D114" s="136"/>
      <c r="E114" s="139" t="str">
        <f>IF(B114="","",VLOOKUP(C114,CombineSFG!$H$2:$J990,3,FALSE))</f>
        <v/>
      </c>
      <c r="F114" s="136"/>
    </row>
    <row r="115" spans="1:6">
      <c r="A115" s="136" t="str">
        <f t="shared" si="1"/>
        <v/>
      </c>
      <c r="B115" s="137"/>
      <c r="C115" s="137"/>
      <c r="D115" s="136"/>
      <c r="E115" s="139" t="str">
        <f>IF(B115="","",VLOOKUP(C115,CombineSFG!$H$2:$J990,3,FALSE))</f>
        <v/>
      </c>
      <c r="F115" s="136"/>
    </row>
    <row r="116" spans="1:6">
      <c r="A116" s="136" t="str">
        <f t="shared" si="1"/>
        <v/>
      </c>
      <c r="B116" s="137"/>
      <c r="C116" s="137"/>
      <c r="D116" s="136"/>
      <c r="E116" s="139" t="str">
        <f>IF(B116="","",VLOOKUP(C116,CombineSFG!$H$2:$J990,3,FALSE))</f>
        <v/>
      </c>
      <c r="F116" s="136"/>
    </row>
    <row r="117" spans="1:6">
      <c r="A117" s="136" t="str">
        <f t="shared" si="1"/>
        <v/>
      </c>
      <c r="B117" s="137"/>
      <c r="C117" s="137"/>
      <c r="D117" s="136"/>
      <c r="E117" s="139" t="str">
        <f>IF(B117="","",VLOOKUP(C117,CombineSFG!$H$2:$J990,3,FALSE))</f>
        <v/>
      </c>
      <c r="F117" s="136"/>
    </row>
    <row r="118" spans="1:6">
      <c r="A118" s="136" t="str">
        <f t="shared" si="1"/>
        <v/>
      </c>
      <c r="B118" s="137"/>
      <c r="C118" s="137"/>
      <c r="D118" s="136"/>
      <c r="E118" s="139" t="str">
        <f>IF(B118="","",VLOOKUP(C118,CombineSFG!$H$2:$J990,3,FALSE))</f>
        <v/>
      </c>
      <c r="F118" s="136"/>
    </row>
    <row r="119" spans="1:6">
      <c r="A119" s="136" t="str">
        <f t="shared" si="1"/>
        <v/>
      </c>
      <c r="B119" s="137"/>
      <c r="C119" s="137"/>
      <c r="D119" s="136"/>
      <c r="E119" s="139" t="str">
        <f>IF(B119="","",VLOOKUP(C119,CombineSFG!$H$2:$J990,3,FALSE))</f>
        <v/>
      </c>
      <c r="F119" s="136"/>
    </row>
    <row r="120" spans="1:6">
      <c r="A120" s="136" t="str">
        <f t="shared" si="1"/>
        <v/>
      </c>
      <c r="B120" s="137"/>
      <c r="C120" s="137"/>
      <c r="D120" s="136"/>
      <c r="E120" s="139" t="str">
        <f>IF(B120="","",VLOOKUP(C120,CombineSFG!$H$2:$J990,3,FALSE))</f>
        <v/>
      </c>
      <c r="F120" s="136"/>
    </row>
    <row r="121" spans="1:6">
      <c r="A121" s="136" t="str">
        <f t="shared" si="1"/>
        <v/>
      </c>
      <c r="B121" s="137"/>
      <c r="C121" s="137"/>
      <c r="D121" s="136"/>
      <c r="E121" s="139" t="str">
        <f>IF(B121="","",VLOOKUP(C121,CombineSFG!$H$2:$J990,3,FALSE))</f>
        <v/>
      </c>
      <c r="F121" s="136"/>
    </row>
    <row r="122" spans="1:6">
      <c r="A122" s="136" t="str">
        <f t="shared" si="1"/>
        <v/>
      </c>
      <c r="B122" s="137"/>
      <c r="C122" s="137"/>
      <c r="D122" s="136"/>
      <c r="E122" s="139" t="str">
        <f>IF(B122="","",VLOOKUP(C122,CombineSFG!$H$2:$J990,3,FALSE))</f>
        <v/>
      </c>
      <c r="F122" s="136"/>
    </row>
    <row r="123" spans="1:6">
      <c r="A123" s="136" t="str">
        <f t="shared" si="1"/>
        <v/>
      </c>
      <c r="B123" s="137"/>
      <c r="C123" s="137"/>
      <c r="D123" s="136"/>
      <c r="E123" s="139" t="str">
        <f>IF(B123="","",VLOOKUP(C123,CombineSFG!$H$2:$J990,3,FALSE))</f>
        <v/>
      </c>
      <c r="F123" s="136"/>
    </row>
    <row r="124" spans="1:6">
      <c r="A124" s="136" t="str">
        <f t="shared" si="1"/>
        <v/>
      </c>
      <c r="B124" s="137"/>
      <c r="C124" s="137"/>
      <c r="D124" s="136"/>
      <c r="E124" s="139" t="str">
        <f>IF(B124="","",VLOOKUP(C124,CombineSFG!$H$2:$J990,3,FALSE))</f>
        <v/>
      </c>
      <c r="F124" s="136"/>
    </row>
    <row r="125" spans="1:6">
      <c r="A125" s="136" t="str">
        <f t="shared" si="1"/>
        <v/>
      </c>
      <c r="B125" s="137"/>
      <c r="C125" s="137"/>
      <c r="D125" s="136"/>
      <c r="E125" s="139" t="str">
        <f>IF(B125="","",VLOOKUP(C125,CombineSFG!$H$2:$J990,3,FALSE))</f>
        <v/>
      </c>
      <c r="F125" s="136"/>
    </row>
    <row r="126" spans="1:6">
      <c r="A126" s="136" t="str">
        <f t="shared" si="1"/>
        <v/>
      </c>
      <c r="B126" s="137"/>
      <c r="C126" s="137"/>
      <c r="D126" s="136"/>
      <c r="E126" s="139" t="str">
        <f>IF(B126="","",VLOOKUP(C126,CombineSFG!$H$2:$J990,3,FALSE))</f>
        <v/>
      </c>
      <c r="F126" s="136"/>
    </row>
    <row r="127" spans="1:6">
      <c r="A127" s="136" t="str">
        <f t="shared" si="1"/>
        <v/>
      </c>
      <c r="B127" s="137"/>
      <c r="C127" s="137"/>
      <c r="D127" s="136"/>
      <c r="E127" s="139" t="str">
        <f>IF(B127="","",VLOOKUP(C127,CombineSFG!$H$2:$J990,3,FALSE))</f>
        <v/>
      </c>
      <c r="F127" s="136"/>
    </row>
    <row r="128" spans="1:6">
      <c r="A128" s="136" t="str">
        <f t="shared" si="1"/>
        <v/>
      </c>
      <c r="B128" s="137"/>
      <c r="C128" s="137"/>
      <c r="D128" s="136"/>
      <c r="E128" s="139" t="str">
        <f>IF(B128="","",VLOOKUP(C128,CombineSFG!$H$2:$J990,3,FALSE))</f>
        <v/>
      </c>
      <c r="F128" s="136"/>
    </row>
    <row r="129" spans="1:6">
      <c r="A129" s="136" t="str">
        <f t="shared" si="1"/>
        <v/>
      </c>
      <c r="B129" s="137"/>
      <c r="C129" s="137"/>
      <c r="D129" s="136"/>
      <c r="E129" s="139" t="str">
        <f>IF(B129="","",VLOOKUP(C129,CombineSFG!$H$2:$J990,3,FALSE))</f>
        <v/>
      </c>
      <c r="F129" s="136"/>
    </row>
    <row r="130" spans="1:6">
      <c r="A130" s="136" t="str">
        <f t="shared" si="1"/>
        <v/>
      </c>
      <c r="B130" s="137"/>
      <c r="C130" s="137"/>
      <c r="D130" s="136"/>
      <c r="E130" s="139" t="str">
        <f>IF(B130="","",VLOOKUP(C130,CombineSFG!$H$2:$J990,3,FALSE))</f>
        <v/>
      </c>
      <c r="F130" s="136"/>
    </row>
    <row r="131" spans="1:6">
      <c r="A131" s="136" t="str">
        <f t="shared" si="1"/>
        <v/>
      </c>
      <c r="B131" s="137"/>
      <c r="C131" s="137"/>
      <c r="D131" s="136"/>
      <c r="E131" s="139" t="str">
        <f>IF(B131="","",VLOOKUP(C131,CombineSFG!$H$2:$J990,3,FALSE))</f>
        <v/>
      </c>
      <c r="F131" s="136"/>
    </row>
    <row r="132" spans="1:6">
      <c r="A132" s="136" t="str">
        <f t="shared" si="1"/>
        <v/>
      </c>
      <c r="B132" s="137"/>
      <c r="C132" s="137"/>
      <c r="D132" s="136"/>
      <c r="E132" s="139" t="str">
        <f>IF(B132="","",VLOOKUP(C132,CombineSFG!$H$2:$J990,3,FALSE))</f>
        <v/>
      </c>
      <c r="F132" s="136"/>
    </row>
    <row r="133" spans="1:6">
      <c r="A133" s="136" t="str">
        <f t="shared" si="1"/>
        <v/>
      </c>
      <c r="B133" s="137"/>
      <c r="C133" s="137"/>
      <c r="D133" s="136"/>
      <c r="E133" s="139" t="str">
        <f>IF(B133="","",VLOOKUP(C133,CombineSFG!$H$2:$J990,3,FALSE))</f>
        <v/>
      </c>
      <c r="F133" s="136"/>
    </row>
    <row r="134" spans="1:6">
      <c r="A134" s="136" t="str">
        <f t="shared" si="1"/>
        <v/>
      </c>
      <c r="B134" s="137"/>
      <c r="C134" s="137"/>
      <c r="D134" s="136"/>
      <c r="E134" s="139" t="str">
        <f>IF(B134="","",VLOOKUP(C134,CombineSFG!$H$2:$J990,3,FALSE))</f>
        <v/>
      </c>
      <c r="F134" s="136"/>
    </row>
    <row r="135" spans="1:6">
      <c r="A135" s="136" t="str">
        <f t="shared" si="1"/>
        <v/>
      </c>
      <c r="B135" s="137"/>
      <c r="C135" s="137"/>
      <c r="D135" s="136"/>
      <c r="E135" s="139" t="str">
        <f>IF(B135="","",VLOOKUP(C135,CombineSFG!$H$2:$J990,3,FALSE))</f>
        <v/>
      </c>
      <c r="F135" s="136"/>
    </row>
    <row r="136" spans="1:6">
      <c r="A136" s="136" t="str">
        <f t="shared" si="1"/>
        <v/>
      </c>
      <c r="B136" s="137"/>
      <c r="C136" s="137"/>
      <c r="D136" s="136"/>
      <c r="E136" s="139" t="str">
        <f>IF(B136="","",VLOOKUP(C136,CombineSFG!$H$2:$J990,3,FALSE))</f>
        <v/>
      </c>
      <c r="F136" s="136"/>
    </row>
    <row r="137" spans="1:6">
      <c r="A137" s="136" t="str">
        <f t="shared" si="1"/>
        <v/>
      </c>
      <c r="B137" s="137"/>
      <c r="C137" s="137"/>
      <c r="D137" s="136"/>
      <c r="E137" s="139" t="str">
        <f>IF(B137="","",VLOOKUP(C137,CombineSFG!$H$2:$J990,3,FALSE))</f>
        <v/>
      </c>
      <c r="F137" s="136"/>
    </row>
    <row r="138" spans="1:6">
      <c r="A138" s="136" t="str">
        <f t="shared" si="1"/>
        <v/>
      </c>
      <c r="B138" s="137"/>
      <c r="C138" s="137"/>
      <c r="D138" s="136"/>
      <c r="E138" s="139" t="str">
        <f>IF(B138="","",VLOOKUP(C138,CombineSFG!$H$2:$J990,3,FALSE))</f>
        <v/>
      </c>
      <c r="F138" s="136"/>
    </row>
    <row r="139" spans="1:6">
      <c r="A139" s="136" t="str">
        <f t="shared" si="1"/>
        <v/>
      </c>
      <c r="B139" s="137"/>
      <c r="C139" s="137"/>
      <c r="D139" s="136"/>
      <c r="E139" s="139" t="str">
        <f>IF(B139="","",VLOOKUP(C139,CombineSFG!$H$2:$J990,3,FALSE))</f>
        <v/>
      </c>
      <c r="F139" s="136"/>
    </row>
    <row r="140" spans="1:6">
      <c r="A140" s="136" t="str">
        <f t="shared" si="1"/>
        <v/>
      </c>
      <c r="B140" s="137"/>
      <c r="C140" s="137"/>
      <c r="D140" s="136"/>
      <c r="E140" s="139" t="str">
        <f>IF(B140="","",VLOOKUP(C140,CombineSFG!$H$2:$J990,3,FALSE))</f>
        <v/>
      </c>
      <c r="F140" s="136"/>
    </row>
    <row r="141" spans="1:6">
      <c r="A141" s="136" t="str">
        <f t="shared" si="1"/>
        <v/>
      </c>
      <c r="B141" s="137"/>
      <c r="C141" s="137"/>
      <c r="D141" s="136"/>
      <c r="E141" s="139" t="str">
        <f>IF(B141="","",VLOOKUP(C141,CombineSFG!$H$2:$J990,3,FALSE))</f>
        <v/>
      </c>
      <c r="F141" s="136"/>
    </row>
    <row r="142" spans="1:6">
      <c r="A142" s="136" t="str">
        <f t="shared" si="1"/>
        <v/>
      </c>
      <c r="B142" s="137"/>
      <c r="C142" s="137"/>
      <c r="D142" s="136"/>
      <c r="E142" s="139" t="str">
        <f>IF(B142="","",VLOOKUP(C142,CombineSFG!$H$2:$J990,3,FALSE))</f>
        <v/>
      </c>
      <c r="F142" s="136"/>
    </row>
    <row r="143" spans="1:6">
      <c r="A143" s="136" t="str">
        <f t="shared" si="1"/>
        <v/>
      </c>
      <c r="B143" s="137"/>
      <c r="C143" s="137"/>
      <c r="D143" s="136"/>
      <c r="E143" s="139" t="str">
        <f>IF(B143="","",VLOOKUP(C143,CombineSFG!$H$2:$J990,3,FALSE))</f>
        <v/>
      </c>
      <c r="F143" s="136"/>
    </row>
    <row r="144" spans="1:6">
      <c r="A144" s="136" t="str">
        <f t="shared" si="1"/>
        <v/>
      </c>
      <c r="B144" s="137"/>
      <c r="C144" s="137"/>
      <c r="D144" s="136"/>
      <c r="E144" s="139" t="str">
        <f>IF(B144="","",VLOOKUP(C144,CombineSFG!$H$2:$J990,3,FALSE))</f>
        <v/>
      </c>
      <c r="F144" s="136"/>
    </row>
    <row r="145" spans="1:6">
      <c r="A145" s="136" t="str">
        <f t="shared" si="1"/>
        <v/>
      </c>
      <c r="B145" s="137"/>
      <c r="C145" s="137"/>
      <c r="D145" s="136"/>
      <c r="E145" s="139" t="str">
        <f>IF(B145="","",VLOOKUP(C145,CombineSFG!$H$2:$J990,3,FALSE))</f>
        <v/>
      </c>
      <c r="F145" s="136"/>
    </row>
    <row r="146" spans="1:6">
      <c r="A146" s="136" t="str">
        <f t="shared" si="1"/>
        <v/>
      </c>
      <c r="B146" s="137"/>
      <c r="C146" s="137"/>
      <c r="D146" s="136"/>
      <c r="E146" s="139" t="str">
        <f>IF(B146="","",VLOOKUP(C146,CombineSFG!$H$2:$J990,3,FALSE))</f>
        <v/>
      </c>
      <c r="F146" s="136"/>
    </row>
    <row r="147" spans="1:6">
      <c r="A147" s="136" t="str">
        <f t="shared" si="1"/>
        <v/>
      </c>
      <c r="B147" s="137"/>
      <c r="C147" s="137"/>
      <c r="D147" s="136"/>
      <c r="E147" s="139" t="str">
        <f>IF(B147="","",VLOOKUP(C147,CombineSFG!$H$2:$J990,3,FALSE))</f>
        <v/>
      </c>
      <c r="F147" s="136"/>
    </row>
    <row r="148" spans="1:6">
      <c r="A148" s="136" t="str">
        <f t="shared" si="1"/>
        <v/>
      </c>
      <c r="B148" s="137"/>
      <c r="C148" s="137"/>
      <c r="D148" s="136"/>
      <c r="E148" s="139" t="str">
        <f>IF(B148="","",VLOOKUP(C148,CombineSFG!$H$2:$J990,3,FALSE))</f>
        <v/>
      </c>
      <c r="F148" s="136"/>
    </row>
    <row r="149" spans="1:6">
      <c r="A149" s="136" t="str">
        <f t="shared" si="1"/>
        <v/>
      </c>
      <c r="B149" s="137"/>
      <c r="C149" s="137"/>
      <c r="D149" s="136"/>
      <c r="E149" s="139" t="str">
        <f>IF(B149="","",VLOOKUP(C149,CombineSFG!$H$2:$J990,3,FALSE))</f>
        <v/>
      </c>
      <c r="F149" s="136"/>
    </row>
    <row r="150" spans="1:6">
      <c r="A150" s="136" t="str">
        <f t="shared" si="1"/>
        <v/>
      </c>
      <c r="B150" s="137"/>
      <c r="C150" s="137"/>
      <c r="D150" s="136"/>
      <c r="E150" s="139" t="str">
        <f>IF(B150="","",VLOOKUP(C150,CombineSFG!$H$2:$J990,3,FALSE))</f>
        <v/>
      </c>
      <c r="F150" s="136"/>
    </row>
    <row r="151" spans="1:6">
      <c r="A151" s="136" t="str">
        <f t="shared" si="1"/>
        <v/>
      </c>
      <c r="B151" s="137"/>
      <c r="C151" s="137"/>
      <c r="D151" s="136"/>
      <c r="E151" s="139" t="str">
        <f>IF(B151="","",VLOOKUP(C151,CombineSFG!$H$2:$J990,3,FALSE))</f>
        <v/>
      </c>
      <c r="F151" s="136"/>
    </row>
    <row r="152" spans="1:6">
      <c r="A152" s="136" t="str">
        <f t="shared" si="1"/>
        <v/>
      </c>
      <c r="B152" s="137"/>
      <c r="C152" s="137"/>
      <c r="D152" s="136"/>
      <c r="E152" s="139" t="str">
        <f>IF(B152="","",VLOOKUP(C152,CombineSFG!$H$2:$J990,3,FALSE))</f>
        <v/>
      </c>
      <c r="F152" s="136"/>
    </row>
    <row r="153" spans="1:6">
      <c r="A153" s="136" t="str">
        <f t="shared" si="1"/>
        <v/>
      </c>
      <c r="B153" s="137"/>
      <c r="C153" s="137"/>
      <c r="D153" s="136"/>
      <c r="E153" s="139" t="str">
        <f>IF(B153="","",VLOOKUP(C153,CombineSFG!$H$2:$J990,3,FALSE))</f>
        <v/>
      </c>
      <c r="F153" s="136"/>
    </row>
    <row r="154" spans="1:6">
      <c r="A154" s="136" t="str">
        <f t="shared" si="1"/>
        <v/>
      </c>
      <c r="B154" s="137"/>
      <c r="C154" s="137"/>
      <c r="D154" s="136"/>
      <c r="E154" s="139" t="str">
        <f>IF(B154="","",VLOOKUP(C154,CombineSFG!$H$2:$J990,3,FALSE))</f>
        <v/>
      </c>
      <c r="F154" s="136"/>
    </row>
    <row r="155" spans="1:6">
      <c r="A155" s="136" t="str">
        <f t="shared" si="1"/>
        <v/>
      </c>
      <c r="B155" s="137"/>
      <c r="C155" s="137"/>
      <c r="D155" s="136"/>
      <c r="E155" s="139" t="str">
        <f>IF(B155="","",VLOOKUP(C155,CombineSFG!$H$2:$J990,3,FALSE))</f>
        <v/>
      </c>
      <c r="F155" s="136"/>
    </row>
    <row r="156" spans="1:6">
      <c r="A156" s="136" t="str">
        <f t="shared" si="1"/>
        <v/>
      </c>
      <c r="B156" s="137"/>
      <c r="C156" s="137"/>
      <c r="D156" s="136"/>
      <c r="E156" s="139" t="str">
        <f>IF(B156="","",VLOOKUP(C156,CombineSFG!$H$2:$J990,3,FALSE))</f>
        <v/>
      </c>
      <c r="F156" s="136"/>
    </row>
    <row r="157" spans="1:6">
      <c r="A157" s="136" t="str">
        <f t="shared" si="1"/>
        <v/>
      </c>
      <c r="B157" s="137"/>
      <c r="C157" s="137"/>
      <c r="D157" s="136"/>
      <c r="E157" s="139" t="str">
        <f>IF(B157="","",VLOOKUP(C157,CombineSFG!$H$2:$J990,3,FALSE))</f>
        <v/>
      </c>
      <c r="F157" s="136"/>
    </row>
    <row r="158" spans="1:6">
      <c r="A158" s="136" t="str">
        <f t="shared" si="1"/>
        <v/>
      </c>
      <c r="B158" s="137"/>
      <c r="C158" s="137"/>
      <c r="D158" s="136"/>
      <c r="E158" s="139" t="str">
        <f>IF(B158="","",VLOOKUP(C158,CombineSFG!$H$2:$J990,3,FALSE))</f>
        <v/>
      </c>
      <c r="F158" s="136"/>
    </row>
    <row r="159" spans="1:6">
      <c r="A159" s="136" t="str">
        <f t="shared" si="1"/>
        <v/>
      </c>
      <c r="B159" s="137"/>
      <c r="C159" s="137"/>
      <c r="D159" s="136"/>
      <c r="E159" s="139" t="str">
        <f>IF(B159="","",VLOOKUP(C159,CombineSFG!$H$2:$J990,3,FALSE))</f>
        <v/>
      </c>
      <c r="F159" s="136"/>
    </row>
    <row r="160" spans="1:6">
      <c r="A160" s="136" t="str">
        <f t="shared" si="1"/>
        <v/>
      </c>
      <c r="B160" s="137"/>
      <c r="C160" s="137"/>
      <c r="D160" s="136"/>
      <c r="E160" s="139" t="str">
        <f>IF(B160="","",VLOOKUP(C160,CombineSFG!$H$2:$J990,3,FALSE))</f>
        <v/>
      </c>
      <c r="F160" s="136"/>
    </row>
    <row r="161" spans="1:6">
      <c r="A161" s="136" t="str">
        <f t="shared" si="1"/>
        <v/>
      </c>
      <c r="B161" s="137"/>
      <c r="C161" s="137"/>
      <c r="D161" s="136"/>
      <c r="E161" s="139" t="str">
        <f>IF(B161="","",VLOOKUP(C161,CombineSFG!$H$2:$J990,3,FALSE))</f>
        <v/>
      </c>
      <c r="F161" s="136"/>
    </row>
    <row r="162" spans="1:6">
      <c r="A162" s="136" t="str">
        <f t="shared" si="1"/>
        <v/>
      </c>
      <c r="B162" s="137"/>
      <c r="C162" s="137"/>
      <c r="D162" s="136"/>
      <c r="E162" s="139" t="str">
        <f>IF(B162="","",VLOOKUP(C162,CombineSFG!$H$2:$J990,3,FALSE))</f>
        <v/>
      </c>
      <c r="F162" s="136"/>
    </row>
    <row r="163" spans="1:6">
      <c r="A163" s="136" t="str">
        <f t="shared" si="1"/>
        <v/>
      </c>
      <c r="B163" s="137"/>
      <c r="C163" s="137"/>
      <c r="D163" s="136"/>
      <c r="E163" s="139" t="str">
        <f>IF(B163="","",VLOOKUP(C163,CombineSFG!$H$2:$J990,3,FALSE))</f>
        <v/>
      </c>
      <c r="F163" s="136"/>
    </row>
    <row r="164" spans="1:6">
      <c r="A164" s="136" t="str">
        <f t="shared" si="1"/>
        <v/>
      </c>
      <c r="B164" s="137"/>
      <c r="C164" s="137"/>
      <c r="D164" s="136"/>
      <c r="E164" s="139" t="str">
        <f>IF(B164="","",VLOOKUP(C164,CombineSFG!$H$2:$J990,3,FALSE))</f>
        <v/>
      </c>
      <c r="F164" s="136"/>
    </row>
    <row r="165" spans="1:6">
      <c r="A165" s="136" t="str">
        <f t="shared" si="1"/>
        <v/>
      </c>
      <c r="B165" s="137"/>
      <c r="C165" s="137"/>
      <c r="D165" s="136"/>
      <c r="E165" s="139" t="str">
        <f>IF(B165="","",VLOOKUP(C165,CombineSFG!$H$2:$J990,3,FALSE))</f>
        <v/>
      </c>
      <c r="F165" s="136"/>
    </row>
    <row r="166" spans="1:6">
      <c r="A166" s="136" t="str">
        <f t="shared" si="1"/>
        <v/>
      </c>
      <c r="B166" s="137"/>
      <c r="C166" s="137"/>
      <c r="D166" s="136"/>
      <c r="E166" s="139" t="str">
        <f>IF(B166="","",VLOOKUP(C166,CombineSFG!$H$2:$J990,3,FALSE))</f>
        <v/>
      </c>
      <c r="F166" s="136"/>
    </row>
    <row r="167" spans="1:6">
      <c r="A167" s="136" t="str">
        <f t="shared" si="1"/>
        <v/>
      </c>
      <c r="B167" s="137"/>
      <c r="C167" s="137"/>
      <c r="D167" s="136"/>
      <c r="E167" s="139" t="str">
        <f>IF(B167="","",VLOOKUP(C167,CombineSFG!$H$2:$J990,3,FALSE))</f>
        <v/>
      </c>
      <c r="F167" s="136"/>
    </row>
    <row r="168" spans="1:6">
      <c r="A168" s="136" t="str">
        <f t="shared" si="1"/>
        <v/>
      </c>
      <c r="B168" s="137"/>
      <c r="C168" s="137"/>
      <c r="D168" s="136"/>
      <c r="E168" s="139" t="str">
        <f>IF(B168="","",VLOOKUP(C168,CombineSFG!$H$2:$J990,3,FALSE))</f>
        <v/>
      </c>
      <c r="F168" s="136"/>
    </row>
    <row r="169" spans="1:6">
      <c r="A169" s="136" t="str">
        <f t="shared" si="1"/>
        <v/>
      </c>
      <c r="B169" s="137"/>
      <c r="C169" s="137"/>
      <c r="D169" s="136"/>
      <c r="E169" s="139" t="str">
        <f>IF(B169="","",VLOOKUP(C169,CombineSFG!$H$2:$J990,3,FALSE))</f>
        <v/>
      </c>
      <c r="F169" s="136"/>
    </row>
    <row r="170" spans="1:6">
      <c r="A170" s="136" t="str">
        <f t="shared" si="1"/>
        <v/>
      </c>
      <c r="B170" s="137"/>
      <c r="C170" s="137"/>
      <c r="D170" s="136"/>
      <c r="E170" s="139" t="str">
        <f>IF(B170="","",VLOOKUP(C170,CombineSFG!$H$2:$J990,3,FALSE))</f>
        <v/>
      </c>
      <c r="F170" s="136"/>
    </row>
    <row r="171" spans="1:6">
      <c r="A171" s="136" t="str">
        <f t="shared" si="1"/>
        <v/>
      </c>
      <c r="B171" s="137"/>
      <c r="C171" s="137"/>
      <c r="D171" s="136"/>
      <c r="E171" s="139" t="str">
        <f>IF(B171="","",VLOOKUP(C171,CombineSFG!$H$2:$J990,3,FALSE))</f>
        <v/>
      </c>
      <c r="F171" s="136"/>
    </row>
    <row r="172" spans="1:6">
      <c r="A172" s="136" t="str">
        <f t="shared" si="1"/>
        <v/>
      </c>
      <c r="B172" s="137"/>
      <c r="C172" s="137"/>
      <c r="D172" s="136"/>
      <c r="E172" s="139" t="str">
        <f>IF(B172="","",VLOOKUP(C172,CombineSFG!$H$2:$J990,3,FALSE))</f>
        <v/>
      </c>
      <c r="F172" s="136"/>
    </row>
    <row r="173" spans="1:6">
      <c r="A173" s="136" t="str">
        <f t="shared" si="1"/>
        <v/>
      </c>
      <c r="B173" s="137"/>
      <c r="C173" s="137"/>
      <c r="D173" s="136"/>
      <c r="E173" s="139" t="str">
        <f>IF(B173="","",VLOOKUP(C173,CombineSFG!$H$2:$J990,3,FALSE))</f>
        <v/>
      </c>
      <c r="F173" s="136"/>
    </row>
    <row r="174" spans="1:6">
      <c r="A174" s="136" t="str">
        <f t="shared" si="1"/>
        <v/>
      </c>
      <c r="B174" s="137"/>
      <c r="C174" s="137"/>
      <c r="D174" s="136"/>
      <c r="E174" s="139" t="str">
        <f>IF(B174="","",VLOOKUP(C174,CombineSFG!$H$2:$J990,3,FALSE))</f>
        <v/>
      </c>
      <c r="F174" s="136"/>
    </row>
    <row r="175" spans="1:6">
      <c r="A175" s="136" t="str">
        <f t="shared" si="1"/>
        <v/>
      </c>
      <c r="B175" s="137"/>
      <c r="C175" s="137"/>
      <c r="D175" s="136"/>
      <c r="E175" s="139" t="str">
        <f>IF(B175="","",VLOOKUP(C175,CombineSFG!$H$2:$J990,3,FALSE))</f>
        <v/>
      </c>
      <c r="F175" s="136"/>
    </row>
    <row r="176" spans="1:6">
      <c r="A176" s="136" t="str">
        <f t="shared" si="1"/>
        <v/>
      </c>
      <c r="B176" s="137"/>
      <c r="C176" s="137"/>
      <c r="D176" s="136"/>
      <c r="E176" s="139" t="str">
        <f>IF(B176="","",VLOOKUP(C176,CombineSFG!$H$2:$J990,3,FALSE))</f>
        <v/>
      </c>
      <c r="F176" s="136"/>
    </row>
    <row r="177" spans="1:6">
      <c r="A177" s="136" t="str">
        <f t="shared" si="1"/>
        <v/>
      </c>
      <c r="B177" s="137"/>
      <c r="C177" s="137"/>
      <c r="D177" s="136"/>
      <c r="E177" s="139" t="str">
        <f>IF(B177="","",VLOOKUP(C177,CombineSFG!$H$2:$J990,3,FALSE))</f>
        <v/>
      </c>
      <c r="F177" s="136"/>
    </row>
    <row r="178" spans="1:6">
      <c r="A178" s="136" t="str">
        <f t="shared" si="1"/>
        <v/>
      </c>
      <c r="B178" s="137"/>
      <c r="C178" s="137"/>
      <c r="D178" s="136"/>
      <c r="E178" s="139" t="str">
        <f>IF(B178="","",VLOOKUP(C178,CombineSFG!$H$2:$J990,3,FALSE))</f>
        <v/>
      </c>
      <c r="F178" s="136"/>
    </row>
    <row r="179" spans="1:6">
      <c r="A179" s="136" t="str">
        <f t="shared" si="1"/>
        <v/>
      </c>
      <c r="B179" s="137"/>
      <c r="C179" s="137"/>
      <c r="D179" s="136"/>
      <c r="E179" s="139" t="str">
        <f>IF(B179="","",VLOOKUP(C179,CombineSFG!$H$2:$J990,3,FALSE))</f>
        <v/>
      </c>
      <c r="F179" s="136"/>
    </row>
    <row r="180" spans="1:6">
      <c r="A180" s="136" t="str">
        <f t="shared" si="1"/>
        <v/>
      </c>
      <c r="B180" s="137"/>
      <c r="C180" s="137"/>
      <c r="D180" s="136"/>
      <c r="E180" s="139" t="str">
        <f>IF(B180="","",VLOOKUP(C180,CombineSFG!$H$2:$J990,3,FALSE))</f>
        <v/>
      </c>
      <c r="F180" s="136"/>
    </row>
    <row r="181" spans="1:6">
      <c r="A181" s="136" t="str">
        <f t="shared" si="1"/>
        <v/>
      </c>
      <c r="B181" s="137"/>
      <c r="C181" s="137"/>
      <c r="D181" s="136"/>
      <c r="E181" s="139" t="str">
        <f>IF(B181="","",VLOOKUP(C181,CombineSFG!$H$2:$J990,3,FALSE))</f>
        <v/>
      </c>
      <c r="F181" s="136"/>
    </row>
    <row r="182" spans="1:6">
      <c r="A182" s="136" t="str">
        <f t="shared" si="1"/>
        <v/>
      </c>
      <c r="B182" s="137"/>
      <c r="C182" s="137"/>
      <c r="D182" s="136"/>
      <c r="E182" s="139" t="str">
        <f>IF(B182="","",VLOOKUP(C182,CombineSFG!$H$2:$J990,3,FALSE))</f>
        <v/>
      </c>
      <c r="F182" s="136"/>
    </row>
    <row r="183" spans="1:6">
      <c r="A183" s="136" t="str">
        <f t="shared" si="1"/>
        <v/>
      </c>
      <c r="B183" s="137"/>
      <c r="C183" s="137"/>
      <c r="D183" s="136"/>
      <c r="E183" s="139" t="str">
        <f>IF(B183="","",VLOOKUP(C183,CombineSFG!$H$2:$J990,3,FALSE))</f>
        <v/>
      </c>
      <c r="F183" s="136"/>
    </row>
    <row r="184" spans="1:6">
      <c r="A184" s="136" t="str">
        <f t="shared" si="1"/>
        <v/>
      </c>
      <c r="B184" s="137"/>
      <c r="C184" s="137"/>
      <c r="D184" s="136"/>
      <c r="E184" s="139" t="str">
        <f>IF(B184="","",VLOOKUP(C184,CombineSFG!$H$2:$J990,3,FALSE))</f>
        <v/>
      </c>
      <c r="F184" s="136"/>
    </row>
    <row r="185" spans="1:6">
      <c r="A185" s="136" t="str">
        <f t="shared" si="1"/>
        <v/>
      </c>
      <c r="B185" s="137"/>
      <c r="C185" s="137"/>
      <c r="D185" s="136"/>
      <c r="E185" s="139" t="str">
        <f>IF(B185="","",VLOOKUP(C185,CombineSFG!$H$2:$J990,3,FALSE))</f>
        <v/>
      </c>
      <c r="F185" s="136"/>
    </row>
    <row r="186" spans="1:6">
      <c r="A186" s="136" t="str">
        <f t="shared" si="1"/>
        <v/>
      </c>
      <c r="B186" s="137"/>
      <c r="C186" s="137"/>
      <c r="D186" s="136"/>
      <c r="E186" s="139" t="str">
        <f>IF(B186="","",VLOOKUP(C186,CombineSFG!$H$2:$J990,3,FALSE))</f>
        <v/>
      </c>
      <c r="F186" s="136"/>
    </row>
    <row r="187" spans="1:6">
      <c r="A187" s="136" t="str">
        <f t="shared" si="1"/>
        <v/>
      </c>
      <c r="B187" s="137"/>
      <c r="C187" s="137"/>
      <c r="D187" s="136"/>
      <c r="E187" s="139" t="str">
        <f>IF(B187="","",VLOOKUP(C187,CombineSFG!$H$2:$J990,3,FALSE))</f>
        <v/>
      </c>
      <c r="F187" s="136"/>
    </row>
    <row r="188" spans="1:6">
      <c r="A188" s="136" t="str">
        <f t="shared" si="1"/>
        <v/>
      </c>
      <c r="B188" s="137"/>
      <c r="C188" s="137"/>
      <c r="D188" s="136"/>
      <c r="E188" s="139" t="str">
        <f>IF(B188="","",VLOOKUP(C188,CombineSFG!$H$2:$J990,3,FALSE))</f>
        <v/>
      </c>
      <c r="F188" s="136"/>
    </row>
    <row r="189" spans="1:6">
      <c r="A189" s="136" t="str">
        <f t="shared" si="1"/>
        <v/>
      </c>
      <c r="B189" s="137"/>
      <c r="C189" s="137"/>
      <c r="D189" s="136"/>
      <c r="E189" s="139" t="str">
        <f>IF(B189="","",VLOOKUP(C189,CombineSFG!$H$2:$J990,3,FALSE))</f>
        <v/>
      </c>
      <c r="F189" s="136"/>
    </row>
    <row r="190" spans="1:6">
      <c r="A190" s="136" t="str">
        <f t="shared" si="1"/>
        <v/>
      </c>
      <c r="B190" s="137"/>
      <c r="C190" s="137"/>
      <c r="D190" s="136"/>
      <c r="E190" s="139" t="str">
        <f>IF(B190="","",VLOOKUP(C190,CombineSFG!$H$2:$J990,3,FALSE))</f>
        <v/>
      </c>
      <c r="F190" s="136"/>
    </row>
    <row r="191" spans="1:6">
      <c r="A191" s="136" t="str">
        <f t="shared" si="1"/>
        <v/>
      </c>
      <c r="B191" s="137"/>
      <c r="C191" s="137"/>
      <c r="D191" s="136"/>
      <c r="E191" s="139" t="str">
        <f>IF(B191="","",VLOOKUP(C191,CombineSFG!$H$2:$J990,3,FALSE))</f>
        <v/>
      </c>
      <c r="F191" s="136"/>
    </row>
    <row r="192" spans="1:6">
      <c r="A192" s="136" t="str">
        <f t="shared" si="1"/>
        <v/>
      </c>
      <c r="B192" s="137"/>
      <c r="C192" s="137"/>
      <c r="D192" s="136"/>
      <c r="E192" s="139" t="str">
        <f>IF(B192="","",VLOOKUP(C192,CombineSFG!$H$2:$J990,3,FALSE))</f>
        <v/>
      </c>
      <c r="F192" s="136"/>
    </row>
    <row r="193" spans="1:6">
      <c r="A193" s="136" t="str">
        <f t="shared" si="1"/>
        <v/>
      </c>
      <c r="B193" s="137"/>
      <c r="C193" s="137"/>
      <c r="D193" s="136"/>
      <c r="E193" s="139" t="str">
        <f>IF(B193="","",VLOOKUP(C193,CombineSFG!$H$2:$J990,3,FALSE))</f>
        <v/>
      </c>
      <c r="F193" s="136"/>
    </row>
    <row r="194" spans="1:6">
      <c r="A194" s="136" t="str">
        <f t="shared" si="1"/>
        <v/>
      </c>
      <c r="B194" s="137"/>
      <c r="C194" s="137"/>
      <c r="D194" s="136"/>
      <c r="E194" s="139" t="str">
        <f>IF(B194="","",VLOOKUP(C194,CombineSFG!$H$2:$J990,3,FALSE))</f>
        <v/>
      </c>
      <c r="F194" s="136"/>
    </row>
    <row r="195" spans="1:6">
      <c r="A195" s="136" t="str">
        <f t="shared" si="1"/>
        <v/>
      </c>
      <c r="B195" s="137"/>
      <c r="C195" s="137"/>
      <c r="D195" s="136"/>
      <c r="E195" s="139" t="str">
        <f>IF(B195="","",VLOOKUP(C195,CombineSFG!$H$2:$J990,3,FALSE))</f>
        <v/>
      </c>
      <c r="F195" s="136"/>
    </row>
    <row r="196" spans="1:6">
      <c r="A196" s="136" t="str">
        <f t="shared" si="1"/>
        <v/>
      </c>
      <c r="B196" s="137"/>
      <c r="C196" s="137"/>
      <c r="D196" s="136"/>
      <c r="E196" s="139" t="str">
        <f>IF(B196="","",VLOOKUP(C196,CombineSFG!$H$2:$J990,3,FALSE))</f>
        <v/>
      </c>
      <c r="F196" s="136"/>
    </row>
    <row r="197" spans="1:6">
      <c r="A197" s="136" t="str">
        <f t="shared" si="1"/>
        <v/>
      </c>
      <c r="B197" s="137"/>
      <c r="C197" s="137"/>
      <c r="D197" s="136"/>
      <c r="E197" s="139" t="str">
        <f>IF(B197="","",VLOOKUP(C197,CombineSFG!$H$2:$J990,3,FALSE))</f>
        <v/>
      </c>
      <c r="F197" s="136"/>
    </row>
    <row r="198" spans="1:6">
      <c r="A198" s="136" t="str">
        <f t="shared" si="1"/>
        <v/>
      </c>
      <c r="B198" s="137"/>
      <c r="C198" s="137"/>
      <c r="D198" s="136"/>
      <c r="E198" s="139" t="str">
        <f>IF(B198="","",VLOOKUP(C198,CombineSFG!$H$2:$J990,3,FALSE))</f>
        <v/>
      </c>
      <c r="F198" s="136"/>
    </row>
    <row r="199" spans="1:6">
      <c r="A199" s="136" t="str">
        <f t="shared" si="1"/>
        <v/>
      </c>
      <c r="B199" s="137"/>
      <c r="C199" s="137"/>
      <c r="D199" s="136"/>
      <c r="E199" s="139" t="str">
        <f>IF(B199="","",VLOOKUP(C199,CombineSFG!$H$2:$J990,3,FALSE))</f>
        <v/>
      </c>
      <c r="F199" s="136"/>
    </row>
    <row r="200" spans="1:6">
      <c r="A200" s="136" t="str">
        <f t="shared" si="1"/>
        <v/>
      </c>
      <c r="B200" s="137"/>
      <c r="C200" s="137"/>
      <c r="D200" s="136"/>
      <c r="E200" s="139" t="str">
        <f>IF(B200="","",VLOOKUP(C200,CombineSFG!$H$2:$J990,3,FALSE))</f>
        <v/>
      </c>
      <c r="F200" s="136"/>
    </row>
    <row r="201" spans="1:6">
      <c r="A201" s="136" t="str">
        <f t="shared" si="1"/>
        <v/>
      </c>
      <c r="B201" s="137"/>
      <c r="C201" s="137"/>
      <c r="D201" s="136"/>
      <c r="E201" s="139" t="str">
        <f>IF(B201="","",VLOOKUP(C201,CombineSFG!$H$2:$J990,3,FALSE))</f>
        <v/>
      </c>
      <c r="F201" s="136"/>
    </row>
    <row r="202" spans="1:6">
      <c r="A202" s="136" t="str">
        <f t="shared" si="1"/>
        <v/>
      </c>
      <c r="B202" s="137"/>
      <c r="C202" s="137"/>
      <c r="D202" s="136"/>
      <c r="E202" s="139" t="str">
        <f>IF(B202="","",VLOOKUP(C202,CombineSFG!$H$2:$J990,3,FALSE))</f>
        <v/>
      </c>
      <c r="F202" s="136"/>
    </row>
    <row r="203" spans="1:6">
      <c r="A203" s="136" t="str">
        <f t="shared" si="1"/>
        <v/>
      </c>
      <c r="B203" s="137"/>
      <c r="C203" s="137"/>
      <c r="D203" s="136"/>
      <c r="E203" s="139" t="str">
        <f>IF(B203="","",VLOOKUP(C203,CombineSFG!$H$2:$J990,3,FALSE))</f>
        <v/>
      </c>
      <c r="F203" s="136"/>
    </row>
    <row r="204" spans="1:6">
      <c r="A204" s="136" t="str">
        <f t="shared" si="1"/>
        <v/>
      </c>
      <c r="B204" s="137"/>
      <c r="C204" s="137"/>
      <c r="D204" s="136"/>
      <c r="E204" s="139" t="str">
        <f>IF(B204="","",VLOOKUP(C204,CombineSFG!$H$2:$J990,3,FALSE))</f>
        <v/>
      </c>
      <c r="F204" s="136"/>
    </row>
    <row r="205" spans="1:6">
      <c r="A205" s="136" t="str">
        <f t="shared" si="1"/>
        <v/>
      </c>
      <c r="B205" s="137"/>
      <c r="C205" s="137"/>
      <c r="D205" s="136"/>
      <c r="E205" s="139" t="str">
        <f>IF(B205="","",VLOOKUP(C205,CombineSFG!$H$2:$J990,3,FALSE))</f>
        <v/>
      </c>
      <c r="F205" s="136"/>
    </row>
    <row r="206" spans="1:6">
      <c r="A206" s="136" t="str">
        <f t="shared" si="1"/>
        <v/>
      </c>
      <c r="B206" s="137"/>
      <c r="C206" s="137"/>
      <c r="D206" s="136"/>
      <c r="E206" s="139" t="str">
        <f>IF(B206="","",VLOOKUP(C206,CombineSFG!$H$2:$J990,3,FALSE))</f>
        <v/>
      </c>
      <c r="F206" s="136"/>
    </row>
    <row r="207" spans="1:6">
      <c r="A207" s="136" t="str">
        <f t="shared" si="1"/>
        <v/>
      </c>
      <c r="B207" s="137"/>
      <c r="C207" s="137"/>
      <c r="D207" s="136"/>
      <c r="E207" s="139" t="str">
        <f>IF(B207="","",VLOOKUP(C207,CombineSFG!$H$2:$J990,3,FALSE))</f>
        <v/>
      </c>
      <c r="F207" s="136"/>
    </row>
    <row r="208" spans="1:6">
      <c r="A208" s="136" t="str">
        <f t="shared" si="1"/>
        <v/>
      </c>
      <c r="B208" s="137"/>
      <c r="C208" s="137"/>
      <c r="D208" s="136"/>
      <c r="E208" s="139" t="str">
        <f>IF(B208="","",VLOOKUP(C208,CombineSFG!$H$2:$J990,3,FALSE))</f>
        <v/>
      </c>
      <c r="F208" s="136"/>
    </row>
    <row r="209" spans="1:6">
      <c r="A209" s="136" t="str">
        <f t="shared" si="1"/>
        <v/>
      </c>
      <c r="B209" s="137"/>
      <c r="C209" s="137"/>
      <c r="D209" s="136"/>
      <c r="E209" s="139" t="str">
        <f>IF(B209="","",VLOOKUP(C209,CombineSFG!$H$2:$J990,3,FALSE))</f>
        <v/>
      </c>
      <c r="F209" s="136"/>
    </row>
    <row r="210" spans="1:6">
      <c r="A210" s="136" t="str">
        <f t="shared" si="1"/>
        <v/>
      </c>
      <c r="B210" s="137"/>
      <c r="C210" s="137"/>
      <c r="D210" s="136"/>
      <c r="E210" s="139" t="str">
        <f>IF(B210="","",VLOOKUP(C210,CombineSFG!$H$2:$J990,3,FALSE))</f>
        <v/>
      </c>
      <c r="F210" s="136"/>
    </row>
    <row r="211" spans="1:6">
      <c r="A211" s="136" t="str">
        <f t="shared" si="1"/>
        <v/>
      </c>
      <c r="B211" s="137"/>
      <c r="C211" s="137"/>
      <c r="D211" s="136"/>
      <c r="E211" s="139" t="str">
        <f>IF(B211="","",VLOOKUP(C211,CombineSFG!$H$2:$J990,3,FALSE))</f>
        <v/>
      </c>
      <c r="F211" s="136"/>
    </row>
    <row r="212" spans="1:6">
      <c r="A212" s="136" t="str">
        <f t="shared" si="1"/>
        <v/>
      </c>
      <c r="B212" s="137"/>
      <c r="C212" s="137"/>
      <c r="D212" s="136"/>
      <c r="E212" s="139" t="str">
        <f>IF(B212="","",VLOOKUP(C212,CombineSFG!$H$2:$J990,3,FALSE))</f>
        <v/>
      </c>
      <c r="F212" s="136"/>
    </row>
    <row r="213" spans="1:6">
      <c r="A213" s="136" t="str">
        <f t="shared" si="1"/>
        <v/>
      </c>
      <c r="B213" s="137"/>
      <c r="C213" s="137"/>
      <c r="D213" s="136"/>
      <c r="E213" s="139" t="str">
        <f>IF(B213="","",VLOOKUP(C213,CombineSFG!$H$2:$J990,3,FALSE))</f>
        <v/>
      </c>
      <c r="F213" s="136"/>
    </row>
    <row r="214" spans="1:6">
      <c r="A214" s="136" t="str">
        <f t="shared" si="1"/>
        <v/>
      </c>
      <c r="B214" s="137"/>
      <c r="C214" s="137"/>
      <c r="D214" s="136"/>
      <c r="E214" s="139" t="str">
        <f>IF(B214="","",VLOOKUP(C214,CombineSFG!$H$2:$J990,3,FALSE))</f>
        <v/>
      </c>
      <c r="F214" s="136"/>
    </row>
    <row r="215" spans="1:6">
      <c r="A215" s="136" t="str">
        <f t="shared" si="1"/>
        <v/>
      </c>
      <c r="B215" s="137"/>
      <c r="C215" s="137"/>
      <c r="D215" s="136"/>
      <c r="E215" s="139" t="str">
        <f>IF(B215="","",VLOOKUP(C215,CombineSFG!$H$2:$J990,3,FALSE))</f>
        <v/>
      </c>
      <c r="F215" s="136"/>
    </row>
    <row r="216" spans="1:6">
      <c r="A216" s="136" t="str">
        <f t="shared" si="1"/>
        <v/>
      </c>
      <c r="B216" s="137"/>
      <c r="C216" s="137"/>
      <c r="D216" s="136"/>
      <c r="E216" s="139" t="str">
        <f>IF(B216="","",VLOOKUP(C216,CombineSFG!$H$2:$J990,3,FALSE))</f>
        <v/>
      </c>
      <c r="F216" s="136"/>
    </row>
    <row r="217" spans="1:6">
      <c r="A217" s="136" t="str">
        <f t="shared" si="1"/>
        <v/>
      </c>
      <c r="B217" s="137"/>
      <c r="C217" s="137"/>
      <c r="D217" s="136"/>
      <c r="E217" s="139" t="str">
        <f>IF(B217="","",VLOOKUP(C217,CombineSFG!$H$2:$J990,3,FALSE))</f>
        <v/>
      </c>
      <c r="F217" s="136"/>
    </row>
    <row r="218" spans="1:6">
      <c r="A218" s="136" t="str">
        <f t="shared" si="1"/>
        <v/>
      </c>
      <c r="B218" s="137"/>
      <c r="C218" s="137"/>
      <c r="D218" s="136"/>
      <c r="E218" s="139" t="str">
        <f>IF(B218="","",VLOOKUP(C218,CombineSFG!$H$2:$J990,3,FALSE))</f>
        <v/>
      </c>
      <c r="F218" s="136"/>
    </row>
    <row r="219" spans="1:6">
      <c r="A219" s="136" t="str">
        <f t="shared" si="1"/>
        <v/>
      </c>
      <c r="B219" s="137"/>
      <c r="C219" s="137"/>
      <c r="D219" s="136"/>
      <c r="E219" s="139" t="str">
        <f>IF(B219="","",VLOOKUP(C219,CombineSFG!$H$2:$J990,3,FALSE))</f>
        <v/>
      </c>
      <c r="F219" s="136"/>
    </row>
    <row r="220" spans="1:6">
      <c r="A220" s="136" t="str">
        <f t="shared" si="1"/>
        <v/>
      </c>
      <c r="B220" s="137"/>
      <c r="C220" s="137"/>
      <c r="D220" s="136"/>
      <c r="E220" s="139" t="str">
        <f>IF(B220="","",VLOOKUP(C220,CombineSFG!$H$2:$J990,3,FALSE))</f>
        <v/>
      </c>
      <c r="F220" s="136"/>
    </row>
    <row r="221" spans="1:6">
      <c r="A221" s="136" t="str">
        <f t="shared" si="1"/>
        <v/>
      </c>
      <c r="B221" s="137"/>
      <c r="C221" s="137"/>
      <c r="D221" s="136"/>
      <c r="E221" s="139" t="str">
        <f>IF(B221="","",VLOOKUP(C221,CombineSFG!$H$2:$J990,3,FALSE))</f>
        <v/>
      </c>
      <c r="F221" s="136"/>
    </row>
    <row r="222" spans="1:6">
      <c r="A222" s="136" t="str">
        <f t="shared" si="1"/>
        <v/>
      </c>
      <c r="B222" s="137"/>
      <c r="C222" s="137"/>
      <c r="D222" s="136"/>
      <c r="E222" s="139" t="str">
        <f>IF(B222="","",VLOOKUP(C222,CombineSFG!$H$2:$J990,3,FALSE))</f>
        <v/>
      </c>
      <c r="F222" s="136"/>
    </row>
    <row r="223" spans="1:6">
      <c r="A223" s="136" t="str">
        <f t="shared" si="1"/>
        <v/>
      </c>
      <c r="B223" s="137"/>
      <c r="C223" s="137"/>
      <c r="D223" s="136"/>
      <c r="E223" s="139" t="str">
        <f>IF(B223="","",VLOOKUP(C223,CombineSFG!$H$2:$J990,3,FALSE))</f>
        <v/>
      </c>
      <c r="F223" s="136"/>
    </row>
    <row r="224" spans="1:6">
      <c r="A224" s="136" t="str">
        <f t="shared" si="1"/>
        <v/>
      </c>
      <c r="B224" s="137"/>
      <c r="C224" s="137"/>
      <c r="D224" s="136"/>
      <c r="E224" s="139" t="str">
        <f>IF(B224="","",VLOOKUP(C224,CombineSFG!$H$2:$J990,3,FALSE))</f>
        <v/>
      </c>
      <c r="F224" s="136"/>
    </row>
    <row r="225" spans="1:6">
      <c r="A225" s="136" t="str">
        <f t="shared" si="1"/>
        <v/>
      </c>
      <c r="B225" s="137"/>
      <c r="C225" s="137"/>
      <c r="D225" s="136"/>
      <c r="E225" s="139" t="str">
        <f>IF(B225="","",VLOOKUP(C225,CombineSFG!$H$2:$J990,3,FALSE))</f>
        <v/>
      </c>
      <c r="F225" s="136"/>
    </row>
    <row r="226" spans="1:6">
      <c r="A226" s="136" t="str">
        <f t="shared" si="1"/>
        <v/>
      </c>
      <c r="B226" s="137"/>
      <c r="C226" s="137"/>
      <c r="D226" s="136"/>
      <c r="E226" s="139" t="str">
        <f>IF(B226="","",VLOOKUP(C226,CombineSFG!$H$2:$J990,3,FALSE))</f>
        <v/>
      </c>
      <c r="F226" s="136"/>
    </row>
    <row r="227" spans="1:6">
      <c r="A227" s="136" t="str">
        <f t="shared" si="1"/>
        <v/>
      </c>
      <c r="B227" s="137"/>
      <c r="C227" s="137"/>
      <c r="D227" s="136"/>
      <c r="E227" s="139" t="str">
        <f>IF(B227="","",VLOOKUP(C227,CombineSFG!$H$2:$J990,3,FALSE))</f>
        <v/>
      </c>
      <c r="F227" s="136"/>
    </row>
    <row r="228" spans="1:6">
      <c r="A228" s="136" t="str">
        <f t="shared" si="1"/>
        <v/>
      </c>
      <c r="B228" s="137"/>
      <c r="C228" s="137"/>
      <c r="D228" s="136"/>
      <c r="E228" s="139" t="str">
        <f>IF(B228="","",VLOOKUP(C228,CombineSFG!$H$2:$J990,3,FALSE))</f>
        <v/>
      </c>
      <c r="F228" s="136"/>
    </row>
    <row r="229" spans="1:6">
      <c r="A229" s="136" t="str">
        <f t="shared" si="1"/>
        <v/>
      </c>
      <c r="B229" s="137"/>
      <c r="C229" s="137"/>
      <c r="D229" s="136"/>
      <c r="E229" s="139" t="str">
        <f>IF(B229="","",VLOOKUP(C229,CombineSFG!$H$2:$J990,3,FALSE))</f>
        <v/>
      </c>
      <c r="F229" s="136"/>
    </row>
    <row r="230" spans="1:6">
      <c r="A230" s="136" t="str">
        <f t="shared" si="1"/>
        <v/>
      </c>
      <c r="B230" s="137"/>
      <c r="C230" s="137"/>
      <c r="D230" s="136"/>
      <c r="E230" s="139" t="str">
        <f>IF(B230="","",VLOOKUP(C230,CombineSFG!$H$2:$J990,3,FALSE))</f>
        <v/>
      </c>
      <c r="F230" s="136"/>
    </row>
    <row r="231" spans="1:6">
      <c r="A231" s="136" t="str">
        <f t="shared" si="1"/>
        <v/>
      </c>
      <c r="B231" s="137"/>
      <c r="C231" s="137"/>
      <c r="D231" s="136"/>
      <c r="E231" s="139" t="str">
        <f>IF(B231="","",VLOOKUP(C231,CombineSFG!$H$2:$J990,3,FALSE))</f>
        <v/>
      </c>
      <c r="F231" s="136"/>
    </row>
    <row r="232" spans="1:6">
      <c r="A232" s="136" t="str">
        <f t="shared" si="1"/>
        <v/>
      </c>
      <c r="B232" s="137"/>
      <c r="C232" s="137"/>
      <c r="D232" s="136"/>
      <c r="E232" s="139" t="str">
        <f>IF(B232="","",VLOOKUP(C232,CombineSFG!$H$2:$J990,3,FALSE))</f>
        <v/>
      </c>
      <c r="F232" s="136"/>
    </row>
    <row r="233" spans="1:6">
      <c r="A233" s="136" t="str">
        <f t="shared" si="1"/>
        <v/>
      </c>
      <c r="B233" s="137"/>
      <c r="C233" s="137"/>
      <c r="D233" s="136"/>
      <c r="E233" s="139" t="str">
        <f>IF(B233="","",VLOOKUP(C233,CombineSFG!$H$2:$J990,3,FALSE))</f>
        <v/>
      </c>
      <c r="F233" s="136"/>
    </row>
    <row r="234" spans="1:6">
      <c r="A234" s="136" t="str">
        <f t="shared" si="1"/>
        <v/>
      </c>
      <c r="B234" s="137"/>
      <c r="C234" s="137"/>
      <c r="D234" s="136"/>
      <c r="E234" s="139" t="str">
        <f>IF(B234="","",VLOOKUP(C234,CombineSFG!$H$2:$J990,3,FALSE))</f>
        <v/>
      </c>
      <c r="F234" s="136"/>
    </row>
    <row r="235" spans="1:6">
      <c r="A235" s="136" t="str">
        <f t="shared" si="1"/>
        <v/>
      </c>
      <c r="B235" s="137"/>
      <c r="C235" s="137"/>
      <c r="D235" s="136"/>
      <c r="E235" s="139" t="str">
        <f>IF(B235="","",VLOOKUP(C235,CombineSFG!$H$2:$J990,3,FALSE))</f>
        <v/>
      </c>
      <c r="F235" s="136"/>
    </row>
    <row r="236" spans="1:6">
      <c r="A236" s="136" t="str">
        <f t="shared" si="1"/>
        <v/>
      </c>
      <c r="B236" s="137"/>
      <c r="C236" s="137"/>
      <c r="D236" s="136"/>
      <c r="E236" s="139" t="str">
        <f>IF(B236="","",VLOOKUP(C236,CombineSFG!$H$2:$J990,3,FALSE))</f>
        <v/>
      </c>
      <c r="F236" s="136"/>
    </row>
    <row r="237" spans="1:6">
      <c r="A237" s="136" t="str">
        <f t="shared" si="1"/>
        <v/>
      </c>
      <c r="B237" s="137"/>
      <c r="C237" s="137"/>
      <c r="D237" s="136"/>
      <c r="E237" s="139" t="str">
        <f>IF(B237="","",VLOOKUP(C237,CombineSFG!$H$2:$J990,3,FALSE))</f>
        <v/>
      </c>
      <c r="F237" s="136"/>
    </row>
    <row r="238" spans="1:6">
      <c r="A238" s="136" t="str">
        <f t="shared" si="1"/>
        <v/>
      </c>
      <c r="B238" s="137"/>
      <c r="C238" s="137"/>
      <c r="D238" s="136"/>
      <c r="E238" s="139" t="str">
        <f>IF(B238="","",VLOOKUP(C238,CombineSFG!$H$2:$J990,3,FALSE))</f>
        <v/>
      </c>
      <c r="F238" s="136"/>
    </row>
    <row r="239" spans="1:6">
      <c r="A239" s="136" t="str">
        <f t="shared" si="1"/>
        <v/>
      </c>
      <c r="B239" s="137"/>
      <c r="C239" s="137"/>
      <c r="D239" s="136"/>
      <c r="E239" s="139" t="str">
        <f>IF(B239="","",VLOOKUP(C239,CombineSFG!$H$2:$J990,3,FALSE))</f>
        <v/>
      </c>
      <c r="F239" s="136"/>
    </row>
    <row r="240" spans="1:6">
      <c r="A240" s="136" t="str">
        <f t="shared" si="1"/>
        <v/>
      </c>
      <c r="B240" s="137"/>
      <c r="C240" s="137"/>
      <c r="D240" s="136"/>
      <c r="E240" s="139" t="str">
        <f>IF(B240="","",VLOOKUP(C240,CombineSFG!$H$2:$J990,3,FALSE))</f>
        <v/>
      </c>
      <c r="F240" s="136"/>
    </row>
    <row r="241" spans="1:6">
      <c r="A241" s="136" t="str">
        <f t="shared" si="1"/>
        <v/>
      </c>
      <c r="B241" s="137"/>
      <c r="C241" s="137"/>
      <c r="D241" s="136"/>
      <c r="E241" s="139" t="str">
        <f>IF(B241="","",VLOOKUP(C241,CombineSFG!$H$2:$J990,3,FALSE))</f>
        <v/>
      </c>
      <c r="F241" s="136"/>
    </row>
    <row r="242" spans="1:6">
      <c r="A242" s="136" t="str">
        <f t="shared" si="1"/>
        <v/>
      </c>
      <c r="B242" s="137"/>
      <c r="C242" s="137"/>
      <c r="D242" s="136"/>
      <c r="E242" s="139" t="str">
        <f>IF(B242="","",VLOOKUP(C242,CombineSFG!$H$2:$J990,3,FALSE))</f>
        <v/>
      </c>
      <c r="F242" s="136"/>
    </row>
    <row r="243" spans="1:6">
      <c r="A243" s="136" t="str">
        <f t="shared" si="1"/>
        <v/>
      </c>
      <c r="B243" s="137"/>
      <c r="C243" s="137"/>
      <c r="D243" s="136"/>
      <c r="E243" s="139" t="str">
        <f>IF(B243="","",VLOOKUP(C243,CombineSFG!$H$2:$J990,3,FALSE))</f>
        <v/>
      </c>
      <c r="F243" s="136"/>
    </row>
    <row r="244" spans="1:6">
      <c r="A244" s="136" t="str">
        <f t="shared" si="1"/>
        <v/>
      </c>
      <c r="B244" s="137"/>
      <c r="C244" s="137"/>
      <c r="D244" s="136"/>
      <c r="E244" s="139" t="str">
        <f>IF(B244="","",VLOOKUP(C244,CombineSFG!$H$2:$J990,3,FALSE))</f>
        <v/>
      </c>
      <c r="F244" s="136"/>
    </row>
    <row r="245" spans="1:6">
      <c r="A245" s="136" t="str">
        <f t="shared" si="1"/>
        <v/>
      </c>
      <c r="B245" s="137"/>
      <c r="C245" s="137"/>
      <c r="D245" s="136"/>
      <c r="E245" s="139" t="str">
        <f>IF(B245="","",VLOOKUP(C245,CombineSFG!$H$2:$J990,3,FALSE))</f>
        <v/>
      </c>
      <c r="F245" s="136"/>
    </row>
    <row r="246" spans="1:6">
      <c r="A246" s="136" t="str">
        <f t="shared" si="1"/>
        <v/>
      </c>
      <c r="B246" s="137"/>
      <c r="C246" s="137"/>
      <c r="D246" s="136"/>
      <c r="E246" s="139" t="str">
        <f>IF(B246="","",VLOOKUP(C246,CombineSFG!$H$2:$J990,3,FALSE))</f>
        <v/>
      </c>
      <c r="F246" s="136"/>
    </row>
    <row r="247" spans="1:6">
      <c r="A247" s="136" t="str">
        <f t="shared" si="1"/>
        <v/>
      </c>
      <c r="B247" s="137"/>
      <c r="C247" s="137"/>
      <c r="D247" s="136"/>
      <c r="E247" s="139" t="str">
        <f>IF(B247="","",VLOOKUP(C247,CombineSFG!$H$2:$J990,3,FALSE))</f>
        <v/>
      </c>
      <c r="F247" s="136"/>
    </row>
    <row r="248" spans="1:6">
      <c r="A248" s="136" t="str">
        <f t="shared" si="1"/>
        <v/>
      </c>
      <c r="B248" s="137"/>
      <c r="C248" s="137"/>
      <c r="D248" s="136"/>
      <c r="E248" s="139" t="str">
        <f>IF(B248="","",VLOOKUP(C248,CombineSFG!$H$2:$J990,3,FALSE))</f>
        <v/>
      </c>
      <c r="F248" s="136"/>
    </row>
    <row r="249" spans="1:6">
      <c r="A249" s="136" t="str">
        <f t="shared" si="1"/>
        <v/>
      </c>
      <c r="B249" s="137"/>
      <c r="C249" s="137"/>
      <c r="D249" s="136"/>
      <c r="E249" s="139" t="str">
        <f>IF(B249="","",VLOOKUP(C249,CombineSFG!$H$2:$J990,3,FALSE))</f>
        <v/>
      </c>
      <c r="F249" s="136"/>
    </row>
    <row r="250" spans="1:6">
      <c r="A250" s="136" t="str">
        <f t="shared" si="1"/>
        <v/>
      </c>
      <c r="B250" s="137"/>
      <c r="C250" s="137"/>
      <c r="D250" s="136"/>
      <c r="E250" s="139" t="str">
        <f>IF(B250="","",VLOOKUP(C250,CombineSFG!$H$2:$J990,3,FALSE))</f>
        <v/>
      </c>
      <c r="F250" s="136"/>
    </row>
    <row r="251" spans="1:6">
      <c r="A251" s="136" t="str">
        <f t="shared" si="1"/>
        <v/>
      </c>
      <c r="B251" s="137"/>
      <c r="C251" s="137"/>
      <c r="D251" s="136"/>
      <c r="E251" s="139" t="str">
        <f>IF(B251="","",VLOOKUP(C251,CombineSFG!$H$2:$J990,3,FALSE))</f>
        <v/>
      </c>
      <c r="F251" s="136"/>
    </row>
    <row r="252" spans="1:6">
      <c r="A252" s="136" t="str">
        <f t="shared" si="1"/>
        <v/>
      </c>
      <c r="B252" s="137"/>
      <c r="C252" s="137"/>
      <c r="D252" s="136"/>
      <c r="E252" s="139" t="str">
        <f>IF(B252="","",VLOOKUP(C252,CombineSFG!$H$2:$J990,3,FALSE))</f>
        <v/>
      </c>
      <c r="F252" s="136"/>
    </row>
    <row r="253" spans="1:6">
      <c r="A253" s="136" t="str">
        <f t="shared" si="1"/>
        <v/>
      </c>
      <c r="B253" s="137"/>
      <c r="C253" s="137"/>
      <c r="D253" s="136"/>
      <c r="E253" s="139" t="str">
        <f>IF(B253="","",VLOOKUP(C253,CombineSFG!$H$2:$J990,3,FALSE))</f>
        <v/>
      </c>
      <c r="F253" s="136"/>
    </row>
    <row r="254" spans="1:6">
      <c r="A254" s="136" t="str">
        <f t="shared" si="1"/>
        <v/>
      </c>
      <c r="B254" s="137"/>
      <c r="C254" s="137"/>
      <c r="D254" s="136"/>
      <c r="E254" s="139" t="str">
        <f>IF(B254="","",VLOOKUP(C254,CombineSFG!$H$2:$J990,3,FALSE))</f>
        <v/>
      </c>
      <c r="F254" s="136"/>
    </row>
    <row r="255" spans="1:6">
      <c r="A255" s="136" t="str">
        <f t="shared" si="1"/>
        <v/>
      </c>
      <c r="B255" s="137"/>
      <c r="C255" s="137"/>
      <c r="D255" s="136"/>
      <c r="E255" s="139" t="str">
        <f>IF(B255="","",VLOOKUP(C255,CombineSFG!$H$2:$J990,3,FALSE))</f>
        <v/>
      </c>
      <c r="F255" s="136"/>
    </row>
    <row r="256" spans="1:6">
      <c r="A256" s="136" t="str">
        <f t="shared" si="1"/>
        <v/>
      </c>
      <c r="B256" s="137"/>
      <c r="C256" s="137"/>
      <c r="D256" s="136"/>
      <c r="E256" s="139" t="str">
        <f>IF(B256="","",VLOOKUP(C256,CombineSFG!$H$2:$J990,3,FALSE))</f>
        <v/>
      </c>
      <c r="F256" s="136"/>
    </row>
    <row r="257" spans="1:6">
      <c r="A257" s="136" t="str">
        <f t="shared" si="1"/>
        <v/>
      </c>
      <c r="B257" s="137"/>
      <c r="C257" s="137"/>
      <c r="D257" s="136"/>
      <c r="E257" s="139" t="str">
        <f>IF(B257="","",VLOOKUP(C257,CombineSFG!$H$2:$J990,3,FALSE))</f>
        <v/>
      </c>
      <c r="F257" s="136"/>
    </row>
    <row r="258" spans="1:6">
      <c r="A258" s="136" t="str">
        <f t="shared" si="1"/>
        <v/>
      </c>
      <c r="B258" s="137"/>
      <c r="C258" s="137"/>
      <c r="D258" s="136"/>
      <c r="E258" s="139" t="str">
        <f>IF(B258="","",VLOOKUP(C258,CombineSFG!$H$2:$J990,3,FALSE))</f>
        <v/>
      </c>
      <c r="F258" s="136"/>
    </row>
    <row r="259" spans="1:6">
      <c r="A259" s="136" t="str">
        <f t="shared" si="1"/>
        <v/>
      </c>
      <c r="B259" s="137"/>
      <c r="C259" s="137"/>
      <c r="D259" s="136"/>
      <c r="E259" s="139" t="str">
        <f>IF(B259="","",VLOOKUP(C259,CombineSFG!$H$2:$J990,3,FALSE))</f>
        <v/>
      </c>
      <c r="F259" s="136"/>
    </row>
    <row r="260" spans="1:6">
      <c r="A260" s="136" t="str">
        <f t="shared" si="1"/>
        <v/>
      </c>
      <c r="B260" s="137"/>
      <c r="C260" s="137"/>
      <c r="D260" s="136"/>
      <c r="E260" s="139" t="str">
        <f>IF(B260="","",VLOOKUP(C260,CombineSFG!$H$2:$J990,3,FALSE))</f>
        <v/>
      </c>
      <c r="F260" s="136"/>
    </row>
    <row r="261" spans="1:6">
      <c r="A261" s="136" t="str">
        <f t="shared" si="1"/>
        <v/>
      </c>
      <c r="B261" s="137"/>
      <c r="C261" s="137"/>
      <c r="D261" s="136"/>
      <c r="E261" s="139" t="str">
        <f>IF(B261="","",VLOOKUP(C261,CombineSFG!$H$2:$J990,3,FALSE))</f>
        <v/>
      </c>
      <c r="F261" s="136"/>
    </row>
    <row r="262" spans="1:6">
      <c r="A262" s="136" t="str">
        <f t="shared" si="1"/>
        <v/>
      </c>
      <c r="B262" s="137"/>
      <c r="C262" s="137"/>
      <c r="D262" s="136"/>
      <c r="E262" s="139" t="str">
        <f>IF(B262="","",VLOOKUP(C262,CombineSFG!$H$2:$J990,3,FALSE))</f>
        <v/>
      </c>
      <c r="F262" s="136"/>
    </row>
    <row r="263" spans="1:6">
      <c r="A263" s="136" t="str">
        <f t="shared" si="1"/>
        <v/>
      </c>
      <c r="B263" s="137"/>
      <c r="C263" s="137"/>
      <c r="D263" s="136"/>
      <c r="E263" s="139" t="str">
        <f>IF(B263="","",VLOOKUP(C263,CombineSFG!$H$2:$J990,3,FALSE))</f>
        <v/>
      </c>
      <c r="F263" s="136"/>
    </row>
    <row r="264" spans="1:6">
      <c r="A264" s="136" t="str">
        <f t="shared" si="1"/>
        <v/>
      </c>
      <c r="B264" s="137"/>
      <c r="C264" s="137"/>
      <c r="D264" s="136"/>
      <c r="E264" s="139" t="str">
        <f>IF(B264="","",VLOOKUP(C264,CombineSFG!$H$2:$J990,3,FALSE))</f>
        <v/>
      </c>
      <c r="F264" s="136"/>
    </row>
    <row r="265" spans="1:6">
      <c r="A265" s="136" t="str">
        <f t="shared" si="1"/>
        <v/>
      </c>
      <c r="B265" s="137"/>
      <c r="C265" s="137"/>
      <c r="D265" s="136"/>
      <c r="E265" s="139" t="str">
        <f>IF(B265="","",VLOOKUP(C265,CombineSFG!$H$2:$J990,3,FALSE))</f>
        <v/>
      </c>
      <c r="F265" s="136"/>
    </row>
    <row r="266" spans="1:6">
      <c r="A266" s="136" t="str">
        <f t="shared" si="1"/>
        <v/>
      </c>
      <c r="B266" s="137"/>
      <c r="C266" s="137"/>
      <c r="D266" s="136"/>
      <c r="E266" s="139" t="str">
        <f>IF(B266="","",VLOOKUP(C266,CombineSFG!$H$2:$J990,3,FALSE))</f>
        <v/>
      </c>
      <c r="F266" s="136"/>
    </row>
    <row r="267" spans="1:6">
      <c r="A267" s="136" t="str">
        <f t="shared" si="1"/>
        <v/>
      </c>
      <c r="B267" s="137"/>
      <c r="C267" s="137"/>
      <c r="D267" s="136"/>
      <c r="E267" s="139" t="str">
        <f>IF(B267="","",VLOOKUP(C267,CombineSFG!$H$2:$J990,3,FALSE))</f>
        <v/>
      </c>
      <c r="F267" s="136"/>
    </row>
    <row r="268" spans="1:6">
      <c r="A268" s="136" t="str">
        <f t="shared" si="1"/>
        <v/>
      </c>
      <c r="B268" s="137"/>
      <c r="C268" s="137"/>
      <c r="D268" s="136"/>
      <c r="E268" s="139" t="str">
        <f>IF(B268="","",VLOOKUP(C268,CombineSFG!$H$2:$J990,3,FALSE))</f>
        <v/>
      </c>
      <c r="F268" s="136"/>
    </row>
    <row r="269" spans="1:6">
      <c r="A269" s="136" t="str">
        <f t="shared" si="1"/>
        <v/>
      </c>
      <c r="B269" s="137"/>
      <c r="C269" s="137"/>
      <c r="D269" s="136"/>
      <c r="E269" s="139" t="str">
        <f>IF(B269="","",VLOOKUP(C269,CombineSFG!$H$2:$J990,3,FALSE))</f>
        <v/>
      </c>
      <c r="F269" s="136"/>
    </row>
    <row r="270" spans="1:6">
      <c r="A270" s="136" t="str">
        <f t="shared" si="1"/>
        <v/>
      </c>
      <c r="B270" s="137"/>
      <c r="C270" s="137"/>
      <c r="D270" s="136"/>
      <c r="E270" s="139" t="str">
        <f>IF(B270="","",VLOOKUP(C270,CombineSFG!$H$2:$J990,3,FALSE))</f>
        <v/>
      </c>
      <c r="F270" s="136"/>
    </row>
    <row r="271" spans="1:6">
      <c r="A271" s="136" t="str">
        <f t="shared" si="1"/>
        <v/>
      </c>
      <c r="B271" s="137"/>
      <c r="C271" s="137"/>
      <c r="D271" s="136"/>
      <c r="E271" s="139" t="str">
        <f>IF(B271="","",VLOOKUP(C271,CombineSFG!$H$2:$J990,3,FALSE))</f>
        <v/>
      </c>
      <c r="F271" s="136"/>
    </row>
    <row r="272" spans="1:6">
      <c r="A272" s="136" t="str">
        <f t="shared" si="1"/>
        <v/>
      </c>
      <c r="B272" s="137"/>
      <c r="C272" s="137"/>
      <c r="D272" s="136"/>
      <c r="E272" s="139" t="str">
        <f>IF(B272="","",VLOOKUP(C272,CombineSFG!$H$2:$J990,3,FALSE))</f>
        <v/>
      </c>
      <c r="F272" s="136"/>
    </row>
    <row r="273" spans="1:6">
      <c r="A273" s="136" t="str">
        <f t="shared" si="1"/>
        <v/>
      </c>
      <c r="B273" s="137"/>
      <c r="C273" s="137"/>
      <c r="D273" s="136"/>
      <c r="E273" s="139" t="str">
        <f>IF(B273="","",VLOOKUP(C273,CombineSFG!$H$2:$J990,3,FALSE))</f>
        <v/>
      </c>
      <c r="F273" s="136"/>
    </row>
    <row r="274" spans="1:6">
      <c r="A274" s="136" t="str">
        <f t="shared" si="1"/>
        <v/>
      </c>
      <c r="B274" s="137"/>
      <c r="C274" s="137"/>
      <c r="D274" s="136"/>
      <c r="E274" s="139" t="str">
        <f>IF(B274="","",VLOOKUP(C274,CombineSFG!$H$2:$J990,3,FALSE))</f>
        <v/>
      </c>
      <c r="F274" s="136"/>
    </row>
    <row r="275" spans="1:6">
      <c r="A275" s="136" t="str">
        <f t="shared" si="1"/>
        <v/>
      </c>
      <c r="B275" s="137"/>
      <c r="C275" s="137"/>
      <c r="D275" s="136"/>
      <c r="E275" s="139" t="str">
        <f>IF(B275="","",VLOOKUP(C275,CombineSFG!$H$2:$J990,3,FALSE))</f>
        <v/>
      </c>
      <c r="F275" s="136"/>
    </row>
    <row r="276" spans="1:6">
      <c r="A276" s="136" t="str">
        <f t="shared" si="1"/>
        <v/>
      </c>
      <c r="B276" s="137"/>
      <c r="C276" s="137"/>
      <c r="D276" s="136"/>
      <c r="E276" s="139" t="str">
        <f>IF(B276="","",VLOOKUP(C276,CombineSFG!$H$2:$J990,3,FALSE))</f>
        <v/>
      </c>
      <c r="F276" s="136"/>
    </row>
    <row r="277" spans="1:6">
      <c r="A277" s="136" t="str">
        <f t="shared" si="1"/>
        <v/>
      </c>
      <c r="B277" s="137"/>
      <c r="C277" s="137"/>
      <c r="D277" s="136"/>
      <c r="E277" s="139" t="str">
        <f>IF(B277="","",VLOOKUP(C277,CombineSFG!$H$2:$J990,3,FALSE))</f>
        <v/>
      </c>
      <c r="F277" s="136"/>
    </row>
    <row r="278" spans="1:6">
      <c r="A278" s="136" t="str">
        <f t="shared" si="1"/>
        <v/>
      </c>
      <c r="B278" s="137"/>
      <c r="C278" s="137"/>
      <c r="D278" s="136"/>
      <c r="E278" s="139" t="str">
        <f>IF(B278="","",VLOOKUP(C278,CombineSFG!$H$2:$J990,3,FALSE))</f>
        <v/>
      </c>
      <c r="F278" s="136"/>
    </row>
    <row r="279" spans="1:6">
      <c r="A279" s="136" t="str">
        <f t="shared" si="1"/>
        <v/>
      </c>
      <c r="B279" s="137"/>
      <c r="C279" s="137"/>
      <c r="D279" s="136"/>
      <c r="E279" s="139" t="str">
        <f>IF(B279="","",VLOOKUP(C279,CombineSFG!$H$2:$J990,3,FALSE))</f>
        <v/>
      </c>
      <c r="F279" s="136"/>
    </row>
    <row r="280" spans="1:6">
      <c r="A280" s="136" t="str">
        <f t="shared" si="1"/>
        <v/>
      </c>
      <c r="B280" s="137"/>
      <c r="C280" s="137"/>
      <c r="D280" s="136"/>
      <c r="E280" s="139" t="str">
        <f>IF(B280="","",VLOOKUP(C280,CombineSFG!$H$2:$J990,3,FALSE))</f>
        <v/>
      </c>
      <c r="F280" s="136"/>
    </row>
    <row r="281" spans="1:6">
      <c r="A281" s="136" t="str">
        <f t="shared" si="1"/>
        <v/>
      </c>
      <c r="B281" s="137"/>
      <c r="C281" s="137"/>
      <c r="D281" s="136"/>
      <c r="E281" s="139" t="str">
        <f>IF(B281="","",VLOOKUP(C281,CombineSFG!$H$2:$J990,3,FALSE))</f>
        <v/>
      </c>
      <c r="F281" s="136"/>
    </row>
    <row r="282" spans="1:6">
      <c r="A282" s="136" t="str">
        <f t="shared" si="1"/>
        <v/>
      </c>
      <c r="B282" s="137"/>
      <c r="C282" s="137"/>
      <c r="D282" s="136"/>
      <c r="E282" s="139" t="str">
        <f>IF(B282="","",VLOOKUP(C282,CombineSFG!$H$2:$J990,3,FALSE))</f>
        <v/>
      </c>
      <c r="F282" s="136"/>
    </row>
    <row r="283" spans="1:6">
      <c r="A283" s="136" t="str">
        <f t="shared" si="1"/>
        <v/>
      </c>
      <c r="B283" s="137"/>
      <c r="C283" s="137"/>
      <c r="D283" s="136"/>
      <c r="E283" s="139" t="str">
        <f>IF(B283="","",VLOOKUP(C283,CombineSFG!$H$2:$J990,3,FALSE))</f>
        <v/>
      </c>
      <c r="F283" s="136"/>
    </row>
    <row r="284" spans="1:6">
      <c r="A284" s="136" t="str">
        <f t="shared" si="1"/>
        <v/>
      </c>
      <c r="B284" s="137"/>
      <c r="C284" s="137"/>
      <c r="D284" s="136"/>
      <c r="E284" s="139" t="str">
        <f>IF(B284="","",VLOOKUP(C284,CombineSFG!$H$2:$J990,3,FALSE))</f>
        <v/>
      </c>
      <c r="F284" s="136"/>
    </row>
    <row r="285" spans="1:6">
      <c r="A285" s="136" t="str">
        <f t="shared" ref="A285:A539" si="2">IF(B285="","",ROW()-2)</f>
        <v/>
      </c>
      <c r="B285" s="137"/>
      <c r="C285" s="137"/>
      <c r="D285" s="136"/>
      <c r="E285" s="139" t="str">
        <f>IF(B285="","",VLOOKUP(C285,CombineSFG!$H$2:$J990,3,FALSE))</f>
        <v/>
      </c>
      <c r="F285" s="136"/>
    </row>
    <row r="286" spans="1:6">
      <c r="A286" s="136" t="str">
        <f t="shared" si="2"/>
        <v/>
      </c>
      <c r="B286" s="137"/>
      <c r="C286" s="137"/>
      <c r="D286" s="136"/>
      <c r="E286" s="139" t="str">
        <f>IF(B286="","",VLOOKUP(C286,CombineSFG!$H$2:$J990,3,FALSE))</f>
        <v/>
      </c>
      <c r="F286" s="136"/>
    </row>
    <row r="287" spans="1:6">
      <c r="A287" s="136" t="str">
        <f t="shared" si="2"/>
        <v/>
      </c>
      <c r="B287" s="137"/>
      <c r="C287" s="137"/>
      <c r="D287" s="136"/>
      <c r="E287" s="139" t="str">
        <f>IF(B287="","",VLOOKUP(C287,CombineSFG!$H$2:$J990,3,FALSE))</f>
        <v/>
      </c>
      <c r="F287" s="136"/>
    </row>
    <row r="288" spans="1:6">
      <c r="A288" s="136" t="str">
        <f t="shared" si="2"/>
        <v/>
      </c>
      <c r="B288" s="137"/>
      <c r="C288" s="137"/>
      <c r="D288" s="136"/>
      <c r="E288" s="139" t="str">
        <f>IF(B288="","",VLOOKUP(C288,CombineSFG!$H$2:$J990,3,FALSE))</f>
        <v/>
      </c>
      <c r="F288" s="136"/>
    </row>
    <row r="289" spans="1:6">
      <c r="A289" s="136" t="str">
        <f t="shared" si="2"/>
        <v/>
      </c>
      <c r="B289" s="137"/>
      <c r="C289" s="137"/>
      <c r="D289" s="136"/>
      <c r="E289" s="139" t="str">
        <f>IF(B289="","",VLOOKUP(C289,CombineSFG!$H$2:$J990,3,FALSE))</f>
        <v/>
      </c>
      <c r="F289" s="136"/>
    </row>
    <row r="290" spans="1:6">
      <c r="A290" s="136" t="str">
        <f t="shared" si="2"/>
        <v/>
      </c>
      <c r="B290" s="137"/>
      <c r="C290" s="137"/>
      <c r="D290" s="136"/>
      <c r="E290" s="139" t="str">
        <f>IF(B290="","",VLOOKUP(C290,CombineSFG!$H$2:$J990,3,FALSE))</f>
        <v/>
      </c>
      <c r="F290" s="136"/>
    </row>
    <row r="291" spans="1:6">
      <c r="A291" s="136" t="str">
        <f t="shared" si="2"/>
        <v/>
      </c>
      <c r="B291" s="137"/>
      <c r="C291" s="137"/>
      <c r="D291" s="136"/>
      <c r="E291" s="139" t="str">
        <f>IF(B291="","",VLOOKUP(C291,CombineSFG!$H$2:$J990,3,FALSE))</f>
        <v/>
      </c>
      <c r="F291" s="136"/>
    </row>
    <row r="292" spans="1:6">
      <c r="A292" s="136" t="str">
        <f t="shared" si="2"/>
        <v/>
      </c>
      <c r="B292" s="137"/>
      <c r="C292" s="137"/>
      <c r="D292" s="136"/>
      <c r="E292" s="139" t="str">
        <f>IF(B292="","",VLOOKUP(C292,CombineSFG!$H$2:$J990,3,FALSE))</f>
        <v/>
      </c>
      <c r="F292" s="136"/>
    </row>
    <row r="293" spans="1:6">
      <c r="A293" s="136" t="str">
        <f t="shared" si="2"/>
        <v/>
      </c>
      <c r="B293" s="137"/>
      <c r="C293" s="137"/>
      <c r="D293" s="136"/>
      <c r="E293" s="139" t="str">
        <f>IF(B293="","",VLOOKUP(C293,CombineSFG!$H$2:$J990,3,FALSE))</f>
        <v/>
      </c>
      <c r="F293" s="136"/>
    </row>
    <row r="294" spans="1:6">
      <c r="A294" s="136" t="str">
        <f t="shared" si="2"/>
        <v/>
      </c>
      <c r="B294" s="137"/>
      <c r="C294" s="137"/>
      <c r="D294" s="136"/>
      <c r="E294" s="139" t="str">
        <f>IF(B294="","",VLOOKUP(C294,CombineSFG!$H$2:$J990,3,FALSE))</f>
        <v/>
      </c>
      <c r="F294" s="136"/>
    </row>
    <row r="295" spans="1:6">
      <c r="A295" s="136" t="str">
        <f t="shared" si="2"/>
        <v/>
      </c>
      <c r="B295" s="137"/>
      <c r="C295" s="137"/>
      <c r="D295" s="136"/>
      <c r="E295" s="139" t="str">
        <f>IF(B295="","",VLOOKUP(C295,CombineSFG!$H$2:$J990,3,FALSE))</f>
        <v/>
      </c>
      <c r="F295" s="136"/>
    </row>
    <row r="296" spans="1:6">
      <c r="A296" s="136" t="str">
        <f t="shared" si="2"/>
        <v/>
      </c>
      <c r="B296" s="137"/>
      <c r="C296" s="137"/>
      <c r="D296" s="136"/>
      <c r="E296" s="139" t="str">
        <f>IF(B296="","",VLOOKUP(C296,CombineSFG!$H$2:$J990,3,FALSE))</f>
        <v/>
      </c>
      <c r="F296" s="136"/>
    </row>
    <row r="297" spans="1:6">
      <c r="A297" s="136" t="str">
        <f t="shared" si="2"/>
        <v/>
      </c>
      <c r="B297" s="137"/>
      <c r="C297" s="137"/>
      <c r="D297" s="136"/>
      <c r="E297" s="139" t="str">
        <f>IF(B297="","",VLOOKUP(C297,CombineSFG!$H$2:$J990,3,FALSE))</f>
        <v/>
      </c>
      <c r="F297" s="136"/>
    </row>
    <row r="298" spans="1:6">
      <c r="A298" s="136" t="str">
        <f t="shared" si="2"/>
        <v/>
      </c>
      <c r="B298" s="137"/>
      <c r="C298" s="137"/>
      <c r="D298" s="136"/>
      <c r="E298" s="139" t="str">
        <f>IF(B298="","",VLOOKUP(C298,CombineSFG!$H$2:$J990,3,FALSE))</f>
        <v/>
      </c>
      <c r="F298" s="136"/>
    </row>
    <row r="299" spans="1:6">
      <c r="A299" s="136" t="str">
        <f t="shared" si="2"/>
        <v/>
      </c>
      <c r="B299" s="137"/>
      <c r="C299" s="137"/>
      <c r="D299" s="136"/>
      <c r="E299" s="139" t="str">
        <f>IF(B299="","",VLOOKUP(C299,CombineSFG!$H$2:$J990,3,FALSE))</f>
        <v/>
      </c>
      <c r="F299" s="136"/>
    </row>
    <row r="300" spans="1:6">
      <c r="A300" s="136" t="str">
        <f t="shared" si="2"/>
        <v/>
      </c>
      <c r="B300" s="137"/>
      <c r="C300" s="137"/>
      <c r="D300" s="136"/>
      <c r="E300" s="139" t="str">
        <f>IF(B300="","",VLOOKUP(C300,CombineSFG!$H$2:$J990,3,FALSE))</f>
        <v/>
      </c>
      <c r="F300" s="136"/>
    </row>
    <row r="301" spans="1:6">
      <c r="A301" s="136" t="str">
        <f t="shared" si="2"/>
        <v/>
      </c>
      <c r="B301" s="137"/>
      <c r="C301" s="137"/>
      <c r="D301" s="136"/>
      <c r="E301" s="139" t="str">
        <f>IF(B301="","",VLOOKUP(C301,CombineSFG!$H$2:$J990,3,FALSE))</f>
        <v/>
      </c>
      <c r="F301" s="136"/>
    </row>
    <row r="302" spans="1:6">
      <c r="A302" s="136" t="str">
        <f t="shared" si="2"/>
        <v/>
      </c>
      <c r="B302" s="137"/>
      <c r="C302" s="137"/>
      <c r="D302" s="136"/>
      <c r="E302" s="139" t="str">
        <f>IF(B302="","",VLOOKUP(C302,CombineSFG!$H$2:$J990,3,FALSE))</f>
        <v/>
      </c>
      <c r="F302" s="136"/>
    </row>
    <row r="303" spans="1:6">
      <c r="A303" s="136" t="str">
        <f t="shared" si="2"/>
        <v/>
      </c>
      <c r="B303" s="137"/>
      <c r="C303" s="137"/>
      <c r="D303" s="136"/>
      <c r="E303" s="139" t="str">
        <f>IF(B303="","",VLOOKUP(C303,CombineSFG!$H$2:$J990,3,FALSE))</f>
        <v/>
      </c>
      <c r="F303" s="136"/>
    </row>
    <row r="304" spans="1:6">
      <c r="A304" s="136" t="str">
        <f t="shared" si="2"/>
        <v/>
      </c>
      <c r="B304" s="137"/>
      <c r="C304" s="137"/>
      <c r="D304" s="136"/>
      <c r="E304" s="139" t="str">
        <f>IF(B304="","",VLOOKUP(C304,CombineSFG!$H$2:$J990,3,FALSE))</f>
        <v/>
      </c>
      <c r="F304" s="136"/>
    </row>
    <row r="305" spans="1:6">
      <c r="A305" s="136" t="str">
        <f t="shared" si="2"/>
        <v/>
      </c>
      <c r="B305" s="137"/>
      <c r="C305" s="137"/>
      <c r="D305" s="136"/>
      <c r="E305" s="139" t="str">
        <f>IF(B305="","",VLOOKUP(C305,CombineSFG!$H$2:$J990,3,FALSE))</f>
        <v/>
      </c>
      <c r="F305" s="136"/>
    </row>
    <row r="306" spans="1:6">
      <c r="A306" s="136" t="str">
        <f t="shared" si="2"/>
        <v/>
      </c>
      <c r="B306" s="137"/>
      <c r="C306" s="137"/>
      <c r="D306" s="136"/>
      <c r="E306" s="139" t="str">
        <f>IF(B306="","",VLOOKUP(C306,CombineSFG!$H$2:$J990,3,FALSE))</f>
        <v/>
      </c>
      <c r="F306" s="136"/>
    </row>
    <row r="307" spans="1:6">
      <c r="A307" s="136" t="str">
        <f t="shared" si="2"/>
        <v/>
      </c>
      <c r="B307" s="137"/>
      <c r="C307" s="137"/>
      <c r="D307" s="136"/>
      <c r="E307" s="139" t="str">
        <f>IF(B307="","",VLOOKUP(C307,CombineSFG!$H$2:$J990,3,FALSE))</f>
        <v/>
      </c>
      <c r="F307" s="136"/>
    </row>
    <row r="308" spans="1:6">
      <c r="A308" s="136" t="str">
        <f t="shared" si="2"/>
        <v/>
      </c>
      <c r="B308" s="137"/>
      <c r="C308" s="137"/>
      <c r="D308" s="136"/>
      <c r="E308" s="139" t="str">
        <f>IF(B308="","",VLOOKUP(C308,CombineSFG!$H$2:$J990,3,FALSE))</f>
        <v/>
      </c>
      <c r="F308" s="136"/>
    </row>
    <row r="309" spans="1:6">
      <c r="A309" s="136" t="str">
        <f t="shared" si="2"/>
        <v/>
      </c>
      <c r="B309" s="137"/>
      <c r="C309" s="137"/>
      <c r="D309" s="136"/>
      <c r="E309" s="139" t="str">
        <f>IF(B309="","",VLOOKUP(C309,CombineSFG!$H$2:$J990,3,FALSE))</f>
        <v/>
      </c>
      <c r="F309" s="136"/>
    </row>
    <row r="310" spans="1:6">
      <c r="A310" s="136" t="str">
        <f t="shared" si="2"/>
        <v/>
      </c>
      <c r="B310" s="137"/>
      <c r="C310" s="137"/>
      <c r="D310" s="136"/>
      <c r="E310" s="139" t="str">
        <f>IF(B310="","",VLOOKUP(C310,CombineSFG!$H$2:$J990,3,FALSE))</f>
        <v/>
      </c>
      <c r="F310" s="136"/>
    </row>
    <row r="311" spans="1:6">
      <c r="A311" s="136" t="str">
        <f t="shared" si="2"/>
        <v/>
      </c>
      <c r="B311" s="137"/>
      <c r="C311" s="137"/>
      <c r="D311" s="136"/>
      <c r="E311" s="139" t="str">
        <f>IF(B311="","",VLOOKUP(C311,CombineSFG!$H$2:$J990,3,FALSE))</f>
        <v/>
      </c>
      <c r="F311" s="136"/>
    </row>
    <row r="312" spans="1:6">
      <c r="A312" s="136" t="str">
        <f t="shared" si="2"/>
        <v/>
      </c>
      <c r="B312" s="137"/>
      <c r="C312" s="137"/>
      <c r="D312" s="136"/>
      <c r="E312" s="139" t="str">
        <f>IF(B312="","",VLOOKUP(C312,CombineSFG!$H$2:$J990,3,FALSE))</f>
        <v/>
      </c>
      <c r="F312" s="136"/>
    </row>
    <row r="313" spans="1:6">
      <c r="A313" s="136" t="str">
        <f t="shared" si="2"/>
        <v/>
      </c>
      <c r="B313" s="137"/>
      <c r="C313" s="137"/>
      <c r="D313" s="136"/>
      <c r="E313" s="139" t="str">
        <f>IF(B313="","",VLOOKUP(C313,CombineSFG!$H$2:$J990,3,FALSE))</f>
        <v/>
      </c>
      <c r="F313" s="136"/>
    </row>
    <row r="314" spans="1:6">
      <c r="A314" s="136" t="str">
        <f t="shared" si="2"/>
        <v/>
      </c>
      <c r="B314" s="137"/>
      <c r="C314" s="137"/>
      <c r="D314" s="136"/>
      <c r="E314" s="139" t="str">
        <f>IF(B314="","",VLOOKUP(C314,CombineSFG!$H$2:$J990,3,FALSE))</f>
        <v/>
      </c>
      <c r="F314" s="136"/>
    </row>
    <row r="315" spans="1:6">
      <c r="A315" s="136" t="str">
        <f t="shared" si="2"/>
        <v/>
      </c>
      <c r="B315" s="137"/>
      <c r="C315" s="137"/>
      <c r="D315" s="136"/>
      <c r="E315" s="139" t="str">
        <f>IF(B315="","",VLOOKUP(C315,CombineSFG!$H$2:$J990,3,FALSE))</f>
        <v/>
      </c>
      <c r="F315" s="136"/>
    </row>
    <row r="316" spans="1:6">
      <c r="A316" s="136" t="str">
        <f t="shared" si="2"/>
        <v/>
      </c>
      <c r="B316" s="137"/>
      <c r="C316" s="137"/>
      <c r="D316" s="136"/>
      <c r="E316" s="139" t="str">
        <f>IF(B316="","",VLOOKUP(C316,CombineSFG!$H$2:$J990,3,FALSE))</f>
        <v/>
      </c>
      <c r="F316" s="136"/>
    </row>
    <row r="317" spans="1:6">
      <c r="A317" s="136" t="str">
        <f t="shared" si="2"/>
        <v/>
      </c>
      <c r="B317" s="137"/>
      <c r="C317" s="137"/>
      <c r="D317" s="136"/>
      <c r="E317" s="139" t="str">
        <f>IF(B317="","",VLOOKUP(C317,CombineSFG!$H$2:$J990,3,FALSE))</f>
        <v/>
      </c>
      <c r="F317" s="136"/>
    </row>
    <row r="318" spans="1:6">
      <c r="A318" s="136" t="str">
        <f t="shared" si="2"/>
        <v/>
      </c>
      <c r="B318" s="137"/>
      <c r="C318" s="137"/>
      <c r="D318" s="136"/>
      <c r="E318" s="139" t="str">
        <f>IF(B318="","",VLOOKUP(C318,CombineSFG!$H$2:$J990,3,FALSE))</f>
        <v/>
      </c>
      <c r="F318" s="136"/>
    </row>
    <row r="319" spans="1:6">
      <c r="A319" s="136" t="str">
        <f t="shared" si="2"/>
        <v/>
      </c>
      <c r="B319" s="137"/>
      <c r="C319" s="137"/>
      <c r="D319" s="136"/>
      <c r="E319" s="139" t="str">
        <f>IF(B319="","",VLOOKUP(C319,CombineSFG!$H$2:$J990,3,FALSE))</f>
        <v/>
      </c>
      <c r="F319" s="136"/>
    </row>
    <row r="320" spans="1:6">
      <c r="A320" s="136" t="str">
        <f t="shared" si="2"/>
        <v/>
      </c>
      <c r="B320" s="137"/>
      <c r="C320" s="137"/>
      <c r="D320" s="136"/>
      <c r="E320" s="139" t="str">
        <f>IF(B320="","",VLOOKUP(C320,CombineSFG!$H$2:$J990,3,FALSE))</f>
        <v/>
      </c>
      <c r="F320" s="136"/>
    </row>
    <row r="321" spans="1:6">
      <c r="A321" s="136" t="str">
        <f t="shared" si="2"/>
        <v/>
      </c>
      <c r="B321" s="137"/>
      <c r="C321" s="137"/>
      <c r="D321" s="136"/>
      <c r="E321" s="139" t="str">
        <f>IF(B321="","",VLOOKUP(C321,CombineSFG!$H$2:$J990,3,FALSE))</f>
        <v/>
      </c>
      <c r="F321" s="136"/>
    </row>
    <row r="322" spans="1:6">
      <c r="A322" s="136" t="str">
        <f t="shared" si="2"/>
        <v/>
      </c>
      <c r="B322" s="137"/>
      <c r="C322" s="137"/>
      <c r="D322" s="136"/>
      <c r="E322" s="139" t="str">
        <f>IF(B322="","",VLOOKUP(C322,CombineSFG!$H$2:$J990,3,FALSE))</f>
        <v/>
      </c>
      <c r="F322" s="136"/>
    </row>
    <row r="323" spans="1:6">
      <c r="A323" s="136" t="str">
        <f t="shared" si="2"/>
        <v/>
      </c>
      <c r="B323" s="137"/>
      <c r="C323" s="137"/>
      <c r="D323" s="136"/>
      <c r="E323" s="139" t="str">
        <f>IF(B323="","",VLOOKUP(C323,CombineSFG!$H$2:$J990,3,FALSE))</f>
        <v/>
      </c>
      <c r="F323" s="136"/>
    </row>
    <row r="324" spans="1:6">
      <c r="A324" s="136" t="str">
        <f t="shared" si="2"/>
        <v/>
      </c>
      <c r="B324" s="137"/>
      <c r="C324" s="137"/>
      <c r="D324" s="136"/>
      <c r="E324" s="139" t="str">
        <f>IF(B324="","",VLOOKUP(C324,CombineSFG!$H$2:$J990,3,FALSE))</f>
        <v/>
      </c>
      <c r="F324" s="136"/>
    </row>
    <row r="325" spans="1:6">
      <c r="A325" s="136" t="str">
        <f t="shared" si="2"/>
        <v/>
      </c>
      <c r="B325" s="137"/>
      <c r="C325" s="137"/>
      <c r="D325" s="136"/>
      <c r="E325" s="139" t="str">
        <f>IF(B325="","",VLOOKUP(C325,CombineSFG!$H$2:$J990,3,FALSE))</f>
        <v/>
      </c>
      <c r="F325" s="136"/>
    </row>
    <row r="326" spans="1:6">
      <c r="A326" s="136" t="str">
        <f t="shared" si="2"/>
        <v/>
      </c>
      <c r="B326" s="137"/>
      <c r="C326" s="137"/>
      <c r="D326" s="136"/>
      <c r="E326" s="139" t="str">
        <f>IF(B326="","",VLOOKUP(C326,CombineSFG!$H$2:$J990,3,FALSE))</f>
        <v/>
      </c>
      <c r="F326" s="136"/>
    </row>
    <row r="327" spans="1:6">
      <c r="A327" s="136" t="str">
        <f t="shared" si="2"/>
        <v/>
      </c>
      <c r="B327" s="137"/>
      <c r="C327" s="137"/>
      <c r="D327" s="136"/>
      <c r="E327" s="139" t="str">
        <f>IF(B327="","",VLOOKUP(C327,CombineSFG!$H$2:$J990,3,FALSE))</f>
        <v/>
      </c>
      <c r="F327" s="136"/>
    </row>
    <row r="328" spans="1:6">
      <c r="A328" s="136" t="str">
        <f t="shared" si="2"/>
        <v/>
      </c>
      <c r="B328" s="137"/>
      <c r="C328" s="137"/>
      <c r="D328" s="136"/>
      <c r="E328" s="139" t="str">
        <f>IF(B328="","",VLOOKUP(C328,CombineSFG!$H$2:$J990,3,FALSE))</f>
        <v/>
      </c>
      <c r="F328" s="136"/>
    </row>
    <row r="329" spans="1:6">
      <c r="A329" s="136" t="str">
        <f t="shared" si="2"/>
        <v/>
      </c>
      <c r="B329" s="137"/>
      <c r="C329" s="137"/>
      <c r="D329" s="136"/>
      <c r="E329" s="139" t="str">
        <f>IF(B329="","",VLOOKUP(C329,CombineSFG!$H$2:$J990,3,FALSE))</f>
        <v/>
      </c>
      <c r="F329" s="136"/>
    </row>
    <row r="330" spans="1:6">
      <c r="A330" s="136" t="str">
        <f t="shared" si="2"/>
        <v/>
      </c>
      <c r="B330" s="137"/>
      <c r="C330" s="137"/>
      <c r="D330" s="136"/>
      <c r="E330" s="139" t="str">
        <f>IF(B330="","",VLOOKUP(C330,CombineSFG!$H$2:$J990,3,FALSE))</f>
        <v/>
      </c>
      <c r="F330" s="136"/>
    </row>
    <row r="331" spans="1:6">
      <c r="A331" s="136" t="str">
        <f t="shared" si="2"/>
        <v/>
      </c>
      <c r="B331" s="137"/>
      <c r="C331" s="137"/>
      <c r="D331" s="136"/>
      <c r="E331" s="139" t="str">
        <f>IF(B331="","",VLOOKUP(C331,CombineSFG!$H$2:$J990,3,FALSE))</f>
        <v/>
      </c>
      <c r="F331" s="136"/>
    </row>
    <row r="332" spans="1:6">
      <c r="A332" s="136" t="str">
        <f t="shared" si="2"/>
        <v/>
      </c>
      <c r="B332" s="137"/>
      <c r="C332" s="137"/>
      <c r="D332" s="136"/>
      <c r="E332" s="139" t="str">
        <f>IF(B332="","",VLOOKUP(C332,CombineSFG!$H$2:$J990,3,FALSE))</f>
        <v/>
      </c>
      <c r="F332" s="136"/>
    </row>
    <row r="333" spans="1:6">
      <c r="A333" s="136" t="str">
        <f t="shared" si="2"/>
        <v/>
      </c>
      <c r="B333" s="137"/>
      <c r="C333" s="137"/>
      <c r="D333" s="136"/>
      <c r="E333" s="139" t="str">
        <f>IF(B333="","",VLOOKUP(C333,CombineSFG!$H$2:$J990,3,FALSE))</f>
        <v/>
      </c>
      <c r="F333" s="136"/>
    </row>
    <row r="334" spans="1:6">
      <c r="A334" s="136" t="str">
        <f t="shared" si="2"/>
        <v/>
      </c>
      <c r="B334" s="137"/>
      <c r="C334" s="137"/>
      <c r="D334" s="136"/>
      <c r="E334" s="139" t="str">
        <f>IF(B334="","",VLOOKUP(C334,CombineSFG!$H$2:$J990,3,FALSE))</f>
        <v/>
      </c>
      <c r="F334" s="136"/>
    </row>
    <row r="335" spans="1:6">
      <c r="A335" s="136" t="str">
        <f t="shared" si="2"/>
        <v/>
      </c>
      <c r="B335" s="137"/>
      <c r="C335" s="137"/>
      <c r="D335" s="136"/>
      <c r="E335" s="139" t="str">
        <f>IF(B335="","",VLOOKUP(C335,CombineSFG!$H$2:$J990,3,FALSE))</f>
        <v/>
      </c>
      <c r="F335" s="136"/>
    </row>
    <row r="336" spans="1:6">
      <c r="A336" s="136" t="str">
        <f t="shared" si="2"/>
        <v/>
      </c>
      <c r="B336" s="137"/>
      <c r="C336" s="137"/>
      <c r="D336" s="136"/>
      <c r="E336" s="139" t="str">
        <f>IF(B336="","",VLOOKUP(C336,CombineSFG!$H$2:$J990,3,FALSE))</f>
        <v/>
      </c>
      <c r="F336" s="136"/>
    </row>
    <row r="337" spans="1:6">
      <c r="A337" s="136" t="str">
        <f t="shared" si="2"/>
        <v/>
      </c>
      <c r="B337" s="137"/>
      <c r="C337" s="137"/>
      <c r="D337" s="136"/>
      <c r="E337" s="139" t="str">
        <f>IF(B337="","",VLOOKUP(C337,CombineSFG!$H$2:$J990,3,FALSE))</f>
        <v/>
      </c>
      <c r="F337" s="136"/>
    </row>
    <row r="338" spans="1:6">
      <c r="A338" s="136" t="str">
        <f t="shared" si="2"/>
        <v/>
      </c>
      <c r="B338" s="137"/>
      <c r="C338" s="137"/>
      <c r="D338" s="136"/>
      <c r="E338" s="139" t="str">
        <f>IF(B338="","",VLOOKUP(C338,CombineSFG!$H$2:$J990,3,FALSE))</f>
        <v/>
      </c>
      <c r="F338" s="136"/>
    </row>
    <row r="339" spans="1:6">
      <c r="A339" s="136" t="str">
        <f t="shared" si="2"/>
        <v/>
      </c>
      <c r="B339" s="137"/>
      <c r="C339" s="137"/>
      <c r="D339" s="136"/>
      <c r="E339" s="139" t="str">
        <f>IF(B339="","",VLOOKUP(C339,CombineSFG!$H$2:$J990,3,FALSE))</f>
        <v/>
      </c>
      <c r="F339" s="136"/>
    </row>
    <row r="340" spans="1:6">
      <c r="A340" s="136" t="str">
        <f t="shared" si="2"/>
        <v/>
      </c>
      <c r="B340" s="137"/>
      <c r="C340" s="137"/>
      <c r="D340" s="136"/>
      <c r="E340" s="139" t="str">
        <f>IF(B340="","",VLOOKUP(C340,CombineSFG!$H$2:$J990,3,FALSE))</f>
        <v/>
      </c>
      <c r="F340" s="136"/>
    </row>
    <row r="341" spans="1:6">
      <c r="A341" s="136" t="str">
        <f t="shared" si="2"/>
        <v/>
      </c>
      <c r="B341" s="137"/>
      <c r="C341" s="137"/>
      <c r="D341" s="136"/>
      <c r="E341" s="139" t="str">
        <f>IF(B341="","",VLOOKUP(C341,CombineSFG!$H$2:$J990,3,FALSE))</f>
        <v/>
      </c>
      <c r="F341" s="136"/>
    </row>
    <row r="342" spans="1:6">
      <c r="A342" s="136" t="str">
        <f t="shared" si="2"/>
        <v/>
      </c>
      <c r="B342" s="137"/>
      <c r="C342" s="137"/>
      <c r="D342" s="136"/>
      <c r="E342" s="139" t="str">
        <f>IF(B342="","",VLOOKUP(C342,CombineSFG!$H$2:$J990,3,FALSE))</f>
        <v/>
      </c>
      <c r="F342" s="136"/>
    </row>
    <row r="343" spans="1:6">
      <c r="A343" s="136" t="str">
        <f t="shared" si="2"/>
        <v/>
      </c>
      <c r="B343" s="137"/>
      <c r="C343" s="137"/>
      <c r="D343" s="136"/>
      <c r="E343" s="139" t="str">
        <f>IF(B343="","",VLOOKUP(C343,CombineSFG!$H$2:$J990,3,FALSE))</f>
        <v/>
      </c>
      <c r="F343" s="136"/>
    </row>
    <row r="344" spans="1:6">
      <c r="A344" s="136" t="str">
        <f t="shared" si="2"/>
        <v/>
      </c>
      <c r="B344" s="137"/>
      <c r="C344" s="137"/>
      <c r="D344" s="136"/>
      <c r="E344" s="139" t="str">
        <f>IF(B344="","",VLOOKUP(C344,CombineSFG!$H$2:$J990,3,FALSE))</f>
        <v/>
      </c>
      <c r="F344" s="136"/>
    </row>
    <row r="345" spans="1:6">
      <c r="A345" s="136" t="str">
        <f t="shared" si="2"/>
        <v/>
      </c>
      <c r="B345" s="137"/>
      <c r="C345" s="137"/>
      <c r="D345" s="136"/>
      <c r="E345" s="139" t="str">
        <f>IF(B345="","",VLOOKUP(C345,CombineSFG!$H$2:$J990,3,FALSE))</f>
        <v/>
      </c>
      <c r="F345" s="136"/>
    </row>
    <row r="346" spans="1:6">
      <c r="A346" s="136" t="str">
        <f t="shared" si="2"/>
        <v/>
      </c>
      <c r="B346" s="137"/>
      <c r="C346" s="137"/>
      <c r="D346" s="136"/>
      <c r="E346" s="139" t="str">
        <f>IF(B346="","",VLOOKUP(C346,CombineSFG!$H$2:$J990,3,FALSE))</f>
        <v/>
      </c>
      <c r="F346" s="136"/>
    </row>
    <row r="347" spans="1:6">
      <c r="A347" s="136" t="str">
        <f t="shared" si="2"/>
        <v/>
      </c>
      <c r="B347" s="137"/>
      <c r="C347" s="137"/>
      <c r="D347" s="136"/>
      <c r="E347" s="139" t="str">
        <f>IF(B347="","",VLOOKUP(C347,CombineSFG!$H$2:$J990,3,FALSE))</f>
        <v/>
      </c>
      <c r="F347" s="136"/>
    </row>
    <row r="348" spans="1:6">
      <c r="A348" s="136" t="str">
        <f t="shared" si="2"/>
        <v/>
      </c>
      <c r="B348" s="137"/>
      <c r="C348" s="137"/>
      <c r="D348" s="136"/>
      <c r="E348" s="139" t="str">
        <f>IF(B348="","",VLOOKUP(C348,CombineSFG!$H$2:$J990,3,FALSE))</f>
        <v/>
      </c>
      <c r="F348" s="136"/>
    </row>
    <row r="349" spans="1:6">
      <c r="A349" s="136" t="str">
        <f t="shared" si="2"/>
        <v/>
      </c>
      <c r="B349" s="137"/>
      <c r="C349" s="137"/>
      <c r="D349" s="136"/>
      <c r="E349" s="139" t="str">
        <f>IF(B349="","",VLOOKUP(C349,CombineSFG!$H$2:$J990,3,FALSE))</f>
        <v/>
      </c>
      <c r="F349" s="136"/>
    </row>
    <row r="350" spans="1:6">
      <c r="A350" s="136" t="str">
        <f t="shared" si="2"/>
        <v/>
      </c>
      <c r="B350" s="137"/>
      <c r="C350" s="137"/>
      <c r="D350" s="136"/>
      <c r="E350" s="139" t="str">
        <f>IF(B350="","",VLOOKUP(C350,CombineSFG!$H$2:$J990,3,FALSE))</f>
        <v/>
      </c>
      <c r="F350" s="136"/>
    </row>
    <row r="351" spans="1:6">
      <c r="A351" s="136" t="str">
        <f t="shared" si="2"/>
        <v/>
      </c>
      <c r="B351" s="137"/>
      <c r="C351" s="137"/>
      <c r="D351" s="136"/>
      <c r="E351" s="139" t="str">
        <f>IF(B351="","",VLOOKUP(C351,CombineSFG!$H$2:$J990,3,FALSE))</f>
        <v/>
      </c>
      <c r="F351" s="136"/>
    </row>
    <row r="352" spans="1:6">
      <c r="A352" s="136" t="str">
        <f t="shared" si="2"/>
        <v/>
      </c>
      <c r="B352" s="137"/>
      <c r="C352" s="137"/>
      <c r="D352" s="136"/>
      <c r="E352" s="139" t="str">
        <f>IF(B352="","",VLOOKUP(C352,CombineSFG!$H$2:$J990,3,FALSE))</f>
        <v/>
      </c>
      <c r="F352" s="136"/>
    </row>
    <row r="353" spans="1:6">
      <c r="A353" s="136" t="str">
        <f t="shared" si="2"/>
        <v/>
      </c>
      <c r="B353" s="137"/>
      <c r="C353" s="137"/>
      <c r="D353" s="136"/>
      <c r="E353" s="139" t="str">
        <f>IF(B353="","",VLOOKUP(C353,CombineSFG!$H$2:$J990,3,FALSE))</f>
        <v/>
      </c>
      <c r="F353" s="136"/>
    </row>
    <row r="354" spans="1:6">
      <c r="A354" s="136" t="str">
        <f t="shared" si="2"/>
        <v/>
      </c>
      <c r="B354" s="137"/>
      <c r="C354" s="137"/>
      <c r="D354" s="136"/>
      <c r="E354" s="139" t="str">
        <f>IF(B354="","",VLOOKUP(C354,CombineSFG!$H$2:$J990,3,FALSE))</f>
        <v/>
      </c>
      <c r="F354" s="136"/>
    </row>
    <row r="355" spans="1:6">
      <c r="A355" s="136" t="str">
        <f t="shared" si="2"/>
        <v/>
      </c>
      <c r="B355" s="137"/>
      <c r="C355" s="137"/>
      <c r="D355" s="136"/>
      <c r="E355" s="139" t="str">
        <f>IF(B355="","",VLOOKUP(C355,CombineSFG!$H$2:$J990,3,FALSE))</f>
        <v/>
      </c>
      <c r="F355" s="136"/>
    </row>
    <row r="356" spans="1:6">
      <c r="A356" s="136" t="str">
        <f t="shared" si="2"/>
        <v/>
      </c>
      <c r="B356" s="137"/>
      <c r="C356" s="137"/>
      <c r="D356" s="136"/>
      <c r="E356" s="139" t="str">
        <f>IF(B356="","",VLOOKUP(C356,CombineSFG!$H$2:$J990,3,FALSE))</f>
        <v/>
      </c>
      <c r="F356" s="136"/>
    </row>
    <row r="357" spans="1:6">
      <c r="A357" s="136" t="str">
        <f t="shared" si="2"/>
        <v/>
      </c>
      <c r="B357" s="137"/>
      <c r="C357" s="137"/>
      <c r="D357" s="136"/>
      <c r="E357" s="139" t="str">
        <f>IF(B357="","",VLOOKUP(C357,CombineSFG!$H$2:$J990,3,FALSE))</f>
        <v/>
      </c>
      <c r="F357" s="136"/>
    </row>
    <row r="358" spans="1:6">
      <c r="A358" s="136" t="str">
        <f t="shared" si="2"/>
        <v/>
      </c>
      <c r="B358" s="137"/>
      <c r="C358" s="137"/>
      <c r="D358" s="136"/>
      <c r="E358" s="139" t="str">
        <f>IF(B358="","",VLOOKUP(C358,CombineSFG!$H$2:$J990,3,FALSE))</f>
        <v/>
      </c>
      <c r="F358" s="136"/>
    </row>
    <row r="359" spans="1:6">
      <c r="A359" s="136" t="str">
        <f t="shared" si="2"/>
        <v/>
      </c>
      <c r="B359" s="137"/>
      <c r="C359" s="137"/>
      <c r="D359" s="136"/>
      <c r="E359" s="139" t="str">
        <f>IF(B359="","",VLOOKUP(C359,CombineSFG!$H$2:$J990,3,FALSE))</f>
        <v/>
      </c>
      <c r="F359" s="136"/>
    </row>
    <row r="360" spans="1:6">
      <c r="A360" s="136" t="str">
        <f t="shared" si="2"/>
        <v/>
      </c>
      <c r="B360" s="137"/>
      <c r="C360" s="137"/>
      <c r="D360" s="136"/>
      <c r="E360" s="139" t="str">
        <f>IF(B360="","",VLOOKUP(C360,CombineSFG!$H$2:$J990,3,FALSE))</f>
        <v/>
      </c>
      <c r="F360" s="136"/>
    </row>
    <row r="361" spans="1:6">
      <c r="A361" s="136" t="str">
        <f t="shared" si="2"/>
        <v/>
      </c>
      <c r="B361" s="137"/>
      <c r="C361" s="137"/>
      <c r="D361" s="136"/>
      <c r="E361" s="139" t="str">
        <f>IF(B361="","",VLOOKUP(C361,CombineSFG!$H$2:$J990,3,FALSE))</f>
        <v/>
      </c>
      <c r="F361" s="136"/>
    </row>
    <row r="362" spans="1:6">
      <c r="A362" s="136" t="str">
        <f t="shared" si="2"/>
        <v/>
      </c>
      <c r="B362" s="137"/>
      <c r="C362" s="137"/>
      <c r="D362" s="136"/>
      <c r="E362" s="139" t="str">
        <f>IF(B362="","",VLOOKUP(C362,CombineSFG!$H$2:$J990,3,FALSE))</f>
        <v/>
      </c>
      <c r="F362" s="136"/>
    </row>
    <row r="363" spans="1:6">
      <c r="A363" s="136" t="str">
        <f t="shared" si="2"/>
        <v/>
      </c>
      <c r="B363" s="137"/>
      <c r="C363" s="137"/>
      <c r="D363" s="136"/>
      <c r="E363" s="139" t="str">
        <f>IF(B363="","",VLOOKUP(C363,CombineSFG!$H$2:$J990,3,FALSE))</f>
        <v/>
      </c>
      <c r="F363" s="136"/>
    </row>
    <row r="364" spans="1:6">
      <c r="A364" s="136" t="str">
        <f t="shared" si="2"/>
        <v/>
      </c>
      <c r="B364" s="137"/>
      <c r="C364" s="137"/>
      <c r="D364" s="136"/>
      <c r="E364" s="139" t="str">
        <f>IF(B364="","",VLOOKUP(C364,CombineSFG!$H$2:$J990,3,FALSE))</f>
        <v/>
      </c>
      <c r="F364" s="136"/>
    </row>
    <row r="365" spans="1:6">
      <c r="A365" s="136" t="str">
        <f t="shared" si="2"/>
        <v/>
      </c>
      <c r="B365" s="137"/>
      <c r="C365" s="137"/>
      <c r="D365" s="136"/>
      <c r="E365" s="139" t="str">
        <f>IF(B365="","",VLOOKUP(C365,CombineSFG!$H$2:$J990,3,FALSE))</f>
        <v/>
      </c>
      <c r="F365" s="136"/>
    </row>
    <row r="366" spans="1:6">
      <c r="A366" s="136" t="str">
        <f t="shared" si="2"/>
        <v/>
      </c>
      <c r="B366" s="137"/>
      <c r="C366" s="137"/>
      <c r="D366" s="136"/>
      <c r="E366" s="139" t="str">
        <f>IF(B366="","",VLOOKUP(C366,CombineSFG!$H$2:$J990,3,FALSE))</f>
        <v/>
      </c>
      <c r="F366" s="136"/>
    </row>
    <row r="367" spans="1:6">
      <c r="A367" s="136" t="str">
        <f t="shared" si="2"/>
        <v/>
      </c>
      <c r="B367" s="137"/>
      <c r="C367" s="137"/>
      <c r="D367" s="136"/>
      <c r="E367" s="139" t="str">
        <f>IF(B367="","",VLOOKUP(C367,CombineSFG!$H$2:$J990,3,FALSE))</f>
        <v/>
      </c>
      <c r="F367" s="136"/>
    </row>
    <row r="368" spans="1:6">
      <c r="A368" s="136" t="str">
        <f t="shared" si="2"/>
        <v/>
      </c>
      <c r="B368" s="137"/>
      <c r="C368" s="137"/>
      <c r="D368" s="136"/>
      <c r="E368" s="139" t="str">
        <f>IF(B368="","",VLOOKUP(C368,CombineSFG!$H$2:$J990,3,FALSE))</f>
        <v/>
      </c>
      <c r="F368" s="136"/>
    </row>
    <row r="369" spans="1:6">
      <c r="A369" s="136" t="str">
        <f t="shared" si="2"/>
        <v/>
      </c>
      <c r="B369" s="137"/>
      <c r="C369" s="137"/>
      <c r="D369" s="136"/>
      <c r="E369" s="139" t="str">
        <f>IF(B369="","",VLOOKUP(C369,CombineSFG!$H$2:$J990,3,FALSE))</f>
        <v/>
      </c>
      <c r="F369" s="136"/>
    </row>
    <row r="370" spans="1:6">
      <c r="A370" s="136" t="str">
        <f t="shared" si="2"/>
        <v/>
      </c>
      <c r="B370" s="137"/>
      <c r="C370" s="137"/>
      <c r="D370" s="136"/>
      <c r="E370" s="139" t="str">
        <f>IF(B370="","",VLOOKUP(C370,CombineSFG!$H$2:$J990,3,FALSE))</f>
        <v/>
      </c>
      <c r="F370" s="136"/>
    </row>
    <row r="371" spans="1:6">
      <c r="A371" s="136" t="str">
        <f t="shared" si="2"/>
        <v/>
      </c>
      <c r="B371" s="137"/>
      <c r="C371" s="137"/>
      <c r="D371" s="136"/>
      <c r="E371" s="139" t="str">
        <f>IF(B371="","",VLOOKUP(C371,CombineSFG!$H$2:$J990,3,FALSE))</f>
        <v/>
      </c>
      <c r="F371" s="136"/>
    </row>
    <row r="372" spans="1:6">
      <c r="A372" s="136" t="str">
        <f t="shared" si="2"/>
        <v/>
      </c>
      <c r="B372" s="137"/>
      <c r="C372" s="137"/>
      <c r="D372" s="136"/>
      <c r="E372" s="139" t="str">
        <f>IF(B372="","",VLOOKUP(C372,CombineSFG!$H$2:$J990,3,FALSE))</f>
        <v/>
      </c>
      <c r="F372" s="136"/>
    </row>
    <row r="373" spans="1:6">
      <c r="A373" s="136" t="str">
        <f t="shared" si="2"/>
        <v/>
      </c>
      <c r="B373" s="137"/>
      <c r="C373" s="137"/>
      <c r="D373" s="136"/>
      <c r="E373" s="139" t="str">
        <f>IF(B373="","",VLOOKUP(C373,CombineSFG!$H$2:$J990,3,FALSE))</f>
        <v/>
      </c>
      <c r="F373" s="136"/>
    </row>
    <row r="374" spans="1:6">
      <c r="A374" s="136" t="str">
        <f t="shared" si="2"/>
        <v/>
      </c>
      <c r="B374" s="137"/>
      <c r="C374" s="137"/>
      <c r="D374" s="136"/>
      <c r="E374" s="139" t="str">
        <f>IF(B374="","",VLOOKUP(C374,CombineSFG!$H$2:$J990,3,FALSE))</f>
        <v/>
      </c>
      <c r="F374" s="136"/>
    </row>
    <row r="375" spans="1:6">
      <c r="A375" s="136" t="str">
        <f t="shared" si="2"/>
        <v/>
      </c>
      <c r="B375" s="137"/>
      <c r="C375" s="137"/>
      <c r="D375" s="136"/>
      <c r="E375" s="139" t="str">
        <f>IF(B375="","",VLOOKUP(C375,CombineSFG!$H$2:$J990,3,FALSE))</f>
        <v/>
      </c>
      <c r="F375" s="136"/>
    </row>
    <row r="376" spans="1:6">
      <c r="A376" s="136" t="str">
        <f t="shared" si="2"/>
        <v/>
      </c>
      <c r="B376" s="137"/>
      <c r="C376" s="137"/>
      <c r="D376" s="136"/>
      <c r="E376" s="139" t="str">
        <f>IF(B376="","",VLOOKUP(C376,CombineSFG!$H$2:$J990,3,FALSE))</f>
        <v/>
      </c>
      <c r="F376" s="136"/>
    </row>
    <row r="377" spans="1:6">
      <c r="A377" s="136" t="str">
        <f t="shared" si="2"/>
        <v/>
      </c>
      <c r="B377" s="137"/>
      <c r="C377" s="137"/>
      <c r="D377" s="136"/>
      <c r="E377" s="139" t="str">
        <f>IF(B377="","",VLOOKUP(C377,CombineSFG!$H$2:$J990,3,FALSE))</f>
        <v/>
      </c>
      <c r="F377" s="136"/>
    </row>
    <row r="378" spans="1:6">
      <c r="A378" s="136" t="str">
        <f t="shared" si="2"/>
        <v/>
      </c>
      <c r="B378" s="137"/>
      <c r="C378" s="137"/>
      <c r="D378" s="136"/>
      <c r="E378" s="139" t="str">
        <f>IF(B378="","",VLOOKUP(C378,CombineSFG!$H$2:$J990,3,FALSE))</f>
        <v/>
      </c>
      <c r="F378" s="136"/>
    </row>
    <row r="379" spans="1:6">
      <c r="A379" s="136" t="str">
        <f t="shared" si="2"/>
        <v/>
      </c>
      <c r="B379" s="137"/>
      <c r="C379" s="137"/>
      <c r="D379" s="136"/>
      <c r="E379" s="139" t="str">
        <f>IF(B379="","",VLOOKUP(C379,CombineSFG!$H$2:$J990,3,FALSE))</f>
        <v/>
      </c>
      <c r="F379" s="136"/>
    </row>
    <row r="380" spans="1:6">
      <c r="A380" s="136" t="str">
        <f t="shared" si="2"/>
        <v/>
      </c>
      <c r="B380" s="137"/>
      <c r="C380" s="137"/>
      <c r="D380" s="136"/>
      <c r="E380" s="139" t="str">
        <f>IF(B380="","",VLOOKUP(C380,CombineSFG!$H$2:$J990,3,FALSE))</f>
        <v/>
      </c>
      <c r="F380" s="136"/>
    </row>
    <row r="381" spans="1:6">
      <c r="A381" s="136" t="str">
        <f t="shared" si="2"/>
        <v/>
      </c>
      <c r="B381" s="137"/>
      <c r="C381" s="137"/>
      <c r="D381" s="136"/>
      <c r="E381" s="139" t="str">
        <f>IF(B381="","",VLOOKUP(C381,CombineSFG!$H$2:$J990,3,FALSE))</f>
        <v/>
      </c>
      <c r="F381" s="136"/>
    </row>
    <row r="382" spans="1:6">
      <c r="A382" s="136" t="str">
        <f t="shared" si="2"/>
        <v/>
      </c>
      <c r="B382" s="137"/>
      <c r="C382" s="137"/>
      <c r="D382" s="136"/>
      <c r="E382" s="139" t="str">
        <f>IF(B382="","",VLOOKUP(C382,CombineSFG!$H$2:$J990,3,FALSE))</f>
        <v/>
      </c>
      <c r="F382" s="136"/>
    </row>
    <row r="383" spans="1:6">
      <c r="A383" s="136" t="str">
        <f t="shared" si="2"/>
        <v/>
      </c>
      <c r="B383" s="137"/>
      <c r="C383" s="137"/>
      <c r="D383" s="136"/>
      <c r="E383" s="139" t="str">
        <f>IF(B383="","",VLOOKUP(C383,CombineSFG!$H$2:$J990,3,FALSE))</f>
        <v/>
      </c>
      <c r="F383" s="136"/>
    </row>
    <row r="384" spans="1:6">
      <c r="A384" s="136" t="str">
        <f t="shared" si="2"/>
        <v/>
      </c>
      <c r="B384" s="137"/>
      <c r="C384" s="137"/>
      <c r="D384" s="136"/>
      <c r="E384" s="139" t="str">
        <f>IF(B384="","",VLOOKUP(C384,CombineSFG!$H$2:$J990,3,FALSE))</f>
        <v/>
      </c>
      <c r="F384" s="136"/>
    </row>
    <row r="385" spans="1:6">
      <c r="A385" s="136" t="str">
        <f t="shared" si="2"/>
        <v/>
      </c>
      <c r="B385" s="137"/>
      <c r="C385" s="137"/>
      <c r="D385" s="136"/>
      <c r="E385" s="139" t="str">
        <f>IF(B385="","",VLOOKUP(C385,CombineSFG!$H$2:$J990,3,FALSE))</f>
        <v/>
      </c>
      <c r="F385" s="136"/>
    </row>
    <row r="386" spans="1:6">
      <c r="A386" s="136" t="str">
        <f t="shared" si="2"/>
        <v/>
      </c>
      <c r="B386" s="137"/>
      <c r="C386" s="137"/>
      <c r="D386" s="136"/>
      <c r="E386" s="139" t="str">
        <f>IF(B386="","",VLOOKUP(C386,CombineSFG!$H$2:$J990,3,FALSE))</f>
        <v/>
      </c>
      <c r="F386" s="136"/>
    </row>
    <row r="387" spans="1:6">
      <c r="A387" s="136" t="str">
        <f t="shared" si="2"/>
        <v/>
      </c>
      <c r="B387" s="137"/>
      <c r="C387" s="137"/>
      <c r="D387" s="136"/>
      <c r="E387" s="139" t="str">
        <f>IF(B387="","",VLOOKUP(C387,CombineSFG!$H$2:$J990,3,FALSE))</f>
        <v/>
      </c>
      <c r="F387" s="136"/>
    </row>
    <row r="388" spans="1:6">
      <c r="A388" s="136" t="str">
        <f t="shared" si="2"/>
        <v/>
      </c>
      <c r="B388" s="137"/>
      <c r="C388" s="137"/>
      <c r="D388" s="136"/>
      <c r="E388" s="139" t="str">
        <f>IF(B388="","",VLOOKUP(C388,CombineSFG!$H$2:$J990,3,FALSE))</f>
        <v/>
      </c>
      <c r="F388" s="136"/>
    </row>
    <row r="389" spans="1:6">
      <c r="A389" s="136" t="str">
        <f t="shared" si="2"/>
        <v/>
      </c>
      <c r="B389" s="137"/>
      <c r="C389" s="137"/>
      <c r="D389" s="136"/>
      <c r="E389" s="139" t="str">
        <f>IF(B389="","",VLOOKUP(C389,CombineSFG!$H$2:$J990,3,FALSE))</f>
        <v/>
      </c>
      <c r="F389" s="136"/>
    </row>
    <row r="390" spans="1:6">
      <c r="A390" s="136" t="str">
        <f t="shared" si="2"/>
        <v/>
      </c>
      <c r="B390" s="137"/>
      <c r="C390" s="137"/>
      <c r="D390" s="136"/>
      <c r="E390" s="139" t="str">
        <f>IF(B390="","",VLOOKUP(C390,CombineSFG!$H$2:$J990,3,FALSE))</f>
        <v/>
      </c>
      <c r="F390" s="136"/>
    </row>
    <row r="391" spans="1:6">
      <c r="A391" s="136" t="str">
        <f t="shared" si="2"/>
        <v/>
      </c>
      <c r="B391" s="137"/>
      <c r="C391" s="137"/>
      <c r="D391" s="136"/>
      <c r="E391" s="139" t="str">
        <f>IF(B391="","",VLOOKUP(C391,CombineSFG!$H$2:$J990,3,FALSE))</f>
        <v/>
      </c>
      <c r="F391" s="136"/>
    </row>
    <row r="392" spans="1:6">
      <c r="A392" s="136" t="str">
        <f t="shared" si="2"/>
        <v/>
      </c>
      <c r="B392" s="137"/>
      <c r="C392" s="137"/>
      <c r="D392" s="136"/>
      <c r="E392" s="139" t="str">
        <f>IF(B392="","",VLOOKUP(C392,CombineSFG!$H$2:$J990,3,FALSE))</f>
        <v/>
      </c>
      <c r="F392" s="136"/>
    </row>
    <row r="393" spans="1:6">
      <c r="A393" s="136" t="str">
        <f t="shared" si="2"/>
        <v/>
      </c>
      <c r="B393" s="137"/>
      <c r="C393" s="137"/>
      <c r="D393" s="136"/>
      <c r="E393" s="139" t="str">
        <f>IF(B393="","",VLOOKUP(C393,CombineSFG!$H$2:$J990,3,FALSE))</f>
        <v/>
      </c>
      <c r="F393" s="136"/>
    </row>
    <row r="394" spans="1:6">
      <c r="A394" s="136" t="str">
        <f t="shared" si="2"/>
        <v/>
      </c>
      <c r="B394" s="137"/>
      <c r="C394" s="137"/>
      <c r="D394" s="136"/>
      <c r="E394" s="139" t="str">
        <f>IF(B394="","",VLOOKUP(C394,CombineSFG!$H$2:$J990,3,FALSE))</f>
        <v/>
      </c>
      <c r="F394" s="136"/>
    </row>
    <row r="395" spans="1:6">
      <c r="A395" s="136" t="str">
        <f t="shared" si="2"/>
        <v/>
      </c>
      <c r="B395" s="137"/>
      <c r="C395" s="137"/>
      <c r="D395" s="136"/>
      <c r="E395" s="139" t="str">
        <f>IF(B395="","",VLOOKUP(C395,CombineSFG!$H$2:$J990,3,FALSE))</f>
        <v/>
      </c>
      <c r="F395" s="136"/>
    </row>
    <row r="396" spans="1:6">
      <c r="A396" s="136" t="str">
        <f t="shared" si="2"/>
        <v/>
      </c>
      <c r="B396" s="137"/>
      <c r="C396" s="137"/>
      <c r="D396" s="136"/>
      <c r="E396" s="139" t="str">
        <f>IF(B396="","",VLOOKUP(C396,CombineSFG!$H$2:$J990,3,FALSE))</f>
        <v/>
      </c>
      <c r="F396" s="136"/>
    </row>
    <row r="397" spans="1:6">
      <c r="A397" s="136" t="str">
        <f t="shared" si="2"/>
        <v/>
      </c>
      <c r="B397" s="137"/>
      <c r="C397" s="137"/>
      <c r="D397" s="136"/>
      <c r="E397" s="139" t="str">
        <f>IF(B397="","",VLOOKUP(C397,CombineSFG!$H$2:$J990,3,FALSE))</f>
        <v/>
      </c>
      <c r="F397" s="136"/>
    </row>
    <row r="398" spans="1:6">
      <c r="A398" s="136" t="str">
        <f t="shared" si="2"/>
        <v/>
      </c>
      <c r="B398" s="137"/>
      <c r="C398" s="137"/>
      <c r="D398" s="136"/>
      <c r="E398" s="139" t="str">
        <f>IF(B398="","",VLOOKUP(C398,CombineSFG!$H$2:$J990,3,FALSE))</f>
        <v/>
      </c>
      <c r="F398" s="136"/>
    </row>
    <row r="399" spans="1:6">
      <c r="A399" s="136" t="str">
        <f t="shared" si="2"/>
        <v/>
      </c>
      <c r="B399" s="137"/>
      <c r="C399" s="137"/>
      <c r="D399" s="136"/>
      <c r="E399" s="139" t="str">
        <f>IF(B399="","",VLOOKUP(C399,CombineSFG!$H$2:$J990,3,FALSE))</f>
        <v/>
      </c>
      <c r="F399" s="136"/>
    </row>
    <row r="400" spans="1:6">
      <c r="A400" s="136" t="str">
        <f t="shared" si="2"/>
        <v/>
      </c>
      <c r="B400" s="137"/>
      <c r="C400" s="137"/>
      <c r="D400" s="136"/>
      <c r="E400" s="139" t="str">
        <f>IF(B400="","",VLOOKUP(C400,CombineSFG!$H$2:$J990,3,FALSE))</f>
        <v/>
      </c>
      <c r="F400" s="136"/>
    </row>
    <row r="401" spans="1:6">
      <c r="A401" s="136" t="str">
        <f t="shared" si="2"/>
        <v/>
      </c>
      <c r="B401" s="137"/>
      <c r="C401" s="137"/>
      <c r="D401" s="136"/>
      <c r="E401" s="139" t="str">
        <f>IF(B401="","",VLOOKUP(C401,CombineSFG!$H$2:$J990,3,FALSE))</f>
        <v/>
      </c>
      <c r="F401" s="136"/>
    </row>
    <row r="402" spans="1:6">
      <c r="A402" s="136" t="str">
        <f t="shared" si="2"/>
        <v/>
      </c>
      <c r="B402" s="137"/>
      <c r="C402" s="137"/>
      <c r="D402" s="136"/>
      <c r="E402" s="139" t="str">
        <f>IF(B402="","",VLOOKUP(C402,CombineSFG!$H$2:$J990,3,FALSE))</f>
        <v/>
      </c>
      <c r="F402" s="136"/>
    </row>
    <row r="403" spans="1:6">
      <c r="A403" s="136" t="str">
        <f t="shared" si="2"/>
        <v/>
      </c>
      <c r="B403" s="137"/>
      <c r="C403" s="137"/>
      <c r="D403" s="136"/>
      <c r="E403" s="139" t="str">
        <f>IF(B403="","",VLOOKUP(C403,CombineSFG!$H$2:$J990,3,FALSE))</f>
        <v/>
      </c>
      <c r="F403" s="136"/>
    </row>
    <row r="404" spans="1:6">
      <c r="A404" s="136" t="str">
        <f t="shared" si="2"/>
        <v/>
      </c>
      <c r="B404" s="137"/>
      <c r="C404" s="137"/>
      <c r="D404" s="136"/>
      <c r="E404" s="139" t="str">
        <f>IF(B404="","",VLOOKUP(C404,CombineSFG!$H$2:$J990,3,FALSE))</f>
        <v/>
      </c>
      <c r="F404" s="136"/>
    </row>
    <row r="405" spans="1:6">
      <c r="A405" s="136" t="str">
        <f t="shared" si="2"/>
        <v/>
      </c>
      <c r="B405" s="137"/>
      <c r="C405" s="137"/>
      <c r="D405" s="136"/>
      <c r="E405" s="139" t="str">
        <f>IF(B405="","",VLOOKUP(C405,CombineSFG!$H$2:$J990,3,FALSE))</f>
        <v/>
      </c>
      <c r="F405" s="136"/>
    </row>
    <row r="406" spans="1:6">
      <c r="A406" s="136" t="str">
        <f t="shared" si="2"/>
        <v/>
      </c>
      <c r="B406" s="137"/>
      <c r="C406" s="137"/>
      <c r="D406" s="136"/>
      <c r="E406" s="139" t="str">
        <f>IF(B406="","",VLOOKUP(C406,CombineSFG!$H$2:$J990,3,FALSE))</f>
        <v/>
      </c>
      <c r="F406" s="136"/>
    </row>
    <row r="407" spans="1:6">
      <c r="A407" s="136" t="str">
        <f t="shared" si="2"/>
        <v/>
      </c>
      <c r="B407" s="137"/>
      <c r="C407" s="137"/>
      <c r="D407" s="136"/>
      <c r="E407" s="139" t="str">
        <f>IF(B407="","",VLOOKUP(C407,CombineSFG!$H$2:$J990,3,FALSE))</f>
        <v/>
      </c>
      <c r="F407" s="136"/>
    </row>
    <row r="408" spans="1:6">
      <c r="A408" s="136" t="str">
        <f t="shared" si="2"/>
        <v/>
      </c>
      <c r="B408" s="137"/>
      <c r="C408" s="137"/>
      <c r="D408" s="136"/>
      <c r="E408" s="139" t="str">
        <f>IF(B408="","",VLOOKUP(C408,CombineSFG!$H$2:$J990,3,FALSE))</f>
        <v/>
      </c>
      <c r="F408" s="136"/>
    </row>
    <row r="409" spans="1:6">
      <c r="A409" s="136" t="str">
        <f t="shared" si="2"/>
        <v/>
      </c>
      <c r="B409" s="137"/>
      <c r="C409" s="137"/>
      <c r="D409" s="136"/>
      <c r="E409" s="139" t="str">
        <f>IF(B409="","",VLOOKUP(C409,CombineSFG!$H$2:$J990,3,FALSE))</f>
        <v/>
      </c>
      <c r="F409" s="136"/>
    </row>
    <row r="410" spans="1:6">
      <c r="A410" s="136" t="str">
        <f t="shared" si="2"/>
        <v/>
      </c>
      <c r="B410" s="137"/>
      <c r="C410" s="137"/>
      <c r="D410" s="136"/>
      <c r="E410" s="139" t="str">
        <f>IF(B410="","",VLOOKUP(C410,CombineSFG!$H$2:$J990,3,FALSE))</f>
        <v/>
      </c>
      <c r="F410" s="136"/>
    </row>
    <row r="411" spans="1:6">
      <c r="A411" s="136" t="str">
        <f t="shared" si="2"/>
        <v/>
      </c>
      <c r="B411" s="137"/>
      <c r="C411" s="137"/>
      <c r="D411" s="136"/>
      <c r="E411" s="139" t="str">
        <f>IF(B411="","",VLOOKUP(C411,CombineSFG!$H$2:$J990,3,FALSE))</f>
        <v/>
      </c>
      <c r="F411" s="136"/>
    </row>
    <row r="412" spans="1:6">
      <c r="A412" s="136" t="str">
        <f t="shared" si="2"/>
        <v/>
      </c>
      <c r="B412" s="137"/>
      <c r="C412" s="137"/>
      <c r="D412" s="136"/>
      <c r="E412" s="139" t="str">
        <f>IF(B412="","",VLOOKUP(C412,CombineSFG!$H$2:$J990,3,FALSE))</f>
        <v/>
      </c>
      <c r="F412" s="136"/>
    </row>
    <row r="413" spans="1:6">
      <c r="A413" s="136" t="str">
        <f t="shared" si="2"/>
        <v/>
      </c>
      <c r="B413" s="137"/>
      <c r="C413" s="137"/>
      <c r="D413" s="136"/>
      <c r="E413" s="139" t="str">
        <f>IF(B413="","",VLOOKUP(C413,CombineSFG!$H$2:$J990,3,FALSE))</f>
        <v/>
      </c>
      <c r="F413" s="136"/>
    </row>
    <row r="414" spans="1:6">
      <c r="A414" s="136" t="str">
        <f t="shared" si="2"/>
        <v/>
      </c>
      <c r="B414" s="137"/>
      <c r="C414" s="137"/>
      <c r="D414" s="136"/>
      <c r="E414" s="139" t="str">
        <f>IF(B414="","",VLOOKUP(C414,CombineSFG!$H$2:$J990,3,FALSE))</f>
        <v/>
      </c>
      <c r="F414" s="136"/>
    </row>
    <row r="415" spans="1:6">
      <c r="A415" s="136" t="str">
        <f t="shared" si="2"/>
        <v/>
      </c>
      <c r="B415" s="137"/>
      <c r="C415" s="137"/>
      <c r="D415" s="136"/>
      <c r="E415" s="139" t="str">
        <f>IF(B415="","",VLOOKUP(C415,CombineSFG!$H$2:$J990,3,FALSE))</f>
        <v/>
      </c>
      <c r="F415" s="136"/>
    </row>
    <row r="416" spans="1:6">
      <c r="A416" s="136" t="str">
        <f t="shared" si="2"/>
        <v/>
      </c>
      <c r="B416" s="137"/>
      <c r="C416" s="137"/>
      <c r="D416" s="136"/>
      <c r="E416" s="139" t="str">
        <f>IF(B416="","",VLOOKUP(C416,CombineSFG!$H$2:$J990,3,FALSE))</f>
        <v/>
      </c>
      <c r="F416" s="136"/>
    </row>
    <row r="417" spans="1:6">
      <c r="A417" s="136" t="str">
        <f t="shared" si="2"/>
        <v/>
      </c>
      <c r="B417" s="137"/>
      <c r="C417" s="137"/>
      <c r="D417" s="136"/>
      <c r="E417" s="139" t="str">
        <f>IF(B417="","",VLOOKUP(C417,CombineSFG!$H$2:$J990,3,FALSE))</f>
        <v/>
      </c>
      <c r="F417" s="136"/>
    </row>
    <row r="418" spans="1:6">
      <c r="A418" s="136" t="str">
        <f t="shared" si="2"/>
        <v/>
      </c>
      <c r="B418" s="137"/>
      <c r="C418" s="137"/>
      <c r="D418" s="136"/>
      <c r="E418" s="139" t="str">
        <f>IF(B418="","",VLOOKUP(C418,CombineSFG!$H$2:$J990,3,FALSE))</f>
        <v/>
      </c>
      <c r="F418" s="136"/>
    </row>
    <row r="419" spans="1:6">
      <c r="A419" s="136" t="str">
        <f t="shared" si="2"/>
        <v/>
      </c>
      <c r="B419" s="137"/>
      <c r="C419" s="137"/>
      <c r="D419" s="136"/>
      <c r="E419" s="139" t="str">
        <f>IF(B419="","",VLOOKUP(C419,CombineSFG!$H$2:$J990,3,FALSE))</f>
        <v/>
      </c>
      <c r="F419" s="136"/>
    </row>
    <row r="420" spans="1:6">
      <c r="A420" s="136" t="str">
        <f t="shared" si="2"/>
        <v/>
      </c>
      <c r="B420" s="137"/>
      <c r="C420" s="137"/>
      <c r="D420" s="136"/>
      <c r="E420" s="139" t="str">
        <f>IF(B420="","",VLOOKUP(C420,CombineSFG!$H$2:$J990,3,FALSE))</f>
        <v/>
      </c>
      <c r="F420" s="136"/>
    </row>
    <row r="421" spans="1:6">
      <c r="A421" s="136" t="str">
        <f t="shared" si="2"/>
        <v/>
      </c>
      <c r="B421" s="137"/>
      <c r="C421" s="137"/>
      <c r="D421" s="136"/>
      <c r="E421" s="139" t="str">
        <f>IF(B421="","",VLOOKUP(C421,CombineSFG!$H$2:$J990,3,FALSE))</f>
        <v/>
      </c>
      <c r="F421" s="136"/>
    </row>
    <row r="422" spans="1:6">
      <c r="A422" s="136" t="str">
        <f t="shared" si="2"/>
        <v/>
      </c>
      <c r="B422" s="137"/>
      <c r="C422" s="137"/>
      <c r="D422" s="136"/>
      <c r="E422" s="139" t="str">
        <f>IF(B422="","",VLOOKUP(C422,CombineSFG!$H$2:$J990,3,FALSE))</f>
        <v/>
      </c>
      <c r="F422" s="136"/>
    </row>
    <row r="423" spans="1:6">
      <c r="A423" s="136" t="str">
        <f t="shared" si="2"/>
        <v/>
      </c>
      <c r="B423" s="137"/>
      <c r="C423" s="137"/>
      <c r="D423" s="136"/>
      <c r="E423" s="139" t="str">
        <f>IF(B423="","",VLOOKUP(C423,CombineSFG!$H$2:$J990,3,FALSE))</f>
        <v/>
      </c>
      <c r="F423" s="136"/>
    </row>
    <row r="424" spans="1:6">
      <c r="A424" s="136" t="str">
        <f t="shared" si="2"/>
        <v/>
      </c>
      <c r="B424" s="137"/>
      <c r="C424" s="137"/>
      <c r="D424" s="136"/>
      <c r="E424" s="139" t="str">
        <f>IF(B424="","",VLOOKUP(C424,CombineSFG!$H$2:$J990,3,FALSE))</f>
        <v/>
      </c>
      <c r="F424" s="136"/>
    </row>
    <row r="425" spans="1:6">
      <c r="A425" s="136" t="str">
        <f t="shared" si="2"/>
        <v/>
      </c>
      <c r="B425" s="137"/>
      <c r="C425" s="137"/>
      <c r="D425" s="136"/>
      <c r="E425" s="139" t="str">
        <f>IF(B425="","",VLOOKUP(C425,CombineSFG!$H$2:$J990,3,FALSE))</f>
        <v/>
      </c>
      <c r="F425" s="136"/>
    </row>
    <row r="426" spans="1:6">
      <c r="A426" s="136" t="str">
        <f t="shared" si="2"/>
        <v/>
      </c>
      <c r="B426" s="137"/>
      <c r="C426" s="137"/>
      <c r="D426" s="136"/>
      <c r="E426" s="139" t="str">
        <f>IF(B426="","",VLOOKUP(C426,CombineSFG!$H$2:$J990,3,FALSE))</f>
        <v/>
      </c>
      <c r="F426" s="136"/>
    </row>
    <row r="427" spans="1:6">
      <c r="A427" s="136" t="str">
        <f t="shared" si="2"/>
        <v/>
      </c>
      <c r="B427" s="137"/>
      <c r="C427" s="137"/>
      <c r="D427" s="136"/>
      <c r="E427" s="139" t="str">
        <f>IF(B427="","",VLOOKUP(C427,CombineSFG!$H$2:$J990,3,FALSE))</f>
        <v/>
      </c>
      <c r="F427" s="136"/>
    </row>
    <row r="428" spans="1:6">
      <c r="A428" s="136" t="str">
        <f t="shared" si="2"/>
        <v/>
      </c>
      <c r="B428" s="137"/>
      <c r="C428" s="137"/>
      <c r="D428" s="136"/>
      <c r="E428" s="139" t="str">
        <f>IF(B428="","",VLOOKUP(C428,CombineSFG!$H$2:$J990,3,FALSE))</f>
        <v/>
      </c>
      <c r="F428" s="136"/>
    </row>
    <row r="429" spans="1:6">
      <c r="A429" s="136" t="str">
        <f t="shared" si="2"/>
        <v/>
      </c>
      <c r="B429" s="137"/>
      <c r="C429" s="137"/>
      <c r="D429" s="136"/>
      <c r="E429" s="139" t="str">
        <f>IF(B429="","",VLOOKUP(C429,CombineSFG!$H$2:$J990,3,FALSE))</f>
        <v/>
      </c>
      <c r="F429" s="136"/>
    </row>
    <row r="430" spans="1:6">
      <c r="A430" s="136" t="str">
        <f t="shared" si="2"/>
        <v/>
      </c>
      <c r="B430" s="137"/>
      <c r="C430" s="137"/>
      <c r="D430" s="136"/>
      <c r="E430" s="139" t="str">
        <f>IF(B430="","",VLOOKUP(C430,CombineSFG!$H$2:$J990,3,FALSE))</f>
        <v/>
      </c>
      <c r="F430" s="136"/>
    </row>
    <row r="431" spans="1:6">
      <c r="A431" s="136" t="str">
        <f t="shared" si="2"/>
        <v/>
      </c>
      <c r="B431" s="137"/>
      <c r="C431" s="137"/>
      <c r="D431" s="136"/>
      <c r="E431" s="139" t="str">
        <f>IF(B431="","",VLOOKUP(C431,CombineSFG!$H$2:$J990,3,FALSE))</f>
        <v/>
      </c>
      <c r="F431" s="136"/>
    </row>
    <row r="432" spans="1:6">
      <c r="A432" s="136" t="str">
        <f t="shared" si="2"/>
        <v/>
      </c>
      <c r="B432" s="137"/>
      <c r="C432" s="137"/>
      <c r="D432" s="136"/>
      <c r="E432" s="139" t="str">
        <f>IF(B432="","",VLOOKUP(C432,CombineSFG!$H$2:$J990,3,FALSE))</f>
        <v/>
      </c>
      <c r="F432" s="136"/>
    </row>
    <row r="433" spans="1:6">
      <c r="A433" s="136" t="str">
        <f t="shared" si="2"/>
        <v/>
      </c>
      <c r="B433" s="137"/>
      <c r="C433" s="137"/>
      <c r="D433" s="136"/>
      <c r="E433" s="139" t="str">
        <f>IF(B433="","",VLOOKUP(C433,CombineSFG!$H$2:$J990,3,FALSE))</f>
        <v/>
      </c>
      <c r="F433" s="136"/>
    </row>
    <row r="434" spans="1:6">
      <c r="A434" s="136" t="str">
        <f t="shared" si="2"/>
        <v/>
      </c>
      <c r="B434" s="137"/>
      <c r="C434" s="137"/>
      <c r="D434" s="136"/>
      <c r="E434" s="139" t="str">
        <f>IF(B434="","",VLOOKUP(C434,CombineSFG!$H$2:$J990,3,FALSE))</f>
        <v/>
      </c>
      <c r="F434" s="136"/>
    </row>
    <row r="435" spans="1:6">
      <c r="A435" s="136" t="str">
        <f t="shared" si="2"/>
        <v/>
      </c>
      <c r="B435" s="137"/>
      <c r="C435" s="137"/>
      <c r="D435" s="136"/>
      <c r="E435" s="139" t="str">
        <f>IF(B435="","",VLOOKUP(C435,CombineSFG!$H$2:$J990,3,FALSE))</f>
        <v/>
      </c>
      <c r="F435" s="136"/>
    </row>
    <row r="436" spans="1:6">
      <c r="A436" s="136" t="str">
        <f t="shared" si="2"/>
        <v/>
      </c>
      <c r="B436" s="137"/>
      <c r="C436" s="137"/>
      <c r="D436" s="136"/>
      <c r="E436" s="139" t="str">
        <f>IF(B436="","",VLOOKUP(C436,CombineSFG!$H$2:$J990,3,FALSE))</f>
        <v/>
      </c>
      <c r="F436" s="136"/>
    </row>
    <row r="437" spans="1:6">
      <c r="A437" s="136" t="str">
        <f t="shared" si="2"/>
        <v/>
      </c>
      <c r="B437" s="137"/>
      <c r="C437" s="137"/>
      <c r="D437" s="136"/>
      <c r="E437" s="139" t="str">
        <f>IF(B437="","",VLOOKUP(C437,CombineSFG!$H$2:$J990,3,FALSE))</f>
        <v/>
      </c>
      <c r="F437" s="136"/>
    </row>
    <row r="438" spans="1:6">
      <c r="A438" s="136" t="str">
        <f t="shared" si="2"/>
        <v/>
      </c>
      <c r="B438" s="137"/>
      <c r="C438" s="137"/>
      <c r="D438" s="136"/>
      <c r="E438" s="139" t="str">
        <f>IF(B438="","",VLOOKUP(C438,CombineSFG!$H$2:$J990,3,FALSE))</f>
        <v/>
      </c>
      <c r="F438" s="136"/>
    </row>
    <row r="439" spans="1:6">
      <c r="A439" s="136" t="str">
        <f t="shared" si="2"/>
        <v/>
      </c>
      <c r="B439" s="137"/>
      <c r="C439" s="137"/>
      <c r="D439" s="136"/>
      <c r="E439" s="139" t="str">
        <f>IF(B439="","",VLOOKUP(C439,CombineSFG!$H$2:$J990,3,FALSE))</f>
        <v/>
      </c>
      <c r="F439" s="136"/>
    </row>
    <row r="440" spans="1:6">
      <c r="A440" s="136" t="str">
        <f t="shared" si="2"/>
        <v/>
      </c>
      <c r="B440" s="137"/>
      <c r="C440" s="137"/>
      <c r="D440" s="136"/>
      <c r="E440" s="139" t="str">
        <f>IF(B440="","",VLOOKUP(C440,CombineSFG!$H$2:$J990,3,FALSE))</f>
        <v/>
      </c>
      <c r="F440" s="136"/>
    </row>
    <row r="441" spans="1:6">
      <c r="A441" s="136" t="str">
        <f t="shared" si="2"/>
        <v/>
      </c>
      <c r="B441" s="137"/>
      <c r="C441" s="137"/>
      <c r="D441" s="136"/>
      <c r="E441" s="139" t="str">
        <f>IF(B441="","",VLOOKUP(C441,CombineSFG!$H$2:$J990,3,FALSE))</f>
        <v/>
      </c>
      <c r="F441" s="136"/>
    </row>
    <row r="442" spans="1:6">
      <c r="A442" s="136" t="str">
        <f t="shared" si="2"/>
        <v/>
      </c>
      <c r="B442" s="137"/>
      <c r="C442" s="137"/>
      <c r="D442" s="136"/>
      <c r="E442" s="139" t="str">
        <f>IF(B442="","",VLOOKUP(C442,CombineSFG!$H$2:$J990,3,FALSE))</f>
        <v/>
      </c>
      <c r="F442" s="136"/>
    </row>
    <row r="443" spans="1:6">
      <c r="A443" s="136" t="str">
        <f t="shared" si="2"/>
        <v/>
      </c>
      <c r="B443" s="137"/>
      <c r="C443" s="137"/>
      <c r="D443" s="136"/>
      <c r="E443" s="139" t="str">
        <f>IF(B443="","",VLOOKUP(C443,CombineSFG!$H$2:$J990,3,FALSE))</f>
        <v/>
      </c>
      <c r="F443" s="136"/>
    </row>
    <row r="444" spans="1:6">
      <c r="A444" s="136" t="str">
        <f t="shared" si="2"/>
        <v/>
      </c>
      <c r="B444" s="137"/>
      <c r="C444" s="137"/>
      <c r="D444" s="136"/>
      <c r="E444" s="139" t="str">
        <f>IF(B444="","",VLOOKUP(C444,CombineSFG!$H$2:$J990,3,FALSE))</f>
        <v/>
      </c>
      <c r="F444" s="136"/>
    </row>
    <row r="445" spans="1:6">
      <c r="A445" s="136" t="str">
        <f t="shared" si="2"/>
        <v/>
      </c>
      <c r="B445" s="137"/>
      <c r="C445" s="137"/>
      <c r="D445" s="136"/>
      <c r="E445" s="139" t="str">
        <f>IF(B445="","",VLOOKUP(C445,CombineSFG!$H$2:$J990,3,FALSE))</f>
        <v/>
      </c>
      <c r="F445" s="136"/>
    </row>
    <row r="446" spans="1:6">
      <c r="A446" s="136" t="str">
        <f t="shared" si="2"/>
        <v/>
      </c>
      <c r="B446" s="137"/>
      <c r="C446" s="137"/>
      <c r="D446" s="136"/>
      <c r="E446" s="139" t="str">
        <f>IF(B446="","",VLOOKUP(C446,CombineSFG!$H$2:$J990,3,FALSE))</f>
        <v/>
      </c>
      <c r="F446" s="136"/>
    </row>
    <row r="447" spans="1:6">
      <c r="A447" s="136" t="str">
        <f t="shared" si="2"/>
        <v/>
      </c>
      <c r="B447" s="137"/>
      <c r="C447" s="137"/>
      <c r="D447" s="136"/>
      <c r="E447" s="139" t="str">
        <f>IF(B447="","",VLOOKUP(C447,CombineSFG!$H$2:$J990,3,FALSE))</f>
        <v/>
      </c>
      <c r="F447" s="136"/>
    </row>
    <row r="448" spans="1:6">
      <c r="A448" s="136" t="str">
        <f t="shared" si="2"/>
        <v/>
      </c>
      <c r="B448" s="137"/>
      <c r="C448" s="137"/>
      <c r="D448" s="136"/>
      <c r="E448" s="139" t="str">
        <f>IF(B448="","",VLOOKUP(C448,CombineSFG!$H$2:$J990,3,FALSE))</f>
        <v/>
      </c>
      <c r="F448" s="136"/>
    </row>
    <row r="449" spans="1:6">
      <c r="A449" s="136" t="str">
        <f t="shared" si="2"/>
        <v/>
      </c>
      <c r="B449" s="137"/>
      <c r="C449" s="137"/>
      <c r="D449" s="136"/>
      <c r="E449" s="139" t="str">
        <f>IF(B449="","",VLOOKUP(C449,CombineSFG!$H$2:$J990,3,FALSE))</f>
        <v/>
      </c>
      <c r="F449" s="136"/>
    </row>
    <row r="450" spans="1:6">
      <c r="A450" s="136" t="str">
        <f t="shared" si="2"/>
        <v/>
      </c>
      <c r="B450" s="137"/>
      <c r="C450" s="137"/>
      <c r="D450" s="136"/>
      <c r="E450" s="139" t="str">
        <f>IF(B450="","",VLOOKUP(C450,CombineSFG!$H$2:$J990,3,FALSE))</f>
        <v/>
      </c>
      <c r="F450" s="136"/>
    </row>
    <row r="451" spans="1:6">
      <c r="A451" s="136" t="str">
        <f t="shared" si="2"/>
        <v/>
      </c>
      <c r="B451" s="137"/>
      <c r="C451" s="137"/>
      <c r="D451" s="136"/>
      <c r="E451" s="139" t="str">
        <f>IF(B451="","",VLOOKUP(C451,CombineSFG!$H$2:$J990,3,FALSE))</f>
        <v/>
      </c>
      <c r="F451" s="136"/>
    </row>
    <row r="452" spans="1:6">
      <c r="A452" s="136" t="str">
        <f t="shared" si="2"/>
        <v/>
      </c>
      <c r="B452" s="137"/>
      <c r="C452" s="137"/>
      <c r="D452" s="136"/>
      <c r="E452" s="139" t="str">
        <f>IF(B452="","",VLOOKUP(C452,CombineSFG!$H$2:$J990,3,FALSE))</f>
        <v/>
      </c>
      <c r="F452" s="136"/>
    </row>
    <row r="453" spans="1:6">
      <c r="A453" s="136" t="str">
        <f t="shared" si="2"/>
        <v/>
      </c>
      <c r="B453" s="137"/>
      <c r="C453" s="137"/>
      <c r="D453" s="136"/>
      <c r="E453" s="139" t="str">
        <f>IF(B453="","",VLOOKUP(C453,CombineSFG!$H$2:$J990,3,FALSE))</f>
        <v/>
      </c>
      <c r="F453" s="136"/>
    </row>
    <row r="454" spans="1:6">
      <c r="A454" s="136" t="str">
        <f t="shared" si="2"/>
        <v/>
      </c>
      <c r="B454" s="137"/>
      <c r="C454" s="137"/>
      <c r="D454" s="136"/>
      <c r="E454" s="139" t="str">
        <f>IF(B454="","",VLOOKUP(C454,CombineSFG!$H$2:$J990,3,FALSE))</f>
        <v/>
      </c>
      <c r="F454" s="136"/>
    </row>
    <row r="455" spans="1:6">
      <c r="A455" s="136" t="str">
        <f t="shared" si="2"/>
        <v/>
      </c>
      <c r="B455" s="137"/>
      <c r="C455" s="137"/>
      <c r="D455" s="136"/>
      <c r="E455" s="139" t="str">
        <f>IF(B455="","",VLOOKUP(C455,CombineSFG!$H$2:$J990,3,FALSE))</f>
        <v/>
      </c>
      <c r="F455" s="136"/>
    </row>
    <row r="456" spans="1:6">
      <c r="A456" s="136" t="str">
        <f t="shared" si="2"/>
        <v/>
      </c>
      <c r="B456" s="137"/>
      <c r="C456" s="137"/>
      <c r="D456" s="136"/>
      <c r="E456" s="139" t="str">
        <f>IF(B456="","",VLOOKUP(C456,CombineSFG!$H$2:$J990,3,FALSE))</f>
        <v/>
      </c>
      <c r="F456" s="136"/>
    </row>
    <row r="457" spans="1:6">
      <c r="A457" s="136" t="str">
        <f t="shared" si="2"/>
        <v/>
      </c>
      <c r="B457" s="137"/>
      <c r="C457" s="137"/>
      <c r="D457" s="136"/>
      <c r="E457" s="139" t="str">
        <f>IF(B457="","",VLOOKUP(C457,CombineSFG!$H$2:$J990,3,FALSE))</f>
        <v/>
      </c>
      <c r="F457" s="136"/>
    </row>
    <row r="458" spans="1:6">
      <c r="A458" s="136" t="str">
        <f t="shared" si="2"/>
        <v/>
      </c>
      <c r="B458" s="137"/>
      <c r="C458" s="137"/>
      <c r="D458" s="136"/>
      <c r="E458" s="139" t="str">
        <f>IF(B458="","",VLOOKUP(C458,CombineSFG!$H$2:$J990,3,FALSE))</f>
        <v/>
      </c>
      <c r="F458" s="136"/>
    </row>
    <row r="459" spans="1:6">
      <c r="A459" s="136" t="str">
        <f t="shared" si="2"/>
        <v/>
      </c>
      <c r="B459" s="137"/>
      <c r="C459" s="137"/>
      <c r="D459" s="136"/>
      <c r="E459" s="139" t="str">
        <f>IF(B459="","",VLOOKUP(C459,CombineSFG!$H$2:$J990,3,FALSE))</f>
        <v/>
      </c>
      <c r="F459" s="136"/>
    </row>
    <row r="460" spans="1:6">
      <c r="A460" s="136" t="str">
        <f t="shared" si="2"/>
        <v/>
      </c>
      <c r="B460" s="137"/>
      <c r="C460" s="137"/>
      <c r="D460" s="136"/>
      <c r="E460" s="139" t="str">
        <f>IF(B460="","",VLOOKUP(C460,CombineSFG!$H$2:$J990,3,FALSE))</f>
        <v/>
      </c>
      <c r="F460" s="136"/>
    </row>
    <row r="461" spans="1:6">
      <c r="A461" s="136" t="str">
        <f t="shared" si="2"/>
        <v/>
      </c>
      <c r="B461" s="137"/>
      <c r="C461" s="137"/>
      <c r="D461" s="136"/>
      <c r="E461" s="139" t="str">
        <f>IF(B461="","",VLOOKUP(C461,CombineSFG!$H$2:$J990,3,FALSE))</f>
        <v/>
      </c>
      <c r="F461" s="136"/>
    </row>
    <row r="462" spans="1:6">
      <c r="A462" s="136" t="str">
        <f t="shared" si="2"/>
        <v/>
      </c>
      <c r="B462" s="137"/>
      <c r="C462" s="137"/>
      <c r="D462" s="136"/>
      <c r="E462" s="139" t="str">
        <f>IF(B462="","",VLOOKUP(C462,CombineSFG!$H$2:$J990,3,FALSE))</f>
        <v/>
      </c>
      <c r="F462" s="136"/>
    </row>
    <row r="463" spans="1:6">
      <c r="A463" s="136" t="str">
        <f t="shared" si="2"/>
        <v/>
      </c>
      <c r="B463" s="137"/>
      <c r="C463" s="137"/>
      <c r="D463" s="136"/>
      <c r="E463" s="139" t="str">
        <f>IF(B463="","",VLOOKUP(C463,CombineSFG!$H$2:$J990,3,FALSE))</f>
        <v/>
      </c>
      <c r="F463" s="136"/>
    </row>
    <row r="464" spans="1:6">
      <c r="A464" s="136" t="str">
        <f t="shared" si="2"/>
        <v/>
      </c>
      <c r="B464" s="137"/>
      <c r="C464" s="137"/>
      <c r="D464" s="136"/>
      <c r="E464" s="139" t="str">
        <f>IF(B464="","",VLOOKUP(C464,CombineSFG!$H$2:$J990,3,FALSE))</f>
        <v/>
      </c>
      <c r="F464" s="136"/>
    </row>
    <row r="465" spans="1:6">
      <c r="A465" s="136" t="str">
        <f t="shared" si="2"/>
        <v/>
      </c>
      <c r="B465" s="137"/>
      <c r="C465" s="137"/>
      <c r="D465" s="136"/>
      <c r="E465" s="139" t="str">
        <f>IF(B465="","",VLOOKUP(C465,CombineSFG!$H$2:$J990,3,FALSE))</f>
        <v/>
      </c>
      <c r="F465" s="136"/>
    </row>
    <row r="466" spans="1:6">
      <c r="A466" s="136" t="str">
        <f t="shared" si="2"/>
        <v/>
      </c>
      <c r="B466" s="137"/>
      <c r="C466" s="137"/>
      <c r="D466" s="136"/>
      <c r="E466" s="139" t="str">
        <f>IF(B466="","",VLOOKUP(C466,CombineSFG!$H$2:$J990,3,FALSE))</f>
        <v/>
      </c>
      <c r="F466" s="136"/>
    </row>
    <row r="467" spans="1:6">
      <c r="A467" s="136" t="str">
        <f t="shared" si="2"/>
        <v/>
      </c>
      <c r="B467" s="137"/>
      <c r="C467" s="137"/>
      <c r="D467" s="136"/>
      <c r="E467" s="139" t="str">
        <f>IF(B467="","",VLOOKUP(C467,CombineSFG!$H$2:$J990,3,FALSE))</f>
        <v/>
      </c>
      <c r="F467" s="136"/>
    </row>
    <row r="468" spans="1:6">
      <c r="A468" s="136" t="str">
        <f t="shared" si="2"/>
        <v/>
      </c>
      <c r="B468" s="137"/>
      <c r="C468" s="137"/>
      <c r="D468" s="136"/>
      <c r="E468" s="139" t="str">
        <f>IF(B468="","",VLOOKUP(C468,CombineSFG!$H$2:$J990,3,FALSE))</f>
        <v/>
      </c>
      <c r="F468" s="136"/>
    </row>
    <row r="469" spans="1:6">
      <c r="A469" s="136" t="str">
        <f t="shared" si="2"/>
        <v/>
      </c>
      <c r="B469" s="137"/>
      <c r="C469" s="137"/>
      <c r="D469" s="136"/>
      <c r="E469" s="139" t="str">
        <f>IF(B469="","",VLOOKUP(C469,CombineSFG!$H$2:$J990,3,FALSE))</f>
        <v/>
      </c>
      <c r="F469" s="136"/>
    </row>
    <row r="470" spans="1:6">
      <c r="A470" s="136" t="str">
        <f t="shared" si="2"/>
        <v/>
      </c>
      <c r="B470" s="137"/>
      <c r="C470" s="137"/>
      <c r="D470" s="136"/>
      <c r="E470" s="139" t="str">
        <f>IF(B470="","",VLOOKUP(C470,CombineSFG!$H$2:$J990,3,FALSE))</f>
        <v/>
      </c>
      <c r="F470" s="136"/>
    </row>
    <row r="471" spans="1:6">
      <c r="A471" s="136" t="str">
        <f t="shared" si="2"/>
        <v/>
      </c>
      <c r="B471" s="137"/>
      <c r="C471" s="137"/>
      <c r="D471" s="136"/>
      <c r="E471" s="139" t="str">
        <f>IF(B471="","",VLOOKUP(C471,CombineSFG!$H$2:$J990,3,FALSE))</f>
        <v/>
      </c>
      <c r="F471" s="136"/>
    </row>
    <row r="472" spans="1:6">
      <c r="A472" s="136" t="str">
        <f t="shared" si="2"/>
        <v/>
      </c>
      <c r="B472" s="137"/>
      <c r="C472" s="137"/>
      <c r="D472" s="136"/>
      <c r="E472" s="139" t="str">
        <f>IF(B472="","",VLOOKUP(C472,CombineSFG!$H$2:$J990,3,FALSE))</f>
        <v/>
      </c>
      <c r="F472" s="136"/>
    </row>
    <row r="473" spans="1:6">
      <c r="A473" s="136" t="str">
        <f t="shared" si="2"/>
        <v/>
      </c>
      <c r="B473" s="137"/>
      <c r="C473" s="137"/>
      <c r="D473" s="136"/>
      <c r="E473" s="139" t="str">
        <f>IF(B473="","",VLOOKUP(C473,CombineSFG!$H$2:$J990,3,FALSE))</f>
        <v/>
      </c>
      <c r="F473" s="136"/>
    </row>
    <row r="474" spans="1:6">
      <c r="A474" s="136" t="str">
        <f t="shared" si="2"/>
        <v/>
      </c>
      <c r="B474" s="137"/>
      <c r="C474" s="137"/>
      <c r="D474" s="136"/>
      <c r="E474" s="139" t="str">
        <f>IF(B474="","",VLOOKUP(C474,CombineSFG!$H$2:$J990,3,FALSE))</f>
        <v/>
      </c>
      <c r="F474" s="136"/>
    </row>
    <row r="475" spans="1:6">
      <c r="A475" s="136" t="str">
        <f t="shared" si="2"/>
        <v/>
      </c>
      <c r="B475" s="137"/>
      <c r="C475" s="137"/>
      <c r="D475" s="136"/>
      <c r="E475" s="139" t="str">
        <f>IF(B475="","",VLOOKUP(C475,CombineSFG!$H$2:$J990,3,FALSE))</f>
        <v/>
      </c>
      <c r="F475" s="136"/>
    </row>
    <row r="476" spans="1:6">
      <c r="A476" s="136" t="str">
        <f t="shared" si="2"/>
        <v/>
      </c>
      <c r="B476" s="137"/>
      <c r="C476" s="137"/>
      <c r="D476" s="136"/>
      <c r="E476" s="139" t="str">
        <f>IF(B476="","",VLOOKUP(C476,CombineSFG!$H$2:$J990,3,FALSE))</f>
        <v/>
      </c>
      <c r="F476" s="136"/>
    </row>
    <row r="477" spans="1:6">
      <c r="A477" s="136" t="str">
        <f t="shared" si="2"/>
        <v/>
      </c>
      <c r="B477" s="137"/>
      <c r="C477" s="137"/>
      <c r="D477" s="136"/>
      <c r="E477" s="139" t="str">
        <f>IF(B477="","",VLOOKUP(C477,CombineSFG!$H$2:$J990,3,FALSE))</f>
        <v/>
      </c>
      <c r="F477" s="136"/>
    </row>
    <row r="478" spans="1:6">
      <c r="A478" s="136" t="str">
        <f t="shared" si="2"/>
        <v/>
      </c>
      <c r="B478" s="137"/>
      <c r="C478" s="137"/>
      <c r="D478" s="136"/>
      <c r="E478" s="139" t="str">
        <f>IF(B478="","",VLOOKUP(C478,CombineSFG!$H$2:$J990,3,FALSE))</f>
        <v/>
      </c>
      <c r="F478" s="136"/>
    </row>
    <row r="479" spans="1:6">
      <c r="A479" s="136" t="str">
        <f t="shared" si="2"/>
        <v/>
      </c>
      <c r="B479" s="137"/>
      <c r="C479" s="137"/>
      <c r="D479" s="136"/>
      <c r="E479" s="139" t="str">
        <f>IF(B479="","",VLOOKUP(C479,CombineSFG!$H$2:$J990,3,FALSE))</f>
        <v/>
      </c>
      <c r="F479" s="136"/>
    </row>
    <row r="480" spans="1:6">
      <c r="A480" s="136" t="str">
        <f t="shared" si="2"/>
        <v/>
      </c>
      <c r="B480" s="137"/>
      <c r="C480" s="137"/>
      <c r="D480" s="136"/>
      <c r="E480" s="139" t="str">
        <f>IF(B480="","",VLOOKUP(C480,CombineSFG!$H$2:$J990,3,FALSE))</f>
        <v/>
      </c>
      <c r="F480" s="136"/>
    </row>
    <row r="481" spans="1:6">
      <c r="A481" s="136" t="str">
        <f t="shared" si="2"/>
        <v/>
      </c>
      <c r="B481" s="137"/>
      <c r="C481" s="137"/>
      <c r="D481" s="136"/>
      <c r="E481" s="139" t="str">
        <f>IF(B481="","",VLOOKUP(C481,CombineSFG!$H$2:$J990,3,FALSE))</f>
        <v/>
      </c>
      <c r="F481" s="136"/>
    </row>
    <row r="482" spans="1:6">
      <c r="A482" s="136" t="str">
        <f t="shared" si="2"/>
        <v/>
      </c>
      <c r="B482" s="137"/>
      <c r="C482" s="137"/>
      <c r="D482" s="136"/>
      <c r="E482" s="139" t="str">
        <f>IF(B482="","",VLOOKUP(C482,CombineSFG!$H$2:$J990,3,FALSE))</f>
        <v/>
      </c>
      <c r="F482" s="136"/>
    </row>
    <row r="483" spans="1:6">
      <c r="A483" s="136" t="str">
        <f t="shared" si="2"/>
        <v/>
      </c>
      <c r="B483" s="137"/>
      <c r="C483" s="137"/>
      <c r="D483" s="136"/>
      <c r="E483" s="139" t="str">
        <f>IF(B483="","",VLOOKUP(C483,CombineSFG!$H$2:$J990,3,FALSE))</f>
        <v/>
      </c>
      <c r="F483" s="136"/>
    </row>
    <row r="484" spans="1:6">
      <c r="A484" s="136" t="str">
        <f t="shared" si="2"/>
        <v/>
      </c>
      <c r="B484" s="137"/>
      <c r="C484" s="137"/>
      <c r="D484" s="136"/>
      <c r="E484" s="139" t="str">
        <f>IF(B484="","",VLOOKUP(C484,CombineSFG!$H$2:$J990,3,FALSE))</f>
        <v/>
      </c>
      <c r="F484" s="136"/>
    </row>
    <row r="485" spans="1:6">
      <c r="A485" s="136" t="str">
        <f t="shared" si="2"/>
        <v/>
      </c>
      <c r="B485" s="137"/>
      <c r="C485" s="137"/>
      <c r="D485" s="136"/>
      <c r="E485" s="139" t="str">
        <f>IF(B485="","",VLOOKUP(C485,CombineSFG!$H$2:$J990,3,FALSE))</f>
        <v/>
      </c>
      <c r="F485" s="136"/>
    </row>
    <row r="486" spans="1:6">
      <c r="A486" s="136" t="str">
        <f t="shared" si="2"/>
        <v/>
      </c>
      <c r="B486" s="137"/>
      <c r="C486" s="137"/>
      <c r="D486" s="136"/>
      <c r="E486" s="139" t="str">
        <f>IF(B486="","",VLOOKUP(C486,CombineSFG!$H$2:$J990,3,FALSE))</f>
        <v/>
      </c>
      <c r="F486" s="136"/>
    </row>
    <row r="487" spans="1:6">
      <c r="A487" s="136" t="str">
        <f t="shared" si="2"/>
        <v/>
      </c>
      <c r="B487" s="137"/>
      <c r="C487" s="137"/>
      <c r="D487" s="136"/>
      <c r="E487" s="139" t="str">
        <f>IF(B487="","",VLOOKUP(C487,CombineSFG!$H$2:$J990,3,FALSE))</f>
        <v/>
      </c>
      <c r="F487" s="136"/>
    </row>
    <row r="488" spans="1:6">
      <c r="A488" s="136" t="str">
        <f t="shared" si="2"/>
        <v/>
      </c>
      <c r="B488" s="137"/>
      <c r="C488" s="137"/>
      <c r="D488" s="136"/>
      <c r="E488" s="139" t="str">
        <f>IF(B488="","",VLOOKUP(C488,CombineSFG!$H$2:$J990,3,FALSE))</f>
        <v/>
      </c>
      <c r="F488" s="136"/>
    </row>
    <row r="489" spans="1:6">
      <c r="A489" s="136" t="str">
        <f t="shared" si="2"/>
        <v/>
      </c>
      <c r="B489" s="137"/>
      <c r="C489" s="137"/>
      <c r="D489" s="136"/>
      <c r="E489" s="139" t="str">
        <f>IF(B489="","",VLOOKUP(C489,CombineSFG!$H$2:$J990,3,FALSE))</f>
        <v/>
      </c>
      <c r="F489" s="136"/>
    </row>
    <row r="490" spans="1:6">
      <c r="A490" s="136" t="str">
        <f t="shared" si="2"/>
        <v/>
      </c>
      <c r="B490" s="137"/>
      <c r="C490" s="137"/>
      <c r="D490" s="136"/>
      <c r="E490" s="139" t="str">
        <f>IF(B490="","",VLOOKUP(C490,CombineSFG!$H$2:$J990,3,FALSE))</f>
        <v/>
      </c>
      <c r="F490" s="136"/>
    </row>
    <row r="491" spans="1:6">
      <c r="A491" s="136" t="str">
        <f t="shared" si="2"/>
        <v/>
      </c>
      <c r="B491" s="137"/>
      <c r="C491" s="137"/>
      <c r="D491" s="136"/>
      <c r="E491" s="139" t="str">
        <f>IF(B491="","",VLOOKUP(C491,CombineSFG!$H$2:$J990,3,FALSE))</f>
        <v/>
      </c>
      <c r="F491" s="136"/>
    </row>
    <row r="492" spans="1:6">
      <c r="A492" s="136" t="str">
        <f t="shared" si="2"/>
        <v/>
      </c>
      <c r="B492" s="137"/>
      <c r="C492" s="137"/>
      <c r="D492" s="136"/>
      <c r="E492" s="139" t="str">
        <f>IF(B492="","",VLOOKUP(C492,CombineSFG!$H$2:$J990,3,FALSE))</f>
        <v/>
      </c>
      <c r="F492" s="136"/>
    </row>
    <row r="493" spans="1:6">
      <c r="A493" s="136" t="str">
        <f t="shared" si="2"/>
        <v/>
      </c>
      <c r="B493" s="137"/>
      <c r="C493" s="137"/>
      <c r="D493" s="136"/>
      <c r="E493" s="139" t="str">
        <f>IF(B493="","",VLOOKUP(C493,CombineSFG!$H$2:$J990,3,FALSE))</f>
        <v/>
      </c>
      <c r="F493" s="136"/>
    </row>
    <row r="494" spans="1:6">
      <c r="A494" s="136" t="str">
        <f t="shared" si="2"/>
        <v/>
      </c>
      <c r="B494" s="137"/>
      <c r="C494" s="137"/>
      <c r="D494" s="136"/>
      <c r="E494" s="139" t="str">
        <f>IF(B494="","",VLOOKUP(C494,CombineSFG!$H$2:$J990,3,FALSE))</f>
        <v/>
      </c>
      <c r="F494" s="136"/>
    </row>
    <row r="495" spans="1:6">
      <c r="A495" s="136" t="str">
        <f t="shared" si="2"/>
        <v/>
      </c>
      <c r="B495" s="137"/>
      <c r="C495" s="137"/>
      <c r="D495" s="136"/>
      <c r="E495" s="139" t="str">
        <f>IF(B495="","",VLOOKUP(C495,CombineSFG!$H$2:$J990,3,FALSE))</f>
        <v/>
      </c>
      <c r="F495" s="136"/>
    </row>
    <row r="496" spans="1:6">
      <c r="A496" s="136" t="str">
        <f t="shared" si="2"/>
        <v/>
      </c>
      <c r="B496" s="137"/>
      <c r="C496" s="137"/>
      <c r="D496" s="136"/>
      <c r="E496" s="139" t="str">
        <f>IF(B496="","",VLOOKUP(C496,CombineSFG!$H$2:$J990,3,FALSE))</f>
        <v/>
      </c>
      <c r="F496" s="136"/>
    </row>
    <row r="497" spans="1:6">
      <c r="A497" s="136" t="str">
        <f t="shared" si="2"/>
        <v/>
      </c>
      <c r="B497" s="137"/>
      <c r="C497" s="137"/>
      <c r="D497" s="136"/>
      <c r="E497" s="139" t="str">
        <f>IF(B497="","",VLOOKUP(C497,CombineSFG!$H$2:$J990,3,FALSE))</f>
        <v/>
      </c>
      <c r="F497" s="136"/>
    </row>
    <row r="498" spans="1:6">
      <c r="A498" s="136" t="str">
        <f t="shared" si="2"/>
        <v/>
      </c>
      <c r="B498" s="137"/>
      <c r="C498" s="137"/>
      <c r="D498" s="136"/>
      <c r="E498" s="139" t="str">
        <f>IF(B498="","",VLOOKUP(C498,CombineSFG!$H$2:$J990,3,FALSE))</f>
        <v/>
      </c>
      <c r="F498" s="136"/>
    </row>
    <row r="499" spans="1:6">
      <c r="A499" s="136" t="str">
        <f t="shared" si="2"/>
        <v/>
      </c>
      <c r="B499" s="137"/>
      <c r="C499" s="137"/>
      <c r="D499" s="136"/>
      <c r="E499" s="139" t="str">
        <f>IF(B499="","",VLOOKUP(C499,CombineSFG!$H$2:$J990,3,FALSE))</f>
        <v/>
      </c>
      <c r="F499" s="136"/>
    </row>
    <row r="500" spans="1:6">
      <c r="A500" s="136" t="str">
        <f t="shared" si="2"/>
        <v/>
      </c>
      <c r="B500" s="137"/>
      <c r="C500" s="137"/>
      <c r="D500" s="136"/>
      <c r="E500" s="139" t="str">
        <f>IF(B500="","",VLOOKUP(C500,CombineSFG!$H$2:$J990,3,FALSE))</f>
        <v/>
      </c>
      <c r="F500" s="136"/>
    </row>
    <row r="501" spans="1:6">
      <c r="A501" s="136" t="str">
        <f t="shared" si="2"/>
        <v/>
      </c>
      <c r="B501" s="137"/>
      <c r="C501" s="137"/>
      <c r="D501" s="136"/>
      <c r="E501" s="139" t="str">
        <f>IF(B501="","",VLOOKUP(C501,CombineSFG!$H$2:$J990,3,FALSE))</f>
        <v/>
      </c>
      <c r="F501" s="136"/>
    </row>
    <row r="502" spans="1:6">
      <c r="A502" s="136" t="str">
        <f t="shared" si="2"/>
        <v/>
      </c>
      <c r="B502" s="137"/>
      <c r="C502" s="137"/>
      <c r="D502" s="136"/>
      <c r="E502" s="139" t="str">
        <f>IF(B502="","",VLOOKUP(C502,CombineSFG!$H$2:$J990,3,FALSE))</f>
        <v/>
      </c>
      <c r="F502" s="136"/>
    </row>
    <row r="503" spans="1:6">
      <c r="A503" s="136" t="str">
        <f t="shared" si="2"/>
        <v/>
      </c>
      <c r="B503" s="137"/>
      <c r="C503" s="137"/>
      <c r="D503" s="136"/>
      <c r="E503" s="139" t="str">
        <f>IF(B503="","",VLOOKUP(C503,CombineSFG!$H$2:$J990,3,FALSE))</f>
        <v/>
      </c>
      <c r="F503" s="136"/>
    </row>
    <row r="504" spans="1:6">
      <c r="A504" s="136" t="str">
        <f t="shared" si="2"/>
        <v/>
      </c>
      <c r="B504" s="137"/>
      <c r="C504" s="137"/>
      <c r="D504" s="136"/>
      <c r="E504" s="139" t="str">
        <f>IF(B504="","",VLOOKUP(C504,CombineSFG!$H$2:$J990,3,FALSE))</f>
        <v/>
      </c>
      <c r="F504" s="136"/>
    </row>
    <row r="505" spans="1:6">
      <c r="A505" s="136" t="str">
        <f t="shared" si="2"/>
        <v/>
      </c>
      <c r="B505" s="137"/>
      <c r="C505" s="137"/>
      <c r="D505" s="136"/>
      <c r="E505" s="139" t="str">
        <f>IF(B505="","",VLOOKUP(C505,CombineSFG!$H$2:$J990,3,FALSE))</f>
        <v/>
      </c>
      <c r="F505" s="136"/>
    </row>
    <row r="506" spans="1:6">
      <c r="A506" s="136" t="str">
        <f t="shared" si="2"/>
        <v/>
      </c>
      <c r="B506" s="137"/>
      <c r="C506" s="137"/>
      <c r="D506" s="136"/>
      <c r="E506" s="139" t="str">
        <f>IF(B506="","",VLOOKUP(C506,CombineSFG!$H$2:$J990,3,FALSE))</f>
        <v/>
      </c>
      <c r="F506" s="136"/>
    </row>
    <row r="507" spans="1:6">
      <c r="A507" s="136" t="str">
        <f t="shared" si="2"/>
        <v/>
      </c>
      <c r="B507" s="137"/>
      <c r="C507" s="137"/>
      <c r="D507" s="136"/>
      <c r="E507" s="139" t="str">
        <f>IF(B507="","",VLOOKUP(C507,CombineSFG!$H$2:$J990,3,FALSE))</f>
        <v/>
      </c>
      <c r="F507" s="136"/>
    </row>
    <row r="508" spans="1:6">
      <c r="A508" s="136" t="str">
        <f t="shared" si="2"/>
        <v/>
      </c>
      <c r="B508" s="137"/>
      <c r="C508" s="137"/>
      <c r="D508" s="136"/>
      <c r="E508" s="139" t="str">
        <f>IF(B508="","",VLOOKUP(C508,CombineSFG!$H$2:$J990,3,FALSE))</f>
        <v/>
      </c>
      <c r="F508" s="136"/>
    </row>
    <row r="509" spans="1:6">
      <c r="A509" s="136" t="str">
        <f t="shared" si="2"/>
        <v/>
      </c>
      <c r="B509" s="137"/>
      <c r="C509" s="137"/>
      <c r="D509" s="136"/>
      <c r="E509" s="139" t="str">
        <f>IF(B509="","",VLOOKUP(C509,CombineSFG!$H$2:$J990,3,FALSE))</f>
        <v/>
      </c>
      <c r="F509" s="136"/>
    </row>
    <row r="510" spans="1:6">
      <c r="A510" s="136" t="str">
        <f t="shared" si="2"/>
        <v/>
      </c>
      <c r="B510" s="137"/>
      <c r="C510" s="137"/>
      <c r="D510" s="136"/>
      <c r="E510" s="139" t="str">
        <f>IF(B510="","",VLOOKUP(C510,CombineSFG!$H$2:$J990,3,FALSE))</f>
        <v/>
      </c>
      <c r="F510" s="136"/>
    </row>
    <row r="511" spans="1:6">
      <c r="A511" s="136" t="str">
        <f t="shared" si="2"/>
        <v/>
      </c>
      <c r="B511" s="137"/>
      <c r="C511" s="137"/>
      <c r="D511" s="136"/>
      <c r="E511" s="139" t="str">
        <f>IF(B511="","",VLOOKUP(C511,CombineSFG!$H$2:$J990,3,FALSE))</f>
        <v/>
      </c>
      <c r="F511" s="136"/>
    </row>
    <row r="512" spans="1:6">
      <c r="A512" s="136" t="str">
        <f t="shared" si="2"/>
        <v/>
      </c>
      <c r="B512" s="137"/>
      <c r="C512" s="137"/>
      <c r="D512" s="136"/>
      <c r="E512" s="139" t="str">
        <f>IF(B512="","",VLOOKUP(C512,CombineSFG!$H$2:$J990,3,FALSE))</f>
        <v/>
      </c>
      <c r="F512" s="136"/>
    </row>
    <row r="513" spans="1:6">
      <c r="A513" s="136" t="str">
        <f t="shared" si="2"/>
        <v/>
      </c>
      <c r="B513" s="137"/>
      <c r="C513" s="137"/>
      <c r="D513" s="136"/>
      <c r="E513" s="139" t="str">
        <f>IF(B513="","",VLOOKUP(C513,CombineSFG!$H$2:$J990,3,FALSE))</f>
        <v/>
      </c>
      <c r="F513" s="136"/>
    </row>
    <row r="514" spans="1:6">
      <c r="A514" s="136" t="str">
        <f t="shared" si="2"/>
        <v/>
      </c>
      <c r="B514" s="137"/>
      <c r="C514" s="137"/>
      <c r="D514" s="136"/>
      <c r="E514" s="139" t="str">
        <f>IF(B514="","",VLOOKUP(C514,CombineSFG!$H$2:$J990,3,FALSE))</f>
        <v/>
      </c>
      <c r="F514" s="136"/>
    </row>
    <row r="515" spans="1:6">
      <c r="A515" s="136" t="str">
        <f t="shared" si="2"/>
        <v/>
      </c>
      <c r="B515" s="137"/>
      <c r="C515" s="137"/>
      <c r="D515" s="136"/>
      <c r="E515" s="139" t="str">
        <f>IF(B515="","",VLOOKUP(C515,CombineSFG!$H$2:$J990,3,FALSE))</f>
        <v/>
      </c>
      <c r="F515" s="136"/>
    </row>
    <row r="516" spans="1:6">
      <c r="A516" s="136" t="str">
        <f t="shared" si="2"/>
        <v/>
      </c>
      <c r="B516" s="137"/>
      <c r="C516" s="137"/>
      <c r="D516" s="136"/>
      <c r="E516" s="139" t="str">
        <f>IF(B516="","",VLOOKUP(C516,CombineSFG!$H$2:$J990,3,FALSE))</f>
        <v/>
      </c>
      <c r="F516" s="136"/>
    </row>
    <row r="517" spans="1:6">
      <c r="A517" s="136" t="str">
        <f t="shared" si="2"/>
        <v/>
      </c>
      <c r="B517" s="137"/>
      <c r="C517" s="137"/>
      <c r="D517" s="136"/>
      <c r="E517" s="139" t="str">
        <f>IF(B517="","",VLOOKUP(C517,CombineSFG!$H$2:$J990,3,FALSE))</f>
        <v/>
      </c>
      <c r="F517" s="136"/>
    </row>
    <row r="518" spans="1:6">
      <c r="A518" s="136" t="str">
        <f t="shared" si="2"/>
        <v/>
      </c>
      <c r="B518" s="137"/>
      <c r="C518" s="137"/>
      <c r="D518" s="136"/>
      <c r="E518" s="139" t="str">
        <f>IF(B518="","",VLOOKUP(C518,CombineSFG!$H$2:$J990,3,FALSE))</f>
        <v/>
      </c>
      <c r="F518" s="136"/>
    </row>
    <row r="519" spans="1:6">
      <c r="A519" s="136" t="str">
        <f t="shared" si="2"/>
        <v/>
      </c>
      <c r="B519" s="137"/>
      <c r="C519" s="137"/>
      <c r="D519" s="136"/>
      <c r="E519" s="139" t="str">
        <f>IF(B519="","",VLOOKUP(C519,CombineSFG!$H$2:$J990,3,FALSE))</f>
        <v/>
      </c>
      <c r="F519" s="136"/>
    </row>
    <row r="520" spans="1:6">
      <c r="A520" s="136" t="str">
        <f t="shared" si="2"/>
        <v/>
      </c>
      <c r="B520" s="137"/>
      <c r="C520" s="137"/>
      <c r="D520" s="136"/>
      <c r="E520" s="139" t="str">
        <f>IF(B520="","",VLOOKUP(C520,CombineSFG!$H$2:$J990,3,FALSE))</f>
        <v/>
      </c>
      <c r="F520" s="136"/>
    </row>
    <row r="521" spans="1:6">
      <c r="A521" s="136" t="str">
        <f t="shared" si="2"/>
        <v/>
      </c>
      <c r="B521" s="137"/>
      <c r="C521" s="137"/>
      <c r="D521" s="136"/>
      <c r="E521" s="139" t="str">
        <f>IF(B521="","",VLOOKUP(C521,CombineSFG!$H$2:$J990,3,FALSE))</f>
        <v/>
      </c>
      <c r="F521" s="136"/>
    </row>
    <row r="522" spans="1:6">
      <c r="A522" s="136" t="str">
        <f t="shared" si="2"/>
        <v/>
      </c>
      <c r="B522" s="137"/>
      <c r="C522" s="137"/>
      <c r="D522" s="136"/>
      <c r="E522" s="139" t="str">
        <f>IF(B522="","",VLOOKUP(C522,CombineSFG!$H$2:$J990,3,FALSE))</f>
        <v/>
      </c>
      <c r="F522" s="136"/>
    </row>
    <row r="523" spans="1:6">
      <c r="A523" s="136" t="str">
        <f t="shared" si="2"/>
        <v/>
      </c>
      <c r="B523" s="137"/>
      <c r="C523" s="137"/>
      <c r="D523" s="136"/>
      <c r="E523" s="139" t="str">
        <f>IF(B523="","",VLOOKUP(C523,CombineSFG!$H$2:$J990,3,FALSE))</f>
        <v/>
      </c>
      <c r="F523" s="136"/>
    </row>
    <row r="524" spans="1:6">
      <c r="A524" s="136" t="str">
        <f t="shared" si="2"/>
        <v/>
      </c>
      <c r="B524" s="137"/>
      <c r="C524" s="137"/>
      <c r="D524" s="136"/>
      <c r="E524" s="139" t="str">
        <f>IF(B524="","",VLOOKUP(C524,CombineSFG!$H$2:$J990,3,FALSE))</f>
        <v/>
      </c>
      <c r="F524" s="136"/>
    </row>
    <row r="525" spans="1:6">
      <c r="A525" s="136" t="str">
        <f t="shared" si="2"/>
        <v/>
      </c>
      <c r="B525" s="137"/>
      <c r="C525" s="137"/>
      <c r="D525" s="136"/>
      <c r="E525" s="139" t="str">
        <f>IF(B525="","",VLOOKUP(C525,CombineSFG!$H$2:$J990,3,FALSE))</f>
        <v/>
      </c>
      <c r="F525" s="136"/>
    </row>
    <row r="526" spans="1:6">
      <c r="A526" s="136" t="str">
        <f t="shared" si="2"/>
        <v/>
      </c>
      <c r="B526" s="137"/>
      <c r="C526" s="137"/>
      <c r="D526" s="136"/>
      <c r="E526" s="139" t="str">
        <f>IF(B526="","",VLOOKUP(C526,CombineSFG!$H$2:$J990,3,FALSE))</f>
        <v/>
      </c>
      <c r="F526" s="136"/>
    </row>
    <row r="527" spans="1:6">
      <c r="A527" s="136" t="str">
        <f t="shared" si="2"/>
        <v/>
      </c>
      <c r="B527" s="137"/>
      <c r="C527" s="137"/>
      <c r="D527" s="136"/>
      <c r="E527" s="139" t="str">
        <f>IF(B527="","",VLOOKUP(C527,CombineSFG!$H$2:$J990,3,FALSE))</f>
        <v/>
      </c>
      <c r="F527" s="136"/>
    </row>
    <row r="528" spans="1:6">
      <c r="A528" s="136" t="str">
        <f t="shared" si="2"/>
        <v/>
      </c>
      <c r="B528" s="137"/>
      <c r="C528" s="137"/>
      <c r="D528" s="136"/>
      <c r="E528" s="139" t="str">
        <f>IF(B528="","",VLOOKUP(C528,CombineSFG!$H$2:$J990,3,FALSE))</f>
        <v/>
      </c>
      <c r="F528" s="136"/>
    </row>
    <row r="529" spans="1:6">
      <c r="A529" s="136" t="str">
        <f t="shared" si="2"/>
        <v/>
      </c>
      <c r="B529" s="137"/>
      <c r="C529" s="137"/>
      <c r="D529" s="136"/>
      <c r="E529" s="139" t="str">
        <f>IF(B529="","",VLOOKUP(C529,CombineSFG!$H$2:$J990,3,FALSE))</f>
        <v/>
      </c>
      <c r="F529" s="136"/>
    </row>
    <row r="530" spans="1:6">
      <c r="A530" s="136" t="str">
        <f t="shared" si="2"/>
        <v/>
      </c>
      <c r="B530" s="137"/>
      <c r="C530" s="137"/>
      <c r="D530" s="136"/>
      <c r="E530" s="139" t="str">
        <f>IF(B530="","",VLOOKUP(C530,CombineSFG!$H$2:$J990,3,FALSE))</f>
        <v/>
      </c>
      <c r="F530" s="136"/>
    </row>
    <row r="531" spans="1:6">
      <c r="A531" s="136" t="str">
        <f t="shared" si="2"/>
        <v/>
      </c>
      <c r="B531" s="137"/>
      <c r="C531" s="137"/>
      <c r="D531" s="136"/>
      <c r="E531" s="139" t="str">
        <f>IF(B531="","",VLOOKUP(C531,CombineSFG!$H$2:$J990,3,FALSE))</f>
        <v/>
      </c>
      <c r="F531" s="136"/>
    </row>
    <row r="532" spans="1:6">
      <c r="A532" s="136" t="str">
        <f t="shared" si="2"/>
        <v/>
      </c>
      <c r="B532" s="137"/>
      <c r="C532" s="137"/>
      <c r="D532" s="136"/>
      <c r="E532" s="139" t="str">
        <f>IF(B532="","",VLOOKUP(C532,CombineSFG!$H$2:$J990,3,FALSE))</f>
        <v/>
      </c>
      <c r="F532" s="136"/>
    </row>
    <row r="533" spans="1:6">
      <c r="A533" s="136" t="str">
        <f t="shared" si="2"/>
        <v/>
      </c>
      <c r="B533" s="137"/>
      <c r="C533" s="137"/>
      <c r="D533" s="136"/>
      <c r="E533" s="139" t="str">
        <f>IF(B533="","",VLOOKUP(C533,CombineSFG!$H$2:$J990,3,FALSE))</f>
        <v/>
      </c>
      <c r="F533" s="136"/>
    </row>
    <row r="534" spans="1:6">
      <c r="A534" s="136" t="str">
        <f t="shared" si="2"/>
        <v/>
      </c>
      <c r="B534" s="137"/>
      <c r="C534" s="137"/>
      <c r="D534" s="136"/>
      <c r="E534" s="139" t="str">
        <f>IF(B534="","",VLOOKUP(C534,CombineSFG!$H$2:$J990,3,FALSE))</f>
        <v/>
      </c>
      <c r="F534" s="136"/>
    </row>
    <row r="535" spans="1:6">
      <c r="A535" s="136" t="str">
        <f t="shared" si="2"/>
        <v/>
      </c>
      <c r="B535" s="137"/>
      <c r="C535" s="137"/>
      <c r="D535" s="136"/>
      <c r="E535" s="139" t="str">
        <f>IF(B535="","",VLOOKUP(C535,CombineSFG!$H$2:$J990,3,FALSE))</f>
        <v/>
      </c>
      <c r="F535" s="136"/>
    </row>
    <row r="536" spans="1:6">
      <c r="A536" s="136" t="str">
        <f t="shared" si="2"/>
        <v/>
      </c>
      <c r="B536" s="137"/>
      <c r="C536" s="137"/>
      <c r="D536" s="136"/>
      <c r="E536" s="139" t="str">
        <f>IF(B536="","",VLOOKUP(C536,CombineSFG!$H$2:$J990,3,FALSE))</f>
        <v/>
      </c>
      <c r="F536" s="136"/>
    </row>
    <row r="537" spans="1:6">
      <c r="A537" s="136" t="str">
        <f t="shared" si="2"/>
        <v/>
      </c>
      <c r="B537" s="137"/>
      <c r="C537" s="137"/>
      <c r="D537" s="136"/>
      <c r="E537" s="139" t="str">
        <f>IF(B537="","",VLOOKUP(C537,CombineSFG!$H$2:$J990,3,FALSE))</f>
        <v/>
      </c>
      <c r="F537" s="136"/>
    </row>
    <row r="538" spans="1:6">
      <c r="A538" s="136" t="str">
        <f t="shared" si="2"/>
        <v/>
      </c>
      <c r="B538" s="137"/>
      <c r="C538" s="137"/>
      <c r="D538" s="136"/>
      <c r="E538" s="139" t="str">
        <f>IF(B538="","",VLOOKUP(C538,CombineSFG!$H$2:$J990,3,FALSE))</f>
        <v/>
      </c>
      <c r="F538" s="136"/>
    </row>
    <row r="539" spans="1:6">
      <c r="A539" s="136" t="str">
        <f t="shared" si="2"/>
        <v/>
      </c>
      <c r="B539" s="137"/>
      <c r="C539" s="137"/>
      <c r="D539" s="136"/>
      <c r="E539" s="139" t="str">
        <f>IF(B539="","",VLOOKUP(C539,CombineSFG!$H$2:$J990,3,FALSE))</f>
        <v/>
      </c>
      <c r="F539" s="136"/>
    </row>
    <row r="540" spans="1:6">
      <c r="A540" s="136" t="str">
        <f t="shared" ref="A540:A794" si="3">IF(B540="","",ROW()-2)</f>
        <v/>
      </c>
      <c r="B540" s="137"/>
      <c r="C540" s="137"/>
      <c r="D540" s="136"/>
      <c r="E540" s="139" t="str">
        <f>IF(B540="","",VLOOKUP(C540,CombineSFG!$H$2:$J990,3,FALSE))</f>
        <v/>
      </c>
      <c r="F540" s="136"/>
    </row>
    <row r="541" spans="1:6">
      <c r="A541" s="136" t="str">
        <f t="shared" si="3"/>
        <v/>
      </c>
      <c r="B541" s="137"/>
      <c r="C541" s="137"/>
      <c r="D541" s="136"/>
      <c r="E541" s="139" t="str">
        <f>IF(B541="","",VLOOKUP(C541,CombineSFG!$H$2:$J990,3,FALSE))</f>
        <v/>
      </c>
      <c r="F541" s="136"/>
    </row>
    <row r="542" spans="1:6">
      <c r="A542" s="136" t="str">
        <f t="shared" si="3"/>
        <v/>
      </c>
      <c r="B542" s="137"/>
      <c r="C542" s="137"/>
      <c r="D542" s="136"/>
      <c r="E542" s="139" t="str">
        <f>IF(B542="","",VLOOKUP(C542,CombineSFG!$H$2:$J990,3,FALSE))</f>
        <v/>
      </c>
      <c r="F542" s="136"/>
    </row>
    <row r="543" spans="1:6">
      <c r="A543" s="136" t="str">
        <f t="shared" si="3"/>
        <v/>
      </c>
      <c r="B543" s="137"/>
      <c r="C543" s="137"/>
      <c r="D543" s="136"/>
      <c r="E543" s="139" t="str">
        <f>IF(B543="","",VLOOKUP(C543,CombineSFG!$H$2:$J990,3,FALSE))</f>
        <v/>
      </c>
      <c r="F543" s="136"/>
    </row>
    <row r="544" spans="1:6">
      <c r="A544" s="136" t="str">
        <f t="shared" si="3"/>
        <v/>
      </c>
      <c r="B544" s="137"/>
      <c r="C544" s="137"/>
      <c r="D544" s="136"/>
      <c r="E544" s="139" t="str">
        <f>IF(B544="","",VLOOKUP(C544,CombineSFG!$H$2:$J990,3,FALSE))</f>
        <v/>
      </c>
      <c r="F544" s="136"/>
    </row>
    <row r="545" spans="1:6">
      <c r="A545" s="136" t="str">
        <f t="shared" si="3"/>
        <v/>
      </c>
      <c r="B545" s="137"/>
      <c r="C545" s="137"/>
      <c r="D545" s="136"/>
      <c r="E545" s="139" t="str">
        <f>IF(B545="","",VLOOKUP(C545,CombineSFG!$H$2:$J990,3,FALSE))</f>
        <v/>
      </c>
      <c r="F545" s="136"/>
    </row>
    <row r="546" spans="1:6">
      <c r="A546" s="136" t="str">
        <f t="shared" si="3"/>
        <v/>
      </c>
      <c r="B546" s="137"/>
      <c r="C546" s="137"/>
      <c r="D546" s="136"/>
      <c r="E546" s="139" t="str">
        <f>IF(B546="","",VLOOKUP(C546,CombineSFG!$H$2:$J990,3,FALSE))</f>
        <v/>
      </c>
      <c r="F546" s="136"/>
    </row>
    <row r="547" spans="1:6">
      <c r="A547" s="136" t="str">
        <f t="shared" si="3"/>
        <v/>
      </c>
      <c r="B547" s="137"/>
      <c r="C547" s="137"/>
      <c r="D547" s="136"/>
      <c r="E547" s="139" t="str">
        <f>IF(B547="","",VLOOKUP(C547,CombineSFG!$H$2:$J990,3,FALSE))</f>
        <v/>
      </c>
      <c r="F547" s="136"/>
    </row>
    <row r="548" spans="1:6">
      <c r="A548" s="136" t="str">
        <f t="shared" si="3"/>
        <v/>
      </c>
      <c r="B548" s="137"/>
      <c r="C548" s="137"/>
      <c r="D548" s="136"/>
      <c r="E548" s="139" t="str">
        <f>IF(B548="","",VLOOKUP(C548,CombineSFG!$H$2:$J990,3,FALSE))</f>
        <v/>
      </c>
      <c r="F548" s="136"/>
    </row>
    <row r="549" spans="1:6">
      <c r="A549" s="136" t="str">
        <f t="shared" si="3"/>
        <v/>
      </c>
      <c r="B549" s="137"/>
      <c r="C549" s="137"/>
      <c r="D549" s="136"/>
      <c r="E549" s="139" t="str">
        <f>IF(B549="","",VLOOKUP(C549,CombineSFG!$H$2:$J990,3,FALSE))</f>
        <v/>
      </c>
      <c r="F549" s="136"/>
    </row>
    <row r="550" spans="1:6">
      <c r="A550" s="136" t="str">
        <f t="shared" si="3"/>
        <v/>
      </c>
      <c r="B550" s="137"/>
      <c r="C550" s="137"/>
      <c r="D550" s="136"/>
      <c r="E550" s="139" t="str">
        <f>IF(B550="","",VLOOKUP(C550,CombineSFG!$H$2:$J990,3,FALSE))</f>
        <v/>
      </c>
      <c r="F550" s="136"/>
    </row>
    <row r="551" spans="1:6">
      <c r="A551" s="136" t="str">
        <f t="shared" si="3"/>
        <v/>
      </c>
      <c r="B551" s="137"/>
      <c r="C551" s="137"/>
      <c r="D551" s="136"/>
      <c r="E551" s="139" t="str">
        <f>IF(B551="","",VLOOKUP(C551,CombineSFG!$H$2:$J990,3,FALSE))</f>
        <v/>
      </c>
      <c r="F551" s="136"/>
    </row>
    <row r="552" spans="1:6">
      <c r="A552" s="136" t="str">
        <f t="shared" si="3"/>
        <v/>
      </c>
      <c r="B552" s="137"/>
      <c r="C552" s="137"/>
      <c r="D552" s="136"/>
      <c r="E552" s="139" t="str">
        <f>IF(B552="","",VLOOKUP(C552,CombineSFG!$H$2:$J990,3,FALSE))</f>
        <v/>
      </c>
      <c r="F552" s="136"/>
    </row>
    <row r="553" spans="1:6">
      <c r="A553" s="136" t="str">
        <f t="shared" si="3"/>
        <v/>
      </c>
      <c r="B553" s="137"/>
      <c r="C553" s="137"/>
      <c r="D553" s="136"/>
      <c r="E553" s="139" t="str">
        <f>IF(B553="","",VLOOKUP(C553,CombineSFG!$H$2:$J990,3,FALSE))</f>
        <v/>
      </c>
      <c r="F553" s="136"/>
    </row>
    <row r="554" spans="1:6">
      <c r="A554" s="136" t="str">
        <f t="shared" si="3"/>
        <v/>
      </c>
      <c r="B554" s="137"/>
      <c r="C554" s="137"/>
      <c r="D554" s="136"/>
      <c r="E554" s="139" t="str">
        <f>IF(B554="","",VLOOKUP(C554,CombineSFG!$H$2:$J990,3,FALSE))</f>
        <v/>
      </c>
      <c r="F554" s="136"/>
    </row>
    <row r="555" spans="1:6">
      <c r="A555" s="136" t="str">
        <f t="shared" si="3"/>
        <v/>
      </c>
      <c r="B555" s="137"/>
      <c r="C555" s="137"/>
      <c r="D555" s="136"/>
      <c r="E555" s="139" t="str">
        <f>IF(B555="","",VLOOKUP(C555,CombineSFG!$H$2:$J990,3,FALSE))</f>
        <v/>
      </c>
      <c r="F555" s="136"/>
    </row>
    <row r="556" spans="1:6">
      <c r="A556" s="136" t="str">
        <f t="shared" si="3"/>
        <v/>
      </c>
      <c r="B556" s="137"/>
      <c r="C556" s="137"/>
      <c r="D556" s="136"/>
      <c r="E556" s="139" t="str">
        <f>IF(B556="","",VLOOKUP(C556,CombineSFG!$H$2:$J990,3,FALSE))</f>
        <v/>
      </c>
      <c r="F556" s="136"/>
    </row>
    <row r="557" spans="1:6">
      <c r="A557" s="136" t="str">
        <f t="shared" si="3"/>
        <v/>
      </c>
      <c r="B557" s="137"/>
      <c r="C557" s="137"/>
      <c r="D557" s="136"/>
      <c r="E557" s="139" t="str">
        <f>IF(B557="","",VLOOKUP(C557,CombineSFG!$H$2:$J990,3,FALSE))</f>
        <v/>
      </c>
      <c r="F557" s="136"/>
    </row>
    <row r="558" spans="1:6">
      <c r="A558" s="136" t="str">
        <f t="shared" si="3"/>
        <v/>
      </c>
      <c r="B558" s="137"/>
      <c r="C558" s="137"/>
      <c r="D558" s="136"/>
      <c r="E558" s="139" t="str">
        <f>IF(B558="","",VLOOKUP(C558,CombineSFG!$H$2:$J990,3,FALSE))</f>
        <v/>
      </c>
      <c r="F558" s="136"/>
    </row>
    <row r="559" spans="1:6">
      <c r="A559" s="136" t="str">
        <f t="shared" si="3"/>
        <v/>
      </c>
      <c r="B559" s="137"/>
      <c r="C559" s="137"/>
      <c r="D559" s="136"/>
      <c r="E559" s="139" t="str">
        <f>IF(B559="","",VLOOKUP(C559,CombineSFG!$H$2:$J990,3,FALSE))</f>
        <v/>
      </c>
      <c r="F559" s="136"/>
    </row>
    <row r="560" spans="1:6">
      <c r="A560" s="136" t="str">
        <f t="shared" si="3"/>
        <v/>
      </c>
      <c r="B560" s="137"/>
      <c r="C560" s="137"/>
      <c r="D560" s="136"/>
      <c r="E560" s="139" t="str">
        <f>IF(B560="","",VLOOKUP(C560,CombineSFG!$H$2:$J990,3,FALSE))</f>
        <v/>
      </c>
      <c r="F560" s="136"/>
    </row>
    <row r="561" spans="1:6">
      <c r="A561" s="136" t="str">
        <f t="shared" si="3"/>
        <v/>
      </c>
      <c r="B561" s="137"/>
      <c r="C561" s="137"/>
      <c r="D561" s="136"/>
      <c r="E561" s="139" t="str">
        <f>IF(B561="","",VLOOKUP(C561,CombineSFG!$H$2:$J990,3,FALSE))</f>
        <v/>
      </c>
      <c r="F561" s="136"/>
    </row>
    <row r="562" spans="1:6">
      <c r="A562" s="136" t="str">
        <f t="shared" si="3"/>
        <v/>
      </c>
      <c r="B562" s="137"/>
      <c r="C562" s="137"/>
      <c r="D562" s="136"/>
      <c r="E562" s="139" t="str">
        <f>IF(B562="","",VLOOKUP(C562,CombineSFG!$H$2:$J990,3,FALSE))</f>
        <v/>
      </c>
      <c r="F562" s="136"/>
    </row>
    <row r="563" spans="1:6">
      <c r="A563" s="136" t="str">
        <f t="shared" si="3"/>
        <v/>
      </c>
      <c r="B563" s="137"/>
      <c r="C563" s="137"/>
      <c r="D563" s="136"/>
      <c r="E563" s="139" t="str">
        <f>IF(B563="","",VLOOKUP(C563,CombineSFG!$H$2:$J990,3,FALSE))</f>
        <v/>
      </c>
      <c r="F563" s="136"/>
    </row>
    <row r="564" spans="1:6">
      <c r="A564" s="136" t="str">
        <f t="shared" si="3"/>
        <v/>
      </c>
      <c r="B564" s="137"/>
      <c r="C564" s="137"/>
      <c r="D564" s="136"/>
      <c r="E564" s="139" t="str">
        <f>IF(B564="","",VLOOKUP(C564,CombineSFG!$H$2:$J990,3,FALSE))</f>
        <v/>
      </c>
      <c r="F564" s="136"/>
    </row>
    <row r="565" spans="1:6">
      <c r="A565" s="136" t="str">
        <f t="shared" si="3"/>
        <v/>
      </c>
      <c r="B565" s="137"/>
      <c r="C565" s="137"/>
      <c r="D565" s="136"/>
      <c r="E565" s="139" t="str">
        <f>IF(B565="","",VLOOKUP(C565,CombineSFG!$H$2:$J990,3,FALSE))</f>
        <v/>
      </c>
      <c r="F565" s="136"/>
    </row>
    <row r="566" spans="1:6">
      <c r="A566" s="136" t="str">
        <f t="shared" si="3"/>
        <v/>
      </c>
      <c r="B566" s="137"/>
      <c r="C566" s="137"/>
      <c r="D566" s="136"/>
      <c r="E566" s="139" t="str">
        <f>IF(B566="","",VLOOKUP(C566,CombineSFG!$H$2:$J990,3,FALSE))</f>
        <v/>
      </c>
      <c r="F566" s="136"/>
    </row>
    <row r="567" spans="1:6">
      <c r="A567" s="136" t="str">
        <f t="shared" si="3"/>
        <v/>
      </c>
      <c r="B567" s="137"/>
      <c r="C567" s="137"/>
      <c r="D567" s="136"/>
      <c r="E567" s="139" t="str">
        <f>IF(B567="","",VLOOKUP(C567,CombineSFG!$H$2:$J990,3,FALSE))</f>
        <v/>
      </c>
      <c r="F567" s="136"/>
    </row>
    <row r="568" spans="1:6">
      <c r="A568" s="136" t="str">
        <f t="shared" si="3"/>
        <v/>
      </c>
      <c r="B568" s="137"/>
      <c r="C568" s="137"/>
      <c r="D568" s="136"/>
      <c r="E568" s="139" t="str">
        <f>IF(B568="","",VLOOKUP(C568,CombineSFG!$H$2:$J990,3,FALSE))</f>
        <v/>
      </c>
      <c r="F568" s="136"/>
    </row>
    <row r="569" spans="1:6">
      <c r="A569" s="136" t="str">
        <f t="shared" si="3"/>
        <v/>
      </c>
      <c r="B569" s="137"/>
      <c r="C569" s="137"/>
      <c r="D569" s="136"/>
      <c r="E569" s="139" t="str">
        <f>IF(B569="","",VLOOKUP(C569,CombineSFG!$H$2:$J990,3,FALSE))</f>
        <v/>
      </c>
      <c r="F569" s="136"/>
    </row>
    <row r="570" spans="1:6">
      <c r="A570" s="136" t="str">
        <f t="shared" si="3"/>
        <v/>
      </c>
      <c r="B570" s="137"/>
      <c r="C570" s="137"/>
      <c r="D570" s="136"/>
      <c r="E570" s="139" t="str">
        <f>IF(B570="","",VLOOKUP(C570,CombineSFG!$H$2:$J990,3,FALSE))</f>
        <v/>
      </c>
      <c r="F570" s="136"/>
    </row>
    <row r="571" spans="1:6">
      <c r="A571" s="136" t="str">
        <f t="shared" si="3"/>
        <v/>
      </c>
      <c r="B571" s="137"/>
      <c r="C571" s="137"/>
      <c r="D571" s="136"/>
      <c r="E571" s="139" t="str">
        <f>IF(B571="","",VLOOKUP(C571,CombineSFG!$H$2:$J990,3,FALSE))</f>
        <v/>
      </c>
      <c r="F571" s="136"/>
    </row>
    <row r="572" spans="1:6">
      <c r="A572" s="136" t="str">
        <f t="shared" si="3"/>
        <v/>
      </c>
      <c r="B572" s="137"/>
      <c r="C572" s="137"/>
      <c r="D572" s="136"/>
      <c r="E572" s="139" t="str">
        <f>IF(B572="","",VLOOKUP(C572,CombineSFG!$H$2:$J990,3,FALSE))</f>
        <v/>
      </c>
      <c r="F572" s="136"/>
    </row>
    <row r="573" spans="1:6">
      <c r="A573" s="136" t="str">
        <f t="shared" si="3"/>
        <v/>
      </c>
      <c r="B573" s="137"/>
      <c r="C573" s="137"/>
      <c r="D573" s="136"/>
      <c r="E573" s="139" t="str">
        <f>IF(B573="","",VLOOKUP(C573,CombineSFG!$H$2:$J990,3,FALSE))</f>
        <v/>
      </c>
      <c r="F573" s="136"/>
    </row>
    <row r="574" spans="1:6">
      <c r="A574" s="136" t="str">
        <f t="shared" si="3"/>
        <v/>
      </c>
      <c r="B574" s="137"/>
      <c r="C574" s="137"/>
      <c r="D574" s="136"/>
      <c r="E574" s="139" t="str">
        <f>IF(B574="","",VLOOKUP(C574,CombineSFG!$H$2:$J990,3,FALSE))</f>
        <v/>
      </c>
      <c r="F574" s="136"/>
    </row>
    <row r="575" spans="1:6">
      <c r="A575" s="136" t="str">
        <f t="shared" si="3"/>
        <v/>
      </c>
      <c r="B575" s="137"/>
      <c r="C575" s="137"/>
      <c r="D575" s="136"/>
      <c r="E575" s="139" t="str">
        <f>IF(B575="","",VLOOKUP(C575,CombineSFG!$H$2:$J990,3,FALSE))</f>
        <v/>
      </c>
      <c r="F575" s="136"/>
    </row>
    <row r="576" spans="1:6">
      <c r="A576" s="136" t="str">
        <f t="shared" si="3"/>
        <v/>
      </c>
      <c r="B576" s="137"/>
      <c r="C576" s="137"/>
      <c r="D576" s="136"/>
      <c r="E576" s="139" t="str">
        <f>IF(B576="","",VLOOKUP(C576,CombineSFG!$H$2:$J990,3,FALSE))</f>
        <v/>
      </c>
      <c r="F576" s="136"/>
    </row>
    <row r="577" spans="1:6">
      <c r="A577" s="136" t="str">
        <f t="shared" si="3"/>
        <v/>
      </c>
      <c r="B577" s="137"/>
      <c r="C577" s="137"/>
      <c r="D577" s="136"/>
      <c r="E577" s="139" t="str">
        <f>IF(B577="","",VLOOKUP(C577,CombineSFG!$H$2:$J990,3,FALSE))</f>
        <v/>
      </c>
      <c r="F577" s="136"/>
    </row>
    <row r="578" spans="1:6">
      <c r="A578" s="136" t="str">
        <f t="shared" si="3"/>
        <v/>
      </c>
      <c r="B578" s="137"/>
      <c r="C578" s="137"/>
      <c r="D578" s="136"/>
      <c r="E578" s="139" t="str">
        <f>IF(B578="","",VLOOKUP(C578,CombineSFG!$H$2:$J990,3,FALSE))</f>
        <v/>
      </c>
      <c r="F578" s="136"/>
    </row>
    <row r="579" spans="1:6">
      <c r="A579" s="136" t="str">
        <f t="shared" si="3"/>
        <v/>
      </c>
      <c r="B579" s="137"/>
      <c r="C579" s="137"/>
      <c r="D579" s="136"/>
      <c r="E579" s="139" t="str">
        <f>IF(B579="","",VLOOKUP(C579,CombineSFG!$H$2:$J990,3,FALSE))</f>
        <v/>
      </c>
      <c r="F579" s="136"/>
    </row>
    <row r="580" spans="1:6">
      <c r="A580" s="136" t="str">
        <f t="shared" si="3"/>
        <v/>
      </c>
      <c r="B580" s="137"/>
      <c r="C580" s="137"/>
      <c r="D580" s="136"/>
      <c r="E580" s="139" t="str">
        <f>IF(B580="","",VLOOKUP(C580,CombineSFG!$H$2:$J990,3,FALSE))</f>
        <v/>
      </c>
      <c r="F580" s="136"/>
    </row>
    <row r="581" spans="1:6">
      <c r="A581" s="136" t="str">
        <f t="shared" si="3"/>
        <v/>
      </c>
      <c r="B581" s="137"/>
      <c r="C581" s="137"/>
      <c r="D581" s="136"/>
      <c r="E581" s="139" t="str">
        <f>IF(B581="","",VLOOKUP(C581,CombineSFG!$H$2:$J990,3,FALSE))</f>
        <v/>
      </c>
      <c r="F581" s="136"/>
    </row>
    <row r="582" spans="1:6">
      <c r="A582" s="136" t="str">
        <f t="shared" si="3"/>
        <v/>
      </c>
      <c r="B582" s="137"/>
      <c r="C582" s="137"/>
      <c r="D582" s="136"/>
      <c r="E582" s="139" t="str">
        <f>IF(B582="","",VLOOKUP(C582,CombineSFG!$H$2:$J990,3,FALSE))</f>
        <v/>
      </c>
      <c r="F582" s="136"/>
    </row>
    <row r="583" spans="1:6">
      <c r="A583" s="136" t="str">
        <f t="shared" si="3"/>
        <v/>
      </c>
      <c r="B583" s="137"/>
      <c r="C583" s="137"/>
      <c r="D583" s="136"/>
      <c r="E583" s="139" t="str">
        <f>IF(B583="","",VLOOKUP(C583,CombineSFG!$H$2:$J990,3,FALSE))</f>
        <v/>
      </c>
      <c r="F583" s="136"/>
    </row>
    <row r="584" spans="1:6">
      <c r="A584" s="136" t="str">
        <f t="shared" si="3"/>
        <v/>
      </c>
      <c r="B584" s="137"/>
      <c r="C584" s="137"/>
      <c r="D584" s="136"/>
      <c r="E584" s="139" t="str">
        <f>IF(B584="","",VLOOKUP(C584,CombineSFG!$H$2:$J990,3,FALSE))</f>
        <v/>
      </c>
      <c r="F584" s="136"/>
    </row>
    <row r="585" spans="1:6">
      <c r="A585" s="136" t="str">
        <f t="shared" si="3"/>
        <v/>
      </c>
      <c r="B585" s="137"/>
      <c r="C585" s="137"/>
      <c r="D585" s="136"/>
      <c r="E585" s="139" t="str">
        <f>IF(B585="","",VLOOKUP(C585,CombineSFG!$H$2:$J990,3,FALSE))</f>
        <v/>
      </c>
      <c r="F585" s="136"/>
    </row>
    <row r="586" spans="1:6">
      <c r="A586" s="136" t="str">
        <f t="shared" si="3"/>
        <v/>
      </c>
      <c r="B586" s="137"/>
      <c r="C586" s="137"/>
      <c r="D586" s="136"/>
      <c r="E586" s="139" t="str">
        <f>IF(B586="","",VLOOKUP(C586,CombineSFG!$H$2:$J990,3,FALSE))</f>
        <v/>
      </c>
      <c r="F586" s="136"/>
    </row>
    <row r="587" spans="1:6">
      <c r="A587" s="136" t="str">
        <f t="shared" si="3"/>
        <v/>
      </c>
      <c r="B587" s="137"/>
      <c r="C587" s="137"/>
      <c r="D587" s="136"/>
      <c r="E587" s="139" t="str">
        <f>IF(B587="","",VLOOKUP(C587,CombineSFG!$H$2:$J990,3,FALSE))</f>
        <v/>
      </c>
      <c r="F587" s="136"/>
    </row>
    <row r="588" spans="1:6">
      <c r="A588" s="136" t="str">
        <f t="shared" si="3"/>
        <v/>
      </c>
      <c r="B588" s="137"/>
      <c r="C588" s="137"/>
      <c r="D588" s="136"/>
      <c r="E588" s="139" t="str">
        <f>IF(B588="","",VLOOKUP(C588,CombineSFG!$H$2:$J990,3,FALSE))</f>
        <v/>
      </c>
      <c r="F588" s="136"/>
    </row>
    <row r="589" spans="1:6">
      <c r="A589" s="136" t="str">
        <f t="shared" si="3"/>
        <v/>
      </c>
      <c r="B589" s="137"/>
      <c r="C589" s="137"/>
      <c r="D589" s="136"/>
      <c r="E589" s="139" t="str">
        <f>IF(B589="","",VLOOKUP(C589,CombineSFG!$H$2:$J990,3,FALSE))</f>
        <v/>
      </c>
      <c r="F589" s="136"/>
    </row>
    <row r="590" spans="1:6">
      <c r="A590" s="136" t="str">
        <f t="shared" si="3"/>
        <v/>
      </c>
      <c r="B590" s="137"/>
      <c r="C590" s="137"/>
      <c r="D590" s="136"/>
      <c r="E590" s="139" t="str">
        <f>IF(B590="","",VLOOKUP(C590,CombineSFG!$H$2:$J990,3,FALSE))</f>
        <v/>
      </c>
      <c r="F590" s="136"/>
    </row>
    <row r="591" spans="1:6">
      <c r="A591" s="136" t="str">
        <f t="shared" si="3"/>
        <v/>
      </c>
      <c r="B591" s="137"/>
      <c r="C591" s="137"/>
      <c r="D591" s="136"/>
      <c r="E591" s="139" t="str">
        <f>IF(B591="","",VLOOKUP(C591,CombineSFG!$H$2:$J990,3,FALSE))</f>
        <v/>
      </c>
      <c r="F591" s="136"/>
    </row>
    <row r="592" spans="1:6">
      <c r="A592" s="136" t="str">
        <f t="shared" si="3"/>
        <v/>
      </c>
      <c r="B592" s="137"/>
      <c r="C592" s="137"/>
      <c r="D592" s="136"/>
      <c r="E592" s="139" t="str">
        <f>IF(B592="","",VLOOKUP(C592,CombineSFG!$H$2:$J990,3,FALSE))</f>
        <v/>
      </c>
      <c r="F592" s="136"/>
    </row>
    <row r="593" spans="1:6">
      <c r="A593" s="136" t="str">
        <f t="shared" si="3"/>
        <v/>
      </c>
      <c r="B593" s="137"/>
      <c r="C593" s="137"/>
      <c r="D593" s="136"/>
      <c r="E593" s="139" t="str">
        <f>IF(B593="","",VLOOKUP(C593,CombineSFG!$H$2:$J990,3,FALSE))</f>
        <v/>
      </c>
      <c r="F593" s="136"/>
    </row>
    <row r="594" spans="1:6">
      <c r="A594" s="136" t="str">
        <f t="shared" si="3"/>
        <v/>
      </c>
      <c r="B594" s="137"/>
      <c r="C594" s="137"/>
      <c r="D594" s="136"/>
      <c r="E594" s="139" t="str">
        <f>IF(B594="","",VLOOKUP(C594,CombineSFG!$H$2:$J990,3,FALSE))</f>
        <v/>
      </c>
      <c r="F594" s="136"/>
    </row>
    <row r="595" spans="1:6">
      <c r="A595" s="136" t="str">
        <f t="shared" si="3"/>
        <v/>
      </c>
      <c r="B595" s="137"/>
      <c r="C595" s="137"/>
      <c r="D595" s="136"/>
      <c r="E595" s="139" t="str">
        <f>IF(B595="","",VLOOKUP(C595,CombineSFG!$H$2:$J990,3,FALSE))</f>
        <v/>
      </c>
      <c r="F595" s="136"/>
    </row>
    <row r="596" spans="1:6">
      <c r="A596" s="136" t="str">
        <f t="shared" si="3"/>
        <v/>
      </c>
      <c r="B596" s="137"/>
      <c r="C596" s="137"/>
      <c r="D596" s="136"/>
      <c r="E596" s="139" t="str">
        <f>IF(B596="","",VLOOKUP(C596,CombineSFG!$H$2:$J990,3,FALSE))</f>
        <v/>
      </c>
      <c r="F596" s="136"/>
    </row>
    <row r="597" spans="1:6">
      <c r="A597" s="136" t="str">
        <f t="shared" si="3"/>
        <v/>
      </c>
      <c r="B597" s="137"/>
      <c r="C597" s="137"/>
      <c r="D597" s="136"/>
      <c r="E597" s="139" t="str">
        <f>IF(B597="","",VLOOKUP(C597,CombineSFG!$H$2:$J990,3,FALSE))</f>
        <v/>
      </c>
      <c r="F597" s="136"/>
    </row>
    <row r="598" spans="1:6">
      <c r="A598" s="136" t="str">
        <f t="shared" si="3"/>
        <v/>
      </c>
      <c r="B598" s="137"/>
      <c r="C598" s="137"/>
      <c r="D598" s="136"/>
      <c r="E598" s="139" t="str">
        <f>IF(B598="","",VLOOKUP(C598,CombineSFG!$H$2:$J990,3,FALSE))</f>
        <v/>
      </c>
      <c r="F598" s="136"/>
    </row>
    <row r="599" spans="1:6">
      <c r="A599" s="136" t="str">
        <f t="shared" si="3"/>
        <v/>
      </c>
      <c r="B599" s="137"/>
      <c r="C599" s="137"/>
      <c r="D599" s="136"/>
      <c r="E599" s="139" t="str">
        <f>IF(B599="","",VLOOKUP(C599,CombineSFG!$H$2:$J990,3,FALSE))</f>
        <v/>
      </c>
      <c r="F599" s="136"/>
    </row>
    <row r="600" spans="1:6">
      <c r="A600" s="136" t="str">
        <f t="shared" si="3"/>
        <v/>
      </c>
      <c r="B600" s="137"/>
      <c r="C600" s="137"/>
      <c r="D600" s="136"/>
      <c r="E600" s="139" t="str">
        <f>IF(B600="","",VLOOKUP(C600,CombineSFG!$H$2:$J990,3,FALSE))</f>
        <v/>
      </c>
      <c r="F600" s="136"/>
    </row>
    <row r="601" spans="1:6">
      <c r="A601" s="136" t="str">
        <f t="shared" si="3"/>
        <v/>
      </c>
      <c r="B601" s="137"/>
      <c r="C601" s="137"/>
      <c r="D601" s="136"/>
      <c r="E601" s="139" t="str">
        <f>IF(B601="","",VLOOKUP(C601,CombineSFG!$H$2:$J990,3,FALSE))</f>
        <v/>
      </c>
      <c r="F601" s="136"/>
    </row>
    <row r="602" spans="1:6">
      <c r="A602" s="136" t="str">
        <f t="shared" si="3"/>
        <v/>
      </c>
      <c r="B602" s="137"/>
      <c r="C602" s="137"/>
      <c r="D602" s="136"/>
      <c r="E602" s="139" t="str">
        <f>IF(B602="","",VLOOKUP(C602,CombineSFG!$H$2:$J990,3,FALSE))</f>
        <v/>
      </c>
      <c r="F602" s="136"/>
    </row>
    <row r="603" spans="1:6">
      <c r="A603" s="136" t="str">
        <f t="shared" si="3"/>
        <v/>
      </c>
      <c r="B603" s="137"/>
      <c r="C603" s="137"/>
      <c r="D603" s="136"/>
      <c r="E603" s="139" t="str">
        <f>IF(B603="","",VLOOKUP(C603,CombineSFG!$H$2:$J990,3,FALSE))</f>
        <v/>
      </c>
      <c r="F603" s="136"/>
    </row>
    <row r="604" spans="1:6">
      <c r="A604" s="136" t="str">
        <f t="shared" si="3"/>
        <v/>
      </c>
      <c r="B604" s="137"/>
      <c r="C604" s="137"/>
      <c r="D604" s="136"/>
      <c r="E604" s="139" t="str">
        <f>IF(B604="","",VLOOKUP(C604,CombineSFG!$H$2:$J990,3,FALSE))</f>
        <v/>
      </c>
      <c r="F604" s="136"/>
    </row>
    <row r="605" spans="1:6">
      <c r="A605" s="136" t="str">
        <f t="shared" si="3"/>
        <v/>
      </c>
      <c r="B605" s="137"/>
      <c r="C605" s="137"/>
      <c r="D605" s="136"/>
      <c r="E605" s="139" t="str">
        <f>IF(B605="","",VLOOKUP(C605,CombineSFG!$H$2:$J990,3,FALSE))</f>
        <v/>
      </c>
      <c r="F605" s="136"/>
    </row>
    <row r="606" spans="1:6">
      <c r="A606" s="136" t="str">
        <f t="shared" si="3"/>
        <v/>
      </c>
      <c r="B606" s="137"/>
      <c r="C606" s="137"/>
      <c r="D606" s="136"/>
      <c r="E606" s="139" t="str">
        <f>IF(B606="","",VLOOKUP(C606,CombineSFG!$H$2:$J990,3,FALSE))</f>
        <v/>
      </c>
      <c r="F606" s="136"/>
    </row>
    <row r="607" spans="1:6">
      <c r="A607" s="136" t="str">
        <f t="shared" si="3"/>
        <v/>
      </c>
      <c r="B607" s="137"/>
      <c r="C607" s="137"/>
      <c r="D607" s="136"/>
      <c r="E607" s="139" t="str">
        <f>IF(B607="","",VLOOKUP(C607,CombineSFG!$H$2:$J990,3,FALSE))</f>
        <v/>
      </c>
      <c r="F607" s="136"/>
    </row>
    <row r="608" spans="1:6">
      <c r="A608" s="136" t="str">
        <f t="shared" si="3"/>
        <v/>
      </c>
      <c r="B608" s="137"/>
      <c r="C608" s="137"/>
      <c r="D608" s="136"/>
      <c r="E608" s="139" t="str">
        <f>IF(B608="","",VLOOKUP(C608,CombineSFG!$H$2:$J990,3,FALSE))</f>
        <v/>
      </c>
      <c r="F608" s="136"/>
    </row>
    <row r="609" spans="1:6">
      <c r="A609" s="136" t="str">
        <f t="shared" si="3"/>
        <v/>
      </c>
      <c r="B609" s="137"/>
      <c r="C609" s="137"/>
      <c r="D609" s="136"/>
      <c r="E609" s="139" t="str">
        <f>IF(B609="","",VLOOKUP(C609,CombineSFG!$H$2:$J990,3,FALSE))</f>
        <v/>
      </c>
      <c r="F609" s="136"/>
    </row>
    <row r="610" spans="1:6">
      <c r="A610" s="136" t="str">
        <f t="shared" si="3"/>
        <v/>
      </c>
      <c r="B610" s="137"/>
      <c r="C610" s="137"/>
      <c r="D610" s="136"/>
      <c r="E610" s="139" t="str">
        <f>IF(B610="","",VLOOKUP(C610,CombineSFG!$H$2:$J990,3,FALSE))</f>
        <v/>
      </c>
      <c r="F610" s="136"/>
    </row>
    <row r="611" spans="1:6">
      <c r="A611" s="136" t="str">
        <f t="shared" si="3"/>
        <v/>
      </c>
      <c r="B611" s="137"/>
      <c r="C611" s="137"/>
      <c r="D611" s="136"/>
      <c r="E611" s="139" t="str">
        <f>IF(B611="","",VLOOKUP(C611,CombineSFG!$H$2:$J990,3,FALSE))</f>
        <v/>
      </c>
      <c r="F611" s="136"/>
    </row>
    <row r="612" spans="1:6">
      <c r="A612" s="136" t="str">
        <f t="shared" si="3"/>
        <v/>
      </c>
      <c r="B612" s="137"/>
      <c r="C612" s="137"/>
      <c r="D612" s="136"/>
      <c r="E612" s="139" t="str">
        <f>IF(B612="","",VLOOKUP(C612,CombineSFG!$H$2:$J990,3,FALSE))</f>
        <v/>
      </c>
      <c r="F612" s="136"/>
    </row>
    <row r="613" spans="1:6">
      <c r="A613" s="136" t="str">
        <f t="shared" si="3"/>
        <v/>
      </c>
      <c r="B613" s="137"/>
      <c r="C613" s="137"/>
      <c r="D613" s="136"/>
      <c r="E613" s="139" t="str">
        <f>IF(B613="","",VLOOKUP(C613,CombineSFG!$H$2:$J990,3,FALSE))</f>
        <v/>
      </c>
      <c r="F613" s="136"/>
    </row>
    <row r="614" spans="1:6">
      <c r="A614" s="136" t="str">
        <f t="shared" si="3"/>
        <v/>
      </c>
      <c r="B614" s="137"/>
      <c r="C614" s="137"/>
      <c r="D614" s="136"/>
      <c r="E614" s="139" t="str">
        <f>IF(B614="","",VLOOKUP(C614,CombineSFG!$H$2:$J990,3,FALSE))</f>
        <v/>
      </c>
      <c r="F614" s="136"/>
    </row>
    <row r="615" spans="1:6">
      <c r="A615" s="136" t="str">
        <f t="shared" si="3"/>
        <v/>
      </c>
      <c r="B615" s="137"/>
      <c r="C615" s="137"/>
      <c r="D615" s="136"/>
      <c r="E615" s="139" t="str">
        <f>IF(B615="","",VLOOKUP(C615,CombineSFG!$H$2:$J990,3,FALSE))</f>
        <v/>
      </c>
      <c r="F615" s="136"/>
    </row>
    <row r="616" spans="1:6">
      <c r="A616" s="136" t="str">
        <f t="shared" si="3"/>
        <v/>
      </c>
      <c r="B616" s="137"/>
      <c r="C616" s="137"/>
      <c r="D616" s="136"/>
      <c r="E616" s="139" t="str">
        <f>IF(B616="","",VLOOKUP(C616,CombineSFG!$H$2:$J990,3,FALSE))</f>
        <v/>
      </c>
      <c r="F616" s="136"/>
    </row>
    <row r="617" spans="1:6">
      <c r="A617" s="136" t="str">
        <f t="shared" si="3"/>
        <v/>
      </c>
      <c r="B617" s="137"/>
      <c r="C617" s="137"/>
      <c r="D617" s="136"/>
      <c r="E617" s="139" t="str">
        <f>IF(B617="","",VLOOKUP(C617,CombineSFG!$H$2:$J990,3,FALSE))</f>
        <v/>
      </c>
      <c r="F617" s="136"/>
    </row>
    <row r="618" spans="1:6">
      <c r="A618" s="136" t="str">
        <f t="shared" si="3"/>
        <v/>
      </c>
      <c r="B618" s="137"/>
      <c r="C618" s="137"/>
      <c r="D618" s="136"/>
      <c r="E618" s="139" t="str">
        <f>IF(B618="","",VLOOKUP(C618,CombineSFG!$H$2:$J990,3,FALSE))</f>
        <v/>
      </c>
      <c r="F618" s="136"/>
    </row>
    <row r="619" spans="1:6">
      <c r="A619" s="136" t="str">
        <f t="shared" si="3"/>
        <v/>
      </c>
      <c r="B619" s="137"/>
      <c r="C619" s="137"/>
      <c r="D619" s="136"/>
      <c r="E619" s="139" t="str">
        <f>IF(B619="","",VLOOKUP(C619,CombineSFG!$H$2:$J990,3,FALSE))</f>
        <v/>
      </c>
      <c r="F619" s="136"/>
    </row>
    <row r="620" spans="1:6">
      <c r="A620" s="136" t="str">
        <f t="shared" si="3"/>
        <v/>
      </c>
      <c r="B620" s="137"/>
      <c r="C620" s="137"/>
      <c r="D620" s="136"/>
      <c r="E620" s="139" t="str">
        <f>IF(B620="","",VLOOKUP(C620,CombineSFG!$H$2:$J990,3,FALSE))</f>
        <v/>
      </c>
      <c r="F620" s="136"/>
    </row>
    <row r="621" spans="1:6">
      <c r="A621" s="136" t="str">
        <f t="shared" si="3"/>
        <v/>
      </c>
      <c r="B621" s="137"/>
      <c r="C621" s="137"/>
      <c r="D621" s="136"/>
      <c r="E621" s="139" t="str">
        <f>IF(B621="","",VLOOKUP(C621,CombineSFG!$H$2:$J990,3,FALSE))</f>
        <v/>
      </c>
      <c r="F621" s="136"/>
    </row>
    <row r="622" spans="1:6">
      <c r="A622" s="136" t="str">
        <f t="shared" si="3"/>
        <v/>
      </c>
      <c r="B622" s="137"/>
      <c r="C622" s="137"/>
      <c r="D622" s="136"/>
      <c r="E622" s="139" t="str">
        <f>IF(B622="","",VLOOKUP(C622,CombineSFG!$H$2:$J990,3,FALSE))</f>
        <v/>
      </c>
      <c r="F622" s="136"/>
    </row>
    <row r="623" spans="1:6">
      <c r="A623" s="136" t="str">
        <f t="shared" si="3"/>
        <v/>
      </c>
      <c r="B623" s="137"/>
      <c r="C623" s="137"/>
      <c r="D623" s="136"/>
      <c r="E623" s="139" t="str">
        <f>IF(B623="","",VLOOKUP(C623,CombineSFG!$H$2:$J990,3,FALSE))</f>
        <v/>
      </c>
      <c r="F623" s="136"/>
    </row>
    <row r="624" spans="1:6">
      <c r="A624" s="136" t="str">
        <f t="shared" si="3"/>
        <v/>
      </c>
      <c r="B624" s="137"/>
      <c r="C624" s="137"/>
      <c r="D624" s="136"/>
      <c r="E624" s="139" t="str">
        <f>IF(B624="","",VLOOKUP(C624,CombineSFG!$H$2:$J990,3,FALSE))</f>
        <v/>
      </c>
      <c r="F624" s="136"/>
    </row>
    <row r="625" spans="1:6">
      <c r="A625" s="136" t="str">
        <f t="shared" si="3"/>
        <v/>
      </c>
      <c r="B625" s="137"/>
      <c r="C625" s="137"/>
      <c r="D625" s="136"/>
      <c r="E625" s="139" t="str">
        <f>IF(B625="","",VLOOKUP(C625,CombineSFG!$H$2:$J990,3,FALSE))</f>
        <v/>
      </c>
      <c r="F625" s="136"/>
    </row>
    <row r="626" spans="1:6">
      <c r="A626" s="136" t="str">
        <f t="shared" si="3"/>
        <v/>
      </c>
      <c r="B626" s="137"/>
      <c r="C626" s="137"/>
      <c r="D626" s="136"/>
      <c r="E626" s="139" t="str">
        <f>IF(B626="","",VLOOKUP(C626,CombineSFG!$H$2:$J990,3,FALSE))</f>
        <v/>
      </c>
      <c r="F626" s="136"/>
    </row>
    <row r="627" spans="1:6">
      <c r="A627" s="136" t="str">
        <f t="shared" si="3"/>
        <v/>
      </c>
      <c r="B627" s="137"/>
      <c r="C627" s="137"/>
      <c r="D627" s="136"/>
      <c r="E627" s="139" t="str">
        <f>IF(B627="","",VLOOKUP(C627,CombineSFG!$H$2:$J990,3,FALSE))</f>
        <v/>
      </c>
      <c r="F627" s="136"/>
    </row>
    <row r="628" spans="1:6">
      <c r="A628" s="136" t="str">
        <f t="shared" si="3"/>
        <v/>
      </c>
      <c r="B628" s="137"/>
      <c r="C628" s="137"/>
      <c r="D628" s="136"/>
      <c r="E628" s="139" t="str">
        <f>IF(B628="","",VLOOKUP(C628,CombineSFG!$H$2:$J990,3,FALSE))</f>
        <v/>
      </c>
      <c r="F628" s="136"/>
    </row>
    <row r="629" spans="1:6">
      <c r="A629" s="136" t="str">
        <f t="shared" si="3"/>
        <v/>
      </c>
      <c r="B629" s="137"/>
      <c r="C629" s="137"/>
      <c r="D629" s="136"/>
      <c r="E629" s="139" t="str">
        <f>IF(B629="","",VLOOKUP(C629,CombineSFG!$H$2:$J990,3,FALSE))</f>
        <v/>
      </c>
      <c r="F629" s="136"/>
    </row>
    <row r="630" spans="1:6">
      <c r="A630" s="136" t="str">
        <f t="shared" si="3"/>
        <v/>
      </c>
      <c r="B630" s="137"/>
      <c r="C630" s="137"/>
      <c r="D630" s="136"/>
      <c r="E630" s="139" t="str">
        <f>IF(B630="","",VLOOKUP(C630,CombineSFG!$H$2:$J990,3,FALSE))</f>
        <v/>
      </c>
      <c r="F630" s="136"/>
    </row>
    <row r="631" spans="1:6">
      <c r="A631" s="136" t="str">
        <f t="shared" si="3"/>
        <v/>
      </c>
      <c r="B631" s="137"/>
      <c r="C631" s="137"/>
      <c r="D631" s="136"/>
      <c r="E631" s="139" t="str">
        <f>IF(B631="","",VLOOKUP(C631,CombineSFG!$H$2:$J990,3,FALSE))</f>
        <v/>
      </c>
      <c r="F631" s="136"/>
    </row>
    <row r="632" spans="1:6">
      <c r="A632" s="136" t="str">
        <f t="shared" si="3"/>
        <v/>
      </c>
      <c r="B632" s="137"/>
      <c r="C632" s="137"/>
      <c r="D632" s="136"/>
      <c r="E632" s="139" t="str">
        <f>IF(B632="","",VLOOKUP(C632,CombineSFG!$H$2:$J990,3,FALSE))</f>
        <v/>
      </c>
      <c r="F632" s="136"/>
    </row>
    <row r="633" spans="1:6">
      <c r="A633" s="136" t="str">
        <f t="shared" si="3"/>
        <v/>
      </c>
      <c r="B633" s="137"/>
      <c r="C633" s="137"/>
      <c r="D633" s="136"/>
      <c r="E633" s="139" t="str">
        <f>IF(B633="","",VLOOKUP(C633,CombineSFG!$H$2:$J990,3,FALSE))</f>
        <v/>
      </c>
      <c r="F633" s="136"/>
    </row>
    <row r="634" spans="1:6">
      <c r="A634" s="136" t="str">
        <f t="shared" si="3"/>
        <v/>
      </c>
      <c r="B634" s="137"/>
      <c r="C634" s="137"/>
      <c r="D634" s="136"/>
      <c r="E634" s="139" t="str">
        <f>IF(B634="","",VLOOKUP(C634,CombineSFG!$H$2:$J990,3,FALSE))</f>
        <v/>
      </c>
      <c r="F634" s="136"/>
    </row>
    <row r="635" spans="1:6">
      <c r="A635" s="136" t="str">
        <f t="shared" si="3"/>
        <v/>
      </c>
      <c r="B635" s="137"/>
      <c r="C635" s="137"/>
      <c r="D635" s="136"/>
      <c r="E635" s="139" t="str">
        <f>IF(B635="","",VLOOKUP(C635,CombineSFG!$H$2:$J990,3,FALSE))</f>
        <v/>
      </c>
      <c r="F635" s="136"/>
    </row>
    <row r="636" spans="1:6">
      <c r="A636" s="136" t="str">
        <f t="shared" si="3"/>
        <v/>
      </c>
      <c r="B636" s="137"/>
      <c r="C636" s="137"/>
      <c r="D636" s="136"/>
      <c r="E636" s="139" t="str">
        <f>IF(B636="","",VLOOKUP(C636,CombineSFG!$H$2:$J990,3,FALSE))</f>
        <v/>
      </c>
      <c r="F636" s="136"/>
    </row>
    <row r="637" spans="1:6">
      <c r="A637" s="136" t="str">
        <f t="shared" si="3"/>
        <v/>
      </c>
      <c r="B637" s="137"/>
      <c r="C637" s="137"/>
      <c r="D637" s="136"/>
      <c r="E637" s="139" t="str">
        <f>IF(B637="","",VLOOKUP(C637,CombineSFG!$H$2:$J990,3,FALSE))</f>
        <v/>
      </c>
      <c r="F637" s="136"/>
    </row>
    <row r="638" spans="1:6">
      <c r="A638" s="136" t="str">
        <f t="shared" si="3"/>
        <v/>
      </c>
      <c r="B638" s="137"/>
      <c r="C638" s="137"/>
      <c r="D638" s="136"/>
      <c r="E638" s="139" t="str">
        <f>IF(B638="","",VLOOKUP(C638,CombineSFG!$H$2:$J990,3,FALSE))</f>
        <v/>
      </c>
      <c r="F638" s="136"/>
    </row>
    <row r="639" spans="1:6">
      <c r="A639" s="136" t="str">
        <f t="shared" si="3"/>
        <v/>
      </c>
      <c r="B639" s="137"/>
      <c r="C639" s="137"/>
      <c r="D639" s="136"/>
      <c r="E639" s="139" t="str">
        <f>IF(B639="","",VLOOKUP(C639,CombineSFG!$H$2:$J990,3,FALSE))</f>
        <v/>
      </c>
      <c r="F639" s="136"/>
    </row>
    <row r="640" spans="1:6">
      <c r="A640" s="136" t="str">
        <f t="shared" si="3"/>
        <v/>
      </c>
      <c r="B640" s="137"/>
      <c r="C640" s="137"/>
      <c r="D640" s="136"/>
      <c r="E640" s="139" t="str">
        <f>IF(B640="","",VLOOKUP(C640,CombineSFG!$H$2:$J990,3,FALSE))</f>
        <v/>
      </c>
      <c r="F640" s="136"/>
    </row>
    <row r="641" spans="1:6">
      <c r="A641" s="136" t="str">
        <f t="shared" si="3"/>
        <v/>
      </c>
      <c r="B641" s="137"/>
      <c r="C641" s="137"/>
      <c r="D641" s="136"/>
      <c r="E641" s="139" t="str">
        <f>IF(B641="","",VLOOKUP(C641,CombineSFG!$H$2:$J990,3,FALSE))</f>
        <v/>
      </c>
      <c r="F641" s="136"/>
    </row>
    <row r="642" spans="1:6">
      <c r="A642" s="136" t="str">
        <f t="shared" si="3"/>
        <v/>
      </c>
      <c r="B642" s="137"/>
      <c r="C642" s="137"/>
      <c r="D642" s="136"/>
      <c r="E642" s="139" t="str">
        <f>IF(B642="","",VLOOKUP(C642,CombineSFG!$H$2:$J990,3,FALSE))</f>
        <v/>
      </c>
      <c r="F642" s="136"/>
    </row>
    <row r="643" spans="1:6">
      <c r="A643" s="136" t="str">
        <f t="shared" si="3"/>
        <v/>
      </c>
      <c r="B643" s="137"/>
      <c r="C643" s="137"/>
      <c r="D643" s="136"/>
      <c r="E643" s="139" t="str">
        <f>IF(B643="","",VLOOKUP(C643,CombineSFG!$H$2:$J990,3,FALSE))</f>
        <v/>
      </c>
      <c r="F643" s="136"/>
    </row>
    <row r="644" spans="1:6">
      <c r="A644" s="136" t="str">
        <f t="shared" si="3"/>
        <v/>
      </c>
      <c r="B644" s="137"/>
      <c r="C644" s="137"/>
      <c r="D644" s="136"/>
      <c r="E644" s="139" t="str">
        <f>IF(B644="","",VLOOKUP(C644,CombineSFG!$H$2:$J990,3,FALSE))</f>
        <v/>
      </c>
      <c r="F644" s="136"/>
    </row>
    <row r="645" spans="1:6">
      <c r="A645" s="136" t="str">
        <f t="shared" si="3"/>
        <v/>
      </c>
      <c r="B645" s="137"/>
      <c r="C645" s="137"/>
      <c r="D645" s="136"/>
      <c r="E645" s="139" t="str">
        <f>IF(B645="","",VLOOKUP(C645,CombineSFG!$H$2:$J990,3,FALSE))</f>
        <v/>
      </c>
      <c r="F645" s="136"/>
    </row>
    <row r="646" spans="1:6">
      <c r="A646" s="136" t="str">
        <f t="shared" si="3"/>
        <v/>
      </c>
      <c r="B646" s="137"/>
      <c r="C646" s="137"/>
      <c r="D646" s="136"/>
      <c r="E646" s="139" t="str">
        <f>IF(B646="","",VLOOKUP(C646,CombineSFG!$H$2:$J990,3,FALSE))</f>
        <v/>
      </c>
      <c r="F646" s="136"/>
    </row>
    <row r="647" spans="1:6">
      <c r="A647" s="136" t="str">
        <f t="shared" si="3"/>
        <v/>
      </c>
      <c r="B647" s="137"/>
      <c r="C647" s="137"/>
      <c r="D647" s="136"/>
      <c r="E647" s="139" t="str">
        <f>IF(B647="","",VLOOKUP(C647,CombineSFG!$H$2:$J990,3,FALSE))</f>
        <v/>
      </c>
      <c r="F647" s="136"/>
    </row>
    <row r="648" spans="1:6">
      <c r="A648" s="136" t="str">
        <f t="shared" si="3"/>
        <v/>
      </c>
      <c r="B648" s="137"/>
      <c r="C648" s="137"/>
      <c r="D648" s="136"/>
      <c r="E648" s="139" t="str">
        <f>IF(B648="","",VLOOKUP(C648,CombineSFG!$H$2:$J990,3,FALSE))</f>
        <v/>
      </c>
      <c r="F648" s="136"/>
    </row>
    <row r="649" spans="1:6">
      <c r="A649" s="136" t="str">
        <f t="shared" si="3"/>
        <v/>
      </c>
      <c r="B649" s="137"/>
      <c r="C649" s="137"/>
      <c r="D649" s="136"/>
      <c r="E649" s="139" t="str">
        <f>IF(B649="","",VLOOKUP(C649,CombineSFG!$H$2:$J990,3,FALSE))</f>
        <v/>
      </c>
      <c r="F649" s="136"/>
    </row>
    <row r="650" spans="1:6">
      <c r="A650" s="136" t="str">
        <f t="shared" si="3"/>
        <v/>
      </c>
      <c r="B650" s="137"/>
      <c r="C650" s="137"/>
      <c r="D650" s="136"/>
      <c r="E650" s="139" t="str">
        <f>IF(B650="","",VLOOKUP(C650,CombineSFG!$H$2:$J990,3,FALSE))</f>
        <v/>
      </c>
      <c r="F650" s="136"/>
    </row>
    <row r="651" spans="1:6">
      <c r="A651" s="136" t="str">
        <f t="shared" si="3"/>
        <v/>
      </c>
      <c r="B651" s="137"/>
      <c r="C651" s="137"/>
      <c r="D651" s="136"/>
      <c r="E651" s="139" t="str">
        <f>IF(B651="","",VLOOKUP(C651,CombineSFG!$H$2:$J990,3,FALSE))</f>
        <v/>
      </c>
      <c r="F651" s="136"/>
    </row>
    <row r="652" spans="1:6">
      <c r="A652" s="136" t="str">
        <f t="shared" si="3"/>
        <v/>
      </c>
      <c r="B652" s="137"/>
      <c r="C652" s="137"/>
      <c r="D652" s="136"/>
      <c r="E652" s="139" t="str">
        <f>IF(B652="","",VLOOKUP(C652,CombineSFG!$H$2:$J990,3,FALSE))</f>
        <v/>
      </c>
      <c r="F652" s="136"/>
    </row>
    <row r="653" spans="1:6">
      <c r="A653" s="136" t="str">
        <f t="shared" si="3"/>
        <v/>
      </c>
      <c r="B653" s="137"/>
      <c r="C653" s="137"/>
      <c r="D653" s="136"/>
      <c r="E653" s="139" t="str">
        <f>IF(B653="","",VLOOKUP(C653,CombineSFG!$H$2:$J990,3,FALSE))</f>
        <v/>
      </c>
      <c r="F653" s="136"/>
    </row>
    <row r="654" spans="1:6">
      <c r="A654" s="136" t="str">
        <f t="shared" si="3"/>
        <v/>
      </c>
      <c r="B654" s="137"/>
      <c r="C654" s="137"/>
      <c r="D654" s="136"/>
      <c r="E654" s="139" t="str">
        <f>IF(B654="","",VLOOKUP(C654,CombineSFG!$H$2:$J990,3,FALSE))</f>
        <v/>
      </c>
      <c r="F654" s="136"/>
    </row>
    <row r="655" spans="1:6">
      <c r="A655" s="136" t="str">
        <f t="shared" si="3"/>
        <v/>
      </c>
      <c r="B655" s="137"/>
      <c r="C655" s="137"/>
      <c r="D655" s="136"/>
      <c r="E655" s="139" t="str">
        <f>IF(B655="","",VLOOKUP(C655,CombineSFG!$H$2:$J990,3,FALSE))</f>
        <v/>
      </c>
      <c r="F655" s="136"/>
    </row>
    <row r="656" spans="1:6">
      <c r="A656" s="136" t="str">
        <f t="shared" si="3"/>
        <v/>
      </c>
      <c r="B656" s="137"/>
      <c r="C656" s="137"/>
      <c r="D656" s="136"/>
      <c r="E656" s="139" t="str">
        <f>IF(B656="","",VLOOKUP(C656,CombineSFG!$H$2:$J990,3,FALSE))</f>
        <v/>
      </c>
      <c r="F656" s="136"/>
    </row>
    <row r="657" spans="1:6">
      <c r="A657" s="136" t="str">
        <f t="shared" si="3"/>
        <v/>
      </c>
      <c r="B657" s="137"/>
      <c r="C657" s="137"/>
      <c r="D657" s="136"/>
      <c r="E657" s="139" t="str">
        <f>IF(B657="","",VLOOKUP(C657,CombineSFG!$H$2:$J990,3,FALSE))</f>
        <v/>
      </c>
      <c r="F657" s="136"/>
    </row>
    <row r="658" spans="1:6">
      <c r="A658" s="136" t="str">
        <f t="shared" si="3"/>
        <v/>
      </c>
      <c r="B658" s="137"/>
      <c r="C658" s="137"/>
      <c r="D658" s="136"/>
      <c r="E658" s="139" t="str">
        <f>IF(B658="","",VLOOKUP(C658,CombineSFG!$H$2:$J990,3,FALSE))</f>
        <v/>
      </c>
      <c r="F658" s="136"/>
    </row>
    <row r="659" spans="1:6">
      <c r="A659" s="136" t="str">
        <f t="shared" si="3"/>
        <v/>
      </c>
      <c r="B659" s="137"/>
      <c r="C659" s="137"/>
      <c r="D659" s="136"/>
      <c r="E659" s="139" t="str">
        <f>IF(B659="","",VLOOKUP(C659,CombineSFG!$H$2:$J990,3,FALSE))</f>
        <v/>
      </c>
      <c r="F659" s="136"/>
    </row>
    <row r="660" spans="1:6">
      <c r="A660" s="136" t="str">
        <f t="shared" si="3"/>
        <v/>
      </c>
      <c r="B660" s="137"/>
      <c r="C660" s="137"/>
      <c r="D660" s="136"/>
      <c r="E660" s="139" t="str">
        <f>IF(B660="","",VLOOKUP(C660,CombineSFG!$H$2:$J990,3,FALSE))</f>
        <v/>
      </c>
      <c r="F660" s="136"/>
    </row>
    <row r="661" spans="1:6">
      <c r="A661" s="136" t="str">
        <f t="shared" si="3"/>
        <v/>
      </c>
      <c r="B661" s="137"/>
      <c r="C661" s="137"/>
      <c r="D661" s="136"/>
      <c r="E661" s="139" t="str">
        <f>IF(B661="","",VLOOKUP(C661,CombineSFG!$H$2:$J990,3,FALSE))</f>
        <v/>
      </c>
      <c r="F661" s="136"/>
    </row>
    <row r="662" spans="1:6">
      <c r="A662" s="136" t="str">
        <f t="shared" si="3"/>
        <v/>
      </c>
      <c r="B662" s="137"/>
      <c r="C662" s="137"/>
      <c r="D662" s="136"/>
      <c r="E662" s="139" t="str">
        <f>IF(B662="","",VLOOKUP(C662,CombineSFG!$H$2:$J990,3,FALSE))</f>
        <v/>
      </c>
      <c r="F662" s="136"/>
    </row>
    <row r="663" spans="1:6">
      <c r="A663" s="136" t="str">
        <f t="shared" si="3"/>
        <v/>
      </c>
      <c r="B663" s="137"/>
      <c r="C663" s="137"/>
      <c r="D663" s="136"/>
      <c r="E663" s="139" t="str">
        <f>IF(B663="","",VLOOKUP(C663,CombineSFG!$H$2:$J990,3,FALSE))</f>
        <v/>
      </c>
      <c r="F663" s="136"/>
    </row>
    <row r="664" spans="1:6">
      <c r="A664" s="136" t="str">
        <f t="shared" si="3"/>
        <v/>
      </c>
      <c r="B664" s="137"/>
      <c r="C664" s="137"/>
      <c r="D664" s="136"/>
      <c r="E664" s="139" t="str">
        <f>IF(B664="","",VLOOKUP(C664,CombineSFG!$H$2:$J990,3,FALSE))</f>
        <v/>
      </c>
      <c r="F664" s="136"/>
    </row>
    <row r="665" spans="1:6">
      <c r="A665" s="136" t="str">
        <f t="shared" si="3"/>
        <v/>
      </c>
      <c r="B665" s="137"/>
      <c r="C665" s="137"/>
      <c r="D665" s="136"/>
      <c r="E665" s="139" t="str">
        <f>IF(B665="","",VLOOKUP(C665,CombineSFG!$H$2:$J990,3,FALSE))</f>
        <v/>
      </c>
      <c r="F665" s="136"/>
    </row>
    <row r="666" spans="1:6">
      <c r="A666" s="136" t="str">
        <f t="shared" si="3"/>
        <v/>
      </c>
      <c r="B666" s="137"/>
      <c r="C666" s="137"/>
      <c r="D666" s="136"/>
      <c r="E666" s="139" t="str">
        <f>IF(B666="","",VLOOKUP(C666,CombineSFG!$H$2:$J990,3,FALSE))</f>
        <v/>
      </c>
      <c r="F666" s="136"/>
    </row>
    <row r="667" spans="1:6">
      <c r="A667" s="136" t="str">
        <f t="shared" si="3"/>
        <v/>
      </c>
      <c r="B667" s="137"/>
      <c r="C667" s="137"/>
      <c r="D667" s="136"/>
      <c r="E667" s="139" t="str">
        <f>IF(B667="","",VLOOKUP(C667,CombineSFG!$H$2:$J990,3,FALSE))</f>
        <v/>
      </c>
      <c r="F667" s="136"/>
    </row>
    <row r="668" spans="1:6">
      <c r="A668" s="136" t="str">
        <f t="shared" si="3"/>
        <v/>
      </c>
      <c r="B668" s="137"/>
      <c r="C668" s="137"/>
      <c r="D668" s="136"/>
      <c r="E668" s="139" t="str">
        <f>IF(B668="","",VLOOKUP(C668,CombineSFG!$H$2:$J990,3,FALSE))</f>
        <v/>
      </c>
      <c r="F668" s="136"/>
    </row>
    <row r="669" spans="1:6">
      <c r="A669" s="136" t="str">
        <f t="shared" si="3"/>
        <v/>
      </c>
      <c r="B669" s="137"/>
      <c r="C669" s="137"/>
      <c r="D669" s="136"/>
      <c r="E669" s="139" t="str">
        <f>IF(B669="","",VLOOKUP(C669,CombineSFG!$H$2:$J990,3,FALSE))</f>
        <v/>
      </c>
      <c r="F669" s="136"/>
    </row>
    <row r="670" spans="1:6">
      <c r="A670" s="136" t="str">
        <f t="shared" si="3"/>
        <v/>
      </c>
      <c r="B670" s="137"/>
      <c r="C670" s="137"/>
      <c r="D670" s="136"/>
      <c r="E670" s="139" t="str">
        <f>IF(B670="","",VLOOKUP(C670,CombineSFG!$H$2:$J990,3,FALSE))</f>
        <v/>
      </c>
      <c r="F670" s="136"/>
    </row>
    <row r="671" spans="1:6">
      <c r="A671" s="136" t="str">
        <f t="shared" si="3"/>
        <v/>
      </c>
      <c r="B671" s="137"/>
      <c r="C671" s="137"/>
      <c r="D671" s="136"/>
      <c r="E671" s="139" t="str">
        <f>IF(B671="","",VLOOKUP(C671,CombineSFG!$H$2:$J990,3,FALSE))</f>
        <v/>
      </c>
      <c r="F671" s="136"/>
    </row>
    <row r="672" spans="1:6">
      <c r="A672" s="136" t="str">
        <f t="shared" si="3"/>
        <v/>
      </c>
      <c r="B672" s="137"/>
      <c r="C672" s="137"/>
      <c r="D672" s="136"/>
      <c r="E672" s="139" t="str">
        <f>IF(B672="","",VLOOKUP(C672,CombineSFG!$H$2:$J990,3,FALSE))</f>
        <v/>
      </c>
      <c r="F672" s="136"/>
    </row>
    <row r="673" spans="1:6">
      <c r="A673" s="136" t="str">
        <f t="shared" si="3"/>
        <v/>
      </c>
      <c r="B673" s="137"/>
      <c r="C673" s="137"/>
      <c r="D673" s="136"/>
      <c r="E673" s="139" t="str">
        <f>IF(B673="","",VLOOKUP(C673,CombineSFG!$H$2:$J990,3,FALSE))</f>
        <v/>
      </c>
      <c r="F673" s="136"/>
    </row>
    <row r="674" spans="1:6">
      <c r="A674" s="136" t="str">
        <f t="shared" si="3"/>
        <v/>
      </c>
      <c r="B674" s="137"/>
      <c r="C674" s="137"/>
      <c r="D674" s="136"/>
      <c r="E674" s="139" t="str">
        <f>IF(B674="","",VLOOKUP(C674,CombineSFG!$H$2:$J990,3,FALSE))</f>
        <v/>
      </c>
      <c r="F674" s="136"/>
    </row>
    <row r="675" spans="1:6">
      <c r="A675" s="136" t="str">
        <f t="shared" si="3"/>
        <v/>
      </c>
      <c r="B675" s="137"/>
      <c r="C675" s="137"/>
      <c r="D675" s="136"/>
      <c r="E675" s="139" t="str">
        <f>IF(B675="","",VLOOKUP(C675,CombineSFG!$H$2:$J990,3,FALSE))</f>
        <v/>
      </c>
      <c r="F675" s="136"/>
    </row>
    <row r="676" spans="1:6">
      <c r="A676" s="136" t="str">
        <f t="shared" si="3"/>
        <v/>
      </c>
      <c r="B676" s="137"/>
      <c r="C676" s="137"/>
      <c r="D676" s="136"/>
      <c r="E676" s="139" t="str">
        <f>IF(B676="","",VLOOKUP(C676,CombineSFG!$H$2:$J990,3,FALSE))</f>
        <v/>
      </c>
      <c r="F676" s="136"/>
    </row>
    <row r="677" spans="1:6">
      <c r="A677" s="136" t="str">
        <f t="shared" si="3"/>
        <v/>
      </c>
      <c r="B677" s="137"/>
      <c r="C677" s="137"/>
      <c r="D677" s="136"/>
      <c r="E677" s="139" t="str">
        <f>IF(B677="","",VLOOKUP(C677,CombineSFG!$H$2:$J990,3,FALSE))</f>
        <v/>
      </c>
      <c r="F677" s="136"/>
    </row>
    <row r="678" spans="1:6">
      <c r="A678" s="136" t="str">
        <f t="shared" si="3"/>
        <v/>
      </c>
      <c r="B678" s="137"/>
      <c r="C678" s="137"/>
      <c r="D678" s="136"/>
      <c r="E678" s="139" t="str">
        <f>IF(B678="","",VLOOKUP(C678,CombineSFG!$H$2:$J990,3,FALSE))</f>
        <v/>
      </c>
      <c r="F678" s="136"/>
    </row>
    <row r="679" spans="1:6">
      <c r="A679" s="136" t="str">
        <f t="shared" si="3"/>
        <v/>
      </c>
      <c r="B679" s="137"/>
      <c r="C679" s="137"/>
      <c r="D679" s="136"/>
      <c r="E679" s="139" t="str">
        <f>IF(B679="","",VLOOKUP(C679,CombineSFG!$H$2:$J990,3,FALSE))</f>
        <v/>
      </c>
      <c r="F679" s="136"/>
    </row>
    <row r="680" spans="1:6">
      <c r="A680" s="136" t="str">
        <f t="shared" si="3"/>
        <v/>
      </c>
      <c r="B680" s="137"/>
      <c r="C680" s="137"/>
      <c r="D680" s="136"/>
      <c r="E680" s="139" t="str">
        <f>IF(B680="","",VLOOKUP(C680,CombineSFG!$H$2:$J990,3,FALSE))</f>
        <v/>
      </c>
      <c r="F680" s="136"/>
    </row>
    <row r="681" spans="1:6">
      <c r="A681" s="136" t="str">
        <f t="shared" si="3"/>
        <v/>
      </c>
      <c r="B681" s="137"/>
      <c r="C681" s="137"/>
      <c r="D681" s="136"/>
      <c r="E681" s="139" t="str">
        <f>IF(B681="","",VLOOKUP(C681,CombineSFG!$H$2:$J990,3,FALSE))</f>
        <v/>
      </c>
      <c r="F681" s="136"/>
    </row>
    <row r="682" spans="1:6">
      <c r="A682" s="136" t="str">
        <f t="shared" si="3"/>
        <v/>
      </c>
      <c r="B682" s="137"/>
      <c r="C682" s="137"/>
      <c r="D682" s="136"/>
      <c r="E682" s="139" t="str">
        <f>IF(B682="","",VLOOKUP(C682,CombineSFG!$H$2:$J990,3,FALSE))</f>
        <v/>
      </c>
      <c r="F682" s="136"/>
    </row>
    <row r="683" spans="1:6">
      <c r="A683" s="136" t="str">
        <f t="shared" si="3"/>
        <v/>
      </c>
      <c r="B683" s="137"/>
      <c r="C683" s="137"/>
      <c r="D683" s="136"/>
      <c r="E683" s="139" t="str">
        <f>IF(B683="","",VLOOKUP(C683,CombineSFG!$H$2:$J990,3,FALSE))</f>
        <v/>
      </c>
      <c r="F683" s="136"/>
    </row>
    <row r="684" spans="1:6">
      <c r="A684" s="136" t="str">
        <f t="shared" si="3"/>
        <v/>
      </c>
      <c r="B684" s="137"/>
      <c r="C684" s="137"/>
      <c r="D684" s="136"/>
      <c r="E684" s="139" t="str">
        <f>IF(B684="","",VLOOKUP(C684,CombineSFG!$H$2:$J990,3,FALSE))</f>
        <v/>
      </c>
      <c r="F684" s="136"/>
    </row>
    <row r="685" spans="1:6">
      <c r="A685" s="136" t="str">
        <f t="shared" si="3"/>
        <v/>
      </c>
      <c r="B685" s="137"/>
      <c r="C685" s="137"/>
      <c r="D685" s="136"/>
      <c r="E685" s="139" t="str">
        <f>IF(B685="","",VLOOKUP(C685,CombineSFG!$H$2:$J990,3,FALSE))</f>
        <v/>
      </c>
      <c r="F685" s="136"/>
    </row>
    <row r="686" spans="1:6">
      <c r="A686" s="136" t="str">
        <f t="shared" si="3"/>
        <v/>
      </c>
      <c r="B686" s="137"/>
      <c r="C686" s="137"/>
      <c r="D686" s="136"/>
      <c r="E686" s="139" t="str">
        <f>IF(B686="","",VLOOKUP(C686,CombineSFG!$H$2:$J990,3,FALSE))</f>
        <v/>
      </c>
      <c r="F686" s="136"/>
    </row>
    <row r="687" spans="1:6">
      <c r="A687" s="136" t="str">
        <f t="shared" si="3"/>
        <v/>
      </c>
      <c r="B687" s="137"/>
      <c r="C687" s="137"/>
      <c r="D687" s="136"/>
      <c r="E687" s="139" t="str">
        <f>IF(B687="","",VLOOKUP(C687,CombineSFG!$H$2:$J990,3,FALSE))</f>
        <v/>
      </c>
      <c r="F687" s="136"/>
    </row>
    <row r="688" spans="1:6">
      <c r="A688" s="136" t="str">
        <f t="shared" si="3"/>
        <v/>
      </c>
      <c r="B688" s="137"/>
      <c r="C688" s="137"/>
      <c r="D688" s="136"/>
      <c r="E688" s="139" t="str">
        <f>IF(B688="","",VLOOKUP(C688,CombineSFG!$H$2:$J990,3,FALSE))</f>
        <v/>
      </c>
      <c r="F688" s="136"/>
    </row>
    <row r="689" spans="1:6">
      <c r="A689" s="136" t="str">
        <f t="shared" si="3"/>
        <v/>
      </c>
      <c r="B689" s="137"/>
      <c r="C689" s="137"/>
      <c r="D689" s="136"/>
      <c r="E689" s="139" t="str">
        <f>IF(B689="","",VLOOKUP(C689,CombineSFG!$H$2:$J990,3,FALSE))</f>
        <v/>
      </c>
      <c r="F689" s="136"/>
    </row>
    <row r="690" spans="1:6">
      <c r="A690" s="136" t="str">
        <f t="shared" si="3"/>
        <v/>
      </c>
      <c r="B690" s="137"/>
      <c r="C690" s="137"/>
      <c r="D690" s="136"/>
      <c r="E690" s="139" t="str">
        <f>IF(B690="","",VLOOKUP(C690,CombineSFG!$H$2:$J990,3,FALSE))</f>
        <v/>
      </c>
      <c r="F690" s="136"/>
    </row>
    <row r="691" spans="1:6">
      <c r="A691" s="136" t="str">
        <f t="shared" si="3"/>
        <v/>
      </c>
      <c r="B691" s="137"/>
      <c r="C691" s="137"/>
      <c r="D691" s="136"/>
      <c r="E691" s="139" t="str">
        <f>IF(B691="","",VLOOKUP(C691,CombineSFG!$H$2:$J990,3,FALSE))</f>
        <v/>
      </c>
      <c r="F691" s="136"/>
    </row>
    <row r="692" spans="1:6">
      <c r="A692" s="136" t="str">
        <f t="shared" si="3"/>
        <v/>
      </c>
      <c r="B692" s="137"/>
      <c r="C692" s="137"/>
      <c r="D692" s="136"/>
      <c r="E692" s="139" t="str">
        <f>IF(B692="","",VLOOKUP(C692,CombineSFG!$H$2:$J990,3,FALSE))</f>
        <v/>
      </c>
      <c r="F692" s="136"/>
    </row>
    <row r="693" spans="1:6">
      <c r="A693" s="136" t="str">
        <f t="shared" si="3"/>
        <v/>
      </c>
      <c r="B693" s="137"/>
      <c r="C693" s="137"/>
      <c r="D693" s="136"/>
      <c r="E693" s="139" t="str">
        <f>IF(B693="","",VLOOKUP(C693,CombineSFG!$H$2:$J990,3,FALSE))</f>
        <v/>
      </c>
      <c r="F693" s="136"/>
    </row>
    <row r="694" spans="1:6">
      <c r="A694" s="136" t="str">
        <f t="shared" si="3"/>
        <v/>
      </c>
      <c r="B694" s="137"/>
      <c r="C694" s="137"/>
      <c r="D694" s="136"/>
      <c r="E694" s="139" t="str">
        <f>IF(B694="","",VLOOKUP(C694,CombineSFG!$H$2:$J990,3,FALSE))</f>
        <v/>
      </c>
      <c r="F694" s="136"/>
    </row>
    <row r="695" spans="1:6">
      <c r="A695" s="136" t="str">
        <f t="shared" si="3"/>
        <v/>
      </c>
      <c r="B695" s="137"/>
      <c r="C695" s="137"/>
      <c r="D695" s="136"/>
      <c r="E695" s="139" t="str">
        <f>IF(B695="","",VLOOKUP(C695,CombineSFG!$H$2:$J990,3,FALSE))</f>
        <v/>
      </c>
      <c r="F695" s="136"/>
    </row>
    <row r="696" spans="1:6">
      <c r="A696" s="136" t="str">
        <f t="shared" si="3"/>
        <v/>
      </c>
      <c r="B696" s="137"/>
      <c r="C696" s="137"/>
      <c r="D696" s="136"/>
      <c r="E696" s="139" t="str">
        <f>IF(B696="","",VLOOKUP(C696,CombineSFG!$H$2:$J990,3,FALSE))</f>
        <v/>
      </c>
      <c r="F696" s="136"/>
    </row>
    <row r="697" spans="1:6">
      <c r="A697" s="136" t="str">
        <f t="shared" si="3"/>
        <v/>
      </c>
      <c r="B697" s="137"/>
      <c r="C697" s="137"/>
      <c r="D697" s="136"/>
      <c r="E697" s="139" t="str">
        <f>IF(B697="","",VLOOKUP(C697,CombineSFG!$H$2:$J990,3,FALSE))</f>
        <v/>
      </c>
      <c r="F697" s="136"/>
    </row>
    <row r="698" spans="1:6">
      <c r="A698" s="136" t="str">
        <f t="shared" si="3"/>
        <v/>
      </c>
      <c r="B698" s="137"/>
      <c r="C698" s="137"/>
      <c r="D698" s="136"/>
      <c r="E698" s="139" t="str">
        <f>IF(B698="","",VLOOKUP(C698,CombineSFG!$H$2:$J990,3,FALSE))</f>
        <v/>
      </c>
      <c r="F698" s="136"/>
    </row>
    <row r="699" spans="1:6">
      <c r="A699" s="136" t="str">
        <f t="shared" si="3"/>
        <v/>
      </c>
      <c r="B699" s="137"/>
      <c r="C699" s="137"/>
      <c r="D699" s="136"/>
      <c r="E699" s="139" t="str">
        <f>IF(B699="","",VLOOKUP(C699,CombineSFG!$H$2:$J990,3,FALSE))</f>
        <v/>
      </c>
      <c r="F699" s="136"/>
    </row>
    <row r="700" spans="1:6">
      <c r="A700" s="136" t="str">
        <f t="shared" si="3"/>
        <v/>
      </c>
      <c r="B700" s="137"/>
      <c r="C700" s="137"/>
      <c r="D700" s="136"/>
      <c r="E700" s="139" t="str">
        <f>IF(B700="","",VLOOKUP(C700,CombineSFG!$H$2:$J990,3,FALSE))</f>
        <v/>
      </c>
      <c r="F700" s="136"/>
    </row>
    <row r="701" spans="1:6">
      <c r="A701" s="136" t="str">
        <f t="shared" si="3"/>
        <v/>
      </c>
      <c r="B701" s="137"/>
      <c r="C701" s="137"/>
      <c r="D701" s="136"/>
      <c r="E701" s="139" t="str">
        <f>IF(B701="","",VLOOKUP(C701,CombineSFG!$H$2:$J990,3,FALSE))</f>
        <v/>
      </c>
      <c r="F701" s="136"/>
    </row>
    <row r="702" spans="1:6">
      <c r="A702" s="136" t="str">
        <f t="shared" si="3"/>
        <v/>
      </c>
      <c r="B702" s="137"/>
      <c r="C702" s="137"/>
      <c r="D702" s="136"/>
      <c r="E702" s="139" t="str">
        <f>IF(B702="","",VLOOKUP(C702,CombineSFG!$H$2:$J990,3,FALSE))</f>
        <v/>
      </c>
      <c r="F702" s="136"/>
    </row>
    <row r="703" spans="1:6">
      <c r="A703" s="136" t="str">
        <f t="shared" si="3"/>
        <v/>
      </c>
      <c r="B703" s="137"/>
      <c r="C703" s="137"/>
      <c r="D703" s="136"/>
      <c r="E703" s="139" t="str">
        <f>IF(B703="","",VLOOKUP(C703,CombineSFG!$H$2:$J990,3,FALSE))</f>
        <v/>
      </c>
      <c r="F703" s="136"/>
    </row>
    <row r="704" spans="1:6">
      <c r="A704" s="136" t="str">
        <f t="shared" si="3"/>
        <v/>
      </c>
      <c r="B704" s="137"/>
      <c r="C704" s="137"/>
      <c r="D704" s="136"/>
      <c r="E704" s="139" t="str">
        <f>IF(B704="","",VLOOKUP(C704,CombineSFG!$H$2:$J990,3,FALSE))</f>
        <v/>
      </c>
      <c r="F704" s="136"/>
    </row>
    <row r="705" spans="1:6">
      <c r="A705" s="136" t="str">
        <f t="shared" si="3"/>
        <v/>
      </c>
      <c r="B705" s="137"/>
      <c r="C705" s="137"/>
      <c r="D705" s="136"/>
      <c r="E705" s="139" t="str">
        <f>IF(B705="","",VLOOKUP(C705,CombineSFG!$H$2:$J990,3,FALSE))</f>
        <v/>
      </c>
      <c r="F705" s="136"/>
    </row>
    <row r="706" spans="1:6">
      <c r="A706" s="136" t="str">
        <f t="shared" si="3"/>
        <v/>
      </c>
      <c r="B706" s="137"/>
      <c r="C706" s="137"/>
      <c r="D706" s="136"/>
      <c r="E706" s="139" t="str">
        <f>IF(B706="","",VLOOKUP(C706,CombineSFG!$H$2:$J990,3,FALSE))</f>
        <v/>
      </c>
      <c r="F706" s="136"/>
    </row>
    <row r="707" spans="1:6">
      <c r="A707" s="136" t="str">
        <f t="shared" si="3"/>
        <v/>
      </c>
      <c r="B707" s="137"/>
      <c r="C707" s="137"/>
      <c r="D707" s="136"/>
      <c r="E707" s="139" t="str">
        <f>IF(B707="","",VLOOKUP(C707,CombineSFG!$H$2:$J990,3,FALSE))</f>
        <v/>
      </c>
      <c r="F707" s="136"/>
    </row>
    <row r="708" spans="1:6">
      <c r="A708" s="136" t="str">
        <f t="shared" si="3"/>
        <v/>
      </c>
      <c r="B708" s="137"/>
      <c r="C708" s="137"/>
      <c r="D708" s="136"/>
      <c r="E708" s="139" t="str">
        <f>IF(B708="","",VLOOKUP(C708,CombineSFG!$H$2:$J990,3,FALSE))</f>
        <v/>
      </c>
      <c r="F708" s="136"/>
    </row>
    <row r="709" spans="1:6">
      <c r="A709" s="136" t="str">
        <f t="shared" si="3"/>
        <v/>
      </c>
      <c r="B709" s="137"/>
      <c r="C709" s="137"/>
      <c r="D709" s="136"/>
      <c r="E709" s="139" t="str">
        <f>IF(B709="","",VLOOKUP(C709,CombineSFG!$H$2:$J990,3,FALSE))</f>
        <v/>
      </c>
      <c r="F709" s="136"/>
    </row>
    <row r="710" spans="1:6">
      <c r="A710" s="136" t="str">
        <f t="shared" si="3"/>
        <v/>
      </c>
      <c r="B710" s="137"/>
      <c r="C710" s="137"/>
      <c r="D710" s="136"/>
      <c r="E710" s="139" t="str">
        <f>IF(B710="","",VLOOKUP(C710,CombineSFG!$H$2:$J990,3,FALSE))</f>
        <v/>
      </c>
      <c r="F710" s="136"/>
    </row>
    <row r="711" spans="1:6">
      <c r="A711" s="136" t="str">
        <f t="shared" si="3"/>
        <v/>
      </c>
      <c r="B711" s="137"/>
      <c r="C711" s="137"/>
      <c r="D711" s="136"/>
      <c r="E711" s="139" t="str">
        <f>IF(B711="","",VLOOKUP(C711,CombineSFG!$H$2:$J990,3,FALSE))</f>
        <v/>
      </c>
      <c r="F711" s="136"/>
    </row>
    <row r="712" spans="1:6">
      <c r="A712" s="136" t="str">
        <f t="shared" si="3"/>
        <v/>
      </c>
      <c r="B712" s="137"/>
      <c r="C712" s="137"/>
      <c r="D712" s="136"/>
      <c r="E712" s="139" t="str">
        <f>IF(B712="","",VLOOKUP(C712,CombineSFG!$H$2:$J990,3,FALSE))</f>
        <v/>
      </c>
      <c r="F712" s="136"/>
    </row>
    <row r="713" spans="1:6">
      <c r="A713" s="136" t="str">
        <f t="shared" si="3"/>
        <v/>
      </c>
      <c r="B713" s="137"/>
      <c r="C713" s="137"/>
      <c r="D713" s="136"/>
      <c r="E713" s="139" t="str">
        <f>IF(B713="","",VLOOKUP(C713,CombineSFG!$H$2:$J990,3,FALSE))</f>
        <v/>
      </c>
      <c r="F713" s="136"/>
    </row>
    <row r="714" spans="1:6">
      <c r="A714" s="136" t="str">
        <f t="shared" si="3"/>
        <v/>
      </c>
      <c r="B714" s="137"/>
      <c r="C714" s="137"/>
      <c r="D714" s="136"/>
      <c r="E714" s="139" t="str">
        <f>IF(B714="","",VLOOKUP(C714,CombineSFG!$H$2:$J990,3,FALSE))</f>
        <v/>
      </c>
      <c r="F714" s="136"/>
    </row>
    <row r="715" spans="1:6">
      <c r="A715" s="136" t="str">
        <f t="shared" si="3"/>
        <v/>
      </c>
      <c r="B715" s="137"/>
      <c r="C715" s="137"/>
      <c r="D715" s="136"/>
      <c r="E715" s="139" t="str">
        <f>IF(B715="","",VLOOKUP(C715,CombineSFG!$H$2:$J990,3,FALSE))</f>
        <v/>
      </c>
      <c r="F715" s="136"/>
    </row>
    <row r="716" spans="1:6">
      <c r="A716" s="136" t="str">
        <f t="shared" si="3"/>
        <v/>
      </c>
      <c r="B716" s="137"/>
      <c r="C716" s="137"/>
      <c r="D716" s="136"/>
      <c r="E716" s="139" t="str">
        <f>IF(B716="","",VLOOKUP(C716,CombineSFG!$H$2:$J990,3,FALSE))</f>
        <v/>
      </c>
      <c r="F716" s="136"/>
    </row>
    <row r="717" spans="1:6">
      <c r="A717" s="136" t="str">
        <f t="shared" si="3"/>
        <v/>
      </c>
      <c r="B717" s="137"/>
      <c r="C717" s="137"/>
      <c r="D717" s="136"/>
      <c r="E717" s="139" t="str">
        <f>IF(B717="","",VLOOKUP(C717,CombineSFG!$H$2:$J990,3,FALSE))</f>
        <v/>
      </c>
      <c r="F717" s="136"/>
    </row>
    <row r="718" spans="1:6">
      <c r="A718" s="136" t="str">
        <f t="shared" si="3"/>
        <v/>
      </c>
      <c r="B718" s="137"/>
      <c r="C718" s="137"/>
      <c r="D718" s="136"/>
      <c r="E718" s="139" t="str">
        <f>IF(B718="","",VLOOKUP(C718,CombineSFG!$H$2:$J990,3,FALSE))</f>
        <v/>
      </c>
      <c r="F718" s="136"/>
    </row>
    <row r="719" spans="1:6">
      <c r="A719" s="136" t="str">
        <f t="shared" si="3"/>
        <v/>
      </c>
      <c r="B719" s="137"/>
      <c r="C719" s="137"/>
      <c r="D719" s="136"/>
      <c r="E719" s="139" t="str">
        <f>IF(B719="","",VLOOKUP(C719,CombineSFG!$H$2:$J990,3,FALSE))</f>
        <v/>
      </c>
      <c r="F719" s="136"/>
    </row>
    <row r="720" spans="1:6">
      <c r="A720" s="136" t="str">
        <f t="shared" si="3"/>
        <v/>
      </c>
      <c r="B720" s="137"/>
      <c r="C720" s="137"/>
      <c r="D720" s="136"/>
      <c r="E720" s="139" t="str">
        <f>IF(B720="","",VLOOKUP(C720,CombineSFG!$H$2:$J990,3,FALSE))</f>
        <v/>
      </c>
      <c r="F720" s="136"/>
    </row>
    <row r="721" spans="1:6">
      <c r="A721" s="136" t="str">
        <f t="shared" si="3"/>
        <v/>
      </c>
      <c r="B721" s="137"/>
      <c r="C721" s="137"/>
      <c r="D721" s="136"/>
      <c r="E721" s="139" t="str">
        <f>IF(B721="","",VLOOKUP(C721,CombineSFG!$H$2:$J990,3,FALSE))</f>
        <v/>
      </c>
      <c r="F721" s="136"/>
    </row>
    <row r="722" spans="1:6">
      <c r="A722" s="136" t="str">
        <f t="shared" si="3"/>
        <v/>
      </c>
      <c r="B722" s="137"/>
      <c r="C722" s="137"/>
      <c r="D722" s="136"/>
      <c r="E722" s="139" t="str">
        <f>IF(B722="","",VLOOKUP(C722,CombineSFG!$H$2:$J990,3,FALSE))</f>
        <v/>
      </c>
      <c r="F722" s="136"/>
    </row>
    <row r="723" spans="1:6">
      <c r="A723" s="136" t="str">
        <f t="shared" si="3"/>
        <v/>
      </c>
      <c r="B723" s="137"/>
      <c r="C723" s="137"/>
      <c r="D723" s="136"/>
      <c r="E723" s="139" t="str">
        <f>IF(B723="","",VLOOKUP(C723,CombineSFG!$H$2:$J990,3,FALSE))</f>
        <v/>
      </c>
      <c r="F723" s="136"/>
    </row>
    <row r="724" spans="1:6">
      <c r="A724" s="136" t="str">
        <f t="shared" si="3"/>
        <v/>
      </c>
      <c r="B724" s="137"/>
      <c r="C724" s="137"/>
      <c r="D724" s="136"/>
      <c r="E724" s="139" t="str">
        <f>IF(B724="","",VLOOKUP(C724,CombineSFG!$H$2:$J990,3,FALSE))</f>
        <v/>
      </c>
      <c r="F724" s="136"/>
    </row>
    <row r="725" spans="1:6">
      <c r="A725" s="136" t="str">
        <f t="shared" si="3"/>
        <v/>
      </c>
      <c r="B725" s="137"/>
      <c r="C725" s="137"/>
      <c r="D725" s="136"/>
      <c r="E725" s="139" t="str">
        <f>IF(B725="","",VLOOKUP(C725,CombineSFG!$H$2:$J990,3,FALSE))</f>
        <v/>
      </c>
      <c r="F725" s="136"/>
    </row>
    <row r="726" spans="1:6">
      <c r="A726" s="136" t="str">
        <f t="shared" si="3"/>
        <v/>
      </c>
      <c r="B726" s="137"/>
      <c r="C726" s="137"/>
      <c r="D726" s="136"/>
      <c r="E726" s="139" t="str">
        <f>IF(B726="","",VLOOKUP(C726,CombineSFG!$H$2:$J990,3,FALSE))</f>
        <v/>
      </c>
      <c r="F726" s="136"/>
    </row>
    <row r="727" spans="1:6">
      <c r="A727" s="136" t="str">
        <f t="shared" si="3"/>
        <v/>
      </c>
      <c r="B727" s="137"/>
      <c r="C727" s="137"/>
      <c r="D727" s="136"/>
      <c r="E727" s="139" t="str">
        <f>IF(B727="","",VLOOKUP(C727,CombineSFG!$H$2:$J990,3,FALSE))</f>
        <v/>
      </c>
      <c r="F727" s="136"/>
    </row>
    <row r="728" spans="1:6">
      <c r="A728" s="136" t="str">
        <f t="shared" si="3"/>
        <v/>
      </c>
      <c r="B728" s="137"/>
      <c r="C728" s="137"/>
      <c r="D728" s="136"/>
      <c r="E728" s="139" t="str">
        <f>IF(B728="","",VLOOKUP(C728,CombineSFG!$H$2:$J990,3,FALSE))</f>
        <v/>
      </c>
      <c r="F728" s="136"/>
    </row>
    <row r="729" spans="1:6">
      <c r="A729" s="136" t="str">
        <f t="shared" si="3"/>
        <v/>
      </c>
      <c r="B729" s="137"/>
      <c r="C729" s="137"/>
      <c r="D729" s="136"/>
      <c r="E729" s="139" t="str">
        <f>IF(B729="","",VLOOKUP(C729,CombineSFG!$H$2:$J990,3,FALSE))</f>
        <v/>
      </c>
      <c r="F729" s="136"/>
    </row>
    <row r="730" spans="1:6">
      <c r="A730" s="136" t="str">
        <f t="shared" si="3"/>
        <v/>
      </c>
      <c r="B730" s="137"/>
      <c r="C730" s="137"/>
      <c r="D730" s="136"/>
      <c r="E730" s="139" t="str">
        <f>IF(B730="","",VLOOKUP(C730,CombineSFG!$H$2:$J990,3,FALSE))</f>
        <v/>
      </c>
      <c r="F730" s="136"/>
    </row>
    <row r="731" spans="1:6">
      <c r="A731" s="136" t="str">
        <f t="shared" si="3"/>
        <v/>
      </c>
      <c r="B731" s="137"/>
      <c r="C731" s="137"/>
      <c r="D731" s="136"/>
      <c r="E731" s="139" t="str">
        <f>IF(B731="","",VLOOKUP(C731,CombineSFG!$H$2:$J990,3,FALSE))</f>
        <v/>
      </c>
      <c r="F731" s="136"/>
    </row>
    <row r="732" spans="1:6">
      <c r="A732" s="136" t="str">
        <f t="shared" si="3"/>
        <v/>
      </c>
      <c r="B732" s="137"/>
      <c r="C732" s="137"/>
      <c r="D732" s="136"/>
      <c r="E732" s="139" t="str">
        <f>IF(B732="","",VLOOKUP(C732,CombineSFG!$H$2:$J990,3,FALSE))</f>
        <v/>
      </c>
      <c r="F732" s="136"/>
    </row>
    <row r="733" spans="1:6">
      <c r="A733" s="136" t="str">
        <f t="shared" si="3"/>
        <v/>
      </c>
      <c r="B733" s="137"/>
      <c r="C733" s="137"/>
      <c r="D733" s="136"/>
      <c r="E733" s="139" t="str">
        <f>IF(B733="","",VLOOKUP(C733,CombineSFG!$H$2:$J990,3,FALSE))</f>
        <v/>
      </c>
      <c r="F733" s="136"/>
    </row>
    <row r="734" spans="1:6">
      <c r="A734" s="136" t="str">
        <f t="shared" si="3"/>
        <v/>
      </c>
      <c r="B734" s="137"/>
      <c r="C734" s="137"/>
      <c r="D734" s="136"/>
      <c r="E734" s="139" t="str">
        <f>IF(B734="","",VLOOKUP(C734,CombineSFG!$H$2:$J990,3,FALSE))</f>
        <v/>
      </c>
      <c r="F734" s="136"/>
    </row>
    <row r="735" spans="1:6">
      <c r="A735" s="136" t="str">
        <f t="shared" si="3"/>
        <v/>
      </c>
      <c r="B735" s="137"/>
      <c r="C735" s="137"/>
      <c r="D735" s="136"/>
      <c r="E735" s="139" t="str">
        <f>IF(B735="","",VLOOKUP(C735,CombineSFG!$H$2:$J990,3,FALSE))</f>
        <v/>
      </c>
      <c r="F735" s="136"/>
    </row>
    <row r="736" spans="1:6">
      <c r="A736" s="136" t="str">
        <f t="shared" si="3"/>
        <v/>
      </c>
      <c r="B736" s="137"/>
      <c r="C736" s="137"/>
      <c r="D736" s="136"/>
      <c r="E736" s="139" t="str">
        <f>IF(B736="","",VLOOKUP(C736,CombineSFG!$H$2:$J990,3,FALSE))</f>
        <v/>
      </c>
      <c r="F736" s="136"/>
    </row>
    <row r="737" spans="1:6">
      <c r="A737" s="136" t="str">
        <f t="shared" si="3"/>
        <v/>
      </c>
      <c r="B737" s="137"/>
      <c r="C737" s="137"/>
      <c r="D737" s="136"/>
      <c r="E737" s="139" t="str">
        <f>IF(B737="","",VLOOKUP(C737,CombineSFG!$H$2:$J990,3,FALSE))</f>
        <v/>
      </c>
      <c r="F737" s="136"/>
    </row>
    <row r="738" spans="1:6">
      <c r="A738" s="136" t="str">
        <f t="shared" si="3"/>
        <v/>
      </c>
      <c r="B738" s="137"/>
      <c r="C738" s="137"/>
      <c r="D738" s="136"/>
      <c r="E738" s="139" t="str">
        <f>IF(B738="","",VLOOKUP(C738,CombineSFG!$H$2:$J990,3,FALSE))</f>
        <v/>
      </c>
      <c r="F738" s="136"/>
    </row>
    <row r="739" spans="1:6">
      <c r="A739" s="136" t="str">
        <f t="shared" si="3"/>
        <v/>
      </c>
      <c r="B739" s="137"/>
      <c r="C739" s="137"/>
      <c r="D739" s="136"/>
      <c r="E739" s="139" t="str">
        <f>IF(B739="","",VLOOKUP(C739,CombineSFG!$H$2:$J990,3,FALSE))</f>
        <v/>
      </c>
      <c r="F739" s="136"/>
    </row>
    <row r="740" spans="1:6">
      <c r="A740" s="136" t="str">
        <f t="shared" si="3"/>
        <v/>
      </c>
      <c r="B740" s="137"/>
      <c r="C740" s="137"/>
      <c r="D740" s="136"/>
      <c r="E740" s="139" t="str">
        <f>IF(B740="","",VLOOKUP(C740,CombineSFG!$H$2:$J990,3,FALSE))</f>
        <v/>
      </c>
      <c r="F740" s="136"/>
    </row>
    <row r="741" spans="1:6">
      <c r="A741" s="136" t="str">
        <f t="shared" si="3"/>
        <v/>
      </c>
      <c r="B741" s="137"/>
      <c r="C741" s="137"/>
      <c r="D741" s="136"/>
      <c r="E741" s="139" t="str">
        <f>IF(B741="","",VLOOKUP(C741,CombineSFG!$H$2:$J990,3,FALSE))</f>
        <v/>
      </c>
      <c r="F741" s="136"/>
    </row>
    <row r="742" spans="1:6">
      <c r="A742" s="136" t="str">
        <f t="shared" si="3"/>
        <v/>
      </c>
      <c r="B742" s="137"/>
      <c r="C742" s="137"/>
      <c r="D742" s="136"/>
      <c r="E742" s="139" t="str">
        <f>IF(B742="","",VLOOKUP(C742,CombineSFG!$H$2:$J990,3,FALSE))</f>
        <v/>
      </c>
      <c r="F742" s="136"/>
    </row>
    <row r="743" spans="1:6">
      <c r="A743" s="136" t="str">
        <f t="shared" si="3"/>
        <v/>
      </c>
      <c r="B743" s="137"/>
      <c r="C743" s="137"/>
      <c r="D743" s="136"/>
      <c r="E743" s="139" t="str">
        <f>IF(B743="","",VLOOKUP(C743,CombineSFG!$H$2:$J990,3,FALSE))</f>
        <v/>
      </c>
      <c r="F743" s="136"/>
    </row>
    <row r="744" spans="1:6">
      <c r="A744" s="136" t="str">
        <f t="shared" si="3"/>
        <v/>
      </c>
      <c r="B744" s="137"/>
      <c r="C744" s="137"/>
      <c r="D744" s="136"/>
      <c r="E744" s="139" t="str">
        <f>IF(B744="","",VLOOKUP(C744,CombineSFG!$H$2:$J990,3,FALSE))</f>
        <v/>
      </c>
      <c r="F744" s="136"/>
    </row>
    <row r="745" spans="1:6">
      <c r="A745" s="136" t="str">
        <f t="shared" si="3"/>
        <v/>
      </c>
      <c r="B745" s="137"/>
      <c r="C745" s="137"/>
      <c r="D745" s="136"/>
      <c r="E745" s="139" t="str">
        <f>IF(B745="","",VLOOKUP(C745,CombineSFG!$H$2:$J990,3,FALSE))</f>
        <v/>
      </c>
      <c r="F745" s="136"/>
    </row>
    <row r="746" spans="1:6">
      <c r="A746" s="136" t="str">
        <f t="shared" si="3"/>
        <v/>
      </c>
      <c r="B746" s="137"/>
      <c r="C746" s="137"/>
      <c r="D746" s="136"/>
      <c r="E746" s="139" t="str">
        <f>IF(B746="","",VLOOKUP(C746,CombineSFG!$H$2:$J990,3,FALSE))</f>
        <v/>
      </c>
      <c r="F746" s="136"/>
    </row>
    <row r="747" spans="1:6">
      <c r="A747" s="136" t="str">
        <f t="shared" si="3"/>
        <v/>
      </c>
      <c r="B747" s="137"/>
      <c r="C747" s="137"/>
      <c r="D747" s="136"/>
      <c r="E747" s="139" t="str">
        <f>IF(B747="","",VLOOKUP(C747,CombineSFG!$H$2:$J990,3,FALSE))</f>
        <v/>
      </c>
      <c r="F747" s="136"/>
    </row>
    <row r="748" spans="1:6">
      <c r="A748" s="136" t="str">
        <f t="shared" si="3"/>
        <v/>
      </c>
      <c r="B748" s="137"/>
      <c r="C748" s="137"/>
      <c r="D748" s="136"/>
      <c r="E748" s="139" t="str">
        <f>IF(B748="","",VLOOKUP(C748,CombineSFG!$H$2:$J990,3,FALSE))</f>
        <v/>
      </c>
      <c r="F748" s="136"/>
    </row>
    <row r="749" spans="1:6">
      <c r="A749" s="136" t="str">
        <f t="shared" si="3"/>
        <v/>
      </c>
      <c r="B749" s="137"/>
      <c r="C749" s="137"/>
      <c r="D749" s="136"/>
      <c r="E749" s="139" t="str">
        <f>IF(B749="","",VLOOKUP(C749,CombineSFG!$H$2:$J990,3,FALSE))</f>
        <v/>
      </c>
      <c r="F749" s="136"/>
    </row>
    <row r="750" spans="1:6">
      <c r="A750" s="136" t="str">
        <f t="shared" si="3"/>
        <v/>
      </c>
      <c r="B750" s="137"/>
      <c r="C750" s="137"/>
      <c r="D750" s="136"/>
      <c r="E750" s="139" t="str">
        <f>IF(B750="","",VLOOKUP(C750,CombineSFG!$H$2:$J990,3,FALSE))</f>
        <v/>
      </c>
      <c r="F750" s="136"/>
    </row>
    <row r="751" spans="1:6">
      <c r="A751" s="136" t="str">
        <f t="shared" si="3"/>
        <v/>
      </c>
      <c r="B751" s="137"/>
      <c r="C751" s="137"/>
      <c r="D751" s="136"/>
      <c r="E751" s="139" t="str">
        <f>IF(B751="","",VLOOKUP(C751,CombineSFG!$H$2:$J990,3,FALSE))</f>
        <v/>
      </c>
      <c r="F751" s="136"/>
    </row>
    <row r="752" spans="1:6">
      <c r="A752" s="136" t="str">
        <f t="shared" si="3"/>
        <v/>
      </c>
      <c r="B752" s="137"/>
      <c r="C752" s="137"/>
      <c r="D752" s="136"/>
      <c r="E752" s="139" t="str">
        <f>IF(B752="","",VLOOKUP(C752,CombineSFG!$H$2:$J990,3,FALSE))</f>
        <v/>
      </c>
      <c r="F752" s="136"/>
    </row>
    <row r="753" spans="1:6">
      <c r="A753" s="136" t="str">
        <f t="shared" si="3"/>
        <v/>
      </c>
      <c r="B753" s="137"/>
      <c r="C753" s="137"/>
      <c r="D753" s="136"/>
      <c r="E753" s="139" t="str">
        <f>IF(B753="","",VLOOKUP(C753,CombineSFG!$H$2:$J990,3,FALSE))</f>
        <v/>
      </c>
      <c r="F753" s="136"/>
    </row>
    <row r="754" spans="1:6">
      <c r="A754" s="136" t="str">
        <f t="shared" si="3"/>
        <v/>
      </c>
      <c r="B754" s="137"/>
      <c r="C754" s="137"/>
      <c r="D754" s="136"/>
      <c r="E754" s="139" t="str">
        <f>IF(B754="","",VLOOKUP(C754,CombineSFG!$H$2:$J990,3,FALSE))</f>
        <v/>
      </c>
      <c r="F754" s="136"/>
    </row>
    <row r="755" spans="1:6">
      <c r="A755" s="136" t="str">
        <f t="shared" si="3"/>
        <v/>
      </c>
      <c r="B755" s="137"/>
      <c r="C755" s="137"/>
      <c r="D755" s="136"/>
      <c r="E755" s="139" t="str">
        <f>IF(B755="","",VLOOKUP(C755,CombineSFG!$H$2:$J990,3,FALSE))</f>
        <v/>
      </c>
      <c r="F755" s="136"/>
    </row>
    <row r="756" spans="1:6">
      <c r="A756" s="136" t="str">
        <f t="shared" si="3"/>
        <v/>
      </c>
      <c r="B756" s="137"/>
      <c r="C756" s="137"/>
      <c r="D756" s="136"/>
      <c r="E756" s="139" t="str">
        <f>IF(B756="","",VLOOKUP(C756,CombineSFG!$H$2:$J990,3,FALSE))</f>
        <v/>
      </c>
      <c r="F756" s="136"/>
    </row>
    <row r="757" spans="1:6">
      <c r="A757" s="136" t="str">
        <f t="shared" si="3"/>
        <v/>
      </c>
      <c r="B757" s="137"/>
      <c r="C757" s="137"/>
      <c r="D757" s="136"/>
      <c r="E757" s="139" t="str">
        <f>IF(B757="","",VLOOKUP(C757,CombineSFG!$H$2:$J990,3,FALSE))</f>
        <v/>
      </c>
      <c r="F757" s="136"/>
    </row>
    <row r="758" spans="1:6">
      <c r="A758" s="136" t="str">
        <f t="shared" si="3"/>
        <v/>
      </c>
      <c r="B758" s="137"/>
      <c r="C758" s="137"/>
      <c r="D758" s="136"/>
      <c r="E758" s="139" t="str">
        <f>IF(B758="","",VLOOKUP(C758,CombineSFG!$H$2:$J990,3,FALSE))</f>
        <v/>
      </c>
      <c r="F758" s="136"/>
    </row>
    <row r="759" spans="1:6">
      <c r="A759" s="136" t="str">
        <f t="shared" si="3"/>
        <v/>
      </c>
      <c r="B759" s="137"/>
      <c r="C759" s="137"/>
      <c r="D759" s="136"/>
      <c r="E759" s="139" t="str">
        <f>IF(B759="","",VLOOKUP(C759,CombineSFG!$H$2:$J990,3,FALSE))</f>
        <v/>
      </c>
      <c r="F759" s="136"/>
    </row>
    <row r="760" spans="1:6">
      <c r="A760" s="136" t="str">
        <f t="shared" si="3"/>
        <v/>
      </c>
      <c r="B760" s="137"/>
      <c r="C760" s="137"/>
      <c r="D760" s="136"/>
      <c r="E760" s="139" t="str">
        <f>IF(B760="","",VLOOKUP(C760,CombineSFG!$H$2:$J990,3,FALSE))</f>
        <v/>
      </c>
      <c r="F760" s="136"/>
    </row>
    <row r="761" spans="1:6">
      <c r="A761" s="136" t="str">
        <f t="shared" si="3"/>
        <v/>
      </c>
      <c r="B761" s="137"/>
      <c r="C761" s="137"/>
      <c r="D761" s="136"/>
      <c r="E761" s="139" t="str">
        <f>IF(B761="","",VLOOKUP(C761,CombineSFG!$H$2:$J990,3,FALSE))</f>
        <v/>
      </c>
      <c r="F761" s="136"/>
    </row>
    <row r="762" spans="1:6">
      <c r="A762" s="136" t="str">
        <f t="shared" si="3"/>
        <v/>
      </c>
      <c r="B762" s="137"/>
      <c r="C762" s="137"/>
      <c r="D762" s="136"/>
      <c r="E762" s="139" t="str">
        <f>IF(B762="","",VLOOKUP(C762,CombineSFG!$H$2:$J990,3,FALSE))</f>
        <v/>
      </c>
      <c r="F762" s="136"/>
    </row>
    <row r="763" spans="1:6">
      <c r="A763" s="136" t="str">
        <f t="shared" si="3"/>
        <v/>
      </c>
      <c r="B763" s="137"/>
      <c r="C763" s="137"/>
      <c r="D763" s="136"/>
      <c r="E763" s="139" t="str">
        <f>IF(B763="","",VLOOKUP(C763,CombineSFG!$H$2:$J990,3,FALSE))</f>
        <v/>
      </c>
      <c r="F763" s="136"/>
    </row>
    <row r="764" spans="1:6">
      <c r="A764" s="136" t="str">
        <f t="shared" si="3"/>
        <v/>
      </c>
      <c r="B764" s="137"/>
      <c r="C764" s="137"/>
      <c r="D764" s="136"/>
      <c r="E764" s="139" t="str">
        <f>IF(B764="","",VLOOKUP(C764,CombineSFG!$H$2:$J990,3,FALSE))</f>
        <v/>
      </c>
      <c r="F764" s="136"/>
    </row>
    <row r="765" spans="1:6">
      <c r="A765" s="136" t="str">
        <f t="shared" si="3"/>
        <v/>
      </c>
      <c r="B765" s="137"/>
      <c r="C765" s="137"/>
      <c r="D765" s="136"/>
      <c r="E765" s="139" t="str">
        <f>IF(B765="","",VLOOKUP(C765,CombineSFG!$H$2:$J990,3,FALSE))</f>
        <v/>
      </c>
      <c r="F765" s="136"/>
    </row>
    <row r="766" spans="1:6">
      <c r="A766" s="136" t="str">
        <f t="shared" si="3"/>
        <v/>
      </c>
      <c r="B766" s="137"/>
      <c r="C766" s="137"/>
      <c r="D766" s="136"/>
      <c r="E766" s="139" t="str">
        <f>IF(B766="","",VLOOKUP(C766,CombineSFG!$H$2:$J990,3,FALSE))</f>
        <v/>
      </c>
      <c r="F766" s="136"/>
    </row>
    <row r="767" spans="1:6">
      <c r="A767" s="136" t="str">
        <f t="shared" si="3"/>
        <v/>
      </c>
      <c r="B767" s="137"/>
      <c r="C767" s="137"/>
      <c r="D767" s="136"/>
      <c r="E767" s="139" t="str">
        <f>IF(B767="","",VLOOKUP(C767,CombineSFG!$H$2:$J990,3,FALSE))</f>
        <v/>
      </c>
      <c r="F767" s="136"/>
    </row>
    <row r="768" spans="1:6">
      <c r="A768" s="136" t="str">
        <f t="shared" si="3"/>
        <v/>
      </c>
      <c r="B768" s="137"/>
      <c r="C768" s="137"/>
      <c r="D768" s="136"/>
      <c r="E768" s="139" t="str">
        <f>IF(B768="","",VLOOKUP(C768,CombineSFG!$H$2:$J990,3,FALSE))</f>
        <v/>
      </c>
      <c r="F768" s="136"/>
    </row>
    <row r="769" spans="1:6">
      <c r="A769" s="136" t="str">
        <f t="shared" si="3"/>
        <v/>
      </c>
      <c r="B769" s="137"/>
      <c r="C769" s="137"/>
      <c r="D769" s="136"/>
      <c r="E769" s="139" t="str">
        <f>IF(B769="","",VLOOKUP(C769,CombineSFG!$H$2:$J990,3,FALSE))</f>
        <v/>
      </c>
      <c r="F769" s="136"/>
    </row>
    <row r="770" spans="1:6">
      <c r="A770" s="136" t="str">
        <f t="shared" si="3"/>
        <v/>
      </c>
      <c r="B770" s="137"/>
      <c r="C770" s="137"/>
      <c r="D770" s="136"/>
      <c r="E770" s="139" t="str">
        <f>IF(B770="","",VLOOKUP(C770,CombineSFG!$H$2:$J990,3,FALSE))</f>
        <v/>
      </c>
      <c r="F770" s="136"/>
    </row>
    <row r="771" spans="1:6">
      <c r="A771" s="136" t="str">
        <f t="shared" si="3"/>
        <v/>
      </c>
      <c r="B771" s="137"/>
      <c r="C771" s="137"/>
      <c r="D771" s="136"/>
      <c r="E771" s="139" t="str">
        <f>IF(B771="","",VLOOKUP(C771,CombineSFG!$H$2:$J990,3,FALSE))</f>
        <v/>
      </c>
      <c r="F771" s="136"/>
    </row>
    <row r="772" spans="1:6">
      <c r="A772" s="136" t="str">
        <f t="shared" si="3"/>
        <v/>
      </c>
      <c r="B772" s="137"/>
      <c r="C772" s="137"/>
      <c r="D772" s="136"/>
      <c r="E772" s="139" t="str">
        <f>IF(B772="","",VLOOKUP(C772,CombineSFG!$H$2:$J990,3,FALSE))</f>
        <v/>
      </c>
      <c r="F772" s="136"/>
    </row>
    <row r="773" spans="1:6">
      <c r="A773" s="136" t="str">
        <f t="shared" si="3"/>
        <v/>
      </c>
      <c r="B773" s="137"/>
      <c r="C773" s="137"/>
      <c r="D773" s="136"/>
      <c r="E773" s="139" t="str">
        <f>IF(B773="","",VLOOKUP(C773,CombineSFG!$H$2:$J990,3,FALSE))</f>
        <v/>
      </c>
      <c r="F773" s="136"/>
    </row>
    <row r="774" spans="1:6">
      <c r="A774" s="136" t="str">
        <f t="shared" si="3"/>
        <v/>
      </c>
      <c r="B774" s="137"/>
      <c r="C774" s="137"/>
      <c r="D774" s="136"/>
      <c r="E774" s="139" t="str">
        <f>IF(B774="","",VLOOKUP(C774,CombineSFG!$H$2:$J990,3,FALSE))</f>
        <v/>
      </c>
      <c r="F774" s="136"/>
    </row>
    <row r="775" spans="1:6">
      <c r="A775" s="136" t="str">
        <f t="shared" si="3"/>
        <v/>
      </c>
      <c r="B775" s="137"/>
      <c r="C775" s="137"/>
      <c r="D775" s="136"/>
      <c r="E775" s="139" t="str">
        <f>IF(B775="","",VLOOKUP(C775,CombineSFG!$H$2:$J990,3,FALSE))</f>
        <v/>
      </c>
      <c r="F775" s="136"/>
    </row>
    <row r="776" spans="1:6">
      <c r="A776" s="136" t="str">
        <f t="shared" si="3"/>
        <v/>
      </c>
      <c r="B776" s="137"/>
      <c r="C776" s="137"/>
      <c r="D776" s="136"/>
      <c r="E776" s="139" t="str">
        <f>IF(B776="","",VLOOKUP(C776,CombineSFG!$H$2:$J990,3,FALSE))</f>
        <v/>
      </c>
      <c r="F776" s="136"/>
    </row>
    <row r="777" spans="1:6">
      <c r="A777" s="136" t="str">
        <f t="shared" si="3"/>
        <v/>
      </c>
      <c r="B777" s="137"/>
      <c r="C777" s="137"/>
      <c r="D777" s="136"/>
      <c r="E777" s="139" t="str">
        <f>IF(B777="","",VLOOKUP(C777,CombineSFG!$H$2:$J990,3,FALSE))</f>
        <v/>
      </c>
      <c r="F777" s="136"/>
    </row>
    <row r="778" spans="1:6">
      <c r="A778" s="136" t="str">
        <f t="shared" si="3"/>
        <v/>
      </c>
      <c r="B778" s="137"/>
      <c r="C778" s="137"/>
      <c r="D778" s="136"/>
      <c r="E778" s="139" t="str">
        <f>IF(B778="","",VLOOKUP(C778,CombineSFG!$H$2:$J990,3,FALSE))</f>
        <v/>
      </c>
      <c r="F778" s="136"/>
    </row>
    <row r="779" spans="1:6">
      <c r="A779" s="136" t="str">
        <f t="shared" si="3"/>
        <v/>
      </c>
      <c r="B779" s="137"/>
      <c r="C779" s="137"/>
      <c r="D779" s="136"/>
      <c r="E779" s="139" t="str">
        <f>IF(B779="","",VLOOKUP(C779,CombineSFG!$H$2:$J990,3,FALSE))</f>
        <v/>
      </c>
      <c r="F779" s="136"/>
    </row>
    <row r="780" spans="1:6">
      <c r="A780" s="136" t="str">
        <f t="shared" si="3"/>
        <v/>
      </c>
      <c r="B780" s="137"/>
      <c r="C780" s="137"/>
      <c r="D780" s="136"/>
      <c r="E780" s="139" t="str">
        <f>IF(B780="","",VLOOKUP(C780,CombineSFG!$H$2:$J990,3,FALSE))</f>
        <v/>
      </c>
      <c r="F780" s="136"/>
    </row>
    <row r="781" spans="1:6">
      <c r="A781" s="136" t="str">
        <f t="shared" si="3"/>
        <v/>
      </c>
      <c r="B781" s="137"/>
      <c r="C781" s="137"/>
      <c r="D781" s="136"/>
      <c r="E781" s="139" t="str">
        <f>IF(B781="","",VLOOKUP(C781,CombineSFG!$H$2:$J990,3,FALSE))</f>
        <v/>
      </c>
      <c r="F781" s="136"/>
    </row>
    <row r="782" spans="1:6">
      <c r="A782" s="136" t="str">
        <f t="shared" si="3"/>
        <v/>
      </c>
      <c r="B782" s="137"/>
      <c r="C782" s="137"/>
      <c r="D782" s="136"/>
      <c r="E782" s="139" t="str">
        <f>IF(B782="","",VLOOKUP(C782,CombineSFG!$H$2:$J990,3,FALSE))</f>
        <v/>
      </c>
      <c r="F782" s="136"/>
    </row>
    <row r="783" spans="1:6">
      <c r="A783" s="136" t="str">
        <f t="shared" si="3"/>
        <v/>
      </c>
      <c r="B783" s="137"/>
      <c r="C783" s="137"/>
      <c r="D783" s="136"/>
      <c r="E783" s="139" t="str">
        <f>IF(B783="","",VLOOKUP(C783,CombineSFG!$H$2:$J990,3,FALSE))</f>
        <v/>
      </c>
      <c r="F783" s="136"/>
    </row>
    <row r="784" spans="1:6">
      <c r="A784" s="136" t="str">
        <f t="shared" si="3"/>
        <v/>
      </c>
      <c r="B784" s="137"/>
      <c r="C784" s="137"/>
      <c r="D784" s="136"/>
      <c r="E784" s="139" t="str">
        <f>IF(B784="","",VLOOKUP(C784,CombineSFG!$H$2:$J990,3,FALSE))</f>
        <v/>
      </c>
      <c r="F784" s="136"/>
    </row>
    <row r="785" spans="1:6">
      <c r="A785" s="136" t="str">
        <f t="shared" si="3"/>
        <v/>
      </c>
      <c r="B785" s="137"/>
      <c r="C785" s="137"/>
      <c r="D785" s="136"/>
      <c r="E785" s="139" t="str">
        <f>IF(B785="","",VLOOKUP(C785,CombineSFG!$H$2:$J990,3,FALSE))</f>
        <v/>
      </c>
      <c r="F785" s="136"/>
    </row>
    <row r="786" spans="1:6">
      <c r="A786" s="136" t="str">
        <f t="shared" si="3"/>
        <v/>
      </c>
      <c r="B786" s="137"/>
      <c r="C786" s="137"/>
      <c r="D786" s="136"/>
      <c r="E786" s="139" t="str">
        <f>IF(B786="","",VLOOKUP(C786,CombineSFG!$H$2:$J990,3,FALSE))</f>
        <v/>
      </c>
      <c r="F786" s="136"/>
    </row>
    <row r="787" spans="1:6">
      <c r="A787" s="136" t="str">
        <f t="shared" si="3"/>
        <v/>
      </c>
      <c r="B787" s="137"/>
      <c r="C787" s="137"/>
      <c r="D787" s="136"/>
      <c r="E787" s="139" t="str">
        <f>IF(B787="","",VLOOKUP(C787,CombineSFG!$H$2:$J990,3,FALSE))</f>
        <v/>
      </c>
      <c r="F787" s="136"/>
    </row>
    <row r="788" spans="1:6">
      <c r="A788" s="136" t="str">
        <f t="shared" si="3"/>
        <v/>
      </c>
      <c r="B788" s="137"/>
      <c r="C788" s="137"/>
      <c r="D788" s="136"/>
      <c r="E788" s="139" t="str">
        <f>IF(B788="","",VLOOKUP(C788,CombineSFG!$H$2:$J990,3,FALSE))</f>
        <v/>
      </c>
      <c r="F788" s="136"/>
    </row>
    <row r="789" spans="1:6">
      <c r="A789" s="136" t="str">
        <f t="shared" si="3"/>
        <v/>
      </c>
      <c r="B789" s="137"/>
      <c r="C789" s="137"/>
      <c r="D789" s="136"/>
      <c r="E789" s="139" t="str">
        <f>IF(B789="","",VLOOKUP(C789,CombineSFG!$H$2:$J990,3,FALSE))</f>
        <v/>
      </c>
      <c r="F789" s="136"/>
    </row>
    <row r="790" spans="1:6">
      <c r="A790" s="136" t="str">
        <f t="shared" si="3"/>
        <v/>
      </c>
      <c r="B790" s="137"/>
      <c r="C790" s="137"/>
      <c r="D790" s="136"/>
      <c r="E790" s="139" t="str">
        <f>IF(B790="","",VLOOKUP(C790,CombineSFG!$H$2:$J990,3,FALSE))</f>
        <v/>
      </c>
      <c r="F790" s="136"/>
    </row>
    <row r="791" spans="1:6">
      <c r="A791" s="136" t="str">
        <f t="shared" si="3"/>
        <v/>
      </c>
      <c r="B791" s="137"/>
      <c r="C791" s="137"/>
      <c r="D791" s="136"/>
      <c r="E791" s="139" t="str">
        <f>IF(B791="","",VLOOKUP(C791,CombineSFG!$H$2:$J990,3,FALSE))</f>
        <v/>
      </c>
      <c r="F791" s="136"/>
    </row>
    <row r="792" spans="1:6">
      <c r="A792" s="136" t="str">
        <f t="shared" si="3"/>
        <v/>
      </c>
      <c r="B792" s="137"/>
      <c r="C792" s="137"/>
      <c r="D792" s="136"/>
      <c r="E792" s="139" t="str">
        <f>IF(B792="","",VLOOKUP(C792,CombineSFG!$H$2:$J990,3,FALSE))</f>
        <v/>
      </c>
      <c r="F792" s="136"/>
    </row>
    <row r="793" spans="1:6">
      <c r="A793" s="136" t="str">
        <f t="shared" si="3"/>
        <v/>
      </c>
      <c r="B793" s="137"/>
      <c r="C793" s="137"/>
      <c r="D793" s="136"/>
      <c r="E793" s="139" t="str">
        <f>IF(B793="","",VLOOKUP(C793,CombineSFG!$H$2:$J990,3,FALSE))</f>
        <v/>
      </c>
      <c r="F793" s="136"/>
    </row>
    <row r="794" spans="1:6">
      <c r="A794" s="136" t="str">
        <f t="shared" si="3"/>
        <v/>
      </c>
      <c r="B794" s="137"/>
      <c r="C794" s="137"/>
      <c r="D794" s="136"/>
      <c r="E794" s="139" t="str">
        <f>IF(B794="","",VLOOKUP(C794,CombineSFG!$H$2:$J990,3,FALSE))</f>
        <v/>
      </c>
      <c r="F794" s="136"/>
    </row>
    <row r="795" spans="1:6">
      <c r="A795" s="136" t="str">
        <f t="shared" ref="A795:A990" si="4">IF(B795="","",ROW()-2)</f>
        <v/>
      </c>
      <c r="B795" s="137"/>
      <c r="C795" s="137"/>
      <c r="D795" s="136"/>
      <c r="E795" s="139" t="str">
        <f>IF(B795="","",VLOOKUP(C795,CombineSFG!$H$2:$J990,3,FALSE))</f>
        <v/>
      </c>
      <c r="F795" s="136"/>
    </row>
    <row r="796" spans="1:6">
      <c r="A796" s="136" t="str">
        <f t="shared" si="4"/>
        <v/>
      </c>
      <c r="B796" s="137"/>
      <c r="C796" s="137"/>
      <c r="D796" s="136"/>
      <c r="E796" s="139" t="str">
        <f>IF(B796="","",VLOOKUP(C796,CombineSFG!$H$2:$J990,3,FALSE))</f>
        <v/>
      </c>
      <c r="F796" s="136"/>
    </row>
    <row r="797" spans="1:6">
      <c r="A797" s="136" t="str">
        <f t="shared" si="4"/>
        <v/>
      </c>
      <c r="B797" s="137"/>
      <c r="C797" s="137"/>
      <c r="D797" s="136"/>
      <c r="E797" s="139" t="str">
        <f>IF(B797="","",VLOOKUP(C797,CombineSFG!$H$2:$J990,3,FALSE))</f>
        <v/>
      </c>
      <c r="F797" s="136"/>
    </row>
    <row r="798" spans="1:6">
      <c r="A798" s="136" t="str">
        <f t="shared" si="4"/>
        <v/>
      </c>
      <c r="B798" s="137"/>
      <c r="C798" s="137"/>
      <c r="D798" s="136"/>
      <c r="E798" s="139" t="str">
        <f>IF(B798="","",VLOOKUP(C798,CombineSFG!$H$2:$J990,3,FALSE))</f>
        <v/>
      </c>
      <c r="F798" s="136"/>
    </row>
    <row r="799" spans="1:6">
      <c r="A799" s="136" t="str">
        <f t="shared" si="4"/>
        <v/>
      </c>
      <c r="B799" s="137"/>
      <c r="C799" s="137"/>
      <c r="D799" s="136"/>
      <c r="E799" s="139" t="str">
        <f>IF(B799="","",VLOOKUP(C799,CombineSFG!$H$2:$J990,3,FALSE))</f>
        <v/>
      </c>
      <c r="F799" s="136"/>
    </row>
    <row r="800" spans="1:6">
      <c r="A800" s="136" t="str">
        <f t="shared" si="4"/>
        <v/>
      </c>
      <c r="B800" s="137"/>
      <c r="C800" s="137"/>
      <c r="D800" s="136"/>
      <c r="E800" s="139" t="str">
        <f>IF(B800="","",VLOOKUP(C800,CombineSFG!$H$2:$J990,3,FALSE))</f>
        <v/>
      </c>
      <c r="F800" s="136"/>
    </row>
    <row r="801" spans="1:6">
      <c r="A801" s="136" t="str">
        <f t="shared" si="4"/>
        <v/>
      </c>
      <c r="B801" s="137"/>
      <c r="C801" s="137"/>
      <c r="D801" s="136"/>
      <c r="E801" s="139" t="str">
        <f>IF(B801="","",VLOOKUP(C801,CombineSFG!$H$2:$J990,3,FALSE))</f>
        <v/>
      </c>
      <c r="F801" s="136"/>
    </row>
    <row r="802" spans="1:6">
      <c r="A802" s="136" t="str">
        <f t="shared" si="4"/>
        <v/>
      </c>
      <c r="B802" s="137"/>
      <c r="C802" s="137"/>
      <c r="D802" s="136"/>
      <c r="E802" s="139" t="str">
        <f>IF(B802="","",VLOOKUP(C802,CombineSFG!$H$2:$J990,3,FALSE))</f>
        <v/>
      </c>
      <c r="F802" s="136"/>
    </row>
    <row r="803" spans="1:6">
      <c r="A803" s="136" t="str">
        <f t="shared" si="4"/>
        <v/>
      </c>
      <c r="B803" s="137"/>
      <c r="C803" s="137"/>
      <c r="D803" s="136"/>
      <c r="E803" s="139" t="str">
        <f>IF(B803="","",VLOOKUP(C803,CombineSFG!$H$2:$J990,3,FALSE))</f>
        <v/>
      </c>
      <c r="F803" s="136"/>
    </row>
    <row r="804" spans="1:6">
      <c r="A804" s="136" t="str">
        <f t="shared" si="4"/>
        <v/>
      </c>
      <c r="B804" s="137"/>
      <c r="C804" s="137"/>
      <c r="D804" s="136"/>
      <c r="E804" s="139" t="str">
        <f>IF(B804="","",VLOOKUP(C804,CombineSFG!$H$2:$J990,3,FALSE))</f>
        <v/>
      </c>
      <c r="F804" s="136"/>
    </row>
    <row r="805" spans="1:6">
      <c r="A805" s="136" t="str">
        <f t="shared" si="4"/>
        <v/>
      </c>
      <c r="B805" s="137"/>
      <c r="C805" s="137"/>
      <c r="D805" s="136"/>
      <c r="E805" s="139" t="str">
        <f>IF(B805="","",VLOOKUP(C805,CombineSFG!$H$2:$J990,3,FALSE))</f>
        <v/>
      </c>
      <c r="F805" s="136"/>
    </row>
    <row r="806" spans="1:6">
      <c r="A806" s="136" t="str">
        <f t="shared" si="4"/>
        <v/>
      </c>
      <c r="B806" s="137"/>
      <c r="C806" s="137"/>
      <c r="D806" s="136"/>
      <c r="E806" s="139" t="str">
        <f>IF(B806="","",VLOOKUP(C806,CombineSFG!$H$2:$J990,3,FALSE))</f>
        <v/>
      </c>
      <c r="F806" s="136"/>
    </row>
    <row r="807" spans="1:6">
      <c r="A807" s="136" t="str">
        <f t="shared" si="4"/>
        <v/>
      </c>
      <c r="B807" s="137"/>
      <c r="C807" s="137"/>
      <c r="D807" s="136"/>
      <c r="E807" s="139" t="str">
        <f>IF(B807="","",VLOOKUP(C807,CombineSFG!$H$2:$J990,3,FALSE))</f>
        <v/>
      </c>
      <c r="F807" s="136"/>
    </row>
    <row r="808" spans="1:6">
      <c r="A808" s="136" t="str">
        <f t="shared" si="4"/>
        <v/>
      </c>
      <c r="B808" s="137"/>
      <c r="C808" s="137"/>
      <c r="D808" s="136"/>
      <c r="E808" s="139" t="str">
        <f>IF(B808="","",VLOOKUP(C808,CombineSFG!$H$2:$J990,3,FALSE))</f>
        <v/>
      </c>
      <c r="F808" s="136"/>
    </row>
    <row r="809" spans="1:6">
      <c r="A809" s="136" t="str">
        <f t="shared" si="4"/>
        <v/>
      </c>
      <c r="B809" s="137"/>
      <c r="C809" s="137"/>
      <c r="D809" s="136"/>
      <c r="E809" s="139" t="str">
        <f>IF(B809="","",VLOOKUP(C809,CombineSFG!$H$2:$J990,3,FALSE))</f>
        <v/>
      </c>
      <c r="F809" s="136"/>
    </row>
    <row r="810" spans="1:6">
      <c r="A810" s="136" t="str">
        <f t="shared" si="4"/>
        <v/>
      </c>
      <c r="B810" s="137"/>
      <c r="C810" s="137"/>
      <c r="D810" s="136"/>
      <c r="E810" s="139" t="str">
        <f>IF(B810="","",VLOOKUP(C810,CombineSFG!$H$2:$J990,3,FALSE))</f>
        <v/>
      </c>
      <c r="F810" s="136"/>
    </row>
    <row r="811" spans="1:6">
      <c r="A811" s="136" t="str">
        <f t="shared" si="4"/>
        <v/>
      </c>
      <c r="B811" s="137"/>
      <c r="C811" s="137"/>
      <c r="D811" s="136"/>
      <c r="E811" s="139" t="str">
        <f>IF(B811="","",VLOOKUP(C811,CombineSFG!$H$2:$J990,3,FALSE))</f>
        <v/>
      </c>
      <c r="F811" s="136"/>
    </row>
    <row r="812" spans="1:6">
      <c r="A812" s="136" t="str">
        <f t="shared" si="4"/>
        <v/>
      </c>
      <c r="B812" s="137"/>
      <c r="C812" s="137"/>
      <c r="D812" s="136"/>
      <c r="E812" s="139" t="str">
        <f>IF(B812="","",VLOOKUP(C812,CombineSFG!$H$2:$J990,3,FALSE))</f>
        <v/>
      </c>
      <c r="F812" s="136"/>
    </row>
    <row r="813" spans="1:6">
      <c r="A813" s="136" t="str">
        <f t="shared" si="4"/>
        <v/>
      </c>
      <c r="B813" s="137"/>
      <c r="C813" s="137"/>
      <c r="D813" s="136"/>
      <c r="E813" s="139" t="str">
        <f>IF(B813="","",VLOOKUP(C813,CombineSFG!$H$2:$J990,3,FALSE))</f>
        <v/>
      </c>
      <c r="F813" s="136"/>
    </row>
    <row r="814" spans="1:6">
      <c r="A814" s="136" t="str">
        <f t="shared" si="4"/>
        <v/>
      </c>
      <c r="B814" s="137"/>
      <c r="C814" s="137"/>
      <c r="D814" s="136"/>
      <c r="E814" s="139" t="str">
        <f>IF(B814="","",VLOOKUP(C814,CombineSFG!$H$2:$J990,3,FALSE))</f>
        <v/>
      </c>
      <c r="F814" s="136"/>
    </row>
    <row r="815" spans="1:6">
      <c r="A815" s="136" t="str">
        <f t="shared" si="4"/>
        <v/>
      </c>
      <c r="B815" s="137"/>
      <c r="C815" s="137"/>
      <c r="D815" s="136"/>
      <c r="E815" s="139" t="str">
        <f>IF(B815="","",VLOOKUP(C815,CombineSFG!$H$2:$J990,3,FALSE))</f>
        <v/>
      </c>
      <c r="F815" s="136"/>
    </row>
    <row r="816" spans="1:6">
      <c r="A816" s="136" t="str">
        <f t="shared" si="4"/>
        <v/>
      </c>
      <c r="B816" s="137"/>
      <c r="C816" s="137"/>
      <c r="D816" s="136"/>
      <c r="E816" s="139" t="str">
        <f>IF(B816="","",VLOOKUP(C816,CombineSFG!$H$2:$J990,3,FALSE))</f>
        <v/>
      </c>
      <c r="F816" s="136"/>
    </row>
    <row r="817" spans="1:6">
      <c r="A817" s="136" t="str">
        <f t="shared" si="4"/>
        <v/>
      </c>
      <c r="B817" s="137"/>
      <c r="C817" s="137"/>
      <c r="D817" s="136"/>
      <c r="E817" s="139" t="str">
        <f>IF(B817="","",VLOOKUP(C817,CombineSFG!$H$2:$J990,3,FALSE))</f>
        <v/>
      </c>
      <c r="F817" s="136"/>
    </row>
    <row r="818" spans="1:6">
      <c r="A818" s="136" t="str">
        <f t="shared" si="4"/>
        <v/>
      </c>
      <c r="B818" s="137"/>
      <c r="C818" s="137"/>
      <c r="D818" s="136"/>
      <c r="E818" s="139" t="str">
        <f>IF(B818="","",VLOOKUP(C818,CombineSFG!$H$2:$J990,3,FALSE))</f>
        <v/>
      </c>
      <c r="F818" s="136"/>
    </row>
    <row r="819" spans="1:6">
      <c r="A819" s="136" t="str">
        <f t="shared" si="4"/>
        <v/>
      </c>
      <c r="B819" s="137"/>
      <c r="C819" s="137"/>
      <c r="D819" s="136"/>
      <c r="E819" s="139" t="str">
        <f>IF(B819="","",VLOOKUP(C819,CombineSFG!$H$2:$J990,3,FALSE))</f>
        <v/>
      </c>
      <c r="F819" s="136"/>
    </row>
    <row r="820" spans="1:6">
      <c r="A820" s="136" t="str">
        <f t="shared" si="4"/>
        <v/>
      </c>
      <c r="B820" s="137"/>
      <c r="C820" s="137"/>
      <c r="D820" s="136"/>
      <c r="E820" s="139" t="str">
        <f>IF(B820="","",VLOOKUP(C820,CombineSFG!$H$2:$J990,3,FALSE))</f>
        <v/>
      </c>
      <c r="F820" s="136"/>
    </row>
    <row r="821" spans="1:6">
      <c r="A821" s="136" t="str">
        <f t="shared" si="4"/>
        <v/>
      </c>
      <c r="B821" s="137"/>
      <c r="C821" s="137"/>
      <c r="D821" s="136"/>
      <c r="E821" s="139" t="str">
        <f>IF(B821="","",VLOOKUP(C821,CombineSFG!$H$2:$J990,3,FALSE))</f>
        <v/>
      </c>
      <c r="F821" s="136"/>
    </row>
    <row r="822" spans="1:6">
      <c r="A822" s="136" t="str">
        <f t="shared" si="4"/>
        <v/>
      </c>
      <c r="B822" s="137"/>
      <c r="C822" s="137"/>
      <c r="D822" s="136"/>
      <c r="E822" s="139" t="str">
        <f>IF(B822="","",VLOOKUP(C822,CombineSFG!$H$2:$J990,3,FALSE))</f>
        <v/>
      </c>
      <c r="F822" s="136"/>
    </row>
    <row r="823" spans="1:6">
      <c r="A823" s="136" t="str">
        <f t="shared" si="4"/>
        <v/>
      </c>
      <c r="B823" s="137"/>
      <c r="C823" s="137"/>
      <c r="D823" s="136"/>
      <c r="E823" s="139" t="str">
        <f>IF(B823="","",VLOOKUP(C823,CombineSFG!$H$2:$J990,3,FALSE))</f>
        <v/>
      </c>
      <c r="F823" s="136"/>
    </row>
    <row r="824" spans="1:6">
      <c r="A824" s="136" t="str">
        <f t="shared" si="4"/>
        <v/>
      </c>
      <c r="B824" s="137"/>
      <c r="C824" s="137"/>
      <c r="D824" s="136"/>
      <c r="E824" s="139" t="str">
        <f>IF(B824="","",VLOOKUP(C824,CombineSFG!$H$2:$J990,3,FALSE))</f>
        <v/>
      </c>
      <c r="F824" s="136"/>
    </row>
    <row r="825" spans="1:6">
      <c r="A825" s="136" t="str">
        <f t="shared" si="4"/>
        <v/>
      </c>
      <c r="B825" s="137"/>
      <c r="C825" s="137"/>
      <c r="D825" s="136"/>
      <c r="E825" s="139" t="str">
        <f>IF(B825="","",VLOOKUP(C825,CombineSFG!$H$2:$J990,3,FALSE))</f>
        <v/>
      </c>
      <c r="F825" s="136"/>
    </row>
    <row r="826" spans="1:6">
      <c r="A826" s="136" t="str">
        <f t="shared" si="4"/>
        <v/>
      </c>
      <c r="B826" s="137"/>
      <c r="C826" s="137"/>
      <c r="D826" s="136"/>
      <c r="E826" s="139" t="str">
        <f>IF(B826="","",VLOOKUP(C826,CombineSFG!$H$2:$J990,3,FALSE))</f>
        <v/>
      </c>
      <c r="F826" s="136"/>
    </row>
    <row r="827" spans="1:6">
      <c r="A827" s="136" t="str">
        <f t="shared" si="4"/>
        <v/>
      </c>
      <c r="B827" s="137"/>
      <c r="C827" s="137"/>
      <c r="D827" s="136"/>
      <c r="E827" s="139" t="str">
        <f>IF(B827="","",VLOOKUP(C827,CombineSFG!$H$2:$J990,3,FALSE))</f>
        <v/>
      </c>
      <c r="F827" s="136"/>
    </row>
    <row r="828" spans="1:6">
      <c r="A828" s="136" t="str">
        <f t="shared" si="4"/>
        <v/>
      </c>
      <c r="B828" s="137"/>
      <c r="C828" s="137"/>
      <c r="D828" s="136"/>
      <c r="E828" s="139" t="str">
        <f>IF(B828="","",VLOOKUP(C828,CombineSFG!$H$2:$J990,3,FALSE))</f>
        <v/>
      </c>
      <c r="F828" s="136"/>
    </row>
    <row r="829" spans="1:6">
      <c r="A829" s="136" t="str">
        <f t="shared" si="4"/>
        <v/>
      </c>
      <c r="B829" s="137"/>
      <c r="C829" s="137"/>
      <c r="D829" s="136"/>
      <c r="E829" s="139" t="str">
        <f>IF(B829="","",VLOOKUP(C829,CombineSFG!$H$2:$J990,3,FALSE))</f>
        <v/>
      </c>
      <c r="F829" s="136"/>
    </row>
    <row r="830" spans="1:6">
      <c r="A830" s="136" t="str">
        <f t="shared" si="4"/>
        <v/>
      </c>
      <c r="B830" s="137"/>
      <c r="C830" s="137"/>
      <c r="D830" s="136"/>
      <c r="E830" s="139" t="str">
        <f>IF(B830="","",VLOOKUP(C830,CombineSFG!$H$2:$J990,3,FALSE))</f>
        <v/>
      </c>
      <c r="F830" s="136"/>
    </row>
    <row r="831" spans="1:6">
      <c r="A831" s="136" t="str">
        <f t="shared" si="4"/>
        <v/>
      </c>
      <c r="B831" s="137"/>
      <c r="C831" s="137"/>
      <c r="D831" s="136"/>
      <c r="E831" s="139" t="str">
        <f>IF(B831="","",VLOOKUP(C831,CombineSFG!$H$2:$J990,3,FALSE))</f>
        <v/>
      </c>
      <c r="F831" s="136"/>
    </row>
    <row r="832" spans="1:6">
      <c r="A832" s="136" t="str">
        <f t="shared" si="4"/>
        <v/>
      </c>
      <c r="B832" s="137"/>
      <c r="C832" s="137"/>
      <c r="D832" s="136"/>
      <c r="E832" s="139" t="str">
        <f>IF(B832="","",VLOOKUP(C832,CombineSFG!$H$2:$J990,3,FALSE))</f>
        <v/>
      </c>
      <c r="F832" s="136"/>
    </row>
    <row r="833" spans="1:6">
      <c r="A833" s="136" t="str">
        <f t="shared" si="4"/>
        <v/>
      </c>
      <c r="B833" s="137"/>
      <c r="C833" s="137"/>
      <c r="D833" s="136"/>
      <c r="E833" s="139" t="str">
        <f>IF(B833="","",VLOOKUP(C833,CombineSFG!$H$2:$J990,3,FALSE))</f>
        <v/>
      </c>
      <c r="F833" s="136"/>
    </row>
    <row r="834" spans="1:6">
      <c r="A834" s="136" t="str">
        <f t="shared" si="4"/>
        <v/>
      </c>
      <c r="B834" s="137"/>
      <c r="C834" s="137"/>
      <c r="D834" s="136"/>
      <c r="E834" s="139" t="str">
        <f>IF(B834="","",VLOOKUP(C834,CombineSFG!$H$2:$J990,3,FALSE))</f>
        <v/>
      </c>
      <c r="F834" s="136"/>
    </row>
    <row r="835" spans="1:6">
      <c r="A835" s="136" t="str">
        <f t="shared" si="4"/>
        <v/>
      </c>
      <c r="B835" s="137"/>
      <c r="C835" s="137"/>
      <c r="D835" s="136"/>
      <c r="E835" s="139" t="str">
        <f>IF(B835="","",VLOOKUP(C835,CombineSFG!$H$2:$J990,3,FALSE))</f>
        <v/>
      </c>
      <c r="F835" s="136"/>
    </row>
    <row r="836" spans="1:6">
      <c r="A836" s="136" t="str">
        <f t="shared" si="4"/>
        <v/>
      </c>
      <c r="B836" s="137"/>
      <c r="C836" s="137"/>
      <c r="D836" s="136"/>
      <c r="E836" s="139" t="str">
        <f>IF(B836="","",VLOOKUP(C836,CombineSFG!$H$2:$J990,3,FALSE))</f>
        <v/>
      </c>
      <c r="F836" s="136"/>
    </row>
    <row r="837" spans="1:6">
      <c r="A837" s="136" t="str">
        <f t="shared" si="4"/>
        <v/>
      </c>
      <c r="B837" s="137"/>
      <c r="C837" s="137"/>
      <c r="D837" s="136"/>
      <c r="E837" s="139" t="str">
        <f>IF(B837="","",VLOOKUP(C837,CombineSFG!$H$2:$J990,3,FALSE))</f>
        <v/>
      </c>
      <c r="F837" s="136"/>
    </row>
    <row r="838" spans="1:6">
      <c r="A838" s="136" t="str">
        <f t="shared" si="4"/>
        <v/>
      </c>
      <c r="B838" s="137"/>
      <c r="C838" s="137"/>
      <c r="D838" s="136"/>
      <c r="E838" s="139" t="str">
        <f>IF(B838="","",VLOOKUP(C838,CombineSFG!$H$2:$J990,3,FALSE))</f>
        <v/>
      </c>
      <c r="F838" s="136"/>
    </row>
    <row r="839" spans="1:6">
      <c r="A839" s="136" t="str">
        <f t="shared" si="4"/>
        <v/>
      </c>
      <c r="B839" s="137"/>
      <c r="C839" s="137"/>
      <c r="D839" s="136"/>
      <c r="E839" s="139" t="str">
        <f>IF(B839="","",VLOOKUP(C839,CombineSFG!$H$2:$J990,3,FALSE))</f>
        <v/>
      </c>
      <c r="F839" s="136"/>
    </row>
    <row r="840" spans="1:6">
      <c r="A840" s="136" t="str">
        <f t="shared" si="4"/>
        <v/>
      </c>
      <c r="B840" s="137"/>
      <c r="C840" s="137"/>
      <c r="D840" s="136"/>
      <c r="E840" s="139" t="str">
        <f>IF(B840="","",VLOOKUP(C840,CombineSFG!$H$2:$J990,3,FALSE))</f>
        <v/>
      </c>
      <c r="F840" s="136"/>
    </row>
    <row r="841" spans="1:6">
      <c r="A841" s="136" t="str">
        <f t="shared" si="4"/>
        <v/>
      </c>
      <c r="B841" s="137"/>
      <c r="C841" s="137"/>
      <c r="D841" s="136"/>
      <c r="E841" s="139" t="str">
        <f>IF(B841="","",VLOOKUP(C841,CombineSFG!$H$2:$J990,3,FALSE))</f>
        <v/>
      </c>
      <c r="F841" s="136"/>
    </row>
    <row r="842" spans="1:6">
      <c r="A842" s="136" t="str">
        <f t="shared" si="4"/>
        <v/>
      </c>
      <c r="B842" s="137"/>
      <c r="C842" s="137"/>
      <c r="D842" s="136"/>
      <c r="E842" s="139" t="str">
        <f>IF(B842="","",VLOOKUP(C842,CombineSFG!$H$2:$J990,3,FALSE))</f>
        <v/>
      </c>
      <c r="F842" s="136"/>
    </row>
    <row r="843" spans="1:6">
      <c r="A843" s="136" t="str">
        <f t="shared" si="4"/>
        <v/>
      </c>
      <c r="B843" s="137"/>
      <c r="C843" s="137"/>
      <c r="D843" s="136"/>
      <c r="E843" s="139" t="str">
        <f>IF(B843="","",VLOOKUP(C843,CombineSFG!$H$2:$J990,3,FALSE))</f>
        <v/>
      </c>
      <c r="F843" s="136"/>
    </row>
    <row r="844" spans="1:6">
      <c r="A844" s="136" t="str">
        <f t="shared" si="4"/>
        <v/>
      </c>
      <c r="B844" s="137"/>
      <c r="C844" s="137"/>
      <c r="D844" s="136"/>
      <c r="E844" s="139" t="str">
        <f>IF(B844="","",VLOOKUP(C844,CombineSFG!$H$2:$J990,3,FALSE))</f>
        <v/>
      </c>
      <c r="F844" s="136"/>
    </row>
    <row r="845" spans="1:6">
      <c r="A845" s="136" t="str">
        <f t="shared" si="4"/>
        <v/>
      </c>
      <c r="B845" s="137"/>
      <c r="C845" s="137"/>
      <c r="D845" s="136"/>
      <c r="E845" s="139" t="str">
        <f>IF(B845="","",VLOOKUP(C845,CombineSFG!$H$2:$J990,3,FALSE))</f>
        <v/>
      </c>
      <c r="F845" s="136"/>
    </row>
    <row r="846" spans="1:6">
      <c r="A846" s="136" t="str">
        <f t="shared" si="4"/>
        <v/>
      </c>
      <c r="B846" s="137"/>
      <c r="C846" s="137"/>
      <c r="D846" s="136"/>
      <c r="E846" s="139" t="str">
        <f>IF(B846="","",VLOOKUP(C846,CombineSFG!$H$2:$J990,3,FALSE))</f>
        <v/>
      </c>
      <c r="F846" s="136"/>
    </row>
    <row r="847" spans="1:6">
      <c r="A847" s="136" t="str">
        <f t="shared" si="4"/>
        <v/>
      </c>
      <c r="B847" s="137"/>
      <c r="C847" s="137"/>
      <c r="D847" s="136"/>
      <c r="E847" s="139" t="str">
        <f>IF(B847="","",VLOOKUP(C847,CombineSFG!$H$2:$J990,3,FALSE))</f>
        <v/>
      </c>
      <c r="F847" s="136"/>
    </row>
    <row r="848" spans="1:6">
      <c r="A848" s="136" t="str">
        <f t="shared" si="4"/>
        <v/>
      </c>
      <c r="B848" s="137"/>
      <c r="C848" s="137"/>
      <c r="D848" s="136"/>
      <c r="E848" s="139" t="str">
        <f>IF(B848="","",VLOOKUP(C848,CombineSFG!$H$2:$J990,3,FALSE))</f>
        <v/>
      </c>
      <c r="F848" s="136"/>
    </row>
    <row r="849" spans="1:6">
      <c r="A849" s="136" t="str">
        <f t="shared" si="4"/>
        <v/>
      </c>
      <c r="B849" s="137"/>
      <c r="C849" s="137"/>
      <c r="D849" s="136"/>
      <c r="E849" s="139" t="str">
        <f>IF(B849="","",VLOOKUP(C849,CombineSFG!$H$2:$J990,3,FALSE))</f>
        <v/>
      </c>
      <c r="F849" s="136"/>
    </row>
    <row r="850" spans="1:6">
      <c r="A850" s="136" t="str">
        <f t="shared" si="4"/>
        <v/>
      </c>
      <c r="B850" s="137"/>
      <c r="C850" s="137"/>
      <c r="D850" s="136"/>
      <c r="E850" s="139" t="str">
        <f>IF(B850="","",VLOOKUP(C850,CombineSFG!$H$2:$J990,3,FALSE))</f>
        <v/>
      </c>
      <c r="F850" s="136"/>
    </row>
    <row r="851" spans="1:6">
      <c r="A851" s="136" t="str">
        <f t="shared" si="4"/>
        <v/>
      </c>
      <c r="B851" s="137"/>
      <c r="C851" s="137"/>
      <c r="D851" s="136"/>
      <c r="E851" s="139" t="str">
        <f>IF(B851="","",VLOOKUP(C851,CombineSFG!$H$2:$J990,3,FALSE))</f>
        <v/>
      </c>
      <c r="F851" s="136"/>
    </row>
    <row r="852" spans="1:6">
      <c r="A852" s="136" t="str">
        <f t="shared" si="4"/>
        <v/>
      </c>
      <c r="B852" s="137"/>
      <c r="C852" s="137"/>
      <c r="D852" s="136"/>
      <c r="E852" s="139" t="str">
        <f>IF(B852="","",VLOOKUP(C852,CombineSFG!$H$2:$J990,3,FALSE))</f>
        <v/>
      </c>
      <c r="F852" s="136"/>
    </row>
    <row r="853" spans="1:6">
      <c r="A853" s="136" t="str">
        <f t="shared" si="4"/>
        <v/>
      </c>
      <c r="B853" s="137"/>
      <c r="C853" s="137"/>
      <c r="D853" s="136"/>
      <c r="E853" s="139" t="str">
        <f>IF(B853="","",VLOOKUP(C853,CombineSFG!$H$2:$J990,3,FALSE))</f>
        <v/>
      </c>
      <c r="F853" s="136"/>
    </row>
    <row r="854" spans="1:6">
      <c r="A854" s="136" t="str">
        <f t="shared" si="4"/>
        <v/>
      </c>
      <c r="B854" s="137"/>
      <c r="C854" s="137"/>
      <c r="D854" s="136"/>
      <c r="E854" s="139" t="str">
        <f>IF(B854="","",VLOOKUP(C854,CombineSFG!$H$2:$J990,3,FALSE))</f>
        <v/>
      </c>
      <c r="F854" s="136"/>
    </row>
    <row r="855" spans="1:6">
      <c r="A855" s="136" t="str">
        <f t="shared" si="4"/>
        <v/>
      </c>
      <c r="B855" s="137"/>
      <c r="C855" s="137"/>
      <c r="D855" s="136"/>
      <c r="E855" s="139" t="str">
        <f>IF(B855="","",VLOOKUP(C855,CombineSFG!$H$2:$J990,3,FALSE))</f>
        <v/>
      </c>
      <c r="F855" s="136"/>
    </row>
    <row r="856" spans="1:6">
      <c r="A856" s="136" t="str">
        <f t="shared" si="4"/>
        <v/>
      </c>
      <c r="B856" s="137"/>
      <c r="C856" s="137"/>
      <c r="D856" s="136"/>
      <c r="E856" s="139" t="str">
        <f>IF(B856="","",VLOOKUP(C856,CombineSFG!$H$2:$J990,3,FALSE))</f>
        <v/>
      </c>
      <c r="F856" s="136"/>
    </row>
    <row r="857" spans="1:6">
      <c r="A857" s="136" t="str">
        <f t="shared" si="4"/>
        <v/>
      </c>
      <c r="B857" s="137"/>
      <c r="C857" s="137"/>
      <c r="D857" s="136"/>
      <c r="E857" s="139" t="str">
        <f>IF(B857="","",VLOOKUP(C857,CombineSFG!$H$2:$J990,3,FALSE))</f>
        <v/>
      </c>
      <c r="F857" s="136"/>
    </row>
    <row r="858" spans="1:6">
      <c r="A858" s="136" t="str">
        <f t="shared" si="4"/>
        <v/>
      </c>
      <c r="B858" s="137"/>
      <c r="C858" s="137"/>
      <c r="D858" s="136"/>
      <c r="E858" s="139" t="str">
        <f>IF(B858="","",VLOOKUP(C858,CombineSFG!$H$2:$J990,3,FALSE))</f>
        <v/>
      </c>
      <c r="F858" s="136"/>
    </row>
    <row r="859" spans="1:6">
      <c r="A859" s="136" t="str">
        <f t="shared" si="4"/>
        <v/>
      </c>
      <c r="B859" s="137"/>
      <c r="C859" s="137"/>
      <c r="D859" s="136"/>
      <c r="E859" s="139" t="str">
        <f>IF(B859="","",VLOOKUP(C859,CombineSFG!$H$2:$J990,3,FALSE))</f>
        <v/>
      </c>
      <c r="F859" s="136"/>
    </row>
    <row r="860" spans="1:6">
      <c r="A860" s="136" t="str">
        <f t="shared" si="4"/>
        <v/>
      </c>
      <c r="B860" s="137"/>
      <c r="C860" s="137"/>
      <c r="D860" s="136"/>
      <c r="E860" s="139" t="str">
        <f>IF(B860="","",VLOOKUP(C860,CombineSFG!$H$2:$J990,3,FALSE))</f>
        <v/>
      </c>
      <c r="F860" s="136"/>
    </row>
    <row r="861" spans="1:6">
      <c r="A861" s="136" t="str">
        <f t="shared" si="4"/>
        <v/>
      </c>
      <c r="B861" s="137"/>
      <c r="C861" s="137"/>
      <c r="D861" s="136"/>
      <c r="E861" s="139" t="str">
        <f>IF(B861="","",VLOOKUP(C861,CombineSFG!$H$2:$J990,3,FALSE))</f>
        <v/>
      </c>
      <c r="F861" s="136"/>
    </row>
    <row r="862" spans="1:6">
      <c r="A862" s="136" t="str">
        <f t="shared" si="4"/>
        <v/>
      </c>
      <c r="B862" s="137"/>
      <c r="C862" s="137"/>
      <c r="D862" s="136"/>
      <c r="E862" s="139" t="str">
        <f>IF(B862="","",VLOOKUP(C862,CombineSFG!$H$2:$J990,3,FALSE))</f>
        <v/>
      </c>
      <c r="F862" s="136"/>
    </row>
    <row r="863" spans="1:6">
      <c r="A863" s="136" t="str">
        <f t="shared" si="4"/>
        <v/>
      </c>
      <c r="B863" s="137"/>
      <c r="C863" s="137"/>
      <c r="D863" s="136"/>
      <c r="E863" s="139" t="str">
        <f>IF(B863="","",VLOOKUP(C863,CombineSFG!$H$2:$J990,3,FALSE))</f>
        <v/>
      </c>
      <c r="F863" s="136"/>
    </row>
    <row r="864" spans="1:6">
      <c r="A864" s="136" t="str">
        <f t="shared" si="4"/>
        <v/>
      </c>
      <c r="B864" s="137"/>
      <c r="C864" s="137"/>
      <c r="D864" s="136"/>
      <c r="E864" s="139" t="str">
        <f>IF(B864="","",VLOOKUP(C864,CombineSFG!$H$2:$J990,3,FALSE))</f>
        <v/>
      </c>
      <c r="F864" s="136"/>
    </row>
    <row r="865" spans="1:6">
      <c r="A865" s="136" t="str">
        <f t="shared" si="4"/>
        <v/>
      </c>
      <c r="B865" s="137"/>
      <c r="C865" s="137"/>
      <c r="D865" s="136"/>
      <c r="E865" s="139" t="str">
        <f>IF(B865="","",VLOOKUP(C865,CombineSFG!$H$2:$J990,3,FALSE))</f>
        <v/>
      </c>
      <c r="F865" s="136"/>
    </row>
    <row r="866" spans="1:6">
      <c r="A866" s="136" t="str">
        <f t="shared" si="4"/>
        <v/>
      </c>
      <c r="B866" s="137"/>
      <c r="C866" s="137"/>
      <c r="D866" s="136"/>
      <c r="E866" s="139" t="str">
        <f>IF(B866="","",VLOOKUP(C866,CombineSFG!$H$2:$J990,3,FALSE))</f>
        <v/>
      </c>
      <c r="F866" s="136"/>
    </row>
    <row r="867" spans="1:6">
      <c r="A867" s="136" t="str">
        <f t="shared" si="4"/>
        <v/>
      </c>
      <c r="B867" s="137"/>
      <c r="C867" s="137"/>
      <c r="D867" s="136"/>
      <c r="E867" s="139" t="str">
        <f>IF(B867="","",VLOOKUP(C867,CombineSFG!$H$2:$J990,3,FALSE))</f>
        <v/>
      </c>
      <c r="F867" s="136"/>
    </row>
    <row r="868" spans="1:6">
      <c r="A868" s="136" t="str">
        <f t="shared" si="4"/>
        <v/>
      </c>
      <c r="B868" s="137"/>
      <c r="C868" s="137"/>
      <c r="D868" s="136"/>
      <c r="E868" s="139" t="str">
        <f>IF(B868="","",VLOOKUP(C868,CombineSFG!$H$2:$J990,3,FALSE))</f>
        <v/>
      </c>
      <c r="F868" s="136"/>
    </row>
    <row r="869" spans="1:6">
      <c r="A869" s="136" t="str">
        <f t="shared" si="4"/>
        <v/>
      </c>
      <c r="B869" s="137"/>
      <c r="C869" s="137"/>
      <c r="D869" s="136"/>
      <c r="E869" s="139" t="str">
        <f>IF(B869="","",VLOOKUP(C869,CombineSFG!$H$2:$J990,3,FALSE))</f>
        <v/>
      </c>
      <c r="F869" s="136"/>
    </row>
    <row r="870" spans="1:6">
      <c r="A870" s="136" t="str">
        <f t="shared" si="4"/>
        <v/>
      </c>
      <c r="B870" s="137"/>
      <c r="C870" s="137"/>
      <c r="D870" s="136"/>
      <c r="E870" s="139" t="str">
        <f>IF(B870="","",VLOOKUP(C870,CombineSFG!$H$2:$J990,3,FALSE))</f>
        <v/>
      </c>
      <c r="F870" s="136"/>
    </row>
    <row r="871" spans="1:6">
      <c r="A871" s="136" t="str">
        <f t="shared" si="4"/>
        <v/>
      </c>
      <c r="B871" s="137"/>
      <c r="C871" s="137"/>
      <c r="D871" s="136"/>
      <c r="E871" s="139" t="str">
        <f>IF(B871="","",VLOOKUP(C871,CombineSFG!$H$2:$J990,3,FALSE))</f>
        <v/>
      </c>
      <c r="F871" s="136"/>
    </row>
    <row r="872" spans="1:6">
      <c r="A872" s="136" t="str">
        <f t="shared" si="4"/>
        <v/>
      </c>
      <c r="B872" s="137"/>
      <c r="C872" s="137"/>
      <c r="D872" s="136"/>
      <c r="E872" s="139" t="str">
        <f>IF(B872="","",VLOOKUP(C872,CombineSFG!$H$2:$J990,3,FALSE))</f>
        <v/>
      </c>
      <c r="F872" s="136"/>
    </row>
    <row r="873" spans="1:6">
      <c r="A873" s="136" t="str">
        <f t="shared" si="4"/>
        <v/>
      </c>
      <c r="B873" s="137"/>
      <c r="C873" s="137"/>
      <c r="D873" s="136"/>
      <c r="E873" s="139" t="str">
        <f>IF(B873="","",VLOOKUP(C873,CombineSFG!$H$2:$J990,3,FALSE))</f>
        <v/>
      </c>
      <c r="F873" s="136"/>
    </row>
    <row r="874" spans="1:6">
      <c r="A874" s="136" t="str">
        <f t="shared" si="4"/>
        <v/>
      </c>
      <c r="B874" s="137"/>
      <c r="C874" s="137"/>
      <c r="D874" s="136"/>
      <c r="E874" s="139" t="str">
        <f>IF(B874="","",VLOOKUP(C874,CombineSFG!$H$2:$J990,3,FALSE))</f>
        <v/>
      </c>
      <c r="F874" s="136"/>
    </row>
    <row r="875" spans="1:6">
      <c r="A875" s="136" t="str">
        <f t="shared" si="4"/>
        <v/>
      </c>
      <c r="B875" s="137"/>
      <c r="C875" s="137"/>
      <c r="D875" s="136"/>
      <c r="E875" s="139" t="str">
        <f>IF(B875="","",VLOOKUP(C875,CombineSFG!$H$2:$J990,3,FALSE))</f>
        <v/>
      </c>
      <c r="F875" s="136"/>
    </row>
    <row r="876" spans="1:6">
      <c r="A876" s="136" t="str">
        <f t="shared" si="4"/>
        <v/>
      </c>
      <c r="B876" s="137"/>
      <c r="C876" s="137"/>
      <c r="D876" s="136"/>
      <c r="E876" s="139" t="str">
        <f>IF(B876="","",VLOOKUP(C876,CombineSFG!$H$2:$J990,3,FALSE))</f>
        <v/>
      </c>
      <c r="F876" s="136"/>
    </row>
    <row r="877" spans="1:6">
      <c r="A877" s="136" t="str">
        <f t="shared" si="4"/>
        <v/>
      </c>
      <c r="B877" s="137"/>
      <c r="C877" s="137"/>
      <c r="D877" s="136"/>
      <c r="E877" s="139" t="str">
        <f>IF(B877="","",VLOOKUP(C877,CombineSFG!$H$2:$J990,3,FALSE))</f>
        <v/>
      </c>
      <c r="F877" s="136"/>
    </row>
    <row r="878" spans="1:6">
      <c r="A878" s="136" t="str">
        <f t="shared" si="4"/>
        <v/>
      </c>
      <c r="B878" s="137"/>
      <c r="C878" s="137"/>
      <c r="D878" s="136"/>
      <c r="E878" s="139" t="str">
        <f>IF(B878="","",VLOOKUP(C878,CombineSFG!$H$2:$J990,3,FALSE))</f>
        <v/>
      </c>
      <c r="F878" s="136"/>
    </row>
    <row r="879" spans="1:6">
      <c r="A879" s="136" t="str">
        <f t="shared" si="4"/>
        <v/>
      </c>
      <c r="B879" s="137"/>
      <c r="C879" s="137"/>
      <c r="D879" s="136"/>
      <c r="E879" s="139" t="str">
        <f>IF(B879="","",VLOOKUP(C879,CombineSFG!$H$2:$J990,3,FALSE))</f>
        <v/>
      </c>
      <c r="F879" s="136"/>
    </row>
    <row r="880" spans="1:6">
      <c r="A880" s="136" t="str">
        <f t="shared" si="4"/>
        <v/>
      </c>
      <c r="B880" s="137"/>
      <c r="C880" s="137"/>
      <c r="D880" s="136"/>
      <c r="E880" s="139" t="str">
        <f>IF(B880="","",VLOOKUP(C880,CombineSFG!$H$2:$J990,3,FALSE))</f>
        <v/>
      </c>
      <c r="F880" s="136"/>
    </row>
    <row r="881" spans="1:6">
      <c r="A881" s="136" t="str">
        <f t="shared" si="4"/>
        <v/>
      </c>
      <c r="B881" s="137"/>
      <c r="C881" s="137"/>
      <c r="D881" s="136"/>
      <c r="E881" s="139" t="str">
        <f>IF(B881="","",VLOOKUP(C881,CombineSFG!$H$2:$J990,3,FALSE))</f>
        <v/>
      </c>
      <c r="F881" s="136"/>
    </row>
    <row r="882" spans="1:6">
      <c r="A882" s="136" t="str">
        <f t="shared" si="4"/>
        <v/>
      </c>
      <c r="B882" s="137"/>
      <c r="C882" s="137"/>
      <c r="D882" s="136"/>
      <c r="E882" s="139" t="str">
        <f>IF(B882="","",VLOOKUP(C882,CombineSFG!$H$2:$J990,3,FALSE))</f>
        <v/>
      </c>
      <c r="F882" s="136"/>
    </row>
    <row r="883" spans="1:6">
      <c r="A883" s="136" t="str">
        <f t="shared" si="4"/>
        <v/>
      </c>
      <c r="B883" s="137"/>
      <c r="C883" s="137"/>
      <c r="D883" s="136"/>
      <c r="E883" s="139" t="str">
        <f>IF(B883="","",VLOOKUP(C883,CombineSFG!$H$2:$J990,3,FALSE))</f>
        <v/>
      </c>
      <c r="F883" s="136"/>
    </row>
    <row r="884" spans="1:6">
      <c r="A884" s="136" t="str">
        <f t="shared" si="4"/>
        <v/>
      </c>
      <c r="B884" s="137"/>
      <c r="C884" s="137"/>
      <c r="D884" s="136"/>
      <c r="E884" s="139" t="str">
        <f>IF(B884="","",VLOOKUP(C884,CombineSFG!$H$2:$J990,3,FALSE))</f>
        <v/>
      </c>
      <c r="F884" s="136"/>
    </row>
    <row r="885" spans="1:6">
      <c r="A885" s="136" t="str">
        <f t="shared" si="4"/>
        <v/>
      </c>
      <c r="B885" s="137"/>
      <c r="C885" s="137"/>
      <c r="D885" s="136"/>
      <c r="E885" s="139" t="str">
        <f>IF(B885="","",VLOOKUP(C885,CombineSFG!$H$2:$J990,3,FALSE))</f>
        <v/>
      </c>
      <c r="F885" s="136"/>
    </row>
    <row r="886" spans="1:6">
      <c r="A886" s="136" t="str">
        <f t="shared" si="4"/>
        <v/>
      </c>
      <c r="B886" s="137"/>
      <c r="C886" s="137"/>
      <c r="D886" s="136"/>
      <c r="E886" s="139" t="str">
        <f>IF(B886="","",VLOOKUP(C886,CombineSFG!$H$2:$J990,3,FALSE))</f>
        <v/>
      </c>
      <c r="F886" s="136"/>
    </row>
    <row r="887" spans="1:6">
      <c r="A887" s="136" t="str">
        <f t="shared" si="4"/>
        <v/>
      </c>
      <c r="B887" s="137"/>
      <c r="C887" s="137"/>
      <c r="D887" s="136"/>
      <c r="E887" s="139" t="str">
        <f>IF(B887="","",VLOOKUP(C887,CombineSFG!$H$2:$J990,3,FALSE))</f>
        <v/>
      </c>
      <c r="F887" s="136"/>
    </row>
    <row r="888" spans="1:6">
      <c r="A888" s="136" t="str">
        <f t="shared" si="4"/>
        <v/>
      </c>
      <c r="B888" s="137"/>
      <c r="C888" s="137"/>
      <c r="D888" s="136"/>
      <c r="E888" s="139" t="str">
        <f>IF(B888="","",VLOOKUP(C888,CombineSFG!$H$2:$J990,3,FALSE))</f>
        <v/>
      </c>
      <c r="F888" s="136"/>
    </row>
    <row r="889" spans="1:6">
      <c r="A889" s="136" t="str">
        <f t="shared" si="4"/>
        <v/>
      </c>
      <c r="B889" s="137"/>
      <c r="C889" s="137"/>
      <c r="D889" s="136"/>
      <c r="E889" s="139" t="str">
        <f>IF(B889="","",VLOOKUP(C889,CombineSFG!$H$2:$J990,3,FALSE))</f>
        <v/>
      </c>
      <c r="F889" s="136"/>
    </row>
    <row r="890" spans="1:6">
      <c r="A890" s="136" t="str">
        <f t="shared" si="4"/>
        <v/>
      </c>
      <c r="B890" s="137"/>
      <c r="C890" s="137"/>
      <c r="D890" s="136"/>
      <c r="E890" s="139" t="str">
        <f>IF(B890="","",VLOOKUP(C890,CombineSFG!$H$2:$J990,3,FALSE))</f>
        <v/>
      </c>
      <c r="F890" s="136"/>
    </row>
    <row r="891" spans="1:6">
      <c r="A891" s="136" t="str">
        <f t="shared" si="4"/>
        <v/>
      </c>
      <c r="B891" s="137"/>
      <c r="C891" s="137"/>
      <c r="D891" s="136"/>
      <c r="E891" s="139" t="str">
        <f>IF(B891="","",VLOOKUP(C891,CombineSFG!$H$2:$J990,3,FALSE))</f>
        <v/>
      </c>
      <c r="F891" s="136"/>
    </row>
    <row r="892" spans="1:6">
      <c r="A892" s="136" t="str">
        <f t="shared" si="4"/>
        <v/>
      </c>
      <c r="B892" s="137"/>
      <c r="C892" s="137"/>
      <c r="D892" s="136"/>
      <c r="E892" s="139" t="str">
        <f>IF(B892="","",VLOOKUP(C892,CombineSFG!$H$2:$J990,3,FALSE))</f>
        <v/>
      </c>
      <c r="F892" s="136"/>
    </row>
    <row r="893" spans="1:6">
      <c r="A893" s="136" t="str">
        <f t="shared" si="4"/>
        <v/>
      </c>
      <c r="B893" s="137"/>
      <c r="C893" s="137"/>
      <c r="D893" s="136"/>
      <c r="E893" s="139" t="str">
        <f>IF(B893="","",VLOOKUP(C893,CombineSFG!$H$2:$J990,3,FALSE))</f>
        <v/>
      </c>
      <c r="F893" s="136"/>
    </row>
    <row r="894" spans="1:6">
      <c r="A894" s="136" t="str">
        <f t="shared" si="4"/>
        <v/>
      </c>
      <c r="B894" s="137"/>
      <c r="C894" s="137"/>
      <c r="D894" s="136"/>
      <c r="E894" s="139" t="str">
        <f>IF(B894="","",VLOOKUP(C894,CombineSFG!$H$2:$J990,3,FALSE))</f>
        <v/>
      </c>
      <c r="F894" s="136"/>
    </row>
    <row r="895" spans="1:6">
      <c r="A895" s="136" t="str">
        <f t="shared" si="4"/>
        <v/>
      </c>
      <c r="B895" s="137"/>
      <c r="C895" s="137"/>
      <c r="D895" s="136"/>
      <c r="E895" s="139" t="str">
        <f>IF(B895="","",VLOOKUP(C895,CombineSFG!$H$2:$J990,3,FALSE))</f>
        <v/>
      </c>
      <c r="F895" s="136"/>
    </row>
    <row r="896" spans="1:6">
      <c r="A896" s="136" t="str">
        <f t="shared" si="4"/>
        <v/>
      </c>
      <c r="B896" s="137"/>
      <c r="C896" s="137"/>
      <c r="D896" s="136"/>
      <c r="E896" s="139" t="str">
        <f>IF(B896="","",VLOOKUP(C896,CombineSFG!$H$2:$J990,3,FALSE))</f>
        <v/>
      </c>
      <c r="F896" s="136"/>
    </row>
    <row r="897" spans="1:6">
      <c r="A897" s="136" t="str">
        <f t="shared" si="4"/>
        <v/>
      </c>
      <c r="B897" s="137"/>
      <c r="C897" s="137"/>
      <c r="D897" s="136"/>
      <c r="E897" s="139" t="str">
        <f>IF(B897="","",VLOOKUP(C897,CombineSFG!$H$2:$J990,3,FALSE))</f>
        <v/>
      </c>
      <c r="F897" s="136"/>
    </row>
    <row r="898" spans="1:6">
      <c r="A898" s="136" t="str">
        <f t="shared" si="4"/>
        <v/>
      </c>
      <c r="B898" s="137"/>
      <c r="C898" s="137"/>
      <c r="D898" s="136"/>
      <c r="E898" s="139" t="str">
        <f>IF(B898="","",VLOOKUP(C898,CombineSFG!$H$2:$J990,3,FALSE))</f>
        <v/>
      </c>
      <c r="F898" s="136"/>
    </row>
    <row r="899" spans="1:6">
      <c r="A899" s="136" t="str">
        <f t="shared" si="4"/>
        <v/>
      </c>
      <c r="B899" s="137"/>
      <c r="C899" s="137"/>
      <c r="D899" s="136"/>
      <c r="E899" s="139" t="str">
        <f>IF(B899="","",VLOOKUP(C899,CombineSFG!$H$2:$J990,3,FALSE))</f>
        <v/>
      </c>
      <c r="F899" s="136"/>
    </row>
    <row r="900" spans="1:6">
      <c r="A900" s="136" t="str">
        <f t="shared" si="4"/>
        <v/>
      </c>
      <c r="B900" s="137"/>
      <c r="C900" s="137"/>
      <c r="D900" s="136"/>
      <c r="E900" s="139" t="str">
        <f>IF(B900="","",VLOOKUP(C900,CombineSFG!$H$2:$J990,3,FALSE))</f>
        <v/>
      </c>
      <c r="F900" s="136"/>
    </row>
    <row r="901" spans="1:6">
      <c r="A901" s="136" t="str">
        <f t="shared" si="4"/>
        <v/>
      </c>
      <c r="B901" s="137"/>
      <c r="C901" s="137"/>
      <c r="D901" s="136"/>
      <c r="E901" s="139" t="str">
        <f>IF(B901="","",VLOOKUP(C901,CombineSFG!$H$2:$J990,3,FALSE))</f>
        <v/>
      </c>
      <c r="F901" s="136"/>
    </row>
    <row r="902" spans="1:6">
      <c r="A902" s="136" t="str">
        <f t="shared" si="4"/>
        <v/>
      </c>
      <c r="B902" s="137"/>
      <c r="C902" s="137"/>
      <c r="D902" s="136"/>
      <c r="E902" s="139" t="str">
        <f>IF(B902="","",VLOOKUP(C902,CombineSFG!$H$2:$J990,3,FALSE))</f>
        <v/>
      </c>
      <c r="F902" s="136"/>
    </row>
    <row r="903" spans="1:6">
      <c r="A903" s="136" t="str">
        <f t="shared" si="4"/>
        <v/>
      </c>
      <c r="B903" s="137"/>
      <c r="C903" s="137"/>
      <c r="D903" s="136"/>
      <c r="E903" s="139" t="str">
        <f>IF(B903="","",VLOOKUP(C903,CombineSFG!$H$2:$J990,3,FALSE))</f>
        <v/>
      </c>
      <c r="F903" s="136"/>
    </row>
    <row r="904" spans="1:6">
      <c r="A904" s="136" t="str">
        <f t="shared" si="4"/>
        <v/>
      </c>
      <c r="B904" s="137"/>
      <c r="C904" s="137"/>
      <c r="D904" s="136"/>
      <c r="E904" s="139" t="str">
        <f>IF(B904="","",VLOOKUP(C904,CombineSFG!$H$2:$J990,3,FALSE))</f>
        <v/>
      </c>
      <c r="F904" s="136"/>
    </row>
    <row r="905" spans="1:6">
      <c r="A905" s="136" t="str">
        <f t="shared" si="4"/>
        <v/>
      </c>
      <c r="B905" s="137"/>
      <c r="C905" s="137"/>
      <c r="D905" s="136"/>
      <c r="E905" s="139" t="str">
        <f>IF(B905="","",VLOOKUP(C905,CombineSFG!$H$2:$J990,3,FALSE))</f>
        <v/>
      </c>
      <c r="F905" s="136"/>
    </row>
    <row r="906" spans="1:6">
      <c r="A906" s="136" t="str">
        <f t="shared" si="4"/>
        <v/>
      </c>
      <c r="B906" s="137"/>
      <c r="C906" s="137"/>
      <c r="D906" s="136"/>
      <c r="E906" s="139" t="str">
        <f>IF(B906="","",VLOOKUP(C906,CombineSFG!$H$2:$J990,3,FALSE))</f>
        <v/>
      </c>
      <c r="F906" s="136"/>
    </row>
    <row r="907" spans="1:6">
      <c r="A907" s="136" t="str">
        <f t="shared" si="4"/>
        <v/>
      </c>
      <c r="B907" s="137"/>
      <c r="C907" s="137"/>
      <c r="D907" s="136"/>
      <c r="E907" s="139" t="str">
        <f>IF(B907="","",VLOOKUP(C907,CombineSFG!$H$2:$J990,3,FALSE))</f>
        <v/>
      </c>
      <c r="F907" s="136"/>
    </row>
    <row r="908" spans="1:6">
      <c r="A908" s="136" t="str">
        <f t="shared" si="4"/>
        <v/>
      </c>
      <c r="B908" s="137"/>
      <c r="C908" s="137"/>
      <c r="D908" s="136"/>
      <c r="E908" s="139" t="str">
        <f>IF(B908="","",VLOOKUP(C908,CombineSFG!$H$2:$J990,3,FALSE))</f>
        <v/>
      </c>
      <c r="F908" s="136"/>
    </row>
    <row r="909" spans="1:6">
      <c r="A909" s="136" t="str">
        <f t="shared" si="4"/>
        <v/>
      </c>
      <c r="B909" s="137"/>
      <c r="C909" s="137"/>
      <c r="D909" s="136"/>
      <c r="E909" s="139" t="str">
        <f>IF(B909="","",VLOOKUP(C909,CombineSFG!$H$2:$J990,3,FALSE))</f>
        <v/>
      </c>
      <c r="F909" s="136"/>
    </row>
    <row r="910" spans="1:6">
      <c r="A910" s="136" t="str">
        <f t="shared" si="4"/>
        <v/>
      </c>
      <c r="B910" s="137"/>
      <c r="C910" s="137"/>
      <c r="D910" s="136"/>
      <c r="E910" s="139" t="str">
        <f>IF(B910="","",VLOOKUP(C910,CombineSFG!$H$2:$J990,3,FALSE))</f>
        <v/>
      </c>
      <c r="F910" s="136"/>
    </row>
    <row r="911" spans="1:6">
      <c r="A911" s="136" t="str">
        <f t="shared" si="4"/>
        <v/>
      </c>
      <c r="B911" s="137"/>
      <c r="C911" s="137"/>
      <c r="D911" s="136"/>
      <c r="E911" s="139" t="str">
        <f>IF(B911="","",VLOOKUP(C911,CombineSFG!$H$2:$J990,3,FALSE))</f>
        <v/>
      </c>
      <c r="F911" s="136"/>
    </row>
    <row r="912" spans="1:6">
      <c r="A912" s="136" t="str">
        <f t="shared" si="4"/>
        <v/>
      </c>
      <c r="B912" s="137"/>
      <c r="C912" s="137"/>
      <c r="D912" s="136"/>
      <c r="E912" s="139" t="str">
        <f>IF(B912="","",VLOOKUP(C912,CombineSFG!$H$2:$J990,3,FALSE))</f>
        <v/>
      </c>
      <c r="F912" s="136"/>
    </row>
    <row r="913" spans="1:6">
      <c r="A913" s="136" t="str">
        <f t="shared" si="4"/>
        <v/>
      </c>
      <c r="B913" s="137"/>
      <c r="C913" s="137"/>
      <c r="D913" s="136"/>
      <c r="E913" s="139" t="str">
        <f>IF(B913="","",VLOOKUP(C913,CombineSFG!$H$2:$J990,3,FALSE))</f>
        <v/>
      </c>
      <c r="F913" s="136"/>
    </row>
    <row r="914" spans="1:6">
      <c r="A914" s="136" t="str">
        <f t="shared" si="4"/>
        <v/>
      </c>
      <c r="B914" s="137"/>
      <c r="C914" s="137"/>
      <c r="D914" s="136"/>
      <c r="E914" s="139" t="str">
        <f>IF(B914="","",VLOOKUP(C914,CombineSFG!$H$2:$J990,3,FALSE))</f>
        <v/>
      </c>
      <c r="F914" s="136"/>
    </row>
    <row r="915" spans="1:6">
      <c r="A915" s="136" t="str">
        <f t="shared" si="4"/>
        <v/>
      </c>
      <c r="B915" s="137"/>
      <c r="C915" s="137"/>
      <c r="D915" s="136"/>
      <c r="E915" s="139" t="str">
        <f>IF(B915="","",VLOOKUP(C915,CombineSFG!$H$2:$J990,3,FALSE))</f>
        <v/>
      </c>
      <c r="F915" s="136"/>
    </row>
    <row r="916" spans="1:6">
      <c r="A916" s="136" t="str">
        <f t="shared" si="4"/>
        <v/>
      </c>
      <c r="B916" s="137"/>
      <c r="C916" s="137"/>
      <c r="D916" s="136"/>
      <c r="E916" s="139" t="str">
        <f>IF(B916="","",VLOOKUP(C916,CombineSFG!$H$2:$J990,3,FALSE))</f>
        <v/>
      </c>
      <c r="F916" s="136"/>
    </row>
    <row r="917" spans="1:6">
      <c r="A917" s="136" t="str">
        <f t="shared" si="4"/>
        <v/>
      </c>
      <c r="B917" s="137"/>
      <c r="C917" s="137"/>
      <c r="D917" s="136"/>
      <c r="E917" s="139" t="str">
        <f>IF(B917="","",VLOOKUP(C917,CombineSFG!$H$2:$J990,3,FALSE))</f>
        <v/>
      </c>
      <c r="F917" s="136"/>
    </row>
    <row r="918" spans="1:6">
      <c r="A918" s="136" t="str">
        <f t="shared" si="4"/>
        <v/>
      </c>
      <c r="B918" s="137"/>
      <c r="C918" s="137"/>
      <c r="D918" s="136"/>
      <c r="E918" s="139" t="str">
        <f>IF(B918="","",VLOOKUP(C918,CombineSFG!$H$2:$J990,3,FALSE))</f>
        <v/>
      </c>
      <c r="F918" s="136"/>
    </row>
    <row r="919" spans="1:6">
      <c r="A919" s="136" t="str">
        <f t="shared" si="4"/>
        <v/>
      </c>
      <c r="B919" s="137"/>
      <c r="C919" s="137"/>
      <c r="D919" s="136"/>
      <c r="E919" s="139" t="str">
        <f>IF(B919="","",VLOOKUP(C919,CombineSFG!$H$2:$J990,3,FALSE))</f>
        <v/>
      </c>
      <c r="F919" s="136"/>
    </row>
    <row r="920" spans="1:6">
      <c r="A920" s="136" t="str">
        <f t="shared" si="4"/>
        <v/>
      </c>
      <c r="B920" s="137"/>
      <c r="C920" s="137"/>
      <c r="D920" s="136"/>
      <c r="E920" s="139" t="str">
        <f>IF(B920="","",VLOOKUP(C920,CombineSFG!$H$2:$J990,3,FALSE))</f>
        <v/>
      </c>
      <c r="F920" s="136"/>
    </row>
    <row r="921" spans="1:6">
      <c r="A921" s="136" t="str">
        <f t="shared" si="4"/>
        <v/>
      </c>
      <c r="B921" s="137"/>
      <c r="C921" s="137"/>
      <c r="D921" s="136"/>
      <c r="E921" s="139" t="str">
        <f>IF(B921="","",VLOOKUP(C921,CombineSFG!$H$2:$J990,3,FALSE))</f>
        <v/>
      </c>
      <c r="F921" s="136"/>
    </row>
    <row r="922" spans="1:6">
      <c r="A922" s="136" t="str">
        <f t="shared" si="4"/>
        <v/>
      </c>
      <c r="B922" s="137"/>
      <c r="C922" s="137"/>
      <c r="D922" s="136"/>
      <c r="E922" s="139" t="str">
        <f>IF(B922="","",VLOOKUP(C922,CombineSFG!$H$2:$J990,3,FALSE))</f>
        <v/>
      </c>
      <c r="F922" s="136"/>
    </row>
    <row r="923" spans="1:6">
      <c r="A923" s="136" t="str">
        <f t="shared" si="4"/>
        <v/>
      </c>
      <c r="B923" s="137"/>
      <c r="C923" s="137"/>
      <c r="D923" s="136"/>
      <c r="E923" s="139" t="str">
        <f>IF(B923="","",VLOOKUP(C923,CombineSFG!$H$2:$J990,3,FALSE))</f>
        <v/>
      </c>
      <c r="F923" s="136"/>
    </row>
    <row r="924" spans="1:6">
      <c r="A924" s="136" t="str">
        <f t="shared" si="4"/>
        <v/>
      </c>
      <c r="B924" s="137"/>
      <c r="C924" s="137"/>
      <c r="D924" s="136"/>
      <c r="E924" s="139" t="str">
        <f>IF(B924="","",VLOOKUP(C924,CombineSFG!$H$2:$J990,3,FALSE))</f>
        <v/>
      </c>
      <c r="F924" s="136"/>
    </row>
    <row r="925" spans="1:6">
      <c r="A925" s="136" t="str">
        <f t="shared" si="4"/>
        <v/>
      </c>
      <c r="B925" s="137"/>
      <c r="C925" s="137"/>
      <c r="D925" s="136"/>
      <c r="E925" s="139" t="str">
        <f>IF(B925="","",VLOOKUP(C925,CombineSFG!$H$2:$J990,3,FALSE))</f>
        <v/>
      </c>
      <c r="F925" s="136"/>
    </row>
    <row r="926" spans="1:6">
      <c r="A926" s="136" t="str">
        <f t="shared" si="4"/>
        <v/>
      </c>
      <c r="B926" s="137"/>
      <c r="C926" s="137"/>
      <c r="D926" s="136"/>
      <c r="E926" s="139" t="str">
        <f>IF(B926="","",VLOOKUP(C926,CombineSFG!$H$2:$J990,3,FALSE))</f>
        <v/>
      </c>
      <c r="F926" s="136"/>
    </row>
    <row r="927" spans="1:6">
      <c r="A927" s="136" t="str">
        <f t="shared" si="4"/>
        <v/>
      </c>
      <c r="B927" s="137"/>
      <c r="C927" s="137"/>
      <c r="D927" s="136"/>
      <c r="E927" s="139" t="str">
        <f>IF(B927="","",VLOOKUP(C927,CombineSFG!$H$2:$J990,3,FALSE))</f>
        <v/>
      </c>
      <c r="F927" s="136"/>
    </row>
    <row r="928" spans="1:6">
      <c r="A928" s="136" t="str">
        <f t="shared" si="4"/>
        <v/>
      </c>
      <c r="B928" s="137"/>
      <c r="C928" s="137"/>
      <c r="D928" s="136"/>
      <c r="E928" s="139" t="str">
        <f>IF(B928="","",VLOOKUP(C928,CombineSFG!$H$2:$J990,3,FALSE))</f>
        <v/>
      </c>
      <c r="F928" s="136"/>
    </row>
    <row r="929" spans="1:6">
      <c r="A929" s="136" t="str">
        <f t="shared" si="4"/>
        <v/>
      </c>
      <c r="B929" s="137"/>
      <c r="C929" s="137"/>
      <c r="D929" s="136"/>
      <c r="E929" s="139" t="str">
        <f>IF(B929="","",VLOOKUP(C929,CombineSFG!$H$2:$J990,3,FALSE))</f>
        <v/>
      </c>
      <c r="F929" s="136"/>
    </row>
    <row r="930" spans="1:6">
      <c r="A930" s="136" t="str">
        <f t="shared" si="4"/>
        <v/>
      </c>
      <c r="B930" s="137"/>
      <c r="C930" s="137"/>
      <c r="D930" s="136"/>
      <c r="E930" s="139" t="str">
        <f>IF(B930="","",VLOOKUP(C930,CombineSFG!$H$2:$J990,3,FALSE))</f>
        <v/>
      </c>
      <c r="F930" s="136"/>
    </row>
    <row r="931" spans="1:6">
      <c r="A931" s="136" t="str">
        <f t="shared" si="4"/>
        <v/>
      </c>
      <c r="B931" s="137"/>
      <c r="C931" s="137"/>
      <c r="D931" s="136"/>
      <c r="E931" s="139" t="str">
        <f>IF(B931="","",VLOOKUP(C931,CombineSFG!$H$2:$J990,3,FALSE))</f>
        <v/>
      </c>
      <c r="F931" s="136"/>
    </row>
    <row r="932" spans="1:6">
      <c r="A932" s="136" t="str">
        <f t="shared" si="4"/>
        <v/>
      </c>
      <c r="B932" s="137"/>
      <c r="C932" s="137"/>
      <c r="D932" s="136"/>
      <c r="E932" s="139" t="str">
        <f>IF(B932="","",VLOOKUP(C932,CombineSFG!$H$2:$J990,3,FALSE))</f>
        <v/>
      </c>
      <c r="F932" s="136"/>
    </row>
    <row r="933" spans="1:6">
      <c r="A933" s="136" t="str">
        <f t="shared" si="4"/>
        <v/>
      </c>
      <c r="B933" s="137"/>
      <c r="C933" s="137"/>
      <c r="D933" s="136"/>
      <c r="E933" s="139" t="str">
        <f>IF(B933="","",VLOOKUP(C933,CombineSFG!$H$2:$J990,3,FALSE))</f>
        <v/>
      </c>
      <c r="F933" s="136"/>
    </row>
    <row r="934" spans="1:6">
      <c r="A934" s="136" t="str">
        <f t="shared" si="4"/>
        <v/>
      </c>
      <c r="B934" s="137"/>
      <c r="C934" s="137"/>
      <c r="D934" s="136"/>
      <c r="E934" s="139" t="str">
        <f>IF(B934="","",VLOOKUP(C934,CombineSFG!$H$2:$J990,3,FALSE))</f>
        <v/>
      </c>
      <c r="F934" s="136"/>
    </row>
    <row r="935" spans="1:6">
      <c r="A935" s="136" t="str">
        <f t="shared" si="4"/>
        <v/>
      </c>
      <c r="B935" s="137"/>
      <c r="C935" s="137"/>
      <c r="D935" s="136"/>
      <c r="E935" s="139" t="str">
        <f>IF(B935="","",VLOOKUP(C935,CombineSFG!$H$2:$J990,3,FALSE))</f>
        <v/>
      </c>
      <c r="F935" s="136"/>
    </row>
    <row r="936" spans="1:6">
      <c r="A936" s="136" t="str">
        <f t="shared" si="4"/>
        <v/>
      </c>
      <c r="B936" s="137"/>
      <c r="C936" s="137"/>
      <c r="D936" s="136"/>
      <c r="E936" s="139" t="str">
        <f>IF(B936="","",VLOOKUP(C936,CombineSFG!$H$2:$J990,3,FALSE))</f>
        <v/>
      </c>
      <c r="F936" s="136"/>
    </row>
    <row r="937" spans="1:6">
      <c r="A937" s="136" t="str">
        <f t="shared" si="4"/>
        <v/>
      </c>
      <c r="B937" s="137"/>
      <c r="C937" s="137"/>
      <c r="D937" s="136"/>
      <c r="E937" s="139" t="str">
        <f>IF(B937="","",VLOOKUP(C937,CombineSFG!$H$2:$J990,3,FALSE))</f>
        <v/>
      </c>
      <c r="F937" s="136"/>
    </row>
    <row r="938" spans="1:6">
      <c r="A938" s="136" t="str">
        <f t="shared" si="4"/>
        <v/>
      </c>
      <c r="B938" s="137"/>
      <c r="C938" s="137"/>
      <c r="D938" s="136"/>
      <c r="E938" s="139" t="str">
        <f>IF(B938="","",VLOOKUP(C938,CombineSFG!$H$2:$J990,3,FALSE))</f>
        <v/>
      </c>
      <c r="F938" s="136"/>
    </row>
    <row r="939" spans="1:6">
      <c r="A939" s="136" t="str">
        <f t="shared" si="4"/>
        <v/>
      </c>
      <c r="B939" s="137"/>
      <c r="C939" s="137"/>
      <c r="D939" s="136"/>
      <c r="E939" s="139" t="str">
        <f>IF(B939="","",VLOOKUP(C939,CombineSFG!$H$2:$J990,3,FALSE))</f>
        <v/>
      </c>
      <c r="F939" s="136"/>
    </row>
    <row r="940" spans="1:6">
      <c r="A940" s="136" t="str">
        <f t="shared" si="4"/>
        <v/>
      </c>
      <c r="B940" s="137"/>
      <c r="C940" s="137"/>
      <c r="D940" s="136"/>
      <c r="E940" s="139" t="str">
        <f>IF(B940="","",VLOOKUP(C940,CombineSFG!$H$2:$J990,3,FALSE))</f>
        <v/>
      </c>
      <c r="F940" s="136"/>
    </row>
    <row r="941" spans="1:6">
      <c r="A941" s="136" t="str">
        <f t="shared" si="4"/>
        <v/>
      </c>
      <c r="B941" s="137"/>
      <c r="C941" s="137"/>
      <c r="D941" s="136"/>
      <c r="E941" s="139" t="str">
        <f>IF(B941="","",VLOOKUP(C941,CombineSFG!$H$2:$J990,3,FALSE))</f>
        <v/>
      </c>
      <c r="F941" s="136"/>
    </row>
    <row r="942" spans="1:6">
      <c r="A942" s="136" t="str">
        <f t="shared" si="4"/>
        <v/>
      </c>
      <c r="B942" s="137"/>
      <c r="C942" s="137"/>
      <c r="D942" s="136"/>
      <c r="E942" s="139" t="str">
        <f>IF(B942="","",VLOOKUP(C942,CombineSFG!$H$2:$J990,3,FALSE))</f>
        <v/>
      </c>
      <c r="F942" s="136"/>
    </row>
    <row r="943" spans="1:6">
      <c r="A943" s="136" t="str">
        <f t="shared" si="4"/>
        <v/>
      </c>
      <c r="B943" s="137"/>
      <c r="C943" s="137"/>
      <c r="D943" s="136"/>
      <c r="E943" s="139" t="str">
        <f>IF(B943="","",VLOOKUP(C943,CombineSFG!$H$2:$J990,3,FALSE))</f>
        <v/>
      </c>
      <c r="F943" s="136"/>
    </row>
    <row r="944" spans="1:6">
      <c r="A944" s="136" t="str">
        <f t="shared" si="4"/>
        <v/>
      </c>
      <c r="B944" s="137"/>
      <c r="C944" s="137"/>
      <c r="D944" s="136"/>
      <c r="E944" s="139" t="str">
        <f>IF(B944="","",VLOOKUP(C944,CombineSFG!$H$2:$J990,3,FALSE))</f>
        <v/>
      </c>
      <c r="F944" s="136"/>
    </row>
    <row r="945" spans="1:6">
      <c r="A945" s="136" t="str">
        <f t="shared" si="4"/>
        <v/>
      </c>
      <c r="B945" s="137"/>
      <c r="C945" s="137"/>
      <c r="D945" s="136"/>
      <c r="E945" s="139" t="str">
        <f>IF(B945="","",VLOOKUP(C945,CombineSFG!$H$2:$J990,3,FALSE))</f>
        <v/>
      </c>
      <c r="F945" s="136"/>
    </row>
    <row r="946" spans="1:6">
      <c r="A946" s="136" t="str">
        <f t="shared" si="4"/>
        <v/>
      </c>
      <c r="B946" s="137"/>
      <c r="C946" s="137"/>
      <c r="D946" s="136"/>
      <c r="E946" s="139" t="str">
        <f>IF(B946="","",VLOOKUP(C946,CombineSFG!$H$2:$J990,3,FALSE))</f>
        <v/>
      </c>
      <c r="F946" s="136"/>
    </row>
    <row r="947" spans="1:6">
      <c r="A947" s="136" t="str">
        <f t="shared" si="4"/>
        <v/>
      </c>
      <c r="B947" s="137"/>
      <c r="C947" s="137"/>
      <c r="D947" s="136"/>
      <c r="E947" s="139" t="str">
        <f>IF(B947="","",VLOOKUP(C947,CombineSFG!$H$2:$J990,3,FALSE))</f>
        <v/>
      </c>
      <c r="F947" s="136"/>
    </row>
    <row r="948" spans="1:6">
      <c r="A948" s="136" t="str">
        <f t="shared" si="4"/>
        <v/>
      </c>
      <c r="B948" s="137"/>
      <c r="C948" s="137"/>
      <c r="D948" s="136"/>
      <c r="E948" s="139" t="str">
        <f>IF(B948="","",VLOOKUP(C948,CombineSFG!$H$2:$J990,3,FALSE))</f>
        <v/>
      </c>
      <c r="F948" s="136"/>
    </row>
    <row r="949" spans="1:6">
      <c r="A949" s="136" t="str">
        <f t="shared" si="4"/>
        <v/>
      </c>
      <c r="B949" s="137"/>
      <c r="C949" s="137"/>
      <c r="D949" s="136"/>
      <c r="E949" s="139" t="str">
        <f>IF(B949="","",VLOOKUP(C949,CombineSFG!$H$2:$J990,3,FALSE))</f>
        <v/>
      </c>
      <c r="F949" s="136"/>
    </row>
    <row r="950" spans="1:6">
      <c r="A950" s="136" t="str">
        <f t="shared" si="4"/>
        <v/>
      </c>
      <c r="B950" s="137"/>
      <c r="C950" s="137"/>
      <c r="D950" s="136"/>
      <c r="E950" s="139" t="str">
        <f>IF(B950="","",VLOOKUP(C950,CombineSFG!$H$2:$J990,3,FALSE))</f>
        <v/>
      </c>
      <c r="F950" s="136"/>
    </row>
    <row r="951" spans="1:6">
      <c r="A951" s="136" t="str">
        <f t="shared" si="4"/>
        <v/>
      </c>
      <c r="B951" s="137"/>
      <c r="C951" s="137"/>
      <c r="D951" s="136"/>
      <c r="E951" s="139" t="str">
        <f>IF(B951="","",VLOOKUP(C951,CombineSFG!$H$2:$J990,3,FALSE))</f>
        <v/>
      </c>
      <c r="F951" s="136"/>
    </row>
    <row r="952" spans="1:6">
      <c r="A952" s="136" t="str">
        <f t="shared" si="4"/>
        <v/>
      </c>
      <c r="B952" s="137"/>
      <c r="C952" s="137"/>
      <c r="D952" s="136"/>
      <c r="E952" s="139" t="str">
        <f>IF(B952="","",VLOOKUP(C952,CombineSFG!$H$2:$J990,3,FALSE))</f>
        <v/>
      </c>
      <c r="F952" s="136"/>
    </row>
    <row r="953" spans="1:6">
      <c r="A953" s="136" t="str">
        <f t="shared" si="4"/>
        <v/>
      </c>
      <c r="B953" s="137"/>
      <c r="C953" s="137"/>
      <c r="D953" s="136"/>
      <c r="E953" s="139" t="str">
        <f>IF(B953="","",VLOOKUP(C953,CombineSFG!$H$2:$J990,3,FALSE))</f>
        <v/>
      </c>
      <c r="F953" s="136"/>
    </row>
    <row r="954" spans="1:6">
      <c r="A954" s="136" t="str">
        <f t="shared" si="4"/>
        <v/>
      </c>
      <c r="B954" s="137"/>
      <c r="C954" s="137"/>
      <c r="D954" s="136"/>
      <c r="E954" s="139" t="str">
        <f>IF(B954="","",VLOOKUP(C954,CombineSFG!$H$2:$J990,3,FALSE))</f>
        <v/>
      </c>
      <c r="F954" s="136"/>
    </row>
    <row r="955" spans="1:6">
      <c r="A955" s="136" t="str">
        <f t="shared" si="4"/>
        <v/>
      </c>
      <c r="B955" s="137"/>
      <c r="C955" s="137"/>
      <c r="D955" s="136"/>
      <c r="E955" s="139" t="str">
        <f>IF(B955="","",VLOOKUP(C955,CombineSFG!$H$2:$J990,3,FALSE))</f>
        <v/>
      </c>
      <c r="F955" s="136"/>
    </row>
    <row r="956" spans="1:6">
      <c r="A956" s="136" t="str">
        <f t="shared" si="4"/>
        <v/>
      </c>
      <c r="B956" s="137"/>
      <c r="C956" s="137"/>
      <c r="D956" s="136"/>
      <c r="E956" s="139" t="str">
        <f>IF(B956="","",VLOOKUP(C956,CombineSFG!$H$2:$J990,3,FALSE))</f>
        <v/>
      </c>
      <c r="F956" s="136"/>
    </row>
    <row r="957" spans="1:6">
      <c r="A957" s="136" t="str">
        <f t="shared" si="4"/>
        <v/>
      </c>
      <c r="B957" s="137"/>
      <c r="C957" s="137"/>
      <c r="D957" s="136"/>
      <c r="E957" s="139" t="str">
        <f>IF(B957="","",VLOOKUP(C957,CombineSFG!$H$2:$J990,3,FALSE))</f>
        <v/>
      </c>
      <c r="F957" s="136"/>
    </row>
    <row r="958" spans="1:6">
      <c r="A958" s="136" t="str">
        <f t="shared" si="4"/>
        <v/>
      </c>
      <c r="B958" s="137"/>
      <c r="C958" s="137"/>
      <c r="D958" s="136"/>
      <c r="E958" s="139" t="str">
        <f>IF(B958="","",VLOOKUP(C958,CombineSFG!$H$2:$J990,3,FALSE))</f>
        <v/>
      </c>
      <c r="F958" s="136"/>
    </row>
    <row r="959" spans="1:6">
      <c r="A959" s="136" t="str">
        <f t="shared" si="4"/>
        <v/>
      </c>
      <c r="B959" s="137"/>
      <c r="C959" s="137"/>
      <c r="D959" s="136"/>
      <c r="E959" s="139" t="str">
        <f>IF(B959="","",VLOOKUP(C959,CombineSFG!$H$2:$J990,3,FALSE))</f>
        <v/>
      </c>
      <c r="F959" s="136"/>
    </row>
    <row r="960" spans="1:6">
      <c r="A960" s="136" t="str">
        <f t="shared" si="4"/>
        <v/>
      </c>
      <c r="B960" s="137"/>
      <c r="C960" s="137"/>
      <c r="D960" s="136"/>
      <c r="E960" s="139" t="str">
        <f>IF(B960="","",VLOOKUP(C960,CombineSFG!$H$2:$J990,3,FALSE))</f>
        <v/>
      </c>
      <c r="F960" s="136"/>
    </row>
    <row r="961" spans="1:6">
      <c r="A961" s="136" t="str">
        <f t="shared" si="4"/>
        <v/>
      </c>
      <c r="B961" s="137"/>
      <c r="C961" s="137"/>
      <c r="D961" s="136"/>
      <c r="E961" s="139" t="str">
        <f>IF(B961="","",VLOOKUP(C961,CombineSFG!$H$2:$J990,3,FALSE))</f>
        <v/>
      </c>
      <c r="F961" s="136"/>
    </row>
    <row r="962" spans="1:6">
      <c r="A962" s="136" t="str">
        <f t="shared" si="4"/>
        <v/>
      </c>
      <c r="B962" s="137"/>
      <c r="C962" s="137"/>
      <c r="D962" s="136"/>
      <c r="E962" s="139" t="str">
        <f>IF(B962="","",VLOOKUP(C962,CombineSFG!$H$2:$J990,3,FALSE))</f>
        <v/>
      </c>
      <c r="F962" s="136"/>
    </row>
    <row r="963" spans="1:6">
      <c r="A963" s="136" t="str">
        <f t="shared" si="4"/>
        <v/>
      </c>
      <c r="B963" s="137"/>
      <c r="C963" s="137"/>
      <c r="D963" s="136"/>
      <c r="E963" s="139" t="str">
        <f>IF(B963="","",VLOOKUP(C963,CombineSFG!$H$2:$J990,3,FALSE))</f>
        <v/>
      </c>
      <c r="F963" s="136"/>
    </row>
    <row r="964" spans="1:6">
      <c r="A964" s="136" t="str">
        <f t="shared" si="4"/>
        <v/>
      </c>
      <c r="B964" s="137"/>
      <c r="C964" s="137"/>
      <c r="D964" s="136"/>
      <c r="E964" s="139" t="str">
        <f>IF(B964="","",VLOOKUP(C964,CombineSFG!$H$2:$J990,3,FALSE))</f>
        <v/>
      </c>
      <c r="F964" s="136"/>
    </row>
    <row r="965" spans="1:6">
      <c r="A965" s="136" t="str">
        <f t="shared" si="4"/>
        <v/>
      </c>
      <c r="B965" s="137"/>
      <c r="C965" s="137"/>
      <c r="D965" s="136"/>
      <c r="E965" s="139" t="str">
        <f>IF(B965="","",VLOOKUP(C965,CombineSFG!$H$2:$J990,3,FALSE))</f>
        <v/>
      </c>
      <c r="F965" s="136"/>
    </row>
    <row r="966" spans="1:6">
      <c r="A966" s="136" t="str">
        <f t="shared" si="4"/>
        <v/>
      </c>
      <c r="B966" s="137"/>
      <c r="C966" s="137"/>
      <c r="D966" s="136"/>
      <c r="E966" s="139" t="str">
        <f>IF(B966="","",VLOOKUP(C966,CombineSFG!$H$2:$J990,3,FALSE))</f>
        <v/>
      </c>
      <c r="F966" s="136"/>
    </row>
    <row r="967" spans="1:6">
      <c r="A967" s="136" t="str">
        <f t="shared" si="4"/>
        <v/>
      </c>
      <c r="B967" s="137"/>
      <c r="C967" s="137"/>
      <c r="D967" s="136"/>
      <c r="E967" s="139" t="str">
        <f>IF(B967="","",VLOOKUP(C967,CombineSFG!$H$2:$J990,3,FALSE))</f>
        <v/>
      </c>
      <c r="F967" s="136"/>
    </row>
    <row r="968" spans="1:6">
      <c r="A968" s="136" t="str">
        <f t="shared" si="4"/>
        <v/>
      </c>
      <c r="B968" s="137"/>
      <c r="C968" s="137"/>
      <c r="D968" s="136"/>
      <c r="E968" s="139" t="str">
        <f>IF(B968="","",VLOOKUP(C968,CombineSFG!$H$2:$J990,3,FALSE))</f>
        <v/>
      </c>
      <c r="F968" s="136"/>
    </row>
    <row r="969" spans="1:6">
      <c r="A969" s="136" t="str">
        <f t="shared" si="4"/>
        <v/>
      </c>
      <c r="B969" s="137"/>
      <c r="C969" s="137"/>
      <c r="D969" s="136"/>
      <c r="E969" s="139" t="str">
        <f>IF(B969="","",VLOOKUP(C969,CombineSFG!$H$2:$J990,3,FALSE))</f>
        <v/>
      </c>
      <c r="F969" s="136"/>
    </row>
    <row r="970" spans="1:6">
      <c r="A970" s="136" t="str">
        <f t="shared" si="4"/>
        <v/>
      </c>
      <c r="B970" s="137"/>
      <c r="C970" s="137"/>
      <c r="D970" s="136"/>
      <c r="E970" s="139" t="str">
        <f>IF(B970="","",VLOOKUP(C970,CombineSFG!$H$2:$J990,3,FALSE))</f>
        <v/>
      </c>
      <c r="F970" s="136"/>
    </row>
    <row r="971" spans="1:6">
      <c r="A971" s="136" t="str">
        <f t="shared" si="4"/>
        <v/>
      </c>
      <c r="B971" s="137"/>
      <c r="C971" s="137"/>
      <c r="D971" s="136"/>
      <c r="E971" s="139" t="str">
        <f>IF(B971="","",VLOOKUP(C971,CombineSFG!$H$2:$J990,3,FALSE))</f>
        <v/>
      </c>
      <c r="F971" s="136"/>
    </row>
    <row r="972" spans="1:6">
      <c r="A972" s="136" t="str">
        <f t="shared" si="4"/>
        <v/>
      </c>
      <c r="B972" s="137"/>
      <c r="C972" s="137"/>
      <c r="D972" s="136"/>
      <c r="E972" s="139" t="str">
        <f>IF(B972="","",VLOOKUP(C972,CombineSFG!$H$2:$J990,3,FALSE))</f>
        <v/>
      </c>
      <c r="F972" s="136"/>
    </row>
    <row r="973" spans="1:6">
      <c r="A973" s="136" t="str">
        <f t="shared" si="4"/>
        <v/>
      </c>
      <c r="B973" s="137"/>
      <c r="C973" s="137"/>
      <c r="D973" s="136"/>
      <c r="E973" s="139" t="str">
        <f>IF(B973="","",VLOOKUP(C973,CombineSFG!$H$2:$J990,3,FALSE))</f>
        <v/>
      </c>
      <c r="F973" s="136"/>
    </row>
    <row r="974" spans="1:6">
      <c r="A974" s="136" t="str">
        <f t="shared" si="4"/>
        <v/>
      </c>
      <c r="B974" s="137"/>
      <c r="C974" s="137"/>
      <c r="D974" s="136"/>
      <c r="E974" s="139" t="str">
        <f>IF(B974="","",VLOOKUP(C974,CombineSFG!$H$2:$J990,3,FALSE))</f>
        <v/>
      </c>
      <c r="F974" s="136"/>
    </row>
    <row r="975" spans="1:6">
      <c r="A975" s="136" t="str">
        <f t="shared" si="4"/>
        <v/>
      </c>
      <c r="B975" s="137"/>
      <c r="C975" s="137"/>
      <c r="D975" s="136"/>
      <c r="E975" s="139" t="str">
        <f>IF(B975="","",VLOOKUP(C975,CombineSFG!$H$2:$J990,3,FALSE))</f>
        <v/>
      </c>
      <c r="F975" s="136"/>
    </row>
    <row r="976" spans="1:6">
      <c r="A976" s="136" t="str">
        <f t="shared" si="4"/>
        <v/>
      </c>
      <c r="B976" s="137"/>
      <c r="C976" s="137"/>
      <c r="D976" s="136"/>
      <c r="E976" s="139" t="str">
        <f>IF(B976="","",VLOOKUP(C976,CombineSFG!$H$2:$J990,3,FALSE))</f>
        <v/>
      </c>
      <c r="F976" s="136"/>
    </row>
    <row r="977" spans="1:6">
      <c r="A977" s="136" t="str">
        <f t="shared" si="4"/>
        <v/>
      </c>
      <c r="B977" s="137"/>
      <c r="C977" s="137"/>
      <c r="D977" s="136"/>
      <c r="E977" s="139" t="str">
        <f>IF(B977="","",VLOOKUP(C977,CombineSFG!$H$2:$J990,3,FALSE))</f>
        <v/>
      </c>
      <c r="F977" s="136"/>
    </row>
    <row r="978" spans="1:6">
      <c r="A978" s="136" t="str">
        <f t="shared" si="4"/>
        <v/>
      </c>
      <c r="B978" s="137"/>
      <c r="C978" s="137"/>
      <c r="D978" s="136"/>
      <c r="E978" s="139" t="str">
        <f>IF(B978="","",VLOOKUP(C978,CombineSFG!$H$2:$J990,3,FALSE))</f>
        <v/>
      </c>
      <c r="F978" s="136"/>
    </row>
    <row r="979" spans="1:6">
      <c r="A979" s="136" t="str">
        <f t="shared" si="4"/>
        <v/>
      </c>
      <c r="B979" s="137"/>
      <c r="C979" s="137"/>
      <c r="D979" s="136"/>
      <c r="E979" s="139" t="str">
        <f>IF(B979="","",VLOOKUP(C979,CombineSFG!$H$2:$J990,3,FALSE))</f>
        <v/>
      </c>
      <c r="F979" s="136"/>
    </row>
    <row r="980" spans="1:6">
      <c r="A980" s="136" t="str">
        <f t="shared" si="4"/>
        <v/>
      </c>
      <c r="B980" s="137"/>
      <c r="C980" s="137"/>
      <c r="D980" s="136"/>
      <c r="E980" s="139" t="str">
        <f>IF(B980="","",VLOOKUP(C980,CombineSFG!$H$2:$J990,3,FALSE))</f>
        <v/>
      </c>
      <c r="F980" s="136"/>
    </row>
    <row r="981" spans="1:6">
      <c r="A981" s="136" t="str">
        <f t="shared" si="4"/>
        <v/>
      </c>
      <c r="B981" s="137"/>
      <c r="C981" s="137"/>
      <c r="D981" s="136"/>
      <c r="E981" s="139" t="str">
        <f>IF(B981="","",VLOOKUP(C981,CombineSFG!$H$2:$J990,3,FALSE))</f>
        <v/>
      </c>
      <c r="F981" s="136"/>
    </row>
    <row r="982" spans="1:6">
      <c r="A982" s="136" t="str">
        <f t="shared" si="4"/>
        <v/>
      </c>
      <c r="B982" s="137"/>
      <c r="C982" s="137"/>
      <c r="D982" s="136"/>
      <c r="E982" s="139" t="str">
        <f>IF(B982="","",VLOOKUP(C982,CombineSFG!$H$2:$J990,3,FALSE))</f>
        <v/>
      </c>
      <c r="F982" s="136"/>
    </row>
    <row r="983" spans="1:6">
      <c r="A983" s="136" t="str">
        <f t="shared" si="4"/>
        <v/>
      </c>
      <c r="B983" s="137"/>
      <c r="C983" s="137"/>
      <c r="D983" s="136"/>
      <c r="E983" s="139" t="str">
        <f>IF(B983="","",VLOOKUP(C983,CombineSFG!$H$2:$J990,3,FALSE))</f>
        <v/>
      </c>
      <c r="F983" s="136"/>
    </row>
    <row r="984" spans="1:6">
      <c r="A984" s="136" t="str">
        <f t="shared" si="4"/>
        <v/>
      </c>
      <c r="B984" s="137"/>
      <c r="C984" s="137"/>
      <c r="D984" s="136"/>
      <c r="E984" s="139" t="str">
        <f>IF(B984="","",VLOOKUP(C984,CombineSFG!$H$2:$J990,3,FALSE))</f>
        <v/>
      </c>
      <c r="F984" s="136"/>
    </row>
    <row r="985" spans="1:6">
      <c r="A985" s="136" t="str">
        <f t="shared" si="4"/>
        <v/>
      </c>
      <c r="B985" s="137"/>
      <c r="C985" s="137"/>
      <c r="D985" s="136"/>
      <c r="E985" s="139" t="str">
        <f>IF(B985="","",VLOOKUP(C985,CombineSFG!$H$2:$J990,3,FALSE))</f>
        <v/>
      </c>
      <c r="F985" s="136"/>
    </row>
    <row r="986" spans="1:6">
      <c r="A986" s="136" t="str">
        <f t="shared" si="4"/>
        <v/>
      </c>
      <c r="B986" s="137"/>
      <c r="C986" s="137"/>
      <c r="D986" s="136"/>
      <c r="E986" s="139" t="str">
        <f>IF(B986="","",VLOOKUP(C986,CombineSFG!$H$2:$J990,3,FALSE))</f>
        <v/>
      </c>
      <c r="F986" s="136"/>
    </row>
    <row r="987" spans="1:6">
      <c r="A987" s="136" t="str">
        <f t="shared" si="4"/>
        <v/>
      </c>
      <c r="B987" s="137"/>
      <c r="C987" s="137"/>
      <c r="D987" s="136"/>
      <c r="E987" s="139" t="str">
        <f>IF(B987="","",VLOOKUP(C987,CombineSFG!$H$2:$J990,3,FALSE))</f>
        <v/>
      </c>
      <c r="F987" s="136"/>
    </row>
    <row r="988" spans="1:6">
      <c r="A988" s="136" t="str">
        <f t="shared" si="4"/>
        <v/>
      </c>
      <c r="B988" s="137"/>
      <c r="C988" s="137"/>
      <c r="D988" s="136"/>
      <c r="E988" s="139" t="str">
        <f>IF(B988="","",VLOOKUP(C988,CombineSFG!$H$2:$J990,3,FALSE))</f>
        <v/>
      </c>
      <c r="F988" s="136"/>
    </row>
    <row r="989" spans="1:6">
      <c r="A989" s="136" t="str">
        <f t="shared" si="4"/>
        <v/>
      </c>
      <c r="B989" s="137"/>
      <c r="C989" s="137"/>
      <c r="D989" s="136"/>
      <c r="E989" s="139" t="str">
        <f>IF(B989="","",VLOOKUP(C989,CombineSFG!$H$2:$J990,3,FALSE))</f>
        <v/>
      </c>
      <c r="F989" s="136"/>
    </row>
    <row r="990" spans="1:6">
      <c r="A990" s="136" t="str">
        <f t="shared" si="4"/>
        <v/>
      </c>
      <c r="B990" s="137"/>
      <c r="C990" s="137"/>
      <c r="D990" s="136"/>
      <c r="E990" s="139" t="str">
        <f>IF(B990="","",VLOOKUP(C990,CombineSFG!$H$2:$J990,3,FALSE))</f>
        <v/>
      </c>
      <c r="F990" s="136"/>
    </row>
  </sheetData>
  <conditionalFormatting sqref="C15:C990">
    <cfRule type="expression" dxfId="13" priority="1">
      <formula>AND(B15&lt;&gt;"",C15="")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D00-000000000000}">
          <x14:formula1>
            <xm:f>FG!$B$3:$B990</xm:f>
          </x14:formula1>
          <xm:sqref>B3:B990</xm:sqref>
        </x14:dataValidation>
        <x14:dataValidation type="list" allowBlank="1" showErrorMessage="1" xr:uid="{00000000-0002-0000-0D00-000001000000}">
          <x14:formula1>
            <xm:f>CombineSFG!$H$2:$H990</xm:f>
          </x14:formula1>
          <xm:sqref>C3:C990</xm:sqref>
        </x14:dataValidation>
      </x14:dataValidation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22D22-1CE3-4716-840C-1BD5B8D84348}">
  <dimension ref="A1:H14"/>
  <sheetViews>
    <sheetView workbookViewId="0">
      <selection activeCell="D17" sqref="D17"/>
    </sheetView>
  </sheetViews>
  <sheetFormatPr defaultRowHeight="14.5"/>
  <cols>
    <col min="1" max="1" width="5.81640625" bestFit="1" customWidth="1"/>
    <col min="3" max="3" width="49.453125" bestFit="1" customWidth="1"/>
    <col min="4" max="4" width="29.7265625" bestFit="1" customWidth="1"/>
    <col min="5" max="5" width="12.26953125" bestFit="1" customWidth="1"/>
    <col min="6" max="6" width="8.453125" bestFit="1" customWidth="1"/>
    <col min="7" max="7" width="28.7265625" bestFit="1" customWidth="1"/>
    <col min="8" max="8" width="7" bestFit="1" customWidth="1"/>
  </cols>
  <sheetData>
    <row r="1" spans="1:8" ht="39">
      <c r="A1" s="7" t="s">
        <v>71</v>
      </c>
      <c r="B1" s="7" t="s">
        <v>72</v>
      </c>
      <c r="C1" s="7" t="s">
        <v>73</v>
      </c>
      <c r="D1" s="7" t="s">
        <v>74</v>
      </c>
      <c r="E1" s="7" t="s">
        <v>75</v>
      </c>
      <c r="F1" s="7" t="s">
        <v>76</v>
      </c>
      <c r="G1" s="7" t="s">
        <v>0</v>
      </c>
      <c r="H1" s="8" t="s">
        <v>79</v>
      </c>
    </row>
    <row r="2" spans="1:8">
      <c r="A2" s="15">
        <v>266</v>
      </c>
      <c r="B2" s="16" t="s">
        <v>114</v>
      </c>
      <c r="C2" s="17" t="s">
        <v>679</v>
      </c>
      <c r="D2" s="16" t="s">
        <v>680</v>
      </c>
      <c r="E2" s="16" t="s">
        <v>681</v>
      </c>
      <c r="F2" s="16" t="s">
        <v>3</v>
      </c>
      <c r="G2" s="18" t="s">
        <v>58</v>
      </c>
      <c r="H2" s="18">
        <v>1</v>
      </c>
    </row>
    <row r="3" spans="1:8">
      <c r="A3" s="11">
        <v>343</v>
      </c>
      <c r="B3" s="34" t="s">
        <v>114</v>
      </c>
      <c r="C3" s="39" t="s">
        <v>853</v>
      </c>
      <c r="D3" s="34" t="s">
        <v>854</v>
      </c>
      <c r="E3" s="34"/>
      <c r="F3" s="19" t="s">
        <v>3</v>
      </c>
      <c r="G3" s="36" t="s">
        <v>39</v>
      </c>
      <c r="H3" s="36">
        <v>6</v>
      </c>
    </row>
    <row r="4" spans="1:8">
      <c r="A4" s="11">
        <v>375</v>
      </c>
      <c r="B4" s="34" t="s">
        <v>114</v>
      </c>
      <c r="C4" s="39" t="s">
        <v>912</v>
      </c>
      <c r="D4" s="34" t="s">
        <v>913</v>
      </c>
      <c r="E4" s="34"/>
      <c r="F4" s="19" t="s">
        <v>3</v>
      </c>
      <c r="G4" s="36" t="s">
        <v>39</v>
      </c>
      <c r="H4" s="36">
        <v>2</v>
      </c>
    </row>
    <row r="5" spans="1:8">
      <c r="A5" s="11">
        <v>398</v>
      </c>
      <c r="B5" s="12" t="s">
        <v>114</v>
      </c>
      <c r="C5" s="13" t="s">
        <v>949</v>
      </c>
      <c r="D5" s="12" t="s">
        <v>950</v>
      </c>
      <c r="E5" s="12"/>
      <c r="F5" s="12" t="s">
        <v>13</v>
      </c>
      <c r="G5" s="14" t="s">
        <v>40</v>
      </c>
      <c r="H5" s="14">
        <v>10</v>
      </c>
    </row>
    <row r="6" spans="1:8">
      <c r="A6" s="15">
        <v>407</v>
      </c>
      <c r="B6" s="16" t="s">
        <v>114</v>
      </c>
      <c r="C6" s="17" t="s">
        <v>962</v>
      </c>
      <c r="D6" s="16" t="s">
        <v>963</v>
      </c>
      <c r="E6" s="16"/>
      <c r="F6" s="40" t="s">
        <v>3</v>
      </c>
      <c r="G6" s="40" t="s">
        <v>67</v>
      </c>
      <c r="H6" s="40">
        <v>1</v>
      </c>
    </row>
    <row r="7" spans="1:8">
      <c r="A7" s="11">
        <v>438</v>
      </c>
      <c r="B7" s="12" t="s">
        <v>114</v>
      </c>
      <c r="C7" s="13" t="s">
        <v>1022</v>
      </c>
      <c r="D7" s="12" t="s">
        <v>1023</v>
      </c>
      <c r="E7" s="12"/>
      <c r="F7" s="19" t="s">
        <v>18</v>
      </c>
      <c r="G7" s="19" t="s">
        <v>46</v>
      </c>
      <c r="H7" s="19">
        <v>10</v>
      </c>
    </row>
    <row r="8" spans="1:8">
      <c r="A8" s="15">
        <v>487</v>
      </c>
      <c r="B8" s="16" t="s">
        <v>114</v>
      </c>
      <c r="C8" s="17" t="s">
        <v>1099</v>
      </c>
      <c r="D8" s="16" t="s">
        <v>1100</v>
      </c>
      <c r="E8" s="16"/>
      <c r="F8" s="40" t="s">
        <v>3</v>
      </c>
      <c r="G8" s="40" t="s">
        <v>68</v>
      </c>
      <c r="H8" s="40">
        <v>1</v>
      </c>
    </row>
    <row r="9" spans="1:8">
      <c r="A9" s="11">
        <v>490</v>
      </c>
      <c r="B9" s="12" t="s">
        <v>114</v>
      </c>
      <c r="C9" s="13" t="s">
        <v>1104</v>
      </c>
      <c r="D9" s="12" t="s">
        <v>1105</v>
      </c>
      <c r="E9" s="47"/>
      <c r="F9" s="47" t="s">
        <v>3</v>
      </c>
      <c r="G9" s="47" t="s">
        <v>67</v>
      </c>
      <c r="H9" s="49">
        <v>1</v>
      </c>
    </row>
    <row r="10" spans="1:8">
      <c r="A10" s="11">
        <v>656</v>
      </c>
      <c r="B10" s="12" t="s">
        <v>114</v>
      </c>
      <c r="C10" s="13" t="s">
        <v>1341</v>
      </c>
      <c r="D10" s="12"/>
      <c r="E10" s="12"/>
      <c r="F10" s="19" t="s">
        <v>3</v>
      </c>
      <c r="G10" s="19" t="s">
        <v>49</v>
      </c>
      <c r="H10" s="19">
        <v>1</v>
      </c>
    </row>
    <row r="11" spans="1:8">
      <c r="A11" s="11">
        <v>689</v>
      </c>
      <c r="B11" s="54" t="s">
        <v>114</v>
      </c>
      <c r="C11" s="55" t="s">
        <v>80</v>
      </c>
      <c r="D11" s="12"/>
      <c r="E11" s="12">
        <v>4</v>
      </c>
      <c r="F11" s="19" t="s">
        <v>3</v>
      </c>
      <c r="G11" s="19" t="s">
        <v>27</v>
      </c>
      <c r="H11" s="19">
        <v>1</v>
      </c>
    </row>
    <row r="12" spans="1:8">
      <c r="A12" s="11">
        <v>711</v>
      </c>
      <c r="B12" s="56" t="s">
        <v>114</v>
      </c>
      <c r="C12" s="55" t="s">
        <v>102</v>
      </c>
      <c r="E12" s="12">
        <v>26</v>
      </c>
      <c r="F12" s="19" t="s">
        <v>3</v>
      </c>
      <c r="G12" s="19" t="s">
        <v>27</v>
      </c>
      <c r="H12" s="19">
        <v>1</v>
      </c>
    </row>
    <row r="13" spans="1:8">
      <c r="A13" s="11">
        <v>713</v>
      </c>
      <c r="B13" s="54" t="s">
        <v>114</v>
      </c>
      <c r="C13" s="55" t="s">
        <v>1375</v>
      </c>
      <c r="D13" s="12"/>
      <c r="E13" s="12">
        <v>28</v>
      </c>
      <c r="F13" s="19" t="s">
        <v>3</v>
      </c>
      <c r="G13" s="19" t="s">
        <v>27</v>
      </c>
      <c r="H13" s="19">
        <v>1</v>
      </c>
    </row>
    <row r="14" spans="1:8">
      <c r="A14" s="11">
        <v>721</v>
      </c>
      <c r="B14" s="54" t="s">
        <v>114</v>
      </c>
      <c r="C14" s="58" t="s">
        <v>111</v>
      </c>
      <c r="D14" s="12"/>
      <c r="E14" s="12">
        <v>36</v>
      </c>
      <c r="F14" s="19" t="s">
        <v>3</v>
      </c>
      <c r="G14" s="19" t="s">
        <v>27</v>
      </c>
      <c r="H14" s="19">
        <v>1</v>
      </c>
    </row>
  </sheetData>
  <conditionalFormatting sqref="H2:H14">
    <cfRule type="notContainsBlanks" dxfId="12" priority="1">
      <formula>LEN(TRIM(H2))&gt;0</formula>
    </cfRule>
  </conditionalFormatting>
  <dataValidations count="1">
    <dataValidation type="list" allowBlank="1" sqref="F10:G14 F2:G8" xr:uid="{A7A2790E-1CC3-492B-878B-6F5FA6449A2C}">
      <formula1>#REF!</formula1>
    </dataValidation>
  </dataValidation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99E26-6A1F-4B0E-A978-5ADEA9CAC8C5}">
  <dimension ref="A1:H14"/>
  <sheetViews>
    <sheetView workbookViewId="0">
      <selection activeCell="C11" sqref="C11"/>
    </sheetView>
  </sheetViews>
  <sheetFormatPr defaultRowHeight="14.5"/>
  <cols>
    <col min="3" max="3" width="49.453125" bestFit="1" customWidth="1"/>
    <col min="4" max="4" width="29.7265625" bestFit="1" customWidth="1"/>
    <col min="5" max="5" width="12.26953125" bestFit="1" customWidth="1"/>
    <col min="7" max="7" width="28.7265625" bestFit="1" customWidth="1"/>
  </cols>
  <sheetData>
    <row r="1" spans="1:8" ht="39">
      <c r="A1" s="7" t="s">
        <v>71</v>
      </c>
      <c r="B1" s="7" t="s">
        <v>72</v>
      </c>
      <c r="C1" s="7" t="s">
        <v>73</v>
      </c>
      <c r="D1" s="7" t="s">
        <v>74</v>
      </c>
      <c r="E1" s="7" t="s">
        <v>75</v>
      </c>
      <c r="F1" s="7" t="s">
        <v>76</v>
      </c>
      <c r="G1" s="7" t="s">
        <v>0</v>
      </c>
      <c r="H1" s="8" t="s">
        <v>78</v>
      </c>
    </row>
    <row r="2" spans="1:8">
      <c r="A2" s="15">
        <v>266</v>
      </c>
      <c r="B2" s="16" t="s">
        <v>114</v>
      </c>
      <c r="C2" s="17" t="s">
        <v>679</v>
      </c>
      <c r="D2" s="16" t="s">
        <v>680</v>
      </c>
      <c r="E2" s="16" t="s">
        <v>681</v>
      </c>
      <c r="F2" s="16" t="s">
        <v>3</v>
      </c>
      <c r="G2" s="18" t="s">
        <v>58</v>
      </c>
      <c r="H2" s="18">
        <v>1</v>
      </c>
    </row>
    <row r="3" spans="1:8">
      <c r="A3" s="11">
        <v>343</v>
      </c>
      <c r="B3" s="34" t="s">
        <v>114</v>
      </c>
      <c r="C3" s="39" t="s">
        <v>853</v>
      </c>
      <c r="D3" s="34" t="s">
        <v>854</v>
      </c>
      <c r="E3" s="34"/>
      <c r="F3" s="19" t="s">
        <v>3</v>
      </c>
      <c r="G3" s="36" t="s">
        <v>39</v>
      </c>
      <c r="H3" s="36">
        <v>6</v>
      </c>
    </row>
    <row r="4" spans="1:8">
      <c r="A4" s="11">
        <v>375</v>
      </c>
      <c r="B4" s="34" t="s">
        <v>114</v>
      </c>
      <c r="C4" s="39" t="s">
        <v>912</v>
      </c>
      <c r="D4" s="34" t="s">
        <v>913</v>
      </c>
      <c r="E4" s="34"/>
      <c r="F4" s="19" t="s">
        <v>3</v>
      </c>
      <c r="G4" s="36" t="s">
        <v>39</v>
      </c>
      <c r="H4" s="36">
        <v>2</v>
      </c>
    </row>
    <row r="5" spans="1:8">
      <c r="A5" s="11">
        <v>398</v>
      </c>
      <c r="B5" s="12" t="s">
        <v>114</v>
      </c>
      <c r="C5" s="13" t="s">
        <v>949</v>
      </c>
      <c r="D5" s="12" t="s">
        <v>950</v>
      </c>
      <c r="E5" s="12"/>
      <c r="F5" s="12" t="s">
        <v>13</v>
      </c>
      <c r="G5" s="14" t="s">
        <v>40</v>
      </c>
      <c r="H5" s="14">
        <v>10</v>
      </c>
    </row>
    <row r="6" spans="1:8">
      <c r="A6" s="15">
        <v>407</v>
      </c>
      <c r="B6" s="16" t="s">
        <v>114</v>
      </c>
      <c r="C6" s="17" t="s">
        <v>962</v>
      </c>
      <c r="D6" s="16" t="s">
        <v>963</v>
      </c>
      <c r="E6" s="16"/>
      <c r="F6" s="40" t="s">
        <v>3</v>
      </c>
      <c r="G6" s="40" t="s">
        <v>67</v>
      </c>
      <c r="H6" s="40">
        <v>1</v>
      </c>
    </row>
    <row r="7" spans="1:8">
      <c r="A7" s="11">
        <v>438</v>
      </c>
      <c r="B7" s="12" t="s">
        <v>114</v>
      </c>
      <c r="C7" s="13" t="s">
        <v>1022</v>
      </c>
      <c r="D7" s="12" t="s">
        <v>1023</v>
      </c>
      <c r="E7" s="12"/>
      <c r="F7" s="19" t="s">
        <v>18</v>
      </c>
      <c r="G7" s="19" t="s">
        <v>46</v>
      </c>
      <c r="H7" s="19">
        <v>10</v>
      </c>
    </row>
    <row r="8" spans="1:8">
      <c r="A8" s="15">
        <v>487</v>
      </c>
      <c r="B8" s="16" t="s">
        <v>114</v>
      </c>
      <c r="C8" s="17" t="s">
        <v>1099</v>
      </c>
      <c r="D8" s="16" t="s">
        <v>1100</v>
      </c>
      <c r="E8" s="16"/>
      <c r="F8" s="40" t="s">
        <v>3</v>
      </c>
      <c r="G8" s="40" t="s">
        <v>68</v>
      </c>
      <c r="H8" s="40">
        <v>1</v>
      </c>
    </row>
    <row r="9" spans="1:8">
      <c r="A9" s="11">
        <v>490</v>
      </c>
      <c r="B9" s="12" t="s">
        <v>114</v>
      </c>
      <c r="C9" s="13" t="s">
        <v>1104</v>
      </c>
      <c r="D9" s="12" t="s">
        <v>1105</v>
      </c>
      <c r="E9" s="47"/>
      <c r="F9" s="47" t="s">
        <v>3</v>
      </c>
      <c r="G9" s="47" t="s">
        <v>67</v>
      </c>
      <c r="H9" s="49">
        <v>1</v>
      </c>
    </row>
    <row r="10" spans="1:8">
      <c r="A10" s="11">
        <v>656</v>
      </c>
      <c r="B10" s="12" t="s">
        <v>114</v>
      </c>
      <c r="C10" s="13" t="s">
        <v>1341</v>
      </c>
      <c r="D10" s="12"/>
      <c r="E10" s="12"/>
      <c r="F10" s="19" t="s">
        <v>3</v>
      </c>
      <c r="G10" s="19" t="s">
        <v>49</v>
      </c>
      <c r="H10" s="19">
        <v>1</v>
      </c>
    </row>
    <row r="11" spans="1:8">
      <c r="A11" s="11">
        <v>689</v>
      </c>
      <c r="B11" s="54" t="s">
        <v>114</v>
      </c>
      <c r="C11" s="55" t="s">
        <v>80</v>
      </c>
      <c r="D11" s="12"/>
      <c r="E11" s="12">
        <v>4</v>
      </c>
      <c r="F11" s="19" t="s">
        <v>3</v>
      </c>
      <c r="G11" s="19" t="s">
        <v>27</v>
      </c>
      <c r="H11" s="19">
        <v>1</v>
      </c>
    </row>
    <row r="12" spans="1:8">
      <c r="A12" s="11">
        <v>711</v>
      </c>
      <c r="B12" s="56" t="s">
        <v>114</v>
      </c>
      <c r="C12" s="55" t="s">
        <v>102</v>
      </c>
      <c r="E12" s="12">
        <v>26</v>
      </c>
      <c r="F12" s="19" t="s">
        <v>3</v>
      </c>
      <c r="G12" s="19" t="s">
        <v>27</v>
      </c>
      <c r="H12" s="19">
        <v>1</v>
      </c>
    </row>
    <row r="13" spans="1:8">
      <c r="A13" s="15">
        <v>712</v>
      </c>
      <c r="B13" s="57" t="s">
        <v>114</v>
      </c>
      <c r="C13" s="53" t="s">
        <v>1374</v>
      </c>
      <c r="E13" s="16">
        <v>27</v>
      </c>
      <c r="F13" s="40" t="s">
        <v>3</v>
      </c>
      <c r="G13" s="40" t="s">
        <v>27</v>
      </c>
      <c r="H13" s="40">
        <v>1</v>
      </c>
    </row>
    <row r="14" spans="1:8">
      <c r="A14" s="11">
        <v>721</v>
      </c>
      <c r="B14" s="54" t="s">
        <v>114</v>
      </c>
      <c r="C14" s="58" t="s">
        <v>111</v>
      </c>
      <c r="D14" s="12"/>
      <c r="E14" s="12">
        <v>36</v>
      </c>
      <c r="F14" s="19" t="s">
        <v>3</v>
      </c>
      <c r="G14" s="19" t="s">
        <v>27</v>
      </c>
      <c r="H14" s="19">
        <v>1</v>
      </c>
    </row>
  </sheetData>
  <conditionalFormatting sqref="H2:H14">
    <cfRule type="notContainsBlanks" dxfId="11" priority="1">
      <formula>LEN(TRIM(H2))&gt;0</formula>
    </cfRule>
  </conditionalFormatting>
  <dataValidations count="1">
    <dataValidation type="list" allowBlank="1" sqref="F10:G14 F2:G8" xr:uid="{1527ABB9-3EF0-4CE0-9054-6E3AA0EE6541}">
      <formula1>#REF!</formula1>
    </dataValidation>
  </dataValidation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B089E-FC44-4ED2-B607-81439FC97795}">
  <dimension ref="A1:H10"/>
  <sheetViews>
    <sheetView workbookViewId="0">
      <selection activeCell="F13" sqref="F13"/>
    </sheetView>
  </sheetViews>
  <sheetFormatPr defaultRowHeight="14.5"/>
  <cols>
    <col min="3" max="3" width="52.26953125" bestFit="1" customWidth="1"/>
  </cols>
  <sheetData>
    <row r="1" spans="1:8" ht="39">
      <c r="A1" s="7" t="s">
        <v>71</v>
      </c>
      <c r="B1" s="7" t="s">
        <v>72</v>
      </c>
      <c r="C1" s="7" t="s">
        <v>73</v>
      </c>
      <c r="D1" s="7" t="s">
        <v>74</v>
      </c>
      <c r="E1" s="7" t="s">
        <v>75</v>
      </c>
      <c r="F1" s="7" t="s">
        <v>76</v>
      </c>
      <c r="G1" s="7" t="s">
        <v>0</v>
      </c>
      <c r="H1" s="8" t="s">
        <v>77</v>
      </c>
    </row>
    <row r="2" spans="1:8">
      <c r="A2" s="15">
        <v>202</v>
      </c>
      <c r="B2" s="16" t="s">
        <v>114</v>
      </c>
      <c r="C2" s="17" t="s">
        <v>566</v>
      </c>
      <c r="D2" s="16" t="s">
        <v>567</v>
      </c>
      <c r="E2" s="16"/>
      <c r="F2" s="16" t="s">
        <v>3</v>
      </c>
      <c r="G2" s="18" t="s">
        <v>7</v>
      </c>
      <c r="H2" s="18">
        <v>1</v>
      </c>
    </row>
    <row r="3" spans="1:8">
      <c r="A3" s="15">
        <v>244</v>
      </c>
      <c r="B3" s="16" t="s">
        <v>114</v>
      </c>
      <c r="C3" s="17" t="s">
        <v>641</v>
      </c>
      <c r="D3" s="16" t="s">
        <v>642</v>
      </c>
      <c r="E3" s="16"/>
      <c r="F3" s="16" t="s">
        <v>3</v>
      </c>
      <c r="G3" s="18" t="s">
        <v>17</v>
      </c>
      <c r="H3" s="18">
        <v>1</v>
      </c>
    </row>
    <row r="4" spans="1:8">
      <c r="A4" s="15">
        <v>260</v>
      </c>
      <c r="B4" s="16" t="s">
        <v>114</v>
      </c>
      <c r="C4" s="17" t="s">
        <v>668</v>
      </c>
      <c r="D4" s="16" t="s">
        <v>669</v>
      </c>
      <c r="E4" s="16"/>
      <c r="F4" s="16" t="s">
        <v>3</v>
      </c>
      <c r="G4" s="18" t="s">
        <v>6</v>
      </c>
      <c r="H4" s="18">
        <v>1</v>
      </c>
    </row>
    <row r="5" spans="1:8">
      <c r="A5" s="11">
        <v>261</v>
      </c>
      <c r="B5" s="12" t="s">
        <v>114</v>
      </c>
      <c r="C5" s="13" t="s">
        <v>670</v>
      </c>
      <c r="D5" s="12" t="s">
        <v>671</v>
      </c>
      <c r="E5" s="12"/>
      <c r="F5" s="12" t="s">
        <v>3</v>
      </c>
      <c r="G5" s="14" t="s">
        <v>6</v>
      </c>
      <c r="H5" s="14">
        <v>2</v>
      </c>
    </row>
    <row r="6" spans="1:8">
      <c r="A6" s="11">
        <v>438</v>
      </c>
      <c r="B6" s="12" t="s">
        <v>114</v>
      </c>
      <c r="C6" s="13" t="s">
        <v>1022</v>
      </c>
      <c r="D6" s="12" t="s">
        <v>1023</v>
      </c>
      <c r="E6" s="12"/>
      <c r="F6" s="19" t="s">
        <v>18</v>
      </c>
      <c r="G6" s="19" t="s">
        <v>46</v>
      </c>
      <c r="H6" s="19">
        <v>10</v>
      </c>
    </row>
    <row r="7" spans="1:8">
      <c r="A7" s="11">
        <v>654</v>
      </c>
      <c r="B7" s="12" t="s">
        <v>114</v>
      </c>
      <c r="C7" s="13" t="s">
        <v>1339</v>
      </c>
      <c r="D7" s="12"/>
      <c r="E7" s="12"/>
      <c r="F7" s="19"/>
      <c r="G7" s="19"/>
      <c r="H7" s="19">
        <v>2</v>
      </c>
    </row>
    <row r="8" spans="1:8">
      <c r="A8" s="11">
        <v>656</v>
      </c>
      <c r="B8" s="12" t="s">
        <v>114</v>
      </c>
      <c r="C8" s="13" t="s">
        <v>1341</v>
      </c>
      <c r="D8" s="12"/>
      <c r="E8" s="12"/>
      <c r="F8" s="19" t="s">
        <v>3</v>
      </c>
      <c r="G8" s="19" t="s">
        <v>49</v>
      </c>
      <c r="H8" s="19">
        <v>1</v>
      </c>
    </row>
    <row r="9" spans="1:8">
      <c r="A9" s="15">
        <v>704</v>
      </c>
      <c r="B9" s="52" t="s">
        <v>114</v>
      </c>
      <c r="C9" s="53" t="s">
        <v>95</v>
      </c>
      <c r="D9" s="16"/>
      <c r="E9" s="16">
        <v>19</v>
      </c>
      <c r="F9" s="40" t="s">
        <v>3</v>
      </c>
      <c r="G9" s="40" t="s">
        <v>27</v>
      </c>
      <c r="H9" s="40">
        <v>1</v>
      </c>
    </row>
    <row r="10" spans="1:8">
      <c r="A10" s="11">
        <v>705</v>
      </c>
      <c r="B10" s="54" t="s">
        <v>114</v>
      </c>
      <c r="C10" s="55" t="s">
        <v>96</v>
      </c>
      <c r="D10" s="12"/>
      <c r="E10" s="12">
        <v>20</v>
      </c>
      <c r="F10" s="19" t="s">
        <v>3</v>
      </c>
      <c r="G10" s="19" t="s">
        <v>27</v>
      </c>
      <c r="H10" s="19">
        <v>1</v>
      </c>
    </row>
  </sheetData>
  <conditionalFormatting sqref="H2:H10">
    <cfRule type="notContainsBlanks" dxfId="10" priority="1">
      <formula>LEN(TRIM(H2))&gt;0</formula>
    </cfRule>
  </conditionalFormatting>
  <dataValidations count="1">
    <dataValidation type="list" allowBlank="1" sqref="F2:G10" xr:uid="{D17A4FDD-531D-4A62-9ED7-3A168B10879D}">
      <formula1>#REF!</formula1>
    </dataValidation>
  </dataValidation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376BA-DE75-4F1A-9B28-50B118031BE7}">
  <dimension ref="A1:H30"/>
  <sheetViews>
    <sheetView tabSelected="1" topLeftCell="C1" workbookViewId="0">
      <selection activeCell="C36" sqref="C36"/>
    </sheetView>
  </sheetViews>
  <sheetFormatPr defaultRowHeight="14.5"/>
  <cols>
    <col min="3" max="3" width="71.7265625" bestFit="1" customWidth="1"/>
    <col min="4" max="4" width="35.453125" bestFit="1" customWidth="1"/>
    <col min="5" max="5" width="18.453125" bestFit="1" customWidth="1"/>
    <col min="7" max="7" width="28.7265625" bestFit="1" customWidth="1"/>
  </cols>
  <sheetData>
    <row r="1" spans="1:8" ht="52">
      <c r="A1" s="7" t="s">
        <v>71</v>
      </c>
      <c r="B1" s="7" t="s">
        <v>72</v>
      </c>
      <c r="C1" s="7" t="s">
        <v>73</v>
      </c>
      <c r="D1" s="7" t="s">
        <v>74</v>
      </c>
      <c r="E1" s="7" t="s">
        <v>75</v>
      </c>
      <c r="F1" s="7" t="s">
        <v>76</v>
      </c>
      <c r="G1" s="7" t="s">
        <v>0</v>
      </c>
      <c r="H1" s="8" t="s">
        <v>113</v>
      </c>
    </row>
    <row r="2" spans="1:8">
      <c r="A2" s="11">
        <v>255</v>
      </c>
      <c r="B2" s="12" t="s">
        <v>114</v>
      </c>
      <c r="C2" s="13" t="s">
        <v>660</v>
      </c>
      <c r="D2" s="12" t="s">
        <v>661</v>
      </c>
      <c r="E2" s="12"/>
      <c r="F2" s="12" t="s">
        <v>3</v>
      </c>
      <c r="G2" s="14" t="s">
        <v>17</v>
      </c>
      <c r="H2" s="14">
        <v>2</v>
      </c>
    </row>
    <row r="3" spans="1:8">
      <c r="A3" s="15">
        <v>310</v>
      </c>
      <c r="B3" s="28" t="s">
        <v>114</v>
      </c>
      <c r="C3" s="38" t="s">
        <v>790</v>
      </c>
      <c r="D3" s="28" t="s">
        <v>791</v>
      </c>
      <c r="E3" s="28"/>
      <c r="F3" s="40" t="s">
        <v>3</v>
      </c>
      <c r="G3" s="37" t="s">
        <v>39</v>
      </c>
      <c r="H3" s="37">
        <v>12</v>
      </c>
    </row>
    <row r="4" spans="1:8">
      <c r="A4" s="15">
        <v>342</v>
      </c>
      <c r="B4" s="28" t="s">
        <v>114</v>
      </c>
      <c r="C4" s="38" t="s">
        <v>852</v>
      </c>
      <c r="D4" s="28" t="s">
        <v>811</v>
      </c>
      <c r="E4" s="28"/>
      <c r="F4" s="40" t="s">
        <v>3</v>
      </c>
      <c r="G4" s="37" t="s">
        <v>39</v>
      </c>
      <c r="H4" s="37">
        <v>26</v>
      </c>
    </row>
    <row r="5" spans="1:8">
      <c r="A5" s="11">
        <v>347</v>
      </c>
      <c r="B5" s="34" t="s">
        <v>114</v>
      </c>
      <c r="C5" s="39" t="s">
        <v>860</v>
      </c>
      <c r="D5" s="34" t="s">
        <v>861</v>
      </c>
      <c r="E5" s="34"/>
      <c r="F5" s="19" t="s">
        <v>3</v>
      </c>
      <c r="G5" s="36" t="s">
        <v>39</v>
      </c>
      <c r="H5" s="36">
        <v>8</v>
      </c>
    </row>
    <row r="6" spans="1:8">
      <c r="A6" s="15">
        <v>348</v>
      </c>
      <c r="B6" s="28" t="s">
        <v>114</v>
      </c>
      <c r="C6" s="38" t="s">
        <v>862</v>
      </c>
      <c r="D6" s="28" t="s">
        <v>863</v>
      </c>
      <c r="E6" s="28"/>
      <c r="F6" s="40" t="s">
        <v>3</v>
      </c>
      <c r="G6" s="37" t="s">
        <v>39</v>
      </c>
      <c r="H6" s="37">
        <v>14</v>
      </c>
    </row>
    <row r="7" spans="1:8">
      <c r="A7" s="11">
        <v>385</v>
      </c>
      <c r="B7" s="12" t="s">
        <v>114</v>
      </c>
      <c r="C7" s="13" t="s">
        <v>930</v>
      </c>
      <c r="D7" s="12" t="s">
        <v>931</v>
      </c>
      <c r="E7" s="12"/>
      <c r="F7" s="19" t="s">
        <v>3</v>
      </c>
      <c r="G7" s="36" t="s">
        <v>39</v>
      </c>
      <c r="H7" s="36">
        <v>44</v>
      </c>
    </row>
    <row r="8" spans="1:8">
      <c r="A8" s="15">
        <v>386</v>
      </c>
      <c r="B8" s="16" t="s">
        <v>114</v>
      </c>
      <c r="C8" s="17" t="s">
        <v>932</v>
      </c>
      <c r="D8" s="28" t="s">
        <v>933</v>
      </c>
      <c r="E8" s="16"/>
      <c r="F8" s="40" t="s">
        <v>3</v>
      </c>
      <c r="G8" s="37" t="s">
        <v>39</v>
      </c>
      <c r="H8" s="37">
        <v>20</v>
      </c>
    </row>
    <row r="9" spans="1:8">
      <c r="A9" s="11">
        <v>387</v>
      </c>
      <c r="B9" s="12" t="s">
        <v>114</v>
      </c>
      <c r="C9" s="13" t="s">
        <v>934</v>
      </c>
      <c r="D9" s="34" t="s">
        <v>935</v>
      </c>
      <c r="E9" s="12"/>
      <c r="F9" s="19" t="s">
        <v>3</v>
      </c>
      <c r="G9" s="36" t="s">
        <v>39</v>
      </c>
      <c r="H9" s="36">
        <v>20</v>
      </c>
    </row>
    <row r="10" spans="1:8">
      <c r="A10" s="11">
        <v>434</v>
      </c>
      <c r="B10" s="12" t="s">
        <v>114</v>
      </c>
      <c r="C10" s="13" t="s">
        <v>1015</v>
      </c>
      <c r="D10" s="12" t="s">
        <v>1016</v>
      </c>
      <c r="E10" s="12"/>
      <c r="F10" s="19" t="s">
        <v>8</v>
      </c>
      <c r="G10" s="19" t="s">
        <v>19</v>
      </c>
      <c r="H10" s="19">
        <v>0.2</v>
      </c>
    </row>
    <row r="11" spans="1:8">
      <c r="A11" s="11">
        <v>438</v>
      </c>
      <c r="B11" s="12" t="s">
        <v>114</v>
      </c>
      <c r="C11" s="13" t="s">
        <v>1022</v>
      </c>
      <c r="D11" s="12" t="s">
        <v>1023</v>
      </c>
      <c r="E11" s="12"/>
      <c r="F11" s="19" t="s">
        <v>18</v>
      </c>
      <c r="G11" s="19" t="s">
        <v>46</v>
      </c>
      <c r="H11" s="19">
        <v>50</v>
      </c>
    </row>
    <row r="12" spans="1:8">
      <c r="A12" s="15">
        <v>439</v>
      </c>
      <c r="B12" s="16" t="s">
        <v>114</v>
      </c>
      <c r="C12" s="17" t="s">
        <v>1024</v>
      </c>
      <c r="D12" s="16" t="s">
        <v>1025</v>
      </c>
      <c r="E12" s="16"/>
      <c r="F12" s="40" t="s">
        <v>18</v>
      </c>
      <c r="G12" s="40" t="s">
        <v>64</v>
      </c>
      <c r="H12" s="40">
        <v>10</v>
      </c>
    </row>
    <row r="13" spans="1:8">
      <c r="A13" s="15">
        <v>567</v>
      </c>
      <c r="B13" s="16" t="s">
        <v>114</v>
      </c>
      <c r="C13" s="17" t="s">
        <v>1234</v>
      </c>
      <c r="D13" s="16" t="s">
        <v>1235</v>
      </c>
      <c r="E13" s="16"/>
      <c r="F13" s="40" t="s">
        <v>3</v>
      </c>
      <c r="G13" s="40" t="s">
        <v>34</v>
      </c>
      <c r="H13" s="40">
        <v>3</v>
      </c>
    </row>
    <row r="14" spans="1:8">
      <c r="A14" s="11">
        <v>568</v>
      </c>
      <c r="B14" s="12" t="s">
        <v>114</v>
      </c>
      <c r="C14" s="13" t="s">
        <v>1236</v>
      </c>
      <c r="D14" s="12" t="s">
        <v>1237</v>
      </c>
      <c r="E14" s="12"/>
      <c r="F14" s="19" t="s">
        <v>3</v>
      </c>
      <c r="G14" s="19" t="s">
        <v>34</v>
      </c>
      <c r="H14" s="19">
        <v>2</v>
      </c>
    </row>
    <row r="15" spans="1:8">
      <c r="A15" s="15">
        <v>579</v>
      </c>
      <c r="B15" s="15" t="s">
        <v>114</v>
      </c>
      <c r="C15" s="50" t="s">
        <v>1254</v>
      </c>
      <c r="D15" s="15" t="s">
        <v>1255</v>
      </c>
      <c r="E15" s="15" t="s">
        <v>1256</v>
      </c>
      <c r="F15" s="40" t="s">
        <v>3</v>
      </c>
      <c r="G15" s="40" t="s">
        <v>52</v>
      </c>
      <c r="H15" s="40">
        <v>1</v>
      </c>
    </row>
    <row r="16" spans="1:8">
      <c r="A16" s="11">
        <v>580</v>
      </c>
      <c r="B16" s="11" t="s">
        <v>114</v>
      </c>
      <c r="C16" s="51" t="s">
        <v>1257</v>
      </c>
      <c r="D16" s="11" t="s">
        <v>1258</v>
      </c>
      <c r="E16" s="34" t="s">
        <v>1259</v>
      </c>
      <c r="F16" s="19" t="s">
        <v>8</v>
      </c>
      <c r="G16" s="19" t="s">
        <v>53</v>
      </c>
      <c r="H16" s="19">
        <v>5</v>
      </c>
    </row>
    <row r="17" spans="1:8">
      <c r="A17" s="15">
        <v>686</v>
      </c>
      <c r="B17" s="52" t="s">
        <v>114</v>
      </c>
      <c r="C17" s="53" t="s">
        <v>77</v>
      </c>
      <c r="D17" s="16"/>
      <c r="E17" s="16">
        <v>1</v>
      </c>
      <c r="F17" s="40" t="s">
        <v>3</v>
      </c>
      <c r="G17" s="40" t="s">
        <v>27</v>
      </c>
      <c r="H17" s="40">
        <v>1</v>
      </c>
    </row>
    <row r="18" spans="1:8">
      <c r="A18" s="11">
        <v>687</v>
      </c>
      <c r="B18" s="54" t="s">
        <v>114</v>
      </c>
      <c r="C18" s="55" t="s">
        <v>78</v>
      </c>
      <c r="D18" s="12"/>
      <c r="E18" s="12">
        <v>2</v>
      </c>
      <c r="F18" s="19" t="s">
        <v>3</v>
      </c>
      <c r="G18" s="19" t="s">
        <v>27</v>
      </c>
      <c r="H18" s="19">
        <v>1</v>
      </c>
    </row>
    <row r="19" spans="1:8">
      <c r="A19" s="15">
        <v>688</v>
      </c>
      <c r="B19" s="52" t="s">
        <v>114</v>
      </c>
      <c r="C19" s="53" t="s">
        <v>79</v>
      </c>
      <c r="D19" s="16"/>
      <c r="E19" s="16">
        <v>3</v>
      </c>
      <c r="F19" s="40" t="s">
        <v>3</v>
      </c>
      <c r="G19" s="40" t="s">
        <v>27</v>
      </c>
      <c r="H19" s="40">
        <v>1</v>
      </c>
    </row>
    <row r="20" spans="1:8">
      <c r="A20" s="15">
        <v>694</v>
      </c>
      <c r="B20" s="52" t="s">
        <v>114</v>
      </c>
      <c r="C20" s="53" t="s">
        <v>85</v>
      </c>
      <c r="D20" s="16"/>
      <c r="E20" s="16">
        <v>9</v>
      </c>
      <c r="F20" s="40" t="s">
        <v>3</v>
      </c>
      <c r="G20" s="40" t="s">
        <v>27</v>
      </c>
      <c r="H20" s="40">
        <v>1</v>
      </c>
    </row>
    <row r="21" spans="1:8">
      <c r="A21" s="11">
        <v>695</v>
      </c>
      <c r="B21" s="54" t="s">
        <v>114</v>
      </c>
      <c r="C21" s="55" t="s">
        <v>86</v>
      </c>
      <c r="D21" s="12"/>
      <c r="E21" s="12">
        <v>10</v>
      </c>
      <c r="F21" s="19" t="s">
        <v>3</v>
      </c>
      <c r="G21" s="19" t="s">
        <v>27</v>
      </c>
      <c r="H21" s="19">
        <v>1</v>
      </c>
    </row>
    <row r="22" spans="1:8">
      <c r="A22" s="15">
        <v>696</v>
      </c>
      <c r="B22" s="52" t="s">
        <v>114</v>
      </c>
      <c r="C22" s="53" t="s">
        <v>87</v>
      </c>
      <c r="D22" s="16"/>
      <c r="E22" s="16">
        <v>11</v>
      </c>
      <c r="F22" s="40" t="s">
        <v>3</v>
      </c>
      <c r="G22" s="40" t="s">
        <v>27</v>
      </c>
      <c r="H22" s="40">
        <v>1</v>
      </c>
    </row>
    <row r="23" spans="1:8">
      <c r="A23" s="11">
        <v>697</v>
      </c>
      <c r="B23" s="54" t="s">
        <v>114</v>
      </c>
      <c r="C23" s="55" t="s">
        <v>88</v>
      </c>
      <c r="D23" s="12"/>
      <c r="E23" s="12">
        <v>12</v>
      </c>
      <c r="F23" s="19" t="s">
        <v>3</v>
      </c>
      <c r="G23" s="19" t="s">
        <v>27</v>
      </c>
      <c r="H23" s="19">
        <v>1</v>
      </c>
    </row>
    <row r="24" spans="1:8">
      <c r="A24" s="11">
        <v>709</v>
      </c>
      <c r="B24" s="54" t="s">
        <v>114</v>
      </c>
      <c r="C24" s="55" t="s">
        <v>100</v>
      </c>
      <c r="D24" s="12"/>
      <c r="E24" s="12">
        <v>24</v>
      </c>
      <c r="F24" s="19" t="s">
        <v>3</v>
      </c>
      <c r="G24" s="19" t="s">
        <v>27</v>
      </c>
      <c r="H24" s="19">
        <v>1</v>
      </c>
    </row>
    <row r="25" spans="1:8">
      <c r="A25" s="15">
        <v>710</v>
      </c>
      <c r="B25" s="52" t="s">
        <v>114</v>
      </c>
      <c r="C25" s="53" t="s">
        <v>101</v>
      </c>
      <c r="D25" s="16"/>
      <c r="E25" s="16">
        <v>25</v>
      </c>
      <c r="F25" s="40" t="s">
        <v>3</v>
      </c>
      <c r="G25" s="40" t="s">
        <v>27</v>
      </c>
      <c r="H25" s="40">
        <v>1</v>
      </c>
    </row>
    <row r="26" spans="1:8">
      <c r="A26" s="15">
        <v>714</v>
      </c>
      <c r="B26" s="52" t="s">
        <v>114</v>
      </c>
      <c r="C26" s="53" t="s">
        <v>104</v>
      </c>
      <c r="E26" s="16">
        <v>29</v>
      </c>
      <c r="F26" s="40" t="s">
        <v>3</v>
      </c>
      <c r="G26" s="40" t="s">
        <v>27</v>
      </c>
      <c r="H26" s="40">
        <v>1</v>
      </c>
    </row>
    <row r="27" spans="1:8">
      <c r="A27" s="11">
        <v>715</v>
      </c>
      <c r="B27" s="54" t="s">
        <v>114</v>
      </c>
      <c r="C27" s="55" t="s">
        <v>105</v>
      </c>
      <c r="E27" s="12">
        <v>30</v>
      </c>
      <c r="F27" s="19" t="s">
        <v>3</v>
      </c>
      <c r="G27" s="19" t="s">
        <v>27</v>
      </c>
      <c r="H27" s="19">
        <v>1</v>
      </c>
    </row>
    <row r="28" spans="1:8">
      <c r="A28" s="11">
        <v>717</v>
      </c>
      <c r="B28" s="54" t="s">
        <v>114</v>
      </c>
      <c r="C28" s="55" t="s">
        <v>107</v>
      </c>
      <c r="D28" s="12"/>
      <c r="E28" s="12">
        <v>32</v>
      </c>
      <c r="F28" s="19" t="s">
        <v>3</v>
      </c>
      <c r="G28" s="19" t="s">
        <v>27</v>
      </c>
      <c r="H28" s="19">
        <v>1</v>
      </c>
    </row>
    <row r="29" spans="1:8">
      <c r="A29" s="15">
        <v>718</v>
      </c>
      <c r="B29" s="52" t="s">
        <v>114</v>
      </c>
      <c r="C29" s="53" t="s">
        <v>108</v>
      </c>
      <c r="D29" s="16"/>
      <c r="E29" s="16">
        <v>33</v>
      </c>
      <c r="F29" s="40" t="s">
        <v>3</v>
      </c>
      <c r="G29" s="40" t="s">
        <v>27</v>
      </c>
      <c r="H29" s="40">
        <v>1</v>
      </c>
    </row>
    <row r="30" spans="1:8">
      <c r="A30" s="15">
        <v>722</v>
      </c>
      <c r="B30" s="52" t="s">
        <v>114</v>
      </c>
      <c r="C30" s="59" t="s">
        <v>112</v>
      </c>
      <c r="D30" s="16"/>
      <c r="E30" s="16">
        <v>37</v>
      </c>
      <c r="F30" s="40" t="s">
        <v>3</v>
      </c>
      <c r="G30" s="40" t="s">
        <v>27</v>
      </c>
      <c r="H30" s="40">
        <v>1</v>
      </c>
    </row>
  </sheetData>
  <conditionalFormatting sqref="H2:H30">
    <cfRule type="notContainsBlanks" dxfId="9" priority="1">
      <formula>LEN(TRIM(H2))&gt;0</formula>
    </cfRule>
  </conditionalFormatting>
  <dataValidations count="1">
    <dataValidation type="list" allowBlank="1" sqref="F2:G30" xr:uid="{E72DD8DA-7625-4917-8B5C-E940A1615B7B}">
      <formula1>#REF!</formula1>
    </dataValidation>
  </dataValidation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000"/>
  <sheetViews>
    <sheetView showGridLines="0" workbookViewId="0">
      <pane ySplit="2" topLeftCell="A3" activePane="bottomLeft" state="frozen"/>
      <selection pane="bottomLeft" activeCell="B4" sqref="B4"/>
    </sheetView>
  </sheetViews>
  <sheetFormatPr defaultColWidth="14.453125" defaultRowHeight="15" customHeight="1"/>
  <cols>
    <col min="1" max="1" width="6.81640625" customWidth="1"/>
    <col min="2" max="2" width="34.7265625" customWidth="1"/>
    <col min="3" max="3" width="14.54296875" customWidth="1"/>
    <col min="4" max="4" width="19.453125" customWidth="1"/>
    <col min="5" max="5" width="52.7265625" customWidth="1"/>
  </cols>
  <sheetData>
    <row r="1" spans="1:5">
      <c r="A1" s="62"/>
      <c r="B1" s="62" t="s">
        <v>1828</v>
      </c>
      <c r="C1" s="152"/>
      <c r="D1" s="152"/>
      <c r="E1" s="152"/>
    </row>
    <row r="2" spans="1:5">
      <c r="A2" s="6" t="s">
        <v>1440</v>
      </c>
      <c r="B2" s="153" t="s">
        <v>1829</v>
      </c>
      <c r="C2" s="153" t="s">
        <v>1830</v>
      </c>
      <c r="D2" s="153" t="s">
        <v>1</v>
      </c>
      <c r="E2" s="153" t="s">
        <v>1831</v>
      </c>
    </row>
    <row r="3" spans="1:5">
      <c r="A3" s="69">
        <f>IF(B3="","",ROW()-2)</f>
        <v>1</v>
      </c>
      <c r="B3" s="138" t="s">
        <v>1802</v>
      </c>
      <c r="C3" s="138"/>
      <c r="D3" s="139" t="s">
        <v>3</v>
      </c>
      <c r="E3" s="138"/>
    </row>
    <row r="4" spans="1:5">
      <c r="A4" s="69"/>
      <c r="B4" s="141"/>
      <c r="C4" s="141"/>
      <c r="D4" s="139"/>
      <c r="E4" s="141"/>
    </row>
    <row r="5" spans="1:5">
      <c r="A5" s="69"/>
      <c r="B5" s="138"/>
      <c r="C5" s="138"/>
      <c r="D5" s="139"/>
      <c r="E5" s="138"/>
    </row>
    <row r="6" spans="1:5">
      <c r="A6" s="69" t="str">
        <f t="shared" ref="A6:A260" si="0">IF(B6="","",ROW()-2)</f>
        <v/>
      </c>
      <c r="B6" s="141"/>
      <c r="C6" s="141"/>
      <c r="D6" s="139"/>
      <c r="E6" s="141"/>
    </row>
    <row r="7" spans="1:5">
      <c r="A7" s="69" t="str">
        <f t="shared" si="0"/>
        <v/>
      </c>
      <c r="B7" s="138"/>
      <c r="C7" s="138"/>
      <c r="D7" s="139"/>
      <c r="E7" s="138"/>
    </row>
    <row r="8" spans="1:5">
      <c r="A8" s="69" t="str">
        <f t="shared" si="0"/>
        <v/>
      </c>
      <c r="B8" s="141"/>
      <c r="C8" s="141"/>
      <c r="D8" s="139"/>
      <c r="E8" s="141"/>
    </row>
    <row r="9" spans="1:5">
      <c r="A9" s="69" t="str">
        <f t="shared" si="0"/>
        <v/>
      </c>
      <c r="B9" s="138"/>
      <c r="C9" s="138"/>
      <c r="D9" s="139"/>
      <c r="E9" s="138"/>
    </row>
    <row r="10" spans="1:5">
      <c r="A10" s="69" t="str">
        <f t="shared" si="0"/>
        <v/>
      </c>
      <c r="B10" s="141"/>
      <c r="C10" s="141"/>
      <c r="D10" s="139"/>
      <c r="E10" s="141"/>
    </row>
    <row r="11" spans="1:5">
      <c r="A11" s="69" t="str">
        <f t="shared" si="0"/>
        <v/>
      </c>
      <c r="B11" s="138"/>
      <c r="C11" s="138"/>
      <c r="D11" s="139"/>
      <c r="E11" s="138"/>
    </row>
    <row r="12" spans="1:5">
      <c r="A12" s="69" t="str">
        <f t="shared" si="0"/>
        <v/>
      </c>
      <c r="B12" s="141"/>
      <c r="C12" s="141"/>
      <c r="D12" s="139"/>
      <c r="E12" s="141"/>
    </row>
    <row r="13" spans="1:5">
      <c r="A13" s="69" t="str">
        <f t="shared" si="0"/>
        <v/>
      </c>
      <c r="B13" s="138"/>
      <c r="C13" s="138"/>
      <c r="D13" s="139"/>
      <c r="E13" s="138"/>
    </row>
    <row r="14" spans="1:5">
      <c r="A14" s="69" t="str">
        <f t="shared" si="0"/>
        <v/>
      </c>
      <c r="B14" s="141"/>
      <c r="C14" s="141"/>
      <c r="D14" s="139"/>
      <c r="E14" s="141"/>
    </row>
    <row r="15" spans="1:5">
      <c r="A15" s="69" t="str">
        <f t="shared" si="0"/>
        <v/>
      </c>
      <c r="B15" s="138"/>
      <c r="C15" s="138"/>
      <c r="D15" s="139"/>
      <c r="E15" s="138"/>
    </row>
    <row r="16" spans="1:5">
      <c r="A16" s="69" t="str">
        <f t="shared" si="0"/>
        <v/>
      </c>
      <c r="B16" s="141"/>
      <c r="C16" s="141"/>
      <c r="D16" s="139"/>
      <c r="E16" s="141"/>
    </row>
    <row r="17" spans="1:5">
      <c r="A17" s="69" t="str">
        <f t="shared" si="0"/>
        <v/>
      </c>
      <c r="B17" s="138"/>
      <c r="C17" s="138"/>
      <c r="D17" s="139"/>
      <c r="E17" s="138"/>
    </row>
    <row r="18" spans="1:5">
      <c r="A18" s="69" t="str">
        <f t="shared" si="0"/>
        <v/>
      </c>
      <c r="B18" s="141"/>
      <c r="C18" s="141"/>
      <c r="D18" s="139"/>
      <c r="E18" s="141"/>
    </row>
    <row r="19" spans="1:5">
      <c r="A19" s="69" t="str">
        <f t="shared" si="0"/>
        <v/>
      </c>
      <c r="B19" s="138"/>
      <c r="C19" s="138"/>
      <c r="D19" s="139"/>
      <c r="E19" s="138"/>
    </row>
    <row r="20" spans="1:5">
      <c r="A20" s="69" t="str">
        <f t="shared" si="0"/>
        <v/>
      </c>
      <c r="B20" s="141"/>
      <c r="C20" s="141"/>
      <c r="D20" s="139"/>
      <c r="E20" s="141"/>
    </row>
    <row r="21" spans="1:5">
      <c r="A21" s="69" t="str">
        <f t="shared" si="0"/>
        <v/>
      </c>
      <c r="B21" s="138"/>
      <c r="C21" s="138"/>
      <c r="D21" s="139"/>
      <c r="E21" s="138"/>
    </row>
    <row r="22" spans="1:5">
      <c r="A22" s="69" t="str">
        <f t="shared" si="0"/>
        <v/>
      </c>
      <c r="B22" s="141"/>
      <c r="C22" s="141"/>
      <c r="D22" s="139"/>
      <c r="E22" s="141"/>
    </row>
    <row r="23" spans="1:5">
      <c r="A23" s="69" t="str">
        <f t="shared" si="0"/>
        <v/>
      </c>
      <c r="B23" s="138"/>
      <c r="C23" s="138"/>
      <c r="D23" s="139"/>
      <c r="E23" s="138"/>
    </row>
    <row r="24" spans="1:5">
      <c r="A24" s="69" t="str">
        <f t="shared" si="0"/>
        <v/>
      </c>
      <c r="B24" s="141"/>
      <c r="C24" s="141"/>
      <c r="D24" s="139"/>
      <c r="E24" s="141"/>
    </row>
    <row r="25" spans="1:5">
      <c r="A25" s="69" t="str">
        <f t="shared" si="0"/>
        <v/>
      </c>
      <c r="B25" s="138"/>
      <c r="C25" s="138"/>
      <c r="D25" s="139"/>
      <c r="E25" s="138"/>
    </row>
    <row r="26" spans="1:5">
      <c r="A26" s="69" t="str">
        <f t="shared" si="0"/>
        <v/>
      </c>
      <c r="B26" s="141"/>
      <c r="C26" s="141"/>
      <c r="D26" s="139"/>
      <c r="E26" s="141"/>
    </row>
    <row r="27" spans="1:5">
      <c r="A27" s="69" t="str">
        <f t="shared" si="0"/>
        <v/>
      </c>
      <c r="B27" s="138"/>
      <c r="C27" s="138"/>
      <c r="D27" s="139"/>
      <c r="E27" s="138"/>
    </row>
    <row r="28" spans="1:5">
      <c r="A28" s="69" t="str">
        <f t="shared" si="0"/>
        <v/>
      </c>
      <c r="B28" s="141"/>
      <c r="C28" s="141"/>
      <c r="D28" s="139"/>
      <c r="E28" s="141"/>
    </row>
    <row r="29" spans="1:5">
      <c r="A29" s="69" t="str">
        <f t="shared" si="0"/>
        <v/>
      </c>
      <c r="B29" s="138"/>
      <c r="C29" s="138"/>
      <c r="D29" s="139"/>
      <c r="E29" s="138"/>
    </row>
    <row r="30" spans="1:5">
      <c r="A30" s="69" t="str">
        <f t="shared" si="0"/>
        <v/>
      </c>
      <c r="B30" s="141"/>
      <c r="C30" s="141"/>
      <c r="D30" s="139"/>
      <c r="E30" s="141"/>
    </row>
    <row r="31" spans="1:5">
      <c r="A31" s="69" t="str">
        <f t="shared" si="0"/>
        <v/>
      </c>
      <c r="B31" s="138"/>
      <c r="C31" s="138"/>
      <c r="D31" s="139"/>
      <c r="E31" s="138"/>
    </row>
    <row r="32" spans="1:5">
      <c r="A32" s="69" t="str">
        <f t="shared" si="0"/>
        <v/>
      </c>
      <c r="B32" s="141"/>
      <c r="C32" s="141"/>
      <c r="D32" s="139"/>
      <c r="E32" s="141"/>
    </row>
    <row r="33" spans="1:5">
      <c r="A33" s="69" t="str">
        <f t="shared" si="0"/>
        <v/>
      </c>
      <c r="B33" s="138"/>
      <c r="C33" s="138"/>
      <c r="D33" s="139"/>
      <c r="E33" s="138"/>
    </row>
    <row r="34" spans="1:5">
      <c r="A34" s="69" t="str">
        <f t="shared" si="0"/>
        <v/>
      </c>
      <c r="B34" s="141"/>
      <c r="C34" s="141"/>
      <c r="D34" s="139"/>
      <c r="E34" s="141"/>
    </row>
    <row r="35" spans="1:5">
      <c r="A35" s="69" t="str">
        <f t="shared" si="0"/>
        <v/>
      </c>
      <c r="B35" s="138"/>
      <c r="C35" s="138"/>
      <c r="D35" s="139"/>
      <c r="E35" s="138"/>
    </row>
    <row r="36" spans="1:5">
      <c r="A36" s="69" t="str">
        <f t="shared" si="0"/>
        <v/>
      </c>
      <c r="B36" s="141"/>
      <c r="C36" s="141"/>
      <c r="D36" s="139"/>
      <c r="E36" s="141"/>
    </row>
    <row r="37" spans="1:5">
      <c r="A37" s="69" t="str">
        <f t="shared" si="0"/>
        <v/>
      </c>
      <c r="B37" s="138"/>
      <c r="C37" s="138"/>
      <c r="D37" s="139"/>
      <c r="E37" s="138"/>
    </row>
    <row r="38" spans="1:5">
      <c r="A38" s="69" t="str">
        <f t="shared" si="0"/>
        <v/>
      </c>
      <c r="B38" s="141"/>
      <c r="C38" s="141"/>
      <c r="D38" s="139"/>
      <c r="E38" s="141"/>
    </row>
    <row r="39" spans="1:5">
      <c r="A39" s="69" t="str">
        <f t="shared" si="0"/>
        <v/>
      </c>
      <c r="B39" s="138"/>
      <c r="C39" s="138"/>
      <c r="D39" s="139"/>
      <c r="E39" s="138"/>
    </row>
    <row r="40" spans="1:5">
      <c r="A40" s="69" t="str">
        <f t="shared" si="0"/>
        <v/>
      </c>
      <c r="B40" s="141"/>
      <c r="C40" s="141"/>
      <c r="D40" s="139"/>
      <c r="E40" s="141"/>
    </row>
    <row r="41" spans="1:5">
      <c r="A41" s="69" t="str">
        <f t="shared" si="0"/>
        <v/>
      </c>
      <c r="B41" s="138"/>
      <c r="C41" s="138"/>
      <c r="D41" s="139"/>
      <c r="E41" s="138"/>
    </row>
    <row r="42" spans="1:5">
      <c r="A42" s="69" t="str">
        <f t="shared" si="0"/>
        <v/>
      </c>
      <c r="B42" s="141"/>
      <c r="C42" s="141"/>
      <c r="D42" s="139"/>
      <c r="E42" s="141"/>
    </row>
    <row r="43" spans="1:5">
      <c r="A43" s="69" t="str">
        <f t="shared" si="0"/>
        <v/>
      </c>
      <c r="B43" s="138"/>
      <c r="C43" s="138"/>
      <c r="D43" s="139"/>
      <c r="E43" s="138"/>
    </row>
    <row r="44" spans="1:5">
      <c r="A44" s="69" t="str">
        <f t="shared" si="0"/>
        <v/>
      </c>
      <c r="B44" s="141"/>
      <c r="C44" s="141"/>
      <c r="D44" s="139"/>
      <c r="E44" s="141"/>
    </row>
    <row r="45" spans="1:5">
      <c r="A45" s="69" t="str">
        <f t="shared" si="0"/>
        <v/>
      </c>
      <c r="B45" s="138"/>
      <c r="C45" s="138"/>
      <c r="D45" s="139"/>
      <c r="E45" s="138"/>
    </row>
    <row r="46" spans="1:5">
      <c r="A46" s="69" t="str">
        <f t="shared" si="0"/>
        <v/>
      </c>
      <c r="B46" s="141"/>
      <c r="C46" s="141"/>
      <c r="D46" s="139"/>
      <c r="E46" s="141"/>
    </row>
    <row r="47" spans="1:5">
      <c r="A47" s="69" t="str">
        <f t="shared" si="0"/>
        <v/>
      </c>
      <c r="B47" s="138"/>
      <c r="C47" s="138"/>
      <c r="D47" s="139"/>
      <c r="E47" s="138"/>
    </row>
    <row r="48" spans="1:5">
      <c r="A48" s="69" t="str">
        <f t="shared" si="0"/>
        <v/>
      </c>
      <c r="B48" s="141"/>
      <c r="C48" s="141"/>
      <c r="D48" s="139"/>
      <c r="E48" s="141"/>
    </row>
    <row r="49" spans="1:5">
      <c r="A49" s="69" t="str">
        <f t="shared" si="0"/>
        <v/>
      </c>
      <c r="B49" s="138"/>
      <c r="C49" s="138"/>
      <c r="D49" s="139"/>
      <c r="E49" s="138"/>
    </row>
    <row r="50" spans="1:5">
      <c r="A50" s="69" t="str">
        <f t="shared" si="0"/>
        <v/>
      </c>
      <c r="B50" s="141"/>
      <c r="C50" s="141"/>
      <c r="D50" s="139"/>
      <c r="E50" s="141"/>
    </row>
    <row r="51" spans="1:5">
      <c r="A51" s="69" t="str">
        <f t="shared" si="0"/>
        <v/>
      </c>
      <c r="B51" s="138"/>
      <c r="C51" s="138"/>
      <c r="D51" s="139"/>
      <c r="E51" s="138"/>
    </row>
    <row r="52" spans="1:5">
      <c r="A52" s="69" t="str">
        <f t="shared" si="0"/>
        <v/>
      </c>
      <c r="B52" s="141"/>
      <c r="C52" s="141"/>
      <c r="D52" s="139"/>
      <c r="E52" s="141"/>
    </row>
    <row r="53" spans="1:5">
      <c r="A53" s="69" t="str">
        <f t="shared" si="0"/>
        <v/>
      </c>
      <c r="B53" s="138"/>
      <c r="C53" s="138"/>
      <c r="D53" s="139"/>
      <c r="E53" s="138"/>
    </row>
    <row r="54" spans="1:5">
      <c r="A54" s="69" t="str">
        <f t="shared" si="0"/>
        <v/>
      </c>
      <c r="B54" s="141"/>
      <c r="C54" s="141"/>
      <c r="D54" s="139"/>
      <c r="E54" s="141"/>
    </row>
    <row r="55" spans="1:5">
      <c r="A55" s="69" t="str">
        <f t="shared" si="0"/>
        <v/>
      </c>
      <c r="B55" s="138"/>
      <c r="C55" s="138"/>
      <c r="D55" s="139"/>
      <c r="E55" s="138"/>
    </row>
    <row r="56" spans="1:5">
      <c r="A56" s="69" t="str">
        <f t="shared" si="0"/>
        <v/>
      </c>
      <c r="B56" s="141"/>
      <c r="C56" s="141"/>
      <c r="D56" s="139"/>
      <c r="E56" s="141"/>
    </row>
    <row r="57" spans="1:5">
      <c r="A57" s="69" t="str">
        <f t="shared" si="0"/>
        <v/>
      </c>
      <c r="B57" s="138"/>
      <c r="C57" s="138"/>
      <c r="D57" s="139"/>
      <c r="E57" s="138"/>
    </row>
    <row r="58" spans="1:5">
      <c r="A58" s="69" t="str">
        <f t="shared" si="0"/>
        <v/>
      </c>
      <c r="B58" s="141"/>
      <c r="C58" s="141"/>
      <c r="D58" s="139"/>
      <c r="E58" s="141"/>
    </row>
    <row r="59" spans="1:5">
      <c r="A59" s="69" t="str">
        <f t="shared" si="0"/>
        <v/>
      </c>
      <c r="B59" s="138"/>
      <c r="C59" s="138"/>
      <c r="D59" s="139"/>
      <c r="E59" s="138"/>
    </row>
    <row r="60" spans="1:5">
      <c r="A60" s="69" t="str">
        <f t="shared" si="0"/>
        <v/>
      </c>
      <c r="B60" s="141"/>
      <c r="C60" s="141"/>
      <c r="D60" s="139"/>
      <c r="E60" s="141"/>
    </row>
    <row r="61" spans="1:5">
      <c r="A61" s="69" t="str">
        <f t="shared" si="0"/>
        <v/>
      </c>
      <c r="B61" s="138"/>
      <c r="C61" s="138"/>
      <c r="D61" s="139"/>
      <c r="E61" s="138"/>
    </row>
    <row r="62" spans="1:5">
      <c r="A62" s="69" t="str">
        <f t="shared" si="0"/>
        <v/>
      </c>
      <c r="B62" s="141"/>
      <c r="C62" s="141"/>
      <c r="D62" s="139"/>
      <c r="E62" s="141"/>
    </row>
    <row r="63" spans="1:5">
      <c r="A63" s="69" t="str">
        <f t="shared" si="0"/>
        <v/>
      </c>
      <c r="B63" s="138"/>
      <c r="C63" s="138"/>
      <c r="D63" s="139"/>
      <c r="E63" s="138"/>
    </row>
    <row r="64" spans="1:5">
      <c r="A64" s="69" t="str">
        <f t="shared" si="0"/>
        <v/>
      </c>
      <c r="B64" s="141"/>
      <c r="C64" s="141"/>
      <c r="D64" s="139"/>
      <c r="E64" s="141"/>
    </row>
    <row r="65" spans="1:5">
      <c r="A65" s="69" t="str">
        <f t="shared" si="0"/>
        <v/>
      </c>
      <c r="B65" s="138"/>
      <c r="C65" s="138"/>
      <c r="D65" s="139"/>
      <c r="E65" s="138"/>
    </row>
    <row r="66" spans="1:5">
      <c r="A66" s="69" t="str">
        <f t="shared" si="0"/>
        <v/>
      </c>
      <c r="B66" s="141"/>
      <c r="C66" s="141"/>
      <c r="D66" s="139"/>
      <c r="E66" s="141"/>
    </row>
    <row r="67" spans="1:5">
      <c r="A67" s="69" t="str">
        <f t="shared" si="0"/>
        <v/>
      </c>
      <c r="B67" s="138"/>
      <c r="C67" s="138"/>
      <c r="D67" s="139"/>
      <c r="E67" s="138"/>
    </row>
    <row r="68" spans="1:5">
      <c r="A68" s="69" t="str">
        <f t="shared" si="0"/>
        <v/>
      </c>
      <c r="B68" s="141"/>
      <c r="C68" s="141"/>
      <c r="D68" s="139"/>
      <c r="E68" s="141"/>
    </row>
    <row r="69" spans="1:5">
      <c r="A69" s="69" t="str">
        <f t="shared" si="0"/>
        <v/>
      </c>
      <c r="B69" s="138"/>
      <c r="C69" s="138"/>
      <c r="D69" s="139"/>
      <c r="E69" s="138"/>
    </row>
    <row r="70" spans="1:5">
      <c r="A70" s="69" t="str">
        <f t="shared" si="0"/>
        <v/>
      </c>
      <c r="B70" s="141"/>
      <c r="C70" s="141"/>
      <c r="D70" s="139"/>
      <c r="E70" s="141"/>
    </row>
    <row r="71" spans="1:5">
      <c r="A71" s="69" t="str">
        <f t="shared" si="0"/>
        <v/>
      </c>
      <c r="B71" s="138"/>
      <c r="C71" s="138"/>
      <c r="D71" s="139"/>
      <c r="E71" s="138"/>
    </row>
    <row r="72" spans="1:5">
      <c r="A72" s="69" t="str">
        <f t="shared" si="0"/>
        <v/>
      </c>
      <c r="B72" s="141"/>
      <c r="C72" s="141"/>
      <c r="D72" s="139"/>
      <c r="E72" s="141"/>
    </row>
    <row r="73" spans="1:5">
      <c r="A73" s="69" t="str">
        <f t="shared" si="0"/>
        <v/>
      </c>
      <c r="B73" s="138"/>
      <c r="C73" s="138"/>
      <c r="D73" s="139"/>
      <c r="E73" s="138"/>
    </row>
    <row r="74" spans="1:5">
      <c r="A74" s="69" t="str">
        <f t="shared" si="0"/>
        <v/>
      </c>
      <c r="B74" s="141"/>
      <c r="C74" s="141"/>
      <c r="D74" s="139"/>
      <c r="E74" s="141"/>
    </row>
    <row r="75" spans="1:5">
      <c r="A75" s="69" t="str">
        <f t="shared" si="0"/>
        <v/>
      </c>
      <c r="B75" s="138"/>
      <c r="C75" s="138"/>
      <c r="D75" s="139"/>
      <c r="E75" s="138"/>
    </row>
    <row r="76" spans="1:5">
      <c r="A76" s="69" t="str">
        <f t="shared" si="0"/>
        <v/>
      </c>
      <c r="B76" s="141"/>
      <c r="C76" s="141"/>
      <c r="D76" s="139"/>
      <c r="E76" s="141"/>
    </row>
    <row r="77" spans="1:5">
      <c r="A77" s="69" t="str">
        <f t="shared" si="0"/>
        <v/>
      </c>
      <c r="B77" s="138"/>
      <c r="C77" s="138"/>
      <c r="D77" s="139"/>
      <c r="E77" s="138"/>
    </row>
    <row r="78" spans="1:5">
      <c r="A78" s="69" t="str">
        <f t="shared" si="0"/>
        <v/>
      </c>
      <c r="B78" s="141"/>
      <c r="C78" s="141"/>
      <c r="D78" s="139"/>
      <c r="E78" s="141"/>
    </row>
    <row r="79" spans="1:5">
      <c r="A79" s="69" t="str">
        <f t="shared" si="0"/>
        <v/>
      </c>
      <c r="B79" s="138"/>
      <c r="C79" s="138"/>
      <c r="D79" s="139"/>
      <c r="E79" s="138"/>
    </row>
    <row r="80" spans="1:5">
      <c r="A80" s="69" t="str">
        <f t="shared" si="0"/>
        <v/>
      </c>
      <c r="B80" s="141"/>
      <c r="C80" s="141"/>
      <c r="D80" s="139"/>
      <c r="E80" s="141"/>
    </row>
    <row r="81" spans="1:5">
      <c r="A81" s="69" t="str">
        <f t="shared" si="0"/>
        <v/>
      </c>
      <c r="B81" s="138"/>
      <c r="C81" s="138"/>
      <c r="D81" s="139"/>
      <c r="E81" s="138"/>
    </row>
    <row r="82" spans="1:5">
      <c r="A82" s="69" t="str">
        <f t="shared" si="0"/>
        <v/>
      </c>
      <c r="B82" s="141"/>
      <c r="C82" s="141"/>
      <c r="D82" s="139"/>
      <c r="E82" s="141"/>
    </row>
    <row r="83" spans="1:5">
      <c r="A83" s="69" t="str">
        <f t="shared" si="0"/>
        <v/>
      </c>
      <c r="B83" s="138"/>
      <c r="C83" s="138"/>
      <c r="D83" s="139"/>
      <c r="E83" s="138"/>
    </row>
    <row r="84" spans="1:5">
      <c r="A84" s="69" t="str">
        <f t="shared" si="0"/>
        <v/>
      </c>
      <c r="B84" s="141"/>
      <c r="C84" s="141"/>
      <c r="D84" s="139"/>
      <c r="E84" s="141"/>
    </row>
    <row r="85" spans="1:5">
      <c r="A85" s="69" t="str">
        <f t="shared" si="0"/>
        <v/>
      </c>
      <c r="B85" s="138"/>
      <c r="C85" s="138"/>
      <c r="D85" s="139"/>
      <c r="E85" s="138"/>
    </row>
    <row r="86" spans="1:5">
      <c r="A86" s="69" t="str">
        <f t="shared" si="0"/>
        <v/>
      </c>
      <c r="B86" s="141"/>
      <c r="C86" s="141"/>
      <c r="D86" s="139"/>
      <c r="E86" s="141"/>
    </row>
    <row r="87" spans="1:5">
      <c r="A87" s="69" t="str">
        <f t="shared" si="0"/>
        <v/>
      </c>
      <c r="B87" s="138"/>
      <c r="C87" s="138"/>
      <c r="D87" s="139"/>
      <c r="E87" s="138"/>
    </row>
    <row r="88" spans="1:5">
      <c r="A88" s="69" t="str">
        <f t="shared" si="0"/>
        <v/>
      </c>
      <c r="B88" s="141"/>
      <c r="C88" s="141"/>
      <c r="D88" s="139"/>
      <c r="E88" s="141"/>
    </row>
    <row r="89" spans="1:5">
      <c r="A89" s="69" t="str">
        <f t="shared" si="0"/>
        <v/>
      </c>
      <c r="B89" s="138"/>
      <c r="C89" s="138"/>
      <c r="D89" s="139"/>
      <c r="E89" s="138"/>
    </row>
    <row r="90" spans="1:5">
      <c r="A90" s="69" t="str">
        <f t="shared" si="0"/>
        <v/>
      </c>
      <c r="B90" s="141"/>
      <c r="C90" s="141"/>
      <c r="D90" s="139"/>
      <c r="E90" s="141"/>
    </row>
    <row r="91" spans="1:5">
      <c r="A91" s="69" t="str">
        <f t="shared" si="0"/>
        <v/>
      </c>
      <c r="B91" s="138"/>
      <c r="C91" s="138"/>
      <c r="D91" s="139"/>
      <c r="E91" s="138"/>
    </row>
    <row r="92" spans="1:5">
      <c r="A92" s="69" t="str">
        <f t="shared" si="0"/>
        <v/>
      </c>
      <c r="B92" s="141"/>
      <c r="C92" s="141"/>
      <c r="D92" s="139"/>
      <c r="E92" s="141"/>
    </row>
    <row r="93" spans="1:5">
      <c r="A93" s="69" t="str">
        <f t="shared" si="0"/>
        <v/>
      </c>
      <c r="B93" s="138"/>
      <c r="C93" s="138"/>
      <c r="D93" s="139"/>
      <c r="E93" s="138"/>
    </row>
    <row r="94" spans="1:5">
      <c r="A94" s="69" t="str">
        <f t="shared" si="0"/>
        <v/>
      </c>
      <c r="B94" s="141"/>
      <c r="C94" s="141"/>
      <c r="D94" s="139"/>
      <c r="E94" s="141"/>
    </row>
    <row r="95" spans="1:5">
      <c r="A95" s="69" t="str">
        <f t="shared" si="0"/>
        <v/>
      </c>
      <c r="B95" s="138"/>
      <c r="C95" s="138"/>
      <c r="D95" s="139"/>
      <c r="E95" s="138"/>
    </row>
    <row r="96" spans="1:5">
      <c r="A96" s="69" t="str">
        <f t="shared" si="0"/>
        <v/>
      </c>
      <c r="B96" s="141"/>
      <c r="C96" s="141"/>
      <c r="D96" s="139"/>
      <c r="E96" s="141"/>
    </row>
    <row r="97" spans="1:5">
      <c r="A97" s="69" t="str">
        <f t="shared" si="0"/>
        <v/>
      </c>
      <c r="B97" s="138"/>
      <c r="C97" s="138"/>
      <c r="D97" s="139"/>
      <c r="E97" s="138"/>
    </row>
    <row r="98" spans="1:5">
      <c r="A98" s="69" t="str">
        <f t="shared" si="0"/>
        <v/>
      </c>
      <c r="B98" s="141"/>
      <c r="C98" s="141"/>
      <c r="D98" s="139"/>
      <c r="E98" s="141"/>
    </row>
    <row r="99" spans="1:5">
      <c r="A99" s="69" t="str">
        <f t="shared" si="0"/>
        <v/>
      </c>
      <c r="B99" s="138"/>
      <c r="C99" s="138"/>
      <c r="D99" s="139"/>
      <c r="E99" s="138"/>
    </row>
    <row r="100" spans="1:5">
      <c r="A100" s="69" t="str">
        <f t="shared" si="0"/>
        <v/>
      </c>
      <c r="B100" s="141"/>
      <c r="C100" s="141"/>
      <c r="D100" s="139"/>
      <c r="E100" s="141"/>
    </row>
    <row r="101" spans="1:5">
      <c r="A101" s="69" t="str">
        <f t="shared" si="0"/>
        <v/>
      </c>
      <c r="B101" s="138"/>
      <c r="C101" s="138"/>
      <c r="D101" s="139"/>
      <c r="E101" s="138"/>
    </row>
    <row r="102" spans="1:5">
      <c r="A102" s="69" t="str">
        <f t="shared" si="0"/>
        <v/>
      </c>
      <c r="B102" s="141"/>
      <c r="C102" s="141"/>
      <c r="D102" s="139"/>
      <c r="E102" s="141"/>
    </row>
    <row r="103" spans="1:5">
      <c r="A103" s="69" t="str">
        <f t="shared" si="0"/>
        <v/>
      </c>
      <c r="B103" s="138"/>
      <c r="C103" s="138"/>
      <c r="D103" s="139"/>
      <c r="E103" s="138"/>
    </row>
    <row r="104" spans="1:5">
      <c r="A104" s="69" t="str">
        <f t="shared" si="0"/>
        <v/>
      </c>
      <c r="B104" s="141"/>
      <c r="C104" s="141"/>
      <c r="D104" s="139"/>
      <c r="E104" s="141"/>
    </row>
    <row r="105" spans="1:5">
      <c r="A105" s="69" t="str">
        <f t="shared" si="0"/>
        <v/>
      </c>
      <c r="B105" s="138"/>
      <c r="C105" s="138"/>
      <c r="D105" s="139"/>
      <c r="E105" s="138"/>
    </row>
    <row r="106" spans="1:5">
      <c r="A106" s="69" t="str">
        <f t="shared" si="0"/>
        <v/>
      </c>
      <c r="B106" s="141"/>
      <c r="C106" s="141"/>
      <c r="D106" s="139"/>
      <c r="E106" s="141"/>
    </row>
    <row r="107" spans="1:5">
      <c r="A107" s="69" t="str">
        <f t="shared" si="0"/>
        <v/>
      </c>
      <c r="B107" s="138"/>
      <c r="C107" s="138"/>
      <c r="D107" s="139"/>
      <c r="E107" s="138"/>
    </row>
    <row r="108" spans="1:5">
      <c r="A108" s="69" t="str">
        <f t="shared" si="0"/>
        <v/>
      </c>
      <c r="B108" s="141"/>
      <c r="C108" s="141"/>
      <c r="D108" s="139"/>
      <c r="E108" s="141"/>
    </row>
    <row r="109" spans="1:5">
      <c r="A109" s="69" t="str">
        <f t="shared" si="0"/>
        <v/>
      </c>
      <c r="B109" s="138"/>
      <c r="C109" s="138"/>
      <c r="D109" s="139"/>
      <c r="E109" s="138"/>
    </row>
    <row r="110" spans="1:5">
      <c r="A110" s="69" t="str">
        <f t="shared" si="0"/>
        <v/>
      </c>
      <c r="B110" s="141"/>
      <c r="C110" s="141"/>
      <c r="D110" s="139"/>
      <c r="E110" s="141"/>
    </row>
    <row r="111" spans="1:5">
      <c r="A111" s="69" t="str">
        <f t="shared" si="0"/>
        <v/>
      </c>
      <c r="B111" s="138"/>
      <c r="C111" s="138"/>
      <c r="D111" s="139"/>
      <c r="E111" s="138"/>
    </row>
    <row r="112" spans="1:5">
      <c r="A112" s="69" t="str">
        <f t="shared" si="0"/>
        <v/>
      </c>
      <c r="B112" s="141"/>
      <c r="C112" s="141"/>
      <c r="D112" s="139"/>
      <c r="E112" s="141"/>
    </row>
    <row r="113" spans="1:5">
      <c r="A113" s="69" t="str">
        <f t="shared" si="0"/>
        <v/>
      </c>
      <c r="B113" s="138"/>
      <c r="C113" s="138"/>
      <c r="D113" s="139"/>
      <c r="E113" s="138"/>
    </row>
    <row r="114" spans="1:5">
      <c r="A114" s="69" t="str">
        <f t="shared" si="0"/>
        <v/>
      </c>
      <c r="B114" s="141"/>
      <c r="C114" s="141"/>
      <c r="D114" s="139"/>
      <c r="E114" s="141"/>
    </row>
    <row r="115" spans="1:5">
      <c r="A115" s="69" t="str">
        <f t="shared" si="0"/>
        <v/>
      </c>
      <c r="B115" s="138"/>
      <c r="C115" s="138"/>
      <c r="D115" s="139"/>
      <c r="E115" s="138"/>
    </row>
    <row r="116" spans="1:5">
      <c r="A116" s="69" t="str">
        <f t="shared" si="0"/>
        <v/>
      </c>
      <c r="B116" s="141"/>
      <c r="C116" s="141"/>
      <c r="D116" s="139"/>
      <c r="E116" s="141"/>
    </row>
    <row r="117" spans="1:5">
      <c r="A117" s="69" t="str">
        <f t="shared" si="0"/>
        <v/>
      </c>
      <c r="B117" s="138"/>
      <c r="C117" s="138"/>
      <c r="D117" s="139"/>
      <c r="E117" s="138"/>
    </row>
    <row r="118" spans="1:5">
      <c r="A118" s="69" t="str">
        <f t="shared" si="0"/>
        <v/>
      </c>
      <c r="B118" s="141"/>
      <c r="C118" s="141"/>
      <c r="D118" s="139"/>
      <c r="E118" s="141"/>
    </row>
    <row r="119" spans="1:5">
      <c r="A119" s="69" t="str">
        <f t="shared" si="0"/>
        <v/>
      </c>
      <c r="B119" s="138"/>
      <c r="C119" s="138"/>
      <c r="D119" s="139"/>
      <c r="E119" s="138"/>
    </row>
    <row r="120" spans="1:5">
      <c r="A120" s="69" t="str">
        <f t="shared" si="0"/>
        <v/>
      </c>
      <c r="B120" s="141"/>
      <c r="C120" s="141"/>
      <c r="D120" s="139"/>
      <c r="E120" s="141"/>
    </row>
    <row r="121" spans="1:5">
      <c r="A121" s="69" t="str">
        <f t="shared" si="0"/>
        <v/>
      </c>
      <c r="B121" s="138"/>
      <c r="C121" s="138"/>
      <c r="D121" s="139"/>
      <c r="E121" s="138"/>
    </row>
    <row r="122" spans="1:5">
      <c r="A122" s="69" t="str">
        <f t="shared" si="0"/>
        <v/>
      </c>
      <c r="B122" s="141"/>
      <c r="C122" s="141"/>
      <c r="D122" s="139"/>
      <c r="E122" s="141"/>
    </row>
    <row r="123" spans="1:5">
      <c r="A123" s="69" t="str">
        <f t="shared" si="0"/>
        <v/>
      </c>
      <c r="B123" s="138"/>
      <c r="C123" s="138"/>
      <c r="D123" s="139"/>
      <c r="E123" s="138"/>
    </row>
    <row r="124" spans="1:5">
      <c r="A124" s="69" t="str">
        <f t="shared" si="0"/>
        <v/>
      </c>
      <c r="B124" s="141"/>
      <c r="C124" s="141"/>
      <c r="D124" s="139"/>
      <c r="E124" s="141"/>
    </row>
    <row r="125" spans="1:5">
      <c r="A125" s="69" t="str">
        <f t="shared" si="0"/>
        <v/>
      </c>
      <c r="B125" s="138"/>
      <c r="C125" s="138"/>
      <c r="D125" s="139"/>
      <c r="E125" s="138"/>
    </row>
    <row r="126" spans="1:5">
      <c r="A126" s="69" t="str">
        <f t="shared" si="0"/>
        <v/>
      </c>
      <c r="B126" s="141"/>
      <c r="C126" s="141"/>
      <c r="D126" s="139"/>
      <c r="E126" s="141"/>
    </row>
    <row r="127" spans="1:5">
      <c r="A127" s="69" t="str">
        <f t="shared" si="0"/>
        <v/>
      </c>
      <c r="B127" s="138"/>
      <c r="C127" s="138"/>
      <c r="D127" s="139"/>
      <c r="E127" s="138"/>
    </row>
    <row r="128" spans="1:5">
      <c r="A128" s="69" t="str">
        <f t="shared" si="0"/>
        <v/>
      </c>
      <c r="B128" s="141"/>
      <c r="C128" s="141"/>
      <c r="D128" s="139"/>
      <c r="E128" s="141"/>
    </row>
    <row r="129" spans="1:5">
      <c r="A129" s="69" t="str">
        <f t="shared" si="0"/>
        <v/>
      </c>
      <c r="B129" s="138"/>
      <c r="C129" s="138"/>
      <c r="D129" s="139"/>
      <c r="E129" s="138"/>
    </row>
    <row r="130" spans="1:5">
      <c r="A130" s="69" t="str">
        <f t="shared" si="0"/>
        <v/>
      </c>
      <c r="B130" s="141"/>
      <c r="C130" s="141"/>
      <c r="D130" s="139"/>
      <c r="E130" s="141"/>
    </row>
    <row r="131" spans="1:5">
      <c r="A131" s="69" t="str">
        <f t="shared" si="0"/>
        <v/>
      </c>
      <c r="B131" s="138"/>
      <c r="C131" s="138"/>
      <c r="D131" s="139"/>
      <c r="E131" s="138"/>
    </row>
    <row r="132" spans="1:5">
      <c r="A132" s="69" t="str">
        <f t="shared" si="0"/>
        <v/>
      </c>
      <c r="B132" s="141"/>
      <c r="C132" s="141"/>
      <c r="D132" s="139"/>
      <c r="E132" s="141"/>
    </row>
    <row r="133" spans="1:5">
      <c r="A133" s="69" t="str">
        <f t="shared" si="0"/>
        <v/>
      </c>
      <c r="B133" s="138"/>
      <c r="C133" s="138"/>
      <c r="D133" s="139"/>
      <c r="E133" s="138"/>
    </row>
    <row r="134" spans="1:5">
      <c r="A134" s="69" t="str">
        <f t="shared" si="0"/>
        <v/>
      </c>
      <c r="B134" s="141"/>
      <c r="C134" s="141"/>
      <c r="D134" s="139"/>
      <c r="E134" s="141"/>
    </row>
    <row r="135" spans="1:5">
      <c r="A135" s="69" t="str">
        <f t="shared" si="0"/>
        <v/>
      </c>
      <c r="B135" s="138"/>
      <c r="C135" s="138"/>
      <c r="D135" s="139"/>
      <c r="E135" s="138"/>
    </row>
    <row r="136" spans="1:5">
      <c r="A136" s="69" t="str">
        <f t="shared" si="0"/>
        <v/>
      </c>
      <c r="B136" s="141"/>
      <c r="C136" s="141"/>
      <c r="D136" s="139"/>
      <c r="E136" s="141"/>
    </row>
    <row r="137" spans="1:5">
      <c r="A137" s="69" t="str">
        <f t="shared" si="0"/>
        <v/>
      </c>
      <c r="B137" s="138"/>
      <c r="C137" s="138"/>
      <c r="D137" s="139"/>
      <c r="E137" s="138"/>
    </row>
    <row r="138" spans="1:5">
      <c r="A138" s="69" t="str">
        <f t="shared" si="0"/>
        <v/>
      </c>
      <c r="B138" s="141"/>
      <c r="C138" s="141"/>
      <c r="D138" s="139"/>
      <c r="E138" s="141"/>
    </row>
    <row r="139" spans="1:5">
      <c r="A139" s="69" t="str">
        <f t="shared" si="0"/>
        <v/>
      </c>
      <c r="B139" s="138"/>
      <c r="C139" s="138"/>
      <c r="D139" s="139"/>
      <c r="E139" s="138"/>
    </row>
    <row r="140" spans="1:5">
      <c r="A140" s="69" t="str">
        <f t="shared" si="0"/>
        <v/>
      </c>
      <c r="B140" s="141"/>
      <c r="C140" s="141"/>
      <c r="D140" s="139"/>
      <c r="E140" s="141"/>
    </row>
    <row r="141" spans="1:5">
      <c r="A141" s="69" t="str">
        <f t="shared" si="0"/>
        <v/>
      </c>
      <c r="B141" s="138"/>
      <c r="C141" s="138"/>
      <c r="D141" s="139"/>
      <c r="E141" s="138"/>
    </row>
    <row r="142" spans="1:5">
      <c r="A142" s="69" t="str">
        <f t="shared" si="0"/>
        <v/>
      </c>
      <c r="B142" s="141"/>
      <c r="C142" s="141"/>
      <c r="D142" s="139"/>
      <c r="E142" s="141"/>
    </row>
    <row r="143" spans="1:5">
      <c r="A143" s="69" t="str">
        <f t="shared" si="0"/>
        <v/>
      </c>
      <c r="B143" s="138"/>
      <c r="C143" s="138"/>
      <c r="D143" s="139"/>
      <c r="E143" s="138"/>
    </row>
    <row r="144" spans="1:5">
      <c r="A144" s="69" t="str">
        <f t="shared" si="0"/>
        <v/>
      </c>
      <c r="B144" s="141"/>
      <c r="C144" s="141"/>
      <c r="D144" s="139"/>
      <c r="E144" s="141"/>
    </row>
    <row r="145" spans="1:5">
      <c r="A145" s="69" t="str">
        <f t="shared" si="0"/>
        <v/>
      </c>
      <c r="B145" s="138"/>
      <c r="C145" s="138"/>
      <c r="D145" s="139"/>
      <c r="E145" s="138"/>
    </row>
    <row r="146" spans="1:5">
      <c r="A146" s="69" t="str">
        <f t="shared" si="0"/>
        <v/>
      </c>
      <c r="B146" s="141"/>
      <c r="C146" s="141"/>
      <c r="D146" s="139"/>
      <c r="E146" s="141"/>
    </row>
    <row r="147" spans="1:5">
      <c r="A147" s="69" t="str">
        <f t="shared" si="0"/>
        <v/>
      </c>
      <c r="B147" s="138"/>
      <c r="C147" s="138"/>
      <c r="D147" s="139"/>
      <c r="E147" s="138"/>
    </row>
    <row r="148" spans="1:5">
      <c r="A148" s="69" t="str">
        <f t="shared" si="0"/>
        <v/>
      </c>
      <c r="B148" s="141"/>
      <c r="C148" s="141"/>
      <c r="D148" s="139"/>
      <c r="E148" s="141"/>
    </row>
    <row r="149" spans="1:5">
      <c r="A149" s="69" t="str">
        <f t="shared" si="0"/>
        <v/>
      </c>
      <c r="B149" s="138"/>
      <c r="C149" s="138"/>
      <c r="D149" s="139"/>
      <c r="E149" s="138"/>
    </row>
    <row r="150" spans="1:5">
      <c r="A150" s="69" t="str">
        <f t="shared" si="0"/>
        <v/>
      </c>
      <c r="B150" s="141"/>
      <c r="C150" s="141"/>
      <c r="D150" s="139"/>
      <c r="E150" s="141"/>
    </row>
    <row r="151" spans="1:5">
      <c r="A151" s="69" t="str">
        <f t="shared" si="0"/>
        <v/>
      </c>
      <c r="B151" s="138"/>
      <c r="C151" s="138"/>
      <c r="D151" s="139"/>
      <c r="E151" s="138"/>
    </row>
    <row r="152" spans="1:5">
      <c r="A152" s="69" t="str">
        <f t="shared" si="0"/>
        <v/>
      </c>
      <c r="B152" s="141"/>
      <c r="C152" s="141"/>
      <c r="D152" s="139"/>
      <c r="E152" s="141"/>
    </row>
    <row r="153" spans="1:5">
      <c r="A153" s="69" t="str">
        <f t="shared" si="0"/>
        <v/>
      </c>
      <c r="B153" s="138"/>
      <c r="C153" s="138"/>
      <c r="D153" s="139"/>
      <c r="E153" s="138"/>
    </row>
    <row r="154" spans="1:5">
      <c r="A154" s="69" t="str">
        <f t="shared" si="0"/>
        <v/>
      </c>
      <c r="B154" s="141"/>
      <c r="C154" s="141"/>
      <c r="D154" s="139"/>
      <c r="E154" s="141"/>
    </row>
    <row r="155" spans="1:5">
      <c r="A155" s="69" t="str">
        <f t="shared" si="0"/>
        <v/>
      </c>
      <c r="B155" s="138"/>
      <c r="C155" s="138"/>
      <c r="D155" s="139"/>
      <c r="E155" s="138"/>
    </row>
    <row r="156" spans="1:5">
      <c r="A156" s="69" t="str">
        <f t="shared" si="0"/>
        <v/>
      </c>
      <c r="B156" s="141"/>
      <c r="C156" s="141"/>
      <c r="D156" s="139"/>
      <c r="E156" s="141"/>
    </row>
    <row r="157" spans="1:5">
      <c r="A157" s="69" t="str">
        <f t="shared" si="0"/>
        <v/>
      </c>
      <c r="B157" s="138"/>
      <c r="C157" s="138"/>
      <c r="D157" s="139"/>
      <c r="E157" s="138"/>
    </row>
    <row r="158" spans="1:5">
      <c r="A158" s="69" t="str">
        <f t="shared" si="0"/>
        <v/>
      </c>
      <c r="B158" s="141"/>
      <c r="C158" s="141"/>
      <c r="D158" s="139"/>
      <c r="E158" s="141"/>
    </row>
    <row r="159" spans="1:5">
      <c r="A159" s="69" t="str">
        <f t="shared" si="0"/>
        <v/>
      </c>
      <c r="B159" s="138"/>
      <c r="C159" s="138"/>
      <c r="D159" s="139"/>
      <c r="E159" s="138"/>
    </row>
    <row r="160" spans="1:5">
      <c r="A160" s="69" t="str">
        <f t="shared" si="0"/>
        <v/>
      </c>
      <c r="B160" s="141"/>
      <c r="C160" s="141"/>
      <c r="D160" s="139"/>
      <c r="E160" s="141"/>
    </row>
    <row r="161" spans="1:5">
      <c r="A161" s="69" t="str">
        <f t="shared" si="0"/>
        <v/>
      </c>
      <c r="B161" s="138"/>
      <c r="C161" s="138"/>
      <c r="D161" s="139"/>
      <c r="E161" s="138"/>
    </row>
    <row r="162" spans="1:5">
      <c r="A162" s="69" t="str">
        <f t="shared" si="0"/>
        <v/>
      </c>
      <c r="B162" s="141"/>
      <c r="C162" s="141"/>
      <c r="D162" s="139"/>
      <c r="E162" s="141"/>
    </row>
    <row r="163" spans="1:5">
      <c r="A163" s="69" t="str">
        <f t="shared" si="0"/>
        <v/>
      </c>
      <c r="B163" s="138"/>
      <c r="C163" s="138"/>
      <c r="D163" s="139"/>
      <c r="E163" s="138"/>
    </row>
    <row r="164" spans="1:5">
      <c r="A164" s="69" t="str">
        <f t="shared" si="0"/>
        <v/>
      </c>
      <c r="B164" s="141"/>
      <c r="C164" s="141"/>
      <c r="D164" s="139"/>
      <c r="E164" s="141"/>
    </row>
    <row r="165" spans="1:5">
      <c r="A165" s="69" t="str">
        <f t="shared" si="0"/>
        <v/>
      </c>
      <c r="B165" s="138"/>
      <c r="C165" s="138"/>
      <c r="D165" s="139"/>
      <c r="E165" s="138"/>
    </row>
    <row r="166" spans="1:5">
      <c r="A166" s="69" t="str">
        <f t="shared" si="0"/>
        <v/>
      </c>
      <c r="B166" s="141"/>
      <c r="C166" s="141"/>
      <c r="D166" s="139"/>
      <c r="E166" s="141"/>
    </row>
    <row r="167" spans="1:5">
      <c r="A167" s="69" t="str">
        <f t="shared" si="0"/>
        <v/>
      </c>
      <c r="B167" s="138"/>
      <c r="C167" s="138"/>
      <c r="D167" s="139"/>
      <c r="E167" s="138"/>
    </row>
    <row r="168" spans="1:5">
      <c r="A168" s="69" t="str">
        <f t="shared" si="0"/>
        <v/>
      </c>
      <c r="B168" s="141"/>
      <c r="C168" s="141"/>
      <c r="D168" s="139"/>
      <c r="E168" s="141"/>
    </row>
    <row r="169" spans="1:5">
      <c r="A169" s="69" t="str">
        <f t="shared" si="0"/>
        <v/>
      </c>
      <c r="B169" s="138"/>
      <c r="C169" s="138"/>
      <c r="D169" s="139"/>
      <c r="E169" s="138"/>
    </row>
    <row r="170" spans="1:5">
      <c r="A170" s="69" t="str">
        <f t="shared" si="0"/>
        <v/>
      </c>
      <c r="B170" s="141"/>
      <c r="C170" s="141"/>
      <c r="D170" s="139"/>
      <c r="E170" s="141"/>
    </row>
    <row r="171" spans="1:5">
      <c r="A171" s="69" t="str">
        <f t="shared" si="0"/>
        <v/>
      </c>
      <c r="B171" s="138"/>
      <c r="C171" s="138"/>
      <c r="D171" s="139"/>
      <c r="E171" s="138"/>
    </row>
    <row r="172" spans="1:5">
      <c r="A172" s="69" t="str">
        <f t="shared" si="0"/>
        <v/>
      </c>
      <c r="B172" s="141"/>
      <c r="C172" s="141"/>
      <c r="D172" s="139"/>
      <c r="E172" s="141"/>
    </row>
    <row r="173" spans="1:5">
      <c r="A173" s="69" t="str">
        <f t="shared" si="0"/>
        <v/>
      </c>
      <c r="B173" s="138"/>
      <c r="C173" s="138"/>
      <c r="D173" s="139"/>
      <c r="E173" s="138"/>
    </row>
    <row r="174" spans="1:5">
      <c r="A174" s="69" t="str">
        <f t="shared" si="0"/>
        <v/>
      </c>
      <c r="B174" s="141"/>
      <c r="C174" s="141"/>
      <c r="D174" s="139"/>
      <c r="E174" s="141"/>
    </row>
    <row r="175" spans="1:5">
      <c r="A175" s="69" t="str">
        <f t="shared" si="0"/>
        <v/>
      </c>
      <c r="B175" s="138"/>
      <c r="C175" s="138"/>
      <c r="D175" s="139"/>
      <c r="E175" s="138"/>
    </row>
    <row r="176" spans="1:5">
      <c r="A176" s="69" t="str">
        <f t="shared" si="0"/>
        <v/>
      </c>
      <c r="B176" s="141"/>
      <c r="C176" s="141"/>
      <c r="D176" s="139"/>
      <c r="E176" s="141"/>
    </row>
    <row r="177" spans="1:5">
      <c r="A177" s="69" t="str">
        <f t="shared" si="0"/>
        <v/>
      </c>
      <c r="B177" s="138"/>
      <c r="C177" s="138"/>
      <c r="D177" s="139"/>
      <c r="E177" s="138"/>
    </row>
    <row r="178" spans="1:5">
      <c r="A178" s="69" t="str">
        <f t="shared" si="0"/>
        <v/>
      </c>
      <c r="B178" s="141"/>
      <c r="C178" s="141"/>
      <c r="D178" s="139"/>
      <c r="E178" s="141"/>
    </row>
    <row r="179" spans="1:5">
      <c r="A179" s="69" t="str">
        <f t="shared" si="0"/>
        <v/>
      </c>
      <c r="B179" s="138"/>
      <c r="C179" s="138"/>
      <c r="D179" s="139"/>
      <c r="E179" s="138"/>
    </row>
    <row r="180" spans="1:5">
      <c r="A180" s="69" t="str">
        <f t="shared" si="0"/>
        <v/>
      </c>
      <c r="B180" s="141"/>
      <c r="C180" s="141"/>
      <c r="D180" s="139"/>
      <c r="E180" s="141"/>
    </row>
    <row r="181" spans="1:5">
      <c r="A181" s="69" t="str">
        <f t="shared" si="0"/>
        <v/>
      </c>
      <c r="B181" s="138"/>
      <c r="C181" s="138"/>
      <c r="D181" s="139"/>
      <c r="E181" s="138"/>
    </row>
    <row r="182" spans="1:5">
      <c r="A182" s="69" t="str">
        <f t="shared" si="0"/>
        <v/>
      </c>
      <c r="B182" s="141"/>
      <c r="C182" s="141"/>
      <c r="D182" s="139"/>
      <c r="E182" s="141"/>
    </row>
    <row r="183" spans="1:5">
      <c r="A183" s="69" t="str">
        <f t="shared" si="0"/>
        <v/>
      </c>
      <c r="B183" s="138"/>
      <c r="C183" s="138"/>
      <c r="D183" s="139"/>
      <c r="E183" s="138"/>
    </row>
    <row r="184" spans="1:5">
      <c r="A184" s="69" t="str">
        <f t="shared" si="0"/>
        <v/>
      </c>
      <c r="B184" s="141"/>
      <c r="C184" s="141"/>
      <c r="D184" s="139"/>
      <c r="E184" s="141"/>
    </row>
    <row r="185" spans="1:5">
      <c r="A185" s="69" t="str">
        <f t="shared" si="0"/>
        <v/>
      </c>
      <c r="B185" s="138"/>
      <c r="C185" s="138"/>
      <c r="D185" s="139"/>
      <c r="E185" s="138"/>
    </row>
    <row r="186" spans="1:5">
      <c r="A186" s="69" t="str">
        <f t="shared" si="0"/>
        <v/>
      </c>
      <c r="B186" s="141"/>
      <c r="C186" s="141"/>
      <c r="D186" s="139"/>
      <c r="E186" s="141"/>
    </row>
    <row r="187" spans="1:5">
      <c r="A187" s="69" t="str">
        <f t="shared" si="0"/>
        <v/>
      </c>
      <c r="B187" s="138"/>
      <c r="C187" s="138"/>
      <c r="D187" s="139"/>
      <c r="E187" s="138"/>
    </row>
    <row r="188" spans="1:5">
      <c r="A188" s="69" t="str">
        <f t="shared" si="0"/>
        <v/>
      </c>
      <c r="B188" s="141"/>
      <c r="C188" s="141"/>
      <c r="D188" s="139"/>
      <c r="E188" s="141"/>
    </row>
    <row r="189" spans="1:5">
      <c r="A189" s="69" t="str">
        <f t="shared" si="0"/>
        <v/>
      </c>
      <c r="B189" s="138"/>
      <c r="C189" s="138"/>
      <c r="D189" s="139"/>
      <c r="E189" s="138"/>
    </row>
    <row r="190" spans="1:5">
      <c r="A190" s="69" t="str">
        <f t="shared" si="0"/>
        <v/>
      </c>
      <c r="B190" s="141"/>
      <c r="C190" s="141"/>
      <c r="D190" s="139"/>
      <c r="E190" s="141"/>
    </row>
    <row r="191" spans="1:5">
      <c r="A191" s="69" t="str">
        <f t="shared" si="0"/>
        <v/>
      </c>
      <c r="B191" s="138"/>
      <c r="C191" s="138"/>
      <c r="D191" s="139"/>
      <c r="E191" s="138"/>
    </row>
    <row r="192" spans="1:5">
      <c r="A192" s="69" t="str">
        <f t="shared" si="0"/>
        <v/>
      </c>
      <c r="B192" s="141"/>
      <c r="C192" s="141"/>
      <c r="D192" s="139"/>
      <c r="E192" s="141"/>
    </row>
    <row r="193" spans="1:5">
      <c r="A193" s="69" t="str">
        <f t="shared" si="0"/>
        <v/>
      </c>
      <c r="B193" s="138"/>
      <c r="C193" s="138"/>
      <c r="D193" s="139"/>
      <c r="E193" s="138"/>
    </row>
    <row r="194" spans="1:5">
      <c r="A194" s="69" t="str">
        <f t="shared" si="0"/>
        <v/>
      </c>
      <c r="B194" s="141"/>
      <c r="C194" s="141"/>
      <c r="D194" s="139"/>
      <c r="E194" s="141"/>
    </row>
    <row r="195" spans="1:5">
      <c r="A195" s="69" t="str">
        <f t="shared" si="0"/>
        <v/>
      </c>
      <c r="B195" s="138"/>
      <c r="C195" s="138"/>
      <c r="D195" s="139"/>
      <c r="E195" s="138"/>
    </row>
    <row r="196" spans="1:5">
      <c r="A196" s="69" t="str">
        <f t="shared" si="0"/>
        <v/>
      </c>
      <c r="B196" s="141"/>
      <c r="C196" s="141"/>
      <c r="D196" s="139"/>
      <c r="E196" s="141"/>
    </row>
    <row r="197" spans="1:5">
      <c r="A197" s="69" t="str">
        <f t="shared" si="0"/>
        <v/>
      </c>
      <c r="B197" s="138"/>
      <c r="C197" s="138"/>
      <c r="D197" s="139"/>
      <c r="E197" s="138"/>
    </row>
    <row r="198" spans="1:5">
      <c r="A198" s="69" t="str">
        <f t="shared" si="0"/>
        <v/>
      </c>
      <c r="B198" s="141"/>
      <c r="C198" s="141"/>
      <c r="D198" s="139"/>
      <c r="E198" s="141"/>
    </row>
    <row r="199" spans="1:5">
      <c r="A199" s="69" t="str">
        <f t="shared" si="0"/>
        <v/>
      </c>
      <c r="B199" s="138"/>
      <c r="C199" s="138"/>
      <c r="D199" s="139"/>
      <c r="E199" s="138"/>
    </row>
    <row r="200" spans="1:5">
      <c r="A200" s="69" t="str">
        <f t="shared" si="0"/>
        <v/>
      </c>
      <c r="B200" s="141"/>
      <c r="C200" s="141"/>
      <c r="D200" s="139"/>
      <c r="E200" s="141"/>
    </row>
    <row r="201" spans="1:5">
      <c r="A201" s="69" t="str">
        <f t="shared" si="0"/>
        <v/>
      </c>
      <c r="B201" s="138"/>
      <c r="C201" s="138"/>
      <c r="D201" s="139"/>
      <c r="E201" s="138"/>
    </row>
    <row r="202" spans="1:5">
      <c r="A202" s="69" t="str">
        <f t="shared" si="0"/>
        <v/>
      </c>
      <c r="B202" s="141"/>
      <c r="C202" s="141"/>
      <c r="D202" s="139"/>
      <c r="E202" s="141"/>
    </row>
    <row r="203" spans="1:5">
      <c r="A203" s="69" t="str">
        <f t="shared" si="0"/>
        <v/>
      </c>
      <c r="B203" s="138"/>
      <c r="C203" s="138"/>
      <c r="D203" s="139"/>
      <c r="E203" s="138"/>
    </row>
    <row r="204" spans="1:5">
      <c r="A204" s="69" t="str">
        <f t="shared" si="0"/>
        <v/>
      </c>
      <c r="B204" s="141"/>
      <c r="C204" s="141"/>
      <c r="D204" s="139"/>
      <c r="E204" s="141"/>
    </row>
    <row r="205" spans="1:5">
      <c r="A205" s="69" t="str">
        <f t="shared" si="0"/>
        <v/>
      </c>
      <c r="B205" s="138"/>
      <c r="C205" s="138"/>
      <c r="D205" s="139"/>
      <c r="E205" s="138"/>
    </row>
    <row r="206" spans="1:5">
      <c r="A206" s="69" t="str">
        <f t="shared" si="0"/>
        <v/>
      </c>
      <c r="B206" s="141"/>
      <c r="C206" s="141"/>
      <c r="D206" s="139"/>
      <c r="E206" s="141"/>
    </row>
    <row r="207" spans="1:5">
      <c r="A207" s="69" t="str">
        <f t="shared" si="0"/>
        <v/>
      </c>
      <c r="B207" s="138"/>
      <c r="C207" s="138"/>
      <c r="D207" s="139"/>
      <c r="E207" s="138"/>
    </row>
    <row r="208" spans="1:5">
      <c r="A208" s="69" t="str">
        <f t="shared" si="0"/>
        <v/>
      </c>
      <c r="B208" s="141"/>
      <c r="C208" s="141"/>
      <c r="D208" s="139"/>
      <c r="E208" s="141"/>
    </row>
    <row r="209" spans="1:5">
      <c r="A209" s="69" t="str">
        <f t="shared" si="0"/>
        <v/>
      </c>
      <c r="B209" s="138"/>
      <c r="C209" s="138"/>
      <c r="D209" s="139"/>
      <c r="E209" s="138"/>
    </row>
    <row r="210" spans="1:5">
      <c r="A210" s="69" t="str">
        <f t="shared" si="0"/>
        <v/>
      </c>
      <c r="B210" s="141"/>
      <c r="C210" s="141"/>
      <c r="D210" s="139"/>
      <c r="E210" s="141"/>
    </row>
    <row r="211" spans="1:5">
      <c r="A211" s="69" t="str">
        <f t="shared" si="0"/>
        <v/>
      </c>
      <c r="B211" s="138"/>
      <c r="C211" s="138"/>
      <c r="D211" s="139"/>
      <c r="E211" s="138"/>
    </row>
    <row r="212" spans="1:5">
      <c r="A212" s="69" t="str">
        <f t="shared" si="0"/>
        <v/>
      </c>
      <c r="B212" s="141"/>
      <c r="C212" s="141"/>
      <c r="D212" s="139"/>
      <c r="E212" s="141"/>
    </row>
    <row r="213" spans="1:5">
      <c r="A213" s="69" t="str">
        <f t="shared" si="0"/>
        <v/>
      </c>
      <c r="B213" s="138"/>
      <c r="C213" s="138"/>
      <c r="D213" s="139"/>
      <c r="E213" s="138"/>
    </row>
    <row r="214" spans="1:5">
      <c r="A214" s="69" t="str">
        <f t="shared" si="0"/>
        <v/>
      </c>
      <c r="B214" s="141"/>
      <c r="C214" s="141"/>
      <c r="D214" s="139"/>
      <c r="E214" s="141"/>
    </row>
    <row r="215" spans="1:5">
      <c r="A215" s="69" t="str">
        <f t="shared" si="0"/>
        <v/>
      </c>
      <c r="B215" s="138"/>
      <c r="C215" s="138"/>
      <c r="D215" s="139"/>
      <c r="E215" s="138"/>
    </row>
    <row r="216" spans="1:5">
      <c r="A216" s="69" t="str">
        <f t="shared" si="0"/>
        <v/>
      </c>
      <c r="B216" s="141"/>
      <c r="C216" s="141"/>
      <c r="D216" s="139"/>
      <c r="E216" s="141"/>
    </row>
    <row r="217" spans="1:5">
      <c r="A217" s="69" t="str">
        <f t="shared" si="0"/>
        <v/>
      </c>
      <c r="B217" s="138"/>
      <c r="C217" s="138"/>
      <c r="D217" s="139"/>
      <c r="E217" s="138"/>
    </row>
    <row r="218" spans="1:5">
      <c r="A218" s="69" t="str">
        <f t="shared" si="0"/>
        <v/>
      </c>
      <c r="B218" s="141"/>
      <c r="C218" s="141"/>
      <c r="D218" s="139"/>
      <c r="E218" s="141"/>
    </row>
    <row r="219" spans="1:5">
      <c r="A219" s="69" t="str">
        <f t="shared" si="0"/>
        <v/>
      </c>
      <c r="B219" s="138"/>
      <c r="C219" s="138"/>
      <c r="D219" s="139"/>
      <c r="E219" s="138"/>
    </row>
    <row r="220" spans="1:5">
      <c r="A220" s="69" t="str">
        <f t="shared" si="0"/>
        <v/>
      </c>
      <c r="B220" s="141"/>
      <c r="C220" s="141"/>
      <c r="D220" s="139"/>
      <c r="E220" s="141"/>
    </row>
    <row r="221" spans="1:5">
      <c r="A221" s="69" t="str">
        <f t="shared" si="0"/>
        <v/>
      </c>
      <c r="B221" s="138"/>
      <c r="C221" s="138"/>
      <c r="D221" s="139"/>
      <c r="E221" s="138"/>
    </row>
    <row r="222" spans="1:5">
      <c r="A222" s="69" t="str">
        <f t="shared" si="0"/>
        <v/>
      </c>
      <c r="B222" s="141"/>
      <c r="C222" s="141"/>
      <c r="D222" s="139"/>
      <c r="E222" s="141"/>
    </row>
    <row r="223" spans="1:5">
      <c r="A223" s="69" t="str">
        <f t="shared" si="0"/>
        <v/>
      </c>
      <c r="B223" s="138"/>
      <c r="C223" s="138"/>
      <c r="D223" s="139"/>
      <c r="E223" s="138"/>
    </row>
    <row r="224" spans="1:5">
      <c r="A224" s="69" t="str">
        <f t="shared" si="0"/>
        <v/>
      </c>
      <c r="B224" s="141"/>
      <c r="C224" s="141"/>
      <c r="D224" s="139"/>
      <c r="E224" s="141"/>
    </row>
    <row r="225" spans="1:5">
      <c r="A225" s="69" t="str">
        <f t="shared" si="0"/>
        <v/>
      </c>
      <c r="B225" s="138"/>
      <c r="C225" s="138"/>
      <c r="D225" s="139"/>
      <c r="E225" s="138"/>
    </row>
    <row r="226" spans="1:5">
      <c r="A226" s="69" t="str">
        <f t="shared" si="0"/>
        <v/>
      </c>
      <c r="B226" s="141"/>
      <c r="C226" s="141"/>
      <c r="D226" s="139"/>
      <c r="E226" s="141"/>
    </row>
    <row r="227" spans="1:5">
      <c r="A227" s="69" t="str">
        <f t="shared" si="0"/>
        <v/>
      </c>
      <c r="B227" s="138"/>
      <c r="C227" s="138"/>
      <c r="D227" s="139"/>
      <c r="E227" s="138"/>
    </row>
    <row r="228" spans="1:5">
      <c r="A228" s="69" t="str">
        <f t="shared" si="0"/>
        <v/>
      </c>
      <c r="B228" s="141"/>
      <c r="C228" s="141"/>
      <c r="D228" s="139"/>
      <c r="E228" s="141"/>
    </row>
    <row r="229" spans="1:5">
      <c r="A229" s="69" t="str">
        <f t="shared" si="0"/>
        <v/>
      </c>
      <c r="B229" s="138"/>
      <c r="C229" s="138"/>
      <c r="D229" s="139"/>
      <c r="E229" s="138"/>
    </row>
    <row r="230" spans="1:5">
      <c r="A230" s="69" t="str">
        <f t="shared" si="0"/>
        <v/>
      </c>
      <c r="B230" s="141"/>
      <c r="C230" s="141"/>
      <c r="D230" s="139"/>
      <c r="E230" s="141"/>
    </row>
    <row r="231" spans="1:5">
      <c r="A231" s="69" t="str">
        <f t="shared" si="0"/>
        <v/>
      </c>
      <c r="B231" s="138"/>
      <c r="C231" s="138"/>
      <c r="D231" s="139"/>
      <c r="E231" s="138"/>
    </row>
    <row r="232" spans="1:5">
      <c r="A232" s="69" t="str">
        <f t="shared" si="0"/>
        <v/>
      </c>
      <c r="B232" s="141"/>
      <c r="C232" s="141"/>
      <c r="D232" s="139"/>
      <c r="E232" s="141"/>
    </row>
    <row r="233" spans="1:5">
      <c r="A233" s="69" t="str">
        <f t="shared" si="0"/>
        <v/>
      </c>
      <c r="B233" s="138"/>
      <c r="C233" s="138"/>
      <c r="D233" s="139"/>
      <c r="E233" s="138"/>
    </row>
    <row r="234" spans="1:5">
      <c r="A234" s="69" t="str">
        <f t="shared" si="0"/>
        <v/>
      </c>
      <c r="B234" s="141"/>
      <c r="C234" s="141"/>
      <c r="D234" s="139"/>
      <c r="E234" s="141"/>
    </row>
    <row r="235" spans="1:5">
      <c r="A235" s="69" t="str">
        <f t="shared" si="0"/>
        <v/>
      </c>
      <c r="B235" s="138"/>
      <c r="C235" s="138"/>
      <c r="D235" s="139"/>
      <c r="E235" s="138"/>
    </row>
    <row r="236" spans="1:5">
      <c r="A236" s="69" t="str">
        <f t="shared" si="0"/>
        <v/>
      </c>
      <c r="B236" s="141"/>
      <c r="C236" s="141"/>
      <c r="D236" s="139"/>
      <c r="E236" s="141"/>
    </row>
    <row r="237" spans="1:5">
      <c r="A237" s="69" t="str">
        <f t="shared" si="0"/>
        <v/>
      </c>
      <c r="B237" s="138"/>
      <c r="C237" s="138"/>
      <c r="D237" s="139"/>
      <c r="E237" s="138"/>
    </row>
    <row r="238" spans="1:5">
      <c r="A238" s="69" t="str">
        <f t="shared" si="0"/>
        <v/>
      </c>
      <c r="B238" s="141"/>
      <c r="C238" s="141"/>
      <c r="D238" s="139"/>
      <c r="E238" s="141"/>
    </row>
    <row r="239" spans="1:5">
      <c r="A239" s="69" t="str">
        <f t="shared" si="0"/>
        <v/>
      </c>
      <c r="B239" s="138"/>
      <c r="C239" s="138"/>
      <c r="D239" s="139"/>
      <c r="E239" s="138"/>
    </row>
    <row r="240" spans="1:5">
      <c r="A240" s="69" t="str">
        <f t="shared" si="0"/>
        <v/>
      </c>
      <c r="B240" s="141"/>
      <c r="C240" s="141"/>
      <c r="D240" s="139"/>
      <c r="E240" s="141"/>
    </row>
    <row r="241" spans="1:5">
      <c r="A241" s="69" t="str">
        <f t="shared" si="0"/>
        <v/>
      </c>
      <c r="B241" s="138"/>
      <c r="C241" s="138"/>
      <c r="D241" s="139"/>
      <c r="E241" s="138"/>
    </row>
    <row r="242" spans="1:5">
      <c r="A242" s="69" t="str">
        <f t="shared" si="0"/>
        <v/>
      </c>
      <c r="B242" s="141"/>
      <c r="C242" s="141"/>
      <c r="D242" s="139"/>
      <c r="E242" s="141"/>
    </row>
    <row r="243" spans="1:5">
      <c r="A243" s="69" t="str">
        <f t="shared" si="0"/>
        <v/>
      </c>
      <c r="B243" s="138"/>
      <c r="C243" s="138"/>
      <c r="D243" s="139"/>
      <c r="E243" s="138"/>
    </row>
    <row r="244" spans="1:5">
      <c r="A244" s="69" t="str">
        <f t="shared" si="0"/>
        <v/>
      </c>
      <c r="B244" s="141"/>
      <c r="C244" s="141"/>
      <c r="D244" s="139"/>
      <c r="E244" s="141"/>
    </row>
    <row r="245" spans="1:5">
      <c r="A245" s="69" t="str">
        <f t="shared" si="0"/>
        <v/>
      </c>
      <c r="B245" s="138"/>
      <c r="C245" s="138"/>
      <c r="D245" s="139"/>
      <c r="E245" s="138"/>
    </row>
    <row r="246" spans="1:5">
      <c r="A246" s="69" t="str">
        <f t="shared" si="0"/>
        <v/>
      </c>
      <c r="B246" s="141"/>
      <c r="C246" s="141"/>
      <c r="D246" s="139"/>
      <c r="E246" s="141"/>
    </row>
    <row r="247" spans="1:5">
      <c r="A247" s="69" t="str">
        <f t="shared" si="0"/>
        <v/>
      </c>
      <c r="B247" s="138"/>
      <c r="C247" s="138"/>
      <c r="D247" s="139"/>
      <c r="E247" s="138"/>
    </row>
    <row r="248" spans="1:5">
      <c r="A248" s="69" t="str">
        <f t="shared" si="0"/>
        <v/>
      </c>
      <c r="B248" s="141"/>
      <c r="C248" s="141"/>
      <c r="D248" s="139"/>
      <c r="E248" s="141"/>
    </row>
    <row r="249" spans="1:5">
      <c r="A249" s="69" t="str">
        <f t="shared" si="0"/>
        <v/>
      </c>
      <c r="B249" s="138"/>
      <c r="C249" s="138"/>
      <c r="D249" s="139"/>
      <c r="E249" s="138"/>
    </row>
    <row r="250" spans="1:5">
      <c r="A250" s="69" t="str">
        <f t="shared" si="0"/>
        <v/>
      </c>
      <c r="B250" s="141"/>
      <c r="C250" s="141"/>
      <c r="D250" s="139"/>
      <c r="E250" s="141"/>
    </row>
    <row r="251" spans="1:5">
      <c r="A251" s="69" t="str">
        <f t="shared" si="0"/>
        <v/>
      </c>
      <c r="B251" s="138"/>
      <c r="C251" s="138"/>
      <c r="D251" s="139"/>
      <c r="E251" s="138"/>
    </row>
    <row r="252" spans="1:5">
      <c r="A252" s="69" t="str">
        <f t="shared" si="0"/>
        <v/>
      </c>
      <c r="B252" s="141"/>
      <c r="C252" s="141"/>
      <c r="D252" s="139"/>
      <c r="E252" s="141"/>
    </row>
    <row r="253" spans="1:5">
      <c r="A253" s="69" t="str">
        <f t="shared" si="0"/>
        <v/>
      </c>
      <c r="B253" s="138"/>
      <c r="C253" s="138"/>
      <c r="D253" s="139"/>
      <c r="E253" s="138"/>
    </row>
    <row r="254" spans="1:5">
      <c r="A254" s="69" t="str">
        <f t="shared" si="0"/>
        <v/>
      </c>
      <c r="B254" s="141"/>
      <c r="C254" s="141"/>
      <c r="D254" s="139"/>
      <c r="E254" s="141"/>
    </row>
    <row r="255" spans="1:5">
      <c r="A255" s="69" t="str">
        <f t="shared" si="0"/>
        <v/>
      </c>
      <c r="B255" s="138"/>
      <c r="C255" s="138"/>
      <c r="D255" s="139"/>
      <c r="E255" s="138"/>
    </row>
    <row r="256" spans="1:5">
      <c r="A256" s="69" t="str">
        <f t="shared" si="0"/>
        <v/>
      </c>
      <c r="B256" s="141"/>
      <c r="C256" s="141"/>
      <c r="D256" s="139"/>
      <c r="E256" s="141"/>
    </row>
    <row r="257" spans="1:5">
      <c r="A257" s="69" t="str">
        <f t="shared" si="0"/>
        <v/>
      </c>
      <c r="B257" s="138"/>
      <c r="C257" s="138"/>
      <c r="D257" s="139"/>
      <c r="E257" s="138"/>
    </row>
    <row r="258" spans="1:5">
      <c r="A258" s="69" t="str">
        <f t="shared" si="0"/>
        <v/>
      </c>
      <c r="B258" s="141"/>
      <c r="C258" s="141"/>
      <c r="D258" s="139"/>
      <c r="E258" s="141"/>
    </row>
    <row r="259" spans="1:5">
      <c r="A259" s="69" t="str">
        <f t="shared" si="0"/>
        <v/>
      </c>
      <c r="B259" s="138"/>
      <c r="C259" s="138"/>
      <c r="D259" s="139"/>
      <c r="E259" s="138"/>
    </row>
    <row r="260" spans="1:5">
      <c r="A260" s="69" t="str">
        <f t="shared" si="0"/>
        <v/>
      </c>
      <c r="B260" s="141"/>
      <c r="C260" s="141"/>
      <c r="D260" s="139"/>
      <c r="E260" s="141"/>
    </row>
    <row r="261" spans="1:5">
      <c r="A261" s="69" t="str">
        <f t="shared" ref="A261:A515" si="1">IF(B261="","",ROW()-2)</f>
        <v/>
      </c>
      <c r="B261" s="138"/>
      <c r="C261" s="138"/>
      <c r="D261" s="139"/>
      <c r="E261" s="138"/>
    </row>
    <row r="262" spans="1:5">
      <c r="A262" s="69" t="str">
        <f t="shared" si="1"/>
        <v/>
      </c>
      <c r="B262" s="141"/>
      <c r="C262" s="141"/>
      <c r="D262" s="139"/>
      <c r="E262" s="141"/>
    </row>
    <row r="263" spans="1:5">
      <c r="A263" s="69" t="str">
        <f t="shared" si="1"/>
        <v/>
      </c>
      <c r="B263" s="138"/>
      <c r="C263" s="138"/>
      <c r="D263" s="139"/>
      <c r="E263" s="138"/>
    </row>
    <row r="264" spans="1:5">
      <c r="A264" s="69" t="str">
        <f t="shared" si="1"/>
        <v/>
      </c>
      <c r="B264" s="141"/>
      <c r="C264" s="141"/>
      <c r="D264" s="139"/>
      <c r="E264" s="141"/>
    </row>
    <row r="265" spans="1:5">
      <c r="A265" s="69" t="str">
        <f t="shared" si="1"/>
        <v/>
      </c>
      <c r="B265" s="138"/>
      <c r="C265" s="138"/>
      <c r="D265" s="139"/>
      <c r="E265" s="138"/>
    </row>
    <row r="266" spans="1:5">
      <c r="A266" s="69" t="str">
        <f t="shared" si="1"/>
        <v/>
      </c>
      <c r="B266" s="141"/>
      <c r="C266" s="141"/>
      <c r="D266" s="139"/>
      <c r="E266" s="141"/>
    </row>
    <row r="267" spans="1:5">
      <c r="A267" s="69" t="str">
        <f t="shared" si="1"/>
        <v/>
      </c>
      <c r="B267" s="138"/>
      <c r="C267" s="138"/>
      <c r="D267" s="139"/>
      <c r="E267" s="138"/>
    </row>
    <row r="268" spans="1:5">
      <c r="A268" s="69" t="str">
        <f t="shared" si="1"/>
        <v/>
      </c>
      <c r="B268" s="141"/>
      <c r="C268" s="141"/>
      <c r="D268" s="139"/>
      <c r="E268" s="141"/>
    </row>
    <row r="269" spans="1:5">
      <c r="A269" s="69" t="str">
        <f t="shared" si="1"/>
        <v/>
      </c>
      <c r="B269" s="138"/>
      <c r="C269" s="138"/>
      <c r="D269" s="139"/>
      <c r="E269" s="138"/>
    </row>
    <row r="270" spans="1:5">
      <c r="A270" s="69" t="str">
        <f t="shared" si="1"/>
        <v/>
      </c>
      <c r="B270" s="141"/>
      <c r="C270" s="141"/>
      <c r="D270" s="139"/>
      <c r="E270" s="141"/>
    </row>
    <row r="271" spans="1:5">
      <c r="A271" s="69" t="str">
        <f t="shared" si="1"/>
        <v/>
      </c>
      <c r="B271" s="138"/>
      <c r="C271" s="138"/>
      <c r="D271" s="139"/>
      <c r="E271" s="138"/>
    </row>
    <row r="272" spans="1:5">
      <c r="A272" s="69" t="str">
        <f t="shared" si="1"/>
        <v/>
      </c>
      <c r="B272" s="141"/>
      <c r="C272" s="141"/>
      <c r="D272" s="139"/>
      <c r="E272" s="141"/>
    </row>
    <row r="273" spans="1:5">
      <c r="A273" s="69" t="str">
        <f t="shared" si="1"/>
        <v/>
      </c>
      <c r="B273" s="138"/>
      <c r="C273" s="138"/>
      <c r="D273" s="139"/>
      <c r="E273" s="138"/>
    </row>
    <row r="274" spans="1:5">
      <c r="A274" s="69" t="str">
        <f t="shared" si="1"/>
        <v/>
      </c>
      <c r="B274" s="141"/>
      <c r="C274" s="141"/>
      <c r="D274" s="139"/>
      <c r="E274" s="141"/>
    </row>
    <row r="275" spans="1:5">
      <c r="A275" s="69" t="str">
        <f t="shared" si="1"/>
        <v/>
      </c>
      <c r="B275" s="138"/>
      <c r="C275" s="138"/>
      <c r="D275" s="139"/>
      <c r="E275" s="138"/>
    </row>
    <row r="276" spans="1:5">
      <c r="A276" s="69" t="str">
        <f t="shared" si="1"/>
        <v/>
      </c>
      <c r="B276" s="141"/>
      <c r="C276" s="141"/>
      <c r="D276" s="139"/>
      <c r="E276" s="141"/>
    </row>
    <row r="277" spans="1:5">
      <c r="A277" s="69" t="str">
        <f t="shared" si="1"/>
        <v/>
      </c>
      <c r="B277" s="138"/>
      <c r="C277" s="138"/>
      <c r="D277" s="139"/>
      <c r="E277" s="138"/>
    </row>
    <row r="278" spans="1:5">
      <c r="A278" s="69" t="str">
        <f t="shared" si="1"/>
        <v/>
      </c>
      <c r="B278" s="141"/>
      <c r="C278" s="141"/>
      <c r="D278" s="139"/>
      <c r="E278" s="141"/>
    </row>
    <row r="279" spans="1:5">
      <c r="A279" s="69" t="str">
        <f t="shared" si="1"/>
        <v/>
      </c>
      <c r="B279" s="138"/>
      <c r="C279" s="138"/>
      <c r="D279" s="139"/>
      <c r="E279" s="138"/>
    </row>
    <row r="280" spans="1:5">
      <c r="A280" s="69" t="str">
        <f t="shared" si="1"/>
        <v/>
      </c>
      <c r="B280" s="141"/>
      <c r="C280" s="141"/>
      <c r="D280" s="139"/>
      <c r="E280" s="141"/>
    </row>
    <row r="281" spans="1:5">
      <c r="A281" s="69" t="str">
        <f t="shared" si="1"/>
        <v/>
      </c>
      <c r="B281" s="138"/>
      <c r="C281" s="138"/>
      <c r="D281" s="139"/>
      <c r="E281" s="138"/>
    </row>
    <row r="282" spans="1:5">
      <c r="A282" s="69" t="str">
        <f t="shared" si="1"/>
        <v/>
      </c>
      <c r="B282" s="141"/>
      <c r="C282" s="141"/>
      <c r="D282" s="139"/>
      <c r="E282" s="141"/>
    </row>
    <row r="283" spans="1:5">
      <c r="A283" s="69" t="str">
        <f t="shared" si="1"/>
        <v/>
      </c>
      <c r="B283" s="138"/>
      <c r="C283" s="138"/>
      <c r="D283" s="139"/>
      <c r="E283" s="138"/>
    </row>
    <row r="284" spans="1:5">
      <c r="A284" s="69" t="str">
        <f t="shared" si="1"/>
        <v/>
      </c>
      <c r="B284" s="141"/>
      <c r="C284" s="141"/>
      <c r="D284" s="139"/>
      <c r="E284" s="141"/>
    </row>
    <row r="285" spans="1:5">
      <c r="A285" s="69" t="str">
        <f t="shared" si="1"/>
        <v/>
      </c>
      <c r="B285" s="138"/>
      <c r="C285" s="138"/>
      <c r="D285" s="139"/>
      <c r="E285" s="138"/>
    </row>
    <row r="286" spans="1:5">
      <c r="A286" s="69" t="str">
        <f t="shared" si="1"/>
        <v/>
      </c>
      <c r="B286" s="141"/>
      <c r="C286" s="141"/>
      <c r="D286" s="139"/>
      <c r="E286" s="141"/>
    </row>
    <row r="287" spans="1:5">
      <c r="A287" s="69" t="str">
        <f t="shared" si="1"/>
        <v/>
      </c>
      <c r="B287" s="138"/>
      <c r="C287" s="138"/>
      <c r="D287" s="139"/>
      <c r="E287" s="138"/>
    </row>
    <row r="288" spans="1:5">
      <c r="A288" s="69" t="str">
        <f t="shared" si="1"/>
        <v/>
      </c>
      <c r="B288" s="141"/>
      <c r="C288" s="141"/>
      <c r="D288" s="139"/>
      <c r="E288" s="141"/>
    </row>
    <row r="289" spans="1:5">
      <c r="A289" s="69" t="str">
        <f t="shared" si="1"/>
        <v/>
      </c>
      <c r="B289" s="138"/>
      <c r="C289" s="138"/>
      <c r="D289" s="139"/>
      <c r="E289" s="138"/>
    </row>
    <row r="290" spans="1:5">
      <c r="A290" s="69" t="str">
        <f t="shared" si="1"/>
        <v/>
      </c>
      <c r="B290" s="141"/>
      <c r="C290" s="141"/>
      <c r="D290" s="139"/>
      <c r="E290" s="141"/>
    </row>
    <row r="291" spans="1:5">
      <c r="A291" s="69" t="str">
        <f t="shared" si="1"/>
        <v/>
      </c>
      <c r="B291" s="138"/>
      <c r="C291" s="138"/>
      <c r="D291" s="139"/>
      <c r="E291" s="138"/>
    </row>
    <row r="292" spans="1:5">
      <c r="A292" s="69" t="str">
        <f t="shared" si="1"/>
        <v/>
      </c>
      <c r="B292" s="141"/>
      <c r="C292" s="141"/>
      <c r="D292" s="139"/>
      <c r="E292" s="141"/>
    </row>
    <row r="293" spans="1:5">
      <c r="A293" s="69" t="str">
        <f t="shared" si="1"/>
        <v/>
      </c>
      <c r="B293" s="138"/>
      <c r="C293" s="138"/>
      <c r="D293" s="139"/>
      <c r="E293" s="138"/>
    </row>
    <row r="294" spans="1:5">
      <c r="A294" s="69" t="str">
        <f t="shared" si="1"/>
        <v/>
      </c>
      <c r="B294" s="141"/>
      <c r="C294" s="141"/>
      <c r="D294" s="139"/>
      <c r="E294" s="141"/>
    </row>
    <row r="295" spans="1:5">
      <c r="A295" s="69" t="str">
        <f t="shared" si="1"/>
        <v/>
      </c>
      <c r="B295" s="138"/>
      <c r="C295" s="138"/>
      <c r="D295" s="139"/>
      <c r="E295" s="138"/>
    </row>
    <row r="296" spans="1:5">
      <c r="A296" s="69" t="str">
        <f t="shared" si="1"/>
        <v/>
      </c>
      <c r="B296" s="141"/>
      <c r="C296" s="141"/>
      <c r="D296" s="139"/>
      <c r="E296" s="141"/>
    </row>
    <row r="297" spans="1:5">
      <c r="A297" s="69" t="str">
        <f t="shared" si="1"/>
        <v/>
      </c>
      <c r="B297" s="138"/>
      <c r="C297" s="138"/>
      <c r="D297" s="139"/>
      <c r="E297" s="138"/>
    </row>
    <row r="298" spans="1:5">
      <c r="A298" s="69" t="str">
        <f t="shared" si="1"/>
        <v/>
      </c>
      <c r="B298" s="141"/>
      <c r="C298" s="141"/>
      <c r="D298" s="139"/>
      <c r="E298" s="141"/>
    </row>
    <row r="299" spans="1:5">
      <c r="A299" s="69" t="str">
        <f t="shared" si="1"/>
        <v/>
      </c>
      <c r="B299" s="138"/>
      <c r="C299" s="138"/>
      <c r="D299" s="139"/>
      <c r="E299" s="138"/>
    </row>
    <row r="300" spans="1:5">
      <c r="A300" s="69" t="str">
        <f t="shared" si="1"/>
        <v/>
      </c>
      <c r="B300" s="141"/>
      <c r="C300" s="141"/>
      <c r="D300" s="139"/>
      <c r="E300" s="141"/>
    </row>
    <row r="301" spans="1:5">
      <c r="A301" s="69" t="str">
        <f t="shared" si="1"/>
        <v/>
      </c>
      <c r="B301" s="138"/>
      <c r="C301" s="138"/>
      <c r="D301" s="139"/>
      <c r="E301" s="138"/>
    </row>
    <row r="302" spans="1:5">
      <c r="A302" s="69" t="str">
        <f t="shared" si="1"/>
        <v/>
      </c>
      <c r="B302" s="141"/>
      <c r="C302" s="141"/>
      <c r="D302" s="139"/>
      <c r="E302" s="141"/>
    </row>
    <row r="303" spans="1:5">
      <c r="A303" s="69" t="str">
        <f t="shared" si="1"/>
        <v/>
      </c>
      <c r="B303" s="138"/>
      <c r="C303" s="138"/>
      <c r="D303" s="139"/>
      <c r="E303" s="138"/>
    </row>
    <row r="304" spans="1:5">
      <c r="A304" s="69" t="str">
        <f t="shared" si="1"/>
        <v/>
      </c>
      <c r="B304" s="141"/>
      <c r="C304" s="141"/>
      <c r="D304" s="139"/>
      <c r="E304" s="141"/>
    </row>
    <row r="305" spans="1:5">
      <c r="A305" s="69" t="str">
        <f t="shared" si="1"/>
        <v/>
      </c>
      <c r="B305" s="138"/>
      <c r="C305" s="138"/>
      <c r="D305" s="139"/>
      <c r="E305" s="138"/>
    </row>
    <row r="306" spans="1:5">
      <c r="A306" s="69" t="str">
        <f t="shared" si="1"/>
        <v/>
      </c>
      <c r="B306" s="141"/>
      <c r="C306" s="141"/>
      <c r="D306" s="139"/>
      <c r="E306" s="141"/>
    </row>
    <row r="307" spans="1:5">
      <c r="A307" s="69" t="str">
        <f t="shared" si="1"/>
        <v/>
      </c>
      <c r="B307" s="138"/>
      <c r="C307" s="138"/>
      <c r="D307" s="139"/>
      <c r="E307" s="138"/>
    </row>
    <row r="308" spans="1:5">
      <c r="A308" s="69" t="str">
        <f t="shared" si="1"/>
        <v/>
      </c>
      <c r="B308" s="141"/>
      <c r="C308" s="141"/>
      <c r="D308" s="139"/>
      <c r="E308" s="141"/>
    </row>
    <row r="309" spans="1:5">
      <c r="A309" s="69" t="str">
        <f t="shared" si="1"/>
        <v/>
      </c>
      <c r="B309" s="138"/>
      <c r="C309" s="138"/>
      <c r="D309" s="139"/>
      <c r="E309" s="138"/>
    </row>
    <row r="310" spans="1:5">
      <c r="A310" s="69" t="str">
        <f t="shared" si="1"/>
        <v/>
      </c>
      <c r="B310" s="141"/>
      <c r="C310" s="141"/>
      <c r="D310" s="139"/>
      <c r="E310" s="141"/>
    </row>
    <row r="311" spans="1:5">
      <c r="A311" s="69" t="str">
        <f t="shared" si="1"/>
        <v/>
      </c>
      <c r="B311" s="138"/>
      <c r="C311" s="138"/>
      <c r="D311" s="139"/>
      <c r="E311" s="138"/>
    </row>
    <row r="312" spans="1:5">
      <c r="A312" s="69" t="str">
        <f t="shared" si="1"/>
        <v/>
      </c>
      <c r="B312" s="141"/>
      <c r="C312" s="141"/>
      <c r="D312" s="139"/>
      <c r="E312" s="141"/>
    </row>
    <row r="313" spans="1:5">
      <c r="A313" s="69" t="str">
        <f t="shared" si="1"/>
        <v/>
      </c>
      <c r="B313" s="138"/>
      <c r="C313" s="138"/>
      <c r="D313" s="139"/>
      <c r="E313" s="138"/>
    </row>
    <row r="314" spans="1:5">
      <c r="A314" s="69" t="str">
        <f t="shared" si="1"/>
        <v/>
      </c>
      <c r="B314" s="141"/>
      <c r="C314" s="141"/>
      <c r="D314" s="139"/>
      <c r="E314" s="141"/>
    </row>
    <row r="315" spans="1:5">
      <c r="A315" s="69" t="str">
        <f t="shared" si="1"/>
        <v/>
      </c>
      <c r="B315" s="138"/>
      <c r="C315" s="138"/>
      <c r="D315" s="139"/>
      <c r="E315" s="138"/>
    </row>
    <row r="316" spans="1:5">
      <c r="A316" s="69" t="str">
        <f t="shared" si="1"/>
        <v/>
      </c>
      <c r="B316" s="141"/>
      <c r="C316" s="141"/>
      <c r="D316" s="139"/>
      <c r="E316" s="141"/>
    </row>
    <row r="317" spans="1:5">
      <c r="A317" s="69" t="str">
        <f t="shared" si="1"/>
        <v/>
      </c>
      <c r="B317" s="138"/>
      <c r="C317" s="138"/>
      <c r="D317" s="139"/>
      <c r="E317" s="138"/>
    </row>
    <row r="318" spans="1:5">
      <c r="A318" s="69" t="str">
        <f t="shared" si="1"/>
        <v/>
      </c>
      <c r="B318" s="141"/>
      <c r="C318" s="141"/>
      <c r="D318" s="139"/>
      <c r="E318" s="141"/>
    </row>
    <row r="319" spans="1:5">
      <c r="A319" s="69" t="str">
        <f t="shared" si="1"/>
        <v/>
      </c>
      <c r="B319" s="138"/>
      <c r="C319" s="138"/>
      <c r="D319" s="139"/>
      <c r="E319" s="138"/>
    </row>
    <row r="320" spans="1:5">
      <c r="A320" s="69" t="str">
        <f t="shared" si="1"/>
        <v/>
      </c>
      <c r="B320" s="141"/>
      <c r="C320" s="141"/>
      <c r="D320" s="139"/>
      <c r="E320" s="141"/>
    </row>
    <row r="321" spans="1:5">
      <c r="A321" s="69" t="str">
        <f t="shared" si="1"/>
        <v/>
      </c>
      <c r="B321" s="138"/>
      <c r="C321" s="138"/>
      <c r="D321" s="139"/>
      <c r="E321" s="138"/>
    </row>
    <row r="322" spans="1:5">
      <c r="A322" s="69" t="str">
        <f t="shared" si="1"/>
        <v/>
      </c>
      <c r="B322" s="141"/>
      <c r="C322" s="141"/>
      <c r="D322" s="139"/>
      <c r="E322" s="141"/>
    </row>
    <row r="323" spans="1:5">
      <c r="A323" s="69" t="str">
        <f t="shared" si="1"/>
        <v/>
      </c>
      <c r="B323" s="138"/>
      <c r="C323" s="138"/>
      <c r="D323" s="139"/>
      <c r="E323" s="138"/>
    </row>
    <row r="324" spans="1:5">
      <c r="A324" s="69" t="str">
        <f t="shared" si="1"/>
        <v/>
      </c>
      <c r="B324" s="141"/>
      <c r="C324" s="141"/>
      <c r="D324" s="139"/>
      <c r="E324" s="141"/>
    </row>
    <row r="325" spans="1:5">
      <c r="A325" s="69" t="str">
        <f t="shared" si="1"/>
        <v/>
      </c>
      <c r="B325" s="138"/>
      <c r="C325" s="138"/>
      <c r="D325" s="139"/>
      <c r="E325" s="138"/>
    </row>
    <row r="326" spans="1:5">
      <c r="A326" s="69" t="str">
        <f t="shared" si="1"/>
        <v/>
      </c>
      <c r="B326" s="141"/>
      <c r="C326" s="141"/>
      <c r="D326" s="139"/>
      <c r="E326" s="141"/>
    </row>
    <row r="327" spans="1:5">
      <c r="A327" s="69" t="str">
        <f t="shared" si="1"/>
        <v/>
      </c>
      <c r="B327" s="138"/>
      <c r="C327" s="138"/>
      <c r="D327" s="139"/>
      <c r="E327" s="138"/>
    </row>
    <row r="328" spans="1:5">
      <c r="A328" s="69" t="str">
        <f t="shared" si="1"/>
        <v/>
      </c>
      <c r="B328" s="141"/>
      <c r="C328" s="141"/>
      <c r="D328" s="139"/>
      <c r="E328" s="141"/>
    </row>
    <row r="329" spans="1:5">
      <c r="A329" s="69" t="str">
        <f t="shared" si="1"/>
        <v/>
      </c>
      <c r="B329" s="138"/>
      <c r="C329" s="138"/>
      <c r="D329" s="139"/>
      <c r="E329" s="138"/>
    </row>
    <row r="330" spans="1:5">
      <c r="A330" s="69" t="str">
        <f t="shared" si="1"/>
        <v/>
      </c>
      <c r="B330" s="141"/>
      <c r="C330" s="141"/>
      <c r="D330" s="139"/>
      <c r="E330" s="141"/>
    </row>
    <row r="331" spans="1:5">
      <c r="A331" s="69" t="str">
        <f t="shared" si="1"/>
        <v/>
      </c>
      <c r="B331" s="138"/>
      <c r="C331" s="138"/>
      <c r="D331" s="139"/>
      <c r="E331" s="138"/>
    </row>
    <row r="332" spans="1:5">
      <c r="A332" s="69" t="str">
        <f t="shared" si="1"/>
        <v/>
      </c>
      <c r="B332" s="141"/>
      <c r="C332" s="141"/>
      <c r="D332" s="139"/>
      <c r="E332" s="141"/>
    </row>
    <row r="333" spans="1:5">
      <c r="A333" s="69" t="str">
        <f t="shared" si="1"/>
        <v/>
      </c>
      <c r="B333" s="138"/>
      <c r="C333" s="138"/>
      <c r="D333" s="139"/>
      <c r="E333" s="138"/>
    </row>
    <row r="334" spans="1:5">
      <c r="A334" s="69" t="str">
        <f t="shared" si="1"/>
        <v/>
      </c>
      <c r="B334" s="141"/>
      <c r="C334" s="141"/>
      <c r="D334" s="139"/>
      <c r="E334" s="141"/>
    </row>
    <row r="335" spans="1:5">
      <c r="A335" s="69" t="str">
        <f t="shared" si="1"/>
        <v/>
      </c>
      <c r="B335" s="138"/>
      <c r="C335" s="138"/>
      <c r="D335" s="139"/>
      <c r="E335" s="138"/>
    </row>
    <row r="336" spans="1:5">
      <c r="A336" s="69" t="str">
        <f t="shared" si="1"/>
        <v/>
      </c>
      <c r="B336" s="141"/>
      <c r="C336" s="141"/>
      <c r="D336" s="139"/>
      <c r="E336" s="141"/>
    </row>
    <row r="337" spans="1:5">
      <c r="A337" s="69" t="str">
        <f t="shared" si="1"/>
        <v/>
      </c>
      <c r="B337" s="138"/>
      <c r="C337" s="138"/>
      <c r="D337" s="139"/>
      <c r="E337" s="138"/>
    </row>
    <row r="338" spans="1:5">
      <c r="A338" s="69" t="str">
        <f t="shared" si="1"/>
        <v/>
      </c>
      <c r="B338" s="141"/>
      <c r="C338" s="141"/>
      <c r="D338" s="139"/>
      <c r="E338" s="141"/>
    </row>
    <row r="339" spans="1:5">
      <c r="A339" s="69" t="str">
        <f t="shared" si="1"/>
        <v/>
      </c>
      <c r="B339" s="138"/>
      <c r="C339" s="138"/>
      <c r="D339" s="139"/>
      <c r="E339" s="138"/>
    </row>
    <row r="340" spans="1:5">
      <c r="A340" s="69" t="str">
        <f t="shared" si="1"/>
        <v/>
      </c>
      <c r="B340" s="141"/>
      <c r="C340" s="141"/>
      <c r="D340" s="139"/>
      <c r="E340" s="141"/>
    </row>
    <row r="341" spans="1:5">
      <c r="A341" s="69" t="str">
        <f t="shared" si="1"/>
        <v/>
      </c>
      <c r="B341" s="138"/>
      <c r="C341" s="138"/>
      <c r="D341" s="139"/>
      <c r="E341" s="138"/>
    </row>
    <row r="342" spans="1:5">
      <c r="A342" s="69" t="str">
        <f t="shared" si="1"/>
        <v/>
      </c>
      <c r="B342" s="141"/>
      <c r="C342" s="141"/>
      <c r="D342" s="139"/>
      <c r="E342" s="141"/>
    </row>
    <row r="343" spans="1:5">
      <c r="A343" s="69" t="str">
        <f t="shared" si="1"/>
        <v/>
      </c>
      <c r="B343" s="138"/>
      <c r="C343" s="138"/>
      <c r="D343" s="139"/>
      <c r="E343" s="138"/>
    </row>
    <row r="344" spans="1:5">
      <c r="A344" s="69" t="str">
        <f t="shared" si="1"/>
        <v/>
      </c>
      <c r="B344" s="141"/>
      <c r="C344" s="141"/>
      <c r="D344" s="139"/>
      <c r="E344" s="141"/>
    </row>
    <row r="345" spans="1:5">
      <c r="A345" s="69" t="str">
        <f t="shared" si="1"/>
        <v/>
      </c>
      <c r="B345" s="138"/>
      <c r="C345" s="138"/>
      <c r="D345" s="139"/>
      <c r="E345" s="138"/>
    </row>
    <row r="346" spans="1:5">
      <c r="A346" s="69" t="str">
        <f t="shared" si="1"/>
        <v/>
      </c>
      <c r="B346" s="141"/>
      <c r="C346" s="141"/>
      <c r="D346" s="139"/>
      <c r="E346" s="141"/>
    </row>
    <row r="347" spans="1:5">
      <c r="A347" s="69" t="str">
        <f t="shared" si="1"/>
        <v/>
      </c>
      <c r="B347" s="138"/>
      <c r="C347" s="138"/>
      <c r="D347" s="139"/>
      <c r="E347" s="138"/>
    </row>
    <row r="348" spans="1:5">
      <c r="A348" s="69" t="str">
        <f t="shared" si="1"/>
        <v/>
      </c>
      <c r="B348" s="141"/>
      <c r="C348" s="141"/>
      <c r="D348" s="139"/>
      <c r="E348" s="141"/>
    </row>
    <row r="349" spans="1:5">
      <c r="A349" s="69" t="str">
        <f t="shared" si="1"/>
        <v/>
      </c>
      <c r="B349" s="138"/>
      <c r="C349" s="138"/>
      <c r="D349" s="139"/>
      <c r="E349" s="138"/>
    </row>
    <row r="350" spans="1:5">
      <c r="A350" s="69" t="str">
        <f t="shared" si="1"/>
        <v/>
      </c>
      <c r="B350" s="141"/>
      <c r="C350" s="141"/>
      <c r="D350" s="139"/>
      <c r="E350" s="141"/>
    </row>
    <row r="351" spans="1:5">
      <c r="A351" s="69" t="str">
        <f t="shared" si="1"/>
        <v/>
      </c>
      <c r="B351" s="138"/>
      <c r="C351" s="138"/>
      <c r="D351" s="139"/>
      <c r="E351" s="138"/>
    </row>
    <row r="352" spans="1:5">
      <c r="A352" s="69" t="str">
        <f t="shared" si="1"/>
        <v/>
      </c>
      <c r="B352" s="141"/>
      <c r="C352" s="141"/>
      <c r="D352" s="139"/>
      <c r="E352" s="141"/>
    </row>
    <row r="353" spans="1:5">
      <c r="A353" s="69" t="str">
        <f t="shared" si="1"/>
        <v/>
      </c>
      <c r="B353" s="138"/>
      <c r="C353" s="138"/>
      <c r="D353" s="139"/>
      <c r="E353" s="138"/>
    </row>
    <row r="354" spans="1:5">
      <c r="A354" s="69" t="str">
        <f t="shared" si="1"/>
        <v/>
      </c>
      <c r="B354" s="141"/>
      <c r="C354" s="141"/>
      <c r="D354" s="139"/>
      <c r="E354" s="141"/>
    </row>
    <row r="355" spans="1:5">
      <c r="A355" s="69" t="str">
        <f t="shared" si="1"/>
        <v/>
      </c>
      <c r="B355" s="138"/>
      <c r="C355" s="138"/>
      <c r="D355" s="139"/>
      <c r="E355" s="138"/>
    </row>
    <row r="356" spans="1:5">
      <c r="A356" s="69" t="str">
        <f t="shared" si="1"/>
        <v/>
      </c>
      <c r="B356" s="141"/>
      <c r="C356" s="141"/>
      <c r="D356" s="139"/>
      <c r="E356" s="141"/>
    </row>
    <row r="357" spans="1:5">
      <c r="A357" s="69" t="str">
        <f t="shared" si="1"/>
        <v/>
      </c>
      <c r="B357" s="138"/>
      <c r="C357" s="138"/>
      <c r="D357" s="139"/>
      <c r="E357" s="138"/>
    </row>
    <row r="358" spans="1:5">
      <c r="A358" s="69" t="str">
        <f t="shared" si="1"/>
        <v/>
      </c>
      <c r="B358" s="141"/>
      <c r="C358" s="141"/>
      <c r="D358" s="139"/>
      <c r="E358" s="141"/>
    </row>
    <row r="359" spans="1:5">
      <c r="A359" s="69" t="str">
        <f t="shared" si="1"/>
        <v/>
      </c>
      <c r="B359" s="138"/>
      <c r="C359" s="138"/>
      <c r="D359" s="139"/>
      <c r="E359" s="138"/>
    </row>
    <row r="360" spans="1:5">
      <c r="A360" s="69" t="str">
        <f t="shared" si="1"/>
        <v/>
      </c>
      <c r="B360" s="141"/>
      <c r="C360" s="141"/>
      <c r="D360" s="139"/>
      <c r="E360" s="141"/>
    </row>
    <row r="361" spans="1:5">
      <c r="A361" s="69" t="str">
        <f t="shared" si="1"/>
        <v/>
      </c>
      <c r="B361" s="138"/>
      <c r="C361" s="138"/>
      <c r="D361" s="139"/>
      <c r="E361" s="138"/>
    </row>
    <row r="362" spans="1:5">
      <c r="A362" s="69" t="str">
        <f t="shared" si="1"/>
        <v/>
      </c>
      <c r="B362" s="141"/>
      <c r="C362" s="141"/>
      <c r="D362" s="139"/>
      <c r="E362" s="141"/>
    </row>
    <row r="363" spans="1:5">
      <c r="A363" s="69" t="str">
        <f t="shared" si="1"/>
        <v/>
      </c>
      <c r="B363" s="138"/>
      <c r="C363" s="138"/>
      <c r="D363" s="139"/>
      <c r="E363" s="138"/>
    </row>
    <row r="364" spans="1:5">
      <c r="A364" s="69" t="str">
        <f t="shared" si="1"/>
        <v/>
      </c>
      <c r="B364" s="141"/>
      <c r="C364" s="141"/>
      <c r="D364" s="139"/>
      <c r="E364" s="141"/>
    </row>
    <row r="365" spans="1:5">
      <c r="A365" s="69" t="str">
        <f t="shared" si="1"/>
        <v/>
      </c>
      <c r="B365" s="138"/>
      <c r="C365" s="138"/>
      <c r="D365" s="139"/>
      <c r="E365" s="138"/>
    </row>
    <row r="366" spans="1:5">
      <c r="A366" s="69" t="str">
        <f t="shared" si="1"/>
        <v/>
      </c>
      <c r="B366" s="141"/>
      <c r="C366" s="141"/>
      <c r="D366" s="139"/>
      <c r="E366" s="141"/>
    </row>
    <row r="367" spans="1:5">
      <c r="A367" s="69" t="str">
        <f t="shared" si="1"/>
        <v/>
      </c>
      <c r="B367" s="138"/>
      <c r="C367" s="138"/>
      <c r="D367" s="139"/>
      <c r="E367" s="138"/>
    </row>
    <row r="368" spans="1:5">
      <c r="A368" s="69" t="str">
        <f t="shared" si="1"/>
        <v/>
      </c>
      <c r="B368" s="141"/>
      <c r="C368" s="141"/>
      <c r="D368" s="139"/>
      <c r="E368" s="141"/>
    </row>
    <row r="369" spans="1:5">
      <c r="A369" s="69" t="str">
        <f t="shared" si="1"/>
        <v/>
      </c>
      <c r="B369" s="138"/>
      <c r="C369" s="138"/>
      <c r="D369" s="139"/>
      <c r="E369" s="138"/>
    </row>
    <row r="370" spans="1:5">
      <c r="A370" s="69" t="str">
        <f t="shared" si="1"/>
        <v/>
      </c>
      <c r="B370" s="141"/>
      <c r="C370" s="141"/>
      <c r="D370" s="139"/>
      <c r="E370" s="141"/>
    </row>
    <row r="371" spans="1:5">
      <c r="A371" s="69" t="str">
        <f t="shared" si="1"/>
        <v/>
      </c>
      <c r="B371" s="138"/>
      <c r="C371" s="138"/>
      <c r="D371" s="139"/>
      <c r="E371" s="138"/>
    </row>
    <row r="372" spans="1:5">
      <c r="A372" s="69" t="str">
        <f t="shared" si="1"/>
        <v/>
      </c>
      <c r="B372" s="141"/>
      <c r="C372" s="141"/>
      <c r="D372" s="139"/>
      <c r="E372" s="141"/>
    </row>
    <row r="373" spans="1:5">
      <c r="A373" s="69" t="str">
        <f t="shared" si="1"/>
        <v/>
      </c>
      <c r="B373" s="138"/>
      <c r="C373" s="138"/>
      <c r="D373" s="139"/>
      <c r="E373" s="138"/>
    </row>
    <row r="374" spans="1:5">
      <c r="A374" s="69" t="str">
        <f t="shared" si="1"/>
        <v/>
      </c>
      <c r="B374" s="141"/>
      <c r="C374" s="141"/>
      <c r="D374" s="139"/>
      <c r="E374" s="141"/>
    </row>
    <row r="375" spans="1:5">
      <c r="A375" s="69" t="str">
        <f t="shared" si="1"/>
        <v/>
      </c>
      <c r="B375" s="138"/>
      <c r="C375" s="138"/>
      <c r="D375" s="139"/>
      <c r="E375" s="138"/>
    </row>
    <row r="376" spans="1:5">
      <c r="A376" s="69" t="str">
        <f t="shared" si="1"/>
        <v/>
      </c>
      <c r="B376" s="141"/>
      <c r="C376" s="141"/>
      <c r="D376" s="139"/>
      <c r="E376" s="141"/>
    </row>
    <row r="377" spans="1:5">
      <c r="A377" s="69" t="str">
        <f t="shared" si="1"/>
        <v/>
      </c>
      <c r="B377" s="138"/>
      <c r="C377" s="138"/>
      <c r="D377" s="139"/>
      <c r="E377" s="138"/>
    </row>
    <row r="378" spans="1:5">
      <c r="A378" s="69" t="str">
        <f t="shared" si="1"/>
        <v/>
      </c>
      <c r="B378" s="141"/>
      <c r="C378" s="141"/>
      <c r="D378" s="139"/>
      <c r="E378" s="141"/>
    </row>
    <row r="379" spans="1:5">
      <c r="A379" s="69" t="str">
        <f t="shared" si="1"/>
        <v/>
      </c>
      <c r="B379" s="138"/>
      <c r="C379" s="138"/>
      <c r="D379" s="139"/>
      <c r="E379" s="138"/>
    </row>
    <row r="380" spans="1:5">
      <c r="A380" s="69" t="str">
        <f t="shared" si="1"/>
        <v/>
      </c>
      <c r="B380" s="141"/>
      <c r="C380" s="141"/>
      <c r="D380" s="139"/>
      <c r="E380" s="141"/>
    </row>
    <row r="381" spans="1:5">
      <c r="A381" s="69" t="str">
        <f t="shared" si="1"/>
        <v/>
      </c>
      <c r="B381" s="138"/>
      <c r="C381" s="138"/>
      <c r="D381" s="139"/>
      <c r="E381" s="138"/>
    </row>
    <row r="382" spans="1:5">
      <c r="A382" s="69" t="str">
        <f t="shared" si="1"/>
        <v/>
      </c>
      <c r="B382" s="141"/>
      <c r="C382" s="141"/>
      <c r="D382" s="139"/>
      <c r="E382" s="141"/>
    </row>
    <row r="383" spans="1:5">
      <c r="A383" s="69" t="str">
        <f t="shared" si="1"/>
        <v/>
      </c>
      <c r="B383" s="138"/>
      <c r="C383" s="138"/>
      <c r="D383" s="139"/>
      <c r="E383" s="138"/>
    </row>
    <row r="384" spans="1:5">
      <c r="A384" s="69" t="str">
        <f t="shared" si="1"/>
        <v/>
      </c>
      <c r="B384" s="141"/>
      <c r="C384" s="141"/>
      <c r="D384" s="139"/>
      <c r="E384" s="141"/>
    </row>
    <row r="385" spans="1:5">
      <c r="A385" s="69" t="str">
        <f t="shared" si="1"/>
        <v/>
      </c>
      <c r="B385" s="138"/>
      <c r="C385" s="138"/>
      <c r="D385" s="139"/>
      <c r="E385" s="138"/>
    </row>
    <row r="386" spans="1:5">
      <c r="A386" s="69" t="str">
        <f t="shared" si="1"/>
        <v/>
      </c>
      <c r="B386" s="141"/>
      <c r="C386" s="141"/>
      <c r="D386" s="139"/>
      <c r="E386" s="141"/>
    </row>
    <row r="387" spans="1:5">
      <c r="A387" s="69" t="str">
        <f t="shared" si="1"/>
        <v/>
      </c>
      <c r="B387" s="138"/>
      <c r="C387" s="138"/>
      <c r="D387" s="139"/>
      <c r="E387" s="138"/>
    </row>
    <row r="388" spans="1:5">
      <c r="A388" s="69" t="str">
        <f t="shared" si="1"/>
        <v/>
      </c>
      <c r="B388" s="141"/>
      <c r="C388" s="141"/>
      <c r="D388" s="139"/>
      <c r="E388" s="141"/>
    </row>
    <row r="389" spans="1:5">
      <c r="A389" s="69" t="str">
        <f t="shared" si="1"/>
        <v/>
      </c>
      <c r="B389" s="138"/>
      <c r="C389" s="138"/>
      <c r="D389" s="139"/>
      <c r="E389" s="138"/>
    </row>
    <row r="390" spans="1:5">
      <c r="A390" s="69" t="str">
        <f t="shared" si="1"/>
        <v/>
      </c>
      <c r="B390" s="141"/>
      <c r="C390" s="141"/>
      <c r="D390" s="139"/>
      <c r="E390" s="141"/>
    </row>
    <row r="391" spans="1:5">
      <c r="A391" s="69" t="str">
        <f t="shared" si="1"/>
        <v/>
      </c>
      <c r="B391" s="138"/>
      <c r="C391" s="138"/>
      <c r="D391" s="139"/>
      <c r="E391" s="138"/>
    </row>
    <row r="392" spans="1:5">
      <c r="A392" s="69" t="str">
        <f t="shared" si="1"/>
        <v/>
      </c>
      <c r="B392" s="141"/>
      <c r="C392" s="141"/>
      <c r="D392" s="139"/>
      <c r="E392" s="141"/>
    </row>
    <row r="393" spans="1:5">
      <c r="A393" s="69" t="str">
        <f t="shared" si="1"/>
        <v/>
      </c>
      <c r="B393" s="138"/>
      <c r="C393" s="138"/>
      <c r="D393" s="139"/>
      <c r="E393" s="138"/>
    </row>
    <row r="394" spans="1:5">
      <c r="A394" s="69" t="str">
        <f t="shared" si="1"/>
        <v/>
      </c>
      <c r="B394" s="141"/>
      <c r="C394" s="141"/>
      <c r="D394" s="139"/>
      <c r="E394" s="141"/>
    </row>
    <row r="395" spans="1:5">
      <c r="A395" s="69" t="str">
        <f t="shared" si="1"/>
        <v/>
      </c>
      <c r="B395" s="138"/>
      <c r="C395" s="138"/>
      <c r="D395" s="139"/>
      <c r="E395" s="138"/>
    </row>
    <row r="396" spans="1:5">
      <c r="A396" s="69" t="str">
        <f t="shared" si="1"/>
        <v/>
      </c>
      <c r="B396" s="141"/>
      <c r="C396" s="141"/>
      <c r="D396" s="139"/>
      <c r="E396" s="141"/>
    </row>
    <row r="397" spans="1:5">
      <c r="A397" s="69" t="str">
        <f t="shared" si="1"/>
        <v/>
      </c>
      <c r="B397" s="138"/>
      <c r="C397" s="138"/>
      <c r="D397" s="139"/>
      <c r="E397" s="138"/>
    </row>
    <row r="398" spans="1:5">
      <c r="A398" s="69" t="str">
        <f t="shared" si="1"/>
        <v/>
      </c>
      <c r="B398" s="141"/>
      <c r="C398" s="141"/>
      <c r="D398" s="139"/>
      <c r="E398" s="141"/>
    </row>
    <row r="399" spans="1:5">
      <c r="A399" s="69" t="str">
        <f t="shared" si="1"/>
        <v/>
      </c>
      <c r="B399" s="138"/>
      <c r="C399" s="138"/>
      <c r="D399" s="139"/>
      <c r="E399" s="138"/>
    </row>
    <row r="400" spans="1:5">
      <c r="A400" s="69" t="str">
        <f t="shared" si="1"/>
        <v/>
      </c>
      <c r="B400" s="141"/>
      <c r="C400" s="141"/>
      <c r="D400" s="139"/>
      <c r="E400" s="141"/>
    </row>
    <row r="401" spans="1:5">
      <c r="A401" s="69" t="str">
        <f t="shared" si="1"/>
        <v/>
      </c>
      <c r="B401" s="138"/>
      <c r="C401" s="138"/>
      <c r="D401" s="139"/>
      <c r="E401" s="138"/>
    </row>
    <row r="402" spans="1:5">
      <c r="A402" s="69" t="str">
        <f t="shared" si="1"/>
        <v/>
      </c>
      <c r="B402" s="141"/>
      <c r="C402" s="141"/>
      <c r="D402" s="139"/>
      <c r="E402" s="141"/>
    </row>
    <row r="403" spans="1:5">
      <c r="A403" s="69" t="str">
        <f t="shared" si="1"/>
        <v/>
      </c>
      <c r="B403" s="138"/>
      <c r="C403" s="138"/>
      <c r="D403" s="139"/>
      <c r="E403" s="138"/>
    </row>
    <row r="404" spans="1:5">
      <c r="A404" s="69" t="str">
        <f t="shared" si="1"/>
        <v/>
      </c>
      <c r="B404" s="141"/>
      <c r="C404" s="141"/>
      <c r="D404" s="139"/>
      <c r="E404" s="141"/>
    </row>
    <row r="405" spans="1:5">
      <c r="A405" s="69" t="str">
        <f t="shared" si="1"/>
        <v/>
      </c>
      <c r="B405" s="138"/>
      <c r="C405" s="138"/>
      <c r="D405" s="139"/>
      <c r="E405" s="138"/>
    </row>
    <row r="406" spans="1:5">
      <c r="A406" s="69" t="str">
        <f t="shared" si="1"/>
        <v/>
      </c>
      <c r="B406" s="141"/>
      <c r="C406" s="141"/>
      <c r="D406" s="139"/>
      <c r="E406" s="141"/>
    </row>
    <row r="407" spans="1:5">
      <c r="A407" s="69" t="str">
        <f t="shared" si="1"/>
        <v/>
      </c>
      <c r="B407" s="138"/>
      <c r="C407" s="138"/>
      <c r="D407" s="139"/>
      <c r="E407" s="138"/>
    </row>
    <row r="408" spans="1:5">
      <c r="A408" s="69" t="str">
        <f t="shared" si="1"/>
        <v/>
      </c>
      <c r="B408" s="141"/>
      <c r="C408" s="141"/>
      <c r="D408" s="139"/>
      <c r="E408" s="141"/>
    </row>
    <row r="409" spans="1:5">
      <c r="A409" s="69" t="str">
        <f t="shared" si="1"/>
        <v/>
      </c>
      <c r="B409" s="138"/>
      <c r="C409" s="138"/>
      <c r="D409" s="139"/>
      <c r="E409" s="138"/>
    </row>
    <row r="410" spans="1:5">
      <c r="A410" s="69" t="str">
        <f t="shared" si="1"/>
        <v/>
      </c>
      <c r="B410" s="141"/>
      <c r="C410" s="141"/>
      <c r="D410" s="139"/>
      <c r="E410" s="141"/>
    </row>
    <row r="411" spans="1:5">
      <c r="A411" s="69" t="str">
        <f t="shared" si="1"/>
        <v/>
      </c>
      <c r="B411" s="138"/>
      <c r="C411" s="138"/>
      <c r="D411" s="139"/>
      <c r="E411" s="138"/>
    </row>
    <row r="412" spans="1:5">
      <c r="A412" s="69" t="str">
        <f t="shared" si="1"/>
        <v/>
      </c>
      <c r="B412" s="141"/>
      <c r="C412" s="141"/>
      <c r="D412" s="139"/>
      <c r="E412" s="141"/>
    </row>
    <row r="413" spans="1:5">
      <c r="A413" s="69" t="str">
        <f t="shared" si="1"/>
        <v/>
      </c>
      <c r="B413" s="138"/>
      <c r="C413" s="138"/>
      <c r="D413" s="139"/>
      <c r="E413" s="138"/>
    </row>
    <row r="414" spans="1:5">
      <c r="A414" s="69" t="str">
        <f t="shared" si="1"/>
        <v/>
      </c>
      <c r="B414" s="141"/>
      <c r="C414" s="141"/>
      <c r="D414" s="139"/>
      <c r="E414" s="141"/>
    </row>
    <row r="415" spans="1:5">
      <c r="A415" s="69" t="str">
        <f t="shared" si="1"/>
        <v/>
      </c>
      <c r="B415" s="138"/>
      <c r="C415" s="138"/>
      <c r="D415" s="139"/>
      <c r="E415" s="138"/>
    </row>
    <row r="416" spans="1:5">
      <c r="A416" s="69" t="str">
        <f t="shared" si="1"/>
        <v/>
      </c>
      <c r="B416" s="141"/>
      <c r="C416" s="141"/>
      <c r="D416" s="139"/>
      <c r="E416" s="141"/>
    </row>
    <row r="417" spans="1:5">
      <c r="A417" s="69" t="str">
        <f t="shared" si="1"/>
        <v/>
      </c>
      <c r="B417" s="138"/>
      <c r="C417" s="138"/>
      <c r="D417" s="139"/>
      <c r="E417" s="138"/>
    </row>
    <row r="418" spans="1:5">
      <c r="A418" s="69" t="str">
        <f t="shared" si="1"/>
        <v/>
      </c>
      <c r="B418" s="141"/>
      <c r="C418" s="141"/>
      <c r="D418" s="139"/>
      <c r="E418" s="141"/>
    </row>
    <row r="419" spans="1:5">
      <c r="A419" s="69" t="str">
        <f t="shared" si="1"/>
        <v/>
      </c>
      <c r="B419" s="138"/>
      <c r="C419" s="138"/>
      <c r="D419" s="139"/>
      <c r="E419" s="138"/>
    </row>
    <row r="420" spans="1:5">
      <c r="A420" s="69" t="str">
        <f t="shared" si="1"/>
        <v/>
      </c>
      <c r="B420" s="141"/>
      <c r="C420" s="141"/>
      <c r="D420" s="139"/>
      <c r="E420" s="141"/>
    </row>
    <row r="421" spans="1:5">
      <c r="A421" s="69" t="str">
        <f t="shared" si="1"/>
        <v/>
      </c>
      <c r="B421" s="138"/>
      <c r="C421" s="138"/>
      <c r="D421" s="139"/>
      <c r="E421" s="138"/>
    </row>
    <row r="422" spans="1:5">
      <c r="A422" s="69" t="str">
        <f t="shared" si="1"/>
        <v/>
      </c>
      <c r="B422" s="141"/>
      <c r="C422" s="141"/>
      <c r="D422" s="139"/>
      <c r="E422" s="141"/>
    </row>
    <row r="423" spans="1:5">
      <c r="A423" s="69" t="str">
        <f t="shared" si="1"/>
        <v/>
      </c>
      <c r="B423" s="138"/>
      <c r="C423" s="138"/>
      <c r="D423" s="139"/>
      <c r="E423" s="138"/>
    </row>
    <row r="424" spans="1:5">
      <c r="A424" s="69" t="str">
        <f t="shared" si="1"/>
        <v/>
      </c>
      <c r="B424" s="141"/>
      <c r="C424" s="141"/>
      <c r="D424" s="139"/>
      <c r="E424" s="141"/>
    </row>
    <row r="425" spans="1:5">
      <c r="A425" s="69" t="str">
        <f t="shared" si="1"/>
        <v/>
      </c>
      <c r="B425" s="138"/>
      <c r="C425" s="138"/>
      <c r="D425" s="139"/>
      <c r="E425" s="138"/>
    </row>
    <row r="426" spans="1:5">
      <c r="A426" s="69" t="str">
        <f t="shared" si="1"/>
        <v/>
      </c>
      <c r="B426" s="141"/>
      <c r="C426" s="141"/>
      <c r="D426" s="139"/>
      <c r="E426" s="141"/>
    </row>
    <row r="427" spans="1:5">
      <c r="A427" s="69" t="str">
        <f t="shared" si="1"/>
        <v/>
      </c>
      <c r="B427" s="138"/>
      <c r="C427" s="138"/>
      <c r="D427" s="139"/>
      <c r="E427" s="138"/>
    </row>
    <row r="428" spans="1:5">
      <c r="A428" s="69" t="str">
        <f t="shared" si="1"/>
        <v/>
      </c>
      <c r="B428" s="141"/>
      <c r="C428" s="141"/>
      <c r="D428" s="139"/>
      <c r="E428" s="141"/>
    </row>
    <row r="429" spans="1:5">
      <c r="A429" s="69" t="str">
        <f t="shared" si="1"/>
        <v/>
      </c>
      <c r="B429" s="138"/>
      <c r="C429" s="138"/>
      <c r="D429" s="139"/>
      <c r="E429" s="138"/>
    </row>
    <row r="430" spans="1:5">
      <c r="A430" s="69" t="str">
        <f t="shared" si="1"/>
        <v/>
      </c>
      <c r="B430" s="141"/>
      <c r="C430" s="141"/>
      <c r="D430" s="139"/>
      <c r="E430" s="141"/>
    </row>
    <row r="431" spans="1:5">
      <c r="A431" s="69" t="str">
        <f t="shared" si="1"/>
        <v/>
      </c>
      <c r="B431" s="138"/>
      <c r="C431" s="138"/>
      <c r="D431" s="139"/>
      <c r="E431" s="138"/>
    </row>
    <row r="432" spans="1:5">
      <c r="A432" s="69" t="str">
        <f t="shared" si="1"/>
        <v/>
      </c>
      <c r="B432" s="141"/>
      <c r="C432" s="141"/>
      <c r="D432" s="139"/>
      <c r="E432" s="141"/>
    </row>
    <row r="433" spans="1:5">
      <c r="A433" s="69" t="str">
        <f t="shared" si="1"/>
        <v/>
      </c>
      <c r="B433" s="138"/>
      <c r="C433" s="138"/>
      <c r="D433" s="139"/>
      <c r="E433" s="138"/>
    </row>
    <row r="434" spans="1:5">
      <c r="A434" s="69" t="str">
        <f t="shared" si="1"/>
        <v/>
      </c>
      <c r="B434" s="141"/>
      <c r="C434" s="141"/>
      <c r="D434" s="139"/>
      <c r="E434" s="141"/>
    </row>
    <row r="435" spans="1:5">
      <c r="A435" s="69" t="str">
        <f t="shared" si="1"/>
        <v/>
      </c>
      <c r="B435" s="138"/>
      <c r="C435" s="138"/>
      <c r="D435" s="139"/>
      <c r="E435" s="138"/>
    </row>
    <row r="436" spans="1:5">
      <c r="A436" s="69" t="str">
        <f t="shared" si="1"/>
        <v/>
      </c>
      <c r="B436" s="141"/>
      <c r="C436" s="141"/>
      <c r="D436" s="139"/>
      <c r="E436" s="141"/>
    </row>
    <row r="437" spans="1:5">
      <c r="A437" s="69" t="str">
        <f t="shared" si="1"/>
        <v/>
      </c>
      <c r="B437" s="138"/>
      <c r="C437" s="138"/>
      <c r="D437" s="139"/>
      <c r="E437" s="138"/>
    </row>
    <row r="438" spans="1:5">
      <c r="A438" s="69" t="str">
        <f t="shared" si="1"/>
        <v/>
      </c>
      <c r="B438" s="141"/>
      <c r="C438" s="141"/>
      <c r="D438" s="139"/>
      <c r="E438" s="141"/>
    </row>
    <row r="439" spans="1:5">
      <c r="A439" s="69" t="str">
        <f t="shared" si="1"/>
        <v/>
      </c>
      <c r="B439" s="138"/>
      <c r="C439" s="138"/>
      <c r="D439" s="139"/>
      <c r="E439" s="138"/>
    </row>
    <row r="440" spans="1:5">
      <c r="A440" s="69" t="str">
        <f t="shared" si="1"/>
        <v/>
      </c>
      <c r="B440" s="141"/>
      <c r="C440" s="141"/>
      <c r="D440" s="139"/>
      <c r="E440" s="141"/>
    </row>
    <row r="441" spans="1:5">
      <c r="A441" s="69" t="str">
        <f t="shared" si="1"/>
        <v/>
      </c>
      <c r="B441" s="138"/>
      <c r="C441" s="138"/>
      <c r="D441" s="139"/>
      <c r="E441" s="138"/>
    </row>
    <row r="442" spans="1:5">
      <c r="A442" s="69" t="str">
        <f t="shared" si="1"/>
        <v/>
      </c>
      <c r="B442" s="141"/>
      <c r="C442" s="141"/>
      <c r="D442" s="139"/>
      <c r="E442" s="141"/>
    </row>
    <row r="443" spans="1:5">
      <c r="A443" s="69" t="str">
        <f t="shared" si="1"/>
        <v/>
      </c>
      <c r="B443" s="138"/>
      <c r="C443" s="138"/>
      <c r="D443" s="139"/>
      <c r="E443" s="138"/>
    </row>
    <row r="444" spans="1:5">
      <c r="A444" s="69" t="str">
        <f t="shared" si="1"/>
        <v/>
      </c>
      <c r="B444" s="141"/>
      <c r="C444" s="141"/>
      <c r="D444" s="139"/>
      <c r="E444" s="141"/>
    </row>
    <row r="445" spans="1:5">
      <c r="A445" s="69" t="str">
        <f t="shared" si="1"/>
        <v/>
      </c>
      <c r="B445" s="138"/>
      <c r="C445" s="138"/>
      <c r="D445" s="139"/>
      <c r="E445" s="138"/>
    </row>
    <row r="446" spans="1:5">
      <c r="A446" s="69" t="str">
        <f t="shared" si="1"/>
        <v/>
      </c>
      <c r="B446" s="141"/>
      <c r="C446" s="141"/>
      <c r="D446" s="139"/>
      <c r="E446" s="141"/>
    </row>
    <row r="447" spans="1:5">
      <c r="A447" s="69" t="str">
        <f t="shared" si="1"/>
        <v/>
      </c>
      <c r="B447" s="138"/>
      <c r="C447" s="138"/>
      <c r="D447" s="139"/>
      <c r="E447" s="138"/>
    </row>
    <row r="448" spans="1:5">
      <c r="A448" s="69" t="str">
        <f t="shared" si="1"/>
        <v/>
      </c>
      <c r="B448" s="141"/>
      <c r="C448" s="141"/>
      <c r="D448" s="139"/>
      <c r="E448" s="141"/>
    </row>
    <row r="449" spans="1:5">
      <c r="A449" s="69" t="str">
        <f t="shared" si="1"/>
        <v/>
      </c>
      <c r="B449" s="138"/>
      <c r="C449" s="138"/>
      <c r="D449" s="139"/>
      <c r="E449" s="138"/>
    </row>
    <row r="450" spans="1:5">
      <c r="A450" s="69" t="str">
        <f t="shared" si="1"/>
        <v/>
      </c>
      <c r="B450" s="141"/>
      <c r="C450" s="141"/>
      <c r="D450" s="139"/>
      <c r="E450" s="141"/>
    </row>
    <row r="451" spans="1:5">
      <c r="A451" s="69" t="str">
        <f t="shared" si="1"/>
        <v/>
      </c>
      <c r="B451" s="138"/>
      <c r="C451" s="138"/>
      <c r="D451" s="139"/>
      <c r="E451" s="138"/>
    </row>
    <row r="452" spans="1:5">
      <c r="A452" s="69" t="str">
        <f t="shared" si="1"/>
        <v/>
      </c>
      <c r="B452" s="141"/>
      <c r="C452" s="141"/>
      <c r="D452" s="139"/>
      <c r="E452" s="141"/>
    </row>
    <row r="453" spans="1:5">
      <c r="A453" s="69" t="str">
        <f t="shared" si="1"/>
        <v/>
      </c>
      <c r="B453" s="138"/>
      <c r="C453" s="138"/>
      <c r="D453" s="139"/>
      <c r="E453" s="138"/>
    </row>
    <row r="454" spans="1:5">
      <c r="A454" s="69" t="str">
        <f t="shared" si="1"/>
        <v/>
      </c>
      <c r="B454" s="141"/>
      <c r="C454" s="141"/>
      <c r="D454" s="139"/>
      <c r="E454" s="141"/>
    </row>
    <row r="455" spans="1:5">
      <c r="A455" s="69" t="str">
        <f t="shared" si="1"/>
        <v/>
      </c>
      <c r="B455" s="138"/>
      <c r="C455" s="138"/>
      <c r="D455" s="139"/>
      <c r="E455" s="138"/>
    </row>
    <row r="456" spans="1:5">
      <c r="A456" s="69" t="str">
        <f t="shared" si="1"/>
        <v/>
      </c>
      <c r="B456" s="141"/>
      <c r="C456" s="141"/>
      <c r="D456" s="139"/>
      <c r="E456" s="141"/>
    </row>
    <row r="457" spans="1:5">
      <c r="A457" s="69" t="str">
        <f t="shared" si="1"/>
        <v/>
      </c>
      <c r="B457" s="138"/>
      <c r="C457" s="138"/>
      <c r="D457" s="139"/>
      <c r="E457" s="138"/>
    </row>
    <row r="458" spans="1:5">
      <c r="A458" s="69" t="str">
        <f t="shared" si="1"/>
        <v/>
      </c>
      <c r="B458" s="141"/>
      <c r="C458" s="141"/>
      <c r="D458" s="139"/>
      <c r="E458" s="141"/>
    </row>
    <row r="459" spans="1:5">
      <c r="A459" s="69" t="str">
        <f t="shared" si="1"/>
        <v/>
      </c>
      <c r="B459" s="138"/>
      <c r="C459" s="138"/>
      <c r="D459" s="139"/>
      <c r="E459" s="138"/>
    </row>
    <row r="460" spans="1:5">
      <c r="A460" s="69" t="str">
        <f t="shared" si="1"/>
        <v/>
      </c>
      <c r="B460" s="141"/>
      <c r="C460" s="141"/>
      <c r="D460" s="139"/>
      <c r="E460" s="141"/>
    </row>
    <row r="461" spans="1:5">
      <c r="A461" s="69" t="str">
        <f t="shared" si="1"/>
        <v/>
      </c>
      <c r="B461" s="138"/>
      <c r="C461" s="138"/>
      <c r="D461" s="139"/>
      <c r="E461" s="138"/>
    </row>
    <row r="462" spans="1:5">
      <c r="A462" s="69" t="str">
        <f t="shared" si="1"/>
        <v/>
      </c>
      <c r="B462" s="141"/>
      <c r="C462" s="141"/>
      <c r="D462" s="139"/>
      <c r="E462" s="141"/>
    </row>
    <row r="463" spans="1:5">
      <c r="A463" s="69" t="str">
        <f t="shared" si="1"/>
        <v/>
      </c>
      <c r="B463" s="138"/>
      <c r="C463" s="138"/>
      <c r="D463" s="139"/>
      <c r="E463" s="138"/>
    </row>
    <row r="464" spans="1:5">
      <c r="A464" s="69" t="str">
        <f t="shared" si="1"/>
        <v/>
      </c>
      <c r="B464" s="141"/>
      <c r="C464" s="141"/>
      <c r="D464" s="139"/>
      <c r="E464" s="141"/>
    </row>
    <row r="465" spans="1:5">
      <c r="A465" s="69" t="str">
        <f t="shared" si="1"/>
        <v/>
      </c>
      <c r="B465" s="138"/>
      <c r="C465" s="138"/>
      <c r="D465" s="139"/>
      <c r="E465" s="138"/>
    </row>
    <row r="466" spans="1:5">
      <c r="A466" s="69" t="str">
        <f t="shared" si="1"/>
        <v/>
      </c>
      <c r="B466" s="141"/>
      <c r="C466" s="141"/>
      <c r="D466" s="139"/>
      <c r="E466" s="141"/>
    </row>
    <row r="467" spans="1:5">
      <c r="A467" s="69" t="str">
        <f t="shared" si="1"/>
        <v/>
      </c>
      <c r="B467" s="138"/>
      <c r="C467" s="138"/>
      <c r="D467" s="139"/>
      <c r="E467" s="138"/>
    </row>
    <row r="468" spans="1:5">
      <c r="A468" s="69" t="str">
        <f t="shared" si="1"/>
        <v/>
      </c>
      <c r="B468" s="141"/>
      <c r="C468" s="141"/>
      <c r="D468" s="139"/>
      <c r="E468" s="141"/>
    </row>
    <row r="469" spans="1:5">
      <c r="A469" s="69" t="str">
        <f t="shared" si="1"/>
        <v/>
      </c>
      <c r="B469" s="138"/>
      <c r="C469" s="138"/>
      <c r="D469" s="139"/>
      <c r="E469" s="138"/>
    </row>
    <row r="470" spans="1:5">
      <c r="A470" s="69" t="str">
        <f t="shared" si="1"/>
        <v/>
      </c>
      <c r="B470" s="141"/>
      <c r="C470" s="141"/>
      <c r="D470" s="139"/>
      <c r="E470" s="141"/>
    </row>
    <row r="471" spans="1:5">
      <c r="A471" s="69" t="str">
        <f t="shared" si="1"/>
        <v/>
      </c>
      <c r="B471" s="138"/>
      <c r="C471" s="138"/>
      <c r="D471" s="139"/>
      <c r="E471" s="138"/>
    </row>
    <row r="472" spans="1:5">
      <c r="A472" s="69" t="str">
        <f t="shared" si="1"/>
        <v/>
      </c>
      <c r="B472" s="141"/>
      <c r="C472" s="141"/>
      <c r="D472" s="139"/>
      <c r="E472" s="141"/>
    </row>
    <row r="473" spans="1:5">
      <c r="A473" s="69" t="str">
        <f t="shared" si="1"/>
        <v/>
      </c>
      <c r="B473" s="138"/>
      <c r="C473" s="138"/>
      <c r="D473" s="139"/>
      <c r="E473" s="138"/>
    </row>
    <row r="474" spans="1:5">
      <c r="A474" s="69" t="str">
        <f t="shared" si="1"/>
        <v/>
      </c>
      <c r="B474" s="141"/>
      <c r="C474" s="141"/>
      <c r="D474" s="139"/>
      <c r="E474" s="141"/>
    </row>
    <row r="475" spans="1:5">
      <c r="A475" s="69" t="str">
        <f t="shared" si="1"/>
        <v/>
      </c>
      <c r="B475" s="138"/>
      <c r="C475" s="138"/>
      <c r="D475" s="139"/>
      <c r="E475" s="138"/>
    </row>
    <row r="476" spans="1:5">
      <c r="A476" s="69" t="str">
        <f t="shared" si="1"/>
        <v/>
      </c>
      <c r="B476" s="141"/>
      <c r="C476" s="141"/>
      <c r="D476" s="139"/>
      <c r="E476" s="141"/>
    </row>
    <row r="477" spans="1:5">
      <c r="A477" s="69" t="str">
        <f t="shared" si="1"/>
        <v/>
      </c>
      <c r="B477" s="138"/>
      <c r="C477" s="138"/>
      <c r="D477" s="139"/>
      <c r="E477" s="138"/>
    </row>
    <row r="478" spans="1:5">
      <c r="A478" s="69" t="str">
        <f t="shared" si="1"/>
        <v/>
      </c>
      <c r="B478" s="141"/>
      <c r="C478" s="141"/>
      <c r="D478" s="139"/>
      <c r="E478" s="141"/>
    </row>
    <row r="479" spans="1:5">
      <c r="A479" s="69" t="str">
        <f t="shared" si="1"/>
        <v/>
      </c>
      <c r="B479" s="138"/>
      <c r="C479" s="138"/>
      <c r="D479" s="139"/>
      <c r="E479" s="138"/>
    </row>
    <row r="480" spans="1:5">
      <c r="A480" s="69" t="str">
        <f t="shared" si="1"/>
        <v/>
      </c>
      <c r="B480" s="141"/>
      <c r="C480" s="141"/>
      <c r="D480" s="139"/>
      <c r="E480" s="141"/>
    </row>
    <row r="481" spans="1:5">
      <c r="A481" s="69" t="str">
        <f t="shared" si="1"/>
        <v/>
      </c>
      <c r="B481" s="138"/>
      <c r="C481" s="138"/>
      <c r="D481" s="139"/>
      <c r="E481" s="138"/>
    </row>
    <row r="482" spans="1:5">
      <c r="A482" s="69" t="str">
        <f t="shared" si="1"/>
        <v/>
      </c>
      <c r="B482" s="141"/>
      <c r="C482" s="141"/>
      <c r="D482" s="139"/>
      <c r="E482" s="141"/>
    </row>
    <row r="483" spans="1:5">
      <c r="A483" s="69" t="str">
        <f t="shared" si="1"/>
        <v/>
      </c>
      <c r="B483" s="138"/>
      <c r="C483" s="138"/>
      <c r="D483" s="139"/>
      <c r="E483" s="138"/>
    </row>
    <row r="484" spans="1:5">
      <c r="A484" s="69" t="str">
        <f t="shared" si="1"/>
        <v/>
      </c>
      <c r="B484" s="141"/>
      <c r="C484" s="141"/>
      <c r="D484" s="139"/>
      <c r="E484" s="141"/>
    </row>
    <row r="485" spans="1:5">
      <c r="A485" s="69" t="str">
        <f t="shared" si="1"/>
        <v/>
      </c>
      <c r="B485" s="138"/>
      <c r="C485" s="138"/>
      <c r="D485" s="139"/>
      <c r="E485" s="138"/>
    </row>
    <row r="486" spans="1:5">
      <c r="A486" s="69" t="str">
        <f t="shared" si="1"/>
        <v/>
      </c>
      <c r="B486" s="141"/>
      <c r="C486" s="141"/>
      <c r="D486" s="139"/>
      <c r="E486" s="141"/>
    </row>
    <row r="487" spans="1:5">
      <c r="A487" s="69" t="str">
        <f t="shared" si="1"/>
        <v/>
      </c>
      <c r="B487" s="138"/>
      <c r="C487" s="138"/>
      <c r="D487" s="139"/>
      <c r="E487" s="138"/>
    </row>
    <row r="488" spans="1:5">
      <c r="A488" s="69" t="str">
        <f t="shared" si="1"/>
        <v/>
      </c>
      <c r="B488" s="141"/>
      <c r="C488" s="141"/>
      <c r="D488" s="139"/>
      <c r="E488" s="141"/>
    </row>
    <row r="489" spans="1:5">
      <c r="A489" s="69" t="str">
        <f t="shared" si="1"/>
        <v/>
      </c>
      <c r="B489" s="138"/>
      <c r="C489" s="138"/>
      <c r="D489" s="139"/>
      <c r="E489" s="138"/>
    </row>
    <row r="490" spans="1:5">
      <c r="A490" s="69" t="str">
        <f t="shared" si="1"/>
        <v/>
      </c>
      <c r="B490" s="141"/>
      <c r="C490" s="141"/>
      <c r="D490" s="139"/>
      <c r="E490" s="141"/>
    </row>
    <row r="491" spans="1:5">
      <c r="A491" s="69" t="str">
        <f t="shared" si="1"/>
        <v/>
      </c>
      <c r="B491" s="138"/>
      <c r="C491" s="138"/>
      <c r="D491" s="139"/>
      <c r="E491" s="138"/>
    </row>
    <row r="492" spans="1:5">
      <c r="A492" s="69" t="str">
        <f t="shared" si="1"/>
        <v/>
      </c>
      <c r="B492" s="141"/>
      <c r="C492" s="141"/>
      <c r="D492" s="139"/>
      <c r="E492" s="141"/>
    </row>
    <row r="493" spans="1:5">
      <c r="A493" s="69" t="str">
        <f t="shared" si="1"/>
        <v/>
      </c>
      <c r="B493" s="138"/>
      <c r="C493" s="138"/>
      <c r="D493" s="139"/>
      <c r="E493" s="138"/>
    </row>
    <row r="494" spans="1:5">
      <c r="A494" s="69" t="str">
        <f t="shared" si="1"/>
        <v/>
      </c>
      <c r="B494" s="141"/>
      <c r="C494" s="141"/>
      <c r="D494" s="139"/>
      <c r="E494" s="141"/>
    </row>
    <row r="495" spans="1:5">
      <c r="A495" s="69" t="str">
        <f t="shared" si="1"/>
        <v/>
      </c>
      <c r="B495" s="138"/>
      <c r="C495" s="138"/>
      <c r="D495" s="139"/>
      <c r="E495" s="138"/>
    </row>
    <row r="496" spans="1:5">
      <c r="A496" s="69" t="str">
        <f t="shared" si="1"/>
        <v/>
      </c>
      <c r="B496" s="141"/>
      <c r="C496" s="141"/>
      <c r="D496" s="139"/>
      <c r="E496" s="141"/>
    </row>
    <row r="497" spans="1:5">
      <c r="A497" s="69" t="str">
        <f t="shared" si="1"/>
        <v/>
      </c>
      <c r="B497" s="138"/>
      <c r="C497" s="138"/>
      <c r="D497" s="139"/>
      <c r="E497" s="138"/>
    </row>
    <row r="498" spans="1:5">
      <c r="A498" s="69" t="str">
        <f t="shared" si="1"/>
        <v/>
      </c>
      <c r="B498" s="141"/>
      <c r="C498" s="141"/>
      <c r="D498" s="139"/>
      <c r="E498" s="141"/>
    </row>
    <row r="499" spans="1:5">
      <c r="A499" s="69" t="str">
        <f t="shared" si="1"/>
        <v/>
      </c>
      <c r="B499" s="138"/>
      <c r="C499" s="138"/>
      <c r="D499" s="139"/>
      <c r="E499" s="138"/>
    </row>
    <row r="500" spans="1:5">
      <c r="A500" s="69" t="str">
        <f t="shared" si="1"/>
        <v/>
      </c>
      <c r="B500" s="141"/>
      <c r="C500" s="141"/>
      <c r="D500" s="139"/>
      <c r="E500" s="141"/>
    </row>
    <row r="501" spans="1:5">
      <c r="A501" s="69" t="str">
        <f t="shared" si="1"/>
        <v/>
      </c>
      <c r="B501" s="138"/>
      <c r="C501" s="138"/>
      <c r="D501" s="139"/>
      <c r="E501" s="138"/>
    </row>
    <row r="502" spans="1:5">
      <c r="A502" s="69" t="str">
        <f t="shared" si="1"/>
        <v/>
      </c>
      <c r="B502" s="141"/>
      <c r="C502" s="141"/>
      <c r="D502" s="139"/>
      <c r="E502" s="141"/>
    </row>
    <row r="503" spans="1:5">
      <c r="A503" s="69" t="str">
        <f t="shared" si="1"/>
        <v/>
      </c>
      <c r="B503" s="138"/>
      <c r="C503" s="138"/>
      <c r="D503" s="139"/>
      <c r="E503" s="138"/>
    </row>
    <row r="504" spans="1:5">
      <c r="A504" s="69" t="str">
        <f t="shared" si="1"/>
        <v/>
      </c>
      <c r="B504" s="141"/>
      <c r="C504" s="141"/>
      <c r="D504" s="139"/>
      <c r="E504" s="141"/>
    </row>
    <row r="505" spans="1:5">
      <c r="A505" s="69" t="str">
        <f t="shared" si="1"/>
        <v/>
      </c>
      <c r="B505" s="138"/>
      <c r="C505" s="138"/>
      <c r="D505" s="139"/>
      <c r="E505" s="138"/>
    </row>
    <row r="506" spans="1:5">
      <c r="A506" s="69" t="str">
        <f t="shared" si="1"/>
        <v/>
      </c>
      <c r="B506" s="141"/>
      <c r="C506" s="141"/>
      <c r="D506" s="139"/>
      <c r="E506" s="141"/>
    </row>
    <row r="507" spans="1:5">
      <c r="A507" s="69" t="str">
        <f t="shared" si="1"/>
        <v/>
      </c>
      <c r="B507" s="138"/>
      <c r="C507" s="138"/>
      <c r="D507" s="139"/>
      <c r="E507" s="138"/>
    </row>
    <row r="508" spans="1:5">
      <c r="A508" s="69" t="str">
        <f t="shared" si="1"/>
        <v/>
      </c>
      <c r="B508" s="141"/>
      <c r="C508" s="141"/>
      <c r="D508" s="139"/>
      <c r="E508" s="141"/>
    </row>
    <row r="509" spans="1:5">
      <c r="A509" s="69" t="str">
        <f t="shared" si="1"/>
        <v/>
      </c>
      <c r="B509" s="138"/>
      <c r="C509" s="138"/>
      <c r="D509" s="139"/>
      <c r="E509" s="138"/>
    </row>
    <row r="510" spans="1:5">
      <c r="A510" s="69" t="str">
        <f t="shared" si="1"/>
        <v/>
      </c>
      <c r="B510" s="141"/>
      <c r="C510" s="141"/>
      <c r="D510" s="139"/>
      <c r="E510" s="141"/>
    </row>
    <row r="511" spans="1:5">
      <c r="A511" s="69" t="str">
        <f t="shared" si="1"/>
        <v/>
      </c>
      <c r="B511" s="138"/>
      <c r="C511" s="138"/>
      <c r="D511" s="139"/>
      <c r="E511" s="138"/>
    </row>
    <row r="512" spans="1:5">
      <c r="A512" s="69" t="str">
        <f t="shared" si="1"/>
        <v/>
      </c>
      <c r="B512" s="141"/>
      <c r="C512" s="141"/>
      <c r="D512" s="139"/>
      <c r="E512" s="141"/>
    </row>
    <row r="513" spans="1:5">
      <c r="A513" s="69" t="str">
        <f t="shared" si="1"/>
        <v/>
      </c>
      <c r="B513" s="138"/>
      <c r="C513" s="138"/>
      <c r="D513" s="139"/>
      <c r="E513" s="138"/>
    </row>
    <row r="514" spans="1:5">
      <c r="A514" s="69" t="str">
        <f t="shared" si="1"/>
        <v/>
      </c>
      <c r="B514" s="141"/>
      <c r="C514" s="141"/>
      <c r="D514" s="139"/>
      <c r="E514" s="141"/>
    </row>
    <row r="515" spans="1:5">
      <c r="A515" s="69" t="str">
        <f t="shared" si="1"/>
        <v/>
      </c>
      <c r="B515" s="138"/>
      <c r="C515" s="138"/>
      <c r="D515" s="139"/>
      <c r="E515" s="138"/>
    </row>
    <row r="516" spans="1:5">
      <c r="A516" s="69" t="str">
        <f t="shared" ref="A516:A770" si="2">IF(B516="","",ROW()-2)</f>
        <v/>
      </c>
      <c r="B516" s="141"/>
      <c r="C516" s="141"/>
      <c r="D516" s="139"/>
      <c r="E516" s="141"/>
    </row>
    <row r="517" spans="1:5">
      <c r="A517" s="69" t="str">
        <f t="shared" si="2"/>
        <v/>
      </c>
      <c r="B517" s="138"/>
      <c r="C517" s="138"/>
      <c r="D517" s="139"/>
      <c r="E517" s="138"/>
    </row>
    <row r="518" spans="1:5">
      <c r="A518" s="69" t="str">
        <f t="shared" si="2"/>
        <v/>
      </c>
      <c r="B518" s="141"/>
      <c r="C518" s="141"/>
      <c r="D518" s="139"/>
      <c r="E518" s="141"/>
    </row>
    <row r="519" spans="1:5">
      <c r="A519" s="69" t="str">
        <f t="shared" si="2"/>
        <v/>
      </c>
      <c r="B519" s="138"/>
      <c r="C519" s="138"/>
      <c r="D519" s="139"/>
      <c r="E519" s="138"/>
    </row>
    <row r="520" spans="1:5">
      <c r="A520" s="69" t="str">
        <f t="shared" si="2"/>
        <v/>
      </c>
      <c r="B520" s="141"/>
      <c r="C520" s="141"/>
      <c r="D520" s="139"/>
      <c r="E520" s="141"/>
    </row>
    <row r="521" spans="1:5">
      <c r="A521" s="69" t="str">
        <f t="shared" si="2"/>
        <v/>
      </c>
      <c r="B521" s="138"/>
      <c r="C521" s="138"/>
      <c r="D521" s="139"/>
      <c r="E521" s="138"/>
    </row>
    <row r="522" spans="1:5">
      <c r="A522" s="69" t="str">
        <f t="shared" si="2"/>
        <v/>
      </c>
      <c r="B522" s="141"/>
      <c r="C522" s="141"/>
      <c r="D522" s="139"/>
      <c r="E522" s="141"/>
    </row>
    <row r="523" spans="1:5">
      <c r="A523" s="69" t="str">
        <f t="shared" si="2"/>
        <v/>
      </c>
      <c r="B523" s="138"/>
      <c r="C523" s="138"/>
      <c r="D523" s="139"/>
      <c r="E523" s="138"/>
    </row>
    <row r="524" spans="1:5">
      <c r="A524" s="69" t="str">
        <f t="shared" si="2"/>
        <v/>
      </c>
      <c r="B524" s="141"/>
      <c r="C524" s="141"/>
      <c r="D524" s="139"/>
      <c r="E524" s="141"/>
    </row>
    <row r="525" spans="1:5">
      <c r="A525" s="69" t="str">
        <f t="shared" si="2"/>
        <v/>
      </c>
      <c r="B525" s="138"/>
      <c r="C525" s="138"/>
      <c r="D525" s="139"/>
      <c r="E525" s="138"/>
    </row>
    <row r="526" spans="1:5">
      <c r="A526" s="69" t="str">
        <f t="shared" si="2"/>
        <v/>
      </c>
      <c r="B526" s="141"/>
      <c r="C526" s="141"/>
      <c r="D526" s="139"/>
      <c r="E526" s="141"/>
    </row>
    <row r="527" spans="1:5">
      <c r="A527" s="69" t="str">
        <f t="shared" si="2"/>
        <v/>
      </c>
      <c r="B527" s="138"/>
      <c r="C527" s="138"/>
      <c r="D527" s="139"/>
      <c r="E527" s="138"/>
    </row>
    <row r="528" spans="1:5">
      <c r="A528" s="69" t="str">
        <f t="shared" si="2"/>
        <v/>
      </c>
      <c r="B528" s="141"/>
      <c r="C528" s="141"/>
      <c r="D528" s="139"/>
      <c r="E528" s="141"/>
    </row>
    <row r="529" spans="1:5">
      <c r="A529" s="69" t="str">
        <f t="shared" si="2"/>
        <v/>
      </c>
      <c r="B529" s="138"/>
      <c r="C529" s="138"/>
      <c r="D529" s="139"/>
      <c r="E529" s="138"/>
    </row>
    <row r="530" spans="1:5">
      <c r="A530" s="69" t="str">
        <f t="shared" si="2"/>
        <v/>
      </c>
      <c r="B530" s="141"/>
      <c r="C530" s="141"/>
      <c r="D530" s="139"/>
      <c r="E530" s="141"/>
    </row>
    <row r="531" spans="1:5">
      <c r="A531" s="69" t="str">
        <f t="shared" si="2"/>
        <v/>
      </c>
      <c r="B531" s="138"/>
      <c r="C531" s="138"/>
      <c r="D531" s="139"/>
      <c r="E531" s="138"/>
    </row>
    <row r="532" spans="1:5">
      <c r="A532" s="69" t="str">
        <f t="shared" si="2"/>
        <v/>
      </c>
      <c r="B532" s="141"/>
      <c r="C532" s="141"/>
      <c r="D532" s="139"/>
      <c r="E532" s="141"/>
    </row>
    <row r="533" spans="1:5">
      <c r="A533" s="69" t="str">
        <f t="shared" si="2"/>
        <v/>
      </c>
      <c r="B533" s="138"/>
      <c r="C533" s="138"/>
      <c r="D533" s="139"/>
      <c r="E533" s="138"/>
    </row>
    <row r="534" spans="1:5">
      <c r="A534" s="69" t="str">
        <f t="shared" si="2"/>
        <v/>
      </c>
      <c r="B534" s="141"/>
      <c r="C534" s="141"/>
      <c r="D534" s="139"/>
      <c r="E534" s="141"/>
    </row>
    <row r="535" spans="1:5">
      <c r="A535" s="69" t="str">
        <f t="shared" si="2"/>
        <v/>
      </c>
      <c r="B535" s="138"/>
      <c r="C535" s="138"/>
      <c r="D535" s="139"/>
      <c r="E535" s="138"/>
    </row>
    <row r="536" spans="1:5">
      <c r="A536" s="69" t="str">
        <f t="shared" si="2"/>
        <v/>
      </c>
      <c r="B536" s="141"/>
      <c r="C536" s="141"/>
      <c r="D536" s="139"/>
      <c r="E536" s="141"/>
    </row>
    <row r="537" spans="1:5">
      <c r="A537" s="69" t="str">
        <f t="shared" si="2"/>
        <v/>
      </c>
      <c r="B537" s="138"/>
      <c r="C537" s="138"/>
      <c r="D537" s="139"/>
      <c r="E537" s="138"/>
    </row>
    <row r="538" spans="1:5">
      <c r="A538" s="69" t="str">
        <f t="shared" si="2"/>
        <v/>
      </c>
      <c r="B538" s="141"/>
      <c r="C538" s="141"/>
      <c r="D538" s="139"/>
      <c r="E538" s="141"/>
    </row>
    <row r="539" spans="1:5">
      <c r="A539" s="69" t="str">
        <f t="shared" si="2"/>
        <v/>
      </c>
      <c r="B539" s="138"/>
      <c r="C539" s="138"/>
      <c r="D539" s="139"/>
      <c r="E539" s="138"/>
    </row>
    <row r="540" spans="1:5">
      <c r="A540" s="69" t="str">
        <f t="shared" si="2"/>
        <v/>
      </c>
      <c r="B540" s="141"/>
      <c r="C540" s="141"/>
      <c r="D540" s="139"/>
      <c r="E540" s="141"/>
    </row>
    <row r="541" spans="1:5">
      <c r="A541" s="69" t="str">
        <f t="shared" si="2"/>
        <v/>
      </c>
      <c r="B541" s="138"/>
      <c r="C541" s="138"/>
      <c r="D541" s="139"/>
      <c r="E541" s="138"/>
    </row>
    <row r="542" spans="1:5">
      <c r="A542" s="69" t="str">
        <f t="shared" si="2"/>
        <v/>
      </c>
      <c r="B542" s="141"/>
      <c r="C542" s="141"/>
      <c r="D542" s="139"/>
      <c r="E542" s="141"/>
    </row>
    <row r="543" spans="1:5">
      <c r="A543" s="69" t="str">
        <f t="shared" si="2"/>
        <v/>
      </c>
      <c r="B543" s="138"/>
      <c r="C543" s="138"/>
      <c r="D543" s="139"/>
      <c r="E543" s="138"/>
    </row>
    <row r="544" spans="1:5">
      <c r="A544" s="69" t="str">
        <f t="shared" si="2"/>
        <v/>
      </c>
      <c r="B544" s="141"/>
      <c r="C544" s="141"/>
      <c r="D544" s="139"/>
      <c r="E544" s="141"/>
    </row>
    <row r="545" spans="1:5">
      <c r="A545" s="69" t="str">
        <f t="shared" si="2"/>
        <v/>
      </c>
      <c r="B545" s="138"/>
      <c r="C545" s="138"/>
      <c r="D545" s="139"/>
      <c r="E545" s="138"/>
    </row>
    <row r="546" spans="1:5">
      <c r="A546" s="69" t="str">
        <f t="shared" si="2"/>
        <v/>
      </c>
      <c r="B546" s="141"/>
      <c r="C546" s="141"/>
      <c r="D546" s="139"/>
      <c r="E546" s="141"/>
    </row>
    <row r="547" spans="1:5">
      <c r="A547" s="69" t="str">
        <f t="shared" si="2"/>
        <v/>
      </c>
      <c r="B547" s="138"/>
      <c r="C547" s="138"/>
      <c r="D547" s="139"/>
      <c r="E547" s="138"/>
    </row>
    <row r="548" spans="1:5">
      <c r="A548" s="69" t="str">
        <f t="shared" si="2"/>
        <v/>
      </c>
      <c r="B548" s="141"/>
      <c r="C548" s="141"/>
      <c r="D548" s="139"/>
      <c r="E548" s="141"/>
    </row>
    <row r="549" spans="1:5">
      <c r="A549" s="69" t="str">
        <f t="shared" si="2"/>
        <v/>
      </c>
      <c r="B549" s="138"/>
      <c r="C549" s="138"/>
      <c r="D549" s="139"/>
      <c r="E549" s="138"/>
    </row>
    <row r="550" spans="1:5">
      <c r="A550" s="69" t="str">
        <f t="shared" si="2"/>
        <v/>
      </c>
      <c r="B550" s="141"/>
      <c r="C550" s="141"/>
      <c r="D550" s="139"/>
      <c r="E550" s="141"/>
    </row>
    <row r="551" spans="1:5">
      <c r="A551" s="69" t="str">
        <f t="shared" si="2"/>
        <v/>
      </c>
      <c r="B551" s="138"/>
      <c r="C551" s="138"/>
      <c r="D551" s="139"/>
      <c r="E551" s="138"/>
    </row>
    <row r="552" spans="1:5">
      <c r="A552" s="69" t="str">
        <f t="shared" si="2"/>
        <v/>
      </c>
      <c r="B552" s="141"/>
      <c r="C552" s="141"/>
      <c r="D552" s="139"/>
      <c r="E552" s="141"/>
    </row>
    <row r="553" spans="1:5">
      <c r="A553" s="69" t="str">
        <f t="shared" si="2"/>
        <v/>
      </c>
      <c r="B553" s="138"/>
      <c r="C553" s="138"/>
      <c r="D553" s="139"/>
      <c r="E553" s="138"/>
    </row>
    <row r="554" spans="1:5">
      <c r="A554" s="69" t="str">
        <f t="shared" si="2"/>
        <v/>
      </c>
      <c r="B554" s="141"/>
      <c r="C554" s="141"/>
      <c r="D554" s="139"/>
      <c r="E554" s="141"/>
    </row>
    <row r="555" spans="1:5">
      <c r="A555" s="69" t="str">
        <f t="shared" si="2"/>
        <v/>
      </c>
      <c r="B555" s="138"/>
      <c r="C555" s="138"/>
      <c r="D555" s="139"/>
      <c r="E555" s="138"/>
    </row>
    <row r="556" spans="1:5">
      <c r="A556" s="69" t="str">
        <f t="shared" si="2"/>
        <v/>
      </c>
      <c r="B556" s="141"/>
      <c r="C556" s="141"/>
      <c r="D556" s="139"/>
      <c r="E556" s="141"/>
    </row>
    <row r="557" spans="1:5">
      <c r="A557" s="69" t="str">
        <f t="shared" si="2"/>
        <v/>
      </c>
      <c r="B557" s="138"/>
      <c r="C557" s="138"/>
      <c r="D557" s="139"/>
      <c r="E557" s="138"/>
    </row>
    <row r="558" spans="1:5">
      <c r="A558" s="69" t="str">
        <f t="shared" si="2"/>
        <v/>
      </c>
      <c r="B558" s="141"/>
      <c r="C558" s="141"/>
      <c r="D558" s="139"/>
      <c r="E558" s="141"/>
    </row>
    <row r="559" spans="1:5">
      <c r="A559" s="69" t="str">
        <f t="shared" si="2"/>
        <v/>
      </c>
      <c r="B559" s="138"/>
      <c r="C559" s="138"/>
      <c r="D559" s="139"/>
      <c r="E559" s="138"/>
    </row>
    <row r="560" spans="1:5">
      <c r="A560" s="69" t="str">
        <f t="shared" si="2"/>
        <v/>
      </c>
      <c r="B560" s="141"/>
      <c r="C560" s="141"/>
      <c r="D560" s="139"/>
      <c r="E560" s="141"/>
    </row>
    <row r="561" spans="1:5">
      <c r="A561" s="69" t="str">
        <f t="shared" si="2"/>
        <v/>
      </c>
      <c r="B561" s="138"/>
      <c r="C561" s="138"/>
      <c r="D561" s="139"/>
      <c r="E561" s="138"/>
    </row>
    <row r="562" spans="1:5">
      <c r="A562" s="69" t="str">
        <f t="shared" si="2"/>
        <v/>
      </c>
      <c r="B562" s="141"/>
      <c r="C562" s="141"/>
      <c r="D562" s="139"/>
      <c r="E562" s="141"/>
    </row>
    <row r="563" spans="1:5">
      <c r="A563" s="69" t="str">
        <f t="shared" si="2"/>
        <v/>
      </c>
      <c r="B563" s="138"/>
      <c r="C563" s="138"/>
      <c r="D563" s="139"/>
      <c r="E563" s="138"/>
    </row>
    <row r="564" spans="1:5">
      <c r="A564" s="69" t="str">
        <f t="shared" si="2"/>
        <v/>
      </c>
      <c r="B564" s="141"/>
      <c r="C564" s="141"/>
      <c r="D564" s="139"/>
      <c r="E564" s="141"/>
    </row>
    <row r="565" spans="1:5">
      <c r="A565" s="69" t="str">
        <f t="shared" si="2"/>
        <v/>
      </c>
      <c r="B565" s="138"/>
      <c r="C565" s="138"/>
      <c r="D565" s="139"/>
      <c r="E565" s="138"/>
    </row>
    <row r="566" spans="1:5">
      <c r="A566" s="69" t="str">
        <f t="shared" si="2"/>
        <v/>
      </c>
      <c r="B566" s="141"/>
      <c r="C566" s="141"/>
      <c r="D566" s="139"/>
      <c r="E566" s="141"/>
    </row>
    <row r="567" spans="1:5">
      <c r="A567" s="69" t="str">
        <f t="shared" si="2"/>
        <v/>
      </c>
      <c r="B567" s="138"/>
      <c r="C567" s="138"/>
      <c r="D567" s="139"/>
      <c r="E567" s="138"/>
    </row>
    <row r="568" spans="1:5">
      <c r="A568" s="69" t="str">
        <f t="shared" si="2"/>
        <v/>
      </c>
      <c r="B568" s="141"/>
      <c r="C568" s="141"/>
      <c r="D568" s="139"/>
      <c r="E568" s="141"/>
    </row>
    <row r="569" spans="1:5">
      <c r="A569" s="69" t="str">
        <f t="shared" si="2"/>
        <v/>
      </c>
      <c r="B569" s="138"/>
      <c r="C569" s="138"/>
      <c r="D569" s="139"/>
      <c r="E569" s="138"/>
    </row>
    <row r="570" spans="1:5">
      <c r="A570" s="69" t="str">
        <f t="shared" si="2"/>
        <v/>
      </c>
      <c r="B570" s="141"/>
      <c r="C570" s="141"/>
      <c r="D570" s="139"/>
      <c r="E570" s="141"/>
    </row>
    <row r="571" spans="1:5">
      <c r="A571" s="69" t="str">
        <f t="shared" si="2"/>
        <v/>
      </c>
      <c r="B571" s="138"/>
      <c r="C571" s="138"/>
      <c r="D571" s="139"/>
      <c r="E571" s="138"/>
    </row>
    <row r="572" spans="1:5">
      <c r="A572" s="69" t="str">
        <f t="shared" si="2"/>
        <v/>
      </c>
      <c r="B572" s="141"/>
      <c r="C572" s="141"/>
      <c r="D572" s="139"/>
      <c r="E572" s="141"/>
    </row>
    <row r="573" spans="1:5">
      <c r="A573" s="69" t="str">
        <f t="shared" si="2"/>
        <v/>
      </c>
      <c r="B573" s="138"/>
      <c r="C573" s="138"/>
      <c r="D573" s="139"/>
      <c r="E573" s="138"/>
    </row>
    <row r="574" spans="1:5">
      <c r="A574" s="69" t="str">
        <f t="shared" si="2"/>
        <v/>
      </c>
      <c r="B574" s="141"/>
      <c r="C574" s="141"/>
      <c r="D574" s="139"/>
      <c r="E574" s="141"/>
    </row>
    <row r="575" spans="1:5">
      <c r="A575" s="69" t="str">
        <f t="shared" si="2"/>
        <v/>
      </c>
      <c r="B575" s="138"/>
      <c r="C575" s="138"/>
      <c r="D575" s="139"/>
      <c r="E575" s="138"/>
    </row>
    <row r="576" spans="1:5">
      <c r="A576" s="69" t="str">
        <f t="shared" si="2"/>
        <v/>
      </c>
      <c r="B576" s="141"/>
      <c r="C576" s="141"/>
      <c r="D576" s="139"/>
      <c r="E576" s="141"/>
    </row>
    <row r="577" spans="1:5">
      <c r="A577" s="69" t="str">
        <f t="shared" si="2"/>
        <v/>
      </c>
      <c r="B577" s="138"/>
      <c r="C577" s="138"/>
      <c r="D577" s="139"/>
      <c r="E577" s="138"/>
    </row>
    <row r="578" spans="1:5">
      <c r="A578" s="69" t="str">
        <f t="shared" si="2"/>
        <v/>
      </c>
      <c r="B578" s="141"/>
      <c r="C578" s="141"/>
      <c r="D578" s="139"/>
      <c r="E578" s="141"/>
    </row>
    <row r="579" spans="1:5">
      <c r="A579" s="69" t="str">
        <f t="shared" si="2"/>
        <v/>
      </c>
      <c r="B579" s="138"/>
      <c r="C579" s="138"/>
      <c r="D579" s="139"/>
      <c r="E579" s="138"/>
    </row>
    <row r="580" spans="1:5">
      <c r="A580" s="69" t="str">
        <f t="shared" si="2"/>
        <v/>
      </c>
      <c r="B580" s="141"/>
      <c r="C580" s="141"/>
      <c r="D580" s="139"/>
      <c r="E580" s="141"/>
    </row>
    <row r="581" spans="1:5">
      <c r="A581" s="69" t="str">
        <f t="shared" si="2"/>
        <v/>
      </c>
      <c r="B581" s="138"/>
      <c r="C581" s="138"/>
      <c r="D581" s="139"/>
      <c r="E581" s="138"/>
    </row>
    <row r="582" spans="1:5">
      <c r="A582" s="69" t="str">
        <f t="shared" si="2"/>
        <v/>
      </c>
      <c r="B582" s="141"/>
      <c r="C582" s="141"/>
      <c r="D582" s="139"/>
      <c r="E582" s="141"/>
    </row>
    <row r="583" spans="1:5">
      <c r="A583" s="69" t="str">
        <f t="shared" si="2"/>
        <v/>
      </c>
      <c r="B583" s="138"/>
      <c r="C583" s="138"/>
      <c r="D583" s="139"/>
      <c r="E583" s="138"/>
    </row>
    <row r="584" spans="1:5">
      <c r="A584" s="69" t="str">
        <f t="shared" si="2"/>
        <v/>
      </c>
      <c r="B584" s="141"/>
      <c r="C584" s="141"/>
      <c r="D584" s="139"/>
      <c r="E584" s="141"/>
    </row>
    <row r="585" spans="1:5">
      <c r="A585" s="69" t="str">
        <f t="shared" si="2"/>
        <v/>
      </c>
      <c r="B585" s="138"/>
      <c r="C585" s="138"/>
      <c r="D585" s="139"/>
      <c r="E585" s="138"/>
    </row>
    <row r="586" spans="1:5">
      <c r="A586" s="69" t="str">
        <f t="shared" si="2"/>
        <v/>
      </c>
      <c r="B586" s="141"/>
      <c r="C586" s="141"/>
      <c r="D586" s="139"/>
      <c r="E586" s="141"/>
    </row>
    <row r="587" spans="1:5">
      <c r="A587" s="69" t="str">
        <f t="shared" si="2"/>
        <v/>
      </c>
      <c r="B587" s="138"/>
      <c r="C587" s="138"/>
      <c r="D587" s="139"/>
      <c r="E587" s="138"/>
    </row>
    <row r="588" spans="1:5">
      <c r="A588" s="69" t="str">
        <f t="shared" si="2"/>
        <v/>
      </c>
      <c r="B588" s="141"/>
      <c r="C588" s="141"/>
      <c r="D588" s="139"/>
      <c r="E588" s="141"/>
    </row>
    <row r="589" spans="1:5">
      <c r="A589" s="69" t="str">
        <f t="shared" si="2"/>
        <v/>
      </c>
      <c r="B589" s="138"/>
      <c r="C589" s="138"/>
      <c r="D589" s="139"/>
      <c r="E589" s="138"/>
    </row>
    <row r="590" spans="1:5">
      <c r="A590" s="69" t="str">
        <f t="shared" si="2"/>
        <v/>
      </c>
      <c r="B590" s="141"/>
      <c r="C590" s="141"/>
      <c r="D590" s="139"/>
      <c r="E590" s="141"/>
    </row>
    <row r="591" spans="1:5">
      <c r="A591" s="69" t="str">
        <f t="shared" si="2"/>
        <v/>
      </c>
      <c r="B591" s="138"/>
      <c r="C591" s="138"/>
      <c r="D591" s="139"/>
      <c r="E591" s="138"/>
    </row>
    <row r="592" spans="1:5">
      <c r="A592" s="69" t="str">
        <f t="shared" si="2"/>
        <v/>
      </c>
      <c r="B592" s="141"/>
      <c r="C592" s="141"/>
      <c r="D592" s="139"/>
      <c r="E592" s="141"/>
    </row>
    <row r="593" spans="1:5">
      <c r="A593" s="69" t="str">
        <f t="shared" si="2"/>
        <v/>
      </c>
      <c r="B593" s="138"/>
      <c r="C593" s="138"/>
      <c r="D593" s="139"/>
      <c r="E593" s="138"/>
    </row>
    <row r="594" spans="1:5">
      <c r="A594" s="69" t="str">
        <f t="shared" si="2"/>
        <v/>
      </c>
      <c r="B594" s="141"/>
      <c r="C594" s="141"/>
      <c r="D594" s="139"/>
      <c r="E594" s="141"/>
    </row>
    <row r="595" spans="1:5">
      <c r="A595" s="69" t="str">
        <f t="shared" si="2"/>
        <v/>
      </c>
      <c r="B595" s="138"/>
      <c r="C595" s="138"/>
      <c r="D595" s="139"/>
      <c r="E595" s="138"/>
    </row>
    <row r="596" spans="1:5">
      <c r="A596" s="69" t="str">
        <f t="shared" si="2"/>
        <v/>
      </c>
      <c r="B596" s="141"/>
      <c r="C596" s="141"/>
      <c r="D596" s="139"/>
      <c r="E596" s="141"/>
    </row>
    <row r="597" spans="1:5">
      <c r="A597" s="69" t="str">
        <f t="shared" si="2"/>
        <v/>
      </c>
      <c r="B597" s="138"/>
      <c r="C597" s="138"/>
      <c r="D597" s="139"/>
      <c r="E597" s="138"/>
    </row>
    <row r="598" spans="1:5">
      <c r="A598" s="69" t="str">
        <f t="shared" si="2"/>
        <v/>
      </c>
      <c r="B598" s="141"/>
      <c r="C598" s="141"/>
      <c r="D598" s="139"/>
      <c r="E598" s="141"/>
    </row>
    <row r="599" spans="1:5">
      <c r="A599" s="69" t="str">
        <f t="shared" si="2"/>
        <v/>
      </c>
      <c r="B599" s="138"/>
      <c r="C599" s="138"/>
      <c r="D599" s="139"/>
      <c r="E599" s="138"/>
    </row>
    <row r="600" spans="1:5">
      <c r="A600" s="69" t="str">
        <f t="shared" si="2"/>
        <v/>
      </c>
      <c r="B600" s="141"/>
      <c r="C600" s="141"/>
      <c r="D600" s="139"/>
      <c r="E600" s="141"/>
    </row>
    <row r="601" spans="1:5">
      <c r="A601" s="69" t="str">
        <f t="shared" si="2"/>
        <v/>
      </c>
      <c r="B601" s="138"/>
      <c r="C601" s="138"/>
      <c r="D601" s="139"/>
      <c r="E601" s="138"/>
    </row>
    <row r="602" spans="1:5">
      <c r="A602" s="69" t="str">
        <f t="shared" si="2"/>
        <v/>
      </c>
      <c r="B602" s="141"/>
      <c r="C602" s="141"/>
      <c r="D602" s="139"/>
      <c r="E602" s="141"/>
    </row>
    <row r="603" spans="1:5">
      <c r="A603" s="69" t="str">
        <f t="shared" si="2"/>
        <v/>
      </c>
      <c r="B603" s="138"/>
      <c r="C603" s="138"/>
      <c r="D603" s="139"/>
      <c r="E603" s="138"/>
    </row>
    <row r="604" spans="1:5">
      <c r="A604" s="69" t="str">
        <f t="shared" si="2"/>
        <v/>
      </c>
      <c r="B604" s="141"/>
      <c r="C604" s="141"/>
      <c r="D604" s="139"/>
      <c r="E604" s="141"/>
    </row>
    <row r="605" spans="1:5">
      <c r="A605" s="69" t="str">
        <f t="shared" si="2"/>
        <v/>
      </c>
      <c r="B605" s="138"/>
      <c r="C605" s="138"/>
      <c r="D605" s="139"/>
      <c r="E605" s="138"/>
    </row>
    <row r="606" spans="1:5">
      <c r="A606" s="69" t="str">
        <f t="shared" si="2"/>
        <v/>
      </c>
      <c r="B606" s="141"/>
      <c r="C606" s="141"/>
      <c r="D606" s="139"/>
      <c r="E606" s="141"/>
    </row>
    <row r="607" spans="1:5">
      <c r="A607" s="69" t="str">
        <f t="shared" si="2"/>
        <v/>
      </c>
      <c r="B607" s="138"/>
      <c r="C607" s="138"/>
      <c r="D607" s="139"/>
      <c r="E607" s="138"/>
    </row>
    <row r="608" spans="1:5">
      <c r="A608" s="69" t="str">
        <f t="shared" si="2"/>
        <v/>
      </c>
      <c r="B608" s="141"/>
      <c r="C608" s="141"/>
      <c r="D608" s="139"/>
      <c r="E608" s="141"/>
    </row>
    <row r="609" spans="1:5">
      <c r="A609" s="69" t="str">
        <f t="shared" si="2"/>
        <v/>
      </c>
      <c r="B609" s="138"/>
      <c r="C609" s="138"/>
      <c r="D609" s="139"/>
      <c r="E609" s="138"/>
    </row>
    <row r="610" spans="1:5">
      <c r="A610" s="69" t="str">
        <f t="shared" si="2"/>
        <v/>
      </c>
      <c r="B610" s="141"/>
      <c r="C610" s="141"/>
      <c r="D610" s="139"/>
      <c r="E610" s="141"/>
    </row>
    <row r="611" spans="1:5">
      <c r="A611" s="69" t="str">
        <f t="shared" si="2"/>
        <v/>
      </c>
      <c r="B611" s="138"/>
      <c r="C611" s="138"/>
      <c r="D611" s="139"/>
      <c r="E611" s="138"/>
    </row>
    <row r="612" spans="1:5">
      <c r="A612" s="69" t="str">
        <f t="shared" si="2"/>
        <v/>
      </c>
      <c r="B612" s="141"/>
      <c r="C612" s="141"/>
      <c r="D612" s="139"/>
      <c r="E612" s="141"/>
    </row>
    <row r="613" spans="1:5">
      <c r="A613" s="69" t="str">
        <f t="shared" si="2"/>
        <v/>
      </c>
      <c r="B613" s="138"/>
      <c r="C613" s="138"/>
      <c r="D613" s="139"/>
      <c r="E613" s="138"/>
    </row>
    <row r="614" spans="1:5">
      <c r="A614" s="69" t="str">
        <f t="shared" si="2"/>
        <v/>
      </c>
      <c r="B614" s="141"/>
      <c r="C614" s="141"/>
      <c r="D614" s="139"/>
      <c r="E614" s="141"/>
    </row>
    <row r="615" spans="1:5">
      <c r="A615" s="69" t="str">
        <f t="shared" si="2"/>
        <v/>
      </c>
      <c r="B615" s="138"/>
      <c r="C615" s="138"/>
      <c r="D615" s="139"/>
      <c r="E615" s="138"/>
    </row>
    <row r="616" spans="1:5">
      <c r="A616" s="69" t="str">
        <f t="shared" si="2"/>
        <v/>
      </c>
      <c r="B616" s="141"/>
      <c r="C616" s="141"/>
      <c r="D616" s="139"/>
      <c r="E616" s="141"/>
    </row>
    <row r="617" spans="1:5">
      <c r="A617" s="69" t="str">
        <f t="shared" si="2"/>
        <v/>
      </c>
      <c r="B617" s="138"/>
      <c r="C617" s="138"/>
      <c r="D617" s="139"/>
      <c r="E617" s="138"/>
    </row>
    <row r="618" spans="1:5">
      <c r="A618" s="69" t="str">
        <f t="shared" si="2"/>
        <v/>
      </c>
      <c r="B618" s="141"/>
      <c r="C618" s="141"/>
      <c r="D618" s="139"/>
      <c r="E618" s="141"/>
    </row>
    <row r="619" spans="1:5">
      <c r="A619" s="69" t="str">
        <f t="shared" si="2"/>
        <v/>
      </c>
      <c r="B619" s="138"/>
      <c r="C619" s="138"/>
      <c r="D619" s="139"/>
      <c r="E619" s="138"/>
    </row>
    <row r="620" spans="1:5">
      <c r="A620" s="69" t="str">
        <f t="shared" si="2"/>
        <v/>
      </c>
      <c r="B620" s="141"/>
      <c r="C620" s="141"/>
      <c r="D620" s="139"/>
      <c r="E620" s="141"/>
    </row>
    <row r="621" spans="1:5">
      <c r="A621" s="69" t="str">
        <f t="shared" si="2"/>
        <v/>
      </c>
      <c r="B621" s="138"/>
      <c r="C621" s="138"/>
      <c r="D621" s="139"/>
      <c r="E621" s="138"/>
    </row>
    <row r="622" spans="1:5">
      <c r="A622" s="69" t="str">
        <f t="shared" si="2"/>
        <v/>
      </c>
      <c r="B622" s="141"/>
      <c r="C622" s="141"/>
      <c r="D622" s="139"/>
      <c r="E622" s="141"/>
    </row>
    <row r="623" spans="1:5">
      <c r="A623" s="69" t="str">
        <f t="shared" si="2"/>
        <v/>
      </c>
      <c r="B623" s="138"/>
      <c r="C623" s="138"/>
      <c r="D623" s="139"/>
      <c r="E623" s="138"/>
    </row>
    <row r="624" spans="1:5">
      <c r="A624" s="69" t="str">
        <f t="shared" si="2"/>
        <v/>
      </c>
      <c r="B624" s="141"/>
      <c r="C624" s="141"/>
      <c r="D624" s="139"/>
      <c r="E624" s="141"/>
    </row>
    <row r="625" spans="1:5">
      <c r="A625" s="69" t="str">
        <f t="shared" si="2"/>
        <v/>
      </c>
      <c r="B625" s="138"/>
      <c r="C625" s="138"/>
      <c r="D625" s="139"/>
      <c r="E625" s="138"/>
    </row>
    <row r="626" spans="1:5">
      <c r="A626" s="69" t="str">
        <f t="shared" si="2"/>
        <v/>
      </c>
      <c r="B626" s="141"/>
      <c r="C626" s="141"/>
      <c r="D626" s="139"/>
      <c r="E626" s="141"/>
    </row>
    <row r="627" spans="1:5">
      <c r="A627" s="69" t="str">
        <f t="shared" si="2"/>
        <v/>
      </c>
      <c r="B627" s="138"/>
      <c r="C627" s="138"/>
      <c r="D627" s="139"/>
      <c r="E627" s="138"/>
    </row>
    <row r="628" spans="1:5">
      <c r="A628" s="69" t="str">
        <f t="shared" si="2"/>
        <v/>
      </c>
      <c r="B628" s="141"/>
      <c r="C628" s="141"/>
      <c r="D628" s="139"/>
      <c r="E628" s="141"/>
    </row>
    <row r="629" spans="1:5">
      <c r="A629" s="69" t="str">
        <f t="shared" si="2"/>
        <v/>
      </c>
      <c r="B629" s="138"/>
      <c r="C629" s="138"/>
      <c r="D629" s="139"/>
      <c r="E629" s="138"/>
    </row>
    <row r="630" spans="1:5">
      <c r="A630" s="69" t="str">
        <f t="shared" si="2"/>
        <v/>
      </c>
      <c r="B630" s="141"/>
      <c r="C630" s="141"/>
      <c r="D630" s="139"/>
      <c r="E630" s="141"/>
    </row>
    <row r="631" spans="1:5">
      <c r="A631" s="69" t="str">
        <f t="shared" si="2"/>
        <v/>
      </c>
      <c r="B631" s="138"/>
      <c r="C631" s="138"/>
      <c r="D631" s="139"/>
      <c r="E631" s="138"/>
    </row>
    <row r="632" spans="1:5">
      <c r="A632" s="69" t="str">
        <f t="shared" si="2"/>
        <v/>
      </c>
      <c r="B632" s="141"/>
      <c r="C632" s="141"/>
      <c r="D632" s="139"/>
      <c r="E632" s="141"/>
    </row>
    <row r="633" spans="1:5">
      <c r="A633" s="69" t="str">
        <f t="shared" si="2"/>
        <v/>
      </c>
      <c r="B633" s="138"/>
      <c r="C633" s="138"/>
      <c r="D633" s="139"/>
      <c r="E633" s="138"/>
    </row>
    <row r="634" spans="1:5">
      <c r="A634" s="69" t="str">
        <f t="shared" si="2"/>
        <v/>
      </c>
      <c r="B634" s="141"/>
      <c r="C634" s="141"/>
      <c r="D634" s="139"/>
      <c r="E634" s="141"/>
    </row>
    <row r="635" spans="1:5">
      <c r="A635" s="69" t="str">
        <f t="shared" si="2"/>
        <v/>
      </c>
      <c r="B635" s="138"/>
      <c r="C635" s="138"/>
      <c r="D635" s="139"/>
      <c r="E635" s="138"/>
    </row>
    <row r="636" spans="1:5">
      <c r="A636" s="69" t="str">
        <f t="shared" si="2"/>
        <v/>
      </c>
      <c r="B636" s="141"/>
      <c r="C636" s="141"/>
      <c r="D636" s="139"/>
      <c r="E636" s="141"/>
    </row>
    <row r="637" spans="1:5">
      <c r="A637" s="69" t="str">
        <f t="shared" si="2"/>
        <v/>
      </c>
      <c r="B637" s="138"/>
      <c r="C637" s="138"/>
      <c r="D637" s="139"/>
      <c r="E637" s="138"/>
    </row>
    <row r="638" spans="1:5">
      <c r="A638" s="69" t="str">
        <f t="shared" si="2"/>
        <v/>
      </c>
      <c r="B638" s="141"/>
      <c r="C638" s="141"/>
      <c r="D638" s="139"/>
      <c r="E638" s="141"/>
    </row>
    <row r="639" spans="1:5">
      <c r="A639" s="69" t="str">
        <f t="shared" si="2"/>
        <v/>
      </c>
      <c r="B639" s="138"/>
      <c r="C639" s="138"/>
      <c r="D639" s="139"/>
      <c r="E639" s="138"/>
    </row>
    <row r="640" spans="1:5">
      <c r="A640" s="69" t="str">
        <f t="shared" si="2"/>
        <v/>
      </c>
      <c r="B640" s="141"/>
      <c r="C640" s="141"/>
      <c r="D640" s="139"/>
      <c r="E640" s="141"/>
    </row>
    <row r="641" spans="1:5">
      <c r="A641" s="69" t="str">
        <f t="shared" si="2"/>
        <v/>
      </c>
      <c r="B641" s="138"/>
      <c r="C641" s="138"/>
      <c r="D641" s="139"/>
      <c r="E641" s="138"/>
    </row>
    <row r="642" spans="1:5">
      <c r="A642" s="69" t="str">
        <f t="shared" si="2"/>
        <v/>
      </c>
      <c r="B642" s="141"/>
      <c r="C642" s="141"/>
      <c r="D642" s="139"/>
      <c r="E642" s="141"/>
    </row>
    <row r="643" spans="1:5">
      <c r="A643" s="69" t="str">
        <f t="shared" si="2"/>
        <v/>
      </c>
      <c r="B643" s="138"/>
      <c r="C643" s="138"/>
      <c r="D643" s="139"/>
      <c r="E643" s="138"/>
    </row>
    <row r="644" spans="1:5">
      <c r="A644" s="69" t="str">
        <f t="shared" si="2"/>
        <v/>
      </c>
      <c r="B644" s="141"/>
      <c r="C644" s="141"/>
      <c r="D644" s="139"/>
      <c r="E644" s="141"/>
    </row>
    <row r="645" spans="1:5">
      <c r="A645" s="69" t="str">
        <f t="shared" si="2"/>
        <v/>
      </c>
      <c r="B645" s="138"/>
      <c r="C645" s="138"/>
      <c r="D645" s="139"/>
      <c r="E645" s="138"/>
    </row>
    <row r="646" spans="1:5">
      <c r="A646" s="69" t="str">
        <f t="shared" si="2"/>
        <v/>
      </c>
      <c r="B646" s="141"/>
      <c r="C646" s="141"/>
      <c r="D646" s="139"/>
      <c r="E646" s="141"/>
    </row>
    <row r="647" spans="1:5">
      <c r="A647" s="69" t="str">
        <f t="shared" si="2"/>
        <v/>
      </c>
      <c r="B647" s="138"/>
      <c r="C647" s="138"/>
      <c r="D647" s="139"/>
      <c r="E647" s="138"/>
    </row>
    <row r="648" spans="1:5">
      <c r="A648" s="69" t="str">
        <f t="shared" si="2"/>
        <v/>
      </c>
      <c r="B648" s="141"/>
      <c r="C648" s="141"/>
      <c r="D648" s="139"/>
      <c r="E648" s="141"/>
    </row>
    <row r="649" spans="1:5">
      <c r="A649" s="69" t="str">
        <f t="shared" si="2"/>
        <v/>
      </c>
      <c r="B649" s="138"/>
      <c r="C649" s="138"/>
      <c r="D649" s="139"/>
      <c r="E649" s="138"/>
    </row>
    <row r="650" spans="1:5">
      <c r="A650" s="69" t="str">
        <f t="shared" si="2"/>
        <v/>
      </c>
      <c r="B650" s="141"/>
      <c r="C650" s="141"/>
      <c r="D650" s="139"/>
      <c r="E650" s="141"/>
    </row>
    <row r="651" spans="1:5">
      <c r="A651" s="69" t="str">
        <f t="shared" si="2"/>
        <v/>
      </c>
      <c r="B651" s="138"/>
      <c r="C651" s="138"/>
      <c r="D651" s="139"/>
      <c r="E651" s="138"/>
    </row>
    <row r="652" spans="1:5">
      <c r="A652" s="69" t="str">
        <f t="shared" si="2"/>
        <v/>
      </c>
      <c r="B652" s="141"/>
      <c r="C652" s="141"/>
      <c r="D652" s="139"/>
      <c r="E652" s="141"/>
    </row>
    <row r="653" spans="1:5">
      <c r="A653" s="69" t="str">
        <f t="shared" si="2"/>
        <v/>
      </c>
      <c r="B653" s="138"/>
      <c r="C653" s="138"/>
      <c r="D653" s="139"/>
      <c r="E653" s="138"/>
    </row>
    <row r="654" spans="1:5">
      <c r="A654" s="69" t="str">
        <f t="shared" si="2"/>
        <v/>
      </c>
      <c r="B654" s="141"/>
      <c r="C654" s="141"/>
      <c r="D654" s="139"/>
      <c r="E654" s="141"/>
    </row>
    <row r="655" spans="1:5">
      <c r="A655" s="69" t="str">
        <f t="shared" si="2"/>
        <v/>
      </c>
      <c r="B655" s="138"/>
      <c r="C655" s="138"/>
      <c r="D655" s="139"/>
      <c r="E655" s="138"/>
    </row>
    <row r="656" spans="1:5">
      <c r="A656" s="69" t="str">
        <f t="shared" si="2"/>
        <v/>
      </c>
      <c r="B656" s="141"/>
      <c r="C656" s="141"/>
      <c r="D656" s="139"/>
      <c r="E656" s="141"/>
    </row>
    <row r="657" spans="1:5">
      <c r="A657" s="69" t="str">
        <f t="shared" si="2"/>
        <v/>
      </c>
      <c r="B657" s="138"/>
      <c r="C657" s="138"/>
      <c r="D657" s="139"/>
      <c r="E657" s="138"/>
    </row>
    <row r="658" spans="1:5">
      <c r="A658" s="69" t="str">
        <f t="shared" si="2"/>
        <v/>
      </c>
      <c r="B658" s="141"/>
      <c r="C658" s="141"/>
      <c r="D658" s="139"/>
      <c r="E658" s="141"/>
    </row>
    <row r="659" spans="1:5">
      <c r="A659" s="69" t="str">
        <f t="shared" si="2"/>
        <v/>
      </c>
      <c r="B659" s="138"/>
      <c r="C659" s="138"/>
      <c r="D659" s="139"/>
      <c r="E659" s="138"/>
    </row>
    <row r="660" spans="1:5">
      <c r="A660" s="69" t="str">
        <f t="shared" si="2"/>
        <v/>
      </c>
      <c r="B660" s="141"/>
      <c r="C660" s="141"/>
      <c r="D660" s="139"/>
      <c r="E660" s="141"/>
    </row>
    <row r="661" spans="1:5">
      <c r="A661" s="69" t="str">
        <f t="shared" si="2"/>
        <v/>
      </c>
      <c r="B661" s="138"/>
      <c r="C661" s="138"/>
      <c r="D661" s="139"/>
      <c r="E661" s="138"/>
    </row>
    <row r="662" spans="1:5">
      <c r="A662" s="69" t="str">
        <f t="shared" si="2"/>
        <v/>
      </c>
      <c r="B662" s="141"/>
      <c r="C662" s="141"/>
      <c r="D662" s="139"/>
      <c r="E662" s="141"/>
    </row>
    <row r="663" spans="1:5">
      <c r="A663" s="69" t="str">
        <f t="shared" si="2"/>
        <v/>
      </c>
      <c r="B663" s="138"/>
      <c r="C663" s="138"/>
      <c r="D663" s="139"/>
      <c r="E663" s="138"/>
    </row>
    <row r="664" spans="1:5">
      <c r="A664" s="69" t="str">
        <f t="shared" si="2"/>
        <v/>
      </c>
      <c r="B664" s="141"/>
      <c r="C664" s="141"/>
      <c r="D664" s="139"/>
      <c r="E664" s="141"/>
    </row>
    <row r="665" spans="1:5">
      <c r="A665" s="69" t="str">
        <f t="shared" si="2"/>
        <v/>
      </c>
      <c r="B665" s="138"/>
      <c r="C665" s="138"/>
      <c r="D665" s="139"/>
      <c r="E665" s="138"/>
    </row>
    <row r="666" spans="1:5">
      <c r="A666" s="69" t="str">
        <f t="shared" si="2"/>
        <v/>
      </c>
      <c r="B666" s="141"/>
      <c r="C666" s="141"/>
      <c r="D666" s="139"/>
      <c r="E666" s="141"/>
    </row>
    <row r="667" spans="1:5">
      <c r="A667" s="69" t="str">
        <f t="shared" si="2"/>
        <v/>
      </c>
      <c r="B667" s="138"/>
      <c r="C667" s="138"/>
      <c r="D667" s="139"/>
      <c r="E667" s="138"/>
    </row>
    <row r="668" spans="1:5">
      <c r="A668" s="69" t="str">
        <f t="shared" si="2"/>
        <v/>
      </c>
      <c r="B668" s="141"/>
      <c r="C668" s="141"/>
      <c r="D668" s="139"/>
      <c r="E668" s="141"/>
    </row>
    <row r="669" spans="1:5">
      <c r="A669" s="69" t="str">
        <f t="shared" si="2"/>
        <v/>
      </c>
      <c r="B669" s="138"/>
      <c r="C669" s="138"/>
      <c r="D669" s="139"/>
      <c r="E669" s="138"/>
    </row>
    <row r="670" spans="1:5">
      <c r="A670" s="69" t="str">
        <f t="shared" si="2"/>
        <v/>
      </c>
      <c r="B670" s="141"/>
      <c r="C670" s="141"/>
      <c r="D670" s="139"/>
      <c r="E670" s="141"/>
    </row>
    <row r="671" spans="1:5">
      <c r="A671" s="69" t="str">
        <f t="shared" si="2"/>
        <v/>
      </c>
      <c r="B671" s="138"/>
      <c r="C671" s="138"/>
      <c r="D671" s="139"/>
      <c r="E671" s="138"/>
    </row>
    <row r="672" spans="1:5">
      <c r="A672" s="69" t="str">
        <f t="shared" si="2"/>
        <v/>
      </c>
      <c r="B672" s="141"/>
      <c r="C672" s="141"/>
      <c r="D672" s="139"/>
      <c r="E672" s="141"/>
    </row>
    <row r="673" spans="1:5">
      <c r="A673" s="69" t="str">
        <f t="shared" si="2"/>
        <v/>
      </c>
      <c r="B673" s="138"/>
      <c r="C673" s="138"/>
      <c r="D673" s="139"/>
      <c r="E673" s="138"/>
    </row>
    <row r="674" spans="1:5">
      <c r="A674" s="69" t="str">
        <f t="shared" si="2"/>
        <v/>
      </c>
      <c r="B674" s="141"/>
      <c r="C674" s="141"/>
      <c r="D674" s="139"/>
      <c r="E674" s="141"/>
    </row>
    <row r="675" spans="1:5">
      <c r="A675" s="69" t="str">
        <f t="shared" si="2"/>
        <v/>
      </c>
      <c r="B675" s="138"/>
      <c r="C675" s="138"/>
      <c r="D675" s="139"/>
      <c r="E675" s="138"/>
    </row>
    <row r="676" spans="1:5">
      <c r="A676" s="69" t="str">
        <f t="shared" si="2"/>
        <v/>
      </c>
      <c r="B676" s="141"/>
      <c r="C676" s="141"/>
      <c r="D676" s="139"/>
      <c r="E676" s="141"/>
    </row>
    <row r="677" spans="1:5">
      <c r="A677" s="69" t="str">
        <f t="shared" si="2"/>
        <v/>
      </c>
      <c r="B677" s="138"/>
      <c r="C677" s="138"/>
      <c r="D677" s="139"/>
      <c r="E677" s="138"/>
    </row>
    <row r="678" spans="1:5">
      <c r="A678" s="69" t="str">
        <f t="shared" si="2"/>
        <v/>
      </c>
      <c r="B678" s="141"/>
      <c r="C678" s="141"/>
      <c r="D678" s="139"/>
      <c r="E678" s="141"/>
    </row>
    <row r="679" spans="1:5">
      <c r="A679" s="69" t="str">
        <f t="shared" si="2"/>
        <v/>
      </c>
      <c r="B679" s="138"/>
      <c r="C679" s="138"/>
      <c r="D679" s="139"/>
      <c r="E679" s="138"/>
    </row>
    <row r="680" spans="1:5">
      <c r="A680" s="69" t="str">
        <f t="shared" si="2"/>
        <v/>
      </c>
      <c r="B680" s="141"/>
      <c r="C680" s="141"/>
      <c r="D680" s="139"/>
      <c r="E680" s="141"/>
    </row>
    <row r="681" spans="1:5">
      <c r="A681" s="69" t="str">
        <f t="shared" si="2"/>
        <v/>
      </c>
      <c r="B681" s="138"/>
      <c r="C681" s="138"/>
      <c r="D681" s="139"/>
      <c r="E681" s="138"/>
    </row>
    <row r="682" spans="1:5">
      <c r="A682" s="69" t="str">
        <f t="shared" si="2"/>
        <v/>
      </c>
      <c r="B682" s="141"/>
      <c r="C682" s="141"/>
      <c r="D682" s="139"/>
      <c r="E682" s="141"/>
    </row>
    <row r="683" spans="1:5">
      <c r="A683" s="69" t="str">
        <f t="shared" si="2"/>
        <v/>
      </c>
      <c r="B683" s="138"/>
      <c r="C683" s="138"/>
      <c r="D683" s="139"/>
      <c r="E683" s="138"/>
    </row>
    <row r="684" spans="1:5">
      <c r="A684" s="69" t="str">
        <f t="shared" si="2"/>
        <v/>
      </c>
      <c r="B684" s="141"/>
      <c r="C684" s="141"/>
      <c r="D684" s="139"/>
      <c r="E684" s="141"/>
    </row>
    <row r="685" spans="1:5">
      <c r="A685" s="69" t="str">
        <f t="shared" si="2"/>
        <v/>
      </c>
      <c r="B685" s="138"/>
      <c r="C685" s="138"/>
      <c r="D685" s="139"/>
      <c r="E685" s="138"/>
    </row>
    <row r="686" spans="1:5">
      <c r="A686" s="69" t="str">
        <f t="shared" si="2"/>
        <v/>
      </c>
      <c r="B686" s="141"/>
      <c r="C686" s="141"/>
      <c r="D686" s="139"/>
      <c r="E686" s="141"/>
    </row>
    <row r="687" spans="1:5">
      <c r="A687" s="69" t="str">
        <f t="shared" si="2"/>
        <v/>
      </c>
      <c r="B687" s="138"/>
      <c r="C687" s="138"/>
      <c r="D687" s="139"/>
      <c r="E687" s="138"/>
    </row>
    <row r="688" spans="1:5">
      <c r="A688" s="69" t="str">
        <f t="shared" si="2"/>
        <v/>
      </c>
      <c r="B688" s="141"/>
      <c r="C688" s="141"/>
      <c r="D688" s="139"/>
      <c r="E688" s="141"/>
    </row>
    <row r="689" spans="1:5">
      <c r="A689" s="69" t="str">
        <f t="shared" si="2"/>
        <v/>
      </c>
      <c r="B689" s="138"/>
      <c r="C689" s="138"/>
      <c r="D689" s="139"/>
      <c r="E689" s="138"/>
    </row>
    <row r="690" spans="1:5">
      <c r="A690" s="69" t="str">
        <f t="shared" si="2"/>
        <v/>
      </c>
      <c r="B690" s="141"/>
      <c r="C690" s="141"/>
      <c r="D690" s="139"/>
      <c r="E690" s="141"/>
    </row>
    <row r="691" spans="1:5">
      <c r="A691" s="69" t="str">
        <f t="shared" si="2"/>
        <v/>
      </c>
      <c r="B691" s="138"/>
      <c r="C691" s="138"/>
      <c r="D691" s="139"/>
      <c r="E691" s="138"/>
    </row>
    <row r="692" spans="1:5">
      <c r="A692" s="69" t="str">
        <f t="shared" si="2"/>
        <v/>
      </c>
      <c r="B692" s="141"/>
      <c r="C692" s="141"/>
      <c r="D692" s="139"/>
      <c r="E692" s="141"/>
    </row>
    <row r="693" spans="1:5">
      <c r="A693" s="69" t="str">
        <f t="shared" si="2"/>
        <v/>
      </c>
      <c r="B693" s="138"/>
      <c r="C693" s="138"/>
      <c r="D693" s="139"/>
      <c r="E693" s="138"/>
    </row>
    <row r="694" spans="1:5">
      <c r="A694" s="69" t="str">
        <f t="shared" si="2"/>
        <v/>
      </c>
      <c r="B694" s="141"/>
      <c r="C694" s="141"/>
      <c r="D694" s="139"/>
      <c r="E694" s="141"/>
    </row>
    <row r="695" spans="1:5">
      <c r="A695" s="69" t="str">
        <f t="shared" si="2"/>
        <v/>
      </c>
      <c r="B695" s="138"/>
      <c r="C695" s="138"/>
      <c r="D695" s="139"/>
      <c r="E695" s="138"/>
    </row>
    <row r="696" spans="1:5">
      <c r="A696" s="69" t="str">
        <f t="shared" si="2"/>
        <v/>
      </c>
      <c r="B696" s="141"/>
      <c r="C696" s="141"/>
      <c r="D696" s="139"/>
      <c r="E696" s="141"/>
    </row>
    <row r="697" spans="1:5">
      <c r="A697" s="69" t="str">
        <f t="shared" si="2"/>
        <v/>
      </c>
      <c r="B697" s="138"/>
      <c r="C697" s="138"/>
      <c r="D697" s="139"/>
      <c r="E697" s="138"/>
    </row>
    <row r="698" spans="1:5">
      <c r="A698" s="69" t="str">
        <f t="shared" si="2"/>
        <v/>
      </c>
      <c r="B698" s="141"/>
      <c r="C698" s="141"/>
      <c r="D698" s="139"/>
      <c r="E698" s="141"/>
    </row>
    <row r="699" spans="1:5">
      <c r="A699" s="69" t="str">
        <f t="shared" si="2"/>
        <v/>
      </c>
      <c r="B699" s="138"/>
      <c r="C699" s="138"/>
      <c r="D699" s="139"/>
      <c r="E699" s="138"/>
    </row>
    <row r="700" spans="1:5">
      <c r="A700" s="69" t="str">
        <f t="shared" si="2"/>
        <v/>
      </c>
      <c r="B700" s="141"/>
      <c r="C700" s="141"/>
      <c r="D700" s="139"/>
      <c r="E700" s="141"/>
    </row>
    <row r="701" spans="1:5">
      <c r="A701" s="69" t="str">
        <f t="shared" si="2"/>
        <v/>
      </c>
      <c r="B701" s="138"/>
      <c r="C701" s="138"/>
      <c r="D701" s="139"/>
      <c r="E701" s="138"/>
    </row>
    <row r="702" spans="1:5">
      <c r="A702" s="69" t="str">
        <f t="shared" si="2"/>
        <v/>
      </c>
      <c r="B702" s="141"/>
      <c r="C702" s="141"/>
      <c r="D702" s="139"/>
      <c r="E702" s="141"/>
    </row>
    <row r="703" spans="1:5">
      <c r="A703" s="69" t="str">
        <f t="shared" si="2"/>
        <v/>
      </c>
      <c r="B703" s="138"/>
      <c r="C703" s="138"/>
      <c r="D703" s="139"/>
      <c r="E703" s="138"/>
    </row>
    <row r="704" spans="1:5">
      <c r="A704" s="69" t="str">
        <f t="shared" si="2"/>
        <v/>
      </c>
      <c r="B704" s="141"/>
      <c r="C704" s="141"/>
      <c r="D704" s="139"/>
      <c r="E704" s="141"/>
    </row>
    <row r="705" spans="1:5">
      <c r="A705" s="69" t="str">
        <f t="shared" si="2"/>
        <v/>
      </c>
      <c r="B705" s="138"/>
      <c r="C705" s="138"/>
      <c r="D705" s="139"/>
      <c r="E705" s="138"/>
    </row>
    <row r="706" spans="1:5">
      <c r="A706" s="69" t="str">
        <f t="shared" si="2"/>
        <v/>
      </c>
      <c r="B706" s="141"/>
      <c r="C706" s="141"/>
      <c r="D706" s="139"/>
      <c r="E706" s="141"/>
    </row>
    <row r="707" spans="1:5">
      <c r="A707" s="69" t="str">
        <f t="shared" si="2"/>
        <v/>
      </c>
      <c r="B707" s="138"/>
      <c r="C707" s="138"/>
      <c r="D707" s="139"/>
      <c r="E707" s="138"/>
    </row>
    <row r="708" spans="1:5">
      <c r="A708" s="69" t="str">
        <f t="shared" si="2"/>
        <v/>
      </c>
      <c r="B708" s="141"/>
      <c r="C708" s="141"/>
      <c r="D708" s="139"/>
      <c r="E708" s="141"/>
    </row>
    <row r="709" spans="1:5">
      <c r="A709" s="69" t="str">
        <f t="shared" si="2"/>
        <v/>
      </c>
      <c r="B709" s="138"/>
      <c r="C709" s="138"/>
      <c r="D709" s="139"/>
      <c r="E709" s="138"/>
    </row>
    <row r="710" spans="1:5">
      <c r="A710" s="69" t="str">
        <f t="shared" si="2"/>
        <v/>
      </c>
      <c r="B710" s="141"/>
      <c r="C710" s="141"/>
      <c r="D710" s="139"/>
      <c r="E710" s="141"/>
    </row>
    <row r="711" spans="1:5">
      <c r="A711" s="69" t="str">
        <f t="shared" si="2"/>
        <v/>
      </c>
      <c r="B711" s="138"/>
      <c r="C711" s="138"/>
      <c r="D711" s="139"/>
      <c r="E711" s="138"/>
    </row>
    <row r="712" spans="1:5">
      <c r="A712" s="69" t="str">
        <f t="shared" si="2"/>
        <v/>
      </c>
      <c r="B712" s="141"/>
      <c r="C712" s="141"/>
      <c r="D712" s="139"/>
      <c r="E712" s="141"/>
    </row>
    <row r="713" spans="1:5">
      <c r="A713" s="69" t="str">
        <f t="shared" si="2"/>
        <v/>
      </c>
      <c r="B713" s="138"/>
      <c r="C713" s="138"/>
      <c r="D713" s="139"/>
      <c r="E713" s="138"/>
    </row>
    <row r="714" spans="1:5">
      <c r="A714" s="69" t="str">
        <f t="shared" si="2"/>
        <v/>
      </c>
      <c r="B714" s="141"/>
      <c r="C714" s="141"/>
      <c r="D714" s="139"/>
      <c r="E714" s="141"/>
    </row>
    <row r="715" spans="1:5">
      <c r="A715" s="69" t="str">
        <f t="shared" si="2"/>
        <v/>
      </c>
      <c r="B715" s="138"/>
      <c r="C715" s="138"/>
      <c r="D715" s="139"/>
      <c r="E715" s="138"/>
    </row>
    <row r="716" spans="1:5">
      <c r="A716" s="69" t="str">
        <f t="shared" si="2"/>
        <v/>
      </c>
      <c r="B716" s="141"/>
      <c r="C716" s="141"/>
      <c r="D716" s="139"/>
      <c r="E716" s="141"/>
    </row>
    <row r="717" spans="1:5">
      <c r="A717" s="69" t="str">
        <f t="shared" si="2"/>
        <v/>
      </c>
      <c r="B717" s="138"/>
      <c r="C717" s="138"/>
      <c r="D717" s="139"/>
      <c r="E717" s="138"/>
    </row>
    <row r="718" spans="1:5">
      <c r="A718" s="69" t="str">
        <f t="shared" si="2"/>
        <v/>
      </c>
      <c r="B718" s="141"/>
      <c r="C718" s="141"/>
      <c r="D718" s="139"/>
      <c r="E718" s="141"/>
    </row>
    <row r="719" spans="1:5">
      <c r="A719" s="69" t="str">
        <f t="shared" si="2"/>
        <v/>
      </c>
      <c r="B719" s="138"/>
      <c r="C719" s="138"/>
      <c r="D719" s="139"/>
      <c r="E719" s="138"/>
    </row>
    <row r="720" spans="1:5">
      <c r="A720" s="69" t="str">
        <f t="shared" si="2"/>
        <v/>
      </c>
      <c r="B720" s="141"/>
      <c r="C720" s="141"/>
      <c r="D720" s="139"/>
      <c r="E720" s="141"/>
    </row>
    <row r="721" spans="1:5">
      <c r="A721" s="69" t="str">
        <f t="shared" si="2"/>
        <v/>
      </c>
      <c r="B721" s="138"/>
      <c r="C721" s="138"/>
      <c r="D721" s="139"/>
      <c r="E721" s="138"/>
    </row>
    <row r="722" spans="1:5">
      <c r="A722" s="69" t="str">
        <f t="shared" si="2"/>
        <v/>
      </c>
      <c r="B722" s="141"/>
      <c r="C722" s="141"/>
      <c r="D722" s="139"/>
      <c r="E722" s="141"/>
    </row>
    <row r="723" spans="1:5">
      <c r="A723" s="69" t="str">
        <f t="shared" si="2"/>
        <v/>
      </c>
      <c r="B723" s="138"/>
      <c r="C723" s="138"/>
      <c r="D723" s="139"/>
      <c r="E723" s="138"/>
    </row>
    <row r="724" spans="1:5">
      <c r="A724" s="69" t="str">
        <f t="shared" si="2"/>
        <v/>
      </c>
      <c r="B724" s="141"/>
      <c r="C724" s="141"/>
      <c r="D724" s="139"/>
      <c r="E724" s="141"/>
    </row>
    <row r="725" spans="1:5">
      <c r="A725" s="69" t="str">
        <f t="shared" si="2"/>
        <v/>
      </c>
      <c r="B725" s="138"/>
      <c r="C725" s="138"/>
      <c r="D725" s="139"/>
      <c r="E725" s="138"/>
    </row>
    <row r="726" spans="1:5">
      <c r="A726" s="69" t="str">
        <f t="shared" si="2"/>
        <v/>
      </c>
      <c r="B726" s="141"/>
      <c r="C726" s="141"/>
      <c r="D726" s="139"/>
      <c r="E726" s="141"/>
    </row>
    <row r="727" spans="1:5">
      <c r="A727" s="69" t="str">
        <f t="shared" si="2"/>
        <v/>
      </c>
      <c r="B727" s="138"/>
      <c r="C727" s="138"/>
      <c r="D727" s="139"/>
      <c r="E727" s="138"/>
    </row>
    <row r="728" spans="1:5">
      <c r="A728" s="69" t="str">
        <f t="shared" si="2"/>
        <v/>
      </c>
      <c r="B728" s="141"/>
      <c r="C728" s="141"/>
      <c r="D728" s="139"/>
      <c r="E728" s="141"/>
    </row>
    <row r="729" spans="1:5">
      <c r="A729" s="69" t="str">
        <f t="shared" si="2"/>
        <v/>
      </c>
      <c r="B729" s="138"/>
      <c r="C729" s="138"/>
      <c r="D729" s="139"/>
      <c r="E729" s="138"/>
    </row>
    <row r="730" spans="1:5">
      <c r="A730" s="69" t="str">
        <f t="shared" si="2"/>
        <v/>
      </c>
      <c r="B730" s="141"/>
      <c r="C730" s="141"/>
      <c r="D730" s="139"/>
      <c r="E730" s="141"/>
    </row>
    <row r="731" spans="1:5">
      <c r="A731" s="69" t="str">
        <f t="shared" si="2"/>
        <v/>
      </c>
      <c r="B731" s="138"/>
      <c r="C731" s="138"/>
      <c r="D731" s="139"/>
      <c r="E731" s="138"/>
    </row>
    <row r="732" spans="1:5">
      <c r="A732" s="69" t="str">
        <f t="shared" si="2"/>
        <v/>
      </c>
      <c r="B732" s="141"/>
      <c r="C732" s="141"/>
      <c r="D732" s="139"/>
      <c r="E732" s="141"/>
    </row>
    <row r="733" spans="1:5">
      <c r="A733" s="69" t="str">
        <f t="shared" si="2"/>
        <v/>
      </c>
      <c r="B733" s="138"/>
      <c r="C733" s="138"/>
      <c r="D733" s="139"/>
      <c r="E733" s="138"/>
    </row>
    <row r="734" spans="1:5">
      <c r="A734" s="69" t="str">
        <f t="shared" si="2"/>
        <v/>
      </c>
      <c r="B734" s="141"/>
      <c r="C734" s="141"/>
      <c r="D734" s="139"/>
      <c r="E734" s="141"/>
    </row>
    <row r="735" spans="1:5">
      <c r="A735" s="69" t="str">
        <f t="shared" si="2"/>
        <v/>
      </c>
      <c r="B735" s="138"/>
      <c r="C735" s="138"/>
      <c r="D735" s="139"/>
      <c r="E735" s="138"/>
    </row>
    <row r="736" spans="1:5">
      <c r="A736" s="69" t="str">
        <f t="shared" si="2"/>
        <v/>
      </c>
      <c r="B736" s="141"/>
      <c r="C736" s="141"/>
      <c r="D736" s="139"/>
      <c r="E736" s="141"/>
    </row>
    <row r="737" spans="1:5">
      <c r="A737" s="69" t="str">
        <f t="shared" si="2"/>
        <v/>
      </c>
      <c r="B737" s="138"/>
      <c r="C737" s="138"/>
      <c r="D737" s="139"/>
      <c r="E737" s="138"/>
    </row>
    <row r="738" spans="1:5">
      <c r="A738" s="69" t="str">
        <f t="shared" si="2"/>
        <v/>
      </c>
      <c r="B738" s="141"/>
      <c r="C738" s="141"/>
      <c r="D738" s="139"/>
      <c r="E738" s="141"/>
    </row>
    <row r="739" spans="1:5">
      <c r="A739" s="69" t="str">
        <f t="shared" si="2"/>
        <v/>
      </c>
      <c r="B739" s="138"/>
      <c r="C739" s="138"/>
      <c r="D739" s="139"/>
      <c r="E739" s="138"/>
    </row>
    <row r="740" spans="1:5">
      <c r="A740" s="69" t="str">
        <f t="shared" si="2"/>
        <v/>
      </c>
      <c r="B740" s="141"/>
      <c r="C740" s="141"/>
      <c r="D740" s="139"/>
      <c r="E740" s="141"/>
    </row>
    <row r="741" spans="1:5">
      <c r="A741" s="69" t="str">
        <f t="shared" si="2"/>
        <v/>
      </c>
      <c r="B741" s="138"/>
      <c r="C741" s="138"/>
      <c r="D741" s="139"/>
      <c r="E741" s="138"/>
    </row>
    <row r="742" spans="1:5">
      <c r="A742" s="69" t="str">
        <f t="shared" si="2"/>
        <v/>
      </c>
      <c r="B742" s="141"/>
      <c r="C742" s="141"/>
      <c r="D742" s="139"/>
      <c r="E742" s="141"/>
    </row>
    <row r="743" spans="1:5">
      <c r="A743" s="69" t="str">
        <f t="shared" si="2"/>
        <v/>
      </c>
      <c r="B743" s="138"/>
      <c r="C743" s="138"/>
      <c r="D743" s="139"/>
      <c r="E743" s="138"/>
    </row>
    <row r="744" spans="1:5">
      <c r="A744" s="69" t="str">
        <f t="shared" si="2"/>
        <v/>
      </c>
      <c r="B744" s="141"/>
      <c r="C744" s="141"/>
      <c r="D744" s="139"/>
      <c r="E744" s="141"/>
    </row>
    <row r="745" spans="1:5">
      <c r="A745" s="69" t="str">
        <f t="shared" si="2"/>
        <v/>
      </c>
      <c r="B745" s="138"/>
      <c r="C745" s="138"/>
      <c r="D745" s="139"/>
      <c r="E745" s="138"/>
    </row>
    <row r="746" spans="1:5">
      <c r="A746" s="69" t="str">
        <f t="shared" si="2"/>
        <v/>
      </c>
      <c r="B746" s="141"/>
      <c r="C746" s="141"/>
      <c r="D746" s="139"/>
      <c r="E746" s="141"/>
    </row>
    <row r="747" spans="1:5">
      <c r="A747" s="69" t="str">
        <f t="shared" si="2"/>
        <v/>
      </c>
      <c r="B747" s="138"/>
      <c r="C747" s="138"/>
      <c r="D747" s="139"/>
      <c r="E747" s="138"/>
    </row>
    <row r="748" spans="1:5">
      <c r="A748" s="69" t="str">
        <f t="shared" si="2"/>
        <v/>
      </c>
      <c r="B748" s="141"/>
      <c r="C748" s="141"/>
      <c r="D748" s="139"/>
      <c r="E748" s="141"/>
    </row>
    <row r="749" spans="1:5">
      <c r="A749" s="69" t="str">
        <f t="shared" si="2"/>
        <v/>
      </c>
      <c r="B749" s="138"/>
      <c r="C749" s="138"/>
      <c r="D749" s="139"/>
      <c r="E749" s="138"/>
    </row>
    <row r="750" spans="1:5">
      <c r="A750" s="69" t="str">
        <f t="shared" si="2"/>
        <v/>
      </c>
      <c r="B750" s="141"/>
      <c r="C750" s="141"/>
      <c r="D750" s="139"/>
      <c r="E750" s="141"/>
    </row>
    <row r="751" spans="1:5">
      <c r="A751" s="69" t="str">
        <f t="shared" si="2"/>
        <v/>
      </c>
      <c r="B751" s="138"/>
      <c r="C751" s="138"/>
      <c r="D751" s="139"/>
      <c r="E751" s="138"/>
    </row>
    <row r="752" spans="1:5">
      <c r="A752" s="69" t="str">
        <f t="shared" si="2"/>
        <v/>
      </c>
      <c r="B752" s="141"/>
      <c r="C752" s="141"/>
      <c r="D752" s="139"/>
      <c r="E752" s="141"/>
    </row>
    <row r="753" spans="1:5">
      <c r="A753" s="69" t="str">
        <f t="shared" si="2"/>
        <v/>
      </c>
      <c r="B753" s="138"/>
      <c r="C753" s="138"/>
      <c r="D753" s="139"/>
      <c r="E753" s="138"/>
    </row>
    <row r="754" spans="1:5">
      <c r="A754" s="69" t="str">
        <f t="shared" si="2"/>
        <v/>
      </c>
      <c r="B754" s="141"/>
      <c r="C754" s="141"/>
      <c r="D754" s="139"/>
      <c r="E754" s="141"/>
    </row>
    <row r="755" spans="1:5">
      <c r="A755" s="69" t="str">
        <f t="shared" si="2"/>
        <v/>
      </c>
      <c r="B755" s="138"/>
      <c r="C755" s="138"/>
      <c r="D755" s="139"/>
      <c r="E755" s="138"/>
    </row>
    <row r="756" spans="1:5">
      <c r="A756" s="69" t="str">
        <f t="shared" si="2"/>
        <v/>
      </c>
      <c r="B756" s="141"/>
      <c r="C756" s="141"/>
      <c r="D756" s="139"/>
      <c r="E756" s="141"/>
    </row>
    <row r="757" spans="1:5">
      <c r="A757" s="69" t="str">
        <f t="shared" si="2"/>
        <v/>
      </c>
      <c r="B757" s="138"/>
      <c r="C757" s="138"/>
      <c r="D757" s="139"/>
      <c r="E757" s="138"/>
    </row>
    <row r="758" spans="1:5">
      <c r="A758" s="69" t="str">
        <f t="shared" si="2"/>
        <v/>
      </c>
      <c r="B758" s="141"/>
      <c r="C758" s="141"/>
      <c r="D758" s="139"/>
      <c r="E758" s="141"/>
    </row>
    <row r="759" spans="1:5">
      <c r="A759" s="69" t="str">
        <f t="shared" si="2"/>
        <v/>
      </c>
      <c r="B759" s="138"/>
      <c r="C759" s="138"/>
      <c r="D759" s="139"/>
      <c r="E759" s="138"/>
    </row>
    <row r="760" spans="1:5">
      <c r="A760" s="69" t="str">
        <f t="shared" si="2"/>
        <v/>
      </c>
      <c r="B760" s="141"/>
      <c r="C760" s="141"/>
      <c r="D760" s="139"/>
      <c r="E760" s="141"/>
    </row>
    <row r="761" spans="1:5">
      <c r="A761" s="69" t="str">
        <f t="shared" si="2"/>
        <v/>
      </c>
      <c r="B761" s="138"/>
      <c r="C761" s="138"/>
      <c r="D761" s="139"/>
      <c r="E761" s="138"/>
    </row>
    <row r="762" spans="1:5">
      <c r="A762" s="69" t="str">
        <f t="shared" si="2"/>
        <v/>
      </c>
      <c r="B762" s="141"/>
      <c r="C762" s="141"/>
      <c r="D762" s="139"/>
      <c r="E762" s="141"/>
    </row>
    <row r="763" spans="1:5">
      <c r="A763" s="69" t="str">
        <f t="shared" si="2"/>
        <v/>
      </c>
      <c r="B763" s="138"/>
      <c r="C763" s="138"/>
      <c r="D763" s="139"/>
      <c r="E763" s="138"/>
    </row>
    <row r="764" spans="1:5">
      <c r="A764" s="69" t="str">
        <f t="shared" si="2"/>
        <v/>
      </c>
      <c r="B764" s="141"/>
      <c r="C764" s="141"/>
      <c r="D764" s="139"/>
      <c r="E764" s="141"/>
    </row>
    <row r="765" spans="1:5">
      <c r="A765" s="69" t="str">
        <f t="shared" si="2"/>
        <v/>
      </c>
      <c r="B765" s="138"/>
      <c r="C765" s="138"/>
      <c r="D765" s="139"/>
      <c r="E765" s="138"/>
    </row>
    <row r="766" spans="1:5">
      <c r="A766" s="69" t="str">
        <f t="shared" si="2"/>
        <v/>
      </c>
      <c r="B766" s="141"/>
      <c r="C766" s="141"/>
      <c r="D766" s="139"/>
      <c r="E766" s="141"/>
    </row>
    <row r="767" spans="1:5">
      <c r="A767" s="69" t="str">
        <f t="shared" si="2"/>
        <v/>
      </c>
      <c r="B767" s="138"/>
      <c r="C767" s="138"/>
      <c r="D767" s="139"/>
      <c r="E767" s="138"/>
    </row>
    <row r="768" spans="1:5">
      <c r="A768" s="69" t="str">
        <f t="shared" si="2"/>
        <v/>
      </c>
      <c r="B768" s="141"/>
      <c r="C768" s="141"/>
      <c r="D768" s="139"/>
      <c r="E768" s="141"/>
    </row>
    <row r="769" spans="1:5">
      <c r="A769" s="69" t="str">
        <f t="shared" si="2"/>
        <v/>
      </c>
      <c r="B769" s="138"/>
      <c r="C769" s="138"/>
      <c r="D769" s="139"/>
      <c r="E769" s="138"/>
    </row>
    <row r="770" spans="1:5">
      <c r="A770" s="69" t="str">
        <f t="shared" si="2"/>
        <v/>
      </c>
      <c r="B770" s="141"/>
      <c r="C770" s="141"/>
      <c r="D770" s="139"/>
      <c r="E770" s="141"/>
    </row>
    <row r="771" spans="1:5">
      <c r="A771" s="69" t="str">
        <f t="shared" ref="A771:A1000" si="3">IF(B771="","",ROW()-2)</f>
        <v/>
      </c>
      <c r="B771" s="138"/>
      <c r="C771" s="138"/>
      <c r="D771" s="139"/>
      <c r="E771" s="138"/>
    </row>
    <row r="772" spans="1:5">
      <c r="A772" s="69" t="str">
        <f t="shared" si="3"/>
        <v/>
      </c>
      <c r="B772" s="141"/>
      <c r="C772" s="141"/>
      <c r="D772" s="139"/>
      <c r="E772" s="141"/>
    </row>
    <row r="773" spans="1:5">
      <c r="A773" s="69" t="str">
        <f t="shared" si="3"/>
        <v/>
      </c>
      <c r="B773" s="138"/>
      <c r="C773" s="138"/>
      <c r="D773" s="139"/>
      <c r="E773" s="138"/>
    </row>
    <row r="774" spans="1:5">
      <c r="A774" s="69" t="str">
        <f t="shared" si="3"/>
        <v/>
      </c>
      <c r="B774" s="141"/>
      <c r="C774" s="141"/>
      <c r="D774" s="139"/>
      <c r="E774" s="141"/>
    </row>
    <row r="775" spans="1:5">
      <c r="A775" s="69" t="str">
        <f t="shared" si="3"/>
        <v/>
      </c>
      <c r="B775" s="138"/>
      <c r="C775" s="138"/>
      <c r="D775" s="139"/>
      <c r="E775" s="138"/>
    </row>
    <row r="776" spans="1:5">
      <c r="A776" s="69" t="str">
        <f t="shared" si="3"/>
        <v/>
      </c>
      <c r="B776" s="141"/>
      <c r="C776" s="141"/>
      <c r="D776" s="139"/>
      <c r="E776" s="141"/>
    </row>
    <row r="777" spans="1:5">
      <c r="A777" s="69" t="str">
        <f t="shared" si="3"/>
        <v/>
      </c>
      <c r="B777" s="138"/>
      <c r="C777" s="138"/>
      <c r="D777" s="139"/>
      <c r="E777" s="138"/>
    </row>
    <row r="778" spans="1:5">
      <c r="A778" s="69" t="str">
        <f t="shared" si="3"/>
        <v/>
      </c>
      <c r="B778" s="141"/>
      <c r="C778" s="141"/>
      <c r="D778" s="139"/>
      <c r="E778" s="141"/>
    </row>
    <row r="779" spans="1:5">
      <c r="A779" s="69" t="str">
        <f t="shared" si="3"/>
        <v/>
      </c>
      <c r="B779" s="138"/>
      <c r="C779" s="138"/>
      <c r="D779" s="139"/>
      <c r="E779" s="138"/>
    </row>
    <row r="780" spans="1:5">
      <c r="A780" s="69" t="str">
        <f t="shared" si="3"/>
        <v/>
      </c>
      <c r="B780" s="141"/>
      <c r="C780" s="141"/>
      <c r="D780" s="139"/>
      <c r="E780" s="141"/>
    </row>
    <row r="781" spans="1:5">
      <c r="A781" s="69" t="str">
        <f t="shared" si="3"/>
        <v/>
      </c>
      <c r="B781" s="138"/>
      <c r="C781" s="138"/>
      <c r="D781" s="139"/>
      <c r="E781" s="138"/>
    </row>
    <row r="782" spans="1:5">
      <c r="A782" s="69" t="str">
        <f t="shared" si="3"/>
        <v/>
      </c>
      <c r="B782" s="141"/>
      <c r="C782" s="141"/>
      <c r="D782" s="139"/>
      <c r="E782" s="141"/>
    </row>
    <row r="783" spans="1:5">
      <c r="A783" s="69" t="str">
        <f t="shared" si="3"/>
        <v/>
      </c>
      <c r="B783" s="138"/>
      <c r="C783" s="138"/>
      <c r="D783" s="139"/>
      <c r="E783" s="138"/>
    </row>
    <row r="784" spans="1:5">
      <c r="A784" s="69" t="str">
        <f t="shared" si="3"/>
        <v/>
      </c>
      <c r="B784" s="141"/>
      <c r="C784" s="141"/>
      <c r="D784" s="139"/>
      <c r="E784" s="141"/>
    </row>
    <row r="785" spans="1:5">
      <c r="A785" s="69" t="str">
        <f t="shared" si="3"/>
        <v/>
      </c>
      <c r="B785" s="138"/>
      <c r="C785" s="138"/>
      <c r="D785" s="139"/>
      <c r="E785" s="138"/>
    </row>
    <row r="786" spans="1:5">
      <c r="A786" s="69" t="str">
        <f t="shared" si="3"/>
        <v/>
      </c>
      <c r="B786" s="141"/>
      <c r="C786" s="141"/>
      <c r="D786" s="139"/>
      <c r="E786" s="141"/>
    </row>
    <row r="787" spans="1:5">
      <c r="A787" s="69" t="str">
        <f t="shared" si="3"/>
        <v/>
      </c>
      <c r="B787" s="138"/>
      <c r="C787" s="138"/>
      <c r="D787" s="139"/>
      <c r="E787" s="138"/>
    </row>
    <row r="788" spans="1:5">
      <c r="A788" s="69" t="str">
        <f t="shared" si="3"/>
        <v/>
      </c>
      <c r="B788" s="141"/>
      <c r="C788" s="141"/>
      <c r="D788" s="139"/>
      <c r="E788" s="141"/>
    </row>
    <row r="789" spans="1:5">
      <c r="A789" s="69" t="str">
        <f t="shared" si="3"/>
        <v/>
      </c>
      <c r="B789" s="138"/>
      <c r="C789" s="138"/>
      <c r="D789" s="139"/>
      <c r="E789" s="138"/>
    </row>
    <row r="790" spans="1:5">
      <c r="A790" s="69" t="str">
        <f t="shared" si="3"/>
        <v/>
      </c>
      <c r="B790" s="141"/>
      <c r="C790" s="141"/>
      <c r="D790" s="139"/>
      <c r="E790" s="141"/>
    </row>
    <row r="791" spans="1:5">
      <c r="A791" s="69" t="str">
        <f t="shared" si="3"/>
        <v/>
      </c>
      <c r="B791" s="138"/>
      <c r="C791" s="138"/>
      <c r="D791" s="139"/>
      <c r="E791" s="138"/>
    </row>
    <row r="792" spans="1:5">
      <c r="A792" s="69" t="str">
        <f t="shared" si="3"/>
        <v/>
      </c>
      <c r="B792" s="141"/>
      <c r="C792" s="141"/>
      <c r="D792" s="139"/>
      <c r="E792" s="141"/>
    </row>
    <row r="793" spans="1:5">
      <c r="A793" s="69" t="str">
        <f t="shared" si="3"/>
        <v/>
      </c>
      <c r="B793" s="138"/>
      <c r="C793" s="138"/>
      <c r="D793" s="139"/>
      <c r="E793" s="138"/>
    </row>
    <row r="794" spans="1:5">
      <c r="A794" s="69" t="str">
        <f t="shared" si="3"/>
        <v/>
      </c>
      <c r="B794" s="141"/>
      <c r="C794" s="141"/>
      <c r="D794" s="139"/>
      <c r="E794" s="141"/>
    </row>
    <row r="795" spans="1:5">
      <c r="A795" s="69" t="str">
        <f t="shared" si="3"/>
        <v/>
      </c>
      <c r="B795" s="138"/>
      <c r="C795" s="138"/>
      <c r="D795" s="139"/>
      <c r="E795" s="138"/>
    </row>
    <row r="796" spans="1:5">
      <c r="A796" s="69" t="str">
        <f t="shared" si="3"/>
        <v/>
      </c>
      <c r="B796" s="141"/>
      <c r="C796" s="141"/>
      <c r="D796" s="139"/>
      <c r="E796" s="141"/>
    </row>
    <row r="797" spans="1:5">
      <c r="A797" s="69" t="str">
        <f t="shared" si="3"/>
        <v/>
      </c>
      <c r="B797" s="138"/>
      <c r="C797" s="138"/>
      <c r="D797" s="139"/>
      <c r="E797" s="138"/>
    </row>
    <row r="798" spans="1:5">
      <c r="A798" s="69" t="str">
        <f t="shared" si="3"/>
        <v/>
      </c>
      <c r="B798" s="141"/>
      <c r="C798" s="141"/>
      <c r="D798" s="139"/>
      <c r="E798" s="141"/>
    </row>
    <row r="799" spans="1:5">
      <c r="A799" s="69" t="str">
        <f t="shared" si="3"/>
        <v/>
      </c>
      <c r="B799" s="138"/>
      <c r="C799" s="138"/>
      <c r="D799" s="139"/>
      <c r="E799" s="138"/>
    </row>
    <row r="800" spans="1:5">
      <c r="A800" s="69" t="str">
        <f t="shared" si="3"/>
        <v/>
      </c>
      <c r="B800" s="141"/>
      <c r="C800" s="141"/>
      <c r="D800" s="139"/>
      <c r="E800" s="141"/>
    </row>
    <row r="801" spans="1:5">
      <c r="A801" s="69" t="str">
        <f t="shared" si="3"/>
        <v/>
      </c>
      <c r="B801" s="138"/>
      <c r="C801" s="138"/>
      <c r="D801" s="139"/>
      <c r="E801" s="138"/>
    </row>
    <row r="802" spans="1:5">
      <c r="A802" s="69" t="str">
        <f t="shared" si="3"/>
        <v/>
      </c>
      <c r="B802" s="141"/>
      <c r="C802" s="141"/>
      <c r="D802" s="139"/>
      <c r="E802" s="141"/>
    </row>
    <row r="803" spans="1:5">
      <c r="A803" s="69" t="str">
        <f t="shared" si="3"/>
        <v/>
      </c>
      <c r="B803" s="138"/>
      <c r="C803" s="138"/>
      <c r="D803" s="139"/>
      <c r="E803" s="138"/>
    </row>
    <row r="804" spans="1:5">
      <c r="A804" s="69" t="str">
        <f t="shared" si="3"/>
        <v/>
      </c>
      <c r="B804" s="141"/>
      <c r="C804" s="141"/>
      <c r="D804" s="139"/>
      <c r="E804" s="141"/>
    </row>
    <row r="805" spans="1:5">
      <c r="A805" s="69" t="str">
        <f t="shared" si="3"/>
        <v/>
      </c>
      <c r="B805" s="138"/>
      <c r="C805" s="138"/>
      <c r="D805" s="139"/>
      <c r="E805" s="138"/>
    </row>
    <row r="806" spans="1:5">
      <c r="A806" s="69" t="str">
        <f t="shared" si="3"/>
        <v/>
      </c>
      <c r="B806" s="141"/>
      <c r="C806" s="141"/>
      <c r="D806" s="139"/>
      <c r="E806" s="141"/>
    </row>
    <row r="807" spans="1:5">
      <c r="A807" s="69" t="str">
        <f t="shared" si="3"/>
        <v/>
      </c>
      <c r="B807" s="138"/>
      <c r="C807" s="138"/>
      <c r="D807" s="139"/>
      <c r="E807" s="138"/>
    </row>
    <row r="808" spans="1:5">
      <c r="A808" s="69" t="str">
        <f t="shared" si="3"/>
        <v/>
      </c>
      <c r="B808" s="141"/>
      <c r="C808" s="141"/>
      <c r="D808" s="139"/>
      <c r="E808" s="141"/>
    </row>
    <row r="809" spans="1:5">
      <c r="A809" s="69" t="str">
        <f t="shared" si="3"/>
        <v/>
      </c>
      <c r="B809" s="138"/>
      <c r="C809" s="138"/>
      <c r="D809" s="139"/>
      <c r="E809" s="138"/>
    </row>
    <row r="810" spans="1:5">
      <c r="A810" s="69" t="str">
        <f t="shared" si="3"/>
        <v/>
      </c>
      <c r="B810" s="141"/>
      <c r="C810" s="141"/>
      <c r="D810" s="139"/>
      <c r="E810" s="141"/>
    </row>
    <row r="811" spans="1:5">
      <c r="A811" s="69" t="str">
        <f t="shared" si="3"/>
        <v/>
      </c>
      <c r="B811" s="138"/>
      <c r="C811" s="138"/>
      <c r="D811" s="139"/>
      <c r="E811" s="138"/>
    </row>
    <row r="812" spans="1:5">
      <c r="A812" s="69" t="str">
        <f t="shared" si="3"/>
        <v/>
      </c>
      <c r="B812" s="141"/>
      <c r="C812" s="141"/>
      <c r="D812" s="139"/>
      <c r="E812" s="141"/>
    </row>
    <row r="813" spans="1:5">
      <c r="A813" s="69" t="str">
        <f t="shared" si="3"/>
        <v/>
      </c>
      <c r="B813" s="138"/>
      <c r="C813" s="138"/>
      <c r="D813" s="139"/>
      <c r="E813" s="138"/>
    </row>
    <row r="814" spans="1:5">
      <c r="A814" s="69" t="str">
        <f t="shared" si="3"/>
        <v/>
      </c>
      <c r="B814" s="141"/>
      <c r="C814" s="141"/>
      <c r="D814" s="139"/>
      <c r="E814" s="141"/>
    </row>
    <row r="815" spans="1:5">
      <c r="A815" s="69" t="str">
        <f t="shared" si="3"/>
        <v/>
      </c>
      <c r="B815" s="138"/>
      <c r="C815" s="138"/>
      <c r="D815" s="139"/>
      <c r="E815" s="138"/>
    </row>
    <row r="816" spans="1:5">
      <c r="A816" s="69" t="str">
        <f t="shared" si="3"/>
        <v/>
      </c>
      <c r="B816" s="141"/>
      <c r="C816" s="141"/>
      <c r="D816" s="139"/>
      <c r="E816" s="141"/>
    </row>
    <row r="817" spans="1:5">
      <c r="A817" s="69" t="str">
        <f t="shared" si="3"/>
        <v/>
      </c>
      <c r="B817" s="138"/>
      <c r="C817" s="138"/>
      <c r="D817" s="139"/>
      <c r="E817" s="138"/>
    </row>
    <row r="818" spans="1:5">
      <c r="A818" s="69" t="str">
        <f t="shared" si="3"/>
        <v/>
      </c>
      <c r="B818" s="141"/>
      <c r="C818" s="141"/>
      <c r="D818" s="139"/>
      <c r="E818" s="141"/>
    </row>
    <row r="819" spans="1:5">
      <c r="A819" s="69" t="str">
        <f t="shared" si="3"/>
        <v/>
      </c>
      <c r="B819" s="138"/>
      <c r="C819" s="138"/>
      <c r="D819" s="139"/>
      <c r="E819" s="138"/>
    </row>
    <row r="820" spans="1:5">
      <c r="A820" s="69" t="str">
        <f t="shared" si="3"/>
        <v/>
      </c>
      <c r="B820" s="141"/>
      <c r="C820" s="141"/>
      <c r="D820" s="139"/>
      <c r="E820" s="141"/>
    </row>
    <row r="821" spans="1:5">
      <c r="A821" s="69" t="str">
        <f t="shared" si="3"/>
        <v/>
      </c>
      <c r="B821" s="138"/>
      <c r="C821" s="138"/>
      <c r="D821" s="139"/>
      <c r="E821" s="138"/>
    </row>
    <row r="822" spans="1:5">
      <c r="A822" s="69" t="str">
        <f t="shared" si="3"/>
        <v/>
      </c>
      <c r="B822" s="141"/>
      <c r="C822" s="141"/>
      <c r="D822" s="139"/>
      <c r="E822" s="141"/>
    </row>
    <row r="823" spans="1:5">
      <c r="A823" s="69" t="str">
        <f t="shared" si="3"/>
        <v/>
      </c>
      <c r="B823" s="138"/>
      <c r="C823" s="138"/>
      <c r="D823" s="139"/>
      <c r="E823" s="138"/>
    </row>
    <row r="824" spans="1:5">
      <c r="A824" s="69" t="str">
        <f t="shared" si="3"/>
        <v/>
      </c>
      <c r="B824" s="141"/>
      <c r="C824" s="141"/>
      <c r="D824" s="139"/>
      <c r="E824" s="141"/>
    </row>
    <row r="825" spans="1:5">
      <c r="A825" s="69" t="str">
        <f t="shared" si="3"/>
        <v/>
      </c>
      <c r="B825" s="138"/>
      <c r="C825" s="138"/>
      <c r="D825" s="139"/>
      <c r="E825" s="138"/>
    </row>
    <row r="826" spans="1:5">
      <c r="A826" s="69" t="str">
        <f t="shared" si="3"/>
        <v/>
      </c>
      <c r="B826" s="141"/>
      <c r="C826" s="141"/>
      <c r="D826" s="139"/>
      <c r="E826" s="141"/>
    </row>
    <row r="827" spans="1:5">
      <c r="A827" s="69" t="str">
        <f t="shared" si="3"/>
        <v/>
      </c>
      <c r="B827" s="138"/>
      <c r="C827" s="138"/>
      <c r="D827" s="139"/>
      <c r="E827" s="138"/>
    </row>
    <row r="828" spans="1:5">
      <c r="A828" s="69" t="str">
        <f t="shared" si="3"/>
        <v/>
      </c>
      <c r="B828" s="141"/>
      <c r="C828" s="141"/>
      <c r="D828" s="139"/>
      <c r="E828" s="141"/>
    </row>
    <row r="829" spans="1:5">
      <c r="A829" s="69" t="str">
        <f t="shared" si="3"/>
        <v/>
      </c>
      <c r="B829" s="138"/>
      <c r="C829" s="138"/>
      <c r="D829" s="139"/>
      <c r="E829" s="138"/>
    </row>
    <row r="830" spans="1:5">
      <c r="A830" s="69" t="str">
        <f t="shared" si="3"/>
        <v/>
      </c>
      <c r="B830" s="141"/>
      <c r="C830" s="141"/>
      <c r="D830" s="139"/>
      <c r="E830" s="141"/>
    </row>
    <row r="831" spans="1:5">
      <c r="A831" s="69" t="str">
        <f t="shared" si="3"/>
        <v/>
      </c>
      <c r="B831" s="138"/>
      <c r="C831" s="138"/>
      <c r="D831" s="139"/>
      <c r="E831" s="138"/>
    </row>
    <row r="832" spans="1:5">
      <c r="A832" s="69" t="str">
        <f t="shared" si="3"/>
        <v/>
      </c>
      <c r="B832" s="141"/>
      <c r="C832" s="141"/>
      <c r="D832" s="139"/>
      <c r="E832" s="141"/>
    </row>
    <row r="833" spans="1:5">
      <c r="A833" s="69" t="str">
        <f t="shared" si="3"/>
        <v/>
      </c>
      <c r="B833" s="138"/>
      <c r="C833" s="138"/>
      <c r="D833" s="139"/>
      <c r="E833" s="138"/>
    </row>
    <row r="834" spans="1:5">
      <c r="A834" s="69" t="str">
        <f t="shared" si="3"/>
        <v/>
      </c>
      <c r="B834" s="141"/>
      <c r="C834" s="141"/>
      <c r="D834" s="139"/>
      <c r="E834" s="141"/>
    </row>
    <row r="835" spans="1:5">
      <c r="A835" s="69" t="str">
        <f t="shared" si="3"/>
        <v/>
      </c>
      <c r="B835" s="138"/>
      <c r="C835" s="138"/>
      <c r="D835" s="139"/>
      <c r="E835" s="138"/>
    </row>
    <row r="836" spans="1:5">
      <c r="A836" s="69" t="str">
        <f t="shared" si="3"/>
        <v/>
      </c>
      <c r="B836" s="141"/>
      <c r="C836" s="141"/>
      <c r="D836" s="139"/>
      <c r="E836" s="141"/>
    </row>
    <row r="837" spans="1:5">
      <c r="A837" s="69" t="str">
        <f t="shared" si="3"/>
        <v/>
      </c>
      <c r="B837" s="138"/>
      <c r="C837" s="138"/>
      <c r="D837" s="139"/>
      <c r="E837" s="138"/>
    </row>
    <row r="838" spans="1:5">
      <c r="A838" s="69" t="str">
        <f t="shared" si="3"/>
        <v/>
      </c>
      <c r="B838" s="141"/>
      <c r="C838" s="141"/>
      <c r="D838" s="139"/>
      <c r="E838" s="141"/>
    </row>
    <row r="839" spans="1:5">
      <c r="A839" s="69" t="str">
        <f t="shared" si="3"/>
        <v/>
      </c>
      <c r="B839" s="138"/>
      <c r="C839" s="138"/>
      <c r="D839" s="139"/>
      <c r="E839" s="138"/>
    </row>
    <row r="840" spans="1:5">
      <c r="A840" s="69" t="str">
        <f t="shared" si="3"/>
        <v/>
      </c>
      <c r="B840" s="141"/>
      <c r="C840" s="141"/>
      <c r="D840" s="139"/>
      <c r="E840" s="141"/>
    </row>
    <row r="841" spans="1:5">
      <c r="A841" s="69" t="str">
        <f t="shared" si="3"/>
        <v/>
      </c>
      <c r="B841" s="138"/>
      <c r="C841" s="138"/>
      <c r="D841" s="139"/>
      <c r="E841" s="138"/>
    </row>
    <row r="842" spans="1:5">
      <c r="A842" s="69" t="str">
        <f t="shared" si="3"/>
        <v/>
      </c>
      <c r="B842" s="141"/>
      <c r="C842" s="141"/>
      <c r="D842" s="139"/>
      <c r="E842" s="141"/>
    </row>
    <row r="843" spans="1:5">
      <c r="A843" s="69" t="str">
        <f t="shared" si="3"/>
        <v/>
      </c>
      <c r="B843" s="138"/>
      <c r="C843" s="138"/>
      <c r="D843" s="139"/>
      <c r="E843" s="138"/>
    </row>
    <row r="844" spans="1:5">
      <c r="A844" s="69" t="str">
        <f t="shared" si="3"/>
        <v/>
      </c>
      <c r="B844" s="141"/>
      <c r="C844" s="141"/>
      <c r="D844" s="139"/>
      <c r="E844" s="141"/>
    </row>
    <row r="845" spans="1:5">
      <c r="A845" s="69" t="str">
        <f t="shared" si="3"/>
        <v/>
      </c>
      <c r="B845" s="138"/>
      <c r="C845" s="138"/>
      <c r="D845" s="139"/>
      <c r="E845" s="138"/>
    </row>
    <row r="846" spans="1:5">
      <c r="A846" s="69" t="str">
        <f t="shared" si="3"/>
        <v/>
      </c>
      <c r="B846" s="141"/>
      <c r="C846" s="141"/>
      <c r="D846" s="139"/>
      <c r="E846" s="141"/>
    </row>
    <row r="847" spans="1:5">
      <c r="A847" s="69" t="str">
        <f t="shared" si="3"/>
        <v/>
      </c>
      <c r="B847" s="138"/>
      <c r="C847" s="138"/>
      <c r="D847" s="139"/>
      <c r="E847" s="138"/>
    </row>
    <row r="848" spans="1:5">
      <c r="A848" s="69" t="str">
        <f t="shared" si="3"/>
        <v/>
      </c>
      <c r="B848" s="141"/>
      <c r="C848" s="141"/>
      <c r="D848" s="139"/>
      <c r="E848" s="141"/>
    </row>
    <row r="849" spans="1:5">
      <c r="A849" s="69" t="str">
        <f t="shared" si="3"/>
        <v/>
      </c>
      <c r="B849" s="138"/>
      <c r="C849" s="138"/>
      <c r="D849" s="139"/>
      <c r="E849" s="138"/>
    </row>
    <row r="850" spans="1:5">
      <c r="A850" s="69" t="str">
        <f t="shared" si="3"/>
        <v/>
      </c>
      <c r="B850" s="141"/>
      <c r="C850" s="141"/>
      <c r="D850" s="139"/>
      <c r="E850" s="141"/>
    </row>
    <row r="851" spans="1:5">
      <c r="A851" s="69" t="str">
        <f t="shared" si="3"/>
        <v/>
      </c>
      <c r="B851" s="138"/>
      <c r="C851" s="138"/>
      <c r="D851" s="139"/>
      <c r="E851" s="138"/>
    </row>
    <row r="852" spans="1:5">
      <c r="A852" s="69" t="str">
        <f t="shared" si="3"/>
        <v/>
      </c>
      <c r="B852" s="141"/>
      <c r="C852" s="141"/>
      <c r="D852" s="139"/>
      <c r="E852" s="141"/>
    </row>
    <row r="853" spans="1:5">
      <c r="A853" s="69" t="str">
        <f t="shared" si="3"/>
        <v/>
      </c>
      <c r="B853" s="138"/>
      <c r="C853" s="138"/>
      <c r="D853" s="139"/>
      <c r="E853" s="138"/>
    </row>
    <row r="854" spans="1:5">
      <c r="A854" s="69" t="str">
        <f t="shared" si="3"/>
        <v/>
      </c>
      <c r="B854" s="141"/>
      <c r="C854" s="141"/>
      <c r="D854" s="139"/>
      <c r="E854" s="141"/>
    </row>
    <row r="855" spans="1:5">
      <c r="A855" s="69" t="str">
        <f t="shared" si="3"/>
        <v/>
      </c>
      <c r="B855" s="138"/>
      <c r="C855" s="138"/>
      <c r="D855" s="139"/>
      <c r="E855" s="138"/>
    </row>
    <row r="856" spans="1:5">
      <c r="A856" s="69" t="str">
        <f t="shared" si="3"/>
        <v/>
      </c>
      <c r="B856" s="141"/>
      <c r="C856" s="141"/>
      <c r="D856" s="139"/>
      <c r="E856" s="141"/>
    </row>
    <row r="857" spans="1:5">
      <c r="A857" s="69" t="str">
        <f t="shared" si="3"/>
        <v/>
      </c>
      <c r="B857" s="138"/>
      <c r="C857" s="138"/>
      <c r="D857" s="139"/>
      <c r="E857" s="138"/>
    </row>
    <row r="858" spans="1:5">
      <c r="A858" s="69" t="str">
        <f t="shared" si="3"/>
        <v/>
      </c>
      <c r="B858" s="141"/>
      <c r="C858" s="141"/>
      <c r="D858" s="139"/>
      <c r="E858" s="141"/>
    </row>
    <row r="859" spans="1:5">
      <c r="A859" s="69" t="str">
        <f t="shared" si="3"/>
        <v/>
      </c>
      <c r="B859" s="138"/>
      <c r="C859" s="138"/>
      <c r="D859" s="139"/>
      <c r="E859" s="138"/>
    </row>
    <row r="860" spans="1:5">
      <c r="A860" s="69" t="str">
        <f t="shared" si="3"/>
        <v/>
      </c>
      <c r="B860" s="141"/>
      <c r="C860" s="141"/>
      <c r="D860" s="139"/>
      <c r="E860" s="141"/>
    </row>
    <row r="861" spans="1:5">
      <c r="A861" s="69" t="str">
        <f t="shared" si="3"/>
        <v/>
      </c>
      <c r="B861" s="138"/>
      <c r="C861" s="138"/>
      <c r="D861" s="139"/>
      <c r="E861" s="138"/>
    </row>
    <row r="862" spans="1:5">
      <c r="A862" s="69" t="str">
        <f t="shared" si="3"/>
        <v/>
      </c>
      <c r="B862" s="141"/>
      <c r="C862" s="141"/>
      <c r="D862" s="139"/>
      <c r="E862" s="141"/>
    </row>
    <row r="863" spans="1:5">
      <c r="A863" s="69" t="str">
        <f t="shared" si="3"/>
        <v/>
      </c>
      <c r="B863" s="138"/>
      <c r="C863" s="138"/>
      <c r="D863" s="139"/>
      <c r="E863" s="138"/>
    </row>
    <row r="864" spans="1:5">
      <c r="A864" s="69" t="str">
        <f t="shared" si="3"/>
        <v/>
      </c>
      <c r="B864" s="141"/>
      <c r="C864" s="141"/>
      <c r="D864" s="139"/>
      <c r="E864" s="141"/>
    </row>
    <row r="865" spans="1:5">
      <c r="A865" s="69" t="str">
        <f t="shared" si="3"/>
        <v/>
      </c>
      <c r="B865" s="138"/>
      <c r="C865" s="138"/>
      <c r="D865" s="139"/>
      <c r="E865" s="138"/>
    </row>
    <row r="866" spans="1:5">
      <c r="A866" s="69" t="str">
        <f t="shared" si="3"/>
        <v/>
      </c>
      <c r="B866" s="141"/>
      <c r="C866" s="141"/>
      <c r="D866" s="139"/>
      <c r="E866" s="141"/>
    </row>
    <row r="867" spans="1:5">
      <c r="A867" s="69" t="str">
        <f t="shared" si="3"/>
        <v/>
      </c>
      <c r="B867" s="138"/>
      <c r="C867" s="138"/>
      <c r="D867" s="139"/>
      <c r="E867" s="138"/>
    </row>
    <row r="868" spans="1:5">
      <c r="A868" s="69" t="str">
        <f t="shared" si="3"/>
        <v/>
      </c>
      <c r="B868" s="141"/>
      <c r="C868" s="141"/>
      <c r="D868" s="139"/>
      <c r="E868" s="141"/>
    </row>
    <row r="869" spans="1:5">
      <c r="A869" s="69" t="str">
        <f t="shared" si="3"/>
        <v/>
      </c>
      <c r="B869" s="138"/>
      <c r="C869" s="138"/>
      <c r="D869" s="139"/>
      <c r="E869" s="138"/>
    </row>
    <row r="870" spans="1:5">
      <c r="A870" s="69" t="str">
        <f t="shared" si="3"/>
        <v/>
      </c>
      <c r="B870" s="141"/>
      <c r="C870" s="141"/>
      <c r="D870" s="139"/>
      <c r="E870" s="141"/>
    </row>
    <row r="871" spans="1:5">
      <c r="A871" s="69" t="str">
        <f t="shared" si="3"/>
        <v/>
      </c>
      <c r="B871" s="138"/>
      <c r="C871" s="138"/>
      <c r="D871" s="139"/>
      <c r="E871" s="138"/>
    </row>
    <row r="872" spans="1:5">
      <c r="A872" s="69" t="str">
        <f t="shared" si="3"/>
        <v/>
      </c>
      <c r="B872" s="141"/>
      <c r="C872" s="141"/>
      <c r="D872" s="139"/>
      <c r="E872" s="141"/>
    </row>
    <row r="873" spans="1:5">
      <c r="A873" s="69" t="str">
        <f t="shared" si="3"/>
        <v/>
      </c>
      <c r="B873" s="138"/>
      <c r="C873" s="138"/>
      <c r="D873" s="139"/>
      <c r="E873" s="138"/>
    </row>
    <row r="874" spans="1:5">
      <c r="A874" s="69" t="str">
        <f t="shared" si="3"/>
        <v/>
      </c>
      <c r="B874" s="141"/>
      <c r="C874" s="141"/>
      <c r="D874" s="139"/>
      <c r="E874" s="141"/>
    </row>
    <row r="875" spans="1:5">
      <c r="A875" s="69" t="str">
        <f t="shared" si="3"/>
        <v/>
      </c>
      <c r="B875" s="138"/>
      <c r="C875" s="138"/>
      <c r="D875" s="139"/>
      <c r="E875" s="138"/>
    </row>
    <row r="876" spans="1:5">
      <c r="A876" s="69" t="str">
        <f t="shared" si="3"/>
        <v/>
      </c>
      <c r="B876" s="141"/>
      <c r="C876" s="141"/>
      <c r="D876" s="139"/>
      <c r="E876" s="141"/>
    </row>
    <row r="877" spans="1:5">
      <c r="A877" s="69" t="str">
        <f t="shared" si="3"/>
        <v/>
      </c>
      <c r="B877" s="138"/>
      <c r="C877" s="138"/>
      <c r="D877" s="139"/>
      <c r="E877" s="138"/>
    </row>
    <row r="878" spans="1:5">
      <c r="A878" s="69" t="str">
        <f t="shared" si="3"/>
        <v/>
      </c>
      <c r="B878" s="141"/>
      <c r="C878" s="141"/>
      <c r="D878" s="139"/>
      <c r="E878" s="141"/>
    </row>
    <row r="879" spans="1:5">
      <c r="A879" s="69" t="str">
        <f t="shared" si="3"/>
        <v/>
      </c>
      <c r="B879" s="138"/>
      <c r="C879" s="138"/>
      <c r="D879" s="139"/>
      <c r="E879" s="138"/>
    </row>
    <row r="880" spans="1:5">
      <c r="A880" s="69" t="str">
        <f t="shared" si="3"/>
        <v/>
      </c>
      <c r="B880" s="141"/>
      <c r="C880" s="141"/>
      <c r="D880" s="139"/>
      <c r="E880" s="141"/>
    </row>
    <row r="881" spans="1:5">
      <c r="A881" s="69" t="str">
        <f t="shared" si="3"/>
        <v/>
      </c>
      <c r="B881" s="138"/>
      <c r="C881" s="138"/>
      <c r="D881" s="139"/>
      <c r="E881" s="138"/>
    </row>
    <row r="882" spans="1:5">
      <c r="A882" s="69" t="str">
        <f t="shared" si="3"/>
        <v/>
      </c>
      <c r="B882" s="141"/>
      <c r="C882" s="141"/>
      <c r="D882" s="139"/>
      <c r="E882" s="141"/>
    </row>
    <row r="883" spans="1:5">
      <c r="A883" s="69" t="str">
        <f t="shared" si="3"/>
        <v/>
      </c>
      <c r="B883" s="138"/>
      <c r="C883" s="138"/>
      <c r="D883" s="139"/>
      <c r="E883" s="138"/>
    </row>
    <row r="884" spans="1:5">
      <c r="A884" s="69" t="str">
        <f t="shared" si="3"/>
        <v/>
      </c>
      <c r="B884" s="141"/>
      <c r="C884" s="141"/>
      <c r="D884" s="139"/>
      <c r="E884" s="141"/>
    </row>
    <row r="885" spans="1:5">
      <c r="A885" s="69" t="str">
        <f t="shared" si="3"/>
        <v/>
      </c>
      <c r="B885" s="138"/>
      <c r="C885" s="138"/>
      <c r="D885" s="139"/>
      <c r="E885" s="138"/>
    </row>
    <row r="886" spans="1:5">
      <c r="A886" s="69" t="str">
        <f t="shared" si="3"/>
        <v/>
      </c>
      <c r="B886" s="141"/>
      <c r="C886" s="141"/>
      <c r="D886" s="139"/>
      <c r="E886" s="141"/>
    </row>
    <row r="887" spans="1:5">
      <c r="A887" s="69" t="str">
        <f t="shared" si="3"/>
        <v/>
      </c>
      <c r="B887" s="138"/>
      <c r="C887" s="138"/>
      <c r="D887" s="139"/>
      <c r="E887" s="138"/>
    </row>
    <row r="888" spans="1:5">
      <c r="A888" s="69" t="str">
        <f t="shared" si="3"/>
        <v/>
      </c>
      <c r="B888" s="141"/>
      <c r="C888" s="141"/>
      <c r="D888" s="139"/>
      <c r="E888" s="141"/>
    </row>
    <row r="889" spans="1:5">
      <c r="A889" s="69" t="str">
        <f t="shared" si="3"/>
        <v/>
      </c>
      <c r="B889" s="138"/>
      <c r="C889" s="138"/>
      <c r="D889" s="139"/>
      <c r="E889" s="138"/>
    </row>
    <row r="890" spans="1:5">
      <c r="A890" s="69" t="str">
        <f t="shared" si="3"/>
        <v/>
      </c>
      <c r="B890" s="141"/>
      <c r="C890" s="141"/>
      <c r="D890" s="139"/>
      <c r="E890" s="141"/>
    </row>
    <row r="891" spans="1:5">
      <c r="A891" s="69" t="str">
        <f t="shared" si="3"/>
        <v/>
      </c>
      <c r="B891" s="138"/>
      <c r="C891" s="138"/>
      <c r="D891" s="139"/>
      <c r="E891" s="138"/>
    </row>
    <row r="892" spans="1:5">
      <c r="A892" s="69" t="str">
        <f t="shared" si="3"/>
        <v/>
      </c>
      <c r="B892" s="141"/>
      <c r="C892" s="141"/>
      <c r="D892" s="139"/>
      <c r="E892" s="141"/>
    </row>
    <row r="893" spans="1:5">
      <c r="A893" s="69" t="str">
        <f t="shared" si="3"/>
        <v/>
      </c>
      <c r="B893" s="138"/>
      <c r="C893" s="138"/>
      <c r="D893" s="139"/>
      <c r="E893" s="138"/>
    </row>
    <row r="894" spans="1:5">
      <c r="A894" s="69" t="str">
        <f t="shared" si="3"/>
        <v/>
      </c>
      <c r="B894" s="141"/>
      <c r="C894" s="141"/>
      <c r="D894" s="139"/>
      <c r="E894" s="141"/>
    </row>
    <row r="895" spans="1:5">
      <c r="A895" s="69" t="str">
        <f t="shared" si="3"/>
        <v/>
      </c>
      <c r="B895" s="138"/>
      <c r="C895" s="138"/>
      <c r="D895" s="139"/>
      <c r="E895" s="138"/>
    </row>
    <row r="896" spans="1:5">
      <c r="A896" s="69" t="str">
        <f t="shared" si="3"/>
        <v/>
      </c>
      <c r="B896" s="141"/>
      <c r="C896" s="141"/>
      <c r="D896" s="139"/>
      <c r="E896" s="141"/>
    </row>
    <row r="897" spans="1:5">
      <c r="A897" s="69" t="str">
        <f t="shared" si="3"/>
        <v/>
      </c>
      <c r="B897" s="138"/>
      <c r="C897" s="138"/>
      <c r="D897" s="139"/>
      <c r="E897" s="138"/>
    </row>
    <row r="898" spans="1:5">
      <c r="A898" s="69" t="str">
        <f t="shared" si="3"/>
        <v/>
      </c>
      <c r="B898" s="141"/>
      <c r="C898" s="141"/>
      <c r="D898" s="139"/>
      <c r="E898" s="141"/>
    </row>
    <row r="899" spans="1:5">
      <c r="A899" s="69" t="str">
        <f t="shared" si="3"/>
        <v/>
      </c>
      <c r="B899" s="138"/>
      <c r="C899" s="138"/>
      <c r="D899" s="139"/>
      <c r="E899" s="138"/>
    </row>
    <row r="900" spans="1:5">
      <c r="A900" s="69" t="str">
        <f t="shared" si="3"/>
        <v/>
      </c>
      <c r="B900" s="141"/>
      <c r="C900" s="141"/>
      <c r="D900" s="139"/>
      <c r="E900" s="141"/>
    </row>
    <row r="901" spans="1:5">
      <c r="A901" s="69" t="str">
        <f t="shared" si="3"/>
        <v/>
      </c>
      <c r="B901" s="138"/>
      <c r="C901" s="138"/>
      <c r="D901" s="139"/>
      <c r="E901" s="138"/>
    </row>
    <row r="902" spans="1:5">
      <c r="A902" s="69" t="str">
        <f t="shared" si="3"/>
        <v/>
      </c>
      <c r="B902" s="141"/>
      <c r="C902" s="141"/>
      <c r="D902" s="139"/>
      <c r="E902" s="141"/>
    </row>
    <row r="903" spans="1:5">
      <c r="A903" s="69" t="str">
        <f t="shared" si="3"/>
        <v/>
      </c>
      <c r="B903" s="138"/>
      <c r="C903" s="138"/>
      <c r="D903" s="139"/>
      <c r="E903" s="138"/>
    </row>
    <row r="904" spans="1:5">
      <c r="A904" s="69" t="str">
        <f t="shared" si="3"/>
        <v/>
      </c>
      <c r="B904" s="141"/>
      <c r="C904" s="141"/>
      <c r="D904" s="139"/>
      <c r="E904" s="141"/>
    </row>
    <row r="905" spans="1:5">
      <c r="A905" s="69" t="str">
        <f t="shared" si="3"/>
        <v/>
      </c>
      <c r="B905" s="138"/>
      <c r="C905" s="138"/>
      <c r="D905" s="139"/>
      <c r="E905" s="138"/>
    </row>
    <row r="906" spans="1:5">
      <c r="A906" s="69" t="str">
        <f t="shared" si="3"/>
        <v/>
      </c>
      <c r="B906" s="141"/>
      <c r="C906" s="141"/>
      <c r="D906" s="139"/>
      <c r="E906" s="141"/>
    </row>
    <row r="907" spans="1:5">
      <c r="A907" s="69" t="str">
        <f t="shared" si="3"/>
        <v/>
      </c>
      <c r="B907" s="138"/>
      <c r="C907" s="138"/>
      <c r="D907" s="139"/>
      <c r="E907" s="138"/>
    </row>
    <row r="908" spans="1:5">
      <c r="A908" s="69" t="str">
        <f t="shared" si="3"/>
        <v/>
      </c>
      <c r="B908" s="141"/>
      <c r="C908" s="141"/>
      <c r="D908" s="139"/>
      <c r="E908" s="141"/>
    </row>
    <row r="909" spans="1:5">
      <c r="A909" s="69" t="str">
        <f t="shared" si="3"/>
        <v/>
      </c>
      <c r="B909" s="138"/>
      <c r="C909" s="138"/>
      <c r="D909" s="139"/>
      <c r="E909" s="138"/>
    </row>
    <row r="910" spans="1:5">
      <c r="A910" s="69" t="str">
        <f t="shared" si="3"/>
        <v/>
      </c>
      <c r="B910" s="141"/>
      <c r="C910" s="141"/>
      <c r="D910" s="139"/>
      <c r="E910" s="141"/>
    </row>
    <row r="911" spans="1:5">
      <c r="A911" s="69" t="str">
        <f t="shared" si="3"/>
        <v/>
      </c>
      <c r="B911" s="138"/>
      <c r="C911" s="138"/>
      <c r="D911" s="139"/>
      <c r="E911" s="138"/>
    </row>
    <row r="912" spans="1:5">
      <c r="A912" s="69" t="str">
        <f t="shared" si="3"/>
        <v/>
      </c>
      <c r="B912" s="141"/>
      <c r="C912" s="141"/>
      <c r="D912" s="139"/>
      <c r="E912" s="141"/>
    </row>
    <row r="913" spans="1:5">
      <c r="A913" s="69" t="str">
        <f t="shared" si="3"/>
        <v/>
      </c>
      <c r="B913" s="138"/>
      <c r="C913" s="138"/>
      <c r="D913" s="139"/>
      <c r="E913" s="138"/>
    </row>
    <row r="914" spans="1:5">
      <c r="A914" s="69" t="str">
        <f t="shared" si="3"/>
        <v/>
      </c>
      <c r="B914" s="141"/>
      <c r="C914" s="141"/>
      <c r="D914" s="139"/>
      <c r="E914" s="141"/>
    </row>
    <row r="915" spans="1:5">
      <c r="A915" s="69" t="str">
        <f t="shared" si="3"/>
        <v/>
      </c>
      <c r="B915" s="138"/>
      <c r="C915" s="138"/>
      <c r="D915" s="139"/>
      <c r="E915" s="138"/>
    </row>
    <row r="916" spans="1:5">
      <c r="A916" s="69" t="str">
        <f t="shared" si="3"/>
        <v/>
      </c>
      <c r="B916" s="141"/>
      <c r="C916" s="141"/>
      <c r="D916" s="139"/>
      <c r="E916" s="141"/>
    </row>
    <row r="917" spans="1:5">
      <c r="A917" s="69" t="str">
        <f t="shared" si="3"/>
        <v/>
      </c>
      <c r="B917" s="138"/>
      <c r="C917" s="138"/>
      <c r="D917" s="139"/>
      <c r="E917" s="138"/>
    </row>
    <row r="918" spans="1:5">
      <c r="A918" s="69" t="str">
        <f t="shared" si="3"/>
        <v/>
      </c>
      <c r="B918" s="141"/>
      <c r="C918" s="141"/>
      <c r="D918" s="139"/>
      <c r="E918" s="141"/>
    </row>
    <row r="919" spans="1:5">
      <c r="A919" s="69" t="str">
        <f t="shared" si="3"/>
        <v/>
      </c>
      <c r="B919" s="138"/>
      <c r="C919" s="138"/>
      <c r="D919" s="139"/>
      <c r="E919" s="138"/>
    </row>
    <row r="920" spans="1:5">
      <c r="A920" s="69" t="str">
        <f t="shared" si="3"/>
        <v/>
      </c>
      <c r="B920" s="141"/>
      <c r="C920" s="141"/>
      <c r="D920" s="139"/>
      <c r="E920" s="141"/>
    </row>
    <row r="921" spans="1:5">
      <c r="A921" s="69" t="str">
        <f t="shared" si="3"/>
        <v/>
      </c>
      <c r="B921" s="138"/>
      <c r="C921" s="138"/>
      <c r="D921" s="139"/>
      <c r="E921" s="138"/>
    </row>
    <row r="922" spans="1:5">
      <c r="A922" s="69" t="str">
        <f t="shared" si="3"/>
        <v/>
      </c>
      <c r="B922" s="141"/>
      <c r="C922" s="141"/>
      <c r="D922" s="139"/>
      <c r="E922" s="141"/>
    </row>
    <row r="923" spans="1:5">
      <c r="A923" s="69" t="str">
        <f t="shared" si="3"/>
        <v/>
      </c>
      <c r="B923" s="138"/>
      <c r="C923" s="138"/>
      <c r="D923" s="139"/>
      <c r="E923" s="138"/>
    </row>
    <row r="924" spans="1:5">
      <c r="A924" s="69" t="str">
        <f t="shared" si="3"/>
        <v/>
      </c>
      <c r="B924" s="141"/>
      <c r="C924" s="141"/>
      <c r="D924" s="139"/>
      <c r="E924" s="141"/>
    </row>
    <row r="925" spans="1:5">
      <c r="A925" s="69" t="str">
        <f t="shared" si="3"/>
        <v/>
      </c>
      <c r="B925" s="138"/>
      <c r="C925" s="138"/>
      <c r="D925" s="139"/>
      <c r="E925" s="138"/>
    </row>
    <row r="926" spans="1:5">
      <c r="A926" s="69" t="str">
        <f t="shared" si="3"/>
        <v/>
      </c>
      <c r="B926" s="141"/>
      <c r="C926" s="141"/>
      <c r="D926" s="139"/>
      <c r="E926" s="141"/>
    </row>
    <row r="927" spans="1:5">
      <c r="A927" s="69" t="str">
        <f t="shared" si="3"/>
        <v/>
      </c>
      <c r="B927" s="138"/>
      <c r="C927" s="138"/>
      <c r="D927" s="139"/>
      <c r="E927" s="138"/>
    </row>
    <row r="928" spans="1:5">
      <c r="A928" s="69" t="str">
        <f t="shared" si="3"/>
        <v/>
      </c>
      <c r="B928" s="141"/>
      <c r="C928" s="141"/>
      <c r="D928" s="139"/>
      <c r="E928" s="141"/>
    </row>
    <row r="929" spans="1:5">
      <c r="A929" s="69" t="str">
        <f t="shared" si="3"/>
        <v/>
      </c>
      <c r="B929" s="138"/>
      <c r="C929" s="138"/>
      <c r="D929" s="139"/>
      <c r="E929" s="138"/>
    </row>
    <row r="930" spans="1:5">
      <c r="A930" s="69" t="str">
        <f t="shared" si="3"/>
        <v/>
      </c>
      <c r="B930" s="141"/>
      <c r="C930" s="141"/>
      <c r="D930" s="139"/>
      <c r="E930" s="141"/>
    </row>
    <row r="931" spans="1:5">
      <c r="A931" s="69" t="str">
        <f t="shared" si="3"/>
        <v/>
      </c>
      <c r="B931" s="138"/>
      <c r="C931" s="138"/>
      <c r="D931" s="139"/>
      <c r="E931" s="138"/>
    </row>
    <row r="932" spans="1:5">
      <c r="A932" s="69" t="str">
        <f t="shared" si="3"/>
        <v/>
      </c>
      <c r="B932" s="141"/>
      <c r="C932" s="141"/>
      <c r="D932" s="139"/>
      <c r="E932" s="141"/>
    </row>
    <row r="933" spans="1:5">
      <c r="A933" s="69" t="str">
        <f t="shared" si="3"/>
        <v/>
      </c>
      <c r="B933" s="138"/>
      <c r="C933" s="138"/>
      <c r="D933" s="139"/>
      <c r="E933" s="138"/>
    </row>
    <row r="934" spans="1:5">
      <c r="A934" s="69" t="str">
        <f t="shared" si="3"/>
        <v/>
      </c>
      <c r="B934" s="141"/>
      <c r="C934" s="141"/>
      <c r="D934" s="139"/>
      <c r="E934" s="141"/>
    </row>
    <row r="935" spans="1:5">
      <c r="A935" s="69" t="str">
        <f t="shared" si="3"/>
        <v/>
      </c>
      <c r="B935" s="138"/>
      <c r="C935" s="138"/>
      <c r="D935" s="139"/>
      <c r="E935" s="138"/>
    </row>
    <row r="936" spans="1:5">
      <c r="A936" s="69" t="str">
        <f t="shared" si="3"/>
        <v/>
      </c>
      <c r="B936" s="141"/>
      <c r="C936" s="141"/>
      <c r="D936" s="139"/>
      <c r="E936" s="141"/>
    </row>
    <row r="937" spans="1:5">
      <c r="A937" s="69" t="str">
        <f t="shared" si="3"/>
        <v/>
      </c>
      <c r="B937" s="138"/>
      <c r="C937" s="138"/>
      <c r="D937" s="139"/>
      <c r="E937" s="138"/>
    </row>
    <row r="938" spans="1:5">
      <c r="A938" s="69" t="str">
        <f t="shared" si="3"/>
        <v/>
      </c>
      <c r="B938" s="141"/>
      <c r="C938" s="141"/>
      <c r="D938" s="139"/>
      <c r="E938" s="141"/>
    </row>
    <row r="939" spans="1:5">
      <c r="A939" s="69" t="str">
        <f t="shared" si="3"/>
        <v/>
      </c>
      <c r="B939" s="138"/>
      <c r="C939" s="138"/>
      <c r="D939" s="139"/>
      <c r="E939" s="138"/>
    </row>
    <row r="940" spans="1:5">
      <c r="A940" s="69" t="str">
        <f t="shared" si="3"/>
        <v/>
      </c>
      <c r="B940" s="141"/>
      <c r="C940" s="141"/>
      <c r="D940" s="139"/>
      <c r="E940" s="141"/>
    </row>
    <row r="941" spans="1:5">
      <c r="A941" s="69" t="str">
        <f t="shared" si="3"/>
        <v/>
      </c>
      <c r="B941" s="138"/>
      <c r="C941" s="138"/>
      <c r="D941" s="139"/>
      <c r="E941" s="138"/>
    </row>
    <row r="942" spans="1:5">
      <c r="A942" s="69" t="str">
        <f t="shared" si="3"/>
        <v/>
      </c>
      <c r="B942" s="141"/>
      <c r="C942" s="141"/>
      <c r="D942" s="139"/>
      <c r="E942" s="141"/>
    </row>
    <row r="943" spans="1:5">
      <c r="A943" s="69" t="str">
        <f t="shared" si="3"/>
        <v/>
      </c>
      <c r="B943" s="138"/>
      <c r="C943" s="138"/>
      <c r="D943" s="139"/>
      <c r="E943" s="138"/>
    </row>
    <row r="944" spans="1:5">
      <c r="A944" s="69" t="str">
        <f t="shared" si="3"/>
        <v/>
      </c>
      <c r="B944" s="141"/>
      <c r="C944" s="141"/>
      <c r="D944" s="139"/>
      <c r="E944" s="141"/>
    </row>
    <row r="945" spans="1:5">
      <c r="A945" s="69" t="str">
        <f t="shared" si="3"/>
        <v/>
      </c>
      <c r="B945" s="138"/>
      <c r="C945" s="138"/>
      <c r="D945" s="139"/>
      <c r="E945" s="138"/>
    </row>
    <row r="946" spans="1:5">
      <c r="A946" s="69" t="str">
        <f t="shared" si="3"/>
        <v/>
      </c>
      <c r="B946" s="141"/>
      <c r="C946" s="141"/>
      <c r="D946" s="139"/>
      <c r="E946" s="141"/>
    </row>
    <row r="947" spans="1:5">
      <c r="A947" s="69" t="str">
        <f t="shared" si="3"/>
        <v/>
      </c>
      <c r="B947" s="138"/>
      <c r="C947" s="138"/>
      <c r="D947" s="139"/>
      <c r="E947" s="138"/>
    </row>
    <row r="948" spans="1:5">
      <c r="A948" s="69" t="str">
        <f t="shared" si="3"/>
        <v/>
      </c>
      <c r="B948" s="141"/>
      <c r="C948" s="141"/>
      <c r="D948" s="139"/>
      <c r="E948" s="141"/>
    </row>
    <row r="949" spans="1:5">
      <c r="A949" s="69" t="str">
        <f t="shared" si="3"/>
        <v/>
      </c>
      <c r="B949" s="138"/>
      <c r="C949" s="138"/>
      <c r="D949" s="139"/>
      <c r="E949" s="138"/>
    </row>
    <row r="950" spans="1:5">
      <c r="A950" s="69" t="str">
        <f t="shared" si="3"/>
        <v/>
      </c>
      <c r="B950" s="141"/>
      <c r="C950" s="141"/>
      <c r="D950" s="139"/>
      <c r="E950" s="141"/>
    </row>
    <row r="951" spans="1:5">
      <c r="A951" s="69" t="str">
        <f t="shared" si="3"/>
        <v/>
      </c>
      <c r="B951" s="138"/>
      <c r="C951" s="138"/>
      <c r="D951" s="139"/>
      <c r="E951" s="138"/>
    </row>
    <row r="952" spans="1:5">
      <c r="A952" s="69" t="str">
        <f t="shared" si="3"/>
        <v/>
      </c>
      <c r="B952" s="141"/>
      <c r="C952" s="141"/>
      <c r="D952" s="139"/>
      <c r="E952" s="141"/>
    </row>
    <row r="953" spans="1:5">
      <c r="A953" s="69" t="str">
        <f t="shared" si="3"/>
        <v/>
      </c>
      <c r="B953" s="138"/>
      <c r="C953" s="138"/>
      <c r="D953" s="139"/>
      <c r="E953" s="138"/>
    </row>
    <row r="954" spans="1:5">
      <c r="A954" s="69" t="str">
        <f t="shared" si="3"/>
        <v/>
      </c>
      <c r="B954" s="141"/>
      <c r="C954" s="141"/>
      <c r="D954" s="139"/>
      <c r="E954" s="141"/>
    </row>
    <row r="955" spans="1:5">
      <c r="A955" s="69" t="str">
        <f t="shared" si="3"/>
        <v/>
      </c>
      <c r="B955" s="138"/>
      <c r="C955" s="138"/>
      <c r="D955" s="139"/>
      <c r="E955" s="138"/>
    </row>
    <row r="956" spans="1:5">
      <c r="A956" s="69" t="str">
        <f t="shared" si="3"/>
        <v/>
      </c>
      <c r="B956" s="141"/>
      <c r="C956" s="141"/>
      <c r="D956" s="139"/>
      <c r="E956" s="141"/>
    </row>
    <row r="957" spans="1:5">
      <c r="A957" s="69" t="str">
        <f t="shared" si="3"/>
        <v/>
      </c>
      <c r="B957" s="138"/>
      <c r="C957" s="138"/>
      <c r="D957" s="139"/>
      <c r="E957" s="138"/>
    </row>
    <row r="958" spans="1:5">
      <c r="A958" s="69" t="str">
        <f t="shared" si="3"/>
        <v/>
      </c>
      <c r="B958" s="141"/>
      <c r="C958" s="141"/>
      <c r="D958" s="139"/>
      <c r="E958" s="141"/>
    </row>
    <row r="959" spans="1:5">
      <c r="A959" s="69" t="str">
        <f t="shared" si="3"/>
        <v/>
      </c>
      <c r="B959" s="138"/>
      <c r="C959" s="138"/>
      <c r="D959" s="139"/>
      <c r="E959" s="138"/>
    </row>
    <row r="960" spans="1:5">
      <c r="A960" s="69" t="str">
        <f t="shared" si="3"/>
        <v/>
      </c>
      <c r="B960" s="141"/>
      <c r="C960" s="141"/>
      <c r="D960" s="139"/>
      <c r="E960" s="141"/>
    </row>
    <row r="961" spans="1:5">
      <c r="A961" s="69" t="str">
        <f t="shared" si="3"/>
        <v/>
      </c>
      <c r="B961" s="138"/>
      <c r="C961" s="138"/>
      <c r="D961" s="139"/>
      <c r="E961" s="138"/>
    </row>
    <row r="962" spans="1:5">
      <c r="A962" s="69" t="str">
        <f t="shared" si="3"/>
        <v/>
      </c>
      <c r="B962" s="141"/>
      <c r="C962" s="141"/>
      <c r="D962" s="139"/>
      <c r="E962" s="141"/>
    </row>
    <row r="963" spans="1:5">
      <c r="A963" s="69" t="str">
        <f t="shared" si="3"/>
        <v/>
      </c>
      <c r="B963" s="138"/>
      <c r="C963" s="138"/>
      <c r="D963" s="139"/>
      <c r="E963" s="138"/>
    </row>
    <row r="964" spans="1:5">
      <c r="A964" s="69" t="str">
        <f t="shared" si="3"/>
        <v/>
      </c>
      <c r="B964" s="141"/>
      <c r="C964" s="141"/>
      <c r="D964" s="139"/>
      <c r="E964" s="141"/>
    </row>
    <row r="965" spans="1:5">
      <c r="A965" s="69" t="str">
        <f t="shared" si="3"/>
        <v/>
      </c>
      <c r="B965" s="138"/>
      <c r="C965" s="138"/>
      <c r="D965" s="139"/>
      <c r="E965" s="138"/>
    </row>
    <row r="966" spans="1:5">
      <c r="A966" s="69" t="str">
        <f t="shared" si="3"/>
        <v/>
      </c>
      <c r="B966" s="141"/>
      <c r="C966" s="141"/>
      <c r="D966" s="139"/>
      <c r="E966" s="141"/>
    </row>
    <row r="967" spans="1:5">
      <c r="A967" s="69" t="str">
        <f t="shared" si="3"/>
        <v/>
      </c>
      <c r="B967" s="138"/>
      <c r="C967" s="138"/>
      <c r="D967" s="139"/>
      <c r="E967" s="138"/>
    </row>
    <row r="968" spans="1:5">
      <c r="A968" s="69" t="str">
        <f t="shared" si="3"/>
        <v/>
      </c>
      <c r="B968" s="141"/>
      <c r="C968" s="141"/>
      <c r="D968" s="139"/>
      <c r="E968" s="141"/>
    </row>
    <row r="969" spans="1:5">
      <c r="A969" s="69" t="str">
        <f t="shared" si="3"/>
        <v/>
      </c>
      <c r="B969" s="138"/>
      <c r="C969" s="138"/>
      <c r="D969" s="139"/>
      <c r="E969" s="138"/>
    </row>
    <row r="970" spans="1:5">
      <c r="A970" s="69" t="str">
        <f t="shared" si="3"/>
        <v/>
      </c>
      <c r="B970" s="141"/>
      <c r="C970" s="141"/>
      <c r="D970" s="139"/>
      <c r="E970" s="141"/>
    </row>
    <row r="971" spans="1:5">
      <c r="A971" s="69" t="str">
        <f t="shared" si="3"/>
        <v/>
      </c>
      <c r="B971" s="138"/>
      <c r="C971" s="138"/>
      <c r="D971" s="139"/>
      <c r="E971" s="138"/>
    </row>
    <row r="972" spans="1:5">
      <c r="A972" s="69" t="str">
        <f t="shared" si="3"/>
        <v/>
      </c>
      <c r="B972" s="141"/>
      <c r="C972" s="141"/>
      <c r="D972" s="139"/>
      <c r="E972" s="141"/>
    </row>
    <row r="973" spans="1:5">
      <c r="A973" s="69" t="str">
        <f t="shared" si="3"/>
        <v/>
      </c>
      <c r="B973" s="138"/>
      <c r="C973" s="138"/>
      <c r="D973" s="139"/>
      <c r="E973" s="138"/>
    </row>
    <row r="974" spans="1:5">
      <c r="A974" s="69" t="str">
        <f t="shared" si="3"/>
        <v/>
      </c>
      <c r="B974" s="141"/>
      <c r="C974" s="141"/>
      <c r="D974" s="139"/>
      <c r="E974" s="141"/>
    </row>
    <row r="975" spans="1:5">
      <c r="A975" s="69" t="str">
        <f t="shared" si="3"/>
        <v/>
      </c>
      <c r="B975" s="138"/>
      <c r="C975" s="138"/>
      <c r="D975" s="139"/>
      <c r="E975" s="138"/>
    </row>
    <row r="976" spans="1:5">
      <c r="A976" s="69" t="str">
        <f t="shared" si="3"/>
        <v/>
      </c>
      <c r="B976" s="141"/>
      <c r="C976" s="141"/>
      <c r="D976" s="139"/>
      <c r="E976" s="141"/>
    </row>
    <row r="977" spans="1:5">
      <c r="A977" s="69" t="str">
        <f t="shared" si="3"/>
        <v/>
      </c>
      <c r="B977" s="138"/>
      <c r="C977" s="138"/>
      <c r="D977" s="139"/>
      <c r="E977" s="138"/>
    </row>
    <row r="978" spans="1:5">
      <c r="A978" s="69" t="str">
        <f t="shared" si="3"/>
        <v/>
      </c>
      <c r="B978" s="141"/>
      <c r="C978" s="141"/>
      <c r="D978" s="139"/>
      <c r="E978" s="141"/>
    </row>
    <row r="979" spans="1:5">
      <c r="A979" s="69" t="str">
        <f t="shared" si="3"/>
        <v/>
      </c>
      <c r="B979" s="138"/>
      <c r="C979" s="138"/>
      <c r="D979" s="139"/>
      <c r="E979" s="138"/>
    </row>
    <row r="980" spans="1:5">
      <c r="A980" s="69" t="str">
        <f t="shared" si="3"/>
        <v/>
      </c>
      <c r="B980" s="141"/>
      <c r="C980" s="141"/>
      <c r="D980" s="139"/>
      <c r="E980" s="141"/>
    </row>
    <row r="981" spans="1:5">
      <c r="A981" s="69" t="str">
        <f t="shared" si="3"/>
        <v/>
      </c>
      <c r="B981" s="138"/>
      <c r="C981" s="138"/>
      <c r="D981" s="139"/>
      <c r="E981" s="138"/>
    </row>
    <row r="982" spans="1:5">
      <c r="A982" s="69" t="str">
        <f t="shared" si="3"/>
        <v/>
      </c>
      <c r="B982" s="141"/>
      <c r="C982" s="141"/>
      <c r="D982" s="139"/>
      <c r="E982" s="141"/>
    </row>
    <row r="983" spans="1:5">
      <c r="A983" s="69" t="str">
        <f t="shared" si="3"/>
        <v/>
      </c>
      <c r="B983" s="138"/>
      <c r="C983" s="138"/>
      <c r="D983" s="139"/>
      <c r="E983" s="138"/>
    </row>
    <row r="984" spans="1:5">
      <c r="A984" s="69" t="str">
        <f t="shared" si="3"/>
        <v/>
      </c>
      <c r="B984" s="141"/>
      <c r="C984" s="141"/>
      <c r="D984" s="139"/>
      <c r="E984" s="141"/>
    </row>
    <row r="985" spans="1:5">
      <c r="A985" s="69" t="str">
        <f t="shared" si="3"/>
        <v/>
      </c>
      <c r="B985" s="138"/>
      <c r="C985" s="138"/>
      <c r="D985" s="139"/>
      <c r="E985" s="138"/>
    </row>
    <row r="986" spans="1:5">
      <c r="A986" s="69" t="str">
        <f t="shared" si="3"/>
        <v/>
      </c>
      <c r="B986" s="141"/>
      <c r="C986" s="141"/>
      <c r="D986" s="139"/>
      <c r="E986" s="141"/>
    </row>
    <row r="987" spans="1:5">
      <c r="A987" s="69" t="str">
        <f t="shared" si="3"/>
        <v/>
      </c>
      <c r="B987" s="138"/>
      <c r="C987" s="138"/>
      <c r="D987" s="139"/>
      <c r="E987" s="138"/>
    </row>
    <row r="988" spans="1:5">
      <c r="A988" s="69" t="str">
        <f t="shared" si="3"/>
        <v/>
      </c>
      <c r="B988" s="141"/>
      <c r="C988" s="141"/>
      <c r="D988" s="139"/>
      <c r="E988" s="141"/>
    </row>
    <row r="989" spans="1:5">
      <c r="A989" s="69" t="str">
        <f t="shared" si="3"/>
        <v/>
      </c>
      <c r="B989" s="138"/>
      <c r="C989" s="138"/>
      <c r="D989" s="139"/>
      <c r="E989" s="138"/>
    </row>
    <row r="990" spans="1:5">
      <c r="A990" s="69" t="str">
        <f t="shared" si="3"/>
        <v/>
      </c>
      <c r="B990" s="141"/>
      <c r="C990" s="141"/>
      <c r="D990" s="139"/>
      <c r="E990" s="141"/>
    </row>
    <row r="991" spans="1:5">
      <c r="A991" s="69" t="str">
        <f t="shared" si="3"/>
        <v/>
      </c>
      <c r="B991" s="138"/>
      <c r="C991" s="138"/>
      <c r="D991" s="139"/>
      <c r="E991" s="138"/>
    </row>
    <row r="992" spans="1:5">
      <c r="A992" s="69" t="str">
        <f t="shared" si="3"/>
        <v/>
      </c>
      <c r="B992" s="141"/>
      <c r="C992" s="141"/>
      <c r="D992" s="139"/>
      <c r="E992" s="141"/>
    </row>
    <row r="993" spans="1:5">
      <c r="A993" s="69" t="str">
        <f t="shared" si="3"/>
        <v/>
      </c>
      <c r="B993" s="138"/>
      <c r="C993" s="138"/>
      <c r="D993" s="139"/>
      <c r="E993" s="138"/>
    </row>
    <row r="994" spans="1:5">
      <c r="A994" s="69" t="str">
        <f t="shared" si="3"/>
        <v/>
      </c>
      <c r="B994" s="141"/>
      <c r="C994" s="141"/>
      <c r="D994" s="139"/>
      <c r="E994" s="141"/>
    </row>
    <row r="995" spans="1:5">
      <c r="A995" s="69" t="str">
        <f t="shared" si="3"/>
        <v/>
      </c>
      <c r="B995" s="138"/>
      <c r="C995" s="138"/>
      <c r="D995" s="139"/>
      <c r="E995" s="138"/>
    </row>
    <row r="996" spans="1:5">
      <c r="A996" s="69" t="str">
        <f t="shared" si="3"/>
        <v/>
      </c>
      <c r="B996" s="141"/>
      <c r="C996" s="141"/>
      <c r="D996" s="139"/>
      <c r="E996" s="141"/>
    </row>
    <row r="997" spans="1:5">
      <c r="A997" s="69" t="str">
        <f t="shared" si="3"/>
        <v/>
      </c>
      <c r="B997" s="138"/>
      <c r="C997" s="138"/>
      <c r="D997" s="139"/>
      <c r="E997" s="138"/>
    </row>
    <row r="998" spans="1:5">
      <c r="A998" s="69" t="str">
        <f t="shared" si="3"/>
        <v/>
      </c>
      <c r="B998" s="141"/>
      <c r="C998" s="141"/>
      <c r="D998" s="139"/>
      <c r="E998" s="141"/>
    </row>
    <row r="999" spans="1:5">
      <c r="A999" s="69" t="str">
        <f t="shared" si="3"/>
        <v/>
      </c>
      <c r="B999" s="138"/>
      <c r="C999" s="138"/>
      <c r="D999" s="139"/>
      <c r="E999" s="138"/>
    </row>
    <row r="1000" spans="1:5">
      <c r="A1000" s="69" t="str">
        <f t="shared" si="3"/>
        <v/>
      </c>
      <c r="B1000" s="141"/>
      <c r="C1000" s="141"/>
      <c r="D1000" s="139"/>
      <c r="E1000" s="141"/>
    </row>
  </sheetData>
  <conditionalFormatting sqref="A3:A1000">
    <cfRule type="expression" dxfId="8" priority="1">
      <formula>$S3="YES"</formula>
    </cfRule>
  </conditionalFormatting>
  <dataValidations count="1">
    <dataValidation type="list" allowBlank="1" sqref="D3:D1000" xr:uid="{00000000-0002-0000-0E00-000000000000}">
      <formula1>#REF!</formula1>
    </dataValidation>
  </dataValidations>
  <pageMargins left="0.7" right="0.7" top="0.75" bottom="0.75" header="0" footer="0"/>
  <pageSetup orientation="portrait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AQ406"/>
  <sheetViews>
    <sheetView workbookViewId="0">
      <pane ySplit="4" topLeftCell="A5" activePane="bottomLeft" state="frozen"/>
      <selection pane="bottomLeft" activeCell="B6" sqref="B6"/>
    </sheetView>
  </sheetViews>
  <sheetFormatPr defaultColWidth="14.453125" defaultRowHeight="15" customHeight="1"/>
  <cols>
    <col min="1" max="1" width="7" customWidth="1"/>
    <col min="2" max="2" width="8.81640625" customWidth="1"/>
    <col min="3" max="3" width="43" customWidth="1"/>
    <col min="8" max="8" width="10" customWidth="1"/>
    <col min="9" max="9" width="10.81640625" customWidth="1"/>
    <col min="10" max="10" width="10.54296875" customWidth="1"/>
  </cols>
  <sheetData>
    <row r="1" spans="1:43" ht="14.5">
      <c r="A1" s="248"/>
      <c r="B1" s="249"/>
      <c r="C1" s="154" t="s">
        <v>1832</v>
      </c>
      <c r="D1" s="155" t="s">
        <v>1833</v>
      </c>
      <c r="E1" s="156" t="s">
        <v>1834</v>
      </c>
      <c r="F1" s="157"/>
      <c r="G1" s="157" t="s">
        <v>1835</v>
      </c>
      <c r="H1" s="250" t="s">
        <v>1836</v>
      </c>
      <c r="I1" s="241"/>
      <c r="J1" s="158" t="s">
        <v>1837</v>
      </c>
      <c r="K1" s="247">
        <f>Q3</f>
        <v>44922</v>
      </c>
      <c r="L1" s="240"/>
      <c r="M1" s="240"/>
      <c r="N1" s="241"/>
      <c r="O1" s="247">
        <f>U3</f>
        <v>44926</v>
      </c>
      <c r="P1" s="240"/>
      <c r="Q1" s="240"/>
      <c r="R1" s="241"/>
      <c r="S1" s="247">
        <f>Y3</f>
        <v>44930</v>
      </c>
      <c r="T1" s="240"/>
      <c r="U1" s="240"/>
      <c r="V1" s="241"/>
      <c r="W1" s="247">
        <f>AC3</f>
        <v>44934</v>
      </c>
      <c r="X1" s="240"/>
      <c r="Y1" s="240"/>
      <c r="Z1" s="241"/>
      <c r="AA1" s="247">
        <f>AG3</f>
        <v>44938</v>
      </c>
      <c r="AB1" s="240"/>
      <c r="AC1" s="240"/>
      <c r="AD1" s="241"/>
      <c r="AE1" s="247">
        <f>AK3</f>
        <v>44942</v>
      </c>
      <c r="AF1" s="240"/>
      <c r="AG1" s="240"/>
      <c r="AH1" s="241"/>
      <c r="AI1" s="247">
        <f>AO3</f>
        <v>44946</v>
      </c>
      <c r="AJ1" s="240"/>
      <c r="AK1" s="240"/>
      <c r="AL1" s="241"/>
      <c r="AM1" s="247">
        <f>AS3</f>
        <v>0</v>
      </c>
      <c r="AN1" s="240"/>
      <c r="AO1" s="240"/>
      <c r="AP1" s="241"/>
      <c r="AQ1" s="159">
        <f ca="1">TODAY()</f>
        <v>46063</v>
      </c>
    </row>
    <row r="2" spans="1:43" ht="14.5">
      <c r="A2" s="251" t="s">
        <v>1838</v>
      </c>
      <c r="B2" s="254" t="s">
        <v>1839</v>
      </c>
      <c r="C2" s="256" t="s">
        <v>1745</v>
      </c>
      <c r="D2" s="257" t="s">
        <v>1840</v>
      </c>
      <c r="E2" s="257" t="s">
        <v>1841</v>
      </c>
      <c r="F2" s="257" t="s">
        <v>1842</v>
      </c>
      <c r="G2" s="257" t="s">
        <v>1843</v>
      </c>
      <c r="H2" s="160"/>
      <c r="I2" s="160"/>
      <c r="J2" s="161"/>
      <c r="K2" s="261" t="s">
        <v>1844</v>
      </c>
      <c r="L2" s="259"/>
      <c r="M2" s="259"/>
      <c r="N2" s="255"/>
      <c r="O2" s="258"/>
      <c r="P2" s="259"/>
      <c r="Q2" s="255"/>
      <c r="R2" s="260" t="s">
        <v>1845</v>
      </c>
      <c r="S2" s="259"/>
      <c r="T2" s="259"/>
      <c r="U2" s="255"/>
      <c r="V2" s="258"/>
      <c r="W2" s="259"/>
      <c r="X2" s="255"/>
      <c r="Y2" s="260" t="s">
        <v>1846</v>
      </c>
      <c r="Z2" s="259"/>
      <c r="AA2" s="259"/>
      <c r="AB2" s="255"/>
      <c r="AC2" s="258"/>
      <c r="AD2" s="259"/>
      <c r="AE2" s="255"/>
      <c r="AF2" s="260" t="s">
        <v>1847</v>
      </c>
      <c r="AG2" s="259"/>
      <c r="AH2" s="259"/>
      <c r="AI2" s="255"/>
      <c r="AJ2" s="258"/>
      <c r="AK2" s="259"/>
      <c r="AL2" s="255"/>
      <c r="AM2" s="260" t="s">
        <v>1848</v>
      </c>
      <c r="AN2" s="259"/>
      <c r="AO2" s="259"/>
      <c r="AP2" s="255"/>
      <c r="AQ2" s="162"/>
    </row>
    <row r="3" spans="1:43" ht="14.5">
      <c r="A3" s="252"/>
      <c r="B3" s="255"/>
      <c r="C3" s="255"/>
      <c r="D3" s="255"/>
      <c r="E3" s="255"/>
      <c r="F3" s="255"/>
      <c r="G3" s="255"/>
      <c r="H3" s="163" t="s">
        <v>1849</v>
      </c>
      <c r="I3" s="163" t="s">
        <v>1850</v>
      </c>
      <c r="J3" s="164" t="str">
        <f ca="1">TEXT(AQ1,"DD-MMM")</f>
        <v>10-Feb</v>
      </c>
      <c r="K3" s="164">
        <v>44916</v>
      </c>
      <c r="L3" s="164">
        <f t="shared" ref="L3:AP3" si="0">K3+1</f>
        <v>44917</v>
      </c>
      <c r="M3" s="164">
        <f t="shared" si="0"/>
        <v>44918</v>
      </c>
      <c r="N3" s="164">
        <f t="shared" si="0"/>
        <v>44919</v>
      </c>
      <c r="O3" s="164">
        <f t="shared" si="0"/>
        <v>44920</v>
      </c>
      <c r="P3" s="164">
        <f t="shared" si="0"/>
        <v>44921</v>
      </c>
      <c r="Q3" s="164">
        <f t="shared" si="0"/>
        <v>44922</v>
      </c>
      <c r="R3" s="164">
        <f t="shared" si="0"/>
        <v>44923</v>
      </c>
      <c r="S3" s="164">
        <f t="shared" si="0"/>
        <v>44924</v>
      </c>
      <c r="T3" s="164">
        <f t="shared" si="0"/>
        <v>44925</v>
      </c>
      <c r="U3" s="164">
        <f t="shared" si="0"/>
        <v>44926</v>
      </c>
      <c r="V3" s="164">
        <f t="shared" si="0"/>
        <v>44927</v>
      </c>
      <c r="W3" s="164">
        <f t="shared" si="0"/>
        <v>44928</v>
      </c>
      <c r="X3" s="164">
        <f t="shared" si="0"/>
        <v>44929</v>
      </c>
      <c r="Y3" s="164">
        <f t="shared" si="0"/>
        <v>44930</v>
      </c>
      <c r="Z3" s="164">
        <f t="shared" si="0"/>
        <v>44931</v>
      </c>
      <c r="AA3" s="164">
        <f t="shared" si="0"/>
        <v>44932</v>
      </c>
      <c r="AB3" s="164">
        <f t="shared" si="0"/>
        <v>44933</v>
      </c>
      <c r="AC3" s="164">
        <f t="shared" si="0"/>
        <v>44934</v>
      </c>
      <c r="AD3" s="164">
        <f t="shared" si="0"/>
        <v>44935</v>
      </c>
      <c r="AE3" s="164">
        <f t="shared" si="0"/>
        <v>44936</v>
      </c>
      <c r="AF3" s="164">
        <f t="shared" si="0"/>
        <v>44937</v>
      </c>
      <c r="AG3" s="164">
        <f t="shared" si="0"/>
        <v>44938</v>
      </c>
      <c r="AH3" s="164">
        <f t="shared" si="0"/>
        <v>44939</v>
      </c>
      <c r="AI3" s="164">
        <f t="shared" si="0"/>
        <v>44940</v>
      </c>
      <c r="AJ3" s="164">
        <f t="shared" si="0"/>
        <v>44941</v>
      </c>
      <c r="AK3" s="164">
        <f t="shared" si="0"/>
        <v>44942</v>
      </c>
      <c r="AL3" s="164">
        <f t="shared" si="0"/>
        <v>44943</v>
      </c>
      <c r="AM3" s="164">
        <f t="shared" si="0"/>
        <v>44944</v>
      </c>
      <c r="AN3" s="164">
        <f t="shared" si="0"/>
        <v>44945</v>
      </c>
      <c r="AO3" s="164">
        <f t="shared" si="0"/>
        <v>44946</v>
      </c>
      <c r="AP3" s="165">
        <f t="shared" si="0"/>
        <v>44947</v>
      </c>
      <c r="AQ3" s="165"/>
    </row>
    <row r="4" spans="1:43" ht="14.5">
      <c r="A4" s="253"/>
      <c r="B4" s="249"/>
      <c r="C4" s="249"/>
      <c r="D4" s="249"/>
      <c r="E4" s="249"/>
      <c r="F4" s="249"/>
      <c r="G4" s="249"/>
      <c r="H4" s="166"/>
      <c r="I4" s="166"/>
      <c r="J4" s="167" t="str">
        <f ca="1">TEXT(AQ1,"DDD")</f>
        <v>Tue</v>
      </c>
      <c r="K4" s="166" t="str">
        <f t="shared" ref="K4:AP4" si="1">LEFT(TEXT(K3,"ddd"),1)</f>
        <v>W</v>
      </c>
      <c r="L4" s="166" t="str">
        <f t="shared" si="1"/>
        <v>T</v>
      </c>
      <c r="M4" s="166" t="str">
        <f t="shared" si="1"/>
        <v>F</v>
      </c>
      <c r="N4" s="166" t="str">
        <f t="shared" si="1"/>
        <v>S</v>
      </c>
      <c r="O4" s="166" t="str">
        <f t="shared" si="1"/>
        <v>S</v>
      </c>
      <c r="P4" s="166" t="str">
        <f t="shared" si="1"/>
        <v>M</v>
      </c>
      <c r="Q4" s="166" t="str">
        <f t="shared" si="1"/>
        <v>T</v>
      </c>
      <c r="R4" s="166" t="str">
        <f t="shared" si="1"/>
        <v>W</v>
      </c>
      <c r="S4" s="166" t="str">
        <f t="shared" si="1"/>
        <v>T</v>
      </c>
      <c r="T4" s="166" t="str">
        <f t="shared" si="1"/>
        <v>F</v>
      </c>
      <c r="U4" s="166" t="str">
        <f t="shared" si="1"/>
        <v>S</v>
      </c>
      <c r="V4" s="166" t="str">
        <f t="shared" si="1"/>
        <v>S</v>
      </c>
      <c r="W4" s="166" t="str">
        <f t="shared" si="1"/>
        <v>M</v>
      </c>
      <c r="X4" s="166" t="str">
        <f t="shared" si="1"/>
        <v>T</v>
      </c>
      <c r="Y4" s="166" t="str">
        <f t="shared" si="1"/>
        <v>W</v>
      </c>
      <c r="Z4" s="166" t="str">
        <f t="shared" si="1"/>
        <v>T</v>
      </c>
      <c r="AA4" s="166" t="str">
        <f t="shared" si="1"/>
        <v>F</v>
      </c>
      <c r="AB4" s="166" t="str">
        <f t="shared" si="1"/>
        <v>S</v>
      </c>
      <c r="AC4" s="166" t="str">
        <f t="shared" si="1"/>
        <v>S</v>
      </c>
      <c r="AD4" s="166" t="str">
        <f t="shared" si="1"/>
        <v>M</v>
      </c>
      <c r="AE4" s="166" t="str">
        <f t="shared" si="1"/>
        <v>T</v>
      </c>
      <c r="AF4" s="166" t="str">
        <f t="shared" si="1"/>
        <v>W</v>
      </c>
      <c r="AG4" s="166" t="str">
        <f t="shared" si="1"/>
        <v>T</v>
      </c>
      <c r="AH4" s="166" t="str">
        <f t="shared" si="1"/>
        <v>F</v>
      </c>
      <c r="AI4" s="166" t="str">
        <f t="shared" si="1"/>
        <v>S</v>
      </c>
      <c r="AJ4" s="166" t="str">
        <f t="shared" si="1"/>
        <v>S</v>
      </c>
      <c r="AK4" s="166" t="str">
        <f t="shared" si="1"/>
        <v>M</v>
      </c>
      <c r="AL4" s="166" t="str">
        <f t="shared" si="1"/>
        <v>T</v>
      </c>
      <c r="AM4" s="166" t="str">
        <f t="shared" si="1"/>
        <v>W</v>
      </c>
      <c r="AN4" s="166" t="str">
        <f t="shared" si="1"/>
        <v>T</v>
      </c>
      <c r="AO4" s="166" t="str">
        <f t="shared" si="1"/>
        <v>F</v>
      </c>
      <c r="AP4" s="168" t="str">
        <f t="shared" si="1"/>
        <v>S</v>
      </c>
      <c r="AQ4" s="168"/>
    </row>
    <row r="5" spans="1:43" ht="14.5" hidden="1">
      <c r="A5" s="169"/>
      <c r="B5" s="170"/>
      <c r="C5" s="170"/>
      <c r="D5" s="170"/>
      <c r="E5" s="170"/>
      <c r="F5" s="171"/>
      <c r="G5" s="171"/>
      <c r="H5" s="172"/>
      <c r="I5" s="173"/>
      <c r="J5" s="173"/>
      <c r="K5" s="174" t="s">
        <v>1851</v>
      </c>
      <c r="L5" s="174" t="s">
        <v>1851</v>
      </c>
      <c r="M5" s="174" t="s">
        <v>1851</v>
      </c>
      <c r="N5" s="174" t="s">
        <v>1851</v>
      </c>
      <c r="O5" s="174" t="s">
        <v>1851</v>
      </c>
      <c r="P5" s="174" t="s">
        <v>1851</v>
      </c>
      <c r="Q5" s="174" t="s">
        <v>1851</v>
      </c>
      <c r="R5" s="174" t="s">
        <v>1851</v>
      </c>
      <c r="S5" s="174" t="s">
        <v>1851</v>
      </c>
      <c r="T5" s="174" t="s">
        <v>1851</v>
      </c>
      <c r="U5" s="174" t="s">
        <v>1851</v>
      </c>
      <c r="V5" s="174" t="s">
        <v>1851</v>
      </c>
      <c r="W5" s="174" t="s">
        <v>1851</v>
      </c>
      <c r="X5" s="174" t="s">
        <v>1851</v>
      </c>
      <c r="Y5" s="174" t="s">
        <v>1851</v>
      </c>
      <c r="Z5" s="174" t="s">
        <v>1851</v>
      </c>
      <c r="AA5" s="174" t="s">
        <v>1851</v>
      </c>
      <c r="AB5" s="174" t="s">
        <v>1851</v>
      </c>
      <c r="AC5" s="174" t="s">
        <v>1851</v>
      </c>
      <c r="AD5" s="174" t="s">
        <v>1851</v>
      </c>
      <c r="AE5" s="174" t="s">
        <v>1851</v>
      </c>
      <c r="AF5" s="174" t="s">
        <v>1851</v>
      </c>
      <c r="AG5" s="174" t="s">
        <v>1851</v>
      </c>
      <c r="AH5" s="174" t="s">
        <v>1851</v>
      </c>
      <c r="AI5" s="174" t="s">
        <v>1851</v>
      </c>
      <c r="AJ5" s="174" t="s">
        <v>1851</v>
      </c>
      <c r="AK5" s="174" t="s">
        <v>1851</v>
      </c>
      <c r="AL5" s="174" t="s">
        <v>1851</v>
      </c>
      <c r="AM5" s="174" t="s">
        <v>1851</v>
      </c>
      <c r="AN5" s="174" t="s">
        <v>1851</v>
      </c>
      <c r="AO5" s="174" t="s">
        <v>1851</v>
      </c>
      <c r="AP5" s="174" t="s">
        <v>1851</v>
      </c>
      <c r="AQ5" s="175"/>
    </row>
    <row r="6" spans="1:43" ht="14.5">
      <c r="A6" s="169"/>
      <c r="B6" s="170"/>
      <c r="C6" s="176" t="s">
        <v>1852</v>
      </c>
      <c r="D6" s="177">
        <v>250</v>
      </c>
      <c r="E6" s="178">
        <v>7</v>
      </c>
      <c r="F6" s="179">
        <v>1</v>
      </c>
      <c r="G6" s="180">
        <f>D6*E6*F6</f>
        <v>1750</v>
      </c>
      <c r="H6" s="181" t="s">
        <v>2041</v>
      </c>
      <c r="I6" s="182">
        <v>0</v>
      </c>
      <c r="J6" s="183" t="e">
        <f ca="1">HLOOKUP(J3,$K$6:$AP$406,2,FALSE)</f>
        <v>#N/A</v>
      </c>
      <c r="K6" s="184" t="s">
        <v>2042</v>
      </c>
      <c r="L6" s="184" t="s">
        <v>2042</v>
      </c>
      <c r="M6" s="184" t="s">
        <v>2042</v>
      </c>
      <c r="N6" s="184" t="s">
        <v>2042</v>
      </c>
      <c r="O6" s="184" t="s">
        <v>2042</v>
      </c>
      <c r="P6" s="184" t="s">
        <v>2042</v>
      </c>
      <c r="Q6" s="184" t="s">
        <v>2042</v>
      </c>
      <c r="R6" s="184" t="s">
        <v>2042</v>
      </c>
      <c r="S6" s="184" t="s">
        <v>2042</v>
      </c>
      <c r="T6" s="184" t="s">
        <v>2042</v>
      </c>
      <c r="U6" s="184" t="s">
        <v>2042</v>
      </c>
      <c r="V6" s="184" t="s">
        <v>2042</v>
      </c>
      <c r="W6" s="184" t="s">
        <v>2042</v>
      </c>
      <c r="X6" s="184" t="s">
        <v>2042</v>
      </c>
      <c r="Y6" s="184" t="s">
        <v>2042</v>
      </c>
      <c r="Z6" s="184" t="s">
        <v>2042</v>
      </c>
      <c r="AA6" s="184" t="s">
        <v>2042</v>
      </c>
      <c r="AB6" s="185" t="s">
        <v>2042</v>
      </c>
      <c r="AC6" s="185" t="s">
        <v>2042</v>
      </c>
      <c r="AD6" s="185" t="s">
        <v>2042</v>
      </c>
      <c r="AE6" s="185" t="s">
        <v>2042</v>
      </c>
      <c r="AF6" s="185" t="s">
        <v>2042</v>
      </c>
      <c r="AG6" s="185" t="s">
        <v>2042</v>
      </c>
      <c r="AH6" s="185" t="s">
        <v>2042</v>
      </c>
      <c r="AI6" s="185" t="s">
        <v>2042</v>
      </c>
      <c r="AJ6" s="185" t="s">
        <v>2042</v>
      </c>
      <c r="AK6" s="185" t="s">
        <v>2042</v>
      </c>
      <c r="AL6" s="185" t="s">
        <v>2042</v>
      </c>
      <c r="AM6" s="185" t="s">
        <v>2042</v>
      </c>
      <c r="AN6" s="185" t="s">
        <v>2042</v>
      </c>
      <c r="AO6" s="185" t="s">
        <v>2042</v>
      </c>
      <c r="AP6" s="185" t="s">
        <v>2042</v>
      </c>
      <c r="AQ6" s="175"/>
    </row>
    <row r="7" spans="1:43" ht="14.5">
      <c r="A7" s="169"/>
      <c r="B7" s="170"/>
      <c r="C7" s="176" t="s">
        <v>1853</v>
      </c>
      <c r="D7" s="177">
        <v>250</v>
      </c>
      <c r="E7" s="178">
        <v>7</v>
      </c>
      <c r="F7" s="179">
        <v>1</v>
      </c>
      <c r="G7" s="186">
        <f>IF(C7="","",SUMIFS(MRP!$D$5:$D1000,MRP!$B$5:$B1000,C7))*E7</f>
        <v>0</v>
      </c>
      <c r="H7" s="181" t="s">
        <v>2041</v>
      </c>
      <c r="I7" s="182">
        <v>0</v>
      </c>
      <c r="J7" s="183" t="s">
        <v>2042</v>
      </c>
      <c r="K7" s="184" t="s">
        <v>2042</v>
      </c>
      <c r="L7" s="184" t="s">
        <v>2042</v>
      </c>
      <c r="M7" s="184" t="s">
        <v>2042</v>
      </c>
      <c r="N7" s="184" t="s">
        <v>2042</v>
      </c>
      <c r="O7" s="184" t="s">
        <v>2042</v>
      </c>
      <c r="P7" s="184" t="s">
        <v>2042</v>
      </c>
      <c r="Q7" s="184" t="s">
        <v>2042</v>
      </c>
      <c r="R7" s="184" t="s">
        <v>2042</v>
      </c>
      <c r="S7" s="184" t="s">
        <v>2042</v>
      </c>
      <c r="T7" s="184" t="s">
        <v>2042</v>
      </c>
      <c r="U7" s="184" t="s">
        <v>2042</v>
      </c>
      <c r="V7" s="184" t="s">
        <v>2042</v>
      </c>
      <c r="W7" s="184" t="s">
        <v>2042</v>
      </c>
      <c r="X7" s="184" t="s">
        <v>2042</v>
      </c>
      <c r="Y7" s="184" t="s">
        <v>2042</v>
      </c>
      <c r="Z7" s="184" t="s">
        <v>2042</v>
      </c>
      <c r="AA7" s="184" t="s">
        <v>2042</v>
      </c>
      <c r="AB7" s="184" t="s">
        <v>2042</v>
      </c>
      <c r="AC7" s="184" t="s">
        <v>2042</v>
      </c>
      <c r="AD7" s="184" t="s">
        <v>2042</v>
      </c>
      <c r="AE7" s="184" t="s">
        <v>2042</v>
      </c>
      <c r="AF7" s="184" t="s">
        <v>2042</v>
      </c>
      <c r="AG7" s="184" t="s">
        <v>2042</v>
      </c>
      <c r="AH7" s="184" t="s">
        <v>2042</v>
      </c>
      <c r="AI7" s="184" t="s">
        <v>2042</v>
      </c>
      <c r="AJ7" s="184" t="s">
        <v>2042</v>
      </c>
      <c r="AK7" s="184" t="s">
        <v>2042</v>
      </c>
      <c r="AL7" s="184" t="s">
        <v>2042</v>
      </c>
      <c r="AM7" s="184" t="s">
        <v>2042</v>
      </c>
      <c r="AN7" s="184" t="s">
        <v>2042</v>
      </c>
      <c r="AO7" s="184" t="s">
        <v>2042</v>
      </c>
      <c r="AP7" s="184" t="s">
        <v>2042</v>
      </c>
      <c r="AQ7" s="175"/>
    </row>
    <row r="8" spans="1:43" ht="14.5">
      <c r="A8" s="169"/>
      <c r="B8" s="170"/>
      <c r="C8" s="176" t="s">
        <v>1854</v>
      </c>
      <c r="D8" s="177"/>
      <c r="E8" s="178">
        <v>1</v>
      </c>
      <c r="F8" s="179"/>
      <c r="G8" s="186">
        <f>IF(C8="","",SUMIFS(MRP!$D$5:$D1000,MRP!$B$5:$B1000,C8))*E8</f>
        <v>0</v>
      </c>
      <c r="H8" s="181" t="s">
        <v>2041</v>
      </c>
      <c r="I8" s="182">
        <v>0</v>
      </c>
      <c r="J8" s="183" t="s">
        <v>2042</v>
      </c>
      <c r="K8" s="184" t="s">
        <v>2042</v>
      </c>
      <c r="L8" s="184" t="s">
        <v>2042</v>
      </c>
      <c r="M8" s="184" t="s">
        <v>2042</v>
      </c>
      <c r="N8" s="184" t="s">
        <v>2042</v>
      </c>
      <c r="O8" s="184" t="s">
        <v>2042</v>
      </c>
      <c r="P8" s="184" t="s">
        <v>2042</v>
      </c>
      <c r="Q8" s="184" t="s">
        <v>2042</v>
      </c>
      <c r="R8" s="184" t="s">
        <v>2042</v>
      </c>
      <c r="S8" s="184" t="s">
        <v>2042</v>
      </c>
      <c r="T8" s="184" t="s">
        <v>2042</v>
      </c>
      <c r="U8" s="184" t="s">
        <v>2042</v>
      </c>
      <c r="V8" s="184" t="s">
        <v>2042</v>
      </c>
      <c r="W8" s="184" t="s">
        <v>2042</v>
      </c>
      <c r="X8" s="184" t="s">
        <v>2042</v>
      </c>
      <c r="Y8" s="184" t="s">
        <v>2042</v>
      </c>
      <c r="Z8" s="184" t="s">
        <v>2042</v>
      </c>
      <c r="AA8" s="184" t="s">
        <v>2042</v>
      </c>
      <c r="AB8" s="184" t="s">
        <v>2042</v>
      </c>
      <c r="AC8" s="184" t="s">
        <v>2042</v>
      </c>
      <c r="AD8" s="184" t="s">
        <v>2042</v>
      </c>
      <c r="AE8" s="184" t="s">
        <v>2042</v>
      </c>
      <c r="AF8" s="184" t="s">
        <v>2042</v>
      </c>
      <c r="AG8" s="184" t="s">
        <v>2042</v>
      </c>
      <c r="AH8" s="184" t="s">
        <v>2042</v>
      </c>
      <c r="AI8" s="184" t="s">
        <v>2042</v>
      </c>
      <c r="AJ8" s="184" t="s">
        <v>2042</v>
      </c>
      <c r="AK8" s="184" t="s">
        <v>2042</v>
      </c>
      <c r="AL8" s="184" t="s">
        <v>2042</v>
      </c>
      <c r="AM8" s="184" t="s">
        <v>2042</v>
      </c>
      <c r="AN8" s="184" t="s">
        <v>2042</v>
      </c>
      <c r="AO8" s="184" t="s">
        <v>2042</v>
      </c>
      <c r="AP8" s="184" t="s">
        <v>2042</v>
      </c>
      <c r="AQ8" s="175"/>
    </row>
    <row r="9" spans="1:43" ht="14.5">
      <c r="A9" s="169"/>
      <c r="B9" s="170"/>
      <c r="C9" s="176" t="s">
        <v>1855</v>
      </c>
      <c r="D9" s="177"/>
      <c r="E9" s="178">
        <v>1</v>
      </c>
      <c r="F9" s="179"/>
      <c r="G9" s="186">
        <f>IF(C9="","",SUMIFS(MRP!$D$5:$D1000,MRP!$B$5:$B1000,C9))*E9</f>
        <v>0</v>
      </c>
      <c r="H9" s="181" t="s">
        <v>2041</v>
      </c>
      <c r="I9" s="182">
        <v>0</v>
      </c>
      <c r="J9" s="183" t="s">
        <v>2042</v>
      </c>
      <c r="K9" s="185" t="s">
        <v>2042</v>
      </c>
      <c r="L9" s="185" t="s">
        <v>2042</v>
      </c>
      <c r="M9" s="185" t="s">
        <v>2042</v>
      </c>
      <c r="N9" s="185" t="s">
        <v>2042</v>
      </c>
      <c r="O9" s="185" t="s">
        <v>2042</v>
      </c>
      <c r="P9" s="185" t="s">
        <v>2042</v>
      </c>
      <c r="Q9" s="185" t="s">
        <v>2042</v>
      </c>
      <c r="R9" s="185" t="s">
        <v>2042</v>
      </c>
      <c r="S9" s="185" t="s">
        <v>2042</v>
      </c>
      <c r="T9" s="185" t="s">
        <v>2042</v>
      </c>
      <c r="U9" s="185" t="s">
        <v>2042</v>
      </c>
      <c r="V9" s="185" t="s">
        <v>2042</v>
      </c>
      <c r="W9" s="185" t="s">
        <v>2042</v>
      </c>
      <c r="X9" s="185" t="s">
        <v>2042</v>
      </c>
      <c r="Y9" s="185" t="s">
        <v>2042</v>
      </c>
      <c r="Z9" s="185" t="s">
        <v>2042</v>
      </c>
      <c r="AA9" s="185" t="s">
        <v>2042</v>
      </c>
      <c r="AB9" s="185" t="s">
        <v>2042</v>
      </c>
      <c r="AC9" s="185" t="s">
        <v>2042</v>
      </c>
      <c r="AD9" s="185" t="s">
        <v>2042</v>
      </c>
      <c r="AE9" s="185" t="s">
        <v>2042</v>
      </c>
      <c r="AF9" s="185" t="s">
        <v>2042</v>
      </c>
      <c r="AG9" s="185" t="s">
        <v>2042</v>
      </c>
      <c r="AH9" s="185" t="s">
        <v>2042</v>
      </c>
      <c r="AI9" s="185" t="s">
        <v>2042</v>
      </c>
      <c r="AJ9" s="185" t="s">
        <v>2042</v>
      </c>
      <c r="AK9" s="185" t="s">
        <v>2042</v>
      </c>
      <c r="AL9" s="185" t="s">
        <v>2042</v>
      </c>
      <c r="AM9" s="185" t="s">
        <v>2042</v>
      </c>
      <c r="AN9" s="185" t="s">
        <v>2042</v>
      </c>
      <c r="AO9" s="185" t="s">
        <v>2042</v>
      </c>
      <c r="AP9" s="185" t="s">
        <v>2042</v>
      </c>
      <c r="AQ9" s="175"/>
    </row>
    <row r="10" spans="1:43" ht="14.5">
      <c r="A10" s="169"/>
      <c r="B10" s="170"/>
      <c r="C10" s="176" t="s">
        <v>1856</v>
      </c>
      <c r="D10" s="177"/>
      <c r="E10" s="178">
        <v>1</v>
      </c>
      <c r="F10" s="179"/>
      <c r="G10" s="186">
        <f>IF(C10="","",SUMIFS(MRP!$D$5:$D1000,MRP!$B$5:$B1000,C10))*E10</f>
        <v>0</v>
      </c>
      <c r="H10" s="181" t="s">
        <v>2041</v>
      </c>
      <c r="I10" s="182">
        <v>0</v>
      </c>
      <c r="J10" s="183" t="s">
        <v>2042</v>
      </c>
      <c r="K10" s="184" t="s">
        <v>2042</v>
      </c>
      <c r="L10" s="184" t="s">
        <v>2042</v>
      </c>
      <c r="M10" s="184" t="s">
        <v>2042</v>
      </c>
      <c r="N10" s="184" t="s">
        <v>2042</v>
      </c>
      <c r="O10" s="184" t="s">
        <v>2042</v>
      </c>
      <c r="P10" s="184" t="s">
        <v>2042</v>
      </c>
      <c r="Q10" s="184" t="s">
        <v>2042</v>
      </c>
      <c r="R10" s="184" t="s">
        <v>2042</v>
      </c>
      <c r="S10" s="184" t="s">
        <v>2042</v>
      </c>
      <c r="T10" s="184" t="s">
        <v>2042</v>
      </c>
      <c r="U10" s="184" t="s">
        <v>2042</v>
      </c>
      <c r="V10" s="184" t="s">
        <v>2042</v>
      </c>
      <c r="W10" s="184" t="s">
        <v>2042</v>
      </c>
      <c r="X10" s="184" t="s">
        <v>2042</v>
      </c>
      <c r="Y10" s="184" t="s">
        <v>2042</v>
      </c>
      <c r="Z10" s="184" t="s">
        <v>2042</v>
      </c>
      <c r="AA10" s="184" t="s">
        <v>2042</v>
      </c>
      <c r="AB10" s="184" t="s">
        <v>2042</v>
      </c>
      <c r="AC10" s="184" t="s">
        <v>2042</v>
      </c>
      <c r="AD10" s="184" t="s">
        <v>2042</v>
      </c>
      <c r="AE10" s="184" t="s">
        <v>2042</v>
      </c>
      <c r="AF10" s="184" t="s">
        <v>2042</v>
      </c>
      <c r="AG10" s="184" t="s">
        <v>2042</v>
      </c>
      <c r="AH10" s="184" t="s">
        <v>2042</v>
      </c>
      <c r="AI10" s="184" t="s">
        <v>2042</v>
      </c>
      <c r="AJ10" s="184" t="s">
        <v>2042</v>
      </c>
      <c r="AK10" s="184" t="s">
        <v>2042</v>
      </c>
      <c r="AL10" s="184" t="s">
        <v>2042</v>
      </c>
      <c r="AM10" s="184" t="s">
        <v>2042</v>
      </c>
      <c r="AN10" s="184" t="s">
        <v>2042</v>
      </c>
      <c r="AO10" s="184" t="s">
        <v>2042</v>
      </c>
      <c r="AP10" s="184" t="s">
        <v>2042</v>
      </c>
      <c r="AQ10" s="175"/>
    </row>
    <row r="11" spans="1:43" ht="14.5">
      <c r="A11" s="169"/>
      <c r="B11" s="170"/>
      <c r="C11" s="176" t="s">
        <v>1675</v>
      </c>
      <c r="D11" s="177"/>
      <c r="E11" s="178">
        <v>1</v>
      </c>
      <c r="F11" s="179"/>
      <c r="G11" s="186">
        <f>IF(C11="","",SUMIFS(MRP!$D$5:$D1000,MRP!$B$5:$B1000,C11))*E11</f>
        <v>0</v>
      </c>
      <c r="H11" s="181" t="s">
        <v>2041</v>
      </c>
      <c r="I11" s="182">
        <v>0</v>
      </c>
      <c r="J11" s="183" t="s">
        <v>2042</v>
      </c>
      <c r="K11" s="187" t="s">
        <v>2042</v>
      </c>
      <c r="L11" s="187" t="s">
        <v>2042</v>
      </c>
      <c r="M11" s="187" t="s">
        <v>2042</v>
      </c>
      <c r="N11" s="187" t="s">
        <v>2042</v>
      </c>
      <c r="O11" s="187" t="s">
        <v>2042</v>
      </c>
      <c r="P11" s="184" t="s">
        <v>2042</v>
      </c>
      <c r="Q11" s="185" t="s">
        <v>2042</v>
      </c>
      <c r="R11" s="185" t="s">
        <v>2042</v>
      </c>
      <c r="S11" s="185" t="s">
        <v>2042</v>
      </c>
      <c r="T11" s="185" t="s">
        <v>2042</v>
      </c>
      <c r="U11" s="185" t="s">
        <v>2042</v>
      </c>
      <c r="V11" s="185" t="s">
        <v>2042</v>
      </c>
      <c r="W11" s="185" t="s">
        <v>2042</v>
      </c>
      <c r="X11" s="185" t="s">
        <v>2042</v>
      </c>
      <c r="Y11" s="185" t="s">
        <v>2042</v>
      </c>
      <c r="Z11" s="185" t="s">
        <v>2042</v>
      </c>
      <c r="AA11" s="185" t="s">
        <v>2042</v>
      </c>
      <c r="AB11" s="185" t="s">
        <v>2042</v>
      </c>
      <c r="AC11" s="185" t="s">
        <v>2042</v>
      </c>
      <c r="AD11" s="185" t="s">
        <v>2042</v>
      </c>
      <c r="AE11" s="185" t="s">
        <v>2042</v>
      </c>
      <c r="AF11" s="185" t="s">
        <v>2042</v>
      </c>
      <c r="AG11" s="185" t="s">
        <v>2042</v>
      </c>
      <c r="AH11" s="185" t="s">
        <v>2042</v>
      </c>
      <c r="AI11" s="185" t="s">
        <v>2042</v>
      </c>
      <c r="AJ11" s="185" t="s">
        <v>2042</v>
      </c>
      <c r="AK11" s="185" t="s">
        <v>2042</v>
      </c>
      <c r="AL11" s="185" t="s">
        <v>2042</v>
      </c>
      <c r="AM11" s="185" t="s">
        <v>2042</v>
      </c>
      <c r="AN11" s="185" t="s">
        <v>2042</v>
      </c>
      <c r="AO11" s="185" t="s">
        <v>2042</v>
      </c>
      <c r="AP11" s="185" t="s">
        <v>2042</v>
      </c>
      <c r="AQ11" s="175"/>
    </row>
    <row r="12" spans="1:43" ht="14.5">
      <c r="A12" s="169"/>
      <c r="B12" s="170"/>
      <c r="C12" s="176" t="s">
        <v>1193</v>
      </c>
      <c r="D12" s="177"/>
      <c r="E12" s="178">
        <v>1</v>
      </c>
      <c r="F12" s="179"/>
      <c r="G12" s="186">
        <f>IF(C12="","",SUMIFS(MRP!$D$5:$D1000,MRP!$B$5:$B1000,C12))*E12</f>
        <v>0</v>
      </c>
      <c r="H12" s="181" t="s">
        <v>2041</v>
      </c>
      <c r="I12" s="182">
        <v>0</v>
      </c>
      <c r="J12" s="183" t="s">
        <v>2042</v>
      </c>
      <c r="K12" s="184" t="s">
        <v>2042</v>
      </c>
      <c r="L12" s="184" t="s">
        <v>2042</v>
      </c>
      <c r="M12" s="184" t="s">
        <v>2042</v>
      </c>
      <c r="N12" s="184" t="s">
        <v>2042</v>
      </c>
      <c r="O12" s="184" t="s">
        <v>2042</v>
      </c>
      <c r="P12" s="184" t="s">
        <v>2042</v>
      </c>
      <c r="Q12" s="184" t="s">
        <v>2042</v>
      </c>
      <c r="R12" s="184" t="s">
        <v>2042</v>
      </c>
      <c r="S12" s="184" t="s">
        <v>2042</v>
      </c>
      <c r="T12" s="184" t="s">
        <v>2042</v>
      </c>
      <c r="U12" s="184" t="s">
        <v>2042</v>
      </c>
      <c r="V12" s="184" t="s">
        <v>2042</v>
      </c>
      <c r="W12" s="184" t="s">
        <v>2042</v>
      </c>
      <c r="X12" s="184" t="s">
        <v>2042</v>
      </c>
      <c r="Y12" s="184" t="s">
        <v>2042</v>
      </c>
      <c r="Z12" s="184" t="s">
        <v>2042</v>
      </c>
      <c r="AA12" s="184" t="s">
        <v>2042</v>
      </c>
      <c r="AB12" s="184" t="s">
        <v>2042</v>
      </c>
      <c r="AC12" s="184" t="s">
        <v>2042</v>
      </c>
      <c r="AD12" s="184" t="s">
        <v>2042</v>
      </c>
      <c r="AE12" s="184" t="s">
        <v>2042</v>
      </c>
      <c r="AF12" s="184" t="s">
        <v>2042</v>
      </c>
      <c r="AG12" s="184" t="s">
        <v>2042</v>
      </c>
      <c r="AH12" s="184" t="s">
        <v>2042</v>
      </c>
      <c r="AI12" s="184" t="s">
        <v>2042</v>
      </c>
      <c r="AJ12" s="184" t="s">
        <v>2042</v>
      </c>
      <c r="AK12" s="184" t="s">
        <v>2042</v>
      </c>
      <c r="AL12" s="184" t="s">
        <v>2042</v>
      </c>
      <c r="AM12" s="184" t="s">
        <v>2042</v>
      </c>
      <c r="AN12" s="184" t="s">
        <v>2042</v>
      </c>
      <c r="AO12" s="184" t="s">
        <v>2042</v>
      </c>
      <c r="AP12" s="184" t="s">
        <v>2042</v>
      </c>
      <c r="AQ12" s="175"/>
    </row>
    <row r="13" spans="1:43" ht="14.5">
      <c r="A13" s="169"/>
      <c r="B13" s="170"/>
      <c r="C13" s="176" t="s">
        <v>1857</v>
      </c>
      <c r="D13" s="177"/>
      <c r="E13" s="178">
        <v>1</v>
      </c>
      <c r="F13" s="179"/>
      <c r="G13" s="186">
        <f>IF(C13="","",SUMIFS(MRP!$D$5:$D1000,MRP!$B$5:$B1000,C13))*E13</f>
        <v>0</v>
      </c>
      <c r="H13" s="181" t="s">
        <v>2041</v>
      </c>
      <c r="I13" s="182">
        <v>0</v>
      </c>
      <c r="J13" s="183" t="s">
        <v>2042</v>
      </c>
      <c r="K13" s="184" t="s">
        <v>2042</v>
      </c>
      <c r="L13" s="184" t="s">
        <v>2042</v>
      </c>
      <c r="M13" s="184" t="s">
        <v>2042</v>
      </c>
      <c r="N13" s="184" t="s">
        <v>2042</v>
      </c>
      <c r="O13" s="184" t="s">
        <v>2042</v>
      </c>
      <c r="P13" s="184" t="s">
        <v>2042</v>
      </c>
      <c r="Q13" s="184" t="s">
        <v>2042</v>
      </c>
      <c r="R13" s="184" t="s">
        <v>2042</v>
      </c>
      <c r="S13" s="184" t="s">
        <v>2042</v>
      </c>
      <c r="T13" s="184" t="s">
        <v>2042</v>
      </c>
      <c r="U13" s="184" t="s">
        <v>2042</v>
      </c>
      <c r="V13" s="184" t="s">
        <v>2042</v>
      </c>
      <c r="W13" s="184" t="s">
        <v>2042</v>
      </c>
      <c r="X13" s="184" t="s">
        <v>2042</v>
      </c>
      <c r="Y13" s="184" t="s">
        <v>2042</v>
      </c>
      <c r="Z13" s="184" t="s">
        <v>2042</v>
      </c>
      <c r="AA13" s="184" t="s">
        <v>2042</v>
      </c>
      <c r="AB13" s="184" t="s">
        <v>2042</v>
      </c>
      <c r="AC13" s="184" t="s">
        <v>2042</v>
      </c>
      <c r="AD13" s="184" t="s">
        <v>2042</v>
      </c>
      <c r="AE13" s="184" t="s">
        <v>2042</v>
      </c>
      <c r="AF13" s="184" t="s">
        <v>2042</v>
      </c>
      <c r="AG13" s="184" t="s">
        <v>2042</v>
      </c>
      <c r="AH13" s="184" t="s">
        <v>2042</v>
      </c>
      <c r="AI13" s="184" t="s">
        <v>2042</v>
      </c>
      <c r="AJ13" s="184" t="s">
        <v>2042</v>
      </c>
      <c r="AK13" s="184" t="s">
        <v>2042</v>
      </c>
      <c r="AL13" s="184" t="s">
        <v>2042</v>
      </c>
      <c r="AM13" s="184" t="s">
        <v>2042</v>
      </c>
      <c r="AN13" s="184" t="s">
        <v>2042</v>
      </c>
      <c r="AO13" s="184" t="s">
        <v>2042</v>
      </c>
      <c r="AP13" s="184" t="s">
        <v>2042</v>
      </c>
      <c r="AQ13" s="175"/>
    </row>
    <row r="14" spans="1:43" ht="14.5">
      <c r="A14" s="169"/>
      <c r="B14" s="170"/>
      <c r="C14" s="176" t="s">
        <v>1858</v>
      </c>
      <c r="D14" s="177"/>
      <c r="E14" s="178">
        <v>1</v>
      </c>
      <c r="F14" s="179"/>
      <c r="G14" s="186">
        <f>IF(C14="","",SUMIFS(MRP!$D$5:$D1000,MRP!$B$5:$B1000,C14))*E14</f>
        <v>0</v>
      </c>
      <c r="H14" s="181" t="s">
        <v>2041</v>
      </c>
      <c r="I14" s="182">
        <v>0</v>
      </c>
      <c r="J14" s="183" t="s">
        <v>2042</v>
      </c>
      <c r="K14" s="184" t="s">
        <v>2042</v>
      </c>
      <c r="L14" s="184" t="s">
        <v>2042</v>
      </c>
      <c r="M14" s="184" t="s">
        <v>2042</v>
      </c>
      <c r="N14" s="184" t="s">
        <v>2042</v>
      </c>
      <c r="O14" s="184" t="s">
        <v>2042</v>
      </c>
      <c r="P14" s="184" t="s">
        <v>2042</v>
      </c>
      <c r="Q14" s="184" t="s">
        <v>2042</v>
      </c>
      <c r="R14" s="184" t="s">
        <v>2042</v>
      </c>
      <c r="S14" s="184" t="s">
        <v>2042</v>
      </c>
      <c r="T14" s="184" t="s">
        <v>2042</v>
      </c>
      <c r="U14" s="184" t="s">
        <v>2042</v>
      </c>
      <c r="V14" s="184" t="s">
        <v>2042</v>
      </c>
      <c r="W14" s="184" t="s">
        <v>2042</v>
      </c>
      <c r="X14" s="184" t="s">
        <v>2042</v>
      </c>
      <c r="Y14" s="184" t="s">
        <v>2042</v>
      </c>
      <c r="Z14" s="184" t="s">
        <v>2042</v>
      </c>
      <c r="AA14" s="184" t="s">
        <v>2042</v>
      </c>
      <c r="AB14" s="184" t="s">
        <v>2042</v>
      </c>
      <c r="AC14" s="184" t="s">
        <v>2042</v>
      </c>
      <c r="AD14" s="184" t="s">
        <v>2042</v>
      </c>
      <c r="AE14" s="184" t="s">
        <v>2042</v>
      </c>
      <c r="AF14" s="184" t="s">
        <v>2042</v>
      </c>
      <c r="AG14" s="184" t="s">
        <v>2042</v>
      </c>
      <c r="AH14" s="184" t="s">
        <v>2042</v>
      </c>
      <c r="AI14" s="184" t="s">
        <v>2042</v>
      </c>
      <c r="AJ14" s="184" t="s">
        <v>2042</v>
      </c>
      <c r="AK14" s="184" t="s">
        <v>2042</v>
      </c>
      <c r="AL14" s="184" t="s">
        <v>2042</v>
      </c>
      <c r="AM14" s="184" t="s">
        <v>2042</v>
      </c>
      <c r="AN14" s="184" t="s">
        <v>2042</v>
      </c>
      <c r="AO14" s="184" t="s">
        <v>2042</v>
      </c>
      <c r="AP14" s="184" t="s">
        <v>2042</v>
      </c>
      <c r="AQ14" s="175"/>
    </row>
    <row r="15" spans="1:43" ht="14.5">
      <c r="A15" s="169"/>
      <c r="B15" s="170"/>
      <c r="C15" s="176" t="s">
        <v>461</v>
      </c>
      <c r="D15" s="177"/>
      <c r="E15" s="178">
        <v>1</v>
      </c>
      <c r="F15" s="179"/>
      <c r="G15" s="186">
        <f>IF(C15="","",SUMIFS(MRP!$D$5:$D1000,MRP!$B$5:$B1000,C15))*E15</f>
        <v>0</v>
      </c>
      <c r="H15" s="181" t="s">
        <v>2041</v>
      </c>
      <c r="I15" s="182">
        <v>0</v>
      </c>
      <c r="J15" s="183" t="s">
        <v>2042</v>
      </c>
      <c r="K15" s="184" t="s">
        <v>2042</v>
      </c>
      <c r="L15" s="184" t="s">
        <v>2042</v>
      </c>
      <c r="M15" s="184" t="s">
        <v>2042</v>
      </c>
      <c r="N15" s="184" t="s">
        <v>2042</v>
      </c>
      <c r="O15" s="184" t="s">
        <v>2042</v>
      </c>
      <c r="P15" s="184" t="s">
        <v>2042</v>
      </c>
      <c r="Q15" s="184" t="s">
        <v>2042</v>
      </c>
      <c r="R15" s="184" t="s">
        <v>2042</v>
      </c>
      <c r="S15" s="184" t="s">
        <v>2042</v>
      </c>
      <c r="T15" s="184" t="s">
        <v>2042</v>
      </c>
      <c r="U15" s="184" t="s">
        <v>2042</v>
      </c>
      <c r="V15" s="184" t="s">
        <v>2042</v>
      </c>
      <c r="W15" s="184" t="s">
        <v>2042</v>
      </c>
      <c r="X15" s="184" t="s">
        <v>2042</v>
      </c>
      <c r="Y15" s="184" t="s">
        <v>2042</v>
      </c>
      <c r="Z15" s="184" t="s">
        <v>2042</v>
      </c>
      <c r="AA15" s="184" t="s">
        <v>2042</v>
      </c>
      <c r="AB15" s="184" t="s">
        <v>2042</v>
      </c>
      <c r="AC15" s="184" t="s">
        <v>2042</v>
      </c>
      <c r="AD15" s="184" t="s">
        <v>2042</v>
      </c>
      <c r="AE15" s="184" t="s">
        <v>2042</v>
      </c>
      <c r="AF15" s="184" t="s">
        <v>2042</v>
      </c>
      <c r="AG15" s="184" t="s">
        <v>2042</v>
      </c>
      <c r="AH15" s="184" t="s">
        <v>2042</v>
      </c>
      <c r="AI15" s="184" t="s">
        <v>2042</v>
      </c>
      <c r="AJ15" s="184" t="s">
        <v>2042</v>
      </c>
      <c r="AK15" s="184" t="s">
        <v>2042</v>
      </c>
      <c r="AL15" s="184" t="s">
        <v>2042</v>
      </c>
      <c r="AM15" s="184" t="s">
        <v>2042</v>
      </c>
      <c r="AN15" s="184" t="s">
        <v>2042</v>
      </c>
      <c r="AO15" s="184" t="s">
        <v>2042</v>
      </c>
      <c r="AP15" s="184" t="s">
        <v>2042</v>
      </c>
      <c r="AQ15" s="175"/>
    </row>
    <row r="16" spans="1:43" ht="14.5">
      <c r="A16" s="169"/>
      <c r="B16" s="170"/>
      <c r="C16" s="176" t="s">
        <v>356</v>
      </c>
      <c r="D16" s="177"/>
      <c r="E16" s="178">
        <v>1</v>
      </c>
      <c r="F16" s="179"/>
      <c r="G16" s="186">
        <f>IF(C16="","",SUMIFS(MRP!$D$5:$D1000,MRP!$B$5:$B1000,C16))*E16</f>
        <v>0</v>
      </c>
      <c r="H16" s="181" t="s">
        <v>2041</v>
      </c>
      <c r="I16" s="182">
        <v>0</v>
      </c>
      <c r="J16" s="183" t="s">
        <v>2042</v>
      </c>
      <c r="K16" s="188" t="s">
        <v>2042</v>
      </c>
      <c r="L16" s="189" t="s">
        <v>2042</v>
      </c>
      <c r="M16" s="189" t="s">
        <v>2042</v>
      </c>
      <c r="N16" s="189" t="s">
        <v>2042</v>
      </c>
      <c r="O16" s="189" t="s">
        <v>2042</v>
      </c>
      <c r="P16" s="185" t="s">
        <v>2042</v>
      </c>
      <c r="Q16" s="185" t="s">
        <v>2042</v>
      </c>
      <c r="R16" s="185" t="s">
        <v>2042</v>
      </c>
      <c r="S16" s="185" t="s">
        <v>2042</v>
      </c>
      <c r="T16" s="185" t="s">
        <v>2042</v>
      </c>
      <c r="U16" s="188" t="s">
        <v>2042</v>
      </c>
      <c r="V16" s="188" t="s">
        <v>2042</v>
      </c>
      <c r="W16" s="188" t="s">
        <v>2042</v>
      </c>
      <c r="X16" s="188" t="s">
        <v>2042</v>
      </c>
      <c r="Y16" s="188" t="s">
        <v>2042</v>
      </c>
      <c r="Z16" s="189" t="s">
        <v>2042</v>
      </c>
      <c r="AA16" s="184" t="s">
        <v>2042</v>
      </c>
      <c r="AB16" s="184" t="s">
        <v>2042</v>
      </c>
      <c r="AC16" s="188" t="s">
        <v>2042</v>
      </c>
      <c r="AD16" s="188" t="s">
        <v>2042</v>
      </c>
      <c r="AE16" s="188" t="s">
        <v>2042</v>
      </c>
      <c r="AF16" s="188" t="s">
        <v>2042</v>
      </c>
      <c r="AG16" s="188" t="s">
        <v>2042</v>
      </c>
      <c r="AH16" s="189" t="s">
        <v>2042</v>
      </c>
      <c r="AI16" s="189" t="s">
        <v>2042</v>
      </c>
      <c r="AJ16" s="189" t="s">
        <v>2042</v>
      </c>
      <c r="AK16" s="185" t="s">
        <v>2042</v>
      </c>
      <c r="AL16" s="188" t="s">
        <v>2042</v>
      </c>
      <c r="AM16" s="188" t="s">
        <v>2042</v>
      </c>
      <c r="AN16" s="188" t="s">
        <v>2042</v>
      </c>
      <c r="AO16" s="188" t="s">
        <v>2042</v>
      </c>
      <c r="AP16" s="188" t="s">
        <v>2042</v>
      </c>
      <c r="AQ16" s="175"/>
    </row>
    <row r="17" spans="1:43" ht="14.5">
      <c r="A17" s="169"/>
      <c r="B17" s="170"/>
      <c r="C17" s="176" t="s">
        <v>1859</v>
      </c>
      <c r="D17" s="177"/>
      <c r="E17" s="178">
        <v>1</v>
      </c>
      <c r="F17" s="179"/>
      <c r="G17" s="186">
        <f>IF(C17="","",SUMIFS(MRP!$D$5:$D1000,MRP!$B$5:$B1000,C17))*E17</f>
        <v>0</v>
      </c>
      <c r="H17" s="181" t="s">
        <v>2041</v>
      </c>
      <c r="I17" s="182">
        <v>0</v>
      </c>
      <c r="J17" s="183" t="s">
        <v>2042</v>
      </c>
      <c r="K17" s="184" t="s">
        <v>2042</v>
      </c>
      <c r="L17" s="184" t="s">
        <v>2042</v>
      </c>
      <c r="M17" s="184" t="s">
        <v>2042</v>
      </c>
      <c r="N17" s="184" t="s">
        <v>2042</v>
      </c>
      <c r="O17" s="184" t="s">
        <v>2042</v>
      </c>
      <c r="P17" s="184" t="s">
        <v>2042</v>
      </c>
      <c r="Q17" s="184" t="s">
        <v>2042</v>
      </c>
      <c r="R17" s="184" t="s">
        <v>2042</v>
      </c>
      <c r="S17" s="184" t="s">
        <v>2042</v>
      </c>
      <c r="T17" s="184" t="s">
        <v>2042</v>
      </c>
      <c r="U17" s="184" t="s">
        <v>2042</v>
      </c>
      <c r="V17" s="184" t="s">
        <v>2042</v>
      </c>
      <c r="W17" s="184" t="s">
        <v>2042</v>
      </c>
      <c r="X17" s="184" t="s">
        <v>2042</v>
      </c>
      <c r="Y17" s="184" t="s">
        <v>2042</v>
      </c>
      <c r="Z17" s="184" t="s">
        <v>2042</v>
      </c>
      <c r="AA17" s="184" t="s">
        <v>2042</v>
      </c>
      <c r="AB17" s="184" t="s">
        <v>2042</v>
      </c>
      <c r="AC17" s="184" t="s">
        <v>2042</v>
      </c>
      <c r="AD17" s="184" t="s">
        <v>2042</v>
      </c>
      <c r="AE17" s="185" t="s">
        <v>2042</v>
      </c>
      <c r="AF17" s="185" t="s">
        <v>2042</v>
      </c>
      <c r="AG17" s="185" t="s">
        <v>2042</v>
      </c>
      <c r="AH17" s="185" t="s">
        <v>2042</v>
      </c>
      <c r="AI17" s="185" t="s">
        <v>2042</v>
      </c>
      <c r="AJ17" s="185" t="s">
        <v>2042</v>
      </c>
      <c r="AK17" s="185" t="s">
        <v>2042</v>
      </c>
      <c r="AL17" s="185" t="s">
        <v>2042</v>
      </c>
      <c r="AM17" s="185" t="s">
        <v>2042</v>
      </c>
      <c r="AN17" s="185" t="s">
        <v>2042</v>
      </c>
      <c r="AO17" s="185" t="s">
        <v>2042</v>
      </c>
      <c r="AP17" s="185" t="s">
        <v>2042</v>
      </c>
      <c r="AQ17" s="175"/>
    </row>
    <row r="18" spans="1:43" ht="14.5">
      <c r="A18" s="169"/>
      <c r="B18" s="170"/>
      <c r="C18" s="176" t="s">
        <v>1860</v>
      </c>
      <c r="D18" s="177"/>
      <c r="E18" s="178">
        <v>1</v>
      </c>
      <c r="F18" s="179"/>
      <c r="G18" s="186">
        <f>IF(C18="","",SUMIFS(MRP!$D$5:$D1000,MRP!$B$5:$B1000,C18))*E18</f>
        <v>0</v>
      </c>
      <c r="H18" s="181" t="s">
        <v>2041</v>
      </c>
      <c r="I18" s="182">
        <v>0</v>
      </c>
      <c r="J18" s="183" t="s">
        <v>2042</v>
      </c>
      <c r="K18" s="184" t="s">
        <v>2042</v>
      </c>
      <c r="L18" s="184" t="s">
        <v>2042</v>
      </c>
      <c r="M18" s="184" t="s">
        <v>2042</v>
      </c>
      <c r="N18" s="184" t="s">
        <v>2042</v>
      </c>
      <c r="O18" s="184" t="s">
        <v>2042</v>
      </c>
      <c r="P18" s="184" t="s">
        <v>2042</v>
      </c>
      <c r="Q18" s="184" t="s">
        <v>2042</v>
      </c>
      <c r="R18" s="184" t="s">
        <v>2042</v>
      </c>
      <c r="S18" s="184" t="s">
        <v>2042</v>
      </c>
      <c r="T18" s="184" t="s">
        <v>2042</v>
      </c>
      <c r="U18" s="184" t="s">
        <v>2042</v>
      </c>
      <c r="V18" s="184" t="s">
        <v>2042</v>
      </c>
      <c r="W18" s="184" t="s">
        <v>2042</v>
      </c>
      <c r="X18" s="184" t="s">
        <v>2042</v>
      </c>
      <c r="Y18" s="184" t="s">
        <v>2042</v>
      </c>
      <c r="Z18" s="184" t="s">
        <v>2042</v>
      </c>
      <c r="AA18" s="184" t="s">
        <v>2042</v>
      </c>
      <c r="AB18" s="184" t="s">
        <v>2042</v>
      </c>
      <c r="AC18" s="184" t="s">
        <v>2042</v>
      </c>
      <c r="AD18" s="184" t="s">
        <v>2042</v>
      </c>
      <c r="AE18" s="184" t="s">
        <v>2042</v>
      </c>
      <c r="AF18" s="184" t="s">
        <v>2042</v>
      </c>
      <c r="AG18" s="184" t="s">
        <v>2042</v>
      </c>
      <c r="AH18" s="184" t="s">
        <v>2042</v>
      </c>
      <c r="AI18" s="184" t="s">
        <v>2042</v>
      </c>
      <c r="AJ18" s="184" t="s">
        <v>2042</v>
      </c>
      <c r="AK18" s="184" t="s">
        <v>2042</v>
      </c>
      <c r="AL18" s="184" t="s">
        <v>2042</v>
      </c>
      <c r="AM18" s="184" t="s">
        <v>2042</v>
      </c>
      <c r="AN18" s="184" t="s">
        <v>2042</v>
      </c>
      <c r="AO18" s="184" t="s">
        <v>2042</v>
      </c>
      <c r="AP18" s="184" t="s">
        <v>2042</v>
      </c>
      <c r="AQ18" s="175"/>
    </row>
    <row r="19" spans="1:43" ht="14.5">
      <c r="A19" s="169"/>
      <c r="B19" s="170"/>
      <c r="C19" s="176" t="s">
        <v>1861</v>
      </c>
      <c r="D19" s="177"/>
      <c r="E19" s="178">
        <v>1</v>
      </c>
      <c r="F19" s="179"/>
      <c r="G19" s="186">
        <f>IF(C19="","",SUMIFS(MRP!$D$5:$D1000,MRP!$B$5:$B1000,C19))*E19</f>
        <v>0</v>
      </c>
      <c r="H19" s="181" t="s">
        <v>2041</v>
      </c>
      <c r="I19" s="182">
        <v>0</v>
      </c>
      <c r="J19" s="183" t="s">
        <v>2042</v>
      </c>
      <c r="K19" s="184" t="s">
        <v>2042</v>
      </c>
      <c r="L19" s="184" t="s">
        <v>2042</v>
      </c>
      <c r="M19" s="184" t="s">
        <v>2042</v>
      </c>
      <c r="N19" s="184" t="s">
        <v>2042</v>
      </c>
      <c r="O19" s="184" t="s">
        <v>2042</v>
      </c>
      <c r="P19" s="184" t="s">
        <v>2042</v>
      </c>
      <c r="Q19" s="184" t="s">
        <v>2042</v>
      </c>
      <c r="R19" s="184" t="s">
        <v>2042</v>
      </c>
      <c r="S19" s="184" t="s">
        <v>2042</v>
      </c>
      <c r="T19" s="184" t="s">
        <v>2042</v>
      </c>
      <c r="U19" s="184" t="s">
        <v>2042</v>
      </c>
      <c r="V19" s="184" t="s">
        <v>2042</v>
      </c>
      <c r="W19" s="184" t="s">
        <v>2042</v>
      </c>
      <c r="X19" s="184" t="s">
        <v>2042</v>
      </c>
      <c r="Y19" s="184" t="s">
        <v>2042</v>
      </c>
      <c r="Z19" s="184" t="s">
        <v>2042</v>
      </c>
      <c r="AA19" s="184" t="s">
        <v>2042</v>
      </c>
      <c r="AB19" s="184" t="s">
        <v>2042</v>
      </c>
      <c r="AC19" s="184" t="s">
        <v>2042</v>
      </c>
      <c r="AD19" s="184" t="s">
        <v>2042</v>
      </c>
      <c r="AE19" s="184" t="s">
        <v>2042</v>
      </c>
      <c r="AF19" s="184" t="s">
        <v>2042</v>
      </c>
      <c r="AG19" s="184" t="s">
        <v>2042</v>
      </c>
      <c r="AH19" s="184" t="s">
        <v>2042</v>
      </c>
      <c r="AI19" s="184" t="s">
        <v>2042</v>
      </c>
      <c r="AJ19" s="184" t="s">
        <v>2042</v>
      </c>
      <c r="AK19" s="184" t="s">
        <v>2042</v>
      </c>
      <c r="AL19" s="184" t="s">
        <v>2042</v>
      </c>
      <c r="AM19" s="184" t="s">
        <v>2042</v>
      </c>
      <c r="AN19" s="184" t="s">
        <v>2042</v>
      </c>
      <c r="AO19" s="184" t="s">
        <v>2042</v>
      </c>
      <c r="AP19" s="184" t="s">
        <v>2042</v>
      </c>
      <c r="AQ19" s="175"/>
    </row>
    <row r="20" spans="1:43" ht="14.5">
      <c r="A20" s="169"/>
      <c r="B20" s="170"/>
      <c r="C20" s="176" t="s">
        <v>1862</v>
      </c>
      <c r="D20" s="177"/>
      <c r="E20" s="178">
        <v>1</v>
      </c>
      <c r="F20" s="179"/>
      <c r="G20" s="186">
        <f>IF(C20="","",SUMIFS(MRP!$D$5:$D1000,MRP!$B$5:$B1000,C20))*E20</f>
        <v>0</v>
      </c>
      <c r="H20" s="181" t="s">
        <v>2041</v>
      </c>
      <c r="I20" s="182">
        <v>0</v>
      </c>
      <c r="J20" s="183" t="s">
        <v>2042</v>
      </c>
      <c r="K20" s="184" t="s">
        <v>2042</v>
      </c>
      <c r="L20" s="184" t="s">
        <v>2042</v>
      </c>
      <c r="M20" s="184" t="s">
        <v>2042</v>
      </c>
      <c r="N20" s="184" t="s">
        <v>2042</v>
      </c>
      <c r="O20" s="184" t="s">
        <v>2042</v>
      </c>
      <c r="P20" s="184" t="s">
        <v>2042</v>
      </c>
      <c r="Q20" s="184" t="s">
        <v>2042</v>
      </c>
      <c r="R20" s="184" t="s">
        <v>2042</v>
      </c>
      <c r="S20" s="184" t="s">
        <v>2042</v>
      </c>
      <c r="T20" s="184" t="s">
        <v>2042</v>
      </c>
      <c r="U20" s="184" t="s">
        <v>2042</v>
      </c>
      <c r="V20" s="184" t="s">
        <v>2042</v>
      </c>
      <c r="W20" s="184" t="s">
        <v>2042</v>
      </c>
      <c r="X20" s="184" t="s">
        <v>2042</v>
      </c>
      <c r="Y20" s="184" t="s">
        <v>2042</v>
      </c>
      <c r="Z20" s="184" t="s">
        <v>2042</v>
      </c>
      <c r="AA20" s="184" t="s">
        <v>2042</v>
      </c>
      <c r="AB20" s="184" t="s">
        <v>2042</v>
      </c>
      <c r="AC20" s="184" t="s">
        <v>2042</v>
      </c>
      <c r="AD20" s="184" t="s">
        <v>2042</v>
      </c>
      <c r="AE20" s="184" t="s">
        <v>2042</v>
      </c>
      <c r="AF20" s="184" t="s">
        <v>2042</v>
      </c>
      <c r="AG20" s="184" t="s">
        <v>2042</v>
      </c>
      <c r="AH20" s="184" t="s">
        <v>2042</v>
      </c>
      <c r="AI20" s="184" t="s">
        <v>2042</v>
      </c>
      <c r="AJ20" s="184" t="s">
        <v>2042</v>
      </c>
      <c r="AK20" s="184" t="s">
        <v>2042</v>
      </c>
      <c r="AL20" s="184" t="s">
        <v>2042</v>
      </c>
      <c r="AM20" s="184" t="s">
        <v>2042</v>
      </c>
      <c r="AN20" s="184" t="s">
        <v>2042</v>
      </c>
      <c r="AO20" s="184" t="s">
        <v>2042</v>
      </c>
      <c r="AP20" s="184" t="s">
        <v>2042</v>
      </c>
      <c r="AQ20" s="175"/>
    </row>
    <row r="21" spans="1:43" ht="14.5">
      <c r="A21" s="169"/>
      <c r="B21" s="170"/>
      <c r="C21" s="176" t="s">
        <v>1502</v>
      </c>
      <c r="D21" s="177"/>
      <c r="E21" s="178">
        <v>1</v>
      </c>
      <c r="F21" s="179"/>
      <c r="G21" s="186">
        <f>IF(C21="","",SUMIFS(MRP!$D$5:$D1000,MRP!$B$5:$B1000,C21))*E21</f>
        <v>0</v>
      </c>
      <c r="H21" s="181" t="s">
        <v>2041</v>
      </c>
      <c r="I21" s="182">
        <v>0</v>
      </c>
      <c r="J21" s="183" t="s">
        <v>2042</v>
      </c>
      <c r="K21" s="184" t="s">
        <v>2042</v>
      </c>
      <c r="L21" s="184" t="s">
        <v>2042</v>
      </c>
      <c r="M21" s="184" t="s">
        <v>2042</v>
      </c>
      <c r="N21" s="184" t="s">
        <v>2042</v>
      </c>
      <c r="O21" s="184" t="s">
        <v>2042</v>
      </c>
      <c r="P21" s="184" t="s">
        <v>2042</v>
      </c>
      <c r="Q21" s="184" t="s">
        <v>2042</v>
      </c>
      <c r="R21" s="184" t="s">
        <v>2042</v>
      </c>
      <c r="S21" s="184" t="s">
        <v>2042</v>
      </c>
      <c r="T21" s="184" t="s">
        <v>2042</v>
      </c>
      <c r="U21" s="184" t="s">
        <v>2042</v>
      </c>
      <c r="V21" s="184" t="s">
        <v>2042</v>
      </c>
      <c r="W21" s="184" t="s">
        <v>2042</v>
      </c>
      <c r="X21" s="184" t="s">
        <v>2042</v>
      </c>
      <c r="Y21" s="184" t="s">
        <v>2042</v>
      </c>
      <c r="Z21" s="184" t="s">
        <v>2042</v>
      </c>
      <c r="AA21" s="184" t="s">
        <v>2042</v>
      </c>
      <c r="AB21" s="184" t="s">
        <v>2042</v>
      </c>
      <c r="AC21" s="184" t="s">
        <v>2042</v>
      </c>
      <c r="AD21" s="184" t="s">
        <v>2042</v>
      </c>
      <c r="AE21" s="184" t="s">
        <v>2042</v>
      </c>
      <c r="AF21" s="184" t="s">
        <v>2042</v>
      </c>
      <c r="AG21" s="184" t="s">
        <v>2042</v>
      </c>
      <c r="AH21" s="184" t="s">
        <v>2042</v>
      </c>
      <c r="AI21" s="184" t="s">
        <v>2042</v>
      </c>
      <c r="AJ21" s="184" t="s">
        <v>2042</v>
      </c>
      <c r="AK21" s="184" t="s">
        <v>2042</v>
      </c>
      <c r="AL21" s="184" t="s">
        <v>2042</v>
      </c>
      <c r="AM21" s="184" t="s">
        <v>2042</v>
      </c>
      <c r="AN21" s="184" t="s">
        <v>2042</v>
      </c>
      <c r="AO21" s="184" t="s">
        <v>2042</v>
      </c>
      <c r="AP21" s="184" t="s">
        <v>2042</v>
      </c>
      <c r="AQ21" s="175"/>
    </row>
    <row r="22" spans="1:43" ht="14.5">
      <c r="A22" s="169"/>
      <c r="B22" s="170"/>
      <c r="C22" s="176" t="s">
        <v>1863</v>
      </c>
      <c r="D22" s="177"/>
      <c r="E22" s="178">
        <v>1</v>
      </c>
      <c r="F22" s="179"/>
      <c r="G22" s="186">
        <f>IF(C22="","",SUMIFS(MRP!$D$5:$D1000,MRP!$B$5:$B1000,C22))*E22</f>
        <v>0</v>
      </c>
      <c r="H22" s="181" t="s">
        <v>2041</v>
      </c>
      <c r="I22" s="182">
        <v>0</v>
      </c>
      <c r="J22" s="183" t="s">
        <v>2042</v>
      </c>
      <c r="K22" s="184" t="s">
        <v>2042</v>
      </c>
      <c r="L22" s="184" t="s">
        <v>2042</v>
      </c>
      <c r="M22" s="184" t="s">
        <v>2042</v>
      </c>
      <c r="N22" s="184" t="s">
        <v>2042</v>
      </c>
      <c r="O22" s="184" t="s">
        <v>2042</v>
      </c>
      <c r="P22" s="184" t="s">
        <v>2042</v>
      </c>
      <c r="Q22" s="184" t="s">
        <v>2042</v>
      </c>
      <c r="R22" s="184" t="s">
        <v>2042</v>
      </c>
      <c r="S22" s="184" t="s">
        <v>2042</v>
      </c>
      <c r="T22" s="184" t="s">
        <v>2042</v>
      </c>
      <c r="U22" s="184" t="s">
        <v>2042</v>
      </c>
      <c r="V22" s="184" t="s">
        <v>2042</v>
      </c>
      <c r="W22" s="184" t="s">
        <v>2042</v>
      </c>
      <c r="X22" s="184" t="s">
        <v>2042</v>
      </c>
      <c r="Y22" s="184" t="s">
        <v>2042</v>
      </c>
      <c r="Z22" s="184" t="s">
        <v>2042</v>
      </c>
      <c r="AA22" s="184" t="s">
        <v>2042</v>
      </c>
      <c r="AB22" s="184" t="s">
        <v>2042</v>
      </c>
      <c r="AC22" s="184" t="s">
        <v>2042</v>
      </c>
      <c r="AD22" s="184" t="s">
        <v>2042</v>
      </c>
      <c r="AE22" s="184" t="s">
        <v>2042</v>
      </c>
      <c r="AF22" s="184" t="s">
        <v>2042</v>
      </c>
      <c r="AG22" s="184" t="s">
        <v>2042</v>
      </c>
      <c r="AH22" s="184" t="s">
        <v>2042</v>
      </c>
      <c r="AI22" s="184" t="s">
        <v>2042</v>
      </c>
      <c r="AJ22" s="184" t="s">
        <v>2042</v>
      </c>
      <c r="AK22" s="184" t="s">
        <v>2042</v>
      </c>
      <c r="AL22" s="184" t="s">
        <v>2042</v>
      </c>
      <c r="AM22" s="184" t="s">
        <v>2042</v>
      </c>
      <c r="AN22" s="184" t="s">
        <v>2042</v>
      </c>
      <c r="AO22" s="184" t="s">
        <v>2042</v>
      </c>
      <c r="AP22" s="184" t="s">
        <v>2042</v>
      </c>
      <c r="AQ22" s="175"/>
    </row>
    <row r="23" spans="1:43" ht="14.5">
      <c r="A23" s="169"/>
      <c r="B23" s="170"/>
      <c r="C23" s="176" t="s">
        <v>1864</v>
      </c>
      <c r="D23" s="177"/>
      <c r="E23" s="178">
        <v>1</v>
      </c>
      <c r="F23" s="179"/>
      <c r="G23" s="186">
        <f>IF(C23="","",SUMIFS(MRP!$D$5:$D1000,MRP!$B$5:$B1000,C23))*E23</f>
        <v>0</v>
      </c>
      <c r="H23" s="181" t="s">
        <v>2041</v>
      </c>
      <c r="I23" s="182">
        <v>0</v>
      </c>
      <c r="J23" s="183" t="s">
        <v>2042</v>
      </c>
      <c r="K23" s="184" t="s">
        <v>2042</v>
      </c>
      <c r="L23" s="184" t="s">
        <v>2042</v>
      </c>
      <c r="M23" s="184" t="s">
        <v>2042</v>
      </c>
      <c r="N23" s="184" t="s">
        <v>2042</v>
      </c>
      <c r="O23" s="184" t="s">
        <v>2042</v>
      </c>
      <c r="P23" s="184" t="s">
        <v>2042</v>
      </c>
      <c r="Q23" s="184" t="s">
        <v>2042</v>
      </c>
      <c r="R23" s="184" t="s">
        <v>2042</v>
      </c>
      <c r="S23" s="184" t="s">
        <v>2042</v>
      </c>
      <c r="T23" s="184" t="s">
        <v>2042</v>
      </c>
      <c r="U23" s="184" t="s">
        <v>2042</v>
      </c>
      <c r="V23" s="184" t="s">
        <v>2042</v>
      </c>
      <c r="W23" s="184" t="s">
        <v>2042</v>
      </c>
      <c r="X23" s="184" t="s">
        <v>2042</v>
      </c>
      <c r="Y23" s="184" t="s">
        <v>2042</v>
      </c>
      <c r="Z23" s="184" t="s">
        <v>2042</v>
      </c>
      <c r="AA23" s="184" t="s">
        <v>2042</v>
      </c>
      <c r="AB23" s="184" t="s">
        <v>2042</v>
      </c>
      <c r="AC23" s="184" t="s">
        <v>2042</v>
      </c>
      <c r="AD23" s="184" t="s">
        <v>2042</v>
      </c>
      <c r="AE23" s="184" t="s">
        <v>2042</v>
      </c>
      <c r="AF23" s="184" t="s">
        <v>2042</v>
      </c>
      <c r="AG23" s="184" t="s">
        <v>2042</v>
      </c>
      <c r="AH23" s="184" t="s">
        <v>2042</v>
      </c>
      <c r="AI23" s="184" t="s">
        <v>2042</v>
      </c>
      <c r="AJ23" s="184" t="s">
        <v>2042</v>
      </c>
      <c r="AK23" s="184" t="s">
        <v>2042</v>
      </c>
      <c r="AL23" s="184" t="s">
        <v>2042</v>
      </c>
      <c r="AM23" s="184" t="s">
        <v>2042</v>
      </c>
      <c r="AN23" s="184" t="s">
        <v>2042</v>
      </c>
      <c r="AO23" s="184" t="s">
        <v>2042</v>
      </c>
      <c r="AP23" s="184" t="s">
        <v>2042</v>
      </c>
      <c r="AQ23" s="175"/>
    </row>
    <row r="24" spans="1:43" ht="14.5">
      <c r="A24" s="169"/>
      <c r="B24" s="170"/>
      <c r="C24" s="176" t="s">
        <v>1501</v>
      </c>
      <c r="D24" s="177"/>
      <c r="E24" s="178">
        <v>1</v>
      </c>
      <c r="F24" s="179"/>
      <c r="G24" s="186">
        <f>IF(C24="","",SUMIFS(MRP!$D$5:$D1000,MRP!$B$5:$B1000,C24))*E24</f>
        <v>0</v>
      </c>
      <c r="H24" s="181" t="s">
        <v>2041</v>
      </c>
      <c r="I24" s="182">
        <v>0</v>
      </c>
      <c r="J24" s="183" t="s">
        <v>2042</v>
      </c>
      <c r="K24" s="184" t="s">
        <v>2042</v>
      </c>
      <c r="L24" s="184" t="s">
        <v>2042</v>
      </c>
      <c r="M24" s="184" t="s">
        <v>2042</v>
      </c>
      <c r="N24" s="184" t="s">
        <v>2042</v>
      </c>
      <c r="O24" s="184" t="s">
        <v>2042</v>
      </c>
      <c r="P24" s="185" t="s">
        <v>2042</v>
      </c>
      <c r="Q24" s="185" t="s">
        <v>2042</v>
      </c>
      <c r="R24" s="184" t="s">
        <v>2042</v>
      </c>
      <c r="S24" s="184" t="s">
        <v>2042</v>
      </c>
      <c r="T24" s="184" t="s">
        <v>2042</v>
      </c>
      <c r="U24" s="184" t="s">
        <v>2042</v>
      </c>
      <c r="V24" s="184" t="s">
        <v>2042</v>
      </c>
      <c r="W24" s="184" t="s">
        <v>2042</v>
      </c>
      <c r="X24" s="184" t="s">
        <v>2042</v>
      </c>
      <c r="Y24" s="184" t="s">
        <v>2042</v>
      </c>
      <c r="Z24" s="184" t="s">
        <v>2042</v>
      </c>
      <c r="AA24" s="184" t="s">
        <v>2042</v>
      </c>
      <c r="AB24" s="184" t="s">
        <v>2042</v>
      </c>
      <c r="AC24" s="184" t="s">
        <v>2042</v>
      </c>
      <c r="AD24" s="184" t="s">
        <v>2042</v>
      </c>
      <c r="AE24" s="184" t="s">
        <v>2042</v>
      </c>
      <c r="AF24" s="184" t="s">
        <v>2042</v>
      </c>
      <c r="AG24" s="184" t="s">
        <v>2042</v>
      </c>
      <c r="AH24" s="184" t="s">
        <v>2042</v>
      </c>
      <c r="AI24" s="184" t="s">
        <v>2042</v>
      </c>
      <c r="AJ24" s="184" t="s">
        <v>2042</v>
      </c>
      <c r="AK24" s="184" t="s">
        <v>2042</v>
      </c>
      <c r="AL24" s="184" t="s">
        <v>2042</v>
      </c>
      <c r="AM24" s="184" t="s">
        <v>2042</v>
      </c>
      <c r="AN24" s="184" t="s">
        <v>2042</v>
      </c>
      <c r="AO24" s="184" t="s">
        <v>2042</v>
      </c>
      <c r="AP24" s="184" t="s">
        <v>2042</v>
      </c>
      <c r="AQ24" s="175"/>
    </row>
    <row r="25" spans="1:43" ht="14.5">
      <c r="A25" s="169"/>
      <c r="B25" s="170"/>
      <c r="C25" s="176" t="s">
        <v>1865</v>
      </c>
      <c r="D25" s="177"/>
      <c r="E25" s="178">
        <v>1</v>
      </c>
      <c r="F25" s="179"/>
      <c r="G25" s="186">
        <f>IF(C25="","",SUMIFS(MRP!$D$5:$D1000,MRP!$B$5:$B1000,C25))*E25</f>
        <v>0</v>
      </c>
      <c r="H25" s="181" t="s">
        <v>2041</v>
      </c>
      <c r="I25" s="182">
        <v>0</v>
      </c>
      <c r="J25" s="183" t="s">
        <v>2042</v>
      </c>
      <c r="K25" s="184" t="s">
        <v>2042</v>
      </c>
      <c r="L25" s="184" t="s">
        <v>2042</v>
      </c>
      <c r="M25" s="184" t="s">
        <v>2042</v>
      </c>
      <c r="N25" s="184" t="s">
        <v>2042</v>
      </c>
      <c r="O25" s="184" t="s">
        <v>2042</v>
      </c>
      <c r="P25" s="184" t="s">
        <v>2042</v>
      </c>
      <c r="Q25" s="184" t="s">
        <v>2042</v>
      </c>
      <c r="R25" s="184" t="s">
        <v>2042</v>
      </c>
      <c r="S25" s="184" t="s">
        <v>2042</v>
      </c>
      <c r="T25" s="184" t="s">
        <v>2042</v>
      </c>
      <c r="U25" s="184" t="s">
        <v>2042</v>
      </c>
      <c r="V25" s="184" t="s">
        <v>2042</v>
      </c>
      <c r="W25" s="184" t="s">
        <v>2042</v>
      </c>
      <c r="X25" s="184" t="s">
        <v>2042</v>
      </c>
      <c r="Y25" s="184" t="s">
        <v>2042</v>
      </c>
      <c r="Z25" s="184" t="s">
        <v>2042</v>
      </c>
      <c r="AA25" s="184" t="s">
        <v>2042</v>
      </c>
      <c r="AB25" s="184" t="s">
        <v>2042</v>
      </c>
      <c r="AC25" s="184" t="s">
        <v>2042</v>
      </c>
      <c r="AD25" s="184" t="s">
        <v>2042</v>
      </c>
      <c r="AE25" s="184" t="s">
        <v>2042</v>
      </c>
      <c r="AF25" s="184" t="s">
        <v>2042</v>
      </c>
      <c r="AG25" s="184" t="s">
        <v>2042</v>
      </c>
      <c r="AH25" s="184" t="s">
        <v>2042</v>
      </c>
      <c r="AI25" s="184" t="s">
        <v>2042</v>
      </c>
      <c r="AJ25" s="184" t="s">
        <v>2042</v>
      </c>
      <c r="AK25" s="184" t="s">
        <v>2042</v>
      </c>
      <c r="AL25" s="184" t="s">
        <v>2042</v>
      </c>
      <c r="AM25" s="184" t="s">
        <v>2042</v>
      </c>
      <c r="AN25" s="184" t="s">
        <v>2042</v>
      </c>
      <c r="AO25" s="184" t="s">
        <v>2042</v>
      </c>
      <c r="AP25" s="184" t="s">
        <v>2042</v>
      </c>
      <c r="AQ25" s="175"/>
    </row>
    <row r="26" spans="1:43" ht="14.5">
      <c r="A26" s="169"/>
      <c r="B26" s="170"/>
      <c r="C26" s="176" t="s">
        <v>1866</v>
      </c>
      <c r="D26" s="177"/>
      <c r="E26" s="178">
        <v>1</v>
      </c>
      <c r="F26" s="179"/>
      <c r="G26" s="186">
        <f>IF(C26="","",SUMIFS(MRP!$D$5:$D1000,MRP!$B$5:$B1000,C26))*E26</f>
        <v>0</v>
      </c>
      <c r="H26" s="181" t="s">
        <v>2041</v>
      </c>
      <c r="I26" s="182">
        <v>0</v>
      </c>
      <c r="J26" s="183" t="s">
        <v>2042</v>
      </c>
      <c r="K26" s="184" t="s">
        <v>2042</v>
      </c>
      <c r="L26" s="184" t="s">
        <v>2042</v>
      </c>
      <c r="M26" s="184" t="s">
        <v>2042</v>
      </c>
      <c r="N26" s="184" t="s">
        <v>2042</v>
      </c>
      <c r="O26" s="184" t="s">
        <v>2042</v>
      </c>
      <c r="P26" s="184" t="s">
        <v>2042</v>
      </c>
      <c r="Q26" s="184" t="s">
        <v>2042</v>
      </c>
      <c r="R26" s="184" t="s">
        <v>2042</v>
      </c>
      <c r="S26" s="184" t="s">
        <v>2042</v>
      </c>
      <c r="T26" s="184" t="s">
        <v>2042</v>
      </c>
      <c r="U26" s="184" t="s">
        <v>2042</v>
      </c>
      <c r="V26" s="184" t="s">
        <v>2042</v>
      </c>
      <c r="W26" s="184" t="s">
        <v>2042</v>
      </c>
      <c r="X26" s="184" t="s">
        <v>2042</v>
      </c>
      <c r="Y26" s="184" t="s">
        <v>2042</v>
      </c>
      <c r="Z26" s="184" t="s">
        <v>2042</v>
      </c>
      <c r="AA26" s="184" t="s">
        <v>2042</v>
      </c>
      <c r="AB26" s="184" t="s">
        <v>2042</v>
      </c>
      <c r="AC26" s="184" t="s">
        <v>2042</v>
      </c>
      <c r="AD26" s="184" t="s">
        <v>2042</v>
      </c>
      <c r="AE26" s="184" t="s">
        <v>2042</v>
      </c>
      <c r="AF26" s="184" t="s">
        <v>2042</v>
      </c>
      <c r="AG26" s="184" t="s">
        <v>2042</v>
      </c>
      <c r="AH26" s="184" t="s">
        <v>2042</v>
      </c>
      <c r="AI26" s="184" t="s">
        <v>2042</v>
      </c>
      <c r="AJ26" s="184" t="s">
        <v>2042</v>
      </c>
      <c r="AK26" s="184" t="s">
        <v>2042</v>
      </c>
      <c r="AL26" s="184" t="s">
        <v>2042</v>
      </c>
      <c r="AM26" s="184" t="s">
        <v>2042</v>
      </c>
      <c r="AN26" s="184" t="s">
        <v>2042</v>
      </c>
      <c r="AO26" s="184" t="s">
        <v>2042</v>
      </c>
      <c r="AP26" s="184" t="s">
        <v>2042</v>
      </c>
      <c r="AQ26" s="175"/>
    </row>
    <row r="27" spans="1:43" ht="14.5">
      <c r="A27" s="169"/>
      <c r="B27" s="170"/>
      <c r="C27" s="176" t="s">
        <v>1867</v>
      </c>
      <c r="D27" s="177"/>
      <c r="E27" s="178">
        <v>1</v>
      </c>
      <c r="F27" s="179"/>
      <c r="G27" s="186">
        <f>IF(C27="","",SUMIFS(MRP!$D$5:$D1000,MRP!$B$5:$B1000,C27))*E27</f>
        <v>0</v>
      </c>
      <c r="H27" s="181" t="s">
        <v>2041</v>
      </c>
      <c r="I27" s="182">
        <v>0</v>
      </c>
      <c r="J27" s="183" t="s">
        <v>2042</v>
      </c>
      <c r="K27" s="184" t="s">
        <v>2042</v>
      </c>
      <c r="L27" s="184" t="s">
        <v>2042</v>
      </c>
      <c r="M27" s="184" t="s">
        <v>2042</v>
      </c>
      <c r="N27" s="184" t="s">
        <v>2042</v>
      </c>
      <c r="O27" s="184" t="s">
        <v>2042</v>
      </c>
      <c r="P27" s="184" t="s">
        <v>2042</v>
      </c>
      <c r="Q27" s="184" t="s">
        <v>2042</v>
      </c>
      <c r="R27" s="184" t="s">
        <v>2042</v>
      </c>
      <c r="S27" s="184" t="s">
        <v>2042</v>
      </c>
      <c r="T27" s="184" t="s">
        <v>2042</v>
      </c>
      <c r="U27" s="184" t="s">
        <v>2042</v>
      </c>
      <c r="V27" s="184" t="s">
        <v>2042</v>
      </c>
      <c r="W27" s="187" t="s">
        <v>2042</v>
      </c>
      <c r="X27" s="187" t="s">
        <v>2042</v>
      </c>
      <c r="Y27" s="187" t="s">
        <v>2042</v>
      </c>
      <c r="Z27" s="187" t="s">
        <v>2042</v>
      </c>
      <c r="AA27" s="187" t="s">
        <v>2042</v>
      </c>
      <c r="AB27" s="187" t="s">
        <v>2042</v>
      </c>
      <c r="AC27" s="187" t="s">
        <v>2042</v>
      </c>
      <c r="AD27" s="187" t="s">
        <v>2042</v>
      </c>
      <c r="AE27" s="187" t="s">
        <v>2042</v>
      </c>
      <c r="AF27" s="187" t="s">
        <v>2042</v>
      </c>
      <c r="AG27" s="187" t="s">
        <v>2042</v>
      </c>
      <c r="AH27" s="187" t="s">
        <v>2042</v>
      </c>
      <c r="AI27" s="187" t="s">
        <v>2042</v>
      </c>
      <c r="AJ27" s="187" t="s">
        <v>2042</v>
      </c>
      <c r="AK27" s="187" t="s">
        <v>2042</v>
      </c>
      <c r="AL27" s="187" t="s">
        <v>2042</v>
      </c>
      <c r="AM27" s="187" t="s">
        <v>2042</v>
      </c>
      <c r="AN27" s="190" t="s">
        <v>2042</v>
      </c>
      <c r="AO27" s="190" t="s">
        <v>2042</v>
      </c>
      <c r="AP27" s="190" t="s">
        <v>2042</v>
      </c>
      <c r="AQ27" s="175"/>
    </row>
    <row r="28" spans="1:43" ht="14.5">
      <c r="A28" s="169"/>
      <c r="B28" s="170"/>
      <c r="C28" s="176" t="s">
        <v>1868</v>
      </c>
      <c r="D28" s="177"/>
      <c r="E28" s="178">
        <v>1</v>
      </c>
      <c r="F28" s="179"/>
      <c r="G28" s="186">
        <f>IF(C28="","",SUMIFS(MRP!$D$5:$D1000,MRP!$B$5:$B1000,C28))*E28</f>
        <v>0</v>
      </c>
      <c r="H28" s="181" t="s">
        <v>2041</v>
      </c>
      <c r="I28" s="182">
        <v>0</v>
      </c>
      <c r="J28" s="183" t="s">
        <v>2042</v>
      </c>
      <c r="K28" s="184" t="s">
        <v>2042</v>
      </c>
      <c r="L28" s="184" t="s">
        <v>2042</v>
      </c>
      <c r="M28" s="184" t="s">
        <v>2042</v>
      </c>
      <c r="N28" s="184" t="s">
        <v>2042</v>
      </c>
      <c r="O28" s="184" t="s">
        <v>2042</v>
      </c>
      <c r="P28" s="184" t="s">
        <v>2042</v>
      </c>
      <c r="Q28" s="184" t="s">
        <v>2042</v>
      </c>
      <c r="R28" s="184" t="s">
        <v>2042</v>
      </c>
      <c r="S28" s="184" t="s">
        <v>2042</v>
      </c>
      <c r="T28" s="184" t="s">
        <v>2042</v>
      </c>
      <c r="U28" s="184" t="s">
        <v>2042</v>
      </c>
      <c r="V28" s="184" t="s">
        <v>2042</v>
      </c>
      <c r="W28" s="184" t="s">
        <v>2042</v>
      </c>
      <c r="X28" s="184" t="s">
        <v>2042</v>
      </c>
      <c r="Y28" s="184" t="s">
        <v>2042</v>
      </c>
      <c r="Z28" s="184" t="s">
        <v>2042</v>
      </c>
      <c r="AA28" s="184" t="s">
        <v>2042</v>
      </c>
      <c r="AB28" s="184" t="s">
        <v>2042</v>
      </c>
      <c r="AC28" s="184" t="s">
        <v>2042</v>
      </c>
      <c r="AD28" s="184" t="s">
        <v>2042</v>
      </c>
      <c r="AE28" s="184" t="s">
        <v>2042</v>
      </c>
      <c r="AF28" s="184" t="s">
        <v>2042</v>
      </c>
      <c r="AG28" s="184" t="s">
        <v>2042</v>
      </c>
      <c r="AH28" s="184" t="s">
        <v>2042</v>
      </c>
      <c r="AI28" s="184" t="s">
        <v>2042</v>
      </c>
      <c r="AJ28" s="184" t="s">
        <v>2042</v>
      </c>
      <c r="AK28" s="184" t="s">
        <v>2042</v>
      </c>
      <c r="AL28" s="184" t="s">
        <v>2042</v>
      </c>
      <c r="AM28" s="184" t="s">
        <v>2042</v>
      </c>
      <c r="AN28" s="184" t="s">
        <v>2042</v>
      </c>
      <c r="AO28" s="184" t="s">
        <v>2042</v>
      </c>
      <c r="AP28" s="184" t="s">
        <v>2042</v>
      </c>
      <c r="AQ28" s="175"/>
    </row>
    <row r="29" spans="1:43" ht="14.5">
      <c r="A29" s="169"/>
      <c r="B29" s="170"/>
      <c r="C29" s="176" t="s">
        <v>1471</v>
      </c>
      <c r="D29" s="177"/>
      <c r="E29" s="178">
        <v>1</v>
      </c>
      <c r="F29" s="179"/>
      <c r="G29" s="186">
        <f>IF(C29="","",SUMIFS(MRP!$D$5:$D1000,MRP!$B$5:$B1000,C29))*E29</f>
        <v>0</v>
      </c>
      <c r="H29" s="181" t="s">
        <v>2041</v>
      </c>
      <c r="I29" s="182">
        <v>0</v>
      </c>
      <c r="J29" s="183" t="s">
        <v>2042</v>
      </c>
      <c r="K29" s="184" t="s">
        <v>2042</v>
      </c>
      <c r="L29" s="184" t="s">
        <v>2042</v>
      </c>
      <c r="M29" s="184" t="s">
        <v>2042</v>
      </c>
      <c r="N29" s="184" t="s">
        <v>2042</v>
      </c>
      <c r="O29" s="184" t="s">
        <v>2042</v>
      </c>
      <c r="P29" s="184" t="s">
        <v>2042</v>
      </c>
      <c r="Q29" s="184" t="s">
        <v>2042</v>
      </c>
      <c r="R29" s="184" t="s">
        <v>2042</v>
      </c>
      <c r="S29" s="184" t="s">
        <v>2042</v>
      </c>
      <c r="T29" s="184" t="s">
        <v>2042</v>
      </c>
      <c r="U29" s="184" t="s">
        <v>2042</v>
      </c>
      <c r="V29" s="184" t="s">
        <v>2042</v>
      </c>
      <c r="W29" s="185" t="s">
        <v>2042</v>
      </c>
      <c r="X29" s="185" t="s">
        <v>2042</v>
      </c>
      <c r="Y29" s="185" t="s">
        <v>2042</v>
      </c>
      <c r="Z29" s="185" t="s">
        <v>2042</v>
      </c>
      <c r="AA29" s="185" t="s">
        <v>2042</v>
      </c>
      <c r="AB29" s="185" t="s">
        <v>2042</v>
      </c>
      <c r="AC29" s="185" t="s">
        <v>2042</v>
      </c>
      <c r="AD29" s="185" t="s">
        <v>2042</v>
      </c>
      <c r="AE29" s="185" t="s">
        <v>2042</v>
      </c>
      <c r="AF29" s="185" t="s">
        <v>2042</v>
      </c>
      <c r="AG29" s="185" t="s">
        <v>2042</v>
      </c>
      <c r="AH29" s="185" t="s">
        <v>2042</v>
      </c>
      <c r="AI29" s="185" t="s">
        <v>2042</v>
      </c>
      <c r="AJ29" s="185" t="s">
        <v>2042</v>
      </c>
      <c r="AK29" s="185" t="s">
        <v>2042</v>
      </c>
      <c r="AL29" s="185" t="s">
        <v>2042</v>
      </c>
      <c r="AM29" s="185" t="s">
        <v>2042</v>
      </c>
      <c r="AN29" s="185" t="s">
        <v>2042</v>
      </c>
      <c r="AO29" s="185" t="s">
        <v>2042</v>
      </c>
      <c r="AP29" s="185" t="s">
        <v>2042</v>
      </c>
      <c r="AQ29" s="175"/>
    </row>
    <row r="30" spans="1:43" ht="14.5">
      <c r="A30" s="169"/>
      <c r="B30" s="170"/>
      <c r="C30" s="176" t="s">
        <v>1470</v>
      </c>
      <c r="D30" s="177"/>
      <c r="E30" s="178">
        <v>1</v>
      </c>
      <c r="F30" s="179"/>
      <c r="G30" s="186">
        <f>IF(C30="","",SUMIFS(MRP!$D$5:$D1000,MRP!$B$5:$B1000,C30))*E30</f>
        <v>0</v>
      </c>
      <c r="H30" s="181" t="s">
        <v>2041</v>
      </c>
      <c r="I30" s="182">
        <v>0</v>
      </c>
      <c r="J30" s="183" t="s">
        <v>2042</v>
      </c>
      <c r="K30" s="190" t="s">
        <v>2042</v>
      </c>
      <c r="L30" s="184" t="s">
        <v>2042</v>
      </c>
      <c r="M30" s="184" t="s">
        <v>2042</v>
      </c>
      <c r="N30" s="184" t="s">
        <v>2042</v>
      </c>
      <c r="O30" s="184" t="s">
        <v>2042</v>
      </c>
      <c r="P30" s="184" t="s">
        <v>2042</v>
      </c>
      <c r="Q30" s="184" t="s">
        <v>2042</v>
      </c>
      <c r="R30" s="190" t="s">
        <v>2042</v>
      </c>
      <c r="S30" s="184" t="s">
        <v>2042</v>
      </c>
      <c r="T30" s="184" t="s">
        <v>2042</v>
      </c>
      <c r="U30" s="184" t="s">
        <v>2042</v>
      </c>
      <c r="V30" s="184" t="s">
        <v>2042</v>
      </c>
      <c r="W30" s="188" t="s">
        <v>2042</v>
      </c>
      <c r="X30" s="188" t="s">
        <v>2042</v>
      </c>
      <c r="Y30" s="188" t="s">
        <v>2042</v>
      </c>
      <c r="Z30" s="188" t="s">
        <v>2042</v>
      </c>
      <c r="AA30" s="188" t="s">
        <v>2042</v>
      </c>
      <c r="AB30" s="188" t="s">
        <v>2042</v>
      </c>
      <c r="AC30" s="188" t="s">
        <v>2042</v>
      </c>
      <c r="AD30" s="188" t="s">
        <v>2042</v>
      </c>
      <c r="AE30" s="188" t="s">
        <v>2042</v>
      </c>
      <c r="AF30" s="188" t="s">
        <v>2042</v>
      </c>
      <c r="AG30" s="188" t="s">
        <v>2042</v>
      </c>
      <c r="AH30" s="188" t="s">
        <v>2042</v>
      </c>
      <c r="AI30" s="188" t="s">
        <v>2042</v>
      </c>
      <c r="AJ30" s="188" t="s">
        <v>2042</v>
      </c>
      <c r="AK30" s="188" t="s">
        <v>2042</v>
      </c>
      <c r="AL30" s="187" t="s">
        <v>2042</v>
      </c>
      <c r="AM30" s="187" t="s">
        <v>2042</v>
      </c>
      <c r="AN30" s="187" t="s">
        <v>2042</v>
      </c>
      <c r="AO30" s="188" t="s">
        <v>2042</v>
      </c>
      <c r="AP30" s="184" t="s">
        <v>2042</v>
      </c>
      <c r="AQ30" s="175"/>
    </row>
    <row r="31" spans="1:43" ht="14.5">
      <c r="A31" s="169"/>
      <c r="B31" s="170"/>
      <c r="C31" s="176" t="s">
        <v>1869</v>
      </c>
      <c r="D31" s="177"/>
      <c r="E31" s="178">
        <v>1</v>
      </c>
      <c r="F31" s="179"/>
      <c r="G31" s="186">
        <f>IF(C31="","",SUMIFS(MRP!$D$5:$D1000,MRP!$B$5:$B1000,C31))*E31</f>
        <v>0</v>
      </c>
      <c r="H31" s="181" t="s">
        <v>2041</v>
      </c>
      <c r="I31" s="182">
        <v>0</v>
      </c>
      <c r="J31" s="183" t="s">
        <v>2042</v>
      </c>
      <c r="K31" s="184" t="s">
        <v>2042</v>
      </c>
      <c r="L31" s="184" t="s">
        <v>2042</v>
      </c>
      <c r="M31" s="184" t="s">
        <v>2042</v>
      </c>
      <c r="N31" s="184" t="s">
        <v>2042</v>
      </c>
      <c r="O31" s="184" t="s">
        <v>2042</v>
      </c>
      <c r="P31" s="184" t="s">
        <v>2042</v>
      </c>
      <c r="Q31" s="184" t="s">
        <v>2042</v>
      </c>
      <c r="R31" s="184" t="s">
        <v>2042</v>
      </c>
      <c r="S31" s="184" t="s">
        <v>2042</v>
      </c>
      <c r="T31" s="184" t="s">
        <v>2042</v>
      </c>
      <c r="U31" s="184" t="s">
        <v>2042</v>
      </c>
      <c r="V31" s="184" t="s">
        <v>2042</v>
      </c>
      <c r="W31" s="184" t="s">
        <v>2042</v>
      </c>
      <c r="X31" s="184" t="s">
        <v>2042</v>
      </c>
      <c r="Y31" s="184" t="s">
        <v>2042</v>
      </c>
      <c r="Z31" s="184" t="s">
        <v>2042</v>
      </c>
      <c r="AA31" s="184" t="s">
        <v>2042</v>
      </c>
      <c r="AB31" s="184" t="s">
        <v>2042</v>
      </c>
      <c r="AC31" s="184" t="s">
        <v>2042</v>
      </c>
      <c r="AD31" s="184" t="s">
        <v>2042</v>
      </c>
      <c r="AE31" s="184" t="s">
        <v>2042</v>
      </c>
      <c r="AF31" s="184" t="s">
        <v>2042</v>
      </c>
      <c r="AG31" s="184" t="s">
        <v>2042</v>
      </c>
      <c r="AH31" s="184" t="s">
        <v>2042</v>
      </c>
      <c r="AI31" s="184" t="s">
        <v>2042</v>
      </c>
      <c r="AJ31" s="184" t="s">
        <v>2042</v>
      </c>
      <c r="AK31" s="184" t="s">
        <v>2042</v>
      </c>
      <c r="AL31" s="184" t="s">
        <v>2042</v>
      </c>
      <c r="AM31" s="184" t="s">
        <v>2042</v>
      </c>
      <c r="AN31" s="184" t="s">
        <v>2042</v>
      </c>
      <c r="AO31" s="184" t="s">
        <v>2042</v>
      </c>
      <c r="AP31" s="184" t="s">
        <v>2042</v>
      </c>
      <c r="AQ31" s="175"/>
    </row>
    <row r="32" spans="1:43" ht="14.5">
      <c r="A32" s="169"/>
      <c r="B32" s="170"/>
      <c r="C32" s="176" t="s">
        <v>1567</v>
      </c>
      <c r="D32" s="177"/>
      <c r="E32" s="178">
        <v>1</v>
      </c>
      <c r="F32" s="179"/>
      <c r="G32" s="186">
        <f>IF(C32="","",SUMIFS(MRP!$D$5:$D1000,MRP!$B$5:$B1000,C32))*E32</f>
        <v>0</v>
      </c>
      <c r="H32" s="181" t="s">
        <v>2041</v>
      </c>
      <c r="I32" s="182">
        <v>0</v>
      </c>
      <c r="J32" s="183" t="s">
        <v>2042</v>
      </c>
      <c r="K32" s="185" t="s">
        <v>2042</v>
      </c>
      <c r="L32" s="185" t="s">
        <v>2042</v>
      </c>
      <c r="M32" s="185" t="s">
        <v>2042</v>
      </c>
      <c r="N32" s="185" t="s">
        <v>2042</v>
      </c>
      <c r="O32" s="185" t="s">
        <v>2042</v>
      </c>
      <c r="P32" s="185" t="s">
        <v>2042</v>
      </c>
      <c r="Q32" s="185" t="s">
        <v>2042</v>
      </c>
      <c r="R32" s="185" t="s">
        <v>2042</v>
      </c>
      <c r="S32" s="185" t="s">
        <v>2042</v>
      </c>
      <c r="T32" s="185" t="s">
        <v>2042</v>
      </c>
      <c r="U32" s="185" t="s">
        <v>2042</v>
      </c>
      <c r="V32" s="185" t="s">
        <v>2042</v>
      </c>
      <c r="W32" s="185" t="s">
        <v>2042</v>
      </c>
      <c r="X32" s="185" t="s">
        <v>2042</v>
      </c>
      <c r="Y32" s="187" t="s">
        <v>2042</v>
      </c>
      <c r="Z32" s="187" t="s">
        <v>2042</v>
      </c>
      <c r="AA32" s="187" t="s">
        <v>2042</v>
      </c>
      <c r="AB32" s="187" t="s">
        <v>2042</v>
      </c>
      <c r="AC32" s="187" t="s">
        <v>2042</v>
      </c>
      <c r="AD32" s="187" t="s">
        <v>2042</v>
      </c>
      <c r="AE32" s="187" t="s">
        <v>2042</v>
      </c>
      <c r="AF32" s="184" t="s">
        <v>2042</v>
      </c>
      <c r="AG32" s="184" t="s">
        <v>2042</v>
      </c>
      <c r="AH32" s="184" t="s">
        <v>2042</v>
      </c>
      <c r="AI32" s="184" t="s">
        <v>2042</v>
      </c>
      <c r="AJ32" s="184" t="s">
        <v>2042</v>
      </c>
      <c r="AK32" s="184" t="s">
        <v>2042</v>
      </c>
      <c r="AL32" s="184" t="s">
        <v>2042</v>
      </c>
      <c r="AM32" s="184" t="s">
        <v>2042</v>
      </c>
      <c r="AN32" s="187" t="s">
        <v>2042</v>
      </c>
      <c r="AO32" s="184" t="s">
        <v>2042</v>
      </c>
      <c r="AP32" s="184" t="s">
        <v>2042</v>
      </c>
      <c r="AQ32" s="175"/>
    </row>
    <row r="33" spans="1:43" ht="14.5">
      <c r="A33" s="169"/>
      <c r="B33" s="170"/>
      <c r="C33" s="176" t="s">
        <v>1870</v>
      </c>
      <c r="D33" s="177"/>
      <c r="E33" s="178">
        <v>1</v>
      </c>
      <c r="F33" s="179"/>
      <c r="G33" s="186">
        <f>IF(C33="","",SUMIFS(MRP!$D$5:$D1000,MRP!$B$5:$B1000,C33))*E33</f>
        <v>0</v>
      </c>
      <c r="H33" s="181" t="s">
        <v>2041</v>
      </c>
      <c r="I33" s="182">
        <v>0</v>
      </c>
      <c r="J33" s="183" t="s">
        <v>2042</v>
      </c>
      <c r="K33" s="184" t="s">
        <v>2042</v>
      </c>
      <c r="L33" s="184" t="s">
        <v>2042</v>
      </c>
      <c r="M33" s="184" t="s">
        <v>2042</v>
      </c>
      <c r="N33" s="184" t="s">
        <v>2042</v>
      </c>
      <c r="O33" s="184" t="s">
        <v>2042</v>
      </c>
      <c r="P33" s="184" t="s">
        <v>2042</v>
      </c>
      <c r="Q33" s="184" t="s">
        <v>2042</v>
      </c>
      <c r="R33" s="184" t="s">
        <v>2042</v>
      </c>
      <c r="S33" s="184" t="s">
        <v>2042</v>
      </c>
      <c r="T33" s="184" t="s">
        <v>2042</v>
      </c>
      <c r="U33" s="184" t="s">
        <v>2042</v>
      </c>
      <c r="V33" s="184" t="s">
        <v>2042</v>
      </c>
      <c r="W33" s="184" t="s">
        <v>2042</v>
      </c>
      <c r="X33" s="184" t="s">
        <v>2042</v>
      </c>
      <c r="Y33" s="184" t="s">
        <v>2042</v>
      </c>
      <c r="Z33" s="184" t="s">
        <v>2042</v>
      </c>
      <c r="AA33" s="184" t="s">
        <v>2042</v>
      </c>
      <c r="AB33" s="184" t="s">
        <v>2042</v>
      </c>
      <c r="AC33" s="184" t="s">
        <v>2042</v>
      </c>
      <c r="AD33" s="184" t="s">
        <v>2042</v>
      </c>
      <c r="AE33" s="184" t="s">
        <v>2042</v>
      </c>
      <c r="AF33" s="184" t="s">
        <v>2042</v>
      </c>
      <c r="AG33" s="184" t="s">
        <v>2042</v>
      </c>
      <c r="AH33" s="184" t="s">
        <v>2042</v>
      </c>
      <c r="AI33" s="184" t="s">
        <v>2042</v>
      </c>
      <c r="AJ33" s="184" t="s">
        <v>2042</v>
      </c>
      <c r="AK33" s="184" t="s">
        <v>2042</v>
      </c>
      <c r="AL33" s="184" t="s">
        <v>2042</v>
      </c>
      <c r="AM33" s="184" t="s">
        <v>2042</v>
      </c>
      <c r="AN33" s="184" t="s">
        <v>2042</v>
      </c>
      <c r="AO33" s="184" t="s">
        <v>2042</v>
      </c>
      <c r="AP33" s="184" t="s">
        <v>2042</v>
      </c>
      <c r="AQ33" s="175"/>
    </row>
    <row r="34" spans="1:43" ht="14.5">
      <c r="A34" s="169"/>
      <c r="B34" s="170"/>
      <c r="C34" s="176" t="s">
        <v>1871</v>
      </c>
      <c r="D34" s="177"/>
      <c r="E34" s="178">
        <v>1</v>
      </c>
      <c r="F34" s="179"/>
      <c r="G34" s="186">
        <f>IF(C34="","",SUMIFS(MRP!$D$5:$D1000,MRP!$B$5:$B1000,C34))*E34</f>
        <v>0</v>
      </c>
      <c r="H34" s="181" t="s">
        <v>2041</v>
      </c>
      <c r="I34" s="182">
        <v>0</v>
      </c>
      <c r="J34" s="183" t="s">
        <v>2042</v>
      </c>
      <c r="K34" s="185" t="s">
        <v>2042</v>
      </c>
      <c r="L34" s="185" t="s">
        <v>2042</v>
      </c>
      <c r="M34" s="187" t="s">
        <v>2042</v>
      </c>
      <c r="N34" s="187" t="s">
        <v>2042</v>
      </c>
      <c r="O34" s="187" t="s">
        <v>2042</v>
      </c>
      <c r="P34" s="187" t="s">
        <v>2042</v>
      </c>
      <c r="Q34" s="187" t="s">
        <v>2042</v>
      </c>
      <c r="R34" s="184" t="s">
        <v>2042</v>
      </c>
      <c r="S34" s="184" t="s">
        <v>2042</v>
      </c>
      <c r="T34" s="184" t="s">
        <v>2042</v>
      </c>
      <c r="U34" s="184" t="s">
        <v>2042</v>
      </c>
      <c r="V34" s="184" t="s">
        <v>2042</v>
      </c>
      <c r="W34" s="184" t="s">
        <v>2042</v>
      </c>
      <c r="X34" s="184" t="s">
        <v>2042</v>
      </c>
      <c r="Y34" s="184" t="s">
        <v>2042</v>
      </c>
      <c r="Z34" s="184" t="s">
        <v>2042</v>
      </c>
      <c r="AA34" s="184" t="s">
        <v>2042</v>
      </c>
      <c r="AB34" s="184" t="s">
        <v>2042</v>
      </c>
      <c r="AC34" s="184" t="s">
        <v>2042</v>
      </c>
      <c r="AD34" s="184" t="s">
        <v>2042</v>
      </c>
      <c r="AE34" s="184" t="s">
        <v>2042</v>
      </c>
      <c r="AF34" s="184" t="s">
        <v>2042</v>
      </c>
      <c r="AG34" s="184" t="s">
        <v>2042</v>
      </c>
      <c r="AH34" s="184" t="s">
        <v>2042</v>
      </c>
      <c r="AI34" s="184" t="s">
        <v>2042</v>
      </c>
      <c r="AJ34" s="184" t="s">
        <v>2042</v>
      </c>
      <c r="AK34" s="184" t="s">
        <v>2042</v>
      </c>
      <c r="AL34" s="184" t="s">
        <v>2042</v>
      </c>
      <c r="AM34" s="184" t="s">
        <v>2042</v>
      </c>
      <c r="AN34" s="184" t="s">
        <v>2042</v>
      </c>
      <c r="AO34" s="184" t="s">
        <v>2042</v>
      </c>
      <c r="AP34" s="184" t="s">
        <v>2042</v>
      </c>
      <c r="AQ34" s="175"/>
    </row>
    <row r="35" spans="1:43" ht="14.5">
      <c r="A35" s="169"/>
      <c r="B35" s="170"/>
      <c r="C35" s="176" t="s">
        <v>1872</v>
      </c>
      <c r="D35" s="177"/>
      <c r="E35" s="178">
        <v>1</v>
      </c>
      <c r="F35" s="179"/>
      <c r="G35" s="186">
        <f>IF(C35="","",SUMIFS(MRP!$D$5:$D1000,MRP!$B$5:$B1000,C35))*E35</f>
        <v>0</v>
      </c>
      <c r="H35" s="181" t="s">
        <v>2041</v>
      </c>
      <c r="I35" s="182">
        <v>0</v>
      </c>
      <c r="J35" s="183" t="s">
        <v>2042</v>
      </c>
      <c r="K35" s="185" t="s">
        <v>2042</v>
      </c>
      <c r="L35" s="185" t="s">
        <v>2042</v>
      </c>
      <c r="M35" s="185" t="s">
        <v>2042</v>
      </c>
      <c r="N35" s="185" t="s">
        <v>2042</v>
      </c>
      <c r="O35" s="185" t="s">
        <v>2042</v>
      </c>
      <c r="P35" s="185" t="s">
        <v>2042</v>
      </c>
      <c r="Q35" s="185" t="s">
        <v>2042</v>
      </c>
      <c r="R35" s="185" t="s">
        <v>2042</v>
      </c>
      <c r="S35" s="185" t="s">
        <v>2042</v>
      </c>
      <c r="T35" s="185" t="s">
        <v>2042</v>
      </c>
      <c r="U35" s="185" t="s">
        <v>2042</v>
      </c>
      <c r="V35" s="185" t="s">
        <v>2042</v>
      </c>
      <c r="W35" s="185" t="s">
        <v>2042</v>
      </c>
      <c r="X35" s="185" t="s">
        <v>2042</v>
      </c>
      <c r="Y35" s="185" t="s">
        <v>2042</v>
      </c>
      <c r="Z35" s="185" t="s">
        <v>2042</v>
      </c>
      <c r="AA35" s="185" t="s">
        <v>2042</v>
      </c>
      <c r="AB35" s="185" t="s">
        <v>2042</v>
      </c>
      <c r="AC35" s="185" t="s">
        <v>2042</v>
      </c>
      <c r="AD35" s="185" t="s">
        <v>2042</v>
      </c>
      <c r="AE35" s="185" t="s">
        <v>2042</v>
      </c>
      <c r="AF35" s="185" t="s">
        <v>2042</v>
      </c>
      <c r="AG35" s="185" t="s">
        <v>2042</v>
      </c>
      <c r="AH35" s="185" t="s">
        <v>2042</v>
      </c>
      <c r="AI35" s="185" t="s">
        <v>2042</v>
      </c>
      <c r="AJ35" s="185" t="s">
        <v>2042</v>
      </c>
      <c r="AK35" s="185" t="s">
        <v>2042</v>
      </c>
      <c r="AL35" s="185" t="s">
        <v>2042</v>
      </c>
      <c r="AM35" s="185" t="s">
        <v>2042</v>
      </c>
      <c r="AN35" s="185" t="s">
        <v>2042</v>
      </c>
      <c r="AO35" s="185" t="s">
        <v>2042</v>
      </c>
      <c r="AP35" s="185" t="s">
        <v>2042</v>
      </c>
      <c r="AQ35" s="175"/>
    </row>
    <row r="36" spans="1:43" ht="14.5">
      <c r="A36" s="169"/>
      <c r="B36" s="170"/>
      <c r="C36" s="176" t="s">
        <v>1873</v>
      </c>
      <c r="D36" s="177"/>
      <c r="E36" s="178">
        <v>1</v>
      </c>
      <c r="F36" s="179"/>
      <c r="G36" s="186">
        <f>IF(C36="","",SUMIFS(MRP!$D$5:$D1000,MRP!$B$5:$B1000,C36))*E36</f>
        <v>0</v>
      </c>
      <c r="H36" s="181" t="s">
        <v>2041</v>
      </c>
      <c r="I36" s="182">
        <v>0</v>
      </c>
      <c r="J36" s="183" t="s">
        <v>2042</v>
      </c>
      <c r="K36" s="190" t="s">
        <v>2042</v>
      </c>
      <c r="L36" s="190" t="s">
        <v>2042</v>
      </c>
      <c r="M36" s="190" t="s">
        <v>2042</v>
      </c>
      <c r="N36" s="190" t="s">
        <v>2042</v>
      </c>
      <c r="O36" s="190" t="s">
        <v>2042</v>
      </c>
      <c r="P36" s="190" t="s">
        <v>2042</v>
      </c>
      <c r="Q36" s="190" t="s">
        <v>2042</v>
      </c>
      <c r="R36" s="190" t="s">
        <v>2042</v>
      </c>
      <c r="S36" s="190" t="s">
        <v>2042</v>
      </c>
      <c r="T36" s="190" t="s">
        <v>2042</v>
      </c>
      <c r="U36" s="190" t="s">
        <v>2042</v>
      </c>
      <c r="V36" s="190" t="s">
        <v>2042</v>
      </c>
      <c r="W36" s="188" t="s">
        <v>2042</v>
      </c>
      <c r="X36" s="188" t="s">
        <v>2042</v>
      </c>
      <c r="Y36" s="188" t="s">
        <v>2042</v>
      </c>
      <c r="Z36" s="188" t="s">
        <v>2042</v>
      </c>
      <c r="AA36" s="188" t="s">
        <v>2042</v>
      </c>
      <c r="AB36" s="188" t="s">
        <v>2042</v>
      </c>
      <c r="AC36" s="188" t="s">
        <v>2042</v>
      </c>
      <c r="AD36" s="188" t="s">
        <v>2042</v>
      </c>
      <c r="AE36" s="189" t="s">
        <v>2042</v>
      </c>
      <c r="AF36" s="189" t="s">
        <v>2042</v>
      </c>
      <c r="AG36" s="189" t="s">
        <v>2042</v>
      </c>
      <c r="AH36" s="189" t="s">
        <v>2042</v>
      </c>
      <c r="AI36" s="189" t="s">
        <v>2042</v>
      </c>
      <c r="AJ36" s="189" t="s">
        <v>2042</v>
      </c>
      <c r="AK36" s="189" t="s">
        <v>2042</v>
      </c>
      <c r="AL36" s="189" t="s">
        <v>2042</v>
      </c>
      <c r="AM36" s="189" t="s">
        <v>2042</v>
      </c>
      <c r="AN36" s="187" t="s">
        <v>2042</v>
      </c>
      <c r="AO36" s="187" t="s">
        <v>2042</v>
      </c>
      <c r="AP36" s="187" t="s">
        <v>2042</v>
      </c>
      <c r="AQ36" s="175"/>
    </row>
    <row r="37" spans="1:43" ht="14.5">
      <c r="A37" s="169"/>
      <c r="B37" s="170"/>
      <c r="C37" s="176" t="s">
        <v>1190</v>
      </c>
      <c r="D37" s="177"/>
      <c r="E37" s="178">
        <v>1</v>
      </c>
      <c r="F37" s="179"/>
      <c r="G37" s="186">
        <f>IF(C37="","",SUMIFS(MRP!$D$5:$D1000,MRP!$B$5:$B1000,C37))*E37</f>
        <v>0</v>
      </c>
      <c r="H37" s="181" t="s">
        <v>2041</v>
      </c>
      <c r="I37" s="182">
        <v>0</v>
      </c>
      <c r="J37" s="183" t="s">
        <v>2042</v>
      </c>
      <c r="K37" s="184" t="s">
        <v>2042</v>
      </c>
      <c r="L37" s="187" t="s">
        <v>2042</v>
      </c>
      <c r="M37" s="187" t="s">
        <v>2042</v>
      </c>
      <c r="N37" s="187" t="s">
        <v>2042</v>
      </c>
      <c r="O37" s="187" t="s">
        <v>2042</v>
      </c>
      <c r="P37" s="187" t="s">
        <v>2042</v>
      </c>
      <c r="Q37" s="187" t="s">
        <v>2042</v>
      </c>
      <c r="R37" s="187" t="s">
        <v>2042</v>
      </c>
      <c r="S37" s="187" t="s">
        <v>2042</v>
      </c>
      <c r="T37" s="187" t="s">
        <v>2042</v>
      </c>
      <c r="U37" s="187" t="s">
        <v>2042</v>
      </c>
      <c r="V37" s="187" t="s">
        <v>2042</v>
      </c>
      <c r="W37" s="185" t="s">
        <v>2042</v>
      </c>
      <c r="X37" s="185" t="s">
        <v>2042</v>
      </c>
      <c r="Y37" s="185" t="s">
        <v>2042</v>
      </c>
      <c r="Z37" s="185" t="s">
        <v>2042</v>
      </c>
      <c r="AA37" s="185" t="s">
        <v>2042</v>
      </c>
      <c r="AB37" s="185" t="s">
        <v>2042</v>
      </c>
      <c r="AC37" s="185" t="s">
        <v>2042</v>
      </c>
      <c r="AD37" s="185" t="s">
        <v>2042</v>
      </c>
      <c r="AE37" s="185" t="s">
        <v>2042</v>
      </c>
      <c r="AF37" s="185" t="s">
        <v>2042</v>
      </c>
      <c r="AG37" s="185" t="s">
        <v>2042</v>
      </c>
      <c r="AH37" s="185" t="s">
        <v>2042</v>
      </c>
      <c r="AI37" s="185" t="s">
        <v>2042</v>
      </c>
      <c r="AJ37" s="185" t="s">
        <v>2042</v>
      </c>
      <c r="AK37" s="185" t="s">
        <v>2042</v>
      </c>
      <c r="AL37" s="185" t="s">
        <v>2042</v>
      </c>
      <c r="AM37" s="185" t="s">
        <v>2042</v>
      </c>
      <c r="AN37" s="185" t="s">
        <v>2042</v>
      </c>
      <c r="AO37" s="185" t="s">
        <v>2042</v>
      </c>
      <c r="AP37" s="185" t="s">
        <v>2042</v>
      </c>
      <c r="AQ37" s="175"/>
    </row>
    <row r="38" spans="1:43" ht="14.5">
      <c r="A38" s="169"/>
      <c r="B38" s="170"/>
      <c r="C38" s="176" t="s">
        <v>1611</v>
      </c>
      <c r="D38" s="177"/>
      <c r="E38" s="178">
        <v>1</v>
      </c>
      <c r="F38" s="179"/>
      <c r="G38" s="186">
        <f>IF(C38="","",SUMIFS(MRP!$D$5:$D1000,MRP!$B$5:$B1000,C38))*E38</f>
        <v>0</v>
      </c>
      <c r="H38" s="181" t="s">
        <v>2041</v>
      </c>
      <c r="I38" s="182">
        <v>0</v>
      </c>
      <c r="J38" s="183" t="s">
        <v>2042</v>
      </c>
      <c r="K38" s="184" t="s">
        <v>2042</v>
      </c>
      <c r="L38" s="184" t="s">
        <v>2042</v>
      </c>
      <c r="M38" s="184" t="s">
        <v>2042</v>
      </c>
      <c r="N38" s="184" t="s">
        <v>2042</v>
      </c>
      <c r="O38" s="184" t="s">
        <v>2042</v>
      </c>
      <c r="P38" s="184" t="s">
        <v>2042</v>
      </c>
      <c r="Q38" s="184" t="s">
        <v>2042</v>
      </c>
      <c r="R38" s="184" t="s">
        <v>2042</v>
      </c>
      <c r="S38" s="184" t="s">
        <v>2042</v>
      </c>
      <c r="T38" s="184" t="s">
        <v>2042</v>
      </c>
      <c r="U38" s="184" t="s">
        <v>2042</v>
      </c>
      <c r="V38" s="184" t="s">
        <v>2042</v>
      </c>
      <c r="W38" s="184" t="s">
        <v>2042</v>
      </c>
      <c r="X38" s="184" t="s">
        <v>2042</v>
      </c>
      <c r="Y38" s="184" t="s">
        <v>2042</v>
      </c>
      <c r="Z38" s="184" t="s">
        <v>2042</v>
      </c>
      <c r="AA38" s="184" t="s">
        <v>2042</v>
      </c>
      <c r="AB38" s="184" t="s">
        <v>2042</v>
      </c>
      <c r="AC38" s="184" t="s">
        <v>2042</v>
      </c>
      <c r="AD38" s="184" t="s">
        <v>2042</v>
      </c>
      <c r="AE38" s="184" t="s">
        <v>2042</v>
      </c>
      <c r="AF38" s="184" t="s">
        <v>2042</v>
      </c>
      <c r="AG38" s="184" t="s">
        <v>2042</v>
      </c>
      <c r="AH38" s="184" t="s">
        <v>2042</v>
      </c>
      <c r="AI38" s="184" t="s">
        <v>2042</v>
      </c>
      <c r="AJ38" s="184" t="s">
        <v>2042</v>
      </c>
      <c r="AK38" s="184" t="s">
        <v>2042</v>
      </c>
      <c r="AL38" s="184" t="s">
        <v>2042</v>
      </c>
      <c r="AM38" s="184" t="s">
        <v>2042</v>
      </c>
      <c r="AN38" s="184" t="s">
        <v>2042</v>
      </c>
      <c r="AO38" s="184" t="s">
        <v>2042</v>
      </c>
      <c r="AP38" s="184" t="s">
        <v>2042</v>
      </c>
      <c r="AQ38" s="175"/>
    </row>
    <row r="39" spans="1:43" ht="14.5">
      <c r="A39" s="169"/>
      <c r="B39" s="170"/>
      <c r="C39" s="176" t="s">
        <v>1606</v>
      </c>
      <c r="D39" s="177"/>
      <c r="E39" s="178">
        <v>1</v>
      </c>
      <c r="F39" s="179"/>
      <c r="G39" s="186">
        <f>IF(C39="","",SUMIFS(MRP!$D$5:$D1000,MRP!$B$5:$B1000,C39))*E39</f>
        <v>0</v>
      </c>
      <c r="H39" s="181" t="s">
        <v>2041</v>
      </c>
      <c r="I39" s="182">
        <v>0</v>
      </c>
      <c r="J39" s="183" t="s">
        <v>2042</v>
      </c>
      <c r="K39" s="184" t="s">
        <v>2042</v>
      </c>
      <c r="L39" s="184" t="s">
        <v>2042</v>
      </c>
      <c r="M39" s="184" t="s">
        <v>2042</v>
      </c>
      <c r="N39" s="184" t="s">
        <v>2042</v>
      </c>
      <c r="O39" s="185" t="s">
        <v>2042</v>
      </c>
      <c r="P39" s="185" t="s">
        <v>2042</v>
      </c>
      <c r="Q39" s="185" t="s">
        <v>2042</v>
      </c>
      <c r="R39" s="185" t="s">
        <v>2042</v>
      </c>
      <c r="S39" s="185" t="s">
        <v>2042</v>
      </c>
      <c r="T39" s="185" t="s">
        <v>2042</v>
      </c>
      <c r="U39" s="185" t="s">
        <v>2042</v>
      </c>
      <c r="V39" s="185" t="s">
        <v>2042</v>
      </c>
      <c r="W39" s="185" t="s">
        <v>2042</v>
      </c>
      <c r="X39" s="185" t="s">
        <v>2042</v>
      </c>
      <c r="Y39" s="185" t="s">
        <v>2042</v>
      </c>
      <c r="Z39" s="185" t="s">
        <v>2042</v>
      </c>
      <c r="AA39" s="185" t="s">
        <v>2042</v>
      </c>
      <c r="AB39" s="185" t="s">
        <v>2042</v>
      </c>
      <c r="AC39" s="185" t="s">
        <v>2042</v>
      </c>
      <c r="AD39" s="185" t="s">
        <v>2042</v>
      </c>
      <c r="AE39" s="185" t="s">
        <v>2042</v>
      </c>
      <c r="AF39" s="185" t="s">
        <v>2042</v>
      </c>
      <c r="AG39" s="185" t="s">
        <v>2042</v>
      </c>
      <c r="AH39" s="185" t="s">
        <v>2042</v>
      </c>
      <c r="AI39" s="185" t="s">
        <v>2042</v>
      </c>
      <c r="AJ39" s="185" t="s">
        <v>2042</v>
      </c>
      <c r="AK39" s="185" t="s">
        <v>2042</v>
      </c>
      <c r="AL39" s="185" t="s">
        <v>2042</v>
      </c>
      <c r="AM39" s="185" t="s">
        <v>2042</v>
      </c>
      <c r="AN39" s="185" t="s">
        <v>2042</v>
      </c>
      <c r="AO39" s="185" t="s">
        <v>2042</v>
      </c>
      <c r="AP39" s="185" t="s">
        <v>2042</v>
      </c>
      <c r="AQ39" s="175"/>
    </row>
    <row r="40" spans="1:43" ht="14.5">
      <c r="A40" s="169"/>
      <c r="B40" s="170"/>
      <c r="C40" s="176" t="s">
        <v>1874</v>
      </c>
      <c r="D40" s="177"/>
      <c r="E40" s="178">
        <v>1</v>
      </c>
      <c r="F40" s="179"/>
      <c r="G40" s="186">
        <f>IF(C40="","",SUMIFS(MRP!$D$5:$D1000,MRP!$B$5:$B1000,C40))*E40</f>
        <v>0</v>
      </c>
      <c r="H40" s="181" t="s">
        <v>2041</v>
      </c>
      <c r="I40" s="182">
        <v>0</v>
      </c>
      <c r="J40" s="183" t="s">
        <v>2042</v>
      </c>
      <c r="K40" s="184" t="s">
        <v>2042</v>
      </c>
      <c r="L40" s="184" t="s">
        <v>2042</v>
      </c>
      <c r="M40" s="184" t="s">
        <v>2042</v>
      </c>
      <c r="N40" s="184" t="s">
        <v>2042</v>
      </c>
      <c r="O40" s="184" t="s">
        <v>2042</v>
      </c>
      <c r="P40" s="184" t="s">
        <v>2042</v>
      </c>
      <c r="Q40" s="184" t="s">
        <v>2042</v>
      </c>
      <c r="R40" s="184" t="s">
        <v>2042</v>
      </c>
      <c r="S40" s="184" t="s">
        <v>2042</v>
      </c>
      <c r="T40" s="184" t="s">
        <v>2042</v>
      </c>
      <c r="U40" s="184" t="s">
        <v>2042</v>
      </c>
      <c r="V40" s="184" t="s">
        <v>2042</v>
      </c>
      <c r="W40" s="184" t="s">
        <v>2042</v>
      </c>
      <c r="X40" s="184" t="s">
        <v>2042</v>
      </c>
      <c r="Y40" s="184" t="s">
        <v>2042</v>
      </c>
      <c r="Z40" s="184" t="s">
        <v>2042</v>
      </c>
      <c r="AA40" s="184" t="s">
        <v>2042</v>
      </c>
      <c r="AB40" s="184" t="s">
        <v>2042</v>
      </c>
      <c r="AC40" s="184" t="s">
        <v>2042</v>
      </c>
      <c r="AD40" s="184" t="s">
        <v>2042</v>
      </c>
      <c r="AE40" s="184" t="s">
        <v>2042</v>
      </c>
      <c r="AF40" s="184" t="s">
        <v>2042</v>
      </c>
      <c r="AG40" s="184" t="s">
        <v>2042</v>
      </c>
      <c r="AH40" s="184" t="s">
        <v>2042</v>
      </c>
      <c r="AI40" s="184" t="s">
        <v>2042</v>
      </c>
      <c r="AJ40" s="184" t="s">
        <v>2042</v>
      </c>
      <c r="AK40" s="184" t="s">
        <v>2042</v>
      </c>
      <c r="AL40" s="184" t="s">
        <v>2042</v>
      </c>
      <c r="AM40" s="184" t="s">
        <v>2042</v>
      </c>
      <c r="AN40" s="184" t="s">
        <v>2042</v>
      </c>
      <c r="AO40" s="184" t="s">
        <v>2042</v>
      </c>
      <c r="AP40" s="184" t="s">
        <v>2042</v>
      </c>
      <c r="AQ40" s="175"/>
    </row>
    <row r="41" spans="1:43" ht="14.5">
      <c r="A41" s="169"/>
      <c r="B41" s="170"/>
      <c r="C41" s="176" t="s">
        <v>1875</v>
      </c>
      <c r="D41" s="177"/>
      <c r="E41" s="178">
        <v>1</v>
      </c>
      <c r="F41" s="179"/>
      <c r="G41" s="186">
        <f>IF(C41="","",SUMIFS(MRP!$D$5:$D1000,MRP!$B$5:$B1000,C41))*E41</f>
        <v>0</v>
      </c>
      <c r="H41" s="181" t="s">
        <v>2041</v>
      </c>
      <c r="I41" s="182">
        <v>0</v>
      </c>
      <c r="J41" s="183" t="s">
        <v>2042</v>
      </c>
      <c r="K41" s="184" t="s">
        <v>2042</v>
      </c>
      <c r="L41" s="184" t="s">
        <v>2042</v>
      </c>
      <c r="M41" s="184" t="s">
        <v>2042</v>
      </c>
      <c r="N41" s="184" t="s">
        <v>2042</v>
      </c>
      <c r="O41" s="184" t="s">
        <v>2042</v>
      </c>
      <c r="P41" s="184" t="s">
        <v>2042</v>
      </c>
      <c r="Q41" s="184" t="s">
        <v>2042</v>
      </c>
      <c r="R41" s="184" t="s">
        <v>2042</v>
      </c>
      <c r="S41" s="184" t="s">
        <v>2042</v>
      </c>
      <c r="T41" s="184" t="s">
        <v>2042</v>
      </c>
      <c r="U41" s="184" t="s">
        <v>2042</v>
      </c>
      <c r="V41" s="184" t="s">
        <v>2042</v>
      </c>
      <c r="W41" s="184" t="s">
        <v>2042</v>
      </c>
      <c r="X41" s="184" t="s">
        <v>2042</v>
      </c>
      <c r="Y41" s="184" t="s">
        <v>2042</v>
      </c>
      <c r="Z41" s="184" t="s">
        <v>2042</v>
      </c>
      <c r="AA41" s="184" t="s">
        <v>2042</v>
      </c>
      <c r="AB41" s="184" t="s">
        <v>2042</v>
      </c>
      <c r="AC41" s="184" t="s">
        <v>2042</v>
      </c>
      <c r="AD41" s="184" t="s">
        <v>2042</v>
      </c>
      <c r="AE41" s="184" t="s">
        <v>2042</v>
      </c>
      <c r="AF41" s="184" t="s">
        <v>2042</v>
      </c>
      <c r="AG41" s="184" t="s">
        <v>2042</v>
      </c>
      <c r="AH41" s="184" t="s">
        <v>2042</v>
      </c>
      <c r="AI41" s="184" t="s">
        <v>2042</v>
      </c>
      <c r="AJ41" s="184" t="s">
        <v>2042</v>
      </c>
      <c r="AK41" s="184" t="s">
        <v>2042</v>
      </c>
      <c r="AL41" s="184" t="s">
        <v>2042</v>
      </c>
      <c r="AM41" s="184" t="s">
        <v>2042</v>
      </c>
      <c r="AN41" s="184" t="s">
        <v>2042</v>
      </c>
      <c r="AO41" s="184" t="s">
        <v>2042</v>
      </c>
      <c r="AP41" s="184" t="s">
        <v>2042</v>
      </c>
      <c r="AQ41" s="175"/>
    </row>
    <row r="42" spans="1:43" ht="14.5">
      <c r="A42" s="169"/>
      <c r="B42" s="170"/>
      <c r="C42" s="176" t="s">
        <v>1876</v>
      </c>
      <c r="D42" s="177"/>
      <c r="E42" s="178">
        <v>1</v>
      </c>
      <c r="F42" s="179"/>
      <c r="G42" s="186">
        <f>IF(C42="","",SUMIFS(MRP!$D$5:$D1000,MRP!$B$5:$B1000,C42))*E42</f>
        <v>0</v>
      </c>
      <c r="H42" s="181" t="s">
        <v>2041</v>
      </c>
      <c r="I42" s="182">
        <v>0</v>
      </c>
      <c r="J42" s="183" t="s">
        <v>2042</v>
      </c>
      <c r="K42" s="184" t="s">
        <v>2042</v>
      </c>
      <c r="L42" s="184" t="s">
        <v>2042</v>
      </c>
      <c r="M42" s="184" t="s">
        <v>2042</v>
      </c>
      <c r="N42" s="184" t="s">
        <v>2042</v>
      </c>
      <c r="O42" s="184" t="s">
        <v>2042</v>
      </c>
      <c r="P42" s="184" t="s">
        <v>2042</v>
      </c>
      <c r="Q42" s="184" t="s">
        <v>2042</v>
      </c>
      <c r="R42" s="184" t="s">
        <v>2042</v>
      </c>
      <c r="S42" s="184" t="s">
        <v>2042</v>
      </c>
      <c r="T42" s="184" t="s">
        <v>2042</v>
      </c>
      <c r="U42" s="184" t="s">
        <v>2042</v>
      </c>
      <c r="V42" s="184" t="s">
        <v>2042</v>
      </c>
      <c r="W42" s="185" t="s">
        <v>2042</v>
      </c>
      <c r="X42" s="185" t="s">
        <v>2042</v>
      </c>
      <c r="Y42" s="185" t="s">
        <v>2042</v>
      </c>
      <c r="Z42" s="185" t="s">
        <v>2042</v>
      </c>
      <c r="AA42" s="185" t="s">
        <v>2042</v>
      </c>
      <c r="AB42" s="185" t="s">
        <v>2042</v>
      </c>
      <c r="AC42" s="185" t="s">
        <v>2042</v>
      </c>
      <c r="AD42" s="185" t="s">
        <v>2042</v>
      </c>
      <c r="AE42" s="185" t="s">
        <v>2042</v>
      </c>
      <c r="AF42" s="185" t="s">
        <v>2042</v>
      </c>
      <c r="AG42" s="185" t="s">
        <v>2042</v>
      </c>
      <c r="AH42" s="185" t="s">
        <v>2042</v>
      </c>
      <c r="AI42" s="185" t="s">
        <v>2042</v>
      </c>
      <c r="AJ42" s="185" t="s">
        <v>2042</v>
      </c>
      <c r="AK42" s="185" t="s">
        <v>2042</v>
      </c>
      <c r="AL42" s="185" t="s">
        <v>2042</v>
      </c>
      <c r="AM42" s="185" t="s">
        <v>2042</v>
      </c>
      <c r="AN42" s="185" t="s">
        <v>2042</v>
      </c>
      <c r="AO42" s="185" t="s">
        <v>2042</v>
      </c>
      <c r="AP42" s="185" t="s">
        <v>2042</v>
      </c>
      <c r="AQ42" s="175"/>
    </row>
    <row r="43" spans="1:43" ht="14.5">
      <c r="A43" s="169"/>
      <c r="B43" s="170"/>
      <c r="C43" s="176" t="s">
        <v>1205</v>
      </c>
      <c r="D43" s="177"/>
      <c r="E43" s="178">
        <v>1</v>
      </c>
      <c r="F43" s="179"/>
      <c r="G43" s="186">
        <f>IF(C43="","",SUMIFS(MRP!$D$5:$D1000,MRP!$B$5:$B1000,C43))*E43</f>
        <v>0</v>
      </c>
      <c r="H43" s="181" t="s">
        <v>2041</v>
      </c>
      <c r="I43" s="182">
        <v>0</v>
      </c>
      <c r="J43" s="183" t="s">
        <v>2042</v>
      </c>
      <c r="K43" s="184" t="s">
        <v>2042</v>
      </c>
      <c r="L43" s="184" t="s">
        <v>2042</v>
      </c>
      <c r="M43" s="184" t="s">
        <v>2042</v>
      </c>
      <c r="N43" s="184" t="s">
        <v>2042</v>
      </c>
      <c r="O43" s="184" t="s">
        <v>2042</v>
      </c>
      <c r="P43" s="184" t="s">
        <v>2042</v>
      </c>
      <c r="Q43" s="184" t="s">
        <v>2042</v>
      </c>
      <c r="R43" s="184" t="s">
        <v>2042</v>
      </c>
      <c r="S43" s="184" t="s">
        <v>2042</v>
      </c>
      <c r="T43" s="184" t="s">
        <v>2042</v>
      </c>
      <c r="U43" s="184" t="s">
        <v>2042</v>
      </c>
      <c r="V43" s="184" t="s">
        <v>2042</v>
      </c>
      <c r="W43" s="184" t="s">
        <v>2042</v>
      </c>
      <c r="X43" s="184" t="s">
        <v>2042</v>
      </c>
      <c r="Y43" s="184" t="s">
        <v>2042</v>
      </c>
      <c r="Z43" s="184" t="s">
        <v>2042</v>
      </c>
      <c r="AA43" s="184" t="s">
        <v>2042</v>
      </c>
      <c r="AB43" s="184" t="s">
        <v>2042</v>
      </c>
      <c r="AC43" s="184" t="s">
        <v>2042</v>
      </c>
      <c r="AD43" s="184" t="s">
        <v>2042</v>
      </c>
      <c r="AE43" s="184" t="s">
        <v>2042</v>
      </c>
      <c r="AF43" s="184" t="s">
        <v>2042</v>
      </c>
      <c r="AG43" s="184" t="s">
        <v>2042</v>
      </c>
      <c r="AH43" s="184" t="s">
        <v>2042</v>
      </c>
      <c r="AI43" s="184" t="s">
        <v>2042</v>
      </c>
      <c r="AJ43" s="184" t="s">
        <v>2042</v>
      </c>
      <c r="AK43" s="184" t="s">
        <v>2042</v>
      </c>
      <c r="AL43" s="184" t="s">
        <v>2042</v>
      </c>
      <c r="AM43" s="184" t="s">
        <v>2042</v>
      </c>
      <c r="AN43" s="184" t="s">
        <v>2042</v>
      </c>
      <c r="AO43" s="184" t="s">
        <v>2042</v>
      </c>
      <c r="AP43" s="184" t="s">
        <v>2042</v>
      </c>
      <c r="AQ43" s="175"/>
    </row>
    <row r="44" spans="1:43" ht="14.5">
      <c r="A44" s="169"/>
      <c r="B44" s="170"/>
      <c r="C44" s="176" t="s">
        <v>1877</v>
      </c>
      <c r="D44" s="177"/>
      <c r="E44" s="178">
        <v>1</v>
      </c>
      <c r="F44" s="179"/>
      <c r="G44" s="186">
        <f>IF(C44="","",SUMIFS(MRP!$D$5:$D1000,MRP!$B$5:$B1000,C44))*E44</f>
        <v>0</v>
      </c>
      <c r="H44" s="181" t="s">
        <v>2041</v>
      </c>
      <c r="I44" s="182">
        <v>0</v>
      </c>
      <c r="J44" s="183" t="s">
        <v>2042</v>
      </c>
      <c r="K44" s="184" t="s">
        <v>2042</v>
      </c>
      <c r="L44" s="184" t="s">
        <v>2042</v>
      </c>
      <c r="M44" s="184" t="s">
        <v>2042</v>
      </c>
      <c r="N44" s="184" t="s">
        <v>2042</v>
      </c>
      <c r="O44" s="184" t="s">
        <v>2042</v>
      </c>
      <c r="P44" s="184" t="s">
        <v>2042</v>
      </c>
      <c r="Q44" s="184" t="s">
        <v>2042</v>
      </c>
      <c r="R44" s="184" t="s">
        <v>2042</v>
      </c>
      <c r="S44" s="184" t="s">
        <v>2042</v>
      </c>
      <c r="T44" s="184" t="s">
        <v>2042</v>
      </c>
      <c r="U44" s="184" t="s">
        <v>2042</v>
      </c>
      <c r="V44" s="184" t="s">
        <v>2042</v>
      </c>
      <c r="W44" s="184" t="s">
        <v>2042</v>
      </c>
      <c r="X44" s="184" t="s">
        <v>2042</v>
      </c>
      <c r="Y44" s="184" t="s">
        <v>2042</v>
      </c>
      <c r="Z44" s="184" t="s">
        <v>2042</v>
      </c>
      <c r="AA44" s="184" t="s">
        <v>2042</v>
      </c>
      <c r="AB44" s="184" t="s">
        <v>2042</v>
      </c>
      <c r="AC44" s="184" t="s">
        <v>2042</v>
      </c>
      <c r="AD44" s="184" t="s">
        <v>2042</v>
      </c>
      <c r="AE44" s="184" t="s">
        <v>2042</v>
      </c>
      <c r="AF44" s="185" t="s">
        <v>2042</v>
      </c>
      <c r="AG44" s="185" t="s">
        <v>2042</v>
      </c>
      <c r="AH44" s="185" t="s">
        <v>2042</v>
      </c>
      <c r="AI44" s="185" t="s">
        <v>2042</v>
      </c>
      <c r="AJ44" s="185" t="s">
        <v>2042</v>
      </c>
      <c r="AK44" s="185" t="s">
        <v>2042</v>
      </c>
      <c r="AL44" s="185" t="s">
        <v>2042</v>
      </c>
      <c r="AM44" s="185" t="s">
        <v>2042</v>
      </c>
      <c r="AN44" s="185" t="s">
        <v>2042</v>
      </c>
      <c r="AO44" s="185" t="s">
        <v>2042</v>
      </c>
      <c r="AP44" s="185" t="s">
        <v>2042</v>
      </c>
      <c r="AQ44" s="175"/>
    </row>
    <row r="45" spans="1:43" ht="14.5">
      <c r="A45" s="169"/>
      <c r="B45" s="170"/>
      <c r="C45" s="176" t="s">
        <v>1878</v>
      </c>
      <c r="D45" s="177"/>
      <c r="E45" s="178">
        <v>1</v>
      </c>
      <c r="F45" s="179"/>
      <c r="G45" s="186">
        <f>IF(C45="","",SUMIFS(MRP!$D$5:$D1000,MRP!$B$5:$B1000,C45))*E45</f>
        <v>0</v>
      </c>
      <c r="H45" s="181" t="s">
        <v>2041</v>
      </c>
      <c r="I45" s="182">
        <v>0</v>
      </c>
      <c r="J45" s="183" t="s">
        <v>2042</v>
      </c>
      <c r="K45" s="184" t="s">
        <v>2042</v>
      </c>
      <c r="L45" s="184" t="s">
        <v>2042</v>
      </c>
      <c r="M45" s="184" t="s">
        <v>2042</v>
      </c>
      <c r="N45" s="184" t="s">
        <v>2042</v>
      </c>
      <c r="O45" s="184" t="s">
        <v>2042</v>
      </c>
      <c r="P45" s="184" t="s">
        <v>2042</v>
      </c>
      <c r="Q45" s="184" t="s">
        <v>2042</v>
      </c>
      <c r="R45" s="184" t="s">
        <v>2042</v>
      </c>
      <c r="S45" s="184" t="s">
        <v>2042</v>
      </c>
      <c r="T45" s="184" t="s">
        <v>2042</v>
      </c>
      <c r="U45" s="184" t="s">
        <v>2042</v>
      </c>
      <c r="V45" s="184" t="s">
        <v>2042</v>
      </c>
      <c r="W45" s="184" t="s">
        <v>2042</v>
      </c>
      <c r="X45" s="184" t="s">
        <v>2042</v>
      </c>
      <c r="Y45" s="184" t="s">
        <v>2042</v>
      </c>
      <c r="Z45" s="184" t="s">
        <v>2042</v>
      </c>
      <c r="AA45" s="184" t="s">
        <v>2042</v>
      </c>
      <c r="AB45" s="184" t="s">
        <v>2042</v>
      </c>
      <c r="AC45" s="184" t="s">
        <v>2042</v>
      </c>
      <c r="AD45" s="184" t="s">
        <v>2042</v>
      </c>
      <c r="AE45" s="184" t="s">
        <v>2042</v>
      </c>
      <c r="AF45" s="184" t="s">
        <v>2042</v>
      </c>
      <c r="AG45" s="184" t="s">
        <v>2042</v>
      </c>
      <c r="AH45" s="184" t="s">
        <v>2042</v>
      </c>
      <c r="AI45" s="184" t="s">
        <v>2042</v>
      </c>
      <c r="AJ45" s="184" t="s">
        <v>2042</v>
      </c>
      <c r="AK45" s="184" t="s">
        <v>2042</v>
      </c>
      <c r="AL45" s="184" t="s">
        <v>2042</v>
      </c>
      <c r="AM45" s="184" t="s">
        <v>2042</v>
      </c>
      <c r="AN45" s="184" t="s">
        <v>2042</v>
      </c>
      <c r="AO45" s="184" t="s">
        <v>2042</v>
      </c>
      <c r="AP45" s="184" t="s">
        <v>2042</v>
      </c>
      <c r="AQ45" s="175"/>
    </row>
    <row r="46" spans="1:43" ht="14.5">
      <c r="A46" s="169"/>
      <c r="B46" s="170"/>
      <c r="C46" s="176" t="s">
        <v>1879</v>
      </c>
      <c r="D46" s="177"/>
      <c r="E46" s="178">
        <v>1</v>
      </c>
      <c r="F46" s="179"/>
      <c r="G46" s="186">
        <f>IF(C46="","",SUMIFS(MRP!$D$5:$D1000,MRP!$B$5:$B1000,C46))*E46</f>
        <v>0</v>
      </c>
      <c r="H46" s="181" t="s">
        <v>2041</v>
      </c>
      <c r="I46" s="182">
        <v>0</v>
      </c>
      <c r="J46" s="183" t="s">
        <v>2042</v>
      </c>
      <c r="K46" s="184" t="s">
        <v>2042</v>
      </c>
      <c r="L46" s="184" t="s">
        <v>2042</v>
      </c>
      <c r="M46" s="184" t="s">
        <v>2042</v>
      </c>
      <c r="N46" s="184" t="s">
        <v>2042</v>
      </c>
      <c r="O46" s="184" t="s">
        <v>2042</v>
      </c>
      <c r="P46" s="184" t="s">
        <v>2042</v>
      </c>
      <c r="Q46" s="184" t="s">
        <v>2042</v>
      </c>
      <c r="R46" s="184" t="s">
        <v>2042</v>
      </c>
      <c r="S46" s="184" t="s">
        <v>2042</v>
      </c>
      <c r="T46" s="184" t="s">
        <v>2042</v>
      </c>
      <c r="U46" s="184" t="s">
        <v>2042</v>
      </c>
      <c r="V46" s="184" t="s">
        <v>2042</v>
      </c>
      <c r="W46" s="184" t="s">
        <v>2042</v>
      </c>
      <c r="X46" s="184" t="s">
        <v>2042</v>
      </c>
      <c r="Y46" s="184" t="s">
        <v>2042</v>
      </c>
      <c r="Z46" s="184" t="s">
        <v>2042</v>
      </c>
      <c r="AA46" s="184" t="s">
        <v>2042</v>
      </c>
      <c r="AB46" s="184" t="s">
        <v>2042</v>
      </c>
      <c r="AC46" s="184" t="s">
        <v>2042</v>
      </c>
      <c r="AD46" s="184" t="s">
        <v>2042</v>
      </c>
      <c r="AE46" s="184" t="s">
        <v>2042</v>
      </c>
      <c r="AF46" s="184" t="s">
        <v>2042</v>
      </c>
      <c r="AG46" s="184" t="s">
        <v>2042</v>
      </c>
      <c r="AH46" s="184" t="s">
        <v>2042</v>
      </c>
      <c r="AI46" s="184" t="s">
        <v>2042</v>
      </c>
      <c r="AJ46" s="184" t="s">
        <v>2042</v>
      </c>
      <c r="AK46" s="184" t="s">
        <v>2042</v>
      </c>
      <c r="AL46" s="184" t="s">
        <v>2042</v>
      </c>
      <c r="AM46" s="184" t="s">
        <v>2042</v>
      </c>
      <c r="AN46" s="184" t="s">
        <v>2042</v>
      </c>
      <c r="AO46" s="184" t="s">
        <v>2042</v>
      </c>
      <c r="AP46" s="184" t="s">
        <v>2042</v>
      </c>
      <c r="AQ46" s="175"/>
    </row>
    <row r="47" spans="1:43" ht="14.5">
      <c r="A47" s="169"/>
      <c r="B47" s="170"/>
      <c r="C47" s="176" t="s">
        <v>1700</v>
      </c>
      <c r="D47" s="177"/>
      <c r="E47" s="178">
        <v>1</v>
      </c>
      <c r="F47" s="179"/>
      <c r="G47" s="186">
        <f>IF(C47="","",SUMIFS(MRP!$D$5:$D1000,MRP!$B$5:$B1000,C47))*E47</f>
        <v>0</v>
      </c>
      <c r="H47" s="181" t="s">
        <v>2041</v>
      </c>
      <c r="I47" s="182">
        <v>0</v>
      </c>
      <c r="J47" s="183" t="s">
        <v>2042</v>
      </c>
      <c r="K47" s="184" t="s">
        <v>2042</v>
      </c>
      <c r="L47" s="184" t="s">
        <v>2042</v>
      </c>
      <c r="M47" s="184" t="s">
        <v>2042</v>
      </c>
      <c r="N47" s="184" t="s">
        <v>2042</v>
      </c>
      <c r="O47" s="184" t="s">
        <v>2042</v>
      </c>
      <c r="P47" s="184" t="s">
        <v>2042</v>
      </c>
      <c r="Q47" s="184" t="s">
        <v>2042</v>
      </c>
      <c r="R47" s="184" t="s">
        <v>2042</v>
      </c>
      <c r="S47" s="184" t="s">
        <v>2042</v>
      </c>
      <c r="T47" s="184" t="s">
        <v>2042</v>
      </c>
      <c r="U47" s="184" t="s">
        <v>2042</v>
      </c>
      <c r="V47" s="184" t="s">
        <v>2042</v>
      </c>
      <c r="W47" s="184" t="s">
        <v>2042</v>
      </c>
      <c r="X47" s="184" t="s">
        <v>2042</v>
      </c>
      <c r="Y47" s="184" t="s">
        <v>2042</v>
      </c>
      <c r="Z47" s="184" t="s">
        <v>2042</v>
      </c>
      <c r="AA47" s="184" t="s">
        <v>2042</v>
      </c>
      <c r="AB47" s="184" t="s">
        <v>2042</v>
      </c>
      <c r="AC47" s="184" t="s">
        <v>2042</v>
      </c>
      <c r="AD47" s="184" t="s">
        <v>2042</v>
      </c>
      <c r="AE47" s="184" t="s">
        <v>2042</v>
      </c>
      <c r="AF47" s="184" t="s">
        <v>2042</v>
      </c>
      <c r="AG47" s="184" t="s">
        <v>2042</v>
      </c>
      <c r="AH47" s="184" t="s">
        <v>2042</v>
      </c>
      <c r="AI47" s="184" t="s">
        <v>2042</v>
      </c>
      <c r="AJ47" s="184" t="s">
        <v>2042</v>
      </c>
      <c r="AK47" s="184" t="s">
        <v>2042</v>
      </c>
      <c r="AL47" s="184" t="s">
        <v>2042</v>
      </c>
      <c r="AM47" s="184" t="s">
        <v>2042</v>
      </c>
      <c r="AN47" s="184" t="s">
        <v>2042</v>
      </c>
      <c r="AO47" s="184" t="s">
        <v>2042</v>
      </c>
      <c r="AP47" s="184" t="s">
        <v>2042</v>
      </c>
      <c r="AQ47" s="175"/>
    </row>
    <row r="48" spans="1:43" ht="14.5">
      <c r="A48" s="169"/>
      <c r="B48" s="170"/>
      <c r="C48" s="176" t="s">
        <v>1880</v>
      </c>
      <c r="D48" s="177"/>
      <c r="E48" s="178">
        <v>1</v>
      </c>
      <c r="F48" s="179"/>
      <c r="G48" s="186">
        <f>IF(C48="","",SUMIFS(MRP!$D$5:$D1000,MRP!$B$5:$B1000,C48))*E48</f>
        <v>0</v>
      </c>
      <c r="H48" s="181" t="s">
        <v>2041</v>
      </c>
      <c r="I48" s="182">
        <v>0</v>
      </c>
      <c r="J48" s="183" t="s">
        <v>2042</v>
      </c>
      <c r="K48" s="184" t="s">
        <v>2042</v>
      </c>
      <c r="L48" s="185" t="s">
        <v>2042</v>
      </c>
      <c r="M48" s="185" t="s">
        <v>2042</v>
      </c>
      <c r="N48" s="185" t="s">
        <v>2042</v>
      </c>
      <c r="O48" s="185" t="s">
        <v>2042</v>
      </c>
      <c r="P48" s="185" t="s">
        <v>2042</v>
      </c>
      <c r="Q48" s="185" t="s">
        <v>2042</v>
      </c>
      <c r="R48" s="185" t="s">
        <v>2042</v>
      </c>
      <c r="S48" s="185" t="s">
        <v>2042</v>
      </c>
      <c r="T48" s="185" t="s">
        <v>2042</v>
      </c>
      <c r="U48" s="185" t="s">
        <v>2042</v>
      </c>
      <c r="V48" s="185" t="s">
        <v>2042</v>
      </c>
      <c r="W48" s="185" t="s">
        <v>2042</v>
      </c>
      <c r="X48" s="185" t="s">
        <v>2042</v>
      </c>
      <c r="Y48" s="185" t="s">
        <v>2042</v>
      </c>
      <c r="Z48" s="185" t="s">
        <v>2042</v>
      </c>
      <c r="AA48" s="185" t="s">
        <v>2042</v>
      </c>
      <c r="AB48" s="185" t="s">
        <v>2042</v>
      </c>
      <c r="AC48" s="185" t="s">
        <v>2042</v>
      </c>
      <c r="AD48" s="185" t="s">
        <v>2042</v>
      </c>
      <c r="AE48" s="185" t="s">
        <v>2042</v>
      </c>
      <c r="AF48" s="185" t="s">
        <v>2042</v>
      </c>
      <c r="AG48" s="185" t="s">
        <v>2042</v>
      </c>
      <c r="AH48" s="185" t="s">
        <v>2042</v>
      </c>
      <c r="AI48" s="185" t="s">
        <v>2042</v>
      </c>
      <c r="AJ48" s="185" t="s">
        <v>2042</v>
      </c>
      <c r="AK48" s="185" t="s">
        <v>2042</v>
      </c>
      <c r="AL48" s="185" t="s">
        <v>2042</v>
      </c>
      <c r="AM48" s="185" t="s">
        <v>2042</v>
      </c>
      <c r="AN48" s="185" t="s">
        <v>2042</v>
      </c>
      <c r="AO48" s="185" t="s">
        <v>2042</v>
      </c>
      <c r="AP48" s="185" t="s">
        <v>2042</v>
      </c>
      <c r="AQ48" s="175"/>
    </row>
    <row r="49" spans="1:43" ht="14.5">
      <c r="A49" s="169"/>
      <c r="B49" s="170"/>
      <c r="C49" s="176" t="s">
        <v>1881</v>
      </c>
      <c r="D49" s="177"/>
      <c r="E49" s="178">
        <v>1</v>
      </c>
      <c r="F49" s="179"/>
      <c r="G49" s="186">
        <f>IF(C49="","",SUMIFS(MRP!$D$5:$D1000,MRP!$B$5:$B1000,C49))*E49</f>
        <v>0</v>
      </c>
      <c r="H49" s="181" t="s">
        <v>2041</v>
      </c>
      <c r="I49" s="182">
        <v>0</v>
      </c>
      <c r="J49" s="183" t="s">
        <v>2042</v>
      </c>
      <c r="K49" s="184" t="s">
        <v>2042</v>
      </c>
      <c r="L49" s="185" t="s">
        <v>2042</v>
      </c>
      <c r="M49" s="188" t="s">
        <v>2042</v>
      </c>
      <c r="N49" s="189" t="s">
        <v>2042</v>
      </c>
      <c r="O49" s="189" t="s">
        <v>2042</v>
      </c>
      <c r="P49" s="189" t="s">
        <v>2042</v>
      </c>
      <c r="Q49" s="184" t="s">
        <v>2042</v>
      </c>
      <c r="R49" s="184" t="s">
        <v>2042</v>
      </c>
      <c r="S49" s="184" t="s">
        <v>2042</v>
      </c>
      <c r="T49" s="184" t="s">
        <v>2042</v>
      </c>
      <c r="U49" s="184" t="s">
        <v>2042</v>
      </c>
      <c r="V49" s="184" t="s">
        <v>2042</v>
      </c>
      <c r="W49" s="184" t="s">
        <v>2042</v>
      </c>
      <c r="X49" s="184" t="s">
        <v>2042</v>
      </c>
      <c r="Y49" s="184" t="s">
        <v>2042</v>
      </c>
      <c r="Z49" s="184" t="s">
        <v>2042</v>
      </c>
      <c r="AA49" s="184" t="s">
        <v>2042</v>
      </c>
      <c r="AB49" s="184" t="s">
        <v>2042</v>
      </c>
      <c r="AC49" s="184" t="s">
        <v>2042</v>
      </c>
      <c r="AD49" s="184" t="s">
        <v>2042</v>
      </c>
      <c r="AE49" s="184" t="s">
        <v>2042</v>
      </c>
      <c r="AF49" s="184" t="s">
        <v>2042</v>
      </c>
      <c r="AG49" s="184" t="s">
        <v>2042</v>
      </c>
      <c r="AH49" s="184" t="s">
        <v>2042</v>
      </c>
      <c r="AI49" s="184" t="s">
        <v>2042</v>
      </c>
      <c r="AJ49" s="184" t="s">
        <v>2042</v>
      </c>
      <c r="AK49" s="184" t="s">
        <v>2042</v>
      </c>
      <c r="AL49" s="184" t="s">
        <v>2042</v>
      </c>
      <c r="AM49" s="184" t="s">
        <v>2042</v>
      </c>
      <c r="AN49" s="184" t="s">
        <v>2042</v>
      </c>
      <c r="AO49" s="184" t="s">
        <v>2042</v>
      </c>
      <c r="AP49" s="184" t="s">
        <v>2042</v>
      </c>
      <c r="AQ49" s="175"/>
    </row>
    <row r="50" spans="1:43" ht="14.5">
      <c r="A50" s="169"/>
      <c r="B50" s="170"/>
      <c r="C50" s="176" t="s">
        <v>1882</v>
      </c>
      <c r="D50" s="177"/>
      <c r="E50" s="178">
        <v>1</v>
      </c>
      <c r="F50" s="179"/>
      <c r="G50" s="186">
        <f>IF(C50="","",SUMIFS(MRP!$D$5:$D1000,MRP!$B$5:$B1000,C50))*E50</f>
        <v>0</v>
      </c>
      <c r="H50" s="181" t="s">
        <v>2041</v>
      </c>
      <c r="I50" s="182">
        <v>0</v>
      </c>
      <c r="J50" s="183" t="s">
        <v>2042</v>
      </c>
      <c r="K50" s="184" t="s">
        <v>2042</v>
      </c>
      <c r="L50" s="184" t="s">
        <v>2042</v>
      </c>
      <c r="M50" s="184" t="s">
        <v>2042</v>
      </c>
      <c r="N50" s="184" t="s">
        <v>2042</v>
      </c>
      <c r="O50" s="184" t="s">
        <v>2042</v>
      </c>
      <c r="P50" s="184" t="s">
        <v>2042</v>
      </c>
      <c r="Q50" s="184" t="s">
        <v>2042</v>
      </c>
      <c r="R50" s="184" t="s">
        <v>2042</v>
      </c>
      <c r="S50" s="184" t="s">
        <v>2042</v>
      </c>
      <c r="T50" s="184" t="s">
        <v>2042</v>
      </c>
      <c r="U50" s="184" t="s">
        <v>2042</v>
      </c>
      <c r="V50" s="184" t="s">
        <v>2042</v>
      </c>
      <c r="W50" s="184" t="s">
        <v>2042</v>
      </c>
      <c r="X50" s="184" t="s">
        <v>2042</v>
      </c>
      <c r="Y50" s="184" t="s">
        <v>2042</v>
      </c>
      <c r="Z50" s="184" t="s">
        <v>2042</v>
      </c>
      <c r="AA50" s="184" t="s">
        <v>2042</v>
      </c>
      <c r="AB50" s="184" t="s">
        <v>2042</v>
      </c>
      <c r="AC50" s="184" t="s">
        <v>2042</v>
      </c>
      <c r="AD50" s="184" t="s">
        <v>2042</v>
      </c>
      <c r="AE50" s="184" t="s">
        <v>2042</v>
      </c>
      <c r="AF50" s="184" t="s">
        <v>2042</v>
      </c>
      <c r="AG50" s="184" t="s">
        <v>2042</v>
      </c>
      <c r="AH50" s="184" t="s">
        <v>2042</v>
      </c>
      <c r="AI50" s="184" t="s">
        <v>2042</v>
      </c>
      <c r="AJ50" s="184" t="s">
        <v>2042</v>
      </c>
      <c r="AK50" s="184" t="s">
        <v>2042</v>
      </c>
      <c r="AL50" s="184" t="s">
        <v>2042</v>
      </c>
      <c r="AM50" s="184" t="s">
        <v>2042</v>
      </c>
      <c r="AN50" s="184" t="s">
        <v>2042</v>
      </c>
      <c r="AO50" s="184" t="s">
        <v>2042</v>
      </c>
      <c r="AP50" s="184" t="s">
        <v>2042</v>
      </c>
      <c r="AQ50" s="175"/>
    </row>
    <row r="51" spans="1:43" ht="14.5">
      <c r="A51" s="169"/>
      <c r="B51" s="170"/>
      <c r="C51" s="176" t="s">
        <v>1564</v>
      </c>
      <c r="D51" s="177"/>
      <c r="E51" s="178">
        <v>1</v>
      </c>
      <c r="F51" s="179"/>
      <c r="G51" s="186">
        <f>IF(C51="","",SUMIFS(MRP!$D$5:$D1000,MRP!$B$5:$B1000,C51))*E51</f>
        <v>0</v>
      </c>
      <c r="H51" s="181" t="s">
        <v>2041</v>
      </c>
      <c r="I51" s="182">
        <v>0</v>
      </c>
      <c r="J51" s="183" t="s">
        <v>2042</v>
      </c>
      <c r="K51" s="184" t="s">
        <v>2042</v>
      </c>
      <c r="L51" s="184" t="s">
        <v>2042</v>
      </c>
      <c r="M51" s="184" t="s">
        <v>2042</v>
      </c>
      <c r="N51" s="184" t="s">
        <v>2042</v>
      </c>
      <c r="O51" s="184" t="s">
        <v>2042</v>
      </c>
      <c r="P51" s="184" t="s">
        <v>2042</v>
      </c>
      <c r="Q51" s="184" t="s">
        <v>2042</v>
      </c>
      <c r="R51" s="184" t="s">
        <v>2042</v>
      </c>
      <c r="S51" s="184" t="s">
        <v>2042</v>
      </c>
      <c r="T51" s="184" t="s">
        <v>2042</v>
      </c>
      <c r="U51" s="184" t="s">
        <v>2042</v>
      </c>
      <c r="V51" s="184" t="s">
        <v>2042</v>
      </c>
      <c r="W51" s="184" t="s">
        <v>2042</v>
      </c>
      <c r="X51" s="184" t="s">
        <v>2042</v>
      </c>
      <c r="Y51" s="184" t="s">
        <v>2042</v>
      </c>
      <c r="Z51" s="184" t="s">
        <v>2042</v>
      </c>
      <c r="AA51" s="184" t="s">
        <v>2042</v>
      </c>
      <c r="AB51" s="184" t="s">
        <v>2042</v>
      </c>
      <c r="AC51" s="184" t="s">
        <v>2042</v>
      </c>
      <c r="AD51" s="184" t="s">
        <v>2042</v>
      </c>
      <c r="AE51" s="184" t="s">
        <v>2042</v>
      </c>
      <c r="AF51" s="184" t="s">
        <v>2042</v>
      </c>
      <c r="AG51" s="184" t="s">
        <v>2042</v>
      </c>
      <c r="AH51" s="184" t="s">
        <v>2042</v>
      </c>
      <c r="AI51" s="184" t="s">
        <v>2042</v>
      </c>
      <c r="AJ51" s="184" t="s">
        <v>2042</v>
      </c>
      <c r="AK51" s="184" t="s">
        <v>2042</v>
      </c>
      <c r="AL51" s="184" t="s">
        <v>2042</v>
      </c>
      <c r="AM51" s="184" t="s">
        <v>2042</v>
      </c>
      <c r="AN51" s="184" t="s">
        <v>2042</v>
      </c>
      <c r="AO51" s="184" t="s">
        <v>2042</v>
      </c>
      <c r="AP51" s="184" t="s">
        <v>2042</v>
      </c>
      <c r="AQ51" s="175"/>
    </row>
    <row r="52" spans="1:43" ht="14.5">
      <c r="A52" s="169"/>
      <c r="B52" s="170"/>
      <c r="C52" s="176" t="s">
        <v>1883</v>
      </c>
      <c r="D52" s="177"/>
      <c r="E52" s="178">
        <v>1</v>
      </c>
      <c r="F52" s="179"/>
      <c r="G52" s="186">
        <f>IF(C52="","",SUMIFS(MRP!$D$5:$D1000,MRP!$B$5:$B1000,C52))*E52</f>
        <v>0</v>
      </c>
      <c r="H52" s="181" t="s">
        <v>2041</v>
      </c>
      <c r="I52" s="182">
        <v>0</v>
      </c>
      <c r="J52" s="183" t="s">
        <v>2042</v>
      </c>
      <c r="K52" s="184" t="s">
        <v>2042</v>
      </c>
      <c r="L52" s="184" t="s">
        <v>2042</v>
      </c>
      <c r="M52" s="184" t="s">
        <v>2042</v>
      </c>
      <c r="N52" s="184" t="s">
        <v>2042</v>
      </c>
      <c r="O52" s="184" t="s">
        <v>2042</v>
      </c>
      <c r="P52" s="184" t="s">
        <v>2042</v>
      </c>
      <c r="Q52" s="184" t="s">
        <v>2042</v>
      </c>
      <c r="R52" s="184" t="s">
        <v>2042</v>
      </c>
      <c r="S52" s="185" t="s">
        <v>2042</v>
      </c>
      <c r="T52" s="185" t="s">
        <v>2042</v>
      </c>
      <c r="U52" s="185" t="s">
        <v>2042</v>
      </c>
      <c r="V52" s="185" t="s">
        <v>2042</v>
      </c>
      <c r="W52" s="185" t="s">
        <v>2042</v>
      </c>
      <c r="X52" s="185" t="s">
        <v>2042</v>
      </c>
      <c r="Y52" s="185" t="s">
        <v>2042</v>
      </c>
      <c r="Z52" s="185" t="s">
        <v>2042</v>
      </c>
      <c r="AA52" s="185" t="s">
        <v>2042</v>
      </c>
      <c r="AB52" s="185" t="s">
        <v>2042</v>
      </c>
      <c r="AC52" s="185" t="s">
        <v>2042</v>
      </c>
      <c r="AD52" s="185" t="s">
        <v>2042</v>
      </c>
      <c r="AE52" s="185" t="s">
        <v>2042</v>
      </c>
      <c r="AF52" s="185" t="s">
        <v>2042</v>
      </c>
      <c r="AG52" s="185" t="s">
        <v>2042</v>
      </c>
      <c r="AH52" s="185" t="s">
        <v>2042</v>
      </c>
      <c r="AI52" s="185" t="s">
        <v>2042</v>
      </c>
      <c r="AJ52" s="185" t="s">
        <v>2042</v>
      </c>
      <c r="AK52" s="185" t="s">
        <v>2042</v>
      </c>
      <c r="AL52" s="185" t="s">
        <v>2042</v>
      </c>
      <c r="AM52" s="185" t="s">
        <v>2042</v>
      </c>
      <c r="AN52" s="185" t="s">
        <v>2042</v>
      </c>
      <c r="AO52" s="185" t="s">
        <v>2042</v>
      </c>
      <c r="AP52" s="185" t="s">
        <v>2042</v>
      </c>
      <c r="AQ52" s="175"/>
    </row>
    <row r="53" spans="1:43" ht="14.5">
      <c r="A53" s="169"/>
      <c r="B53" s="170"/>
      <c r="C53" s="176" t="s">
        <v>1884</v>
      </c>
      <c r="D53" s="177"/>
      <c r="E53" s="178">
        <v>1</v>
      </c>
      <c r="F53" s="179"/>
      <c r="G53" s="186">
        <f>IF(C53="","",SUMIFS(MRP!$D$5:$D1000,MRP!$B$5:$B1000,C53))*E53</f>
        <v>0</v>
      </c>
      <c r="H53" s="181" t="s">
        <v>2041</v>
      </c>
      <c r="I53" s="182">
        <v>0</v>
      </c>
      <c r="J53" s="183" t="s">
        <v>2042</v>
      </c>
      <c r="K53" s="184" t="s">
        <v>2042</v>
      </c>
      <c r="L53" s="184" t="s">
        <v>2042</v>
      </c>
      <c r="M53" s="184" t="s">
        <v>2042</v>
      </c>
      <c r="N53" s="184" t="s">
        <v>2042</v>
      </c>
      <c r="O53" s="184" t="s">
        <v>2042</v>
      </c>
      <c r="P53" s="184" t="s">
        <v>2042</v>
      </c>
      <c r="Q53" s="184" t="s">
        <v>2042</v>
      </c>
      <c r="R53" s="184" t="s">
        <v>2042</v>
      </c>
      <c r="S53" s="184" t="s">
        <v>2042</v>
      </c>
      <c r="T53" s="184" t="s">
        <v>2042</v>
      </c>
      <c r="U53" s="184" t="s">
        <v>2042</v>
      </c>
      <c r="V53" s="184" t="s">
        <v>2042</v>
      </c>
      <c r="W53" s="184" t="s">
        <v>2042</v>
      </c>
      <c r="X53" s="184" t="s">
        <v>2042</v>
      </c>
      <c r="Y53" s="184" t="s">
        <v>2042</v>
      </c>
      <c r="Z53" s="184" t="s">
        <v>2042</v>
      </c>
      <c r="AA53" s="184" t="s">
        <v>2042</v>
      </c>
      <c r="AB53" s="184" t="s">
        <v>2042</v>
      </c>
      <c r="AC53" s="184" t="s">
        <v>2042</v>
      </c>
      <c r="AD53" s="184" t="s">
        <v>2042</v>
      </c>
      <c r="AE53" s="184" t="s">
        <v>2042</v>
      </c>
      <c r="AF53" s="184" t="s">
        <v>2042</v>
      </c>
      <c r="AG53" s="184" t="s">
        <v>2042</v>
      </c>
      <c r="AH53" s="184" t="s">
        <v>2042</v>
      </c>
      <c r="AI53" s="184" t="s">
        <v>2042</v>
      </c>
      <c r="AJ53" s="184" t="s">
        <v>2042</v>
      </c>
      <c r="AK53" s="184" t="s">
        <v>2042</v>
      </c>
      <c r="AL53" s="184" t="s">
        <v>2042</v>
      </c>
      <c r="AM53" s="184" t="s">
        <v>2042</v>
      </c>
      <c r="AN53" s="184" t="s">
        <v>2042</v>
      </c>
      <c r="AO53" s="184" t="s">
        <v>2042</v>
      </c>
      <c r="AP53" s="184" t="s">
        <v>2042</v>
      </c>
      <c r="AQ53" s="175"/>
    </row>
    <row r="54" spans="1:43" ht="14.5">
      <c r="A54" s="169"/>
      <c r="B54" s="170"/>
      <c r="C54" s="176" t="s">
        <v>1447</v>
      </c>
      <c r="D54" s="177"/>
      <c r="E54" s="178">
        <v>1</v>
      </c>
      <c r="F54" s="179"/>
      <c r="G54" s="186">
        <f>IF(C54="","",SUMIFS(MRP!$D$5:$D1000,MRP!$B$5:$B1000,C54))*E54</f>
        <v>0</v>
      </c>
      <c r="H54" s="181" t="s">
        <v>2041</v>
      </c>
      <c r="I54" s="182">
        <v>0</v>
      </c>
      <c r="J54" s="183" t="s">
        <v>2042</v>
      </c>
      <c r="K54" s="184" t="s">
        <v>2042</v>
      </c>
      <c r="L54" s="184" t="s">
        <v>2042</v>
      </c>
      <c r="M54" s="184" t="s">
        <v>2042</v>
      </c>
      <c r="N54" s="184" t="s">
        <v>2042</v>
      </c>
      <c r="O54" s="184" t="s">
        <v>2042</v>
      </c>
      <c r="P54" s="184" t="s">
        <v>2042</v>
      </c>
      <c r="Q54" s="184" t="s">
        <v>2042</v>
      </c>
      <c r="R54" s="184" t="s">
        <v>2042</v>
      </c>
      <c r="S54" s="184" t="s">
        <v>2042</v>
      </c>
      <c r="T54" s="184" t="s">
        <v>2042</v>
      </c>
      <c r="U54" s="184" t="s">
        <v>2042</v>
      </c>
      <c r="V54" s="184" t="s">
        <v>2042</v>
      </c>
      <c r="W54" s="184" t="s">
        <v>2042</v>
      </c>
      <c r="X54" s="184" t="s">
        <v>2042</v>
      </c>
      <c r="Y54" s="184" t="s">
        <v>2042</v>
      </c>
      <c r="Z54" s="184" t="s">
        <v>2042</v>
      </c>
      <c r="AA54" s="184" t="s">
        <v>2042</v>
      </c>
      <c r="AB54" s="184" t="s">
        <v>2042</v>
      </c>
      <c r="AC54" s="184" t="s">
        <v>2042</v>
      </c>
      <c r="AD54" s="184" t="s">
        <v>2042</v>
      </c>
      <c r="AE54" s="184" t="s">
        <v>2042</v>
      </c>
      <c r="AF54" s="184" t="s">
        <v>2042</v>
      </c>
      <c r="AG54" s="184" t="s">
        <v>2042</v>
      </c>
      <c r="AH54" s="184" t="s">
        <v>2042</v>
      </c>
      <c r="AI54" s="184" t="s">
        <v>2042</v>
      </c>
      <c r="AJ54" s="184" t="s">
        <v>2042</v>
      </c>
      <c r="AK54" s="184" t="s">
        <v>2042</v>
      </c>
      <c r="AL54" s="184" t="s">
        <v>2042</v>
      </c>
      <c r="AM54" s="184" t="s">
        <v>2042</v>
      </c>
      <c r="AN54" s="184" t="s">
        <v>2042</v>
      </c>
      <c r="AO54" s="184" t="s">
        <v>2042</v>
      </c>
      <c r="AP54" s="184" t="s">
        <v>2042</v>
      </c>
      <c r="AQ54" s="175"/>
    </row>
    <row r="55" spans="1:43" ht="14.5">
      <c r="A55" s="169"/>
      <c r="B55" s="170"/>
      <c r="C55" s="176" t="s">
        <v>1885</v>
      </c>
      <c r="D55" s="177"/>
      <c r="E55" s="178">
        <v>1</v>
      </c>
      <c r="F55" s="179"/>
      <c r="G55" s="186">
        <f>IF(C55="","",SUMIFS(MRP!$D$5:$D1000,MRP!$B$5:$B1000,C55))*E55</f>
        <v>0</v>
      </c>
      <c r="H55" s="181" t="s">
        <v>2041</v>
      </c>
      <c r="I55" s="182">
        <v>0</v>
      </c>
      <c r="J55" s="183" t="s">
        <v>2042</v>
      </c>
      <c r="K55" s="184" t="s">
        <v>2042</v>
      </c>
      <c r="L55" s="184" t="s">
        <v>2042</v>
      </c>
      <c r="M55" s="184" t="s">
        <v>2042</v>
      </c>
      <c r="N55" s="184" t="s">
        <v>2042</v>
      </c>
      <c r="O55" s="184" t="s">
        <v>2042</v>
      </c>
      <c r="P55" s="184" t="s">
        <v>2042</v>
      </c>
      <c r="Q55" s="184" t="s">
        <v>2042</v>
      </c>
      <c r="R55" s="184" t="s">
        <v>2042</v>
      </c>
      <c r="S55" s="184" t="s">
        <v>2042</v>
      </c>
      <c r="T55" s="184" t="s">
        <v>2042</v>
      </c>
      <c r="U55" s="184" t="s">
        <v>2042</v>
      </c>
      <c r="V55" s="184" t="s">
        <v>2042</v>
      </c>
      <c r="W55" s="184" t="s">
        <v>2042</v>
      </c>
      <c r="X55" s="184" t="s">
        <v>2042</v>
      </c>
      <c r="Y55" s="184" t="s">
        <v>2042</v>
      </c>
      <c r="Z55" s="184" t="s">
        <v>2042</v>
      </c>
      <c r="AA55" s="184" t="s">
        <v>2042</v>
      </c>
      <c r="AB55" s="184" t="s">
        <v>2042</v>
      </c>
      <c r="AC55" s="184" t="s">
        <v>2042</v>
      </c>
      <c r="AD55" s="184" t="s">
        <v>2042</v>
      </c>
      <c r="AE55" s="184" t="s">
        <v>2042</v>
      </c>
      <c r="AF55" s="184" t="s">
        <v>2042</v>
      </c>
      <c r="AG55" s="184" t="s">
        <v>2042</v>
      </c>
      <c r="AH55" s="184" t="s">
        <v>2042</v>
      </c>
      <c r="AI55" s="184" t="s">
        <v>2042</v>
      </c>
      <c r="AJ55" s="184" t="s">
        <v>2042</v>
      </c>
      <c r="AK55" s="184" t="s">
        <v>2042</v>
      </c>
      <c r="AL55" s="184" t="s">
        <v>2042</v>
      </c>
      <c r="AM55" s="184" t="s">
        <v>2042</v>
      </c>
      <c r="AN55" s="184" t="s">
        <v>2042</v>
      </c>
      <c r="AO55" s="184" t="s">
        <v>2042</v>
      </c>
      <c r="AP55" s="184" t="s">
        <v>2042</v>
      </c>
      <c r="AQ55" s="175"/>
    </row>
    <row r="56" spans="1:43" ht="14.5">
      <c r="A56" s="169"/>
      <c r="B56" s="170"/>
      <c r="C56" s="176" t="s">
        <v>1886</v>
      </c>
      <c r="D56" s="177"/>
      <c r="E56" s="178">
        <v>1</v>
      </c>
      <c r="F56" s="179"/>
      <c r="G56" s="186">
        <f>IF(C56="","",SUMIFS(MRP!$D$5:$D1000,MRP!$B$5:$B1000,C56))*E56</f>
        <v>0</v>
      </c>
      <c r="H56" s="181" t="s">
        <v>2041</v>
      </c>
      <c r="I56" s="182">
        <v>0</v>
      </c>
      <c r="J56" s="183" t="s">
        <v>2042</v>
      </c>
      <c r="K56" s="184" t="s">
        <v>2042</v>
      </c>
      <c r="L56" s="184" t="s">
        <v>2042</v>
      </c>
      <c r="M56" s="184" t="s">
        <v>2042</v>
      </c>
      <c r="N56" s="184" t="s">
        <v>2042</v>
      </c>
      <c r="O56" s="184" t="s">
        <v>2042</v>
      </c>
      <c r="P56" s="184" t="s">
        <v>2042</v>
      </c>
      <c r="Q56" s="184" t="s">
        <v>2042</v>
      </c>
      <c r="R56" s="184" t="s">
        <v>2042</v>
      </c>
      <c r="S56" s="184" t="s">
        <v>2042</v>
      </c>
      <c r="T56" s="184" t="s">
        <v>2042</v>
      </c>
      <c r="U56" s="184" t="s">
        <v>2042</v>
      </c>
      <c r="V56" s="184" t="s">
        <v>2042</v>
      </c>
      <c r="W56" s="184" t="s">
        <v>2042</v>
      </c>
      <c r="X56" s="184" t="s">
        <v>2042</v>
      </c>
      <c r="Y56" s="184" t="s">
        <v>2042</v>
      </c>
      <c r="Z56" s="184" t="s">
        <v>2042</v>
      </c>
      <c r="AA56" s="184" t="s">
        <v>2042</v>
      </c>
      <c r="AB56" s="184" t="s">
        <v>2042</v>
      </c>
      <c r="AC56" s="184" t="s">
        <v>2042</v>
      </c>
      <c r="AD56" s="184" t="s">
        <v>2042</v>
      </c>
      <c r="AE56" s="184" t="s">
        <v>2042</v>
      </c>
      <c r="AF56" s="185" t="s">
        <v>2042</v>
      </c>
      <c r="AG56" s="185" t="s">
        <v>2042</v>
      </c>
      <c r="AH56" s="185" t="s">
        <v>2042</v>
      </c>
      <c r="AI56" s="185" t="s">
        <v>2042</v>
      </c>
      <c r="AJ56" s="185" t="s">
        <v>2042</v>
      </c>
      <c r="AK56" s="185" t="s">
        <v>2042</v>
      </c>
      <c r="AL56" s="185" t="s">
        <v>2042</v>
      </c>
      <c r="AM56" s="185" t="s">
        <v>2042</v>
      </c>
      <c r="AN56" s="185" t="s">
        <v>2042</v>
      </c>
      <c r="AO56" s="185" t="s">
        <v>2042</v>
      </c>
      <c r="AP56" s="185" t="s">
        <v>2042</v>
      </c>
      <c r="AQ56" s="175"/>
    </row>
    <row r="57" spans="1:43" ht="14.5">
      <c r="A57" s="169"/>
      <c r="B57" s="170"/>
      <c r="C57" s="176" t="s">
        <v>1887</v>
      </c>
      <c r="D57" s="177"/>
      <c r="E57" s="178">
        <v>1</v>
      </c>
      <c r="F57" s="179"/>
      <c r="G57" s="186">
        <f>IF(C57="","",SUMIFS(MRP!$D$5:$D1000,MRP!$B$5:$B1000,C57))*E57</f>
        <v>0</v>
      </c>
      <c r="H57" s="181" t="s">
        <v>2041</v>
      </c>
      <c r="I57" s="182">
        <v>0</v>
      </c>
      <c r="J57" s="183" t="s">
        <v>2042</v>
      </c>
      <c r="K57" s="184" t="s">
        <v>2042</v>
      </c>
      <c r="L57" s="184" t="s">
        <v>2042</v>
      </c>
      <c r="M57" s="184" t="s">
        <v>2042</v>
      </c>
      <c r="N57" s="184" t="s">
        <v>2042</v>
      </c>
      <c r="O57" s="184" t="s">
        <v>2042</v>
      </c>
      <c r="P57" s="184" t="s">
        <v>2042</v>
      </c>
      <c r="Q57" s="184" t="s">
        <v>2042</v>
      </c>
      <c r="R57" s="184" t="s">
        <v>2042</v>
      </c>
      <c r="S57" s="184" t="s">
        <v>2042</v>
      </c>
      <c r="T57" s="184" t="s">
        <v>2042</v>
      </c>
      <c r="U57" s="184" t="s">
        <v>2042</v>
      </c>
      <c r="V57" s="184" t="s">
        <v>2042</v>
      </c>
      <c r="W57" s="184" t="s">
        <v>2042</v>
      </c>
      <c r="X57" s="184" t="s">
        <v>2042</v>
      </c>
      <c r="Y57" s="184" t="s">
        <v>2042</v>
      </c>
      <c r="Z57" s="184" t="s">
        <v>2042</v>
      </c>
      <c r="AA57" s="184" t="s">
        <v>2042</v>
      </c>
      <c r="AB57" s="184" t="s">
        <v>2042</v>
      </c>
      <c r="AC57" s="184" t="s">
        <v>2042</v>
      </c>
      <c r="AD57" s="184" t="s">
        <v>2042</v>
      </c>
      <c r="AE57" s="184" t="s">
        <v>2042</v>
      </c>
      <c r="AF57" s="185" t="s">
        <v>2042</v>
      </c>
      <c r="AG57" s="185" t="s">
        <v>2042</v>
      </c>
      <c r="AH57" s="185" t="s">
        <v>2042</v>
      </c>
      <c r="AI57" s="185" t="s">
        <v>2042</v>
      </c>
      <c r="AJ57" s="185" t="s">
        <v>2042</v>
      </c>
      <c r="AK57" s="185" t="s">
        <v>2042</v>
      </c>
      <c r="AL57" s="185" t="s">
        <v>2042</v>
      </c>
      <c r="AM57" s="185" t="s">
        <v>2042</v>
      </c>
      <c r="AN57" s="185" t="s">
        <v>2042</v>
      </c>
      <c r="AO57" s="185" t="s">
        <v>2042</v>
      </c>
      <c r="AP57" s="185" t="s">
        <v>2042</v>
      </c>
      <c r="AQ57" s="175"/>
    </row>
    <row r="58" spans="1:43" ht="14.5">
      <c r="A58" s="169"/>
      <c r="B58" s="170"/>
      <c r="C58" s="176" t="s">
        <v>1888</v>
      </c>
      <c r="D58" s="177"/>
      <c r="E58" s="178">
        <v>1</v>
      </c>
      <c r="F58" s="179"/>
      <c r="G58" s="186">
        <f>IF(C58="","",SUMIFS(MRP!$D$5:$D1000,MRP!$B$5:$B1000,C58))*E58</f>
        <v>0</v>
      </c>
      <c r="H58" s="181" t="s">
        <v>2041</v>
      </c>
      <c r="I58" s="182">
        <v>0</v>
      </c>
      <c r="J58" s="183" t="s">
        <v>2042</v>
      </c>
      <c r="K58" s="187" t="s">
        <v>2042</v>
      </c>
      <c r="L58" s="187" t="s">
        <v>2042</v>
      </c>
      <c r="M58" s="187" t="s">
        <v>2042</v>
      </c>
      <c r="N58" s="187" t="s">
        <v>2042</v>
      </c>
      <c r="O58" s="187" t="s">
        <v>2042</v>
      </c>
      <c r="P58" s="187" t="s">
        <v>2042</v>
      </c>
      <c r="Q58" s="187" t="s">
        <v>2042</v>
      </c>
      <c r="R58" s="187" t="s">
        <v>2042</v>
      </c>
      <c r="S58" s="187" t="s">
        <v>2042</v>
      </c>
      <c r="T58" s="187" t="s">
        <v>2042</v>
      </c>
      <c r="U58" s="187" t="s">
        <v>2042</v>
      </c>
      <c r="V58" s="187" t="s">
        <v>2042</v>
      </c>
      <c r="W58" s="187" t="s">
        <v>2042</v>
      </c>
      <c r="X58" s="187" t="s">
        <v>2042</v>
      </c>
      <c r="Y58" s="187" t="s">
        <v>2042</v>
      </c>
      <c r="Z58" s="187" t="s">
        <v>2042</v>
      </c>
      <c r="AA58" s="187" t="s">
        <v>2042</v>
      </c>
      <c r="AB58" s="187" t="s">
        <v>2042</v>
      </c>
      <c r="AC58" s="187" t="s">
        <v>2042</v>
      </c>
      <c r="AD58" s="187" t="s">
        <v>2042</v>
      </c>
      <c r="AE58" s="187" t="s">
        <v>2042</v>
      </c>
      <c r="AF58" s="187" t="s">
        <v>2042</v>
      </c>
      <c r="AG58" s="187" t="s">
        <v>2042</v>
      </c>
      <c r="AH58" s="187" t="s">
        <v>2042</v>
      </c>
      <c r="AI58" s="187" t="s">
        <v>2042</v>
      </c>
      <c r="AJ58" s="187" t="s">
        <v>2042</v>
      </c>
      <c r="AK58" s="187" t="s">
        <v>2042</v>
      </c>
      <c r="AL58" s="187" t="s">
        <v>2042</v>
      </c>
      <c r="AM58" s="187" t="s">
        <v>2042</v>
      </c>
      <c r="AN58" s="187" t="s">
        <v>2042</v>
      </c>
      <c r="AO58" s="187" t="s">
        <v>2042</v>
      </c>
      <c r="AP58" s="187" t="s">
        <v>2042</v>
      </c>
      <c r="AQ58" s="175"/>
    </row>
    <row r="59" spans="1:43" ht="14.5">
      <c r="A59" s="169"/>
      <c r="B59" s="170"/>
      <c r="C59" s="176" t="s">
        <v>1889</v>
      </c>
      <c r="D59" s="177"/>
      <c r="E59" s="178">
        <v>1</v>
      </c>
      <c r="F59" s="179"/>
      <c r="G59" s="186">
        <f>IF(C59="","",SUMIFS(MRP!$D$5:$D1000,MRP!$B$5:$B1000,C59))*E59</f>
        <v>0</v>
      </c>
      <c r="H59" s="181" t="s">
        <v>2041</v>
      </c>
      <c r="I59" s="182">
        <v>0</v>
      </c>
      <c r="J59" s="183" t="s">
        <v>2042</v>
      </c>
      <c r="K59" s="184" t="s">
        <v>2042</v>
      </c>
      <c r="L59" s="184" t="s">
        <v>2042</v>
      </c>
      <c r="M59" s="185" t="s">
        <v>2042</v>
      </c>
      <c r="N59" s="184" t="s">
        <v>2042</v>
      </c>
      <c r="O59" s="184" t="s">
        <v>2042</v>
      </c>
      <c r="P59" s="185" t="s">
        <v>2042</v>
      </c>
      <c r="Q59" s="185" t="s">
        <v>2042</v>
      </c>
      <c r="R59" s="184" t="s">
        <v>2042</v>
      </c>
      <c r="S59" s="185" t="s">
        <v>2042</v>
      </c>
      <c r="T59" s="184" t="s">
        <v>2042</v>
      </c>
      <c r="U59" s="184" t="s">
        <v>2042</v>
      </c>
      <c r="V59" s="184" t="s">
        <v>2042</v>
      </c>
      <c r="W59" s="185" t="s">
        <v>2042</v>
      </c>
      <c r="X59" s="185" t="s">
        <v>2042</v>
      </c>
      <c r="Y59" s="184" t="s">
        <v>2042</v>
      </c>
      <c r="Z59" s="184" t="s">
        <v>2042</v>
      </c>
      <c r="AA59" s="184" t="s">
        <v>2042</v>
      </c>
      <c r="AB59" s="185" t="s">
        <v>2042</v>
      </c>
      <c r="AC59" s="185" t="s">
        <v>2042</v>
      </c>
      <c r="AD59" s="185" t="s">
        <v>2042</v>
      </c>
      <c r="AE59" s="185" t="s">
        <v>2042</v>
      </c>
      <c r="AF59" s="185" t="s">
        <v>2042</v>
      </c>
      <c r="AG59" s="185" t="s">
        <v>2042</v>
      </c>
      <c r="AH59" s="185" t="s">
        <v>2042</v>
      </c>
      <c r="AI59" s="185" t="s">
        <v>2042</v>
      </c>
      <c r="AJ59" s="185" t="s">
        <v>2042</v>
      </c>
      <c r="AK59" s="185" t="s">
        <v>2042</v>
      </c>
      <c r="AL59" s="185" t="s">
        <v>2042</v>
      </c>
      <c r="AM59" s="185" t="s">
        <v>2042</v>
      </c>
      <c r="AN59" s="185" t="s">
        <v>2042</v>
      </c>
      <c r="AO59" s="185" t="s">
        <v>2042</v>
      </c>
      <c r="AP59" s="185" t="s">
        <v>2042</v>
      </c>
      <c r="AQ59" s="175"/>
    </row>
    <row r="60" spans="1:43" ht="14.5">
      <c r="A60" s="169"/>
      <c r="B60" s="170"/>
      <c r="C60" s="176" t="s">
        <v>1472</v>
      </c>
      <c r="D60" s="177"/>
      <c r="E60" s="178">
        <v>1</v>
      </c>
      <c r="F60" s="179"/>
      <c r="G60" s="186">
        <f>IF(C60="","",SUMIFS(MRP!$D$5:$D1000,MRP!$B$5:$B1000,C60))*E60</f>
        <v>0</v>
      </c>
      <c r="H60" s="181" t="s">
        <v>2041</v>
      </c>
      <c r="I60" s="182">
        <v>0</v>
      </c>
      <c r="J60" s="183" t="s">
        <v>2042</v>
      </c>
      <c r="K60" s="184" t="s">
        <v>2042</v>
      </c>
      <c r="L60" s="184" t="s">
        <v>2042</v>
      </c>
      <c r="M60" s="184" t="s">
        <v>2042</v>
      </c>
      <c r="N60" s="184" t="s">
        <v>2042</v>
      </c>
      <c r="O60" s="184" t="s">
        <v>2042</v>
      </c>
      <c r="P60" s="184" t="s">
        <v>2042</v>
      </c>
      <c r="Q60" s="184" t="s">
        <v>2042</v>
      </c>
      <c r="R60" s="184" t="s">
        <v>2042</v>
      </c>
      <c r="S60" s="184" t="s">
        <v>2042</v>
      </c>
      <c r="T60" s="184" t="s">
        <v>2042</v>
      </c>
      <c r="U60" s="184" t="s">
        <v>2042</v>
      </c>
      <c r="V60" s="184" t="s">
        <v>2042</v>
      </c>
      <c r="W60" s="184" t="s">
        <v>2042</v>
      </c>
      <c r="X60" s="184" t="s">
        <v>2042</v>
      </c>
      <c r="Y60" s="184" t="s">
        <v>2042</v>
      </c>
      <c r="Z60" s="184" t="s">
        <v>2042</v>
      </c>
      <c r="AA60" s="184" t="s">
        <v>2042</v>
      </c>
      <c r="AB60" s="184" t="s">
        <v>2042</v>
      </c>
      <c r="AC60" s="184" t="s">
        <v>2042</v>
      </c>
      <c r="AD60" s="184" t="s">
        <v>2042</v>
      </c>
      <c r="AE60" s="184" t="s">
        <v>2042</v>
      </c>
      <c r="AF60" s="184" t="s">
        <v>2042</v>
      </c>
      <c r="AG60" s="184" t="s">
        <v>2042</v>
      </c>
      <c r="AH60" s="184" t="s">
        <v>2042</v>
      </c>
      <c r="AI60" s="184" t="s">
        <v>2042</v>
      </c>
      <c r="AJ60" s="184" t="s">
        <v>2042</v>
      </c>
      <c r="AK60" s="184" t="s">
        <v>2042</v>
      </c>
      <c r="AL60" s="184" t="s">
        <v>2042</v>
      </c>
      <c r="AM60" s="184" t="s">
        <v>2042</v>
      </c>
      <c r="AN60" s="184" t="s">
        <v>2042</v>
      </c>
      <c r="AO60" s="184" t="s">
        <v>2042</v>
      </c>
      <c r="AP60" s="184" t="s">
        <v>2042</v>
      </c>
      <c r="AQ60" s="175"/>
    </row>
    <row r="61" spans="1:43" ht="14.5">
      <c r="A61" s="169"/>
      <c r="B61" s="170"/>
      <c r="C61" s="176" t="s">
        <v>1890</v>
      </c>
      <c r="D61" s="177"/>
      <c r="E61" s="178">
        <v>1</v>
      </c>
      <c r="F61" s="179"/>
      <c r="G61" s="186">
        <f>IF(C61="","",SUMIFS(MRP!$D$5:$D1000,MRP!$B$5:$B1000,C61))*E61</f>
        <v>0</v>
      </c>
      <c r="H61" s="181" t="s">
        <v>2041</v>
      </c>
      <c r="I61" s="182">
        <v>0</v>
      </c>
      <c r="J61" s="183" t="s">
        <v>2042</v>
      </c>
      <c r="K61" s="188" t="s">
        <v>2042</v>
      </c>
      <c r="L61" s="188" t="s">
        <v>2042</v>
      </c>
      <c r="M61" s="190" t="s">
        <v>2042</v>
      </c>
      <c r="N61" s="190" t="s">
        <v>2042</v>
      </c>
      <c r="O61" s="190" t="s">
        <v>2042</v>
      </c>
      <c r="P61" s="190" t="s">
        <v>2042</v>
      </c>
      <c r="Q61" s="190" t="s">
        <v>2042</v>
      </c>
      <c r="R61" s="190" t="s">
        <v>2042</v>
      </c>
      <c r="S61" s="184" t="s">
        <v>2042</v>
      </c>
      <c r="T61" s="184" t="s">
        <v>2042</v>
      </c>
      <c r="U61" s="184" t="s">
        <v>2042</v>
      </c>
      <c r="V61" s="184" t="s">
        <v>2042</v>
      </c>
      <c r="W61" s="184" t="s">
        <v>2042</v>
      </c>
      <c r="X61" s="184" t="s">
        <v>2042</v>
      </c>
      <c r="Y61" s="184" t="s">
        <v>2042</v>
      </c>
      <c r="Z61" s="184" t="s">
        <v>2042</v>
      </c>
      <c r="AA61" s="184" t="s">
        <v>2042</v>
      </c>
      <c r="AB61" s="184" t="s">
        <v>2042</v>
      </c>
      <c r="AC61" s="184" t="s">
        <v>2042</v>
      </c>
      <c r="AD61" s="184" t="s">
        <v>2042</v>
      </c>
      <c r="AE61" s="184" t="s">
        <v>2042</v>
      </c>
      <c r="AF61" s="184" t="s">
        <v>2042</v>
      </c>
      <c r="AG61" s="184" t="s">
        <v>2042</v>
      </c>
      <c r="AH61" s="184" t="s">
        <v>2042</v>
      </c>
      <c r="AI61" s="184" t="s">
        <v>2042</v>
      </c>
      <c r="AJ61" s="184" t="s">
        <v>2042</v>
      </c>
      <c r="AK61" s="184" t="s">
        <v>2042</v>
      </c>
      <c r="AL61" s="184" t="s">
        <v>2042</v>
      </c>
      <c r="AM61" s="184" t="s">
        <v>2042</v>
      </c>
      <c r="AN61" s="184" t="s">
        <v>2042</v>
      </c>
      <c r="AO61" s="184" t="s">
        <v>2042</v>
      </c>
      <c r="AP61" s="184" t="s">
        <v>2042</v>
      </c>
      <c r="AQ61" s="175"/>
    </row>
    <row r="62" spans="1:43" ht="14.5">
      <c r="A62" s="169"/>
      <c r="B62" s="170"/>
      <c r="C62" s="176" t="s">
        <v>1891</v>
      </c>
      <c r="D62" s="177"/>
      <c r="E62" s="178">
        <v>1</v>
      </c>
      <c r="F62" s="179"/>
      <c r="G62" s="186">
        <f>IF(C62="","",SUMIFS(MRP!$D$5:$D1000,MRP!$B$5:$B1000,C62))*E62</f>
        <v>0</v>
      </c>
      <c r="H62" s="181" t="s">
        <v>2041</v>
      </c>
      <c r="I62" s="182">
        <v>0</v>
      </c>
      <c r="J62" s="183" t="s">
        <v>2042</v>
      </c>
      <c r="K62" s="184" t="s">
        <v>2042</v>
      </c>
      <c r="L62" s="184" t="s">
        <v>2042</v>
      </c>
      <c r="M62" s="185" t="s">
        <v>2042</v>
      </c>
      <c r="N62" s="184" t="s">
        <v>2042</v>
      </c>
      <c r="O62" s="184" t="s">
        <v>2042</v>
      </c>
      <c r="P62" s="184" t="s">
        <v>2042</v>
      </c>
      <c r="Q62" s="185" t="s">
        <v>2042</v>
      </c>
      <c r="R62" s="184" t="s">
        <v>2042</v>
      </c>
      <c r="S62" s="185" t="s">
        <v>2042</v>
      </c>
      <c r="T62" s="185" t="s">
        <v>2042</v>
      </c>
      <c r="U62" s="185" t="s">
        <v>2042</v>
      </c>
      <c r="V62" s="185" t="s">
        <v>2042</v>
      </c>
      <c r="W62" s="185" t="s">
        <v>2042</v>
      </c>
      <c r="X62" s="185" t="s">
        <v>2042</v>
      </c>
      <c r="Y62" s="185" t="s">
        <v>2042</v>
      </c>
      <c r="Z62" s="185" t="s">
        <v>2042</v>
      </c>
      <c r="AA62" s="185" t="s">
        <v>2042</v>
      </c>
      <c r="AB62" s="185" t="s">
        <v>2042</v>
      </c>
      <c r="AC62" s="185" t="s">
        <v>2042</v>
      </c>
      <c r="AD62" s="185" t="s">
        <v>2042</v>
      </c>
      <c r="AE62" s="185" t="s">
        <v>2042</v>
      </c>
      <c r="AF62" s="185" t="s">
        <v>2042</v>
      </c>
      <c r="AG62" s="185" t="s">
        <v>2042</v>
      </c>
      <c r="AH62" s="185" t="s">
        <v>2042</v>
      </c>
      <c r="AI62" s="185" t="s">
        <v>2042</v>
      </c>
      <c r="AJ62" s="185" t="s">
        <v>2042</v>
      </c>
      <c r="AK62" s="185" t="s">
        <v>2042</v>
      </c>
      <c r="AL62" s="185" t="s">
        <v>2042</v>
      </c>
      <c r="AM62" s="185" t="s">
        <v>2042</v>
      </c>
      <c r="AN62" s="185" t="s">
        <v>2042</v>
      </c>
      <c r="AO62" s="185" t="s">
        <v>2042</v>
      </c>
      <c r="AP62" s="185" t="s">
        <v>2042</v>
      </c>
      <c r="AQ62" s="175"/>
    </row>
    <row r="63" spans="1:43" ht="14.5">
      <c r="A63" s="169"/>
      <c r="B63" s="170"/>
      <c r="C63" s="176" t="s">
        <v>1892</v>
      </c>
      <c r="D63" s="177"/>
      <c r="E63" s="178">
        <v>1</v>
      </c>
      <c r="F63" s="179"/>
      <c r="G63" s="186">
        <f>IF(C63="","",SUMIFS(MRP!$D$5:$D1000,MRP!$B$5:$B1000,C63))*E63</f>
        <v>0</v>
      </c>
      <c r="H63" s="181" t="s">
        <v>2041</v>
      </c>
      <c r="I63" s="182">
        <v>0</v>
      </c>
      <c r="J63" s="183" t="s">
        <v>2042</v>
      </c>
      <c r="K63" s="184" t="s">
        <v>2042</v>
      </c>
      <c r="L63" s="184" t="s">
        <v>2042</v>
      </c>
      <c r="M63" s="184" t="s">
        <v>2042</v>
      </c>
      <c r="N63" s="184" t="s">
        <v>2042</v>
      </c>
      <c r="O63" s="184" t="s">
        <v>2042</v>
      </c>
      <c r="P63" s="184" t="s">
        <v>2042</v>
      </c>
      <c r="Q63" s="184" t="s">
        <v>2042</v>
      </c>
      <c r="R63" s="184" t="s">
        <v>2042</v>
      </c>
      <c r="S63" s="184" t="s">
        <v>2042</v>
      </c>
      <c r="T63" s="184" t="s">
        <v>2042</v>
      </c>
      <c r="U63" s="184" t="s">
        <v>2042</v>
      </c>
      <c r="V63" s="184" t="s">
        <v>2042</v>
      </c>
      <c r="W63" s="184" t="s">
        <v>2042</v>
      </c>
      <c r="X63" s="184" t="s">
        <v>2042</v>
      </c>
      <c r="Y63" s="184" t="s">
        <v>2042</v>
      </c>
      <c r="Z63" s="184" t="s">
        <v>2042</v>
      </c>
      <c r="AA63" s="184" t="s">
        <v>2042</v>
      </c>
      <c r="AB63" s="184" t="s">
        <v>2042</v>
      </c>
      <c r="AC63" s="184" t="s">
        <v>2042</v>
      </c>
      <c r="AD63" s="184" t="s">
        <v>2042</v>
      </c>
      <c r="AE63" s="184" t="s">
        <v>2042</v>
      </c>
      <c r="AF63" s="184" t="s">
        <v>2042</v>
      </c>
      <c r="AG63" s="184" t="s">
        <v>2042</v>
      </c>
      <c r="AH63" s="184" t="s">
        <v>2042</v>
      </c>
      <c r="AI63" s="184" t="s">
        <v>2042</v>
      </c>
      <c r="AJ63" s="184" t="s">
        <v>2042</v>
      </c>
      <c r="AK63" s="184" t="s">
        <v>2042</v>
      </c>
      <c r="AL63" s="184" t="s">
        <v>2042</v>
      </c>
      <c r="AM63" s="184" t="s">
        <v>2042</v>
      </c>
      <c r="AN63" s="184" t="s">
        <v>2042</v>
      </c>
      <c r="AO63" s="184" t="s">
        <v>2042</v>
      </c>
      <c r="AP63" s="184" t="s">
        <v>2042</v>
      </c>
      <c r="AQ63" s="175"/>
    </row>
    <row r="64" spans="1:43" ht="14.5">
      <c r="A64" s="169"/>
      <c r="B64" s="170"/>
      <c r="C64" s="176" t="s">
        <v>1581</v>
      </c>
      <c r="D64" s="177"/>
      <c r="E64" s="178">
        <v>1</v>
      </c>
      <c r="F64" s="179"/>
      <c r="G64" s="186">
        <f>IF(C64="","",SUMIFS(MRP!$D$5:$D1000,MRP!$B$5:$B1000,C64))*E64</f>
        <v>0</v>
      </c>
      <c r="H64" s="181" t="s">
        <v>2041</v>
      </c>
      <c r="I64" s="182">
        <v>0</v>
      </c>
      <c r="J64" s="183" t="s">
        <v>2042</v>
      </c>
      <c r="K64" s="185" t="s">
        <v>2042</v>
      </c>
      <c r="L64" s="185" t="s">
        <v>2042</v>
      </c>
      <c r="M64" s="185" t="s">
        <v>2042</v>
      </c>
      <c r="N64" s="185" t="s">
        <v>2042</v>
      </c>
      <c r="O64" s="185" t="s">
        <v>2042</v>
      </c>
      <c r="P64" s="185" t="s">
        <v>2042</v>
      </c>
      <c r="Q64" s="185" t="s">
        <v>2042</v>
      </c>
      <c r="R64" s="185" t="s">
        <v>2042</v>
      </c>
      <c r="S64" s="185" t="s">
        <v>2042</v>
      </c>
      <c r="T64" s="185" t="s">
        <v>2042</v>
      </c>
      <c r="U64" s="185" t="s">
        <v>2042</v>
      </c>
      <c r="V64" s="185" t="s">
        <v>2042</v>
      </c>
      <c r="W64" s="185" t="s">
        <v>2042</v>
      </c>
      <c r="X64" s="185" t="s">
        <v>2042</v>
      </c>
      <c r="Y64" s="185" t="s">
        <v>2042</v>
      </c>
      <c r="Z64" s="185" t="s">
        <v>2042</v>
      </c>
      <c r="AA64" s="185" t="s">
        <v>2042</v>
      </c>
      <c r="AB64" s="185" t="s">
        <v>2042</v>
      </c>
      <c r="AC64" s="185" t="s">
        <v>2042</v>
      </c>
      <c r="AD64" s="185" t="s">
        <v>2042</v>
      </c>
      <c r="AE64" s="185" t="s">
        <v>2042</v>
      </c>
      <c r="AF64" s="185" t="s">
        <v>2042</v>
      </c>
      <c r="AG64" s="185" t="s">
        <v>2042</v>
      </c>
      <c r="AH64" s="184" t="s">
        <v>2042</v>
      </c>
      <c r="AI64" s="184" t="s">
        <v>2042</v>
      </c>
      <c r="AJ64" s="184" t="s">
        <v>2042</v>
      </c>
      <c r="AK64" s="184" t="s">
        <v>2042</v>
      </c>
      <c r="AL64" s="184" t="s">
        <v>2042</v>
      </c>
      <c r="AM64" s="184" t="s">
        <v>2042</v>
      </c>
      <c r="AN64" s="184" t="s">
        <v>2042</v>
      </c>
      <c r="AO64" s="184" t="s">
        <v>2042</v>
      </c>
      <c r="AP64" s="184" t="s">
        <v>2042</v>
      </c>
      <c r="AQ64" s="175"/>
    </row>
    <row r="65" spans="1:43" ht="14.5">
      <c r="A65" s="169"/>
      <c r="B65" s="170"/>
      <c r="C65" s="176" t="s">
        <v>1507</v>
      </c>
      <c r="D65" s="177"/>
      <c r="E65" s="178">
        <v>1</v>
      </c>
      <c r="F65" s="179"/>
      <c r="G65" s="186">
        <f>IF(C65="","",SUMIFS(MRP!$D$5:$D1000,MRP!$B$5:$B1000,C65))*E65</f>
        <v>0</v>
      </c>
      <c r="H65" s="181" t="s">
        <v>2041</v>
      </c>
      <c r="I65" s="182">
        <v>0</v>
      </c>
      <c r="J65" s="183" t="s">
        <v>2042</v>
      </c>
      <c r="K65" s="184" t="s">
        <v>2042</v>
      </c>
      <c r="L65" s="184" t="s">
        <v>2042</v>
      </c>
      <c r="M65" s="184" t="s">
        <v>2042</v>
      </c>
      <c r="N65" s="184" t="s">
        <v>2042</v>
      </c>
      <c r="O65" s="184" t="s">
        <v>2042</v>
      </c>
      <c r="P65" s="184" t="s">
        <v>2042</v>
      </c>
      <c r="Q65" s="184" t="s">
        <v>2042</v>
      </c>
      <c r="R65" s="184" t="s">
        <v>2042</v>
      </c>
      <c r="S65" s="184" t="s">
        <v>2042</v>
      </c>
      <c r="T65" s="184" t="s">
        <v>2042</v>
      </c>
      <c r="U65" s="184" t="s">
        <v>2042</v>
      </c>
      <c r="V65" s="184" t="s">
        <v>2042</v>
      </c>
      <c r="W65" s="184" t="s">
        <v>2042</v>
      </c>
      <c r="X65" s="184" t="s">
        <v>2042</v>
      </c>
      <c r="Y65" s="184" t="s">
        <v>2042</v>
      </c>
      <c r="Z65" s="184" t="s">
        <v>2042</v>
      </c>
      <c r="AA65" s="184" t="s">
        <v>2042</v>
      </c>
      <c r="AB65" s="184" t="s">
        <v>2042</v>
      </c>
      <c r="AC65" s="184" t="s">
        <v>2042</v>
      </c>
      <c r="AD65" s="184" t="s">
        <v>2042</v>
      </c>
      <c r="AE65" s="184" t="s">
        <v>2042</v>
      </c>
      <c r="AF65" s="184" t="s">
        <v>2042</v>
      </c>
      <c r="AG65" s="184" t="s">
        <v>2042</v>
      </c>
      <c r="AH65" s="184" t="s">
        <v>2042</v>
      </c>
      <c r="AI65" s="184" t="s">
        <v>2042</v>
      </c>
      <c r="AJ65" s="184" t="s">
        <v>2042</v>
      </c>
      <c r="AK65" s="184" t="s">
        <v>2042</v>
      </c>
      <c r="AL65" s="184" t="s">
        <v>2042</v>
      </c>
      <c r="AM65" s="184" t="s">
        <v>2042</v>
      </c>
      <c r="AN65" s="184" t="s">
        <v>2042</v>
      </c>
      <c r="AO65" s="184" t="s">
        <v>2042</v>
      </c>
      <c r="AP65" s="184" t="s">
        <v>2042</v>
      </c>
      <c r="AQ65" s="175"/>
    </row>
    <row r="66" spans="1:43" ht="14.5">
      <c r="A66" s="169"/>
      <c r="B66" s="170"/>
      <c r="C66" s="176" t="s">
        <v>1893</v>
      </c>
      <c r="D66" s="177"/>
      <c r="E66" s="178">
        <v>1</v>
      </c>
      <c r="F66" s="179"/>
      <c r="G66" s="186">
        <f>IF(C66="","",SUMIFS(MRP!$D$5:$D1000,MRP!$B$5:$B1000,C66))*E66</f>
        <v>0</v>
      </c>
      <c r="H66" s="181" t="s">
        <v>2041</v>
      </c>
      <c r="I66" s="182">
        <v>0</v>
      </c>
      <c r="J66" s="183" t="s">
        <v>2042</v>
      </c>
      <c r="K66" s="184" t="s">
        <v>2042</v>
      </c>
      <c r="L66" s="184" t="s">
        <v>2042</v>
      </c>
      <c r="M66" s="184" t="s">
        <v>2042</v>
      </c>
      <c r="N66" s="184" t="s">
        <v>2042</v>
      </c>
      <c r="O66" s="184" t="s">
        <v>2042</v>
      </c>
      <c r="P66" s="184" t="s">
        <v>2042</v>
      </c>
      <c r="Q66" s="184" t="s">
        <v>2042</v>
      </c>
      <c r="R66" s="184" t="s">
        <v>2042</v>
      </c>
      <c r="S66" s="184" t="s">
        <v>2042</v>
      </c>
      <c r="T66" s="184" t="s">
        <v>2042</v>
      </c>
      <c r="U66" s="184" t="s">
        <v>2042</v>
      </c>
      <c r="V66" s="184" t="s">
        <v>2042</v>
      </c>
      <c r="W66" s="184" t="s">
        <v>2042</v>
      </c>
      <c r="X66" s="184" t="s">
        <v>2042</v>
      </c>
      <c r="Y66" s="184" t="s">
        <v>2042</v>
      </c>
      <c r="Z66" s="184" t="s">
        <v>2042</v>
      </c>
      <c r="AA66" s="184" t="s">
        <v>2042</v>
      </c>
      <c r="AB66" s="184" t="s">
        <v>2042</v>
      </c>
      <c r="AC66" s="184" t="s">
        <v>2042</v>
      </c>
      <c r="AD66" s="184" t="s">
        <v>2042</v>
      </c>
      <c r="AE66" s="184" t="s">
        <v>2042</v>
      </c>
      <c r="AF66" s="184" t="s">
        <v>2042</v>
      </c>
      <c r="AG66" s="184" t="s">
        <v>2042</v>
      </c>
      <c r="AH66" s="184" t="s">
        <v>2042</v>
      </c>
      <c r="AI66" s="184" t="s">
        <v>2042</v>
      </c>
      <c r="AJ66" s="184" t="s">
        <v>2042</v>
      </c>
      <c r="AK66" s="184" t="s">
        <v>2042</v>
      </c>
      <c r="AL66" s="184" t="s">
        <v>2042</v>
      </c>
      <c r="AM66" s="184" t="s">
        <v>2042</v>
      </c>
      <c r="AN66" s="184" t="s">
        <v>2042</v>
      </c>
      <c r="AO66" s="184" t="s">
        <v>2042</v>
      </c>
      <c r="AP66" s="184" t="s">
        <v>2042</v>
      </c>
      <c r="AQ66" s="175"/>
    </row>
    <row r="67" spans="1:43" ht="14.5">
      <c r="A67" s="169"/>
      <c r="B67" s="170"/>
      <c r="C67" s="176" t="s">
        <v>1894</v>
      </c>
      <c r="D67" s="177"/>
      <c r="E67" s="178">
        <v>1</v>
      </c>
      <c r="F67" s="179"/>
      <c r="G67" s="186">
        <f>IF(C67="","",SUMIFS(MRP!$D$5:$D1000,MRP!$B$5:$B1000,C67))*E67</f>
        <v>0</v>
      </c>
      <c r="H67" s="181" t="s">
        <v>2041</v>
      </c>
      <c r="I67" s="182">
        <v>0</v>
      </c>
      <c r="J67" s="183" t="s">
        <v>2042</v>
      </c>
      <c r="K67" s="184" t="s">
        <v>2042</v>
      </c>
      <c r="L67" s="184" t="s">
        <v>2042</v>
      </c>
      <c r="M67" s="184" t="s">
        <v>2042</v>
      </c>
      <c r="N67" s="184" t="s">
        <v>2042</v>
      </c>
      <c r="O67" s="184" t="s">
        <v>2042</v>
      </c>
      <c r="P67" s="184" t="s">
        <v>2042</v>
      </c>
      <c r="Q67" s="184" t="s">
        <v>2042</v>
      </c>
      <c r="R67" s="184" t="s">
        <v>2042</v>
      </c>
      <c r="S67" s="184" t="s">
        <v>2042</v>
      </c>
      <c r="T67" s="184" t="s">
        <v>2042</v>
      </c>
      <c r="U67" s="184" t="s">
        <v>2042</v>
      </c>
      <c r="V67" s="184" t="s">
        <v>2042</v>
      </c>
      <c r="W67" s="184" t="s">
        <v>2042</v>
      </c>
      <c r="X67" s="184" t="s">
        <v>2042</v>
      </c>
      <c r="Y67" s="184" t="s">
        <v>2042</v>
      </c>
      <c r="Z67" s="184" t="s">
        <v>2042</v>
      </c>
      <c r="AA67" s="184" t="s">
        <v>2042</v>
      </c>
      <c r="AB67" s="184" t="s">
        <v>2042</v>
      </c>
      <c r="AC67" s="184" t="s">
        <v>2042</v>
      </c>
      <c r="AD67" s="184" t="s">
        <v>2042</v>
      </c>
      <c r="AE67" s="184" t="s">
        <v>2042</v>
      </c>
      <c r="AF67" s="184" t="s">
        <v>2042</v>
      </c>
      <c r="AG67" s="184" t="s">
        <v>2042</v>
      </c>
      <c r="AH67" s="184" t="s">
        <v>2042</v>
      </c>
      <c r="AI67" s="184" t="s">
        <v>2042</v>
      </c>
      <c r="AJ67" s="184" t="s">
        <v>2042</v>
      </c>
      <c r="AK67" s="184" t="s">
        <v>2042</v>
      </c>
      <c r="AL67" s="184" t="s">
        <v>2042</v>
      </c>
      <c r="AM67" s="184" t="s">
        <v>2042</v>
      </c>
      <c r="AN67" s="184" t="s">
        <v>2042</v>
      </c>
      <c r="AO67" s="184" t="s">
        <v>2042</v>
      </c>
      <c r="AP67" s="184" t="s">
        <v>2042</v>
      </c>
      <c r="AQ67" s="175"/>
    </row>
    <row r="68" spans="1:43" ht="14.5">
      <c r="A68" s="169"/>
      <c r="B68" s="170"/>
      <c r="C68" s="176" t="s">
        <v>1895</v>
      </c>
      <c r="D68" s="177"/>
      <c r="E68" s="178">
        <v>1</v>
      </c>
      <c r="F68" s="179"/>
      <c r="G68" s="186">
        <f>IF(C68="","",SUMIFS(MRP!$D$5:$D1000,MRP!$B$5:$B1000,C68))*E68</f>
        <v>0</v>
      </c>
      <c r="H68" s="181" t="s">
        <v>2041</v>
      </c>
      <c r="I68" s="182">
        <v>0</v>
      </c>
      <c r="J68" s="183" t="s">
        <v>2042</v>
      </c>
      <c r="K68" s="187" t="s">
        <v>2042</v>
      </c>
      <c r="L68" s="187" t="s">
        <v>2042</v>
      </c>
      <c r="M68" s="187" t="s">
        <v>2042</v>
      </c>
      <c r="N68" s="187" t="s">
        <v>2042</v>
      </c>
      <c r="O68" s="187" t="s">
        <v>2042</v>
      </c>
      <c r="P68" s="184" t="s">
        <v>2042</v>
      </c>
      <c r="Q68" s="184" t="s">
        <v>2042</v>
      </c>
      <c r="R68" s="184" t="s">
        <v>2042</v>
      </c>
      <c r="S68" s="184" t="s">
        <v>2042</v>
      </c>
      <c r="T68" s="184" t="s">
        <v>2042</v>
      </c>
      <c r="U68" s="184" t="s">
        <v>2042</v>
      </c>
      <c r="V68" s="184" t="s">
        <v>2042</v>
      </c>
      <c r="W68" s="184" t="s">
        <v>2042</v>
      </c>
      <c r="X68" s="184" t="s">
        <v>2042</v>
      </c>
      <c r="Y68" s="184" t="s">
        <v>2042</v>
      </c>
      <c r="Z68" s="184" t="s">
        <v>2042</v>
      </c>
      <c r="AA68" s="184" t="s">
        <v>2042</v>
      </c>
      <c r="AB68" s="184" t="s">
        <v>2042</v>
      </c>
      <c r="AC68" s="184" t="s">
        <v>2042</v>
      </c>
      <c r="AD68" s="184" t="s">
        <v>2042</v>
      </c>
      <c r="AE68" s="184" t="s">
        <v>2042</v>
      </c>
      <c r="AF68" s="184" t="s">
        <v>2042</v>
      </c>
      <c r="AG68" s="184" t="s">
        <v>2042</v>
      </c>
      <c r="AH68" s="184" t="s">
        <v>2042</v>
      </c>
      <c r="AI68" s="184" t="s">
        <v>2042</v>
      </c>
      <c r="AJ68" s="184" t="s">
        <v>2042</v>
      </c>
      <c r="AK68" s="184" t="s">
        <v>2042</v>
      </c>
      <c r="AL68" s="184" t="s">
        <v>2042</v>
      </c>
      <c r="AM68" s="184" t="s">
        <v>2042</v>
      </c>
      <c r="AN68" s="184" t="s">
        <v>2042</v>
      </c>
      <c r="AO68" s="184" t="s">
        <v>2042</v>
      </c>
      <c r="AP68" s="184" t="s">
        <v>2042</v>
      </c>
      <c r="AQ68" s="175"/>
    </row>
    <row r="69" spans="1:43" ht="14.5">
      <c r="A69" s="169"/>
      <c r="B69" s="170"/>
      <c r="C69" s="176" t="s">
        <v>1896</v>
      </c>
      <c r="D69" s="177"/>
      <c r="E69" s="178">
        <v>1</v>
      </c>
      <c r="F69" s="179"/>
      <c r="G69" s="186">
        <f>IF(C69="","",SUMIFS(MRP!$D$5:$D1000,MRP!$B$5:$B1000,C69))*E69</f>
        <v>0</v>
      </c>
      <c r="H69" s="181" t="s">
        <v>2041</v>
      </c>
      <c r="I69" s="182">
        <v>0</v>
      </c>
      <c r="J69" s="183" t="s">
        <v>2042</v>
      </c>
      <c r="K69" s="184" t="s">
        <v>2042</v>
      </c>
      <c r="L69" s="184" t="s">
        <v>2042</v>
      </c>
      <c r="M69" s="184" t="s">
        <v>2042</v>
      </c>
      <c r="N69" s="184" t="s">
        <v>2042</v>
      </c>
      <c r="O69" s="184" t="s">
        <v>2042</v>
      </c>
      <c r="P69" s="184" t="s">
        <v>2042</v>
      </c>
      <c r="Q69" s="184" t="s">
        <v>2042</v>
      </c>
      <c r="R69" s="184" t="s">
        <v>2042</v>
      </c>
      <c r="S69" s="184" t="s">
        <v>2042</v>
      </c>
      <c r="T69" s="184" t="s">
        <v>2042</v>
      </c>
      <c r="U69" s="184" t="s">
        <v>2042</v>
      </c>
      <c r="V69" s="184" t="s">
        <v>2042</v>
      </c>
      <c r="W69" s="184" t="s">
        <v>2042</v>
      </c>
      <c r="X69" s="184" t="s">
        <v>2042</v>
      </c>
      <c r="Y69" s="184" t="s">
        <v>2042</v>
      </c>
      <c r="Z69" s="184" t="s">
        <v>2042</v>
      </c>
      <c r="AA69" s="184" t="s">
        <v>2042</v>
      </c>
      <c r="AB69" s="184" t="s">
        <v>2042</v>
      </c>
      <c r="AC69" s="184" t="s">
        <v>2042</v>
      </c>
      <c r="AD69" s="184" t="s">
        <v>2042</v>
      </c>
      <c r="AE69" s="185" t="s">
        <v>2042</v>
      </c>
      <c r="AF69" s="185" t="s">
        <v>2042</v>
      </c>
      <c r="AG69" s="185" t="s">
        <v>2042</v>
      </c>
      <c r="AH69" s="185" t="s">
        <v>2042</v>
      </c>
      <c r="AI69" s="185" t="s">
        <v>2042</v>
      </c>
      <c r="AJ69" s="185" t="s">
        <v>2042</v>
      </c>
      <c r="AK69" s="185" t="s">
        <v>2042</v>
      </c>
      <c r="AL69" s="185" t="s">
        <v>2042</v>
      </c>
      <c r="AM69" s="185" t="s">
        <v>2042</v>
      </c>
      <c r="AN69" s="185" t="s">
        <v>2042</v>
      </c>
      <c r="AO69" s="185" t="s">
        <v>2042</v>
      </c>
      <c r="AP69" s="185" t="s">
        <v>2042</v>
      </c>
      <c r="AQ69" s="175"/>
    </row>
    <row r="70" spans="1:43" ht="14.5">
      <c r="A70" s="169"/>
      <c r="B70" s="170"/>
      <c r="C70" s="176" t="s">
        <v>1042</v>
      </c>
      <c r="D70" s="177"/>
      <c r="E70" s="178">
        <v>1</v>
      </c>
      <c r="F70" s="179"/>
      <c r="G70" s="186">
        <f>IF(C70="","",SUMIFS(MRP!$D$5:$D1000,MRP!$B$5:$B1000,C70))*E70</f>
        <v>0</v>
      </c>
      <c r="H70" s="181" t="s">
        <v>2041</v>
      </c>
      <c r="I70" s="182">
        <v>0</v>
      </c>
      <c r="J70" s="183" t="s">
        <v>2042</v>
      </c>
      <c r="K70" s="189" t="s">
        <v>2042</v>
      </c>
      <c r="L70" s="189" t="s">
        <v>2042</v>
      </c>
      <c r="M70" s="189" t="s">
        <v>2042</v>
      </c>
      <c r="N70" s="189" t="s">
        <v>2042</v>
      </c>
      <c r="O70" s="189" t="s">
        <v>2042</v>
      </c>
      <c r="P70" s="189" t="s">
        <v>2042</v>
      </c>
      <c r="Q70" s="189" t="s">
        <v>2042</v>
      </c>
      <c r="R70" s="189" t="s">
        <v>2042</v>
      </c>
      <c r="S70" s="189" t="s">
        <v>2042</v>
      </c>
      <c r="T70" s="189" t="s">
        <v>2042</v>
      </c>
      <c r="U70" s="189" t="s">
        <v>2042</v>
      </c>
      <c r="V70" s="189" t="s">
        <v>2042</v>
      </c>
      <c r="W70" s="189" t="s">
        <v>2042</v>
      </c>
      <c r="X70" s="189" t="s">
        <v>2042</v>
      </c>
      <c r="Y70" s="189" t="s">
        <v>2042</v>
      </c>
      <c r="Z70" s="189" t="s">
        <v>2042</v>
      </c>
      <c r="AA70" s="189" t="s">
        <v>2042</v>
      </c>
      <c r="AB70" s="189" t="s">
        <v>2042</v>
      </c>
      <c r="AC70" s="189" t="s">
        <v>2042</v>
      </c>
      <c r="AD70" s="189" t="s">
        <v>2042</v>
      </c>
      <c r="AE70" s="189" t="s">
        <v>2042</v>
      </c>
      <c r="AF70" s="189" t="s">
        <v>2042</v>
      </c>
      <c r="AG70" s="189" t="s">
        <v>2042</v>
      </c>
      <c r="AH70" s="189" t="s">
        <v>2042</v>
      </c>
      <c r="AI70" s="189" t="s">
        <v>2042</v>
      </c>
      <c r="AJ70" s="189" t="s">
        <v>2042</v>
      </c>
      <c r="AK70" s="189" t="s">
        <v>2042</v>
      </c>
      <c r="AL70" s="189" t="s">
        <v>2042</v>
      </c>
      <c r="AM70" s="189" t="s">
        <v>2042</v>
      </c>
      <c r="AN70" s="189" t="s">
        <v>2042</v>
      </c>
      <c r="AO70" s="189" t="s">
        <v>2042</v>
      </c>
      <c r="AP70" s="189" t="s">
        <v>2042</v>
      </c>
      <c r="AQ70" s="175"/>
    </row>
    <row r="71" spans="1:43" ht="14.5">
      <c r="A71" s="169"/>
      <c r="B71" s="170"/>
      <c r="C71" s="176" t="s">
        <v>1897</v>
      </c>
      <c r="D71" s="177"/>
      <c r="E71" s="178">
        <v>1</v>
      </c>
      <c r="F71" s="179"/>
      <c r="G71" s="186">
        <f>IF(C71="","",SUMIFS(MRP!$D$5:$D1000,MRP!$B$5:$B1000,C71))*E71</f>
        <v>0</v>
      </c>
      <c r="H71" s="181" t="s">
        <v>2041</v>
      </c>
      <c r="I71" s="182">
        <v>0</v>
      </c>
      <c r="J71" s="183" t="s">
        <v>2042</v>
      </c>
      <c r="K71" s="185" t="s">
        <v>2042</v>
      </c>
      <c r="L71" s="185" t="s">
        <v>2042</v>
      </c>
      <c r="M71" s="185" t="s">
        <v>2042</v>
      </c>
      <c r="N71" s="185" t="s">
        <v>2042</v>
      </c>
      <c r="O71" s="185" t="s">
        <v>2042</v>
      </c>
      <c r="P71" s="185" t="s">
        <v>2042</v>
      </c>
      <c r="Q71" s="185" t="s">
        <v>2042</v>
      </c>
      <c r="R71" s="185" t="s">
        <v>2042</v>
      </c>
      <c r="S71" s="185" t="s">
        <v>2042</v>
      </c>
      <c r="T71" s="185" t="s">
        <v>2042</v>
      </c>
      <c r="U71" s="185" t="s">
        <v>2042</v>
      </c>
      <c r="V71" s="185" t="s">
        <v>2042</v>
      </c>
      <c r="W71" s="185" t="s">
        <v>2042</v>
      </c>
      <c r="X71" s="185" t="s">
        <v>2042</v>
      </c>
      <c r="Y71" s="185" t="s">
        <v>2042</v>
      </c>
      <c r="Z71" s="185" t="s">
        <v>2042</v>
      </c>
      <c r="AA71" s="185" t="s">
        <v>2042</v>
      </c>
      <c r="AB71" s="185" t="s">
        <v>2042</v>
      </c>
      <c r="AC71" s="185" t="s">
        <v>2042</v>
      </c>
      <c r="AD71" s="185" t="s">
        <v>2042</v>
      </c>
      <c r="AE71" s="185" t="s">
        <v>2042</v>
      </c>
      <c r="AF71" s="185" t="s">
        <v>2042</v>
      </c>
      <c r="AG71" s="185" t="s">
        <v>2042</v>
      </c>
      <c r="AH71" s="185" t="s">
        <v>2042</v>
      </c>
      <c r="AI71" s="185" t="s">
        <v>2042</v>
      </c>
      <c r="AJ71" s="185" t="s">
        <v>2042</v>
      </c>
      <c r="AK71" s="185" t="s">
        <v>2042</v>
      </c>
      <c r="AL71" s="185" t="s">
        <v>2042</v>
      </c>
      <c r="AM71" s="185" t="s">
        <v>2042</v>
      </c>
      <c r="AN71" s="185" t="s">
        <v>2042</v>
      </c>
      <c r="AO71" s="185" t="s">
        <v>2042</v>
      </c>
      <c r="AP71" s="185" t="s">
        <v>2042</v>
      </c>
      <c r="AQ71" s="175"/>
    </row>
    <row r="72" spans="1:43" ht="14.5">
      <c r="A72" s="169"/>
      <c r="B72" s="170"/>
      <c r="C72" s="176" t="s">
        <v>1898</v>
      </c>
      <c r="D72" s="177"/>
      <c r="E72" s="178">
        <v>1</v>
      </c>
      <c r="F72" s="179"/>
      <c r="G72" s="186">
        <f>IF(C72="","",SUMIFS(MRP!$D$5:$D1000,MRP!$B$5:$B1000,C72))*E72</f>
        <v>0</v>
      </c>
      <c r="H72" s="181" t="s">
        <v>2041</v>
      </c>
      <c r="I72" s="182">
        <v>0</v>
      </c>
      <c r="J72" s="183" t="s">
        <v>2042</v>
      </c>
      <c r="K72" s="184" t="s">
        <v>2042</v>
      </c>
      <c r="L72" s="184" t="s">
        <v>2042</v>
      </c>
      <c r="M72" s="184" t="s">
        <v>2042</v>
      </c>
      <c r="N72" s="184" t="s">
        <v>2042</v>
      </c>
      <c r="O72" s="184" t="s">
        <v>2042</v>
      </c>
      <c r="P72" s="184" t="s">
        <v>2042</v>
      </c>
      <c r="Q72" s="184" t="s">
        <v>2042</v>
      </c>
      <c r="R72" s="184" t="s">
        <v>2042</v>
      </c>
      <c r="S72" s="184" t="s">
        <v>2042</v>
      </c>
      <c r="T72" s="184" t="s">
        <v>2042</v>
      </c>
      <c r="U72" s="184" t="s">
        <v>2042</v>
      </c>
      <c r="V72" s="184" t="s">
        <v>2042</v>
      </c>
      <c r="W72" s="184" t="s">
        <v>2042</v>
      </c>
      <c r="X72" s="184" t="s">
        <v>2042</v>
      </c>
      <c r="Y72" s="184" t="s">
        <v>2042</v>
      </c>
      <c r="Z72" s="184" t="s">
        <v>2042</v>
      </c>
      <c r="AA72" s="184" t="s">
        <v>2042</v>
      </c>
      <c r="AB72" s="184" t="s">
        <v>2042</v>
      </c>
      <c r="AC72" s="184" t="s">
        <v>2042</v>
      </c>
      <c r="AD72" s="184" t="s">
        <v>2042</v>
      </c>
      <c r="AE72" s="184" t="s">
        <v>2042</v>
      </c>
      <c r="AF72" s="184" t="s">
        <v>2042</v>
      </c>
      <c r="AG72" s="184" t="s">
        <v>2042</v>
      </c>
      <c r="AH72" s="184" t="s">
        <v>2042</v>
      </c>
      <c r="AI72" s="184" t="s">
        <v>2042</v>
      </c>
      <c r="AJ72" s="184" t="s">
        <v>2042</v>
      </c>
      <c r="AK72" s="184" t="s">
        <v>2042</v>
      </c>
      <c r="AL72" s="184" t="s">
        <v>2042</v>
      </c>
      <c r="AM72" s="184" t="s">
        <v>2042</v>
      </c>
      <c r="AN72" s="184" t="s">
        <v>2042</v>
      </c>
      <c r="AO72" s="184" t="s">
        <v>2042</v>
      </c>
      <c r="AP72" s="184" t="s">
        <v>2042</v>
      </c>
      <c r="AQ72" s="175"/>
    </row>
    <row r="73" spans="1:43" ht="14.5">
      <c r="A73" s="169"/>
      <c r="B73" s="170"/>
      <c r="C73" s="176" t="s">
        <v>1899</v>
      </c>
      <c r="D73" s="177"/>
      <c r="E73" s="178">
        <v>1</v>
      </c>
      <c r="F73" s="179"/>
      <c r="G73" s="186">
        <f>IF(C73="","",SUMIFS(MRP!$D$5:$D1000,MRP!$B$5:$B1000,C73))*E73</f>
        <v>0</v>
      </c>
      <c r="H73" s="181" t="s">
        <v>2041</v>
      </c>
      <c r="I73" s="182">
        <v>0</v>
      </c>
      <c r="J73" s="183" t="s">
        <v>2042</v>
      </c>
      <c r="K73" s="184" t="s">
        <v>2042</v>
      </c>
      <c r="L73" s="184" t="s">
        <v>2042</v>
      </c>
      <c r="M73" s="184" t="s">
        <v>2042</v>
      </c>
      <c r="N73" s="184" t="s">
        <v>2042</v>
      </c>
      <c r="O73" s="184" t="s">
        <v>2042</v>
      </c>
      <c r="P73" s="184" t="s">
        <v>2042</v>
      </c>
      <c r="Q73" s="184" t="s">
        <v>2042</v>
      </c>
      <c r="R73" s="184" t="s">
        <v>2042</v>
      </c>
      <c r="S73" s="184" t="s">
        <v>2042</v>
      </c>
      <c r="T73" s="184" t="s">
        <v>2042</v>
      </c>
      <c r="U73" s="184" t="s">
        <v>2042</v>
      </c>
      <c r="V73" s="184" t="s">
        <v>2042</v>
      </c>
      <c r="W73" s="184" t="s">
        <v>2042</v>
      </c>
      <c r="X73" s="184" t="s">
        <v>2042</v>
      </c>
      <c r="Y73" s="184" t="s">
        <v>2042</v>
      </c>
      <c r="Z73" s="184" t="s">
        <v>2042</v>
      </c>
      <c r="AA73" s="184" t="s">
        <v>2042</v>
      </c>
      <c r="AB73" s="184" t="s">
        <v>2042</v>
      </c>
      <c r="AC73" s="184" t="s">
        <v>2042</v>
      </c>
      <c r="AD73" s="184" t="s">
        <v>2042</v>
      </c>
      <c r="AE73" s="184" t="s">
        <v>2042</v>
      </c>
      <c r="AF73" s="184" t="s">
        <v>2042</v>
      </c>
      <c r="AG73" s="184" t="s">
        <v>2042</v>
      </c>
      <c r="AH73" s="184" t="s">
        <v>2042</v>
      </c>
      <c r="AI73" s="184" t="s">
        <v>2042</v>
      </c>
      <c r="AJ73" s="184" t="s">
        <v>2042</v>
      </c>
      <c r="AK73" s="184" t="s">
        <v>2042</v>
      </c>
      <c r="AL73" s="184" t="s">
        <v>2042</v>
      </c>
      <c r="AM73" s="184" t="s">
        <v>2042</v>
      </c>
      <c r="AN73" s="184" t="s">
        <v>2042</v>
      </c>
      <c r="AO73" s="184" t="s">
        <v>2042</v>
      </c>
      <c r="AP73" s="184" t="s">
        <v>2042</v>
      </c>
      <c r="AQ73" s="175"/>
    </row>
    <row r="74" spans="1:43" ht="14.5">
      <c r="A74" s="169"/>
      <c r="B74" s="170"/>
      <c r="C74" s="176" t="s">
        <v>1900</v>
      </c>
      <c r="D74" s="177"/>
      <c r="E74" s="178">
        <v>1</v>
      </c>
      <c r="F74" s="179"/>
      <c r="G74" s="186">
        <f>IF(C74="","",SUMIFS(MRP!$D$5:$D1000,MRP!$B$5:$B1000,C74))*E74</f>
        <v>0</v>
      </c>
      <c r="H74" s="181" t="s">
        <v>2041</v>
      </c>
      <c r="I74" s="182">
        <v>0</v>
      </c>
      <c r="J74" s="183" t="s">
        <v>2042</v>
      </c>
      <c r="K74" s="184" t="s">
        <v>2042</v>
      </c>
      <c r="L74" s="184" t="s">
        <v>2042</v>
      </c>
      <c r="M74" s="184" t="s">
        <v>2042</v>
      </c>
      <c r="N74" s="184" t="s">
        <v>2042</v>
      </c>
      <c r="O74" s="184" t="s">
        <v>2042</v>
      </c>
      <c r="P74" s="184" t="s">
        <v>2042</v>
      </c>
      <c r="Q74" s="184" t="s">
        <v>2042</v>
      </c>
      <c r="R74" s="184" t="s">
        <v>2042</v>
      </c>
      <c r="S74" s="184" t="s">
        <v>2042</v>
      </c>
      <c r="T74" s="184" t="s">
        <v>2042</v>
      </c>
      <c r="U74" s="184" t="s">
        <v>2042</v>
      </c>
      <c r="V74" s="184" t="s">
        <v>2042</v>
      </c>
      <c r="W74" s="184" t="s">
        <v>2042</v>
      </c>
      <c r="X74" s="184" t="s">
        <v>2042</v>
      </c>
      <c r="Y74" s="184" t="s">
        <v>2042</v>
      </c>
      <c r="Z74" s="184" t="s">
        <v>2042</v>
      </c>
      <c r="AA74" s="184" t="s">
        <v>2042</v>
      </c>
      <c r="AB74" s="184" t="s">
        <v>2042</v>
      </c>
      <c r="AC74" s="184" t="s">
        <v>2042</v>
      </c>
      <c r="AD74" s="184" t="s">
        <v>2042</v>
      </c>
      <c r="AE74" s="184" t="s">
        <v>2042</v>
      </c>
      <c r="AF74" s="184" t="s">
        <v>2042</v>
      </c>
      <c r="AG74" s="184" t="s">
        <v>2042</v>
      </c>
      <c r="AH74" s="184" t="s">
        <v>2042</v>
      </c>
      <c r="AI74" s="184" t="s">
        <v>2042</v>
      </c>
      <c r="AJ74" s="184" t="s">
        <v>2042</v>
      </c>
      <c r="AK74" s="184" t="s">
        <v>2042</v>
      </c>
      <c r="AL74" s="184" t="s">
        <v>2042</v>
      </c>
      <c r="AM74" s="184" t="s">
        <v>2042</v>
      </c>
      <c r="AN74" s="184" t="s">
        <v>2042</v>
      </c>
      <c r="AO74" s="184" t="s">
        <v>2042</v>
      </c>
      <c r="AP74" s="184" t="s">
        <v>2042</v>
      </c>
      <c r="AQ74" s="175"/>
    </row>
    <row r="75" spans="1:43" ht="14.5">
      <c r="A75" s="169"/>
      <c r="B75" s="170"/>
      <c r="C75" s="176" t="s">
        <v>1901</v>
      </c>
      <c r="D75" s="177"/>
      <c r="E75" s="178">
        <v>1</v>
      </c>
      <c r="F75" s="179"/>
      <c r="G75" s="186">
        <f>IF(C75="","",SUMIFS(MRP!$D$5:$D1000,MRP!$B$5:$B1000,C75))*E75</f>
        <v>0</v>
      </c>
      <c r="H75" s="181" t="s">
        <v>2041</v>
      </c>
      <c r="I75" s="182">
        <v>0</v>
      </c>
      <c r="J75" s="183" t="s">
        <v>2042</v>
      </c>
      <c r="K75" s="184" t="s">
        <v>2042</v>
      </c>
      <c r="L75" s="184" t="s">
        <v>2042</v>
      </c>
      <c r="M75" s="184" t="s">
        <v>2042</v>
      </c>
      <c r="N75" s="184" t="s">
        <v>2042</v>
      </c>
      <c r="O75" s="184" t="s">
        <v>2042</v>
      </c>
      <c r="P75" s="184" t="s">
        <v>2042</v>
      </c>
      <c r="Q75" s="184" t="s">
        <v>2042</v>
      </c>
      <c r="R75" s="184" t="s">
        <v>2042</v>
      </c>
      <c r="S75" s="184" t="s">
        <v>2042</v>
      </c>
      <c r="T75" s="184" t="s">
        <v>2042</v>
      </c>
      <c r="U75" s="184" t="s">
        <v>2042</v>
      </c>
      <c r="V75" s="184" t="s">
        <v>2042</v>
      </c>
      <c r="W75" s="184" t="s">
        <v>2042</v>
      </c>
      <c r="X75" s="184" t="s">
        <v>2042</v>
      </c>
      <c r="Y75" s="184" t="s">
        <v>2042</v>
      </c>
      <c r="Z75" s="184" t="s">
        <v>2042</v>
      </c>
      <c r="AA75" s="184" t="s">
        <v>2042</v>
      </c>
      <c r="AB75" s="184" t="s">
        <v>2042</v>
      </c>
      <c r="AC75" s="184" t="s">
        <v>2042</v>
      </c>
      <c r="AD75" s="184" t="s">
        <v>2042</v>
      </c>
      <c r="AE75" s="184" t="s">
        <v>2042</v>
      </c>
      <c r="AF75" s="184" t="s">
        <v>2042</v>
      </c>
      <c r="AG75" s="184" t="s">
        <v>2042</v>
      </c>
      <c r="AH75" s="184" t="s">
        <v>2042</v>
      </c>
      <c r="AI75" s="184" t="s">
        <v>2042</v>
      </c>
      <c r="AJ75" s="184" t="s">
        <v>2042</v>
      </c>
      <c r="AK75" s="184" t="s">
        <v>2042</v>
      </c>
      <c r="AL75" s="184" t="s">
        <v>2042</v>
      </c>
      <c r="AM75" s="184" t="s">
        <v>2042</v>
      </c>
      <c r="AN75" s="184" t="s">
        <v>2042</v>
      </c>
      <c r="AO75" s="184" t="s">
        <v>2042</v>
      </c>
      <c r="AP75" s="184" t="s">
        <v>2042</v>
      </c>
      <c r="AQ75" s="175"/>
    </row>
    <row r="76" spans="1:43" ht="14.5">
      <c r="A76" s="169"/>
      <c r="B76" s="170"/>
      <c r="C76" s="176" t="s">
        <v>1902</v>
      </c>
      <c r="D76" s="177"/>
      <c r="E76" s="178">
        <v>1</v>
      </c>
      <c r="F76" s="179"/>
      <c r="G76" s="186">
        <f>IF(C76="","",SUMIFS(MRP!$D$5:$D1000,MRP!$B$5:$B1000,C76))*E76</f>
        <v>0</v>
      </c>
      <c r="H76" s="181" t="s">
        <v>2041</v>
      </c>
      <c r="I76" s="182">
        <v>0</v>
      </c>
      <c r="J76" s="183" t="s">
        <v>2042</v>
      </c>
      <c r="K76" s="184" t="s">
        <v>2042</v>
      </c>
      <c r="L76" s="184" t="s">
        <v>2042</v>
      </c>
      <c r="M76" s="184" t="s">
        <v>2042</v>
      </c>
      <c r="N76" s="184" t="s">
        <v>2042</v>
      </c>
      <c r="O76" s="184" t="s">
        <v>2042</v>
      </c>
      <c r="P76" s="184" t="s">
        <v>2042</v>
      </c>
      <c r="Q76" s="184" t="s">
        <v>2042</v>
      </c>
      <c r="R76" s="184" t="s">
        <v>2042</v>
      </c>
      <c r="S76" s="184" t="s">
        <v>2042</v>
      </c>
      <c r="T76" s="184" t="s">
        <v>2042</v>
      </c>
      <c r="U76" s="184" t="s">
        <v>2042</v>
      </c>
      <c r="V76" s="184" t="s">
        <v>2042</v>
      </c>
      <c r="W76" s="184" t="s">
        <v>2042</v>
      </c>
      <c r="X76" s="184" t="s">
        <v>2042</v>
      </c>
      <c r="Y76" s="184" t="s">
        <v>2042</v>
      </c>
      <c r="Z76" s="184" t="s">
        <v>2042</v>
      </c>
      <c r="AA76" s="184" t="s">
        <v>2042</v>
      </c>
      <c r="AB76" s="184" t="s">
        <v>2042</v>
      </c>
      <c r="AC76" s="184" t="s">
        <v>2042</v>
      </c>
      <c r="AD76" s="184" t="s">
        <v>2042</v>
      </c>
      <c r="AE76" s="184" t="s">
        <v>2042</v>
      </c>
      <c r="AF76" s="184" t="s">
        <v>2042</v>
      </c>
      <c r="AG76" s="184" t="s">
        <v>2042</v>
      </c>
      <c r="AH76" s="184" t="s">
        <v>2042</v>
      </c>
      <c r="AI76" s="184" t="s">
        <v>2042</v>
      </c>
      <c r="AJ76" s="184" t="s">
        <v>2042</v>
      </c>
      <c r="AK76" s="184" t="s">
        <v>2042</v>
      </c>
      <c r="AL76" s="184" t="s">
        <v>2042</v>
      </c>
      <c r="AM76" s="184" t="s">
        <v>2042</v>
      </c>
      <c r="AN76" s="184" t="s">
        <v>2042</v>
      </c>
      <c r="AO76" s="184" t="s">
        <v>2042</v>
      </c>
      <c r="AP76" s="184" t="s">
        <v>2042</v>
      </c>
      <c r="AQ76" s="175"/>
    </row>
    <row r="77" spans="1:43" ht="14.5">
      <c r="A77" s="169"/>
      <c r="B77" s="170"/>
      <c r="C77" s="176" t="s">
        <v>1602</v>
      </c>
      <c r="D77" s="177"/>
      <c r="E77" s="178">
        <v>1</v>
      </c>
      <c r="F77" s="179"/>
      <c r="G77" s="186">
        <f>IF(C77="","",SUMIFS(MRP!$D$5:$D1000,MRP!$B$5:$B1000,C77))*E77</f>
        <v>0</v>
      </c>
      <c r="H77" s="181" t="s">
        <v>2041</v>
      </c>
      <c r="I77" s="182">
        <v>0</v>
      </c>
      <c r="J77" s="183" t="s">
        <v>2042</v>
      </c>
      <c r="K77" s="184" t="s">
        <v>2042</v>
      </c>
      <c r="L77" s="184" t="s">
        <v>2042</v>
      </c>
      <c r="M77" s="184" t="s">
        <v>2042</v>
      </c>
      <c r="N77" s="184" t="s">
        <v>2042</v>
      </c>
      <c r="O77" s="184" t="s">
        <v>2042</v>
      </c>
      <c r="P77" s="184" t="s">
        <v>2042</v>
      </c>
      <c r="Q77" s="184" t="s">
        <v>2042</v>
      </c>
      <c r="R77" s="184" t="s">
        <v>2042</v>
      </c>
      <c r="S77" s="184" t="s">
        <v>2042</v>
      </c>
      <c r="T77" s="184" t="s">
        <v>2042</v>
      </c>
      <c r="U77" s="184" t="s">
        <v>2042</v>
      </c>
      <c r="V77" s="184" t="s">
        <v>2042</v>
      </c>
      <c r="W77" s="184" t="s">
        <v>2042</v>
      </c>
      <c r="X77" s="184" t="s">
        <v>2042</v>
      </c>
      <c r="Y77" s="184" t="s">
        <v>2042</v>
      </c>
      <c r="Z77" s="184" t="s">
        <v>2042</v>
      </c>
      <c r="AA77" s="184" t="s">
        <v>2042</v>
      </c>
      <c r="AB77" s="184" t="s">
        <v>2042</v>
      </c>
      <c r="AC77" s="184" t="s">
        <v>2042</v>
      </c>
      <c r="AD77" s="184" t="s">
        <v>2042</v>
      </c>
      <c r="AE77" s="184" t="s">
        <v>2042</v>
      </c>
      <c r="AF77" s="184" t="s">
        <v>2042</v>
      </c>
      <c r="AG77" s="184" t="s">
        <v>2042</v>
      </c>
      <c r="AH77" s="184" t="s">
        <v>2042</v>
      </c>
      <c r="AI77" s="184" t="s">
        <v>2042</v>
      </c>
      <c r="AJ77" s="184" t="s">
        <v>2042</v>
      </c>
      <c r="AK77" s="184" t="s">
        <v>2042</v>
      </c>
      <c r="AL77" s="184" t="s">
        <v>2042</v>
      </c>
      <c r="AM77" s="184" t="s">
        <v>2042</v>
      </c>
      <c r="AN77" s="184" t="s">
        <v>2042</v>
      </c>
      <c r="AO77" s="184" t="s">
        <v>2042</v>
      </c>
      <c r="AP77" s="184" t="s">
        <v>2042</v>
      </c>
      <c r="AQ77" s="175"/>
    </row>
    <row r="78" spans="1:43" ht="14.5">
      <c r="A78" s="169"/>
      <c r="B78" s="170"/>
      <c r="C78" s="176" t="s">
        <v>1903</v>
      </c>
      <c r="D78" s="177"/>
      <c r="E78" s="178">
        <v>1</v>
      </c>
      <c r="F78" s="179"/>
      <c r="G78" s="186">
        <f>IF(C78="","",SUMIFS(MRP!$D$5:$D1000,MRP!$B$5:$B1000,C78))*E78</f>
        <v>0</v>
      </c>
      <c r="H78" s="181" t="s">
        <v>2041</v>
      </c>
      <c r="I78" s="182">
        <v>0</v>
      </c>
      <c r="J78" s="183" t="s">
        <v>2042</v>
      </c>
      <c r="K78" s="187" t="s">
        <v>2042</v>
      </c>
      <c r="L78" s="187" t="s">
        <v>2042</v>
      </c>
      <c r="M78" s="187" t="s">
        <v>2042</v>
      </c>
      <c r="N78" s="187" t="s">
        <v>2042</v>
      </c>
      <c r="O78" s="187" t="s">
        <v>2042</v>
      </c>
      <c r="P78" s="187" t="s">
        <v>2042</v>
      </c>
      <c r="Q78" s="187" t="s">
        <v>2042</v>
      </c>
      <c r="R78" s="187" t="s">
        <v>2042</v>
      </c>
      <c r="S78" s="187" t="s">
        <v>2042</v>
      </c>
      <c r="T78" s="187" t="s">
        <v>2042</v>
      </c>
      <c r="U78" s="187" t="s">
        <v>2042</v>
      </c>
      <c r="V78" s="187" t="s">
        <v>2042</v>
      </c>
      <c r="W78" s="187" t="s">
        <v>2042</v>
      </c>
      <c r="X78" s="187" t="s">
        <v>2042</v>
      </c>
      <c r="Y78" s="187" t="s">
        <v>2042</v>
      </c>
      <c r="Z78" s="187" t="s">
        <v>2042</v>
      </c>
      <c r="AA78" s="187" t="s">
        <v>2042</v>
      </c>
      <c r="AB78" s="187" t="s">
        <v>2042</v>
      </c>
      <c r="AC78" s="187" t="s">
        <v>2042</v>
      </c>
      <c r="AD78" s="187" t="s">
        <v>2042</v>
      </c>
      <c r="AE78" s="187" t="s">
        <v>2042</v>
      </c>
      <c r="AF78" s="187" t="s">
        <v>2042</v>
      </c>
      <c r="AG78" s="187" t="s">
        <v>2042</v>
      </c>
      <c r="AH78" s="187" t="s">
        <v>2042</v>
      </c>
      <c r="AI78" s="187" t="s">
        <v>2042</v>
      </c>
      <c r="AJ78" s="187" t="s">
        <v>2042</v>
      </c>
      <c r="AK78" s="187" t="s">
        <v>2042</v>
      </c>
      <c r="AL78" s="187" t="s">
        <v>2042</v>
      </c>
      <c r="AM78" s="187" t="s">
        <v>2042</v>
      </c>
      <c r="AN78" s="187" t="s">
        <v>2042</v>
      </c>
      <c r="AO78" s="187" t="s">
        <v>2042</v>
      </c>
      <c r="AP78" s="187" t="s">
        <v>2042</v>
      </c>
      <c r="AQ78" s="175"/>
    </row>
    <row r="79" spans="1:43" ht="14.5">
      <c r="A79" s="169"/>
      <c r="B79" s="170"/>
      <c r="C79" s="176" t="s">
        <v>1904</v>
      </c>
      <c r="D79" s="177"/>
      <c r="E79" s="178">
        <v>1</v>
      </c>
      <c r="F79" s="179"/>
      <c r="G79" s="186">
        <f>IF(C79="","",SUMIFS(MRP!$D$5:$D1000,MRP!$B$5:$B1000,C79))*E79</f>
        <v>0</v>
      </c>
      <c r="H79" s="181" t="s">
        <v>2041</v>
      </c>
      <c r="I79" s="182">
        <v>0</v>
      </c>
      <c r="J79" s="183" t="s">
        <v>2042</v>
      </c>
      <c r="K79" s="184" t="s">
        <v>2042</v>
      </c>
      <c r="L79" s="184" t="s">
        <v>2042</v>
      </c>
      <c r="M79" s="184" t="s">
        <v>2042</v>
      </c>
      <c r="N79" s="184" t="s">
        <v>2042</v>
      </c>
      <c r="O79" s="184" t="s">
        <v>2042</v>
      </c>
      <c r="P79" s="184" t="s">
        <v>2042</v>
      </c>
      <c r="Q79" s="184" t="s">
        <v>2042</v>
      </c>
      <c r="R79" s="184" t="s">
        <v>2042</v>
      </c>
      <c r="S79" s="184" t="s">
        <v>2042</v>
      </c>
      <c r="T79" s="184" t="s">
        <v>2042</v>
      </c>
      <c r="U79" s="184" t="s">
        <v>2042</v>
      </c>
      <c r="V79" s="184" t="s">
        <v>2042</v>
      </c>
      <c r="W79" s="184" t="s">
        <v>2042</v>
      </c>
      <c r="X79" s="184" t="s">
        <v>2042</v>
      </c>
      <c r="Y79" s="184" t="s">
        <v>2042</v>
      </c>
      <c r="Z79" s="184" t="s">
        <v>2042</v>
      </c>
      <c r="AA79" s="184" t="s">
        <v>2042</v>
      </c>
      <c r="AB79" s="184" t="s">
        <v>2042</v>
      </c>
      <c r="AC79" s="184" t="s">
        <v>2042</v>
      </c>
      <c r="AD79" s="184" t="s">
        <v>2042</v>
      </c>
      <c r="AE79" s="184" t="s">
        <v>2042</v>
      </c>
      <c r="AF79" s="184" t="s">
        <v>2042</v>
      </c>
      <c r="AG79" s="184" t="s">
        <v>2042</v>
      </c>
      <c r="AH79" s="184" t="s">
        <v>2042</v>
      </c>
      <c r="AI79" s="184" t="s">
        <v>2042</v>
      </c>
      <c r="AJ79" s="184" t="s">
        <v>2042</v>
      </c>
      <c r="AK79" s="184" t="s">
        <v>2042</v>
      </c>
      <c r="AL79" s="184" t="s">
        <v>2042</v>
      </c>
      <c r="AM79" s="184" t="s">
        <v>2042</v>
      </c>
      <c r="AN79" s="184" t="s">
        <v>2042</v>
      </c>
      <c r="AO79" s="184" t="s">
        <v>2042</v>
      </c>
      <c r="AP79" s="184" t="s">
        <v>2042</v>
      </c>
      <c r="AQ79" s="175"/>
    </row>
    <row r="80" spans="1:43" ht="14.5">
      <c r="A80" s="169"/>
      <c r="B80" s="170"/>
      <c r="C80" s="176" t="s">
        <v>1905</v>
      </c>
      <c r="D80" s="177"/>
      <c r="E80" s="178">
        <v>1</v>
      </c>
      <c r="F80" s="179"/>
      <c r="G80" s="186">
        <f>IF(C80="","",SUMIFS(MRP!$D$5:$D1000,MRP!$B$5:$B1000,C80))*E80</f>
        <v>0</v>
      </c>
      <c r="H80" s="181" t="s">
        <v>2041</v>
      </c>
      <c r="I80" s="182">
        <v>0</v>
      </c>
      <c r="J80" s="183" t="s">
        <v>2042</v>
      </c>
      <c r="K80" s="184" t="s">
        <v>2042</v>
      </c>
      <c r="L80" s="184" t="s">
        <v>2042</v>
      </c>
      <c r="M80" s="184" t="s">
        <v>2042</v>
      </c>
      <c r="N80" s="184" t="s">
        <v>2042</v>
      </c>
      <c r="O80" s="184" t="s">
        <v>2042</v>
      </c>
      <c r="P80" s="184" t="s">
        <v>2042</v>
      </c>
      <c r="Q80" s="184" t="s">
        <v>2042</v>
      </c>
      <c r="R80" s="184" t="s">
        <v>2042</v>
      </c>
      <c r="S80" s="184" t="s">
        <v>2042</v>
      </c>
      <c r="T80" s="184" t="s">
        <v>2042</v>
      </c>
      <c r="U80" s="184" t="s">
        <v>2042</v>
      </c>
      <c r="V80" s="184" t="s">
        <v>2042</v>
      </c>
      <c r="W80" s="184" t="s">
        <v>2042</v>
      </c>
      <c r="X80" s="184" t="s">
        <v>2042</v>
      </c>
      <c r="Y80" s="184" t="s">
        <v>2042</v>
      </c>
      <c r="Z80" s="184" t="s">
        <v>2042</v>
      </c>
      <c r="AA80" s="184" t="s">
        <v>2042</v>
      </c>
      <c r="AB80" s="184" t="s">
        <v>2042</v>
      </c>
      <c r="AC80" s="184" t="s">
        <v>2042</v>
      </c>
      <c r="AD80" s="184" t="s">
        <v>2042</v>
      </c>
      <c r="AE80" s="185" t="s">
        <v>2042</v>
      </c>
      <c r="AF80" s="185" t="s">
        <v>2042</v>
      </c>
      <c r="AG80" s="185" t="s">
        <v>2042</v>
      </c>
      <c r="AH80" s="185" t="s">
        <v>2042</v>
      </c>
      <c r="AI80" s="185" t="s">
        <v>2042</v>
      </c>
      <c r="AJ80" s="185" t="s">
        <v>2042</v>
      </c>
      <c r="AK80" s="185" t="s">
        <v>2042</v>
      </c>
      <c r="AL80" s="185" t="s">
        <v>2042</v>
      </c>
      <c r="AM80" s="185" t="s">
        <v>2042</v>
      </c>
      <c r="AN80" s="185" t="s">
        <v>2042</v>
      </c>
      <c r="AO80" s="185" t="s">
        <v>2042</v>
      </c>
      <c r="AP80" s="185" t="s">
        <v>2042</v>
      </c>
      <c r="AQ80" s="175"/>
    </row>
    <row r="81" spans="1:43" ht="14.5">
      <c r="A81" s="169"/>
      <c r="B81" s="170"/>
      <c r="C81" s="176" t="s">
        <v>1906</v>
      </c>
      <c r="D81" s="177"/>
      <c r="E81" s="178">
        <v>1</v>
      </c>
      <c r="F81" s="179"/>
      <c r="G81" s="186">
        <f>IF(C81="","",SUMIFS(MRP!$D$5:$D1000,MRP!$B$5:$B1000,C81))*E81</f>
        <v>0</v>
      </c>
      <c r="H81" s="181" t="s">
        <v>2041</v>
      </c>
      <c r="I81" s="182">
        <v>0</v>
      </c>
      <c r="J81" s="183" t="s">
        <v>2042</v>
      </c>
      <c r="K81" s="184" t="s">
        <v>2042</v>
      </c>
      <c r="L81" s="184" t="s">
        <v>2042</v>
      </c>
      <c r="M81" s="184" t="s">
        <v>2042</v>
      </c>
      <c r="N81" s="184" t="s">
        <v>2042</v>
      </c>
      <c r="O81" s="184" t="s">
        <v>2042</v>
      </c>
      <c r="P81" s="184" t="s">
        <v>2042</v>
      </c>
      <c r="Q81" s="184" t="s">
        <v>2042</v>
      </c>
      <c r="R81" s="184" t="s">
        <v>2042</v>
      </c>
      <c r="S81" s="184" t="s">
        <v>2042</v>
      </c>
      <c r="T81" s="184" t="s">
        <v>2042</v>
      </c>
      <c r="U81" s="184" t="s">
        <v>2042</v>
      </c>
      <c r="V81" s="184" t="s">
        <v>2042</v>
      </c>
      <c r="W81" s="184" t="s">
        <v>2042</v>
      </c>
      <c r="X81" s="184" t="s">
        <v>2042</v>
      </c>
      <c r="Y81" s="184" t="s">
        <v>2042</v>
      </c>
      <c r="Z81" s="184" t="s">
        <v>2042</v>
      </c>
      <c r="AA81" s="184" t="s">
        <v>2042</v>
      </c>
      <c r="AB81" s="184" t="s">
        <v>2042</v>
      </c>
      <c r="AC81" s="184" t="s">
        <v>2042</v>
      </c>
      <c r="AD81" s="184" t="s">
        <v>2042</v>
      </c>
      <c r="AE81" s="184" t="s">
        <v>2042</v>
      </c>
      <c r="AF81" s="184" t="s">
        <v>2042</v>
      </c>
      <c r="AG81" s="184" t="s">
        <v>2042</v>
      </c>
      <c r="AH81" s="184" t="s">
        <v>2042</v>
      </c>
      <c r="AI81" s="184" t="s">
        <v>2042</v>
      </c>
      <c r="AJ81" s="184" t="s">
        <v>2042</v>
      </c>
      <c r="AK81" s="184" t="s">
        <v>2042</v>
      </c>
      <c r="AL81" s="184" t="s">
        <v>2042</v>
      </c>
      <c r="AM81" s="184" t="s">
        <v>2042</v>
      </c>
      <c r="AN81" s="184" t="s">
        <v>2042</v>
      </c>
      <c r="AO81" s="184" t="s">
        <v>2042</v>
      </c>
      <c r="AP81" s="184" t="s">
        <v>2042</v>
      </c>
      <c r="AQ81" s="175"/>
    </row>
    <row r="82" spans="1:43" ht="14.5">
      <c r="A82" s="169"/>
      <c r="B82" s="170"/>
      <c r="C82" s="176" t="s">
        <v>1907</v>
      </c>
      <c r="D82" s="177"/>
      <c r="E82" s="178">
        <v>1</v>
      </c>
      <c r="F82" s="179"/>
      <c r="G82" s="186">
        <f>IF(C82="","",SUMIFS(MRP!$D$5:$D1000,MRP!$B$5:$B1000,C82))*E82</f>
        <v>0</v>
      </c>
      <c r="H82" s="181" t="s">
        <v>2041</v>
      </c>
      <c r="I82" s="182">
        <v>0</v>
      </c>
      <c r="J82" s="183" t="s">
        <v>2042</v>
      </c>
      <c r="K82" s="184" t="s">
        <v>2042</v>
      </c>
      <c r="L82" s="184" t="s">
        <v>2042</v>
      </c>
      <c r="M82" s="184" t="s">
        <v>2042</v>
      </c>
      <c r="N82" s="184" t="s">
        <v>2042</v>
      </c>
      <c r="O82" s="184" t="s">
        <v>2042</v>
      </c>
      <c r="P82" s="184" t="s">
        <v>2042</v>
      </c>
      <c r="Q82" s="184" t="s">
        <v>2042</v>
      </c>
      <c r="R82" s="184" t="s">
        <v>2042</v>
      </c>
      <c r="S82" s="184" t="s">
        <v>2042</v>
      </c>
      <c r="T82" s="184" t="s">
        <v>2042</v>
      </c>
      <c r="U82" s="184" t="s">
        <v>2042</v>
      </c>
      <c r="V82" s="184" t="s">
        <v>2042</v>
      </c>
      <c r="W82" s="184" t="s">
        <v>2042</v>
      </c>
      <c r="X82" s="184" t="s">
        <v>2042</v>
      </c>
      <c r="Y82" s="184" t="s">
        <v>2042</v>
      </c>
      <c r="Z82" s="184" t="s">
        <v>2042</v>
      </c>
      <c r="AA82" s="184" t="s">
        <v>2042</v>
      </c>
      <c r="AB82" s="184" t="s">
        <v>2042</v>
      </c>
      <c r="AC82" s="184" t="s">
        <v>2042</v>
      </c>
      <c r="AD82" s="184" t="s">
        <v>2042</v>
      </c>
      <c r="AE82" s="184" t="s">
        <v>2042</v>
      </c>
      <c r="AF82" s="184" t="s">
        <v>2042</v>
      </c>
      <c r="AG82" s="184" t="s">
        <v>2042</v>
      </c>
      <c r="AH82" s="184" t="s">
        <v>2042</v>
      </c>
      <c r="AI82" s="184" t="s">
        <v>2042</v>
      </c>
      <c r="AJ82" s="184" t="s">
        <v>2042</v>
      </c>
      <c r="AK82" s="184" t="s">
        <v>2042</v>
      </c>
      <c r="AL82" s="184" t="s">
        <v>2042</v>
      </c>
      <c r="AM82" s="184" t="s">
        <v>2042</v>
      </c>
      <c r="AN82" s="184" t="s">
        <v>2042</v>
      </c>
      <c r="AO82" s="184" t="s">
        <v>2042</v>
      </c>
      <c r="AP82" s="184" t="s">
        <v>2042</v>
      </c>
      <c r="AQ82" s="175"/>
    </row>
    <row r="83" spans="1:43" ht="14.5">
      <c r="A83" s="169"/>
      <c r="B83" s="170"/>
      <c r="C83" s="176" t="s">
        <v>1583</v>
      </c>
      <c r="D83" s="177"/>
      <c r="E83" s="178">
        <v>1</v>
      </c>
      <c r="F83" s="179"/>
      <c r="G83" s="186">
        <f>IF(C83="","",SUMIFS(MRP!$D$5:$D1000,MRP!$B$5:$B1000,C83))*E83</f>
        <v>0</v>
      </c>
      <c r="H83" s="181" t="s">
        <v>2041</v>
      </c>
      <c r="I83" s="182">
        <v>0</v>
      </c>
      <c r="J83" s="183" t="s">
        <v>2042</v>
      </c>
      <c r="K83" s="184" t="s">
        <v>2042</v>
      </c>
      <c r="L83" s="184" t="s">
        <v>2042</v>
      </c>
      <c r="M83" s="184" t="s">
        <v>2042</v>
      </c>
      <c r="N83" s="184" t="s">
        <v>2042</v>
      </c>
      <c r="O83" s="184" t="s">
        <v>2042</v>
      </c>
      <c r="P83" s="184" t="s">
        <v>2042</v>
      </c>
      <c r="Q83" s="184" t="s">
        <v>2042</v>
      </c>
      <c r="R83" s="184" t="s">
        <v>2042</v>
      </c>
      <c r="S83" s="184" t="s">
        <v>2042</v>
      </c>
      <c r="T83" s="184" t="s">
        <v>2042</v>
      </c>
      <c r="U83" s="184" t="s">
        <v>2042</v>
      </c>
      <c r="V83" s="184" t="s">
        <v>2042</v>
      </c>
      <c r="W83" s="184" t="s">
        <v>2042</v>
      </c>
      <c r="X83" s="184" t="s">
        <v>2042</v>
      </c>
      <c r="Y83" s="187" t="s">
        <v>2042</v>
      </c>
      <c r="Z83" s="184" t="s">
        <v>2042</v>
      </c>
      <c r="AA83" s="184" t="s">
        <v>2042</v>
      </c>
      <c r="AB83" s="184" t="s">
        <v>2042</v>
      </c>
      <c r="AC83" s="184" t="s">
        <v>2042</v>
      </c>
      <c r="AD83" s="184" t="s">
        <v>2042</v>
      </c>
      <c r="AE83" s="184" t="s">
        <v>2042</v>
      </c>
      <c r="AF83" s="184" t="s">
        <v>2042</v>
      </c>
      <c r="AG83" s="184" t="s">
        <v>2042</v>
      </c>
      <c r="AH83" s="184" t="s">
        <v>2042</v>
      </c>
      <c r="AI83" s="184" t="s">
        <v>2042</v>
      </c>
      <c r="AJ83" s="184" t="s">
        <v>2042</v>
      </c>
      <c r="AK83" s="184" t="s">
        <v>2042</v>
      </c>
      <c r="AL83" s="184" t="s">
        <v>2042</v>
      </c>
      <c r="AM83" s="184" t="s">
        <v>2042</v>
      </c>
      <c r="AN83" s="184" t="s">
        <v>2042</v>
      </c>
      <c r="AO83" s="184" t="s">
        <v>2042</v>
      </c>
      <c r="AP83" s="184" t="s">
        <v>2042</v>
      </c>
      <c r="AQ83" s="175"/>
    </row>
    <row r="84" spans="1:43" ht="14.5">
      <c r="A84" s="169"/>
      <c r="B84" s="170"/>
      <c r="C84" s="176" t="s">
        <v>1908</v>
      </c>
      <c r="D84" s="177"/>
      <c r="E84" s="178">
        <v>1</v>
      </c>
      <c r="F84" s="179"/>
      <c r="G84" s="186">
        <f>IF(C84="","",SUMIFS(MRP!$D$5:$D1000,MRP!$B$5:$B1000,C84))*E84</f>
        <v>0</v>
      </c>
      <c r="H84" s="181" t="s">
        <v>2041</v>
      </c>
      <c r="I84" s="182">
        <v>0</v>
      </c>
      <c r="J84" s="183" t="s">
        <v>2042</v>
      </c>
      <c r="K84" s="184" t="s">
        <v>2042</v>
      </c>
      <c r="L84" s="184" t="s">
        <v>2042</v>
      </c>
      <c r="M84" s="184" t="s">
        <v>2042</v>
      </c>
      <c r="N84" s="184" t="s">
        <v>2042</v>
      </c>
      <c r="O84" s="184" t="s">
        <v>2042</v>
      </c>
      <c r="P84" s="184" t="s">
        <v>2042</v>
      </c>
      <c r="Q84" s="184" t="s">
        <v>2042</v>
      </c>
      <c r="R84" s="184" t="s">
        <v>2042</v>
      </c>
      <c r="S84" s="184" t="s">
        <v>2042</v>
      </c>
      <c r="T84" s="184" t="s">
        <v>2042</v>
      </c>
      <c r="U84" s="184" t="s">
        <v>2042</v>
      </c>
      <c r="V84" s="184" t="s">
        <v>2042</v>
      </c>
      <c r="W84" s="184" t="s">
        <v>2042</v>
      </c>
      <c r="X84" s="184" t="s">
        <v>2042</v>
      </c>
      <c r="Y84" s="184" t="s">
        <v>2042</v>
      </c>
      <c r="Z84" s="184" t="s">
        <v>2042</v>
      </c>
      <c r="AA84" s="184" t="s">
        <v>2042</v>
      </c>
      <c r="AB84" s="184" t="s">
        <v>2042</v>
      </c>
      <c r="AC84" s="184" t="s">
        <v>2042</v>
      </c>
      <c r="AD84" s="184" t="s">
        <v>2042</v>
      </c>
      <c r="AE84" s="184" t="s">
        <v>2042</v>
      </c>
      <c r="AF84" s="184" t="s">
        <v>2042</v>
      </c>
      <c r="AG84" s="184" t="s">
        <v>2042</v>
      </c>
      <c r="AH84" s="184" t="s">
        <v>2042</v>
      </c>
      <c r="AI84" s="184" t="s">
        <v>2042</v>
      </c>
      <c r="AJ84" s="184" t="s">
        <v>2042</v>
      </c>
      <c r="AK84" s="184" t="s">
        <v>2042</v>
      </c>
      <c r="AL84" s="184" t="s">
        <v>2042</v>
      </c>
      <c r="AM84" s="184" t="s">
        <v>2042</v>
      </c>
      <c r="AN84" s="184" t="s">
        <v>2042</v>
      </c>
      <c r="AO84" s="184" t="s">
        <v>2042</v>
      </c>
      <c r="AP84" s="184" t="s">
        <v>2042</v>
      </c>
      <c r="AQ84" s="175"/>
    </row>
    <row r="85" spans="1:43" ht="14.5">
      <c r="A85" s="169"/>
      <c r="B85" s="170"/>
      <c r="C85" s="176" t="s">
        <v>1909</v>
      </c>
      <c r="D85" s="177"/>
      <c r="E85" s="178">
        <v>1</v>
      </c>
      <c r="F85" s="179"/>
      <c r="G85" s="186">
        <f>IF(C85="","",SUMIFS(MRP!$D$5:$D1000,MRP!$B$5:$B1000,C85))*E85</f>
        <v>0</v>
      </c>
      <c r="H85" s="181" t="s">
        <v>2041</v>
      </c>
      <c r="I85" s="182">
        <v>0</v>
      </c>
      <c r="J85" s="183" t="s">
        <v>2042</v>
      </c>
      <c r="K85" s="187" t="s">
        <v>2042</v>
      </c>
      <c r="L85" s="187" t="s">
        <v>2042</v>
      </c>
      <c r="M85" s="187" t="s">
        <v>2042</v>
      </c>
      <c r="N85" s="187" t="s">
        <v>2042</v>
      </c>
      <c r="O85" s="187" t="s">
        <v>2042</v>
      </c>
      <c r="P85" s="187" t="s">
        <v>2042</v>
      </c>
      <c r="Q85" s="187" t="s">
        <v>2042</v>
      </c>
      <c r="R85" s="187" t="s">
        <v>2042</v>
      </c>
      <c r="S85" s="187" t="s">
        <v>2042</v>
      </c>
      <c r="T85" s="187" t="s">
        <v>2042</v>
      </c>
      <c r="U85" s="187" t="s">
        <v>2042</v>
      </c>
      <c r="V85" s="187" t="s">
        <v>2042</v>
      </c>
      <c r="W85" s="187" t="s">
        <v>2042</v>
      </c>
      <c r="X85" s="187" t="s">
        <v>2042</v>
      </c>
      <c r="Y85" s="187" t="s">
        <v>2042</v>
      </c>
      <c r="Z85" s="187" t="s">
        <v>2042</v>
      </c>
      <c r="AA85" s="187" t="s">
        <v>2042</v>
      </c>
      <c r="AB85" s="187" t="s">
        <v>2042</v>
      </c>
      <c r="AC85" s="187" t="s">
        <v>2042</v>
      </c>
      <c r="AD85" s="187" t="s">
        <v>2042</v>
      </c>
      <c r="AE85" s="185" t="s">
        <v>2042</v>
      </c>
      <c r="AF85" s="185" t="s">
        <v>2042</v>
      </c>
      <c r="AG85" s="185" t="s">
        <v>2042</v>
      </c>
      <c r="AH85" s="185" t="s">
        <v>2042</v>
      </c>
      <c r="AI85" s="185" t="s">
        <v>2042</v>
      </c>
      <c r="AJ85" s="185" t="s">
        <v>2042</v>
      </c>
      <c r="AK85" s="185" t="s">
        <v>2042</v>
      </c>
      <c r="AL85" s="185" t="s">
        <v>2042</v>
      </c>
      <c r="AM85" s="185" t="s">
        <v>2042</v>
      </c>
      <c r="AN85" s="185" t="s">
        <v>2042</v>
      </c>
      <c r="AO85" s="185" t="s">
        <v>2042</v>
      </c>
      <c r="AP85" s="185" t="s">
        <v>2042</v>
      </c>
      <c r="AQ85" s="175"/>
    </row>
    <row r="86" spans="1:43" ht="14.5">
      <c r="A86" s="169"/>
      <c r="B86" s="170"/>
      <c r="C86" s="176" t="s">
        <v>1613</v>
      </c>
      <c r="D86" s="177"/>
      <c r="E86" s="178">
        <v>1</v>
      </c>
      <c r="F86" s="179"/>
      <c r="G86" s="186">
        <f>IF(C86="","",SUMIFS(MRP!$D$5:$D1000,MRP!$B$5:$B1000,C86))*E86</f>
        <v>0</v>
      </c>
      <c r="H86" s="181" t="s">
        <v>2041</v>
      </c>
      <c r="I86" s="182">
        <v>0</v>
      </c>
      <c r="J86" s="183" t="s">
        <v>2042</v>
      </c>
      <c r="K86" s="187" t="s">
        <v>2042</v>
      </c>
      <c r="L86" s="187" t="s">
        <v>2042</v>
      </c>
      <c r="M86" s="187" t="s">
        <v>2042</v>
      </c>
      <c r="N86" s="187" t="s">
        <v>2042</v>
      </c>
      <c r="O86" s="187" t="s">
        <v>2042</v>
      </c>
      <c r="P86" s="187" t="s">
        <v>2042</v>
      </c>
      <c r="Q86" s="187" t="s">
        <v>2042</v>
      </c>
      <c r="R86" s="187" t="s">
        <v>2042</v>
      </c>
      <c r="S86" s="187" t="s">
        <v>2042</v>
      </c>
      <c r="T86" s="187" t="s">
        <v>2042</v>
      </c>
      <c r="U86" s="187" t="s">
        <v>2042</v>
      </c>
      <c r="V86" s="187" t="s">
        <v>2042</v>
      </c>
      <c r="W86" s="187" t="s">
        <v>2042</v>
      </c>
      <c r="X86" s="187" t="s">
        <v>2042</v>
      </c>
      <c r="Y86" s="187" t="s">
        <v>2042</v>
      </c>
      <c r="Z86" s="187" t="s">
        <v>2042</v>
      </c>
      <c r="AA86" s="187" t="s">
        <v>2042</v>
      </c>
      <c r="AB86" s="187" t="s">
        <v>2042</v>
      </c>
      <c r="AC86" s="187" t="s">
        <v>2042</v>
      </c>
      <c r="AD86" s="187" t="s">
        <v>2042</v>
      </c>
      <c r="AE86" s="187" t="s">
        <v>2042</v>
      </c>
      <c r="AF86" s="187" t="s">
        <v>2042</v>
      </c>
      <c r="AG86" s="187" t="s">
        <v>2042</v>
      </c>
      <c r="AH86" s="187" t="s">
        <v>2042</v>
      </c>
      <c r="AI86" s="187" t="s">
        <v>2042</v>
      </c>
      <c r="AJ86" s="187" t="s">
        <v>2042</v>
      </c>
      <c r="AK86" s="187" t="s">
        <v>2042</v>
      </c>
      <c r="AL86" s="187" t="s">
        <v>2042</v>
      </c>
      <c r="AM86" s="187" t="s">
        <v>2042</v>
      </c>
      <c r="AN86" s="187" t="s">
        <v>2042</v>
      </c>
      <c r="AO86" s="187" t="s">
        <v>2042</v>
      </c>
      <c r="AP86" s="187" t="s">
        <v>2042</v>
      </c>
      <c r="AQ86" s="175"/>
    </row>
    <row r="87" spans="1:43" ht="14.5">
      <c r="A87" s="169"/>
      <c r="B87" s="170"/>
      <c r="C87" s="176" t="s">
        <v>1461</v>
      </c>
      <c r="D87" s="177"/>
      <c r="E87" s="178">
        <v>1</v>
      </c>
      <c r="F87" s="179"/>
      <c r="G87" s="186">
        <f>IF(C87="","",SUMIFS(MRP!$D$5:$D1000,MRP!$B$5:$B1000,C87))*E87</f>
        <v>0</v>
      </c>
      <c r="H87" s="181" t="s">
        <v>2041</v>
      </c>
      <c r="I87" s="182">
        <v>0</v>
      </c>
      <c r="J87" s="183" t="s">
        <v>2042</v>
      </c>
      <c r="K87" s="184" t="s">
        <v>2042</v>
      </c>
      <c r="L87" s="184" t="s">
        <v>2042</v>
      </c>
      <c r="M87" s="184" t="s">
        <v>2042</v>
      </c>
      <c r="N87" s="184" t="s">
        <v>2042</v>
      </c>
      <c r="O87" s="184" t="s">
        <v>2042</v>
      </c>
      <c r="P87" s="184" t="s">
        <v>2042</v>
      </c>
      <c r="Q87" s="184" t="s">
        <v>2042</v>
      </c>
      <c r="R87" s="184" t="s">
        <v>2042</v>
      </c>
      <c r="S87" s="184" t="s">
        <v>2042</v>
      </c>
      <c r="T87" s="184" t="s">
        <v>2042</v>
      </c>
      <c r="U87" s="184" t="s">
        <v>2042</v>
      </c>
      <c r="V87" s="184" t="s">
        <v>2042</v>
      </c>
      <c r="W87" s="184" t="s">
        <v>2042</v>
      </c>
      <c r="X87" s="184" t="s">
        <v>2042</v>
      </c>
      <c r="Y87" s="184" t="s">
        <v>2042</v>
      </c>
      <c r="Z87" s="184" t="s">
        <v>2042</v>
      </c>
      <c r="AA87" s="184" t="s">
        <v>2042</v>
      </c>
      <c r="AB87" s="184" t="s">
        <v>2042</v>
      </c>
      <c r="AC87" s="184" t="s">
        <v>2042</v>
      </c>
      <c r="AD87" s="184" t="s">
        <v>2042</v>
      </c>
      <c r="AE87" s="184" t="s">
        <v>2042</v>
      </c>
      <c r="AF87" s="184" t="s">
        <v>2042</v>
      </c>
      <c r="AG87" s="184" t="s">
        <v>2042</v>
      </c>
      <c r="AH87" s="184" t="s">
        <v>2042</v>
      </c>
      <c r="AI87" s="184" t="s">
        <v>2042</v>
      </c>
      <c r="AJ87" s="184" t="s">
        <v>2042</v>
      </c>
      <c r="AK87" s="184" t="s">
        <v>2042</v>
      </c>
      <c r="AL87" s="184" t="s">
        <v>2042</v>
      </c>
      <c r="AM87" s="184" t="s">
        <v>2042</v>
      </c>
      <c r="AN87" s="184" t="s">
        <v>2042</v>
      </c>
      <c r="AO87" s="184" t="s">
        <v>2042</v>
      </c>
      <c r="AP87" s="184" t="s">
        <v>2042</v>
      </c>
      <c r="AQ87" s="175"/>
    </row>
    <row r="88" spans="1:43" ht="14.5">
      <c r="A88" s="169"/>
      <c r="B88" s="170"/>
      <c r="C88" s="176" t="s">
        <v>1910</v>
      </c>
      <c r="D88" s="177"/>
      <c r="E88" s="178">
        <v>1</v>
      </c>
      <c r="F88" s="179"/>
      <c r="G88" s="186">
        <f>IF(C88="","",SUMIFS(MRP!$D$5:$D1000,MRP!$B$5:$B1000,C88))*E88</f>
        <v>0</v>
      </c>
      <c r="H88" s="181" t="s">
        <v>2041</v>
      </c>
      <c r="I88" s="182">
        <v>0</v>
      </c>
      <c r="J88" s="183" t="s">
        <v>2042</v>
      </c>
      <c r="K88" s="184" t="s">
        <v>2042</v>
      </c>
      <c r="L88" s="184" t="s">
        <v>2042</v>
      </c>
      <c r="M88" s="184" t="s">
        <v>2042</v>
      </c>
      <c r="N88" s="184" t="s">
        <v>2042</v>
      </c>
      <c r="O88" s="184" t="s">
        <v>2042</v>
      </c>
      <c r="P88" s="184" t="s">
        <v>2042</v>
      </c>
      <c r="Q88" s="184" t="s">
        <v>2042</v>
      </c>
      <c r="R88" s="184" t="s">
        <v>2042</v>
      </c>
      <c r="S88" s="184" t="s">
        <v>2042</v>
      </c>
      <c r="T88" s="184" t="s">
        <v>2042</v>
      </c>
      <c r="U88" s="184" t="s">
        <v>2042</v>
      </c>
      <c r="V88" s="184" t="s">
        <v>2042</v>
      </c>
      <c r="W88" s="185" t="s">
        <v>2042</v>
      </c>
      <c r="X88" s="185" t="s">
        <v>2042</v>
      </c>
      <c r="Y88" s="184" t="s">
        <v>2042</v>
      </c>
      <c r="Z88" s="184" t="s">
        <v>2042</v>
      </c>
      <c r="AA88" s="184" t="s">
        <v>2042</v>
      </c>
      <c r="AB88" s="184" t="s">
        <v>2042</v>
      </c>
      <c r="AC88" s="184" t="s">
        <v>2042</v>
      </c>
      <c r="AD88" s="184" t="s">
        <v>2042</v>
      </c>
      <c r="AE88" s="184" t="s">
        <v>2042</v>
      </c>
      <c r="AF88" s="184" t="s">
        <v>2042</v>
      </c>
      <c r="AG88" s="184" t="s">
        <v>2042</v>
      </c>
      <c r="AH88" s="184" t="s">
        <v>2042</v>
      </c>
      <c r="AI88" s="184" t="s">
        <v>2042</v>
      </c>
      <c r="AJ88" s="184" t="s">
        <v>2042</v>
      </c>
      <c r="AK88" s="184" t="s">
        <v>2042</v>
      </c>
      <c r="AL88" s="184" t="s">
        <v>2042</v>
      </c>
      <c r="AM88" s="184" t="s">
        <v>2042</v>
      </c>
      <c r="AN88" s="184" t="s">
        <v>2042</v>
      </c>
      <c r="AO88" s="184" t="s">
        <v>2042</v>
      </c>
      <c r="AP88" s="184" t="s">
        <v>2042</v>
      </c>
      <c r="AQ88" s="175"/>
    </row>
    <row r="89" spans="1:43" ht="14.5">
      <c r="A89" s="169"/>
      <c r="B89" s="170"/>
      <c r="C89" s="176" t="s">
        <v>679</v>
      </c>
      <c r="D89" s="177"/>
      <c r="E89" s="178">
        <v>1</v>
      </c>
      <c r="F89" s="179"/>
      <c r="G89" s="186">
        <f>IF(C89="","",SUMIFS(MRP!$D$5:$D1000,MRP!$B$5:$B1000,C89))*E89</f>
        <v>0</v>
      </c>
      <c r="H89" s="181" t="s">
        <v>2041</v>
      </c>
      <c r="I89" s="182">
        <v>0</v>
      </c>
      <c r="J89" s="183" t="s">
        <v>2042</v>
      </c>
      <c r="K89" s="184" t="s">
        <v>2042</v>
      </c>
      <c r="L89" s="184" t="s">
        <v>2042</v>
      </c>
      <c r="M89" s="184" t="s">
        <v>2042</v>
      </c>
      <c r="N89" s="184" t="s">
        <v>2042</v>
      </c>
      <c r="O89" s="184" t="s">
        <v>2042</v>
      </c>
      <c r="P89" s="184" t="s">
        <v>2042</v>
      </c>
      <c r="Q89" s="184" t="s">
        <v>2042</v>
      </c>
      <c r="R89" s="184" t="s">
        <v>2042</v>
      </c>
      <c r="S89" s="184" t="s">
        <v>2042</v>
      </c>
      <c r="T89" s="184" t="s">
        <v>2042</v>
      </c>
      <c r="U89" s="184" t="s">
        <v>2042</v>
      </c>
      <c r="V89" s="184" t="s">
        <v>2042</v>
      </c>
      <c r="W89" s="184" t="s">
        <v>2042</v>
      </c>
      <c r="X89" s="184" t="s">
        <v>2042</v>
      </c>
      <c r="Y89" s="184" t="s">
        <v>2042</v>
      </c>
      <c r="Z89" s="184" t="s">
        <v>2042</v>
      </c>
      <c r="AA89" s="184" t="s">
        <v>2042</v>
      </c>
      <c r="AB89" s="184" t="s">
        <v>2042</v>
      </c>
      <c r="AC89" s="184" t="s">
        <v>2042</v>
      </c>
      <c r="AD89" s="184" t="s">
        <v>2042</v>
      </c>
      <c r="AE89" s="184" t="s">
        <v>2042</v>
      </c>
      <c r="AF89" s="184" t="s">
        <v>2042</v>
      </c>
      <c r="AG89" s="184" t="s">
        <v>2042</v>
      </c>
      <c r="AH89" s="184" t="s">
        <v>2042</v>
      </c>
      <c r="AI89" s="184" t="s">
        <v>2042</v>
      </c>
      <c r="AJ89" s="184" t="s">
        <v>2042</v>
      </c>
      <c r="AK89" s="184" t="s">
        <v>2042</v>
      </c>
      <c r="AL89" s="184" t="s">
        <v>2042</v>
      </c>
      <c r="AM89" s="184" t="s">
        <v>2042</v>
      </c>
      <c r="AN89" s="184" t="s">
        <v>2042</v>
      </c>
      <c r="AO89" s="184" t="s">
        <v>2042</v>
      </c>
      <c r="AP89" s="184" t="s">
        <v>2042</v>
      </c>
      <c r="AQ89" s="175"/>
    </row>
    <row r="90" spans="1:43" ht="14.5">
      <c r="A90" s="169"/>
      <c r="B90" s="170"/>
      <c r="C90" s="176" t="s">
        <v>1911</v>
      </c>
      <c r="D90" s="177"/>
      <c r="E90" s="178">
        <v>1</v>
      </c>
      <c r="F90" s="179"/>
      <c r="G90" s="186">
        <f>IF(C90="","",SUMIFS(MRP!$D$5:$D1000,MRP!$B$5:$B1000,C90))*E90</f>
        <v>0</v>
      </c>
      <c r="H90" s="181" t="s">
        <v>2041</v>
      </c>
      <c r="I90" s="182">
        <v>0</v>
      </c>
      <c r="J90" s="183" t="s">
        <v>2042</v>
      </c>
      <c r="K90" s="185" t="s">
        <v>2042</v>
      </c>
      <c r="L90" s="185" t="s">
        <v>2042</v>
      </c>
      <c r="M90" s="185" t="s">
        <v>2042</v>
      </c>
      <c r="N90" s="185" t="s">
        <v>2042</v>
      </c>
      <c r="O90" s="185" t="s">
        <v>2042</v>
      </c>
      <c r="P90" s="185" t="s">
        <v>2042</v>
      </c>
      <c r="Q90" s="185" t="s">
        <v>2042</v>
      </c>
      <c r="R90" s="185" t="s">
        <v>2042</v>
      </c>
      <c r="S90" s="185" t="s">
        <v>2042</v>
      </c>
      <c r="T90" s="185" t="s">
        <v>2042</v>
      </c>
      <c r="U90" s="185" t="s">
        <v>2042</v>
      </c>
      <c r="V90" s="185" t="s">
        <v>2042</v>
      </c>
      <c r="W90" s="185" t="s">
        <v>2042</v>
      </c>
      <c r="X90" s="185" t="s">
        <v>2042</v>
      </c>
      <c r="Y90" s="185" t="s">
        <v>2042</v>
      </c>
      <c r="Z90" s="185" t="s">
        <v>2042</v>
      </c>
      <c r="AA90" s="185" t="s">
        <v>2042</v>
      </c>
      <c r="AB90" s="185" t="s">
        <v>2042</v>
      </c>
      <c r="AC90" s="185" t="s">
        <v>2042</v>
      </c>
      <c r="AD90" s="185" t="s">
        <v>2042</v>
      </c>
      <c r="AE90" s="185" t="s">
        <v>2042</v>
      </c>
      <c r="AF90" s="185" t="s">
        <v>2042</v>
      </c>
      <c r="AG90" s="185" t="s">
        <v>2042</v>
      </c>
      <c r="AH90" s="185" t="s">
        <v>2042</v>
      </c>
      <c r="AI90" s="185" t="s">
        <v>2042</v>
      </c>
      <c r="AJ90" s="185" t="s">
        <v>2042</v>
      </c>
      <c r="AK90" s="185" t="s">
        <v>2042</v>
      </c>
      <c r="AL90" s="185" t="s">
        <v>2042</v>
      </c>
      <c r="AM90" s="185" t="s">
        <v>2042</v>
      </c>
      <c r="AN90" s="185" t="s">
        <v>2042</v>
      </c>
      <c r="AO90" s="185" t="s">
        <v>2042</v>
      </c>
      <c r="AP90" s="185" t="s">
        <v>2042</v>
      </c>
      <c r="AQ90" s="175"/>
    </row>
    <row r="91" spans="1:43" ht="14.5">
      <c r="A91" s="169"/>
      <c r="B91" s="170"/>
      <c r="C91" s="176" t="s">
        <v>1912</v>
      </c>
      <c r="D91" s="177"/>
      <c r="E91" s="178">
        <v>1</v>
      </c>
      <c r="F91" s="179"/>
      <c r="G91" s="186">
        <f>IF(C91="","",SUMIFS(MRP!$D$5:$D1000,MRP!$B$5:$B1000,C91))*E91</f>
        <v>0</v>
      </c>
      <c r="H91" s="181" t="s">
        <v>2041</v>
      </c>
      <c r="I91" s="182">
        <v>0</v>
      </c>
      <c r="J91" s="183" t="s">
        <v>2042</v>
      </c>
      <c r="K91" s="187" t="s">
        <v>2042</v>
      </c>
      <c r="L91" s="187" t="s">
        <v>2042</v>
      </c>
      <c r="M91" s="187" t="s">
        <v>2042</v>
      </c>
      <c r="N91" s="187" t="s">
        <v>2042</v>
      </c>
      <c r="O91" s="187" t="s">
        <v>2042</v>
      </c>
      <c r="P91" s="187" t="s">
        <v>2042</v>
      </c>
      <c r="Q91" s="187" t="s">
        <v>2042</v>
      </c>
      <c r="R91" s="187" t="s">
        <v>2042</v>
      </c>
      <c r="S91" s="187" t="s">
        <v>2042</v>
      </c>
      <c r="T91" s="187" t="s">
        <v>2042</v>
      </c>
      <c r="U91" s="187" t="s">
        <v>2042</v>
      </c>
      <c r="V91" s="187" t="s">
        <v>2042</v>
      </c>
      <c r="W91" s="187" t="s">
        <v>2042</v>
      </c>
      <c r="X91" s="187" t="s">
        <v>2042</v>
      </c>
      <c r="Y91" s="187" t="s">
        <v>2042</v>
      </c>
      <c r="Z91" s="187" t="s">
        <v>2042</v>
      </c>
      <c r="AA91" s="187" t="s">
        <v>2042</v>
      </c>
      <c r="AB91" s="187" t="s">
        <v>2042</v>
      </c>
      <c r="AC91" s="187" t="s">
        <v>2042</v>
      </c>
      <c r="AD91" s="187" t="s">
        <v>2042</v>
      </c>
      <c r="AE91" s="187" t="s">
        <v>2042</v>
      </c>
      <c r="AF91" s="187" t="s">
        <v>2042</v>
      </c>
      <c r="AG91" s="187" t="s">
        <v>2042</v>
      </c>
      <c r="AH91" s="187" t="s">
        <v>2042</v>
      </c>
      <c r="AI91" s="187" t="s">
        <v>2042</v>
      </c>
      <c r="AJ91" s="187" t="s">
        <v>2042</v>
      </c>
      <c r="AK91" s="187" t="s">
        <v>2042</v>
      </c>
      <c r="AL91" s="187" t="s">
        <v>2042</v>
      </c>
      <c r="AM91" s="187" t="s">
        <v>2042</v>
      </c>
      <c r="AN91" s="187" t="s">
        <v>2042</v>
      </c>
      <c r="AO91" s="187" t="s">
        <v>2042</v>
      </c>
      <c r="AP91" s="187" t="s">
        <v>2042</v>
      </c>
      <c r="AQ91" s="175"/>
    </row>
    <row r="92" spans="1:43" ht="14.5">
      <c r="A92" s="169"/>
      <c r="B92" s="170"/>
      <c r="C92" s="176" t="s">
        <v>653</v>
      </c>
      <c r="D92" s="177"/>
      <c r="E92" s="178">
        <v>1</v>
      </c>
      <c r="F92" s="179"/>
      <c r="G92" s="186">
        <f>IF(C92="","",SUMIFS(MRP!$D$5:$D1000,MRP!$B$5:$B1000,C92))*E92</f>
        <v>0</v>
      </c>
      <c r="H92" s="181" t="s">
        <v>2041</v>
      </c>
      <c r="I92" s="182">
        <v>0</v>
      </c>
      <c r="J92" s="183" t="s">
        <v>2042</v>
      </c>
      <c r="K92" s="184" t="s">
        <v>2042</v>
      </c>
      <c r="L92" s="184" t="s">
        <v>2042</v>
      </c>
      <c r="M92" s="184" t="s">
        <v>2042</v>
      </c>
      <c r="N92" s="184" t="s">
        <v>2042</v>
      </c>
      <c r="O92" s="184" t="s">
        <v>2042</v>
      </c>
      <c r="P92" s="184" t="s">
        <v>2042</v>
      </c>
      <c r="Q92" s="184" t="s">
        <v>2042</v>
      </c>
      <c r="R92" s="184" t="s">
        <v>2042</v>
      </c>
      <c r="S92" s="184" t="s">
        <v>2042</v>
      </c>
      <c r="T92" s="184" t="s">
        <v>2042</v>
      </c>
      <c r="U92" s="184" t="s">
        <v>2042</v>
      </c>
      <c r="V92" s="184" t="s">
        <v>2042</v>
      </c>
      <c r="W92" s="184" t="s">
        <v>2042</v>
      </c>
      <c r="X92" s="184" t="s">
        <v>2042</v>
      </c>
      <c r="Y92" s="184" t="s">
        <v>2042</v>
      </c>
      <c r="Z92" s="184" t="s">
        <v>2042</v>
      </c>
      <c r="AA92" s="184" t="s">
        <v>2042</v>
      </c>
      <c r="AB92" s="184" t="s">
        <v>2042</v>
      </c>
      <c r="AC92" s="184" t="s">
        <v>2042</v>
      </c>
      <c r="AD92" s="184" t="s">
        <v>2042</v>
      </c>
      <c r="AE92" s="184" t="s">
        <v>2042</v>
      </c>
      <c r="AF92" s="184" t="s">
        <v>2042</v>
      </c>
      <c r="AG92" s="184" t="s">
        <v>2042</v>
      </c>
      <c r="AH92" s="184" t="s">
        <v>2042</v>
      </c>
      <c r="AI92" s="184" t="s">
        <v>2042</v>
      </c>
      <c r="AJ92" s="184" t="s">
        <v>2042</v>
      </c>
      <c r="AK92" s="184" t="s">
        <v>2042</v>
      </c>
      <c r="AL92" s="184" t="s">
        <v>2042</v>
      </c>
      <c r="AM92" s="184" t="s">
        <v>2042</v>
      </c>
      <c r="AN92" s="184" t="s">
        <v>2042</v>
      </c>
      <c r="AO92" s="184" t="s">
        <v>2042</v>
      </c>
      <c r="AP92" s="184" t="s">
        <v>2042</v>
      </c>
      <c r="AQ92" s="175"/>
    </row>
    <row r="93" spans="1:43" ht="14.5">
      <c r="A93" s="169"/>
      <c r="B93" s="170"/>
      <c r="C93" s="176" t="s">
        <v>120</v>
      </c>
      <c r="D93" s="177"/>
      <c r="E93" s="178">
        <v>1</v>
      </c>
      <c r="F93" s="179"/>
      <c r="G93" s="186">
        <f>IF(C93="","",SUMIFS(MRP!$D$5:$D1000,MRP!$B$5:$B1000,C93))*E93</f>
        <v>0</v>
      </c>
      <c r="H93" s="181" t="s">
        <v>2041</v>
      </c>
      <c r="I93" s="182">
        <v>0</v>
      </c>
      <c r="J93" s="183" t="s">
        <v>2042</v>
      </c>
      <c r="K93" s="184" t="s">
        <v>2042</v>
      </c>
      <c r="L93" s="184" t="s">
        <v>2042</v>
      </c>
      <c r="M93" s="184" t="s">
        <v>2042</v>
      </c>
      <c r="N93" s="184" t="s">
        <v>2042</v>
      </c>
      <c r="O93" s="184" t="s">
        <v>2042</v>
      </c>
      <c r="P93" s="184" t="s">
        <v>2042</v>
      </c>
      <c r="Q93" s="184" t="s">
        <v>2042</v>
      </c>
      <c r="R93" s="184" t="s">
        <v>2042</v>
      </c>
      <c r="S93" s="184" t="s">
        <v>2042</v>
      </c>
      <c r="T93" s="184" t="s">
        <v>2042</v>
      </c>
      <c r="U93" s="184" t="s">
        <v>2042</v>
      </c>
      <c r="V93" s="184" t="s">
        <v>2042</v>
      </c>
      <c r="W93" s="184" t="s">
        <v>2042</v>
      </c>
      <c r="X93" s="184" t="s">
        <v>2042</v>
      </c>
      <c r="Y93" s="184" t="s">
        <v>2042</v>
      </c>
      <c r="Z93" s="184" t="s">
        <v>2042</v>
      </c>
      <c r="AA93" s="184" t="s">
        <v>2042</v>
      </c>
      <c r="AB93" s="184" t="s">
        <v>2042</v>
      </c>
      <c r="AC93" s="184" t="s">
        <v>2042</v>
      </c>
      <c r="AD93" s="184" t="s">
        <v>2042</v>
      </c>
      <c r="AE93" s="184" t="s">
        <v>2042</v>
      </c>
      <c r="AF93" s="184" t="s">
        <v>2042</v>
      </c>
      <c r="AG93" s="184" t="s">
        <v>2042</v>
      </c>
      <c r="AH93" s="184" t="s">
        <v>2042</v>
      </c>
      <c r="AI93" s="184" t="s">
        <v>2042</v>
      </c>
      <c r="AJ93" s="184" t="s">
        <v>2042</v>
      </c>
      <c r="AK93" s="184" t="s">
        <v>2042</v>
      </c>
      <c r="AL93" s="184" t="s">
        <v>2042</v>
      </c>
      <c r="AM93" s="184" t="s">
        <v>2042</v>
      </c>
      <c r="AN93" s="184" t="s">
        <v>2042</v>
      </c>
      <c r="AO93" s="184" t="s">
        <v>2042</v>
      </c>
      <c r="AP93" s="184" t="s">
        <v>2042</v>
      </c>
      <c r="AQ93" s="175"/>
    </row>
    <row r="94" spans="1:43" ht="14.5">
      <c r="A94" s="169"/>
      <c r="B94" s="170"/>
      <c r="C94" s="176" t="s">
        <v>1913</v>
      </c>
      <c r="D94" s="177"/>
      <c r="E94" s="178">
        <v>1</v>
      </c>
      <c r="F94" s="179"/>
      <c r="G94" s="186">
        <f>IF(C94="","",SUMIFS(MRP!$D$5:$D1000,MRP!$B$5:$B1000,C94))*E94</f>
        <v>0</v>
      </c>
      <c r="H94" s="181" t="s">
        <v>2041</v>
      </c>
      <c r="I94" s="182">
        <v>0</v>
      </c>
      <c r="J94" s="183" t="s">
        <v>2042</v>
      </c>
      <c r="K94" s="185" t="s">
        <v>2042</v>
      </c>
      <c r="L94" s="185" t="s">
        <v>2042</v>
      </c>
      <c r="M94" s="185" t="s">
        <v>2042</v>
      </c>
      <c r="N94" s="185" t="s">
        <v>2042</v>
      </c>
      <c r="O94" s="185" t="s">
        <v>2042</v>
      </c>
      <c r="P94" s="185" t="s">
        <v>2042</v>
      </c>
      <c r="Q94" s="185" t="s">
        <v>2042</v>
      </c>
      <c r="R94" s="185" t="s">
        <v>2042</v>
      </c>
      <c r="S94" s="185" t="s">
        <v>2042</v>
      </c>
      <c r="T94" s="185" t="s">
        <v>2042</v>
      </c>
      <c r="U94" s="185" t="s">
        <v>2042</v>
      </c>
      <c r="V94" s="185" t="s">
        <v>2042</v>
      </c>
      <c r="W94" s="185" t="s">
        <v>2042</v>
      </c>
      <c r="X94" s="185" t="s">
        <v>2042</v>
      </c>
      <c r="Y94" s="185" t="s">
        <v>2042</v>
      </c>
      <c r="Z94" s="185" t="s">
        <v>2042</v>
      </c>
      <c r="AA94" s="185" t="s">
        <v>2042</v>
      </c>
      <c r="AB94" s="185" t="s">
        <v>2042</v>
      </c>
      <c r="AC94" s="185" t="s">
        <v>2042</v>
      </c>
      <c r="AD94" s="185" t="s">
        <v>2042</v>
      </c>
      <c r="AE94" s="185" t="s">
        <v>2042</v>
      </c>
      <c r="AF94" s="185" t="s">
        <v>2042</v>
      </c>
      <c r="AG94" s="185" t="s">
        <v>2042</v>
      </c>
      <c r="AH94" s="185" t="s">
        <v>2042</v>
      </c>
      <c r="AI94" s="185" t="s">
        <v>2042</v>
      </c>
      <c r="AJ94" s="185" t="s">
        <v>2042</v>
      </c>
      <c r="AK94" s="185" t="s">
        <v>2042</v>
      </c>
      <c r="AL94" s="185" t="s">
        <v>2042</v>
      </c>
      <c r="AM94" s="185" t="s">
        <v>2042</v>
      </c>
      <c r="AN94" s="185" t="s">
        <v>2042</v>
      </c>
      <c r="AO94" s="185" t="s">
        <v>2042</v>
      </c>
      <c r="AP94" s="185" t="s">
        <v>2042</v>
      </c>
      <c r="AQ94" s="175"/>
    </row>
    <row r="95" spans="1:43" ht="14.5">
      <c r="A95" s="169"/>
      <c r="B95" s="170"/>
      <c r="C95" s="176" t="s">
        <v>1914</v>
      </c>
      <c r="D95" s="177"/>
      <c r="E95" s="178">
        <v>1</v>
      </c>
      <c r="F95" s="179"/>
      <c r="G95" s="186">
        <f>IF(C95="","",SUMIFS(MRP!$D$5:$D1000,MRP!$B$5:$B1000,C95))*E95</f>
        <v>0</v>
      </c>
      <c r="H95" s="181" t="s">
        <v>2041</v>
      </c>
      <c r="I95" s="182">
        <v>0</v>
      </c>
      <c r="J95" s="183" t="s">
        <v>2042</v>
      </c>
      <c r="K95" s="184" t="s">
        <v>2042</v>
      </c>
      <c r="L95" s="184" t="s">
        <v>2042</v>
      </c>
      <c r="M95" s="184" t="s">
        <v>2042</v>
      </c>
      <c r="N95" s="184" t="s">
        <v>2042</v>
      </c>
      <c r="O95" s="184" t="s">
        <v>2042</v>
      </c>
      <c r="P95" s="184" t="s">
        <v>2042</v>
      </c>
      <c r="Q95" s="184" t="s">
        <v>2042</v>
      </c>
      <c r="R95" s="184" t="s">
        <v>2042</v>
      </c>
      <c r="S95" s="184" t="s">
        <v>2042</v>
      </c>
      <c r="T95" s="184" t="s">
        <v>2042</v>
      </c>
      <c r="U95" s="184" t="s">
        <v>2042</v>
      </c>
      <c r="V95" s="184" t="s">
        <v>2042</v>
      </c>
      <c r="W95" s="184" t="s">
        <v>2042</v>
      </c>
      <c r="X95" s="184" t="s">
        <v>2042</v>
      </c>
      <c r="Y95" s="184" t="s">
        <v>2042</v>
      </c>
      <c r="Z95" s="184" t="s">
        <v>2042</v>
      </c>
      <c r="AA95" s="184" t="s">
        <v>2042</v>
      </c>
      <c r="AB95" s="184" t="s">
        <v>2042</v>
      </c>
      <c r="AC95" s="184" t="s">
        <v>2042</v>
      </c>
      <c r="AD95" s="185" t="s">
        <v>2042</v>
      </c>
      <c r="AE95" s="185" t="s">
        <v>2042</v>
      </c>
      <c r="AF95" s="185" t="s">
        <v>2042</v>
      </c>
      <c r="AG95" s="185" t="s">
        <v>2042</v>
      </c>
      <c r="AH95" s="185" t="s">
        <v>2042</v>
      </c>
      <c r="AI95" s="185" t="s">
        <v>2042</v>
      </c>
      <c r="AJ95" s="185" t="s">
        <v>2042</v>
      </c>
      <c r="AK95" s="185" t="s">
        <v>2042</v>
      </c>
      <c r="AL95" s="185" t="s">
        <v>2042</v>
      </c>
      <c r="AM95" s="185" t="s">
        <v>2042</v>
      </c>
      <c r="AN95" s="185" t="s">
        <v>2042</v>
      </c>
      <c r="AO95" s="185" t="s">
        <v>2042</v>
      </c>
      <c r="AP95" s="185" t="s">
        <v>2042</v>
      </c>
      <c r="AQ95" s="175"/>
    </row>
    <row r="96" spans="1:43" ht="14.5">
      <c r="A96" s="169"/>
      <c r="B96" s="170"/>
      <c r="C96" s="176" t="s">
        <v>1046</v>
      </c>
      <c r="D96" s="177"/>
      <c r="E96" s="178">
        <v>1</v>
      </c>
      <c r="F96" s="179"/>
      <c r="G96" s="186">
        <f>IF(C96="","",SUMIFS(MRP!$D$5:$D1000,MRP!$B$5:$B1000,C96))*E96</f>
        <v>0</v>
      </c>
      <c r="H96" s="181" t="s">
        <v>2041</v>
      </c>
      <c r="I96" s="182">
        <v>0</v>
      </c>
      <c r="J96" s="183" t="s">
        <v>2042</v>
      </c>
      <c r="K96" s="184" t="s">
        <v>2042</v>
      </c>
      <c r="L96" s="185" t="s">
        <v>2042</v>
      </c>
      <c r="M96" s="184" t="s">
        <v>2042</v>
      </c>
      <c r="N96" s="184" t="s">
        <v>2042</v>
      </c>
      <c r="O96" s="185" t="s">
        <v>2042</v>
      </c>
      <c r="P96" s="184" t="s">
        <v>2042</v>
      </c>
      <c r="Q96" s="184" t="s">
        <v>2042</v>
      </c>
      <c r="R96" s="185" t="s">
        <v>2042</v>
      </c>
      <c r="S96" s="187" t="s">
        <v>2042</v>
      </c>
      <c r="T96" s="185" t="s">
        <v>2042</v>
      </c>
      <c r="U96" s="187" t="s">
        <v>2042</v>
      </c>
      <c r="V96" s="185" t="s">
        <v>2042</v>
      </c>
      <c r="W96" s="187" t="s">
        <v>2042</v>
      </c>
      <c r="X96" s="185" t="s">
        <v>2042</v>
      </c>
      <c r="Y96" s="187" t="s">
        <v>2042</v>
      </c>
      <c r="Z96" s="187" t="s">
        <v>2042</v>
      </c>
      <c r="AA96" s="187" t="s">
        <v>2042</v>
      </c>
      <c r="AB96" s="187" t="s">
        <v>2042</v>
      </c>
      <c r="AC96" s="187" t="s">
        <v>2042</v>
      </c>
      <c r="AD96" s="185" t="s">
        <v>2042</v>
      </c>
      <c r="AE96" s="185" t="s">
        <v>2042</v>
      </c>
      <c r="AF96" s="185" t="s">
        <v>2042</v>
      </c>
      <c r="AG96" s="185" t="s">
        <v>2042</v>
      </c>
      <c r="AH96" s="185" t="s">
        <v>2042</v>
      </c>
      <c r="AI96" s="185" t="s">
        <v>2042</v>
      </c>
      <c r="AJ96" s="185" t="s">
        <v>2042</v>
      </c>
      <c r="AK96" s="185" t="s">
        <v>2042</v>
      </c>
      <c r="AL96" s="185" t="s">
        <v>2042</v>
      </c>
      <c r="AM96" s="185" t="s">
        <v>2042</v>
      </c>
      <c r="AN96" s="185" t="s">
        <v>2042</v>
      </c>
      <c r="AO96" s="185" t="s">
        <v>2042</v>
      </c>
      <c r="AP96" s="185" t="s">
        <v>2042</v>
      </c>
      <c r="AQ96" s="175"/>
    </row>
    <row r="97" spans="1:43" ht="14.5">
      <c r="A97" s="169"/>
      <c r="B97" s="170"/>
      <c r="C97" s="176" t="s">
        <v>1915</v>
      </c>
      <c r="D97" s="177"/>
      <c r="E97" s="178">
        <v>1</v>
      </c>
      <c r="F97" s="179"/>
      <c r="G97" s="186">
        <f>IF(C97="","",SUMIFS(MRP!$D$5:$D1000,MRP!$B$5:$B1000,C97))*E97</f>
        <v>0</v>
      </c>
      <c r="H97" s="181" t="s">
        <v>2041</v>
      </c>
      <c r="I97" s="182">
        <v>0</v>
      </c>
      <c r="J97" s="183" t="s">
        <v>2042</v>
      </c>
      <c r="K97" s="184" t="s">
        <v>2042</v>
      </c>
      <c r="L97" s="184" t="s">
        <v>2042</v>
      </c>
      <c r="M97" s="184" t="s">
        <v>2042</v>
      </c>
      <c r="N97" s="184" t="s">
        <v>2042</v>
      </c>
      <c r="O97" s="184" t="s">
        <v>2042</v>
      </c>
      <c r="P97" s="184" t="s">
        <v>2042</v>
      </c>
      <c r="Q97" s="184" t="s">
        <v>2042</v>
      </c>
      <c r="R97" s="184" t="s">
        <v>2042</v>
      </c>
      <c r="S97" s="184" t="s">
        <v>2042</v>
      </c>
      <c r="T97" s="184" t="s">
        <v>2042</v>
      </c>
      <c r="U97" s="184" t="s">
        <v>2042</v>
      </c>
      <c r="V97" s="184" t="s">
        <v>2042</v>
      </c>
      <c r="W97" s="184" t="s">
        <v>2042</v>
      </c>
      <c r="X97" s="184" t="s">
        <v>2042</v>
      </c>
      <c r="Y97" s="184" t="s">
        <v>2042</v>
      </c>
      <c r="Z97" s="184" t="s">
        <v>2042</v>
      </c>
      <c r="AA97" s="184" t="s">
        <v>2042</v>
      </c>
      <c r="AB97" s="184" t="s">
        <v>2042</v>
      </c>
      <c r="AC97" s="184" t="s">
        <v>2042</v>
      </c>
      <c r="AD97" s="184" t="s">
        <v>2042</v>
      </c>
      <c r="AE97" s="184" t="s">
        <v>2042</v>
      </c>
      <c r="AF97" s="184" t="s">
        <v>2042</v>
      </c>
      <c r="AG97" s="185" t="s">
        <v>2042</v>
      </c>
      <c r="AH97" s="185" t="s">
        <v>2042</v>
      </c>
      <c r="AI97" s="185" t="s">
        <v>2042</v>
      </c>
      <c r="AJ97" s="185" t="s">
        <v>2042</v>
      </c>
      <c r="AK97" s="185" t="s">
        <v>2042</v>
      </c>
      <c r="AL97" s="185" t="s">
        <v>2042</v>
      </c>
      <c r="AM97" s="185" t="s">
        <v>2042</v>
      </c>
      <c r="AN97" s="185" t="s">
        <v>2042</v>
      </c>
      <c r="AO97" s="185" t="s">
        <v>2042</v>
      </c>
      <c r="AP97" s="185" t="s">
        <v>2042</v>
      </c>
      <c r="AQ97" s="175"/>
    </row>
    <row r="98" spans="1:43" ht="14.5">
      <c r="A98" s="169"/>
      <c r="B98" s="170"/>
      <c r="C98" s="176" t="s">
        <v>1916</v>
      </c>
      <c r="D98" s="177"/>
      <c r="E98" s="178">
        <v>1</v>
      </c>
      <c r="F98" s="179"/>
      <c r="G98" s="186">
        <f>IF(C98="","",SUMIFS(MRP!$D$5:$D1000,MRP!$B$5:$B1000,C98))*E98</f>
        <v>0</v>
      </c>
      <c r="H98" s="181" t="s">
        <v>2041</v>
      </c>
      <c r="I98" s="182">
        <v>0</v>
      </c>
      <c r="J98" s="183" t="s">
        <v>2042</v>
      </c>
      <c r="K98" s="184" t="s">
        <v>2042</v>
      </c>
      <c r="L98" s="184" t="s">
        <v>2042</v>
      </c>
      <c r="M98" s="184" t="s">
        <v>2042</v>
      </c>
      <c r="N98" s="184" t="s">
        <v>2042</v>
      </c>
      <c r="O98" s="184" t="s">
        <v>2042</v>
      </c>
      <c r="P98" s="184" t="s">
        <v>2042</v>
      </c>
      <c r="Q98" s="184" t="s">
        <v>2042</v>
      </c>
      <c r="R98" s="184" t="s">
        <v>2042</v>
      </c>
      <c r="S98" s="184" t="s">
        <v>2042</v>
      </c>
      <c r="T98" s="184" t="s">
        <v>2042</v>
      </c>
      <c r="U98" s="184" t="s">
        <v>2042</v>
      </c>
      <c r="V98" s="184" t="s">
        <v>2042</v>
      </c>
      <c r="W98" s="184" t="s">
        <v>2042</v>
      </c>
      <c r="X98" s="184" t="s">
        <v>2042</v>
      </c>
      <c r="Y98" s="184" t="s">
        <v>2042</v>
      </c>
      <c r="Z98" s="184" t="s">
        <v>2042</v>
      </c>
      <c r="AA98" s="184" t="s">
        <v>2042</v>
      </c>
      <c r="AB98" s="184" t="s">
        <v>2042</v>
      </c>
      <c r="AC98" s="184" t="s">
        <v>2042</v>
      </c>
      <c r="AD98" s="184" t="s">
        <v>2042</v>
      </c>
      <c r="AE98" s="184" t="s">
        <v>2042</v>
      </c>
      <c r="AF98" s="184" t="s">
        <v>2042</v>
      </c>
      <c r="AG98" s="184" t="s">
        <v>2042</v>
      </c>
      <c r="AH98" s="184" t="s">
        <v>2042</v>
      </c>
      <c r="AI98" s="184" t="s">
        <v>2042</v>
      </c>
      <c r="AJ98" s="184" t="s">
        <v>2042</v>
      </c>
      <c r="AK98" s="184" t="s">
        <v>2042</v>
      </c>
      <c r="AL98" s="184" t="s">
        <v>2042</v>
      </c>
      <c r="AM98" s="185" t="s">
        <v>2042</v>
      </c>
      <c r="AN98" s="184" t="s">
        <v>2042</v>
      </c>
      <c r="AO98" s="184" t="s">
        <v>2042</v>
      </c>
      <c r="AP98" s="184" t="s">
        <v>2042</v>
      </c>
      <c r="AQ98" s="175"/>
    </row>
    <row r="99" spans="1:43" ht="14.5">
      <c r="A99" s="169"/>
      <c r="B99" s="170"/>
      <c r="C99" s="176" t="s">
        <v>1917</v>
      </c>
      <c r="D99" s="177"/>
      <c r="E99" s="178">
        <v>1</v>
      </c>
      <c r="F99" s="179"/>
      <c r="G99" s="186">
        <f>IF(C99="","",SUMIFS(MRP!$D$5:$D1000,MRP!$B$5:$B1000,C99))*E99</f>
        <v>0</v>
      </c>
      <c r="H99" s="181" t="s">
        <v>2041</v>
      </c>
      <c r="I99" s="182">
        <v>0</v>
      </c>
      <c r="J99" s="183" t="s">
        <v>2042</v>
      </c>
      <c r="K99" s="185" t="s">
        <v>2042</v>
      </c>
      <c r="L99" s="185" t="s">
        <v>2042</v>
      </c>
      <c r="M99" s="185" t="s">
        <v>2042</v>
      </c>
      <c r="N99" s="187" t="s">
        <v>2042</v>
      </c>
      <c r="O99" s="187" t="s">
        <v>2042</v>
      </c>
      <c r="P99" s="187" t="s">
        <v>2042</v>
      </c>
      <c r="Q99" s="187" t="s">
        <v>2042</v>
      </c>
      <c r="R99" s="187" t="s">
        <v>2042</v>
      </c>
      <c r="S99" s="187" t="s">
        <v>2042</v>
      </c>
      <c r="T99" s="187" t="s">
        <v>2042</v>
      </c>
      <c r="U99" s="187" t="s">
        <v>2042</v>
      </c>
      <c r="V99" s="187" t="s">
        <v>2042</v>
      </c>
      <c r="W99" s="187" t="s">
        <v>2042</v>
      </c>
      <c r="X99" s="187" t="s">
        <v>2042</v>
      </c>
      <c r="Y99" s="187" t="s">
        <v>2042</v>
      </c>
      <c r="Z99" s="187" t="s">
        <v>2042</v>
      </c>
      <c r="AA99" s="187" t="s">
        <v>2042</v>
      </c>
      <c r="AB99" s="187" t="s">
        <v>2042</v>
      </c>
      <c r="AC99" s="187" t="s">
        <v>2042</v>
      </c>
      <c r="AD99" s="187" t="s">
        <v>2042</v>
      </c>
      <c r="AE99" s="187" t="s">
        <v>2042</v>
      </c>
      <c r="AF99" s="187" t="s">
        <v>2042</v>
      </c>
      <c r="AG99" s="187" t="s">
        <v>2042</v>
      </c>
      <c r="AH99" s="187" t="s">
        <v>2042</v>
      </c>
      <c r="AI99" s="187" t="s">
        <v>2042</v>
      </c>
      <c r="AJ99" s="187" t="s">
        <v>2042</v>
      </c>
      <c r="AK99" s="187" t="s">
        <v>2042</v>
      </c>
      <c r="AL99" s="187" t="s">
        <v>2042</v>
      </c>
      <c r="AM99" s="187" t="s">
        <v>2042</v>
      </c>
      <c r="AN99" s="187" t="s">
        <v>2042</v>
      </c>
      <c r="AO99" s="187" t="s">
        <v>2042</v>
      </c>
      <c r="AP99" s="187" t="s">
        <v>2042</v>
      </c>
      <c r="AQ99" s="175"/>
    </row>
    <row r="100" spans="1:43" ht="14.5">
      <c r="A100" s="169"/>
      <c r="B100" s="170"/>
      <c r="C100" s="176" t="s">
        <v>1918</v>
      </c>
      <c r="D100" s="177"/>
      <c r="E100" s="178">
        <v>1</v>
      </c>
      <c r="F100" s="179"/>
      <c r="G100" s="186">
        <f>IF(C100="","",SUMIFS(MRP!$D$5:$D1000,MRP!$B$5:$B1000,C100))*E100</f>
        <v>0</v>
      </c>
      <c r="H100" s="181" t="s">
        <v>2041</v>
      </c>
      <c r="I100" s="182">
        <v>0</v>
      </c>
      <c r="J100" s="183" t="s">
        <v>2042</v>
      </c>
      <c r="K100" s="184" t="s">
        <v>2042</v>
      </c>
      <c r="L100" s="184" t="s">
        <v>2042</v>
      </c>
      <c r="M100" s="184" t="s">
        <v>2042</v>
      </c>
      <c r="N100" s="184" t="s">
        <v>2042</v>
      </c>
      <c r="O100" s="184" t="s">
        <v>2042</v>
      </c>
      <c r="P100" s="184" t="s">
        <v>2042</v>
      </c>
      <c r="Q100" s="184" t="s">
        <v>2042</v>
      </c>
      <c r="R100" s="184" t="s">
        <v>2042</v>
      </c>
      <c r="S100" s="184" t="s">
        <v>2042</v>
      </c>
      <c r="T100" s="184" t="s">
        <v>2042</v>
      </c>
      <c r="U100" s="184" t="s">
        <v>2042</v>
      </c>
      <c r="V100" s="184" t="s">
        <v>2042</v>
      </c>
      <c r="W100" s="184" t="s">
        <v>2042</v>
      </c>
      <c r="X100" s="184" t="s">
        <v>2042</v>
      </c>
      <c r="Y100" s="184" t="s">
        <v>2042</v>
      </c>
      <c r="Z100" s="184" t="s">
        <v>2042</v>
      </c>
      <c r="AA100" s="184" t="s">
        <v>2042</v>
      </c>
      <c r="AB100" s="184" t="s">
        <v>2042</v>
      </c>
      <c r="AC100" s="184" t="s">
        <v>2042</v>
      </c>
      <c r="AD100" s="184" t="s">
        <v>2042</v>
      </c>
      <c r="AE100" s="184" t="s">
        <v>2042</v>
      </c>
      <c r="AF100" s="184" t="s">
        <v>2042</v>
      </c>
      <c r="AG100" s="184" t="s">
        <v>2042</v>
      </c>
      <c r="AH100" s="184" t="s">
        <v>2042</v>
      </c>
      <c r="AI100" s="184" t="s">
        <v>2042</v>
      </c>
      <c r="AJ100" s="184" t="s">
        <v>2042</v>
      </c>
      <c r="AK100" s="184" t="s">
        <v>2042</v>
      </c>
      <c r="AL100" s="184" t="s">
        <v>2042</v>
      </c>
      <c r="AM100" s="184" t="s">
        <v>2042</v>
      </c>
      <c r="AN100" s="184" t="s">
        <v>2042</v>
      </c>
      <c r="AO100" s="184" t="s">
        <v>2042</v>
      </c>
      <c r="AP100" s="184" t="s">
        <v>2042</v>
      </c>
      <c r="AQ100" s="175"/>
    </row>
    <row r="101" spans="1:43" ht="14.5">
      <c r="A101" s="169"/>
      <c r="B101" s="170"/>
      <c r="C101" s="176" t="s">
        <v>1919</v>
      </c>
      <c r="D101" s="177"/>
      <c r="E101" s="178">
        <v>1</v>
      </c>
      <c r="F101" s="179"/>
      <c r="G101" s="186">
        <f>IF(C101="","",SUMIFS(MRP!$D$5:$D1000,MRP!$B$5:$B1000,C101))*E101</f>
        <v>0</v>
      </c>
      <c r="H101" s="181" t="s">
        <v>2041</v>
      </c>
      <c r="I101" s="182">
        <v>0</v>
      </c>
      <c r="J101" s="183" t="s">
        <v>2042</v>
      </c>
      <c r="K101" s="184" t="s">
        <v>2042</v>
      </c>
      <c r="L101" s="184" t="s">
        <v>2042</v>
      </c>
      <c r="M101" s="184" t="s">
        <v>2042</v>
      </c>
      <c r="N101" s="184" t="s">
        <v>2042</v>
      </c>
      <c r="O101" s="184" t="s">
        <v>2042</v>
      </c>
      <c r="P101" s="184" t="s">
        <v>2042</v>
      </c>
      <c r="Q101" s="184" t="s">
        <v>2042</v>
      </c>
      <c r="R101" s="184" t="s">
        <v>2042</v>
      </c>
      <c r="S101" s="184" t="s">
        <v>2042</v>
      </c>
      <c r="T101" s="184" t="s">
        <v>2042</v>
      </c>
      <c r="U101" s="184" t="s">
        <v>2042</v>
      </c>
      <c r="V101" s="184" t="s">
        <v>2042</v>
      </c>
      <c r="W101" s="184" t="s">
        <v>2042</v>
      </c>
      <c r="X101" s="184" t="s">
        <v>2042</v>
      </c>
      <c r="Y101" s="184" t="s">
        <v>2042</v>
      </c>
      <c r="Z101" s="184" t="s">
        <v>2042</v>
      </c>
      <c r="AA101" s="184" t="s">
        <v>2042</v>
      </c>
      <c r="AB101" s="184" t="s">
        <v>2042</v>
      </c>
      <c r="AC101" s="184" t="s">
        <v>2042</v>
      </c>
      <c r="AD101" s="184" t="s">
        <v>2042</v>
      </c>
      <c r="AE101" s="184" t="s">
        <v>2042</v>
      </c>
      <c r="AF101" s="185" t="s">
        <v>2042</v>
      </c>
      <c r="AG101" s="185" t="s">
        <v>2042</v>
      </c>
      <c r="AH101" s="185" t="s">
        <v>2042</v>
      </c>
      <c r="AI101" s="185" t="s">
        <v>2042</v>
      </c>
      <c r="AJ101" s="185" t="s">
        <v>2042</v>
      </c>
      <c r="AK101" s="185" t="s">
        <v>2042</v>
      </c>
      <c r="AL101" s="185" t="s">
        <v>2042</v>
      </c>
      <c r="AM101" s="185" t="s">
        <v>2042</v>
      </c>
      <c r="AN101" s="185" t="s">
        <v>2042</v>
      </c>
      <c r="AO101" s="185" t="s">
        <v>2042</v>
      </c>
      <c r="AP101" s="185" t="s">
        <v>2042</v>
      </c>
      <c r="AQ101" s="175"/>
    </row>
    <row r="102" spans="1:43" ht="14.5">
      <c r="A102" s="169"/>
      <c r="B102" s="170"/>
      <c r="C102" s="176" t="s">
        <v>1920</v>
      </c>
      <c r="D102" s="177"/>
      <c r="E102" s="178">
        <v>1</v>
      </c>
      <c r="F102" s="179"/>
      <c r="G102" s="186">
        <f>IF(C102="","",SUMIFS(MRP!$D$5:$D1000,MRP!$B$5:$B1000,C102))*E102</f>
        <v>0</v>
      </c>
      <c r="H102" s="181" t="s">
        <v>2041</v>
      </c>
      <c r="I102" s="182">
        <v>0</v>
      </c>
      <c r="J102" s="183" t="s">
        <v>2042</v>
      </c>
      <c r="K102" s="184" t="s">
        <v>2042</v>
      </c>
      <c r="L102" s="184" t="s">
        <v>2042</v>
      </c>
      <c r="M102" s="184" t="s">
        <v>2042</v>
      </c>
      <c r="N102" s="184" t="s">
        <v>2042</v>
      </c>
      <c r="O102" s="184" t="s">
        <v>2042</v>
      </c>
      <c r="P102" s="184" t="s">
        <v>2042</v>
      </c>
      <c r="Q102" s="184" t="s">
        <v>2042</v>
      </c>
      <c r="R102" s="184" t="s">
        <v>2042</v>
      </c>
      <c r="S102" s="184" t="s">
        <v>2042</v>
      </c>
      <c r="T102" s="184" t="s">
        <v>2042</v>
      </c>
      <c r="U102" s="184" t="s">
        <v>2042</v>
      </c>
      <c r="V102" s="184" t="s">
        <v>2042</v>
      </c>
      <c r="W102" s="184" t="s">
        <v>2042</v>
      </c>
      <c r="X102" s="184" t="s">
        <v>2042</v>
      </c>
      <c r="Y102" s="184" t="s">
        <v>2042</v>
      </c>
      <c r="Z102" s="184" t="s">
        <v>2042</v>
      </c>
      <c r="AA102" s="184" t="s">
        <v>2042</v>
      </c>
      <c r="AB102" s="184" t="s">
        <v>2042</v>
      </c>
      <c r="AC102" s="184" t="s">
        <v>2042</v>
      </c>
      <c r="AD102" s="184" t="s">
        <v>2042</v>
      </c>
      <c r="AE102" s="184" t="s">
        <v>2042</v>
      </c>
      <c r="AF102" s="184" t="s">
        <v>2042</v>
      </c>
      <c r="AG102" s="184" t="s">
        <v>2042</v>
      </c>
      <c r="AH102" s="184" t="s">
        <v>2042</v>
      </c>
      <c r="AI102" s="184" t="s">
        <v>2042</v>
      </c>
      <c r="AJ102" s="184" t="s">
        <v>2042</v>
      </c>
      <c r="AK102" s="184" t="s">
        <v>2042</v>
      </c>
      <c r="AL102" s="184" t="s">
        <v>2042</v>
      </c>
      <c r="AM102" s="184" t="s">
        <v>2042</v>
      </c>
      <c r="AN102" s="184" t="s">
        <v>2042</v>
      </c>
      <c r="AO102" s="184" t="s">
        <v>2042</v>
      </c>
      <c r="AP102" s="184" t="s">
        <v>2042</v>
      </c>
      <c r="AQ102" s="175"/>
    </row>
    <row r="103" spans="1:43" ht="14.5">
      <c r="A103" s="169"/>
      <c r="B103" s="170"/>
      <c r="C103" s="176" t="s">
        <v>1921</v>
      </c>
      <c r="D103" s="177"/>
      <c r="E103" s="178">
        <v>1</v>
      </c>
      <c r="F103" s="179"/>
      <c r="G103" s="186">
        <f>IF(C103="","",SUMIFS(MRP!$D$5:$D1000,MRP!$B$5:$B1000,C103))*E103</f>
        <v>0</v>
      </c>
      <c r="H103" s="181" t="s">
        <v>2041</v>
      </c>
      <c r="I103" s="182">
        <v>0</v>
      </c>
      <c r="J103" s="183" t="s">
        <v>2042</v>
      </c>
      <c r="K103" s="184" t="s">
        <v>2042</v>
      </c>
      <c r="L103" s="184" t="s">
        <v>2042</v>
      </c>
      <c r="M103" s="184" t="s">
        <v>2042</v>
      </c>
      <c r="N103" s="184" t="s">
        <v>2042</v>
      </c>
      <c r="O103" s="184" t="s">
        <v>2042</v>
      </c>
      <c r="P103" s="184" t="s">
        <v>2042</v>
      </c>
      <c r="Q103" s="184" t="s">
        <v>2042</v>
      </c>
      <c r="R103" s="184" t="s">
        <v>2042</v>
      </c>
      <c r="S103" s="184" t="s">
        <v>2042</v>
      </c>
      <c r="T103" s="184" t="s">
        <v>2042</v>
      </c>
      <c r="U103" s="184" t="s">
        <v>2042</v>
      </c>
      <c r="V103" s="184" t="s">
        <v>2042</v>
      </c>
      <c r="W103" s="184" t="s">
        <v>2042</v>
      </c>
      <c r="X103" s="184" t="s">
        <v>2042</v>
      </c>
      <c r="Y103" s="184" t="s">
        <v>2042</v>
      </c>
      <c r="Z103" s="184" t="s">
        <v>2042</v>
      </c>
      <c r="AA103" s="184" t="s">
        <v>2042</v>
      </c>
      <c r="AB103" s="184" t="s">
        <v>2042</v>
      </c>
      <c r="AC103" s="184" t="s">
        <v>2042</v>
      </c>
      <c r="AD103" s="184" t="s">
        <v>2042</v>
      </c>
      <c r="AE103" s="184" t="s">
        <v>2042</v>
      </c>
      <c r="AF103" s="184" t="s">
        <v>2042</v>
      </c>
      <c r="AG103" s="184" t="s">
        <v>2042</v>
      </c>
      <c r="AH103" s="184" t="s">
        <v>2042</v>
      </c>
      <c r="AI103" s="184" t="s">
        <v>2042</v>
      </c>
      <c r="AJ103" s="184" t="s">
        <v>2042</v>
      </c>
      <c r="AK103" s="184" t="s">
        <v>2042</v>
      </c>
      <c r="AL103" s="184" t="s">
        <v>2042</v>
      </c>
      <c r="AM103" s="184" t="s">
        <v>2042</v>
      </c>
      <c r="AN103" s="184" t="s">
        <v>2042</v>
      </c>
      <c r="AO103" s="184" t="s">
        <v>2042</v>
      </c>
      <c r="AP103" s="184" t="s">
        <v>2042</v>
      </c>
      <c r="AQ103" s="175"/>
    </row>
    <row r="104" spans="1:43" ht="14.5">
      <c r="A104" s="169"/>
      <c r="B104" s="170"/>
      <c r="C104" s="176" t="s">
        <v>1509</v>
      </c>
      <c r="D104" s="177"/>
      <c r="E104" s="178">
        <v>1</v>
      </c>
      <c r="F104" s="179"/>
      <c r="G104" s="186">
        <f>IF(C104="","",SUMIFS(MRP!$D$5:$D1000,MRP!$B$5:$B1000,C104))*E104</f>
        <v>0</v>
      </c>
      <c r="H104" s="181" t="s">
        <v>2041</v>
      </c>
      <c r="I104" s="182">
        <v>0</v>
      </c>
      <c r="J104" s="183" t="s">
        <v>2042</v>
      </c>
      <c r="K104" s="184" t="s">
        <v>2042</v>
      </c>
      <c r="L104" s="184" t="s">
        <v>2042</v>
      </c>
      <c r="M104" s="184" t="s">
        <v>2042</v>
      </c>
      <c r="N104" s="184" t="s">
        <v>2042</v>
      </c>
      <c r="O104" s="184" t="s">
        <v>2042</v>
      </c>
      <c r="P104" s="184" t="s">
        <v>2042</v>
      </c>
      <c r="Q104" s="184" t="s">
        <v>2042</v>
      </c>
      <c r="R104" s="184" t="s">
        <v>2042</v>
      </c>
      <c r="S104" s="184" t="s">
        <v>2042</v>
      </c>
      <c r="T104" s="184" t="s">
        <v>2042</v>
      </c>
      <c r="U104" s="184" t="s">
        <v>2042</v>
      </c>
      <c r="V104" s="184" t="s">
        <v>2042</v>
      </c>
      <c r="W104" s="184" t="s">
        <v>2042</v>
      </c>
      <c r="X104" s="184" t="s">
        <v>2042</v>
      </c>
      <c r="Y104" s="184" t="s">
        <v>2042</v>
      </c>
      <c r="Z104" s="184" t="s">
        <v>2042</v>
      </c>
      <c r="AA104" s="184" t="s">
        <v>2042</v>
      </c>
      <c r="AB104" s="184" t="s">
        <v>2042</v>
      </c>
      <c r="AC104" s="184" t="s">
        <v>2042</v>
      </c>
      <c r="AD104" s="184" t="s">
        <v>2042</v>
      </c>
      <c r="AE104" s="184" t="s">
        <v>2042</v>
      </c>
      <c r="AF104" s="184" t="s">
        <v>2042</v>
      </c>
      <c r="AG104" s="184" t="s">
        <v>2042</v>
      </c>
      <c r="AH104" s="184" t="s">
        <v>2042</v>
      </c>
      <c r="AI104" s="184" t="s">
        <v>2042</v>
      </c>
      <c r="AJ104" s="184" t="s">
        <v>2042</v>
      </c>
      <c r="AK104" s="184" t="s">
        <v>2042</v>
      </c>
      <c r="AL104" s="184" t="s">
        <v>2042</v>
      </c>
      <c r="AM104" s="184" t="s">
        <v>2042</v>
      </c>
      <c r="AN104" s="184" t="s">
        <v>2042</v>
      </c>
      <c r="AO104" s="184" t="s">
        <v>2042</v>
      </c>
      <c r="AP104" s="184" t="s">
        <v>2042</v>
      </c>
      <c r="AQ104" s="175"/>
    </row>
    <row r="105" spans="1:43" ht="14.5">
      <c r="A105" s="169"/>
      <c r="B105" s="170"/>
      <c r="C105" s="176" t="s">
        <v>1508</v>
      </c>
      <c r="D105" s="177"/>
      <c r="E105" s="178">
        <v>1</v>
      </c>
      <c r="F105" s="179"/>
      <c r="G105" s="186">
        <f>IF(C105="","",SUMIFS(MRP!$D$5:$D1000,MRP!$B$5:$B1000,C105))*E105</f>
        <v>0</v>
      </c>
      <c r="H105" s="181" t="s">
        <v>2041</v>
      </c>
      <c r="I105" s="182">
        <v>0</v>
      </c>
      <c r="J105" s="183" t="s">
        <v>2042</v>
      </c>
      <c r="K105" s="184" t="s">
        <v>2042</v>
      </c>
      <c r="L105" s="184" t="s">
        <v>2042</v>
      </c>
      <c r="M105" s="184" t="s">
        <v>2042</v>
      </c>
      <c r="N105" s="184" t="s">
        <v>2042</v>
      </c>
      <c r="O105" s="184" t="s">
        <v>2042</v>
      </c>
      <c r="P105" s="184" t="s">
        <v>2042</v>
      </c>
      <c r="Q105" s="184" t="s">
        <v>2042</v>
      </c>
      <c r="R105" s="184" t="s">
        <v>2042</v>
      </c>
      <c r="S105" s="184" t="s">
        <v>2042</v>
      </c>
      <c r="T105" s="184" t="s">
        <v>2042</v>
      </c>
      <c r="U105" s="184" t="s">
        <v>2042</v>
      </c>
      <c r="V105" s="184" t="s">
        <v>2042</v>
      </c>
      <c r="W105" s="184" t="s">
        <v>2042</v>
      </c>
      <c r="X105" s="184" t="s">
        <v>2042</v>
      </c>
      <c r="Y105" s="184" t="s">
        <v>2042</v>
      </c>
      <c r="Z105" s="184" t="s">
        <v>2042</v>
      </c>
      <c r="AA105" s="184" t="s">
        <v>2042</v>
      </c>
      <c r="AB105" s="184" t="s">
        <v>2042</v>
      </c>
      <c r="AC105" s="184" t="s">
        <v>2042</v>
      </c>
      <c r="AD105" s="184" t="s">
        <v>2042</v>
      </c>
      <c r="AE105" s="184" t="s">
        <v>2042</v>
      </c>
      <c r="AF105" s="184" t="s">
        <v>2042</v>
      </c>
      <c r="AG105" s="184" t="s">
        <v>2042</v>
      </c>
      <c r="AH105" s="184" t="s">
        <v>2042</v>
      </c>
      <c r="AI105" s="184" t="s">
        <v>2042</v>
      </c>
      <c r="AJ105" s="184" t="s">
        <v>2042</v>
      </c>
      <c r="AK105" s="184" t="s">
        <v>2042</v>
      </c>
      <c r="AL105" s="184" t="s">
        <v>2042</v>
      </c>
      <c r="AM105" s="184" t="s">
        <v>2042</v>
      </c>
      <c r="AN105" s="184" t="s">
        <v>2042</v>
      </c>
      <c r="AO105" s="184" t="s">
        <v>2042</v>
      </c>
      <c r="AP105" s="184" t="s">
        <v>2042</v>
      </c>
      <c r="AQ105" s="175"/>
    </row>
    <row r="106" spans="1:43" ht="14.5">
      <c r="A106" s="169"/>
      <c r="B106" s="170"/>
      <c r="C106" s="176" t="s">
        <v>1476</v>
      </c>
      <c r="D106" s="177"/>
      <c r="E106" s="178">
        <v>1</v>
      </c>
      <c r="F106" s="179"/>
      <c r="G106" s="186">
        <f>IF(C106="","",SUMIFS(MRP!$D$5:$D1000,MRP!$B$5:$B1000,C106))*E106</f>
        <v>0</v>
      </c>
      <c r="H106" s="181" t="s">
        <v>2041</v>
      </c>
      <c r="I106" s="182">
        <v>0</v>
      </c>
      <c r="J106" s="183" t="s">
        <v>2042</v>
      </c>
      <c r="K106" s="184" t="s">
        <v>2042</v>
      </c>
      <c r="L106" s="184" t="s">
        <v>2042</v>
      </c>
      <c r="M106" s="184" t="s">
        <v>2042</v>
      </c>
      <c r="N106" s="184" t="s">
        <v>2042</v>
      </c>
      <c r="O106" s="184" t="s">
        <v>2042</v>
      </c>
      <c r="P106" s="184" t="s">
        <v>2042</v>
      </c>
      <c r="Q106" s="184" t="s">
        <v>2042</v>
      </c>
      <c r="R106" s="184" t="s">
        <v>2042</v>
      </c>
      <c r="S106" s="184" t="s">
        <v>2042</v>
      </c>
      <c r="T106" s="184" t="s">
        <v>2042</v>
      </c>
      <c r="U106" s="184" t="s">
        <v>2042</v>
      </c>
      <c r="V106" s="184" t="s">
        <v>2042</v>
      </c>
      <c r="W106" s="184" t="s">
        <v>2042</v>
      </c>
      <c r="X106" s="184" t="s">
        <v>2042</v>
      </c>
      <c r="Y106" s="184" t="s">
        <v>2042</v>
      </c>
      <c r="Z106" s="184" t="s">
        <v>2042</v>
      </c>
      <c r="AA106" s="184" t="s">
        <v>2042</v>
      </c>
      <c r="AB106" s="184" t="s">
        <v>2042</v>
      </c>
      <c r="AC106" s="184" t="s">
        <v>2042</v>
      </c>
      <c r="AD106" s="184" t="s">
        <v>2042</v>
      </c>
      <c r="AE106" s="184" t="s">
        <v>2042</v>
      </c>
      <c r="AF106" s="184" t="s">
        <v>2042</v>
      </c>
      <c r="AG106" s="184" t="s">
        <v>2042</v>
      </c>
      <c r="AH106" s="184" t="s">
        <v>2042</v>
      </c>
      <c r="AI106" s="184" t="s">
        <v>2042</v>
      </c>
      <c r="AJ106" s="184" t="s">
        <v>2042</v>
      </c>
      <c r="AK106" s="184" t="s">
        <v>2042</v>
      </c>
      <c r="AL106" s="184" t="s">
        <v>2042</v>
      </c>
      <c r="AM106" s="184" t="s">
        <v>2042</v>
      </c>
      <c r="AN106" s="184" t="s">
        <v>2042</v>
      </c>
      <c r="AO106" s="184" t="s">
        <v>2042</v>
      </c>
      <c r="AP106" s="184" t="s">
        <v>2042</v>
      </c>
      <c r="AQ106" s="175"/>
    </row>
    <row r="107" spans="1:43" ht="14.5">
      <c r="A107" s="169"/>
      <c r="B107" s="170"/>
      <c r="C107" s="176" t="s">
        <v>1597</v>
      </c>
      <c r="D107" s="177"/>
      <c r="E107" s="178">
        <v>1</v>
      </c>
      <c r="F107" s="179"/>
      <c r="G107" s="186">
        <f>IF(C107="","",SUMIFS(MRP!$D$5:$D1000,MRP!$B$5:$B1000,C107))*E107</f>
        <v>0</v>
      </c>
      <c r="H107" s="181" t="s">
        <v>2041</v>
      </c>
      <c r="I107" s="182">
        <v>0</v>
      </c>
      <c r="J107" s="183" t="s">
        <v>2042</v>
      </c>
      <c r="K107" s="188" t="s">
        <v>2042</v>
      </c>
      <c r="L107" s="188" t="s">
        <v>2042</v>
      </c>
      <c r="M107" s="188" t="s">
        <v>2042</v>
      </c>
      <c r="N107" s="188" t="s">
        <v>2042</v>
      </c>
      <c r="O107" s="188" t="s">
        <v>2042</v>
      </c>
      <c r="P107" s="188" t="s">
        <v>2042</v>
      </c>
      <c r="Q107" s="188" t="s">
        <v>2042</v>
      </c>
      <c r="R107" s="187" t="s">
        <v>2042</v>
      </c>
      <c r="S107" s="187" t="s">
        <v>2042</v>
      </c>
      <c r="T107" s="187" t="s">
        <v>2042</v>
      </c>
      <c r="U107" s="187" t="s">
        <v>2042</v>
      </c>
      <c r="V107" s="187" t="s">
        <v>2042</v>
      </c>
      <c r="W107" s="187" t="s">
        <v>2042</v>
      </c>
      <c r="X107" s="190" t="s">
        <v>2042</v>
      </c>
      <c r="Y107" s="185" t="s">
        <v>2042</v>
      </c>
      <c r="Z107" s="185" t="s">
        <v>2042</v>
      </c>
      <c r="AA107" s="185" t="s">
        <v>2042</v>
      </c>
      <c r="AB107" s="185" t="s">
        <v>2042</v>
      </c>
      <c r="AC107" s="185" t="s">
        <v>2042</v>
      </c>
      <c r="AD107" s="188" t="s">
        <v>2042</v>
      </c>
      <c r="AE107" s="188" t="s">
        <v>2042</v>
      </c>
      <c r="AF107" s="188" t="s">
        <v>2042</v>
      </c>
      <c r="AG107" s="188" t="s">
        <v>2042</v>
      </c>
      <c r="AH107" s="188" t="s">
        <v>2042</v>
      </c>
      <c r="AI107" s="188" t="s">
        <v>2042</v>
      </c>
      <c r="AJ107" s="188" t="s">
        <v>2042</v>
      </c>
      <c r="AK107" s="188" t="s">
        <v>2042</v>
      </c>
      <c r="AL107" s="188" t="s">
        <v>2042</v>
      </c>
      <c r="AM107" s="188" t="s">
        <v>2042</v>
      </c>
      <c r="AN107" s="188" t="s">
        <v>2042</v>
      </c>
      <c r="AO107" s="188" t="s">
        <v>2042</v>
      </c>
      <c r="AP107" s="188" t="s">
        <v>2042</v>
      </c>
      <c r="AQ107" s="175"/>
    </row>
    <row r="108" spans="1:43" ht="14.5">
      <c r="A108" s="169"/>
      <c r="B108" s="170"/>
      <c r="C108" s="176" t="s">
        <v>1922</v>
      </c>
      <c r="D108" s="177"/>
      <c r="E108" s="178">
        <v>1</v>
      </c>
      <c r="F108" s="179"/>
      <c r="G108" s="186">
        <f>IF(C108="","",SUMIFS(MRP!$D$5:$D1000,MRP!$B$5:$B1000,C108))*E108</f>
        <v>0</v>
      </c>
      <c r="H108" s="181" t="s">
        <v>2041</v>
      </c>
      <c r="I108" s="182">
        <v>0</v>
      </c>
      <c r="J108" s="183" t="s">
        <v>2042</v>
      </c>
      <c r="K108" s="187" t="s">
        <v>2042</v>
      </c>
      <c r="L108" s="187" t="s">
        <v>2042</v>
      </c>
      <c r="M108" s="187" t="s">
        <v>2042</v>
      </c>
      <c r="N108" s="187" t="s">
        <v>2042</v>
      </c>
      <c r="O108" s="187" t="s">
        <v>2042</v>
      </c>
      <c r="P108" s="187" t="s">
        <v>2042</v>
      </c>
      <c r="Q108" s="187" t="s">
        <v>2042</v>
      </c>
      <c r="R108" s="187" t="s">
        <v>2042</v>
      </c>
      <c r="S108" s="187" t="s">
        <v>2042</v>
      </c>
      <c r="T108" s="187" t="s">
        <v>2042</v>
      </c>
      <c r="U108" s="187" t="s">
        <v>2042</v>
      </c>
      <c r="V108" s="187" t="s">
        <v>2042</v>
      </c>
      <c r="W108" s="187" t="s">
        <v>2042</v>
      </c>
      <c r="X108" s="187" t="s">
        <v>2042</v>
      </c>
      <c r="Y108" s="187" t="s">
        <v>2042</v>
      </c>
      <c r="Z108" s="187" t="s">
        <v>2042</v>
      </c>
      <c r="AA108" s="187" t="s">
        <v>2042</v>
      </c>
      <c r="AB108" s="187" t="s">
        <v>2042</v>
      </c>
      <c r="AC108" s="187" t="s">
        <v>2042</v>
      </c>
      <c r="AD108" s="187" t="s">
        <v>2042</v>
      </c>
      <c r="AE108" s="187" t="s">
        <v>2042</v>
      </c>
      <c r="AF108" s="187" t="s">
        <v>2042</v>
      </c>
      <c r="AG108" s="187" t="s">
        <v>2042</v>
      </c>
      <c r="AH108" s="187" t="s">
        <v>2042</v>
      </c>
      <c r="AI108" s="187" t="s">
        <v>2042</v>
      </c>
      <c r="AJ108" s="187" t="s">
        <v>2042</v>
      </c>
      <c r="AK108" s="187" t="s">
        <v>2042</v>
      </c>
      <c r="AL108" s="187" t="s">
        <v>2042</v>
      </c>
      <c r="AM108" s="187" t="s">
        <v>2042</v>
      </c>
      <c r="AN108" s="187" t="s">
        <v>2042</v>
      </c>
      <c r="AO108" s="187" t="s">
        <v>2042</v>
      </c>
      <c r="AP108" s="187" t="s">
        <v>2042</v>
      </c>
      <c r="AQ108" s="175"/>
    </row>
    <row r="109" spans="1:43" ht="14.5">
      <c r="A109" s="169"/>
      <c r="B109" s="170"/>
      <c r="C109" s="176" t="s">
        <v>1923</v>
      </c>
      <c r="D109" s="177"/>
      <c r="E109" s="178">
        <v>1</v>
      </c>
      <c r="F109" s="179"/>
      <c r="G109" s="186">
        <f>IF(C109="","",SUMIFS(MRP!$D$5:$D1000,MRP!$B$5:$B1000,C109))*E109</f>
        <v>0</v>
      </c>
      <c r="H109" s="181" t="s">
        <v>2041</v>
      </c>
      <c r="I109" s="182">
        <v>0</v>
      </c>
      <c r="J109" s="183" t="s">
        <v>2042</v>
      </c>
      <c r="K109" s="184" t="s">
        <v>2042</v>
      </c>
      <c r="L109" s="184" t="s">
        <v>2042</v>
      </c>
      <c r="M109" s="184" t="s">
        <v>2042</v>
      </c>
      <c r="N109" s="184" t="s">
        <v>2042</v>
      </c>
      <c r="O109" s="184" t="s">
        <v>2042</v>
      </c>
      <c r="P109" s="184" t="s">
        <v>2042</v>
      </c>
      <c r="Q109" s="184" t="s">
        <v>2042</v>
      </c>
      <c r="R109" s="184" t="s">
        <v>2042</v>
      </c>
      <c r="S109" s="184" t="s">
        <v>2042</v>
      </c>
      <c r="T109" s="184" t="s">
        <v>2042</v>
      </c>
      <c r="U109" s="184" t="s">
        <v>2042</v>
      </c>
      <c r="V109" s="184" t="s">
        <v>2042</v>
      </c>
      <c r="W109" s="184" t="s">
        <v>2042</v>
      </c>
      <c r="X109" s="184" t="s">
        <v>2042</v>
      </c>
      <c r="Y109" s="184" t="s">
        <v>2042</v>
      </c>
      <c r="Z109" s="184" t="s">
        <v>2042</v>
      </c>
      <c r="AA109" s="184" t="s">
        <v>2042</v>
      </c>
      <c r="AB109" s="184" t="s">
        <v>2042</v>
      </c>
      <c r="AC109" s="184" t="s">
        <v>2042</v>
      </c>
      <c r="AD109" s="184" t="s">
        <v>2042</v>
      </c>
      <c r="AE109" s="184" t="s">
        <v>2042</v>
      </c>
      <c r="AF109" s="184" t="s">
        <v>2042</v>
      </c>
      <c r="AG109" s="184" t="s">
        <v>2042</v>
      </c>
      <c r="AH109" s="184" t="s">
        <v>2042</v>
      </c>
      <c r="AI109" s="184" t="s">
        <v>2042</v>
      </c>
      <c r="AJ109" s="184" t="s">
        <v>2042</v>
      </c>
      <c r="AK109" s="184" t="s">
        <v>2042</v>
      </c>
      <c r="AL109" s="184" t="s">
        <v>2042</v>
      </c>
      <c r="AM109" s="184" t="s">
        <v>2042</v>
      </c>
      <c r="AN109" s="184" t="s">
        <v>2042</v>
      </c>
      <c r="AO109" s="184" t="s">
        <v>2042</v>
      </c>
      <c r="AP109" s="184" t="s">
        <v>2042</v>
      </c>
      <c r="AQ109" s="175"/>
    </row>
    <row r="110" spans="1:43" ht="14.5">
      <c r="A110" s="169"/>
      <c r="B110" s="170"/>
      <c r="C110" s="176" t="s">
        <v>1924</v>
      </c>
      <c r="D110" s="177"/>
      <c r="E110" s="178">
        <v>1</v>
      </c>
      <c r="F110" s="179"/>
      <c r="G110" s="186">
        <f>IF(C110="","",SUMIFS(MRP!$D$5:$D1000,MRP!$B$5:$B1000,C110))*E110</f>
        <v>0</v>
      </c>
      <c r="H110" s="181" t="s">
        <v>2041</v>
      </c>
      <c r="I110" s="182">
        <v>0</v>
      </c>
      <c r="J110" s="183" t="s">
        <v>2042</v>
      </c>
      <c r="K110" s="184" t="s">
        <v>2042</v>
      </c>
      <c r="L110" s="184" t="s">
        <v>2042</v>
      </c>
      <c r="M110" s="184" t="s">
        <v>2042</v>
      </c>
      <c r="N110" s="184" t="s">
        <v>2042</v>
      </c>
      <c r="O110" s="184" t="s">
        <v>2042</v>
      </c>
      <c r="P110" s="184" t="s">
        <v>2042</v>
      </c>
      <c r="Q110" s="184" t="s">
        <v>2042</v>
      </c>
      <c r="R110" s="184" t="s">
        <v>2042</v>
      </c>
      <c r="S110" s="184" t="s">
        <v>2042</v>
      </c>
      <c r="T110" s="184" t="s">
        <v>2042</v>
      </c>
      <c r="U110" s="184" t="s">
        <v>2042</v>
      </c>
      <c r="V110" s="184" t="s">
        <v>2042</v>
      </c>
      <c r="W110" s="184" t="s">
        <v>2042</v>
      </c>
      <c r="X110" s="184" t="s">
        <v>2042</v>
      </c>
      <c r="Y110" s="184" t="s">
        <v>2042</v>
      </c>
      <c r="Z110" s="184" t="s">
        <v>2042</v>
      </c>
      <c r="AA110" s="184" t="s">
        <v>2042</v>
      </c>
      <c r="AB110" s="184" t="s">
        <v>2042</v>
      </c>
      <c r="AC110" s="184" t="s">
        <v>2042</v>
      </c>
      <c r="AD110" s="184" t="s">
        <v>2042</v>
      </c>
      <c r="AE110" s="184" t="s">
        <v>2042</v>
      </c>
      <c r="AF110" s="184" t="s">
        <v>2042</v>
      </c>
      <c r="AG110" s="184" t="s">
        <v>2042</v>
      </c>
      <c r="AH110" s="184" t="s">
        <v>2042</v>
      </c>
      <c r="AI110" s="184" t="s">
        <v>2042</v>
      </c>
      <c r="AJ110" s="184" t="s">
        <v>2042</v>
      </c>
      <c r="AK110" s="184" t="s">
        <v>2042</v>
      </c>
      <c r="AL110" s="184" t="s">
        <v>2042</v>
      </c>
      <c r="AM110" s="184" t="s">
        <v>2042</v>
      </c>
      <c r="AN110" s="184" t="s">
        <v>2042</v>
      </c>
      <c r="AO110" s="184" t="s">
        <v>2042</v>
      </c>
      <c r="AP110" s="184" t="s">
        <v>2042</v>
      </c>
      <c r="AQ110" s="175"/>
    </row>
    <row r="111" spans="1:43" ht="14.5">
      <c r="A111" s="169"/>
      <c r="B111" s="170"/>
      <c r="C111" s="176" t="s">
        <v>1925</v>
      </c>
      <c r="D111" s="177"/>
      <c r="E111" s="178">
        <v>1</v>
      </c>
      <c r="F111" s="179"/>
      <c r="G111" s="186">
        <f>IF(C111="","",SUMIFS(MRP!$D$5:$D1000,MRP!$B$5:$B1000,C111))*E111</f>
        <v>0</v>
      </c>
      <c r="H111" s="181" t="s">
        <v>2041</v>
      </c>
      <c r="I111" s="182">
        <v>0</v>
      </c>
      <c r="J111" s="183" t="s">
        <v>2042</v>
      </c>
      <c r="K111" s="184" t="s">
        <v>2042</v>
      </c>
      <c r="L111" s="184" t="s">
        <v>2042</v>
      </c>
      <c r="M111" s="184" t="s">
        <v>2042</v>
      </c>
      <c r="N111" s="184" t="s">
        <v>2042</v>
      </c>
      <c r="O111" s="184" t="s">
        <v>2042</v>
      </c>
      <c r="P111" s="184" t="s">
        <v>2042</v>
      </c>
      <c r="Q111" s="184" t="s">
        <v>2042</v>
      </c>
      <c r="R111" s="184" t="s">
        <v>2042</v>
      </c>
      <c r="S111" s="184" t="s">
        <v>2042</v>
      </c>
      <c r="T111" s="184" t="s">
        <v>2042</v>
      </c>
      <c r="U111" s="184" t="s">
        <v>2042</v>
      </c>
      <c r="V111" s="184" t="s">
        <v>2042</v>
      </c>
      <c r="W111" s="184" t="s">
        <v>2042</v>
      </c>
      <c r="X111" s="184" t="s">
        <v>2042</v>
      </c>
      <c r="Y111" s="184" t="s">
        <v>2042</v>
      </c>
      <c r="Z111" s="184" t="s">
        <v>2042</v>
      </c>
      <c r="AA111" s="184" t="s">
        <v>2042</v>
      </c>
      <c r="AB111" s="184" t="s">
        <v>2042</v>
      </c>
      <c r="AC111" s="184" t="s">
        <v>2042</v>
      </c>
      <c r="AD111" s="184" t="s">
        <v>2042</v>
      </c>
      <c r="AE111" s="184" t="s">
        <v>2042</v>
      </c>
      <c r="AF111" s="184" t="s">
        <v>2042</v>
      </c>
      <c r="AG111" s="184" t="s">
        <v>2042</v>
      </c>
      <c r="AH111" s="184" t="s">
        <v>2042</v>
      </c>
      <c r="AI111" s="184" t="s">
        <v>2042</v>
      </c>
      <c r="AJ111" s="184" t="s">
        <v>2042</v>
      </c>
      <c r="AK111" s="184" t="s">
        <v>2042</v>
      </c>
      <c r="AL111" s="184" t="s">
        <v>2042</v>
      </c>
      <c r="AM111" s="184" t="s">
        <v>2042</v>
      </c>
      <c r="AN111" s="184" t="s">
        <v>2042</v>
      </c>
      <c r="AO111" s="184" t="s">
        <v>2042</v>
      </c>
      <c r="AP111" s="184" t="s">
        <v>2042</v>
      </c>
      <c r="AQ111" s="175"/>
    </row>
    <row r="112" spans="1:43" ht="14.5">
      <c r="A112" s="169"/>
      <c r="B112" s="170"/>
      <c r="C112" s="176" t="s">
        <v>1926</v>
      </c>
      <c r="D112" s="177"/>
      <c r="E112" s="178">
        <v>1</v>
      </c>
      <c r="F112" s="179"/>
      <c r="G112" s="186">
        <f>IF(C112="","",SUMIFS(MRP!$D$5:$D1000,MRP!$B$5:$B1000,C112))*E112</f>
        <v>0</v>
      </c>
      <c r="H112" s="181" t="s">
        <v>2041</v>
      </c>
      <c r="I112" s="182">
        <v>0</v>
      </c>
      <c r="J112" s="183" t="s">
        <v>2042</v>
      </c>
      <c r="K112" s="184" t="s">
        <v>2042</v>
      </c>
      <c r="L112" s="184" t="s">
        <v>2042</v>
      </c>
      <c r="M112" s="184" t="s">
        <v>2042</v>
      </c>
      <c r="N112" s="184" t="s">
        <v>2042</v>
      </c>
      <c r="O112" s="184" t="s">
        <v>2042</v>
      </c>
      <c r="P112" s="184" t="s">
        <v>2042</v>
      </c>
      <c r="Q112" s="184" t="s">
        <v>2042</v>
      </c>
      <c r="R112" s="184" t="s">
        <v>2042</v>
      </c>
      <c r="S112" s="184" t="s">
        <v>2042</v>
      </c>
      <c r="T112" s="184" t="s">
        <v>2042</v>
      </c>
      <c r="U112" s="184" t="s">
        <v>2042</v>
      </c>
      <c r="V112" s="184" t="s">
        <v>2042</v>
      </c>
      <c r="W112" s="184" t="s">
        <v>2042</v>
      </c>
      <c r="X112" s="184" t="s">
        <v>2042</v>
      </c>
      <c r="Y112" s="184" t="s">
        <v>2042</v>
      </c>
      <c r="Z112" s="184" t="s">
        <v>2042</v>
      </c>
      <c r="AA112" s="184" t="s">
        <v>2042</v>
      </c>
      <c r="AB112" s="184" t="s">
        <v>2042</v>
      </c>
      <c r="AC112" s="184" t="s">
        <v>2042</v>
      </c>
      <c r="AD112" s="184" t="s">
        <v>2042</v>
      </c>
      <c r="AE112" s="184" t="s">
        <v>2042</v>
      </c>
      <c r="AF112" s="184" t="s">
        <v>2042</v>
      </c>
      <c r="AG112" s="184" t="s">
        <v>2042</v>
      </c>
      <c r="AH112" s="184" t="s">
        <v>2042</v>
      </c>
      <c r="AI112" s="184" t="s">
        <v>2042</v>
      </c>
      <c r="AJ112" s="184" t="s">
        <v>2042</v>
      </c>
      <c r="AK112" s="184" t="s">
        <v>2042</v>
      </c>
      <c r="AL112" s="184" t="s">
        <v>2042</v>
      </c>
      <c r="AM112" s="184" t="s">
        <v>2042</v>
      </c>
      <c r="AN112" s="184" t="s">
        <v>2042</v>
      </c>
      <c r="AO112" s="184" t="s">
        <v>2042</v>
      </c>
      <c r="AP112" s="184" t="s">
        <v>2042</v>
      </c>
      <c r="AQ112" s="175"/>
    </row>
    <row r="113" spans="1:43" ht="14.5">
      <c r="A113" s="169"/>
      <c r="B113" s="170"/>
      <c r="C113" s="176" t="s">
        <v>1552</v>
      </c>
      <c r="D113" s="177"/>
      <c r="E113" s="178">
        <v>1</v>
      </c>
      <c r="F113" s="179"/>
      <c r="G113" s="186">
        <f>IF(C113="","",SUMIFS(MRP!$D$5:$D1000,MRP!$B$5:$B1000,C113))*E113</f>
        <v>0</v>
      </c>
      <c r="H113" s="181" t="s">
        <v>2041</v>
      </c>
      <c r="I113" s="182">
        <v>0</v>
      </c>
      <c r="J113" s="183" t="s">
        <v>2042</v>
      </c>
      <c r="K113" s="184" t="s">
        <v>2042</v>
      </c>
      <c r="L113" s="184" t="s">
        <v>2042</v>
      </c>
      <c r="M113" s="184" t="s">
        <v>2042</v>
      </c>
      <c r="N113" s="184" t="s">
        <v>2042</v>
      </c>
      <c r="O113" s="184" t="s">
        <v>2042</v>
      </c>
      <c r="P113" s="184" t="s">
        <v>2042</v>
      </c>
      <c r="Q113" s="184" t="s">
        <v>2042</v>
      </c>
      <c r="R113" s="184" t="s">
        <v>2042</v>
      </c>
      <c r="S113" s="184" t="s">
        <v>2042</v>
      </c>
      <c r="T113" s="184" t="s">
        <v>2042</v>
      </c>
      <c r="U113" s="184" t="s">
        <v>2042</v>
      </c>
      <c r="V113" s="184" t="s">
        <v>2042</v>
      </c>
      <c r="W113" s="184" t="s">
        <v>2042</v>
      </c>
      <c r="X113" s="184" t="s">
        <v>2042</v>
      </c>
      <c r="Y113" s="184" t="s">
        <v>2042</v>
      </c>
      <c r="Z113" s="184" t="s">
        <v>2042</v>
      </c>
      <c r="AA113" s="184" t="s">
        <v>2042</v>
      </c>
      <c r="AB113" s="184" t="s">
        <v>2042</v>
      </c>
      <c r="AC113" s="184" t="s">
        <v>2042</v>
      </c>
      <c r="AD113" s="184" t="s">
        <v>2042</v>
      </c>
      <c r="AE113" s="184" t="s">
        <v>2042</v>
      </c>
      <c r="AF113" s="184" t="s">
        <v>2042</v>
      </c>
      <c r="AG113" s="184" t="s">
        <v>2042</v>
      </c>
      <c r="AH113" s="184" t="s">
        <v>2042</v>
      </c>
      <c r="AI113" s="184" t="s">
        <v>2042</v>
      </c>
      <c r="AJ113" s="184" t="s">
        <v>2042</v>
      </c>
      <c r="AK113" s="184" t="s">
        <v>2042</v>
      </c>
      <c r="AL113" s="184" t="s">
        <v>2042</v>
      </c>
      <c r="AM113" s="184" t="s">
        <v>2042</v>
      </c>
      <c r="AN113" s="184" t="s">
        <v>2042</v>
      </c>
      <c r="AO113" s="184" t="s">
        <v>2042</v>
      </c>
      <c r="AP113" s="184" t="s">
        <v>2042</v>
      </c>
      <c r="AQ113" s="175"/>
    </row>
    <row r="114" spans="1:43" ht="14.5">
      <c r="A114" s="169"/>
      <c r="B114" s="170"/>
      <c r="C114" s="176" t="s">
        <v>1927</v>
      </c>
      <c r="D114" s="177"/>
      <c r="E114" s="178">
        <v>1</v>
      </c>
      <c r="F114" s="179"/>
      <c r="G114" s="186">
        <f>IF(C114="","",SUMIFS(MRP!$D$5:$D1000,MRP!$B$5:$B1000,C114))*E114</f>
        <v>0</v>
      </c>
      <c r="H114" s="181" t="s">
        <v>2041</v>
      </c>
      <c r="I114" s="182">
        <v>0</v>
      </c>
      <c r="J114" s="183" t="s">
        <v>2042</v>
      </c>
      <c r="K114" s="184" t="s">
        <v>2042</v>
      </c>
      <c r="L114" s="184" t="s">
        <v>2042</v>
      </c>
      <c r="M114" s="185" t="s">
        <v>2042</v>
      </c>
      <c r="N114" s="184" t="s">
        <v>2042</v>
      </c>
      <c r="O114" s="184" t="s">
        <v>2042</v>
      </c>
      <c r="P114" s="184" t="s">
        <v>2042</v>
      </c>
      <c r="Q114" s="184" t="s">
        <v>2042</v>
      </c>
      <c r="R114" s="184" t="s">
        <v>2042</v>
      </c>
      <c r="S114" s="185" t="s">
        <v>2042</v>
      </c>
      <c r="T114" s="185" t="s">
        <v>2042</v>
      </c>
      <c r="U114" s="185" t="s">
        <v>2042</v>
      </c>
      <c r="V114" s="185" t="s">
        <v>2042</v>
      </c>
      <c r="W114" s="185" t="s">
        <v>2042</v>
      </c>
      <c r="X114" s="185" t="s">
        <v>2042</v>
      </c>
      <c r="Y114" s="185" t="s">
        <v>2042</v>
      </c>
      <c r="Z114" s="185" t="s">
        <v>2042</v>
      </c>
      <c r="AA114" s="185" t="s">
        <v>2042</v>
      </c>
      <c r="AB114" s="185" t="s">
        <v>2042</v>
      </c>
      <c r="AC114" s="185" t="s">
        <v>2042</v>
      </c>
      <c r="AD114" s="185" t="s">
        <v>2042</v>
      </c>
      <c r="AE114" s="185" t="s">
        <v>2042</v>
      </c>
      <c r="AF114" s="185" t="s">
        <v>2042</v>
      </c>
      <c r="AG114" s="185" t="s">
        <v>2042</v>
      </c>
      <c r="AH114" s="185" t="s">
        <v>2042</v>
      </c>
      <c r="AI114" s="185" t="s">
        <v>2042</v>
      </c>
      <c r="AJ114" s="185" t="s">
        <v>2042</v>
      </c>
      <c r="AK114" s="185" t="s">
        <v>2042</v>
      </c>
      <c r="AL114" s="185" t="s">
        <v>2042</v>
      </c>
      <c r="AM114" s="185" t="s">
        <v>2042</v>
      </c>
      <c r="AN114" s="185" t="s">
        <v>2042</v>
      </c>
      <c r="AO114" s="185" t="s">
        <v>2042</v>
      </c>
      <c r="AP114" s="185" t="s">
        <v>2042</v>
      </c>
      <c r="AQ114" s="175"/>
    </row>
    <row r="115" spans="1:43" ht="14.5">
      <c r="A115" s="169"/>
      <c r="B115" s="170"/>
      <c r="C115" s="176" t="s">
        <v>1928</v>
      </c>
      <c r="D115" s="177"/>
      <c r="E115" s="178">
        <v>1</v>
      </c>
      <c r="F115" s="179"/>
      <c r="G115" s="186">
        <f>IF(C115="","",SUMIFS(MRP!$D$5:$D1000,MRP!$B$5:$B1000,C115))*E115</f>
        <v>0</v>
      </c>
      <c r="H115" s="181" t="s">
        <v>2041</v>
      </c>
      <c r="I115" s="182">
        <v>0</v>
      </c>
      <c r="J115" s="183" t="s">
        <v>2042</v>
      </c>
      <c r="K115" s="184" t="s">
        <v>2042</v>
      </c>
      <c r="L115" s="184" t="s">
        <v>2042</v>
      </c>
      <c r="M115" s="184" t="s">
        <v>2042</v>
      </c>
      <c r="N115" s="184" t="s">
        <v>2042</v>
      </c>
      <c r="O115" s="184" t="s">
        <v>2042</v>
      </c>
      <c r="P115" s="184" t="s">
        <v>2042</v>
      </c>
      <c r="Q115" s="184" t="s">
        <v>2042</v>
      </c>
      <c r="R115" s="184" t="s">
        <v>2042</v>
      </c>
      <c r="S115" s="184" t="s">
        <v>2042</v>
      </c>
      <c r="T115" s="184" t="s">
        <v>2042</v>
      </c>
      <c r="U115" s="184" t="s">
        <v>2042</v>
      </c>
      <c r="V115" s="184" t="s">
        <v>2042</v>
      </c>
      <c r="W115" s="184" t="s">
        <v>2042</v>
      </c>
      <c r="X115" s="184" t="s">
        <v>2042</v>
      </c>
      <c r="Y115" s="184" t="s">
        <v>2042</v>
      </c>
      <c r="Z115" s="184" t="s">
        <v>2042</v>
      </c>
      <c r="AA115" s="184" t="s">
        <v>2042</v>
      </c>
      <c r="AB115" s="184" t="s">
        <v>2042</v>
      </c>
      <c r="AC115" s="184" t="s">
        <v>2042</v>
      </c>
      <c r="AD115" s="184" t="s">
        <v>2042</v>
      </c>
      <c r="AE115" s="184" t="s">
        <v>2042</v>
      </c>
      <c r="AF115" s="184" t="s">
        <v>2042</v>
      </c>
      <c r="AG115" s="184" t="s">
        <v>2042</v>
      </c>
      <c r="AH115" s="184" t="s">
        <v>2042</v>
      </c>
      <c r="AI115" s="184" t="s">
        <v>2042</v>
      </c>
      <c r="AJ115" s="184" t="s">
        <v>2042</v>
      </c>
      <c r="AK115" s="184" t="s">
        <v>2042</v>
      </c>
      <c r="AL115" s="184" t="s">
        <v>2042</v>
      </c>
      <c r="AM115" s="184" t="s">
        <v>2042</v>
      </c>
      <c r="AN115" s="184" t="s">
        <v>2042</v>
      </c>
      <c r="AO115" s="184" t="s">
        <v>2042</v>
      </c>
      <c r="AP115" s="184" t="s">
        <v>2042</v>
      </c>
      <c r="AQ115" s="175"/>
    </row>
    <row r="116" spans="1:43" ht="14.5">
      <c r="A116" s="169"/>
      <c r="B116" s="170"/>
      <c r="C116" s="176" t="s">
        <v>1929</v>
      </c>
      <c r="D116" s="177"/>
      <c r="E116" s="178">
        <v>1</v>
      </c>
      <c r="F116" s="179"/>
      <c r="G116" s="186">
        <f>IF(C116="","",SUMIFS(MRP!$D$5:$D1000,MRP!$B$5:$B1000,C116))*E116</f>
        <v>0</v>
      </c>
      <c r="H116" s="181" t="s">
        <v>2041</v>
      </c>
      <c r="I116" s="182">
        <v>0</v>
      </c>
      <c r="J116" s="183" t="s">
        <v>2042</v>
      </c>
      <c r="K116" s="184" t="s">
        <v>2042</v>
      </c>
      <c r="L116" s="184" t="s">
        <v>2042</v>
      </c>
      <c r="M116" s="184" t="s">
        <v>2042</v>
      </c>
      <c r="N116" s="184" t="s">
        <v>2042</v>
      </c>
      <c r="O116" s="184" t="s">
        <v>2042</v>
      </c>
      <c r="P116" s="184" t="s">
        <v>2042</v>
      </c>
      <c r="Q116" s="184" t="s">
        <v>2042</v>
      </c>
      <c r="R116" s="184" t="s">
        <v>2042</v>
      </c>
      <c r="S116" s="184" t="s">
        <v>2042</v>
      </c>
      <c r="T116" s="184" t="s">
        <v>2042</v>
      </c>
      <c r="U116" s="184" t="s">
        <v>2042</v>
      </c>
      <c r="V116" s="184" t="s">
        <v>2042</v>
      </c>
      <c r="W116" s="184" t="s">
        <v>2042</v>
      </c>
      <c r="X116" s="184" t="s">
        <v>2042</v>
      </c>
      <c r="Y116" s="184" t="s">
        <v>2042</v>
      </c>
      <c r="Z116" s="184" t="s">
        <v>2042</v>
      </c>
      <c r="AA116" s="184" t="s">
        <v>2042</v>
      </c>
      <c r="AB116" s="184" t="s">
        <v>2042</v>
      </c>
      <c r="AC116" s="184" t="s">
        <v>2042</v>
      </c>
      <c r="AD116" s="184" t="s">
        <v>2042</v>
      </c>
      <c r="AE116" s="184" t="s">
        <v>2042</v>
      </c>
      <c r="AF116" s="184" t="s">
        <v>2042</v>
      </c>
      <c r="AG116" s="184" t="s">
        <v>2042</v>
      </c>
      <c r="AH116" s="184" t="s">
        <v>2042</v>
      </c>
      <c r="AI116" s="184" t="s">
        <v>2042</v>
      </c>
      <c r="AJ116" s="184" t="s">
        <v>2042</v>
      </c>
      <c r="AK116" s="184" t="s">
        <v>2042</v>
      </c>
      <c r="AL116" s="184" t="s">
        <v>2042</v>
      </c>
      <c r="AM116" s="184" t="s">
        <v>2042</v>
      </c>
      <c r="AN116" s="184" t="s">
        <v>2042</v>
      </c>
      <c r="AO116" s="184" t="s">
        <v>2042</v>
      </c>
      <c r="AP116" s="184" t="s">
        <v>2042</v>
      </c>
      <c r="AQ116" s="175"/>
    </row>
    <row r="117" spans="1:43" ht="14.5">
      <c r="A117" s="169"/>
      <c r="B117" s="170"/>
      <c r="C117" s="176" t="s">
        <v>1930</v>
      </c>
      <c r="D117" s="177"/>
      <c r="E117" s="178">
        <v>1</v>
      </c>
      <c r="F117" s="179"/>
      <c r="G117" s="186">
        <f>IF(C117="","",SUMIFS(MRP!$D$5:$D1000,MRP!$B$5:$B1000,C117))*E117</f>
        <v>0</v>
      </c>
      <c r="H117" s="181" t="s">
        <v>2041</v>
      </c>
      <c r="I117" s="182">
        <v>0</v>
      </c>
      <c r="J117" s="183" t="s">
        <v>2042</v>
      </c>
      <c r="K117" s="184" t="s">
        <v>2042</v>
      </c>
      <c r="L117" s="184" t="s">
        <v>2042</v>
      </c>
      <c r="M117" s="184" t="s">
        <v>2042</v>
      </c>
      <c r="N117" s="184" t="s">
        <v>2042</v>
      </c>
      <c r="O117" s="184" t="s">
        <v>2042</v>
      </c>
      <c r="P117" s="184" t="s">
        <v>2042</v>
      </c>
      <c r="Q117" s="184" t="s">
        <v>2042</v>
      </c>
      <c r="R117" s="184" t="s">
        <v>2042</v>
      </c>
      <c r="S117" s="184" t="s">
        <v>2042</v>
      </c>
      <c r="T117" s="184" t="s">
        <v>2042</v>
      </c>
      <c r="U117" s="184" t="s">
        <v>2042</v>
      </c>
      <c r="V117" s="184" t="s">
        <v>2042</v>
      </c>
      <c r="W117" s="184" t="s">
        <v>2042</v>
      </c>
      <c r="X117" s="184" t="s">
        <v>2042</v>
      </c>
      <c r="Y117" s="184" t="s">
        <v>2042</v>
      </c>
      <c r="Z117" s="184" t="s">
        <v>2042</v>
      </c>
      <c r="AA117" s="184" t="s">
        <v>2042</v>
      </c>
      <c r="AB117" s="184" t="s">
        <v>2042</v>
      </c>
      <c r="AC117" s="184" t="s">
        <v>2042</v>
      </c>
      <c r="AD117" s="184" t="s">
        <v>2042</v>
      </c>
      <c r="AE117" s="184" t="s">
        <v>2042</v>
      </c>
      <c r="AF117" s="184" t="s">
        <v>2042</v>
      </c>
      <c r="AG117" s="184" t="s">
        <v>2042</v>
      </c>
      <c r="AH117" s="184" t="s">
        <v>2042</v>
      </c>
      <c r="AI117" s="184" t="s">
        <v>2042</v>
      </c>
      <c r="AJ117" s="184" t="s">
        <v>2042</v>
      </c>
      <c r="AK117" s="184" t="s">
        <v>2042</v>
      </c>
      <c r="AL117" s="184" t="s">
        <v>2042</v>
      </c>
      <c r="AM117" s="184" t="s">
        <v>2042</v>
      </c>
      <c r="AN117" s="184" t="s">
        <v>2042</v>
      </c>
      <c r="AO117" s="184" t="s">
        <v>2042</v>
      </c>
      <c r="AP117" s="184" t="s">
        <v>2042</v>
      </c>
      <c r="AQ117" s="175"/>
    </row>
    <row r="118" spans="1:43" ht="14.5">
      <c r="A118" s="169"/>
      <c r="B118" s="170"/>
      <c r="C118" s="176" t="s">
        <v>1931</v>
      </c>
      <c r="D118" s="177"/>
      <c r="E118" s="178">
        <v>1</v>
      </c>
      <c r="F118" s="179"/>
      <c r="G118" s="186">
        <f>IF(C118="","",SUMIFS(MRP!$D$5:$D1000,MRP!$B$5:$B1000,C118))*E118</f>
        <v>0</v>
      </c>
      <c r="H118" s="181" t="s">
        <v>2041</v>
      </c>
      <c r="I118" s="182">
        <v>0</v>
      </c>
      <c r="J118" s="183" t="s">
        <v>2042</v>
      </c>
      <c r="K118" s="184" t="s">
        <v>2042</v>
      </c>
      <c r="L118" s="184" t="s">
        <v>2042</v>
      </c>
      <c r="M118" s="184" t="s">
        <v>2042</v>
      </c>
      <c r="N118" s="184" t="s">
        <v>2042</v>
      </c>
      <c r="O118" s="184" t="s">
        <v>2042</v>
      </c>
      <c r="P118" s="184" t="s">
        <v>2042</v>
      </c>
      <c r="Q118" s="184" t="s">
        <v>2042</v>
      </c>
      <c r="R118" s="184" t="s">
        <v>2042</v>
      </c>
      <c r="S118" s="184" t="s">
        <v>2042</v>
      </c>
      <c r="T118" s="184" t="s">
        <v>2042</v>
      </c>
      <c r="U118" s="184" t="s">
        <v>2042</v>
      </c>
      <c r="V118" s="184" t="s">
        <v>2042</v>
      </c>
      <c r="W118" s="184" t="s">
        <v>2042</v>
      </c>
      <c r="X118" s="184" t="s">
        <v>2042</v>
      </c>
      <c r="Y118" s="184" t="s">
        <v>2042</v>
      </c>
      <c r="Z118" s="184" t="s">
        <v>2042</v>
      </c>
      <c r="AA118" s="184" t="s">
        <v>2042</v>
      </c>
      <c r="AB118" s="184" t="s">
        <v>2042</v>
      </c>
      <c r="AC118" s="184" t="s">
        <v>2042</v>
      </c>
      <c r="AD118" s="184" t="s">
        <v>2042</v>
      </c>
      <c r="AE118" s="184" t="s">
        <v>2042</v>
      </c>
      <c r="AF118" s="184" t="s">
        <v>2042</v>
      </c>
      <c r="AG118" s="184" t="s">
        <v>2042</v>
      </c>
      <c r="AH118" s="184" t="s">
        <v>2042</v>
      </c>
      <c r="AI118" s="184" t="s">
        <v>2042</v>
      </c>
      <c r="AJ118" s="184" t="s">
        <v>2042</v>
      </c>
      <c r="AK118" s="184" t="s">
        <v>2042</v>
      </c>
      <c r="AL118" s="184" t="s">
        <v>2042</v>
      </c>
      <c r="AM118" s="184" t="s">
        <v>2042</v>
      </c>
      <c r="AN118" s="184" t="s">
        <v>2042</v>
      </c>
      <c r="AO118" s="184" t="s">
        <v>2042</v>
      </c>
      <c r="AP118" s="184" t="s">
        <v>2042</v>
      </c>
      <c r="AQ118" s="175"/>
    </row>
    <row r="119" spans="1:43" ht="14.5">
      <c r="A119" s="169"/>
      <c r="B119" s="170"/>
      <c r="C119" s="176" t="s">
        <v>1932</v>
      </c>
      <c r="D119" s="177"/>
      <c r="E119" s="178">
        <v>1</v>
      </c>
      <c r="F119" s="179"/>
      <c r="G119" s="186">
        <f>IF(C119="","",SUMIFS(MRP!$D$5:$D1000,MRP!$B$5:$B1000,C119))*E119</f>
        <v>0</v>
      </c>
      <c r="H119" s="181" t="s">
        <v>2041</v>
      </c>
      <c r="I119" s="182">
        <v>0</v>
      </c>
      <c r="J119" s="183" t="s">
        <v>2042</v>
      </c>
      <c r="K119" s="184" t="s">
        <v>2042</v>
      </c>
      <c r="L119" s="184" t="s">
        <v>2042</v>
      </c>
      <c r="M119" s="184" t="s">
        <v>2042</v>
      </c>
      <c r="N119" s="184" t="s">
        <v>2042</v>
      </c>
      <c r="O119" s="184" t="s">
        <v>2042</v>
      </c>
      <c r="P119" s="184" t="s">
        <v>2042</v>
      </c>
      <c r="Q119" s="184" t="s">
        <v>2042</v>
      </c>
      <c r="R119" s="184" t="s">
        <v>2042</v>
      </c>
      <c r="S119" s="184" t="s">
        <v>2042</v>
      </c>
      <c r="T119" s="184" t="s">
        <v>2042</v>
      </c>
      <c r="U119" s="184" t="s">
        <v>2042</v>
      </c>
      <c r="V119" s="184" t="s">
        <v>2042</v>
      </c>
      <c r="W119" s="184" t="s">
        <v>2042</v>
      </c>
      <c r="X119" s="184" t="s">
        <v>2042</v>
      </c>
      <c r="Y119" s="184" t="s">
        <v>2042</v>
      </c>
      <c r="Z119" s="184" t="s">
        <v>2042</v>
      </c>
      <c r="AA119" s="184" t="s">
        <v>2042</v>
      </c>
      <c r="AB119" s="184" t="s">
        <v>2042</v>
      </c>
      <c r="AC119" s="184" t="s">
        <v>2042</v>
      </c>
      <c r="AD119" s="184" t="s">
        <v>2042</v>
      </c>
      <c r="AE119" s="184" t="s">
        <v>2042</v>
      </c>
      <c r="AF119" s="184" t="s">
        <v>2042</v>
      </c>
      <c r="AG119" s="184" t="s">
        <v>2042</v>
      </c>
      <c r="AH119" s="184" t="s">
        <v>2042</v>
      </c>
      <c r="AI119" s="184" t="s">
        <v>2042</v>
      </c>
      <c r="AJ119" s="184" t="s">
        <v>2042</v>
      </c>
      <c r="AK119" s="184" t="s">
        <v>2042</v>
      </c>
      <c r="AL119" s="184" t="s">
        <v>2042</v>
      </c>
      <c r="AM119" s="184" t="s">
        <v>2042</v>
      </c>
      <c r="AN119" s="184" t="s">
        <v>2042</v>
      </c>
      <c r="AO119" s="184" t="s">
        <v>2042</v>
      </c>
      <c r="AP119" s="184" t="s">
        <v>2042</v>
      </c>
      <c r="AQ119" s="175"/>
    </row>
    <row r="120" spans="1:43" ht="14.5">
      <c r="A120" s="169"/>
      <c r="B120" s="170"/>
      <c r="C120" s="176" t="s">
        <v>1451</v>
      </c>
      <c r="D120" s="177"/>
      <c r="E120" s="178">
        <v>1</v>
      </c>
      <c r="F120" s="179"/>
      <c r="G120" s="186">
        <f>IF(C120="","",SUMIFS(MRP!$D$5:$D1000,MRP!$B$5:$B1000,C120))*E120</f>
        <v>0</v>
      </c>
      <c r="H120" s="181" t="s">
        <v>2041</v>
      </c>
      <c r="I120" s="182">
        <v>0</v>
      </c>
      <c r="J120" s="183" t="s">
        <v>2042</v>
      </c>
      <c r="K120" s="184" t="s">
        <v>2042</v>
      </c>
      <c r="L120" s="184" t="s">
        <v>2042</v>
      </c>
      <c r="M120" s="184" t="s">
        <v>2042</v>
      </c>
      <c r="N120" s="184" t="s">
        <v>2042</v>
      </c>
      <c r="O120" s="184" t="s">
        <v>2042</v>
      </c>
      <c r="P120" s="187" t="s">
        <v>2042</v>
      </c>
      <c r="Q120" s="187" t="s">
        <v>2042</v>
      </c>
      <c r="R120" s="184" t="s">
        <v>2042</v>
      </c>
      <c r="S120" s="185" t="s">
        <v>2042</v>
      </c>
      <c r="T120" s="184" t="s">
        <v>2042</v>
      </c>
      <c r="U120" s="184" t="s">
        <v>2042</v>
      </c>
      <c r="V120" s="184" t="s">
        <v>2042</v>
      </c>
      <c r="W120" s="184" t="s">
        <v>2042</v>
      </c>
      <c r="X120" s="184" t="s">
        <v>2042</v>
      </c>
      <c r="Y120" s="184" t="s">
        <v>2042</v>
      </c>
      <c r="Z120" s="184" t="s">
        <v>2042</v>
      </c>
      <c r="AA120" s="184" t="s">
        <v>2042</v>
      </c>
      <c r="AB120" s="184" t="s">
        <v>2042</v>
      </c>
      <c r="AC120" s="184" t="s">
        <v>2042</v>
      </c>
      <c r="AD120" s="184" t="s">
        <v>2042</v>
      </c>
      <c r="AE120" s="184" t="s">
        <v>2042</v>
      </c>
      <c r="AF120" s="187" t="s">
        <v>2042</v>
      </c>
      <c r="AG120" s="187" t="s">
        <v>2042</v>
      </c>
      <c r="AH120" s="187" t="s">
        <v>2042</v>
      </c>
      <c r="AI120" s="187" t="s">
        <v>2042</v>
      </c>
      <c r="AJ120" s="187" t="s">
        <v>2042</v>
      </c>
      <c r="AK120" s="187" t="s">
        <v>2042</v>
      </c>
      <c r="AL120" s="187" t="s">
        <v>2042</v>
      </c>
      <c r="AM120" s="187" t="s">
        <v>2042</v>
      </c>
      <c r="AN120" s="187" t="s">
        <v>2042</v>
      </c>
      <c r="AO120" s="187" t="s">
        <v>2042</v>
      </c>
      <c r="AP120" s="187" t="s">
        <v>2042</v>
      </c>
      <c r="AQ120" s="175"/>
    </row>
    <row r="121" spans="1:43" ht="14.5">
      <c r="A121" s="169"/>
      <c r="B121" s="170"/>
      <c r="C121" s="176" t="s">
        <v>1449</v>
      </c>
      <c r="D121" s="177"/>
      <c r="E121" s="178">
        <v>1</v>
      </c>
      <c r="F121" s="179"/>
      <c r="G121" s="186">
        <f>IF(C121="","",SUMIFS(MRP!$D$5:$D1000,MRP!$B$5:$B1000,C121))*E121</f>
        <v>0</v>
      </c>
      <c r="H121" s="181" t="s">
        <v>2041</v>
      </c>
      <c r="I121" s="182">
        <v>0</v>
      </c>
      <c r="J121" s="183" t="s">
        <v>2042</v>
      </c>
      <c r="K121" s="185" t="s">
        <v>2042</v>
      </c>
      <c r="L121" s="185" t="s">
        <v>2042</v>
      </c>
      <c r="M121" s="185" t="s">
        <v>2042</v>
      </c>
      <c r="N121" s="185" t="s">
        <v>2042</v>
      </c>
      <c r="O121" s="185" t="s">
        <v>2042</v>
      </c>
      <c r="P121" s="185" t="s">
        <v>2042</v>
      </c>
      <c r="Q121" s="185" t="s">
        <v>2042</v>
      </c>
      <c r="R121" s="185" t="s">
        <v>2042</v>
      </c>
      <c r="S121" s="184" t="s">
        <v>2042</v>
      </c>
      <c r="T121" s="184" t="s">
        <v>2042</v>
      </c>
      <c r="U121" s="184" t="s">
        <v>2042</v>
      </c>
      <c r="V121" s="184" t="s">
        <v>2042</v>
      </c>
      <c r="W121" s="184" t="s">
        <v>2042</v>
      </c>
      <c r="X121" s="184" t="s">
        <v>2042</v>
      </c>
      <c r="Y121" s="184" t="s">
        <v>2042</v>
      </c>
      <c r="Z121" s="184" t="s">
        <v>2042</v>
      </c>
      <c r="AA121" s="184" t="s">
        <v>2042</v>
      </c>
      <c r="AB121" s="184" t="s">
        <v>2042</v>
      </c>
      <c r="AC121" s="184" t="s">
        <v>2042</v>
      </c>
      <c r="AD121" s="184" t="s">
        <v>2042</v>
      </c>
      <c r="AE121" s="185" t="s">
        <v>2042</v>
      </c>
      <c r="AF121" s="185" t="s">
        <v>2042</v>
      </c>
      <c r="AG121" s="185" t="s">
        <v>2042</v>
      </c>
      <c r="AH121" s="185" t="s">
        <v>2042</v>
      </c>
      <c r="AI121" s="185" t="s">
        <v>2042</v>
      </c>
      <c r="AJ121" s="185" t="s">
        <v>2042</v>
      </c>
      <c r="AK121" s="185" t="s">
        <v>2042</v>
      </c>
      <c r="AL121" s="185" t="s">
        <v>2042</v>
      </c>
      <c r="AM121" s="185" t="s">
        <v>2042</v>
      </c>
      <c r="AN121" s="185" t="s">
        <v>2042</v>
      </c>
      <c r="AO121" s="185" t="s">
        <v>2042</v>
      </c>
      <c r="AP121" s="185" t="s">
        <v>2042</v>
      </c>
      <c r="AQ121" s="175"/>
    </row>
    <row r="122" spans="1:43" ht="14.5">
      <c r="A122" s="169"/>
      <c r="B122" s="170"/>
      <c r="C122" s="176" t="s">
        <v>1452</v>
      </c>
      <c r="D122" s="177"/>
      <c r="E122" s="178">
        <v>1</v>
      </c>
      <c r="F122" s="179"/>
      <c r="G122" s="186">
        <f>IF(C122="","",SUMIFS(MRP!$D$5:$D1000,MRP!$B$5:$B1000,C122))*E122</f>
        <v>0</v>
      </c>
      <c r="H122" s="181" t="s">
        <v>2041</v>
      </c>
      <c r="I122" s="182">
        <v>0</v>
      </c>
      <c r="J122" s="183" t="s">
        <v>2042</v>
      </c>
      <c r="K122" s="184" t="s">
        <v>2042</v>
      </c>
      <c r="L122" s="184" t="s">
        <v>2042</v>
      </c>
      <c r="M122" s="184" t="s">
        <v>2042</v>
      </c>
      <c r="N122" s="184" t="s">
        <v>2042</v>
      </c>
      <c r="O122" s="184" t="s">
        <v>2042</v>
      </c>
      <c r="P122" s="184" t="s">
        <v>2042</v>
      </c>
      <c r="Q122" s="184" t="s">
        <v>2042</v>
      </c>
      <c r="R122" s="184" t="s">
        <v>2042</v>
      </c>
      <c r="S122" s="188" t="s">
        <v>2042</v>
      </c>
      <c r="T122" s="188" t="s">
        <v>2042</v>
      </c>
      <c r="U122" s="188" t="s">
        <v>2042</v>
      </c>
      <c r="V122" s="188" t="s">
        <v>2042</v>
      </c>
      <c r="W122" s="188" t="s">
        <v>2042</v>
      </c>
      <c r="X122" s="188" t="s">
        <v>2042</v>
      </c>
      <c r="Y122" s="188" t="s">
        <v>2042</v>
      </c>
      <c r="Z122" s="188" t="s">
        <v>2042</v>
      </c>
      <c r="AA122" s="188" t="s">
        <v>2042</v>
      </c>
      <c r="AB122" s="188" t="s">
        <v>2042</v>
      </c>
      <c r="AC122" s="188" t="s">
        <v>2042</v>
      </c>
      <c r="AD122" s="188" t="s">
        <v>2042</v>
      </c>
      <c r="AE122" s="188" t="s">
        <v>2042</v>
      </c>
      <c r="AF122" s="188" t="s">
        <v>2042</v>
      </c>
      <c r="AG122" s="188" t="s">
        <v>2042</v>
      </c>
      <c r="AH122" s="188" t="s">
        <v>2042</v>
      </c>
      <c r="AI122" s="188" t="s">
        <v>2042</v>
      </c>
      <c r="AJ122" s="188" t="s">
        <v>2042</v>
      </c>
      <c r="AK122" s="188" t="s">
        <v>2042</v>
      </c>
      <c r="AL122" s="188" t="s">
        <v>2042</v>
      </c>
      <c r="AM122" s="188" t="s">
        <v>2042</v>
      </c>
      <c r="AN122" s="188" t="s">
        <v>2042</v>
      </c>
      <c r="AO122" s="188" t="s">
        <v>2042</v>
      </c>
      <c r="AP122" s="188" t="s">
        <v>2042</v>
      </c>
      <c r="AQ122" s="175"/>
    </row>
    <row r="123" spans="1:43" ht="14.5">
      <c r="A123" s="169"/>
      <c r="B123" s="170"/>
      <c r="C123" s="176" t="s">
        <v>1933</v>
      </c>
      <c r="D123" s="177"/>
      <c r="E123" s="178">
        <v>1</v>
      </c>
      <c r="F123" s="179"/>
      <c r="G123" s="186">
        <f>IF(C123="","",SUMIFS(MRP!$D$5:$D1000,MRP!$B$5:$B1000,C123))*E123</f>
        <v>0</v>
      </c>
      <c r="H123" s="181" t="s">
        <v>2041</v>
      </c>
      <c r="I123" s="182">
        <v>0</v>
      </c>
      <c r="J123" s="183" t="s">
        <v>2042</v>
      </c>
      <c r="K123" s="184" t="s">
        <v>2042</v>
      </c>
      <c r="L123" s="184" t="s">
        <v>2042</v>
      </c>
      <c r="M123" s="184" t="s">
        <v>2042</v>
      </c>
      <c r="N123" s="184" t="s">
        <v>2042</v>
      </c>
      <c r="O123" s="184" t="s">
        <v>2042</v>
      </c>
      <c r="P123" s="184" t="s">
        <v>2042</v>
      </c>
      <c r="Q123" s="184" t="s">
        <v>2042</v>
      </c>
      <c r="R123" s="184" t="s">
        <v>2042</v>
      </c>
      <c r="S123" s="184" t="s">
        <v>2042</v>
      </c>
      <c r="T123" s="184" t="s">
        <v>2042</v>
      </c>
      <c r="U123" s="184" t="s">
        <v>2042</v>
      </c>
      <c r="V123" s="184" t="s">
        <v>2042</v>
      </c>
      <c r="W123" s="184" t="s">
        <v>2042</v>
      </c>
      <c r="X123" s="184" t="s">
        <v>2042</v>
      </c>
      <c r="Y123" s="184" t="s">
        <v>2042</v>
      </c>
      <c r="Z123" s="184" t="s">
        <v>2042</v>
      </c>
      <c r="AA123" s="184" t="s">
        <v>2042</v>
      </c>
      <c r="AB123" s="184" t="s">
        <v>2042</v>
      </c>
      <c r="AC123" s="184" t="s">
        <v>2042</v>
      </c>
      <c r="AD123" s="184" t="s">
        <v>2042</v>
      </c>
      <c r="AE123" s="184" t="s">
        <v>2042</v>
      </c>
      <c r="AF123" s="185" t="s">
        <v>2042</v>
      </c>
      <c r="AG123" s="185" t="s">
        <v>2042</v>
      </c>
      <c r="AH123" s="185" t="s">
        <v>2042</v>
      </c>
      <c r="AI123" s="185" t="s">
        <v>2042</v>
      </c>
      <c r="AJ123" s="185" t="s">
        <v>2042</v>
      </c>
      <c r="AK123" s="185" t="s">
        <v>2042</v>
      </c>
      <c r="AL123" s="185" t="s">
        <v>2042</v>
      </c>
      <c r="AM123" s="185" t="s">
        <v>2042</v>
      </c>
      <c r="AN123" s="185" t="s">
        <v>2042</v>
      </c>
      <c r="AO123" s="185" t="s">
        <v>2042</v>
      </c>
      <c r="AP123" s="185" t="s">
        <v>2042</v>
      </c>
      <c r="AQ123" s="175"/>
    </row>
    <row r="124" spans="1:43" ht="14.5">
      <c r="A124" s="169"/>
      <c r="B124" s="170"/>
      <c r="C124" s="176" t="s">
        <v>1934</v>
      </c>
      <c r="D124" s="177"/>
      <c r="E124" s="178">
        <v>1</v>
      </c>
      <c r="F124" s="179"/>
      <c r="G124" s="186">
        <f>IF(C124="","",SUMIFS(MRP!$D$5:$D1000,MRP!$B$5:$B1000,C124))*E124</f>
        <v>0</v>
      </c>
      <c r="H124" s="181" t="s">
        <v>2041</v>
      </c>
      <c r="I124" s="182">
        <v>0</v>
      </c>
      <c r="J124" s="183" t="s">
        <v>2042</v>
      </c>
      <c r="K124" s="184" t="s">
        <v>2042</v>
      </c>
      <c r="L124" s="184" t="s">
        <v>2042</v>
      </c>
      <c r="M124" s="184" t="s">
        <v>2042</v>
      </c>
      <c r="N124" s="184" t="s">
        <v>2042</v>
      </c>
      <c r="O124" s="184" t="s">
        <v>2042</v>
      </c>
      <c r="P124" s="184" t="s">
        <v>2042</v>
      </c>
      <c r="Q124" s="184" t="s">
        <v>2042</v>
      </c>
      <c r="R124" s="184" t="s">
        <v>2042</v>
      </c>
      <c r="S124" s="184" t="s">
        <v>2042</v>
      </c>
      <c r="T124" s="184" t="s">
        <v>2042</v>
      </c>
      <c r="U124" s="184" t="s">
        <v>2042</v>
      </c>
      <c r="V124" s="184" t="s">
        <v>2042</v>
      </c>
      <c r="W124" s="184" t="s">
        <v>2042</v>
      </c>
      <c r="X124" s="184" t="s">
        <v>2042</v>
      </c>
      <c r="Y124" s="184" t="s">
        <v>2042</v>
      </c>
      <c r="Z124" s="184" t="s">
        <v>2042</v>
      </c>
      <c r="AA124" s="184" t="s">
        <v>2042</v>
      </c>
      <c r="AB124" s="184" t="s">
        <v>2042</v>
      </c>
      <c r="AC124" s="184" t="s">
        <v>2042</v>
      </c>
      <c r="AD124" s="184" t="s">
        <v>2042</v>
      </c>
      <c r="AE124" s="184" t="s">
        <v>2042</v>
      </c>
      <c r="AF124" s="184" t="s">
        <v>2042</v>
      </c>
      <c r="AG124" s="184" t="s">
        <v>2042</v>
      </c>
      <c r="AH124" s="184" t="s">
        <v>2042</v>
      </c>
      <c r="AI124" s="184" t="s">
        <v>2042</v>
      </c>
      <c r="AJ124" s="184" t="s">
        <v>2042</v>
      </c>
      <c r="AK124" s="184" t="s">
        <v>2042</v>
      </c>
      <c r="AL124" s="184" t="s">
        <v>2042</v>
      </c>
      <c r="AM124" s="184" t="s">
        <v>2042</v>
      </c>
      <c r="AN124" s="184" t="s">
        <v>2042</v>
      </c>
      <c r="AO124" s="184" t="s">
        <v>2042</v>
      </c>
      <c r="AP124" s="184" t="s">
        <v>2042</v>
      </c>
      <c r="AQ124" s="175"/>
    </row>
    <row r="125" spans="1:43" ht="14.5">
      <c r="A125" s="169"/>
      <c r="B125" s="170"/>
      <c r="C125" s="176" t="s">
        <v>1935</v>
      </c>
      <c r="D125" s="177"/>
      <c r="E125" s="178">
        <v>1</v>
      </c>
      <c r="F125" s="179"/>
      <c r="G125" s="186">
        <f>IF(C125="","",SUMIFS(MRP!$D$5:$D1000,MRP!$B$5:$B1000,C125))*E125</f>
        <v>0</v>
      </c>
      <c r="H125" s="181" t="s">
        <v>2041</v>
      </c>
      <c r="I125" s="182">
        <v>0</v>
      </c>
      <c r="J125" s="183" t="s">
        <v>2042</v>
      </c>
      <c r="K125" s="184" t="s">
        <v>2042</v>
      </c>
      <c r="L125" s="184" t="s">
        <v>2042</v>
      </c>
      <c r="M125" s="184" t="s">
        <v>2042</v>
      </c>
      <c r="N125" s="184" t="s">
        <v>2042</v>
      </c>
      <c r="O125" s="184" t="s">
        <v>2042</v>
      </c>
      <c r="P125" s="184" t="s">
        <v>2042</v>
      </c>
      <c r="Q125" s="184" t="s">
        <v>2042</v>
      </c>
      <c r="R125" s="184" t="s">
        <v>2042</v>
      </c>
      <c r="S125" s="184" t="s">
        <v>2042</v>
      </c>
      <c r="T125" s="184" t="s">
        <v>2042</v>
      </c>
      <c r="U125" s="184" t="s">
        <v>2042</v>
      </c>
      <c r="V125" s="184" t="s">
        <v>2042</v>
      </c>
      <c r="W125" s="184" t="s">
        <v>2042</v>
      </c>
      <c r="X125" s="184" t="s">
        <v>2042</v>
      </c>
      <c r="Y125" s="184" t="s">
        <v>2042</v>
      </c>
      <c r="Z125" s="184" t="s">
        <v>2042</v>
      </c>
      <c r="AA125" s="184" t="s">
        <v>2042</v>
      </c>
      <c r="AB125" s="184" t="s">
        <v>2042</v>
      </c>
      <c r="AC125" s="184" t="s">
        <v>2042</v>
      </c>
      <c r="AD125" s="184" t="s">
        <v>2042</v>
      </c>
      <c r="AE125" s="184" t="s">
        <v>2042</v>
      </c>
      <c r="AF125" s="184" t="s">
        <v>2042</v>
      </c>
      <c r="AG125" s="184" t="s">
        <v>2042</v>
      </c>
      <c r="AH125" s="184" t="s">
        <v>2042</v>
      </c>
      <c r="AI125" s="184" t="s">
        <v>2042</v>
      </c>
      <c r="AJ125" s="184" t="s">
        <v>2042</v>
      </c>
      <c r="AK125" s="184" t="s">
        <v>2042</v>
      </c>
      <c r="AL125" s="184" t="s">
        <v>2042</v>
      </c>
      <c r="AM125" s="184" t="s">
        <v>2042</v>
      </c>
      <c r="AN125" s="184" t="s">
        <v>2042</v>
      </c>
      <c r="AO125" s="184" t="s">
        <v>2042</v>
      </c>
      <c r="AP125" s="184" t="s">
        <v>2042</v>
      </c>
      <c r="AQ125" s="175"/>
    </row>
    <row r="126" spans="1:43" ht="14.5">
      <c r="A126" s="169"/>
      <c r="B126" s="170"/>
      <c r="C126" s="176" t="s">
        <v>1686</v>
      </c>
      <c r="D126" s="177"/>
      <c r="E126" s="178">
        <v>1</v>
      </c>
      <c r="F126" s="179"/>
      <c r="G126" s="186">
        <f>IF(C126="","",SUMIFS(MRP!$D$5:$D1000,MRP!$B$5:$B1000,C126))*E126</f>
        <v>0</v>
      </c>
      <c r="H126" s="181" t="s">
        <v>2041</v>
      </c>
      <c r="I126" s="182">
        <v>0</v>
      </c>
      <c r="J126" s="183" t="s">
        <v>2042</v>
      </c>
      <c r="K126" s="185" t="s">
        <v>2042</v>
      </c>
      <c r="L126" s="185" t="s">
        <v>2042</v>
      </c>
      <c r="M126" s="185" t="s">
        <v>2042</v>
      </c>
      <c r="N126" s="185" t="s">
        <v>2042</v>
      </c>
      <c r="O126" s="185" t="s">
        <v>2042</v>
      </c>
      <c r="P126" s="185" t="s">
        <v>2042</v>
      </c>
      <c r="Q126" s="184" t="s">
        <v>2042</v>
      </c>
      <c r="R126" s="184" t="s">
        <v>2042</v>
      </c>
      <c r="S126" s="185" t="s">
        <v>2042</v>
      </c>
      <c r="T126" s="184" t="s">
        <v>2042</v>
      </c>
      <c r="U126" s="184" t="s">
        <v>2042</v>
      </c>
      <c r="V126" s="184" t="s">
        <v>2042</v>
      </c>
      <c r="W126" s="184" t="s">
        <v>2042</v>
      </c>
      <c r="X126" s="184" t="s">
        <v>2042</v>
      </c>
      <c r="Y126" s="184" t="s">
        <v>2042</v>
      </c>
      <c r="Z126" s="184" t="s">
        <v>2042</v>
      </c>
      <c r="AA126" s="184" t="s">
        <v>2042</v>
      </c>
      <c r="AB126" s="184" t="s">
        <v>2042</v>
      </c>
      <c r="AC126" s="184" t="s">
        <v>2042</v>
      </c>
      <c r="AD126" s="184" t="s">
        <v>2042</v>
      </c>
      <c r="AE126" s="184" t="s">
        <v>2042</v>
      </c>
      <c r="AF126" s="184" t="s">
        <v>2042</v>
      </c>
      <c r="AG126" s="184" t="s">
        <v>2042</v>
      </c>
      <c r="AH126" s="184" t="s">
        <v>2042</v>
      </c>
      <c r="AI126" s="184" t="s">
        <v>2042</v>
      </c>
      <c r="AJ126" s="184" t="s">
        <v>2042</v>
      </c>
      <c r="AK126" s="184" t="s">
        <v>2042</v>
      </c>
      <c r="AL126" s="184" t="s">
        <v>2042</v>
      </c>
      <c r="AM126" s="184" t="s">
        <v>2042</v>
      </c>
      <c r="AN126" s="184" t="s">
        <v>2042</v>
      </c>
      <c r="AO126" s="184" t="s">
        <v>2042</v>
      </c>
      <c r="AP126" s="184" t="s">
        <v>2042</v>
      </c>
      <c r="AQ126" s="175"/>
    </row>
    <row r="127" spans="1:43" ht="14.5">
      <c r="A127" s="169"/>
      <c r="B127" s="170"/>
      <c r="C127" s="176" t="s">
        <v>1936</v>
      </c>
      <c r="D127" s="177"/>
      <c r="E127" s="178">
        <v>1</v>
      </c>
      <c r="F127" s="179"/>
      <c r="G127" s="186">
        <f>IF(C127="","",SUMIFS(MRP!$D$5:$D1000,MRP!$B$5:$B1000,C127))*E127</f>
        <v>0</v>
      </c>
      <c r="H127" s="181" t="s">
        <v>2041</v>
      </c>
      <c r="I127" s="182">
        <v>0</v>
      </c>
      <c r="J127" s="183" t="s">
        <v>2042</v>
      </c>
      <c r="K127" s="190" t="s">
        <v>2042</v>
      </c>
      <c r="L127" s="184" t="s">
        <v>2042</v>
      </c>
      <c r="M127" s="184" t="s">
        <v>2042</v>
      </c>
      <c r="N127" s="184" t="s">
        <v>2042</v>
      </c>
      <c r="O127" s="184" t="s">
        <v>2042</v>
      </c>
      <c r="P127" s="184" t="s">
        <v>2042</v>
      </c>
      <c r="Q127" s="184" t="s">
        <v>2042</v>
      </c>
      <c r="R127" s="184" t="s">
        <v>2042</v>
      </c>
      <c r="S127" s="184" t="s">
        <v>2042</v>
      </c>
      <c r="T127" s="184" t="s">
        <v>2042</v>
      </c>
      <c r="U127" s="184" t="s">
        <v>2042</v>
      </c>
      <c r="V127" s="184" t="s">
        <v>2042</v>
      </c>
      <c r="W127" s="189" t="s">
        <v>2042</v>
      </c>
      <c r="X127" s="189" t="s">
        <v>2042</v>
      </c>
      <c r="Y127" s="189" t="s">
        <v>2042</v>
      </c>
      <c r="Z127" s="189" t="s">
        <v>2042</v>
      </c>
      <c r="AA127" s="184" t="s">
        <v>2042</v>
      </c>
      <c r="AB127" s="184" t="s">
        <v>2042</v>
      </c>
      <c r="AC127" s="189" t="s">
        <v>2042</v>
      </c>
      <c r="AD127" s="188" t="s">
        <v>2042</v>
      </c>
      <c r="AE127" s="188" t="s">
        <v>2042</v>
      </c>
      <c r="AF127" s="188" t="s">
        <v>2042</v>
      </c>
      <c r="AG127" s="188" t="s">
        <v>2042</v>
      </c>
      <c r="AH127" s="188" t="s">
        <v>2042</v>
      </c>
      <c r="AI127" s="188" t="s">
        <v>2042</v>
      </c>
      <c r="AJ127" s="188" t="s">
        <v>2042</v>
      </c>
      <c r="AK127" s="188" t="s">
        <v>2042</v>
      </c>
      <c r="AL127" s="188" t="s">
        <v>2042</v>
      </c>
      <c r="AM127" s="185" t="s">
        <v>2042</v>
      </c>
      <c r="AN127" s="188" t="s">
        <v>2042</v>
      </c>
      <c r="AO127" s="188" t="s">
        <v>2042</v>
      </c>
      <c r="AP127" s="188" t="s">
        <v>2042</v>
      </c>
      <c r="AQ127" s="175"/>
    </row>
    <row r="128" spans="1:43" ht="14.5">
      <c r="A128" s="169"/>
      <c r="B128" s="170"/>
      <c r="C128" s="176" t="s">
        <v>1937</v>
      </c>
      <c r="D128" s="177"/>
      <c r="E128" s="178">
        <v>1</v>
      </c>
      <c r="F128" s="179"/>
      <c r="G128" s="186">
        <f>IF(C128="","",SUMIFS(MRP!$D$5:$D1000,MRP!$B$5:$B1000,C128))*E128</f>
        <v>0</v>
      </c>
      <c r="H128" s="181" t="s">
        <v>2041</v>
      </c>
      <c r="I128" s="182">
        <v>0</v>
      </c>
      <c r="J128" s="183" t="s">
        <v>2042</v>
      </c>
      <c r="K128" s="184" t="s">
        <v>2042</v>
      </c>
      <c r="L128" s="184" t="s">
        <v>2042</v>
      </c>
      <c r="M128" s="184" t="s">
        <v>2042</v>
      </c>
      <c r="N128" s="184" t="s">
        <v>2042</v>
      </c>
      <c r="O128" s="184" t="s">
        <v>2042</v>
      </c>
      <c r="P128" s="184" t="s">
        <v>2042</v>
      </c>
      <c r="Q128" s="184" t="s">
        <v>2042</v>
      </c>
      <c r="R128" s="184" t="s">
        <v>2042</v>
      </c>
      <c r="S128" s="184" t="s">
        <v>2042</v>
      </c>
      <c r="T128" s="184" t="s">
        <v>2042</v>
      </c>
      <c r="U128" s="184" t="s">
        <v>2042</v>
      </c>
      <c r="V128" s="184" t="s">
        <v>2042</v>
      </c>
      <c r="W128" s="184" t="s">
        <v>2042</v>
      </c>
      <c r="X128" s="184" t="s">
        <v>2042</v>
      </c>
      <c r="Y128" s="184" t="s">
        <v>2042</v>
      </c>
      <c r="Z128" s="184" t="s">
        <v>2042</v>
      </c>
      <c r="AA128" s="184" t="s">
        <v>2042</v>
      </c>
      <c r="AB128" s="184" t="s">
        <v>2042</v>
      </c>
      <c r="AC128" s="184" t="s">
        <v>2042</v>
      </c>
      <c r="AD128" s="184" t="s">
        <v>2042</v>
      </c>
      <c r="AE128" s="184" t="s">
        <v>2042</v>
      </c>
      <c r="AF128" s="184" t="s">
        <v>2042</v>
      </c>
      <c r="AG128" s="184" t="s">
        <v>2042</v>
      </c>
      <c r="AH128" s="184" t="s">
        <v>2042</v>
      </c>
      <c r="AI128" s="184" t="s">
        <v>2042</v>
      </c>
      <c r="AJ128" s="184" t="s">
        <v>2042</v>
      </c>
      <c r="AK128" s="184" t="s">
        <v>2042</v>
      </c>
      <c r="AL128" s="184" t="s">
        <v>2042</v>
      </c>
      <c r="AM128" s="184" t="s">
        <v>2042</v>
      </c>
      <c r="AN128" s="184" t="s">
        <v>2042</v>
      </c>
      <c r="AO128" s="184" t="s">
        <v>2042</v>
      </c>
      <c r="AP128" s="184" t="s">
        <v>2042</v>
      </c>
      <c r="AQ128" s="175"/>
    </row>
    <row r="129" spans="1:43" ht="14.5">
      <c r="A129" s="169"/>
      <c r="B129" s="170"/>
      <c r="C129" s="176" t="s">
        <v>1678</v>
      </c>
      <c r="D129" s="177"/>
      <c r="E129" s="178">
        <v>1</v>
      </c>
      <c r="F129" s="179"/>
      <c r="G129" s="186">
        <f>IF(C129="","",SUMIFS(MRP!$D$5:$D1000,MRP!$B$5:$B1000,C129))*E129</f>
        <v>0</v>
      </c>
      <c r="H129" s="181" t="s">
        <v>2041</v>
      </c>
      <c r="I129" s="182">
        <v>0</v>
      </c>
      <c r="J129" s="183" t="s">
        <v>2042</v>
      </c>
      <c r="K129" s="184" t="s">
        <v>2042</v>
      </c>
      <c r="L129" s="184" t="s">
        <v>2042</v>
      </c>
      <c r="M129" s="184" t="s">
        <v>2042</v>
      </c>
      <c r="N129" s="184" t="s">
        <v>2042</v>
      </c>
      <c r="O129" s="184" t="s">
        <v>2042</v>
      </c>
      <c r="P129" s="184" t="s">
        <v>2042</v>
      </c>
      <c r="Q129" s="184" t="s">
        <v>2042</v>
      </c>
      <c r="R129" s="184" t="s">
        <v>2042</v>
      </c>
      <c r="S129" s="184" t="s">
        <v>2042</v>
      </c>
      <c r="T129" s="184" t="s">
        <v>2042</v>
      </c>
      <c r="U129" s="184" t="s">
        <v>2042</v>
      </c>
      <c r="V129" s="184" t="s">
        <v>2042</v>
      </c>
      <c r="W129" s="184" t="s">
        <v>2042</v>
      </c>
      <c r="X129" s="184" t="s">
        <v>2042</v>
      </c>
      <c r="Y129" s="184" t="s">
        <v>2042</v>
      </c>
      <c r="Z129" s="184" t="s">
        <v>2042</v>
      </c>
      <c r="AA129" s="184" t="s">
        <v>2042</v>
      </c>
      <c r="AB129" s="184" t="s">
        <v>2042</v>
      </c>
      <c r="AC129" s="184" t="s">
        <v>2042</v>
      </c>
      <c r="AD129" s="184" t="s">
        <v>2042</v>
      </c>
      <c r="AE129" s="184" t="s">
        <v>2042</v>
      </c>
      <c r="AF129" s="184" t="s">
        <v>2042</v>
      </c>
      <c r="AG129" s="184" t="s">
        <v>2042</v>
      </c>
      <c r="AH129" s="184" t="s">
        <v>2042</v>
      </c>
      <c r="AI129" s="184" t="s">
        <v>2042</v>
      </c>
      <c r="AJ129" s="184" t="s">
        <v>2042</v>
      </c>
      <c r="AK129" s="184" t="s">
        <v>2042</v>
      </c>
      <c r="AL129" s="184" t="s">
        <v>2042</v>
      </c>
      <c r="AM129" s="184" t="s">
        <v>2042</v>
      </c>
      <c r="AN129" s="184" t="s">
        <v>2042</v>
      </c>
      <c r="AO129" s="184" t="s">
        <v>2042</v>
      </c>
      <c r="AP129" s="184" t="s">
        <v>2042</v>
      </c>
      <c r="AQ129" s="175"/>
    </row>
    <row r="130" spans="1:43" ht="14.5">
      <c r="A130" s="169"/>
      <c r="B130" s="170"/>
      <c r="C130" s="176" t="s">
        <v>1938</v>
      </c>
      <c r="D130" s="177"/>
      <c r="E130" s="178">
        <v>1</v>
      </c>
      <c r="F130" s="179"/>
      <c r="G130" s="186">
        <f>IF(C130="","",SUMIFS(MRP!$D$5:$D1000,MRP!$B$5:$B1000,C130))*E130</f>
        <v>0</v>
      </c>
      <c r="H130" s="181" t="s">
        <v>2041</v>
      </c>
      <c r="I130" s="182">
        <v>0</v>
      </c>
      <c r="J130" s="183" t="s">
        <v>2042</v>
      </c>
      <c r="K130" s="185" t="s">
        <v>2042</v>
      </c>
      <c r="L130" s="185" t="s">
        <v>2042</v>
      </c>
      <c r="M130" s="185" t="s">
        <v>2042</v>
      </c>
      <c r="N130" s="185" t="s">
        <v>2042</v>
      </c>
      <c r="O130" s="185" t="s">
        <v>2042</v>
      </c>
      <c r="P130" s="185" t="s">
        <v>2042</v>
      </c>
      <c r="Q130" s="185" t="s">
        <v>2042</v>
      </c>
      <c r="R130" s="185" t="s">
        <v>2042</v>
      </c>
      <c r="S130" s="185" t="s">
        <v>2042</v>
      </c>
      <c r="T130" s="185" t="s">
        <v>2042</v>
      </c>
      <c r="U130" s="184" t="s">
        <v>2042</v>
      </c>
      <c r="V130" s="184" t="s">
        <v>2042</v>
      </c>
      <c r="W130" s="185" t="s">
        <v>2042</v>
      </c>
      <c r="X130" s="185" t="s">
        <v>2042</v>
      </c>
      <c r="Y130" s="185" t="s">
        <v>2042</v>
      </c>
      <c r="Z130" s="185" t="s">
        <v>2042</v>
      </c>
      <c r="AA130" s="184" t="s">
        <v>2042</v>
      </c>
      <c r="AB130" s="185" t="s">
        <v>2042</v>
      </c>
      <c r="AC130" s="185" t="s">
        <v>2042</v>
      </c>
      <c r="AD130" s="185" t="s">
        <v>2042</v>
      </c>
      <c r="AE130" s="185" t="s">
        <v>2042</v>
      </c>
      <c r="AF130" s="185" t="s">
        <v>2042</v>
      </c>
      <c r="AG130" s="185" t="s">
        <v>2042</v>
      </c>
      <c r="AH130" s="185" t="s">
        <v>2042</v>
      </c>
      <c r="AI130" s="185" t="s">
        <v>2042</v>
      </c>
      <c r="AJ130" s="185" t="s">
        <v>2042</v>
      </c>
      <c r="AK130" s="185" t="s">
        <v>2042</v>
      </c>
      <c r="AL130" s="185" t="s">
        <v>2042</v>
      </c>
      <c r="AM130" s="185" t="s">
        <v>2042</v>
      </c>
      <c r="AN130" s="185" t="s">
        <v>2042</v>
      </c>
      <c r="AO130" s="185" t="s">
        <v>2042</v>
      </c>
      <c r="AP130" s="185" t="s">
        <v>2042</v>
      </c>
      <c r="AQ130" s="175"/>
    </row>
    <row r="131" spans="1:43" ht="14.5">
      <c r="A131" s="169"/>
      <c r="B131" s="170"/>
      <c r="C131" s="176" t="s">
        <v>1939</v>
      </c>
      <c r="D131" s="177"/>
      <c r="E131" s="178">
        <v>1</v>
      </c>
      <c r="F131" s="179"/>
      <c r="G131" s="186">
        <f>IF(C131="","",SUMIFS(MRP!$D$5:$D1000,MRP!$B$5:$B1000,C131))*E131</f>
        <v>0</v>
      </c>
      <c r="H131" s="181" t="s">
        <v>2041</v>
      </c>
      <c r="I131" s="182">
        <v>0</v>
      </c>
      <c r="J131" s="183" t="s">
        <v>2042</v>
      </c>
      <c r="K131" s="184" t="s">
        <v>2042</v>
      </c>
      <c r="L131" s="184" t="s">
        <v>2042</v>
      </c>
      <c r="M131" s="184" t="s">
        <v>2042</v>
      </c>
      <c r="N131" s="184" t="s">
        <v>2042</v>
      </c>
      <c r="O131" s="184" t="s">
        <v>2042</v>
      </c>
      <c r="P131" s="184" t="s">
        <v>2042</v>
      </c>
      <c r="Q131" s="184" t="s">
        <v>2042</v>
      </c>
      <c r="R131" s="184" t="s">
        <v>2042</v>
      </c>
      <c r="S131" s="184" t="s">
        <v>2042</v>
      </c>
      <c r="T131" s="184" t="s">
        <v>2042</v>
      </c>
      <c r="U131" s="184" t="s">
        <v>2042</v>
      </c>
      <c r="V131" s="184" t="s">
        <v>2042</v>
      </c>
      <c r="W131" s="184" t="s">
        <v>2042</v>
      </c>
      <c r="X131" s="184" t="s">
        <v>2042</v>
      </c>
      <c r="Y131" s="184" t="s">
        <v>2042</v>
      </c>
      <c r="Z131" s="184" t="s">
        <v>2042</v>
      </c>
      <c r="AA131" s="184" t="s">
        <v>2042</v>
      </c>
      <c r="AB131" s="184" t="s">
        <v>2042</v>
      </c>
      <c r="AC131" s="184" t="s">
        <v>2042</v>
      </c>
      <c r="AD131" s="184" t="s">
        <v>2042</v>
      </c>
      <c r="AE131" s="184" t="s">
        <v>2042</v>
      </c>
      <c r="AF131" s="184" t="s">
        <v>2042</v>
      </c>
      <c r="AG131" s="184" t="s">
        <v>2042</v>
      </c>
      <c r="AH131" s="184" t="s">
        <v>2042</v>
      </c>
      <c r="AI131" s="184" t="s">
        <v>2042</v>
      </c>
      <c r="AJ131" s="184" t="s">
        <v>2042</v>
      </c>
      <c r="AK131" s="184" t="s">
        <v>2042</v>
      </c>
      <c r="AL131" s="184" t="s">
        <v>2042</v>
      </c>
      <c r="AM131" s="184" t="s">
        <v>2042</v>
      </c>
      <c r="AN131" s="184" t="s">
        <v>2042</v>
      </c>
      <c r="AO131" s="184" t="s">
        <v>2042</v>
      </c>
      <c r="AP131" s="184" t="s">
        <v>2042</v>
      </c>
      <c r="AQ131" s="175"/>
    </row>
    <row r="132" spans="1:43" ht="14.5">
      <c r="A132" s="169"/>
      <c r="B132" s="170"/>
      <c r="C132" s="176" t="s">
        <v>1940</v>
      </c>
      <c r="D132" s="177"/>
      <c r="E132" s="178">
        <v>1</v>
      </c>
      <c r="F132" s="179"/>
      <c r="G132" s="186">
        <f>IF(C132="","",SUMIFS(MRP!$D$5:$D1000,MRP!$B$5:$B1000,C132))*E132</f>
        <v>0</v>
      </c>
      <c r="H132" s="181" t="s">
        <v>2041</v>
      </c>
      <c r="I132" s="182">
        <v>0</v>
      </c>
      <c r="J132" s="183" t="s">
        <v>2042</v>
      </c>
      <c r="K132" s="184" t="s">
        <v>2042</v>
      </c>
      <c r="L132" s="184" t="s">
        <v>2042</v>
      </c>
      <c r="M132" s="184" t="s">
        <v>2042</v>
      </c>
      <c r="N132" s="184" t="s">
        <v>2042</v>
      </c>
      <c r="O132" s="184" t="s">
        <v>2042</v>
      </c>
      <c r="P132" s="184" t="s">
        <v>2042</v>
      </c>
      <c r="Q132" s="184" t="s">
        <v>2042</v>
      </c>
      <c r="R132" s="184" t="s">
        <v>2042</v>
      </c>
      <c r="S132" s="184" t="s">
        <v>2042</v>
      </c>
      <c r="T132" s="184" t="s">
        <v>2042</v>
      </c>
      <c r="U132" s="184" t="s">
        <v>2042</v>
      </c>
      <c r="V132" s="184" t="s">
        <v>2042</v>
      </c>
      <c r="W132" s="184" t="s">
        <v>2042</v>
      </c>
      <c r="X132" s="184" t="s">
        <v>2042</v>
      </c>
      <c r="Y132" s="184" t="s">
        <v>2042</v>
      </c>
      <c r="Z132" s="184" t="s">
        <v>2042</v>
      </c>
      <c r="AA132" s="184" t="s">
        <v>2042</v>
      </c>
      <c r="AB132" s="184" t="s">
        <v>2042</v>
      </c>
      <c r="AC132" s="184" t="s">
        <v>2042</v>
      </c>
      <c r="AD132" s="184" t="s">
        <v>2042</v>
      </c>
      <c r="AE132" s="184" t="s">
        <v>2042</v>
      </c>
      <c r="AF132" s="184" t="s">
        <v>2042</v>
      </c>
      <c r="AG132" s="184" t="s">
        <v>2042</v>
      </c>
      <c r="AH132" s="184" t="s">
        <v>2042</v>
      </c>
      <c r="AI132" s="184" t="s">
        <v>2042</v>
      </c>
      <c r="AJ132" s="184" t="s">
        <v>2042</v>
      </c>
      <c r="AK132" s="184" t="s">
        <v>2042</v>
      </c>
      <c r="AL132" s="184" t="s">
        <v>2042</v>
      </c>
      <c r="AM132" s="184" t="s">
        <v>2042</v>
      </c>
      <c r="AN132" s="184" t="s">
        <v>2042</v>
      </c>
      <c r="AO132" s="184" t="s">
        <v>2042</v>
      </c>
      <c r="AP132" s="184" t="s">
        <v>2042</v>
      </c>
      <c r="AQ132" s="175"/>
    </row>
    <row r="133" spans="1:43" ht="14.5">
      <c r="A133" s="169"/>
      <c r="B133" s="170"/>
      <c r="C133" s="176" t="s">
        <v>1941</v>
      </c>
      <c r="D133" s="177"/>
      <c r="E133" s="178">
        <v>1</v>
      </c>
      <c r="F133" s="179"/>
      <c r="G133" s="186">
        <f>IF(C133="","",SUMIFS(MRP!$D$5:$D1000,MRP!$B$5:$B1000,C133))*E133</f>
        <v>0</v>
      </c>
      <c r="H133" s="181" t="s">
        <v>2041</v>
      </c>
      <c r="I133" s="182">
        <v>0</v>
      </c>
      <c r="J133" s="183" t="s">
        <v>2042</v>
      </c>
      <c r="K133" s="184" t="s">
        <v>2042</v>
      </c>
      <c r="L133" s="184" t="s">
        <v>2042</v>
      </c>
      <c r="M133" s="184" t="s">
        <v>2042</v>
      </c>
      <c r="N133" s="184" t="s">
        <v>2042</v>
      </c>
      <c r="O133" s="184" t="s">
        <v>2042</v>
      </c>
      <c r="P133" s="184" t="s">
        <v>2042</v>
      </c>
      <c r="Q133" s="184" t="s">
        <v>2042</v>
      </c>
      <c r="R133" s="184" t="s">
        <v>2042</v>
      </c>
      <c r="S133" s="184" t="s">
        <v>2042</v>
      </c>
      <c r="T133" s="184" t="s">
        <v>2042</v>
      </c>
      <c r="U133" s="184" t="s">
        <v>2042</v>
      </c>
      <c r="V133" s="184" t="s">
        <v>2042</v>
      </c>
      <c r="W133" s="184" t="s">
        <v>2042</v>
      </c>
      <c r="X133" s="184" t="s">
        <v>2042</v>
      </c>
      <c r="Y133" s="184" t="s">
        <v>2042</v>
      </c>
      <c r="Z133" s="184" t="s">
        <v>2042</v>
      </c>
      <c r="AA133" s="184" t="s">
        <v>2042</v>
      </c>
      <c r="AB133" s="184" t="s">
        <v>2042</v>
      </c>
      <c r="AC133" s="184" t="s">
        <v>2042</v>
      </c>
      <c r="AD133" s="184" t="s">
        <v>2042</v>
      </c>
      <c r="AE133" s="184" t="s">
        <v>2042</v>
      </c>
      <c r="AF133" s="185" t="s">
        <v>2042</v>
      </c>
      <c r="AG133" s="185" t="s">
        <v>2042</v>
      </c>
      <c r="AH133" s="185" t="s">
        <v>2042</v>
      </c>
      <c r="AI133" s="185" t="s">
        <v>2042</v>
      </c>
      <c r="AJ133" s="185" t="s">
        <v>2042</v>
      </c>
      <c r="AK133" s="185" t="s">
        <v>2042</v>
      </c>
      <c r="AL133" s="185" t="s">
        <v>2042</v>
      </c>
      <c r="AM133" s="185" t="s">
        <v>2042</v>
      </c>
      <c r="AN133" s="185" t="s">
        <v>2042</v>
      </c>
      <c r="AO133" s="185" t="s">
        <v>2042</v>
      </c>
      <c r="AP133" s="185" t="s">
        <v>2042</v>
      </c>
      <c r="AQ133" s="175"/>
    </row>
    <row r="134" spans="1:43" ht="14.5">
      <c r="A134" s="169"/>
      <c r="B134" s="170"/>
      <c r="C134" s="176" t="s">
        <v>1942</v>
      </c>
      <c r="D134" s="177"/>
      <c r="E134" s="178">
        <v>1</v>
      </c>
      <c r="F134" s="179"/>
      <c r="G134" s="186">
        <f>IF(C134="","",SUMIFS(MRP!$D$5:$D1000,MRP!$B$5:$B1000,C134))*E134</f>
        <v>0</v>
      </c>
      <c r="H134" s="181" t="s">
        <v>2041</v>
      </c>
      <c r="I134" s="182">
        <v>0</v>
      </c>
      <c r="J134" s="183" t="s">
        <v>2042</v>
      </c>
      <c r="K134" s="184" t="s">
        <v>2042</v>
      </c>
      <c r="L134" s="184" t="s">
        <v>2042</v>
      </c>
      <c r="M134" s="184" t="s">
        <v>2042</v>
      </c>
      <c r="N134" s="184" t="s">
        <v>2042</v>
      </c>
      <c r="O134" s="184" t="s">
        <v>2042</v>
      </c>
      <c r="P134" s="184" t="s">
        <v>2042</v>
      </c>
      <c r="Q134" s="184" t="s">
        <v>2042</v>
      </c>
      <c r="R134" s="184" t="s">
        <v>2042</v>
      </c>
      <c r="S134" s="184" t="s">
        <v>2042</v>
      </c>
      <c r="T134" s="184" t="s">
        <v>2042</v>
      </c>
      <c r="U134" s="184" t="s">
        <v>2042</v>
      </c>
      <c r="V134" s="184" t="s">
        <v>2042</v>
      </c>
      <c r="W134" s="184" t="s">
        <v>2042</v>
      </c>
      <c r="X134" s="184" t="s">
        <v>2042</v>
      </c>
      <c r="Y134" s="184" t="s">
        <v>2042</v>
      </c>
      <c r="Z134" s="184" t="s">
        <v>2042</v>
      </c>
      <c r="AA134" s="184" t="s">
        <v>2042</v>
      </c>
      <c r="AB134" s="184" t="s">
        <v>2042</v>
      </c>
      <c r="AC134" s="184" t="s">
        <v>2042</v>
      </c>
      <c r="AD134" s="184" t="s">
        <v>2042</v>
      </c>
      <c r="AE134" s="184" t="s">
        <v>2042</v>
      </c>
      <c r="AF134" s="184" t="s">
        <v>2042</v>
      </c>
      <c r="AG134" s="184" t="s">
        <v>2042</v>
      </c>
      <c r="AH134" s="184" t="s">
        <v>2042</v>
      </c>
      <c r="AI134" s="184" t="s">
        <v>2042</v>
      </c>
      <c r="AJ134" s="184" t="s">
        <v>2042</v>
      </c>
      <c r="AK134" s="184" t="s">
        <v>2042</v>
      </c>
      <c r="AL134" s="184" t="s">
        <v>2042</v>
      </c>
      <c r="AM134" s="184" t="s">
        <v>2042</v>
      </c>
      <c r="AN134" s="184" t="s">
        <v>2042</v>
      </c>
      <c r="AO134" s="184" t="s">
        <v>2042</v>
      </c>
      <c r="AP134" s="184" t="s">
        <v>2042</v>
      </c>
      <c r="AQ134" s="175"/>
    </row>
    <row r="135" spans="1:43" ht="14.5">
      <c r="A135" s="169"/>
      <c r="B135" s="170"/>
      <c r="C135" s="176" t="s">
        <v>1943</v>
      </c>
      <c r="D135" s="177"/>
      <c r="E135" s="178">
        <v>1</v>
      </c>
      <c r="F135" s="179"/>
      <c r="G135" s="186">
        <f>IF(C135="","",SUMIFS(MRP!$D$5:$D1000,MRP!$B$5:$B1000,C135))*E135</f>
        <v>0</v>
      </c>
      <c r="H135" s="181" t="s">
        <v>2041</v>
      </c>
      <c r="I135" s="182">
        <v>0</v>
      </c>
      <c r="J135" s="183" t="s">
        <v>2042</v>
      </c>
      <c r="K135" s="184" t="s">
        <v>2042</v>
      </c>
      <c r="L135" s="184" t="s">
        <v>2042</v>
      </c>
      <c r="M135" s="184" t="s">
        <v>2042</v>
      </c>
      <c r="N135" s="184" t="s">
        <v>2042</v>
      </c>
      <c r="O135" s="184" t="s">
        <v>2042</v>
      </c>
      <c r="P135" s="184" t="s">
        <v>2042</v>
      </c>
      <c r="Q135" s="184" t="s">
        <v>2042</v>
      </c>
      <c r="R135" s="184" t="s">
        <v>2042</v>
      </c>
      <c r="S135" s="184" t="s">
        <v>2042</v>
      </c>
      <c r="T135" s="184" t="s">
        <v>2042</v>
      </c>
      <c r="U135" s="184" t="s">
        <v>2042</v>
      </c>
      <c r="V135" s="184" t="s">
        <v>2042</v>
      </c>
      <c r="W135" s="184" t="s">
        <v>2042</v>
      </c>
      <c r="X135" s="184" t="s">
        <v>2042</v>
      </c>
      <c r="Y135" s="184" t="s">
        <v>2042</v>
      </c>
      <c r="Z135" s="184" t="s">
        <v>2042</v>
      </c>
      <c r="AA135" s="184" t="s">
        <v>2042</v>
      </c>
      <c r="AB135" s="184" t="s">
        <v>2042</v>
      </c>
      <c r="AC135" s="184" t="s">
        <v>2042</v>
      </c>
      <c r="AD135" s="184" t="s">
        <v>2042</v>
      </c>
      <c r="AE135" s="184" t="s">
        <v>2042</v>
      </c>
      <c r="AF135" s="185" t="s">
        <v>2042</v>
      </c>
      <c r="AG135" s="185" t="s">
        <v>2042</v>
      </c>
      <c r="AH135" s="185" t="s">
        <v>2042</v>
      </c>
      <c r="AI135" s="185" t="s">
        <v>2042</v>
      </c>
      <c r="AJ135" s="185" t="s">
        <v>2042</v>
      </c>
      <c r="AK135" s="185" t="s">
        <v>2042</v>
      </c>
      <c r="AL135" s="185" t="s">
        <v>2042</v>
      </c>
      <c r="AM135" s="185" t="s">
        <v>2042</v>
      </c>
      <c r="AN135" s="185" t="s">
        <v>2042</v>
      </c>
      <c r="AO135" s="185" t="s">
        <v>2042</v>
      </c>
      <c r="AP135" s="185" t="s">
        <v>2042</v>
      </c>
      <c r="AQ135" s="175"/>
    </row>
    <row r="136" spans="1:43" ht="14.5">
      <c r="A136" s="169"/>
      <c r="B136" s="170"/>
      <c r="C136" s="176" t="s">
        <v>1944</v>
      </c>
      <c r="D136" s="177"/>
      <c r="E136" s="178">
        <v>1</v>
      </c>
      <c r="F136" s="179"/>
      <c r="G136" s="186">
        <f>IF(C136="","",SUMIFS(MRP!$D$5:$D1000,MRP!$B$5:$B1000,C136))*E136</f>
        <v>0</v>
      </c>
      <c r="H136" s="181" t="s">
        <v>2041</v>
      </c>
      <c r="I136" s="182">
        <v>0</v>
      </c>
      <c r="J136" s="183" t="s">
        <v>2042</v>
      </c>
      <c r="K136" s="184" t="s">
        <v>2042</v>
      </c>
      <c r="L136" s="184" t="s">
        <v>2042</v>
      </c>
      <c r="M136" s="184" t="s">
        <v>2042</v>
      </c>
      <c r="N136" s="184" t="s">
        <v>2042</v>
      </c>
      <c r="O136" s="185" t="s">
        <v>2042</v>
      </c>
      <c r="P136" s="184" t="s">
        <v>2042</v>
      </c>
      <c r="Q136" s="184" t="s">
        <v>2042</v>
      </c>
      <c r="R136" s="184" t="s">
        <v>2042</v>
      </c>
      <c r="S136" s="184" t="s">
        <v>2042</v>
      </c>
      <c r="T136" s="184" t="s">
        <v>2042</v>
      </c>
      <c r="U136" s="184" t="s">
        <v>2042</v>
      </c>
      <c r="V136" s="184" t="s">
        <v>2042</v>
      </c>
      <c r="W136" s="184" t="s">
        <v>2042</v>
      </c>
      <c r="X136" s="184" t="s">
        <v>2042</v>
      </c>
      <c r="Y136" s="184" t="s">
        <v>2042</v>
      </c>
      <c r="Z136" s="184" t="s">
        <v>2042</v>
      </c>
      <c r="AA136" s="184" t="s">
        <v>2042</v>
      </c>
      <c r="AB136" s="184" t="s">
        <v>2042</v>
      </c>
      <c r="AC136" s="184" t="s">
        <v>2042</v>
      </c>
      <c r="AD136" s="184" t="s">
        <v>2042</v>
      </c>
      <c r="AE136" s="184" t="s">
        <v>2042</v>
      </c>
      <c r="AF136" s="184" t="s">
        <v>2042</v>
      </c>
      <c r="AG136" s="184" t="s">
        <v>2042</v>
      </c>
      <c r="AH136" s="184" t="s">
        <v>2042</v>
      </c>
      <c r="AI136" s="184" t="s">
        <v>2042</v>
      </c>
      <c r="AJ136" s="184" t="s">
        <v>2042</v>
      </c>
      <c r="AK136" s="184" t="s">
        <v>2042</v>
      </c>
      <c r="AL136" s="184" t="s">
        <v>2042</v>
      </c>
      <c r="AM136" s="184" t="s">
        <v>2042</v>
      </c>
      <c r="AN136" s="184" t="s">
        <v>2042</v>
      </c>
      <c r="AO136" s="184" t="s">
        <v>2042</v>
      </c>
      <c r="AP136" s="184" t="s">
        <v>2042</v>
      </c>
      <c r="AQ136" s="175"/>
    </row>
    <row r="137" spans="1:43" ht="14.5">
      <c r="A137" s="169"/>
      <c r="B137" s="170"/>
      <c r="C137" s="176" t="s">
        <v>1945</v>
      </c>
      <c r="D137" s="177"/>
      <c r="E137" s="178">
        <v>1</v>
      </c>
      <c r="F137" s="179"/>
      <c r="G137" s="186">
        <f>IF(C137="","",SUMIFS(MRP!$D$5:$D1000,MRP!$B$5:$B1000,C137))*E137</f>
        <v>0</v>
      </c>
      <c r="H137" s="181" t="s">
        <v>2041</v>
      </c>
      <c r="I137" s="182">
        <v>0</v>
      </c>
      <c r="J137" s="183" t="s">
        <v>2042</v>
      </c>
      <c r="K137" s="184" t="s">
        <v>2042</v>
      </c>
      <c r="L137" s="184" t="s">
        <v>2042</v>
      </c>
      <c r="M137" s="184" t="s">
        <v>2042</v>
      </c>
      <c r="N137" s="184" t="s">
        <v>2042</v>
      </c>
      <c r="O137" s="184" t="s">
        <v>2042</v>
      </c>
      <c r="P137" s="184" t="s">
        <v>2042</v>
      </c>
      <c r="Q137" s="184" t="s">
        <v>2042</v>
      </c>
      <c r="R137" s="184" t="s">
        <v>2042</v>
      </c>
      <c r="S137" s="184" t="s">
        <v>2042</v>
      </c>
      <c r="T137" s="184" t="s">
        <v>2042</v>
      </c>
      <c r="U137" s="184" t="s">
        <v>2042</v>
      </c>
      <c r="V137" s="184" t="s">
        <v>2042</v>
      </c>
      <c r="W137" s="184" t="s">
        <v>2042</v>
      </c>
      <c r="X137" s="184" t="s">
        <v>2042</v>
      </c>
      <c r="Y137" s="184" t="s">
        <v>2042</v>
      </c>
      <c r="Z137" s="184" t="s">
        <v>2042</v>
      </c>
      <c r="AA137" s="184" t="s">
        <v>2042</v>
      </c>
      <c r="AB137" s="184" t="s">
        <v>2042</v>
      </c>
      <c r="AC137" s="184" t="s">
        <v>2042</v>
      </c>
      <c r="AD137" s="184" t="s">
        <v>2042</v>
      </c>
      <c r="AE137" s="184" t="s">
        <v>2042</v>
      </c>
      <c r="AF137" s="184" t="s">
        <v>2042</v>
      </c>
      <c r="AG137" s="184" t="s">
        <v>2042</v>
      </c>
      <c r="AH137" s="184" t="s">
        <v>2042</v>
      </c>
      <c r="AI137" s="184" t="s">
        <v>2042</v>
      </c>
      <c r="AJ137" s="184" t="s">
        <v>2042</v>
      </c>
      <c r="AK137" s="184" t="s">
        <v>2042</v>
      </c>
      <c r="AL137" s="184" t="s">
        <v>2042</v>
      </c>
      <c r="AM137" s="184" t="s">
        <v>2042</v>
      </c>
      <c r="AN137" s="184" t="s">
        <v>2042</v>
      </c>
      <c r="AO137" s="184" t="s">
        <v>2042</v>
      </c>
      <c r="AP137" s="184" t="s">
        <v>2042</v>
      </c>
      <c r="AQ137" s="175"/>
    </row>
    <row r="138" spans="1:43" ht="14.5">
      <c r="A138" s="169"/>
      <c r="B138" s="170"/>
      <c r="C138" s="176" t="s">
        <v>1946</v>
      </c>
      <c r="D138" s="177"/>
      <c r="E138" s="178">
        <v>1</v>
      </c>
      <c r="F138" s="179"/>
      <c r="G138" s="186">
        <f>IF(C138="","",SUMIFS(MRP!$D$5:$D1000,MRP!$B$5:$B1000,C138))*E138</f>
        <v>0</v>
      </c>
      <c r="H138" s="181" t="s">
        <v>2041</v>
      </c>
      <c r="I138" s="182">
        <v>0</v>
      </c>
      <c r="J138" s="183" t="s">
        <v>2042</v>
      </c>
      <c r="K138" s="184" t="s">
        <v>2042</v>
      </c>
      <c r="L138" s="184" t="s">
        <v>2042</v>
      </c>
      <c r="M138" s="184" t="s">
        <v>2042</v>
      </c>
      <c r="N138" s="184" t="s">
        <v>2042</v>
      </c>
      <c r="O138" s="184" t="s">
        <v>2042</v>
      </c>
      <c r="P138" s="184" t="s">
        <v>2042</v>
      </c>
      <c r="Q138" s="184" t="s">
        <v>2042</v>
      </c>
      <c r="R138" s="184" t="s">
        <v>2042</v>
      </c>
      <c r="S138" s="184" t="s">
        <v>2042</v>
      </c>
      <c r="T138" s="184" t="s">
        <v>2042</v>
      </c>
      <c r="U138" s="184" t="s">
        <v>2042</v>
      </c>
      <c r="V138" s="184" t="s">
        <v>2042</v>
      </c>
      <c r="W138" s="184" t="s">
        <v>2042</v>
      </c>
      <c r="X138" s="184" t="s">
        <v>2042</v>
      </c>
      <c r="Y138" s="184" t="s">
        <v>2042</v>
      </c>
      <c r="Z138" s="184" t="s">
        <v>2042</v>
      </c>
      <c r="AA138" s="184" t="s">
        <v>2042</v>
      </c>
      <c r="AB138" s="184" t="s">
        <v>2042</v>
      </c>
      <c r="AC138" s="184" t="s">
        <v>2042</v>
      </c>
      <c r="AD138" s="184" t="s">
        <v>2042</v>
      </c>
      <c r="AE138" s="184" t="s">
        <v>2042</v>
      </c>
      <c r="AF138" s="184" t="s">
        <v>2042</v>
      </c>
      <c r="AG138" s="184" t="s">
        <v>2042</v>
      </c>
      <c r="AH138" s="184" t="s">
        <v>2042</v>
      </c>
      <c r="AI138" s="184" t="s">
        <v>2042</v>
      </c>
      <c r="AJ138" s="184" t="s">
        <v>2042</v>
      </c>
      <c r="AK138" s="184" t="s">
        <v>2042</v>
      </c>
      <c r="AL138" s="184" t="s">
        <v>2042</v>
      </c>
      <c r="AM138" s="184" t="s">
        <v>2042</v>
      </c>
      <c r="AN138" s="184" t="s">
        <v>2042</v>
      </c>
      <c r="AO138" s="184" t="s">
        <v>2042</v>
      </c>
      <c r="AP138" s="184" t="s">
        <v>2042</v>
      </c>
      <c r="AQ138" s="175"/>
    </row>
    <row r="139" spans="1:43" ht="14.5">
      <c r="A139" s="169"/>
      <c r="B139" s="170"/>
      <c r="C139" s="176" t="s">
        <v>1947</v>
      </c>
      <c r="D139" s="177"/>
      <c r="E139" s="178">
        <v>1</v>
      </c>
      <c r="F139" s="179"/>
      <c r="G139" s="186">
        <f>IF(C139="","",SUMIFS(MRP!$D$5:$D1000,MRP!$B$5:$B1000,C139))*E139</f>
        <v>0</v>
      </c>
      <c r="H139" s="181" t="s">
        <v>2041</v>
      </c>
      <c r="I139" s="182">
        <v>0</v>
      </c>
      <c r="J139" s="183" t="s">
        <v>2042</v>
      </c>
      <c r="K139" s="185" t="s">
        <v>2042</v>
      </c>
      <c r="L139" s="185" t="s">
        <v>2042</v>
      </c>
      <c r="M139" s="185" t="s">
        <v>2042</v>
      </c>
      <c r="N139" s="185" t="s">
        <v>2042</v>
      </c>
      <c r="O139" s="185" t="s">
        <v>2042</v>
      </c>
      <c r="P139" s="185" t="s">
        <v>2042</v>
      </c>
      <c r="Q139" s="185" t="s">
        <v>2042</v>
      </c>
      <c r="R139" s="185" t="s">
        <v>2042</v>
      </c>
      <c r="S139" s="185" t="s">
        <v>2042</v>
      </c>
      <c r="T139" s="185" t="s">
        <v>2042</v>
      </c>
      <c r="U139" s="185" t="s">
        <v>2042</v>
      </c>
      <c r="V139" s="185" t="s">
        <v>2042</v>
      </c>
      <c r="W139" s="185" t="s">
        <v>2042</v>
      </c>
      <c r="X139" s="185" t="s">
        <v>2042</v>
      </c>
      <c r="Y139" s="185" t="s">
        <v>2042</v>
      </c>
      <c r="Z139" s="185" t="s">
        <v>2042</v>
      </c>
      <c r="AA139" s="185" t="s">
        <v>2042</v>
      </c>
      <c r="AB139" s="185" t="s">
        <v>2042</v>
      </c>
      <c r="AC139" s="185" t="s">
        <v>2042</v>
      </c>
      <c r="AD139" s="185" t="s">
        <v>2042</v>
      </c>
      <c r="AE139" s="185" t="s">
        <v>2042</v>
      </c>
      <c r="AF139" s="185" t="s">
        <v>2042</v>
      </c>
      <c r="AG139" s="185" t="s">
        <v>2042</v>
      </c>
      <c r="AH139" s="185" t="s">
        <v>2042</v>
      </c>
      <c r="AI139" s="185" t="s">
        <v>2042</v>
      </c>
      <c r="AJ139" s="185" t="s">
        <v>2042</v>
      </c>
      <c r="AK139" s="185" t="s">
        <v>2042</v>
      </c>
      <c r="AL139" s="185" t="s">
        <v>2042</v>
      </c>
      <c r="AM139" s="185" t="s">
        <v>2042</v>
      </c>
      <c r="AN139" s="185" t="s">
        <v>2042</v>
      </c>
      <c r="AO139" s="185" t="s">
        <v>2042</v>
      </c>
      <c r="AP139" s="185" t="s">
        <v>2042</v>
      </c>
      <c r="AQ139" s="175"/>
    </row>
    <row r="140" spans="1:43" ht="14.5">
      <c r="A140" s="169"/>
      <c r="B140" s="170"/>
      <c r="C140" s="176" t="s">
        <v>1948</v>
      </c>
      <c r="D140" s="177"/>
      <c r="E140" s="178">
        <v>1</v>
      </c>
      <c r="F140" s="179"/>
      <c r="G140" s="186">
        <f>IF(C140="","",SUMIFS(MRP!$D$5:$D1000,MRP!$B$5:$B1000,C140))*E140</f>
        <v>0</v>
      </c>
      <c r="H140" s="181" t="s">
        <v>2041</v>
      </c>
      <c r="I140" s="182">
        <v>0</v>
      </c>
      <c r="J140" s="183" t="s">
        <v>2042</v>
      </c>
      <c r="K140" s="184" t="s">
        <v>2042</v>
      </c>
      <c r="L140" s="184" t="s">
        <v>2042</v>
      </c>
      <c r="M140" s="184" t="s">
        <v>2042</v>
      </c>
      <c r="N140" s="184" t="s">
        <v>2042</v>
      </c>
      <c r="O140" s="184" t="s">
        <v>2042</v>
      </c>
      <c r="P140" s="184" t="s">
        <v>2042</v>
      </c>
      <c r="Q140" s="184" t="s">
        <v>2042</v>
      </c>
      <c r="R140" s="184" t="s">
        <v>2042</v>
      </c>
      <c r="S140" s="184" t="s">
        <v>2042</v>
      </c>
      <c r="T140" s="184" t="s">
        <v>2042</v>
      </c>
      <c r="U140" s="184" t="s">
        <v>2042</v>
      </c>
      <c r="V140" s="184" t="s">
        <v>2042</v>
      </c>
      <c r="W140" s="184" t="s">
        <v>2042</v>
      </c>
      <c r="X140" s="184" t="s">
        <v>2042</v>
      </c>
      <c r="Y140" s="184" t="s">
        <v>2042</v>
      </c>
      <c r="Z140" s="184" t="s">
        <v>2042</v>
      </c>
      <c r="AA140" s="184" t="s">
        <v>2042</v>
      </c>
      <c r="AB140" s="184" t="s">
        <v>2042</v>
      </c>
      <c r="AC140" s="184" t="s">
        <v>2042</v>
      </c>
      <c r="AD140" s="184" t="s">
        <v>2042</v>
      </c>
      <c r="AE140" s="184" t="s">
        <v>2042</v>
      </c>
      <c r="AF140" s="184" t="s">
        <v>2042</v>
      </c>
      <c r="AG140" s="184" t="s">
        <v>2042</v>
      </c>
      <c r="AH140" s="184" t="s">
        <v>2042</v>
      </c>
      <c r="AI140" s="184" t="s">
        <v>2042</v>
      </c>
      <c r="AJ140" s="184" t="s">
        <v>2042</v>
      </c>
      <c r="AK140" s="184" t="s">
        <v>2042</v>
      </c>
      <c r="AL140" s="184" t="s">
        <v>2042</v>
      </c>
      <c r="AM140" s="184" t="s">
        <v>2042</v>
      </c>
      <c r="AN140" s="184" t="s">
        <v>2042</v>
      </c>
      <c r="AO140" s="184" t="s">
        <v>2042</v>
      </c>
      <c r="AP140" s="184" t="s">
        <v>2042</v>
      </c>
      <c r="AQ140" s="175"/>
    </row>
    <row r="141" spans="1:43" ht="14.5">
      <c r="A141" s="169"/>
      <c r="B141" s="170"/>
      <c r="C141" s="176" t="s">
        <v>1949</v>
      </c>
      <c r="D141" s="177"/>
      <c r="E141" s="178">
        <v>1</v>
      </c>
      <c r="F141" s="179"/>
      <c r="G141" s="186">
        <f>IF(C141="","",SUMIFS(MRP!$D$5:$D1000,MRP!$B$5:$B1000,C141))*E141</f>
        <v>0</v>
      </c>
      <c r="H141" s="181" t="s">
        <v>2041</v>
      </c>
      <c r="I141" s="182">
        <v>0</v>
      </c>
      <c r="J141" s="183" t="s">
        <v>2042</v>
      </c>
      <c r="K141" s="184" t="s">
        <v>2042</v>
      </c>
      <c r="L141" s="184" t="s">
        <v>2042</v>
      </c>
      <c r="M141" s="184" t="s">
        <v>2042</v>
      </c>
      <c r="N141" s="184" t="s">
        <v>2042</v>
      </c>
      <c r="O141" s="184" t="s">
        <v>2042</v>
      </c>
      <c r="P141" s="184" t="s">
        <v>2042</v>
      </c>
      <c r="Q141" s="184" t="s">
        <v>2042</v>
      </c>
      <c r="R141" s="184" t="s">
        <v>2042</v>
      </c>
      <c r="S141" s="184" t="s">
        <v>2042</v>
      </c>
      <c r="T141" s="184" t="s">
        <v>2042</v>
      </c>
      <c r="U141" s="184" t="s">
        <v>2042</v>
      </c>
      <c r="V141" s="184" t="s">
        <v>2042</v>
      </c>
      <c r="W141" s="184" t="s">
        <v>2042</v>
      </c>
      <c r="X141" s="184" t="s">
        <v>2042</v>
      </c>
      <c r="Y141" s="184" t="s">
        <v>2042</v>
      </c>
      <c r="Z141" s="184" t="s">
        <v>2042</v>
      </c>
      <c r="AA141" s="184" t="s">
        <v>2042</v>
      </c>
      <c r="AB141" s="184" t="s">
        <v>2042</v>
      </c>
      <c r="AC141" s="184" t="s">
        <v>2042</v>
      </c>
      <c r="AD141" s="184" t="s">
        <v>2042</v>
      </c>
      <c r="AE141" s="184" t="s">
        <v>2042</v>
      </c>
      <c r="AF141" s="184" t="s">
        <v>2042</v>
      </c>
      <c r="AG141" s="184" t="s">
        <v>2042</v>
      </c>
      <c r="AH141" s="184" t="s">
        <v>2042</v>
      </c>
      <c r="AI141" s="184" t="s">
        <v>2042</v>
      </c>
      <c r="AJ141" s="184" t="s">
        <v>2042</v>
      </c>
      <c r="AK141" s="184" t="s">
        <v>2042</v>
      </c>
      <c r="AL141" s="184" t="s">
        <v>2042</v>
      </c>
      <c r="AM141" s="184" t="s">
        <v>2042</v>
      </c>
      <c r="AN141" s="184" t="s">
        <v>2042</v>
      </c>
      <c r="AO141" s="184" t="s">
        <v>2042</v>
      </c>
      <c r="AP141" s="184" t="s">
        <v>2042</v>
      </c>
      <c r="AQ141" s="175"/>
    </row>
    <row r="142" spans="1:43" ht="14.5">
      <c r="A142" s="169"/>
      <c r="B142" s="170"/>
      <c r="C142" s="176" t="s">
        <v>1950</v>
      </c>
      <c r="D142" s="177"/>
      <c r="E142" s="178">
        <v>1</v>
      </c>
      <c r="F142" s="179"/>
      <c r="G142" s="186">
        <f>IF(C142="","",SUMIFS(MRP!$D$5:$D1000,MRP!$B$5:$B1000,C142))*E142</f>
        <v>0</v>
      </c>
      <c r="H142" s="181" t="s">
        <v>2041</v>
      </c>
      <c r="I142" s="182">
        <v>0</v>
      </c>
      <c r="J142" s="183" t="s">
        <v>2042</v>
      </c>
      <c r="K142" s="188" t="s">
        <v>2042</v>
      </c>
      <c r="L142" s="185" t="s">
        <v>2042</v>
      </c>
      <c r="M142" s="185" t="s">
        <v>2042</v>
      </c>
      <c r="N142" s="185" t="s">
        <v>2042</v>
      </c>
      <c r="O142" s="185" t="s">
        <v>2042</v>
      </c>
      <c r="P142" s="185" t="s">
        <v>2042</v>
      </c>
      <c r="Q142" s="185" t="s">
        <v>2042</v>
      </c>
      <c r="R142" s="185" t="s">
        <v>2042</v>
      </c>
      <c r="S142" s="185" t="s">
        <v>2042</v>
      </c>
      <c r="T142" s="185" t="s">
        <v>2042</v>
      </c>
      <c r="U142" s="185" t="s">
        <v>2042</v>
      </c>
      <c r="V142" s="185" t="s">
        <v>2042</v>
      </c>
      <c r="W142" s="185" t="s">
        <v>2042</v>
      </c>
      <c r="X142" s="185" t="s">
        <v>2042</v>
      </c>
      <c r="Y142" s="185" t="s">
        <v>2042</v>
      </c>
      <c r="Z142" s="185" t="s">
        <v>2042</v>
      </c>
      <c r="AA142" s="185" t="s">
        <v>2042</v>
      </c>
      <c r="AB142" s="185" t="s">
        <v>2042</v>
      </c>
      <c r="AC142" s="185" t="s">
        <v>2042</v>
      </c>
      <c r="AD142" s="185" t="s">
        <v>2042</v>
      </c>
      <c r="AE142" s="185" t="s">
        <v>2042</v>
      </c>
      <c r="AF142" s="185" t="s">
        <v>2042</v>
      </c>
      <c r="AG142" s="185" t="s">
        <v>2042</v>
      </c>
      <c r="AH142" s="185" t="s">
        <v>2042</v>
      </c>
      <c r="AI142" s="185" t="s">
        <v>2042</v>
      </c>
      <c r="AJ142" s="185" t="s">
        <v>2042</v>
      </c>
      <c r="AK142" s="185" t="s">
        <v>2042</v>
      </c>
      <c r="AL142" s="185" t="s">
        <v>2042</v>
      </c>
      <c r="AM142" s="185" t="s">
        <v>2042</v>
      </c>
      <c r="AN142" s="185" t="s">
        <v>2042</v>
      </c>
      <c r="AO142" s="185" t="s">
        <v>2042</v>
      </c>
      <c r="AP142" s="185" t="s">
        <v>2042</v>
      </c>
      <c r="AQ142" s="175"/>
    </row>
    <row r="143" spans="1:43" ht="14.5">
      <c r="A143" s="169"/>
      <c r="B143" s="170"/>
      <c r="C143" s="176" t="s">
        <v>1951</v>
      </c>
      <c r="D143" s="177"/>
      <c r="E143" s="178">
        <v>1</v>
      </c>
      <c r="F143" s="179"/>
      <c r="G143" s="186">
        <f>IF(C143="","",SUMIFS(MRP!$D$5:$D1000,MRP!$B$5:$B1000,C143))*E143</f>
        <v>0</v>
      </c>
      <c r="H143" s="181" t="s">
        <v>2041</v>
      </c>
      <c r="I143" s="182">
        <v>0</v>
      </c>
      <c r="J143" s="183" t="s">
        <v>2042</v>
      </c>
      <c r="K143" s="184" t="s">
        <v>2042</v>
      </c>
      <c r="L143" s="184" t="s">
        <v>2042</v>
      </c>
      <c r="M143" s="184" t="s">
        <v>2042</v>
      </c>
      <c r="N143" s="184" t="s">
        <v>2042</v>
      </c>
      <c r="O143" s="184" t="s">
        <v>2042</v>
      </c>
      <c r="P143" s="184" t="s">
        <v>2042</v>
      </c>
      <c r="Q143" s="184" t="s">
        <v>2042</v>
      </c>
      <c r="R143" s="184" t="s">
        <v>2042</v>
      </c>
      <c r="S143" s="184" t="s">
        <v>2042</v>
      </c>
      <c r="T143" s="184" t="s">
        <v>2042</v>
      </c>
      <c r="U143" s="184" t="s">
        <v>2042</v>
      </c>
      <c r="V143" s="184" t="s">
        <v>2042</v>
      </c>
      <c r="W143" s="184" t="s">
        <v>2042</v>
      </c>
      <c r="X143" s="184" t="s">
        <v>2042</v>
      </c>
      <c r="Y143" s="184" t="s">
        <v>2042</v>
      </c>
      <c r="Z143" s="184" t="s">
        <v>2042</v>
      </c>
      <c r="AA143" s="184" t="s">
        <v>2042</v>
      </c>
      <c r="AB143" s="184" t="s">
        <v>2042</v>
      </c>
      <c r="AC143" s="184" t="s">
        <v>2042</v>
      </c>
      <c r="AD143" s="184" t="s">
        <v>2042</v>
      </c>
      <c r="AE143" s="184" t="s">
        <v>2042</v>
      </c>
      <c r="AF143" s="185" t="s">
        <v>2042</v>
      </c>
      <c r="AG143" s="185" t="s">
        <v>2042</v>
      </c>
      <c r="AH143" s="185" t="s">
        <v>2042</v>
      </c>
      <c r="AI143" s="185" t="s">
        <v>2042</v>
      </c>
      <c r="AJ143" s="185" t="s">
        <v>2042</v>
      </c>
      <c r="AK143" s="185" t="s">
        <v>2042</v>
      </c>
      <c r="AL143" s="185" t="s">
        <v>2042</v>
      </c>
      <c r="AM143" s="185" t="s">
        <v>2042</v>
      </c>
      <c r="AN143" s="185" t="s">
        <v>2042</v>
      </c>
      <c r="AO143" s="185" t="s">
        <v>2042</v>
      </c>
      <c r="AP143" s="185" t="s">
        <v>2042</v>
      </c>
      <c r="AQ143" s="175"/>
    </row>
    <row r="144" spans="1:43" ht="14.5">
      <c r="A144" s="169"/>
      <c r="B144" s="170"/>
      <c r="C144" s="176" t="s">
        <v>1952</v>
      </c>
      <c r="D144" s="177"/>
      <c r="E144" s="178">
        <v>1</v>
      </c>
      <c r="F144" s="179"/>
      <c r="G144" s="186">
        <f>IF(C144="","",SUMIFS(MRP!$D$5:$D1000,MRP!$B$5:$B1000,C144))*E144</f>
        <v>0</v>
      </c>
      <c r="H144" s="181" t="s">
        <v>2041</v>
      </c>
      <c r="I144" s="182">
        <v>0</v>
      </c>
      <c r="J144" s="183" t="s">
        <v>2042</v>
      </c>
      <c r="K144" s="184" t="s">
        <v>2042</v>
      </c>
      <c r="L144" s="184" t="s">
        <v>2042</v>
      </c>
      <c r="M144" s="184" t="s">
        <v>2042</v>
      </c>
      <c r="N144" s="184" t="s">
        <v>2042</v>
      </c>
      <c r="O144" s="184" t="s">
        <v>2042</v>
      </c>
      <c r="P144" s="184" t="s">
        <v>2042</v>
      </c>
      <c r="Q144" s="184" t="s">
        <v>2042</v>
      </c>
      <c r="R144" s="184" t="s">
        <v>2042</v>
      </c>
      <c r="S144" s="184" t="s">
        <v>2042</v>
      </c>
      <c r="T144" s="184" t="s">
        <v>2042</v>
      </c>
      <c r="U144" s="184" t="s">
        <v>2042</v>
      </c>
      <c r="V144" s="184" t="s">
        <v>2042</v>
      </c>
      <c r="W144" s="184" t="s">
        <v>2042</v>
      </c>
      <c r="X144" s="184" t="s">
        <v>2042</v>
      </c>
      <c r="Y144" s="184" t="s">
        <v>2042</v>
      </c>
      <c r="Z144" s="184" t="s">
        <v>2042</v>
      </c>
      <c r="AA144" s="184" t="s">
        <v>2042</v>
      </c>
      <c r="AB144" s="184" t="s">
        <v>2042</v>
      </c>
      <c r="AC144" s="184" t="s">
        <v>2042</v>
      </c>
      <c r="AD144" s="184" t="s">
        <v>2042</v>
      </c>
      <c r="AE144" s="184" t="s">
        <v>2042</v>
      </c>
      <c r="AF144" s="184" t="s">
        <v>2042</v>
      </c>
      <c r="AG144" s="184" t="s">
        <v>2042</v>
      </c>
      <c r="AH144" s="184" t="s">
        <v>2042</v>
      </c>
      <c r="AI144" s="184" t="s">
        <v>2042</v>
      </c>
      <c r="AJ144" s="184" t="s">
        <v>2042</v>
      </c>
      <c r="AK144" s="184" t="s">
        <v>2042</v>
      </c>
      <c r="AL144" s="184" t="s">
        <v>2042</v>
      </c>
      <c r="AM144" s="184" t="s">
        <v>2042</v>
      </c>
      <c r="AN144" s="184" t="s">
        <v>2042</v>
      </c>
      <c r="AO144" s="184" t="s">
        <v>2042</v>
      </c>
      <c r="AP144" s="187" t="s">
        <v>2042</v>
      </c>
      <c r="AQ144" s="175"/>
    </row>
    <row r="145" spans="1:43" ht="14.5">
      <c r="A145" s="169"/>
      <c r="B145" s="170"/>
      <c r="C145" s="176" t="s">
        <v>1953</v>
      </c>
      <c r="D145" s="177"/>
      <c r="E145" s="178">
        <v>1</v>
      </c>
      <c r="F145" s="179"/>
      <c r="G145" s="186">
        <f>IF(C145="","",SUMIFS(MRP!$D$5:$D1000,MRP!$B$5:$B1000,C145))*E145</f>
        <v>0</v>
      </c>
      <c r="H145" s="181" t="s">
        <v>2041</v>
      </c>
      <c r="I145" s="182">
        <v>0</v>
      </c>
      <c r="J145" s="183" t="s">
        <v>2042</v>
      </c>
      <c r="K145" s="184" t="s">
        <v>2042</v>
      </c>
      <c r="L145" s="184" t="s">
        <v>2042</v>
      </c>
      <c r="M145" s="184" t="s">
        <v>2042</v>
      </c>
      <c r="N145" s="184" t="s">
        <v>2042</v>
      </c>
      <c r="O145" s="184" t="s">
        <v>2042</v>
      </c>
      <c r="P145" s="184" t="s">
        <v>2042</v>
      </c>
      <c r="Q145" s="184" t="s">
        <v>2042</v>
      </c>
      <c r="R145" s="184" t="s">
        <v>2042</v>
      </c>
      <c r="S145" s="184" t="s">
        <v>2042</v>
      </c>
      <c r="T145" s="184" t="s">
        <v>2042</v>
      </c>
      <c r="U145" s="184" t="s">
        <v>2042</v>
      </c>
      <c r="V145" s="184" t="s">
        <v>2042</v>
      </c>
      <c r="W145" s="184" t="s">
        <v>2042</v>
      </c>
      <c r="X145" s="184" t="s">
        <v>2042</v>
      </c>
      <c r="Y145" s="184" t="s">
        <v>2042</v>
      </c>
      <c r="Z145" s="184" t="s">
        <v>2042</v>
      </c>
      <c r="AA145" s="184" t="s">
        <v>2042</v>
      </c>
      <c r="AB145" s="184" t="s">
        <v>2042</v>
      </c>
      <c r="AC145" s="184" t="s">
        <v>2042</v>
      </c>
      <c r="AD145" s="184" t="s">
        <v>2042</v>
      </c>
      <c r="AE145" s="184" t="s">
        <v>2042</v>
      </c>
      <c r="AF145" s="184" t="s">
        <v>2042</v>
      </c>
      <c r="AG145" s="184" t="s">
        <v>2042</v>
      </c>
      <c r="AH145" s="184" t="s">
        <v>2042</v>
      </c>
      <c r="AI145" s="184" t="s">
        <v>2042</v>
      </c>
      <c r="AJ145" s="184" t="s">
        <v>2042</v>
      </c>
      <c r="AK145" s="184" t="s">
        <v>2042</v>
      </c>
      <c r="AL145" s="184" t="s">
        <v>2042</v>
      </c>
      <c r="AM145" s="184" t="s">
        <v>2042</v>
      </c>
      <c r="AN145" s="184" t="s">
        <v>2042</v>
      </c>
      <c r="AO145" s="184" t="s">
        <v>2042</v>
      </c>
      <c r="AP145" s="184" t="s">
        <v>2042</v>
      </c>
      <c r="AQ145" s="175"/>
    </row>
    <row r="146" spans="1:43" ht="14.5">
      <c r="A146" s="169"/>
      <c r="B146" s="170"/>
      <c r="C146" s="176" t="s">
        <v>1954</v>
      </c>
      <c r="D146" s="177"/>
      <c r="E146" s="178">
        <v>1</v>
      </c>
      <c r="F146" s="179"/>
      <c r="G146" s="186">
        <f>IF(C146="","",SUMIFS(MRP!$D$5:$D1000,MRP!$B$5:$B1000,C146))*E146</f>
        <v>0</v>
      </c>
      <c r="H146" s="181" t="s">
        <v>2041</v>
      </c>
      <c r="I146" s="182">
        <v>0</v>
      </c>
      <c r="J146" s="183" t="s">
        <v>2042</v>
      </c>
      <c r="K146" s="184" t="s">
        <v>2042</v>
      </c>
      <c r="L146" s="184" t="s">
        <v>2042</v>
      </c>
      <c r="M146" s="184" t="s">
        <v>2042</v>
      </c>
      <c r="N146" s="184" t="s">
        <v>2042</v>
      </c>
      <c r="O146" s="184" t="s">
        <v>2042</v>
      </c>
      <c r="P146" s="184" t="s">
        <v>2042</v>
      </c>
      <c r="Q146" s="184" t="s">
        <v>2042</v>
      </c>
      <c r="R146" s="184" t="s">
        <v>2042</v>
      </c>
      <c r="S146" s="184" t="s">
        <v>2042</v>
      </c>
      <c r="T146" s="184" t="s">
        <v>2042</v>
      </c>
      <c r="U146" s="184" t="s">
        <v>2042</v>
      </c>
      <c r="V146" s="184" t="s">
        <v>2042</v>
      </c>
      <c r="W146" s="184" t="s">
        <v>2042</v>
      </c>
      <c r="X146" s="184" t="s">
        <v>2042</v>
      </c>
      <c r="Y146" s="184" t="s">
        <v>2042</v>
      </c>
      <c r="Z146" s="184" t="s">
        <v>2042</v>
      </c>
      <c r="AA146" s="184" t="s">
        <v>2042</v>
      </c>
      <c r="AB146" s="184" t="s">
        <v>2042</v>
      </c>
      <c r="AC146" s="184" t="s">
        <v>2042</v>
      </c>
      <c r="AD146" s="184" t="s">
        <v>2042</v>
      </c>
      <c r="AE146" s="184" t="s">
        <v>2042</v>
      </c>
      <c r="AF146" s="184" t="s">
        <v>2042</v>
      </c>
      <c r="AG146" s="184" t="s">
        <v>2042</v>
      </c>
      <c r="AH146" s="184" t="s">
        <v>2042</v>
      </c>
      <c r="AI146" s="184" t="s">
        <v>2042</v>
      </c>
      <c r="AJ146" s="184" t="s">
        <v>2042</v>
      </c>
      <c r="AK146" s="184" t="s">
        <v>2042</v>
      </c>
      <c r="AL146" s="184" t="s">
        <v>2042</v>
      </c>
      <c r="AM146" s="184" t="s">
        <v>2042</v>
      </c>
      <c r="AN146" s="184" t="s">
        <v>2042</v>
      </c>
      <c r="AO146" s="184" t="s">
        <v>2042</v>
      </c>
      <c r="AP146" s="184" t="s">
        <v>2042</v>
      </c>
      <c r="AQ146" s="175"/>
    </row>
    <row r="147" spans="1:43" ht="14.5">
      <c r="A147" s="169"/>
      <c r="B147" s="170"/>
      <c r="C147" s="176" t="s">
        <v>1955</v>
      </c>
      <c r="D147" s="177"/>
      <c r="E147" s="178">
        <v>1</v>
      </c>
      <c r="F147" s="179"/>
      <c r="G147" s="186">
        <f>IF(C147="","",SUMIFS(MRP!$D$5:$D1000,MRP!$B$5:$B1000,C147))*E147</f>
        <v>0</v>
      </c>
      <c r="H147" s="181" t="s">
        <v>2041</v>
      </c>
      <c r="I147" s="182">
        <v>0</v>
      </c>
      <c r="J147" s="183" t="s">
        <v>2042</v>
      </c>
      <c r="K147" s="188" t="s">
        <v>2042</v>
      </c>
      <c r="L147" s="188" t="s">
        <v>2042</v>
      </c>
      <c r="M147" s="188" t="s">
        <v>2042</v>
      </c>
      <c r="N147" s="188" t="s">
        <v>2042</v>
      </c>
      <c r="O147" s="188" t="s">
        <v>2042</v>
      </c>
      <c r="P147" s="188" t="s">
        <v>2042</v>
      </c>
      <c r="Q147" s="188" t="s">
        <v>2042</v>
      </c>
      <c r="R147" s="187" t="s">
        <v>2042</v>
      </c>
      <c r="S147" s="187" t="s">
        <v>2042</v>
      </c>
      <c r="T147" s="187" t="s">
        <v>2042</v>
      </c>
      <c r="U147" s="187" t="s">
        <v>2042</v>
      </c>
      <c r="V147" s="187" t="s">
        <v>2042</v>
      </c>
      <c r="W147" s="187" t="s">
        <v>2042</v>
      </c>
      <c r="X147" s="190" t="s">
        <v>2042</v>
      </c>
      <c r="Y147" s="188" t="s">
        <v>2042</v>
      </c>
      <c r="Z147" s="188" t="s">
        <v>2042</v>
      </c>
      <c r="AA147" s="188" t="s">
        <v>2042</v>
      </c>
      <c r="AB147" s="188" t="s">
        <v>2042</v>
      </c>
      <c r="AC147" s="188" t="s">
        <v>2042</v>
      </c>
      <c r="AD147" s="188" t="s">
        <v>2042</v>
      </c>
      <c r="AE147" s="188" t="s">
        <v>2042</v>
      </c>
      <c r="AF147" s="188" t="s">
        <v>2042</v>
      </c>
      <c r="AG147" s="188" t="s">
        <v>2042</v>
      </c>
      <c r="AH147" s="187" t="s">
        <v>2042</v>
      </c>
      <c r="AI147" s="187" t="s">
        <v>2042</v>
      </c>
      <c r="AJ147" s="187" t="s">
        <v>2042</v>
      </c>
      <c r="AK147" s="187" t="s">
        <v>2042</v>
      </c>
      <c r="AL147" s="187" t="s">
        <v>2042</v>
      </c>
      <c r="AM147" s="187" t="s">
        <v>2042</v>
      </c>
      <c r="AN147" s="187" t="s">
        <v>2042</v>
      </c>
      <c r="AO147" s="190" t="s">
        <v>2042</v>
      </c>
      <c r="AP147" s="190" t="s">
        <v>2042</v>
      </c>
      <c r="AQ147" s="175"/>
    </row>
    <row r="148" spans="1:43" ht="14.5">
      <c r="A148" s="169"/>
      <c r="B148" s="170"/>
      <c r="C148" s="176" t="s">
        <v>1536</v>
      </c>
      <c r="D148" s="177"/>
      <c r="E148" s="178">
        <v>1</v>
      </c>
      <c r="F148" s="179"/>
      <c r="G148" s="186">
        <f>IF(C148="","",SUMIFS(MRP!$D$5:$D1000,MRP!$B$5:$B1000,C148))*E148</f>
        <v>0</v>
      </c>
      <c r="H148" s="181" t="s">
        <v>2041</v>
      </c>
      <c r="I148" s="182">
        <v>0</v>
      </c>
      <c r="J148" s="183" t="s">
        <v>2042</v>
      </c>
      <c r="K148" s="184" t="s">
        <v>2042</v>
      </c>
      <c r="L148" s="184" t="s">
        <v>2042</v>
      </c>
      <c r="M148" s="184" t="s">
        <v>2042</v>
      </c>
      <c r="N148" s="184" t="s">
        <v>2042</v>
      </c>
      <c r="O148" s="184" t="s">
        <v>2042</v>
      </c>
      <c r="P148" s="184" t="s">
        <v>2042</v>
      </c>
      <c r="Q148" s="184" t="s">
        <v>2042</v>
      </c>
      <c r="R148" s="184" t="s">
        <v>2042</v>
      </c>
      <c r="S148" s="184" t="s">
        <v>2042</v>
      </c>
      <c r="T148" s="184" t="s">
        <v>2042</v>
      </c>
      <c r="U148" s="184" t="s">
        <v>2042</v>
      </c>
      <c r="V148" s="184" t="s">
        <v>2042</v>
      </c>
      <c r="W148" s="184" t="s">
        <v>2042</v>
      </c>
      <c r="X148" s="184" t="s">
        <v>2042</v>
      </c>
      <c r="Y148" s="184" t="s">
        <v>2042</v>
      </c>
      <c r="Z148" s="184" t="s">
        <v>2042</v>
      </c>
      <c r="AA148" s="184" t="s">
        <v>2042</v>
      </c>
      <c r="AB148" s="184" t="s">
        <v>2042</v>
      </c>
      <c r="AC148" s="184" t="s">
        <v>2042</v>
      </c>
      <c r="AD148" s="184" t="s">
        <v>2042</v>
      </c>
      <c r="AE148" s="184" t="s">
        <v>2042</v>
      </c>
      <c r="AF148" s="184" t="s">
        <v>2042</v>
      </c>
      <c r="AG148" s="184" t="s">
        <v>2042</v>
      </c>
      <c r="AH148" s="184" t="s">
        <v>2042</v>
      </c>
      <c r="AI148" s="184" t="s">
        <v>2042</v>
      </c>
      <c r="AJ148" s="184" t="s">
        <v>2042</v>
      </c>
      <c r="AK148" s="184" t="s">
        <v>2042</v>
      </c>
      <c r="AL148" s="184" t="s">
        <v>2042</v>
      </c>
      <c r="AM148" s="184" t="s">
        <v>2042</v>
      </c>
      <c r="AN148" s="184" t="s">
        <v>2042</v>
      </c>
      <c r="AO148" s="185" t="s">
        <v>2042</v>
      </c>
      <c r="AP148" s="185" t="s">
        <v>2042</v>
      </c>
      <c r="AQ148" s="175"/>
    </row>
    <row r="149" spans="1:43" ht="14.5">
      <c r="A149" s="169"/>
      <c r="B149" s="170"/>
      <c r="C149" s="176" t="s">
        <v>1956</v>
      </c>
      <c r="D149" s="177"/>
      <c r="E149" s="178">
        <v>1</v>
      </c>
      <c r="F149" s="179"/>
      <c r="G149" s="186">
        <f>IF(C149="","",SUMIFS(MRP!$D$5:$D1000,MRP!$B$5:$B1000,C149))*E149</f>
        <v>0</v>
      </c>
      <c r="H149" s="181" t="s">
        <v>2041</v>
      </c>
      <c r="I149" s="182">
        <v>0</v>
      </c>
      <c r="J149" s="183" t="s">
        <v>2042</v>
      </c>
      <c r="K149" s="184" t="s">
        <v>2042</v>
      </c>
      <c r="L149" s="184" t="s">
        <v>2042</v>
      </c>
      <c r="M149" s="184" t="s">
        <v>2042</v>
      </c>
      <c r="N149" s="184" t="s">
        <v>2042</v>
      </c>
      <c r="O149" s="184" t="s">
        <v>2042</v>
      </c>
      <c r="P149" s="184" t="s">
        <v>2042</v>
      </c>
      <c r="Q149" s="184" t="s">
        <v>2042</v>
      </c>
      <c r="R149" s="184" t="s">
        <v>2042</v>
      </c>
      <c r="S149" s="184" t="s">
        <v>2042</v>
      </c>
      <c r="T149" s="184" t="s">
        <v>2042</v>
      </c>
      <c r="U149" s="184" t="s">
        <v>2042</v>
      </c>
      <c r="V149" s="184" t="s">
        <v>2042</v>
      </c>
      <c r="W149" s="184" t="s">
        <v>2042</v>
      </c>
      <c r="X149" s="184" t="s">
        <v>2042</v>
      </c>
      <c r="Y149" s="184" t="s">
        <v>2042</v>
      </c>
      <c r="Z149" s="184" t="s">
        <v>2042</v>
      </c>
      <c r="AA149" s="184" t="s">
        <v>2042</v>
      </c>
      <c r="AB149" s="184" t="s">
        <v>2042</v>
      </c>
      <c r="AC149" s="184" t="s">
        <v>2042</v>
      </c>
      <c r="AD149" s="184" t="s">
        <v>2042</v>
      </c>
      <c r="AE149" s="184" t="s">
        <v>2042</v>
      </c>
      <c r="AF149" s="184" t="s">
        <v>2042</v>
      </c>
      <c r="AG149" s="184" t="s">
        <v>2042</v>
      </c>
      <c r="AH149" s="184" t="s">
        <v>2042</v>
      </c>
      <c r="AI149" s="184" t="s">
        <v>2042</v>
      </c>
      <c r="AJ149" s="185" t="s">
        <v>2042</v>
      </c>
      <c r="AK149" s="185" t="s">
        <v>2042</v>
      </c>
      <c r="AL149" s="185" t="s">
        <v>2042</v>
      </c>
      <c r="AM149" s="185" t="s">
        <v>2042</v>
      </c>
      <c r="AN149" s="185" t="s">
        <v>2042</v>
      </c>
      <c r="AO149" s="185" t="s">
        <v>2042</v>
      </c>
      <c r="AP149" s="185" t="s">
        <v>2042</v>
      </c>
      <c r="AQ149" s="175"/>
    </row>
    <row r="150" spans="1:43" ht="14.5">
      <c r="A150" s="169"/>
      <c r="B150" s="170"/>
      <c r="C150" s="176" t="s">
        <v>1577</v>
      </c>
      <c r="D150" s="177"/>
      <c r="E150" s="178">
        <v>1</v>
      </c>
      <c r="F150" s="179"/>
      <c r="G150" s="186">
        <f>IF(C150="","",SUMIFS(MRP!$D$5:$D1000,MRP!$B$5:$B1000,C150))*E150</f>
        <v>0</v>
      </c>
      <c r="H150" s="181" t="s">
        <v>2041</v>
      </c>
      <c r="I150" s="182">
        <v>0</v>
      </c>
      <c r="J150" s="183" t="s">
        <v>2042</v>
      </c>
      <c r="K150" s="184" t="s">
        <v>2042</v>
      </c>
      <c r="L150" s="184" t="s">
        <v>2042</v>
      </c>
      <c r="M150" s="184" t="s">
        <v>2042</v>
      </c>
      <c r="N150" s="184" t="s">
        <v>2042</v>
      </c>
      <c r="O150" s="184" t="s">
        <v>2042</v>
      </c>
      <c r="P150" s="184" t="s">
        <v>2042</v>
      </c>
      <c r="Q150" s="184" t="s">
        <v>2042</v>
      </c>
      <c r="R150" s="184" t="s">
        <v>2042</v>
      </c>
      <c r="S150" s="184" t="s">
        <v>2042</v>
      </c>
      <c r="T150" s="184" t="s">
        <v>2042</v>
      </c>
      <c r="U150" s="184" t="s">
        <v>2042</v>
      </c>
      <c r="V150" s="184" t="s">
        <v>2042</v>
      </c>
      <c r="W150" s="184" t="s">
        <v>2042</v>
      </c>
      <c r="X150" s="184" t="s">
        <v>2042</v>
      </c>
      <c r="Y150" s="184" t="s">
        <v>2042</v>
      </c>
      <c r="Z150" s="184" t="s">
        <v>2042</v>
      </c>
      <c r="AA150" s="184" t="s">
        <v>2042</v>
      </c>
      <c r="AB150" s="184" t="s">
        <v>2042</v>
      </c>
      <c r="AC150" s="184" t="s">
        <v>2042</v>
      </c>
      <c r="AD150" s="184" t="s">
        <v>2042</v>
      </c>
      <c r="AE150" s="184" t="s">
        <v>2042</v>
      </c>
      <c r="AF150" s="184" t="s">
        <v>2042</v>
      </c>
      <c r="AG150" s="184" t="s">
        <v>2042</v>
      </c>
      <c r="AH150" s="184" t="s">
        <v>2042</v>
      </c>
      <c r="AI150" s="184" t="s">
        <v>2042</v>
      </c>
      <c r="AJ150" s="184" t="s">
        <v>2042</v>
      </c>
      <c r="AK150" s="184" t="s">
        <v>2042</v>
      </c>
      <c r="AL150" s="184" t="s">
        <v>2042</v>
      </c>
      <c r="AM150" s="184" t="s">
        <v>2042</v>
      </c>
      <c r="AN150" s="184" t="s">
        <v>2042</v>
      </c>
      <c r="AO150" s="184" t="s">
        <v>2042</v>
      </c>
      <c r="AP150" s="184" t="s">
        <v>2042</v>
      </c>
      <c r="AQ150" s="175"/>
    </row>
    <row r="151" spans="1:43" ht="14.5">
      <c r="A151" s="169"/>
      <c r="B151" s="170"/>
      <c r="C151" s="176" t="s">
        <v>1957</v>
      </c>
      <c r="D151" s="177"/>
      <c r="E151" s="178">
        <v>1</v>
      </c>
      <c r="F151" s="179"/>
      <c r="G151" s="186">
        <f>IF(C151="","",SUMIFS(MRP!$D$5:$D1000,MRP!$B$5:$B1000,C151))*E151</f>
        <v>0</v>
      </c>
      <c r="H151" s="181" t="s">
        <v>2041</v>
      </c>
      <c r="I151" s="182">
        <v>0</v>
      </c>
      <c r="J151" s="183" t="s">
        <v>2042</v>
      </c>
      <c r="K151" s="184" t="s">
        <v>2042</v>
      </c>
      <c r="L151" s="184" t="s">
        <v>2042</v>
      </c>
      <c r="M151" s="184" t="s">
        <v>2042</v>
      </c>
      <c r="N151" s="184" t="s">
        <v>2042</v>
      </c>
      <c r="O151" s="184" t="s">
        <v>2042</v>
      </c>
      <c r="P151" s="184" t="s">
        <v>2042</v>
      </c>
      <c r="Q151" s="184" t="s">
        <v>2042</v>
      </c>
      <c r="R151" s="184" t="s">
        <v>2042</v>
      </c>
      <c r="S151" s="184" t="s">
        <v>2042</v>
      </c>
      <c r="T151" s="184" t="s">
        <v>2042</v>
      </c>
      <c r="U151" s="184" t="s">
        <v>2042</v>
      </c>
      <c r="V151" s="184" t="s">
        <v>2042</v>
      </c>
      <c r="W151" s="184" t="s">
        <v>2042</v>
      </c>
      <c r="X151" s="184" t="s">
        <v>2042</v>
      </c>
      <c r="Y151" s="184" t="s">
        <v>2042</v>
      </c>
      <c r="Z151" s="184" t="s">
        <v>2042</v>
      </c>
      <c r="AA151" s="184" t="s">
        <v>2042</v>
      </c>
      <c r="AB151" s="184" t="s">
        <v>2042</v>
      </c>
      <c r="AC151" s="184" t="s">
        <v>2042</v>
      </c>
      <c r="AD151" s="184" t="s">
        <v>2042</v>
      </c>
      <c r="AE151" s="184" t="s">
        <v>2042</v>
      </c>
      <c r="AF151" s="184" t="s">
        <v>2042</v>
      </c>
      <c r="AG151" s="184" t="s">
        <v>2042</v>
      </c>
      <c r="AH151" s="184" t="s">
        <v>2042</v>
      </c>
      <c r="AI151" s="184" t="s">
        <v>2042</v>
      </c>
      <c r="AJ151" s="184" t="s">
        <v>2042</v>
      </c>
      <c r="AK151" s="184" t="s">
        <v>2042</v>
      </c>
      <c r="AL151" s="184" t="s">
        <v>2042</v>
      </c>
      <c r="AM151" s="184" t="s">
        <v>2042</v>
      </c>
      <c r="AN151" s="184" t="s">
        <v>2042</v>
      </c>
      <c r="AO151" s="184" t="s">
        <v>2042</v>
      </c>
      <c r="AP151" s="184" t="s">
        <v>2042</v>
      </c>
      <c r="AQ151" s="175"/>
    </row>
    <row r="152" spans="1:43" ht="14.5">
      <c r="A152" s="169"/>
      <c r="B152" s="170"/>
      <c r="C152" s="176" t="s">
        <v>1958</v>
      </c>
      <c r="D152" s="177"/>
      <c r="E152" s="178">
        <v>1</v>
      </c>
      <c r="F152" s="179"/>
      <c r="G152" s="186">
        <f>IF(C152="","",SUMIFS(MRP!$D$5:$D1000,MRP!$B$5:$B1000,C152))*E152</f>
        <v>0</v>
      </c>
      <c r="H152" s="181" t="s">
        <v>2041</v>
      </c>
      <c r="I152" s="182">
        <v>0</v>
      </c>
      <c r="J152" s="183" t="s">
        <v>2042</v>
      </c>
      <c r="K152" s="184" t="s">
        <v>2042</v>
      </c>
      <c r="L152" s="184" t="s">
        <v>2042</v>
      </c>
      <c r="M152" s="184" t="s">
        <v>2042</v>
      </c>
      <c r="N152" s="184" t="s">
        <v>2042</v>
      </c>
      <c r="O152" s="184" t="s">
        <v>2042</v>
      </c>
      <c r="P152" s="184" t="s">
        <v>2042</v>
      </c>
      <c r="Q152" s="184" t="s">
        <v>2042</v>
      </c>
      <c r="R152" s="184" t="s">
        <v>2042</v>
      </c>
      <c r="S152" s="184" t="s">
        <v>2042</v>
      </c>
      <c r="T152" s="184" t="s">
        <v>2042</v>
      </c>
      <c r="U152" s="184" t="s">
        <v>2042</v>
      </c>
      <c r="V152" s="184" t="s">
        <v>2042</v>
      </c>
      <c r="W152" s="184" t="s">
        <v>2042</v>
      </c>
      <c r="X152" s="184" t="s">
        <v>2042</v>
      </c>
      <c r="Y152" s="184" t="s">
        <v>2042</v>
      </c>
      <c r="Z152" s="184" t="s">
        <v>2042</v>
      </c>
      <c r="AA152" s="184" t="s">
        <v>2042</v>
      </c>
      <c r="AB152" s="184" t="s">
        <v>2042</v>
      </c>
      <c r="AC152" s="184" t="s">
        <v>2042</v>
      </c>
      <c r="AD152" s="184" t="s">
        <v>2042</v>
      </c>
      <c r="AE152" s="184" t="s">
        <v>2042</v>
      </c>
      <c r="AF152" s="184" t="s">
        <v>2042</v>
      </c>
      <c r="AG152" s="184" t="s">
        <v>2042</v>
      </c>
      <c r="AH152" s="184" t="s">
        <v>2042</v>
      </c>
      <c r="AI152" s="184" t="s">
        <v>2042</v>
      </c>
      <c r="AJ152" s="184" t="s">
        <v>2042</v>
      </c>
      <c r="AK152" s="184" t="s">
        <v>2042</v>
      </c>
      <c r="AL152" s="184" t="s">
        <v>2042</v>
      </c>
      <c r="AM152" s="184" t="s">
        <v>2042</v>
      </c>
      <c r="AN152" s="184" t="s">
        <v>2042</v>
      </c>
      <c r="AO152" s="184" t="s">
        <v>2042</v>
      </c>
      <c r="AP152" s="184" t="s">
        <v>2042</v>
      </c>
      <c r="AQ152" s="175"/>
    </row>
    <row r="153" spans="1:43" ht="14.5">
      <c r="A153" s="169"/>
      <c r="B153" s="170"/>
      <c r="C153" s="176" t="s">
        <v>1959</v>
      </c>
      <c r="D153" s="177"/>
      <c r="E153" s="178">
        <v>1</v>
      </c>
      <c r="F153" s="179"/>
      <c r="G153" s="186">
        <f>IF(C153="","",SUMIFS(MRP!$D$5:$D1000,MRP!$B$5:$B1000,C153))*E153</f>
        <v>0</v>
      </c>
      <c r="H153" s="181" t="s">
        <v>2041</v>
      </c>
      <c r="I153" s="182">
        <v>0</v>
      </c>
      <c r="J153" s="183" t="s">
        <v>2042</v>
      </c>
      <c r="K153" s="184" t="s">
        <v>2042</v>
      </c>
      <c r="L153" s="184" t="s">
        <v>2042</v>
      </c>
      <c r="M153" s="184" t="s">
        <v>2042</v>
      </c>
      <c r="N153" s="184" t="s">
        <v>2042</v>
      </c>
      <c r="O153" s="184" t="s">
        <v>2042</v>
      </c>
      <c r="P153" s="184" t="s">
        <v>2042</v>
      </c>
      <c r="Q153" s="184" t="s">
        <v>2042</v>
      </c>
      <c r="R153" s="184" t="s">
        <v>2042</v>
      </c>
      <c r="S153" s="184" t="s">
        <v>2042</v>
      </c>
      <c r="T153" s="184" t="s">
        <v>2042</v>
      </c>
      <c r="U153" s="184" t="s">
        <v>2042</v>
      </c>
      <c r="V153" s="184" t="s">
        <v>2042</v>
      </c>
      <c r="W153" s="184" t="s">
        <v>2042</v>
      </c>
      <c r="X153" s="184" t="s">
        <v>2042</v>
      </c>
      <c r="Y153" s="184" t="s">
        <v>2042</v>
      </c>
      <c r="Z153" s="184" t="s">
        <v>2042</v>
      </c>
      <c r="AA153" s="184" t="s">
        <v>2042</v>
      </c>
      <c r="AB153" s="184" t="s">
        <v>2042</v>
      </c>
      <c r="AC153" s="184" t="s">
        <v>2042</v>
      </c>
      <c r="AD153" s="184" t="s">
        <v>2042</v>
      </c>
      <c r="AE153" s="184" t="s">
        <v>2042</v>
      </c>
      <c r="AF153" s="184" t="s">
        <v>2042</v>
      </c>
      <c r="AG153" s="184" t="s">
        <v>2042</v>
      </c>
      <c r="AH153" s="184" t="s">
        <v>2042</v>
      </c>
      <c r="AI153" s="184" t="s">
        <v>2042</v>
      </c>
      <c r="AJ153" s="184" t="s">
        <v>2042</v>
      </c>
      <c r="AK153" s="184" t="s">
        <v>2042</v>
      </c>
      <c r="AL153" s="184" t="s">
        <v>2042</v>
      </c>
      <c r="AM153" s="184" t="s">
        <v>2042</v>
      </c>
      <c r="AN153" s="184" t="s">
        <v>2042</v>
      </c>
      <c r="AO153" s="184" t="s">
        <v>2042</v>
      </c>
      <c r="AP153" s="184" t="s">
        <v>2042</v>
      </c>
      <c r="AQ153" s="175"/>
    </row>
    <row r="154" spans="1:43" ht="14.5">
      <c r="A154" s="169"/>
      <c r="B154" s="170"/>
      <c r="C154" s="176" t="s">
        <v>1473</v>
      </c>
      <c r="D154" s="177"/>
      <c r="E154" s="178">
        <v>1</v>
      </c>
      <c r="F154" s="179"/>
      <c r="G154" s="186">
        <f>IF(C154="","",SUMIFS(MRP!$D$5:$D1000,MRP!$B$5:$B1000,C154))*E154</f>
        <v>0</v>
      </c>
      <c r="H154" s="181" t="s">
        <v>2041</v>
      </c>
      <c r="I154" s="182">
        <v>0</v>
      </c>
      <c r="J154" s="183" t="s">
        <v>2042</v>
      </c>
      <c r="K154" s="184" t="s">
        <v>2042</v>
      </c>
      <c r="L154" s="184" t="s">
        <v>2042</v>
      </c>
      <c r="M154" s="184" t="s">
        <v>2042</v>
      </c>
      <c r="N154" s="184" t="s">
        <v>2042</v>
      </c>
      <c r="O154" s="184" t="s">
        <v>2042</v>
      </c>
      <c r="P154" s="184" t="s">
        <v>2042</v>
      </c>
      <c r="Q154" s="184" t="s">
        <v>2042</v>
      </c>
      <c r="R154" s="184" t="s">
        <v>2042</v>
      </c>
      <c r="S154" s="184" t="s">
        <v>2042</v>
      </c>
      <c r="T154" s="184" t="s">
        <v>2042</v>
      </c>
      <c r="U154" s="184" t="s">
        <v>2042</v>
      </c>
      <c r="V154" s="184" t="s">
        <v>2042</v>
      </c>
      <c r="W154" s="184" t="s">
        <v>2042</v>
      </c>
      <c r="X154" s="184" t="s">
        <v>2042</v>
      </c>
      <c r="Y154" s="184" t="s">
        <v>2042</v>
      </c>
      <c r="Z154" s="184" t="s">
        <v>2042</v>
      </c>
      <c r="AA154" s="184" t="s">
        <v>2042</v>
      </c>
      <c r="AB154" s="189" t="s">
        <v>2042</v>
      </c>
      <c r="AC154" s="189" t="s">
        <v>2042</v>
      </c>
      <c r="AD154" s="189" t="s">
        <v>2042</v>
      </c>
      <c r="AE154" s="185" t="s">
        <v>2042</v>
      </c>
      <c r="AF154" s="185" t="s">
        <v>2042</v>
      </c>
      <c r="AG154" s="185" t="s">
        <v>2042</v>
      </c>
      <c r="AH154" s="185" t="s">
        <v>2042</v>
      </c>
      <c r="AI154" s="188" t="s">
        <v>2042</v>
      </c>
      <c r="AJ154" s="188" t="s">
        <v>2042</v>
      </c>
      <c r="AK154" s="188" t="s">
        <v>2042</v>
      </c>
      <c r="AL154" s="188" t="s">
        <v>2042</v>
      </c>
      <c r="AM154" s="188" t="s">
        <v>2042</v>
      </c>
      <c r="AN154" s="185" t="s">
        <v>2042</v>
      </c>
      <c r="AO154" s="185" t="s">
        <v>2042</v>
      </c>
      <c r="AP154" s="185" t="s">
        <v>2042</v>
      </c>
      <c r="AQ154" s="175"/>
    </row>
    <row r="155" spans="1:43" ht="14.5">
      <c r="A155" s="169"/>
      <c r="B155" s="170"/>
      <c r="C155" s="176" t="s">
        <v>1960</v>
      </c>
      <c r="D155" s="177"/>
      <c r="E155" s="178">
        <v>1</v>
      </c>
      <c r="F155" s="179"/>
      <c r="G155" s="186">
        <f>IF(C155="","",SUMIFS(MRP!$D$5:$D1000,MRP!$B$5:$B1000,C155))*E155</f>
        <v>0</v>
      </c>
      <c r="H155" s="181" t="s">
        <v>2041</v>
      </c>
      <c r="I155" s="182">
        <v>0</v>
      </c>
      <c r="J155" s="183" t="s">
        <v>2042</v>
      </c>
      <c r="K155" s="184" t="s">
        <v>2042</v>
      </c>
      <c r="L155" s="184" t="s">
        <v>2042</v>
      </c>
      <c r="M155" s="184" t="s">
        <v>2042</v>
      </c>
      <c r="N155" s="184" t="s">
        <v>2042</v>
      </c>
      <c r="O155" s="184" t="s">
        <v>2042</v>
      </c>
      <c r="P155" s="184" t="s">
        <v>2042</v>
      </c>
      <c r="Q155" s="184" t="s">
        <v>2042</v>
      </c>
      <c r="R155" s="184" t="s">
        <v>2042</v>
      </c>
      <c r="S155" s="184" t="s">
        <v>2042</v>
      </c>
      <c r="T155" s="184" t="s">
        <v>2042</v>
      </c>
      <c r="U155" s="184" t="s">
        <v>2042</v>
      </c>
      <c r="V155" s="184" t="s">
        <v>2042</v>
      </c>
      <c r="W155" s="184" t="s">
        <v>2042</v>
      </c>
      <c r="X155" s="184" t="s">
        <v>2042</v>
      </c>
      <c r="Y155" s="184" t="s">
        <v>2042</v>
      </c>
      <c r="Z155" s="184" t="s">
        <v>2042</v>
      </c>
      <c r="AA155" s="184" t="s">
        <v>2042</v>
      </c>
      <c r="AB155" s="184" t="s">
        <v>2042</v>
      </c>
      <c r="AC155" s="184" t="s">
        <v>2042</v>
      </c>
      <c r="AD155" s="184" t="s">
        <v>2042</v>
      </c>
      <c r="AE155" s="184" t="s">
        <v>2042</v>
      </c>
      <c r="AF155" s="184" t="s">
        <v>2042</v>
      </c>
      <c r="AG155" s="184" t="s">
        <v>2042</v>
      </c>
      <c r="AH155" s="184" t="s">
        <v>2042</v>
      </c>
      <c r="AI155" s="184" t="s">
        <v>2042</v>
      </c>
      <c r="AJ155" s="184" t="s">
        <v>2042</v>
      </c>
      <c r="AK155" s="184" t="s">
        <v>2042</v>
      </c>
      <c r="AL155" s="184" t="s">
        <v>2042</v>
      </c>
      <c r="AM155" s="184" t="s">
        <v>2042</v>
      </c>
      <c r="AN155" s="184" t="s">
        <v>2042</v>
      </c>
      <c r="AO155" s="184" t="s">
        <v>2042</v>
      </c>
      <c r="AP155" s="184" t="s">
        <v>2042</v>
      </c>
      <c r="AQ155" s="175"/>
    </row>
    <row r="156" spans="1:43" ht="14.5">
      <c r="A156" s="169"/>
      <c r="B156" s="170"/>
      <c r="C156" s="176" t="s">
        <v>1961</v>
      </c>
      <c r="D156" s="177"/>
      <c r="E156" s="178">
        <v>1</v>
      </c>
      <c r="F156" s="179"/>
      <c r="G156" s="186">
        <f>IF(C156="","",SUMIFS(MRP!$D$5:$D1000,MRP!$B$5:$B1000,C156))*E156</f>
        <v>0</v>
      </c>
      <c r="H156" s="181" t="s">
        <v>2041</v>
      </c>
      <c r="I156" s="182">
        <v>0</v>
      </c>
      <c r="J156" s="183" t="s">
        <v>2042</v>
      </c>
      <c r="K156" s="184" t="s">
        <v>2042</v>
      </c>
      <c r="L156" s="184" t="s">
        <v>2042</v>
      </c>
      <c r="M156" s="184" t="s">
        <v>2042</v>
      </c>
      <c r="N156" s="184" t="s">
        <v>2042</v>
      </c>
      <c r="O156" s="184" t="s">
        <v>2042</v>
      </c>
      <c r="P156" s="184" t="s">
        <v>2042</v>
      </c>
      <c r="Q156" s="184" t="s">
        <v>2042</v>
      </c>
      <c r="R156" s="184" t="s">
        <v>2042</v>
      </c>
      <c r="S156" s="184" t="s">
        <v>2042</v>
      </c>
      <c r="T156" s="184" t="s">
        <v>2042</v>
      </c>
      <c r="U156" s="184" t="s">
        <v>2042</v>
      </c>
      <c r="V156" s="184" t="s">
        <v>2042</v>
      </c>
      <c r="W156" s="184" t="s">
        <v>2042</v>
      </c>
      <c r="X156" s="184" t="s">
        <v>2042</v>
      </c>
      <c r="Y156" s="184" t="s">
        <v>2042</v>
      </c>
      <c r="Z156" s="188" t="s">
        <v>2042</v>
      </c>
      <c r="AA156" s="189" t="s">
        <v>2042</v>
      </c>
      <c r="AB156" s="189" t="s">
        <v>2042</v>
      </c>
      <c r="AC156" s="189" t="s">
        <v>2042</v>
      </c>
      <c r="AD156" s="187" t="s">
        <v>2042</v>
      </c>
      <c r="AE156" s="187" t="s">
        <v>2042</v>
      </c>
      <c r="AF156" s="187" t="s">
        <v>2042</v>
      </c>
      <c r="AG156" s="187" t="s">
        <v>2042</v>
      </c>
      <c r="AH156" s="187" t="s">
        <v>2042</v>
      </c>
      <c r="AI156" s="190" t="s">
        <v>2042</v>
      </c>
      <c r="AJ156" s="190" t="s">
        <v>2042</v>
      </c>
      <c r="AK156" s="190" t="s">
        <v>2042</v>
      </c>
      <c r="AL156" s="184" t="s">
        <v>2042</v>
      </c>
      <c r="AM156" s="184" t="s">
        <v>2042</v>
      </c>
      <c r="AN156" s="188" t="s">
        <v>2042</v>
      </c>
      <c r="AO156" s="189" t="s">
        <v>2042</v>
      </c>
      <c r="AP156" s="187" t="s">
        <v>2042</v>
      </c>
      <c r="AQ156" s="175"/>
    </row>
    <row r="157" spans="1:43" ht="14.5">
      <c r="A157" s="169"/>
      <c r="B157" s="170"/>
      <c r="C157" s="176" t="s">
        <v>1962</v>
      </c>
      <c r="D157" s="177"/>
      <c r="E157" s="178">
        <v>1</v>
      </c>
      <c r="F157" s="179"/>
      <c r="G157" s="186">
        <f>IF(C157="","",SUMIFS(MRP!$D$5:$D1000,MRP!$B$5:$B1000,C157))*E157</f>
        <v>0</v>
      </c>
      <c r="H157" s="181" t="s">
        <v>2041</v>
      </c>
      <c r="I157" s="182">
        <v>0</v>
      </c>
      <c r="J157" s="183" t="s">
        <v>2042</v>
      </c>
      <c r="K157" s="184" t="s">
        <v>2042</v>
      </c>
      <c r="L157" s="184" t="s">
        <v>2042</v>
      </c>
      <c r="M157" s="184" t="s">
        <v>2042</v>
      </c>
      <c r="N157" s="184" t="s">
        <v>2042</v>
      </c>
      <c r="O157" s="184" t="s">
        <v>2042</v>
      </c>
      <c r="P157" s="184" t="s">
        <v>2042</v>
      </c>
      <c r="Q157" s="184" t="s">
        <v>2042</v>
      </c>
      <c r="R157" s="184" t="s">
        <v>2042</v>
      </c>
      <c r="S157" s="184" t="s">
        <v>2042</v>
      </c>
      <c r="T157" s="184" t="s">
        <v>2042</v>
      </c>
      <c r="U157" s="184" t="s">
        <v>2042</v>
      </c>
      <c r="V157" s="184" t="s">
        <v>2042</v>
      </c>
      <c r="W157" s="184" t="s">
        <v>2042</v>
      </c>
      <c r="X157" s="184" t="s">
        <v>2042</v>
      </c>
      <c r="Y157" s="184" t="s">
        <v>2042</v>
      </c>
      <c r="Z157" s="184" t="s">
        <v>2042</v>
      </c>
      <c r="AA157" s="184" t="s">
        <v>2042</v>
      </c>
      <c r="AB157" s="184" t="s">
        <v>2042</v>
      </c>
      <c r="AC157" s="184" t="s">
        <v>2042</v>
      </c>
      <c r="AD157" s="184" t="s">
        <v>2042</v>
      </c>
      <c r="AE157" s="184" t="s">
        <v>2042</v>
      </c>
      <c r="AF157" s="184" t="s">
        <v>2042</v>
      </c>
      <c r="AG157" s="184" t="s">
        <v>2042</v>
      </c>
      <c r="AH157" s="184" t="s">
        <v>2042</v>
      </c>
      <c r="AI157" s="184" t="s">
        <v>2042</v>
      </c>
      <c r="AJ157" s="184" t="s">
        <v>2042</v>
      </c>
      <c r="AK157" s="184" t="s">
        <v>2042</v>
      </c>
      <c r="AL157" s="184" t="s">
        <v>2042</v>
      </c>
      <c r="AM157" s="184" t="s">
        <v>2042</v>
      </c>
      <c r="AN157" s="184" t="s">
        <v>2042</v>
      </c>
      <c r="AO157" s="184" t="s">
        <v>2042</v>
      </c>
      <c r="AP157" s="184" t="s">
        <v>2042</v>
      </c>
      <c r="AQ157" s="175"/>
    </row>
    <row r="158" spans="1:43" ht="14.5">
      <c r="A158" s="169"/>
      <c r="B158" s="170"/>
      <c r="C158" s="176" t="s">
        <v>1963</v>
      </c>
      <c r="D158" s="177"/>
      <c r="E158" s="178">
        <v>1</v>
      </c>
      <c r="F158" s="179"/>
      <c r="G158" s="186">
        <f>IF(C158="","",SUMIFS(MRP!$D$5:$D1000,MRP!$B$5:$B1000,C158))*E158</f>
        <v>0</v>
      </c>
      <c r="H158" s="181" t="s">
        <v>2041</v>
      </c>
      <c r="I158" s="182">
        <v>0</v>
      </c>
      <c r="J158" s="183" t="s">
        <v>2042</v>
      </c>
      <c r="K158" s="184" t="s">
        <v>2042</v>
      </c>
      <c r="L158" s="184" t="s">
        <v>2042</v>
      </c>
      <c r="M158" s="184" t="s">
        <v>2042</v>
      </c>
      <c r="N158" s="184" t="s">
        <v>2042</v>
      </c>
      <c r="O158" s="184" t="s">
        <v>2042</v>
      </c>
      <c r="P158" s="184" t="s">
        <v>2042</v>
      </c>
      <c r="Q158" s="184" t="s">
        <v>2042</v>
      </c>
      <c r="R158" s="184" t="s">
        <v>2042</v>
      </c>
      <c r="S158" s="184" t="s">
        <v>2042</v>
      </c>
      <c r="T158" s="184" t="s">
        <v>2042</v>
      </c>
      <c r="U158" s="184" t="s">
        <v>2042</v>
      </c>
      <c r="V158" s="184" t="s">
        <v>2042</v>
      </c>
      <c r="W158" s="184" t="s">
        <v>2042</v>
      </c>
      <c r="X158" s="184" t="s">
        <v>2042</v>
      </c>
      <c r="Y158" s="184" t="s">
        <v>2042</v>
      </c>
      <c r="Z158" s="184" t="s">
        <v>2042</v>
      </c>
      <c r="AA158" s="184" t="s">
        <v>2042</v>
      </c>
      <c r="AB158" s="184" t="s">
        <v>2042</v>
      </c>
      <c r="AC158" s="184" t="s">
        <v>2042</v>
      </c>
      <c r="AD158" s="184" t="s">
        <v>2042</v>
      </c>
      <c r="AE158" s="184" t="s">
        <v>2042</v>
      </c>
      <c r="AF158" s="184" t="s">
        <v>2042</v>
      </c>
      <c r="AG158" s="184" t="s">
        <v>2042</v>
      </c>
      <c r="AH158" s="184" t="s">
        <v>2042</v>
      </c>
      <c r="AI158" s="184" t="s">
        <v>2042</v>
      </c>
      <c r="AJ158" s="184" t="s">
        <v>2042</v>
      </c>
      <c r="AK158" s="184" t="s">
        <v>2042</v>
      </c>
      <c r="AL158" s="184" t="s">
        <v>2042</v>
      </c>
      <c r="AM158" s="184" t="s">
        <v>2042</v>
      </c>
      <c r="AN158" s="184" t="s">
        <v>2042</v>
      </c>
      <c r="AO158" s="184" t="s">
        <v>2042</v>
      </c>
      <c r="AP158" s="184" t="s">
        <v>2042</v>
      </c>
      <c r="AQ158" s="175"/>
    </row>
    <row r="159" spans="1:43" ht="14.5">
      <c r="A159" s="169"/>
      <c r="B159" s="170"/>
      <c r="C159" s="176" t="s">
        <v>1964</v>
      </c>
      <c r="D159" s="177"/>
      <c r="E159" s="178">
        <v>1</v>
      </c>
      <c r="F159" s="179"/>
      <c r="G159" s="186">
        <f>IF(C159="","",SUMIFS(MRP!$D$5:$D1000,MRP!$B$5:$B1000,C159))*E159</f>
        <v>0</v>
      </c>
      <c r="H159" s="181" t="s">
        <v>2041</v>
      </c>
      <c r="I159" s="182">
        <v>0</v>
      </c>
      <c r="J159" s="183" t="s">
        <v>2042</v>
      </c>
      <c r="K159" s="184" t="s">
        <v>2042</v>
      </c>
      <c r="L159" s="184" t="s">
        <v>2042</v>
      </c>
      <c r="M159" s="184" t="s">
        <v>2042</v>
      </c>
      <c r="N159" s="184" t="s">
        <v>2042</v>
      </c>
      <c r="O159" s="184" t="s">
        <v>2042</v>
      </c>
      <c r="P159" s="184" t="s">
        <v>2042</v>
      </c>
      <c r="Q159" s="184" t="s">
        <v>2042</v>
      </c>
      <c r="R159" s="184" t="s">
        <v>2042</v>
      </c>
      <c r="S159" s="184" t="s">
        <v>2042</v>
      </c>
      <c r="T159" s="184" t="s">
        <v>2042</v>
      </c>
      <c r="U159" s="184" t="s">
        <v>2042</v>
      </c>
      <c r="V159" s="184" t="s">
        <v>2042</v>
      </c>
      <c r="W159" s="184" t="s">
        <v>2042</v>
      </c>
      <c r="X159" s="184" t="s">
        <v>2042</v>
      </c>
      <c r="Y159" s="184" t="s">
        <v>2042</v>
      </c>
      <c r="Z159" s="184" t="s">
        <v>2042</v>
      </c>
      <c r="AA159" s="184" t="s">
        <v>2042</v>
      </c>
      <c r="AB159" s="184" t="s">
        <v>2042</v>
      </c>
      <c r="AC159" s="184" t="s">
        <v>2042</v>
      </c>
      <c r="AD159" s="184" t="s">
        <v>2042</v>
      </c>
      <c r="AE159" s="184" t="s">
        <v>2042</v>
      </c>
      <c r="AF159" s="184" t="s">
        <v>2042</v>
      </c>
      <c r="AG159" s="184" t="s">
        <v>2042</v>
      </c>
      <c r="AH159" s="184" t="s">
        <v>2042</v>
      </c>
      <c r="AI159" s="184" t="s">
        <v>2042</v>
      </c>
      <c r="AJ159" s="184" t="s">
        <v>2042</v>
      </c>
      <c r="AK159" s="184" t="s">
        <v>2042</v>
      </c>
      <c r="AL159" s="184" t="s">
        <v>2042</v>
      </c>
      <c r="AM159" s="184" t="s">
        <v>2042</v>
      </c>
      <c r="AN159" s="184" t="s">
        <v>2042</v>
      </c>
      <c r="AO159" s="184" t="s">
        <v>2042</v>
      </c>
      <c r="AP159" s="184" t="s">
        <v>2042</v>
      </c>
      <c r="AQ159" s="175"/>
    </row>
    <row r="160" spans="1:43" ht="14.5">
      <c r="A160" s="169"/>
      <c r="B160" s="170"/>
      <c r="C160" s="176" t="s">
        <v>1965</v>
      </c>
      <c r="D160" s="177"/>
      <c r="E160" s="178">
        <v>1</v>
      </c>
      <c r="F160" s="179"/>
      <c r="G160" s="186">
        <f>IF(C160="","",SUMIFS(MRP!$D$5:$D1000,MRP!$B$5:$B1000,C160))*E160</f>
        <v>0</v>
      </c>
      <c r="H160" s="181" t="s">
        <v>2041</v>
      </c>
      <c r="I160" s="182">
        <v>0</v>
      </c>
      <c r="J160" s="183" t="s">
        <v>2042</v>
      </c>
      <c r="K160" s="184" t="s">
        <v>2042</v>
      </c>
      <c r="L160" s="184" t="s">
        <v>2042</v>
      </c>
      <c r="M160" s="184" t="s">
        <v>2042</v>
      </c>
      <c r="N160" s="184" t="s">
        <v>2042</v>
      </c>
      <c r="O160" s="184" t="s">
        <v>2042</v>
      </c>
      <c r="P160" s="184" t="s">
        <v>2042</v>
      </c>
      <c r="Q160" s="184" t="s">
        <v>2042</v>
      </c>
      <c r="R160" s="184" t="s">
        <v>2042</v>
      </c>
      <c r="S160" s="184" t="s">
        <v>2042</v>
      </c>
      <c r="T160" s="184" t="s">
        <v>2042</v>
      </c>
      <c r="U160" s="184" t="s">
        <v>2042</v>
      </c>
      <c r="V160" s="184" t="s">
        <v>2042</v>
      </c>
      <c r="W160" s="184" t="s">
        <v>2042</v>
      </c>
      <c r="X160" s="184" t="s">
        <v>2042</v>
      </c>
      <c r="Y160" s="184" t="s">
        <v>2042</v>
      </c>
      <c r="Z160" s="184" t="s">
        <v>2042</v>
      </c>
      <c r="AA160" s="184" t="s">
        <v>2042</v>
      </c>
      <c r="AB160" s="184" t="s">
        <v>2042</v>
      </c>
      <c r="AC160" s="184" t="s">
        <v>2042</v>
      </c>
      <c r="AD160" s="184" t="s">
        <v>2042</v>
      </c>
      <c r="AE160" s="184" t="s">
        <v>2042</v>
      </c>
      <c r="AF160" s="184" t="s">
        <v>2042</v>
      </c>
      <c r="AG160" s="184" t="s">
        <v>2042</v>
      </c>
      <c r="AH160" s="184" t="s">
        <v>2042</v>
      </c>
      <c r="AI160" s="184" t="s">
        <v>2042</v>
      </c>
      <c r="AJ160" s="184" t="s">
        <v>2042</v>
      </c>
      <c r="AK160" s="184" t="s">
        <v>2042</v>
      </c>
      <c r="AL160" s="184" t="s">
        <v>2042</v>
      </c>
      <c r="AM160" s="184" t="s">
        <v>2042</v>
      </c>
      <c r="AN160" s="184" t="s">
        <v>2042</v>
      </c>
      <c r="AO160" s="184" t="s">
        <v>2042</v>
      </c>
      <c r="AP160" s="184" t="s">
        <v>2042</v>
      </c>
      <c r="AQ160" s="175"/>
    </row>
    <row r="161" spans="1:43" ht="14.5">
      <c r="A161" s="169"/>
      <c r="B161" s="170"/>
      <c r="C161" s="176" t="s">
        <v>1966</v>
      </c>
      <c r="D161" s="177"/>
      <c r="E161" s="178">
        <v>1</v>
      </c>
      <c r="F161" s="179"/>
      <c r="G161" s="186">
        <f>IF(C161="","",SUMIFS(MRP!$D$5:$D1000,MRP!$B$5:$B1000,C161))*E161</f>
        <v>0</v>
      </c>
      <c r="H161" s="181" t="s">
        <v>2041</v>
      </c>
      <c r="I161" s="182">
        <v>0</v>
      </c>
      <c r="J161" s="183" t="s">
        <v>2042</v>
      </c>
      <c r="K161" s="184" t="s">
        <v>2042</v>
      </c>
      <c r="L161" s="184" t="s">
        <v>2042</v>
      </c>
      <c r="M161" s="184" t="s">
        <v>2042</v>
      </c>
      <c r="N161" s="184" t="s">
        <v>2042</v>
      </c>
      <c r="O161" s="184" t="s">
        <v>2042</v>
      </c>
      <c r="P161" s="184" t="s">
        <v>2042</v>
      </c>
      <c r="Q161" s="184" t="s">
        <v>2042</v>
      </c>
      <c r="R161" s="184" t="s">
        <v>2042</v>
      </c>
      <c r="S161" s="184" t="s">
        <v>2042</v>
      </c>
      <c r="T161" s="184" t="s">
        <v>2042</v>
      </c>
      <c r="U161" s="184" t="s">
        <v>2042</v>
      </c>
      <c r="V161" s="184" t="s">
        <v>2042</v>
      </c>
      <c r="W161" s="184" t="s">
        <v>2042</v>
      </c>
      <c r="X161" s="184" t="s">
        <v>2042</v>
      </c>
      <c r="Y161" s="184" t="s">
        <v>2042</v>
      </c>
      <c r="Z161" s="184" t="s">
        <v>2042</v>
      </c>
      <c r="AA161" s="184" t="s">
        <v>2042</v>
      </c>
      <c r="AB161" s="184" t="s">
        <v>2042</v>
      </c>
      <c r="AC161" s="184" t="s">
        <v>2042</v>
      </c>
      <c r="AD161" s="184" t="s">
        <v>2042</v>
      </c>
      <c r="AE161" s="184" t="s">
        <v>2042</v>
      </c>
      <c r="AF161" s="184" t="s">
        <v>2042</v>
      </c>
      <c r="AG161" s="184" t="s">
        <v>2042</v>
      </c>
      <c r="AH161" s="184" t="s">
        <v>2042</v>
      </c>
      <c r="AI161" s="184" t="s">
        <v>2042</v>
      </c>
      <c r="AJ161" s="184" t="s">
        <v>2042</v>
      </c>
      <c r="AK161" s="184" t="s">
        <v>2042</v>
      </c>
      <c r="AL161" s="184" t="s">
        <v>2042</v>
      </c>
      <c r="AM161" s="184" t="s">
        <v>2042</v>
      </c>
      <c r="AN161" s="184" t="s">
        <v>2042</v>
      </c>
      <c r="AO161" s="184" t="s">
        <v>2042</v>
      </c>
      <c r="AP161" s="184" t="s">
        <v>2042</v>
      </c>
      <c r="AQ161" s="175"/>
    </row>
    <row r="162" spans="1:43" ht="14.5">
      <c r="A162" s="169"/>
      <c r="B162" s="170"/>
      <c r="C162" s="176" t="s">
        <v>1967</v>
      </c>
      <c r="D162" s="177"/>
      <c r="E162" s="178">
        <v>1</v>
      </c>
      <c r="F162" s="179"/>
      <c r="G162" s="186">
        <f>IF(C162="","",SUMIFS(MRP!$D$5:$D1000,MRP!$B$5:$B1000,C162))*E162</f>
        <v>0</v>
      </c>
      <c r="H162" s="181" t="s">
        <v>2041</v>
      </c>
      <c r="I162" s="182">
        <v>0</v>
      </c>
      <c r="J162" s="183" t="s">
        <v>2042</v>
      </c>
      <c r="K162" s="185" t="s">
        <v>2042</v>
      </c>
      <c r="L162" s="185" t="s">
        <v>2042</v>
      </c>
      <c r="M162" s="185" t="s">
        <v>2042</v>
      </c>
      <c r="N162" s="185" t="s">
        <v>2042</v>
      </c>
      <c r="O162" s="185" t="s">
        <v>2042</v>
      </c>
      <c r="P162" s="185" t="s">
        <v>2042</v>
      </c>
      <c r="Q162" s="185" t="s">
        <v>2042</v>
      </c>
      <c r="R162" s="185" t="s">
        <v>2042</v>
      </c>
      <c r="S162" s="185" t="s">
        <v>2042</v>
      </c>
      <c r="T162" s="185" t="s">
        <v>2042</v>
      </c>
      <c r="U162" s="185" t="s">
        <v>2042</v>
      </c>
      <c r="V162" s="185" t="s">
        <v>2042</v>
      </c>
      <c r="W162" s="185" t="s">
        <v>2042</v>
      </c>
      <c r="X162" s="185" t="s">
        <v>2042</v>
      </c>
      <c r="Y162" s="187" t="s">
        <v>2042</v>
      </c>
      <c r="Z162" s="187" t="s">
        <v>2042</v>
      </c>
      <c r="AA162" s="187" t="s">
        <v>2042</v>
      </c>
      <c r="AB162" s="187" t="s">
        <v>2042</v>
      </c>
      <c r="AC162" s="187" t="s">
        <v>2042</v>
      </c>
      <c r="AD162" s="184" t="s">
        <v>2042</v>
      </c>
      <c r="AE162" s="184" t="s">
        <v>2042</v>
      </c>
      <c r="AF162" s="184" t="s">
        <v>2042</v>
      </c>
      <c r="AG162" s="184" t="s">
        <v>2042</v>
      </c>
      <c r="AH162" s="184" t="s">
        <v>2042</v>
      </c>
      <c r="AI162" s="184" t="s">
        <v>2042</v>
      </c>
      <c r="AJ162" s="184" t="s">
        <v>2042</v>
      </c>
      <c r="AK162" s="184" t="s">
        <v>2042</v>
      </c>
      <c r="AL162" s="184" t="s">
        <v>2042</v>
      </c>
      <c r="AM162" s="184" t="s">
        <v>2042</v>
      </c>
      <c r="AN162" s="184" t="s">
        <v>2042</v>
      </c>
      <c r="AO162" s="184" t="s">
        <v>2042</v>
      </c>
      <c r="AP162" s="184" t="s">
        <v>2042</v>
      </c>
      <c r="AQ162" s="175"/>
    </row>
    <row r="163" spans="1:43" ht="14.5">
      <c r="A163" s="169"/>
      <c r="B163" s="170"/>
      <c r="C163" s="176" t="s">
        <v>1968</v>
      </c>
      <c r="D163" s="177"/>
      <c r="E163" s="178">
        <v>1</v>
      </c>
      <c r="F163" s="179"/>
      <c r="G163" s="186">
        <f>IF(C163="","",SUMIFS(MRP!$D$5:$D1000,MRP!$B$5:$B1000,C163))*E163</f>
        <v>0</v>
      </c>
      <c r="H163" s="181" t="s">
        <v>2041</v>
      </c>
      <c r="I163" s="182">
        <v>0</v>
      </c>
      <c r="J163" s="183" t="s">
        <v>2042</v>
      </c>
      <c r="K163" s="184" t="s">
        <v>2042</v>
      </c>
      <c r="L163" s="184" t="s">
        <v>2042</v>
      </c>
      <c r="M163" s="184" t="s">
        <v>2042</v>
      </c>
      <c r="N163" s="184" t="s">
        <v>2042</v>
      </c>
      <c r="O163" s="184" t="s">
        <v>2042</v>
      </c>
      <c r="P163" s="184" t="s">
        <v>2042</v>
      </c>
      <c r="Q163" s="184" t="s">
        <v>2042</v>
      </c>
      <c r="R163" s="184" t="s">
        <v>2042</v>
      </c>
      <c r="S163" s="184" t="s">
        <v>2042</v>
      </c>
      <c r="T163" s="184" t="s">
        <v>2042</v>
      </c>
      <c r="U163" s="184" t="s">
        <v>2042</v>
      </c>
      <c r="V163" s="184" t="s">
        <v>2042</v>
      </c>
      <c r="W163" s="184" t="s">
        <v>2042</v>
      </c>
      <c r="X163" s="184" t="s">
        <v>2042</v>
      </c>
      <c r="Y163" s="184" t="s">
        <v>2042</v>
      </c>
      <c r="Z163" s="184" t="s">
        <v>2042</v>
      </c>
      <c r="AA163" s="184" t="s">
        <v>2042</v>
      </c>
      <c r="AB163" s="184" t="s">
        <v>2042</v>
      </c>
      <c r="AC163" s="184" t="s">
        <v>2042</v>
      </c>
      <c r="AD163" s="184" t="s">
        <v>2042</v>
      </c>
      <c r="AE163" s="184" t="s">
        <v>2042</v>
      </c>
      <c r="AF163" s="184" t="s">
        <v>2042</v>
      </c>
      <c r="AG163" s="184" t="s">
        <v>2042</v>
      </c>
      <c r="AH163" s="184" t="s">
        <v>2042</v>
      </c>
      <c r="AI163" s="184" t="s">
        <v>2042</v>
      </c>
      <c r="AJ163" s="184" t="s">
        <v>2042</v>
      </c>
      <c r="AK163" s="184" t="s">
        <v>2042</v>
      </c>
      <c r="AL163" s="184" t="s">
        <v>2042</v>
      </c>
      <c r="AM163" s="184" t="s">
        <v>2042</v>
      </c>
      <c r="AN163" s="184" t="s">
        <v>2042</v>
      </c>
      <c r="AO163" s="184" t="s">
        <v>2042</v>
      </c>
      <c r="AP163" s="184" t="s">
        <v>2042</v>
      </c>
      <c r="AQ163" s="175"/>
    </row>
    <row r="164" spans="1:43" ht="14.5">
      <c r="A164" s="169"/>
      <c r="B164" s="170"/>
      <c r="C164" s="176" t="s">
        <v>1969</v>
      </c>
      <c r="D164" s="177"/>
      <c r="E164" s="178">
        <v>1</v>
      </c>
      <c r="F164" s="179"/>
      <c r="G164" s="186">
        <f>IF(C164="","",SUMIFS(MRP!$D$5:$D1000,MRP!$B$5:$B1000,C164))*E164</f>
        <v>0</v>
      </c>
      <c r="H164" s="181" t="s">
        <v>2041</v>
      </c>
      <c r="I164" s="182">
        <v>0</v>
      </c>
      <c r="J164" s="183" t="s">
        <v>2042</v>
      </c>
      <c r="K164" s="184" t="s">
        <v>2042</v>
      </c>
      <c r="L164" s="184" t="s">
        <v>2042</v>
      </c>
      <c r="M164" s="184" t="s">
        <v>2042</v>
      </c>
      <c r="N164" s="184" t="s">
        <v>2042</v>
      </c>
      <c r="O164" s="184" t="s">
        <v>2042</v>
      </c>
      <c r="P164" s="184" t="s">
        <v>2042</v>
      </c>
      <c r="Q164" s="184" t="s">
        <v>2042</v>
      </c>
      <c r="R164" s="185" t="s">
        <v>2042</v>
      </c>
      <c r="S164" s="185" t="s">
        <v>2042</v>
      </c>
      <c r="T164" s="185" t="s">
        <v>2042</v>
      </c>
      <c r="U164" s="185" t="s">
        <v>2042</v>
      </c>
      <c r="V164" s="185" t="s">
        <v>2042</v>
      </c>
      <c r="W164" s="185" t="s">
        <v>2042</v>
      </c>
      <c r="X164" s="185" t="s">
        <v>2042</v>
      </c>
      <c r="Y164" s="185" t="s">
        <v>2042</v>
      </c>
      <c r="Z164" s="185" t="s">
        <v>2042</v>
      </c>
      <c r="AA164" s="185" t="s">
        <v>2042</v>
      </c>
      <c r="AB164" s="185" t="s">
        <v>2042</v>
      </c>
      <c r="AC164" s="185" t="s">
        <v>2042</v>
      </c>
      <c r="AD164" s="185" t="s">
        <v>2042</v>
      </c>
      <c r="AE164" s="185" t="s">
        <v>2042</v>
      </c>
      <c r="AF164" s="185" t="s">
        <v>2042</v>
      </c>
      <c r="AG164" s="185" t="s">
        <v>2042</v>
      </c>
      <c r="AH164" s="185" t="s">
        <v>2042</v>
      </c>
      <c r="AI164" s="185" t="s">
        <v>2042</v>
      </c>
      <c r="AJ164" s="185" t="s">
        <v>2042</v>
      </c>
      <c r="AK164" s="185" t="s">
        <v>2042</v>
      </c>
      <c r="AL164" s="185" t="s">
        <v>2042</v>
      </c>
      <c r="AM164" s="185" t="s">
        <v>2042</v>
      </c>
      <c r="AN164" s="185" t="s">
        <v>2042</v>
      </c>
      <c r="AO164" s="185" t="s">
        <v>2042</v>
      </c>
      <c r="AP164" s="185" t="s">
        <v>2042</v>
      </c>
      <c r="AQ164" s="175"/>
    </row>
    <row r="165" spans="1:43" ht="14.5">
      <c r="A165" s="169"/>
      <c r="B165" s="170"/>
      <c r="C165" s="176" t="s">
        <v>1970</v>
      </c>
      <c r="D165" s="177"/>
      <c r="E165" s="178">
        <v>1</v>
      </c>
      <c r="F165" s="179"/>
      <c r="G165" s="186">
        <f>IF(C165="","",SUMIFS(MRP!$D$5:$D1000,MRP!$B$5:$B1000,C165))*E165</f>
        <v>0</v>
      </c>
      <c r="H165" s="181" t="s">
        <v>2041</v>
      </c>
      <c r="I165" s="182">
        <v>0</v>
      </c>
      <c r="J165" s="183" t="s">
        <v>2042</v>
      </c>
      <c r="K165" s="187" t="s">
        <v>2042</v>
      </c>
      <c r="L165" s="185" t="s">
        <v>2042</v>
      </c>
      <c r="M165" s="185" t="s">
        <v>2042</v>
      </c>
      <c r="N165" s="185" t="s">
        <v>2042</v>
      </c>
      <c r="O165" s="185" t="s">
        <v>2042</v>
      </c>
      <c r="P165" s="185" t="s">
        <v>2042</v>
      </c>
      <c r="Q165" s="185" t="s">
        <v>2042</v>
      </c>
      <c r="R165" s="185" t="s">
        <v>2042</v>
      </c>
      <c r="S165" s="185" t="s">
        <v>2042</v>
      </c>
      <c r="T165" s="185" t="s">
        <v>2042</v>
      </c>
      <c r="U165" s="185" t="s">
        <v>2042</v>
      </c>
      <c r="V165" s="185" t="s">
        <v>2042</v>
      </c>
      <c r="W165" s="185" t="s">
        <v>2042</v>
      </c>
      <c r="X165" s="185" t="s">
        <v>2042</v>
      </c>
      <c r="Y165" s="185" t="s">
        <v>2042</v>
      </c>
      <c r="Z165" s="185" t="s">
        <v>2042</v>
      </c>
      <c r="AA165" s="185" t="s">
        <v>2042</v>
      </c>
      <c r="AB165" s="185" t="s">
        <v>2042</v>
      </c>
      <c r="AC165" s="185" t="s">
        <v>2042</v>
      </c>
      <c r="AD165" s="185" t="s">
        <v>2042</v>
      </c>
      <c r="AE165" s="185" t="s">
        <v>2042</v>
      </c>
      <c r="AF165" s="185" t="s">
        <v>2042</v>
      </c>
      <c r="AG165" s="185" t="s">
        <v>2042</v>
      </c>
      <c r="AH165" s="185" t="s">
        <v>2042</v>
      </c>
      <c r="AI165" s="185" t="s">
        <v>2042</v>
      </c>
      <c r="AJ165" s="185" t="s">
        <v>2042</v>
      </c>
      <c r="AK165" s="185" t="s">
        <v>2042</v>
      </c>
      <c r="AL165" s="185" t="s">
        <v>2042</v>
      </c>
      <c r="AM165" s="185" t="s">
        <v>2042</v>
      </c>
      <c r="AN165" s="185" t="s">
        <v>2042</v>
      </c>
      <c r="AO165" s="185" t="s">
        <v>2042</v>
      </c>
      <c r="AP165" s="185" t="s">
        <v>2042</v>
      </c>
      <c r="AQ165" s="175"/>
    </row>
    <row r="166" spans="1:43" ht="14.5">
      <c r="A166" s="169"/>
      <c r="B166" s="170"/>
      <c r="C166" s="176" t="s">
        <v>1585</v>
      </c>
      <c r="D166" s="177"/>
      <c r="E166" s="178">
        <v>1</v>
      </c>
      <c r="F166" s="179"/>
      <c r="G166" s="186">
        <f>IF(C166="","",SUMIFS(MRP!$D$5:$D1000,MRP!$B$5:$B1000,C166))*E166</f>
        <v>0</v>
      </c>
      <c r="H166" s="181" t="s">
        <v>2041</v>
      </c>
      <c r="I166" s="182">
        <v>0</v>
      </c>
      <c r="J166" s="183" t="s">
        <v>2042</v>
      </c>
      <c r="K166" s="184" t="s">
        <v>2042</v>
      </c>
      <c r="L166" s="184" t="s">
        <v>2042</v>
      </c>
      <c r="M166" s="184" t="s">
        <v>2042</v>
      </c>
      <c r="N166" s="184" t="s">
        <v>2042</v>
      </c>
      <c r="O166" s="184" t="s">
        <v>2042</v>
      </c>
      <c r="P166" s="184" t="s">
        <v>2042</v>
      </c>
      <c r="Q166" s="184" t="s">
        <v>2042</v>
      </c>
      <c r="R166" s="184" t="s">
        <v>2042</v>
      </c>
      <c r="S166" s="184" t="s">
        <v>2042</v>
      </c>
      <c r="T166" s="184" t="s">
        <v>2042</v>
      </c>
      <c r="U166" s="184" t="s">
        <v>2042</v>
      </c>
      <c r="V166" s="184" t="s">
        <v>2042</v>
      </c>
      <c r="W166" s="184" t="s">
        <v>2042</v>
      </c>
      <c r="X166" s="184" t="s">
        <v>2042</v>
      </c>
      <c r="Y166" s="184" t="s">
        <v>2042</v>
      </c>
      <c r="Z166" s="184" t="s">
        <v>2042</v>
      </c>
      <c r="AA166" s="184" t="s">
        <v>2042</v>
      </c>
      <c r="AB166" s="184" t="s">
        <v>2042</v>
      </c>
      <c r="AC166" s="184" t="s">
        <v>2042</v>
      </c>
      <c r="AD166" s="184" t="s">
        <v>2042</v>
      </c>
      <c r="AE166" s="184" t="s">
        <v>2042</v>
      </c>
      <c r="AF166" s="184" t="s">
        <v>2042</v>
      </c>
      <c r="AG166" s="184" t="s">
        <v>2042</v>
      </c>
      <c r="AH166" s="184" t="s">
        <v>2042</v>
      </c>
      <c r="AI166" s="184" t="s">
        <v>2042</v>
      </c>
      <c r="AJ166" s="184" t="s">
        <v>2042</v>
      </c>
      <c r="AK166" s="184" t="s">
        <v>2042</v>
      </c>
      <c r="AL166" s="184" t="s">
        <v>2042</v>
      </c>
      <c r="AM166" s="184" t="s">
        <v>2042</v>
      </c>
      <c r="AN166" s="184" t="s">
        <v>2042</v>
      </c>
      <c r="AO166" s="184" t="s">
        <v>2042</v>
      </c>
      <c r="AP166" s="184" t="s">
        <v>2042</v>
      </c>
      <c r="AQ166" s="175"/>
    </row>
    <row r="167" spans="1:43" ht="14.5">
      <c r="A167" s="169"/>
      <c r="B167" s="170"/>
      <c r="C167" s="176" t="s">
        <v>1971</v>
      </c>
      <c r="D167" s="177"/>
      <c r="E167" s="178">
        <v>1</v>
      </c>
      <c r="F167" s="179"/>
      <c r="G167" s="186">
        <f>IF(C167="","",SUMIFS(MRP!$D$5:$D1000,MRP!$B$5:$B1000,C167))*E167</f>
        <v>0</v>
      </c>
      <c r="H167" s="181" t="s">
        <v>2041</v>
      </c>
      <c r="I167" s="182">
        <v>0</v>
      </c>
      <c r="J167" s="183" t="s">
        <v>2042</v>
      </c>
      <c r="K167" s="184" t="s">
        <v>2042</v>
      </c>
      <c r="L167" s="184" t="s">
        <v>2042</v>
      </c>
      <c r="M167" s="184" t="s">
        <v>2042</v>
      </c>
      <c r="N167" s="184" t="s">
        <v>2042</v>
      </c>
      <c r="O167" s="184" t="s">
        <v>2042</v>
      </c>
      <c r="P167" s="184" t="s">
        <v>2042</v>
      </c>
      <c r="Q167" s="184" t="s">
        <v>2042</v>
      </c>
      <c r="R167" s="184" t="s">
        <v>2042</v>
      </c>
      <c r="S167" s="184" t="s">
        <v>2042</v>
      </c>
      <c r="T167" s="184" t="s">
        <v>2042</v>
      </c>
      <c r="U167" s="184" t="s">
        <v>2042</v>
      </c>
      <c r="V167" s="184" t="s">
        <v>2042</v>
      </c>
      <c r="W167" s="184" t="s">
        <v>2042</v>
      </c>
      <c r="X167" s="184" t="s">
        <v>2042</v>
      </c>
      <c r="Y167" s="184" t="s">
        <v>2042</v>
      </c>
      <c r="Z167" s="184" t="s">
        <v>2042</v>
      </c>
      <c r="AA167" s="184" t="s">
        <v>2042</v>
      </c>
      <c r="AB167" s="184" t="s">
        <v>2042</v>
      </c>
      <c r="AC167" s="184" t="s">
        <v>2042</v>
      </c>
      <c r="AD167" s="184" t="s">
        <v>2042</v>
      </c>
      <c r="AE167" s="184" t="s">
        <v>2042</v>
      </c>
      <c r="AF167" s="184" t="s">
        <v>2042</v>
      </c>
      <c r="AG167" s="184" t="s">
        <v>2042</v>
      </c>
      <c r="AH167" s="184" t="s">
        <v>2042</v>
      </c>
      <c r="AI167" s="184" t="s">
        <v>2042</v>
      </c>
      <c r="AJ167" s="184" t="s">
        <v>2042</v>
      </c>
      <c r="AK167" s="184" t="s">
        <v>2042</v>
      </c>
      <c r="AL167" s="184" t="s">
        <v>2042</v>
      </c>
      <c r="AM167" s="184" t="s">
        <v>2042</v>
      </c>
      <c r="AN167" s="184" t="s">
        <v>2042</v>
      </c>
      <c r="AO167" s="184" t="s">
        <v>2042</v>
      </c>
      <c r="AP167" s="184" t="s">
        <v>2042</v>
      </c>
      <c r="AQ167" s="175"/>
    </row>
    <row r="168" spans="1:43" ht="14.5">
      <c r="A168" s="169"/>
      <c r="B168" s="170"/>
      <c r="C168" s="176" t="s">
        <v>1506</v>
      </c>
      <c r="D168" s="177"/>
      <c r="E168" s="178">
        <v>1</v>
      </c>
      <c r="F168" s="179"/>
      <c r="G168" s="186">
        <f>IF(C168="","",SUMIFS(MRP!$D$5:$D1000,MRP!$B$5:$B1000,C168))*E168</f>
        <v>0</v>
      </c>
      <c r="H168" s="181" t="s">
        <v>2041</v>
      </c>
      <c r="I168" s="182">
        <v>0</v>
      </c>
      <c r="J168" s="183" t="s">
        <v>2042</v>
      </c>
      <c r="K168" s="184" t="s">
        <v>2042</v>
      </c>
      <c r="L168" s="184" t="s">
        <v>2042</v>
      </c>
      <c r="M168" s="184" t="s">
        <v>2042</v>
      </c>
      <c r="N168" s="184" t="s">
        <v>2042</v>
      </c>
      <c r="O168" s="184" t="s">
        <v>2042</v>
      </c>
      <c r="P168" s="184" t="s">
        <v>2042</v>
      </c>
      <c r="Q168" s="184" t="s">
        <v>2042</v>
      </c>
      <c r="R168" s="184" t="s">
        <v>2042</v>
      </c>
      <c r="S168" s="184" t="s">
        <v>2042</v>
      </c>
      <c r="T168" s="184" t="s">
        <v>2042</v>
      </c>
      <c r="U168" s="184" t="s">
        <v>2042</v>
      </c>
      <c r="V168" s="184" t="s">
        <v>2042</v>
      </c>
      <c r="W168" s="184" t="s">
        <v>2042</v>
      </c>
      <c r="X168" s="184" t="s">
        <v>2042</v>
      </c>
      <c r="Y168" s="184" t="s">
        <v>2042</v>
      </c>
      <c r="Z168" s="184" t="s">
        <v>2042</v>
      </c>
      <c r="AA168" s="184" t="s">
        <v>2042</v>
      </c>
      <c r="AB168" s="184" t="s">
        <v>2042</v>
      </c>
      <c r="AC168" s="184" t="s">
        <v>2042</v>
      </c>
      <c r="AD168" s="184" t="s">
        <v>2042</v>
      </c>
      <c r="AE168" s="184" t="s">
        <v>2042</v>
      </c>
      <c r="AF168" s="184" t="s">
        <v>2042</v>
      </c>
      <c r="AG168" s="184" t="s">
        <v>2042</v>
      </c>
      <c r="AH168" s="184" t="s">
        <v>2042</v>
      </c>
      <c r="AI168" s="184" t="s">
        <v>2042</v>
      </c>
      <c r="AJ168" s="184" t="s">
        <v>2042</v>
      </c>
      <c r="AK168" s="184" t="s">
        <v>2042</v>
      </c>
      <c r="AL168" s="184" t="s">
        <v>2042</v>
      </c>
      <c r="AM168" s="184" t="s">
        <v>2042</v>
      </c>
      <c r="AN168" s="184" t="s">
        <v>2042</v>
      </c>
      <c r="AO168" s="184" t="s">
        <v>2042</v>
      </c>
      <c r="AP168" s="184" t="s">
        <v>2042</v>
      </c>
      <c r="AQ168" s="175"/>
    </row>
    <row r="169" spans="1:43" ht="14.5">
      <c r="A169" s="169"/>
      <c r="B169" s="170"/>
      <c r="C169" s="176" t="s">
        <v>1495</v>
      </c>
      <c r="D169" s="177"/>
      <c r="E169" s="178">
        <v>1</v>
      </c>
      <c r="F169" s="179"/>
      <c r="G169" s="186">
        <f>IF(C169="","",SUMIFS(MRP!$D$5:$D1000,MRP!$B$5:$B1000,C169))*E169</f>
        <v>0</v>
      </c>
      <c r="H169" s="181" t="s">
        <v>2041</v>
      </c>
      <c r="I169" s="182">
        <v>0</v>
      </c>
      <c r="J169" s="183" t="s">
        <v>2042</v>
      </c>
      <c r="K169" s="184" t="s">
        <v>2042</v>
      </c>
      <c r="L169" s="184" t="s">
        <v>2042</v>
      </c>
      <c r="M169" s="184" t="s">
        <v>2042</v>
      </c>
      <c r="N169" s="184" t="s">
        <v>2042</v>
      </c>
      <c r="O169" s="187" t="s">
        <v>2042</v>
      </c>
      <c r="P169" s="187" t="s">
        <v>2042</v>
      </c>
      <c r="Q169" s="187" t="s">
        <v>2042</v>
      </c>
      <c r="R169" s="187" t="s">
        <v>2042</v>
      </c>
      <c r="S169" s="187" t="s">
        <v>2042</v>
      </c>
      <c r="T169" s="187" t="s">
        <v>2042</v>
      </c>
      <c r="U169" s="187" t="s">
        <v>2042</v>
      </c>
      <c r="V169" s="187" t="s">
        <v>2042</v>
      </c>
      <c r="W169" s="187" t="s">
        <v>2042</v>
      </c>
      <c r="X169" s="187" t="s">
        <v>2042</v>
      </c>
      <c r="Y169" s="187" t="s">
        <v>2042</v>
      </c>
      <c r="Z169" s="187" t="s">
        <v>2042</v>
      </c>
      <c r="AA169" s="187" t="s">
        <v>2042</v>
      </c>
      <c r="AB169" s="187" t="s">
        <v>2042</v>
      </c>
      <c r="AC169" s="187" t="s">
        <v>2042</v>
      </c>
      <c r="AD169" s="187" t="s">
        <v>2042</v>
      </c>
      <c r="AE169" s="187" t="s">
        <v>2042</v>
      </c>
      <c r="AF169" s="187" t="s">
        <v>2042</v>
      </c>
      <c r="AG169" s="187" t="s">
        <v>2042</v>
      </c>
      <c r="AH169" s="187" t="s">
        <v>2042</v>
      </c>
      <c r="AI169" s="187" t="s">
        <v>2042</v>
      </c>
      <c r="AJ169" s="187" t="s">
        <v>2042</v>
      </c>
      <c r="AK169" s="187" t="s">
        <v>2042</v>
      </c>
      <c r="AL169" s="187" t="s">
        <v>2042</v>
      </c>
      <c r="AM169" s="187" t="s">
        <v>2042</v>
      </c>
      <c r="AN169" s="187" t="s">
        <v>2042</v>
      </c>
      <c r="AO169" s="187" t="s">
        <v>2042</v>
      </c>
      <c r="AP169" s="187" t="s">
        <v>2042</v>
      </c>
      <c r="AQ169" s="175"/>
    </row>
    <row r="170" spans="1:43" ht="14.5">
      <c r="A170" s="169"/>
      <c r="B170" s="170"/>
      <c r="C170" s="176" t="s">
        <v>1458</v>
      </c>
      <c r="D170" s="177"/>
      <c r="E170" s="178">
        <v>1</v>
      </c>
      <c r="F170" s="179"/>
      <c r="G170" s="186">
        <f>IF(C170="","",SUMIFS(MRP!$D$5:$D1000,MRP!$B$5:$B1000,C170))*E170</f>
        <v>0</v>
      </c>
      <c r="H170" s="181" t="s">
        <v>2041</v>
      </c>
      <c r="I170" s="182">
        <v>0</v>
      </c>
      <c r="J170" s="183" t="s">
        <v>2042</v>
      </c>
      <c r="K170" s="184" t="s">
        <v>2042</v>
      </c>
      <c r="L170" s="184" t="s">
        <v>2042</v>
      </c>
      <c r="M170" s="184" t="s">
        <v>2042</v>
      </c>
      <c r="N170" s="184" t="s">
        <v>2042</v>
      </c>
      <c r="O170" s="184" t="s">
        <v>2042</v>
      </c>
      <c r="P170" s="184" t="s">
        <v>2042</v>
      </c>
      <c r="Q170" s="184" t="s">
        <v>2042</v>
      </c>
      <c r="R170" s="184" t="s">
        <v>2042</v>
      </c>
      <c r="S170" s="184" t="s">
        <v>2042</v>
      </c>
      <c r="T170" s="184" t="s">
        <v>2042</v>
      </c>
      <c r="U170" s="184" t="s">
        <v>2042</v>
      </c>
      <c r="V170" s="184" t="s">
        <v>2042</v>
      </c>
      <c r="W170" s="184" t="s">
        <v>2042</v>
      </c>
      <c r="X170" s="184" t="s">
        <v>2042</v>
      </c>
      <c r="Y170" s="184" t="s">
        <v>2042</v>
      </c>
      <c r="Z170" s="184" t="s">
        <v>2042</v>
      </c>
      <c r="AA170" s="184" t="s">
        <v>2042</v>
      </c>
      <c r="AB170" s="184" t="s">
        <v>2042</v>
      </c>
      <c r="AC170" s="184" t="s">
        <v>2042</v>
      </c>
      <c r="AD170" s="184" t="s">
        <v>2042</v>
      </c>
      <c r="AE170" s="184" t="s">
        <v>2042</v>
      </c>
      <c r="AF170" s="184" t="s">
        <v>2042</v>
      </c>
      <c r="AG170" s="184" t="s">
        <v>2042</v>
      </c>
      <c r="AH170" s="184" t="s">
        <v>2042</v>
      </c>
      <c r="AI170" s="184" t="s">
        <v>2042</v>
      </c>
      <c r="AJ170" s="184" t="s">
        <v>2042</v>
      </c>
      <c r="AK170" s="184" t="s">
        <v>2042</v>
      </c>
      <c r="AL170" s="184" t="s">
        <v>2042</v>
      </c>
      <c r="AM170" s="184" t="s">
        <v>2042</v>
      </c>
      <c r="AN170" s="184" t="s">
        <v>2042</v>
      </c>
      <c r="AO170" s="184" t="s">
        <v>2042</v>
      </c>
      <c r="AP170" s="184" t="s">
        <v>2042</v>
      </c>
      <c r="AQ170" s="175"/>
    </row>
    <row r="171" spans="1:43" ht="14.5">
      <c r="A171" s="169"/>
      <c r="B171" s="170"/>
      <c r="C171" s="176" t="s">
        <v>1972</v>
      </c>
      <c r="D171" s="177"/>
      <c r="E171" s="178">
        <v>1</v>
      </c>
      <c r="F171" s="179"/>
      <c r="G171" s="186">
        <f>IF(C171="","",SUMIFS(MRP!$D$5:$D1000,MRP!$B$5:$B1000,C171))*E171</f>
        <v>0</v>
      </c>
      <c r="H171" s="181" t="s">
        <v>2041</v>
      </c>
      <c r="I171" s="182">
        <v>0</v>
      </c>
      <c r="J171" s="183" t="s">
        <v>2042</v>
      </c>
      <c r="K171" s="184" t="s">
        <v>2042</v>
      </c>
      <c r="L171" s="184" t="s">
        <v>2042</v>
      </c>
      <c r="M171" s="184" t="s">
        <v>2042</v>
      </c>
      <c r="N171" s="184" t="s">
        <v>2042</v>
      </c>
      <c r="O171" s="184" t="s">
        <v>2042</v>
      </c>
      <c r="P171" s="184" t="s">
        <v>2042</v>
      </c>
      <c r="Q171" s="184" t="s">
        <v>2042</v>
      </c>
      <c r="R171" s="184" t="s">
        <v>2042</v>
      </c>
      <c r="S171" s="184" t="s">
        <v>2042</v>
      </c>
      <c r="T171" s="184" t="s">
        <v>2042</v>
      </c>
      <c r="U171" s="184" t="s">
        <v>2042</v>
      </c>
      <c r="V171" s="184" t="s">
        <v>2042</v>
      </c>
      <c r="W171" s="184" t="s">
        <v>2042</v>
      </c>
      <c r="X171" s="184" t="s">
        <v>2042</v>
      </c>
      <c r="Y171" s="184" t="s">
        <v>2042</v>
      </c>
      <c r="Z171" s="184" t="s">
        <v>2042</v>
      </c>
      <c r="AA171" s="184" t="s">
        <v>2042</v>
      </c>
      <c r="AB171" s="184" t="s">
        <v>2042</v>
      </c>
      <c r="AC171" s="184" t="s">
        <v>2042</v>
      </c>
      <c r="AD171" s="184" t="s">
        <v>2042</v>
      </c>
      <c r="AE171" s="184" t="s">
        <v>2042</v>
      </c>
      <c r="AF171" s="184" t="s">
        <v>2042</v>
      </c>
      <c r="AG171" s="184" t="s">
        <v>2042</v>
      </c>
      <c r="AH171" s="184" t="s">
        <v>2042</v>
      </c>
      <c r="AI171" s="184" t="s">
        <v>2042</v>
      </c>
      <c r="AJ171" s="184" t="s">
        <v>2042</v>
      </c>
      <c r="AK171" s="184" t="s">
        <v>2042</v>
      </c>
      <c r="AL171" s="184" t="s">
        <v>2042</v>
      </c>
      <c r="AM171" s="184" t="s">
        <v>2042</v>
      </c>
      <c r="AN171" s="184" t="s">
        <v>2042</v>
      </c>
      <c r="AO171" s="184" t="s">
        <v>2042</v>
      </c>
      <c r="AP171" s="184" t="s">
        <v>2042</v>
      </c>
      <c r="AQ171" s="175"/>
    </row>
    <row r="172" spans="1:43" ht="14.5">
      <c r="A172" s="169"/>
      <c r="B172" s="170"/>
      <c r="C172" s="176" t="s">
        <v>1467</v>
      </c>
      <c r="D172" s="177"/>
      <c r="E172" s="178">
        <v>1</v>
      </c>
      <c r="F172" s="179"/>
      <c r="G172" s="186">
        <f>IF(C172="","",SUMIFS(MRP!$D$5:$D1000,MRP!$B$5:$B1000,C172))*E172</f>
        <v>0</v>
      </c>
      <c r="H172" s="181" t="s">
        <v>2041</v>
      </c>
      <c r="I172" s="182">
        <v>0</v>
      </c>
      <c r="J172" s="183" t="s">
        <v>2042</v>
      </c>
      <c r="K172" s="184" t="s">
        <v>2042</v>
      </c>
      <c r="L172" s="184" t="s">
        <v>2042</v>
      </c>
      <c r="M172" s="184" t="s">
        <v>2042</v>
      </c>
      <c r="N172" s="184" t="s">
        <v>2042</v>
      </c>
      <c r="O172" s="184" t="s">
        <v>2042</v>
      </c>
      <c r="P172" s="184" t="s">
        <v>2042</v>
      </c>
      <c r="Q172" s="184" t="s">
        <v>2042</v>
      </c>
      <c r="R172" s="184" t="s">
        <v>2042</v>
      </c>
      <c r="S172" s="184" t="s">
        <v>2042</v>
      </c>
      <c r="T172" s="184" t="s">
        <v>2042</v>
      </c>
      <c r="U172" s="184" t="s">
        <v>2042</v>
      </c>
      <c r="V172" s="184" t="s">
        <v>2042</v>
      </c>
      <c r="W172" s="185" t="s">
        <v>2042</v>
      </c>
      <c r="X172" s="184" t="s">
        <v>2042</v>
      </c>
      <c r="Y172" s="184" t="s">
        <v>2042</v>
      </c>
      <c r="Z172" s="184" t="s">
        <v>2042</v>
      </c>
      <c r="AA172" s="184" t="s">
        <v>2042</v>
      </c>
      <c r="AB172" s="184" t="s">
        <v>2042</v>
      </c>
      <c r="AC172" s="184" t="s">
        <v>2042</v>
      </c>
      <c r="AD172" s="184" t="s">
        <v>2042</v>
      </c>
      <c r="AE172" s="184" t="s">
        <v>2042</v>
      </c>
      <c r="AF172" s="184" t="s">
        <v>2042</v>
      </c>
      <c r="AG172" s="184" t="s">
        <v>2042</v>
      </c>
      <c r="AH172" s="184" t="s">
        <v>2042</v>
      </c>
      <c r="AI172" s="184" t="s">
        <v>2042</v>
      </c>
      <c r="AJ172" s="184" t="s">
        <v>2042</v>
      </c>
      <c r="AK172" s="184" t="s">
        <v>2042</v>
      </c>
      <c r="AL172" s="184" t="s">
        <v>2042</v>
      </c>
      <c r="AM172" s="184" t="s">
        <v>2042</v>
      </c>
      <c r="AN172" s="184" t="s">
        <v>2042</v>
      </c>
      <c r="AO172" s="184" t="s">
        <v>2042</v>
      </c>
      <c r="AP172" s="184" t="s">
        <v>2042</v>
      </c>
      <c r="AQ172" s="175"/>
    </row>
    <row r="173" spans="1:43" ht="14.5">
      <c r="A173" s="169"/>
      <c r="B173" s="170"/>
      <c r="C173" s="176" t="s">
        <v>1973</v>
      </c>
      <c r="D173" s="177"/>
      <c r="E173" s="178">
        <v>1</v>
      </c>
      <c r="F173" s="179"/>
      <c r="G173" s="186">
        <f>IF(C173="","",SUMIFS(MRP!$D$5:$D1000,MRP!$B$5:$B1000,C173))*E173</f>
        <v>0</v>
      </c>
      <c r="H173" s="181" t="s">
        <v>2041</v>
      </c>
      <c r="I173" s="182">
        <v>0</v>
      </c>
      <c r="J173" s="183" t="s">
        <v>2042</v>
      </c>
      <c r="K173" s="184" t="s">
        <v>2042</v>
      </c>
      <c r="L173" s="184" t="s">
        <v>2042</v>
      </c>
      <c r="M173" s="184" t="s">
        <v>2042</v>
      </c>
      <c r="N173" s="184" t="s">
        <v>2042</v>
      </c>
      <c r="O173" s="184" t="s">
        <v>2042</v>
      </c>
      <c r="P173" s="184" t="s">
        <v>2042</v>
      </c>
      <c r="Q173" s="184" t="s">
        <v>2042</v>
      </c>
      <c r="R173" s="184" t="s">
        <v>2042</v>
      </c>
      <c r="S173" s="184" t="s">
        <v>2042</v>
      </c>
      <c r="T173" s="184" t="s">
        <v>2042</v>
      </c>
      <c r="U173" s="184" t="s">
        <v>2042</v>
      </c>
      <c r="V173" s="184" t="s">
        <v>2042</v>
      </c>
      <c r="W173" s="184" t="s">
        <v>2042</v>
      </c>
      <c r="X173" s="184" t="s">
        <v>2042</v>
      </c>
      <c r="Y173" s="184" t="s">
        <v>2042</v>
      </c>
      <c r="Z173" s="184" t="s">
        <v>2042</v>
      </c>
      <c r="AA173" s="184" t="s">
        <v>2042</v>
      </c>
      <c r="AB173" s="184" t="s">
        <v>2042</v>
      </c>
      <c r="AC173" s="184" t="s">
        <v>2042</v>
      </c>
      <c r="AD173" s="184" t="s">
        <v>2042</v>
      </c>
      <c r="AE173" s="184" t="s">
        <v>2042</v>
      </c>
      <c r="AF173" s="185" t="s">
        <v>2042</v>
      </c>
      <c r="AG173" s="185" t="s">
        <v>2042</v>
      </c>
      <c r="AH173" s="184" t="s">
        <v>2042</v>
      </c>
      <c r="AI173" s="184" t="s">
        <v>2042</v>
      </c>
      <c r="AJ173" s="184" t="s">
        <v>2042</v>
      </c>
      <c r="AK173" s="184" t="s">
        <v>2042</v>
      </c>
      <c r="AL173" s="184" t="s">
        <v>2042</v>
      </c>
      <c r="AM173" s="184" t="s">
        <v>2042</v>
      </c>
      <c r="AN173" s="184" t="s">
        <v>2042</v>
      </c>
      <c r="AO173" s="184" t="s">
        <v>2042</v>
      </c>
      <c r="AP173" s="184" t="s">
        <v>2042</v>
      </c>
      <c r="AQ173" s="175"/>
    </row>
    <row r="174" spans="1:43" ht="14.5">
      <c r="A174" s="169"/>
      <c r="B174" s="170"/>
      <c r="C174" s="176" t="s">
        <v>1974</v>
      </c>
      <c r="D174" s="177"/>
      <c r="E174" s="178">
        <v>1</v>
      </c>
      <c r="F174" s="179"/>
      <c r="G174" s="186">
        <f>IF(C174="","",SUMIFS(MRP!$D$5:$D1000,MRP!$B$5:$B1000,C174))*E174</f>
        <v>0</v>
      </c>
      <c r="H174" s="181" t="s">
        <v>2041</v>
      </c>
      <c r="I174" s="182">
        <v>0</v>
      </c>
      <c r="J174" s="183" t="s">
        <v>2042</v>
      </c>
      <c r="K174" s="184" t="s">
        <v>2042</v>
      </c>
      <c r="L174" s="184" t="s">
        <v>2042</v>
      </c>
      <c r="M174" s="184" t="s">
        <v>2042</v>
      </c>
      <c r="N174" s="184" t="s">
        <v>2042</v>
      </c>
      <c r="O174" s="184" t="s">
        <v>2042</v>
      </c>
      <c r="P174" s="184" t="s">
        <v>2042</v>
      </c>
      <c r="Q174" s="184" t="s">
        <v>2042</v>
      </c>
      <c r="R174" s="184" t="s">
        <v>2042</v>
      </c>
      <c r="S174" s="184" t="s">
        <v>2042</v>
      </c>
      <c r="T174" s="184" t="s">
        <v>2042</v>
      </c>
      <c r="U174" s="184" t="s">
        <v>2042</v>
      </c>
      <c r="V174" s="184" t="s">
        <v>2042</v>
      </c>
      <c r="W174" s="184" t="s">
        <v>2042</v>
      </c>
      <c r="X174" s="184" t="s">
        <v>2042</v>
      </c>
      <c r="Y174" s="184" t="s">
        <v>2042</v>
      </c>
      <c r="Z174" s="184" t="s">
        <v>2042</v>
      </c>
      <c r="AA174" s="184" t="s">
        <v>2042</v>
      </c>
      <c r="AB174" s="184" t="s">
        <v>2042</v>
      </c>
      <c r="AC174" s="184" t="s">
        <v>2042</v>
      </c>
      <c r="AD174" s="184" t="s">
        <v>2042</v>
      </c>
      <c r="AE174" s="184" t="s">
        <v>2042</v>
      </c>
      <c r="AF174" s="184" t="s">
        <v>2042</v>
      </c>
      <c r="AG174" s="184" t="s">
        <v>2042</v>
      </c>
      <c r="AH174" s="184" t="s">
        <v>2042</v>
      </c>
      <c r="AI174" s="184" t="s">
        <v>2042</v>
      </c>
      <c r="AJ174" s="184" t="s">
        <v>2042</v>
      </c>
      <c r="AK174" s="184" t="s">
        <v>2042</v>
      </c>
      <c r="AL174" s="184" t="s">
        <v>2042</v>
      </c>
      <c r="AM174" s="184" t="s">
        <v>2042</v>
      </c>
      <c r="AN174" s="184" t="s">
        <v>2042</v>
      </c>
      <c r="AO174" s="184" t="s">
        <v>2042</v>
      </c>
      <c r="AP174" s="184" t="s">
        <v>2042</v>
      </c>
      <c r="AQ174" s="175"/>
    </row>
    <row r="175" spans="1:43" ht="14.5">
      <c r="A175" s="169"/>
      <c r="B175" s="170"/>
      <c r="C175" s="176" t="s">
        <v>1975</v>
      </c>
      <c r="D175" s="177"/>
      <c r="E175" s="178">
        <v>1</v>
      </c>
      <c r="F175" s="179"/>
      <c r="G175" s="186">
        <f>IF(C175="","",SUMIFS(MRP!$D$5:$D1000,MRP!$B$5:$B1000,C175))*E175</f>
        <v>0</v>
      </c>
      <c r="H175" s="181" t="s">
        <v>2041</v>
      </c>
      <c r="I175" s="182">
        <v>0</v>
      </c>
      <c r="J175" s="183" t="s">
        <v>2042</v>
      </c>
      <c r="K175" s="184" t="s">
        <v>2042</v>
      </c>
      <c r="L175" s="184" t="s">
        <v>2042</v>
      </c>
      <c r="M175" s="184" t="s">
        <v>2042</v>
      </c>
      <c r="N175" s="184" t="s">
        <v>2042</v>
      </c>
      <c r="O175" s="184" t="s">
        <v>2042</v>
      </c>
      <c r="P175" s="184" t="s">
        <v>2042</v>
      </c>
      <c r="Q175" s="184" t="s">
        <v>2042</v>
      </c>
      <c r="R175" s="184" t="s">
        <v>2042</v>
      </c>
      <c r="S175" s="184" t="s">
        <v>2042</v>
      </c>
      <c r="T175" s="184" t="s">
        <v>2042</v>
      </c>
      <c r="U175" s="184" t="s">
        <v>2042</v>
      </c>
      <c r="V175" s="184" t="s">
        <v>2042</v>
      </c>
      <c r="W175" s="184" t="s">
        <v>2042</v>
      </c>
      <c r="X175" s="184" t="s">
        <v>2042</v>
      </c>
      <c r="Y175" s="184" t="s">
        <v>2042</v>
      </c>
      <c r="Z175" s="184" t="s">
        <v>2042</v>
      </c>
      <c r="AA175" s="184" t="s">
        <v>2042</v>
      </c>
      <c r="AB175" s="184" t="s">
        <v>2042</v>
      </c>
      <c r="AC175" s="184" t="s">
        <v>2042</v>
      </c>
      <c r="AD175" s="184" t="s">
        <v>2042</v>
      </c>
      <c r="AE175" s="184" t="s">
        <v>2042</v>
      </c>
      <c r="AF175" s="184" t="s">
        <v>2042</v>
      </c>
      <c r="AG175" s="184" t="s">
        <v>2042</v>
      </c>
      <c r="AH175" s="184" t="s">
        <v>2042</v>
      </c>
      <c r="AI175" s="184" t="s">
        <v>2042</v>
      </c>
      <c r="AJ175" s="184" t="s">
        <v>2042</v>
      </c>
      <c r="AK175" s="184" t="s">
        <v>2042</v>
      </c>
      <c r="AL175" s="184" t="s">
        <v>2042</v>
      </c>
      <c r="AM175" s="184" t="s">
        <v>2042</v>
      </c>
      <c r="AN175" s="184" t="s">
        <v>2042</v>
      </c>
      <c r="AO175" s="184" t="s">
        <v>2042</v>
      </c>
      <c r="AP175" s="184" t="s">
        <v>2042</v>
      </c>
      <c r="AQ175" s="175"/>
    </row>
    <row r="176" spans="1:43" ht="14.5">
      <c r="A176" s="169"/>
      <c r="B176" s="170"/>
      <c r="C176" s="176" t="s">
        <v>1976</v>
      </c>
      <c r="D176" s="177"/>
      <c r="E176" s="178">
        <v>1</v>
      </c>
      <c r="F176" s="179"/>
      <c r="G176" s="186">
        <f>IF(C176="","",SUMIFS(MRP!$D$5:$D1000,MRP!$B$5:$B1000,C176))*E176</f>
        <v>0</v>
      </c>
      <c r="H176" s="181" t="s">
        <v>2041</v>
      </c>
      <c r="I176" s="182">
        <v>0</v>
      </c>
      <c r="J176" s="183" t="s">
        <v>2042</v>
      </c>
      <c r="K176" s="184" t="s">
        <v>2042</v>
      </c>
      <c r="L176" s="184" t="s">
        <v>2042</v>
      </c>
      <c r="M176" s="184" t="s">
        <v>2042</v>
      </c>
      <c r="N176" s="184" t="s">
        <v>2042</v>
      </c>
      <c r="O176" s="184" t="s">
        <v>2042</v>
      </c>
      <c r="P176" s="184" t="s">
        <v>2042</v>
      </c>
      <c r="Q176" s="184" t="s">
        <v>2042</v>
      </c>
      <c r="R176" s="184" t="s">
        <v>2042</v>
      </c>
      <c r="S176" s="184" t="s">
        <v>2042</v>
      </c>
      <c r="T176" s="184" t="s">
        <v>2042</v>
      </c>
      <c r="U176" s="184" t="s">
        <v>2042</v>
      </c>
      <c r="V176" s="184" t="s">
        <v>2042</v>
      </c>
      <c r="W176" s="184" t="s">
        <v>2042</v>
      </c>
      <c r="X176" s="184" t="s">
        <v>2042</v>
      </c>
      <c r="Y176" s="184" t="s">
        <v>2042</v>
      </c>
      <c r="Z176" s="184" t="s">
        <v>2042</v>
      </c>
      <c r="AA176" s="184" t="s">
        <v>2042</v>
      </c>
      <c r="AB176" s="184" t="s">
        <v>2042</v>
      </c>
      <c r="AC176" s="184" t="s">
        <v>2042</v>
      </c>
      <c r="AD176" s="184" t="s">
        <v>2042</v>
      </c>
      <c r="AE176" s="184" t="s">
        <v>2042</v>
      </c>
      <c r="AF176" s="184" t="s">
        <v>2042</v>
      </c>
      <c r="AG176" s="184" t="s">
        <v>2042</v>
      </c>
      <c r="AH176" s="184" t="s">
        <v>2042</v>
      </c>
      <c r="AI176" s="184" t="s">
        <v>2042</v>
      </c>
      <c r="AJ176" s="184" t="s">
        <v>2042</v>
      </c>
      <c r="AK176" s="184" t="s">
        <v>2042</v>
      </c>
      <c r="AL176" s="184" t="s">
        <v>2042</v>
      </c>
      <c r="AM176" s="184" t="s">
        <v>2042</v>
      </c>
      <c r="AN176" s="184" t="s">
        <v>2042</v>
      </c>
      <c r="AO176" s="184" t="s">
        <v>2042</v>
      </c>
      <c r="AP176" s="184" t="s">
        <v>2042</v>
      </c>
      <c r="AQ176" s="175"/>
    </row>
    <row r="177" spans="1:43" ht="14.5">
      <c r="A177" s="169"/>
      <c r="B177" s="170"/>
      <c r="C177" s="176" t="s">
        <v>1977</v>
      </c>
      <c r="D177" s="177"/>
      <c r="E177" s="178">
        <v>1</v>
      </c>
      <c r="F177" s="179"/>
      <c r="G177" s="186">
        <f>IF(C177="","",SUMIFS(MRP!$D$5:$D1000,MRP!$B$5:$B1000,C177))*E177</f>
        <v>0</v>
      </c>
      <c r="H177" s="181" t="s">
        <v>2041</v>
      </c>
      <c r="I177" s="182">
        <v>0</v>
      </c>
      <c r="J177" s="183" t="s">
        <v>2042</v>
      </c>
      <c r="K177" s="184" t="s">
        <v>2042</v>
      </c>
      <c r="L177" s="184" t="s">
        <v>2042</v>
      </c>
      <c r="M177" s="184" t="s">
        <v>2042</v>
      </c>
      <c r="N177" s="184" t="s">
        <v>2042</v>
      </c>
      <c r="O177" s="184" t="s">
        <v>2042</v>
      </c>
      <c r="P177" s="184" t="s">
        <v>2042</v>
      </c>
      <c r="Q177" s="184" t="s">
        <v>2042</v>
      </c>
      <c r="R177" s="184" t="s">
        <v>2042</v>
      </c>
      <c r="S177" s="188" t="s">
        <v>2042</v>
      </c>
      <c r="T177" s="185" t="s">
        <v>2042</v>
      </c>
      <c r="U177" s="184" t="s">
        <v>2042</v>
      </c>
      <c r="V177" s="184" t="s">
        <v>2042</v>
      </c>
      <c r="W177" s="184" t="s">
        <v>2042</v>
      </c>
      <c r="X177" s="184" t="s">
        <v>2042</v>
      </c>
      <c r="Y177" s="184" t="s">
        <v>2042</v>
      </c>
      <c r="Z177" s="184" t="s">
        <v>2042</v>
      </c>
      <c r="AA177" s="184" t="s">
        <v>2042</v>
      </c>
      <c r="AB177" s="185" t="s">
        <v>2042</v>
      </c>
      <c r="AC177" s="185" t="s">
        <v>2042</v>
      </c>
      <c r="AD177" s="185" t="s">
        <v>2042</v>
      </c>
      <c r="AE177" s="185" t="s">
        <v>2042</v>
      </c>
      <c r="AF177" s="185" t="s">
        <v>2042</v>
      </c>
      <c r="AG177" s="185" t="s">
        <v>2042</v>
      </c>
      <c r="AH177" s="185" t="s">
        <v>2042</v>
      </c>
      <c r="AI177" s="185" t="s">
        <v>2042</v>
      </c>
      <c r="AJ177" s="185" t="s">
        <v>2042</v>
      </c>
      <c r="AK177" s="185" t="s">
        <v>2042</v>
      </c>
      <c r="AL177" s="185" t="s">
        <v>2042</v>
      </c>
      <c r="AM177" s="185" t="s">
        <v>2042</v>
      </c>
      <c r="AN177" s="185" t="s">
        <v>2042</v>
      </c>
      <c r="AO177" s="185" t="s">
        <v>2042</v>
      </c>
      <c r="AP177" s="185" t="s">
        <v>2042</v>
      </c>
      <c r="AQ177" s="175"/>
    </row>
    <row r="178" spans="1:43" ht="14.5">
      <c r="A178" s="169"/>
      <c r="B178" s="170"/>
      <c r="C178" s="176" t="s">
        <v>1460</v>
      </c>
      <c r="D178" s="177"/>
      <c r="E178" s="178">
        <v>1</v>
      </c>
      <c r="F178" s="179"/>
      <c r="G178" s="186">
        <f>IF(C178="","",SUMIFS(MRP!$D$5:$D1000,MRP!$B$5:$B1000,C178))*E178</f>
        <v>0</v>
      </c>
      <c r="H178" s="181" t="s">
        <v>2041</v>
      </c>
      <c r="I178" s="182">
        <v>0</v>
      </c>
      <c r="J178" s="183" t="s">
        <v>2042</v>
      </c>
      <c r="K178" s="184" t="s">
        <v>2042</v>
      </c>
      <c r="L178" s="184" t="s">
        <v>2042</v>
      </c>
      <c r="M178" s="184" t="s">
        <v>2042</v>
      </c>
      <c r="N178" s="184" t="s">
        <v>2042</v>
      </c>
      <c r="O178" s="184" t="s">
        <v>2042</v>
      </c>
      <c r="P178" s="184" t="s">
        <v>2042</v>
      </c>
      <c r="Q178" s="184" t="s">
        <v>2042</v>
      </c>
      <c r="R178" s="184" t="s">
        <v>2042</v>
      </c>
      <c r="S178" s="184" t="s">
        <v>2042</v>
      </c>
      <c r="T178" s="184" t="s">
        <v>2042</v>
      </c>
      <c r="U178" s="184" t="s">
        <v>2042</v>
      </c>
      <c r="V178" s="184" t="s">
        <v>2042</v>
      </c>
      <c r="W178" s="184" t="s">
        <v>2042</v>
      </c>
      <c r="X178" s="184" t="s">
        <v>2042</v>
      </c>
      <c r="Y178" s="184" t="s">
        <v>2042</v>
      </c>
      <c r="Z178" s="184" t="s">
        <v>2042</v>
      </c>
      <c r="AA178" s="184" t="s">
        <v>2042</v>
      </c>
      <c r="AB178" s="184" t="s">
        <v>2042</v>
      </c>
      <c r="AC178" s="184" t="s">
        <v>2042</v>
      </c>
      <c r="AD178" s="184" t="s">
        <v>2042</v>
      </c>
      <c r="AE178" s="184" t="s">
        <v>2042</v>
      </c>
      <c r="AF178" s="184" t="s">
        <v>2042</v>
      </c>
      <c r="AG178" s="184" t="s">
        <v>2042</v>
      </c>
      <c r="AH178" s="184" t="s">
        <v>2042</v>
      </c>
      <c r="AI178" s="184" t="s">
        <v>2042</v>
      </c>
      <c r="AJ178" s="184" t="s">
        <v>2042</v>
      </c>
      <c r="AK178" s="184" t="s">
        <v>2042</v>
      </c>
      <c r="AL178" s="184" t="s">
        <v>2042</v>
      </c>
      <c r="AM178" s="184" t="s">
        <v>2042</v>
      </c>
      <c r="AN178" s="184" t="s">
        <v>2042</v>
      </c>
      <c r="AO178" s="184" t="s">
        <v>2042</v>
      </c>
      <c r="AP178" s="184" t="s">
        <v>2042</v>
      </c>
      <c r="AQ178" s="175"/>
    </row>
    <row r="179" spans="1:43" ht="14.5">
      <c r="A179" s="169"/>
      <c r="B179" s="170"/>
      <c r="C179" s="176" t="s">
        <v>1978</v>
      </c>
      <c r="D179" s="177"/>
      <c r="E179" s="178">
        <v>1</v>
      </c>
      <c r="F179" s="179"/>
      <c r="G179" s="186">
        <f>IF(C179="","",SUMIFS(MRP!$D$5:$D1000,MRP!$B$5:$B1000,C179))*E179</f>
        <v>0</v>
      </c>
      <c r="H179" s="181" t="s">
        <v>2041</v>
      </c>
      <c r="I179" s="182">
        <v>0</v>
      </c>
      <c r="J179" s="183" t="s">
        <v>2042</v>
      </c>
      <c r="K179" s="184" t="s">
        <v>2042</v>
      </c>
      <c r="L179" s="184" t="s">
        <v>2042</v>
      </c>
      <c r="M179" s="184" t="s">
        <v>2042</v>
      </c>
      <c r="N179" s="184" t="s">
        <v>2042</v>
      </c>
      <c r="O179" s="184" t="s">
        <v>2042</v>
      </c>
      <c r="P179" s="184" t="s">
        <v>2042</v>
      </c>
      <c r="Q179" s="184" t="s">
        <v>2042</v>
      </c>
      <c r="R179" s="184" t="s">
        <v>2042</v>
      </c>
      <c r="S179" s="184" t="s">
        <v>2042</v>
      </c>
      <c r="T179" s="184" t="s">
        <v>2042</v>
      </c>
      <c r="U179" s="184" t="s">
        <v>2042</v>
      </c>
      <c r="V179" s="184" t="s">
        <v>2042</v>
      </c>
      <c r="W179" s="184" t="s">
        <v>2042</v>
      </c>
      <c r="X179" s="184" t="s">
        <v>2042</v>
      </c>
      <c r="Y179" s="184" t="s">
        <v>2042</v>
      </c>
      <c r="Z179" s="184" t="s">
        <v>2042</v>
      </c>
      <c r="AA179" s="184" t="s">
        <v>2042</v>
      </c>
      <c r="AB179" s="184" t="s">
        <v>2042</v>
      </c>
      <c r="AC179" s="184" t="s">
        <v>2042</v>
      </c>
      <c r="AD179" s="184" t="s">
        <v>2042</v>
      </c>
      <c r="AE179" s="184" t="s">
        <v>2042</v>
      </c>
      <c r="AF179" s="184" t="s">
        <v>2042</v>
      </c>
      <c r="AG179" s="184" t="s">
        <v>2042</v>
      </c>
      <c r="AH179" s="184" t="s">
        <v>2042</v>
      </c>
      <c r="AI179" s="184" t="s">
        <v>2042</v>
      </c>
      <c r="AJ179" s="184" t="s">
        <v>2042</v>
      </c>
      <c r="AK179" s="184" t="s">
        <v>2042</v>
      </c>
      <c r="AL179" s="184" t="s">
        <v>2042</v>
      </c>
      <c r="AM179" s="184" t="s">
        <v>2042</v>
      </c>
      <c r="AN179" s="184" t="s">
        <v>2042</v>
      </c>
      <c r="AO179" s="184" t="s">
        <v>2042</v>
      </c>
      <c r="AP179" s="184" t="s">
        <v>2042</v>
      </c>
      <c r="AQ179" s="175"/>
    </row>
    <row r="180" spans="1:43" ht="14.5">
      <c r="A180" s="169"/>
      <c r="B180" s="170"/>
      <c r="C180" s="176" t="s">
        <v>1673</v>
      </c>
      <c r="D180" s="177"/>
      <c r="E180" s="178">
        <v>1</v>
      </c>
      <c r="F180" s="179"/>
      <c r="G180" s="186">
        <f>IF(C180="","",SUMIFS(MRP!$D$5:$D1000,MRP!$B$5:$B1000,C180))*E180</f>
        <v>0</v>
      </c>
      <c r="H180" s="181" t="s">
        <v>2041</v>
      </c>
      <c r="I180" s="182">
        <v>0</v>
      </c>
      <c r="J180" s="183" t="s">
        <v>2042</v>
      </c>
      <c r="K180" s="184" t="s">
        <v>2042</v>
      </c>
      <c r="L180" s="184" t="s">
        <v>2042</v>
      </c>
      <c r="M180" s="184" t="s">
        <v>2042</v>
      </c>
      <c r="N180" s="184" t="s">
        <v>2042</v>
      </c>
      <c r="O180" s="184" t="s">
        <v>2042</v>
      </c>
      <c r="P180" s="184" t="s">
        <v>2042</v>
      </c>
      <c r="Q180" s="184" t="s">
        <v>2042</v>
      </c>
      <c r="R180" s="184" t="s">
        <v>2042</v>
      </c>
      <c r="S180" s="184" t="s">
        <v>2042</v>
      </c>
      <c r="T180" s="184" t="s">
        <v>2042</v>
      </c>
      <c r="U180" s="184" t="s">
        <v>2042</v>
      </c>
      <c r="V180" s="184" t="s">
        <v>2042</v>
      </c>
      <c r="W180" s="184" t="s">
        <v>2042</v>
      </c>
      <c r="X180" s="184" t="s">
        <v>2042</v>
      </c>
      <c r="Y180" s="184" t="s">
        <v>2042</v>
      </c>
      <c r="Z180" s="184" t="s">
        <v>2042</v>
      </c>
      <c r="AA180" s="184" t="s">
        <v>2042</v>
      </c>
      <c r="AB180" s="184" t="s">
        <v>2042</v>
      </c>
      <c r="AC180" s="184" t="s">
        <v>2042</v>
      </c>
      <c r="AD180" s="184" t="s">
        <v>2042</v>
      </c>
      <c r="AE180" s="184" t="s">
        <v>2042</v>
      </c>
      <c r="AF180" s="184" t="s">
        <v>2042</v>
      </c>
      <c r="AG180" s="184" t="s">
        <v>2042</v>
      </c>
      <c r="AH180" s="184" t="s">
        <v>2042</v>
      </c>
      <c r="AI180" s="184" t="s">
        <v>2042</v>
      </c>
      <c r="AJ180" s="184" t="s">
        <v>2042</v>
      </c>
      <c r="AK180" s="184" t="s">
        <v>2042</v>
      </c>
      <c r="AL180" s="184" t="s">
        <v>2042</v>
      </c>
      <c r="AM180" s="184" t="s">
        <v>2042</v>
      </c>
      <c r="AN180" s="184" t="s">
        <v>2042</v>
      </c>
      <c r="AO180" s="184" t="s">
        <v>2042</v>
      </c>
      <c r="AP180" s="184" t="s">
        <v>2042</v>
      </c>
      <c r="AQ180" s="175"/>
    </row>
    <row r="181" spans="1:43" ht="14.5">
      <c r="A181" s="169"/>
      <c r="B181" s="170"/>
      <c r="C181" s="176" t="s">
        <v>1979</v>
      </c>
      <c r="D181" s="177"/>
      <c r="E181" s="178">
        <v>1</v>
      </c>
      <c r="F181" s="179"/>
      <c r="G181" s="186">
        <f>IF(C181="","",SUMIFS(MRP!$D$5:$D1000,MRP!$B$5:$B1000,C181))*E181</f>
        <v>0</v>
      </c>
      <c r="H181" s="181" t="s">
        <v>2041</v>
      </c>
      <c r="I181" s="182">
        <v>0</v>
      </c>
      <c r="J181" s="183" t="s">
        <v>2042</v>
      </c>
      <c r="K181" s="184" t="s">
        <v>2042</v>
      </c>
      <c r="L181" s="184" t="s">
        <v>2042</v>
      </c>
      <c r="M181" s="184" t="s">
        <v>2042</v>
      </c>
      <c r="N181" s="184" t="s">
        <v>2042</v>
      </c>
      <c r="O181" s="184" t="s">
        <v>2042</v>
      </c>
      <c r="P181" s="184" t="s">
        <v>2042</v>
      </c>
      <c r="Q181" s="184" t="s">
        <v>2042</v>
      </c>
      <c r="R181" s="184" t="s">
        <v>2042</v>
      </c>
      <c r="S181" s="184" t="s">
        <v>2042</v>
      </c>
      <c r="T181" s="184" t="s">
        <v>2042</v>
      </c>
      <c r="U181" s="184" t="s">
        <v>2042</v>
      </c>
      <c r="V181" s="184" t="s">
        <v>2042</v>
      </c>
      <c r="W181" s="184" t="s">
        <v>2042</v>
      </c>
      <c r="X181" s="184" t="s">
        <v>2042</v>
      </c>
      <c r="Y181" s="184" t="s">
        <v>2042</v>
      </c>
      <c r="Z181" s="184" t="s">
        <v>2042</v>
      </c>
      <c r="AA181" s="184" t="s">
        <v>2042</v>
      </c>
      <c r="AB181" s="184" t="s">
        <v>2042</v>
      </c>
      <c r="AC181" s="184" t="s">
        <v>2042</v>
      </c>
      <c r="AD181" s="184" t="s">
        <v>2042</v>
      </c>
      <c r="AE181" s="184" t="s">
        <v>2042</v>
      </c>
      <c r="AF181" s="184" t="s">
        <v>2042</v>
      </c>
      <c r="AG181" s="184" t="s">
        <v>2042</v>
      </c>
      <c r="AH181" s="184" t="s">
        <v>2042</v>
      </c>
      <c r="AI181" s="184" t="s">
        <v>2042</v>
      </c>
      <c r="AJ181" s="184" t="s">
        <v>2042</v>
      </c>
      <c r="AK181" s="184" t="s">
        <v>2042</v>
      </c>
      <c r="AL181" s="184" t="s">
        <v>2042</v>
      </c>
      <c r="AM181" s="184" t="s">
        <v>2042</v>
      </c>
      <c r="AN181" s="184" t="s">
        <v>2042</v>
      </c>
      <c r="AO181" s="184" t="s">
        <v>2042</v>
      </c>
      <c r="AP181" s="184" t="s">
        <v>2042</v>
      </c>
      <c r="AQ181" s="175"/>
    </row>
    <row r="182" spans="1:43" ht="14.5">
      <c r="A182" s="169"/>
      <c r="B182" s="170"/>
      <c r="C182" s="176"/>
      <c r="D182" s="177"/>
      <c r="E182" s="178">
        <v>1</v>
      </c>
      <c r="F182" s="179"/>
      <c r="G182" s="186" t="e">
        <f>IF(C182="","",SUMIFS(MRP!$D$5:$D1000,MRP!$B$5:$B1000,C182))*E182</f>
        <v>#VALUE!</v>
      </c>
      <c r="H182" s="181" t="s">
        <v>2041</v>
      </c>
      <c r="I182" s="182">
        <v>0</v>
      </c>
      <c r="J182" s="183" t="s">
        <v>2042</v>
      </c>
      <c r="K182" s="184" t="s">
        <v>2042</v>
      </c>
      <c r="L182" s="184" t="s">
        <v>2042</v>
      </c>
      <c r="M182" s="184" t="s">
        <v>2042</v>
      </c>
      <c r="N182" s="184" t="s">
        <v>2042</v>
      </c>
      <c r="O182" s="184" t="s">
        <v>2042</v>
      </c>
      <c r="P182" s="184" t="s">
        <v>2042</v>
      </c>
      <c r="Q182" s="184" t="s">
        <v>2042</v>
      </c>
      <c r="R182" s="184" t="s">
        <v>2042</v>
      </c>
      <c r="S182" s="184" t="s">
        <v>2042</v>
      </c>
      <c r="T182" s="184" t="s">
        <v>2042</v>
      </c>
      <c r="U182" s="184" t="s">
        <v>2042</v>
      </c>
      <c r="V182" s="184" t="s">
        <v>2042</v>
      </c>
      <c r="W182" s="184" t="s">
        <v>2042</v>
      </c>
      <c r="X182" s="184" t="s">
        <v>2042</v>
      </c>
      <c r="Y182" s="184" t="s">
        <v>2042</v>
      </c>
      <c r="Z182" s="184" t="s">
        <v>2042</v>
      </c>
      <c r="AA182" s="184" t="s">
        <v>2042</v>
      </c>
      <c r="AB182" s="184" t="s">
        <v>2042</v>
      </c>
      <c r="AC182" s="184" t="s">
        <v>2042</v>
      </c>
      <c r="AD182" s="184" t="s">
        <v>2042</v>
      </c>
      <c r="AE182" s="184" t="s">
        <v>2042</v>
      </c>
      <c r="AF182" s="184" t="s">
        <v>2042</v>
      </c>
      <c r="AG182" s="184" t="s">
        <v>2042</v>
      </c>
      <c r="AH182" s="184" t="s">
        <v>2042</v>
      </c>
      <c r="AI182" s="184" t="s">
        <v>2042</v>
      </c>
      <c r="AJ182" s="184" t="s">
        <v>2042</v>
      </c>
      <c r="AK182" s="184" t="s">
        <v>2042</v>
      </c>
      <c r="AL182" s="184" t="s">
        <v>2042</v>
      </c>
      <c r="AM182" s="184" t="s">
        <v>2042</v>
      </c>
      <c r="AN182" s="184" t="s">
        <v>2042</v>
      </c>
      <c r="AO182" s="184" t="s">
        <v>2042</v>
      </c>
      <c r="AP182" s="184" t="s">
        <v>2042</v>
      </c>
      <c r="AQ182" s="175"/>
    </row>
    <row r="183" spans="1:43" ht="14.5">
      <c r="A183" s="169"/>
      <c r="B183" s="170"/>
      <c r="C183" s="176"/>
      <c r="D183" s="177"/>
      <c r="E183" s="178">
        <v>1</v>
      </c>
      <c r="F183" s="179"/>
      <c r="G183" s="186" t="e">
        <f>IF(C183="","",SUMIFS(MRP!$D$5:$D1000,MRP!$B$5:$B1000,C183))*E183</f>
        <v>#VALUE!</v>
      </c>
      <c r="H183" s="181" t="s">
        <v>2041</v>
      </c>
      <c r="I183" s="182">
        <v>0</v>
      </c>
      <c r="J183" s="183" t="s">
        <v>2042</v>
      </c>
      <c r="K183" s="184" t="s">
        <v>2042</v>
      </c>
      <c r="L183" s="184" t="s">
        <v>2042</v>
      </c>
      <c r="M183" s="184" t="s">
        <v>2042</v>
      </c>
      <c r="N183" s="184" t="s">
        <v>2042</v>
      </c>
      <c r="O183" s="184" t="s">
        <v>2042</v>
      </c>
      <c r="P183" s="184" t="s">
        <v>2042</v>
      </c>
      <c r="Q183" s="184" t="s">
        <v>2042</v>
      </c>
      <c r="R183" s="184" t="s">
        <v>2042</v>
      </c>
      <c r="S183" s="184" t="s">
        <v>2042</v>
      </c>
      <c r="T183" s="184" t="s">
        <v>2042</v>
      </c>
      <c r="U183" s="184" t="s">
        <v>2042</v>
      </c>
      <c r="V183" s="184" t="s">
        <v>2042</v>
      </c>
      <c r="W183" s="184" t="s">
        <v>2042</v>
      </c>
      <c r="X183" s="184" t="s">
        <v>2042</v>
      </c>
      <c r="Y183" s="184" t="s">
        <v>2042</v>
      </c>
      <c r="Z183" s="184" t="s">
        <v>2042</v>
      </c>
      <c r="AA183" s="184" t="s">
        <v>2042</v>
      </c>
      <c r="AB183" s="184" t="s">
        <v>2042</v>
      </c>
      <c r="AC183" s="184" t="s">
        <v>2042</v>
      </c>
      <c r="AD183" s="184" t="s">
        <v>2042</v>
      </c>
      <c r="AE183" s="184" t="s">
        <v>2042</v>
      </c>
      <c r="AF183" s="184" t="s">
        <v>2042</v>
      </c>
      <c r="AG183" s="184" t="s">
        <v>2042</v>
      </c>
      <c r="AH183" s="184" t="s">
        <v>2042</v>
      </c>
      <c r="AI183" s="184" t="s">
        <v>2042</v>
      </c>
      <c r="AJ183" s="184" t="s">
        <v>2042</v>
      </c>
      <c r="AK183" s="184" t="s">
        <v>2042</v>
      </c>
      <c r="AL183" s="184" t="s">
        <v>2042</v>
      </c>
      <c r="AM183" s="184" t="s">
        <v>2042</v>
      </c>
      <c r="AN183" s="184" t="s">
        <v>2042</v>
      </c>
      <c r="AO183" s="184" t="s">
        <v>2042</v>
      </c>
      <c r="AP183" s="184" t="s">
        <v>2042</v>
      </c>
      <c r="AQ183" s="175"/>
    </row>
    <row r="184" spans="1:43" ht="14.5">
      <c r="A184" s="169"/>
      <c r="B184" s="170"/>
      <c r="C184" s="176"/>
      <c r="D184" s="177"/>
      <c r="E184" s="178">
        <v>1</v>
      </c>
      <c r="F184" s="179"/>
      <c r="G184" s="186" t="e">
        <f>IF(C184="","",SUMIFS(MRP!$D$5:$D1000,MRP!$B$5:$B1000,C184))*E184</f>
        <v>#VALUE!</v>
      </c>
      <c r="H184" s="181" t="s">
        <v>2041</v>
      </c>
      <c r="I184" s="182">
        <v>0</v>
      </c>
      <c r="J184" s="183" t="s">
        <v>2042</v>
      </c>
      <c r="K184" s="184" t="s">
        <v>2042</v>
      </c>
      <c r="L184" s="184" t="s">
        <v>2042</v>
      </c>
      <c r="M184" s="184" t="s">
        <v>2042</v>
      </c>
      <c r="N184" s="184" t="s">
        <v>2042</v>
      </c>
      <c r="O184" s="184" t="s">
        <v>2042</v>
      </c>
      <c r="P184" s="184" t="s">
        <v>2042</v>
      </c>
      <c r="Q184" s="184" t="s">
        <v>2042</v>
      </c>
      <c r="R184" s="184" t="s">
        <v>2042</v>
      </c>
      <c r="S184" s="184" t="s">
        <v>2042</v>
      </c>
      <c r="T184" s="184" t="s">
        <v>2042</v>
      </c>
      <c r="U184" s="184" t="s">
        <v>2042</v>
      </c>
      <c r="V184" s="184" t="s">
        <v>2042</v>
      </c>
      <c r="W184" s="184" t="s">
        <v>2042</v>
      </c>
      <c r="X184" s="184" t="s">
        <v>2042</v>
      </c>
      <c r="Y184" s="184" t="s">
        <v>2042</v>
      </c>
      <c r="Z184" s="184" t="s">
        <v>2042</v>
      </c>
      <c r="AA184" s="184" t="s">
        <v>2042</v>
      </c>
      <c r="AB184" s="184" t="s">
        <v>2042</v>
      </c>
      <c r="AC184" s="184" t="s">
        <v>2042</v>
      </c>
      <c r="AD184" s="184" t="s">
        <v>2042</v>
      </c>
      <c r="AE184" s="184" t="s">
        <v>2042</v>
      </c>
      <c r="AF184" s="184" t="s">
        <v>2042</v>
      </c>
      <c r="AG184" s="184" t="s">
        <v>2042</v>
      </c>
      <c r="AH184" s="184" t="s">
        <v>2042</v>
      </c>
      <c r="AI184" s="184" t="s">
        <v>2042</v>
      </c>
      <c r="AJ184" s="184" t="s">
        <v>2042</v>
      </c>
      <c r="AK184" s="184" t="s">
        <v>2042</v>
      </c>
      <c r="AL184" s="184" t="s">
        <v>2042</v>
      </c>
      <c r="AM184" s="184" t="s">
        <v>2042</v>
      </c>
      <c r="AN184" s="184" t="s">
        <v>2042</v>
      </c>
      <c r="AO184" s="184" t="s">
        <v>2042</v>
      </c>
      <c r="AP184" s="184" t="s">
        <v>2042</v>
      </c>
      <c r="AQ184" s="175"/>
    </row>
    <row r="185" spans="1:43" ht="14.5">
      <c r="A185" s="169"/>
      <c r="B185" s="170"/>
      <c r="C185" s="176"/>
      <c r="D185" s="177"/>
      <c r="E185" s="178">
        <v>1</v>
      </c>
      <c r="F185" s="179"/>
      <c r="G185" s="186" t="e">
        <f>IF(C185="","",SUMIFS(MRP!$D$5:$D1000,MRP!$B$5:$B1000,C185))*E185</f>
        <v>#VALUE!</v>
      </c>
      <c r="H185" s="181" t="s">
        <v>2041</v>
      </c>
      <c r="I185" s="182">
        <v>0</v>
      </c>
      <c r="J185" s="183" t="s">
        <v>2042</v>
      </c>
      <c r="K185" s="188" t="s">
        <v>2042</v>
      </c>
      <c r="L185" s="188" t="s">
        <v>2042</v>
      </c>
      <c r="M185" s="189" t="s">
        <v>2042</v>
      </c>
      <c r="N185" s="189" t="s">
        <v>2042</v>
      </c>
      <c r="O185" s="189" t="s">
        <v>2042</v>
      </c>
      <c r="P185" s="189" t="s">
        <v>2042</v>
      </c>
      <c r="Q185" s="185" t="s">
        <v>2042</v>
      </c>
      <c r="R185" s="189" t="s">
        <v>2042</v>
      </c>
      <c r="S185" s="189" t="s">
        <v>2042</v>
      </c>
      <c r="T185" s="189" t="s">
        <v>2042</v>
      </c>
      <c r="U185" s="189" t="s">
        <v>2042</v>
      </c>
      <c r="V185" s="189" t="s">
        <v>2042</v>
      </c>
      <c r="W185" s="189" t="s">
        <v>2042</v>
      </c>
      <c r="X185" s="189" t="s">
        <v>2042</v>
      </c>
      <c r="Y185" s="189" t="s">
        <v>2042</v>
      </c>
      <c r="Z185" s="189" t="s">
        <v>2042</v>
      </c>
      <c r="AA185" s="189" t="s">
        <v>2042</v>
      </c>
      <c r="AB185" s="189" t="s">
        <v>2042</v>
      </c>
      <c r="AC185" s="189" t="s">
        <v>2042</v>
      </c>
      <c r="AD185" s="189" t="s">
        <v>2042</v>
      </c>
      <c r="AE185" s="189" t="s">
        <v>2042</v>
      </c>
      <c r="AF185" s="189" t="s">
        <v>2042</v>
      </c>
      <c r="AG185" s="189" t="s">
        <v>2042</v>
      </c>
      <c r="AH185" s="189" t="s">
        <v>2042</v>
      </c>
      <c r="AI185" s="189" t="s">
        <v>2042</v>
      </c>
      <c r="AJ185" s="189" t="s">
        <v>2042</v>
      </c>
      <c r="AK185" s="189" t="s">
        <v>2042</v>
      </c>
      <c r="AL185" s="189" t="s">
        <v>2042</v>
      </c>
      <c r="AM185" s="189" t="s">
        <v>2042</v>
      </c>
      <c r="AN185" s="185" t="s">
        <v>2042</v>
      </c>
      <c r="AO185" s="185" t="s">
        <v>2042</v>
      </c>
      <c r="AP185" s="185" t="s">
        <v>2042</v>
      </c>
      <c r="AQ185" s="175"/>
    </row>
    <row r="186" spans="1:43" ht="14.5">
      <c r="A186" s="169"/>
      <c r="B186" s="170"/>
      <c r="C186" s="176"/>
      <c r="D186" s="177"/>
      <c r="E186" s="178">
        <v>1</v>
      </c>
      <c r="F186" s="179"/>
      <c r="G186" s="186" t="e">
        <f>IF(C186="","",SUMIFS(MRP!$D$5:$D1000,MRP!$B$5:$B1000,C186))*E186</f>
        <v>#VALUE!</v>
      </c>
      <c r="H186" s="181" t="s">
        <v>2041</v>
      </c>
      <c r="I186" s="182">
        <v>0</v>
      </c>
      <c r="J186" s="183" t="s">
        <v>2042</v>
      </c>
      <c r="K186" s="189" t="s">
        <v>2042</v>
      </c>
      <c r="L186" s="189" t="s">
        <v>2042</v>
      </c>
      <c r="M186" s="189" t="s">
        <v>2042</v>
      </c>
      <c r="N186" s="189" t="s">
        <v>2042</v>
      </c>
      <c r="O186" s="189" t="s">
        <v>2042</v>
      </c>
      <c r="P186" s="184" t="s">
        <v>2042</v>
      </c>
      <c r="Q186" s="184" t="s">
        <v>2042</v>
      </c>
      <c r="R186" s="184" t="s">
        <v>2042</v>
      </c>
      <c r="S186" s="184" t="s">
        <v>2042</v>
      </c>
      <c r="T186" s="184" t="s">
        <v>2042</v>
      </c>
      <c r="U186" s="184" t="s">
        <v>2042</v>
      </c>
      <c r="V186" s="184" t="s">
        <v>2042</v>
      </c>
      <c r="W186" s="188" t="s">
        <v>2042</v>
      </c>
      <c r="X186" s="188" t="s">
        <v>2042</v>
      </c>
      <c r="Y186" s="188" t="s">
        <v>2042</v>
      </c>
      <c r="Z186" s="187" t="s">
        <v>2042</v>
      </c>
      <c r="AA186" s="187" t="s">
        <v>2042</v>
      </c>
      <c r="AB186" s="187" t="s">
        <v>2042</v>
      </c>
      <c r="AC186" s="187" t="s">
        <v>2042</v>
      </c>
      <c r="AD186" s="184" t="s">
        <v>2042</v>
      </c>
      <c r="AE186" s="184" t="s">
        <v>2042</v>
      </c>
      <c r="AF186" s="184" t="s">
        <v>2042</v>
      </c>
      <c r="AG186" s="184" t="s">
        <v>2042</v>
      </c>
      <c r="AH186" s="184" t="s">
        <v>2042</v>
      </c>
      <c r="AI186" s="184" t="s">
        <v>2042</v>
      </c>
      <c r="AJ186" s="184" t="s">
        <v>2042</v>
      </c>
      <c r="AK186" s="184" t="s">
        <v>2042</v>
      </c>
      <c r="AL186" s="184" t="s">
        <v>2042</v>
      </c>
      <c r="AM186" s="184" t="s">
        <v>2042</v>
      </c>
      <c r="AN186" s="189" t="s">
        <v>2042</v>
      </c>
      <c r="AO186" s="184" t="s">
        <v>2042</v>
      </c>
      <c r="AP186" s="184" t="s">
        <v>2042</v>
      </c>
      <c r="AQ186" s="175"/>
    </row>
    <row r="187" spans="1:43" ht="14.5">
      <c r="A187" s="169"/>
      <c r="B187" s="170"/>
      <c r="C187" s="176"/>
      <c r="D187" s="177"/>
      <c r="E187" s="178">
        <v>1</v>
      </c>
      <c r="F187" s="179"/>
      <c r="G187" s="186" t="e">
        <f>IF(C187="","",SUMIFS(MRP!$D$5:$D1000,MRP!$B$5:$B1000,C187))*E187</f>
        <v>#VALUE!</v>
      </c>
      <c r="H187" s="181" t="s">
        <v>2041</v>
      </c>
      <c r="I187" s="182">
        <v>0</v>
      </c>
      <c r="J187" s="183" t="s">
        <v>2042</v>
      </c>
      <c r="K187" s="184" t="s">
        <v>2042</v>
      </c>
      <c r="L187" s="184" t="s">
        <v>2042</v>
      </c>
      <c r="M187" s="184" t="s">
        <v>2042</v>
      </c>
      <c r="N187" s="184" t="s">
        <v>2042</v>
      </c>
      <c r="O187" s="184" t="s">
        <v>2042</v>
      </c>
      <c r="P187" s="184" t="s">
        <v>2042</v>
      </c>
      <c r="Q187" s="184" t="s">
        <v>2042</v>
      </c>
      <c r="R187" s="184" t="s">
        <v>2042</v>
      </c>
      <c r="S187" s="184" t="s">
        <v>2042</v>
      </c>
      <c r="T187" s="184" t="s">
        <v>2042</v>
      </c>
      <c r="U187" s="184" t="s">
        <v>2042</v>
      </c>
      <c r="V187" s="184" t="s">
        <v>2042</v>
      </c>
      <c r="W187" s="184" t="s">
        <v>2042</v>
      </c>
      <c r="X187" s="184" t="s">
        <v>2042</v>
      </c>
      <c r="Y187" s="184" t="s">
        <v>2042</v>
      </c>
      <c r="Z187" s="184" t="s">
        <v>2042</v>
      </c>
      <c r="AA187" s="184" t="s">
        <v>2042</v>
      </c>
      <c r="AB187" s="184" t="s">
        <v>2042</v>
      </c>
      <c r="AC187" s="184" t="s">
        <v>2042</v>
      </c>
      <c r="AD187" s="184" t="s">
        <v>2042</v>
      </c>
      <c r="AE187" s="184" t="s">
        <v>2042</v>
      </c>
      <c r="AF187" s="184" t="s">
        <v>2042</v>
      </c>
      <c r="AG187" s="184" t="s">
        <v>2042</v>
      </c>
      <c r="AH187" s="184" t="s">
        <v>2042</v>
      </c>
      <c r="AI187" s="184" t="s">
        <v>2042</v>
      </c>
      <c r="AJ187" s="184" t="s">
        <v>2042</v>
      </c>
      <c r="AK187" s="184" t="s">
        <v>2042</v>
      </c>
      <c r="AL187" s="184" t="s">
        <v>2042</v>
      </c>
      <c r="AM187" s="184" t="s">
        <v>2042</v>
      </c>
      <c r="AN187" s="184" t="s">
        <v>2042</v>
      </c>
      <c r="AO187" s="184" t="s">
        <v>2042</v>
      </c>
      <c r="AP187" s="184" t="s">
        <v>2042</v>
      </c>
      <c r="AQ187" s="175"/>
    </row>
    <row r="188" spans="1:43" ht="14.5">
      <c r="A188" s="169"/>
      <c r="B188" s="170"/>
      <c r="C188" s="176"/>
      <c r="D188" s="177"/>
      <c r="E188" s="178">
        <v>1</v>
      </c>
      <c r="F188" s="179"/>
      <c r="G188" s="186" t="e">
        <f>IF(C188="","",SUMIFS(MRP!$D$5:$D1000,MRP!$B$5:$B1000,C188))*E188</f>
        <v>#VALUE!</v>
      </c>
      <c r="H188" s="181" t="s">
        <v>2041</v>
      </c>
      <c r="I188" s="182">
        <v>0</v>
      </c>
      <c r="J188" s="183" t="s">
        <v>2042</v>
      </c>
      <c r="K188" s="187" t="s">
        <v>2042</v>
      </c>
      <c r="L188" s="187" t="s">
        <v>2042</v>
      </c>
      <c r="M188" s="187" t="s">
        <v>2042</v>
      </c>
      <c r="N188" s="187" t="s">
        <v>2042</v>
      </c>
      <c r="O188" s="187" t="s">
        <v>2042</v>
      </c>
      <c r="P188" s="187" t="s">
        <v>2042</v>
      </c>
      <c r="Q188" s="185" t="s">
        <v>2042</v>
      </c>
      <c r="R188" s="185" t="s">
        <v>2042</v>
      </c>
      <c r="S188" s="185" t="s">
        <v>2042</v>
      </c>
      <c r="T188" s="185" t="s">
        <v>2042</v>
      </c>
      <c r="U188" s="185" t="s">
        <v>2042</v>
      </c>
      <c r="V188" s="185" t="s">
        <v>2042</v>
      </c>
      <c r="W188" s="185" t="s">
        <v>2042</v>
      </c>
      <c r="X188" s="185" t="s">
        <v>2042</v>
      </c>
      <c r="Y188" s="185" t="s">
        <v>2042</v>
      </c>
      <c r="Z188" s="185" t="s">
        <v>2042</v>
      </c>
      <c r="AA188" s="185" t="s">
        <v>2042</v>
      </c>
      <c r="AB188" s="185" t="s">
        <v>2042</v>
      </c>
      <c r="AC188" s="185" t="s">
        <v>2042</v>
      </c>
      <c r="AD188" s="185" t="s">
        <v>2042</v>
      </c>
      <c r="AE188" s="185" t="s">
        <v>2042</v>
      </c>
      <c r="AF188" s="185" t="s">
        <v>2042</v>
      </c>
      <c r="AG188" s="185" t="s">
        <v>2042</v>
      </c>
      <c r="AH188" s="185" t="s">
        <v>2042</v>
      </c>
      <c r="AI188" s="187" t="s">
        <v>2042</v>
      </c>
      <c r="AJ188" s="187" t="s">
        <v>2042</v>
      </c>
      <c r="AK188" s="187" t="s">
        <v>2042</v>
      </c>
      <c r="AL188" s="187" t="s">
        <v>2042</v>
      </c>
      <c r="AM188" s="187" t="s">
        <v>2042</v>
      </c>
      <c r="AN188" s="187" t="s">
        <v>2042</v>
      </c>
      <c r="AO188" s="187" t="s">
        <v>2042</v>
      </c>
      <c r="AP188" s="187" t="s">
        <v>2042</v>
      </c>
      <c r="AQ188" s="175"/>
    </row>
    <row r="189" spans="1:43" ht="14.5">
      <c r="A189" s="169"/>
      <c r="B189" s="170"/>
      <c r="C189" s="176"/>
      <c r="D189" s="177"/>
      <c r="E189" s="178">
        <v>1</v>
      </c>
      <c r="F189" s="179"/>
      <c r="G189" s="186" t="e">
        <f>IF(C189="","",SUMIFS(MRP!$D$5:$D1000,MRP!$B$5:$B1000,C189))*E189</f>
        <v>#VALUE!</v>
      </c>
      <c r="H189" s="181" t="s">
        <v>2041</v>
      </c>
      <c r="I189" s="182">
        <v>0</v>
      </c>
      <c r="J189" s="183" t="s">
        <v>2042</v>
      </c>
      <c r="K189" s="184" t="s">
        <v>2042</v>
      </c>
      <c r="L189" s="184" t="s">
        <v>2042</v>
      </c>
      <c r="M189" s="184" t="s">
        <v>2042</v>
      </c>
      <c r="N189" s="184" t="s">
        <v>2042</v>
      </c>
      <c r="O189" s="184" t="s">
        <v>2042</v>
      </c>
      <c r="P189" s="184" t="s">
        <v>2042</v>
      </c>
      <c r="Q189" s="184" t="s">
        <v>2042</v>
      </c>
      <c r="R189" s="184" t="s">
        <v>2042</v>
      </c>
      <c r="S189" s="184" t="s">
        <v>2042</v>
      </c>
      <c r="T189" s="184" t="s">
        <v>2042</v>
      </c>
      <c r="U189" s="184" t="s">
        <v>2042</v>
      </c>
      <c r="V189" s="184" t="s">
        <v>2042</v>
      </c>
      <c r="W189" s="184" t="s">
        <v>2042</v>
      </c>
      <c r="X189" s="184" t="s">
        <v>2042</v>
      </c>
      <c r="Y189" s="184" t="s">
        <v>2042</v>
      </c>
      <c r="Z189" s="184" t="s">
        <v>2042</v>
      </c>
      <c r="AA189" s="184" t="s">
        <v>2042</v>
      </c>
      <c r="AB189" s="184" t="s">
        <v>2042</v>
      </c>
      <c r="AC189" s="184" t="s">
        <v>2042</v>
      </c>
      <c r="AD189" s="184" t="s">
        <v>2042</v>
      </c>
      <c r="AE189" s="184" t="s">
        <v>2042</v>
      </c>
      <c r="AF189" s="184" t="s">
        <v>2042</v>
      </c>
      <c r="AG189" s="184" t="s">
        <v>2042</v>
      </c>
      <c r="AH189" s="184" t="s">
        <v>2042</v>
      </c>
      <c r="AI189" s="184" t="s">
        <v>2042</v>
      </c>
      <c r="AJ189" s="184" t="s">
        <v>2042</v>
      </c>
      <c r="AK189" s="184" t="s">
        <v>2042</v>
      </c>
      <c r="AL189" s="184" t="s">
        <v>2042</v>
      </c>
      <c r="AM189" s="184" t="s">
        <v>2042</v>
      </c>
      <c r="AN189" s="184" t="s">
        <v>2042</v>
      </c>
      <c r="AO189" s="184" t="s">
        <v>2042</v>
      </c>
      <c r="AP189" s="184" t="s">
        <v>2042</v>
      </c>
      <c r="AQ189" s="175"/>
    </row>
    <row r="190" spans="1:43" ht="14.5">
      <c r="A190" s="169"/>
      <c r="B190" s="170"/>
      <c r="C190" s="176"/>
      <c r="D190" s="177"/>
      <c r="E190" s="178">
        <v>1</v>
      </c>
      <c r="F190" s="179"/>
      <c r="G190" s="186" t="e">
        <f>IF(C190="","",SUMIFS(MRP!$D$5:$D1000,MRP!$B$5:$B1000,C190))*E190</f>
        <v>#VALUE!</v>
      </c>
      <c r="H190" s="181" t="s">
        <v>2041</v>
      </c>
      <c r="I190" s="182">
        <v>0</v>
      </c>
      <c r="J190" s="183" t="s">
        <v>2042</v>
      </c>
      <c r="K190" s="184" t="s">
        <v>2042</v>
      </c>
      <c r="L190" s="185" t="s">
        <v>2042</v>
      </c>
      <c r="M190" s="184" t="s">
        <v>2042</v>
      </c>
      <c r="N190" s="184" t="s">
        <v>2042</v>
      </c>
      <c r="O190" s="185" t="s">
        <v>2042</v>
      </c>
      <c r="P190" s="185" t="s">
        <v>2042</v>
      </c>
      <c r="Q190" s="185" t="s">
        <v>2042</v>
      </c>
      <c r="R190" s="185" t="s">
        <v>2042</v>
      </c>
      <c r="S190" s="185" t="s">
        <v>2042</v>
      </c>
      <c r="T190" s="185" t="s">
        <v>2042</v>
      </c>
      <c r="U190" s="185" t="s">
        <v>2042</v>
      </c>
      <c r="V190" s="185" t="s">
        <v>2042</v>
      </c>
      <c r="W190" s="185" t="s">
        <v>2042</v>
      </c>
      <c r="X190" s="185" t="s">
        <v>2042</v>
      </c>
      <c r="Y190" s="185" t="s">
        <v>2042</v>
      </c>
      <c r="Z190" s="185" t="s">
        <v>2042</v>
      </c>
      <c r="AA190" s="185" t="s">
        <v>2042</v>
      </c>
      <c r="AB190" s="185" t="s">
        <v>2042</v>
      </c>
      <c r="AC190" s="185" t="s">
        <v>2042</v>
      </c>
      <c r="AD190" s="185" t="s">
        <v>2042</v>
      </c>
      <c r="AE190" s="185" t="s">
        <v>2042</v>
      </c>
      <c r="AF190" s="185" t="s">
        <v>2042</v>
      </c>
      <c r="AG190" s="185" t="s">
        <v>2042</v>
      </c>
      <c r="AH190" s="185" t="s">
        <v>2042</v>
      </c>
      <c r="AI190" s="185" t="s">
        <v>2042</v>
      </c>
      <c r="AJ190" s="185" t="s">
        <v>2042</v>
      </c>
      <c r="AK190" s="185" t="s">
        <v>2042</v>
      </c>
      <c r="AL190" s="185" t="s">
        <v>2042</v>
      </c>
      <c r="AM190" s="185" t="s">
        <v>2042</v>
      </c>
      <c r="AN190" s="185" t="s">
        <v>2042</v>
      </c>
      <c r="AO190" s="185" t="s">
        <v>2042</v>
      </c>
      <c r="AP190" s="185" t="s">
        <v>2042</v>
      </c>
      <c r="AQ190" s="175"/>
    </row>
    <row r="191" spans="1:43" ht="14.5">
      <c r="A191" s="169"/>
      <c r="B191" s="170"/>
      <c r="C191" s="176"/>
      <c r="D191" s="177"/>
      <c r="E191" s="178">
        <v>1</v>
      </c>
      <c r="F191" s="179"/>
      <c r="G191" s="186" t="e">
        <f>IF(C191="","",SUMIFS(MRP!$D$5:$D1000,MRP!$B$5:$B1000,C191))*E191</f>
        <v>#VALUE!</v>
      </c>
      <c r="H191" s="181" t="s">
        <v>2041</v>
      </c>
      <c r="I191" s="182">
        <v>0</v>
      </c>
      <c r="J191" s="183" t="s">
        <v>2042</v>
      </c>
      <c r="K191" s="184" t="s">
        <v>2042</v>
      </c>
      <c r="L191" s="188" t="s">
        <v>2042</v>
      </c>
      <c r="M191" s="188" t="s">
        <v>2042</v>
      </c>
      <c r="N191" s="188" t="s">
        <v>2042</v>
      </c>
      <c r="O191" s="188" t="s">
        <v>2042</v>
      </c>
      <c r="P191" s="188" t="s">
        <v>2042</v>
      </c>
      <c r="Q191" s="188" t="s">
        <v>2042</v>
      </c>
      <c r="R191" s="188" t="s">
        <v>2042</v>
      </c>
      <c r="S191" s="188" t="s">
        <v>2042</v>
      </c>
      <c r="T191" s="188" t="s">
        <v>2042</v>
      </c>
      <c r="U191" s="188" t="s">
        <v>2042</v>
      </c>
      <c r="V191" s="188" t="s">
        <v>2042</v>
      </c>
      <c r="W191" s="184" t="s">
        <v>2042</v>
      </c>
      <c r="X191" s="184" t="s">
        <v>2042</v>
      </c>
      <c r="Y191" s="188" t="s">
        <v>2042</v>
      </c>
      <c r="Z191" s="188" t="s">
        <v>2042</v>
      </c>
      <c r="AA191" s="188" t="s">
        <v>2042</v>
      </c>
      <c r="AB191" s="185" t="s">
        <v>2042</v>
      </c>
      <c r="AC191" s="185" t="s">
        <v>2042</v>
      </c>
      <c r="AD191" s="185" t="s">
        <v>2042</v>
      </c>
      <c r="AE191" s="185" t="s">
        <v>2042</v>
      </c>
      <c r="AF191" s="185" t="s">
        <v>2042</v>
      </c>
      <c r="AG191" s="185" t="s">
        <v>2042</v>
      </c>
      <c r="AH191" s="185" t="s">
        <v>2042</v>
      </c>
      <c r="AI191" s="185" t="s">
        <v>2042</v>
      </c>
      <c r="AJ191" s="185" t="s">
        <v>2042</v>
      </c>
      <c r="AK191" s="185" t="s">
        <v>2042</v>
      </c>
      <c r="AL191" s="185" t="s">
        <v>2042</v>
      </c>
      <c r="AM191" s="185" t="s">
        <v>2042</v>
      </c>
      <c r="AN191" s="185" t="s">
        <v>2042</v>
      </c>
      <c r="AO191" s="185" t="s">
        <v>2042</v>
      </c>
      <c r="AP191" s="185" t="s">
        <v>2042</v>
      </c>
      <c r="AQ191" s="175"/>
    </row>
    <row r="192" spans="1:43" ht="14.5">
      <c r="A192" s="169"/>
      <c r="B192" s="170"/>
      <c r="C192" s="176"/>
      <c r="D192" s="177"/>
      <c r="E192" s="178">
        <v>1</v>
      </c>
      <c r="F192" s="179"/>
      <c r="G192" s="186" t="e">
        <f>IF(C192="","",SUMIFS(MRP!$D$5:$D1000,MRP!$B$5:$B1000,C192))*E192</f>
        <v>#VALUE!</v>
      </c>
      <c r="H192" s="181" t="s">
        <v>2041</v>
      </c>
      <c r="I192" s="182">
        <v>0</v>
      </c>
      <c r="J192" s="183" t="s">
        <v>2042</v>
      </c>
      <c r="K192" s="184" t="s">
        <v>2042</v>
      </c>
      <c r="L192" s="184" t="s">
        <v>2042</v>
      </c>
      <c r="M192" s="184" t="s">
        <v>2042</v>
      </c>
      <c r="N192" s="184" t="s">
        <v>2042</v>
      </c>
      <c r="O192" s="184" t="s">
        <v>2042</v>
      </c>
      <c r="P192" s="184" t="s">
        <v>2042</v>
      </c>
      <c r="Q192" s="184" t="s">
        <v>2042</v>
      </c>
      <c r="R192" s="184" t="s">
        <v>2042</v>
      </c>
      <c r="S192" s="184" t="s">
        <v>2042</v>
      </c>
      <c r="T192" s="184" t="s">
        <v>2042</v>
      </c>
      <c r="U192" s="184" t="s">
        <v>2042</v>
      </c>
      <c r="V192" s="184" t="s">
        <v>2042</v>
      </c>
      <c r="W192" s="184" t="s">
        <v>2042</v>
      </c>
      <c r="X192" s="184" t="s">
        <v>2042</v>
      </c>
      <c r="Y192" s="184" t="s">
        <v>2042</v>
      </c>
      <c r="Z192" s="184" t="s">
        <v>2042</v>
      </c>
      <c r="AA192" s="184" t="s">
        <v>2042</v>
      </c>
      <c r="AB192" s="184" t="s">
        <v>2042</v>
      </c>
      <c r="AC192" s="184" t="s">
        <v>2042</v>
      </c>
      <c r="AD192" s="184" t="s">
        <v>2042</v>
      </c>
      <c r="AE192" s="184" t="s">
        <v>2042</v>
      </c>
      <c r="AF192" s="184" t="s">
        <v>2042</v>
      </c>
      <c r="AG192" s="184" t="s">
        <v>2042</v>
      </c>
      <c r="AH192" s="184" t="s">
        <v>2042</v>
      </c>
      <c r="AI192" s="184" t="s">
        <v>2042</v>
      </c>
      <c r="AJ192" s="184" t="s">
        <v>2042</v>
      </c>
      <c r="AK192" s="184" t="s">
        <v>2042</v>
      </c>
      <c r="AL192" s="184" t="s">
        <v>2042</v>
      </c>
      <c r="AM192" s="184" t="s">
        <v>2042</v>
      </c>
      <c r="AN192" s="184" t="s">
        <v>2042</v>
      </c>
      <c r="AO192" s="184" t="s">
        <v>2042</v>
      </c>
      <c r="AP192" s="184" t="s">
        <v>2042</v>
      </c>
      <c r="AQ192" s="175"/>
    </row>
    <row r="193" spans="1:43" ht="14.5">
      <c r="A193" s="169"/>
      <c r="B193" s="170"/>
      <c r="C193" s="176"/>
      <c r="D193" s="177"/>
      <c r="E193" s="178">
        <v>1</v>
      </c>
      <c r="F193" s="179"/>
      <c r="G193" s="186" t="e">
        <f>IF(C193="","",SUMIFS(MRP!$D$5:$D1000,MRP!$B$5:$B1000,C193))*E193</f>
        <v>#VALUE!</v>
      </c>
      <c r="H193" s="181" t="s">
        <v>2041</v>
      </c>
      <c r="I193" s="182">
        <v>0</v>
      </c>
      <c r="J193" s="183" t="s">
        <v>2042</v>
      </c>
      <c r="K193" s="184" t="s">
        <v>2042</v>
      </c>
      <c r="L193" s="184" t="s">
        <v>2042</v>
      </c>
      <c r="M193" s="184" t="s">
        <v>2042</v>
      </c>
      <c r="N193" s="184" t="s">
        <v>2042</v>
      </c>
      <c r="O193" s="184" t="s">
        <v>2042</v>
      </c>
      <c r="P193" s="184" t="s">
        <v>2042</v>
      </c>
      <c r="Q193" s="184" t="s">
        <v>2042</v>
      </c>
      <c r="R193" s="184" t="s">
        <v>2042</v>
      </c>
      <c r="S193" s="184" t="s">
        <v>2042</v>
      </c>
      <c r="T193" s="184" t="s">
        <v>2042</v>
      </c>
      <c r="U193" s="184" t="s">
        <v>2042</v>
      </c>
      <c r="V193" s="184" t="s">
        <v>2042</v>
      </c>
      <c r="W193" s="184" t="s">
        <v>2042</v>
      </c>
      <c r="X193" s="184" t="s">
        <v>2042</v>
      </c>
      <c r="Y193" s="184" t="s">
        <v>2042</v>
      </c>
      <c r="Z193" s="184" t="s">
        <v>2042</v>
      </c>
      <c r="AA193" s="184" t="s">
        <v>2042</v>
      </c>
      <c r="AB193" s="185" t="s">
        <v>2042</v>
      </c>
      <c r="AC193" s="185" t="s">
        <v>2042</v>
      </c>
      <c r="AD193" s="185" t="s">
        <v>2042</v>
      </c>
      <c r="AE193" s="185" t="s">
        <v>2042</v>
      </c>
      <c r="AF193" s="185" t="s">
        <v>2042</v>
      </c>
      <c r="AG193" s="185" t="s">
        <v>2042</v>
      </c>
      <c r="AH193" s="185" t="s">
        <v>2042</v>
      </c>
      <c r="AI193" s="185" t="s">
        <v>2042</v>
      </c>
      <c r="AJ193" s="185" t="s">
        <v>2042</v>
      </c>
      <c r="AK193" s="185" t="s">
        <v>2042</v>
      </c>
      <c r="AL193" s="185" t="s">
        <v>2042</v>
      </c>
      <c r="AM193" s="185" t="s">
        <v>2042</v>
      </c>
      <c r="AN193" s="185" t="s">
        <v>2042</v>
      </c>
      <c r="AO193" s="185" t="s">
        <v>2042</v>
      </c>
      <c r="AP193" s="185" t="s">
        <v>2042</v>
      </c>
      <c r="AQ193" s="175"/>
    </row>
    <row r="194" spans="1:43" ht="14.5">
      <c r="A194" s="169"/>
      <c r="B194" s="170"/>
      <c r="C194" s="176"/>
      <c r="D194" s="177"/>
      <c r="E194" s="178">
        <v>1</v>
      </c>
      <c r="F194" s="179"/>
      <c r="G194" s="186" t="e">
        <f>IF(C194="","",SUMIFS(MRP!$D$5:$D1000,MRP!$B$5:$B1000,C194))*E194</f>
        <v>#VALUE!</v>
      </c>
      <c r="H194" s="181" t="s">
        <v>2041</v>
      </c>
      <c r="I194" s="182">
        <v>0</v>
      </c>
      <c r="J194" s="183" t="s">
        <v>2042</v>
      </c>
      <c r="K194" s="184" t="s">
        <v>2042</v>
      </c>
      <c r="L194" s="184" t="s">
        <v>2042</v>
      </c>
      <c r="M194" s="184" t="s">
        <v>2042</v>
      </c>
      <c r="N194" s="184" t="s">
        <v>2042</v>
      </c>
      <c r="O194" s="184" t="s">
        <v>2042</v>
      </c>
      <c r="P194" s="184" t="s">
        <v>2042</v>
      </c>
      <c r="Q194" s="184" t="s">
        <v>2042</v>
      </c>
      <c r="R194" s="184" t="s">
        <v>2042</v>
      </c>
      <c r="S194" s="184" t="s">
        <v>2042</v>
      </c>
      <c r="T194" s="184" t="s">
        <v>2042</v>
      </c>
      <c r="U194" s="184" t="s">
        <v>2042</v>
      </c>
      <c r="V194" s="184" t="s">
        <v>2042</v>
      </c>
      <c r="W194" s="184" t="s">
        <v>2042</v>
      </c>
      <c r="X194" s="184" t="s">
        <v>2042</v>
      </c>
      <c r="Y194" s="184" t="s">
        <v>2042</v>
      </c>
      <c r="Z194" s="184" t="s">
        <v>2042</v>
      </c>
      <c r="AA194" s="184" t="s">
        <v>2042</v>
      </c>
      <c r="AB194" s="184" t="s">
        <v>2042</v>
      </c>
      <c r="AC194" s="184" t="s">
        <v>2042</v>
      </c>
      <c r="AD194" s="184" t="s">
        <v>2042</v>
      </c>
      <c r="AE194" s="184" t="s">
        <v>2042</v>
      </c>
      <c r="AF194" s="184" t="s">
        <v>2042</v>
      </c>
      <c r="AG194" s="184" t="s">
        <v>2042</v>
      </c>
      <c r="AH194" s="184" t="s">
        <v>2042</v>
      </c>
      <c r="AI194" s="184" t="s">
        <v>2042</v>
      </c>
      <c r="AJ194" s="184" t="s">
        <v>2042</v>
      </c>
      <c r="AK194" s="184" t="s">
        <v>2042</v>
      </c>
      <c r="AL194" s="184" t="s">
        <v>2042</v>
      </c>
      <c r="AM194" s="184" t="s">
        <v>2042</v>
      </c>
      <c r="AN194" s="184" t="s">
        <v>2042</v>
      </c>
      <c r="AO194" s="184" t="s">
        <v>2042</v>
      </c>
      <c r="AP194" s="184" t="s">
        <v>2042</v>
      </c>
      <c r="AQ194" s="175"/>
    </row>
    <row r="195" spans="1:43" ht="14.5">
      <c r="A195" s="169"/>
      <c r="B195" s="170"/>
      <c r="C195" s="176"/>
      <c r="D195" s="177"/>
      <c r="E195" s="178">
        <v>1</v>
      </c>
      <c r="F195" s="179"/>
      <c r="G195" s="186" t="e">
        <f>IF(C195="","",SUMIFS(MRP!$D$5:$D1000,MRP!$B$5:$B1000,C195))*E195</f>
        <v>#VALUE!</v>
      </c>
      <c r="H195" s="181" t="s">
        <v>2041</v>
      </c>
      <c r="I195" s="182">
        <v>0</v>
      </c>
      <c r="J195" s="183" t="s">
        <v>2042</v>
      </c>
      <c r="K195" s="184" t="s">
        <v>2042</v>
      </c>
      <c r="L195" s="184" t="s">
        <v>2042</v>
      </c>
      <c r="M195" s="184" t="s">
        <v>2042</v>
      </c>
      <c r="N195" s="184" t="s">
        <v>2042</v>
      </c>
      <c r="O195" s="184" t="s">
        <v>2042</v>
      </c>
      <c r="P195" s="184" t="s">
        <v>2042</v>
      </c>
      <c r="Q195" s="184" t="s">
        <v>2042</v>
      </c>
      <c r="R195" s="184" t="s">
        <v>2042</v>
      </c>
      <c r="S195" s="184" t="s">
        <v>2042</v>
      </c>
      <c r="T195" s="184" t="s">
        <v>2042</v>
      </c>
      <c r="U195" s="184" t="s">
        <v>2042</v>
      </c>
      <c r="V195" s="184" t="s">
        <v>2042</v>
      </c>
      <c r="W195" s="184" t="s">
        <v>2042</v>
      </c>
      <c r="X195" s="184" t="s">
        <v>2042</v>
      </c>
      <c r="Y195" s="184" t="s">
        <v>2042</v>
      </c>
      <c r="Z195" s="184" t="s">
        <v>2042</v>
      </c>
      <c r="AA195" s="184" t="s">
        <v>2042</v>
      </c>
      <c r="AB195" s="184" t="s">
        <v>2042</v>
      </c>
      <c r="AC195" s="184" t="s">
        <v>2042</v>
      </c>
      <c r="AD195" s="184" t="s">
        <v>2042</v>
      </c>
      <c r="AE195" s="184" t="s">
        <v>2042</v>
      </c>
      <c r="AF195" s="184" t="s">
        <v>2042</v>
      </c>
      <c r="AG195" s="184" t="s">
        <v>2042</v>
      </c>
      <c r="AH195" s="184" t="s">
        <v>2042</v>
      </c>
      <c r="AI195" s="184" t="s">
        <v>2042</v>
      </c>
      <c r="AJ195" s="184" t="s">
        <v>2042</v>
      </c>
      <c r="AK195" s="184" t="s">
        <v>2042</v>
      </c>
      <c r="AL195" s="184" t="s">
        <v>2042</v>
      </c>
      <c r="AM195" s="184" t="s">
        <v>2042</v>
      </c>
      <c r="AN195" s="184" t="s">
        <v>2042</v>
      </c>
      <c r="AO195" s="184" t="s">
        <v>2042</v>
      </c>
      <c r="AP195" s="184" t="s">
        <v>2042</v>
      </c>
      <c r="AQ195" s="175"/>
    </row>
    <row r="196" spans="1:43" ht="14.5">
      <c r="A196" s="169"/>
      <c r="B196" s="170"/>
      <c r="C196" s="176"/>
      <c r="D196" s="177"/>
      <c r="E196" s="178">
        <v>1</v>
      </c>
      <c r="F196" s="179"/>
      <c r="G196" s="186" t="e">
        <f>IF(C196="","",SUMIFS(MRP!$D$5:$D1000,MRP!$B$5:$B1000,C196))*E196</f>
        <v>#VALUE!</v>
      </c>
      <c r="H196" s="181" t="s">
        <v>2041</v>
      </c>
      <c r="I196" s="182">
        <v>0</v>
      </c>
      <c r="J196" s="183" t="s">
        <v>2042</v>
      </c>
      <c r="K196" s="184" t="s">
        <v>2042</v>
      </c>
      <c r="L196" s="184" t="s">
        <v>2042</v>
      </c>
      <c r="M196" s="184" t="s">
        <v>2042</v>
      </c>
      <c r="N196" s="184" t="s">
        <v>2042</v>
      </c>
      <c r="O196" s="184" t="s">
        <v>2042</v>
      </c>
      <c r="P196" s="184" t="s">
        <v>2042</v>
      </c>
      <c r="Q196" s="184" t="s">
        <v>2042</v>
      </c>
      <c r="R196" s="184" t="s">
        <v>2042</v>
      </c>
      <c r="S196" s="184" t="s">
        <v>2042</v>
      </c>
      <c r="T196" s="184" t="s">
        <v>2042</v>
      </c>
      <c r="U196" s="184" t="s">
        <v>2042</v>
      </c>
      <c r="V196" s="184" t="s">
        <v>2042</v>
      </c>
      <c r="W196" s="184" t="s">
        <v>2042</v>
      </c>
      <c r="X196" s="184" t="s">
        <v>2042</v>
      </c>
      <c r="Y196" s="184" t="s">
        <v>2042</v>
      </c>
      <c r="Z196" s="184" t="s">
        <v>2042</v>
      </c>
      <c r="AA196" s="184" t="s">
        <v>2042</v>
      </c>
      <c r="AB196" s="184" t="s">
        <v>2042</v>
      </c>
      <c r="AC196" s="184" t="s">
        <v>2042</v>
      </c>
      <c r="AD196" s="184" t="s">
        <v>2042</v>
      </c>
      <c r="AE196" s="184" t="s">
        <v>2042</v>
      </c>
      <c r="AF196" s="184" t="s">
        <v>2042</v>
      </c>
      <c r="AG196" s="184" t="s">
        <v>2042</v>
      </c>
      <c r="AH196" s="184" t="s">
        <v>2042</v>
      </c>
      <c r="AI196" s="184" t="s">
        <v>2042</v>
      </c>
      <c r="AJ196" s="184" t="s">
        <v>2042</v>
      </c>
      <c r="AK196" s="184" t="s">
        <v>2042</v>
      </c>
      <c r="AL196" s="184" t="s">
        <v>2042</v>
      </c>
      <c r="AM196" s="184" t="s">
        <v>2042</v>
      </c>
      <c r="AN196" s="184" t="s">
        <v>2042</v>
      </c>
      <c r="AO196" s="184" t="s">
        <v>2042</v>
      </c>
      <c r="AP196" s="184" t="s">
        <v>2042</v>
      </c>
      <c r="AQ196" s="175"/>
    </row>
    <row r="197" spans="1:43" ht="14.5">
      <c r="A197" s="169"/>
      <c r="B197" s="170"/>
      <c r="C197" s="176"/>
      <c r="D197" s="177"/>
      <c r="E197" s="178">
        <v>1</v>
      </c>
      <c r="F197" s="179"/>
      <c r="G197" s="186" t="e">
        <f>IF(C197="","",SUMIFS(MRP!$D$5:$D1000,MRP!$B$5:$B1000,C197))*E197</f>
        <v>#VALUE!</v>
      </c>
      <c r="H197" s="181" t="s">
        <v>2041</v>
      </c>
      <c r="I197" s="182">
        <v>0</v>
      </c>
      <c r="J197" s="183" t="s">
        <v>2042</v>
      </c>
      <c r="K197" s="184" t="s">
        <v>2042</v>
      </c>
      <c r="L197" s="184" t="s">
        <v>2042</v>
      </c>
      <c r="M197" s="184" t="s">
        <v>2042</v>
      </c>
      <c r="N197" s="184" t="s">
        <v>2042</v>
      </c>
      <c r="O197" s="184" t="s">
        <v>2042</v>
      </c>
      <c r="P197" s="184" t="s">
        <v>2042</v>
      </c>
      <c r="Q197" s="184" t="s">
        <v>2042</v>
      </c>
      <c r="R197" s="184" t="s">
        <v>2042</v>
      </c>
      <c r="S197" s="184" t="s">
        <v>2042</v>
      </c>
      <c r="T197" s="184" t="s">
        <v>2042</v>
      </c>
      <c r="U197" s="184" t="s">
        <v>2042</v>
      </c>
      <c r="V197" s="184" t="s">
        <v>2042</v>
      </c>
      <c r="W197" s="184" t="s">
        <v>2042</v>
      </c>
      <c r="X197" s="184" t="s">
        <v>2042</v>
      </c>
      <c r="Y197" s="184" t="s">
        <v>2042</v>
      </c>
      <c r="Z197" s="184" t="s">
        <v>2042</v>
      </c>
      <c r="AA197" s="184" t="s">
        <v>2042</v>
      </c>
      <c r="AB197" s="184" t="s">
        <v>2042</v>
      </c>
      <c r="AC197" s="184" t="s">
        <v>2042</v>
      </c>
      <c r="AD197" s="184" t="s">
        <v>2042</v>
      </c>
      <c r="AE197" s="184" t="s">
        <v>2042</v>
      </c>
      <c r="AF197" s="184" t="s">
        <v>2042</v>
      </c>
      <c r="AG197" s="184" t="s">
        <v>2042</v>
      </c>
      <c r="AH197" s="184" t="s">
        <v>2042</v>
      </c>
      <c r="AI197" s="184" t="s">
        <v>2042</v>
      </c>
      <c r="AJ197" s="184" t="s">
        <v>2042</v>
      </c>
      <c r="AK197" s="184" t="s">
        <v>2042</v>
      </c>
      <c r="AL197" s="184" t="s">
        <v>2042</v>
      </c>
      <c r="AM197" s="184" t="s">
        <v>2042</v>
      </c>
      <c r="AN197" s="184" t="s">
        <v>2042</v>
      </c>
      <c r="AO197" s="184" t="s">
        <v>2042</v>
      </c>
      <c r="AP197" s="184" t="s">
        <v>2042</v>
      </c>
      <c r="AQ197" s="175"/>
    </row>
    <row r="198" spans="1:43" ht="14.5">
      <c r="A198" s="169"/>
      <c r="B198" s="170"/>
      <c r="C198" s="176"/>
      <c r="D198" s="177"/>
      <c r="E198" s="178">
        <v>1</v>
      </c>
      <c r="F198" s="179"/>
      <c r="G198" s="186" t="e">
        <f>IF(C198="","",SUMIFS(MRP!$D$5:$D1000,MRP!$B$5:$B1000,C198))*E198</f>
        <v>#VALUE!</v>
      </c>
      <c r="H198" s="181" t="s">
        <v>2041</v>
      </c>
      <c r="I198" s="182">
        <v>0</v>
      </c>
      <c r="J198" s="183" t="s">
        <v>2042</v>
      </c>
      <c r="K198" s="184" t="s">
        <v>2042</v>
      </c>
      <c r="L198" s="184" t="s">
        <v>2042</v>
      </c>
      <c r="M198" s="184" t="s">
        <v>2042</v>
      </c>
      <c r="N198" s="184" t="s">
        <v>2042</v>
      </c>
      <c r="O198" s="184" t="s">
        <v>2042</v>
      </c>
      <c r="P198" s="184" t="s">
        <v>2042</v>
      </c>
      <c r="Q198" s="184" t="s">
        <v>2042</v>
      </c>
      <c r="R198" s="184" t="s">
        <v>2042</v>
      </c>
      <c r="S198" s="184" t="s">
        <v>2042</v>
      </c>
      <c r="T198" s="184" t="s">
        <v>2042</v>
      </c>
      <c r="U198" s="184" t="s">
        <v>2042</v>
      </c>
      <c r="V198" s="184" t="s">
        <v>2042</v>
      </c>
      <c r="W198" s="184" t="s">
        <v>2042</v>
      </c>
      <c r="X198" s="184" t="s">
        <v>2042</v>
      </c>
      <c r="Y198" s="184" t="s">
        <v>2042</v>
      </c>
      <c r="Z198" s="184" t="s">
        <v>2042</v>
      </c>
      <c r="AA198" s="184" t="s">
        <v>2042</v>
      </c>
      <c r="AB198" s="184" t="s">
        <v>2042</v>
      </c>
      <c r="AC198" s="184" t="s">
        <v>2042</v>
      </c>
      <c r="AD198" s="184" t="s">
        <v>2042</v>
      </c>
      <c r="AE198" s="184" t="s">
        <v>2042</v>
      </c>
      <c r="AF198" s="185" t="s">
        <v>2042</v>
      </c>
      <c r="AG198" s="185" t="s">
        <v>2042</v>
      </c>
      <c r="AH198" s="185" t="s">
        <v>2042</v>
      </c>
      <c r="AI198" s="185" t="s">
        <v>2042</v>
      </c>
      <c r="AJ198" s="185" t="s">
        <v>2042</v>
      </c>
      <c r="AK198" s="185" t="s">
        <v>2042</v>
      </c>
      <c r="AL198" s="185" t="s">
        <v>2042</v>
      </c>
      <c r="AM198" s="185" t="s">
        <v>2042</v>
      </c>
      <c r="AN198" s="185" t="s">
        <v>2042</v>
      </c>
      <c r="AO198" s="185" t="s">
        <v>2042</v>
      </c>
      <c r="AP198" s="185" t="s">
        <v>2042</v>
      </c>
      <c r="AQ198" s="175"/>
    </row>
    <row r="199" spans="1:43" ht="14.5">
      <c r="A199" s="169"/>
      <c r="B199" s="170"/>
      <c r="C199" s="176"/>
      <c r="D199" s="177"/>
      <c r="E199" s="178">
        <v>1</v>
      </c>
      <c r="F199" s="179"/>
      <c r="G199" s="186" t="e">
        <f>IF(C199="","",SUMIFS(MRP!$D$5:$D1000,MRP!$B$5:$B1000,C199))*E199</f>
        <v>#VALUE!</v>
      </c>
      <c r="H199" s="181" t="s">
        <v>2041</v>
      </c>
      <c r="I199" s="182">
        <v>0</v>
      </c>
      <c r="J199" s="183" t="s">
        <v>2042</v>
      </c>
      <c r="K199" s="184" t="s">
        <v>2042</v>
      </c>
      <c r="L199" s="184" t="s">
        <v>2042</v>
      </c>
      <c r="M199" s="184" t="s">
        <v>2042</v>
      </c>
      <c r="N199" s="184" t="s">
        <v>2042</v>
      </c>
      <c r="O199" s="184" t="s">
        <v>2042</v>
      </c>
      <c r="P199" s="184" t="s">
        <v>2042</v>
      </c>
      <c r="Q199" s="184" t="s">
        <v>2042</v>
      </c>
      <c r="R199" s="184" t="s">
        <v>2042</v>
      </c>
      <c r="S199" s="184" t="s">
        <v>2042</v>
      </c>
      <c r="T199" s="184" t="s">
        <v>2042</v>
      </c>
      <c r="U199" s="184" t="s">
        <v>2042</v>
      </c>
      <c r="V199" s="184" t="s">
        <v>2042</v>
      </c>
      <c r="W199" s="184" t="s">
        <v>2042</v>
      </c>
      <c r="X199" s="184" t="s">
        <v>2042</v>
      </c>
      <c r="Y199" s="184" t="s">
        <v>2042</v>
      </c>
      <c r="Z199" s="184" t="s">
        <v>2042</v>
      </c>
      <c r="AA199" s="184" t="s">
        <v>2042</v>
      </c>
      <c r="AB199" s="184" t="s">
        <v>2042</v>
      </c>
      <c r="AC199" s="184" t="s">
        <v>2042</v>
      </c>
      <c r="AD199" s="184" t="s">
        <v>2042</v>
      </c>
      <c r="AE199" s="184" t="s">
        <v>2042</v>
      </c>
      <c r="AF199" s="184" t="s">
        <v>2042</v>
      </c>
      <c r="AG199" s="184" t="s">
        <v>2042</v>
      </c>
      <c r="AH199" s="184" t="s">
        <v>2042</v>
      </c>
      <c r="AI199" s="184" t="s">
        <v>2042</v>
      </c>
      <c r="AJ199" s="184" t="s">
        <v>2042</v>
      </c>
      <c r="AK199" s="184" t="s">
        <v>2042</v>
      </c>
      <c r="AL199" s="184" t="s">
        <v>2042</v>
      </c>
      <c r="AM199" s="184" t="s">
        <v>2042</v>
      </c>
      <c r="AN199" s="184" t="s">
        <v>2042</v>
      </c>
      <c r="AO199" s="184" t="s">
        <v>2042</v>
      </c>
      <c r="AP199" s="184" t="s">
        <v>2042</v>
      </c>
      <c r="AQ199" s="175"/>
    </row>
    <row r="200" spans="1:43" ht="14.5">
      <c r="A200" s="169"/>
      <c r="B200" s="170"/>
      <c r="C200" s="176"/>
      <c r="D200" s="177"/>
      <c r="E200" s="178">
        <v>1</v>
      </c>
      <c r="F200" s="179"/>
      <c r="G200" s="186" t="e">
        <f>IF(C200="","",SUMIFS(MRP!$D$5:$D1000,MRP!$B$5:$B1000,C200))*E200</f>
        <v>#VALUE!</v>
      </c>
      <c r="H200" s="181" t="s">
        <v>2041</v>
      </c>
      <c r="I200" s="182">
        <v>0</v>
      </c>
      <c r="J200" s="183" t="s">
        <v>2042</v>
      </c>
      <c r="K200" s="187" t="s">
        <v>2042</v>
      </c>
      <c r="L200" s="187" t="s">
        <v>2042</v>
      </c>
      <c r="M200" s="187" t="s">
        <v>2042</v>
      </c>
      <c r="N200" s="187" t="s">
        <v>2042</v>
      </c>
      <c r="O200" s="187" t="s">
        <v>2042</v>
      </c>
      <c r="P200" s="184" t="s">
        <v>2042</v>
      </c>
      <c r="Q200" s="184" t="s">
        <v>2042</v>
      </c>
      <c r="R200" s="184" t="s">
        <v>2042</v>
      </c>
      <c r="S200" s="184" t="s">
        <v>2042</v>
      </c>
      <c r="T200" s="184" t="s">
        <v>2042</v>
      </c>
      <c r="U200" s="184" t="s">
        <v>2042</v>
      </c>
      <c r="V200" s="184" t="s">
        <v>2042</v>
      </c>
      <c r="W200" s="184" t="s">
        <v>2042</v>
      </c>
      <c r="X200" s="184" t="s">
        <v>2042</v>
      </c>
      <c r="Y200" s="184" t="s">
        <v>2042</v>
      </c>
      <c r="Z200" s="184" t="s">
        <v>2042</v>
      </c>
      <c r="AA200" s="184" t="s">
        <v>2042</v>
      </c>
      <c r="AB200" s="184" t="s">
        <v>2042</v>
      </c>
      <c r="AC200" s="184" t="s">
        <v>2042</v>
      </c>
      <c r="AD200" s="184" t="s">
        <v>2042</v>
      </c>
      <c r="AE200" s="184" t="s">
        <v>2042</v>
      </c>
      <c r="AF200" s="184" t="s">
        <v>2042</v>
      </c>
      <c r="AG200" s="184" t="s">
        <v>2042</v>
      </c>
      <c r="AH200" s="184" t="s">
        <v>2042</v>
      </c>
      <c r="AI200" s="184" t="s">
        <v>2042</v>
      </c>
      <c r="AJ200" s="184" t="s">
        <v>2042</v>
      </c>
      <c r="AK200" s="184" t="s">
        <v>2042</v>
      </c>
      <c r="AL200" s="184" t="s">
        <v>2042</v>
      </c>
      <c r="AM200" s="184" t="s">
        <v>2042</v>
      </c>
      <c r="AN200" s="184" t="s">
        <v>2042</v>
      </c>
      <c r="AO200" s="184" t="s">
        <v>2042</v>
      </c>
      <c r="AP200" s="184" t="s">
        <v>2042</v>
      </c>
      <c r="AQ200" s="175"/>
    </row>
    <row r="201" spans="1:43" ht="14.5">
      <c r="A201" s="169"/>
      <c r="B201" s="170"/>
      <c r="C201" s="176"/>
      <c r="D201" s="177"/>
      <c r="E201" s="178">
        <v>1</v>
      </c>
      <c r="F201" s="179"/>
      <c r="G201" s="186" t="e">
        <f>IF(C201="","",SUMIFS(MRP!$D$5:$D1000,MRP!$B$5:$B1000,C201))*E201</f>
        <v>#VALUE!</v>
      </c>
      <c r="H201" s="181" t="s">
        <v>2041</v>
      </c>
      <c r="I201" s="182">
        <v>0</v>
      </c>
      <c r="J201" s="183" t="s">
        <v>2042</v>
      </c>
      <c r="K201" s="184" t="s">
        <v>2042</v>
      </c>
      <c r="L201" s="184" t="s">
        <v>2042</v>
      </c>
      <c r="M201" s="184" t="s">
        <v>2042</v>
      </c>
      <c r="N201" s="184" t="s">
        <v>2042</v>
      </c>
      <c r="O201" s="184" t="s">
        <v>2042</v>
      </c>
      <c r="P201" s="184" t="s">
        <v>2042</v>
      </c>
      <c r="Q201" s="184" t="s">
        <v>2042</v>
      </c>
      <c r="R201" s="184" t="s">
        <v>2042</v>
      </c>
      <c r="S201" s="184" t="s">
        <v>2042</v>
      </c>
      <c r="T201" s="184" t="s">
        <v>2042</v>
      </c>
      <c r="U201" s="184" t="s">
        <v>2042</v>
      </c>
      <c r="V201" s="184" t="s">
        <v>2042</v>
      </c>
      <c r="W201" s="184" t="s">
        <v>2042</v>
      </c>
      <c r="X201" s="184" t="s">
        <v>2042</v>
      </c>
      <c r="Y201" s="184" t="s">
        <v>2042</v>
      </c>
      <c r="Z201" s="184" t="s">
        <v>2042</v>
      </c>
      <c r="AA201" s="184" t="s">
        <v>2042</v>
      </c>
      <c r="AB201" s="184" t="s">
        <v>2042</v>
      </c>
      <c r="AC201" s="184" t="s">
        <v>2042</v>
      </c>
      <c r="AD201" s="184" t="s">
        <v>2042</v>
      </c>
      <c r="AE201" s="184" t="s">
        <v>2042</v>
      </c>
      <c r="AF201" s="184" t="s">
        <v>2042</v>
      </c>
      <c r="AG201" s="184" t="s">
        <v>2042</v>
      </c>
      <c r="AH201" s="184" t="s">
        <v>2042</v>
      </c>
      <c r="AI201" s="184" t="s">
        <v>2042</v>
      </c>
      <c r="AJ201" s="184" t="s">
        <v>2042</v>
      </c>
      <c r="AK201" s="184" t="s">
        <v>2042</v>
      </c>
      <c r="AL201" s="184" t="s">
        <v>2042</v>
      </c>
      <c r="AM201" s="184" t="s">
        <v>2042</v>
      </c>
      <c r="AN201" s="184" t="s">
        <v>2042</v>
      </c>
      <c r="AO201" s="184" t="s">
        <v>2042</v>
      </c>
      <c r="AP201" s="184" t="s">
        <v>2042</v>
      </c>
      <c r="AQ201" s="175"/>
    </row>
    <row r="202" spans="1:43" ht="14.5">
      <c r="A202" s="169"/>
      <c r="B202" s="170"/>
      <c r="C202" s="176"/>
      <c r="D202" s="177"/>
      <c r="E202" s="178">
        <v>1</v>
      </c>
      <c r="F202" s="179"/>
      <c r="G202" s="186" t="e">
        <f>IF(C202="","",SUMIFS(MRP!$D$5:$D1000,MRP!$B$5:$B1000,C202))*E202</f>
        <v>#VALUE!</v>
      </c>
      <c r="H202" s="181" t="s">
        <v>2041</v>
      </c>
      <c r="I202" s="182">
        <v>0</v>
      </c>
      <c r="J202" s="183" t="s">
        <v>2042</v>
      </c>
      <c r="K202" s="185" t="s">
        <v>2042</v>
      </c>
      <c r="L202" s="185" t="s">
        <v>2042</v>
      </c>
      <c r="M202" s="185" t="s">
        <v>2042</v>
      </c>
      <c r="N202" s="185" t="s">
        <v>2042</v>
      </c>
      <c r="O202" s="185" t="s">
        <v>2042</v>
      </c>
      <c r="P202" s="185" t="s">
        <v>2042</v>
      </c>
      <c r="Q202" s="185" t="s">
        <v>2042</v>
      </c>
      <c r="R202" s="185" t="s">
        <v>2042</v>
      </c>
      <c r="S202" s="185" t="s">
        <v>2042</v>
      </c>
      <c r="T202" s="185" t="s">
        <v>2042</v>
      </c>
      <c r="U202" s="185" t="s">
        <v>2042</v>
      </c>
      <c r="V202" s="185" t="s">
        <v>2042</v>
      </c>
      <c r="W202" s="185" t="s">
        <v>2042</v>
      </c>
      <c r="X202" s="185" t="s">
        <v>2042</v>
      </c>
      <c r="Y202" s="185" t="s">
        <v>2042</v>
      </c>
      <c r="Z202" s="185" t="s">
        <v>2042</v>
      </c>
      <c r="AA202" s="185" t="s">
        <v>2042</v>
      </c>
      <c r="AB202" s="185" t="s">
        <v>2042</v>
      </c>
      <c r="AC202" s="185" t="s">
        <v>2042</v>
      </c>
      <c r="AD202" s="187" t="s">
        <v>2042</v>
      </c>
      <c r="AE202" s="187" t="s">
        <v>2042</v>
      </c>
      <c r="AF202" s="187" t="s">
        <v>2042</v>
      </c>
      <c r="AG202" s="187" t="s">
        <v>2042</v>
      </c>
      <c r="AH202" s="187" t="s">
        <v>2042</v>
      </c>
      <c r="AI202" s="187" t="s">
        <v>2042</v>
      </c>
      <c r="AJ202" s="187" t="s">
        <v>2042</v>
      </c>
      <c r="AK202" s="187" t="s">
        <v>2042</v>
      </c>
      <c r="AL202" s="187" t="s">
        <v>2042</v>
      </c>
      <c r="AM202" s="187" t="s">
        <v>2042</v>
      </c>
      <c r="AN202" s="187" t="s">
        <v>2042</v>
      </c>
      <c r="AO202" s="187" t="s">
        <v>2042</v>
      </c>
      <c r="AP202" s="187" t="s">
        <v>2042</v>
      </c>
      <c r="AQ202" s="175"/>
    </row>
    <row r="203" spans="1:43" ht="14.5">
      <c r="A203" s="169"/>
      <c r="B203" s="170"/>
      <c r="C203" s="176"/>
      <c r="D203" s="177"/>
      <c r="E203" s="178">
        <v>1</v>
      </c>
      <c r="F203" s="179"/>
      <c r="G203" s="186" t="e">
        <f>IF(C203="","",SUMIFS(MRP!$D$5:$D1000,MRP!$B$5:$B1000,C203))*E203</f>
        <v>#VALUE!</v>
      </c>
      <c r="H203" s="181" t="s">
        <v>2041</v>
      </c>
      <c r="I203" s="182">
        <v>0</v>
      </c>
      <c r="J203" s="183" t="s">
        <v>2042</v>
      </c>
      <c r="K203" s="184" t="s">
        <v>2042</v>
      </c>
      <c r="L203" s="184" t="s">
        <v>2042</v>
      </c>
      <c r="M203" s="184" t="s">
        <v>2042</v>
      </c>
      <c r="N203" s="184" t="s">
        <v>2042</v>
      </c>
      <c r="O203" s="184" t="s">
        <v>2042</v>
      </c>
      <c r="P203" s="184" t="s">
        <v>2042</v>
      </c>
      <c r="Q203" s="187" t="s">
        <v>2042</v>
      </c>
      <c r="R203" s="187" t="s">
        <v>2042</v>
      </c>
      <c r="S203" s="187" t="s">
        <v>2042</v>
      </c>
      <c r="T203" s="187" t="s">
        <v>2042</v>
      </c>
      <c r="U203" s="187" t="s">
        <v>2042</v>
      </c>
      <c r="V203" s="187" t="s">
        <v>2042</v>
      </c>
      <c r="W203" s="187" t="s">
        <v>2042</v>
      </c>
      <c r="X203" s="187" t="s">
        <v>2042</v>
      </c>
      <c r="Y203" s="187" t="s">
        <v>2042</v>
      </c>
      <c r="Z203" s="187" t="s">
        <v>2042</v>
      </c>
      <c r="AA203" s="187" t="s">
        <v>2042</v>
      </c>
      <c r="AB203" s="185" t="s">
        <v>2042</v>
      </c>
      <c r="AC203" s="185" t="s">
        <v>2042</v>
      </c>
      <c r="AD203" s="185" t="s">
        <v>2042</v>
      </c>
      <c r="AE203" s="185" t="s">
        <v>2042</v>
      </c>
      <c r="AF203" s="185" t="s">
        <v>2042</v>
      </c>
      <c r="AG203" s="185" t="s">
        <v>2042</v>
      </c>
      <c r="AH203" s="184" t="s">
        <v>2042</v>
      </c>
      <c r="AI203" s="184" t="s">
        <v>2042</v>
      </c>
      <c r="AJ203" s="184" t="s">
        <v>2042</v>
      </c>
      <c r="AK203" s="184" t="s">
        <v>2042</v>
      </c>
      <c r="AL203" s="184" t="s">
        <v>2042</v>
      </c>
      <c r="AM203" s="184" t="s">
        <v>2042</v>
      </c>
      <c r="AN203" s="184" t="s">
        <v>2042</v>
      </c>
      <c r="AO203" s="184" t="s">
        <v>2042</v>
      </c>
      <c r="AP203" s="184" t="s">
        <v>2042</v>
      </c>
      <c r="AQ203" s="175"/>
    </row>
    <row r="204" spans="1:43" ht="14.5">
      <c r="A204" s="169"/>
      <c r="B204" s="170"/>
      <c r="C204" s="176"/>
      <c r="D204" s="177"/>
      <c r="E204" s="178">
        <v>1</v>
      </c>
      <c r="F204" s="179"/>
      <c r="G204" s="186" t="e">
        <f>IF(C204="","",SUMIFS(MRP!$D$5:$D1000,MRP!$B$5:$B1000,C204))*E204</f>
        <v>#VALUE!</v>
      </c>
      <c r="H204" s="181" t="s">
        <v>2041</v>
      </c>
      <c r="I204" s="182">
        <v>0</v>
      </c>
      <c r="J204" s="183" t="s">
        <v>2042</v>
      </c>
      <c r="K204" s="184" t="s">
        <v>2042</v>
      </c>
      <c r="L204" s="184" t="s">
        <v>2042</v>
      </c>
      <c r="M204" s="184" t="s">
        <v>2042</v>
      </c>
      <c r="N204" s="184" t="s">
        <v>2042</v>
      </c>
      <c r="O204" s="184" t="s">
        <v>2042</v>
      </c>
      <c r="P204" s="184" t="s">
        <v>2042</v>
      </c>
      <c r="Q204" s="184" t="s">
        <v>2042</v>
      </c>
      <c r="R204" s="184" t="s">
        <v>2042</v>
      </c>
      <c r="S204" s="184" t="s">
        <v>2042</v>
      </c>
      <c r="T204" s="184" t="s">
        <v>2042</v>
      </c>
      <c r="U204" s="184" t="s">
        <v>2042</v>
      </c>
      <c r="V204" s="184" t="s">
        <v>2042</v>
      </c>
      <c r="W204" s="184" t="s">
        <v>2042</v>
      </c>
      <c r="X204" s="184" t="s">
        <v>2042</v>
      </c>
      <c r="Y204" s="184" t="s">
        <v>2042</v>
      </c>
      <c r="Z204" s="184" t="s">
        <v>2042</v>
      </c>
      <c r="AA204" s="184" t="s">
        <v>2042</v>
      </c>
      <c r="AB204" s="184" t="s">
        <v>2042</v>
      </c>
      <c r="AC204" s="184" t="s">
        <v>2042</v>
      </c>
      <c r="AD204" s="184" t="s">
        <v>2042</v>
      </c>
      <c r="AE204" s="184" t="s">
        <v>2042</v>
      </c>
      <c r="AF204" s="184" t="s">
        <v>2042</v>
      </c>
      <c r="AG204" s="184" t="s">
        <v>2042</v>
      </c>
      <c r="AH204" s="184" t="s">
        <v>2042</v>
      </c>
      <c r="AI204" s="184" t="s">
        <v>2042</v>
      </c>
      <c r="AJ204" s="184" t="s">
        <v>2042</v>
      </c>
      <c r="AK204" s="184" t="s">
        <v>2042</v>
      </c>
      <c r="AL204" s="184" t="s">
        <v>2042</v>
      </c>
      <c r="AM204" s="184" t="s">
        <v>2042</v>
      </c>
      <c r="AN204" s="184" t="s">
        <v>2042</v>
      </c>
      <c r="AO204" s="184" t="s">
        <v>2042</v>
      </c>
      <c r="AP204" s="184" t="s">
        <v>2042</v>
      </c>
      <c r="AQ204" s="175"/>
    </row>
    <row r="205" spans="1:43" ht="14.5">
      <c r="A205" s="169"/>
      <c r="B205" s="170"/>
      <c r="C205" s="176"/>
      <c r="D205" s="177"/>
      <c r="E205" s="178">
        <v>1</v>
      </c>
      <c r="F205" s="179"/>
      <c r="G205" s="186" t="e">
        <f>IF(C205="","",SUMIFS(MRP!$D$5:$D1000,MRP!$B$5:$B1000,C205))*E205</f>
        <v>#VALUE!</v>
      </c>
      <c r="H205" s="181" t="s">
        <v>2041</v>
      </c>
      <c r="I205" s="182">
        <v>0</v>
      </c>
      <c r="J205" s="183" t="s">
        <v>2042</v>
      </c>
      <c r="K205" s="184" t="s">
        <v>2042</v>
      </c>
      <c r="L205" s="184" t="s">
        <v>2042</v>
      </c>
      <c r="M205" s="184" t="s">
        <v>2042</v>
      </c>
      <c r="N205" s="184" t="s">
        <v>2042</v>
      </c>
      <c r="O205" s="184" t="s">
        <v>2042</v>
      </c>
      <c r="P205" s="184" t="s">
        <v>2042</v>
      </c>
      <c r="Q205" s="184" t="s">
        <v>2042</v>
      </c>
      <c r="R205" s="184" t="s">
        <v>2042</v>
      </c>
      <c r="S205" s="184" t="s">
        <v>2042</v>
      </c>
      <c r="T205" s="184" t="s">
        <v>2042</v>
      </c>
      <c r="U205" s="184" t="s">
        <v>2042</v>
      </c>
      <c r="V205" s="184" t="s">
        <v>2042</v>
      </c>
      <c r="W205" s="184" t="s">
        <v>2042</v>
      </c>
      <c r="X205" s="184" t="s">
        <v>2042</v>
      </c>
      <c r="Y205" s="184" t="s">
        <v>2042</v>
      </c>
      <c r="Z205" s="184" t="s">
        <v>2042</v>
      </c>
      <c r="AA205" s="184" t="s">
        <v>2042</v>
      </c>
      <c r="AB205" s="184" t="s">
        <v>2042</v>
      </c>
      <c r="AC205" s="184" t="s">
        <v>2042</v>
      </c>
      <c r="AD205" s="184" t="s">
        <v>2042</v>
      </c>
      <c r="AE205" s="184" t="s">
        <v>2042</v>
      </c>
      <c r="AF205" s="184" t="s">
        <v>2042</v>
      </c>
      <c r="AG205" s="184" t="s">
        <v>2042</v>
      </c>
      <c r="AH205" s="184" t="s">
        <v>2042</v>
      </c>
      <c r="AI205" s="184" t="s">
        <v>2042</v>
      </c>
      <c r="AJ205" s="184" t="s">
        <v>2042</v>
      </c>
      <c r="AK205" s="184" t="s">
        <v>2042</v>
      </c>
      <c r="AL205" s="184" t="s">
        <v>2042</v>
      </c>
      <c r="AM205" s="184" t="s">
        <v>2042</v>
      </c>
      <c r="AN205" s="184" t="s">
        <v>2042</v>
      </c>
      <c r="AO205" s="184" t="s">
        <v>2042</v>
      </c>
      <c r="AP205" s="184" t="s">
        <v>2042</v>
      </c>
      <c r="AQ205" s="175"/>
    </row>
    <row r="206" spans="1:43" ht="14.5">
      <c r="A206" s="169"/>
      <c r="B206" s="170"/>
      <c r="C206" s="176"/>
      <c r="D206" s="177"/>
      <c r="E206" s="178">
        <v>1</v>
      </c>
      <c r="F206" s="179"/>
      <c r="G206" s="186" t="e">
        <f>IF(C206="","",SUMIFS(MRP!$D$5:$D1000,MRP!$B$5:$B1000,C206))*E206</f>
        <v>#VALUE!</v>
      </c>
      <c r="H206" s="181" t="s">
        <v>2041</v>
      </c>
      <c r="I206" s="182">
        <v>0</v>
      </c>
      <c r="J206" s="183" t="s">
        <v>2042</v>
      </c>
      <c r="K206" s="184" t="s">
        <v>2042</v>
      </c>
      <c r="L206" s="184" t="s">
        <v>2042</v>
      </c>
      <c r="M206" s="184" t="s">
        <v>2042</v>
      </c>
      <c r="N206" s="184" t="s">
        <v>2042</v>
      </c>
      <c r="O206" s="184" t="s">
        <v>2042</v>
      </c>
      <c r="P206" s="184" t="s">
        <v>2042</v>
      </c>
      <c r="Q206" s="184" t="s">
        <v>2042</v>
      </c>
      <c r="R206" s="184" t="s">
        <v>2042</v>
      </c>
      <c r="S206" s="184" t="s">
        <v>2042</v>
      </c>
      <c r="T206" s="184" t="s">
        <v>2042</v>
      </c>
      <c r="U206" s="184" t="s">
        <v>2042</v>
      </c>
      <c r="V206" s="184" t="s">
        <v>2042</v>
      </c>
      <c r="W206" s="184" t="s">
        <v>2042</v>
      </c>
      <c r="X206" s="184" t="s">
        <v>2042</v>
      </c>
      <c r="Y206" s="184" t="s">
        <v>2042</v>
      </c>
      <c r="Z206" s="184" t="s">
        <v>2042</v>
      </c>
      <c r="AA206" s="184" t="s">
        <v>2042</v>
      </c>
      <c r="AB206" s="184" t="s">
        <v>2042</v>
      </c>
      <c r="AC206" s="184" t="s">
        <v>2042</v>
      </c>
      <c r="AD206" s="184" t="s">
        <v>2042</v>
      </c>
      <c r="AE206" s="184" t="s">
        <v>2042</v>
      </c>
      <c r="AF206" s="184" t="s">
        <v>2042</v>
      </c>
      <c r="AG206" s="184" t="s">
        <v>2042</v>
      </c>
      <c r="AH206" s="184" t="s">
        <v>2042</v>
      </c>
      <c r="AI206" s="184" t="s">
        <v>2042</v>
      </c>
      <c r="AJ206" s="184" t="s">
        <v>2042</v>
      </c>
      <c r="AK206" s="184" t="s">
        <v>2042</v>
      </c>
      <c r="AL206" s="184" t="s">
        <v>2042</v>
      </c>
      <c r="AM206" s="184" t="s">
        <v>2042</v>
      </c>
      <c r="AN206" s="184" t="s">
        <v>2042</v>
      </c>
      <c r="AO206" s="184" t="s">
        <v>2042</v>
      </c>
      <c r="AP206" s="184" t="s">
        <v>2042</v>
      </c>
      <c r="AQ206" s="175"/>
    </row>
    <row r="207" spans="1:43" ht="14.5">
      <c r="A207" s="169"/>
      <c r="B207" s="170"/>
      <c r="C207" s="176"/>
      <c r="D207" s="177"/>
      <c r="E207" s="178">
        <v>1</v>
      </c>
      <c r="F207" s="179"/>
      <c r="G207" s="186" t="e">
        <f>IF(C207="","",SUMIFS(MRP!$D$5:$D1000,MRP!$B$5:$B1000,C207))*E207</f>
        <v>#VALUE!</v>
      </c>
      <c r="H207" s="181" t="s">
        <v>2041</v>
      </c>
      <c r="I207" s="182">
        <v>0</v>
      </c>
      <c r="J207" s="183" t="s">
        <v>2042</v>
      </c>
      <c r="K207" s="184" t="s">
        <v>2042</v>
      </c>
      <c r="L207" s="184" t="s">
        <v>2042</v>
      </c>
      <c r="M207" s="184" t="s">
        <v>2042</v>
      </c>
      <c r="N207" s="184" t="s">
        <v>2042</v>
      </c>
      <c r="O207" s="184" t="s">
        <v>2042</v>
      </c>
      <c r="P207" s="184" t="s">
        <v>2042</v>
      </c>
      <c r="Q207" s="184" t="s">
        <v>2042</v>
      </c>
      <c r="R207" s="184" t="s">
        <v>2042</v>
      </c>
      <c r="S207" s="184" t="s">
        <v>2042</v>
      </c>
      <c r="T207" s="184" t="s">
        <v>2042</v>
      </c>
      <c r="U207" s="184" t="s">
        <v>2042</v>
      </c>
      <c r="V207" s="184" t="s">
        <v>2042</v>
      </c>
      <c r="W207" s="184" t="s">
        <v>2042</v>
      </c>
      <c r="X207" s="184" t="s">
        <v>2042</v>
      </c>
      <c r="Y207" s="184" t="s">
        <v>2042</v>
      </c>
      <c r="Z207" s="184" t="s">
        <v>2042</v>
      </c>
      <c r="AA207" s="184" t="s">
        <v>2042</v>
      </c>
      <c r="AB207" s="184" t="s">
        <v>2042</v>
      </c>
      <c r="AC207" s="184" t="s">
        <v>2042</v>
      </c>
      <c r="AD207" s="184" t="s">
        <v>2042</v>
      </c>
      <c r="AE207" s="184" t="s">
        <v>2042</v>
      </c>
      <c r="AF207" s="184" t="s">
        <v>2042</v>
      </c>
      <c r="AG207" s="184" t="s">
        <v>2042</v>
      </c>
      <c r="AH207" s="184" t="s">
        <v>2042</v>
      </c>
      <c r="AI207" s="184" t="s">
        <v>2042</v>
      </c>
      <c r="AJ207" s="184" t="s">
        <v>2042</v>
      </c>
      <c r="AK207" s="184" t="s">
        <v>2042</v>
      </c>
      <c r="AL207" s="184" t="s">
        <v>2042</v>
      </c>
      <c r="AM207" s="184" t="s">
        <v>2042</v>
      </c>
      <c r="AN207" s="184" t="s">
        <v>2042</v>
      </c>
      <c r="AO207" s="184" t="s">
        <v>2042</v>
      </c>
      <c r="AP207" s="184" t="s">
        <v>2042</v>
      </c>
      <c r="AQ207" s="175"/>
    </row>
    <row r="208" spans="1:43" ht="14.5">
      <c r="A208" s="169"/>
      <c r="B208" s="170"/>
      <c r="C208" s="176"/>
      <c r="D208" s="177"/>
      <c r="E208" s="178">
        <v>1</v>
      </c>
      <c r="F208" s="179"/>
      <c r="G208" s="186" t="e">
        <f>IF(C208="","",SUMIFS(MRP!$D$5:$D1000,MRP!$B$5:$B1000,C208))*E208</f>
        <v>#VALUE!</v>
      </c>
      <c r="H208" s="181" t="s">
        <v>2041</v>
      </c>
      <c r="I208" s="182">
        <v>0</v>
      </c>
      <c r="J208" s="183" t="s">
        <v>2042</v>
      </c>
      <c r="K208" s="184" t="s">
        <v>2042</v>
      </c>
      <c r="L208" s="184" t="s">
        <v>2042</v>
      </c>
      <c r="M208" s="184" t="s">
        <v>2042</v>
      </c>
      <c r="N208" s="184" t="s">
        <v>2042</v>
      </c>
      <c r="O208" s="184" t="s">
        <v>2042</v>
      </c>
      <c r="P208" s="184" t="s">
        <v>2042</v>
      </c>
      <c r="Q208" s="184" t="s">
        <v>2042</v>
      </c>
      <c r="R208" s="184" t="s">
        <v>2042</v>
      </c>
      <c r="S208" s="184" t="s">
        <v>2042</v>
      </c>
      <c r="T208" s="184" t="s">
        <v>2042</v>
      </c>
      <c r="U208" s="184" t="s">
        <v>2042</v>
      </c>
      <c r="V208" s="184" t="s">
        <v>2042</v>
      </c>
      <c r="W208" s="184" t="s">
        <v>2042</v>
      </c>
      <c r="X208" s="184" t="s">
        <v>2042</v>
      </c>
      <c r="Y208" s="184" t="s">
        <v>2042</v>
      </c>
      <c r="Z208" s="184" t="s">
        <v>2042</v>
      </c>
      <c r="AA208" s="184" t="s">
        <v>2042</v>
      </c>
      <c r="AB208" s="184" t="s">
        <v>2042</v>
      </c>
      <c r="AC208" s="184" t="s">
        <v>2042</v>
      </c>
      <c r="AD208" s="184" t="s">
        <v>2042</v>
      </c>
      <c r="AE208" s="185" t="s">
        <v>2042</v>
      </c>
      <c r="AF208" s="185" t="s">
        <v>2042</v>
      </c>
      <c r="AG208" s="185" t="s">
        <v>2042</v>
      </c>
      <c r="AH208" s="185" t="s">
        <v>2042</v>
      </c>
      <c r="AI208" s="185" t="s">
        <v>2042</v>
      </c>
      <c r="AJ208" s="185" t="s">
        <v>2042</v>
      </c>
      <c r="AK208" s="185" t="s">
        <v>2042</v>
      </c>
      <c r="AL208" s="185" t="s">
        <v>2042</v>
      </c>
      <c r="AM208" s="185" t="s">
        <v>2042</v>
      </c>
      <c r="AN208" s="185" t="s">
        <v>2042</v>
      </c>
      <c r="AO208" s="185" t="s">
        <v>2042</v>
      </c>
      <c r="AP208" s="185" t="s">
        <v>2042</v>
      </c>
      <c r="AQ208" s="175"/>
    </row>
    <row r="209" spans="1:43" ht="14.5">
      <c r="A209" s="169"/>
      <c r="B209" s="170"/>
      <c r="C209" s="176"/>
      <c r="D209" s="177"/>
      <c r="E209" s="178">
        <v>1</v>
      </c>
      <c r="F209" s="179"/>
      <c r="G209" s="186" t="e">
        <f>IF(C209="","",SUMIFS(MRP!$D$5:$D1000,MRP!$B$5:$B1000,C209))*E209</f>
        <v>#VALUE!</v>
      </c>
      <c r="H209" s="181" t="s">
        <v>2041</v>
      </c>
      <c r="I209" s="182">
        <v>0</v>
      </c>
      <c r="J209" s="183" t="s">
        <v>2042</v>
      </c>
      <c r="K209" s="184" t="s">
        <v>2042</v>
      </c>
      <c r="L209" s="184" t="s">
        <v>2042</v>
      </c>
      <c r="M209" s="184" t="s">
        <v>2042</v>
      </c>
      <c r="N209" s="184" t="s">
        <v>2042</v>
      </c>
      <c r="O209" s="184" t="s">
        <v>2042</v>
      </c>
      <c r="P209" s="184" t="s">
        <v>2042</v>
      </c>
      <c r="Q209" s="184" t="s">
        <v>2042</v>
      </c>
      <c r="R209" s="184" t="s">
        <v>2042</v>
      </c>
      <c r="S209" s="184" t="s">
        <v>2042</v>
      </c>
      <c r="T209" s="184" t="s">
        <v>2042</v>
      </c>
      <c r="U209" s="184" t="s">
        <v>2042</v>
      </c>
      <c r="V209" s="184" t="s">
        <v>2042</v>
      </c>
      <c r="W209" s="184" t="s">
        <v>2042</v>
      </c>
      <c r="X209" s="184" t="s">
        <v>2042</v>
      </c>
      <c r="Y209" s="184" t="s">
        <v>2042</v>
      </c>
      <c r="Z209" s="184" t="s">
        <v>2042</v>
      </c>
      <c r="AA209" s="184" t="s">
        <v>2042</v>
      </c>
      <c r="AB209" s="184" t="s">
        <v>2042</v>
      </c>
      <c r="AC209" s="184" t="s">
        <v>2042</v>
      </c>
      <c r="AD209" s="184" t="s">
        <v>2042</v>
      </c>
      <c r="AE209" s="184" t="s">
        <v>2042</v>
      </c>
      <c r="AF209" s="184" t="s">
        <v>2042</v>
      </c>
      <c r="AG209" s="184" t="s">
        <v>2042</v>
      </c>
      <c r="AH209" s="184" t="s">
        <v>2042</v>
      </c>
      <c r="AI209" s="184" t="s">
        <v>2042</v>
      </c>
      <c r="AJ209" s="184" t="s">
        <v>2042</v>
      </c>
      <c r="AK209" s="184" t="s">
        <v>2042</v>
      </c>
      <c r="AL209" s="184" t="s">
        <v>2042</v>
      </c>
      <c r="AM209" s="184" t="s">
        <v>2042</v>
      </c>
      <c r="AN209" s="184" t="s">
        <v>2042</v>
      </c>
      <c r="AO209" s="184" t="s">
        <v>2042</v>
      </c>
      <c r="AP209" s="184" t="s">
        <v>2042</v>
      </c>
      <c r="AQ209" s="175"/>
    </row>
    <row r="210" spans="1:43" ht="14.5">
      <c r="A210" s="169"/>
      <c r="B210" s="170"/>
      <c r="C210" s="176"/>
      <c r="D210" s="177"/>
      <c r="E210" s="178">
        <v>1</v>
      </c>
      <c r="F210" s="179"/>
      <c r="G210" s="186" t="e">
        <f>IF(C210="","",SUMIFS(MRP!$D$5:$D1000,MRP!$B$5:$B1000,C210))*E210</f>
        <v>#VALUE!</v>
      </c>
      <c r="H210" s="181" t="s">
        <v>2041</v>
      </c>
      <c r="I210" s="182">
        <v>0</v>
      </c>
      <c r="J210" s="183" t="s">
        <v>2042</v>
      </c>
      <c r="K210" s="184" t="s">
        <v>2042</v>
      </c>
      <c r="L210" s="184" t="s">
        <v>2042</v>
      </c>
      <c r="M210" s="184" t="s">
        <v>2042</v>
      </c>
      <c r="N210" s="184" t="s">
        <v>2042</v>
      </c>
      <c r="O210" s="184" t="s">
        <v>2042</v>
      </c>
      <c r="P210" s="184" t="s">
        <v>2042</v>
      </c>
      <c r="Q210" s="184" t="s">
        <v>2042</v>
      </c>
      <c r="R210" s="184" t="s">
        <v>2042</v>
      </c>
      <c r="S210" s="184" t="s">
        <v>2042</v>
      </c>
      <c r="T210" s="184" t="s">
        <v>2042</v>
      </c>
      <c r="U210" s="184" t="s">
        <v>2042</v>
      </c>
      <c r="V210" s="184" t="s">
        <v>2042</v>
      </c>
      <c r="W210" s="184" t="s">
        <v>2042</v>
      </c>
      <c r="X210" s="184" t="s">
        <v>2042</v>
      </c>
      <c r="Y210" s="184" t="s">
        <v>2042</v>
      </c>
      <c r="Z210" s="184" t="s">
        <v>2042</v>
      </c>
      <c r="AA210" s="184" t="s">
        <v>2042</v>
      </c>
      <c r="AB210" s="184" t="s">
        <v>2042</v>
      </c>
      <c r="AC210" s="184" t="s">
        <v>2042</v>
      </c>
      <c r="AD210" s="184" t="s">
        <v>2042</v>
      </c>
      <c r="AE210" s="184" t="s">
        <v>2042</v>
      </c>
      <c r="AF210" s="184" t="s">
        <v>2042</v>
      </c>
      <c r="AG210" s="184" t="s">
        <v>2042</v>
      </c>
      <c r="AH210" s="184" t="s">
        <v>2042</v>
      </c>
      <c r="AI210" s="184" t="s">
        <v>2042</v>
      </c>
      <c r="AJ210" s="184" t="s">
        <v>2042</v>
      </c>
      <c r="AK210" s="184" t="s">
        <v>2042</v>
      </c>
      <c r="AL210" s="184" t="s">
        <v>2042</v>
      </c>
      <c r="AM210" s="184" t="s">
        <v>2042</v>
      </c>
      <c r="AN210" s="184" t="s">
        <v>2042</v>
      </c>
      <c r="AO210" s="184" t="s">
        <v>2042</v>
      </c>
      <c r="AP210" s="184" t="s">
        <v>2042</v>
      </c>
      <c r="AQ210" s="175"/>
    </row>
    <row r="211" spans="1:43" ht="14.5">
      <c r="A211" s="169"/>
      <c r="B211" s="170"/>
      <c r="C211" s="176"/>
      <c r="D211" s="177"/>
      <c r="E211" s="178">
        <v>1</v>
      </c>
      <c r="F211" s="179"/>
      <c r="G211" s="186" t="e">
        <f>IF(C211="","",SUMIFS(MRP!$D$5:$D1000,MRP!$B$5:$B1000,C211))*E211</f>
        <v>#VALUE!</v>
      </c>
      <c r="H211" s="181" t="s">
        <v>2041</v>
      </c>
      <c r="I211" s="182">
        <v>0</v>
      </c>
      <c r="J211" s="183" t="s">
        <v>2042</v>
      </c>
      <c r="K211" s="184" t="s">
        <v>2042</v>
      </c>
      <c r="L211" s="184" t="s">
        <v>2042</v>
      </c>
      <c r="M211" s="184" t="s">
        <v>2042</v>
      </c>
      <c r="N211" s="184" t="s">
        <v>2042</v>
      </c>
      <c r="O211" s="184" t="s">
        <v>2042</v>
      </c>
      <c r="P211" s="185" t="s">
        <v>2042</v>
      </c>
      <c r="Q211" s="184" t="s">
        <v>2042</v>
      </c>
      <c r="R211" s="184" t="s">
        <v>2042</v>
      </c>
      <c r="S211" s="184" t="s">
        <v>2042</v>
      </c>
      <c r="T211" s="184" t="s">
        <v>2042</v>
      </c>
      <c r="U211" s="184" t="s">
        <v>2042</v>
      </c>
      <c r="V211" s="184" t="s">
        <v>2042</v>
      </c>
      <c r="W211" s="184" t="s">
        <v>2042</v>
      </c>
      <c r="X211" s="184" t="s">
        <v>2042</v>
      </c>
      <c r="Y211" s="184" t="s">
        <v>2042</v>
      </c>
      <c r="Z211" s="184" t="s">
        <v>2042</v>
      </c>
      <c r="AA211" s="184" t="s">
        <v>2042</v>
      </c>
      <c r="AB211" s="185" t="s">
        <v>2042</v>
      </c>
      <c r="AC211" s="185" t="s">
        <v>2042</v>
      </c>
      <c r="AD211" s="185" t="s">
        <v>2042</v>
      </c>
      <c r="AE211" s="185" t="s">
        <v>2042</v>
      </c>
      <c r="AF211" s="185" t="s">
        <v>2042</v>
      </c>
      <c r="AG211" s="185" t="s">
        <v>2042</v>
      </c>
      <c r="AH211" s="185" t="s">
        <v>2042</v>
      </c>
      <c r="AI211" s="185" t="s">
        <v>2042</v>
      </c>
      <c r="AJ211" s="185" t="s">
        <v>2042</v>
      </c>
      <c r="AK211" s="185" t="s">
        <v>2042</v>
      </c>
      <c r="AL211" s="184" t="s">
        <v>2042</v>
      </c>
      <c r="AM211" s="185" t="s">
        <v>2042</v>
      </c>
      <c r="AN211" s="185" t="s">
        <v>2042</v>
      </c>
      <c r="AO211" s="185" t="s">
        <v>2042</v>
      </c>
      <c r="AP211" s="185" t="s">
        <v>2042</v>
      </c>
      <c r="AQ211" s="175"/>
    </row>
    <row r="212" spans="1:43" ht="14.5">
      <c r="A212" s="169"/>
      <c r="B212" s="170"/>
      <c r="C212" s="176"/>
      <c r="D212" s="177"/>
      <c r="E212" s="178">
        <v>1</v>
      </c>
      <c r="F212" s="179"/>
      <c r="G212" s="186" t="e">
        <f>IF(C212="","",SUMIFS(MRP!$D$5:$D1000,MRP!$B$5:$B1000,C212))*E212</f>
        <v>#VALUE!</v>
      </c>
      <c r="H212" s="181" t="s">
        <v>2041</v>
      </c>
      <c r="I212" s="182">
        <v>0</v>
      </c>
      <c r="J212" s="183" t="s">
        <v>2042</v>
      </c>
      <c r="K212" s="184" t="s">
        <v>2042</v>
      </c>
      <c r="L212" s="184" t="s">
        <v>2042</v>
      </c>
      <c r="M212" s="184" t="s">
        <v>2042</v>
      </c>
      <c r="N212" s="184" t="s">
        <v>2042</v>
      </c>
      <c r="O212" s="184" t="s">
        <v>2042</v>
      </c>
      <c r="P212" s="184" t="s">
        <v>2042</v>
      </c>
      <c r="Q212" s="184" t="s">
        <v>2042</v>
      </c>
      <c r="R212" s="184" t="s">
        <v>2042</v>
      </c>
      <c r="S212" s="184" t="s">
        <v>2042</v>
      </c>
      <c r="T212" s="184" t="s">
        <v>2042</v>
      </c>
      <c r="U212" s="184" t="s">
        <v>2042</v>
      </c>
      <c r="V212" s="184" t="s">
        <v>2042</v>
      </c>
      <c r="W212" s="184" t="s">
        <v>2042</v>
      </c>
      <c r="X212" s="184" t="s">
        <v>2042</v>
      </c>
      <c r="Y212" s="184" t="s">
        <v>2042</v>
      </c>
      <c r="Z212" s="184" t="s">
        <v>2042</v>
      </c>
      <c r="AA212" s="184" t="s">
        <v>2042</v>
      </c>
      <c r="AB212" s="184" t="s">
        <v>2042</v>
      </c>
      <c r="AC212" s="184" t="s">
        <v>2042</v>
      </c>
      <c r="AD212" s="184" t="s">
        <v>2042</v>
      </c>
      <c r="AE212" s="184" t="s">
        <v>2042</v>
      </c>
      <c r="AF212" s="184" t="s">
        <v>2042</v>
      </c>
      <c r="AG212" s="184" t="s">
        <v>2042</v>
      </c>
      <c r="AH212" s="184" t="s">
        <v>2042</v>
      </c>
      <c r="AI212" s="184" t="s">
        <v>2042</v>
      </c>
      <c r="AJ212" s="184" t="s">
        <v>2042</v>
      </c>
      <c r="AK212" s="184" t="s">
        <v>2042</v>
      </c>
      <c r="AL212" s="184" t="s">
        <v>2042</v>
      </c>
      <c r="AM212" s="184" t="s">
        <v>2042</v>
      </c>
      <c r="AN212" s="184" t="s">
        <v>2042</v>
      </c>
      <c r="AO212" s="184" t="s">
        <v>2042</v>
      </c>
      <c r="AP212" s="184" t="s">
        <v>2042</v>
      </c>
      <c r="AQ212" s="175"/>
    </row>
    <row r="213" spans="1:43" ht="14.5">
      <c r="A213" s="169"/>
      <c r="B213" s="170"/>
      <c r="C213" s="176"/>
      <c r="D213" s="177"/>
      <c r="E213" s="178">
        <v>1</v>
      </c>
      <c r="F213" s="179"/>
      <c r="G213" s="186" t="e">
        <f>IF(C213="","",SUMIFS(MRP!$D$5:$D1000,MRP!$B$5:$B1000,C213))*E213</f>
        <v>#VALUE!</v>
      </c>
      <c r="H213" s="181" t="s">
        <v>2041</v>
      </c>
      <c r="I213" s="182">
        <v>0</v>
      </c>
      <c r="J213" s="183" t="s">
        <v>2042</v>
      </c>
      <c r="K213" s="184" t="s">
        <v>2042</v>
      </c>
      <c r="L213" s="184" t="s">
        <v>2042</v>
      </c>
      <c r="M213" s="184" t="s">
        <v>2042</v>
      </c>
      <c r="N213" s="184" t="s">
        <v>2042</v>
      </c>
      <c r="O213" s="184" t="s">
        <v>2042</v>
      </c>
      <c r="P213" s="184" t="s">
        <v>2042</v>
      </c>
      <c r="Q213" s="184" t="s">
        <v>2042</v>
      </c>
      <c r="R213" s="184" t="s">
        <v>2042</v>
      </c>
      <c r="S213" s="184" t="s">
        <v>2042</v>
      </c>
      <c r="T213" s="184" t="s">
        <v>2042</v>
      </c>
      <c r="U213" s="184" t="s">
        <v>2042</v>
      </c>
      <c r="V213" s="184" t="s">
        <v>2042</v>
      </c>
      <c r="W213" s="184" t="s">
        <v>2042</v>
      </c>
      <c r="X213" s="184" t="s">
        <v>2042</v>
      </c>
      <c r="Y213" s="184" t="s">
        <v>2042</v>
      </c>
      <c r="Z213" s="184" t="s">
        <v>2042</v>
      </c>
      <c r="AA213" s="184" t="s">
        <v>2042</v>
      </c>
      <c r="AB213" s="184" t="s">
        <v>2042</v>
      </c>
      <c r="AC213" s="184" t="s">
        <v>2042</v>
      </c>
      <c r="AD213" s="184" t="s">
        <v>2042</v>
      </c>
      <c r="AE213" s="184" t="s">
        <v>2042</v>
      </c>
      <c r="AF213" s="184" t="s">
        <v>2042</v>
      </c>
      <c r="AG213" s="184" t="s">
        <v>2042</v>
      </c>
      <c r="AH213" s="184" t="s">
        <v>2042</v>
      </c>
      <c r="AI213" s="184" t="s">
        <v>2042</v>
      </c>
      <c r="AJ213" s="184" t="s">
        <v>2042</v>
      </c>
      <c r="AK213" s="184" t="s">
        <v>2042</v>
      </c>
      <c r="AL213" s="184" t="s">
        <v>2042</v>
      </c>
      <c r="AM213" s="184" t="s">
        <v>2042</v>
      </c>
      <c r="AN213" s="184" t="s">
        <v>2042</v>
      </c>
      <c r="AO213" s="184" t="s">
        <v>2042</v>
      </c>
      <c r="AP213" s="184" t="s">
        <v>2042</v>
      </c>
      <c r="AQ213" s="175"/>
    </row>
    <row r="214" spans="1:43" ht="14.5">
      <c r="A214" s="169"/>
      <c r="B214" s="170"/>
      <c r="C214" s="176"/>
      <c r="D214" s="177"/>
      <c r="E214" s="178">
        <v>1</v>
      </c>
      <c r="F214" s="179"/>
      <c r="G214" s="186" t="e">
        <f>IF(C214="","",SUMIFS(MRP!$D$5:$D1000,MRP!$B$5:$B1000,C214))*E214</f>
        <v>#VALUE!</v>
      </c>
      <c r="H214" s="181" t="s">
        <v>2041</v>
      </c>
      <c r="I214" s="182">
        <v>0</v>
      </c>
      <c r="J214" s="183" t="s">
        <v>2042</v>
      </c>
      <c r="K214" s="184" t="s">
        <v>2042</v>
      </c>
      <c r="L214" s="184" t="s">
        <v>2042</v>
      </c>
      <c r="M214" s="184" t="s">
        <v>2042</v>
      </c>
      <c r="N214" s="184" t="s">
        <v>2042</v>
      </c>
      <c r="O214" s="184" t="s">
        <v>2042</v>
      </c>
      <c r="P214" s="184" t="s">
        <v>2042</v>
      </c>
      <c r="Q214" s="184" t="s">
        <v>2042</v>
      </c>
      <c r="R214" s="184" t="s">
        <v>2042</v>
      </c>
      <c r="S214" s="184" t="s">
        <v>2042</v>
      </c>
      <c r="T214" s="184" t="s">
        <v>2042</v>
      </c>
      <c r="U214" s="184" t="s">
        <v>2042</v>
      </c>
      <c r="V214" s="184" t="s">
        <v>2042</v>
      </c>
      <c r="W214" s="184" t="s">
        <v>2042</v>
      </c>
      <c r="X214" s="184" t="s">
        <v>2042</v>
      </c>
      <c r="Y214" s="184" t="s">
        <v>2042</v>
      </c>
      <c r="Z214" s="184" t="s">
        <v>2042</v>
      </c>
      <c r="AA214" s="184" t="s">
        <v>2042</v>
      </c>
      <c r="AB214" s="184" t="s">
        <v>2042</v>
      </c>
      <c r="AC214" s="184" t="s">
        <v>2042</v>
      </c>
      <c r="AD214" s="184" t="s">
        <v>2042</v>
      </c>
      <c r="AE214" s="184" t="s">
        <v>2042</v>
      </c>
      <c r="AF214" s="184" t="s">
        <v>2042</v>
      </c>
      <c r="AG214" s="184" t="s">
        <v>2042</v>
      </c>
      <c r="AH214" s="184" t="s">
        <v>2042</v>
      </c>
      <c r="AI214" s="184" t="s">
        <v>2042</v>
      </c>
      <c r="AJ214" s="184" t="s">
        <v>2042</v>
      </c>
      <c r="AK214" s="184" t="s">
        <v>2042</v>
      </c>
      <c r="AL214" s="184" t="s">
        <v>2042</v>
      </c>
      <c r="AM214" s="184" t="s">
        <v>2042</v>
      </c>
      <c r="AN214" s="184" t="s">
        <v>2042</v>
      </c>
      <c r="AO214" s="184" t="s">
        <v>2042</v>
      </c>
      <c r="AP214" s="184" t="s">
        <v>2042</v>
      </c>
      <c r="AQ214" s="175"/>
    </row>
    <row r="215" spans="1:43" ht="14.5">
      <c r="A215" s="169"/>
      <c r="B215" s="170"/>
      <c r="C215" s="176"/>
      <c r="D215" s="177"/>
      <c r="E215" s="178">
        <v>1</v>
      </c>
      <c r="F215" s="179"/>
      <c r="G215" s="186" t="e">
        <f>IF(C215="","",SUMIFS(MRP!$D$5:$D1000,MRP!$B$5:$B1000,C215))*E215</f>
        <v>#VALUE!</v>
      </c>
      <c r="H215" s="181" t="s">
        <v>2041</v>
      </c>
      <c r="I215" s="182">
        <v>0</v>
      </c>
      <c r="J215" s="183" t="s">
        <v>2042</v>
      </c>
      <c r="K215" s="184" t="s">
        <v>2042</v>
      </c>
      <c r="L215" s="184" t="s">
        <v>2042</v>
      </c>
      <c r="M215" s="184" t="s">
        <v>2042</v>
      </c>
      <c r="N215" s="184" t="s">
        <v>2042</v>
      </c>
      <c r="O215" s="184" t="s">
        <v>2042</v>
      </c>
      <c r="P215" s="184" t="s">
        <v>2042</v>
      </c>
      <c r="Q215" s="184" t="s">
        <v>2042</v>
      </c>
      <c r="R215" s="184" t="s">
        <v>2042</v>
      </c>
      <c r="S215" s="184" t="s">
        <v>2042</v>
      </c>
      <c r="T215" s="184" t="s">
        <v>2042</v>
      </c>
      <c r="U215" s="184" t="s">
        <v>2042</v>
      </c>
      <c r="V215" s="184" t="s">
        <v>2042</v>
      </c>
      <c r="W215" s="184" t="s">
        <v>2042</v>
      </c>
      <c r="X215" s="184" t="s">
        <v>2042</v>
      </c>
      <c r="Y215" s="184" t="s">
        <v>2042</v>
      </c>
      <c r="Z215" s="184" t="s">
        <v>2042</v>
      </c>
      <c r="AA215" s="184" t="s">
        <v>2042</v>
      </c>
      <c r="AB215" s="184" t="s">
        <v>2042</v>
      </c>
      <c r="AC215" s="184" t="s">
        <v>2042</v>
      </c>
      <c r="AD215" s="184" t="s">
        <v>2042</v>
      </c>
      <c r="AE215" s="184" t="s">
        <v>2042</v>
      </c>
      <c r="AF215" s="184" t="s">
        <v>2042</v>
      </c>
      <c r="AG215" s="184" t="s">
        <v>2042</v>
      </c>
      <c r="AH215" s="184" t="s">
        <v>2042</v>
      </c>
      <c r="AI215" s="184" t="s">
        <v>2042</v>
      </c>
      <c r="AJ215" s="184" t="s">
        <v>2042</v>
      </c>
      <c r="AK215" s="184" t="s">
        <v>2042</v>
      </c>
      <c r="AL215" s="184" t="s">
        <v>2042</v>
      </c>
      <c r="AM215" s="184" t="s">
        <v>2042</v>
      </c>
      <c r="AN215" s="184" t="s">
        <v>2042</v>
      </c>
      <c r="AO215" s="184" t="s">
        <v>2042</v>
      </c>
      <c r="AP215" s="184" t="s">
        <v>2042</v>
      </c>
      <c r="AQ215" s="175"/>
    </row>
    <row r="216" spans="1:43" ht="14.5">
      <c r="A216" s="169"/>
      <c r="B216" s="170"/>
      <c r="C216" s="176"/>
      <c r="D216" s="177"/>
      <c r="E216" s="178">
        <v>1</v>
      </c>
      <c r="F216" s="179"/>
      <c r="G216" s="186" t="e">
        <f>IF(C216="","",SUMIFS(MRP!$D$5:$D1000,MRP!$B$5:$B1000,C216))*E216</f>
        <v>#VALUE!</v>
      </c>
      <c r="H216" s="181" t="s">
        <v>2041</v>
      </c>
      <c r="I216" s="182">
        <v>0</v>
      </c>
      <c r="J216" s="183" t="s">
        <v>2042</v>
      </c>
      <c r="K216" s="184" t="s">
        <v>2042</v>
      </c>
      <c r="L216" s="184" t="s">
        <v>2042</v>
      </c>
      <c r="M216" s="184" t="s">
        <v>2042</v>
      </c>
      <c r="N216" s="184" t="s">
        <v>2042</v>
      </c>
      <c r="O216" s="184" t="s">
        <v>2042</v>
      </c>
      <c r="P216" s="184" t="s">
        <v>2042</v>
      </c>
      <c r="Q216" s="184" t="s">
        <v>2042</v>
      </c>
      <c r="R216" s="184" t="s">
        <v>2042</v>
      </c>
      <c r="S216" s="184" t="s">
        <v>2042</v>
      </c>
      <c r="T216" s="184" t="s">
        <v>2042</v>
      </c>
      <c r="U216" s="184" t="s">
        <v>2042</v>
      </c>
      <c r="V216" s="184" t="s">
        <v>2042</v>
      </c>
      <c r="W216" s="184" t="s">
        <v>2042</v>
      </c>
      <c r="X216" s="184" t="s">
        <v>2042</v>
      </c>
      <c r="Y216" s="184" t="s">
        <v>2042</v>
      </c>
      <c r="Z216" s="184" t="s">
        <v>2042</v>
      </c>
      <c r="AA216" s="184" t="s">
        <v>2042</v>
      </c>
      <c r="AB216" s="184" t="s">
        <v>2042</v>
      </c>
      <c r="AC216" s="184" t="s">
        <v>2042</v>
      </c>
      <c r="AD216" s="184" t="s">
        <v>2042</v>
      </c>
      <c r="AE216" s="184" t="s">
        <v>2042</v>
      </c>
      <c r="AF216" s="184" t="s">
        <v>2042</v>
      </c>
      <c r="AG216" s="184" t="s">
        <v>2042</v>
      </c>
      <c r="AH216" s="184" t="s">
        <v>2042</v>
      </c>
      <c r="AI216" s="184" t="s">
        <v>2042</v>
      </c>
      <c r="AJ216" s="184" t="s">
        <v>2042</v>
      </c>
      <c r="AK216" s="184" t="s">
        <v>2042</v>
      </c>
      <c r="AL216" s="184" t="s">
        <v>2042</v>
      </c>
      <c r="AM216" s="184" t="s">
        <v>2042</v>
      </c>
      <c r="AN216" s="184" t="s">
        <v>2042</v>
      </c>
      <c r="AO216" s="184" t="s">
        <v>2042</v>
      </c>
      <c r="AP216" s="184" t="s">
        <v>2042</v>
      </c>
      <c r="AQ216" s="175"/>
    </row>
    <row r="217" spans="1:43" ht="14.5">
      <c r="A217" s="169"/>
      <c r="B217" s="170"/>
      <c r="C217" s="176"/>
      <c r="D217" s="177"/>
      <c r="E217" s="178">
        <v>1</v>
      </c>
      <c r="F217" s="179"/>
      <c r="G217" s="186" t="e">
        <f>IF(C217="","",SUMIFS(MRP!$D$5:$D1000,MRP!$B$5:$B1000,C217))*E217</f>
        <v>#VALUE!</v>
      </c>
      <c r="H217" s="181" t="s">
        <v>2041</v>
      </c>
      <c r="I217" s="182">
        <v>0</v>
      </c>
      <c r="J217" s="183" t="s">
        <v>2042</v>
      </c>
      <c r="K217" s="184" t="s">
        <v>2042</v>
      </c>
      <c r="L217" s="184" t="s">
        <v>2042</v>
      </c>
      <c r="M217" s="184" t="s">
        <v>2042</v>
      </c>
      <c r="N217" s="184" t="s">
        <v>2042</v>
      </c>
      <c r="O217" s="185" t="s">
        <v>2042</v>
      </c>
      <c r="P217" s="185" t="s">
        <v>2042</v>
      </c>
      <c r="Q217" s="185" t="s">
        <v>2042</v>
      </c>
      <c r="R217" s="185" t="s">
        <v>2042</v>
      </c>
      <c r="S217" s="185" t="s">
        <v>2042</v>
      </c>
      <c r="T217" s="185" t="s">
        <v>2042</v>
      </c>
      <c r="U217" s="185" t="s">
        <v>2042</v>
      </c>
      <c r="V217" s="185" t="s">
        <v>2042</v>
      </c>
      <c r="W217" s="185" t="s">
        <v>2042</v>
      </c>
      <c r="X217" s="185" t="s">
        <v>2042</v>
      </c>
      <c r="Y217" s="185" t="s">
        <v>2042</v>
      </c>
      <c r="Z217" s="185" t="s">
        <v>2042</v>
      </c>
      <c r="AA217" s="185" t="s">
        <v>2042</v>
      </c>
      <c r="AB217" s="185" t="s">
        <v>2042</v>
      </c>
      <c r="AC217" s="185" t="s">
        <v>2042</v>
      </c>
      <c r="AD217" s="185" t="s">
        <v>2042</v>
      </c>
      <c r="AE217" s="185" t="s">
        <v>2042</v>
      </c>
      <c r="AF217" s="185" t="s">
        <v>2042</v>
      </c>
      <c r="AG217" s="185" t="s">
        <v>2042</v>
      </c>
      <c r="AH217" s="185" t="s">
        <v>2042</v>
      </c>
      <c r="AI217" s="185" t="s">
        <v>2042</v>
      </c>
      <c r="AJ217" s="185" t="s">
        <v>2042</v>
      </c>
      <c r="AK217" s="185" t="s">
        <v>2042</v>
      </c>
      <c r="AL217" s="185" t="s">
        <v>2042</v>
      </c>
      <c r="AM217" s="185" t="s">
        <v>2042</v>
      </c>
      <c r="AN217" s="185" t="s">
        <v>2042</v>
      </c>
      <c r="AO217" s="185" t="s">
        <v>2042</v>
      </c>
      <c r="AP217" s="185" t="s">
        <v>2042</v>
      </c>
      <c r="AQ217" s="175"/>
    </row>
    <row r="218" spans="1:43" ht="14.5">
      <c r="A218" s="169"/>
      <c r="B218" s="170"/>
      <c r="C218" s="176"/>
      <c r="D218" s="177"/>
      <c r="E218" s="178">
        <v>1</v>
      </c>
      <c r="F218" s="179"/>
      <c r="G218" s="186" t="e">
        <f>IF(C218="","",SUMIFS(MRP!$D$5:$D1000,MRP!$B$5:$B1000,C218))*E218</f>
        <v>#VALUE!</v>
      </c>
      <c r="H218" s="181" t="s">
        <v>2041</v>
      </c>
      <c r="I218" s="182">
        <v>0</v>
      </c>
      <c r="J218" s="183" t="s">
        <v>2042</v>
      </c>
      <c r="K218" s="184" t="s">
        <v>2042</v>
      </c>
      <c r="L218" s="184" t="s">
        <v>2042</v>
      </c>
      <c r="M218" s="184" t="s">
        <v>2042</v>
      </c>
      <c r="N218" s="184" t="s">
        <v>2042</v>
      </c>
      <c r="O218" s="184" t="s">
        <v>2042</v>
      </c>
      <c r="P218" s="184" t="s">
        <v>2042</v>
      </c>
      <c r="Q218" s="184" t="s">
        <v>2042</v>
      </c>
      <c r="R218" s="184" t="s">
        <v>2042</v>
      </c>
      <c r="S218" s="184" t="s">
        <v>2042</v>
      </c>
      <c r="T218" s="184" t="s">
        <v>2042</v>
      </c>
      <c r="U218" s="184" t="s">
        <v>2042</v>
      </c>
      <c r="V218" s="184" t="s">
        <v>2042</v>
      </c>
      <c r="W218" s="184" t="s">
        <v>2042</v>
      </c>
      <c r="X218" s="184" t="s">
        <v>2042</v>
      </c>
      <c r="Y218" s="184" t="s">
        <v>2042</v>
      </c>
      <c r="Z218" s="184" t="s">
        <v>2042</v>
      </c>
      <c r="AA218" s="184" t="s">
        <v>2042</v>
      </c>
      <c r="AB218" s="184" t="s">
        <v>2042</v>
      </c>
      <c r="AC218" s="184" t="s">
        <v>2042</v>
      </c>
      <c r="AD218" s="184" t="s">
        <v>2042</v>
      </c>
      <c r="AE218" s="184" t="s">
        <v>2042</v>
      </c>
      <c r="AF218" s="184" t="s">
        <v>2042</v>
      </c>
      <c r="AG218" s="184" t="s">
        <v>2042</v>
      </c>
      <c r="AH218" s="184" t="s">
        <v>2042</v>
      </c>
      <c r="AI218" s="184" t="s">
        <v>2042</v>
      </c>
      <c r="AJ218" s="184" t="s">
        <v>2042</v>
      </c>
      <c r="AK218" s="184" t="s">
        <v>2042</v>
      </c>
      <c r="AL218" s="184" t="s">
        <v>2042</v>
      </c>
      <c r="AM218" s="184" t="s">
        <v>2042</v>
      </c>
      <c r="AN218" s="184" t="s">
        <v>2042</v>
      </c>
      <c r="AO218" s="184" t="s">
        <v>2042</v>
      </c>
      <c r="AP218" s="184" t="s">
        <v>2042</v>
      </c>
      <c r="AQ218" s="175"/>
    </row>
    <row r="219" spans="1:43" ht="14.5">
      <c r="A219" s="169"/>
      <c r="B219" s="170"/>
      <c r="C219" s="176"/>
      <c r="D219" s="177"/>
      <c r="E219" s="178">
        <v>1</v>
      </c>
      <c r="F219" s="179"/>
      <c r="G219" s="186" t="e">
        <f>IF(C219="","",SUMIFS(MRP!$D$5:$D1000,MRP!$B$5:$B1000,C219))*E219</f>
        <v>#VALUE!</v>
      </c>
      <c r="H219" s="181" t="s">
        <v>2041</v>
      </c>
      <c r="I219" s="182">
        <v>0</v>
      </c>
      <c r="J219" s="183" t="s">
        <v>2042</v>
      </c>
      <c r="K219" s="184" t="s">
        <v>2042</v>
      </c>
      <c r="L219" s="184" t="s">
        <v>2042</v>
      </c>
      <c r="M219" s="184" t="s">
        <v>2042</v>
      </c>
      <c r="N219" s="184" t="s">
        <v>2042</v>
      </c>
      <c r="O219" s="184" t="s">
        <v>2042</v>
      </c>
      <c r="P219" s="184" t="s">
        <v>2042</v>
      </c>
      <c r="Q219" s="184" t="s">
        <v>2042</v>
      </c>
      <c r="R219" s="184" t="s">
        <v>2042</v>
      </c>
      <c r="S219" s="184" t="s">
        <v>2042</v>
      </c>
      <c r="T219" s="184" t="s">
        <v>2042</v>
      </c>
      <c r="U219" s="184" t="s">
        <v>2042</v>
      </c>
      <c r="V219" s="184" t="s">
        <v>2042</v>
      </c>
      <c r="W219" s="184" t="s">
        <v>2042</v>
      </c>
      <c r="X219" s="184" t="s">
        <v>2042</v>
      </c>
      <c r="Y219" s="184" t="s">
        <v>2042</v>
      </c>
      <c r="Z219" s="184" t="s">
        <v>2042</v>
      </c>
      <c r="AA219" s="184" t="s">
        <v>2042</v>
      </c>
      <c r="AB219" s="184" t="s">
        <v>2042</v>
      </c>
      <c r="AC219" s="184" t="s">
        <v>2042</v>
      </c>
      <c r="AD219" s="184" t="s">
        <v>2042</v>
      </c>
      <c r="AE219" s="184" t="s">
        <v>2042</v>
      </c>
      <c r="AF219" s="184" t="s">
        <v>2042</v>
      </c>
      <c r="AG219" s="184" t="s">
        <v>2042</v>
      </c>
      <c r="AH219" s="184" t="s">
        <v>2042</v>
      </c>
      <c r="AI219" s="184" t="s">
        <v>2042</v>
      </c>
      <c r="AJ219" s="184" t="s">
        <v>2042</v>
      </c>
      <c r="AK219" s="184" t="s">
        <v>2042</v>
      </c>
      <c r="AL219" s="184" t="s">
        <v>2042</v>
      </c>
      <c r="AM219" s="184" t="s">
        <v>2042</v>
      </c>
      <c r="AN219" s="184" t="s">
        <v>2042</v>
      </c>
      <c r="AO219" s="184" t="s">
        <v>2042</v>
      </c>
      <c r="AP219" s="184" t="s">
        <v>2042</v>
      </c>
      <c r="AQ219" s="175"/>
    </row>
    <row r="220" spans="1:43" ht="14.5">
      <c r="A220" s="169"/>
      <c r="B220" s="170"/>
      <c r="C220" s="176"/>
      <c r="D220" s="177"/>
      <c r="E220" s="178">
        <v>1</v>
      </c>
      <c r="F220" s="179"/>
      <c r="G220" s="186" t="e">
        <f>IF(C220="","",SUMIFS(MRP!$D$5:$D1000,MRP!$B$5:$B1000,C220))*E220</f>
        <v>#VALUE!</v>
      </c>
      <c r="H220" s="181" t="s">
        <v>2041</v>
      </c>
      <c r="I220" s="182">
        <v>0</v>
      </c>
      <c r="J220" s="183" t="s">
        <v>2042</v>
      </c>
      <c r="K220" s="184" t="s">
        <v>2042</v>
      </c>
      <c r="L220" s="184" t="s">
        <v>2042</v>
      </c>
      <c r="M220" s="184" t="s">
        <v>2042</v>
      </c>
      <c r="N220" s="184" t="s">
        <v>2042</v>
      </c>
      <c r="O220" s="184" t="s">
        <v>2042</v>
      </c>
      <c r="P220" s="184" t="s">
        <v>2042</v>
      </c>
      <c r="Q220" s="184" t="s">
        <v>2042</v>
      </c>
      <c r="R220" s="184" t="s">
        <v>2042</v>
      </c>
      <c r="S220" s="184" t="s">
        <v>2042</v>
      </c>
      <c r="T220" s="184" t="s">
        <v>2042</v>
      </c>
      <c r="U220" s="184" t="s">
        <v>2042</v>
      </c>
      <c r="V220" s="184" t="s">
        <v>2042</v>
      </c>
      <c r="W220" s="184" t="s">
        <v>2042</v>
      </c>
      <c r="X220" s="184" t="s">
        <v>2042</v>
      </c>
      <c r="Y220" s="184" t="s">
        <v>2042</v>
      </c>
      <c r="Z220" s="184" t="s">
        <v>2042</v>
      </c>
      <c r="AA220" s="184" t="s">
        <v>2042</v>
      </c>
      <c r="AB220" s="184" t="s">
        <v>2042</v>
      </c>
      <c r="AC220" s="184" t="s">
        <v>2042</v>
      </c>
      <c r="AD220" s="184" t="s">
        <v>2042</v>
      </c>
      <c r="AE220" s="184" t="s">
        <v>2042</v>
      </c>
      <c r="AF220" s="184" t="s">
        <v>2042</v>
      </c>
      <c r="AG220" s="184" t="s">
        <v>2042</v>
      </c>
      <c r="AH220" s="184" t="s">
        <v>2042</v>
      </c>
      <c r="AI220" s="184" t="s">
        <v>2042</v>
      </c>
      <c r="AJ220" s="184" t="s">
        <v>2042</v>
      </c>
      <c r="AK220" s="184" t="s">
        <v>2042</v>
      </c>
      <c r="AL220" s="184" t="s">
        <v>2042</v>
      </c>
      <c r="AM220" s="184" t="s">
        <v>2042</v>
      </c>
      <c r="AN220" s="184" t="s">
        <v>2042</v>
      </c>
      <c r="AO220" s="184" t="s">
        <v>2042</v>
      </c>
      <c r="AP220" s="184" t="s">
        <v>2042</v>
      </c>
      <c r="AQ220" s="175"/>
    </row>
    <row r="221" spans="1:43" ht="14.5">
      <c r="A221" s="169"/>
      <c r="B221" s="170"/>
      <c r="C221" s="176"/>
      <c r="D221" s="177"/>
      <c r="E221" s="178">
        <v>1</v>
      </c>
      <c r="F221" s="179"/>
      <c r="G221" s="186" t="e">
        <f>IF(C221="","",SUMIFS(MRP!$D$5:$D1000,MRP!$B$5:$B1000,C221))*E221</f>
        <v>#VALUE!</v>
      </c>
      <c r="H221" s="181" t="s">
        <v>2041</v>
      </c>
      <c r="I221" s="182">
        <v>0</v>
      </c>
      <c r="J221" s="183" t="s">
        <v>2042</v>
      </c>
      <c r="K221" s="184" t="s">
        <v>2042</v>
      </c>
      <c r="L221" s="184" t="s">
        <v>2042</v>
      </c>
      <c r="M221" s="184" t="s">
        <v>2042</v>
      </c>
      <c r="N221" s="184" t="s">
        <v>2042</v>
      </c>
      <c r="O221" s="184" t="s">
        <v>2042</v>
      </c>
      <c r="P221" s="184" t="s">
        <v>2042</v>
      </c>
      <c r="Q221" s="184" t="s">
        <v>2042</v>
      </c>
      <c r="R221" s="184" t="s">
        <v>2042</v>
      </c>
      <c r="S221" s="184" t="s">
        <v>2042</v>
      </c>
      <c r="T221" s="184" t="s">
        <v>2042</v>
      </c>
      <c r="U221" s="184" t="s">
        <v>2042</v>
      </c>
      <c r="V221" s="184" t="s">
        <v>2042</v>
      </c>
      <c r="W221" s="184" t="s">
        <v>2042</v>
      </c>
      <c r="X221" s="184" t="s">
        <v>2042</v>
      </c>
      <c r="Y221" s="184" t="s">
        <v>2042</v>
      </c>
      <c r="Z221" s="184" t="s">
        <v>2042</v>
      </c>
      <c r="AA221" s="184" t="s">
        <v>2042</v>
      </c>
      <c r="AB221" s="184" t="s">
        <v>2042</v>
      </c>
      <c r="AC221" s="184" t="s">
        <v>2042</v>
      </c>
      <c r="AD221" s="184" t="s">
        <v>2042</v>
      </c>
      <c r="AE221" s="184" t="s">
        <v>2042</v>
      </c>
      <c r="AF221" s="184" t="s">
        <v>2042</v>
      </c>
      <c r="AG221" s="184" t="s">
        <v>2042</v>
      </c>
      <c r="AH221" s="184" t="s">
        <v>2042</v>
      </c>
      <c r="AI221" s="184" t="s">
        <v>2042</v>
      </c>
      <c r="AJ221" s="184" t="s">
        <v>2042</v>
      </c>
      <c r="AK221" s="184" t="s">
        <v>2042</v>
      </c>
      <c r="AL221" s="184" t="s">
        <v>2042</v>
      </c>
      <c r="AM221" s="184" t="s">
        <v>2042</v>
      </c>
      <c r="AN221" s="184" t="s">
        <v>2042</v>
      </c>
      <c r="AO221" s="184" t="s">
        <v>2042</v>
      </c>
      <c r="AP221" s="184" t="s">
        <v>2042</v>
      </c>
      <c r="AQ221" s="175"/>
    </row>
    <row r="222" spans="1:43" ht="14.5">
      <c r="A222" s="169"/>
      <c r="B222" s="170"/>
      <c r="C222" s="176"/>
      <c r="D222" s="177"/>
      <c r="E222" s="178">
        <v>1</v>
      </c>
      <c r="F222" s="179"/>
      <c r="G222" s="186" t="e">
        <f>IF(C222="","",SUMIFS(MRP!$D$5:$D1000,MRP!$B$5:$B1000,C222))*E222</f>
        <v>#VALUE!</v>
      </c>
      <c r="H222" s="181" t="s">
        <v>2041</v>
      </c>
      <c r="I222" s="182">
        <v>0</v>
      </c>
      <c r="J222" s="183" t="s">
        <v>2042</v>
      </c>
      <c r="K222" s="184" t="s">
        <v>2042</v>
      </c>
      <c r="L222" s="184" t="s">
        <v>2042</v>
      </c>
      <c r="M222" s="184" t="s">
        <v>2042</v>
      </c>
      <c r="N222" s="184" t="s">
        <v>2042</v>
      </c>
      <c r="O222" s="184" t="s">
        <v>2042</v>
      </c>
      <c r="P222" s="184" t="s">
        <v>2042</v>
      </c>
      <c r="Q222" s="184" t="s">
        <v>2042</v>
      </c>
      <c r="R222" s="184" t="s">
        <v>2042</v>
      </c>
      <c r="S222" s="184" t="s">
        <v>2042</v>
      </c>
      <c r="T222" s="184" t="s">
        <v>2042</v>
      </c>
      <c r="U222" s="184" t="s">
        <v>2042</v>
      </c>
      <c r="V222" s="184" t="s">
        <v>2042</v>
      </c>
      <c r="W222" s="184" t="s">
        <v>2042</v>
      </c>
      <c r="X222" s="184" t="s">
        <v>2042</v>
      </c>
      <c r="Y222" s="184" t="s">
        <v>2042</v>
      </c>
      <c r="Z222" s="184" t="s">
        <v>2042</v>
      </c>
      <c r="AA222" s="184" t="s">
        <v>2042</v>
      </c>
      <c r="AB222" s="184" t="s">
        <v>2042</v>
      </c>
      <c r="AC222" s="184" t="s">
        <v>2042</v>
      </c>
      <c r="AD222" s="184" t="s">
        <v>2042</v>
      </c>
      <c r="AE222" s="184" t="s">
        <v>2042</v>
      </c>
      <c r="AF222" s="184" t="s">
        <v>2042</v>
      </c>
      <c r="AG222" s="184" t="s">
        <v>2042</v>
      </c>
      <c r="AH222" s="184" t="s">
        <v>2042</v>
      </c>
      <c r="AI222" s="184" t="s">
        <v>2042</v>
      </c>
      <c r="AJ222" s="184" t="s">
        <v>2042</v>
      </c>
      <c r="AK222" s="184" t="s">
        <v>2042</v>
      </c>
      <c r="AL222" s="184" t="s">
        <v>2042</v>
      </c>
      <c r="AM222" s="184" t="s">
        <v>2042</v>
      </c>
      <c r="AN222" s="184" t="s">
        <v>2042</v>
      </c>
      <c r="AO222" s="184" t="s">
        <v>2042</v>
      </c>
      <c r="AP222" s="184" t="s">
        <v>2042</v>
      </c>
      <c r="AQ222" s="175"/>
    </row>
    <row r="223" spans="1:43" ht="14.5">
      <c r="A223" s="169"/>
      <c r="B223" s="170"/>
      <c r="C223" s="176"/>
      <c r="D223" s="177"/>
      <c r="E223" s="178">
        <v>1</v>
      </c>
      <c r="F223" s="179"/>
      <c r="G223" s="186" t="e">
        <f>IF(C223="","",SUMIFS(MRP!$D$5:$D1000,MRP!$B$5:$B1000,C223))*E223</f>
        <v>#VALUE!</v>
      </c>
      <c r="H223" s="181" t="s">
        <v>2041</v>
      </c>
      <c r="I223" s="182">
        <v>0</v>
      </c>
      <c r="J223" s="183" t="s">
        <v>2042</v>
      </c>
      <c r="K223" s="185" t="s">
        <v>2042</v>
      </c>
      <c r="L223" s="185" t="s">
        <v>2042</v>
      </c>
      <c r="M223" s="185" t="s">
        <v>2042</v>
      </c>
      <c r="N223" s="185" t="s">
        <v>2042</v>
      </c>
      <c r="O223" s="185" t="s">
        <v>2042</v>
      </c>
      <c r="P223" s="185" t="s">
        <v>2042</v>
      </c>
      <c r="Q223" s="185" t="s">
        <v>2042</v>
      </c>
      <c r="R223" s="185" t="s">
        <v>2042</v>
      </c>
      <c r="S223" s="185" t="s">
        <v>2042</v>
      </c>
      <c r="T223" s="185" t="s">
        <v>2042</v>
      </c>
      <c r="U223" s="185" t="s">
        <v>2042</v>
      </c>
      <c r="V223" s="185" t="s">
        <v>2042</v>
      </c>
      <c r="W223" s="185" t="s">
        <v>2042</v>
      </c>
      <c r="X223" s="185" t="s">
        <v>2042</v>
      </c>
      <c r="Y223" s="185" t="s">
        <v>2042</v>
      </c>
      <c r="Z223" s="185" t="s">
        <v>2042</v>
      </c>
      <c r="AA223" s="185" t="s">
        <v>2042</v>
      </c>
      <c r="AB223" s="185" t="s">
        <v>2042</v>
      </c>
      <c r="AC223" s="185" t="s">
        <v>2042</v>
      </c>
      <c r="AD223" s="185" t="s">
        <v>2042</v>
      </c>
      <c r="AE223" s="185" t="s">
        <v>2042</v>
      </c>
      <c r="AF223" s="185" t="s">
        <v>2042</v>
      </c>
      <c r="AG223" s="185" t="s">
        <v>2042</v>
      </c>
      <c r="AH223" s="185" t="s">
        <v>2042</v>
      </c>
      <c r="AI223" s="185" t="s">
        <v>2042</v>
      </c>
      <c r="AJ223" s="185" t="s">
        <v>2042</v>
      </c>
      <c r="AK223" s="185" t="s">
        <v>2042</v>
      </c>
      <c r="AL223" s="185" t="s">
        <v>2042</v>
      </c>
      <c r="AM223" s="185" t="s">
        <v>2042</v>
      </c>
      <c r="AN223" s="185" t="s">
        <v>2042</v>
      </c>
      <c r="AO223" s="185" t="s">
        <v>2042</v>
      </c>
      <c r="AP223" s="185" t="s">
        <v>2042</v>
      </c>
      <c r="AQ223" s="175"/>
    </row>
    <row r="224" spans="1:43" ht="14.5">
      <c r="A224" s="169"/>
      <c r="B224" s="170"/>
      <c r="C224" s="176"/>
      <c r="D224" s="177"/>
      <c r="E224" s="178">
        <v>1</v>
      </c>
      <c r="F224" s="179"/>
      <c r="G224" s="186" t="e">
        <f>IF(C224="","",SUMIFS(MRP!$D$5:$D1000,MRP!$B$5:$B1000,C224))*E224</f>
        <v>#VALUE!</v>
      </c>
      <c r="H224" s="181" t="s">
        <v>2041</v>
      </c>
      <c r="I224" s="182">
        <v>0</v>
      </c>
      <c r="J224" s="183" t="s">
        <v>2042</v>
      </c>
      <c r="K224" s="184" t="s">
        <v>2042</v>
      </c>
      <c r="L224" s="184" t="s">
        <v>2042</v>
      </c>
      <c r="M224" s="184" t="s">
        <v>2042</v>
      </c>
      <c r="N224" s="184" t="s">
        <v>2042</v>
      </c>
      <c r="O224" s="184" t="s">
        <v>2042</v>
      </c>
      <c r="P224" s="184" t="s">
        <v>2042</v>
      </c>
      <c r="Q224" s="184" t="s">
        <v>2042</v>
      </c>
      <c r="R224" s="184" t="s">
        <v>2042</v>
      </c>
      <c r="S224" s="184" t="s">
        <v>2042</v>
      </c>
      <c r="T224" s="184" t="s">
        <v>2042</v>
      </c>
      <c r="U224" s="184" t="s">
        <v>2042</v>
      </c>
      <c r="V224" s="184" t="s">
        <v>2042</v>
      </c>
      <c r="W224" s="184" t="s">
        <v>2042</v>
      </c>
      <c r="X224" s="184" t="s">
        <v>2042</v>
      </c>
      <c r="Y224" s="184" t="s">
        <v>2042</v>
      </c>
      <c r="Z224" s="184" t="s">
        <v>2042</v>
      </c>
      <c r="AA224" s="184" t="s">
        <v>2042</v>
      </c>
      <c r="AB224" s="184" t="s">
        <v>2042</v>
      </c>
      <c r="AC224" s="184" t="s">
        <v>2042</v>
      </c>
      <c r="AD224" s="184" t="s">
        <v>2042</v>
      </c>
      <c r="AE224" s="184" t="s">
        <v>2042</v>
      </c>
      <c r="AF224" s="184" t="s">
        <v>2042</v>
      </c>
      <c r="AG224" s="184" t="s">
        <v>2042</v>
      </c>
      <c r="AH224" s="184" t="s">
        <v>2042</v>
      </c>
      <c r="AI224" s="184" t="s">
        <v>2042</v>
      </c>
      <c r="AJ224" s="184" t="s">
        <v>2042</v>
      </c>
      <c r="AK224" s="184" t="s">
        <v>2042</v>
      </c>
      <c r="AL224" s="184" t="s">
        <v>2042</v>
      </c>
      <c r="AM224" s="184" t="s">
        <v>2042</v>
      </c>
      <c r="AN224" s="184" t="s">
        <v>2042</v>
      </c>
      <c r="AO224" s="184" t="s">
        <v>2042</v>
      </c>
      <c r="AP224" s="184" t="s">
        <v>2042</v>
      </c>
      <c r="AQ224" s="175"/>
    </row>
    <row r="225" spans="1:43" ht="14.5">
      <c r="A225" s="169"/>
      <c r="B225" s="170"/>
      <c r="C225" s="176"/>
      <c r="D225" s="177"/>
      <c r="E225" s="178">
        <v>1</v>
      </c>
      <c r="F225" s="179"/>
      <c r="G225" s="186" t="e">
        <f>IF(C225="","",SUMIFS(MRP!$D$5:$D1000,MRP!$B$5:$B1000,C225))*E225</f>
        <v>#VALUE!</v>
      </c>
      <c r="H225" s="181" t="s">
        <v>2041</v>
      </c>
      <c r="I225" s="182">
        <v>0</v>
      </c>
      <c r="J225" s="183" t="s">
        <v>2042</v>
      </c>
      <c r="K225" s="184" t="s">
        <v>2042</v>
      </c>
      <c r="L225" s="184" t="s">
        <v>2042</v>
      </c>
      <c r="M225" s="185" t="s">
        <v>2042</v>
      </c>
      <c r="N225" s="185" t="s">
        <v>2042</v>
      </c>
      <c r="O225" s="185" t="s">
        <v>2042</v>
      </c>
      <c r="P225" s="185" t="s">
        <v>2042</v>
      </c>
      <c r="Q225" s="185" t="s">
        <v>2042</v>
      </c>
      <c r="R225" s="185" t="s">
        <v>2042</v>
      </c>
      <c r="S225" s="185" t="s">
        <v>2042</v>
      </c>
      <c r="T225" s="185" t="s">
        <v>2042</v>
      </c>
      <c r="U225" s="185" t="s">
        <v>2042</v>
      </c>
      <c r="V225" s="185" t="s">
        <v>2042</v>
      </c>
      <c r="W225" s="185" t="s">
        <v>2042</v>
      </c>
      <c r="X225" s="185" t="s">
        <v>2042</v>
      </c>
      <c r="Y225" s="185" t="s">
        <v>2042</v>
      </c>
      <c r="Z225" s="185" t="s">
        <v>2042</v>
      </c>
      <c r="AA225" s="185" t="s">
        <v>2042</v>
      </c>
      <c r="AB225" s="185" t="s">
        <v>2042</v>
      </c>
      <c r="AC225" s="185" t="s">
        <v>2042</v>
      </c>
      <c r="AD225" s="185" t="s">
        <v>2042</v>
      </c>
      <c r="AE225" s="185" t="s">
        <v>2042</v>
      </c>
      <c r="AF225" s="185" t="s">
        <v>2042</v>
      </c>
      <c r="AG225" s="185" t="s">
        <v>2042</v>
      </c>
      <c r="AH225" s="185" t="s">
        <v>2042</v>
      </c>
      <c r="AI225" s="185" t="s">
        <v>2042</v>
      </c>
      <c r="AJ225" s="185" t="s">
        <v>2042</v>
      </c>
      <c r="AK225" s="185" t="s">
        <v>2042</v>
      </c>
      <c r="AL225" s="185" t="s">
        <v>2042</v>
      </c>
      <c r="AM225" s="185" t="s">
        <v>2042</v>
      </c>
      <c r="AN225" s="185" t="s">
        <v>2042</v>
      </c>
      <c r="AO225" s="185" t="s">
        <v>2042</v>
      </c>
      <c r="AP225" s="185" t="s">
        <v>2042</v>
      </c>
      <c r="AQ225" s="175"/>
    </row>
    <row r="226" spans="1:43" ht="14.5">
      <c r="A226" s="169"/>
      <c r="B226" s="170"/>
      <c r="C226" s="176"/>
      <c r="D226" s="177"/>
      <c r="E226" s="178">
        <v>1</v>
      </c>
      <c r="F226" s="179"/>
      <c r="G226" s="186" t="e">
        <f>IF(C226="","",SUMIFS(MRP!$D$5:$D1000,MRP!$B$5:$B1000,C226))*E226</f>
        <v>#VALUE!</v>
      </c>
      <c r="H226" s="181" t="s">
        <v>2041</v>
      </c>
      <c r="I226" s="182">
        <v>0</v>
      </c>
      <c r="J226" s="183" t="s">
        <v>2042</v>
      </c>
      <c r="K226" s="184" t="s">
        <v>2042</v>
      </c>
      <c r="L226" s="184" t="s">
        <v>2042</v>
      </c>
      <c r="M226" s="185" t="s">
        <v>2042</v>
      </c>
      <c r="N226" s="184" t="s">
        <v>2042</v>
      </c>
      <c r="O226" s="184" t="s">
        <v>2042</v>
      </c>
      <c r="P226" s="184" t="s">
        <v>2042</v>
      </c>
      <c r="Q226" s="184" t="s">
        <v>2042</v>
      </c>
      <c r="R226" s="184" t="s">
        <v>2042</v>
      </c>
      <c r="S226" s="184" t="s">
        <v>2042</v>
      </c>
      <c r="T226" s="184" t="s">
        <v>2042</v>
      </c>
      <c r="U226" s="184" t="s">
        <v>2042</v>
      </c>
      <c r="V226" s="184" t="s">
        <v>2042</v>
      </c>
      <c r="W226" s="184" t="s">
        <v>2042</v>
      </c>
      <c r="X226" s="184" t="s">
        <v>2042</v>
      </c>
      <c r="Y226" s="184" t="s">
        <v>2042</v>
      </c>
      <c r="Z226" s="184" t="s">
        <v>2042</v>
      </c>
      <c r="AA226" s="184" t="s">
        <v>2042</v>
      </c>
      <c r="AB226" s="184" t="s">
        <v>2042</v>
      </c>
      <c r="AC226" s="184" t="s">
        <v>2042</v>
      </c>
      <c r="AD226" s="184" t="s">
        <v>2042</v>
      </c>
      <c r="AE226" s="184" t="s">
        <v>2042</v>
      </c>
      <c r="AF226" s="184" t="s">
        <v>2042</v>
      </c>
      <c r="AG226" s="184" t="s">
        <v>2042</v>
      </c>
      <c r="AH226" s="184" t="s">
        <v>2042</v>
      </c>
      <c r="AI226" s="184" t="s">
        <v>2042</v>
      </c>
      <c r="AJ226" s="184" t="s">
        <v>2042</v>
      </c>
      <c r="AK226" s="184" t="s">
        <v>2042</v>
      </c>
      <c r="AL226" s="184" t="s">
        <v>2042</v>
      </c>
      <c r="AM226" s="184" t="s">
        <v>2042</v>
      </c>
      <c r="AN226" s="184" t="s">
        <v>2042</v>
      </c>
      <c r="AO226" s="185" t="s">
        <v>2042</v>
      </c>
      <c r="AP226" s="185" t="s">
        <v>2042</v>
      </c>
      <c r="AQ226" s="175"/>
    </row>
    <row r="227" spans="1:43" ht="14.5">
      <c r="A227" s="169"/>
      <c r="B227" s="170"/>
      <c r="C227" s="176"/>
      <c r="D227" s="177"/>
      <c r="E227" s="178">
        <v>1</v>
      </c>
      <c r="F227" s="179"/>
      <c r="G227" s="186" t="e">
        <f>IF(C227="","",SUMIFS(MRP!$D$5:$D1000,MRP!$B$5:$B1000,C227))*E227</f>
        <v>#VALUE!</v>
      </c>
      <c r="H227" s="181" t="s">
        <v>2041</v>
      </c>
      <c r="I227" s="182">
        <v>0</v>
      </c>
      <c r="J227" s="183" t="s">
        <v>2042</v>
      </c>
      <c r="K227" s="184" t="s">
        <v>2042</v>
      </c>
      <c r="L227" s="184" t="s">
        <v>2042</v>
      </c>
      <c r="M227" s="184" t="s">
        <v>2042</v>
      </c>
      <c r="N227" s="184" t="s">
        <v>2042</v>
      </c>
      <c r="O227" s="184" t="s">
        <v>2042</v>
      </c>
      <c r="P227" s="184" t="s">
        <v>2042</v>
      </c>
      <c r="Q227" s="184" t="s">
        <v>2042</v>
      </c>
      <c r="R227" s="184" t="s">
        <v>2042</v>
      </c>
      <c r="S227" s="184" t="s">
        <v>2042</v>
      </c>
      <c r="T227" s="184" t="s">
        <v>2042</v>
      </c>
      <c r="U227" s="184" t="s">
        <v>2042</v>
      </c>
      <c r="V227" s="184" t="s">
        <v>2042</v>
      </c>
      <c r="W227" s="184" t="s">
        <v>2042</v>
      </c>
      <c r="X227" s="184" t="s">
        <v>2042</v>
      </c>
      <c r="Y227" s="184" t="s">
        <v>2042</v>
      </c>
      <c r="Z227" s="184" t="s">
        <v>2042</v>
      </c>
      <c r="AA227" s="184" t="s">
        <v>2042</v>
      </c>
      <c r="AB227" s="184" t="s">
        <v>2042</v>
      </c>
      <c r="AC227" s="184" t="s">
        <v>2042</v>
      </c>
      <c r="AD227" s="184" t="s">
        <v>2042</v>
      </c>
      <c r="AE227" s="184" t="s">
        <v>2042</v>
      </c>
      <c r="AF227" s="184" t="s">
        <v>2042</v>
      </c>
      <c r="AG227" s="184" t="s">
        <v>2042</v>
      </c>
      <c r="AH227" s="184" t="s">
        <v>2042</v>
      </c>
      <c r="AI227" s="184" t="s">
        <v>2042</v>
      </c>
      <c r="AJ227" s="184" t="s">
        <v>2042</v>
      </c>
      <c r="AK227" s="184" t="s">
        <v>2042</v>
      </c>
      <c r="AL227" s="184" t="s">
        <v>2042</v>
      </c>
      <c r="AM227" s="184" t="s">
        <v>2042</v>
      </c>
      <c r="AN227" s="184" t="s">
        <v>2042</v>
      </c>
      <c r="AO227" s="184" t="s">
        <v>2042</v>
      </c>
      <c r="AP227" s="184" t="s">
        <v>2042</v>
      </c>
      <c r="AQ227" s="175"/>
    </row>
    <row r="228" spans="1:43" ht="14.5">
      <c r="A228" s="169"/>
      <c r="B228" s="170"/>
      <c r="C228" s="176"/>
      <c r="D228" s="177"/>
      <c r="E228" s="178">
        <v>1</v>
      </c>
      <c r="F228" s="179"/>
      <c r="G228" s="186" t="e">
        <f>IF(C228="","",SUMIFS(MRP!$D$5:$D1000,MRP!$B$5:$B1000,C228))*E228</f>
        <v>#VALUE!</v>
      </c>
      <c r="H228" s="181" t="s">
        <v>2041</v>
      </c>
      <c r="I228" s="182">
        <v>0</v>
      </c>
      <c r="J228" s="183" t="s">
        <v>2042</v>
      </c>
      <c r="K228" s="184" t="s">
        <v>2042</v>
      </c>
      <c r="L228" s="184" t="s">
        <v>2042</v>
      </c>
      <c r="M228" s="185" t="s">
        <v>2042</v>
      </c>
      <c r="N228" s="187" t="s">
        <v>2042</v>
      </c>
      <c r="O228" s="187" t="s">
        <v>2042</v>
      </c>
      <c r="P228" s="187" t="s">
        <v>2042</v>
      </c>
      <c r="Q228" s="185" t="s">
        <v>2042</v>
      </c>
      <c r="R228" s="187" t="s">
        <v>2042</v>
      </c>
      <c r="S228" s="187" t="s">
        <v>2042</v>
      </c>
      <c r="T228" s="187" t="s">
        <v>2042</v>
      </c>
      <c r="U228" s="187" t="s">
        <v>2042</v>
      </c>
      <c r="V228" s="187" t="s">
        <v>2042</v>
      </c>
      <c r="W228" s="185" t="s">
        <v>2042</v>
      </c>
      <c r="X228" s="185" t="s">
        <v>2042</v>
      </c>
      <c r="Y228" s="185" t="s">
        <v>2042</v>
      </c>
      <c r="Z228" s="185" t="s">
        <v>2042</v>
      </c>
      <c r="AA228" s="185" t="s">
        <v>2042</v>
      </c>
      <c r="AB228" s="185" t="s">
        <v>2042</v>
      </c>
      <c r="AC228" s="185" t="s">
        <v>2042</v>
      </c>
      <c r="AD228" s="185" t="s">
        <v>2042</v>
      </c>
      <c r="AE228" s="185" t="s">
        <v>2042</v>
      </c>
      <c r="AF228" s="185" t="s">
        <v>2042</v>
      </c>
      <c r="AG228" s="185" t="s">
        <v>2042</v>
      </c>
      <c r="AH228" s="185" t="s">
        <v>2042</v>
      </c>
      <c r="AI228" s="185" t="s">
        <v>2042</v>
      </c>
      <c r="AJ228" s="185" t="s">
        <v>2042</v>
      </c>
      <c r="AK228" s="185" t="s">
        <v>2042</v>
      </c>
      <c r="AL228" s="185" t="s">
        <v>2042</v>
      </c>
      <c r="AM228" s="185" t="s">
        <v>2042</v>
      </c>
      <c r="AN228" s="185" t="s">
        <v>2042</v>
      </c>
      <c r="AO228" s="185" t="s">
        <v>2042</v>
      </c>
      <c r="AP228" s="185" t="s">
        <v>2042</v>
      </c>
      <c r="AQ228" s="175"/>
    </row>
    <row r="229" spans="1:43" ht="14.5">
      <c r="A229" s="169"/>
      <c r="B229" s="170"/>
      <c r="C229" s="176"/>
      <c r="D229" s="177"/>
      <c r="E229" s="178">
        <v>1</v>
      </c>
      <c r="F229" s="179"/>
      <c r="G229" s="186" t="e">
        <f>IF(C229="","",SUMIFS(MRP!$D$5:$D1000,MRP!$B$5:$B1000,C229))*E229</f>
        <v>#VALUE!</v>
      </c>
      <c r="H229" s="181" t="s">
        <v>2041</v>
      </c>
      <c r="I229" s="182">
        <v>0</v>
      </c>
      <c r="J229" s="183" t="s">
        <v>2042</v>
      </c>
      <c r="K229" s="185" t="s">
        <v>2042</v>
      </c>
      <c r="L229" s="185" t="s">
        <v>2042</v>
      </c>
      <c r="M229" s="185" t="s">
        <v>2042</v>
      </c>
      <c r="N229" s="185" t="s">
        <v>2042</v>
      </c>
      <c r="O229" s="185" t="s">
        <v>2042</v>
      </c>
      <c r="P229" s="185" t="s">
        <v>2042</v>
      </c>
      <c r="Q229" s="185" t="s">
        <v>2042</v>
      </c>
      <c r="R229" s="185" t="s">
        <v>2042</v>
      </c>
      <c r="S229" s="185" t="s">
        <v>2042</v>
      </c>
      <c r="T229" s="185" t="s">
        <v>2042</v>
      </c>
      <c r="U229" s="185" t="s">
        <v>2042</v>
      </c>
      <c r="V229" s="185" t="s">
        <v>2042</v>
      </c>
      <c r="W229" s="185" t="s">
        <v>2042</v>
      </c>
      <c r="X229" s="185" t="s">
        <v>2042</v>
      </c>
      <c r="Y229" s="185" t="s">
        <v>2042</v>
      </c>
      <c r="Z229" s="185" t="s">
        <v>2042</v>
      </c>
      <c r="AA229" s="185" t="s">
        <v>2042</v>
      </c>
      <c r="AB229" s="185" t="s">
        <v>2042</v>
      </c>
      <c r="AC229" s="185" t="s">
        <v>2042</v>
      </c>
      <c r="AD229" s="185" t="s">
        <v>2042</v>
      </c>
      <c r="AE229" s="185" t="s">
        <v>2042</v>
      </c>
      <c r="AF229" s="185" t="s">
        <v>2042</v>
      </c>
      <c r="AG229" s="185" t="s">
        <v>2042</v>
      </c>
      <c r="AH229" s="185" t="s">
        <v>2042</v>
      </c>
      <c r="AI229" s="185" t="s">
        <v>2042</v>
      </c>
      <c r="AJ229" s="185" t="s">
        <v>2042</v>
      </c>
      <c r="AK229" s="185" t="s">
        <v>2042</v>
      </c>
      <c r="AL229" s="185" t="s">
        <v>2042</v>
      </c>
      <c r="AM229" s="185" t="s">
        <v>2042</v>
      </c>
      <c r="AN229" s="185" t="s">
        <v>2042</v>
      </c>
      <c r="AO229" s="185" t="s">
        <v>2042</v>
      </c>
      <c r="AP229" s="185" t="s">
        <v>2042</v>
      </c>
      <c r="AQ229" s="175"/>
    </row>
    <row r="230" spans="1:43" ht="14.5">
      <c r="A230" s="169"/>
      <c r="B230" s="170"/>
      <c r="C230" s="176"/>
      <c r="D230" s="177"/>
      <c r="E230" s="178">
        <v>1</v>
      </c>
      <c r="F230" s="179"/>
      <c r="G230" s="186" t="e">
        <f>IF(C230="","",SUMIFS(MRP!$D$5:$D1000,MRP!$B$5:$B1000,C230))*E230</f>
        <v>#VALUE!</v>
      </c>
      <c r="H230" s="181" t="s">
        <v>2041</v>
      </c>
      <c r="I230" s="182">
        <v>0</v>
      </c>
      <c r="J230" s="183" t="s">
        <v>2042</v>
      </c>
      <c r="K230" s="184" t="s">
        <v>2042</v>
      </c>
      <c r="L230" s="184" t="s">
        <v>2042</v>
      </c>
      <c r="M230" s="184" t="s">
        <v>2042</v>
      </c>
      <c r="N230" s="184" t="s">
        <v>2042</v>
      </c>
      <c r="O230" s="184" t="s">
        <v>2042</v>
      </c>
      <c r="P230" s="184" t="s">
        <v>2042</v>
      </c>
      <c r="Q230" s="184" t="s">
        <v>2042</v>
      </c>
      <c r="R230" s="184" t="s">
        <v>2042</v>
      </c>
      <c r="S230" s="184" t="s">
        <v>2042</v>
      </c>
      <c r="T230" s="184" t="s">
        <v>2042</v>
      </c>
      <c r="U230" s="184" t="s">
        <v>2042</v>
      </c>
      <c r="V230" s="184" t="s">
        <v>2042</v>
      </c>
      <c r="W230" s="184" t="s">
        <v>2042</v>
      </c>
      <c r="X230" s="184" t="s">
        <v>2042</v>
      </c>
      <c r="Y230" s="184" t="s">
        <v>2042</v>
      </c>
      <c r="Z230" s="184" t="s">
        <v>2042</v>
      </c>
      <c r="AA230" s="184" t="s">
        <v>2042</v>
      </c>
      <c r="AB230" s="184" t="s">
        <v>2042</v>
      </c>
      <c r="AC230" s="184" t="s">
        <v>2042</v>
      </c>
      <c r="AD230" s="184" t="s">
        <v>2042</v>
      </c>
      <c r="AE230" s="184" t="s">
        <v>2042</v>
      </c>
      <c r="AF230" s="184" t="s">
        <v>2042</v>
      </c>
      <c r="AG230" s="184" t="s">
        <v>2042</v>
      </c>
      <c r="AH230" s="184" t="s">
        <v>2042</v>
      </c>
      <c r="AI230" s="184" t="s">
        <v>2042</v>
      </c>
      <c r="AJ230" s="184" t="s">
        <v>2042</v>
      </c>
      <c r="AK230" s="184" t="s">
        <v>2042</v>
      </c>
      <c r="AL230" s="184" t="s">
        <v>2042</v>
      </c>
      <c r="AM230" s="184" t="s">
        <v>2042</v>
      </c>
      <c r="AN230" s="184" t="s">
        <v>2042</v>
      </c>
      <c r="AO230" s="184" t="s">
        <v>2042</v>
      </c>
      <c r="AP230" s="184" t="s">
        <v>2042</v>
      </c>
      <c r="AQ230" s="175"/>
    </row>
    <row r="231" spans="1:43" ht="14.5">
      <c r="A231" s="169"/>
      <c r="B231" s="170"/>
      <c r="C231" s="176"/>
      <c r="D231" s="177"/>
      <c r="E231" s="178">
        <v>1</v>
      </c>
      <c r="F231" s="179"/>
      <c r="G231" s="186" t="e">
        <f>IF(C231="","",SUMIFS(MRP!$D$5:$D1000,MRP!$B$5:$B1000,C231))*E231</f>
        <v>#VALUE!</v>
      </c>
      <c r="H231" s="181" t="s">
        <v>2041</v>
      </c>
      <c r="I231" s="182">
        <v>0</v>
      </c>
      <c r="J231" s="183" t="s">
        <v>2042</v>
      </c>
      <c r="K231" s="184" t="s">
        <v>2042</v>
      </c>
      <c r="L231" s="187" t="s">
        <v>2042</v>
      </c>
      <c r="M231" s="187" t="s">
        <v>2042</v>
      </c>
      <c r="N231" s="184" t="s">
        <v>2042</v>
      </c>
      <c r="O231" s="184" t="s">
        <v>2042</v>
      </c>
      <c r="P231" s="184" t="s">
        <v>2042</v>
      </c>
      <c r="Q231" s="184" t="s">
        <v>2042</v>
      </c>
      <c r="R231" s="184" t="s">
        <v>2042</v>
      </c>
      <c r="S231" s="184" t="s">
        <v>2042</v>
      </c>
      <c r="T231" s="184" t="s">
        <v>2042</v>
      </c>
      <c r="U231" s="184" t="s">
        <v>2042</v>
      </c>
      <c r="V231" s="184" t="s">
        <v>2042</v>
      </c>
      <c r="W231" s="184" t="s">
        <v>2042</v>
      </c>
      <c r="X231" s="184" t="s">
        <v>2042</v>
      </c>
      <c r="Y231" s="184" t="s">
        <v>2042</v>
      </c>
      <c r="Z231" s="184" t="s">
        <v>2042</v>
      </c>
      <c r="AA231" s="184" t="s">
        <v>2042</v>
      </c>
      <c r="AB231" s="184" t="s">
        <v>2042</v>
      </c>
      <c r="AC231" s="184" t="s">
        <v>2042</v>
      </c>
      <c r="AD231" s="184" t="s">
        <v>2042</v>
      </c>
      <c r="AE231" s="184" t="s">
        <v>2042</v>
      </c>
      <c r="AF231" s="184" t="s">
        <v>2042</v>
      </c>
      <c r="AG231" s="184" t="s">
        <v>2042</v>
      </c>
      <c r="AH231" s="184" t="s">
        <v>2042</v>
      </c>
      <c r="AI231" s="184" t="s">
        <v>2042</v>
      </c>
      <c r="AJ231" s="184" t="s">
        <v>2042</v>
      </c>
      <c r="AK231" s="184" t="s">
        <v>2042</v>
      </c>
      <c r="AL231" s="184" t="s">
        <v>2042</v>
      </c>
      <c r="AM231" s="184" t="s">
        <v>2042</v>
      </c>
      <c r="AN231" s="184" t="s">
        <v>2042</v>
      </c>
      <c r="AO231" s="184" t="s">
        <v>2042</v>
      </c>
      <c r="AP231" s="184" t="s">
        <v>2042</v>
      </c>
      <c r="AQ231" s="175"/>
    </row>
    <row r="232" spans="1:43" ht="14.5">
      <c r="A232" s="169"/>
      <c r="B232" s="170"/>
      <c r="C232" s="176"/>
      <c r="D232" s="177"/>
      <c r="E232" s="178">
        <v>1</v>
      </c>
      <c r="F232" s="179"/>
      <c r="G232" s="186" t="e">
        <f>IF(C232="","",SUMIFS(MRP!$D$5:$D1000,MRP!$B$5:$B1000,C232))*E232</f>
        <v>#VALUE!</v>
      </c>
      <c r="H232" s="181" t="s">
        <v>2041</v>
      </c>
      <c r="I232" s="182">
        <v>0</v>
      </c>
      <c r="J232" s="183" t="s">
        <v>2042</v>
      </c>
      <c r="K232" s="184" t="s">
        <v>2042</v>
      </c>
      <c r="L232" s="184" t="s">
        <v>2042</v>
      </c>
      <c r="M232" s="184" t="s">
        <v>2042</v>
      </c>
      <c r="N232" s="184" t="s">
        <v>2042</v>
      </c>
      <c r="O232" s="184" t="s">
        <v>2042</v>
      </c>
      <c r="P232" s="184" t="s">
        <v>2042</v>
      </c>
      <c r="Q232" s="184" t="s">
        <v>2042</v>
      </c>
      <c r="R232" s="184" t="s">
        <v>2042</v>
      </c>
      <c r="S232" s="184" t="s">
        <v>2042</v>
      </c>
      <c r="T232" s="184" t="s">
        <v>2042</v>
      </c>
      <c r="U232" s="184" t="s">
        <v>2042</v>
      </c>
      <c r="V232" s="184" t="s">
        <v>2042</v>
      </c>
      <c r="W232" s="184" t="s">
        <v>2042</v>
      </c>
      <c r="X232" s="184" t="s">
        <v>2042</v>
      </c>
      <c r="Y232" s="184" t="s">
        <v>2042</v>
      </c>
      <c r="Z232" s="184" t="s">
        <v>2042</v>
      </c>
      <c r="AA232" s="184" t="s">
        <v>2042</v>
      </c>
      <c r="AB232" s="184" t="s">
        <v>2042</v>
      </c>
      <c r="AC232" s="184" t="s">
        <v>2042</v>
      </c>
      <c r="AD232" s="184" t="s">
        <v>2042</v>
      </c>
      <c r="AE232" s="184" t="s">
        <v>2042</v>
      </c>
      <c r="AF232" s="184" t="s">
        <v>2042</v>
      </c>
      <c r="AG232" s="184" t="s">
        <v>2042</v>
      </c>
      <c r="AH232" s="184" t="s">
        <v>2042</v>
      </c>
      <c r="AI232" s="184" t="s">
        <v>2042</v>
      </c>
      <c r="AJ232" s="184" t="s">
        <v>2042</v>
      </c>
      <c r="AK232" s="184" t="s">
        <v>2042</v>
      </c>
      <c r="AL232" s="184" t="s">
        <v>2042</v>
      </c>
      <c r="AM232" s="184" t="s">
        <v>2042</v>
      </c>
      <c r="AN232" s="184" t="s">
        <v>2042</v>
      </c>
      <c r="AO232" s="184" t="s">
        <v>2042</v>
      </c>
      <c r="AP232" s="184" t="s">
        <v>2042</v>
      </c>
      <c r="AQ232" s="175"/>
    </row>
    <row r="233" spans="1:43" ht="14.5">
      <c r="A233" s="169"/>
      <c r="B233" s="170"/>
      <c r="C233" s="176"/>
      <c r="D233" s="177"/>
      <c r="E233" s="178">
        <v>1</v>
      </c>
      <c r="F233" s="179"/>
      <c r="G233" s="186" t="e">
        <f>IF(C233="","",SUMIFS(MRP!$D$5:$D1000,MRP!$B$5:$B1000,C233))*E233</f>
        <v>#VALUE!</v>
      </c>
      <c r="H233" s="181" t="s">
        <v>2041</v>
      </c>
      <c r="I233" s="182">
        <v>0</v>
      </c>
      <c r="J233" s="183" t="s">
        <v>2042</v>
      </c>
      <c r="K233" s="184" t="s">
        <v>2042</v>
      </c>
      <c r="L233" s="184" t="s">
        <v>2042</v>
      </c>
      <c r="M233" s="184" t="s">
        <v>2042</v>
      </c>
      <c r="N233" s="184" t="s">
        <v>2042</v>
      </c>
      <c r="O233" s="184" t="s">
        <v>2042</v>
      </c>
      <c r="P233" s="184" t="s">
        <v>2042</v>
      </c>
      <c r="Q233" s="184" t="s">
        <v>2042</v>
      </c>
      <c r="R233" s="184" t="s">
        <v>2042</v>
      </c>
      <c r="S233" s="184" t="s">
        <v>2042</v>
      </c>
      <c r="T233" s="184" t="s">
        <v>2042</v>
      </c>
      <c r="U233" s="184" t="s">
        <v>2042</v>
      </c>
      <c r="V233" s="184" t="s">
        <v>2042</v>
      </c>
      <c r="W233" s="184" t="s">
        <v>2042</v>
      </c>
      <c r="X233" s="184" t="s">
        <v>2042</v>
      </c>
      <c r="Y233" s="184" t="s">
        <v>2042</v>
      </c>
      <c r="Z233" s="184" t="s">
        <v>2042</v>
      </c>
      <c r="AA233" s="184" t="s">
        <v>2042</v>
      </c>
      <c r="AB233" s="184" t="s">
        <v>2042</v>
      </c>
      <c r="AC233" s="184" t="s">
        <v>2042</v>
      </c>
      <c r="AD233" s="184" t="s">
        <v>2042</v>
      </c>
      <c r="AE233" s="184" t="s">
        <v>2042</v>
      </c>
      <c r="AF233" s="184" t="s">
        <v>2042</v>
      </c>
      <c r="AG233" s="184" t="s">
        <v>2042</v>
      </c>
      <c r="AH233" s="184" t="s">
        <v>2042</v>
      </c>
      <c r="AI233" s="184" t="s">
        <v>2042</v>
      </c>
      <c r="AJ233" s="184" t="s">
        <v>2042</v>
      </c>
      <c r="AK233" s="184" t="s">
        <v>2042</v>
      </c>
      <c r="AL233" s="184" t="s">
        <v>2042</v>
      </c>
      <c r="AM233" s="184" t="s">
        <v>2042</v>
      </c>
      <c r="AN233" s="184" t="s">
        <v>2042</v>
      </c>
      <c r="AO233" s="184" t="s">
        <v>2042</v>
      </c>
      <c r="AP233" s="184" t="s">
        <v>2042</v>
      </c>
      <c r="AQ233" s="175"/>
    </row>
    <row r="234" spans="1:43" ht="14.5">
      <c r="A234" s="169"/>
      <c r="B234" s="170"/>
      <c r="C234" s="176"/>
      <c r="D234" s="177"/>
      <c r="E234" s="178">
        <v>1</v>
      </c>
      <c r="F234" s="179"/>
      <c r="G234" s="186" t="e">
        <f>IF(C234="","",SUMIFS(MRP!$D$5:$D1000,MRP!$B$5:$B1000,C234))*E234</f>
        <v>#VALUE!</v>
      </c>
      <c r="H234" s="181" t="s">
        <v>2041</v>
      </c>
      <c r="I234" s="182">
        <v>0</v>
      </c>
      <c r="J234" s="183" t="s">
        <v>2042</v>
      </c>
      <c r="K234" s="184" t="s">
        <v>2042</v>
      </c>
      <c r="L234" s="184" t="s">
        <v>2042</v>
      </c>
      <c r="M234" s="184" t="s">
        <v>2042</v>
      </c>
      <c r="N234" s="184" t="s">
        <v>2042</v>
      </c>
      <c r="O234" s="184" t="s">
        <v>2042</v>
      </c>
      <c r="P234" s="184" t="s">
        <v>2042</v>
      </c>
      <c r="Q234" s="184" t="s">
        <v>2042</v>
      </c>
      <c r="R234" s="184" t="s">
        <v>2042</v>
      </c>
      <c r="S234" s="184" t="s">
        <v>2042</v>
      </c>
      <c r="T234" s="184" t="s">
        <v>2042</v>
      </c>
      <c r="U234" s="184" t="s">
        <v>2042</v>
      </c>
      <c r="V234" s="184" t="s">
        <v>2042</v>
      </c>
      <c r="W234" s="184" t="s">
        <v>2042</v>
      </c>
      <c r="X234" s="184" t="s">
        <v>2042</v>
      </c>
      <c r="Y234" s="184" t="s">
        <v>2042</v>
      </c>
      <c r="Z234" s="184" t="s">
        <v>2042</v>
      </c>
      <c r="AA234" s="184" t="s">
        <v>2042</v>
      </c>
      <c r="AB234" s="184" t="s">
        <v>2042</v>
      </c>
      <c r="AC234" s="184" t="s">
        <v>2042</v>
      </c>
      <c r="AD234" s="184" t="s">
        <v>2042</v>
      </c>
      <c r="AE234" s="184" t="s">
        <v>2042</v>
      </c>
      <c r="AF234" s="184" t="s">
        <v>2042</v>
      </c>
      <c r="AG234" s="184" t="s">
        <v>2042</v>
      </c>
      <c r="AH234" s="184" t="s">
        <v>2042</v>
      </c>
      <c r="AI234" s="184" t="s">
        <v>2042</v>
      </c>
      <c r="AJ234" s="184" t="s">
        <v>2042</v>
      </c>
      <c r="AK234" s="184" t="s">
        <v>2042</v>
      </c>
      <c r="AL234" s="184" t="s">
        <v>2042</v>
      </c>
      <c r="AM234" s="184" t="s">
        <v>2042</v>
      </c>
      <c r="AN234" s="184" t="s">
        <v>2042</v>
      </c>
      <c r="AO234" s="184" t="s">
        <v>2042</v>
      </c>
      <c r="AP234" s="184" t="s">
        <v>2042</v>
      </c>
      <c r="AQ234" s="175"/>
    </row>
    <row r="235" spans="1:43" ht="14.5">
      <c r="A235" s="169"/>
      <c r="B235" s="170"/>
      <c r="C235" s="176"/>
      <c r="D235" s="177"/>
      <c r="E235" s="178">
        <v>1</v>
      </c>
      <c r="F235" s="179"/>
      <c r="G235" s="186" t="e">
        <f>IF(C235="","",SUMIFS(MRP!$D$5:$D1000,MRP!$B$5:$B1000,C235))*E235</f>
        <v>#VALUE!</v>
      </c>
      <c r="H235" s="181" t="s">
        <v>2041</v>
      </c>
      <c r="I235" s="182">
        <v>0</v>
      </c>
      <c r="J235" s="183" t="s">
        <v>2042</v>
      </c>
      <c r="K235" s="184" t="s">
        <v>2042</v>
      </c>
      <c r="L235" s="184" t="s">
        <v>2042</v>
      </c>
      <c r="M235" s="184" t="s">
        <v>2042</v>
      </c>
      <c r="N235" s="184" t="s">
        <v>2042</v>
      </c>
      <c r="O235" s="184" t="s">
        <v>2042</v>
      </c>
      <c r="P235" s="184" t="s">
        <v>2042</v>
      </c>
      <c r="Q235" s="184" t="s">
        <v>2042</v>
      </c>
      <c r="R235" s="184" t="s">
        <v>2042</v>
      </c>
      <c r="S235" s="184" t="s">
        <v>2042</v>
      </c>
      <c r="T235" s="184" t="s">
        <v>2042</v>
      </c>
      <c r="U235" s="184" t="s">
        <v>2042</v>
      </c>
      <c r="V235" s="184" t="s">
        <v>2042</v>
      </c>
      <c r="W235" s="184" t="s">
        <v>2042</v>
      </c>
      <c r="X235" s="184" t="s">
        <v>2042</v>
      </c>
      <c r="Y235" s="184" t="s">
        <v>2042</v>
      </c>
      <c r="Z235" s="184" t="s">
        <v>2042</v>
      </c>
      <c r="AA235" s="184" t="s">
        <v>2042</v>
      </c>
      <c r="AB235" s="184" t="s">
        <v>2042</v>
      </c>
      <c r="AC235" s="184" t="s">
        <v>2042</v>
      </c>
      <c r="AD235" s="184" t="s">
        <v>2042</v>
      </c>
      <c r="AE235" s="184" t="s">
        <v>2042</v>
      </c>
      <c r="AF235" s="184" t="s">
        <v>2042</v>
      </c>
      <c r="AG235" s="184" t="s">
        <v>2042</v>
      </c>
      <c r="AH235" s="184" t="s">
        <v>2042</v>
      </c>
      <c r="AI235" s="184" t="s">
        <v>2042</v>
      </c>
      <c r="AJ235" s="184" t="s">
        <v>2042</v>
      </c>
      <c r="AK235" s="184" t="s">
        <v>2042</v>
      </c>
      <c r="AL235" s="184" t="s">
        <v>2042</v>
      </c>
      <c r="AM235" s="184" t="s">
        <v>2042</v>
      </c>
      <c r="AN235" s="184" t="s">
        <v>2042</v>
      </c>
      <c r="AO235" s="184" t="s">
        <v>2042</v>
      </c>
      <c r="AP235" s="184" t="s">
        <v>2042</v>
      </c>
      <c r="AQ235" s="175"/>
    </row>
    <row r="236" spans="1:43" ht="14.5">
      <c r="A236" s="169"/>
      <c r="B236" s="170"/>
      <c r="C236" s="176"/>
      <c r="D236" s="177"/>
      <c r="E236" s="178">
        <v>1</v>
      </c>
      <c r="F236" s="179"/>
      <c r="G236" s="186" t="e">
        <f>IF(C236="","",SUMIFS(MRP!$D$5:$D1000,MRP!$B$5:$B1000,C236))*E236</f>
        <v>#VALUE!</v>
      </c>
      <c r="H236" s="181" t="s">
        <v>2041</v>
      </c>
      <c r="I236" s="182">
        <v>0</v>
      </c>
      <c r="J236" s="183" t="s">
        <v>2042</v>
      </c>
      <c r="K236" s="187" t="s">
        <v>2042</v>
      </c>
      <c r="L236" s="187" t="s">
        <v>2042</v>
      </c>
      <c r="M236" s="187" t="s">
        <v>2042</v>
      </c>
      <c r="N236" s="187" t="s">
        <v>2042</v>
      </c>
      <c r="O236" s="187" t="s">
        <v>2042</v>
      </c>
      <c r="P236" s="187" t="s">
        <v>2042</v>
      </c>
      <c r="Q236" s="187" t="s">
        <v>2042</v>
      </c>
      <c r="R236" s="187" t="s">
        <v>2042</v>
      </c>
      <c r="S236" s="187" t="s">
        <v>2042</v>
      </c>
      <c r="T236" s="187" t="s">
        <v>2042</v>
      </c>
      <c r="U236" s="187" t="s">
        <v>2042</v>
      </c>
      <c r="V236" s="187" t="s">
        <v>2042</v>
      </c>
      <c r="W236" s="187" t="s">
        <v>2042</v>
      </c>
      <c r="X236" s="187" t="s">
        <v>2042</v>
      </c>
      <c r="Y236" s="187" t="s">
        <v>2042</v>
      </c>
      <c r="Z236" s="187" t="s">
        <v>2042</v>
      </c>
      <c r="AA236" s="187" t="s">
        <v>2042</v>
      </c>
      <c r="AB236" s="187" t="s">
        <v>2042</v>
      </c>
      <c r="AC236" s="187" t="s">
        <v>2042</v>
      </c>
      <c r="AD236" s="187" t="s">
        <v>2042</v>
      </c>
      <c r="AE236" s="187" t="s">
        <v>2042</v>
      </c>
      <c r="AF236" s="187" t="s">
        <v>2042</v>
      </c>
      <c r="AG236" s="187" t="s">
        <v>2042</v>
      </c>
      <c r="AH236" s="187" t="s">
        <v>2042</v>
      </c>
      <c r="AI236" s="187" t="s">
        <v>2042</v>
      </c>
      <c r="AJ236" s="187" t="s">
        <v>2042</v>
      </c>
      <c r="AK236" s="187" t="s">
        <v>2042</v>
      </c>
      <c r="AL236" s="187" t="s">
        <v>2042</v>
      </c>
      <c r="AM236" s="187" t="s">
        <v>2042</v>
      </c>
      <c r="AN236" s="187" t="s">
        <v>2042</v>
      </c>
      <c r="AO236" s="187" t="s">
        <v>2042</v>
      </c>
      <c r="AP236" s="187" t="s">
        <v>2042</v>
      </c>
      <c r="AQ236" s="175"/>
    </row>
    <row r="237" spans="1:43" ht="14.5">
      <c r="A237" s="169"/>
      <c r="B237" s="170"/>
      <c r="C237" s="176"/>
      <c r="D237" s="177"/>
      <c r="E237" s="178">
        <v>1</v>
      </c>
      <c r="F237" s="179"/>
      <c r="G237" s="186" t="e">
        <f>IF(C237="","",SUMIFS(MRP!$D$5:$D1000,MRP!$B$5:$B1000,C237))*E237</f>
        <v>#VALUE!</v>
      </c>
      <c r="H237" s="181" t="s">
        <v>2041</v>
      </c>
      <c r="I237" s="182">
        <v>0</v>
      </c>
      <c r="J237" s="183" t="s">
        <v>2042</v>
      </c>
      <c r="K237" s="188" t="s">
        <v>2042</v>
      </c>
      <c r="L237" s="188" t="s">
        <v>2042</v>
      </c>
      <c r="M237" s="188" t="s">
        <v>2042</v>
      </c>
      <c r="N237" s="188" t="s">
        <v>2042</v>
      </c>
      <c r="O237" s="188" t="s">
        <v>2042</v>
      </c>
      <c r="P237" s="188" t="s">
        <v>2042</v>
      </c>
      <c r="Q237" s="188" t="s">
        <v>2042</v>
      </c>
      <c r="R237" s="188" t="s">
        <v>2042</v>
      </c>
      <c r="S237" s="188" t="s">
        <v>2042</v>
      </c>
      <c r="T237" s="188" t="s">
        <v>2042</v>
      </c>
      <c r="U237" s="188" t="s">
        <v>2042</v>
      </c>
      <c r="V237" s="188" t="s">
        <v>2042</v>
      </c>
      <c r="W237" s="188" t="s">
        <v>2042</v>
      </c>
      <c r="X237" s="188" t="s">
        <v>2042</v>
      </c>
      <c r="Y237" s="188" t="s">
        <v>2042</v>
      </c>
      <c r="Z237" s="188" t="s">
        <v>2042</v>
      </c>
      <c r="AA237" s="188" t="s">
        <v>2042</v>
      </c>
      <c r="AB237" s="188" t="s">
        <v>2042</v>
      </c>
      <c r="AC237" s="188" t="s">
        <v>2042</v>
      </c>
      <c r="AD237" s="188" t="s">
        <v>2042</v>
      </c>
      <c r="AE237" s="188" t="s">
        <v>2042</v>
      </c>
      <c r="AF237" s="188" t="s">
        <v>2042</v>
      </c>
      <c r="AG237" s="188" t="s">
        <v>2042</v>
      </c>
      <c r="AH237" s="188" t="s">
        <v>2042</v>
      </c>
      <c r="AI237" s="188" t="s">
        <v>2042</v>
      </c>
      <c r="AJ237" s="188" t="s">
        <v>2042</v>
      </c>
      <c r="AK237" s="188" t="s">
        <v>2042</v>
      </c>
      <c r="AL237" s="188" t="s">
        <v>2042</v>
      </c>
      <c r="AM237" s="188" t="s">
        <v>2042</v>
      </c>
      <c r="AN237" s="188" t="s">
        <v>2042</v>
      </c>
      <c r="AO237" s="188" t="s">
        <v>2042</v>
      </c>
      <c r="AP237" s="188" t="s">
        <v>2042</v>
      </c>
      <c r="AQ237" s="175"/>
    </row>
    <row r="238" spans="1:43" ht="14.5">
      <c r="A238" s="169"/>
      <c r="B238" s="170"/>
      <c r="C238" s="176"/>
      <c r="D238" s="177"/>
      <c r="E238" s="178">
        <v>1</v>
      </c>
      <c r="F238" s="179"/>
      <c r="G238" s="186" t="e">
        <f>IF(C238="","",SUMIFS(MRP!$D$5:$D1000,MRP!$B$5:$B1000,C238))*E238</f>
        <v>#VALUE!</v>
      </c>
      <c r="H238" s="181" t="s">
        <v>2041</v>
      </c>
      <c r="I238" s="182">
        <v>0</v>
      </c>
      <c r="J238" s="183" t="s">
        <v>2042</v>
      </c>
      <c r="K238" s="184" t="s">
        <v>2042</v>
      </c>
      <c r="L238" s="184" t="s">
        <v>2042</v>
      </c>
      <c r="M238" s="184" t="s">
        <v>2042</v>
      </c>
      <c r="N238" s="184" t="s">
        <v>2042</v>
      </c>
      <c r="O238" s="184" t="s">
        <v>2042</v>
      </c>
      <c r="P238" s="184" t="s">
        <v>2042</v>
      </c>
      <c r="Q238" s="184" t="s">
        <v>2042</v>
      </c>
      <c r="R238" s="184" t="s">
        <v>2042</v>
      </c>
      <c r="S238" s="184" t="s">
        <v>2042</v>
      </c>
      <c r="T238" s="184" t="s">
        <v>2042</v>
      </c>
      <c r="U238" s="184" t="s">
        <v>2042</v>
      </c>
      <c r="V238" s="184" t="s">
        <v>2042</v>
      </c>
      <c r="W238" s="184" t="s">
        <v>2042</v>
      </c>
      <c r="X238" s="184" t="s">
        <v>2042</v>
      </c>
      <c r="Y238" s="184" t="s">
        <v>2042</v>
      </c>
      <c r="Z238" s="184" t="s">
        <v>2042</v>
      </c>
      <c r="AA238" s="184" t="s">
        <v>2042</v>
      </c>
      <c r="AB238" s="184" t="s">
        <v>2042</v>
      </c>
      <c r="AC238" s="184" t="s">
        <v>2042</v>
      </c>
      <c r="AD238" s="184" t="s">
        <v>2042</v>
      </c>
      <c r="AE238" s="184" t="s">
        <v>2042</v>
      </c>
      <c r="AF238" s="184" t="s">
        <v>2042</v>
      </c>
      <c r="AG238" s="184" t="s">
        <v>2042</v>
      </c>
      <c r="AH238" s="184" t="s">
        <v>2042</v>
      </c>
      <c r="AI238" s="184" t="s">
        <v>2042</v>
      </c>
      <c r="AJ238" s="184" t="s">
        <v>2042</v>
      </c>
      <c r="AK238" s="184" t="s">
        <v>2042</v>
      </c>
      <c r="AL238" s="184" t="s">
        <v>2042</v>
      </c>
      <c r="AM238" s="184" t="s">
        <v>2042</v>
      </c>
      <c r="AN238" s="184" t="s">
        <v>2042</v>
      </c>
      <c r="AO238" s="184" t="s">
        <v>2042</v>
      </c>
      <c r="AP238" s="184" t="s">
        <v>2042</v>
      </c>
      <c r="AQ238" s="175"/>
    </row>
    <row r="239" spans="1:43" ht="14.5">
      <c r="A239" s="169"/>
      <c r="B239" s="170"/>
      <c r="C239" s="176"/>
      <c r="D239" s="177"/>
      <c r="E239" s="178">
        <v>1</v>
      </c>
      <c r="F239" s="179"/>
      <c r="G239" s="186" t="e">
        <f>IF(C239="","",SUMIFS(MRP!$D$5:$D1000,MRP!$B$5:$B1000,C239))*E239</f>
        <v>#VALUE!</v>
      </c>
      <c r="H239" s="181" t="s">
        <v>2041</v>
      </c>
      <c r="I239" s="182">
        <v>0</v>
      </c>
      <c r="J239" s="183" t="s">
        <v>2042</v>
      </c>
      <c r="K239" s="184" t="s">
        <v>2042</v>
      </c>
      <c r="L239" s="184" t="s">
        <v>2042</v>
      </c>
      <c r="M239" s="184" t="s">
        <v>2042</v>
      </c>
      <c r="N239" s="184" t="s">
        <v>2042</v>
      </c>
      <c r="O239" s="184" t="s">
        <v>2042</v>
      </c>
      <c r="P239" s="184" t="s">
        <v>2042</v>
      </c>
      <c r="Q239" s="184" t="s">
        <v>2042</v>
      </c>
      <c r="R239" s="184" t="s">
        <v>2042</v>
      </c>
      <c r="S239" s="184" t="s">
        <v>2042</v>
      </c>
      <c r="T239" s="184" t="s">
        <v>2042</v>
      </c>
      <c r="U239" s="184" t="s">
        <v>2042</v>
      </c>
      <c r="V239" s="184" t="s">
        <v>2042</v>
      </c>
      <c r="W239" s="184" t="s">
        <v>2042</v>
      </c>
      <c r="X239" s="184" t="s">
        <v>2042</v>
      </c>
      <c r="Y239" s="184" t="s">
        <v>2042</v>
      </c>
      <c r="Z239" s="184" t="s">
        <v>2042</v>
      </c>
      <c r="AA239" s="184" t="s">
        <v>2042</v>
      </c>
      <c r="AB239" s="184" t="s">
        <v>2042</v>
      </c>
      <c r="AC239" s="184" t="s">
        <v>2042</v>
      </c>
      <c r="AD239" s="184" t="s">
        <v>2042</v>
      </c>
      <c r="AE239" s="184" t="s">
        <v>2042</v>
      </c>
      <c r="AF239" s="184" t="s">
        <v>2042</v>
      </c>
      <c r="AG239" s="184" t="s">
        <v>2042</v>
      </c>
      <c r="AH239" s="184" t="s">
        <v>2042</v>
      </c>
      <c r="AI239" s="184" t="s">
        <v>2042</v>
      </c>
      <c r="AJ239" s="184" t="s">
        <v>2042</v>
      </c>
      <c r="AK239" s="184" t="s">
        <v>2042</v>
      </c>
      <c r="AL239" s="184" t="s">
        <v>2042</v>
      </c>
      <c r="AM239" s="184" t="s">
        <v>2042</v>
      </c>
      <c r="AN239" s="184" t="s">
        <v>2042</v>
      </c>
      <c r="AO239" s="184" t="s">
        <v>2042</v>
      </c>
      <c r="AP239" s="184" t="s">
        <v>2042</v>
      </c>
      <c r="AQ239" s="175"/>
    </row>
    <row r="240" spans="1:43" ht="14.5">
      <c r="A240" s="169"/>
      <c r="B240" s="170"/>
      <c r="C240" s="176"/>
      <c r="D240" s="177"/>
      <c r="E240" s="178">
        <v>1</v>
      </c>
      <c r="F240" s="179"/>
      <c r="G240" s="186" t="e">
        <f>IF(C240="","",SUMIFS(MRP!$D$5:$D1000,MRP!$B$5:$B1000,C240))*E240</f>
        <v>#VALUE!</v>
      </c>
      <c r="H240" s="181" t="s">
        <v>2041</v>
      </c>
      <c r="I240" s="182">
        <v>0</v>
      </c>
      <c r="J240" s="183" t="s">
        <v>2042</v>
      </c>
      <c r="K240" s="184" t="s">
        <v>2042</v>
      </c>
      <c r="L240" s="184" t="s">
        <v>2042</v>
      </c>
      <c r="M240" s="184" t="s">
        <v>2042</v>
      </c>
      <c r="N240" s="184" t="s">
        <v>2042</v>
      </c>
      <c r="O240" s="184" t="s">
        <v>2042</v>
      </c>
      <c r="P240" s="184" t="s">
        <v>2042</v>
      </c>
      <c r="Q240" s="184" t="s">
        <v>2042</v>
      </c>
      <c r="R240" s="184" t="s">
        <v>2042</v>
      </c>
      <c r="S240" s="184" t="s">
        <v>2042</v>
      </c>
      <c r="T240" s="184" t="s">
        <v>2042</v>
      </c>
      <c r="U240" s="184" t="s">
        <v>2042</v>
      </c>
      <c r="V240" s="184" t="s">
        <v>2042</v>
      </c>
      <c r="W240" s="184" t="s">
        <v>2042</v>
      </c>
      <c r="X240" s="184" t="s">
        <v>2042</v>
      </c>
      <c r="Y240" s="184" t="s">
        <v>2042</v>
      </c>
      <c r="Z240" s="184" t="s">
        <v>2042</v>
      </c>
      <c r="AA240" s="184" t="s">
        <v>2042</v>
      </c>
      <c r="AB240" s="185" t="s">
        <v>2042</v>
      </c>
      <c r="AC240" s="185" t="s">
        <v>2042</v>
      </c>
      <c r="AD240" s="184" t="s">
        <v>2042</v>
      </c>
      <c r="AE240" s="184" t="s">
        <v>2042</v>
      </c>
      <c r="AF240" s="184" t="s">
        <v>2042</v>
      </c>
      <c r="AG240" s="184" t="s">
        <v>2042</v>
      </c>
      <c r="AH240" s="184" t="s">
        <v>2042</v>
      </c>
      <c r="AI240" s="184" t="s">
        <v>2042</v>
      </c>
      <c r="AJ240" s="184" t="s">
        <v>2042</v>
      </c>
      <c r="AK240" s="184" t="s">
        <v>2042</v>
      </c>
      <c r="AL240" s="184" t="s">
        <v>2042</v>
      </c>
      <c r="AM240" s="185" t="s">
        <v>2042</v>
      </c>
      <c r="AN240" s="185" t="s">
        <v>2042</v>
      </c>
      <c r="AO240" s="185" t="s">
        <v>2042</v>
      </c>
      <c r="AP240" s="184" t="s">
        <v>2042</v>
      </c>
      <c r="AQ240" s="175"/>
    </row>
    <row r="241" spans="1:43" ht="14.5">
      <c r="A241" s="169"/>
      <c r="B241" s="170"/>
      <c r="C241" s="176"/>
      <c r="D241" s="177"/>
      <c r="E241" s="178">
        <v>1</v>
      </c>
      <c r="F241" s="179"/>
      <c r="G241" s="186" t="e">
        <f>IF(C241="","",SUMIFS(MRP!$D$5:$D1000,MRP!$B$5:$B1000,C241))*E241</f>
        <v>#VALUE!</v>
      </c>
      <c r="H241" s="181" t="s">
        <v>2041</v>
      </c>
      <c r="I241" s="182">
        <v>0</v>
      </c>
      <c r="J241" s="183" t="s">
        <v>2042</v>
      </c>
      <c r="K241" s="184" t="s">
        <v>2042</v>
      </c>
      <c r="L241" s="184" t="s">
        <v>2042</v>
      </c>
      <c r="M241" s="184" t="s">
        <v>2042</v>
      </c>
      <c r="N241" s="184" t="s">
        <v>2042</v>
      </c>
      <c r="O241" s="184" t="s">
        <v>2042</v>
      </c>
      <c r="P241" s="185" t="s">
        <v>2042</v>
      </c>
      <c r="Q241" s="184" t="s">
        <v>2042</v>
      </c>
      <c r="R241" s="184" t="s">
        <v>2042</v>
      </c>
      <c r="S241" s="184" t="s">
        <v>2042</v>
      </c>
      <c r="T241" s="184" t="s">
        <v>2042</v>
      </c>
      <c r="U241" s="184" t="s">
        <v>2042</v>
      </c>
      <c r="V241" s="184" t="s">
        <v>2042</v>
      </c>
      <c r="W241" s="184" t="s">
        <v>2042</v>
      </c>
      <c r="X241" s="184" t="s">
        <v>2042</v>
      </c>
      <c r="Y241" s="184" t="s">
        <v>2042</v>
      </c>
      <c r="Z241" s="184" t="s">
        <v>2042</v>
      </c>
      <c r="AA241" s="184" t="s">
        <v>2042</v>
      </c>
      <c r="AB241" s="184" t="s">
        <v>2042</v>
      </c>
      <c r="AC241" s="184" t="s">
        <v>2042</v>
      </c>
      <c r="AD241" s="184" t="s">
        <v>2042</v>
      </c>
      <c r="AE241" s="184" t="s">
        <v>2042</v>
      </c>
      <c r="AF241" s="185" t="s">
        <v>2042</v>
      </c>
      <c r="AG241" s="185" t="s">
        <v>2042</v>
      </c>
      <c r="AH241" s="185" t="s">
        <v>2042</v>
      </c>
      <c r="AI241" s="185" t="s">
        <v>2042</v>
      </c>
      <c r="AJ241" s="185" t="s">
        <v>2042</v>
      </c>
      <c r="AK241" s="185" t="s">
        <v>2042</v>
      </c>
      <c r="AL241" s="184" t="s">
        <v>2042</v>
      </c>
      <c r="AM241" s="185" t="s">
        <v>2042</v>
      </c>
      <c r="AN241" s="184" t="s">
        <v>2042</v>
      </c>
      <c r="AO241" s="185" t="s">
        <v>2042</v>
      </c>
      <c r="AP241" s="185" t="s">
        <v>2042</v>
      </c>
      <c r="AQ241" s="175"/>
    </row>
    <row r="242" spans="1:43" ht="14.5">
      <c r="A242" s="169"/>
      <c r="B242" s="170"/>
      <c r="C242" s="176"/>
      <c r="D242" s="177"/>
      <c r="E242" s="178">
        <v>1</v>
      </c>
      <c r="F242" s="179"/>
      <c r="G242" s="186" t="e">
        <f>IF(C242="","",SUMIFS(MRP!$D$5:$D1000,MRP!$B$5:$B1000,C242))*E242</f>
        <v>#VALUE!</v>
      </c>
      <c r="H242" s="181" t="s">
        <v>2041</v>
      </c>
      <c r="I242" s="182">
        <v>0</v>
      </c>
      <c r="J242" s="183" t="s">
        <v>2042</v>
      </c>
      <c r="K242" s="184" t="s">
        <v>2042</v>
      </c>
      <c r="L242" s="184" t="s">
        <v>2042</v>
      </c>
      <c r="M242" s="184" t="s">
        <v>2042</v>
      </c>
      <c r="N242" s="184" t="s">
        <v>2042</v>
      </c>
      <c r="O242" s="184" t="s">
        <v>2042</v>
      </c>
      <c r="P242" s="184" t="s">
        <v>2042</v>
      </c>
      <c r="Q242" s="184" t="s">
        <v>2042</v>
      </c>
      <c r="R242" s="184" t="s">
        <v>2042</v>
      </c>
      <c r="S242" s="184" t="s">
        <v>2042</v>
      </c>
      <c r="T242" s="184" t="s">
        <v>2042</v>
      </c>
      <c r="U242" s="184" t="s">
        <v>2042</v>
      </c>
      <c r="V242" s="184" t="s">
        <v>2042</v>
      </c>
      <c r="W242" s="184" t="s">
        <v>2042</v>
      </c>
      <c r="X242" s="184" t="s">
        <v>2042</v>
      </c>
      <c r="Y242" s="184" t="s">
        <v>2042</v>
      </c>
      <c r="Z242" s="184" t="s">
        <v>2042</v>
      </c>
      <c r="AA242" s="184" t="s">
        <v>2042</v>
      </c>
      <c r="AB242" s="184" t="s">
        <v>2042</v>
      </c>
      <c r="AC242" s="184" t="s">
        <v>2042</v>
      </c>
      <c r="AD242" s="184" t="s">
        <v>2042</v>
      </c>
      <c r="AE242" s="184" t="s">
        <v>2042</v>
      </c>
      <c r="AF242" s="184" t="s">
        <v>2042</v>
      </c>
      <c r="AG242" s="184" t="s">
        <v>2042</v>
      </c>
      <c r="AH242" s="184" t="s">
        <v>2042</v>
      </c>
      <c r="AI242" s="184" t="s">
        <v>2042</v>
      </c>
      <c r="AJ242" s="184" t="s">
        <v>2042</v>
      </c>
      <c r="AK242" s="184" t="s">
        <v>2042</v>
      </c>
      <c r="AL242" s="184" t="s">
        <v>2042</v>
      </c>
      <c r="AM242" s="184" t="s">
        <v>2042</v>
      </c>
      <c r="AN242" s="184" t="s">
        <v>2042</v>
      </c>
      <c r="AO242" s="184" t="s">
        <v>2042</v>
      </c>
      <c r="AP242" s="184" t="s">
        <v>2042</v>
      </c>
      <c r="AQ242" s="175"/>
    </row>
    <row r="243" spans="1:43" ht="14.5">
      <c r="A243" s="169"/>
      <c r="B243" s="170"/>
      <c r="C243" s="176"/>
      <c r="D243" s="177"/>
      <c r="E243" s="178">
        <v>1</v>
      </c>
      <c r="F243" s="179"/>
      <c r="G243" s="186" t="e">
        <f>IF(C243="","",SUMIFS(MRP!$D$5:$D1000,MRP!$B$5:$B1000,C243))*E243</f>
        <v>#VALUE!</v>
      </c>
      <c r="H243" s="181" t="s">
        <v>2041</v>
      </c>
      <c r="I243" s="182">
        <v>0</v>
      </c>
      <c r="J243" s="183" t="s">
        <v>2042</v>
      </c>
      <c r="K243" s="185" t="s">
        <v>2042</v>
      </c>
      <c r="L243" s="185" t="s">
        <v>2042</v>
      </c>
      <c r="M243" s="185" t="s">
        <v>2042</v>
      </c>
      <c r="N243" s="185" t="s">
        <v>2042</v>
      </c>
      <c r="O243" s="185" t="s">
        <v>2042</v>
      </c>
      <c r="P243" s="185" t="s">
        <v>2042</v>
      </c>
      <c r="Q243" s="185" t="s">
        <v>2042</v>
      </c>
      <c r="R243" s="185" t="s">
        <v>2042</v>
      </c>
      <c r="S243" s="185" t="s">
        <v>2042</v>
      </c>
      <c r="T243" s="185" t="s">
        <v>2042</v>
      </c>
      <c r="U243" s="185" t="s">
        <v>2042</v>
      </c>
      <c r="V243" s="185" t="s">
        <v>2042</v>
      </c>
      <c r="W243" s="185" t="s">
        <v>2042</v>
      </c>
      <c r="X243" s="185" t="s">
        <v>2042</v>
      </c>
      <c r="Y243" s="185" t="s">
        <v>2042</v>
      </c>
      <c r="Z243" s="185" t="s">
        <v>2042</v>
      </c>
      <c r="AA243" s="185" t="s">
        <v>2042</v>
      </c>
      <c r="AB243" s="185" t="s">
        <v>2042</v>
      </c>
      <c r="AC243" s="185" t="s">
        <v>2042</v>
      </c>
      <c r="AD243" s="185" t="s">
        <v>2042</v>
      </c>
      <c r="AE243" s="185" t="s">
        <v>2042</v>
      </c>
      <c r="AF243" s="185" t="s">
        <v>2042</v>
      </c>
      <c r="AG243" s="185" t="s">
        <v>2042</v>
      </c>
      <c r="AH243" s="185" t="s">
        <v>2042</v>
      </c>
      <c r="AI243" s="185" t="s">
        <v>2042</v>
      </c>
      <c r="AJ243" s="185" t="s">
        <v>2042</v>
      </c>
      <c r="AK243" s="185" t="s">
        <v>2042</v>
      </c>
      <c r="AL243" s="185" t="s">
        <v>2042</v>
      </c>
      <c r="AM243" s="185" t="s">
        <v>2042</v>
      </c>
      <c r="AN243" s="187" t="s">
        <v>2042</v>
      </c>
      <c r="AO243" s="187" t="s">
        <v>2042</v>
      </c>
      <c r="AP243" s="187" t="s">
        <v>2042</v>
      </c>
      <c r="AQ243" s="175"/>
    </row>
    <row r="244" spans="1:43" ht="14.5">
      <c r="A244" s="169"/>
      <c r="B244" s="170"/>
      <c r="C244" s="176"/>
      <c r="D244" s="177"/>
      <c r="E244" s="178">
        <v>1</v>
      </c>
      <c r="F244" s="179"/>
      <c r="G244" s="186" t="e">
        <f>IF(C244="","",SUMIFS(MRP!$D$5:$D1000,MRP!$B$5:$B1000,C244))*E244</f>
        <v>#VALUE!</v>
      </c>
      <c r="H244" s="181" t="s">
        <v>2041</v>
      </c>
      <c r="I244" s="182">
        <v>0</v>
      </c>
      <c r="J244" s="183" t="s">
        <v>2042</v>
      </c>
      <c r="K244" s="185" t="s">
        <v>2042</v>
      </c>
      <c r="L244" s="185" t="s">
        <v>2042</v>
      </c>
      <c r="M244" s="187" t="s">
        <v>2042</v>
      </c>
      <c r="N244" s="187" t="s">
        <v>2042</v>
      </c>
      <c r="O244" s="187" t="s">
        <v>2042</v>
      </c>
      <c r="P244" s="187" t="s">
        <v>2042</v>
      </c>
      <c r="Q244" s="185" t="s">
        <v>2042</v>
      </c>
      <c r="R244" s="187" t="s">
        <v>2042</v>
      </c>
      <c r="S244" s="187" t="s">
        <v>2042</v>
      </c>
      <c r="T244" s="187" t="s">
        <v>2042</v>
      </c>
      <c r="U244" s="187" t="s">
        <v>2042</v>
      </c>
      <c r="V244" s="187" t="s">
        <v>2042</v>
      </c>
      <c r="W244" s="187" t="s">
        <v>2042</v>
      </c>
      <c r="X244" s="187" t="s">
        <v>2042</v>
      </c>
      <c r="Y244" s="187" t="s">
        <v>2042</v>
      </c>
      <c r="Z244" s="187" t="s">
        <v>2042</v>
      </c>
      <c r="AA244" s="187" t="s">
        <v>2042</v>
      </c>
      <c r="AB244" s="187" t="s">
        <v>2042</v>
      </c>
      <c r="AC244" s="187" t="s">
        <v>2042</v>
      </c>
      <c r="AD244" s="187" t="s">
        <v>2042</v>
      </c>
      <c r="AE244" s="187" t="s">
        <v>2042</v>
      </c>
      <c r="AF244" s="187" t="s">
        <v>2042</v>
      </c>
      <c r="AG244" s="187" t="s">
        <v>2042</v>
      </c>
      <c r="AH244" s="187" t="s">
        <v>2042</v>
      </c>
      <c r="AI244" s="187" t="s">
        <v>2042</v>
      </c>
      <c r="AJ244" s="187" t="s">
        <v>2042</v>
      </c>
      <c r="AK244" s="187" t="s">
        <v>2042</v>
      </c>
      <c r="AL244" s="187" t="s">
        <v>2042</v>
      </c>
      <c r="AM244" s="187" t="s">
        <v>2042</v>
      </c>
      <c r="AN244" s="187" t="s">
        <v>2042</v>
      </c>
      <c r="AO244" s="187" t="s">
        <v>2042</v>
      </c>
      <c r="AP244" s="187" t="s">
        <v>2042</v>
      </c>
      <c r="AQ244" s="175"/>
    </row>
    <row r="245" spans="1:43" ht="14.5">
      <c r="A245" s="169"/>
      <c r="B245" s="170"/>
      <c r="C245" s="176"/>
      <c r="D245" s="177"/>
      <c r="E245" s="178">
        <v>1</v>
      </c>
      <c r="F245" s="179"/>
      <c r="G245" s="186" t="e">
        <f>IF(C245="","",SUMIFS(MRP!$D$5:$D1000,MRP!$B$5:$B1000,C245))*E245</f>
        <v>#VALUE!</v>
      </c>
      <c r="H245" s="181" t="s">
        <v>2041</v>
      </c>
      <c r="I245" s="182">
        <v>0</v>
      </c>
      <c r="J245" s="183" t="s">
        <v>2042</v>
      </c>
      <c r="K245" s="184" t="s">
        <v>2042</v>
      </c>
      <c r="L245" s="184" t="s">
        <v>2042</v>
      </c>
      <c r="M245" s="184" t="s">
        <v>2042</v>
      </c>
      <c r="N245" s="184" t="s">
        <v>2042</v>
      </c>
      <c r="O245" s="184" t="s">
        <v>2042</v>
      </c>
      <c r="P245" s="184" t="s">
        <v>2042</v>
      </c>
      <c r="Q245" s="184" t="s">
        <v>2042</v>
      </c>
      <c r="R245" s="184" t="s">
        <v>2042</v>
      </c>
      <c r="S245" s="184" t="s">
        <v>2042</v>
      </c>
      <c r="T245" s="184" t="s">
        <v>2042</v>
      </c>
      <c r="U245" s="184" t="s">
        <v>2042</v>
      </c>
      <c r="V245" s="184" t="s">
        <v>2042</v>
      </c>
      <c r="W245" s="184" t="s">
        <v>2042</v>
      </c>
      <c r="X245" s="184" t="s">
        <v>2042</v>
      </c>
      <c r="Y245" s="184" t="s">
        <v>2042</v>
      </c>
      <c r="Z245" s="184" t="s">
        <v>2042</v>
      </c>
      <c r="AA245" s="184" t="s">
        <v>2042</v>
      </c>
      <c r="AB245" s="184" t="s">
        <v>2042</v>
      </c>
      <c r="AC245" s="184" t="s">
        <v>2042</v>
      </c>
      <c r="AD245" s="184" t="s">
        <v>2042</v>
      </c>
      <c r="AE245" s="184" t="s">
        <v>2042</v>
      </c>
      <c r="AF245" s="184" t="s">
        <v>2042</v>
      </c>
      <c r="AG245" s="184" t="s">
        <v>2042</v>
      </c>
      <c r="AH245" s="184" t="s">
        <v>2042</v>
      </c>
      <c r="AI245" s="184" t="s">
        <v>2042</v>
      </c>
      <c r="AJ245" s="184" t="s">
        <v>2042</v>
      </c>
      <c r="AK245" s="184" t="s">
        <v>2042</v>
      </c>
      <c r="AL245" s="184" t="s">
        <v>2042</v>
      </c>
      <c r="AM245" s="184" t="s">
        <v>2042</v>
      </c>
      <c r="AN245" s="184" t="s">
        <v>2042</v>
      </c>
      <c r="AO245" s="184" t="s">
        <v>2042</v>
      </c>
      <c r="AP245" s="184" t="s">
        <v>2042</v>
      </c>
      <c r="AQ245" s="175"/>
    </row>
    <row r="246" spans="1:43" ht="14.5">
      <c r="A246" s="169"/>
      <c r="B246" s="170"/>
      <c r="C246" s="176"/>
      <c r="D246" s="177"/>
      <c r="E246" s="178">
        <v>1</v>
      </c>
      <c r="F246" s="179"/>
      <c r="G246" s="186" t="e">
        <f>IF(C246="","",SUMIFS(MRP!$D$5:$D1000,MRP!$B$5:$B1000,C246))*E246</f>
        <v>#VALUE!</v>
      </c>
      <c r="H246" s="181" t="s">
        <v>2041</v>
      </c>
      <c r="I246" s="182">
        <v>0</v>
      </c>
      <c r="J246" s="183" t="s">
        <v>2042</v>
      </c>
      <c r="K246" s="187" t="s">
        <v>2042</v>
      </c>
      <c r="L246" s="187" t="s">
        <v>2042</v>
      </c>
      <c r="M246" s="187" t="s">
        <v>2042</v>
      </c>
      <c r="N246" s="187" t="s">
        <v>2042</v>
      </c>
      <c r="O246" s="187" t="s">
        <v>2042</v>
      </c>
      <c r="P246" s="187" t="s">
        <v>2042</v>
      </c>
      <c r="Q246" s="184" t="s">
        <v>2042</v>
      </c>
      <c r="R246" s="184" t="s">
        <v>2042</v>
      </c>
      <c r="S246" s="184" t="s">
        <v>2042</v>
      </c>
      <c r="T246" s="184" t="s">
        <v>2042</v>
      </c>
      <c r="U246" s="184" t="s">
        <v>2042</v>
      </c>
      <c r="V246" s="184" t="s">
        <v>2042</v>
      </c>
      <c r="W246" s="187" t="s">
        <v>2042</v>
      </c>
      <c r="X246" s="187" t="s">
        <v>2042</v>
      </c>
      <c r="Y246" s="187" t="s">
        <v>2042</v>
      </c>
      <c r="Z246" s="187" t="s">
        <v>2042</v>
      </c>
      <c r="AA246" s="187" t="s">
        <v>2042</v>
      </c>
      <c r="AB246" s="187" t="s">
        <v>2042</v>
      </c>
      <c r="AC246" s="187" t="s">
        <v>2042</v>
      </c>
      <c r="AD246" s="187" t="s">
        <v>2042</v>
      </c>
      <c r="AE246" s="187" t="s">
        <v>2042</v>
      </c>
      <c r="AF246" s="184" t="s">
        <v>2042</v>
      </c>
      <c r="AG246" s="184" t="s">
        <v>2042</v>
      </c>
      <c r="AH246" s="184" t="s">
        <v>2042</v>
      </c>
      <c r="AI246" s="184" t="s">
        <v>2042</v>
      </c>
      <c r="AJ246" s="184" t="s">
        <v>2042</v>
      </c>
      <c r="AK246" s="184" t="s">
        <v>2042</v>
      </c>
      <c r="AL246" s="184" t="s">
        <v>2042</v>
      </c>
      <c r="AM246" s="184" t="s">
        <v>2042</v>
      </c>
      <c r="AN246" s="187" t="s">
        <v>2042</v>
      </c>
      <c r="AO246" s="187" t="s">
        <v>2042</v>
      </c>
      <c r="AP246" s="187" t="s">
        <v>2042</v>
      </c>
      <c r="AQ246" s="175"/>
    </row>
    <row r="247" spans="1:43" ht="14.5">
      <c r="A247" s="169"/>
      <c r="B247" s="170"/>
      <c r="C247" s="176"/>
      <c r="D247" s="177"/>
      <c r="E247" s="178">
        <v>1</v>
      </c>
      <c r="F247" s="179"/>
      <c r="G247" s="186" t="e">
        <f>IF(C247="","",SUMIFS(MRP!$D$5:$D1000,MRP!$B$5:$B1000,C247))*E247</f>
        <v>#VALUE!</v>
      </c>
      <c r="H247" s="181" t="s">
        <v>2041</v>
      </c>
      <c r="I247" s="182">
        <v>0</v>
      </c>
      <c r="J247" s="183" t="s">
        <v>2042</v>
      </c>
      <c r="K247" s="184" t="s">
        <v>2042</v>
      </c>
      <c r="L247" s="184" t="s">
        <v>2042</v>
      </c>
      <c r="M247" s="185" t="s">
        <v>2042</v>
      </c>
      <c r="N247" s="185" t="s">
        <v>2042</v>
      </c>
      <c r="O247" s="185" t="s">
        <v>2042</v>
      </c>
      <c r="P247" s="185" t="s">
        <v>2042</v>
      </c>
      <c r="Q247" s="185" t="s">
        <v>2042</v>
      </c>
      <c r="R247" s="185" t="s">
        <v>2042</v>
      </c>
      <c r="S247" s="185" t="s">
        <v>2042</v>
      </c>
      <c r="T247" s="185" t="s">
        <v>2042</v>
      </c>
      <c r="U247" s="185" t="s">
        <v>2042</v>
      </c>
      <c r="V247" s="185" t="s">
        <v>2042</v>
      </c>
      <c r="W247" s="185" t="s">
        <v>2042</v>
      </c>
      <c r="X247" s="185" t="s">
        <v>2042</v>
      </c>
      <c r="Y247" s="185" t="s">
        <v>2042</v>
      </c>
      <c r="Z247" s="185" t="s">
        <v>2042</v>
      </c>
      <c r="AA247" s="185" t="s">
        <v>2042</v>
      </c>
      <c r="AB247" s="185" t="s">
        <v>2042</v>
      </c>
      <c r="AC247" s="185" t="s">
        <v>2042</v>
      </c>
      <c r="AD247" s="185" t="s">
        <v>2042</v>
      </c>
      <c r="AE247" s="185" t="s">
        <v>2042</v>
      </c>
      <c r="AF247" s="185" t="s">
        <v>2042</v>
      </c>
      <c r="AG247" s="185" t="s">
        <v>2042</v>
      </c>
      <c r="AH247" s="185" t="s">
        <v>2042</v>
      </c>
      <c r="AI247" s="185" t="s">
        <v>2042</v>
      </c>
      <c r="AJ247" s="185" t="s">
        <v>2042</v>
      </c>
      <c r="AK247" s="185" t="s">
        <v>2042</v>
      </c>
      <c r="AL247" s="185" t="s">
        <v>2042</v>
      </c>
      <c r="AM247" s="185" t="s">
        <v>2042</v>
      </c>
      <c r="AN247" s="185" t="s">
        <v>2042</v>
      </c>
      <c r="AO247" s="185" t="s">
        <v>2042</v>
      </c>
      <c r="AP247" s="185" t="s">
        <v>2042</v>
      </c>
      <c r="AQ247" s="175"/>
    </row>
    <row r="248" spans="1:43" ht="14.5">
      <c r="A248" s="169"/>
      <c r="B248" s="170"/>
      <c r="C248" s="176"/>
      <c r="D248" s="177"/>
      <c r="E248" s="178">
        <v>1</v>
      </c>
      <c r="F248" s="179"/>
      <c r="G248" s="186" t="e">
        <f>IF(C248="","",SUMIFS(MRP!$D$5:$D1000,MRP!$B$5:$B1000,C248))*E248</f>
        <v>#VALUE!</v>
      </c>
      <c r="H248" s="181" t="s">
        <v>2041</v>
      </c>
      <c r="I248" s="182">
        <v>0</v>
      </c>
      <c r="J248" s="183" t="s">
        <v>2042</v>
      </c>
      <c r="K248" s="184" t="s">
        <v>2042</v>
      </c>
      <c r="L248" s="184" t="s">
        <v>2042</v>
      </c>
      <c r="M248" s="184" t="s">
        <v>2042</v>
      </c>
      <c r="N248" s="184" t="s">
        <v>2042</v>
      </c>
      <c r="O248" s="184" t="s">
        <v>2042</v>
      </c>
      <c r="P248" s="184" t="s">
        <v>2042</v>
      </c>
      <c r="Q248" s="184" t="s">
        <v>2042</v>
      </c>
      <c r="R248" s="184" t="s">
        <v>2042</v>
      </c>
      <c r="S248" s="184" t="s">
        <v>2042</v>
      </c>
      <c r="T248" s="185" t="s">
        <v>2042</v>
      </c>
      <c r="U248" s="185" t="s">
        <v>2042</v>
      </c>
      <c r="V248" s="185" t="s">
        <v>2042</v>
      </c>
      <c r="W248" s="185" t="s">
        <v>2042</v>
      </c>
      <c r="X248" s="185" t="s">
        <v>2042</v>
      </c>
      <c r="Y248" s="185" t="s">
        <v>2042</v>
      </c>
      <c r="Z248" s="185" t="s">
        <v>2042</v>
      </c>
      <c r="AA248" s="185" t="s">
        <v>2042</v>
      </c>
      <c r="AB248" s="185" t="s">
        <v>2042</v>
      </c>
      <c r="AC248" s="185" t="s">
        <v>2042</v>
      </c>
      <c r="AD248" s="185" t="s">
        <v>2042</v>
      </c>
      <c r="AE248" s="185" t="s">
        <v>2042</v>
      </c>
      <c r="AF248" s="185" t="s">
        <v>2042</v>
      </c>
      <c r="AG248" s="185" t="s">
        <v>2042</v>
      </c>
      <c r="AH248" s="185" t="s">
        <v>2042</v>
      </c>
      <c r="AI248" s="185" t="s">
        <v>2042</v>
      </c>
      <c r="AJ248" s="185" t="s">
        <v>2042</v>
      </c>
      <c r="AK248" s="185" t="s">
        <v>2042</v>
      </c>
      <c r="AL248" s="185" t="s">
        <v>2042</v>
      </c>
      <c r="AM248" s="185" t="s">
        <v>2042</v>
      </c>
      <c r="AN248" s="185" t="s">
        <v>2042</v>
      </c>
      <c r="AO248" s="185" t="s">
        <v>2042</v>
      </c>
      <c r="AP248" s="185" t="s">
        <v>2042</v>
      </c>
      <c r="AQ248" s="175"/>
    </row>
    <row r="249" spans="1:43" ht="14.5">
      <c r="A249" s="169"/>
      <c r="B249" s="170"/>
      <c r="C249" s="176"/>
      <c r="D249" s="177"/>
      <c r="E249" s="178">
        <v>1</v>
      </c>
      <c r="F249" s="179"/>
      <c r="G249" s="186" t="e">
        <f>IF(C249="","",SUMIFS(MRP!$D$5:$D1000,MRP!$B$5:$B1000,C249))*E249</f>
        <v>#VALUE!</v>
      </c>
      <c r="H249" s="181" t="s">
        <v>2041</v>
      </c>
      <c r="I249" s="182">
        <v>0</v>
      </c>
      <c r="J249" s="183" t="s">
        <v>2042</v>
      </c>
      <c r="K249" s="184" t="s">
        <v>2042</v>
      </c>
      <c r="L249" s="184" t="s">
        <v>2042</v>
      </c>
      <c r="M249" s="184" t="s">
        <v>2042</v>
      </c>
      <c r="N249" s="184" t="s">
        <v>2042</v>
      </c>
      <c r="O249" s="184" t="s">
        <v>2042</v>
      </c>
      <c r="P249" s="184" t="s">
        <v>2042</v>
      </c>
      <c r="Q249" s="184" t="s">
        <v>2042</v>
      </c>
      <c r="R249" s="184" t="s">
        <v>2042</v>
      </c>
      <c r="S249" s="184" t="s">
        <v>2042</v>
      </c>
      <c r="T249" s="184" t="s">
        <v>2042</v>
      </c>
      <c r="U249" s="184" t="s">
        <v>2042</v>
      </c>
      <c r="V249" s="184" t="s">
        <v>2042</v>
      </c>
      <c r="W249" s="184" t="s">
        <v>2042</v>
      </c>
      <c r="X249" s="184" t="s">
        <v>2042</v>
      </c>
      <c r="Y249" s="184" t="s">
        <v>2042</v>
      </c>
      <c r="Z249" s="184" t="s">
        <v>2042</v>
      </c>
      <c r="AA249" s="184" t="s">
        <v>2042</v>
      </c>
      <c r="AB249" s="184" t="s">
        <v>2042</v>
      </c>
      <c r="AC249" s="184" t="s">
        <v>2042</v>
      </c>
      <c r="AD249" s="184" t="s">
        <v>2042</v>
      </c>
      <c r="AE249" s="184" t="s">
        <v>2042</v>
      </c>
      <c r="AF249" s="184" t="s">
        <v>2042</v>
      </c>
      <c r="AG249" s="184" t="s">
        <v>2042</v>
      </c>
      <c r="AH249" s="184" t="s">
        <v>2042</v>
      </c>
      <c r="AI249" s="184" t="s">
        <v>2042</v>
      </c>
      <c r="AJ249" s="184" t="s">
        <v>2042</v>
      </c>
      <c r="AK249" s="184" t="s">
        <v>2042</v>
      </c>
      <c r="AL249" s="184" t="s">
        <v>2042</v>
      </c>
      <c r="AM249" s="184" t="s">
        <v>2042</v>
      </c>
      <c r="AN249" s="184" t="s">
        <v>2042</v>
      </c>
      <c r="AO249" s="184" t="s">
        <v>2042</v>
      </c>
      <c r="AP249" s="184" t="s">
        <v>2042</v>
      </c>
      <c r="AQ249" s="175"/>
    </row>
    <row r="250" spans="1:43" ht="14.5">
      <c r="A250" s="169"/>
      <c r="B250" s="170"/>
      <c r="C250" s="176"/>
      <c r="D250" s="177"/>
      <c r="E250" s="178">
        <v>1</v>
      </c>
      <c r="F250" s="179"/>
      <c r="G250" s="186" t="e">
        <f>IF(C250="","",SUMIFS(MRP!$D$5:$D1000,MRP!$B$5:$B1000,C250))*E250</f>
        <v>#VALUE!</v>
      </c>
      <c r="H250" s="181" t="s">
        <v>2041</v>
      </c>
      <c r="I250" s="182">
        <v>0</v>
      </c>
      <c r="J250" s="183" t="s">
        <v>2042</v>
      </c>
      <c r="K250" s="185" t="s">
        <v>2042</v>
      </c>
      <c r="L250" s="185" t="s">
        <v>2042</v>
      </c>
      <c r="M250" s="185" t="s">
        <v>2042</v>
      </c>
      <c r="N250" s="185" t="s">
        <v>2042</v>
      </c>
      <c r="O250" s="185" t="s">
        <v>2042</v>
      </c>
      <c r="P250" s="185" t="s">
        <v>2042</v>
      </c>
      <c r="Q250" s="185" t="s">
        <v>2042</v>
      </c>
      <c r="R250" s="185" t="s">
        <v>2042</v>
      </c>
      <c r="S250" s="185" t="s">
        <v>2042</v>
      </c>
      <c r="T250" s="185" t="s">
        <v>2042</v>
      </c>
      <c r="U250" s="185" t="s">
        <v>2042</v>
      </c>
      <c r="V250" s="185" t="s">
        <v>2042</v>
      </c>
      <c r="W250" s="185" t="s">
        <v>2042</v>
      </c>
      <c r="X250" s="185" t="s">
        <v>2042</v>
      </c>
      <c r="Y250" s="185" t="s">
        <v>2042</v>
      </c>
      <c r="Z250" s="185" t="s">
        <v>2042</v>
      </c>
      <c r="AA250" s="185" t="s">
        <v>2042</v>
      </c>
      <c r="AB250" s="185" t="s">
        <v>2042</v>
      </c>
      <c r="AC250" s="185" t="s">
        <v>2042</v>
      </c>
      <c r="AD250" s="185" t="s">
        <v>2042</v>
      </c>
      <c r="AE250" s="185" t="s">
        <v>2042</v>
      </c>
      <c r="AF250" s="185" t="s">
        <v>2042</v>
      </c>
      <c r="AG250" s="185" t="s">
        <v>2042</v>
      </c>
      <c r="AH250" s="185" t="s">
        <v>2042</v>
      </c>
      <c r="AI250" s="185" t="s">
        <v>2042</v>
      </c>
      <c r="AJ250" s="185" t="s">
        <v>2042</v>
      </c>
      <c r="AK250" s="185" t="s">
        <v>2042</v>
      </c>
      <c r="AL250" s="185" t="s">
        <v>2042</v>
      </c>
      <c r="AM250" s="185" t="s">
        <v>2042</v>
      </c>
      <c r="AN250" s="185" t="s">
        <v>2042</v>
      </c>
      <c r="AO250" s="185" t="s">
        <v>2042</v>
      </c>
      <c r="AP250" s="185" t="s">
        <v>2042</v>
      </c>
      <c r="AQ250" s="175"/>
    </row>
    <row r="251" spans="1:43" ht="14.5">
      <c r="A251" s="169"/>
      <c r="B251" s="170"/>
      <c r="C251" s="176"/>
      <c r="D251" s="177"/>
      <c r="E251" s="178">
        <v>1</v>
      </c>
      <c r="F251" s="179"/>
      <c r="G251" s="186" t="e">
        <f>IF(C251="","",SUMIFS(MRP!$D$5:$D1000,MRP!$B$5:$B1000,C251))*E251</f>
        <v>#VALUE!</v>
      </c>
      <c r="H251" s="181" t="s">
        <v>2041</v>
      </c>
      <c r="I251" s="182">
        <v>0</v>
      </c>
      <c r="J251" s="183" t="s">
        <v>2042</v>
      </c>
      <c r="K251" s="184" t="s">
        <v>2042</v>
      </c>
      <c r="L251" s="184" t="s">
        <v>2042</v>
      </c>
      <c r="M251" s="184" t="s">
        <v>2042</v>
      </c>
      <c r="N251" s="184" t="s">
        <v>2042</v>
      </c>
      <c r="O251" s="184" t="s">
        <v>2042</v>
      </c>
      <c r="P251" s="184" t="s">
        <v>2042</v>
      </c>
      <c r="Q251" s="184" t="s">
        <v>2042</v>
      </c>
      <c r="R251" s="184" t="s">
        <v>2042</v>
      </c>
      <c r="S251" s="184" t="s">
        <v>2042</v>
      </c>
      <c r="T251" s="184" t="s">
        <v>2042</v>
      </c>
      <c r="U251" s="184" t="s">
        <v>2042</v>
      </c>
      <c r="V251" s="184" t="s">
        <v>2042</v>
      </c>
      <c r="W251" s="184" t="s">
        <v>2042</v>
      </c>
      <c r="X251" s="184" t="s">
        <v>2042</v>
      </c>
      <c r="Y251" s="184" t="s">
        <v>2042</v>
      </c>
      <c r="Z251" s="184" t="s">
        <v>2042</v>
      </c>
      <c r="AA251" s="184" t="s">
        <v>2042</v>
      </c>
      <c r="AB251" s="184" t="s">
        <v>2042</v>
      </c>
      <c r="AC251" s="184" t="s">
        <v>2042</v>
      </c>
      <c r="AD251" s="184" t="s">
        <v>2042</v>
      </c>
      <c r="AE251" s="184" t="s">
        <v>2042</v>
      </c>
      <c r="AF251" s="184" t="s">
        <v>2042</v>
      </c>
      <c r="AG251" s="184" t="s">
        <v>2042</v>
      </c>
      <c r="AH251" s="184" t="s">
        <v>2042</v>
      </c>
      <c r="AI251" s="184" t="s">
        <v>2042</v>
      </c>
      <c r="AJ251" s="184" t="s">
        <v>2042</v>
      </c>
      <c r="AK251" s="184" t="s">
        <v>2042</v>
      </c>
      <c r="AL251" s="184" t="s">
        <v>2042</v>
      </c>
      <c r="AM251" s="184" t="s">
        <v>2042</v>
      </c>
      <c r="AN251" s="184" t="s">
        <v>2042</v>
      </c>
      <c r="AO251" s="184" t="s">
        <v>2042</v>
      </c>
      <c r="AP251" s="184" t="s">
        <v>2042</v>
      </c>
      <c r="AQ251" s="175"/>
    </row>
    <row r="252" spans="1:43" ht="14.5">
      <c r="A252" s="169"/>
      <c r="B252" s="170"/>
      <c r="C252" s="176"/>
      <c r="D252" s="177"/>
      <c r="E252" s="178">
        <v>1</v>
      </c>
      <c r="F252" s="179"/>
      <c r="G252" s="186" t="e">
        <f>IF(C252="","",SUMIFS(MRP!$D$5:$D1000,MRP!$B$5:$B1000,C252))*E252</f>
        <v>#VALUE!</v>
      </c>
      <c r="H252" s="181" t="s">
        <v>2041</v>
      </c>
      <c r="I252" s="182">
        <v>0</v>
      </c>
      <c r="J252" s="183" t="s">
        <v>2042</v>
      </c>
      <c r="K252" s="184" t="s">
        <v>2042</v>
      </c>
      <c r="L252" s="184" t="s">
        <v>2042</v>
      </c>
      <c r="M252" s="184" t="s">
        <v>2042</v>
      </c>
      <c r="N252" s="184" t="s">
        <v>2042</v>
      </c>
      <c r="O252" s="184" t="s">
        <v>2042</v>
      </c>
      <c r="P252" s="184" t="s">
        <v>2042</v>
      </c>
      <c r="Q252" s="184" t="s">
        <v>2042</v>
      </c>
      <c r="R252" s="184" t="s">
        <v>2042</v>
      </c>
      <c r="S252" s="184" t="s">
        <v>2042</v>
      </c>
      <c r="T252" s="184" t="s">
        <v>2042</v>
      </c>
      <c r="U252" s="184" t="s">
        <v>2042</v>
      </c>
      <c r="V252" s="189" t="s">
        <v>2042</v>
      </c>
      <c r="W252" s="184" t="s">
        <v>2042</v>
      </c>
      <c r="X252" s="184" t="s">
        <v>2042</v>
      </c>
      <c r="Y252" s="184" t="s">
        <v>2042</v>
      </c>
      <c r="Z252" s="184" t="s">
        <v>2042</v>
      </c>
      <c r="AA252" s="184" t="s">
        <v>2042</v>
      </c>
      <c r="AB252" s="184" t="s">
        <v>2042</v>
      </c>
      <c r="AC252" s="184" t="s">
        <v>2042</v>
      </c>
      <c r="AD252" s="184" t="s">
        <v>2042</v>
      </c>
      <c r="AE252" s="184" t="s">
        <v>2042</v>
      </c>
      <c r="AF252" s="184" t="s">
        <v>2042</v>
      </c>
      <c r="AG252" s="184" t="s">
        <v>2042</v>
      </c>
      <c r="AH252" s="184" t="s">
        <v>2042</v>
      </c>
      <c r="AI252" s="184" t="s">
        <v>2042</v>
      </c>
      <c r="AJ252" s="184" t="s">
        <v>2042</v>
      </c>
      <c r="AK252" s="184" t="s">
        <v>2042</v>
      </c>
      <c r="AL252" s="184" t="s">
        <v>2042</v>
      </c>
      <c r="AM252" s="184" t="s">
        <v>2042</v>
      </c>
      <c r="AN252" s="184" t="s">
        <v>2042</v>
      </c>
      <c r="AO252" s="184" t="s">
        <v>2042</v>
      </c>
      <c r="AP252" s="184" t="s">
        <v>2042</v>
      </c>
      <c r="AQ252" s="175"/>
    </row>
    <row r="253" spans="1:43" ht="14.5">
      <c r="A253" s="169"/>
      <c r="B253" s="170"/>
      <c r="C253" s="176"/>
      <c r="D253" s="177"/>
      <c r="E253" s="178">
        <v>1</v>
      </c>
      <c r="F253" s="179"/>
      <c r="G253" s="186" t="e">
        <f>IF(C253="","",SUMIFS(MRP!$D$5:$D1000,MRP!$B$5:$B1000,C253))*E253</f>
        <v>#VALUE!</v>
      </c>
      <c r="H253" s="181" t="s">
        <v>2041</v>
      </c>
      <c r="I253" s="182">
        <v>0</v>
      </c>
      <c r="J253" s="183" t="s">
        <v>2042</v>
      </c>
      <c r="K253" s="184" t="s">
        <v>2042</v>
      </c>
      <c r="L253" s="184" t="s">
        <v>2042</v>
      </c>
      <c r="M253" s="184" t="s">
        <v>2042</v>
      </c>
      <c r="N253" s="184" t="s">
        <v>2042</v>
      </c>
      <c r="O253" s="184" t="s">
        <v>2042</v>
      </c>
      <c r="P253" s="184" t="s">
        <v>2042</v>
      </c>
      <c r="Q253" s="184" t="s">
        <v>2042</v>
      </c>
      <c r="R253" s="184" t="s">
        <v>2042</v>
      </c>
      <c r="S253" s="184" t="s">
        <v>2042</v>
      </c>
      <c r="T253" s="184" t="s">
        <v>2042</v>
      </c>
      <c r="U253" s="184" t="s">
        <v>2042</v>
      </c>
      <c r="V253" s="184" t="s">
        <v>2042</v>
      </c>
      <c r="W253" s="184" t="s">
        <v>2042</v>
      </c>
      <c r="X253" s="184" t="s">
        <v>2042</v>
      </c>
      <c r="Y253" s="184" t="s">
        <v>2042</v>
      </c>
      <c r="Z253" s="184" t="s">
        <v>2042</v>
      </c>
      <c r="AA253" s="184" t="s">
        <v>2042</v>
      </c>
      <c r="AB253" s="184" t="s">
        <v>2042</v>
      </c>
      <c r="AC253" s="184" t="s">
        <v>2042</v>
      </c>
      <c r="AD253" s="184" t="s">
        <v>2042</v>
      </c>
      <c r="AE253" s="184" t="s">
        <v>2042</v>
      </c>
      <c r="AF253" s="184" t="s">
        <v>2042</v>
      </c>
      <c r="AG253" s="184" t="s">
        <v>2042</v>
      </c>
      <c r="AH253" s="184" t="s">
        <v>2042</v>
      </c>
      <c r="AI253" s="184" t="s">
        <v>2042</v>
      </c>
      <c r="AJ253" s="184" t="s">
        <v>2042</v>
      </c>
      <c r="AK253" s="184" t="s">
        <v>2042</v>
      </c>
      <c r="AL253" s="184" t="s">
        <v>2042</v>
      </c>
      <c r="AM253" s="184" t="s">
        <v>2042</v>
      </c>
      <c r="AN253" s="184" t="s">
        <v>2042</v>
      </c>
      <c r="AO253" s="184" t="s">
        <v>2042</v>
      </c>
      <c r="AP253" s="184" t="s">
        <v>2042</v>
      </c>
      <c r="AQ253" s="175"/>
    </row>
    <row r="254" spans="1:43" ht="14.5">
      <c r="A254" s="169"/>
      <c r="B254" s="170"/>
      <c r="C254" s="176"/>
      <c r="D254" s="177"/>
      <c r="E254" s="178">
        <v>1</v>
      </c>
      <c r="F254" s="179"/>
      <c r="G254" s="186" t="e">
        <f>IF(C254="","",SUMIFS(MRP!$D$5:$D1000,MRP!$B$5:$B1000,C254))*E254</f>
        <v>#VALUE!</v>
      </c>
      <c r="H254" s="181" t="s">
        <v>2041</v>
      </c>
      <c r="I254" s="182">
        <v>0</v>
      </c>
      <c r="J254" s="183" t="s">
        <v>2042</v>
      </c>
      <c r="K254" s="184" t="s">
        <v>2042</v>
      </c>
      <c r="L254" s="184" t="s">
        <v>2042</v>
      </c>
      <c r="M254" s="184" t="s">
        <v>2042</v>
      </c>
      <c r="N254" s="184" t="s">
        <v>2042</v>
      </c>
      <c r="O254" s="184" t="s">
        <v>2042</v>
      </c>
      <c r="P254" s="184" t="s">
        <v>2042</v>
      </c>
      <c r="Q254" s="184" t="s">
        <v>2042</v>
      </c>
      <c r="R254" s="184" t="s">
        <v>2042</v>
      </c>
      <c r="S254" s="184" t="s">
        <v>2042</v>
      </c>
      <c r="T254" s="184" t="s">
        <v>2042</v>
      </c>
      <c r="U254" s="184" t="s">
        <v>2042</v>
      </c>
      <c r="V254" s="184" t="s">
        <v>2042</v>
      </c>
      <c r="W254" s="184" t="s">
        <v>2042</v>
      </c>
      <c r="X254" s="184" t="s">
        <v>2042</v>
      </c>
      <c r="Y254" s="184" t="s">
        <v>2042</v>
      </c>
      <c r="Z254" s="184" t="s">
        <v>2042</v>
      </c>
      <c r="AA254" s="184" t="s">
        <v>2042</v>
      </c>
      <c r="AB254" s="184" t="s">
        <v>2042</v>
      </c>
      <c r="AC254" s="184" t="s">
        <v>2042</v>
      </c>
      <c r="AD254" s="184" t="s">
        <v>2042</v>
      </c>
      <c r="AE254" s="184" t="s">
        <v>2042</v>
      </c>
      <c r="AF254" s="184" t="s">
        <v>2042</v>
      </c>
      <c r="AG254" s="184" t="s">
        <v>2042</v>
      </c>
      <c r="AH254" s="184" t="s">
        <v>2042</v>
      </c>
      <c r="AI254" s="184" t="s">
        <v>2042</v>
      </c>
      <c r="AJ254" s="184" t="s">
        <v>2042</v>
      </c>
      <c r="AK254" s="184" t="s">
        <v>2042</v>
      </c>
      <c r="AL254" s="184" t="s">
        <v>2042</v>
      </c>
      <c r="AM254" s="184" t="s">
        <v>2042</v>
      </c>
      <c r="AN254" s="184" t="s">
        <v>2042</v>
      </c>
      <c r="AO254" s="184" t="s">
        <v>2042</v>
      </c>
      <c r="AP254" s="184" t="s">
        <v>2042</v>
      </c>
      <c r="AQ254" s="175"/>
    </row>
    <row r="255" spans="1:43" ht="14.5">
      <c r="A255" s="169"/>
      <c r="B255" s="170"/>
      <c r="C255" s="176"/>
      <c r="D255" s="177"/>
      <c r="E255" s="178">
        <v>1</v>
      </c>
      <c r="F255" s="179"/>
      <c r="G255" s="186" t="e">
        <f>IF(C255="","",SUMIFS(MRP!$D$5:$D1000,MRP!$B$5:$B1000,C255))*E255</f>
        <v>#VALUE!</v>
      </c>
      <c r="H255" s="181" t="s">
        <v>2041</v>
      </c>
      <c r="I255" s="182">
        <v>0</v>
      </c>
      <c r="J255" s="183" t="s">
        <v>2042</v>
      </c>
      <c r="K255" s="184" t="s">
        <v>2042</v>
      </c>
      <c r="L255" s="184" t="s">
        <v>2042</v>
      </c>
      <c r="M255" s="184" t="s">
        <v>2042</v>
      </c>
      <c r="N255" s="184" t="s">
        <v>2042</v>
      </c>
      <c r="O255" s="184" t="s">
        <v>2042</v>
      </c>
      <c r="P255" s="184" t="s">
        <v>2042</v>
      </c>
      <c r="Q255" s="184" t="s">
        <v>2042</v>
      </c>
      <c r="R255" s="184" t="s">
        <v>2042</v>
      </c>
      <c r="S255" s="184" t="s">
        <v>2042</v>
      </c>
      <c r="T255" s="184" t="s">
        <v>2042</v>
      </c>
      <c r="U255" s="184" t="s">
        <v>2042</v>
      </c>
      <c r="V255" s="184" t="s">
        <v>2042</v>
      </c>
      <c r="W255" s="184" t="s">
        <v>2042</v>
      </c>
      <c r="X255" s="184" t="s">
        <v>2042</v>
      </c>
      <c r="Y255" s="184" t="s">
        <v>2042</v>
      </c>
      <c r="Z255" s="184" t="s">
        <v>2042</v>
      </c>
      <c r="AA255" s="184" t="s">
        <v>2042</v>
      </c>
      <c r="AB255" s="184" t="s">
        <v>2042</v>
      </c>
      <c r="AC255" s="184" t="s">
        <v>2042</v>
      </c>
      <c r="AD255" s="184" t="s">
        <v>2042</v>
      </c>
      <c r="AE255" s="184" t="s">
        <v>2042</v>
      </c>
      <c r="AF255" s="184" t="s">
        <v>2042</v>
      </c>
      <c r="AG255" s="184" t="s">
        <v>2042</v>
      </c>
      <c r="AH255" s="184" t="s">
        <v>2042</v>
      </c>
      <c r="AI255" s="184" t="s">
        <v>2042</v>
      </c>
      <c r="AJ255" s="184" t="s">
        <v>2042</v>
      </c>
      <c r="AK255" s="184" t="s">
        <v>2042</v>
      </c>
      <c r="AL255" s="184" t="s">
        <v>2042</v>
      </c>
      <c r="AM255" s="184" t="s">
        <v>2042</v>
      </c>
      <c r="AN255" s="184" t="s">
        <v>2042</v>
      </c>
      <c r="AO255" s="184" t="s">
        <v>2042</v>
      </c>
      <c r="AP255" s="184" t="s">
        <v>2042</v>
      </c>
      <c r="AQ255" s="175"/>
    </row>
    <row r="256" spans="1:43" ht="14.5">
      <c r="A256" s="169"/>
      <c r="B256" s="170"/>
      <c r="C256" s="176"/>
      <c r="D256" s="177"/>
      <c r="E256" s="178">
        <v>1</v>
      </c>
      <c r="F256" s="179"/>
      <c r="G256" s="186" t="e">
        <f>IF(C256="","",SUMIFS(MRP!$D$5:$D1000,MRP!$B$5:$B1000,C256))*E256</f>
        <v>#VALUE!</v>
      </c>
      <c r="H256" s="181" t="s">
        <v>2041</v>
      </c>
      <c r="I256" s="182">
        <v>0</v>
      </c>
      <c r="J256" s="183" t="s">
        <v>2042</v>
      </c>
      <c r="K256" s="184" t="s">
        <v>2042</v>
      </c>
      <c r="L256" s="188" t="s">
        <v>2042</v>
      </c>
      <c r="M256" s="189" t="s">
        <v>2042</v>
      </c>
      <c r="N256" s="189" t="s">
        <v>2042</v>
      </c>
      <c r="O256" s="189" t="s">
        <v>2042</v>
      </c>
      <c r="P256" s="189" t="s">
        <v>2042</v>
      </c>
      <c r="Q256" s="187" t="s">
        <v>2042</v>
      </c>
      <c r="R256" s="184" t="s">
        <v>2042</v>
      </c>
      <c r="S256" s="184" t="s">
        <v>2042</v>
      </c>
      <c r="T256" s="184" t="s">
        <v>2042</v>
      </c>
      <c r="U256" s="184" t="s">
        <v>2042</v>
      </c>
      <c r="V256" s="184" t="s">
        <v>2042</v>
      </c>
      <c r="W256" s="188" t="s">
        <v>2042</v>
      </c>
      <c r="X256" s="188" t="s">
        <v>2042</v>
      </c>
      <c r="Y256" s="188" t="s">
        <v>2042</v>
      </c>
      <c r="Z256" s="188" t="s">
        <v>2042</v>
      </c>
      <c r="AA256" s="188" t="s">
        <v>2042</v>
      </c>
      <c r="AB256" s="188" t="s">
        <v>2042</v>
      </c>
      <c r="AC256" s="188" t="s">
        <v>2042</v>
      </c>
      <c r="AD256" s="188" t="s">
        <v>2042</v>
      </c>
      <c r="AE256" s="188" t="s">
        <v>2042</v>
      </c>
      <c r="AF256" s="188" t="s">
        <v>2042</v>
      </c>
      <c r="AG256" s="188" t="s">
        <v>2042</v>
      </c>
      <c r="AH256" s="188" t="s">
        <v>2042</v>
      </c>
      <c r="AI256" s="188" t="s">
        <v>2042</v>
      </c>
      <c r="AJ256" s="188" t="s">
        <v>2042</v>
      </c>
      <c r="AK256" s="188" t="s">
        <v>2042</v>
      </c>
      <c r="AL256" s="188" t="s">
        <v>2042</v>
      </c>
      <c r="AM256" s="188" t="s">
        <v>2042</v>
      </c>
      <c r="AN256" s="188" t="s">
        <v>2042</v>
      </c>
      <c r="AO256" s="188" t="s">
        <v>2042</v>
      </c>
      <c r="AP256" s="188" t="s">
        <v>2042</v>
      </c>
      <c r="AQ256" s="175"/>
    </row>
    <row r="257" spans="1:43" ht="14.5">
      <c r="A257" s="169"/>
      <c r="B257" s="170"/>
      <c r="C257" s="176"/>
      <c r="D257" s="177"/>
      <c r="E257" s="178">
        <v>1</v>
      </c>
      <c r="F257" s="179"/>
      <c r="G257" s="186" t="e">
        <f>IF(C257="","",SUMIFS(MRP!$D$5:$D1000,MRP!$B$5:$B1000,C257))*E257</f>
        <v>#VALUE!</v>
      </c>
      <c r="H257" s="181" t="s">
        <v>2041</v>
      </c>
      <c r="I257" s="182">
        <v>0</v>
      </c>
      <c r="J257" s="183" t="s">
        <v>2042</v>
      </c>
      <c r="K257" s="184" t="s">
        <v>2042</v>
      </c>
      <c r="L257" s="184" t="s">
        <v>2042</v>
      </c>
      <c r="M257" s="184" t="s">
        <v>2042</v>
      </c>
      <c r="N257" s="184" t="s">
        <v>2042</v>
      </c>
      <c r="O257" s="184" t="s">
        <v>2042</v>
      </c>
      <c r="P257" s="184" t="s">
        <v>2042</v>
      </c>
      <c r="Q257" s="184" t="s">
        <v>2042</v>
      </c>
      <c r="R257" s="184" t="s">
        <v>2042</v>
      </c>
      <c r="S257" s="184" t="s">
        <v>2042</v>
      </c>
      <c r="T257" s="184" t="s">
        <v>2042</v>
      </c>
      <c r="U257" s="184" t="s">
        <v>2042</v>
      </c>
      <c r="V257" s="184" t="s">
        <v>2042</v>
      </c>
      <c r="W257" s="184" t="s">
        <v>2042</v>
      </c>
      <c r="X257" s="184" t="s">
        <v>2042</v>
      </c>
      <c r="Y257" s="184" t="s">
        <v>2042</v>
      </c>
      <c r="Z257" s="184" t="s">
        <v>2042</v>
      </c>
      <c r="AA257" s="184" t="s">
        <v>2042</v>
      </c>
      <c r="AB257" s="184" t="s">
        <v>2042</v>
      </c>
      <c r="AC257" s="184" t="s">
        <v>2042</v>
      </c>
      <c r="AD257" s="184" t="s">
        <v>2042</v>
      </c>
      <c r="AE257" s="184" t="s">
        <v>2042</v>
      </c>
      <c r="AF257" s="184" t="s">
        <v>2042</v>
      </c>
      <c r="AG257" s="184" t="s">
        <v>2042</v>
      </c>
      <c r="AH257" s="184" t="s">
        <v>2042</v>
      </c>
      <c r="AI257" s="184" t="s">
        <v>2042</v>
      </c>
      <c r="AJ257" s="184" t="s">
        <v>2042</v>
      </c>
      <c r="AK257" s="184" t="s">
        <v>2042</v>
      </c>
      <c r="AL257" s="184" t="s">
        <v>2042</v>
      </c>
      <c r="AM257" s="184" t="s">
        <v>2042</v>
      </c>
      <c r="AN257" s="184" t="s">
        <v>2042</v>
      </c>
      <c r="AO257" s="184" t="s">
        <v>2042</v>
      </c>
      <c r="AP257" s="184" t="s">
        <v>2042</v>
      </c>
      <c r="AQ257" s="175"/>
    </row>
    <row r="258" spans="1:43" ht="14.5">
      <c r="A258" s="169"/>
      <c r="B258" s="170"/>
      <c r="C258" s="176"/>
      <c r="D258" s="177"/>
      <c r="E258" s="178">
        <v>1</v>
      </c>
      <c r="F258" s="179"/>
      <c r="G258" s="186" t="e">
        <f>IF(C258="","",SUMIFS(MRP!$D$5:$D1000,MRP!$B$5:$B1000,C258))*E258</f>
        <v>#VALUE!</v>
      </c>
      <c r="H258" s="181" t="s">
        <v>2041</v>
      </c>
      <c r="I258" s="182">
        <v>0</v>
      </c>
      <c r="J258" s="183" t="s">
        <v>2042</v>
      </c>
      <c r="K258" s="184" t="s">
        <v>2042</v>
      </c>
      <c r="L258" s="184" t="s">
        <v>2042</v>
      </c>
      <c r="M258" s="184" t="s">
        <v>2042</v>
      </c>
      <c r="N258" s="184" t="s">
        <v>2042</v>
      </c>
      <c r="O258" s="184" t="s">
        <v>2042</v>
      </c>
      <c r="P258" s="184" t="s">
        <v>2042</v>
      </c>
      <c r="Q258" s="184" t="s">
        <v>2042</v>
      </c>
      <c r="R258" s="184" t="s">
        <v>2042</v>
      </c>
      <c r="S258" s="184" t="s">
        <v>2042</v>
      </c>
      <c r="T258" s="184" t="s">
        <v>2042</v>
      </c>
      <c r="U258" s="184" t="s">
        <v>2042</v>
      </c>
      <c r="V258" s="184" t="s">
        <v>2042</v>
      </c>
      <c r="W258" s="184" t="s">
        <v>2042</v>
      </c>
      <c r="X258" s="184" t="s">
        <v>2042</v>
      </c>
      <c r="Y258" s="184" t="s">
        <v>2042</v>
      </c>
      <c r="Z258" s="184" t="s">
        <v>2042</v>
      </c>
      <c r="AA258" s="184" t="s">
        <v>2042</v>
      </c>
      <c r="AB258" s="184" t="s">
        <v>2042</v>
      </c>
      <c r="AC258" s="184" t="s">
        <v>2042</v>
      </c>
      <c r="AD258" s="184" t="s">
        <v>2042</v>
      </c>
      <c r="AE258" s="184" t="s">
        <v>2042</v>
      </c>
      <c r="AF258" s="184" t="s">
        <v>2042</v>
      </c>
      <c r="AG258" s="184" t="s">
        <v>2042</v>
      </c>
      <c r="AH258" s="184" t="s">
        <v>2042</v>
      </c>
      <c r="AI258" s="184" t="s">
        <v>2042</v>
      </c>
      <c r="AJ258" s="184" t="s">
        <v>2042</v>
      </c>
      <c r="AK258" s="184" t="s">
        <v>2042</v>
      </c>
      <c r="AL258" s="184" t="s">
        <v>2042</v>
      </c>
      <c r="AM258" s="184" t="s">
        <v>2042</v>
      </c>
      <c r="AN258" s="184" t="s">
        <v>2042</v>
      </c>
      <c r="AO258" s="184" t="s">
        <v>2042</v>
      </c>
      <c r="AP258" s="184" t="s">
        <v>2042</v>
      </c>
      <c r="AQ258" s="175"/>
    </row>
    <row r="259" spans="1:43" ht="14.5">
      <c r="A259" s="169"/>
      <c r="B259" s="170"/>
      <c r="C259" s="176"/>
      <c r="D259" s="177"/>
      <c r="E259" s="178">
        <v>1</v>
      </c>
      <c r="F259" s="179"/>
      <c r="G259" s="186" t="e">
        <f>IF(C259="","",SUMIFS(MRP!$D$5:$D1000,MRP!$B$5:$B1000,C259))*E259</f>
        <v>#VALUE!</v>
      </c>
      <c r="H259" s="181" t="s">
        <v>2041</v>
      </c>
      <c r="I259" s="182">
        <v>0</v>
      </c>
      <c r="J259" s="183" t="s">
        <v>2042</v>
      </c>
      <c r="K259" s="184" t="s">
        <v>2042</v>
      </c>
      <c r="L259" s="184" t="s">
        <v>2042</v>
      </c>
      <c r="M259" s="184" t="s">
        <v>2042</v>
      </c>
      <c r="N259" s="184" t="s">
        <v>2042</v>
      </c>
      <c r="O259" s="184" t="s">
        <v>2042</v>
      </c>
      <c r="P259" s="184" t="s">
        <v>2042</v>
      </c>
      <c r="Q259" s="184" t="s">
        <v>2042</v>
      </c>
      <c r="R259" s="184" t="s">
        <v>2042</v>
      </c>
      <c r="S259" s="184" t="s">
        <v>2042</v>
      </c>
      <c r="T259" s="184" t="s">
        <v>2042</v>
      </c>
      <c r="U259" s="184" t="s">
        <v>2042</v>
      </c>
      <c r="V259" s="184" t="s">
        <v>2042</v>
      </c>
      <c r="W259" s="184" t="s">
        <v>2042</v>
      </c>
      <c r="X259" s="184" t="s">
        <v>2042</v>
      </c>
      <c r="Y259" s="184" t="s">
        <v>2042</v>
      </c>
      <c r="Z259" s="184" t="s">
        <v>2042</v>
      </c>
      <c r="AA259" s="184" t="s">
        <v>2042</v>
      </c>
      <c r="AB259" s="184" t="s">
        <v>2042</v>
      </c>
      <c r="AC259" s="184" t="s">
        <v>2042</v>
      </c>
      <c r="AD259" s="184" t="s">
        <v>2042</v>
      </c>
      <c r="AE259" s="184" t="s">
        <v>2042</v>
      </c>
      <c r="AF259" s="184" t="s">
        <v>2042</v>
      </c>
      <c r="AG259" s="184" t="s">
        <v>2042</v>
      </c>
      <c r="AH259" s="184" t="s">
        <v>2042</v>
      </c>
      <c r="AI259" s="184" t="s">
        <v>2042</v>
      </c>
      <c r="AJ259" s="184" t="s">
        <v>2042</v>
      </c>
      <c r="AK259" s="184" t="s">
        <v>2042</v>
      </c>
      <c r="AL259" s="184" t="s">
        <v>2042</v>
      </c>
      <c r="AM259" s="184" t="s">
        <v>2042</v>
      </c>
      <c r="AN259" s="184" t="s">
        <v>2042</v>
      </c>
      <c r="AO259" s="184" t="s">
        <v>2042</v>
      </c>
      <c r="AP259" s="184" t="s">
        <v>2042</v>
      </c>
      <c r="AQ259" s="175"/>
    </row>
    <row r="260" spans="1:43" ht="14.5">
      <c r="A260" s="169"/>
      <c r="B260" s="170"/>
      <c r="C260" s="176"/>
      <c r="D260" s="177"/>
      <c r="E260" s="178">
        <v>1</v>
      </c>
      <c r="F260" s="179"/>
      <c r="G260" s="186" t="e">
        <f>IF(C260="","",SUMIFS(MRP!$D$5:$D1000,MRP!$B$5:$B1000,C260))*E260</f>
        <v>#VALUE!</v>
      </c>
      <c r="H260" s="181" t="s">
        <v>2041</v>
      </c>
      <c r="I260" s="182">
        <v>0</v>
      </c>
      <c r="J260" s="183" t="s">
        <v>2042</v>
      </c>
      <c r="K260" s="185" t="s">
        <v>2042</v>
      </c>
      <c r="L260" s="185" t="s">
        <v>2042</v>
      </c>
      <c r="M260" s="185" t="s">
        <v>2042</v>
      </c>
      <c r="N260" s="185" t="s">
        <v>2042</v>
      </c>
      <c r="O260" s="185" t="s">
        <v>2042</v>
      </c>
      <c r="P260" s="185" t="s">
        <v>2042</v>
      </c>
      <c r="Q260" s="185" t="s">
        <v>2042</v>
      </c>
      <c r="R260" s="185" t="s">
        <v>2042</v>
      </c>
      <c r="S260" s="185" t="s">
        <v>2042</v>
      </c>
      <c r="T260" s="185" t="s">
        <v>2042</v>
      </c>
      <c r="U260" s="185" t="s">
        <v>2042</v>
      </c>
      <c r="V260" s="185" t="s">
        <v>2042</v>
      </c>
      <c r="W260" s="185" t="s">
        <v>2042</v>
      </c>
      <c r="X260" s="185" t="s">
        <v>2042</v>
      </c>
      <c r="Y260" s="185" t="s">
        <v>2042</v>
      </c>
      <c r="Z260" s="185" t="s">
        <v>2042</v>
      </c>
      <c r="AA260" s="185" t="s">
        <v>2042</v>
      </c>
      <c r="AB260" s="185" t="s">
        <v>2042</v>
      </c>
      <c r="AC260" s="185" t="s">
        <v>2042</v>
      </c>
      <c r="AD260" s="185" t="s">
        <v>2042</v>
      </c>
      <c r="AE260" s="185" t="s">
        <v>2042</v>
      </c>
      <c r="AF260" s="185" t="s">
        <v>2042</v>
      </c>
      <c r="AG260" s="185" t="s">
        <v>2042</v>
      </c>
      <c r="AH260" s="185" t="s">
        <v>2042</v>
      </c>
      <c r="AI260" s="185" t="s">
        <v>2042</v>
      </c>
      <c r="AJ260" s="185" t="s">
        <v>2042</v>
      </c>
      <c r="AK260" s="185" t="s">
        <v>2042</v>
      </c>
      <c r="AL260" s="185" t="s">
        <v>2042</v>
      </c>
      <c r="AM260" s="185" t="s">
        <v>2042</v>
      </c>
      <c r="AN260" s="185" t="s">
        <v>2042</v>
      </c>
      <c r="AO260" s="185" t="s">
        <v>2042</v>
      </c>
      <c r="AP260" s="185" t="s">
        <v>2042</v>
      </c>
      <c r="AQ260" s="175"/>
    </row>
    <row r="261" spans="1:43" ht="14.5">
      <c r="A261" s="169"/>
      <c r="B261" s="170"/>
      <c r="C261" s="176"/>
      <c r="D261" s="177"/>
      <c r="E261" s="178">
        <v>1</v>
      </c>
      <c r="F261" s="179"/>
      <c r="G261" s="186" t="e">
        <f>IF(C261="","",SUMIFS(MRP!$D$5:$D1000,MRP!$B$5:$B1000,C261))*E261</f>
        <v>#VALUE!</v>
      </c>
      <c r="H261" s="181" t="s">
        <v>2041</v>
      </c>
      <c r="I261" s="182">
        <v>0</v>
      </c>
      <c r="J261" s="183" t="s">
        <v>2042</v>
      </c>
      <c r="K261" s="184" t="s">
        <v>2042</v>
      </c>
      <c r="L261" s="184" t="s">
        <v>2042</v>
      </c>
      <c r="M261" s="184" t="s">
        <v>2042</v>
      </c>
      <c r="N261" s="184" t="s">
        <v>2042</v>
      </c>
      <c r="O261" s="184" t="s">
        <v>2042</v>
      </c>
      <c r="P261" s="184" t="s">
        <v>2042</v>
      </c>
      <c r="Q261" s="184" t="s">
        <v>2042</v>
      </c>
      <c r="R261" s="184" t="s">
        <v>2042</v>
      </c>
      <c r="S261" s="184" t="s">
        <v>2042</v>
      </c>
      <c r="T261" s="184" t="s">
        <v>2042</v>
      </c>
      <c r="U261" s="184" t="s">
        <v>2042</v>
      </c>
      <c r="V261" s="184" t="s">
        <v>2042</v>
      </c>
      <c r="W261" s="184" t="s">
        <v>2042</v>
      </c>
      <c r="X261" s="184" t="s">
        <v>2042</v>
      </c>
      <c r="Y261" s="184" t="s">
        <v>2042</v>
      </c>
      <c r="Z261" s="184" t="s">
        <v>2042</v>
      </c>
      <c r="AA261" s="184" t="s">
        <v>2042</v>
      </c>
      <c r="AB261" s="184" t="s">
        <v>2042</v>
      </c>
      <c r="AC261" s="184" t="s">
        <v>2042</v>
      </c>
      <c r="AD261" s="184" t="s">
        <v>2042</v>
      </c>
      <c r="AE261" s="184" t="s">
        <v>2042</v>
      </c>
      <c r="AF261" s="184" t="s">
        <v>2042</v>
      </c>
      <c r="AG261" s="184" t="s">
        <v>2042</v>
      </c>
      <c r="AH261" s="184" t="s">
        <v>2042</v>
      </c>
      <c r="AI261" s="184" t="s">
        <v>2042</v>
      </c>
      <c r="AJ261" s="184" t="s">
        <v>2042</v>
      </c>
      <c r="AK261" s="184" t="s">
        <v>2042</v>
      </c>
      <c r="AL261" s="184" t="s">
        <v>2042</v>
      </c>
      <c r="AM261" s="184" t="s">
        <v>2042</v>
      </c>
      <c r="AN261" s="184" t="s">
        <v>2042</v>
      </c>
      <c r="AO261" s="184" t="s">
        <v>2042</v>
      </c>
      <c r="AP261" s="184" t="s">
        <v>2042</v>
      </c>
      <c r="AQ261" s="175"/>
    </row>
    <row r="262" spans="1:43" ht="14.5">
      <c r="A262" s="169"/>
      <c r="B262" s="170"/>
      <c r="C262" s="176"/>
      <c r="D262" s="177"/>
      <c r="E262" s="178">
        <v>1</v>
      </c>
      <c r="F262" s="179"/>
      <c r="G262" s="186" t="e">
        <f>IF(C262="","",SUMIFS(MRP!$D$5:$D1000,MRP!$B$5:$B1000,C262))*E262</f>
        <v>#VALUE!</v>
      </c>
      <c r="H262" s="181" t="s">
        <v>2041</v>
      </c>
      <c r="I262" s="182">
        <v>0</v>
      </c>
      <c r="J262" s="183" t="s">
        <v>2042</v>
      </c>
      <c r="K262" s="185" t="s">
        <v>2042</v>
      </c>
      <c r="L262" s="185" t="s">
        <v>2042</v>
      </c>
      <c r="M262" s="185" t="s">
        <v>2042</v>
      </c>
      <c r="N262" s="185" t="s">
        <v>2042</v>
      </c>
      <c r="O262" s="185" t="s">
        <v>2042</v>
      </c>
      <c r="P262" s="185" t="s">
        <v>2042</v>
      </c>
      <c r="Q262" s="185" t="s">
        <v>2042</v>
      </c>
      <c r="R262" s="185" t="s">
        <v>2042</v>
      </c>
      <c r="S262" s="185" t="s">
        <v>2042</v>
      </c>
      <c r="T262" s="185" t="s">
        <v>2042</v>
      </c>
      <c r="U262" s="185" t="s">
        <v>2042</v>
      </c>
      <c r="V262" s="185" t="s">
        <v>2042</v>
      </c>
      <c r="W262" s="185" t="s">
        <v>2042</v>
      </c>
      <c r="X262" s="185" t="s">
        <v>2042</v>
      </c>
      <c r="Y262" s="185" t="s">
        <v>2042</v>
      </c>
      <c r="Z262" s="185" t="s">
        <v>2042</v>
      </c>
      <c r="AA262" s="185" t="s">
        <v>2042</v>
      </c>
      <c r="AB262" s="185" t="s">
        <v>2042</v>
      </c>
      <c r="AC262" s="185" t="s">
        <v>2042</v>
      </c>
      <c r="AD262" s="185" t="s">
        <v>2042</v>
      </c>
      <c r="AE262" s="185" t="s">
        <v>2042</v>
      </c>
      <c r="AF262" s="185" t="s">
        <v>2042</v>
      </c>
      <c r="AG262" s="185" t="s">
        <v>2042</v>
      </c>
      <c r="AH262" s="185" t="s">
        <v>2042</v>
      </c>
      <c r="AI262" s="185" t="s">
        <v>2042</v>
      </c>
      <c r="AJ262" s="185" t="s">
        <v>2042</v>
      </c>
      <c r="AK262" s="185" t="s">
        <v>2042</v>
      </c>
      <c r="AL262" s="185" t="s">
        <v>2042</v>
      </c>
      <c r="AM262" s="185" t="s">
        <v>2042</v>
      </c>
      <c r="AN262" s="185" t="s">
        <v>2042</v>
      </c>
      <c r="AO262" s="185" t="s">
        <v>2042</v>
      </c>
      <c r="AP262" s="185" t="s">
        <v>2042</v>
      </c>
      <c r="AQ262" s="175"/>
    </row>
    <row r="263" spans="1:43" ht="14.5">
      <c r="A263" s="169"/>
      <c r="B263" s="170"/>
      <c r="C263" s="176"/>
      <c r="D263" s="177"/>
      <c r="E263" s="178">
        <v>1</v>
      </c>
      <c r="F263" s="179"/>
      <c r="G263" s="186" t="e">
        <f>IF(C263="","",SUMIFS(MRP!$D$5:$D1000,MRP!$B$5:$B1000,C263))*E263</f>
        <v>#VALUE!</v>
      </c>
      <c r="H263" s="181" t="s">
        <v>2041</v>
      </c>
      <c r="I263" s="182">
        <v>0</v>
      </c>
      <c r="J263" s="183" t="s">
        <v>2042</v>
      </c>
      <c r="K263" s="184" t="s">
        <v>2042</v>
      </c>
      <c r="L263" s="184" t="s">
        <v>2042</v>
      </c>
      <c r="M263" s="184" t="s">
        <v>2042</v>
      </c>
      <c r="N263" s="184" t="s">
        <v>2042</v>
      </c>
      <c r="O263" s="184" t="s">
        <v>2042</v>
      </c>
      <c r="P263" s="184" t="s">
        <v>2042</v>
      </c>
      <c r="Q263" s="184" t="s">
        <v>2042</v>
      </c>
      <c r="R263" s="184" t="s">
        <v>2042</v>
      </c>
      <c r="S263" s="184" t="s">
        <v>2042</v>
      </c>
      <c r="T263" s="184" t="s">
        <v>2042</v>
      </c>
      <c r="U263" s="184" t="s">
        <v>2042</v>
      </c>
      <c r="V263" s="184" t="s">
        <v>2042</v>
      </c>
      <c r="W263" s="184" t="s">
        <v>2042</v>
      </c>
      <c r="X263" s="184" t="s">
        <v>2042</v>
      </c>
      <c r="Y263" s="184" t="s">
        <v>2042</v>
      </c>
      <c r="Z263" s="184" t="s">
        <v>2042</v>
      </c>
      <c r="AA263" s="184" t="s">
        <v>2042</v>
      </c>
      <c r="AB263" s="184" t="s">
        <v>2042</v>
      </c>
      <c r="AC263" s="184" t="s">
        <v>2042</v>
      </c>
      <c r="AD263" s="184" t="s">
        <v>2042</v>
      </c>
      <c r="AE263" s="185" t="s">
        <v>2042</v>
      </c>
      <c r="AF263" s="185" t="s">
        <v>2042</v>
      </c>
      <c r="AG263" s="185" t="s">
        <v>2042</v>
      </c>
      <c r="AH263" s="185" t="s">
        <v>2042</v>
      </c>
      <c r="AI263" s="185" t="s">
        <v>2042</v>
      </c>
      <c r="AJ263" s="185" t="s">
        <v>2042</v>
      </c>
      <c r="AK263" s="185" t="s">
        <v>2042</v>
      </c>
      <c r="AL263" s="185" t="s">
        <v>2042</v>
      </c>
      <c r="AM263" s="185" t="s">
        <v>2042</v>
      </c>
      <c r="AN263" s="185" t="s">
        <v>2042</v>
      </c>
      <c r="AO263" s="185" t="s">
        <v>2042</v>
      </c>
      <c r="AP263" s="185" t="s">
        <v>2042</v>
      </c>
      <c r="AQ263" s="175"/>
    </row>
    <row r="264" spans="1:43" ht="14.5">
      <c r="A264" s="169"/>
      <c r="B264" s="170"/>
      <c r="C264" s="176"/>
      <c r="D264" s="177"/>
      <c r="E264" s="178">
        <v>1</v>
      </c>
      <c r="F264" s="179"/>
      <c r="G264" s="186" t="e">
        <f>IF(C264="","",SUMIFS(MRP!$D$5:$D1000,MRP!$B$5:$B1000,C264))*E264</f>
        <v>#VALUE!</v>
      </c>
      <c r="H264" s="181" t="s">
        <v>2041</v>
      </c>
      <c r="I264" s="182">
        <v>0</v>
      </c>
      <c r="J264" s="183" t="s">
        <v>2042</v>
      </c>
      <c r="K264" s="185" t="s">
        <v>2042</v>
      </c>
      <c r="L264" s="185" t="s">
        <v>2042</v>
      </c>
      <c r="M264" s="185" t="s">
        <v>2042</v>
      </c>
      <c r="N264" s="185" t="s">
        <v>2042</v>
      </c>
      <c r="O264" s="185" t="s">
        <v>2042</v>
      </c>
      <c r="P264" s="185" t="s">
        <v>2042</v>
      </c>
      <c r="Q264" s="185" t="s">
        <v>2042</v>
      </c>
      <c r="R264" s="185" t="s">
        <v>2042</v>
      </c>
      <c r="S264" s="185" t="s">
        <v>2042</v>
      </c>
      <c r="T264" s="185" t="s">
        <v>2042</v>
      </c>
      <c r="U264" s="185" t="s">
        <v>2042</v>
      </c>
      <c r="V264" s="185" t="s">
        <v>2042</v>
      </c>
      <c r="W264" s="185" t="s">
        <v>2042</v>
      </c>
      <c r="X264" s="185" t="s">
        <v>2042</v>
      </c>
      <c r="Y264" s="185" t="s">
        <v>2042</v>
      </c>
      <c r="Z264" s="185" t="s">
        <v>2042</v>
      </c>
      <c r="AA264" s="185" t="s">
        <v>2042</v>
      </c>
      <c r="AB264" s="185" t="s">
        <v>2042</v>
      </c>
      <c r="AC264" s="185" t="s">
        <v>2042</v>
      </c>
      <c r="AD264" s="185" t="s">
        <v>2042</v>
      </c>
      <c r="AE264" s="185" t="s">
        <v>2042</v>
      </c>
      <c r="AF264" s="185" t="s">
        <v>2042</v>
      </c>
      <c r="AG264" s="185" t="s">
        <v>2042</v>
      </c>
      <c r="AH264" s="185" t="s">
        <v>2042</v>
      </c>
      <c r="AI264" s="185" t="s">
        <v>2042</v>
      </c>
      <c r="AJ264" s="185" t="s">
        <v>2042</v>
      </c>
      <c r="AK264" s="185" t="s">
        <v>2042</v>
      </c>
      <c r="AL264" s="185" t="s">
        <v>2042</v>
      </c>
      <c r="AM264" s="185" t="s">
        <v>2042</v>
      </c>
      <c r="AN264" s="185" t="s">
        <v>2042</v>
      </c>
      <c r="AO264" s="185" t="s">
        <v>2042</v>
      </c>
      <c r="AP264" s="185" t="s">
        <v>2042</v>
      </c>
      <c r="AQ264" s="175"/>
    </row>
    <row r="265" spans="1:43" ht="14.5">
      <c r="A265" s="169"/>
      <c r="B265" s="170"/>
      <c r="C265" s="176"/>
      <c r="D265" s="177"/>
      <c r="E265" s="178">
        <v>1</v>
      </c>
      <c r="F265" s="179"/>
      <c r="G265" s="186" t="e">
        <f>IF(C265="","",SUMIFS(MRP!$D$5:$D1000,MRP!$B$5:$B1000,C265))*E265</f>
        <v>#VALUE!</v>
      </c>
      <c r="H265" s="181" t="s">
        <v>2041</v>
      </c>
      <c r="I265" s="182">
        <v>0</v>
      </c>
      <c r="J265" s="183" t="s">
        <v>2042</v>
      </c>
      <c r="K265" s="184" t="s">
        <v>2042</v>
      </c>
      <c r="L265" s="184" t="s">
        <v>2042</v>
      </c>
      <c r="M265" s="184" t="s">
        <v>2042</v>
      </c>
      <c r="N265" s="184" t="s">
        <v>2042</v>
      </c>
      <c r="O265" s="184" t="s">
        <v>2042</v>
      </c>
      <c r="P265" s="184" t="s">
        <v>2042</v>
      </c>
      <c r="Q265" s="188" t="s">
        <v>2042</v>
      </c>
      <c r="R265" s="188" t="s">
        <v>2042</v>
      </c>
      <c r="S265" s="189" t="s">
        <v>2042</v>
      </c>
      <c r="T265" s="189" t="s">
        <v>2042</v>
      </c>
      <c r="U265" s="189" t="s">
        <v>2042</v>
      </c>
      <c r="V265" s="189" t="s">
        <v>2042</v>
      </c>
      <c r="W265" s="189" t="s">
        <v>2042</v>
      </c>
      <c r="X265" s="189" t="s">
        <v>2042</v>
      </c>
      <c r="Y265" s="189" t="s">
        <v>2042</v>
      </c>
      <c r="Z265" s="189" t="s">
        <v>2042</v>
      </c>
      <c r="AA265" s="189" t="s">
        <v>2042</v>
      </c>
      <c r="AB265" s="189" t="s">
        <v>2042</v>
      </c>
      <c r="AC265" s="189" t="s">
        <v>2042</v>
      </c>
      <c r="AD265" s="189" t="s">
        <v>2042</v>
      </c>
      <c r="AE265" s="184" t="s">
        <v>2042</v>
      </c>
      <c r="AF265" s="184" t="s">
        <v>2042</v>
      </c>
      <c r="AG265" s="184" t="s">
        <v>2042</v>
      </c>
      <c r="AH265" s="184" t="s">
        <v>2042</v>
      </c>
      <c r="AI265" s="184" t="s">
        <v>2042</v>
      </c>
      <c r="AJ265" s="184" t="s">
        <v>2042</v>
      </c>
      <c r="AK265" s="184" t="s">
        <v>2042</v>
      </c>
      <c r="AL265" s="184" t="s">
        <v>2042</v>
      </c>
      <c r="AM265" s="184" t="s">
        <v>2042</v>
      </c>
      <c r="AN265" s="184" t="s">
        <v>2042</v>
      </c>
      <c r="AO265" s="184" t="s">
        <v>2042</v>
      </c>
      <c r="AP265" s="184" t="s">
        <v>2042</v>
      </c>
      <c r="AQ265" s="175"/>
    </row>
    <row r="266" spans="1:43" ht="14.5">
      <c r="A266" s="169"/>
      <c r="B266" s="170"/>
      <c r="C266" s="176"/>
      <c r="D266" s="177"/>
      <c r="E266" s="178">
        <v>1</v>
      </c>
      <c r="F266" s="179"/>
      <c r="G266" s="186" t="e">
        <f>IF(C266="","",SUMIFS(MRP!$D$5:$D1000,MRP!$B$5:$B1000,C266))*E266</f>
        <v>#VALUE!</v>
      </c>
      <c r="H266" s="181" t="s">
        <v>2041</v>
      </c>
      <c r="I266" s="182">
        <v>0</v>
      </c>
      <c r="J266" s="183" t="s">
        <v>2042</v>
      </c>
      <c r="K266" s="184" t="s">
        <v>2042</v>
      </c>
      <c r="L266" s="185" t="s">
        <v>2042</v>
      </c>
      <c r="M266" s="185" t="s">
        <v>2042</v>
      </c>
      <c r="N266" s="185" t="s">
        <v>2042</v>
      </c>
      <c r="O266" s="185" t="s">
        <v>2042</v>
      </c>
      <c r="P266" s="185" t="s">
        <v>2042</v>
      </c>
      <c r="Q266" s="185" t="s">
        <v>2042</v>
      </c>
      <c r="R266" s="185" t="s">
        <v>2042</v>
      </c>
      <c r="S266" s="185" t="s">
        <v>2042</v>
      </c>
      <c r="T266" s="185" t="s">
        <v>2042</v>
      </c>
      <c r="U266" s="185" t="s">
        <v>2042</v>
      </c>
      <c r="V266" s="185" t="s">
        <v>2042</v>
      </c>
      <c r="W266" s="185" t="s">
        <v>2042</v>
      </c>
      <c r="X266" s="185" t="s">
        <v>2042</v>
      </c>
      <c r="Y266" s="185" t="s">
        <v>2042</v>
      </c>
      <c r="Z266" s="185" t="s">
        <v>2042</v>
      </c>
      <c r="AA266" s="185" t="s">
        <v>2042</v>
      </c>
      <c r="AB266" s="185" t="s">
        <v>2042</v>
      </c>
      <c r="AC266" s="185" t="s">
        <v>2042</v>
      </c>
      <c r="AD266" s="185" t="s">
        <v>2042</v>
      </c>
      <c r="AE266" s="185" t="s">
        <v>2042</v>
      </c>
      <c r="AF266" s="185" t="s">
        <v>2042</v>
      </c>
      <c r="AG266" s="185" t="s">
        <v>2042</v>
      </c>
      <c r="AH266" s="185" t="s">
        <v>2042</v>
      </c>
      <c r="AI266" s="185" t="s">
        <v>2042</v>
      </c>
      <c r="AJ266" s="185" t="s">
        <v>2042</v>
      </c>
      <c r="AK266" s="185" t="s">
        <v>2042</v>
      </c>
      <c r="AL266" s="185" t="s">
        <v>2042</v>
      </c>
      <c r="AM266" s="185" t="s">
        <v>2042</v>
      </c>
      <c r="AN266" s="185" t="s">
        <v>2042</v>
      </c>
      <c r="AO266" s="185" t="s">
        <v>2042</v>
      </c>
      <c r="AP266" s="185" t="s">
        <v>2042</v>
      </c>
      <c r="AQ266" s="175"/>
    </row>
    <row r="267" spans="1:43" ht="14.5">
      <c r="A267" s="169"/>
      <c r="B267" s="170"/>
      <c r="C267" s="176"/>
      <c r="D267" s="177"/>
      <c r="E267" s="178">
        <v>1</v>
      </c>
      <c r="F267" s="179"/>
      <c r="G267" s="186" t="e">
        <f>IF(C267="","",SUMIFS(MRP!$D$5:$D1000,MRP!$B$5:$B1000,C267))*E267</f>
        <v>#VALUE!</v>
      </c>
      <c r="H267" s="181" t="s">
        <v>2041</v>
      </c>
      <c r="I267" s="182">
        <v>0</v>
      </c>
      <c r="J267" s="183" t="s">
        <v>2042</v>
      </c>
      <c r="K267" s="184" t="s">
        <v>2042</v>
      </c>
      <c r="L267" s="184" t="s">
        <v>2042</v>
      </c>
      <c r="M267" s="184" t="s">
        <v>2042</v>
      </c>
      <c r="N267" s="184" t="s">
        <v>2042</v>
      </c>
      <c r="O267" s="184" t="s">
        <v>2042</v>
      </c>
      <c r="P267" s="184" t="s">
        <v>2042</v>
      </c>
      <c r="Q267" s="184" t="s">
        <v>2042</v>
      </c>
      <c r="R267" s="184" t="s">
        <v>2042</v>
      </c>
      <c r="S267" s="184" t="s">
        <v>2042</v>
      </c>
      <c r="T267" s="184" t="s">
        <v>2042</v>
      </c>
      <c r="U267" s="184" t="s">
        <v>2042</v>
      </c>
      <c r="V267" s="184" t="s">
        <v>2042</v>
      </c>
      <c r="W267" s="184" t="s">
        <v>2042</v>
      </c>
      <c r="X267" s="184" t="s">
        <v>2042</v>
      </c>
      <c r="Y267" s="184" t="s">
        <v>2042</v>
      </c>
      <c r="Z267" s="184" t="s">
        <v>2042</v>
      </c>
      <c r="AA267" s="184" t="s">
        <v>2042</v>
      </c>
      <c r="AB267" s="184" t="s">
        <v>2042</v>
      </c>
      <c r="AC267" s="184" t="s">
        <v>2042</v>
      </c>
      <c r="AD267" s="184" t="s">
        <v>2042</v>
      </c>
      <c r="AE267" s="184" t="s">
        <v>2042</v>
      </c>
      <c r="AF267" s="184" t="s">
        <v>2042</v>
      </c>
      <c r="AG267" s="184" t="s">
        <v>2042</v>
      </c>
      <c r="AH267" s="184" t="s">
        <v>2042</v>
      </c>
      <c r="AI267" s="184" t="s">
        <v>2042</v>
      </c>
      <c r="AJ267" s="184" t="s">
        <v>2042</v>
      </c>
      <c r="AK267" s="184" t="s">
        <v>2042</v>
      </c>
      <c r="AL267" s="184" t="s">
        <v>2042</v>
      </c>
      <c r="AM267" s="184" t="s">
        <v>2042</v>
      </c>
      <c r="AN267" s="184" t="s">
        <v>2042</v>
      </c>
      <c r="AO267" s="184" t="s">
        <v>2042</v>
      </c>
      <c r="AP267" s="184" t="s">
        <v>2042</v>
      </c>
      <c r="AQ267" s="175"/>
    </row>
    <row r="268" spans="1:43" ht="14.5">
      <c r="A268" s="169"/>
      <c r="B268" s="170"/>
      <c r="C268" s="176"/>
      <c r="D268" s="177"/>
      <c r="E268" s="178">
        <v>1</v>
      </c>
      <c r="F268" s="179"/>
      <c r="G268" s="186" t="e">
        <f>IF(C268="","",SUMIFS(MRP!$D$5:$D1000,MRP!$B$5:$B1000,C268))*E268</f>
        <v>#VALUE!</v>
      </c>
      <c r="H268" s="181" t="s">
        <v>2041</v>
      </c>
      <c r="I268" s="182">
        <v>0</v>
      </c>
      <c r="J268" s="183" t="s">
        <v>2042</v>
      </c>
      <c r="K268" s="185" t="s">
        <v>2042</v>
      </c>
      <c r="L268" s="185" t="s">
        <v>2042</v>
      </c>
      <c r="M268" s="185" t="s">
        <v>2042</v>
      </c>
      <c r="N268" s="185" t="s">
        <v>2042</v>
      </c>
      <c r="O268" s="185" t="s">
        <v>2042</v>
      </c>
      <c r="P268" s="187" t="s">
        <v>2042</v>
      </c>
      <c r="Q268" s="187" t="s">
        <v>2042</v>
      </c>
      <c r="R268" s="187" t="s">
        <v>2042</v>
      </c>
      <c r="S268" s="187" t="s">
        <v>2042</v>
      </c>
      <c r="T268" s="187" t="s">
        <v>2042</v>
      </c>
      <c r="U268" s="187" t="s">
        <v>2042</v>
      </c>
      <c r="V268" s="187" t="s">
        <v>2042</v>
      </c>
      <c r="W268" s="187" t="s">
        <v>2042</v>
      </c>
      <c r="X268" s="187" t="s">
        <v>2042</v>
      </c>
      <c r="Y268" s="187" t="s">
        <v>2042</v>
      </c>
      <c r="Z268" s="187" t="s">
        <v>2042</v>
      </c>
      <c r="AA268" s="187" t="s">
        <v>2042</v>
      </c>
      <c r="AB268" s="187" t="s">
        <v>2042</v>
      </c>
      <c r="AC268" s="187" t="s">
        <v>2042</v>
      </c>
      <c r="AD268" s="187" t="s">
        <v>2042</v>
      </c>
      <c r="AE268" s="187" t="s">
        <v>2042</v>
      </c>
      <c r="AF268" s="187" t="s">
        <v>2042</v>
      </c>
      <c r="AG268" s="187" t="s">
        <v>2042</v>
      </c>
      <c r="AH268" s="187" t="s">
        <v>2042</v>
      </c>
      <c r="AI268" s="187" t="s">
        <v>2042</v>
      </c>
      <c r="AJ268" s="187" t="s">
        <v>2042</v>
      </c>
      <c r="AK268" s="187" t="s">
        <v>2042</v>
      </c>
      <c r="AL268" s="187" t="s">
        <v>2042</v>
      </c>
      <c r="AM268" s="187" t="s">
        <v>2042</v>
      </c>
      <c r="AN268" s="187" t="s">
        <v>2042</v>
      </c>
      <c r="AO268" s="187" t="s">
        <v>2042</v>
      </c>
      <c r="AP268" s="187" t="s">
        <v>2042</v>
      </c>
      <c r="AQ268" s="175"/>
    </row>
    <row r="269" spans="1:43" ht="14.5">
      <c r="A269" s="169"/>
      <c r="B269" s="170"/>
      <c r="C269" s="176"/>
      <c r="D269" s="177"/>
      <c r="E269" s="178">
        <v>1</v>
      </c>
      <c r="F269" s="179"/>
      <c r="G269" s="186" t="e">
        <f>IF(C269="","",SUMIFS(MRP!$D$5:$D1000,MRP!$B$5:$B1000,C269))*E269</f>
        <v>#VALUE!</v>
      </c>
      <c r="H269" s="181" t="s">
        <v>2041</v>
      </c>
      <c r="I269" s="182">
        <v>0</v>
      </c>
      <c r="J269" s="183" t="s">
        <v>2042</v>
      </c>
      <c r="K269" s="187" t="s">
        <v>2042</v>
      </c>
      <c r="L269" s="187" t="s">
        <v>2042</v>
      </c>
      <c r="M269" s="187" t="s">
        <v>2042</v>
      </c>
      <c r="N269" s="187" t="s">
        <v>2042</v>
      </c>
      <c r="O269" s="187" t="s">
        <v>2042</v>
      </c>
      <c r="P269" s="187" t="s">
        <v>2042</v>
      </c>
      <c r="Q269" s="187" t="s">
        <v>2042</v>
      </c>
      <c r="R269" s="187" t="s">
        <v>2042</v>
      </c>
      <c r="S269" s="187" t="s">
        <v>2042</v>
      </c>
      <c r="T269" s="187" t="s">
        <v>2042</v>
      </c>
      <c r="U269" s="187" t="s">
        <v>2042</v>
      </c>
      <c r="V269" s="187" t="s">
        <v>2042</v>
      </c>
      <c r="W269" s="187" t="s">
        <v>2042</v>
      </c>
      <c r="X269" s="187" t="s">
        <v>2042</v>
      </c>
      <c r="Y269" s="187" t="s">
        <v>2042</v>
      </c>
      <c r="Z269" s="187" t="s">
        <v>2042</v>
      </c>
      <c r="AA269" s="187" t="s">
        <v>2042</v>
      </c>
      <c r="AB269" s="187" t="s">
        <v>2042</v>
      </c>
      <c r="AC269" s="187" t="s">
        <v>2042</v>
      </c>
      <c r="AD269" s="187" t="s">
        <v>2042</v>
      </c>
      <c r="AE269" s="187" t="s">
        <v>2042</v>
      </c>
      <c r="AF269" s="187" t="s">
        <v>2042</v>
      </c>
      <c r="AG269" s="187" t="s">
        <v>2042</v>
      </c>
      <c r="AH269" s="187" t="s">
        <v>2042</v>
      </c>
      <c r="AI269" s="187" t="s">
        <v>2042</v>
      </c>
      <c r="AJ269" s="187" t="s">
        <v>2042</v>
      </c>
      <c r="AK269" s="187" t="s">
        <v>2042</v>
      </c>
      <c r="AL269" s="187" t="s">
        <v>2042</v>
      </c>
      <c r="AM269" s="187" t="s">
        <v>2042</v>
      </c>
      <c r="AN269" s="187" t="s">
        <v>2042</v>
      </c>
      <c r="AO269" s="187" t="s">
        <v>2042</v>
      </c>
      <c r="AP269" s="187" t="s">
        <v>2042</v>
      </c>
      <c r="AQ269" s="175"/>
    </row>
    <row r="270" spans="1:43" ht="14.5">
      <c r="A270" s="169"/>
      <c r="B270" s="170"/>
      <c r="C270" s="176"/>
      <c r="D270" s="177"/>
      <c r="E270" s="178">
        <v>1</v>
      </c>
      <c r="F270" s="179"/>
      <c r="G270" s="186" t="e">
        <f>IF(C270="","",SUMIFS(MRP!$D$5:$D1000,MRP!$B$5:$B1000,C270))*E270</f>
        <v>#VALUE!</v>
      </c>
      <c r="H270" s="181" t="s">
        <v>2041</v>
      </c>
      <c r="I270" s="182">
        <v>0</v>
      </c>
      <c r="J270" s="183" t="s">
        <v>2042</v>
      </c>
      <c r="K270" s="187" t="s">
        <v>2042</v>
      </c>
      <c r="L270" s="187" t="s">
        <v>2042</v>
      </c>
      <c r="M270" s="187" t="s">
        <v>2042</v>
      </c>
      <c r="N270" s="187" t="s">
        <v>2042</v>
      </c>
      <c r="O270" s="187" t="s">
        <v>2042</v>
      </c>
      <c r="P270" s="187" t="s">
        <v>2042</v>
      </c>
      <c r="Q270" s="187" t="s">
        <v>2042</v>
      </c>
      <c r="R270" s="187" t="s">
        <v>2042</v>
      </c>
      <c r="S270" s="187" t="s">
        <v>2042</v>
      </c>
      <c r="T270" s="187" t="s">
        <v>2042</v>
      </c>
      <c r="U270" s="187" t="s">
        <v>2042</v>
      </c>
      <c r="V270" s="187" t="s">
        <v>2042</v>
      </c>
      <c r="W270" s="187" t="s">
        <v>2042</v>
      </c>
      <c r="X270" s="187" t="s">
        <v>2042</v>
      </c>
      <c r="Y270" s="185" t="s">
        <v>2042</v>
      </c>
      <c r="Z270" s="185" t="s">
        <v>2042</v>
      </c>
      <c r="AA270" s="185" t="s">
        <v>2042</v>
      </c>
      <c r="AB270" s="185" t="s">
        <v>2042</v>
      </c>
      <c r="AC270" s="185" t="s">
        <v>2042</v>
      </c>
      <c r="AD270" s="185" t="s">
        <v>2042</v>
      </c>
      <c r="AE270" s="185" t="s">
        <v>2042</v>
      </c>
      <c r="AF270" s="185" t="s">
        <v>2042</v>
      </c>
      <c r="AG270" s="185" t="s">
        <v>2042</v>
      </c>
      <c r="AH270" s="185" t="s">
        <v>2042</v>
      </c>
      <c r="AI270" s="185" t="s">
        <v>2042</v>
      </c>
      <c r="AJ270" s="185" t="s">
        <v>2042</v>
      </c>
      <c r="AK270" s="185" t="s">
        <v>2042</v>
      </c>
      <c r="AL270" s="185" t="s">
        <v>2042</v>
      </c>
      <c r="AM270" s="185" t="s">
        <v>2042</v>
      </c>
      <c r="AN270" s="185" t="s">
        <v>2042</v>
      </c>
      <c r="AO270" s="185" t="s">
        <v>2042</v>
      </c>
      <c r="AP270" s="185" t="s">
        <v>2042</v>
      </c>
      <c r="AQ270" s="175"/>
    </row>
    <row r="271" spans="1:43" ht="14.5">
      <c r="A271" s="169"/>
      <c r="B271" s="170"/>
      <c r="C271" s="176"/>
      <c r="D271" s="177"/>
      <c r="E271" s="178">
        <v>1</v>
      </c>
      <c r="F271" s="179"/>
      <c r="G271" s="186" t="e">
        <f>IF(C271="","",SUMIFS(MRP!$D$5:$D1000,MRP!$B$5:$B1000,C271))*E271</f>
        <v>#VALUE!</v>
      </c>
      <c r="H271" s="181" t="s">
        <v>2041</v>
      </c>
      <c r="I271" s="182">
        <v>0</v>
      </c>
      <c r="J271" s="183" t="s">
        <v>2042</v>
      </c>
      <c r="K271" s="184" t="s">
        <v>2042</v>
      </c>
      <c r="L271" s="184" t="s">
        <v>2042</v>
      </c>
      <c r="M271" s="184" t="s">
        <v>2042</v>
      </c>
      <c r="N271" s="184" t="s">
        <v>2042</v>
      </c>
      <c r="O271" s="184" t="s">
        <v>2042</v>
      </c>
      <c r="P271" s="184" t="s">
        <v>2042</v>
      </c>
      <c r="Q271" s="184" t="s">
        <v>2042</v>
      </c>
      <c r="R271" s="184" t="s">
        <v>2042</v>
      </c>
      <c r="S271" s="184" t="s">
        <v>2042</v>
      </c>
      <c r="T271" s="184" t="s">
        <v>2042</v>
      </c>
      <c r="U271" s="184" t="s">
        <v>2042</v>
      </c>
      <c r="V271" s="184" t="s">
        <v>2042</v>
      </c>
      <c r="W271" s="184" t="s">
        <v>2042</v>
      </c>
      <c r="X271" s="184" t="s">
        <v>2042</v>
      </c>
      <c r="Y271" s="184" t="s">
        <v>2042</v>
      </c>
      <c r="Z271" s="184" t="s">
        <v>2042</v>
      </c>
      <c r="AA271" s="184" t="s">
        <v>2042</v>
      </c>
      <c r="AB271" s="184" t="s">
        <v>2042</v>
      </c>
      <c r="AC271" s="184" t="s">
        <v>2042</v>
      </c>
      <c r="AD271" s="184" t="s">
        <v>2042</v>
      </c>
      <c r="AE271" s="184" t="s">
        <v>2042</v>
      </c>
      <c r="AF271" s="184" t="s">
        <v>2042</v>
      </c>
      <c r="AG271" s="184" t="s">
        <v>2042</v>
      </c>
      <c r="AH271" s="184" t="s">
        <v>2042</v>
      </c>
      <c r="AI271" s="184" t="s">
        <v>2042</v>
      </c>
      <c r="AJ271" s="184" t="s">
        <v>2042</v>
      </c>
      <c r="AK271" s="184" t="s">
        <v>2042</v>
      </c>
      <c r="AL271" s="184" t="s">
        <v>2042</v>
      </c>
      <c r="AM271" s="184" t="s">
        <v>2042</v>
      </c>
      <c r="AN271" s="184" t="s">
        <v>2042</v>
      </c>
      <c r="AO271" s="184" t="s">
        <v>2042</v>
      </c>
      <c r="AP271" s="184" t="s">
        <v>2042</v>
      </c>
      <c r="AQ271" s="175"/>
    </row>
    <row r="272" spans="1:43" ht="14.5">
      <c r="A272" s="169"/>
      <c r="B272" s="170"/>
      <c r="C272" s="176"/>
      <c r="D272" s="177"/>
      <c r="E272" s="178">
        <v>1</v>
      </c>
      <c r="F272" s="179"/>
      <c r="G272" s="186" t="e">
        <f>IF(C272="","",SUMIFS(MRP!$D$5:$D1000,MRP!$B$5:$B1000,C272))*E272</f>
        <v>#VALUE!</v>
      </c>
      <c r="H272" s="181" t="s">
        <v>2041</v>
      </c>
      <c r="I272" s="182">
        <v>0</v>
      </c>
      <c r="J272" s="183" t="s">
        <v>2042</v>
      </c>
      <c r="K272" s="184" t="s">
        <v>2042</v>
      </c>
      <c r="L272" s="184" t="s">
        <v>2042</v>
      </c>
      <c r="M272" s="184" t="s">
        <v>2042</v>
      </c>
      <c r="N272" s="184" t="s">
        <v>2042</v>
      </c>
      <c r="O272" s="184" t="s">
        <v>2042</v>
      </c>
      <c r="P272" s="184" t="s">
        <v>2042</v>
      </c>
      <c r="Q272" s="184" t="s">
        <v>2042</v>
      </c>
      <c r="R272" s="184" t="s">
        <v>2042</v>
      </c>
      <c r="S272" s="184" t="s">
        <v>2042</v>
      </c>
      <c r="T272" s="184" t="s">
        <v>2042</v>
      </c>
      <c r="U272" s="184" t="s">
        <v>2042</v>
      </c>
      <c r="V272" s="184" t="s">
        <v>2042</v>
      </c>
      <c r="W272" s="184" t="s">
        <v>2042</v>
      </c>
      <c r="X272" s="184" t="s">
        <v>2042</v>
      </c>
      <c r="Y272" s="184" t="s">
        <v>2042</v>
      </c>
      <c r="Z272" s="184" t="s">
        <v>2042</v>
      </c>
      <c r="AA272" s="184" t="s">
        <v>2042</v>
      </c>
      <c r="AB272" s="184" t="s">
        <v>2042</v>
      </c>
      <c r="AC272" s="184" t="s">
        <v>2042</v>
      </c>
      <c r="AD272" s="184" t="s">
        <v>2042</v>
      </c>
      <c r="AE272" s="184" t="s">
        <v>2042</v>
      </c>
      <c r="AF272" s="184" t="s">
        <v>2042</v>
      </c>
      <c r="AG272" s="184" t="s">
        <v>2042</v>
      </c>
      <c r="AH272" s="184" t="s">
        <v>2042</v>
      </c>
      <c r="AI272" s="184" t="s">
        <v>2042</v>
      </c>
      <c r="AJ272" s="184" t="s">
        <v>2042</v>
      </c>
      <c r="AK272" s="184" t="s">
        <v>2042</v>
      </c>
      <c r="AL272" s="184" t="s">
        <v>2042</v>
      </c>
      <c r="AM272" s="184" t="s">
        <v>2042</v>
      </c>
      <c r="AN272" s="184" t="s">
        <v>2042</v>
      </c>
      <c r="AO272" s="184" t="s">
        <v>2042</v>
      </c>
      <c r="AP272" s="184" t="s">
        <v>2042</v>
      </c>
      <c r="AQ272" s="175"/>
    </row>
    <row r="273" spans="1:43" ht="14.5">
      <c r="A273" s="169"/>
      <c r="B273" s="170"/>
      <c r="C273" s="176"/>
      <c r="D273" s="177"/>
      <c r="E273" s="178">
        <v>1</v>
      </c>
      <c r="F273" s="179"/>
      <c r="G273" s="186" t="e">
        <f>IF(C273="","",SUMIFS(MRP!$D$5:$D1000,MRP!$B$5:$B1000,C273))*E273</f>
        <v>#VALUE!</v>
      </c>
      <c r="H273" s="181" t="s">
        <v>2041</v>
      </c>
      <c r="I273" s="182">
        <v>0</v>
      </c>
      <c r="J273" s="183" t="s">
        <v>2042</v>
      </c>
      <c r="K273" s="187" t="s">
        <v>2042</v>
      </c>
      <c r="L273" s="187" t="s">
        <v>2042</v>
      </c>
      <c r="M273" s="187" t="s">
        <v>2042</v>
      </c>
      <c r="N273" s="187" t="s">
        <v>2042</v>
      </c>
      <c r="O273" s="187" t="s">
        <v>2042</v>
      </c>
      <c r="P273" s="187" t="s">
        <v>2042</v>
      </c>
      <c r="Q273" s="187" t="s">
        <v>2042</v>
      </c>
      <c r="R273" s="187" t="s">
        <v>2042</v>
      </c>
      <c r="S273" s="187" t="s">
        <v>2042</v>
      </c>
      <c r="T273" s="187" t="s">
        <v>2042</v>
      </c>
      <c r="U273" s="187" t="s">
        <v>2042</v>
      </c>
      <c r="V273" s="187" t="s">
        <v>2042</v>
      </c>
      <c r="W273" s="187" t="s">
        <v>2042</v>
      </c>
      <c r="X273" s="187" t="s">
        <v>2042</v>
      </c>
      <c r="Y273" s="187" t="s">
        <v>2042</v>
      </c>
      <c r="Z273" s="187" t="s">
        <v>2042</v>
      </c>
      <c r="AA273" s="187" t="s">
        <v>2042</v>
      </c>
      <c r="AB273" s="187" t="s">
        <v>2042</v>
      </c>
      <c r="AC273" s="187" t="s">
        <v>2042</v>
      </c>
      <c r="AD273" s="187" t="s">
        <v>2042</v>
      </c>
      <c r="AE273" s="187" t="s">
        <v>2042</v>
      </c>
      <c r="AF273" s="187" t="s">
        <v>2042</v>
      </c>
      <c r="AG273" s="187" t="s">
        <v>2042</v>
      </c>
      <c r="AH273" s="187" t="s">
        <v>2042</v>
      </c>
      <c r="AI273" s="187" t="s">
        <v>2042</v>
      </c>
      <c r="AJ273" s="187" t="s">
        <v>2042</v>
      </c>
      <c r="AK273" s="187" t="s">
        <v>2042</v>
      </c>
      <c r="AL273" s="187" t="s">
        <v>2042</v>
      </c>
      <c r="AM273" s="187" t="s">
        <v>2042</v>
      </c>
      <c r="AN273" s="184" t="s">
        <v>2042</v>
      </c>
      <c r="AO273" s="184" t="s">
        <v>2042</v>
      </c>
      <c r="AP273" s="184" t="s">
        <v>2042</v>
      </c>
      <c r="AQ273" s="175"/>
    </row>
    <row r="274" spans="1:43" ht="14.5">
      <c r="A274" s="169"/>
      <c r="B274" s="170"/>
      <c r="C274" s="176"/>
      <c r="D274" s="177"/>
      <c r="E274" s="178">
        <v>1</v>
      </c>
      <c r="F274" s="179"/>
      <c r="G274" s="186" t="e">
        <f>IF(C274="","",SUMIFS(MRP!$D$5:$D1000,MRP!$B$5:$B1000,C274))*E274</f>
        <v>#VALUE!</v>
      </c>
      <c r="H274" s="181" t="s">
        <v>2041</v>
      </c>
      <c r="I274" s="182">
        <v>0</v>
      </c>
      <c r="J274" s="183" t="s">
        <v>2042</v>
      </c>
      <c r="K274" s="184" t="s">
        <v>2042</v>
      </c>
      <c r="L274" s="184" t="s">
        <v>2042</v>
      </c>
      <c r="M274" s="184" t="s">
        <v>2042</v>
      </c>
      <c r="N274" s="184" t="s">
        <v>2042</v>
      </c>
      <c r="O274" s="184" t="s">
        <v>2042</v>
      </c>
      <c r="P274" s="184" t="s">
        <v>2042</v>
      </c>
      <c r="Q274" s="184" t="s">
        <v>2042</v>
      </c>
      <c r="R274" s="184" t="s">
        <v>2042</v>
      </c>
      <c r="S274" s="184" t="s">
        <v>2042</v>
      </c>
      <c r="T274" s="184" t="s">
        <v>2042</v>
      </c>
      <c r="U274" s="184" t="s">
        <v>2042</v>
      </c>
      <c r="V274" s="184" t="s">
        <v>2042</v>
      </c>
      <c r="W274" s="184" t="s">
        <v>2042</v>
      </c>
      <c r="X274" s="184" t="s">
        <v>2042</v>
      </c>
      <c r="Y274" s="184" t="s">
        <v>2042</v>
      </c>
      <c r="Z274" s="184" t="s">
        <v>2042</v>
      </c>
      <c r="AA274" s="184" t="s">
        <v>2042</v>
      </c>
      <c r="AB274" s="184" t="s">
        <v>2042</v>
      </c>
      <c r="AC274" s="184" t="s">
        <v>2042</v>
      </c>
      <c r="AD274" s="184" t="s">
        <v>2042</v>
      </c>
      <c r="AE274" s="184" t="s">
        <v>2042</v>
      </c>
      <c r="AF274" s="184" t="s">
        <v>2042</v>
      </c>
      <c r="AG274" s="184" t="s">
        <v>2042</v>
      </c>
      <c r="AH274" s="184" t="s">
        <v>2042</v>
      </c>
      <c r="AI274" s="184" t="s">
        <v>2042</v>
      </c>
      <c r="AJ274" s="184" t="s">
        <v>2042</v>
      </c>
      <c r="AK274" s="184" t="s">
        <v>2042</v>
      </c>
      <c r="AL274" s="184" t="s">
        <v>2042</v>
      </c>
      <c r="AM274" s="184" t="s">
        <v>2042</v>
      </c>
      <c r="AN274" s="184" t="s">
        <v>2042</v>
      </c>
      <c r="AO274" s="184" t="s">
        <v>2042</v>
      </c>
      <c r="AP274" s="184" t="s">
        <v>2042</v>
      </c>
      <c r="AQ274" s="175"/>
    </row>
    <row r="275" spans="1:43" ht="14.5">
      <c r="A275" s="169"/>
      <c r="B275" s="170"/>
      <c r="C275" s="176"/>
      <c r="D275" s="177"/>
      <c r="E275" s="178">
        <v>1</v>
      </c>
      <c r="F275" s="179"/>
      <c r="G275" s="186" t="e">
        <f>IF(C275="","",SUMIFS(MRP!$D$5:$D1000,MRP!$B$5:$B1000,C275))*E275</f>
        <v>#VALUE!</v>
      </c>
      <c r="H275" s="181" t="s">
        <v>2041</v>
      </c>
      <c r="I275" s="182">
        <v>0</v>
      </c>
      <c r="J275" s="183" t="s">
        <v>2042</v>
      </c>
      <c r="K275" s="184" t="s">
        <v>2042</v>
      </c>
      <c r="L275" s="184" t="s">
        <v>2042</v>
      </c>
      <c r="M275" s="184" t="s">
        <v>2042</v>
      </c>
      <c r="N275" s="184" t="s">
        <v>2042</v>
      </c>
      <c r="O275" s="184" t="s">
        <v>2042</v>
      </c>
      <c r="P275" s="184" t="s">
        <v>2042</v>
      </c>
      <c r="Q275" s="184" t="s">
        <v>2042</v>
      </c>
      <c r="R275" s="184" t="s">
        <v>2042</v>
      </c>
      <c r="S275" s="184" t="s">
        <v>2042</v>
      </c>
      <c r="T275" s="184" t="s">
        <v>2042</v>
      </c>
      <c r="U275" s="184" t="s">
        <v>2042</v>
      </c>
      <c r="V275" s="184" t="s">
        <v>2042</v>
      </c>
      <c r="W275" s="184" t="s">
        <v>2042</v>
      </c>
      <c r="X275" s="184" t="s">
        <v>2042</v>
      </c>
      <c r="Y275" s="184" t="s">
        <v>2042</v>
      </c>
      <c r="Z275" s="184" t="s">
        <v>2042</v>
      </c>
      <c r="AA275" s="184" t="s">
        <v>2042</v>
      </c>
      <c r="AB275" s="184" t="s">
        <v>2042</v>
      </c>
      <c r="AC275" s="184" t="s">
        <v>2042</v>
      </c>
      <c r="AD275" s="184" t="s">
        <v>2042</v>
      </c>
      <c r="AE275" s="184" t="s">
        <v>2042</v>
      </c>
      <c r="AF275" s="184" t="s">
        <v>2042</v>
      </c>
      <c r="AG275" s="184" t="s">
        <v>2042</v>
      </c>
      <c r="AH275" s="184" t="s">
        <v>2042</v>
      </c>
      <c r="AI275" s="184" t="s">
        <v>2042</v>
      </c>
      <c r="AJ275" s="184" t="s">
        <v>2042</v>
      </c>
      <c r="AK275" s="184" t="s">
        <v>2042</v>
      </c>
      <c r="AL275" s="184" t="s">
        <v>2042</v>
      </c>
      <c r="AM275" s="184" t="s">
        <v>2042</v>
      </c>
      <c r="AN275" s="184" t="s">
        <v>2042</v>
      </c>
      <c r="AO275" s="184" t="s">
        <v>2042</v>
      </c>
      <c r="AP275" s="184" t="s">
        <v>2042</v>
      </c>
      <c r="AQ275" s="175"/>
    </row>
    <row r="276" spans="1:43" ht="14.5">
      <c r="A276" s="169"/>
      <c r="B276" s="170"/>
      <c r="C276" s="176"/>
      <c r="D276" s="177"/>
      <c r="E276" s="178">
        <v>1</v>
      </c>
      <c r="F276" s="179"/>
      <c r="G276" s="186" t="e">
        <f>IF(C276="","",SUMIFS(MRP!$D$5:$D1000,MRP!$B$5:$B1000,C276))*E276</f>
        <v>#VALUE!</v>
      </c>
      <c r="H276" s="181" t="s">
        <v>2041</v>
      </c>
      <c r="I276" s="182">
        <v>0</v>
      </c>
      <c r="J276" s="183" t="s">
        <v>2042</v>
      </c>
      <c r="K276" s="184" t="s">
        <v>2042</v>
      </c>
      <c r="L276" s="184" t="s">
        <v>2042</v>
      </c>
      <c r="M276" s="184" t="s">
        <v>2042</v>
      </c>
      <c r="N276" s="184" t="s">
        <v>2042</v>
      </c>
      <c r="O276" s="184" t="s">
        <v>2042</v>
      </c>
      <c r="P276" s="184" t="s">
        <v>2042</v>
      </c>
      <c r="Q276" s="184" t="s">
        <v>2042</v>
      </c>
      <c r="R276" s="184" t="s">
        <v>2042</v>
      </c>
      <c r="S276" s="184" t="s">
        <v>2042</v>
      </c>
      <c r="T276" s="184" t="s">
        <v>2042</v>
      </c>
      <c r="U276" s="184" t="s">
        <v>2042</v>
      </c>
      <c r="V276" s="187" t="s">
        <v>2042</v>
      </c>
      <c r="W276" s="187" t="s">
        <v>2042</v>
      </c>
      <c r="X276" s="187" t="s">
        <v>2042</v>
      </c>
      <c r="Y276" s="185" t="s">
        <v>2042</v>
      </c>
      <c r="Z276" s="185" t="s">
        <v>2042</v>
      </c>
      <c r="AA276" s="185" t="s">
        <v>2042</v>
      </c>
      <c r="AB276" s="185" t="s">
        <v>2042</v>
      </c>
      <c r="AC276" s="185" t="s">
        <v>2042</v>
      </c>
      <c r="AD276" s="185" t="s">
        <v>2042</v>
      </c>
      <c r="AE276" s="185" t="s">
        <v>2042</v>
      </c>
      <c r="AF276" s="185" t="s">
        <v>2042</v>
      </c>
      <c r="AG276" s="185" t="s">
        <v>2042</v>
      </c>
      <c r="AH276" s="185" t="s">
        <v>2042</v>
      </c>
      <c r="AI276" s="185" t="s">
        <v>2042</v>
      </c>
      <c r="AJ276" s="185" t="s">
        <v>2042</v>
      </c>
      <c r="AK276" s="185" t="s">
        <v>2042</v>
      </c>
      <c r="AL276" s="185" t="s">
        <v>2042</v>
      </c>
      <c r="AM276" s="185" t="s">
        <v>2042</v>
      </c>
      <c r="AN276" s="185" t="s">
        <v>2042</v>
      </c>
      <c r="AO276" s="185" t="s">
        <v>2042</v>
      </c>
      <c r="AP276" s="185" t="s">
        <v>2042</v>
      </c>
      <c r="AQ276" s="175"/>
    </row>
    <row r="277" spans="1:43" ht="14.5">
      <c r="A277" s="169"/>
      <c r="B277" s="170"/>
      <c r="C277" s="176"/>
      <c r="D277" s="177"/>
      <c r="E277" s="178">
        <v>1</v>
      </c>
      <c r="F277" s="179"/>
      <c r="G277" s="186" t="e">
        <f>IF(C277="","",SUMIFS(MRP!$D$5:$D1000,MRP!$B$5:$B1000,C277))*E277</f>
        <v>#VALUE!</v>
      </c>
      <c r="H277" s="181" t="s">
        <v>2041</v>
      </c>
      <c r="I277" s="182">
        <v>0</v>
      </c>
      <c r="J277" s="183" t="s">
        <v>2042</v>
      </c>
      <c r="K277" s="184" t="s">
        <v>2042</v>
      </c>
      <c r="L277" s="184" t="s">
        <v>2042</v>
      </c>
      <c r="M277" s="184" t="s">
        <v>2042</v>
      </c>
      <c r="N277" s="184" t="s">
        <v>2042</v>
      </c>
      <c r="O277" s="184" t="s">
        <v>2042</v>
      </c>
      <c r="P277" s="184" t="s">
        <v>2042</v>
      </c>
      <c r="Q277" s="184" t="s">
        <v>2042</v>
      </c>
      <c r="R277" s="184" t="s">
        <v>2042</v>
      </c>
      <c r="S277" s="184" t="s">
        <v>2042</v>
      </c>
      <c r="T277" s="184" t="s">
        <v>2042</v>
      </c>
      <c r="U277" s="184" t="s">
        <v>2042</v>
      </c>
      <c r="V277" s="184" t="s">
        <v>2042</v>
      </c>
      <c r="W277" s="184" t="s">
        <v>2042</v>
      </c>
      <c r="X277" s="184" t="s">
        <v>2042</v>
      </c>
      <c r="Y277" s="184" t="s">
        <v>2042</v>
      </c>
      <c r="Z277" s="184" t="s">
        <v>2042</v>
      </c>
      <c r="AA277" s="184" t="s">
        <v>2042</v>
      </c>
      <c r="AB277" s="184" t="s">
        <v>2042</v>
      </c>
      <c r="AC277" s="184" t="s">
        <v>2042</v>
      </c>
      <c r="AD277" s="185" t="s">
        <v>2042</v>
      </c>
      <c r="AE277" s="185" t="s">
        <v>2042</v>
      </c>
      <c r="AF277" s="185" t="s">
        <v>2042</v>
      </c>
      <c r="AG277" s="185" t="s">
        <v>2042</v>
      </c>
      <c r="AH277" s="185" t="s">
        <v>2042</v>
      </c>
      <c r="AI277" s="185" t="s">
        <v>2042</v>
      </c>
      <c r="AJ277" s="185" t="s">
        <v>2042</v>
      </c>
      <c r="AK277" s="185" t="s">
        <v>2042</v>
      </c>
      <c r="AL277" s="185" t="s">
        <v>2042</v>
      </c>
      <c r="AM277" s="185" t="s">
        <v>2042</v>
      </c>
      <c r="AN277" s="185" t="s">
        <v>2042</v>
      </c>
      <c r="AO277" s="185" t="s">
        <v>2042</v>
      </c>
      <c r="AP277" s="185" t="s">
        <v>2042</v>
      </c>
      <c r="AQ277" s="175"/>
    </row>
    <row r="278" spans="1:43" ht="14.5">
      <c r="A278" s="169"/>
      <c r="B278" s="170"/>
      <c r="C278" s="176"/>
      <c r="D278" s="177"/>
      <c r="E278" s="178">
        <v>1</v>
      </c>
      <c r="F278" s="179"/>
      <c r="G278" s="186" t="e">
        <f>IF(C278="","",SUMIFS(MRP!$D$5:$D1000,MRP!$B$5:$B1000,C278))*E278</f>
        <v>#VALUE!</v>
      </c>
      <c r="H278" s="181" t="s">
        <v>2041</v>
      </c>
      <c r="I278" s="182">
        <v>0</v>
      </c>
      <c r="J278" s="183" t="s">
        <v>2042</v>
      </c>
      <c r="K278" s="184" t="s">
        <v>2042</v>
      </c>
      <c r="L278" s="184" t="s">
        <v>2042</v>
      </c>
      <c r="M278" s="184" t="s">
        <v>2042</v>
      </c>
      <c r="N278" s="184" t="s">
        <v>2042</v>
      </c>
      <c r="O278" s="184" t="s">
        <v>2042</v>
      </c>
      <c r="P278" s="184" t="s">
        <v>2042</v>
      </c>
      <c r="Q278" s="184" t="s">
        <v>2042</v>
      </c>
      <c r="R278" s="184" t="s">
        <v>2042</v>
      </c>
      <c r="S278" s="184" t="s">
        <v>2042</v>
      </c>
      <c r="T278" s="184" t="s">
        <v>2042</v>
      </c>
      <c r="U278" s="184" t="s">
        <v>2042</v>
      </c>
      <c r="V278" s="184" t="s">
        <v>2042</v>
      </c>
      <c r="W278" s="184" t="s">
        <v>2042</v>
      </c>
      <c r="X278" s="184" t="s">
        <v>2042</v>
      </c>
      <c r="Y278" s="185" t="s">
        <v>2042</v>
      </c>
      <c r="Z278" s="184" t="s">
        <v>2042</v>
      </c>
      <c r="AA278" s="184" t="s">
        <v>2042</v>
      </c>
      <c r="AB278" s="184" t="s">
        <v>2042</v>
      </c>
      <c r="AC278" s="184" t="s">
        <v>2042</v>
      </c>
      <c r="AD278" s="184" t="s">
        <v>2042</v>
      </c>
      <c r="AE278" s="184" t="s">
        <v>2042</v>
      </c>
      <c r="AF278" s="185" t="s">
        <v>2042</v>
      </c>
      <c r="AG278" s="185" t="s">
        <v>2042</v>
      </c>
      <c r="AH278" s="185" t="s">
        <v>2042</v>
      </c>
      <c r="AI278" s="185" t="s">
        <v>2042</v>
      </c>
      <c r="AJ278" s="185" t="s">
        <v>2042</v>
      </c>
      <c r="AK278" s="185" t="s">
        <v>2042</v>
      </c>
      <c r="AL278" s="185" t="s">
        <v>2042</v>
      </c>
      <c r="AM278" s="185" t="s">
        <v>2042</v>
      </c>
      <c r="AN278" s="185" t="s">
        <v>2042</v>
      </c>
      <c r="AO278" s="185" t="s">
        <v>2042</v>
      </c>
      <c r="AP278" s="185" t="s">
        <v>2042</v>
      </c>
      <c r="AQ278" s="175"/>
    </row>
    <row r="279" spans="1:43" ht="14.5">
      <c r="A279" s="169"/>
      <c r="B279" s="170"/>
      <c r="C279" s="176"/>
      <c r="D279" s="177"/>
      <c r="E279" s="178">
        <v>1</v>
      </c>
      <c r="F279" s="179"/>
      <c r="G279" s="186" t="e">
        <f>IF(C279="","",SUMIFS(MRP!$D$5:$D1000,MRP!$B$5:$B1000,C279))*E279</f>
        <v>#VALUE!</v>
      </c>
      <c r="H279" s="181" t="s">
        <v>2041</v>
      </c>
      <c r="I279" s="182">
        <v>0</v>
      </c>
      <c r="J279" s="183" t="s">
        <v>2042</v>
      </c>
      <c r="K279" s="184" t="s">
        <v>2042</v>
      </c>
      <c r="L279" s="184" t="s">
        <v>2042</v>
      </c>
      <c r="M279" s="184" t="s">
        <v>2042</v>
      </c>
      <c r="N279" s="184" t="s">
        <v>2042</v>
      </c>
      <c r="O279" s="184" t="s">
        <v>2042</v>
      </c>
      <c r="P279" s="184" t="s">
        <v>2042</v>
      </c>
      <c r="Q279" s="184" t="s">
        <v>2042</v>
      </c>
      <c r="R279" s="184" t="s">
        <v>2042</v>
      </c>
      <c r="S279" s="184" t="s">
        <v>2042</v>
      </c>
      <c r="T279" s="184" t="s">
        <v>2042</v>
      </c>
      <c r="U279" s="184" t="s">
        <v>2042</v>
      </c>
      <c r="V279" s="184" t="s">
        <v>2042</v>
      </c>
      <c r="W279" s="184" t="s">
        <v>2042</v>
      </c>
      <c r="X279" s="184" t="s">
        <v>2042</v>
      </c>
      <c r="Y279" s="184" t="s">
        <v>2042</v>
      </c>
      <c r="Z279" s="184" t="s">
        <v>2042</v>
      </c>
      <c r="AA279" s="184" t="s">
        <v>2042</v>
      </c>
      <c r="AB279" s="184" t="s">
        <v>2042</v>
      </c>
      <c r="AC279" s="184" t="s">
        <v>2042</v>
      </c>
      <c r="AD279" s="184" t="s">
        <v>2042</v>
      </c>
      <c r="AE279" s="184" t="s">
        <v>2042</v>
      </c>
      <c r="AF279" s="184" t="s">
        <v>2042</v>
      </c>
      <c r="AG279" s="184" t="s">
        <v>2042</v>
      </c>
      <c r="AH279" s="184" t="s">
        <v>2042</v>
      </c>
      <c r="AI279" s="184" t="s">
        <v>2042</v>
      </c>
      <c r="AJ279" s="184" t="s">
        <v>2042</v>
      </c>
      <c r="AK279" s="184" t="s">
        <v>2042</v>
      </c>
      <c r="AL279" s="184" t="s">
        <v>2042</v>
      </c>
      <c r="AM279" s="184" t="s">
        <v>2042</v>
      </c>
      <c r="AN279" s="184" t="s">
        <v>2042</v>
      </c>
      <c r="AO279" s="184" t="s">
        <v>2042</v>
      </c>
      <c r="AP279" s="184" t="s">
        <v>2042</v>
      </c>
      <c r="AQ279" s="175"/>
    </row>
    <row r="280" spans="1:43" ht="14.5">
      <c r="A280" s="169"/>
      <c r="B280" s="170"/>
      <c r="C280" s="176"/>
      <c r="D280" s="177"/>
      <c r="E280" s="178">
        <v>1</v>
      </c>
      <c r="F280" s="179"/>
      <c r="G280" s="186" t="e">
        <f>IF(C280="","",SUMIFS(MRP!$D$5:$D1000,MRP!$B$5:$B1000,C280))*E280</f>
        <v>#VALUE!</v>
      </c>
      <c r="H280" s="181" t="s">
        <v>2041</v>
      </c>
      <c r="I280" s="182">
        <v>0</v>
      </c>
      <c r="J280" s="183" t="s">
        <v>2042</v>
      </c>
      <c r="K280" s="184" t="s">
        <v>2042</v>
      </c>
      <c r="L280" s="184" t="s">
        <v>2042</v>
      </c>
      <c r="M280" s="184" t="s">
        <v>2042</v>
      </c>
      <c r="N280" s="184" t="s">
        <v>2042</v>
      </c>
      <c r="O280" s="184" t="s">
        <v>2042</v>
      </c>
      <c r="P280" s="184" t="s">
        <v>2042</v>
      </c>
      <c r="Q280" s="184" t="s">
        <v>2042</v>
      </c>
      <c r="R280" s="184" t="s">
        <v>2042</v>
      </c>
      <c r="S280" s="184" t="s">
        <v>2042</v>
      </c>
      <c r="T280" s="184" t="s">
        <v>2042</v>
      </c>
      <c r="U280" s="184" t="s">
        <v>2042</v>
      </c>
      <c r="V280" s="184" t="s">
        <v>2042</v>
      </c>
      <c r="W280" s="184" t="s">
        <v>2042</v>
      </c>
      <c r="X280" s="184" t="s">
        <v>2042</v>
      </c>
      <c r="Y280" s="184" t="s">
        <v>2042</v>
      </c>
      <c r="Z280" s="184" t="s">
        <v>2042</v>
      </c>
      <c r="AA280" s="184" t="s">
        <v>2042</v>
      </c>
      <c r="AB280" s="184" t="s">
        <v>2042</v>
      </c>
      <c r="AC280" s="184" t="s">
        <v>2042</v>
      </c>
      <c r="AD280" s="184" t="s">
        <v>2042</v>
      </c>
      <c r="AE280" s="184" t="s">
        <v>2042</v>
      </c>
      <c r="AF280" s="184" t="s">
        <v>2042</v>
      </c>
      <c r="AG280" s="184" t="s">
        <v>2042</v>
      </c>
      <c r="AH280" s="184" t="s">
        <v>2042</v>
      </c>
      <c r="AI280" s="184" t="s">
        <v>2042</v>
      </c>
      <c r="AJ280" s="184" t="s">
        <v>2042</v>
      </c>
      <c r="AK280" s="184" t="s">
        <v>2042</v>
      </c>
      <c r="AL280" s="184" t="s">
        <v>2042</v>
      </c>
      <c r="AM280" s="184" t="s">
        <v>2042</v>
      </c>
      <c r="AN280" s="184" t="s">
        <v>2042</v>
      </c>
      <c r="AO280" s="184" t="s">
        <v>2042</v>
      </c>
      <c r="AP280" s="184" t="s">
        <v>2042</v>
      </c>
      <c r="AQ280" s="175"/>
    </row>
    <row r="281" spans="1:43" ht="14.5">
      <c r="A281" s="169"/>
      <c r="B281" s="170"/>
      <c r="C281" s="176"/>
      <c r="D281" s="177"/>
      <c r="E281" s="178">
        <v>1</v>
      </c>
      <c r="F281" s="179"/>
      <c r="G281" s="186" t="e">
        <f>IF(C281="","",SUMIFS(MRP!$D$5:$D1000,MRP!$B$5:$B1000,C281))*E281</f>
        <v>#VALUE!</v>
      </c>
      <c r="H281" s="181" t="s">
        <v>2041</v>
      </c>
      <c r="I281" s="182">
        <v>0</v>
      </c>
      <c r="J281" s="183" t="s">
        <v>2042</v>
      </c>
      <c r="K281" s="184" t="s">
        <v>2042</v>
      </c>
      <c r="L281" s="184" t="s">
        <v>2042</v>
      </c>
      <c r="M281" s="184" t="s">
        <v>2042</v>
      </c>
      <c r="N281" s="184" t="s">
        <v>2042</v>
      </c>
      <c r="O281" s="184" t="s">
        <v>2042</v>
      </c>
      <c r="P281" s="184" t="s">
        <v>2042</v>
      </c>
      <c r="Q281" s="184" t="s">
        <v>2042</v>
      </c>
      <c r="R281" s="184" t="s">
        <v>2042</v>
      </c>
      <c r="S281" s="184" t="s">
        <v>2042</v>
      </c>
      <c r="T281" s="184" t="s">
        <v>2042</v>
      </c>
      <c r="U281" s="184" t="s">
        <v>2042</v>
      </c>
      <c r="V281" s="184" t="s">
        <v>2042</v>
      </c>
      <c r="W281" s="184" t="s">
        <v>2042</v>
      </c>
      <c r="X281" s="184" t="s">
        <v>2042</v>
      </c>
      <c r="Y281" s="184" t="s">
        <v>2042</v>
      </c>
      <c r="Z281" s="184" t="s">
        <v>2042</v>
      </c>
      <c r="AA281" s="184" t="s">
        <v>2042</v>
      </c>
      <c r="AB281" s="184" t="s">
        <v>2042</v>
      </c>
      <c r="AC281" s="184" t="s">
        <v>2042</v>
      </c>
      <c r="AD281" s="184" t="s">
        <v>2042</v>
      </c>
      <c r="AE281" s="184" t="s">
        <v>2042</v>
      </c>
      <c r="AF281" s="184" t="s">
        <v>2042</v>
      </c>
      <c r="AG281" s="184" t="s">
        <v>2042</v>
      </c>
      <c r="AH281" s="184" t="s">
        <v>2042</v>
      </c>
      <c r="AI281" s="184" t="s">
        <v>2042</v>
      </c>
      <c r="AJ281" s="184" t="s">
        <v>2042</v>
      </c>
      <c r="AK281" s="184" t="s">
        <v>2042</v>
      </c>
      <c r="AL281" s="184" t="s">
        <v>2042</v>
      </c>
      <c r="AM281" s="184" t="s">
        <v>2042</v>
      </c>
      <c r="AN281" s="184" t="s">
        <v>2042</v>
      </c>
      <c r="AO281" s="184" t="s">
        <v>2042</v>
      </c>
      <c r="AP281" s="184" t="s">
        <v>2042</v>
      </c>
      <c r="AQ281" s="175"/>
    </row>
    <row r="282" spans="1:43" ht="14.5">
      <c r="A282" s="169"/>
      <c r="B282" s="170"/>
      <c r="C282" s="176"/>
      <c r="D282" s="177"/>
      <c r="E282" s="178">
        <v>1</v>
      </c>
      <c r="F282" s="179"/>
      <c r="G282" s="186" t="e">
        <f>IF(C282="","",SUMIFS(MRP!$D$5:$D1000,MRP!$B$5:$B1000,C282))*E282</f>
        <v>#VALUE!</v>
      </c>
      <c r="H282" s="181" t="s">
        <v>2041</v>
      </c>
      <c r="I282" s="182">
        <v>0</v>
      </c>
      <c r="J282" s="183" t="s">
        <v>2042</v>
      </c>
      <c r="K282" s="184" t="s">
        <v>2042</v>
      </c>
      <c r="L282" s="184" t="s">
        <v>2042</v>
      </c>
      <c r="M282" s="184" t="s">
        <v>2042</v>
      </c>
      <c r="N282" s="184" t="s">
        <v>2042</v>
      </c>
      <c r="O282" s="184" t="s">
        <v>2042</v>
      </c>
      <c r="P282" s="184" t="s">
        <v>2042</v>
      </c>
      <c r="Q282" s="184" t="s">
        <v>2042</v>
      </c>
      <c r="R282" s="184" t="s">
        <v>2042</v>
      </c>
      <c r="S282" s="184" t="s">
        <v>2042</v>
      </c>
      <c r="T282" s="184" t="s">
        <v>2042</v>
      </c>
      <c r="U282" s="184" t="s">
        <v>2042</v>
      </c>
      <c r="V282" s="184" t="s">
        <v>2042</v>
      </c>
      <c r="W282" s="184" t="s">
        <v>2042</v>
      </c>
      <c r="X282" s="184" t="s">
        <v>2042</v>
      </c>
      <c r="Y282" s="184" t="s">
        <v>2042</v>
      </c>
      <c r="Z282" s="184" t="s">
        <v>2042</v>
      </c>
      <c r="AA282" s="184" t="s">
        <v>2042</v>
      </c>
      <c r="AB282" s="184" t="s">
        <v>2042</v>
      </c>
      <c r="AC282" s="184" t="s">
        <v>2042</v>
      </c>
      <c r="AD282" s="184" t="s">
        <v>2042</v>
      </c>
      <c r="AE282" s="184" t="s">
        <v>2042</v>
      </c>
      <c r="AF282" s="184" t="s">
        <v>2042</v>
      </c>
      <c r="AG282" s="184" t="s">
        <v>2042</v>
      </c>
      <c r="AH282" s="184" t="s">
        <v>2042</v>
      </c>
      <c r="AI282" s="184" t="s">
        <v>2042</v>
      </c>
      <c r="AJ282" s="184" t="s">
        <v>2042</v>
      </c>
      <c r="AK282" s="184" t="s">
        <v>2042</v>
      </c>
      <c r="AL282" s="184" t="s">
        <v>2042</v>
      </c>
      <c r="AM282" s="184" t="s">
        <v>2042</v>
      </c>
      <c r="AN282" s="184" t="s">
        <v>2042</v>
      </c>
      <c r="AO282" s="184" t="s">
        <v>2042</v>
      </c>
      <c r="AP282" s="184" t="s">
        <v>2042</v>
      </c>
      <c r="AQ282" s="175"/>
    </row>
    <row r="283" spans="1:43" ht="14.5">
      <c r="A283" s="169"/>
      <c r="B283" s="170"/>
      <c r="C283" s="176"/>
      <c r="D283" s="177"/>
      <c r="E283" s="178">
        <v>1</v>
      </c>
      <c r="F283" s="179"/>
      <c r="G283" s="186" t="e">
        <f>IF(C283="","",SUMIFS(MRP!$D$5:$D1000,MRP!$B$5:$B1000,C283))*E283</f>
        <v>#VALUE!</v>
      </c>
      <c r="H283" s="181" t="s">
        <v>2041</v>
      </c>
      <c r="I283" s="182">
        <v>0</v>
      </c>
      <c r="J283" s="183" t="s">
        <v>2042</v>
      </c>
      <c r="K283" s="184" t="s">
        <v>2042</v>
      </c>
      <c r="L283" s="184" t="s">
        <v>2042</v>
      </c>
      <c r="M283" s="184" t="s">
        <v>2042</v>
      </c>
      <c r="N283" s="184" t="s">
        <v>2042</v>
      </c>
      <c r="O283" s="184" t="s">
        <v>2042</v>
      </c>
      <c r="P283" s="184" t="s">
        <v>2042</v>
      </c>
      <c r="Q283" s="184" t="s">
        <v>2042</v>
      </c>
      <c r="R283" s="184" t="s">
        <v>2042</v>
      </c>
      <c r="S283" s="184" t="s">
        <v>2042</v>
      </c>
      <c r="T283" s="184" t="s">
        <v>2042</v>
      </c>
      <c r="U283" s="184" t="s">
        <v>2042</v>
      </c>
      <c r="V283" s="184" t="s">
        <v>2042</v>
      </c>
      <c r="W283" s="184" t="s">
        <v>2042</v>
      </c>
      <c r="X283" s="184" t="s">
        <v>2042</v>
      </c>
      <c r="Y283" s="184" t="s">
        <v>2042</v>
      </c>
      <c r="Z283" s="184" t="s">
        <v>2042</v>
      </c>
      <c r="AA283" s="184" t="s">
        <v>2042</v>
      </c>
      <c r="AB283" s="184" t="s">
        <v>2042</v>
      </c>
      <c r="AC283" s="184" t="s">
        <v>2042</v>
      </c>
      <c r="AD283" s="184" t="s">
        <v>2042</v>
      </c>
      <c r="AE283" s="184" t="s">
        <v>2042</v>
      </c>
      <c r="AF283" s="184" t="s">
        <v>2042</v>
      </c>
      <c r="AG283" s="184" t="s">
        <v>2042</v>
      </c>
      <c r="AH283" s="184" t="s">
        <v>2042</v>
      </c>
      <c r="AI283" s="184" t="s">
        <v>2042</v>
      </c>
      <c r="AJ283" s="184" t="s">
        <v>2042</v>
      </c>
      <c r="AK283" s="184" t="s">
        <v>2042</v>
      </c>
      <c r="AL283" s="184" t="s">
        <v>2042</v>
      </c>
      <c r="AM283" s="184" t="s">
        <v>2042</v>
      </c>
      <c r="AN283" s="184" t="s">
        <v>2042</v>
      </c>
      <c r="AO283" s="184" t="s">
        <v>2042</v>
      </c>
      <c r="AP283" s="184" t="s">
        <v>2042</v>
      </c>
      <c r="AQ283" s="175"/>
    </row>
    <row r="284" spans="1:43" ht="14.5">
      <c r="A284" s="169"/>
      <c r="B284" s="170"/>
      <c r="C284" s="176"/>
      <c r="D284" s="177"/>
      <c r="E284" s="178">
        <v>1</v>
      </c>
      <c r="F284" s="179"/>
      <c r="G284" s="186" t="e">
        <f>IF(C284="","",SUMIFS(MRP!$D$5:$D1000,MRP!$B$5:$B1000,C284))*E284</f>
        <v>#VALUE!</v>
      </c>
      <c r="H284" s="181" t="s">
        <v>2041</v>
      </c>
      <c r="I284" s="182">
        <v>0</v>
      </c>
      <c r="J284" s="183" t="s">
        <v>2042</v>
      </c>
      <c r="K284" s="184" t="s">
        <v>2042</v>
      </c>
      <c r="L284" s="184" t="s">
        <v>2042</v>
      </c>
      <c r="M284" s="184" t="s">
        <v>2042</v>
      </c>
      <c r="N284" s="184" t="s">
        <v>2042</v>
      </c>
      <c r="O284" s="184" t="s">
        <v>2042</v>
      </c>
      <c r="P284" s="184" t="s">
        <v>2042</v>
      </c>
      <c r="Q284" s="184" t="s">
        <v>2042</v>
      </c>
      <c r="R284" s="184" t="s">
        <v>2042</v>
      </c>
      <c r="S284" s="184" t="s">
        <v>2042</v>
      </c>
      <c r="T284" s="184" t="s">
        <v>2042</v>
      </c>
      <c r="U284" s="184" t="s">
        <v>2042</v>
      </c>
      <c r="V284" s="184" t="s">
        <v>2042</v>
      </c>
      <c r="W284" s="184" t="s">
        <v>2042</v>
      </c>
      <c r="X284" s="184" t="s">
        <v>2042</v>
      </c>
      <c r="Y284" s="184" t="s">
        <v>2042</v>
      </c>
      <c r="Z284" s="184" t="s">
        <v>2042</v>
      </c>
      <c r="AA284" s="184" t="s">
        <v>2042</v>
      </c>
      <c r="AB284" s="184" t="s">
        <v>2042</v>
      </c>
      <c r="AC284" s="184" t="s">
        <v>2042</v>
      </c>
      <c r="AD284" s="184" t="s">
        <v>2042</v>
      </c>
      <c r="AE284" s="184" t="s">
        <v>2042</v>
      </c>
      <c r="AF284" s="184" t="s">
        <v>2042</v>
      </c>
      <c r="AG284" s="184" t="s">
        <v>2042</v>
      </c>
      <c r="AH284" s="184" t="s">
        <v>2042</v>
      </c>
      <c r="AI284" s="184" t="s">
        <v>2042</v>
      </c>
      <c r="AJ284" s="184" t="s">
        <v>2042</v>
      </c>
      <c r="AK284" s="184" t="s">
        <v>2042</v>
      </c>
      <c r="AL284" s="184" t="s">
        <v>2042</v>
      </c>
      <c r="AM284" s="184" t="s">
        <v>2042</v>
      </c>
      <c r="AN284" s="184" t="s">
        <v>2042</v>
      </c>
      <c r="AO284" s="184" t="s">
        <v>2042</v>
      </c>
      <c r="AP284" s="184" t="s">
        <v>2042</v>
      </c>
      <c r="AQ284" s="175"/>
    </row>
    <row r="285" spans="1:43" ht="14.5">
      <c r="A285" s="169"/>
      <c r="B285" s="170"/>
      <c r="C285" s="176"/>
      <c r="D285" s="177"/>
      <c r="E285" s="178">
        <v>1</v>
      </c>
      <c r="F285" s="179"/>
      <c r="G285" s="186" t="e">
        <f>IF(C285="","",SUMIFS(MRP!$D$5:$D1000,MRP!$B$5:$B1000,C285))*E285</f>
        <v>#VALUE!</v>
      </c>
      <c r="H285" s="181" t="s">
        <v>2041</v>
      </c>
      <c r="I285" s="182">
        <v>0</v>
      </c>
      <c r="J285" s="183" t="s">
        <v>2042</v>
      </c>
      <c r="K285" s="184" t="s">
        <v>2042</v>
      </c>
      <c r="L285" s="184" t="s">
        <v>2042</v>
      </c>
      <c r="M285" s="184" t="s">
        <v>2042</v>
      </c>
      <c r="N285" s="184" t="s">
        <v>2042</v>
      </c>
      <c r="O285" s="184" t="s">
        <v>2042</v>
      </c>
      <c r="P285" s="184" t="s">
        <v>2042</v>
      </c>
      <c r="Q285" s="184" t="s">
        <v>2042</v>
      </c>
      <c r="R285" s="184" t="s">
        <v>2042</v>
      </c>
      <c r="S285" s="184" t="s">
        <v>2042</v>
      </c>
      <c r="T285" s="184" t="s">
        <v>2042</v>
      </c>
      <c r="U285" s="184" t="s">
        <v>2042</v>
      </c>
      <c r="V285" s="184" t="s">
        <v>2042</v>
      </c>
      <c r="W285" s="184" t="s">
        <v>2042</v>
      </c>
      <c r="X285" s="184" t="s">
        <v>2042</v>
      </c>
      <c r="Y285" s="184" t="s">
        <v>2042</v>
      </c>
      <c r="Z285" s="184" t="s">
        <v>2042</v>
      </c>
      <c r="AA285" s="184" t="s">
        <v>2042</v>
      </c>
      <c r="AB285" s="184" t="s">
        <v>2042</v>
      </c>
      <c r="AC285" s="184" t="s">
        <v>2042</v>
      </c>
      <c r="AD285" s="184" t="s">
        <v>2042</v>
      </c>
      <c r="AE285" s="184" t="s">
        <v>2042</v>
      </c>
      <c r="AF285" s="184" t="s">
        <v>2042</v>
      </c>
      <c r="AG285" s="184" t="s">
        <v>2042</v>
      </c>
      <c r="AH285" s="184" t="s">
        <v>2042</v>
      </c>
      <c r="AI285" s="184" t="s">
        <v>2042</v>
      </c>
      <c r="AJ285" s="184" t="s">
        <v>2042</v>
      </c>
      <c r="AK285" s="184" t="s">
        <v>2042</v>
      </c>
      <c r="AL285" s="184" t="s">
        <v>2042</v>
      </c>
      <c r="AM285" s="184" t="s">
        <v>2042</v>
      </c>
      <c r="AN285" s="184" t="s">
        <v>2042</v>
      </c>
      <c r="AO285" s="184" t="s">
        <v>2042</v>
      </c>
      <c r="AP285" s="184" t="s">
        <v>2042</v>
      </c>
      <c r="AQ285" s="175"/>
    </row>
    <row r="286" spans="1:43" ht="14.5">
      <c r="A286" s="169"/>
      <c r="B286" s="170"/>
      <c r="C286" s="176"/>
      <c r="D286" s="177"/>
      <c r="E286" s="178">
        <v>1</v>
      </c>
      <c r="F286" s="179"/>
      <c r="G286" s="186" t="e">
        <f>IF(C286="","",SUMIFS(MRP!$D$5:$D1000,MRP!$B$5:$B1000,C286))*E286</f>
        <v>#VALUE!</v>
      </c>
      <c r="H286" s="181" t="s">
        <v>2041</v>
      </c>
      <c r="I286" s="182">
        <v>0</v>
      </c>
      <c r="J286" s="183" t="s">
        <v>2042</v>
      </c>
      <c r="K286" s="185" t="s">
        <v>2042</v>
      </c>
      <c r="L286" s="185" t="s">
        <v>2042</v>
      </c>
      <c r="M286" s="185" t="s">
        <v>2042</v>
      </c>
      <c r="N286" s="185" t="s">
        <v>2042</v>
      </c>
      <c r="O286" s="185" t="s">
        <v>2042</v>
      </c>
      <c r="P286" s="185" t="s">
        <v>2042</v>
      </c>
      <c r="Q286" s="185" t="s">
        <v>2042</v>
      </c>
      <c r="R286" s="185" t="s">
        <v>2042</v>
      </c>
      <c r="S286" s="185" t="s">
        <v>2042</v>
      </c>
      <c r="T286" s="185" t="s">
        <v>2042</v>
      </c>
      <c r="U286" s="185" t="s">
        <v>2042</v>
      </c>
      <c r="V286" s="185" t="s">
        <v>2042</v>
      </c>
      <c r="W286" s="184" t="s">
        <v>2042</v>
      </c>
      <c r="X286" s="184" t="s">
        <v>2042</v>
      </c>
      <c r="Y286" s="185" t="s">
        <v>2042</v>
      </c>
      <c r="Z286" s="185" t="s">
        <v>2042</v>
      </c>
      <c r="AA286" s="185" t="s">
        <v>2042</v>
      </c>
      <c r="AB286" s="185" t="s">
        <v>2042</v>
      </c>
      <c r="AC286" s="185" t="s">
        <v>2042</v>
      </c>
      <c r="AD286" s="185" t="s">
        <v>2042</v>
      </c>
      <c r="AE286" s="185" t="s">
        <v>2042</v>
      </c>
      <c r="AF286" s="185" t="s">
        <v>2042</v>
      </c>
      <c r="AG286" s="185" t="s">
        <v>2042</v>
      </c>
      <c r="AH286" s="185" t="s">
        <v>2042</v>
      </c>
      <c r="AI286" s="185" t="s">
        <v>2042</v>
      </c>
      <c r="AJ286" s="185" t="s">
        <v>2042</v>
      </c>
      <c r="AK286" s="185" t="s">
        <v>2042</v>
      </c>
      <c r="AL286" s="185" t="s">
        <v>2042</v>
      </c>
      <c r="AM286" s="185" t="s">
        <v>2042</v>
      </c>
      <c r="AN286" s="185" t="s">
        <v>2042</v>
      </c>
      <c r="AO286" s="185" t="s">
        <v>2042</v>
      </c>
      <c r="AP286" s="185" t="s">
        <v>2042</v>
      </c>
      <c r="AQ286" s="175"/>
    </row>
    <row r="287" spans="1:43" ht="14.5">
      <c r="A287" s="169"/>
      <c r="B287" s="170"/>
      <c r="C287" s="176"/>
      <c r="D287" s="177"/>
      <c r="E287" s="178">
        <v>1</v>
      </c>
      <c r="F287" s="179"/>
      <c r="G287" s="186" t="e">
        <f>IF(C287="","",SUMIFS(MRP!$D$5:$D1000,MRP!$B$5:$B1000,C287))*E287</f>
        <v>#VALUE!</v>
      </c>
      <c r="H287" s="181" t="s">
        <v>2041</v>
      </c>
      <c r="I287" s="182">
        <v>0</v>
      </c>
      <c r="J287" s="183" t="s">
        <v>2042</v>
      </c>
      <c r="K287" s="189" t="s">
        <v>2042</v>
      </c>
      <c r="L287" s="189" t="s">
        <v>2042</v>
      </c>
      <c r="M287" s="189" t="s">
        <v>2042</v>
      </c>
      <c r="N287" s="189" t="s">
        <v>2042</v>
      </c>
      <c r="O287" s="189" t="s">
        <v>2042</v>
      </c>
      <c r="P287" s="189" t="s">
        <v>2042</v>
      </c>
      <c r="Q287" s="189" t="s">
        <v>2042</v>
      </c>
      <c r="R287" s="189" t="s">
        <v>2042</v>
      </c>
      <c r="S287" s="189" t="s">
        <v>2042</v>
      </c>
      <c r="T287" s="189" t="s">
        <v>2042</v>
      </c>
      <c r="U287" s="184" t="s">
        <v>2042</v>
      </c>
      <c r="V287" s="184" t="s">
        <v>2042</v>
      </c>
      <c r="W287" s="184" t="s">
        <v>2042</v>
      </c>
      <c r="X287" s="184" t="s">
        <v>2042</v>
      </c>
      <c r="Y287" s="184" t="s">
        <v>2042</v>
      </c>
      <c r="Z287" s="184" t="s">
        <v>2042</v>
      </c>
      <c r="AA287" s="184" t="s">
        <v>2042</v>
      </c>
      <c r="AB287" s="184" t="s">
        <v>2042</v>
      </c>
      <c r="AC287" s="184" t="s">
        <v>2042</v>
      </c>
      <c r="AD287" s="184" t="s">
        <v>2042</v>
      </c>
      <c r="AE287" s="184" t="s">
        <v>2042</v>
      </c>
      <c r="AF287" s="184" t="s">
        <v>2042</v>
      </c>
      <c r="AG287" s="184" t="s">
        <v>2042</v>
      </c>
      <c r="AH287" s="184" t="s">
        <v>2042</v>
      </c>
      <c r="AI287" s="184" t="s">
        <v>2042</v>
      </c>
      <c r="AJ287" s="184" t="s">
        <v>2042</v>
      </c>
      <c r="AK287" s="184" t="s">
        <v>2042</v>
      </c>
      <c r="AL287" s="184" t="s">
        <v>2042</v>
      </c>
      <c r="AM287" s="184" t="s">
        <v>2042</v>
      </c>
      <c r="AN287" s="184" t="s">
        <v>2042</v>
      </c>
      <c r="AO287" s="184" t="s">
        <v>2042</v>
      </c>
      <c r="AP287" s="184" t="s">
        <v>2042</v>
      </c>
      <c r="AQ287" s="175"/>
    </row>
    <row r="288" spans="1:43" ht="14.5">
      <c r="A288" s="169"/>
      <c r="B288" s="170"/>
      <c r="C288" s="176"/>
      <c r="D288" s="177"/>
      <c r="E288" s="178">
        <v>1</v>
      </c>
      <c r="F288" s="179"/>
      <c r="G288" s="186" t="e">
        <f>IF(C288="","",SUMIFS(MRP!$D$5:$D1000,MRP!$B$5:$B1000,C288))*E288</f>
        <v>#VALUE!</v>
      </c>
      <c r="H288" s="181" t="s">
        <v>2041</v>
      </c>
      <c r="I288" s="182">
        <v>0</v>
      </c>
      <c r="J288" s="183" t="s">
        <v>2042</v>
      </c>
      <c r="K288" s="189" t="s">
        <v>2042</v>
      </c>
      <c r="L288" s="187" t="s">
        <v>2042</v>
      </c>
      <c r="M288" s="184" t="s">
        <v>2042</v>
      </c>
      <c r="N288" s="188" t="s">
        <v>2042</v>
      </c>
      <c r="O288" s="188" t="s">
        <v>2042</v>
      </c>
      <c r="P288" s="188" t="s">
        <v>2042</v>
      </c>
      <c r="Q288" s="188" t="s">
        <v>2042</v>
      </c>
      <c r="R288" s="188" t="s">
        <v>2042</v>
      </c>
      <c r="S288" s="188" t="s">
        <v>2042</v>
      </c>
      <c r="T288" s="188" t="s">
        <v>2042</v>
      </c>
      <c r="U288" s="189" t="s">
        <v>2042</v>
      </c>
      <c r="V288" s="189" t="s">
        <v>2042</v>
      </c>
      <c r="W288" s="189" t="s">
        <v>2042</v>
      </c>
      <c r="X288" s="187" t="s">
        <v>2042</v>
      </c>
      <c r="Y288" s="187" t="s">
        <v>2042</v>
      </c>
      <c r="Z288" s="188" t="s">
        <v>2042</v>
      </c>
      <c r="AA288" s="188" t="s">
        <v>2042</v>
      </c>
      <c r="AB288" s="188" t="s">
        <v>2042</v>
      </c>
      <c r="AC288" s="188" t="s">
        <v>2042</v>
      </c>
      <c r="AD288" s="188" t="s">
        <v>2042</v>
      </c>
      <c r="AE288" s="188" t="s">
        <v>2042</v>
      </c>
      <c r="AF288" s="188" t="s">
        <v>2042</v>
      </c>
      <c r="AG288" s="188" t="s">
        <v>2042</v>
      </c>
      <c r="AH288" s="188" t="s">
        <v>2042</v>
      </c>
      <c r="AI288" s="188" t="s">
        <v>2042</v>
      </c>
      <c r="AJ288" s="188" t="s">
        <v>2042</v>
      </c>
      <c r="AK288" s="188" t="s">
        <v>2042</v>
      </c>
      <c r="AL288" s="189" t="s">
        <v>2042</v>
      </c>
      <c r="AM288" s="189" t="s">
        <v>2042</v>
      </c>
      <c r="AN288" s="189" t="s">
        <v>2042</v>
      </c>
      <c r="AO288" s="189" t="s">
        <v>2042</v>
      </c>
      <c r="AP288" s="189" t="s">
        <v>2042</v>
      </c>
      <c r="AQ288" s="175"/>
    </row>
    <row r="289" spans="1:43" ht="14.5">
      <c r="A289" s="169"/>
      <c r="B289" s="170"/>
      <c r="C289" s="176"/>
      <c r="D289" s="177"/>
      <c r="E289" s="178">
        <v>1</v>
      </c>
      <c r="F289" s="179"/>
      <c r="G289" s="186" t="e">
        <f>IF(C289="","",SUMIFS(MRP!$D$5:$D1000,MRP!$B$5:$B1000,C289))*E289</f>
        <v>#VALUE!</v>
      </c>
      <c r="H289" s="181" t="s">
        <v>2041</v>
      </c>
      <c r="I289" s="182">
        <v>0</v>
      </c>
      <c r="J289" s="183" t="s">
        <v>2042</v>
      </c>
      <c r="K289" s="184" t="s">
        <v>2042</v>
      </c>
      <c r="L289" s="184" t="s">
        <v>2042</v>
      </c>
      <c r="M289" s="184" t="s">
        <v>2042</v>
      </c>
      <c r="N289" s="184" t="s">
        <v>2042</v>
      </c>
      <c r="O289" s="184" t="s">
        <v>2042</v>
      </c>
      <c r="P289" s="184" t="s">
        <v>2042</v>
      </c>
      <c r="Q289" s="184" t="s">
        <v>2042</v>
      </c>
      <c r="R289" s="184" t="s">
        <v>2042</v>
      </c>
      <c r="S289" s="184" t="s">
        <v>2042</v>
      </c>
      <c r="T289" s="184" t="s">
        <v>2042</v>
      </c>
      <c r="U289" s="184" t="s">
        <v>2042</v>
      </c>
      <c r="V289" s="184" t="s">
        <v>2042</v>
      </c>
      <c r="W289" s="184" t="s">
        <v>2042</v>
      </c>
      <c r="X289" s="184" t="s">
        <v>2042</v>
      </c>
      <c r="Y289" s="184" t="s">
        <v>2042</v>
      </c>
      <c r="Z289" s="184" t="s">
        <v>2042</v>
      </c>
      <c r="AA289" s="184" t="s">
        <v>2042</v>
      </c>
      <c r="AB289" s="184" t="s">
        <v>2042</v>
      </c>
      <c r="AC289" s="184" t="s">
        <v>2042</v>
      </c>
      <c r="AD289" s="184" t="s">
        <v>2042</v>
      </c>
      <c r="AE289" s="184" t="s">
        <v>2042</v>
      </c>
      <c r="AF289" s="184" t="s">
        <v>2042</v>
      </c>
      <c r="AG289" s="184" t="s">
        <v>2042</v>
      </c>
      <c r="AH289" s="184" t="s">
        <v>2042</v>
      </c>
      <c r="AI289" s="184" t="s">
        <v>2042</v>
      </c>
      <c r="AJ289" s="184" t="s">
        <v>2042</v>
      </c>
      <c r="AK289" s="184" t="s">
        <v>2042</v>
      </c>
      <c r="AL289" s="184" t="s">
        <v>2042</v>
      </c>
      <c r="AM289" s="184" t="s">
        <v>2042</v>
      </c>
      <c r="AN289" s="184" t="s">
        <v>2042</v>
      </c>
      <c r="AO289" s="184" t="s">
        <v>2042</v>
      </c>
      <c r="AP289" s="184" t="s">
        <v>2042</v>
      </c>
      <c r="AQ289" s="175"/>
    </row>
    <row r="290" spans="1:43" ht="14.5">
      <c r="A290" s="169"/>
      <c r="B290" s="170"/>
      <c r="C290" s="176"/>
      <c r="D290" s="177"/>
      <c r="E290" s="178">
        <v>1</v>
      </c>
      <c r="F290" s="179"/>
      <c r="G290" s="186" t="e">
        <f>IF(C290="","",SUMIFS(MRP!$D$5:$D1000,MRP!$B$5:$B1000,C290))*E290</f>
        <v>#VALUE!</v>
      </c>
      <c r="H290" s="181" t="s">
        <v>2041</v>
      </c>
      <c r="I290" s="182">
        <v>0</v>
      </c>
      <c r="J290" s="183" t="s">
        <v>2042</v>
      </c>
      <c r="K290" s="184" t="s">
        <v>2042</v>
      </c>
      <c r="L290" s="184" t="s">
        <v>2042</v>
      </c>
      <c r="M290" s="184" t="s">
        <v>2042</v>
      </c>
      <c r="N290" s="184" t="s">
        <v>2042</v>
      </c>
      <c r="O290" s="184" t="s">
        <v>2042</v>
      </c>
      <c r="P290" s="184" t="s">
        <v>2042</v>
      </c>
      <c r="Q290" s="184" t="s">
        <v>2042</v>
      </c>
      <c r="R290" s="184" t="s">
        <v>2042</v>
      </c>
      <c r="S290" s="184" t="s">
        <v>2042</v>
      </c>
      <c r="T290" s="184" t="s">
        <v>2042</v>
      </c>
      <c r="U290" s="184" t="s">
        <v>2042</v>
      </c>
      <c r="V290" s="184" t="s">
        <v>2042</v>
      </c>
      <c r="W290" s="184" t="s">
        <v>2042</v>
      </c>
      <c r="X290" s="184" t="s">
        <v>2042</v>
      </c>
      <c r="Y290" s="184" t="s">
        <v>2042</v>
      </c>
      <c r="Z290" s="184" t="s">
        <v>2042</v>
      </c>
      <c r="AA290" s="184" t="s">
        <v>2042</v>
      </c>
      <c r="AB290" s="184" t="s">
        <v>2042</v>
      </c>
      <c r="AC290" s="184" t="s">
        <v>2042</v>
      </c>
      <c r="AD290" s="184" t="s">
        <v>2042</v>
      </c>
      <c r="AE290" s="184" t="s">
        <v>2042</v>
      </c>
      <c r="AF290" s="184" t="s">
        <v>2042</v>
      </c>
      <c r="AG290" s="184" t="s">
        <v>2042</v>
      </c>
      <c r="AH290" s="184" t="s">
        <v>2042</v>
      </c>
      <c r="AI290" s="184" t="s">
        <v>2042</v>
      </c>
      <c r="AJ290" s="184" t="s">
        <v>2042</v>
      </c>
      <c r="AK290" s="184" t="s">
        <v>2042</v>
      </c>
      <c r="AL290" s="184" t="s">
        <v>2042</v>
      </c>
      <c r="AM290" s="184" t="s">
        <v>2042</v>
      </c>
      <c r="AN290" s="184" t="s">
        <v>2042</v>
      </c>
      <c r="AO290" s="184" t="s">
        <v>2042</v>
      </c>
      <c r="AP290" s="184" t="s">
        <v>2042</v>
      </c>
      <c r="AQ290" s="175"/>
    </row>
    <row r="291" spans="1:43" ht="14.5">
      <c r="A291" s="169"/>
      <c r="B291" s="170"/>
      <c r="C291" s="176"/>
      <c r="D291" s="177"/>
      <c r="E291" s="178">
        <v>1</v>
      </c>
      <c r="F291" s="179"/>
      <c r="G291" s="186" t="e">
        <f>IF(C291="","",SUMIFS(MRP!$D$5:$D1000,MRP!$B$5:$B1000,C291))*E291</f>
        <v>#VALUE!</v>
      </c>
      <c r="H291" s="181" t="s">
        <v>2041</v>
      </c>
      <c r="I291" s="182">
        <v>0</v>
      </c>
      <c r="J291" s="183" t="s">
        <v>2042</v>
      </c>
      <c r="K291" s="184" t="s">
        <v>2042</v>
      </c>
      <c r="L291" s="184" t="s">
        <v>2042</v>
      </c>
      <c r="M291" s="184" t="s">
        <v>2042</v>
      </c>
      <c r="N291" s="184" t="s">
        <v>2042</v>
      </c>
      <c r="O291" s="184" t="s">
        <v>2042</v>
      </c>
      <c r="P291" s="184" t="s">
        <v>2042</v>
      </c>
      <c r="Q291" s="184" t="s">
        <v>2042</v>
      </c>
      <c r="R291" s="184" t="s">
        <v>2042</v>
      </c>
      <c r="S291" s="184" t="s">
        <v>2042</v>
      </c>
      <c r="T291" s="184" t="s">
        <v>2042</v>
      </c>
      <c r="U291" s="184" t="s">
        <v>2042</v>
      </c>
      <c r="V291" s="184" t="s">
        <v>2042</v>
      </c>
      <c r="W291" s="184" t="s">
        <v>2042</v>
      </c>
      <c r="X291" s="184" t="s">
        <v>2042</v>
      </c>
      <c r="Y291" s="184" t="s">
        <v>2042</v>
      </c>
      <c r="Z291" s="184" t="s">
        <v>2042</v>
      </c>
      <c r="AA291" s="184" t="s">
        <v>2042</v>
      </c>
      <c r="AB291" s="184" t="s">
        <v>2042</v>
      </c>
      <c r="AC291" s="184" t="s">
        <v>2042</v>
      </c>
      <c r="AD291" s="184" t="s">
        <v>2042</v>
      </c>
      <c r="AE291" s="184" t="s">
        <v>2042</v>
      </c>
      <c r="AF291" s="184" t="s">
        <v>2042</v>
      </c>
      <c r="AG291" s="184" t="s">
        <v>2042</v>
      </c>
      <c r="AH291" s="184" t="s">
        <v>2042</v>
      </c>
      <c r="AI291" s="184" t="s">
        <v>2042</v>
      </c>
      <c r="AJ291" s="184" t="s">
        <v>2042</v>
      </c>
      <c r="AK291" s="184" t="s">
        <v>2042</v>
      </c>
      <c r="AL291" s="184" t="s">
        <v>2042</v>
      </c>
      <c r="AM291" s="184" t="s">
        <v>2042</v>
      </c>
      <c r="AN291" s="184" t="s">
        <v>2042</v>
      </c>
      <c r="AO291" s="184" t="s">
        <v>2042</v>
      </c>
      <c r="AP291" s="184" t="s">
        <v>2042</v>
      </c>
      <c r="AQ291" s="175"/>
    </row>
    <row r="292" spans="1:43" ht="14.5">
      <c r="A292" s="169"/>
      <c r="B292" s="170"/>
      <c r="C292" s="176"/>
      <c r="D292" s="177"/>
      <c r="E292" s="178">
        <v>1</v>
      </c>
      <c r="F292" s="179"/>
      <c r="G292" s="186" t="e">
        <f>IF(C292="","",SUMIFS(MRP!$D$5:$D1000,MRP!$B$5:$B1000,C292))*E292</f>
        <v>#VALUE!</v>
      </c>
      <c r="H292" s="181" t="s">
        <v>2041</v>
      </c>
      <c r="I292" s="182">
        <v>0</v>
      </c>
      <c r="J292" s="183" t="s">
        <v>2042</v>
      </c>
      <c r="K292" s="184" t="s">
        <v>2042</v>
      </c>
      <c r="L292" s="184" t="s">
        <v>2042</v>
      </c>
      <c r="M292" s="184" t="s">
        <v>2042</v>
      </c>
      <c r="N292" s="184" t="s">
        <v>2042</v>
      </c>
      <c r="O292" s="184" t="s">
        <v>2042</v>
      </c>
      <c r="P292" s="184" t="s">
        <v>2042</v>
      </c>
      <c r="Q292" s="185" t="s">
        <v>2042</v>
      </c>
      <c r="R292" s="185" t="s">
        <v>2042</v>
      </c>
      <c r="S292" s="185" t="s">
        <v>2042</v>
      </c>
      <c r="T292" s="185" t="s">
        <v>2042</v>
      </c>
      <c r="U292" s="185" t="s">
        <v>2042</v>
      </c>
      <c r="V292" s="185" t="s">
        <v>2042</v>
      </c>
      <c r="W292" s="185" t="s">
        <v>2042</v>
      </c>
      <c r="X292" s="185" t="s">
        <v>2042</v>
      </c>
      <c r="Y292" s="185" t="s">
        <v>2042</v>
      </c>
      <c r="Z292" s="185" t="s">
        <v>2042</v>
      </c>
      <c r="AA292" s="185" t="s">
        <v>2042</v>
      </c>
      <c r="AB292" s="185" t="s">
        <v>2042</v>
      </c>
      <c r="AC292" s="185" t="s">
        <v>2042</v>
      </c>
      <c r="AD292" s="185" t="s">
        <v>2042</v>
      </c>
      <c r="AE292" s="185" t="s">
        <v>2042</v>
      </c>
      <c r="AF292" s="185" t="s">
        <v>2042</v>
      </c>
      <c r="AG292" s="185" t="s">
        <v>2042</v>
      </c>
      <c r="AH292" s="185" t="s">
        <v>2042</v>
      </c>
      <c r="AI292" s="185" t="s">
        <v>2042</v>
      </c>
      <c r="AJ292" s="185" t="s">
        <v>2042</v>
      </c>
      <c r="AK292" s="185" t="s">
        <v>2042</v>
      </c>
      <c r="AL292" s="185" t="s">
        <v>2042</v>
      </c>
      <c r="AM292" s="185" t="s">
        <v>2042</v>
      </c>
      <c r="AN292" s="185" t="s">
        <v>2042</v>
      </c>
      <c r="AO292" s="185" t="s">
        <v>2042</v>
      </c>
      <c r="AP292" s="185" t="s">
        <v>2042</v>
      </c>
      <c r="AQ292" s="175"/>
    </row>
    <row r="293" spans="1:43" ht="14.5">
      <c r="A293" s="169"/>
      <c r="B293" s="170"/>
      <c r="C293" s="176"/>
      <c r="D293" s="177"/>
      <c r="E293" s="178">
        <v>1</v>
      </c>
      <c r="F293" s="179"/>
      <c r="G293" s="186" t="e">
        <f>IF(C293="","",SUMIFS(MRP!$D$5:$D1000,MRP!$B$5:$B1000,C293))*E293</f>
        <v>#VALUE!</v>
      </c>
      <c r="H293" s="181" t="s">
        <v>2041</v>
      </c>
      <c r="I293" s="182">
        <v>0</v>
      </c>
      <c r="J293" s="183" t="s">
        <v>2042</v>
      </c>
      <c r="K293" s="184" t="s">
        <v>2042</v>
      </c>
      <c r="L293" s="184" t="s">
        <v>2042</v>
      </c>
      <c r="M293" s="184" t="s">
        <v>2042</v>
      </c>
      <c r="N293" s="184" t="s">
        <v>2042</v>
      </c>
      <c r="O293" s="184" t="s">
        <v>2042</v>
      </c>
      <c r="P293" s="184" t="s">
        <v>2042</v>
      </c>
      <c r="Q293" s="184" t="s">
        <v>2042</v>
      </c>
      <c r="R293" s="184" t="s">
        <v>2042</v>
      </c>
      <c r="S293" s="184" t="s">
        <v>2042</v>
      </c>
      <c r="T293" s="184" t="s">
        <v>2042</v>
      </c>
      <c r="U293" s="184" t="s">
        <v>2042</v>
      </c>
      <c r="V293" s="184" t="s">
        <v>2042</v>
      </c>
      <c r="W293" s="184" t="s">
        <v>2042</v>
      </c>
      <c r="X293" s="184" t="s">
        <v>2042</v>
      </c>
      <c r="Y293" s="184" t="s">
        <v>2042</v>
      </c>
      <c r="Z293" s="184" t="s">
        <v>2042</v>
      </c>
      <c r="AA293" s="184" t="s">
        <v>2042</v>
      </c>
      <c r="AB293" s="184" t="s">
        <v>2042</v>
      </c>
      <c r="AC293" s="184" t="s">
        <v>2042</v>
      </c>
      <c r="AD293" s="184" t="s">
        <v>2042</v>
      </c>
      <c r="AE293" s="184" t="s">
        <v>2042</v>
      </c>
      <c r="AF293" s="184" t="s">
        <v>2042</v>
      </c>
      <c r="AG293" s="184" t="s">
        <v>2042</v>
      </c>
      <c r="AH293" s="184" t="s">
        <v>2042</v>
      </c>
      <c r="AI293" s="184" t="s">
        <v>2042</v>
      </c>
      <c r="AJ293" s="184" t="s">
        <v>2042</v>
      </c>
      <c r="AK293" s="184" t="s">
        <v>2042</v>
      </c>
      <c r="AL293" s="184" t="s">
        <v>2042</v>
      </c>
      <c r="AM293" s="184" t="s">
        <v>2042</v>
      </c>
      <c r="AN293" s="184" t="s">
        <v>2042</v>
      </c>
      <c r="AO293" s="184" t="s">
        <v>2042</v>
      </c>
      <c r="AP293" s="184" t="s">
        <v>2042</v>
      </c>
      <c r="AQ293" s="175"/>
    </row>
    <row r="294" spans="1:43" ht="14.5">
      <c r="A294" s="169"/>
      <c r="B294" s="170"/>
      <c r="C294" s="176"/>
      <c r="D294" s="177"/>
      <c r="E294" s="178">
        <v>1</v>
      </c>
      <c r="F294" s="179"/>
      <c r="G294" s="186" t="e">
        <f>IF(C294="","",SUMIFS(MRP!$D$5:$D1000,MRP!$B$5:$B1000,C294))*E294</f>
        <v>#VALUE!</v>
      </c>
      <c r="H294" s="181" t="s">
        <v>2041</v>
      </c>
      <c r="I294" s="182">
        <v>0</v>
      </c>
      <c r="J294" s="183" t="s">
        <v>2042</v>
      </c>
      <c r="K294" s="184" t="s">
        <v>2042</v>
      </c>
      <c r="L294" s="184" t="s">
        <v>2042</v>
      </c>
      <c r="M294" s="184" t="s">
        <v>2042</v>
      </c>
      <c r="N294" s="184" t="s">
        <v>2042</v>
      </c>
      <c r="O294" s="184" t="s">
        <v>2042</v>
      </c>
      <c r="P294" s="184" t="s">
        <v>2042</v>
      </c>
      <c r="Q294" s="184" t="s">
        <v>2042</v>
      </c>
      <c r="R294" s="184" t="s">
        <v>2042</v>
      </c>
      <c r="S294" s="184" t="s">
        <v>2042</v>
      </c>
      <c r="T294" s="184" t="s">
        <v>2042</v>
      </c>
      <c r="U294" s="184" t="s">
        <v>2042</v>
      </c>
      <c r="V294" s="184" t="s">
        <v>2042</v>
      </c>
      <c r="W294" s="184" t="s">
        <v>2042</v>
      </c>
      <c r="X294" s="184" t="s">
        <v>2042</v>
      </c>
      <c r="Y294" s="184" t="s">
        <v>2042</v>
      </c>
      <c r="Z294" s="184" t="s">
        <v>2042</v>
      </c>
      <c r="AA294" s="184" t="s">
        <v>2042</v>
      </c>
      <c r="AB294" s="184" t="s">
        <v>2042</v>
      </c>
      <c r="AC294" s="184" t="s">
        <v>2042</v>
      </c>
      <c r="AD294" s="184" t="s">
        <v>2042</v>
      </c>
      <c r="AE294" s="184" t="s">
        <v>2042</v>
      </c>
      <c r="AF294" s="184" t="s">
        <v>2042</v>
      </c>
      <c r="AG294" s="184" t="s">
        <v>2042</v>
      </c>
      <c r="AH294" s="184" t="s">
        <v>2042</v>
      </c>
      <c r="AI294" s="184" t="s">
        <v>2042</v>
      </c>
      <c r="AJ294" s="184" t="s">
        <v>2042</v>
      </c>
      <c r="AK294" s="184" t="s">
        <v>2042</v>
      </c>
      <c r="AL294" s="184" t="s">
        <v>2042</v>
      </c>
      <c r="AM294" s="184" t="s">
        <v>2042</v>
      </c>
      <c r="AN294" s="184" t="s">
        <v>2042</v>
      </c>
      <c r="AO294" s="184" t="s">
        <v>2042</v>
      </c>
      <c r="AP294" s="184" t="s">
        <v>2042</v>
      </c>
      <c r="AQ294" s="175"/>
    </row>
    <row r="295" spans="1:43" ht="14.5">
      <c r="A295" s="169"/>
      <c r="B295" s="170"/>
      <c r="C295" s="176"/>
      <c r="D295" s="177"/>
      <c r="E295" s="178">
        <v>1</v>
      </c>
      <c r="F295" s="179"/>
      <c r="G295" s="186" t="e">
        <f>IF(C295="","",SUMIFS(MRP!$D$5:$D1000,MRP!$B$5:$B1000,C295))*E295</f>
        <v>#VALUE!</v>
      </c>
      <c r="H295" s="181" t="s">
        <v>2041</v>
      </c>
      <c r="I295" s="182">
        <v>0</v>
      </c>
      <c r="J295" s="183" t="s">
        <v>2042</v>
      </c>
      <c r="K295" s="184" t="s">
        <v>2042</v>
      </c>
      <c r="L295" s="184" t="s">
        <v>2042</v>
      </c>
      <c r="M295" s="184" t="s">
        <v>2042</v>
      </c>
      <c r="N295" s="184" t="s">
        <v>2042</v>
      </c>
      <c r="O295" s="184" t="s">
        <v>2042</v>
      </c>
      <c r="P295" s="184" t="s">
        <v>2042</v>
      </c>
      <c r="Q295" s="184" t="s">
        <v>2042</v>
      </c>
      <c r="R295" s="184" t="s">
        <v>2042</v>
      </c>
      <c r="S295" s="184" t="s">
        <v>2042</v>
      </c>
      <c r="T295" s="184" t="s">
        <v>2042</v>
      </c>
      <c r="U295" s="184" t="s">
        <v>2042</v>
      </c>
      <c r="V295" s="184" t="s">
        <v>2042</v>
      </c>
      <c r="W295" s="184" t="s">
        <v>2042</v>
      </c>
      <c r="X295" s="184" t="s">
        <v>2042</v>
      </c>
      <c r="Y295" s="184" t="s">
        <v>2042</v>
      </c>
      <c r="Z295" s="184" t="s">
        <v>2042</v>
      </c>
      <c r="AA295" s="184" t="s">
        <v>2042</v>
      </c>
      <c r="AB295" s="184" t="s">
        <v>2042</v>
      </c>
      <c r="AC295" s="184" t="s">
        <v>2042</v>
      </c>
      <c r="AD295" s="184" t="s">
        <v>2042</v>
      </c>
      <c r="AE295" s="184" t="s">
        <v>2042</v>
      </c>
      <c r="AF295" s="184" t="s">
        <v>2042</v>
      </c>
      <c r="AG295" s="184" t="s">
        <v>2042</v>
      </c>
      <c r="AH295" s="184" t="s">
        <v>2042</v>
      </c>
      <c r="AI295" s="184" t="s">
        <v>2042</v>
      </c>
      <c r="AJ295" s="184" t="s">
        <v>2042</v>
      </c>
      <c r="AK295" s="184" t="s">
        <v>2042</v>
      </c>
      <c r="AL295" s="184" t="s">
        <v>2042</v>
      </c>
      <c r="AM295" s="184" t="s">
        <v>2042</v>
      </c>
      <c r="AN295" s="190" t="s">
        <v>2042</v>
      </c>
      <c r="AO295" s="190" t="s">
        <v>2042</v>
      </c>
      <c r="AP295" s="184" t="s">
        <v>2042</v>
      </c>
      <c r="AQ295" s="175"/>
    </row>
    <row r="296" spans="1:43" ht="14.5">
      <c r="A296" s="169"/>
      <c r="B296" s="170"/>
      <c r="C296" s="176"/>
      <c r="D296" s="177"/>
      <c r="E296" s="178">
        <v>1</v>
      </c>
      <c r="F296" s="179"/>
      <c r="G296" s="186" t="e">
        <f>IF(C296="","",SUMIFS(MRP!$D$5:$D1000,MRP!$B$5:$B1000,C296))*E296</f>
        <v>#VALUE!</v>
      </c>
      <c r="H296" s="181" t="s">
        <v>2041</v>
      </c>
      <c r="I296" s="182">
        <v>0</v>
      </c>
      <c r="J296" s="183" t="s">
        <v>2042</v>
      </c>
      <c r="K296" s="184" t="s">
        <v>2042</v>
      </c>
      <c r="L296" s="184" t="s">
        <v>2042</v>
      </c>
      <c r="M296" s="184" t="s">
        <v>2042</v>
      </c>
      <c r="N296" s="184" t="s">
        <v>2042</v>
      </c>
      <c r="O296" s="184" t="s">
        <v>2042</v>
      </c>
      <c r="P296" s="184" t="s">
        <v>2042</v>
      </c>
      <c r="Q296" s="184" t="s">
        <v>2042</v>
      </c>
      <c r="R296" s="184" t="s">
        <v>2042</v>
      </c>
      <c r="S296" s="184" t="s">
        <v>2042</v>
      </c>
      <c r="T296" s="184" t="s">
        <v>2042</v>
      </c>
      <c r="U296" s="184" t="s">
        <v>2042</v>
      </c>
      <c r="V296" s="184" t="s">
        <v>2042</v>
      </c>
      <c r="W296" s="184" t="s">
        <v>2042</v>
      </c>
      <c r="X296" s="184" t="s">
        <v>2042</v>
      </c>
      <c r="Y296" s="184" t="s">
        <v>2042</v>
      </c>
      <c r="Z296" s="184" t="s">
        <v>2042</v>
      </c>
      <c r="AA296" s="184" t="s">
        <v>2042</v>
      </c>
      <c r="AB296" s="184" t="s">
        <v>2042</v>
      </c>
      <c r="AC296" s="184" t="s">
        <v>2042</v>
      </c>
      <c r="AD296" s="187" t="s">
        <v>2042</v>
      </c>
      <c r="AE296" s="187" t="s">
        <v>2042</v>
      </c>
      <c r="AF296" s="187" t="s">
        <v>2042</v>
      </c>
      <c r="AG296" s="187" t="s">
        <v>2042</v>
      </c>
      <c r="AH296" s="187" t="s">
        <v>2042</v>
      </c>
      <c r="AI296" s="187" t="s">
        <v>2042</v>
      </c>
      <c r="AJ296" s="187" t="s">
        <v>2042</v>
      </c>
      <c r="AK296" s="187" t="s">
        <v>2042</v>
      </c>
      <c r="AL296" s="187" t="s">
        <v>2042</v>
      </c>
      <c r="AM296" s="187" t="s">
        <v>2042</v>
      </c>
      <c r="AN296" s="187" t="s">
        <v>2042</v>
      </c>
      <c r="AO296" s="187" t="s">
        <v>2042</v>
      </c>
      <c r="AP296" s="187" t="s">
        <v>2042</v>
      </c>
      <c r="AQ296" s="175"/>
    </row>
    <row r="297" spans="1:43" ht="14.5">
      <c r="A297" s="169"/>
      <c r="B297" s="170"/>
      <c r="C297" s="176"/>
      <c r="D297" s="177"/>
      <c r="E297" s="178">
        <v>1</v>
      </c>
      <c r="F297" s="179"/>
      <c r="G297" s="186" t="e">
        <f>IF(C297="","",SUMIFS(MRP!$D$5:$D1000,MRP!$B$5:$B1000,C297))*E297</f>
        <v>#VALUE!</v>
      </c>
      <c r="H297" s="181" t="s">
        <v>2041</v>
      </c>
      <c r="I297" s="182">
        <v>0</v>
      </c>
      <c r="J297" s="183" t="s">
        <v>2042</v>
      </c>
      <c r="K297" s="185" t="s">
        <v>2042</v>
      </c>
      <c r="L297" s="185" t="s">
        <v>2042</v>
      </c>
      <c r="M297" s="185" t="s">
        <v>2042</v>
      </c>
      <c r="N297" s="185" t="s">
        <v>2042</v>
      </c>
      <c r="O297" s="185" t="s">
        <v>2042</v>
      </c>
      <c r="P297" s="185" t="s">
        <v>2042</v>
      </c>
      <c r="Q297" s="185" t="s">
        <v>2042</v>
      </c>
      <c r="R297" s="185" t="s">
        <v>2042</v>
      </c>
      <c r="S297" s="185" t="s">
        <v>2042</v>
      </c>
      <c r="T297" s="185" t="s">
        <v>2042</v>
      </c>
      <c r="U297" s="185" t="s">
        <v>2042</v>
      </c>
      <c r="V297" s="185" t="s">
        <v>2042</v>
      </c>
      <c r="W297" s="185" t="s">
        <v>2042</v>
      </c>
      <c r="X297" s="185" t="s">
        <v>2042</v>
      </c>
      <c r="Y297" s="185" t="s">
        <v>2042</v>
      </c>
      <c r="Z297" s="185" t="s">
        <v>2042</v>
      </c>
      <c r="AA297" s="185" t="s">
        <v>2042</v>
      </c>
      <c r="AB297" s="185" t="s">
        <v>2042</v>
      </c>
      <c r="AC297" s="185" t="s">
        <v>2042</v>
      </c>
      <c r="AD297" s="185" t="s">
        <v>2042</v>
      </c>
      <c r="AE297" s="185" t="s">
        <v>2042</v>
      </c>
      <c r="AF297" s="185" t="s">
        <v>2042</v>
      </c>
      <c r="AG297" s="185" t="s">
        <v>2042</v>
      </c>
      <c r="AH297" s="185" t="s">
        <v>2042</v>
      </c>
      <c r="AI297" s="185" t="s">
        <v>2042</v>
      </c>
      <c r="AJ297" s="185" t="s">
        <v>2042</v>
      </c>
      <c r="AK297" s="185" t="s">
        <v>2042</v>
      </c>
      <c r="AL297" s="185" t="s">
        <v>2042</v>
      </c>
      <c r="AM297" s="185" t="s">
        <v>2042</v>
      </c>
      <c r="AN297" s="185" t="s">
        <v>2042</v>
      </c>
      <c r="AO297" s="185" t="s">
        <v>2042</v>
      </c>
      <c r="AP297" s="185" t="s">
        <v>2042</v>
      </c>
      <c r="AQ297" s="175"/>
    </row>
    <row r="298" spans="1:43" ht="14.5">
      <c r="A298" s="169"/>
      <c r="B298" s="170"/>
      <c r="C298" s="176"/>
      <c r="D298" s="177"/>
      <c r="E298" s="178">
        <v>1</v>
      </c>
      <c r="F298" s="179"/>
      <c r="G298" s="186" t="e">
        <f>IF(C298="","",SUMIFS(MRP!$D$5:$D1000,MRP!$B$5:$B1000,C298))*E298</f>
        <v>#VALUE!</v>
      </c>
      <c r="H298" s="181" t="s">
        <v>2041</v>
      </c>
      <c r="I298" s="182">
        <v>0</v>
      </c>
      <c r="J298" s="183" t="s">
        <v>2042</v>
      </c>
      <c r="K298" s="184" t="s">
        <v>2042</v>
      </c>
      <c r="L298" s="184" t="s">
        <v>2042</v>
      </c>
      <c r="M298" s="184" t="s">
        <v>2042</v>
      </c>
      <c r="N298" s="184" t="s">
        <v>2042</v>
      </c>
      <c r="O298" s="184" t="s">
        <v>2042</v>
      </c>
      <c r="P298" s="184" t="s">
        <v>2042</v>
      </c>
      <c r="Q298" s="184" t="s">
        <v>2042</v>
      </c>
      <c r="R298" s="184" t="s">
        <v>2042</v>
      </c>
      <c r="S298" s="184" t="s">
        <v>2042</v>
      </c>
      <c r="T298" s="184" t="s">
        <v>2042</v>
      </c>
      <c r="U298" s="184" t="s">
        <v>2042</v>
      </c>
      <c r="V298" s="184" t="s">
        <v>2042</v>
      </c>
      <c r="W298" s="184" t="s">
        <v>2042</v>
      </c>
      <c r="X298" s="184" t="s">
        <v>2042</v>
      </c>
      <c r="Y298" s="184" t="s">
        <v>2042</v>
      </c>
      <c r="Z298" s="184" t="s">
        <v>2042</v>
      </c>
      <c r="AA298" s="184" t="s">
        <v>2042</v>
      </c>
      <c r="AB298" s="184" t="s">
        <v>2042</v>
      </c>
      <c r="AC298" s="184" t="s">
        <v>2042</v>
      </c>
      <c r="AD298" s="184" t="s">
        <v>2042</v>
      </c>
      <c r="AE298" s="184" t="s">
        <v>2042</v>
      </c>
      <c r="AF298" s="184" t="s">
        <v>2042</v>
      </c>
      <c r="AG298" s="184" t="s">
        <v>2042</v>
      </c>
      <c r="AH298" s="184" t="s">
        <v>2042</v>
      </c>
      <c r="AI298" s="184" t="s">
        <v>2042</v>
      </c>
      <c r="AJ298" s="184" t="s">
        <v>2042</v>
      </c>
      <c r="AK298" s="184" t="s">
        <v>2042</v>
      </c>
      <c r="AL298" s="184" t="s">
        <v>2042</v>
      </c>
      <c r="AM298" s="184" t="s">
        <v>2042</v>
      </c>
      <c r="AN298" s="184" t="s">
        <v>2042</v>
      </c>
      <c r="AO298" s="184" t="s">
        <v>2042</v>
      </c>
      <c r="AP298" s="184" t="s">
        <v>2042</v>
      </c>
      <c r="AQ298" s="175"/>
    </row>
    <row r="299" spans="1:43" ht="14.5">
      <c r="A299" s="169"/>
      <c r="B299" s="170"/>
      <c r="C299" s="176"/>
      <c r="D299" s="177"/>
      <c r="E299" s="178">
        <v>1</v>
      </c>
      <c r="F299" s="179"/>
      <c r="G299" s="186" t="e">
        <f>IF(C299="","",SUMIFS(MRP!$D$5:$D1000,MRP!$B$5:$B1000,C299))*E299</f>
        <v>#VALUE!</v>
      </c>
      <c r="H299" s="181" t="s">
        <v>2041</v>
      </c>
      <c r="I299" s="182">
        <v>0</v>
      </c>
      <c r="J299" s="183" t="s">
        <v>2042</v>
      </c>
      <c r="K299" s="184" t="s">
        <v>2042</v>
      </c>
      <c r="L299" s="184" t="s">
        <v>2042</v>
      </c>
      <c r="M299" s="184" t="s">
        <v>2042</v>
      </c>
      <c r="N299" s="184" t="s">
        <v>2042</v>
      </c>
      <c r="O299" s="184" t="s">
        <v>2042</v>
      </c>
      <c r="P299" s="185" t="s">
        <v>2042</v>
      </c>
      <c r="Q299" s="184" t="s">
        <v>2042</v>
      </c>
      <c r="R299" s="184" t="s">
        <v>2042</v>
      </c>
      <c r="S299" s="184" t="s">
        <v>2042</v>
      </c>
      <c r="T299" s="184" t="s">
        <v>2042</v>
      </c>
      <c r="U299" s="184" t="s">
        <v>2042</v>
      </c>
      <c r="V299" s="184" t="s">
        <v>2042</v>
      </c>
      <c r="W299" s="184" t="s">
        <v>2042</v>
      </c>
      <c r="X299" s="184" t="s">
        <v>2042</v>
      </c>
      <c r="Y299" s="184" t="s">
        <v>2042</v>
      </c>
      <c r="Z299" s="184" t="s">
        <v>2042</v>
      </c>
      <c r="AA299" s="184" t="s">
        <v>2042</v>
      </c>
      <c r="AB299" s="184" t="s">
        <v>2042</v>
      </c>
      <c r="AC299" s="184" t="s">
        <v>2042</v>
      </c>
      <c r="AD299" s="184" t="s">
        <v>2042</v>
      </c>
      <c r="AE299" s="184" t="s">
        <v>2042</v>
      </c>
      <c r="AF299" s="184" t="s">
        <v>2042</v>
      </c>
      <c r="AG299" s="184" t="s">
        <v>2042</v>
      </c>
      <c r="AH299" s="184" t="s">
        <v>2042</v>
      </c>
      <c r="AI299" s="184" t="s">
        <v>2042</v>
      </c>
      <c r="AJ299" s="184" t="s">
        <v>2042</v>
      </c>
      <c r="AK299" s="184" t="s">
        <v>2042</v>
      </c>
      <c r="AL299" s="184" t="s">
        <v>2042</v>
      </c>
      <c r="AM299" s="184" t="s">
        <v>2042</v>
      </c>
      <c r="AN299" s="184" t="s">
        <v>2042</v>
      </c>
      <c r="AO299" s="184" t="s">
        <v>2042</v>
      </c>
      <c r="AP299" s="184" t="s">
        <v>2042</v>
      </c>
      <c r="AQ299" s="175"/>
    </row>
    <row r="300" spans="1:43" ht="14.5">
      <c r="A300" s="169"/>
      <c r="B300" s="170"/>
      <c r="C300" s="176"/>
      <c r="D300" s="177"/>
      <c r="E300" s="178">
        <v>1</v>
      </c>
      <c r="F300" s="179"/>
      <c r="G300" s="186" t="e">
        <f>IF(C300="","",SUMIFS(MRP!$D$5:$D1000,MRP!$B$5:$B1000,C300))*E300</f>
        <v>#VALUE!</v>
      </c>
      <c r="H300" s="181" t="s">
        <v>2041</v>
      </c>
      <c r="I300" s="182">
        <v>0</v>
      </c>
      <c r="J300" s="183" t="s">
        <v>2042</v>
      </c>
      <c r="K300" s="184" t="s">
        <v>2042</v>
      </c>
      <c r="L300" s="184" t="s">
        <v>2042</v>
      </c>
      <c r="M300" s="184" t="s">
        <v>2042</v>
      </c>
      <c r="N300" s="184" t="s">
        <v>2042</v>
      </c>
      <c r="O300" s="184" t="s">
        <v>2042</v>
      </c>
      <c r="P300" s="184" t="s">
        <v>2042</v>
      </c>
      <c r="Q300" s="184" t="s">
        <v>2042</v>
      </c>
      <c r="R300" s="184" t="s">
        <v>2042</v>
      </c>
      <c r="S300" s="184" t="s">
        <v>2042</v>
      </c>
      <c r="T300" s="184" t="s">
        <v>2042</v>
      </c>
      <c r="U300" s="184" t="s">
        <v>2042</v>
      </c>
      <c r="V300" s="184" t="s">
        <v>2042</v>
      </c>
      <c r="W300" s="184" t="s">
        <v>2042</v>
      </c>
      <c r="X300" s="184" t="s">
        <v>2042</v>
      </c>
      <c r="Y300" s="184" t="s">
        <v>2042</v>
      </c>
      <c r="Z300" s="184" t="s">
        <v>2042</v>
      </c>
      <c r="AA300" s="184" t="s">
        <v>2042</v>
      </c>
      <c r="AB300" s="184" t="s">
        <v>2042</v>
      </c>
      <c r="AC300" s="184" t="s">
        <v>2042</v>
      </c>
      <c r="AD300" s="184" t="s">
        <v>2042</v>
      </c>
      <c r="AE300" s="184" t="s">
        <v>2042</v>
      </c>
      <c r="AF300" s="184" t="s">
        <v>2042</v>
      </c>
      <c r="AG300" s="184" t="s">
        <v>2042</v>
      </c>
      <c r="AH300" s="184" t="s">
        <v>2042</v>
      </c>
      <c r="AI300" s="184" t="s">
        <v>2042</v>
      </c>
      <c r="AJ300" s="184" t="s">
        <v>2042</v>
      </c>
      <c r="AK300" s="184" t="s">
        <v>2042</v>
      </c>
      <c r="AL300" s="184" t="s">
        <v>2042</v>
      </c>
      <c r="AM300" s="184" t="s">
        <v>2042</v>
      </c>
      <c r="AN300" s="184" t="s">
        <v>2042</v>
      </c>
      <c r="AO300" s="184" t="s">
        <v>2042</v>
      </c>
      <c r="AP300" s="184" t="s">
        <v>2042</v>
      </c>
      <c r="AQ300" s="175"/>
    </row>
    <row r="301" spans="1:43" ht="14.5">
      <c r="A301" s="169"/>
      <c r="B301" s="170"/>
      <c r="C301" s="176"/>
      <c r="D301" s="177"/>
      <c r="E301" s="178">
        <v>1</v>
      </c>
      <c r="F301" s="179"/>
      <c r="G301" s="186" t="e">
        <f>IF(C301="","",SUMIFS(MRP!$D$5:$D1000,MRP!$B$5:$B1000,C301))*E301</f>
        <v>#VALUE!</v>
      </c>
      <c r="H301" s="181" t="s">
        <v>2041</v>
      </c>
      <c r="I301" s="182">
        <v>0</v>
      </c>
      <c r="J301" s="183" t="s">
        <v>2042</v>
      </c>
      <c r="K301" s="184" t="s">
        <v>2042</v>
      </c>
      <c r="L301" s="184" t="s">
        <v>2042</v>
      </c>
      <c r="M301" s="184" t="s">
        <v>2042</v>
      </c>
      <c r="N301" s="184" t="s">
        <v>2042</v>
      </c>
      <c r="O301" s="185" t="s">
        <v>2042</v>
      </c>
      <c r="P301" s="185" t="s">
        <v>2042</v>
      </c>
      <c r="Q301" s="185" t="s">
        <v>2042</v>
      </c>
      <c r="R301" s="184" t="s">
        <v>2042</v>
      </c>
      <c r="S301" s="184" t="s">
        <v>2042</v>
      </c>
      <c r="T301" s="184" t="s">
        <v>2042</v>
      </c>
      <c r="U301" s="184" t="s">
        <v>2042</v>
      </c>
      <c r="V301" s="184" t="s">
        <v>2042</v>
      </c>
      <c r="W301" s="185" t="s">
        <v>2042</v>
      </c>
      <c r="X301" s="185" t="s">
        <v>2042</v>
      </c>
      <c r="Y301" s="184" t="s">
        <v>2042</v>
      </c>
      <c r="Z301" s="184" t="s">
        <v>2042</v>
      </c>
      <c r="AA301" s="184" t="s">
        <v>2042</v>
      </c>
      <c r="AB301" s="184" t="s">
        <v>2042</v>
      </c>
      <c r="AC301" s="184" t="s">
        <v>2042</v>
      </c>
      <c r="AD301" s="184" t="s">
        <v>2042</v>
      </c>
      <c r="AE301" s="184" t="s">
        <v>2042</v>
      </c>
      <c r="AF301" s="184" t="s">
        <v>2042</v>
      </c>
      <c r="AG301" s="184" t="s">
        <v>2042</v>
      </c>
      <c r="AH301" s="184" t="s">
        <v>2042</v>
      </c>
      <c r="AI301" s="184" t="s">
        <v>2042</v>
      </c>
      <c r="AJ301" s="184" t="s">
        <v>2042</v>
      </c>
      <c r="AK301" s="184" t="s">
        <v>2042</v>
      </c>
      <c r="AL301" s="184" t="s">
        <v>2042</v>
      </c>
      <c r="AM301" s="184" t="s">
        <v>2042</v>
      </c>
      <c r="AN301" s="184" t="s">
        <v>2042</v>
      </c>
      <c r="AO301" s="184" t="s">
        <v>2042</v>
      </c>
      <c r="AP301" s="184" t="s">
        <v>2042</v>
      </c>
      <c r="AQ301" s="175"/>
    </row>
    <row r="302" spans="1:43" ht="14.5">
      <c r="A302" s="169"/>
      <c r="B302" s="170"/>
      <c r="C302" s="176"/>
      <c r="D302" s="177"/>
      <c r="E302" s="178">
        <v>1</v>
      </c>
      <c r="F302" s="179"/>
      <c r="G302" s="186" t="e">
        <f>IF(C302="","",SUMIFS(MRP!$D$5:$D1000,MRP!$B$5:$B1000,C302))*E302</f>
        <v>#VALUE!</v>
      </c>
      <c r="H302" s="181" t="s">
        <v>2041</v>
      </c>
      <c r="I302" s="182">
        <v>0</v>
      </c>
      <c r="J302" s="183" t="s">
        <v>2042</v>
      </c>
      <c r="K302" s="184" t="s">
        <v>2042</v>
      </c>
      <c r="L302" s="184" t="s">
        <v>2042</v>
      </c>
      <c r="M302" s="184" t="s">
        <v>2042</v>
      </c>
      <c r="N302" s="184" t="s">
        <v>2042</v>
      </c>
      <c r="O302" s="184" t="s">
        <v>2042</v>
      </c>
      <c r="P302" s="184" t="s">
        <v>2042</v>
      </c>
      <c r="Q302" s="184" t="s">
        <v>2042</v>
      </c>
      <c r="R302" s="184" t="s">
        <v>2042</v>
      </c>
      <c r="S302" s="184" t="s">
        <v>2042</v>
      </c>
      <c r="T302" s="184" t="s">
        <v>2042</v>
      </c>
      <c r="U302" s="184" t="s">
        <v>2042</v>
      </c>
      <c r="V302" s="184" t="s">
        <v>2042</v>
      </c>
      <c r="W302" s="184" t="s">
        <v>2042</v>
      </c>
      <c r="X302" s="184" t="s">
        <v>2042</v>
      </c>
      <c r="Y302" s="184" t="s">
        <v>2042</v>
      </c>
      <c r="Z302" s="184" t="s">
        <v>2042</v>
      </c>
      <c r="AA302" s="184" t="s">
        <v>2042</v>
      </c>
      <c r="AB302" s="184" t="s">
        <v>2042</v>
      </c>
      <c r="AC302" s="184" t="s">
        <v>2042</v>
      </c>
      <c r="AD302" s="184" t="s">
        <v>2042</v>
      </c>
      <c r="AE302" s="184" t="s">
        <v>2042</v>
      </c>
      <c r="AF302" s="184" t="s">
        <v>2042</v>
      </c>
      <c r="AG302" s="184" t="s">
        <v>2042</v>
      </c>
      <c r="AH302" s="184" t="s">
        <v>2042</v>
      </c>
      <c r="AI302" s="184" t="s">
        <v>2042</v>
      </c>
      <c r="AJ302" s="184" t="s">
        <v>2042</v>
      </c>
      <c r="AK302" s="184" t="s">
        <v>2042</v>
      </c>
      <c r="AL302" s="184" t="s">
        <v>2042</v>
      </c>
      <c r="AM302" s="184" t="s">
        <v>2042</v>
      </c>
      <c r="AN302" s="184" t="s">
        <v>2042</v>
      </c>
      <c r="AO302" s="184" t="s">
        <v>2042</v>
      </c>
      <c r="AP302" s="184" t="s">
        <v>2042</v>
      </c>
      <c r="AQ302" s="175"/>
    </row>
    <row r="303" spans="1:43" ht="14.5">
      <c r="A303" s="169"/>
      <c r="B303" s="170"/>
      <c r="C303" s="176"/>
      <c r="D303" s="177"/>
      <c r="E303" s="178">
        <v>1</v>
      </c>
      <c r="F303" s="179"/>
      <c r="G303" s="186" t="e">
        <f>IF(C303="","",SUMIFS(MRP!$D$5:$D1000,MRP!$B$5:$B1000,C303))*E303</f>
        <v>#VALUE!</v>
      </c>
      <c r="H303" s="181" t="s">
        <v>2041</v>
      </c>
      <c r="I303" s="182">
        <v>0</v>
      </c>
      <c r="J303" s="183" t="s">
        <v>2042</v>
      </c>
      <c r="K303" s="188" t="s">
        <v>2042</v>
      </c>
      <c r="L303" s="189" t="s">
        <v>2042</v>
      </c>
      <c r="M303" s="189" t="s">
        <v>2042</v>
      </c>
      <c r="N303" s="189" t="s">
        <v>2042</v>
      </c>
      <c r="O303" s="189" t="s">
        <v>2042</v>
      </c>
      <c r="P303" s="187" t="s">
        <v>2042</v>
      </c>
      <c r="Q303" s="188" t="s">
        <v>2042</v>
      </c>
      <c r="R303" s="188" t="s">
        <v>2042</v>
      </c>
      <c r="S303" s="189" t="s">
        <v>2042</v>
      </c>
      <c r="T303" s="189" t="s">
        <v>2042</v>
      </c>
      <c r="U303" s="189" t="s">
        <v>2042</v>
      </c>
      <c r="V303" s="189" t="s">
        <v>2042</v>
      </c>
      <c r="W303" s="189" t="s">
        <v>2042</v>
      </c>
      <c r="X303" s="187" t="s">
        <v>2042</v>
      </c>
      <c r="Y303" s="188" t="s">
        <v>2042</v>
      </c>
      <c r="Z303" s="188" t="s">
        <v>2042</v>
      </c>
      <c r="AA303" s="188" t="s">
        <v>2042</v>
      </c>
      <c r="AB303" s="188" t="s">
        <v>2042</v>
      </c>
      <c r="AC303" s="188" t="s">
        <v>2042</v>
      </c>
      <c r="AD303" s="189" t="s">
        <v>2042</v>
      </c>
      <c r="AE303" s="189" t="s">
        <v>2042</v>
      </c>
      <c r="AF303" s="189" t="s">
        <v>2042</v>
      </c>
      <c r="AG303" s="189" t="s">
        <v>2042</v>
      </c>
      <c r="AH303" s="189" t="s">
        <v>2042</v>
      </c>
      <c r="AI303" s="187" t="s">
        <v>2042</v>
      </c>
      <c r="AJ303" s="187" t="s">
        <v>2042</v>
      </c>
      <c r="AK303" s="187" t="s">
        <v>2042</v>
      </c>
      <c r="AL303" s="187" t="s">
        <v>2042</v>
      </c>
      <c r="AM303" s="187" t="s">
        <v>2042</v>
      </c>
      <c r="AN303" s="188" t="s">
        <v>2042</v>
      </c>
      <c r="AO303" s="188" t="s">
        <v>2042</v>
      </c>
      <c r="AP303" s="188" t="s">
        <v>2042</v>
      </c>
      <c r="AQ303" s="175"/>
    </row>
    <row r="304" spans="1:43" ht="14.5">
      <c r="A304" s="169"/>
      <c r="B304" s="170"/>
      <c r="C304" s="176"/>
      <c r="D304" s="177"/>
      <c r="E304" s="178">
        <v>1</v>
      </c>
      <c r="F304" s="179"/>
      <c r="G304" s="186" t="e">
        <f>IF(C304="","",SUMIFS(MRP!$D$5:$D1000,MRP!$B$5:$B1000,C304))*E304</f>
        <v>#VALUE!</v>
      </c>
      <c r="H304" s="181" t="s">
        <v>2041</v>
      </c>
      <c r="I304" s="182">
        <v>0</v>
      </c>
      <c r="J304" s="183" t="s">
        <v>2042</v>
      </c>
      <c r="K304" s="184" t="s">
        <v>2042</v>
      </c>
      <c r="L304" s="184" t="s">
        <v>2042</v>
      </c>
      <c r="M304" s="184" t="s">
        <v>2042</v>
      </c>
      <c r="N304" s="184" t="s">
        <v>2042</v>
      </c>
      <c r="O304" s="184" t="s">
        <v>2042</v>
      </c>
      <c r="P304" s="184" t="s">
        <v>2042</v>
      </c>
      <c r="Q304" s="184" t="s">
        <v>2042</v>
      </c>
      <c r="R304" s="184" t="s">
        <v>2042</v>
      </c>
      <c r="S304" s="184" t="s">
        <v>2042</v>
      </c>
      <c r="T304" s="184" t="s">
        <v>2042</v>
      </c>
      <c r="U304" s="184" t="s">
        <v>2042</v>
      </c>
      <c r="V304" s="184" t="s">
        <v>2042</v>
      </c>
      <c r="W304" s="184" t="s">
        <v>2042</v>
      </c>
      <c r="X304" s="184" t="s">
        <v>2042</v>
      </c>
      <c r="Y304" s="184" t="s">
        <v>2042</v>
      </c>
      <c r="Z304" s="184" t="s">
        <v>2042</v>
      </c>
      <c r="AA304" s="184" t="s">
        <v>2042</v>
      </c>
      <c r="AB304" s="184" t="s">
        <v>2042</v>
      </c>
      <c r="AC304" s="184" t="s">
        <v>2042</v>
      </c>
      <c r="AD304" s="184" t="s">
        <v>2042</v>
      </c>
      <c r="AE304" s="184" t="s">
        <v>2042</v>
      </c>
      <c r="AF304" s="184" t="s">
        <v>2042</v>
      </c>
      <c r="AG304" s="184" t="s">
        <v>2042</v>
      </c>
      <c r="AH304" s="184" t="s">
        <v>2042</v>
      </c>
      <c r="AI304" s="184" t="s">
        <v>2042</v>
      </c>
      <c r="AJ304" s="184" t="s">
        <v>2042</v>
      </c>
      <c r="AK304" s="184" t="s">
        <v>2042</v>
      </c>
      <c r="AL304" s="184" t="s">
        <v>2042</v>
      </c>
      <c r="AM304" s="184" t="s">
        <v>2042</v>
      </c>
      <c r="AN304" s="184" t="s">
        <v>2042</v>
      </c>
      <c r="AO304" s="184" t="s">
        <v>2042</v>
      </c>
      <c r="AP304" s="184" t="s">
        <v>2042</v>
      </c>
      <c r="AQ304" s="175"/>
    </row>
    <row r="305" spans="1:43" ht="14.5">
      <c r="A305" s="169"/>
      <c r="B305" s="170"/>
      <c r="C305" s="176"/>
      <c r="D305" s="177"/>
      <c r="E305" s="178">
        <v>1</v>
      </c>
      <c r="F305" s="179"/>
      <c r="G305" s="186" t="e">
        <f>IF(C305="","",SUMIFS(MRP!$D$5:$D1000,MRP!$B$5:$B1000,C305))*E305</f>
        <v>#VALUE!</v>
      </c>
      <c r="H305" s="181" t="s">
        <v>2041</v>
      </c>
      <c r="I305" s="182">
        <v>0</v>
      </c>
      <c r="J305" s="183" t="s">
        <v>2042</v>
      </c>
      <c r="K305" s="184" t="s">
        <v>2042</v>
      </c>
      <c r="L305" s="184" t="s">
        <v>2042</v>
      </c>
      <c r="M305" s="184" t="s">
        <v>2042</v>
      </c>
      <c r="N305" s="184" t="s">
        <v>2042</v>
      </c>
      <c r="O305" s="184" t="s">
        <v>2042</v>
      </c>
      <c r="P305" s="184" t="s">
        <v>2042</v>
      </c>
      <c r="Q305" s="184" t="s">
        <v>2042</v>
      </c>
      <c r="R305" s="184" t="s">
        <v>2042</v>
      </c>
      <c r="S305" s="184" t="s">
        <v>2042</v>
      </c>
      <c r="T305" s="184" t="s">
        <v>2042</v>
      </c>
      <c r="U305" s="184" t="s">
        <v>2042</v>
      </c>
      <c r="V305" s="184" t="s">
        <v>2042</v>
      </c>
      <c r="W305" s="184" t="s">
        <v>2042</v>
      </c>
      <c r="X305" s="184" t="s">
        <v>2042</v>
      </c>
      <c r="Y305" s="184" t="s">
        <v>2042</v>
      </c>
      <c r="Z305" s="184" t="s">
        <v>2042</v>
      </c>
      <c r="AA305" s="184" t="s">
        <v>2042</v>
      </c>
      <c r="AB305" s="184" t="s">
        <v>2042</v>
      </c>
      <c r="AC305" s="184" t="s">
        <v>2042</v>
      </c>
      <c r="AD305" s="184" t="s">
        <v>2042</v>
      </c>
      <c r="AE305" s="184" t="s">
        <v>2042</v>
      </c>
      <c r="AF305" s="184" t="s">
        <v>2042</v>
      </c>
      <c r="AG305" s="184" t="s">
        <v>2042</v>
      </c>
      <c r="AH305" s="184" t="s">
        <v>2042</v>
      </c>
      <c r="AI305" s="184" t="s">
        <v>2042</v>
      </c>
      <c r="AJ305" s="184" t="s">
        <v>2042</v>
      </c>
      <c r="AK305" s="184" t="s">
        <v>2042</v>
      </c>
      <c r="AL305" s="184" t="s">
        <v>2042</v>
      </c>
      <c r="AM305" s="184" t="s">
        <v>2042</v>
      </c>
      <c r="AN305" s="184" t="s">
        <v>2042</v>
      </c>
      <c r="AO305" s="184" t="s">
        <v>2042</v>
      </c>
      <c r="AP305" s="184" t="s">
        <v>2042</v>
      </c>
      <c r="AQ305" s="175"/>
    </row>
    <row r="306" spans="1:43" ht="14.5">
      <c r="A306" s="169"/>
      <c r="B306" s="170"/>
      <c r="C306" s="176"/>
      <c r="D306" s="177"/>
      <c r="E306" s="178">
        <v>1</v>
      </c>
      <c r="F306" s="179"/>
      <c r="G306" s="186" t="e">
        <f>IF(C306="","",SUMIFS(MRP!$D$5:$D1000,MRP!$B$5:$B1000,C306))*E306</f>
        <v>#VALUE!</v>
      </c>
      <c r="H306" s="181" t="s">
        <v>2041</v>
      </c>
      <c r="I306" s="182">
        <v>0</v>
      </c>
      <c r="J306" s="183" t="s">
        <v>2042</v>
      </c>
      <c r="K306" s="184" t="s">
        <v>2042</v>
      </c>
      <c r="L306" s="184" t="s">
        <v>2042</v>
      </c>
      <c r="M306" s="184" t="s">
        <v>2042</v>
      </c>
      <c r="N306" s="184" t="s">
        <v>2042</v>
      </c>
      <c r="O306" s="184" t="s">
        <v>2042</v>
      </c>
      <c r="P306" s="184" t="s">
        <v>2042</v>
      </c>
      <c r="Q306" s="184" t="s">
        <v>2042</v>
      </c>
      <c r="R306" s="184" t="s">
        <v>2042</v>
      </c>
      <c r="S306" s="184" t="s">
        <v>2042</v>
      </c>
      <c r="T306" s="184" t="s">
        <v>2042</v>
      </c>
      <c r="U306" s="184" t="s">
        <v>2042</v>
      </c>
      <c r="V306" s="184" t="s">
        <v>2042</v>
      </c>
      <c r="W306" s="184" t="s">
        <v>2042</v>
      </c>
      <c r="X306" s="184" t="s">
        <v>2042</v>
      </c>
      <c r="Y306" s="184" t="s">
        <v>2042</v>
      </c>
      <c r="Z306" s="184" t="s">
        <v>2042</v>
      </c>
      <c r="AA306" s="184" t="s">
        <v>2042</v>
      </c>
      <c r="AB306" s="184" t="s">
        <v>2042</v>
      </c>
      <c r="AC306" s="184" t="s">
        <v>2042</v>
      </c>
      <c r="AD306" s="184" t="s">
        <v>2042</v>
      </c>
      <c r="AE306" s="184" t="s">
        <v>2042</v>
      </c>
      <c r="AF306" s="184" t="s">
        <v>2042</v>
      </c>
      <c r="AG306" s="184" t="s">
        <v>2042</v>
      </c>
      <c r="AH306" s="184" t="s">
        <v>2042</v>
      </c>
      <c r="AI306" s="184" t="s">
        <v>2042</v>
      </c>
      <c r="AJ306" s="184" t="s">
        <v>2042</v>
      </c>
      <c r="AK306" s="184" t="s">
        <v>2042</v>
      </c>
      <c r="AL306" s="184" t="s">
        <v>2042</v>
      </c>
      <c r="AM306" s="184" t="s">
        <v>2042</v>
      </c>
      <c r="AN306" s="184" t="s">
        <v>2042</v>
      </c>
      <c r="AO306" s="184" t="s">
        <v>2042</v>
      </c>
      <c r="AP306" s="184" t="s">
        <v>2042</v>
      </c>
      <c r="AQ306" s="175"/>
    </row>
    <row r="307" spans="1:43" ht="14.5">
      <c r="A307" s="169"/>
      <c r="B307" s="170"/>
      <c r="C307" s="176"/>
      <c r="D307" s="177"/>
      <c r="E307" s="178">
        <v>1</v>
      </c>
      <c r="F307" s="179"/>
      <c r="G307" s="186" t="e">
        <f>IF(C307="","",SUMIFS(MRP!$D$5:$D1000,MRP!$B$5:$B1000,C307))*E307</f>
        <v>#VALUE!</v>
      </c>
      <c r="H307" s="181" t="s">
        <v>2041</v>
      </c>
      <c r="I307" s="182">
        <v>0</v>
      </c>
      <c r="J307" s="183" t="s">
        <v>2042</v>
      </c>
      <c r="K307" s="184" t="s">
        <v>2042</v>
      </c>
      <c r="L307" s="184" t="s">
        <v>2042</v>
      </c>
      <c r="M307" s="184" t="s">
        <v>2042</v>
      </c>
      <c r="N307" s="184" t="s">
        <v>2042</v>
      </c>
      <c r="O307" s="184" t="s">
        <v>2042</v>
      </c>
      <c r="P307" s="184" t="s">
        <v>2042</v>
      </c>
      <c r="Q307" s="184" t="s">
        <v>2042</v>
      </c>
      <c r="R307" s="184" t="s">
        <v>2042</v>
      </c>
      <c r="S307" s="184" t="s">
        <v>2042</v>
      </c>
      <c r="T307" s="184" t="s">
        <v>2042</v>
      </c>
      <c r="U307" s="184" t="s">
        <v>2042</v>
      </c>
      <c r="V307" s="184" t="s">
        <v>2042</v>
      </c>
      <c r="W307" s="184" t="s">
        <v>2042</v>
      </c>
      <c r="X307" s="184" t="s">
        <v>2042</v>
      </c>
      <c r="Y307" s="184" t="s">
        <v>2042</v>
      </c>
      <c r="Z307" s="184" t="s">
        <v>2042</v>
      </c>
      <c r="AA307" s="184" t="s">
        <v>2042</v>
      </c>
      <c r="AB307" s="184" t="s">
        <v>2042</v>
      </c>
      <c r="AC307" s="184" t="s">
        <v>2042</v>
      </c>
      <c r="AD307" s="185" t="s">
        <v>2042</v>
      </c>
      <c r="AE307" s="185" t="s">
        <v>2042</v>
      </c>
      <c r="AF307" s="185" t="s">
        <v>2042</v>
      </c>
      <c r="AG307" s="185" t="s">
        <v>2042</v>
      </c>
      <c r="AH307" s="185" t="s">
        <v>2042</v>
      </c>
      <c r="AI307" s="185" t="s">
        <v>2042</v>
      </c>
      <c r="AJ307" s="185" t="s">
        <v>2042</v>
      </c>
      <c r="AK307" s="185" t="s">
        <v>2042</v>
      </c>
      <c r="AL307" s="185" t="s">
        <v>2042</v>
      </c>
      <c r="AM307" s="185" t="s">
        <v>2042</v>
      </c>
      <c r="AN307" s="185" t="s">
        <v>2042</v>
      </c>
      <c r="AO307" s="185" t="s">
        <v>2042</v>
      </c>
      <c r="AP307" s="185" t="s">
        <v>2042</v>
      </c>
      <c r="AQ307" s="175"/>
    </row>
    <row r="308" spans="1:43" ht="14.5">
      <c r="A308" s="169"/>
      <c r="B308" s="170"/>
      <c r="C308" s="176"/>
      <c r="D308" s="177"/>
      <c r="E308" s="178">
        <v>1</v>
      </c>
      <c r="F308" s="179"/>
      <c r="G308" s="186" t="e">
        <f>IF(C308="","",SUMIFS(MRP!$D$5:$D1000,MRP!$B$5:$B1000,C308))*E308</f>
        <v>#VALUE!</v>
      </c>
      <c r="H308" s="181" t="s">
        <v>2041</v>
      </c>
      <c r="I308" s="182">
        <v>0</v>
      </c>
      <c r="J308" s="183" t="s">
        <v>2042</v>
      </c>
      <c r="K308" s="184" t="s">
        <v>2042</v>
      </c>
      <c r="L308" s="184" t="s">
        <v>2042</v>
      </c>
      <c r="M308" s="184" t="s">
        <v>2042</v>
      </c>
      <c r="N308" s="184" t="s">
        <v>2042</v>
      </c>
      <c r="O308" s="184" t="s">
        <v>2042</v>
      </c>
      <c r="P308" s="184" t="s">
        <v>2042</v>
      </c>
      <c r="Q308" s="184" t="s">
        <v>2042</v>
      </c>
      <c r="R308" s="184" t="s">
        <v>2042</v>
      </c>
      <c r="S308" s="184" t="s">
        <v>2042</v>
      </c>
      <c r="T308" s="184" t="s">
        <v>2042</v>
      </c>
      <c r="U308" s="184" t="s">
        <v>2042</v>
      </c>
      <c r="V308" s="184" t="s">
        <v>2042</v>
      </c>
      <c r="W308" s="184" t="s">
        <v>2042</v>
      </c>
      <c r="X308" s="184" t="s">
        <v>2042</v>
      </c>
      <c r="Y308" s="184" t="s">
        <v>2042</v>
      </c>
      <c r="Z308" s="184" t="s">
        <v>2042</v>
      </c>
      <c r="AA308" s="184" t="s">
        <v>2042</v>
      </c>
      <c r="AB308" s="184" t="s">
        <v>2042</v>
      </c>
      <c r="AC308" s="184" t="s">
        <v>2042</v>
      </c>
      <c r="AD308" s="184" t="s">
        <v>2042</v>
      </c>
      <c r="AE308" s="184" t="s">
        <v>2042</v>
      </c>
      <c r="AF308" s="184" t="s">
        <v>2042</v>
      </c>
      <c r="AG308" s="184" t="s">
        <v>2042</v>
      </c>
      <c r="AH308" s="184" t="s">
        <v>2042</v>
      </c>
      <c r="AI308" s="184" t="s">
        <v>2042</v>
      </c>
      <c r="AJ308" s="184" t="s">
        <v>2042</v>
      </c>
      <c r="AK308" s="184" t="s">
        <v>2042</v>
      </c>
      <c r="AL308" s="184" t="s">
        <v>2042</v>
      </c>
      <c r="AM308" s="184" t="s">
        <v>2042</v>
      </c>
      <c r="AN308" s="184" t="s">
        <v>2042</v>
      </c>
      <c r="AO308" s="184" t="s">
        <v>2042</v>
      </c>
      <c r="AP308" s="184" t="s">
        <v>2042</v>
      </c>
      <c r="AQ308" s="175"/>
    </row>
    <row r="309" spans="1:43" ht="14.5">
      <c r="A309" s="169"/>
      <c r="B309" s="170"/>
      <c r="C309" s="176"/>
      <c r="D309" s="177"/>
      <c r="E309" s="178">
        <v>1</v>
      </c>
      <c r="F309" s="179"/>
      <c r="G309" s="186" t="e">
        <f>IF(C309="","",SUMIFS(MRP!$D$5:$D1000,MRP!$B$5:$B1000,C309))*E309</f>
        <v>#VALUE!</v>
      </c>
      <c r="H309" s="181" t="s">
        <v>2041</v>
      </c>
      <c r="I309" s="182">
        <v>0</v>
      </c>
      <c r="J309" s="183" t="s">
        <v>2042</v>
      </c>
      <c r="K309" s="185" t="s">
        <v>2042</v>
      </c>
      <c r="L309" s="185" t="s">
        <v>2042</v>
      </c>
      <c r="M309" s="185" t="s">
        <v>2042</v>
      </c>
      <c r="N309" s="185" t="s">
        <v>2042</v>
      </c>
      <c r="O309" s="185" t="s">
        <v>2042</v>
      </c>
      <c r="P309" s="185" t="s">
        <v>2042</v>
      </c>
      <c r="Q309" s="185" t="s">
        <v>2042</v>
      </c>
      <c r="R309" s="185" t="s">
        <v>2042</v>
      </c>
      <c r="S309" s="185" t="s">
        <v>2042</v>
      </c>
      <c r="T309" s="185" t="s">
        <v>2042</v>
      </c>
      <c r="U309" s="185" t="s">
        <v>2042</v>
      </c>
      <c r="V309" s="185" t="s">
        <v>2042</v>
      </c>
      <c r="W309" s="185" t="s">
        <v>2042</v>
      </c>
      <c r="X309" s="185" t="s">
        <v>2042</v>
      </c>
      <c r="Y309" s="185" t="s">
        <v>2042</v>
      </c>
      <c r="Z309" s="185" t="s">
        <v>2042</v>
      </c>
      <c r="AA309" s="185" t="s">
        <v>2042</v>
      </c>
      <c r="AB309" s="185" t="s">
        <v>2042</v>
      </c>
      <c r="AC309" s="185" t="s">
        <v>2042</v>
      </c>
      <c r="AD309" s="185" t="s">
        <v>2042</v>
      </c>
      <c r="AE309" s="187" t="s">
        <v>2042</v>
      </c>
      <c r="AF309" s="187" t="s">
        <v>2042</v>
      </c>
      <c r="AG309" s="187" t="s">
        <v>2042</v>
      </c>
      <c r="AH309" s="187" t="s">
        <v>2042</v>
      </c>
      <c r="AI309" s="187" t="s">
        <v>2042</v>
      </c>
      <c r="AJ309" s="187" t="s">
        <v>2042</v>
      </c>
      <c r="AK309" s="187" t="s">
        <v>2042</v>
      </c>
      <c r="AL309" s="187" t="s">
        <v>2042</v>
      </c>
      <c r="AM309" s="187" t="s">
        <v>2042</v>
      </c>
      <c r="AN309" s="187" t="s">
        <v>2042</v>
      </c>
      <c r="AO309" s="187" t="s">
        <v>2042</v>
      </c>
      <c r="AP309" s="187" t="s">
        <v>2042</v>
      </c>
      <c r="AQ309" s="175"/>
    </row>
    <row r="310" spans="1:43" ht="14.5">
      <c r="A310" s="169"/>
      <c r="B310" s="170"/>
      <c r="C310" s="176"/>
      <c r="D310" s="177"/>
      <c r="E310" s="178">
        <v>1</v>
      </c>
      <c r="F310" s="179"/>
      <c r="G310" s="186" t="e">
        <f>IF(C310="","",SUMIFS(MRP!$D$5:$D1000,MRP!$B$5:$B1000,C310))*E310</f>
        <v>#VALUE!</v>
      </c>
      <c r="H310" s="181" t="s">
        <v>2041</v>
      </c>
      <c r="I310" s="182">
        <v>0</v>
      </c>
      <c r="J310" s="183" t="s">
        <v>2042</v>
      </c>
      <c r="K310" s="184" t="s">
        <v>2042</v>
      </c>
      <c r="L310" s="184" t="s">
        <v>2042</v>
      </c>
      <c r="M310" s="184" t="s">
        <v>2042</v>
      </c>
      <c r="N310" s="184" t="s">
        <v>2042</v>
      </c>
      <c r="O310" s="184" t="s">
        <v>2042</v>
      </c>
      <c r="P310" s="184" t="s">
        <v>2042</v>
      </c>
      <c r="Q310" s="184" t="s">
        <v>2042</v>
      </c>
      <c r="R310" s="184" t="s">
        <v>2042</v>
      </c>
      <c r="S310" s="184" t="s">
        <v>2042</v>
      </c>
      <c r="T310" s="184" t="s">
        <v>2042</v>
      </c>
      <c r="U310" s="184" t="s">
        <v>2042</v>
      </c>
      <c r="V310" s="184" t="s">
        <v>2042</v>
      </c>
      <c r="W310" s="184" t="s">
        <v>2042</v>
      </c>
      <c r="X310" s="184" t="s">
        <v>2042</v>
      </c>
      <c r="Y310" s="184" t="s">
        <v>2042</v>
      </c>
      <c r="Z310" s="184" t="s">
        <v>2042</v>
      </c>
      <c r="AA310" s="184" t="s">
        <v>2042</v>
      </c>
      <c r="AB310" s="184" t="s">
        <v>2042</v>
      </c>
      <c r="AC310" s="184" t="s">
        <v>2042</v>
      </c>
      <c r="AD310" s="184" t="s">
        <v>2042</v>
      </c>
      <c r="AE310" s="184" t="s">
        <v>2042</v>
      </c>
      <c r="AF310" s="184" t="s">
        <v>2042</v>
      </c>
      <c r="AG310" s="184" t="s">
        <v>2042</v>
      </c>
      <c r="AH310" s="184" t="s">
        <v>2042</v>
      </c>
      <c r="AI310" s="184" t="s">
        <v>2042</v>
      </c>
      <c r="AJ310" s="184" t="s">
        <v>2042</v>
      </c>
      <c r="AK310" s="184" t="s">
        <v>2042</v>
      </c>
      <c r="AL310" s="184" t="s">
        <v>2042</v>
      </c>
      <c r="AM310" s="184" t="s">
        <v>2042</v>
      </c>
      <c r="AN310" s="184" t="s">
        <v>2042</v>
      </c>
      <c r="AO310" s="184" t="s">
        <v>2042</v>
      </c>
      <c r="AP310" s="184" t="s">
        <v>2042</v>
      </c>
      <c r="AQ310" s="175"/>
    </row>
    <row r="311" spans="1:43" ht="14.5">
      <c r="A311" s="169"/>
      <c r="B311" s="170"/>
      <c r="C311" s="176"/>
      <c r="D311" s="177"/>
      <c r="E311" s="178">
        <v>1</v>
      </c>
      <c r="F311" s="179"/>
      <c r="G311" s="186" t="e">
        <f>IF(C311="","",SUMIFS(MRP!$D$5:$D1000,MRP!$B$5:$B1000,C311))*E311</f>
        <v>#VALUE!</v>
      </c>
      <c r="H311" s="181" t="s">
        <v>2041</v>
      </c>
      <c r="I311" s="182">
        <v>0</v>
      </c>
      <c r="J311" s="183" t="s">
        <v>2042</v>
      </c>
      <c r="K311" s="184" t="s">
        <v>2042</v>
      </c>
      <c r="L311" s="184" t="s">
        <v>2042</v>
      </c>
      <c r="M311" s="184" t="s">
        <v>2042</v>
      </c>
      <c r="N311" s="184" t="s">
        <v>2042</v>
      </c>
      <c r="O311" s="184" t="s">
        <v>2042</v>
      </c>
      <c r="P311" s="184" t="s">
        <v>2042</v>
      </c>
      <c r="Q311" s="184" t="s">
        <v>2042</v>
      </c>
      <c r="R311" s="184" t="s">
        <v>2042</v>
      </c>
      <c r="S311" s="184" t="s">
        <v>2042</v>
      </c>
      <c r="T311" s="184" t="s">
        <v>2042</v>
      </c>
      <c r="U311" s="184" t="s">
        <v>2042</v>
      </c>
      <c r="V311" s="184" t="s">
        <v>2042</v>
      </c>
      <c r="W311" s="184" t="s">
        <v>2042</v>
      </c>
      <c r="X311" s="184" t="s">
        <v>2042</v>
      </c>
      <c r="Y311" s="184" t="s">
        <v>2042</v>
      </c>
      <c r="Z311" s="184" t="s">
        <v>2042</v>
      </c>
      <c r="AA311" s="184" t="s">
        <v>2042</v>
      </c>
      <c r="AB311" s="184" t="s">
        <v>2042</v>
      </c>
      <c r="AC311" s="184" t="s">
        <v>2042</v>
      </c>
      <c r="AD311" s="184" t="s">
        <v>2042</v>
      </c>
      <c r="AE311" s="184" t="s">
        <v>2042</v>
      </c>
      <c r="AF311" s="184" t="s">
        <v>2042</v>
      </c>
      <c r="AG311" s="184" t="s">
        <v>2042</v>
      </c>
      <c r="AH311" s="184" t="s">
        <v>2042</v>
      </c>
      <c r="AI311" s="184" t="s">
        <v>2042</v>
      </c>
      <c r="AJ311" s="184" t="s">
        <v>2042</v>
      </c>
      <c r="AK311" s="184" t="s">
        <v>2042</v>
      </c>
      <c r="AL311" s="184" t="s">
        <v>2042</v>
      </c>
      <c r="AM311" s="184" t="s">
        <v>2042</v>
      </c>
      <c r="AN311" s="184" t="s">
        <v>2042</v>
      </c>
      <c r="AO311" s="184" t="s">
        <v>2042</v>
      </c>
      <c r="AP311" s="184" t="s">
        <v>2042</v>
      </c>
      <c r="AQ311" s="175"/>
    </row>
    <row r="312" spans="1:43" ht="14.5">
      <c r="A312" s="169"/>
      <c r="B312" s="170"/>
      <c r="C312" s="176"/>
      <c r="D312" s="177"/>
      <c r="E312" s="178">
        <v>1</v>
      </c>
      <c r="F312" s="179"/>
      <c r="G312" s="186" t="e">
        <f>IF(C312="","",SUMIFS(MRP!$D$5:$D1000,MRP!$B$5:$B1000,C312))*E312</f>
        <v>#VALUE!</v>
      </c>
      <c r="H312" s="181" t="s">
        <v>2041</v>
      </c>
      <c r="I312" s="182">
        <v>0</v>
      </c>
      <c r="J312" s="183" t="s">
        <v>2042</v>
      </c>
      <c r="K312" s="184" t="s">
        <v>2042</v>
      </c>
      <c r="L312" s="184" t="s">
        <v>2042</v>
      </c>
      <c r="M312" s="184" t="s">
        <v>2042</v>
      </c>
      <c r="N312" s="184" t="s">
        <v>2042</v>
      </c>
      <c r="O312" s="184" t="s">
        <v>2042</v>
      </c>
      <c r="P312" s="184" t="s">
        <v>2042</v>
      </c>
      <c r="Q312" s="184" t="s">
        <v>2042</v>
      </c>
      <c r="R312" s="184" t="s">
        <v>2042</v>
      </c>
      <c r="S312" s="184" t="s">
        <v>2042</v>
      </c>
      <c r="T312" s="184" t="s">
        <v>2042</v>
      </c>
      <c r="U312" s="184" t="s">
        <v>2042</v>
      </c>
      <c r="V312" s="184" t="s">
        <v>2042</v>
      </c>
      <c r="W312" s="184" t="s">
        <v>2042</v>
      </c>
      <c r="X312" s="184" t="s">
        <v>2042</v>
      </c>
      <c r="Y312" s="184" t="s">
        <v>2042</v>
      </c>
      <c r="Z312" s="184" t="s">
        <v>2042</v>
      </c>
      <c r="AA312" s="184" t="s">
        <v>2042</v>
      </c>
      <c r="AB312" s="184" t="s">
        <v>2042</v>
      </c>
      <c r="AC312" s="184" t="s">
        <v>2042</v>
      </c>
      <c r="AD312" s="184" t="s">
        <v>2042</v>
      </c>
      <c r="AE312" s="184" t="s">
        <v>2042</v>
      </c>
      <c r="AF312" s="184" t="s">
        <v>2042</v>
      </c>
      <c r="AG312" s="184" t="s">
        <v>2042</v>
      </c>
      <c r="AH312" s="184" t="s">
        <v>2042</v>
      </c>
      <c r="AI312" s="184" t="s">
        <v>2042</v>
      </c>
      <c r="AJ312" s="184" t="s">
        <v>2042</v>
      </c>
      <c r="AK312" s="184" t="s">
        <v>2042</v>
      </c>
      <c r="AL312" s="184" t="s">
        <v>2042</v>
      </c>
      <c r="AM312" s="184" t="s">
        <v>2042</v>
      </c>
      <c r="AN312" s="184" t="s">
        <v>2042</v>
      </c>
      <c r="AO312" s="184" t="s">
        <v>2042</v>
      </c>
      <c r="AP312" s="184" t="s">
        <v>2042</v>
      </c>
      <c r="AQ312" s="175"/>
    </row>
    <row r="313" spans="1:43" ht="14.5">
      <c r="A313" s="169"/>
      <c r="B313" s="170"/>
      <c r="C313" s="176"/>
      <c r="D313" s="177"/>
      <c r="E313" s="178">
        <v>1</v>
      </c>
      <c r="F313" s="179"/>
      <c r="G313" s="186" t="e">
        <f>IF(C313="","",SUMIFS(MRP!$D$5:$D1000,MRP!$B$5:$B1000,C313))*E313</f>
        <v>#VALUE!</v>
      </c>
      <c r="H313" s="181" t="s">
        <v>2041</v>
      </c>
      <c r="I313" s="182">
        <v>0</v>
      </c>
      <c r="J313" s="183" t="s">
        <v>2042</v>
      </c>
      <c r="K313" s="184" t="s">
        <v>2042</v>
      </c>
      <c r="L313" s="184" t="s">
        <v>2042</v>
      </c>
      <c r="M313" s="184" t="s">
        <v>2042</v>
      </c>
      <c r="N313" s="184" t="s">
        <v>2042</v>
      </c>
      <c r="O313" s="184" t="s">
        <v>2042</v>
      </c>
      <c r="P313" s="184" t="s">
        <v>2042</v>
      </c>
      <c r="Q313" s="184" t="s">
        <v>2042</v>
      </c>
      <c r="R313" s="184" t="s">
        <v>2042</v>
      </c>
      <c r="S313" s="184" t="s">
        <v>2042</v>
      </c>
      <c r="T313" s="184" t="s">
        <v>2042</v>
      </c>
      <c r="U313" s="184" t="s">
        <v>2042</v>
      </c>
      <c r="V313" s="184" t="s">
        <v>2042</v>
      </c>
      <c r="W313" s="184" t="s">
        <v>2042</v>
      </c>
      <c r="X313" s="184" t="s">
        <v>2042</v>
      </c>
      <c r="Y313" s="184" t="s">
        <v>2042</v>
      </c>
      <c r="Z313" s="184" t="s">
        <v>2042</v>
      </c>
      <c r="AA313" s="184" t="s">
        <v>2042</v>
      </c>
      <c r="AB313" s="184" t="s">
        <v>2042</v>
      </c>
      <c r="AC313" s="184" t="s">
        <v>2042</v>
      </c>
      <c r="AD313" s="184" t="s">
        <v>2042</v>
      </c>
      <c r="AE313" s="184" t="s">
        <v>2042</v>
      </c>
      <c r="AF313" s="184" t="s">
        <v>2042</v>
      </c>
      <c r="AG313" s="184" t="s">
        <v>2042</v>
      </c>
      <c r="AH313" s="184" t="s">
        <v>2042</v>
      </c>
      <c r="AI313" s="184" t="s">
        <v>2042</v>
      </c>
      <c r="AJ313" s="184" t="s">
        <v>2042</v>
      </c>
      <c r="AK313" s="184" t="s">
        <v>2042</v>
      </c>
      <c r="AL313" s="184" t="s">
        <v>2042</v>
      </c>
      <c r="AM313" s="184" t="s">
        <v>2042</v>
      </c>
      <c r="AN313" s="184" t="s">
        <v>2042</v>
      </c>
      <c r="AO313" s="184" t="s">
        <v>2042</v>
      </c>
      <c r="AP313" s="184" t="s">
        <v>2042</v>
      </c>
      <c r="AQ313" s="175"/>
    </row>
    <row r="314" spans="1:43" ht="14.5">
      <c r="A314" s="169"/>
      <c r="B314" s="170"/>
      <c r="C314" s="191"/>
      <c r="D314" s="170"/>
      <c r="E314" s="170"/>
      <c r="F314" s="179"/>
      <c r="G314" s="186" t="e">
        <f>IF(C314="","",SUMIFS(MRP!$D$5:$D1000,MRP!$B$5:$B1000,C314))*E314</f>
        <v>#VALUE!</v>
      </c>
      <c r="H314" s="181" t="s">
        <v>2041</v>
      </c>
      <c r="I314" s="182">
        <v>0</v>
      </c>
      <c r="J314" s="183" t="s">
        <v>2042</v>
      </c>
      <c r="K314" s="184" t="s">
        <v>2042</v>
      </c>
      <c r="L314" s="184" t="s">
        <v>2042</v>
      </c>
      <c r="M314" s="184" t="s">
        <v>2042</v>
      </c>
      <c r="N314" s="184" t="s">
        <v>2042</v>
      </c>
      <c r="O314" s="184" t="s">
        <v>2042</v>
      </c>
      <c r="P314" s="184" t="s">
        <v>2042</v>
      </c>
      <c r="Q314" s="184" t="s">
        <v>2042</v>
      </c>
      <c r="R314" s="184" t="s">
        <v>2042</v>
      </c>
      <c r="S314" s="184" t="s">
        <v>2042</v>
      </c>
      <c r="T314" s="184" t="s">
        <v>2042</v>
      </c>
      <c r="U314" s="184" t="s">
        <v>2042</v>
      </c>
      <c r="V314" s="184" t="s">
        <v>2042</v>
      </c>
      <c r="W314" s="184" t="s">
        <v>2042</v>
      </c>
      <c r="X314" s="184" t="s">
        <v>2042</v>
      </c>
      <c r="Y314" s="184" t="s">
        <v>2042</v>
      </c>
      <c r="Z314" s="184" t="s">
        <v>2042</v>
      </c>
      <c r="AA314" s="184" t="s">
        <v>2042</v>
      </c>
      <c r="AB314" s="184" t="s">
        <v>2042</v>
      </c>
      <c r="AC314" s="184" t="s">
        <v>2042</v>
      </c>
      <c r="AD314" s="184" t="s">
        <v>2042</v>
      </c>
      <c r="AE314" s="184" t="s">
        <v>2042</v>
      </c>
      <c r="AF314" s="184" t="s">
        <v>2042</v>
      </c>
      <c r="AG314" s="184" t="s">
        <v>2042</v>
      </c>
      <c r="AH314" s="184" t="s">
        <v>2042</v>
      </c>
      <c r="AI314" s="184" t="s">
        <v>2042</v>
      </c>
      <c r="AJ314" s="184" t="s">
        <v>2042</v>
      </c>
      <c r="AK314" s="184" t="s">
        <v>2042</v>
      </c>
      <c r="AL314" s="184" t="s">
        <v>2042</v>
      </c>
      <c r="AM314" s="184" t="s">
        <v>2042</v>
      </c>
      <c r="AN314" s="184" t="s">
        <v>2042</v>
      </c>
      <c r="AO314" s="184" t="s">
        <v>2042</v>
      </c>
      <c r="AP314" s="184" t="s">
        <v>2042</v>
      </c>
      <c r="AQ314" s="175"/>
    </row>
    <row r="315" spans="1:43" ht="14.5">
      <c r="A315" s="169"/>
      <c r="B315" s="170"/>
      <c r="C315" s="191"/>
      <c r="D315" s="170"/>
      <c r="E315" s="170"/>
      <c r="F315" s="179"/>
      <c r="G315" s="186" t="e">
        <f>IF(C315="","",SUMIFS(MRP!$D$5:$D1000,MRP!$B$5:$B1000,C315))*E315</f>
        <v>#VALUE!</v>
      </c>
      <c r="H315" s="181" t="s">
        <v>2041</v>
      </c>
      <c r="I315" s="182">
        <v>0</v>
      </c>
      <c r="J315" s="183" t="s">
        <v>2042</v>
      </c>
      <c r="K315" s="184" t="s">
        <v>2042</v>
      </c>
      <c r="L315" s="184" t="s">
        <v>2042</v>
      </c>
      <c r="M315" s="184" t="s">
        <v>2042</v>
      </c>
      <c r="N315" s="184" t="s">
        <v>2042</v>
      </c>
      <c r="O315" s="184" t="s">
        <v>2042</v>
      </c>
      <c r="P315" s="184" t="s">
        <v>2042</v>
      </c>
      <c r="Q315" s="184" t="s">
        <v>2042</v>
      </c>
      <c r="R315" s="184" t="s">
        <v>2042</v>
      </c>
      <c r="S315" s="184" t="s">
        <v>2042</v>
      </c>
      <c r="T315" s="184" t="s">
        <v>2042</v>
      </c>
      <c r="U315" s="184" t="s">
        <v>2042</v>
      </c>
      <c r="V315" s="184" t="s">
        <v>2042</v>
      </c>
      <c r="W315" s="184" t="s">
        <v>2042</v>
      </c>
      <c r="X315" s="184" t="s">
        <v>2042</v>
      </c>
      <c r="Y315" s="184" t="s">
        <v>2042</v>
      </c>
      <c r="Z315" s="184" t="s">
        <v>2042</v>
      </c>
      <c r="AA315" s="184" t="s">
        <v>2042</v>
      </c>
      <c r="AB315" s="184" t="s">
        <v>2042</v>
      </c>
      <c r="AC315" s="184" t="s">
        <v>2042</v>
      </c>
      <c r="AD315" s="184" t="s">
        <v>2042</v>
      </c>
      <c r="AE315" s="184" t="s">
        <v>2042</v>
      </c>
      <c r="AF315" s="184" t="s">
        <v>2042</v>
      </c>
      <c r="AG315" s="184" t="s">
        <v>2042</v>
      </c>
      <c r="AH315" s="184" t="s">
        <v>2042</v>
      </c>
      <c r="AI315" s="184" t="s">
        <v>2042</v>
      </c>
      <c r="AJ315" s="184" t="s">
        <v>2042</v>
      </c>
      <c r="AK315" s="184" t="s">
        <v>2042</v>
      </c>
      <c r="AL315" s="184" t="s">
        <v>2042</v>
      </c>
      <c r="AM315" s="184" t="s">
        <v>2042</v>
      </c>
      <c r="AN315" s="184" t="s">
        <v>2042</v>
      </c>
      <c r="AO315" s="184" t="s">
        <v>2042</v>
      </c>
      <c r="AP315" s="184" t="s">
        <v>2042</v>
      </c>
      <c r="AQ315" s="175"/>
    </row>
    <row r="316" spans="1:43" ht="14.5">
      <c r="A316" s="169"/>
      <c r="B316" s="170"/>
      <c r="C316" s="191"/>
      <c r="D316" s="170"/>
      <c r="E316" s="170"/>
      <c r="F316" s="179"/>
      <c r="G316" s="186" t="e">
        <f>IF(C316="","",SUMIFS(MRP!$D$5:$D1000,MRP!$B$5:$B1000,C316))*E316</f>
        <v>#VALUE!</v>
      </c>
      <c r="H316" s="181" t="s">
        <v>2041</v>
      </c>
      <c r="I316" s="182">
        <v>0</v>
      </c>
      <c r="J316" s="183" t="s">
        <v>2042</v>
      </c>
      <c r="K316" s="184" t="s">
        <v>2042</v>
      </c>
      <c r="L316" s="187" t="s">
        <v>2042</v>
      </c>
      <c r="M316" s="187" t="s">
        <v>2042</v>
      </c>
      <c r="N316" s="187" t="s">
        <v>2042</v>
      </c>
      <c r="O316" s="187" t="s">
        <v>2042</v>
      </c>
      <c r="P316" s="187" t="s">
        <v>2042</v>
      </c>
      <c r="Q316" s="187" t="s">
        <v>2042</v>
      </c>
      <c r="R316" s="187" t="s">
        <v>2042</v>
      </c>
      <c r="S316" s="187" t="s">
        <v>2042</v>
      </c>
      <c r="T316" s="184" t="s">
        <v>2042</v>
      </c>
      <c r="U316" s="184" t="s">
        <v>2042</v>
      </c>
      <c r="V316" s="184" t="s">
        <v>2042</v>
      </c>
      <c r="W316" s="184" t="s">
        <v>2042</v>
      </c>
      <c r="X316" s="184" t="s">
        <v>2042</v>
      </c>
      <c r="Y316" s="184" t="s">
        <v>2042</v>
      </c>
      <c r="Z316" s="184" t="s">
        <v>2042</v>
      </c>
      <c r="AA316" s="184" t="s">
        <v>2042</v>
      </c>
      <c r="AB316" s="184" t="s">
        <v>2042</v>
      </c>
      <c r="AC316" s="184" t="s">
        <v>2042</v>
      </c>
      <c r="AD316" s="184" t="s">
        <v>2042</v>
      </c>
      <c r="AE316" s="187" t="s">
        <v>2042</v>
      </c>
      <c r="AF316" s="187" t="s">
        <v>2042</v>
      </c>
      <c r="AG316" s="187" t="s">
        <v>2042</v>
      </c>
      <c r="AH316" s="187" t="s">
        <v>2042</v>
      </c>
      <c r="AI316" s="187" t="s">
        <v>2042</v>
      </c>
      <c r="AJ316" s="187" t="s">
        <v>2042</v>
      </c>
      <c r="AK316" s="187" t="s">
        <v>2042</v>
      </c>
      <c r="AL316" s="187" t="s">
        <v>2042</v>
      </c>
      <c r="AM316" s="187" t="s">
        <v>2042</v>
      </c>
      <c r="AN316" s="187" t="s">
        <v>2042</v>
      </c>
      <c r="AO316" s="187" t="s">
        <v>2042</v>
      </c>
      <c r="AP316" s="187" t="s">
        <v>2042</v>
      </c>
      <c r="AQ316" s="175"/>
    </row>
    <row r="317" spans="1:43" ht="14.5">
      <c r="A317" s="169"/>
      <c r="B317" s="170"/>
      <c r="C317" s="191"/>
      <c r="D317" s="170"/>
      <c r="E317" s="170"/>
      <c r="F317" s="179"/>
      <c r="G317" s="186" t="e">
        <f>IF(C317="","",SUMIFS(MRP!$D$5:$D1000,MRP!$B$5:$B1000,C317))*E317</f>
        <v>#VALUE!</v>
      </c>
      <c r="H317" s="181" t="s">
        <v>2041</v>
      </c>
      <c r="I317" s="182">
        <v>0</v>
      </c>
      <c r="J317" s="183" t="s">
        <v>2042</v>
      </c>
      <c r="K317" s="184" t="s">
        <v>2042</v>
      </c>
      <c r="L317" s="184" t="s">
        <v>2042</v>
      </c>
      <c r="M317" s="184" t="s">
        <v>2042</v>
      </c>
      <c r="N317" s="184" t="s">
        <v>2042</v>
      </c>
      <c r="O317" s="184" t="s">
        <v>2042</v>
      </c>
      <c r="P317" s="184" t="s">
        <v>2042</v>
      </c>
      <c r="Q317" s="184" t="s">
        <v>2042</v>
      </c>
      <c r="R317" s="184" t="s">
        <v>2042</v>
      </c>
      <c r="S317" s="184" t="s">
        <v>2042</v>
      </c>
      <c r="T317" s="184" t="s">
        <v>2042</v>
      </c>
      <c r="U317" s="184" t="s">
        <v>2042</v>
      </c>
      <c r="V317" s="184" t="s">
        <v>2042</v>
      </c>
      <c r="W317" s="184" t="s">
        <v>2042</v>
      </c>
      <c r="X317" s="184" t="s">
        <v>2042</v>
      </c>
      <c r="Y317" s="184" t="s">
        <v>2042</v>
      </c>
      <c r="Z317" s="184" t="s">
        <v>2042</v>
      </c>
      <c r="AA317" s="184" t="s">
        <v>2042</v>
      </c>
      <c r="AB317" s="185" t="s">
        <v>2042</v>
      </c>
      <c r="AC317" s="185" t="s">
        <v>2042</v>
      </c>
      <c r="AD317" s="185" t="s">
        <v>2042</v>
      </c>
      <c r="AE317" s="185" t="s">
        <v>2042</v>
      </c>
      <c r="AF317" s="185" t="s">
        <v>2042</v>
      </c>
      <c r="AG317" s="185" t="s">
        <v>2042</v>
      </c>
      <c r="AH317" s="185" t="s">
        <v>2042</v>
      </c>
      <c r="AI317" s="185" t="s">
        <v>2042</v>
      </c>
      <c r="AJ317" s="185" t="s">
        <v>2042</v>
      </c>
      <c r="AK317" s="185" t="s">
        <v>2042</v>
      </c>
      <c r="AL317" s="185" t="s">
        <v>2042</v>
      </c>
      <c r="AM317" s="185" t="s">
        <v>2042</v>
      </c>
      <c r="AN317" s="185" t="s">
        <v>2042</v>
      </c>
      <c r="AO317" s="185" t="s">
        <v>2042</v>
      </c>
      <c r="AP317" s="185" t="s">
        <v>2042</v>
      </c>
      <c r="AQ317" s="175"/>
    </row>
    <row r="318" spans="1:43" ht="14.5">
      <c r="A318" s="169"/>
      <c r="B318" s="170"/>
      <c r="C318" s="191"/>
      <c r="D318" s="170"/>
      <c r="E318" s="170"/>
      <c r="F318" s="179"/>
      <c r="G318" s="186" t="e">
        <f>IF(C318="","",SUMIFS(MRP!$D$5:$D1000,MRP!$B$5:$B1000,C318))*E318</f>
        <v>#VALUE!</v>
      </c>
      <c r="H318" s="181" t="s">
        <v>2041</v>
      </c>
      <c r="I318" s="182">
        <v>0</v>
      </c>
      <c r="J318" s="183" t="s">
        <v>2042</v>
      </c>
      <c r="K318" s="184" t="s">
        <v>2042</v>
      </c>
      <c r="L318" s="184" t="s">
        <v>2042</v>
      </c>
      <c r="M318" s="184" t="s">
        <v>2042</v>
      </c>
      <c r="N318" s="184" t="s">
        <v>2042</v>
      </c>
      <c r="O318" s="184" t="s">
        <v>2042</v>
      </c>
      <c r="P318" s="184" t="s">
        <v>2042</v>
      </c>
      <c r="Q318" s="184" t="s">
        <v>2042</v>
      </c>
      <c r="R318" s="184" t="s">
        <v>2042</v>
      </c>
      <c r="S318" s="184" t="s">
        <v>2042</v>
      </c>
      <c r="T318" s="184" t="s">
        <v>2042</v>
      </c>
      <c r="U318" s="184" t="s">
        <v>2042</v>
      </c>
      <c r="V318" s="184" t="s">
        <v>2042</v>
      </c>
      <c r="W318" s="184" t="s">
        <v>2042</v>
      </c>
      <c r="X318" s="184" t="s">
        <v>2042</v>
      </c>
      <c r="Y318" s="184" t="s">
        <v>2042</v>
      </c>
      <c r="Z318" s="184" t="s">
        <v>2042</v>
      </c>
      <c r="AA318" s="184" t="s">
        <v>2042</v>
      </c>
      <c r="AB318" s="184" t="s">
        <v>2042</v>
      </c>
      <c r="AC318" s="184" t="s">
        <v>2042</v>
      </c>
      <c r="AD318" s="184" t="s">
        <v>2042</v>
      </c>
      <c r="AE318" s="184" t="s">
        <v>2042</v>
      </c>
      <c r="AF318" s="184" t="s">
        <v>2042</v>
      </c>
      <c r="AG318" s="184" t="s">
        <v>2042</v>
      </c>
      <c r="AH318" s="184" t="s">
        <v>2042</v>
      </c>
      <c r="AI318" s="184" t="s">
        <v>2042</v>
      </c>
      <c r="AJ318" s="184" t="s">
        <v>2042</v>
      </c>
      <c r="AK318" s="184" t="s">
        <v>2042</v>
      </c>
      <c r="AL318" s="184" t="s">
        <v>2042</v>
      </c>
      <c r="AM318" s="184" t="s">
        <v>2042</v>
      </c>
      <c r="AN318" s="184" t="s">
        <v>2042</v>
      </c>
      <c r="AO318" s="184" t="s">
        <v>2042</v>
      </c>
      <c r="AP318" s="184" t="s">
        <v>2042</v>
      </c>
      <c r="AQ318" s="175"/>
    </row>
    <row r="319" spans="1:43" ht="14.5">
      <c r="A319" s="169"/>
      <c r="B319" s="170"/>
      <c r="C319" s="191"/>
      <c r="D319" s="170"/>
      <c r="E319" s="170"/>
      <c r="F319" s="179"/>
      <c r="G319" s="186" t="e">
        <f>IF(C319="","",SUMIFS(MRP!$D$5:$D1000,MRP!$B$5:$B1000,C319))*E319</f>
        <v>#VALUE!</v>
      </c>
      <c r="H319" s="181" t="s">
        <v>2041</v>
      </c>
      <c r="I319" s="182">
        <v>0</v>
      </c>
      <c r="J319" s="183" t="s">
        <v>2042</v>
      </c>
      <c r="K319" s="184" t="s">
        <v>2042</v>
      </c>
      <c r="L319" s="184" t="s">
        <v>2042</v>
      </c>
      <c r="M319" s="184" t="s">
        <v>2042</v>
      </c>
      <c r="N319" s="184" t="s">
        <v>2042</v>
      </c>
      <c r="O319" s="184" t="s">
        <v>2042</v>
      </c>
      <c r="P319" s="184" t="s">
        <v>2042</v>
      </c>
      <c r="Q319" s="184" t="s">
        <v>2042</v>
      </c>
      <c r="R319" s="184" t="s">
        <v>2042</v>
      </c>
      <c r="S319" s="184" t="s">
        <v>2042</v>
      </c>
      <c r="T319" s="184" t="s">
        <v>2042</v>
      </c>
      <c r="U319" s="184" t="s">
        <v>2042</v>
      </c>
      <c r="V319" s="184" t="s">
        <v>2042</v>
      </c>
      <c r="W319" s="184" t="s">
        <v>2042</v>
      </c>
      <c r="X319" s="184" t="s">
        <v>2042</v>
      </c>
      <c r="Y319" s="184" t="s">
        <v>2042</v>
      </c>
      <c r="Z319" s="184" t="s">
        <v>2042</v>
      </c>
      <c r="AA319" s="184" t="s">
        <v>2042</v>
      </c>
      <c r="AB319" s="184" t="s">
        <v>2042</v>
      </c>
      <c r="AC319" s="184" t="s">
        <v>2042</v>
      </c>
      <c r="AD319" s="184" t="s">
        <v>2042</v>
      </c>
      <c r="AE319" s="184" t="s">
        <v>2042</v>
      </c>
      <c r="AF319" s="184" t="s">
        <v>2042</v>
      </c>
      <c r="AG319" s="184" t="s">
        <v>2042</v>
      </c>
      <c r="AH319" s="184" t="s">
        <v>2042</v>
      </c>
      <c r="AI319" s="184" t="s">
        <v>2042</v>
      </c>
      <c r="AJ319" s="184" t="s">
        <v>2042</v>
      </c>
      <c r="AK319" s="184" t="s">
        <v>2042</v>
      </c>
      <c r="AL319" s="184" t="s">
        <v>2042</v>
      </c>
      <c r="AM319" s="184" t="s">
        <v>2042</v>
      </c>
      <c r="AN319" s="184" t="s">
        <v>2042</v>
      </c>
      <c r="AO319" s="184" t="s">
        <v>2042</v>
      </c>
      <c r="AP319" s="184" t="s">
        <v>2042</v>
      </c>
      <c r="AQ319" s="175"/>
    </row>
    <row r="320" spans="1:43" ht="14.5">
      <c r="A320" s="169"/>
      <c r="B320" s="170"/>
      <c r="C320" s="191"/>
      <c r="D320" s="170"/>
      <c r="E320" s="170"/>
      <c r="F320" s="179"/>
      <c r="G320" s="186" t="e">
        <f>IF(C320="","",SUMIFS(MRP!$D$5:$D1000,MRP!$B$5:$B1000,C320))*E320</f>
        <v>#VALUE!</v>
      </c>
      <c r="H320" s="181" t="s">
        <v>2041</v>
      </c>
      <c r="I320" s="182">
        <v>0</v>
      </c>
      <c r="J320" s="183" t="s">
        <v>2042</v>
      </c>
      <c r="K320" s="184" t="s">
        <v>2042</v>
      </c>
      <c r="L320" s="184" t="s">
        <v>2042</v>
      </c>
      <c r="M320" s="184" t="s">
        <v>2042</v>
      </c>
      <c r="N320" s="184" t="s">
        <v>2042</v>
      </c>
      <c r="O320" s="184" t="s">
        <v>2042</v>
      </c>
      <c r="P320" s="184" t="s">
        <v>2042</v>
      </c>
      <c r="Q320" s="184" t="s">
        <v>2042</v>
      </c>
      <c r="R320" s="184" t="s">
        <v>2042</v>
      </c>
      <c r="S320" s="184" t="s">
        <v>2042</v>
      </c>
      <c r="T320" s="184" t="s">
        <v>2042</v>
      </c>
      <c r="U320" s="184" t="s">
        <v>2042</v>
      </c>
      <c r="V320" s="184" t="s">
        <v>2042</v>
      </c>
      <c r="W320" s="184" t="s">
        <v>2042</v>
      </c>
      <c r="X320" s="184" t="s">
        <v>2042</v>
      </c>
      <c r="Y320" s="184" t="s">
        <v>2042</v>
      </c>
      <c r="Z320" s="184" t="s">
        <v>2042</v>
      </c>
      <c r="AA320" s="184" t="s">
        <v>2042</v>
      </c>
      <c r="AB320" s="184" t="s">
        <v>2042</v>
      </c>
      <c r="AC320" s="184" t="s">
        <v>2042</v>
      </c>
      <c r="AD320" s="184" t="s">
        <v>2042</v>
      </c>
      <c r="AE320" s="184" t="s">
        <v>2042</v>
      </c>
      <c r="AF320" s="184" t="s">
        <v>2042</v>
      </c>
      <c r="AG320" s="184" t="s">
        <v>2042</v>
      </c>
      <c r="AH320" s="184" t="s">
        <v>2042</v>
      </c>
      <c r="AI320" s="184" t="s">
        <v>2042</v>
      </c>
      <c r="AJ320" s="184" t="s">
        <v>2042</v>
      </c>
      <c r="AK320" s="184" t="s">
        <v>2042</v>
      </c>
      <c r="AL320" s="184" t="s">
        <v>2042</v>
      </c>
      <c r="AM320" s="184" t="s">
        <v>2042</v>
      </c>
      <c r="AN320" s="184" t="s">
        <v>2042</v>
      </c>
      <c r="AO320" s="184" t="s">
        <v>2042</v>
      </c>
      <c r="AP320" s="184" t="s">
        <v>2042</v>
      </c>
      <c r="AQ320" s="175"/>
    </row>
    <row r="321" spans="1:43" ht="14.5">
      <c r="A321" s="169"/>
      <c r="B321" s="170"/>
      <c r="C321" s="191"/>
      <c r="D321" s="170"/>
      <c r="E321" s="170"/>
      <c r="F321" s="179"/>
      <c r="G321" s="186" t="e">
        <f>IF(C321="","",SUMIFS(MRP!$D$5:$D1000,MRP!$B$5:$B1000,C321))*E321</f>
        <v>#VALUE!</v>
      </c>
      <c r="H321" s="181" t="s">
        <v>2041</v>
      </c>
      <c r="I321" s="182">
        <v>0</v>
      </c>
      <c r="J321" s="183" t="s">
        <v>2042</v>
      </c>
      <c r="K321" s="184" t="s">
        <v>2042</v>
      </c>
      <c r="L321" s="184" t="s">
        <v>2042</v>
      </c>
      <c r="M321" s="184" t="s">
        <v>2042</v>
      </c>
      <c r="N321" s="184" t="s">
        <v>2042</v>
      </c>
      <c r="O321" s="184" t="s">
        <v>2042</v>
      </c>
      <c r="P321" s="184" t="s">
        <v>2042</v>
      </c>
      <c r="Q321" s="184" t="s">
        <v>2042</v>
      </c>
      <c r="R321" s="184" t="s">
        <v>2042</v>
      </c>
      <c r="S321" s="184" t="s">
        <v>2042</v>
      </c>
      <c r="T321" s="184" t="s">
        <v>2042</v>
      </c>
      <c r="U321" s="184" t="s">
        <v>2042</v>
      </c>
      <c r="V321" s="184" t="s">
        <v>2042</v>
      </c>
      <c r="W321" s="184" t="s">
        <v>2042</v>
      </c>
      <c r="X321" s="184" t="s">
        <v>2042</v>
      </c>
      <c r="Y321" s="184" t="s">
        <v>2042</v>
      </c>
      <c r="Z321" s="184" t="s">
        <v>2042</v>
      </c>
      <c r="AA321" s="184" t="s">
        <v>2042</v>
      </c>
      <c r="AB321" s="184" t="s">
        <v>2042</v>
      </c>
      <c r="AC321" s="184" t="s">
        <v>2042</v>
      </c>
      <c r="AD321" s="184" t="s">
        <v>2042</v>
      </c>
      <c r="AE321" s="184" t="s">
        <v>2042</v>
      </c>
      <c r="AF321" s="184" t="s">
        <v>2042</v>
      </c>
      <c r="AG321" s="184" t="s">
        <v>2042</v>
      </c>
      <c r="AH321" s="184" t="s">
        <v>2042</v>
      </c>
      <c r="AI321" s="184" t="s">
        <v>2042</v>
      </c>
      <c r="AJ321" s="184" t="s">
        <v>2042</v>
      </c>
      <c r="AK321" s="184" t="s">
        <v>2042</v>
      </c>
      <c r="AL321" s="184" t="s">
        <v>2042</v>
      </c>
      <c r="AM321" s="184" t="s">
        <v>2042</v>
      </c>
      <c r="AN321" s="184" t="s">
        <v>2042</v>
      </c>
      <c r="AO321" s="184" t="s">
        <v>2042</v>
      </c>
      <c r="AP321" s="184" t="s">
        <v>2042</v>
      </c>
      <c r="AQ321" s="175"/>
    </row>
    <row r="322" spans="1:43" ht="14.5">
      <c r="A322" s="169"/>
      <c r="B322" s="170"/>
      <c r="C322" s="191"/>
      <c r="D322" s="170"/>
      <c r="E322" s="170"/>
      <c r="F322" s="179"/>
      <c r="G322" s="186" t="e">
        <f>IF(C322="","",SUMIFS(MRP!$D$5:$D1000,MRP!$B$5:$B1000,C322))*E322</f>
        <v>#VALUE!</v>
      </c>
      <c r="H322" s="181" t="s">
        <v>2041</v>
      </c>
      <c r="I322" s="182">
        <v>0</v>
      </c>
      <c r="J322" s="183" t="s">
        <v>2042</v>
      </c>
      <c r="K322" s="184" t="s">
        <v>2042</v>
      </c>
      <c r="L322" s="184" t="s">
        <v>2042</v>
      </c>
      <c r="M322" s="184" t="s">
        <v>2042</v>
      </c>
      <c r="N322" s="184" t="s">
        <v>2042</v>
      </c>
      <c r="O322" s="184" t="s">
        <v>2042</v>
      </c>
      <c r="P322" s="184" t="s">
        <v>2042</v>
      </c>
      <c r="Q322" s="184" t="s">
        <v>2042</v>
      </c>
      <c r="R322" s="184" t="s">
        <v>2042</v>
      </c>
      <c r="S322" s="184" t="s">
        <v>2042</v>
      </c>
      <c r="T322" s="184" t="s">
        <v>2042</v>
      </c>
      <c r="U322" s="184" t="s">
        <v>2042</v>
      </c>
      <c r="V322" s="184" t="s">
        <v>2042</v>
      </c>
      <c r="W322" s="184" t="s">
        <v>2042</v>
      </c>
      <c r="X322" s="184" t="s">
        <v>2042</v>
      </c>
      <c r="Y322" s="184" t="s">
        <v>2042</v>
      </c>
      <c r="Z322" s="184" t="s">
        <v>2042</v>
      </c>
      <c r="AA322" s="184" t="s">
        <v>2042</v>
      </c>
      <c r="AB322" s="184" t="s">
        <v>2042</v>
      </c>
      <c r="AC322" s="184" t="s">
        <v>2042</v>
      </c>
      <c r="AD322" s="184" t="s">
        <v>2042</v>
      </c>
      <c r="AE322" s="184" t="s">
        <v>2042</v>
      </c>
      <c r="AF322" s="184" t="s">
        <v>2042</v>
      </c>
      <c r="AG322" s="184" t="s">
        <v>2042</v>
      </c>
      <c r="AH322" s="184" t="s">
        <v>2042</v>
      </c>
      <c r="AI322" s="184" t="s">
        <v>2042</v>
      </c>
      <c r="AJ322" s="184" t="s">
        <v>2042</v>
      </c>
      <c r="AK322" s="184" t="s">
        <v>2042</v>
      </c>
      <c r="AL322" s="184" t="s">
        <v>2042</v>
      </c>
      <c r="AM322" s="184" t="s">
        <v>2042</v>
      </c>
      <c r="AN322" s="184" t="s">
        <v>2042</v>
      </c>
      <c r="AO322" s="184" t="s">
        <v>2042</v>
      </c>
      <c r="AP322" s="184" t="s">
        <v>2042</v>
      </c>
      <c r="AQ322" s="175"/>
    </row>
    <row r="323" spans="1:43" ht="14.5">
      <c r="A323" s="169"/>
      <c r="B323" s="170"/>
      <c r="C323" s="191"/>
      <c r="D323" s="170"/>
      <c r="E323" s="170"/>
      <c r="F323" s="179"/>
      <c r="G323" s="186" t="e">
        <f>IF(C323="","",SUMIFS(MRP!$D$5:$D1000,MRP!$B$5:$B1000,C323))*E323</f>
        <v>#VALUE!</v>
      </c>
      <c r="H323" s="181" t="s">
        <v>2041</v>
      </c>
      <c r="I323" s="182">
        <v>0</v>
      </c>
      <c r="J323" s="183" t="s">
        <v>2042</v>
      </c>
      <c r="K323" s="184" t="s">
        <v>2042</v>
      </c>
      <c r="L323" s="184" t="s">
        <v>2042</v>
      </c>
      <c r="M323" s="184" t="s">
        <v>2042</v>
      </c>
      <c r="N323" s="184" t="s">
        <v>2042</v>
      </c>
      <c r="O323" s="184" t="s">
        <v>2042</v>
      </c>
      <c r="P323" s="184" t="s">
        <v>2042</v>
      </c>
      <c r="Q323" s="184" t="s">
        <v>2042</v>
      </c>
      <c r="R323" s="184" t="s">
        <v>2042</v>
      </c>
      <c r="S323" s="184" t="s">
        <v>2042</v>
      </c>
      <c r="T323" s="184" t="s">
        <v>2042</v>
      </c>
      <c r="U323" s="184" t="s">
        <v>2042</v>
      </c>
      <c r="V323" s="184" t="s">
        <v>2042</v>
      </c>
      <c r="W323" s="184" t="s">
        <v>2042</v>
      </c>
      <c r="X323" s="184" t="s">
        <v>2042</v>
      </c>
      <c r="Y323" s="184" t="s">
        <v>2042</v>
      </c>
      <c r="Z323" s="184" t="s">
        <v>2042</v>
      </c>
      <c r="AA323" s="184" t="s">
        <v>2042</v>
      </c>
      <c r="AB323" s="184" t="s">
        <v>2042</v>
      </c>
      <c r="AC323" s="184" t="s">
        <v>2042</v>
      </c>
      <c r="AD323" s="184" t="s">
        <v>2042</v>
      </c>
      <c r="AE323" s="184" t="s">
        <v>2042</v>
      </c>
      <c r="AF323" s="184" t="s">
        <v>2042</v>
      </c>
      <c r="AG323" s="184" t="s">
        <v>2042</v>
      </c>
      <c r="AH323" s="184" t="s">
        <v>2042</v>
      </c>
      <c r="AI323" s="184" t="s">
        <v>2042</v>
      </c>
      <c r="AJ323" s="184" t="s">
        <v>2042</v>
      </c>
      <c r="AK323" s="184" t="s">
        <v>2042</v>
      </c>
      <c r="AL323" s="184" t="s">
        <v>2042</v>
      </c>
      <c r="AM323" s="184" t="s">
        <v>2042</v>
      </c>
      <c r="AN323" s="184" t="s">
        <v>2042</v>
      </c>
      <c r="AO323" s="184" t="s">
        <v>2042</v>
      </c>
      <c r="AP323" s="184" t="s">
        <v>2042</v>
      </c>
      <c r="AQ323" s="175"/>
    </row>
    <row r="324" spans="1:43" ht="14.5">
      <c r="A324" s="169"/>
      <c r="B324" s="170"/>
      <c r="C324" s="191"/>
      <c r="D324" s="170"/>
      <c r="E324" s="170"/>
      <c r="F324" s="179"/>
      <c r="G324" s="186" t="e">
        <f>IF(C324="","",SUMIFS(MRP!$D$5:$D1000,MRP!$B$5:$B1000,C324))*E324</f>
        <v>#VALUE!</v>
      </c>
      <c r="H324" s="181" t="s">
        <v>2041</v>
      </c>
      <c r="I324" s="182">
        <v>0</v>
      </c>
      <c r="J324" s="183" t="s">
        <v>2042</v>
      </c>
      <c r="K324" s="184" t="s">
        <v>2042</v>
      </c>
      <c r="L324" s="184" t="s">
        <v>2042</v>
      </c>
      <c r="M324" s="184" t="s">
        <v>2042</v>
      </c>
      <c r="N324" s="184" t="s">
        <v>2042</v>
      </c>
      <c r="O324" s="184" t="s">
        <v>2042</v>
      </c>
      <c r="P324" s="184" t="s">
        <v>2042</v>
      </c>
      <c r="Q324" s="184" t="s">
        <v>2042</v>
      </c>
      <c r="R324" s="184" t="s">
        <v>2042</v>
      </c>
      <c r="S324" s="184" t="s">
        <v>2042</v>
      </c>
      <c r="T324" s="184" t="s">
        <v>2042</v>
      </c>
      <c r="U324" s="184" t="s">
        <v>2042</v>
      </c>
      <c r="V324" s="184" t="s">
        <v>2042</v>
      </c>
      <c r="W324" s="184" t="s">
        <v>2042</v>
      </c>
      <c r="X324" s="184" t="s">
        <v>2042</v>
      </c>
      <c r="Y324" s="184" t="s">
        <v>2042</v>
      </c>
      <c r="Z324" s="184" t="s">
        <v>2042</v>
      </c>
      <c r="AA324" s="184" t="s">
        <v>2042</v>
      </c>
      <c r="AB324" s="184" t="s">
        <v>2042</v>
      </c>
      <c r="AC324" s="184" t="s">
        <v>2042</v>
      </c>
      <c r="AD324" s="184" t="s">
        <v>2042</v>
      </c>
      <c r="AE324" s="184" t="s">
        <v>2042</v>
      </c>
      <c r="AF324" s="184" t="s">
        <v>2042</v>
      </c>
      <c r="AG324" s="184" t="s">
        <v>2042</v>
      </c>
      <c r="AH324" s="184" t="s">
        <v>2042</v>
      </c>
      <c r="AI324" s="184" t="s">
        <v>2042</v>
      </c>
      <c r="AJ324" s="184" t="s">
        <v>2042</v>
      </c>
      <c r="AK324" s="184" t="s">
        <v>2042</v>
      </c>
      <c r="AL324" s="184" t="s">
        <v>2042</v>
      </c>
      <c r="AM324" s="184" t="s">
        <v>2042</v>
      </c>
      <c r="AN324" s="184" t="s">
        <v>2042</v>
      </c>
      <c r="AO324" s="184" t="s">
        <v>2042</v>
      </c>
      <c r="AP324" s="184" t="s">
        <v>2042</v>
      </c>
      <c r="AQ324" s="175"/>
    </row>
    <row r="325" spans="1:43" ht="14.5">
      <c r="A325" s="169"/>
      <c r="B325" s="170"/>
      <c r="C325" s="191"/>
      <c r="D325" s="170"/>
      <c r="E325" s="170"/>
      <c r="F325" s="179"/>
      <c r="G325" s="186" t="e">
        <f>IF(C325="","",SUMIFS(MRP!$D$5:$D1000,MRP!$B$5:$B1000,C325))*E325</f>
        <v>#VALUE!</v>
      </c>
      <c r="H325" s="181" t="s">
        <v>2041</v>
      </c>
      <c r="I325" s="182">
        <v>0</v>
      </c>
      <c r="J325" s="183" t="s">
        <v>2042</v>
      </c>
      <c r="K325" s="184" t="s">
        <v>2042</v>
      </c>
      <c r="L325" s="184" t="s">
        <v>2042</v>
      </c>
      <c r="M325" s="184" t="s">
        <v>2042</v>
      </c>
      <c r="N325" s="184" t="s">
        <v>2042</v>
      </c>
      <c r="O325" s="184" t="s">
        <v>2042</v>
      </c>
      <c r="P325" s="184" t="s">
        <v>2042</v>
      </c>
      <c r="Q325" s="184" t="s">
        <v>2042</v>
      </c>
      <c r="R325" s="184" t="s">
        <v>2042</v>
      </c>
      <c r="S325" s="184" t="s">
        <v>2042</v>
      </c>
      <c r="T325" s="184" t="s">
        <v>2042</v>
      </c>
      <c r="U325" s="184" t="s">
        <v>2042</v>
      </c>
      <c r="V325" s="184" t="s">
        <v>2042</v>
      </c>
      <c r="W325" s="184" t="s">
        <v>2042</v>
      </c>
      <c r="X325" s="184" t="s">
        <v>2042</v>
      </c>
      <c r="Y325" s="184" t="s">
        <v>2042</v>
      </c>
      <c r="Z325" s="184" t="s">
        <v>2042</v>
      </c>
      <c r="AA325" s="184" t="s">
        <v>2042</v>
      </c>
      <c r="AB325" s="184" t="s">
        <v>2042</v>
      </c>
      <c r="AC325" s="184" t="s">
        <v>2042</v>
      </c>
      <c r="AD325" s="184" t="s">
        <v>2042</v>
      </c>
      <c r="AE325" s="184" t="s">
        <v>2042</v>
      </c>
      <c r="AF325" s="184" t="s">
        <v>2042</v>
      </c>
      <c r="AG325" s="184" t="s">
        <v>2042</v>
      </c>
      <c r="AH325" s="184" t="s">
        <v>2042</v>
      </c>
      <c r="AI325" s="184" t="s">
        <v>2042</v>
      </c>
      <c r="AJ325" s="184" t="s">
        <v>2042</v>
      </c>
      <c r="AK325" s="184" t="s">
        <v>2042</v>
      </c>
      <c r="AL325" s="184" t="s">
        <v>2042</v>
      </c>
      <c r="AM325" s="184" t="s">
        <v>2042</v>
      </c>
      <c r="AN325" s="184" t="s">
        <v>2042</v>
      </c>
      <c r="AO325" s="184" t="s">
        <v>2042</v>
      </c>
      <c r="AP325" s="184" t="s">
        <v>2042</v>
      </c>
      <c r="AQ325" s="175"/>
    </row>
    <row r="326" spans="1:43" ht="14.5">
      <c r="A326" s="169"/>
      <c r="B326" s="170"/>
      <c r="C326" s="191"/>
      <c r="D326" s="170"/>
      <c r="E326" s="170"/>
      <c r="F326" s="179"/>
      <c r="G326" s="186" t="e">
        <f>IF(C326="","",SUMIFS(MRP!$D$5:$D1000,MRP!$B$5:$B1000,C326))*E326</f>
        <v>#VALUE!</v>
      </c>
      <c r="H326" s="181" t="s">
        <v>2041</v>
      </c>
      <c r="I326" s="182">
        <v>0</v>
      </c>
      <c r="J326" s="183" t="s">
        <v>2042</v>
      </c>
      <c r="K326" s="184" t="s">
        <v>2042</v>
      </c>
      <c r="L326" s="184" t="s">
        <v>2042</v>
      </c>
      <c r="M326" s="184" t="s">
        <v>2042</v>
      </c>
      <c r="N326" s="184" t="s">
        <v>2042</v>
      </c>
      <c r="O326" s="184" t="s">
        <v>2042</v>
      </c>
      <c r="P326" s="184" t="s">
        <v>2042</v>
      </c>
      <c r="Q326" s="184" t="s">
        <v>2042</v>
      </c>
      <c r="R326" s="184" t="s">
        <v>2042</v>
      </c>
      <c r="S326" s="184" t="s">
        <v>2042</v>
      </c>
      <c r="T326" s="184" t="s">
        <v>2042</v>
      </c>
      <c r="U326" s="184" t="s">
        <v>2042</v>
      </c>
      <c r="V326" s="184" t="s">
        <v>2042</v>
      </c>
      <c r="W326" s="184" t="s">
        <v>2042</v>
      </c>
      <c r="X326" s="184" t="s">
        <v>2042</v>
      </c>
      <c r="Y326" s="184" t="s">
        <v>2042</v>
      </c>
      <c r="Z326" s="184" t="s">
        <v>2042</v>
      </c>
      <c r="AA326" s="184" t="s">
        <v>2042</v>
      </c>
      <c r="AB326" s="184" t="s">
        <v>2042</v>
      </c>
      <c r="AC326" s="184" t="s">
        <v>2042</v>
      </c>
      <c r="AD326" s="184" t="s">
        <v>2042</v>
      </c>
      <c r="AE326" s="184" t="s">
        <v>2042</v>
      </c>
      <c r="AF326" s="184" t="s">
        <v>2042</v>
      </c>
      <c r="AG326" s="184" t="s">
        <v>2042</v>
      </c>
      <c r="AH326" s="184" t="s">
        <v>2042</v>
      </c>
      <c r="AI326" s="184" t="s">
        <v>2042</v>
      </c>
      <c r="AJ326" s="184" t="s">
        <v>2042</v>
      </c>
      <c r="AK326" s="184" t="s">
        <v>2042</v>
      </c>
      <c r="AL326" s="184" t="s">
        <v>2042</v>
      </c>
      <c r="AM326" s="184" t="s">
        <v>2042</v>
      </c>
      <c r="AN326" s="184" t="s">
        <v>2042</v>
      </c>
      <c r="AO326" s="184" t="s">
        <v>2042</v>
      </c>
      <c r="AP326" s="184" t="s">
        <v>2042</v>
      </c>
      <c r="AQ326" s="175"/>
    </row>
    <row r="327" spans="1:43" ht="14.5">
      <c r="A327" s="169"/>
      <c r="B327" s="170"/>
      <c r="C327" s="191"/>
      <c r="D327" s="170"/>
      <c r="E327" s="170"/>
      <c r="F327" s="179"/>
      <c r="G327" s="186" t="e">
        <f>IF(C327="","",SUMIFS(MRP!$D$5:$D1000,MRP!$B$5:$B1000,C327))*E327</f>
        <v>#VALUE!</v>
      </c>
      <c r="H327" s="181" t="s">
        <v>2041</v>
      </c>
      <c r="I327" s="182">
        <v>0</v>
      </c>
      <c r="J327" s="183" t="s">
        <v>2042</v>
      </c>
      <c r="K327" s="184" t="s">
        <v>2042</v>
      </c>
      <c r="L327" s="184" t="s">
        <v>2042</v>
      </c>
      <c r="M327" s="184" t="s">
        <v>2042</v>
      </c>
      <c r="N327" s="184" t="s">
        <v>2042</v>
      </c>
      <c r="O327" s="184" t="s">
        <v>2042</v>
      </c>
      <c r="P327" s="184" t="s">
        <v>2042</v>
      </c>
      <c r="Q327" s="184" t="s">
        <v>2042</v>
      </c>
      <c r="R327" s="184" t="s">
        <v>2042</v>
      </c>
      <c r="S327" s="184" t="s">
        <v>2042</v>
      </c>
      <c r="T327" s="184" t="s">
        <v>2042</v>
      </c>
      <c r="U327" s="184" t="s">
        <v>2042</v>
      </c>
      <c r="V327" s="184" t="s">
        <v>2042</v>
      </c>
      <c r="W327" s="184" t="s">
        <v>2042</v>
      </c>
      <c r="X327" s="184" t="s">
        <v>2042</v>
      </c>
      <c r="Y327" s="184" t="s">
        <v>2042</v>
      </c>
      <c r="Z327" s="184" t="s">
        <v>2042</v>
      </c>
      <c r="AA327" s="184" t="s">
        <v>2042</v>
      </c>
      <c r="AB327" s="184" t="s">
        <v>2042</v>
      </c>
      <c r="AC327" s="184" t="s">
        <v>2042</v>
      </c>
      <c r="AD327" s="184" t="s">
        <v>2042</v>
      </c>
      <c r="AE327" s="184" t="s">
        <v>2042</v>
      </c>
      <c r="AF327" s="184" t="s">
        <v>2042</v>
      </c>
      <c r="AG327" s="184" t="s">
        <v>2042</v>
      </c>
      <c r="AH327" s="184" t="s">
        <v>2042</v>
      </c>
      <c r="AI327" s="184" t="s">
        <v>2042</v>
      </c>
      <c r="AJ327" s="184" t="s">
        <v>2042</v>
      </c>
      <c r="AK327" s="184" t="s">
        <v>2042</v>
      </c>
      <c r="AL327" s="184" t="s">
        <v>2042</v>
      </c>
      <c r="AM327" s="184" t="s">
        <v>2042</v>
      </c>
      <c r="AN327" s="184" t="s">
        <v>2042</v>
      </c>
      <c r="AO327" s="184" t="s">
        <v>2042</v>
      </c>
      <c r="AP327" s="184" t="s">
        <v>2042</v>
      </c>
      <c r="AQ327" s="175"/>
    </row>
    <row r="328" spans="1:43" ht="14.5">
      <c r="A328" s="169"/>
      <c r="B328" s="170"/>
      <c r="C328" s="191"/>
      <c r="D328" s="170"/>
      <c r="E328" s="170"/>
      <c r="F328" s="179"/>
      <c r="G328" s="186" t="e">
        <f>IF(C328="","",SUMIFS(MRP!$D$5:$D1000,MRP!$B$5:$B1000,C328))*E328</f>
        <v>#VALUE!</v>
      </c>
      <c r="H328" s="181" t="s">
        <v>2041</v>
      </c>
      <c r="I328" s="182">
        <v>0</v>
      </c>
      <c r="J328" s="183" t="s">
        <v>2042</v>
      </c>
      <c r="K328" s="184" t="s">
        <v>2042</v>
      </c>
      <c r="L328" s="184" t="s">
        <v>2042</v>
      </c>
      <c r="M328" s="184" t="s">
        <v>2042</v>
      </c>
      <c r="N328" s="184" t="s">
        <v>2042</v>
      </c>
      <c r="O328" s="184" t="s">
        <v>2042</v>
      </c>
      <c r="P328" s="184" t="s">
        <v>2042</v>
      </c>
      <c r="Q328" s="184" t="s">
        <v>2042</v>
      </c>
      <c r="R328" s="184" t="s">
        <v>2042</v>
      </c>
      <c r="S328" s="184" t="s">
        <v>2042</v>
      </c>
      <c r="T328" s="184" t="s">
        <v>2042</v>
      </c>
      <c r="U328" s="184" t="s">
        <v>2042</v>
      </c>
      <c r="V328" s="184" t="s">
        <v>2042</v>
      </c>
      <c r="W328" s="184" t="s">
        <v>2042</v>
      </c>
      <c r="X328" s="184" t="s">
        <v>2042</v>
      </c>
      <c r="Y328" s="184" t="s">
        <v>2042</v>
      </c>
      <c r="Z328" s="184" t="s">
        <v>2042</v>
      </c>
      <c r="AA328" s="184" t="s">
        <v>2042</v>
      </c>
      <c r="AB328" s="184" t="s">
        <v>2042</v>
      </c>
      <c r="AC328" s="184" t="s">
        <v>2042</v>
      </c>
      <c r="AD328" s="184" t="s">
        <v>2042</v>
      </c>
      <c r="AE328" s="184" t="s">
        <v>2042</v>
      </c>
      <c r="AF328" s="184" t="s">
        <v>2042</v>
      </c>
      <c r="AG328" s="184" t="s">
        <v>2042</v>
      </c>
      <c r="AH328" s="184" t="s">
        <v>2042</v>
      </c>
      <c r="AI328" s="184" t="s">
        <v>2042</v>
      </c>
      <c r="AJ328" s="184" t="s">
        <v>2042</v>
      </c>
      <c r="AK328" s="184" t="s">
        <v>2042</v>
      </c>
      <c r="AL328" s="184" t="s">
        <v>2042</v>
      </c>
      <c r="AM328" s="184" t="s">
        <v>2042</v>
      </c>
      <c r="AN328" s="184" t="s">
        <v>2042</v>
      </c>
      <c r="AO328" s="184" t="s">
        <v>2042</v>
      </c>
      <c r="AP328" s="184" t="s">
        <v>2042</v>
      </c>
      <c r="AQ328" s="175"/>
    </row>
    <row r="329" spans="1:43" ht="14.5">
      <c r="A329" s="169"/>
      <c r="B329" s="170"/>
      <c r="C329" s="191"/>
      <c r="D329" s="170"/>
      <c r="E329" s="170"/>
      <c r="F329" s="179"/>
      <c r="G329" s="186" t="e">
        <f>IF(C329="","",SUMIFS(MRP!$D$5:$D1000,MRP!$B$5:$B1000,C329))*E329</f>
        <v>#VALUE!</v>
      </c>
      <c r="H329" s="181" t="s">
        <v>2041</v>
      </c>
      <c r="I329" s="182">
        <v>0</v>
      </c>
      <c r="J329" s="183" t="s">
        <v>2042</v>
      </c>
      <c r="K329" s="184" t="s">
        <v>2042</v>
      </c>
      <c r="L329" s="184" t="s">
        <v>2042</v>
      </c>
      <c r="M329" s="184" t="s">
        <v>2042</v>
      </c>
      <c r="N329" s="184" t="s">
        <v>2042</v>
      </c>
      <c r="O329" s="184" t="s">
        <v>2042</v>
      </c>
      <c r="P329" s="184" t="s">
        <v>2042</v>
      </c>
      <c r="Q329" s="184" t="s">
        <v>2042</v>
      </c>
      <c r="R329" s="184" t="s">
        <v>2042</v>
      </c>
      <c r="S329" s="184" t="s">
        <v>2042</v>
      </c>
      <c r="T329" s="184" t="s">
        <v>2042</v>
      </c>
      <c r="U329" s="184" t="s">
        <v>2042</v>
      </c>
      <c r="V329" s="184" t="s">
        <v>2042</v>
      </c>
      <c r="W329" s="184" t="s">
        <v>2042</v>
      </c>
      <c r="X329" s="184" t="s">
        <v>2042</v>
      </c>
      <c r="Y329" s="184" t="s">
        <v>2042</v>
      </c>
      <c r="Z329" s="184" t="s">
        <v>2042</v>
      </c>
      <c r="AA329" s="184" t="s">
        <v>2042</v>
      </c>
      <c r="AB329" s="184" t="s">
        <v>2042</v>
      </c>
      <c r="AC329" s="184" t="s">
        <v>2042</v>
      </c>
      <c r="AD329" s="184" t="s">
        <v>2042</v>
      </c>
      <c r="AE329" s="184" t="s">
        <v>2042</v>
      </c>
      <c r="AF329" s="184" t="s">
        <v>2042</v>
      </c>
      <c r="AG329" s="184" t="s">
        <v>2042</v>
      </c>
      <c r="AH329" s="184" t="s">
        <v>2042</v>
      </c>
      <c r="AI329" s="184" t="s">
        <v>2042</v>
      </c>
      <c r="AJ329" s="184" t="s">
        <v>2042</v>
      </c>
      <c r="AK329" s="184" t="s">
        <v>2042</v>
      </c>
      <c r="AL329" s="184" t="s">
        <v>2042</v>
      </c>
      <c r="AM329" s="184" t="s">
        <v>2042</v>
      </c>
      <c r="AN329" s="184" t="s">
        <v>2042</v>
      </c>
      <c r="AO329" s="184" t="s">
        <v>2042</v>
      </c>
      <c r="AP329" s="184" t="s">
        <v>2042</v>
      </c>
      <c r="AQ329" s="175"/>
    </row>
    <row r="330" spans="1:43" ht="14.5">
      <c r="A330" s="169"/>
      <c r="B330" s="170"/>
      <c r="C330" s="191"/>
      <c r="D330" s="170"/>
      <c r="E330" s="170"/>
      <c r="F330" s="179"/>
      <c r="G330" s="186" t="e">
        <f>IF(C330="","",SUMIFS(MRP!$D$5:$D1000,MRP!$B$5:$B1000,C330))*E330</f>
        <v>#VALUE!</v>
      </c>
      <c r="H330" s="181" t="s">
        <v>2041</v>
      </c>
      <c r="I330" s="182">
        <v>0</v>
      </c>
      <c r="J330" s="183" t="s">
        <v>2042</v>
      </c>
      <c r="K330" s="184" t="s">
        <v>2042</v>
      </c>
      <c r="L330" s="184" t="s">
        <v>2042</v>
      </c>
      <c r="M330" s="184" t="s">
        <v>2042</v>
      </c>
      <c r="N330" s="184" t="s">
        <v>2042</v>
      </c>
      <c r="O330" s="184" t="s">
        <v>2042</v>
      </c>
      <c r="P330" s="184" t="s">
        <v>2042</v>
      </c>
      <c r="Q330" s="184" t="s">
        <v>2042</v>
      </c>
      <c r="R330" s="184" t="s">
        <v>2042</v>
      </c>
      <c r="S330" s="184" t="s">
        <v>2042</v>
      </c>
      <c r="T330" s="184" t="s">
        <v>2042</v>
      </c>
      <c r="U330" s="184" t="s">
        <v>2042</v>
      </c>
      <c r="V330" s="184" t="s">
        <v>2042</v>
      </c>
      <c r="W330" s="184" t="s">
        <v>2042</v>
      </c>
      <c r="X330" s="184" t="s">
        <v>2042</v>
      </c>
      <c r="Y330" s="184" t="s">
        <v>2042</v>
      </c>
      <c r="Z330" s="184" t="s">
        <v>2042</v>
      </c>
      <c r="AA330" s="184" t="s">
        <v>2042</v>
      </c>
      <c r="AB330" s="184" t="s">
        <v>2042</v>
      </c>
      <c r="AC330" s="184" t="s">
        <v>2042</v>
      </c>
      <c r="AD330" s="184" t="s">
        <v>2042</v>
      </c>
      <c r="AE330" s="184" t="s">
        <v>2042</v>
      </c>
      <c r="AF330" s="184" t="s">
        <v>2042</v>
      </c>
      <c r="AG330" s="184" t="s">
        <v>2042</v>
      </c>
      <c r="AH330" s="184" t="s">
        <v>2042</v>
      </c>
      <c r="AI330" s="184" t="s">
        <v>2042</v>
      </c>
      <c r="AJ330" s="184" t="s">
        <v>2042</v>
      </c>
      <c r="AK330" s="184" t="s">
        <v>2042</v>
      </c>
      <c r="AL330" s="184" t="s">
        <v>2042</v>
      </c>
      <c r="AM330" s="184" t="s">
        <v>2042</v>
      </c>
      <c r="AN330" s="184" t="s">
        <v>2042</v>
      </c>
      <c r="AO330" s="184" t="s">
        <v>2042</v>
      </c>
      <c r="AP330" s="184" t="s">
        <v>2042</v>
      </c>
      <c r="AQ330" s="175"/>
    </row>
    <row r="331" spans="1:43" ht="14.5">
      <c r="A331" s="169"/>
      <c r="B331" s="170"/>
      <c r="C331" s="191"/>
      <c r="D331" s="170"/>
      <c r="E331" s="170"/>
      <c r="F331" s="179"/>
      <c r="G331" s="186" t="e">
        <f>IF(C331="","",SUMIFS(MRP!$D$5:$D1000,MRP!$B$5:$B1000,C331))*E331</f>
        <v>#VALUE!</v>
      </c>
      <c r="H331" s="181" t="s">
        <v>2041</v>
      </c>
      <c r="I331" s="182">
        <v>0</v>
      </c>
      <c r="J331" s="183" t="s">
        <v>2042</v>
      </c>
      <c r="K331" s="184" t="s">
        <v>2042</v>
      </c>
      <c r="L331" s="184" t="s">
        <v>2042</v>
      </c>
      <c r="M331" s="184" t="s">
        <v>2042</v>
      </c>
      <c r="N331" s="184" t="s">
        <v>2042</v>
      </c>
      <c r="O331" s="184" t="s">
        <v>2042</v>
      </c>
      <c r="P331" s="184" t="s">
        <v>2042</v>
      </c>
      <c r="Q331" s="184" t="s">
        <v>2042</v>
      </c>
      <c r="R331" s="184" t="s">
        <v>2042</v>
      </c>
      <c r="S331" s="184" t="s">
        <v>2042</v>
      </c>
      <c r="T331" s="184" t="s">
        <v>2042</v>
      </c>
      <c r="U331" s="184" t="s">
        <v>2042</v>
      </c>
      <c r="V331" s="184" t="s">
        <v>2042</v>
      </c>
      <c r="W331" s="184" t="s">
        <v>2042</v>
      </c>
      <c r="X331" s="184" t="s">
        <v>2042</v>
      </c>
      <c r="Y331" s="184" t="s">
        <v>2042</v>
      </c>
      <c r="Z331" s="184" t="s">
        <v>2042</v>
      </c>
      <c r="AA331" s="184" t="s">
        <v>2042</v>
      </c>
      <c r="AB331" s="184" t="s">
        <v>2042</v>
      </c>
      <c r="AC331" s="184" t="s">
        <v>2042</v>
      </c>
      <c r="AD331" s="184" t="s">
        <v>2042</v>
      </c>
      <c r="AE331" s="184" t="s">
        <v>2042</v>
      </c>
      <c r="AF331" s="184" t="s">
        <v>2042</v>
      </c>
      <c r="AG331" s="184" t="s">
        <v>2042</v>
      </c>
      <c r="AH331" s="184" t="s">
        <v>2042</v>
      </c>
      <c r="AI331" s="184" t="s">
        <v>2042</v>
      </c>
      <c r="AJ331" s="184" t="s">
        <v>2042</v>
      </c>
      <c r="AK331" s="184" t="s">
        <v>2042</v>
      </c>
      <c r="AL331" s="184" t="s">
        <v>2042</v>
      </c>
      <c r="AM331" s="184" t="s">
        <v>2042</v>
      </c>
      <c r="AN331" s="184" t="s">
        <v>2042</v>
      </c>
      <c r="AO331" s="184" t="s">
        <v>2042</v>
      </c>
      <c r="AP331" s="184" t="s">
        <v>2042</v>
      </c>
      <c r="AQ331" s="175"/>
    </row>
    <row r="332" spans="1:43" ht="14.5">
      <c r="A332" s="169"/>
      <c r="B332" s="170"/>
      <c r="C332" s="191"/>
      <c r="D332" s="170"/>
      <c r="E332" s="170"/>
      <c r="F332" s="179"/>
      <c r="G332" s="186" t="e">
        <f>IF(C332="","",SUMIFS(MRP!$D$5:$D1000,MRP!$B$5:$B1000,C332))*E332</f>
        <v>#VALUE!</v>
      </c>
      <c r="H332" s="181" t="s">
        <v>2041</v>
      </c>
      <c r="I332" s="182">
        <v>0</v>
      </c>
      <c r="J332" s="183" t="s">
        <v>2042</v>
      </c>
      <c r="K332" s="184" t="s">
        <v>2042</v>
      </c>
      <c r="L332" s="184" t="s">
        <v>2042</v>
      </c>
      <c r="M332" s="184" t="s">
        <v>2042</v>
      </c>
      <c r="N332" s="184" t="s">
        <v>2042</v>
      </c>
      <c r="O332" s="184" t="s">
        <v>2042</v>
      </c>
      <c r="P332" s="184" t="s">
        <v>2042</v>
      </c>
      <c r="Q332" s="184" t="s">
        <v>2042</v>
      </c>
      <c r="R332" s="184" t="s">
        <v>2042</v>
      </c>
      <c r="S332" s="184" t="s">
        <v>2042</v>
      </c>
      <c r="T332" s="184" t="s">
        <v>2042</v>
      </c>
      <c r="U332" s="184" t="s">
        <v>2042</v>
      </c>
      <c r="V332" s="184" t="s">
        <v>2042</v>
      </c>
      <c r="W332" s="184" t="s">
        <v>2042</v>
      </c>
      <c r="X332" s="184" t="s">
        <v>2042</v>
      </c>
      <c r="Y332" s="184" t="s">
        <v>2042</v>
      </c>
      <c r="Z332" s="184" t="s">
        <v>2042</v>
      </c>
      <c r="AA332" s="184" t="s">
        <v>2042</v>
      </c>
      <c r="AB332" s="184" t="s">
        <v>2042</v>
      </c>
      <c r="AC332" s="184" t="s">
        <v>2042</v>
      </c>
      <c r="AD332" s="184" t="s">
        <v>2042</v>
      </c>
      <c r="AE332" s="184" t="s">
        <v>2042</v>
      </c>
      <c r="AF332" s="184" t="s">
        <v>2042</v>
      </c>
      <c r="AG332" s="184" t="s">
        <v>2042</v>
      </c>
      <c r="AH332" s="184" t="s">
        <v>2042</v>
      </c>
      <c r="AI332" s="184" t="s">
        <v>2042</v>
      </c>
      <c r="AJ332" s="184" t="s">
        <v>2042</v>
      </c>
      <c r="AK332" s="184" t="s">
        <v>2042</v>
      </c>
      <c r="AL332" s="184" t="s">
        <v>2042</v>
      </c>
      <c r="AM332" s="184" t="s">
        <v>2042</v>
      </c>
      <c r="AN332" s="184" t="s">
        <v>2042</v>
      </c>
      <c r="AO332" s="184" t="s">
        <v>2042</v>
      </c>
      <c r="AP332" s="184" t="s">
        <v>2042</v>
      </c>
      <c r="AQ332" s="175"/>
    </row>
    <row r="333" spans="1:43" ht="14.5">
      <c r="A333" s="169"/>
      <c r="B333" s="170"/>
      <c r="C333" s="191"/>
      <c r="D333" s="170"/>
      <c r="E333" s="170"/>
      <c r="F333" s="179"/>
      <c r="G333" s="186" t="e">
        <f>IF(C333="","",SUMIFS(MRP!$D$5:$D1000,MRP!$B$5:$B1000,C333))*E333</f>
        <v>#VALUE!</v>
      </c>
      <c r="H333" s="181" t="s">
        <v>2041</v>
      </c>
      <c r="I333" s="182">
        <v>0</v>
      </c>
      <c r="J333" s="183" t="s">
        <v>2042</v>
      </c>
      <c r="K333" s="184" t="s">
        <v>2042</v>
      </c>
      <c r="L333" s="184" t="s">
        <v>2042</v>
      </c>
      <c r="M333" s="184" t="s">
        <v>2042</v>
      </c>
      <c r="N333" s="184" t="s">
        <v>2042</v>
      </c>
      <c r="O333" s="184" t="s">
        <v>2042</v>
      </c>
      <c r="P333" s="184" t="s">
        <v>2042</v>
      </c>
      <c r="Q333" s="184" t="s">
        <v>2042</v>
      </c>
      <c r="R333" s="184" t="s">
        <v>2042</v>
      </c>
      <c r="S333" s="184" t="s">
        <v>2042</v>
      </c>
      <c r="T333" s="184" t="s">
        <v>2042</v>
      </c>
      <c r="U333" s="184" t="s">
        <v>2042</v>
      </c>
      <c r="V333" s="184" t="s">
        <v>2042</v>
      </c>
      <c r="W333" s="184" t="s">
        <v>2042</v>
      </c>
      <c r="X333" s="184" t="s">
        <v>2042</v>
      </c>
      <c r="Y333" s="184" t="s">
        <v>2042</v>
      </c>
      <c r="Z333" s="184" t="s">
        <v>2042</v>
      </c>
      <c r="AA333" s="184" t="s">
        <v>2042</v>
      </c>
      <c r="AB333" s="184" t="s">
        <v>2042</v>
      </c>
      <c r="AC333" s="184" t="s">
        <v>2042</v>
      </c>
      <c r="AD333" s="184" t="s">
        <v>2042</v>
      </c>
      <c r="AE333" s="184" t="s">
        <v>2042</v>
      </c>
      <c r="AF333" s="184" t="s">
        <v>2042</v>
      </c>
      <c r="AG333" s="184" t="s">
        <v>2042</v>
      </c>
      <c r="AH333" s="184" t="s">
        <v>2042</v>
      </c>
      <c r="AI333" s="184" t="s">
        <v>2042</v>
      </c>
      <c r="AJ333" s="184" t="s">
        <v>2042</v>
      </c>
      <c r="AK333" s="184" t="s">
        <v>2042</v>
      </c>
      <c r="AL333" s="184" t="s">
        <v>2042</v>
      </c>
      <c r="AM333" s="184" t="s">
        <v>2042</v>
      </c>
      <c r="AN333" s="184" t="s">
        <v>2042</v>
      </c>
      <c r="AO333" s="184" t="s">
        <v>2042</v>
      </c>
      <c r="AP333" s="184" t="s">
        <v>2042</v>
      </c>
      <c r="AQ333" s="175"/>
    </row>
    <row r="334" spans="1:43" ht="14.5">
      <c r="A334" s="169"/>
      <c r="B334" s="170"/>
      <c r="C334" s="191"/>
      <c r="D334" s="170"/>
      <c r="E334" s="170"/>
      <c r="F334" s="179"/>
      <c r="G334" s="186" t="e">
        <f>IF(C334="","",SUMIFS(MRP!$D$5:$D1000,MRP!$B$5:$B1000,C334))*E334</f>
        <v>#VALUE!</v>
      </c>
      <c r="H334" s="181" t="s">
        <v>2041</v>
      </c>
      <c r="I334" s="182">
        <v>0</v>
      </c>
      <c r="J334" s="183" t="s">
        <v>2042</v>
      </c>
      <c r="K334" s="184" t="s">
        <v>2042</v>
      </c>
      <c r="L334" s="184" t="s">
        <v>2042</v>
      </c>
      <c r="M334" s="184" t="s">
        <v>2042</v>
      </c>
      <c r="N334" s="184" t="s">
        <v>2042</v>
      </c>
      <c r="O334" s="184" t="s">
        <v>2042</v>
      </c>
      <c r="P334" s="184" t="s">
        <v>2042</v>
      </c>
      <c r="Q334" s="184" t="s">
        <v>2042</v>
      </c>
      <c r="R334" s="184" t="s">
        <v>2042</v>
      </c>
      <c r="S334" s="184" t="s">
        <v>2042</v>
      </c>
      <c r="T334" s="184" t="s">
        <v>2042</v>
      </c>
      <c r="U334" s="184" t="s">
        <v>2042</v>
      </c>
      <c r="V334" s="184" t="s">
        <v>2042</v>
      </c>
      <c r="W334" s="184" t="s">
        <v>2042</v>
      </c>
      <c r="X334" s="184" t="s">
        <v>2042</v>
      </c>
      <c r="Y334" s="184" t="s">
        <v>2042</v>
      </c>
      <c r="Z334" s="184" t="s">
        <v>2042</v>
      </c>
      <c r="AA334" s="184" t="s">
        <v>2042</v>
      </c>
      <c r="AB334" s="184" t="s">
        <v>2042</v>
      </c>
      <c r="AC334" s="184" t="s">
        <v>2042</v>
      </c>
      <c r="AD334" s="184" t="s">
        <v>2042</v>
      </c>
      <c r="AE334" s="184" t="s">
        <v>2042</v>
      </c>
      <c r="AF334" s="184" t="s">
        <v>2042</v>
      </c>
      <c r="AG334" s="184" t="s">
        <v>2042</v>
      </c>
      <c r="AH334" s="184" t="s">
        <v>2042</v>
      </c>
      <c r="AI334" s="184" t="s">
        <v>2042</v>
      </c>
      <c r="AJ334" s="184" t="s">
        <v>2042</v>
      </c>
      <c r="AK334" s="184" t="s">
        <v>2042</v>
      </c>
      <c r="AL334" s="184" t="s">
        <v>2042</v>
      </c>
      <c r="AM334" s="184" t="s">
        <v>2042</v>
      </c>
      <c r="AN334" s="184" t="s">
        <v>2042</v>
      </c>
      <c r="AO334" s="184" t="s">
        <v>2042</v>
      </c>
      <c r="AP334" s="184" t="s">
        <v>2042</v>
      </c>
      <c r="AQ334" s="175"/>
    </row>
    <row r="335" spans="1:43" ht="14.5">
      <c r="A335" s="169"/>
      <c r="B335" s="170"/>
      <c r="C335" s="191"/>
      <c r="D335" s="170"/>
      <c r="E335" s="170"/>
      <c r="F335" s="179"/>
      <c r="G335" s="186" t="e">
        <f>IF(C335="","",SUMIFS(MRP!$D$5:$D1000,MRP!$B$5:$B1000,C335))*E335</f>
        <v>#VALUE!</v>
      </c>
      <c r="H335" s="181" t="s">
        <v>2041</v>
      </c>
      <c r="I335" s="182">
        <v>0</v>
      </c>
      <c r="J335" s="183" t="s">
        <v>2042</v>
      </c>
      <c r="K335" s="184" t="s">
        <v>2042</v>
      </c>
      <c r="L335" s="184" t="s">
        <v>2042</v>
      </c>
      <c r="M335" s="184" t="s">
        <v>2042</v>
      </c>
      <c r="N335" s="184" t="s">
        <v>2042</v>
      </c>
      <c r="O335" s="184" t="s">
        <v>2042</v>
      </c>
      <c r="P335" s="184" t="s">
        <v>2042</v>
      </c>
      <c r="Q335" s="184" t="s">
        <v>2042</v>
      </c>
      <c r="R335" s="184" t="s">
        <v>2042</v>
      </c>
      <c r="S335" s="184" t="s">
        <v>2042</v>
      </c>
      <c r="T335" s="184" t="s">
        <v>2042</v>
      </c>
      <c r="U335" s="184" t="s">
        <v>2042</v>
      </c>
      <c r="V335" s="184" t="s">
        <v>2042</v>
      </c>
      <c r="W335" s="184" t="s">
        <v>2042</v>
      </c>
      <c r="X335" s="184" t="s">
        <v>2042</v>
      </c>
      <c r="Y335" s="184" t="s">
        <v>2042</v>
      </c>
      <c r="Z335" s="184" t="s">
        <v>2042</v>
      </c>
      <c r="AA335" s="184" t="s">
        <v>2042</v>
      </c>
      <c r="AB335" s="184" t="s">
        <v>2042</v>
      </c>
      <c r="AC335" s="184" t="s">
        <v>2042</v>
      </c>
      <c r="AD335" s="184" t="s">
        <v>2042</v>
      </c>
      <c r="AE335" s="184" t="s">
        <v>2042</v>
      </c>
      <c r="AF335" s="184" t="s">
        <v>2042</v>
      </c>
      <c r="AG335" s="184" t="s">
        <v>2042</v>
      </c>
      <c r="AH335" s="184" t="s">
        <v>2042</v>
      </c>
      <c r="AI335" s="184" t="s">
        <v>2042</v>
      </c>
      <c r="AJ335" s="184" t="s">
        <v>2042</v>
      </c>
      <c r="AK335" s="184" t="s">
        <v>2042</v>
      </c>
      <c r="AL335" s="184" t="s">
        <v>2042</v>
      </c>
      <c r="AM335" s="184" t="s">
        <v>2042</v>
      </c>
      <c r="AN335" s="184" t="s">
        <v>2042</v>
      </c>
      <c r="AO335" s="184" t="s">
        <v>2042</v>
      </c>
      <c r="AP335" s="184" t="s">
        <v>2042</v>
      </c>
      <c r="AQ335" s="175"/>
    </row>
    <row r="336" spans="1:43" ht="14.5">
      <c r="A336" s="169"/>
      <c r="B336" s="170"/>
      <c r="C336" s="191"/>
      <c r="D336" s="170"/>
      <c r="E336" s="170"/>
      <c r="F336" s="179"/>
      <c r="G336" s="186" t="e">
        <f>IF(C336="","",SUMIFS(MRP!$D$5:$D1000,MRP!$B$5:$B1000,C336))*E336</f>
        <v>#VALUE!</v>
      </c>
      <c r="H336" s="181" t="s">
        <v>2041</v>
      </c>
      <c r="I336" s="182">
        <v>0</v>
      </c>
      <c r="J336" s="183" t="s">
        <v>2042</v>
      </c>
      <c r="K336" s="184" t="s">
        <v>2042</v>
      </c>
      <c r="L336" s="184" t="s">
        <v>2042</v>
      </c>
      <c r="M336" s="184" t="s">
        <v>2042</v>
      </c>
      <c r="N336" s="184" t="s">
        <v>2042</v>
      </c>
      <c r="O336" s="184" t="s">
        <v>2042</v>
      </c>
      <c r="P336" s="184" t="s">
        <v>2042</v>
      </c>
      <c r="Q336" s="184" t="s">
        <v>2042</v>
      </c>
      <c r="R336" s="184" t="s">
        <v>2042</v>
      </c>
      <c r="S336" s="184" t="s">
        <v>2042</v>
      </c>
      <c r="T336" s="184" t="s">
        <v>2042</v>
      </c>
      <c r="U336" s="184" t="s">
        <v>2042</v>
      </c>
      <c r="V336" s="184" t="s">
        <v>2042</v>
      </c>
      <c r="W336" s="184" t="s">
        <v>2042</v>
      </c>
      <c r="X336" s="184" t="s">
        <v>2042</v>
      </c>
      <c r="Y336" s="184" t="s">
        <v>2042</v>
      </c>
      <c r="Z336" s="184" t="s">
        <v>2042</v>
      </c>
      <c r="AA336" s="184" t="s">
        <v>2042</v>
      </c>
      <c r="AB336" s="184" t="s">
        <v>2042</v>
      </c>
      <c r="AC336" s="184" t="s">
        <v>2042</v>
      </c>
      <c r="AD336" s="184" t="s">
        <v>2042</v>
      </c>
      <c r="AE336" s="184" t="s">
        <v>2042</v>
      </c>
      <c r="AF336" s="184" t="s">
        <v>2042</v>
      </c>
      <c r="AG336" s="184" t="s">
        <v>2042</v>
      </c>
      <c r="AH336" s="184" t="s">
        <v>2042</v>
      </c>
      <c r="AI336" s="184" t="s">
        <v>2042</v>
      </c>
      <c r="AJ336" s="184" t="s">
        <v>2042</v>
      </c>
      <c r="AK336" s="184" t="s">
        <v>2042</v>
      </c>
      <c r="AL336" s="184" t="s">
        <v>2042</v>
      </c>
      <c r="AM336" s="184" t="s">
        <v>2042</v>
      </c>
      <c r="AN336" s="184" t="s">
        <v>2042</v>
      </c>
      <c r="AO336" s="184" t="s">
        <v>2042</v>
      </c>
      <c r="AP336" s="184" t="s">
        <v>2042</v>
      </c>
      <c r="AQ336" s="175"/>
    </row>
    <row r="337" spans="1:43" ht="14.5">
      <c r="A337" s="169"/>
      <c r="B337" s="170"/>
      <c r="C337" s="191"/>
      <c r="D337" s="170"/>
      <c r="E337" s="170"/>
      <c r="F337" s="179"/>
      <c r="G337" s="186" t="e">
        <f>IF(C337="","",SUMIFS(MRP!$D$5:$D1000,MRP!$B$5:$B1000,C337))*E337</f>
        <v>#VALUE!</v>
      </c>
      <c r="H337" s="181" t="s">
        <v>2041</v>
      </c>
      <c r="I337" s="182">
        <v>0</v>
      </c>
      <c r="J337" s="183" t="s">
        <v>2042</v>
      </c>
      <c r="K337" s="184" t="s">
        <v>2042</v>
      </c>
      <c r="L337" s="184" t="s">
        <v>2042</v>
      </c>
      <c r="M337" s="184" t="s">
        <v>2042</v>
      </c>
      <c r="N337" s="184" t="s">
        <v>2042</v>
      </c>
      <c r="O337" s="184" t="s">
        <v>2042</v>
      </c>
      <c r="P337" s="184" t="s">
        <v>2042</v>
      </c>
      <c r="Q337" s="184" t="s">
        <v>2042</v>
      </c>
      <c r="R337" s="184" t="s">
        <v>2042</v>
      </c>
      <c r="S337" s="184" t="s">
        <v>2042</v>
      </c>
      <c r="T337" s="184" t="s">
        <v>2042</v>
      </c>
      <c r="U337" s="184" t="s">
        <v>2042</v>
      </c>
      <c r="V337" s="184" t="s">
        <v>2042</v>
      </c>
      <c r="W337" s="184" t="s">
        <v>2042</v>
      </c>
      <c r="X337" s="184" t="s">
        <v>2042</v>
      </c>
      <c r="Y337" s="184" t="s">
        <v>2042</v>
      </c>
      <c r="Z337" s="184" t="s">
        <v>2042</v>
      </c>
      <c r="AA337" s="184" t="s">
        <v>2042</v>
      </c>
      <c r="AB337" s="184" t="s">
        <v>2042</v>
      </c>
      <c r="AC337" s="184" t="s">
        <v>2042</v>
      </c>
      <c r="AD337" s="184" t="s">
        <v>2042</v>
      </c>
      <c r="AE337" s="184" t="s">
        <v>2042</v>
      </c>
      <c r="AF337" s="184" t="s">
        <v>2042</v>
      </c>
      <c r="AG337" s="184" t="s">
        <v>2042</v>
      </c>
      <c r="AH337" s="184" t="s">
        <v>2042</v>
      </c>
      <c r="AI337" s="184" t="s">
        <v>2042</v>
      </c>
      <c r="AJ337" s="184" t="s">
        <v>2042</v>
      </c>
      <c r="AK337" s="184" t="s">
        <v>2042</v>
      </c>
      <c r="AL337" s="184" t="s">
        <v>2042</v>
      </c>
      <c r="AM337" s="184" t="s">
        <v>2042</v>
      </c>
      <c r="AN337" s="184" t="s">
        <v>2042</v>
      </c>
      <c r="AO337" s="184" t="s">
        <v>2042</v>
      </c>
      <c r="AP337" s="184" t="s">
        <v>2042</v>
      </c>
      <c r="AQ337" s="175"/>
    </row>
    <row r="338" spans="1:43" ht="14.5">
      <c r="A338" s="169"/>
      <c r="B338" s="170"/>
      <c r="C338" s="191"/>
      <c r="D338" s="170"/>
      <c r="E338" s="170"/>
      <c r="F338" s="179"/>
      <c r="G338" s="186" t="e">
        <f>IF(C338="","",SUMIFS(MRP!$D$5:$D1000,MRP!$B$5:$B1000,C338))*E338</f>
        <v>#VALUE!</v>
      </c>
      <c r="H338" s="181" t="s">
        <v>2041</v>
      </c>
      <c r="I338" s="182">
        <v>0</v>
      </c>
      <c r="J338" s="183" t="s">
        <v>2042</v>
      </c>
      <c r="K338" s="184" t="s">
        <v>2042</v>
      </c>
      <c r="L338" s="184" t="s">
        <v>2042</v>
      </c>
      <c r="M338" s="184" t="s">
        <v>2042</v>
      </c>
      <c r="N338" s="184" t="s">
        <v>2042</v>
      </c>
      <c r="O338" s="184" t="s">
        <v>2042</v>
      </c>
      <c r="P338" s="184" t="s">
        <v>2042</v>
      </c>
      <c r="Q338" s="184" t="s">
        <v>2042</v>
      </c>
      <c r="R338" s="184" t="s">
        <v>2042</v>
      </c>
      <c r="S338" s="184" t="s">
        <v>2042</v>
      </c>
      <c r="T338" s="184" t="s">
        <v>2042</v>
      </c>
      <c r="U338" s="184" t="s">
        <v>2042</v>
      </c>
      <c r="V338" s="184" t="s">
        <v>2042</v>
      </c>
      <c r="W338" s="184" t="s">
        <v>2042</v>
      </c>
      <c r="X338" s="184" t="s">
        <v>2042</v>
      </c>
      <c r="Y338" s="184" t="s">
        <v>2042</v>
      </c>
      <c r="Z338" s="184" t="s">
        <v>2042</v>
      </c>
      <c r="AA338" s="184" t="s">
        <v>2042</v>
      </c>
      <c r="AB338" s="184" t="s">
        <v>2042</v>
      </c>
      <c r="AC338" s="184" t="s">
        <v>2042</v>
      </c>
      <c r="AD338" s="184" t="s">
        <v>2042</v>
      </c>
      <c r="AE338" s="184" t="s">
        <v>2042</v>
      </c>
      <c r="AF338" s="184" t="s">
        <v>2042</v>
      </c>
      <c r="AG338" s="184" t="s">
        <v>2042</v>
      </c>
      <c r="AH338" s="184" t="s">
        <v>2042</v>
      </c>
      <c r="AI338" s="184" t="s">
        <v>2042</v>
      </c>
      <c r="AJ338" s="184" t="s">
        <v>2042</v>
      </c>
      <c r="AK338" s="184" t="s">
        <v>2042</v>
      </c>
      <c r="AL338" s="184" t="s">
        <v>2042</v>
      </c>
      <c r="AM338" s="184" t="s">
        <v>2042</v>
      </c>
      <c r="AN338" s="184" t="s">
        <v>2042</v>
      </c>
      <c r="AO338" s="184" t="s">
        <v>2042</v>
      </c>
      <c r="AP338" s="184" t="s">
        <v>2042</v>
      </c>
      <c r="AQ338" s="175"/>
    </row>
    <row r="339" spans="1:43" ht="14.5">
      <c r="A339" s="169"/>
      <c r="B339" s="170"/>
      <c r="C339" s="191"/>
      <c r="D339" s="170"/>
      <c r="E339" s="170"/>
      <c r="F339" s="179"/>
      <c r="G339" s="186" t="e">
        <f>IF(C339="","",SUMIFS(MRP!$D$5:$D1000,MRP!$B$5:$B1000,C339))*E339</f>
        <v>#VALUE!</v>
      </c>
      <c r="H339" s="181" t="s">
        <v>2041</v>
      </c>
      <c r="I339" s="182">
        <v>0</v>
      </c>
      <c r="J339" s="183" t="s">
        <v>2042</v>
      </c>
      <c r="K339" s="184" t="s">
        <v>2042</v>
      </c>
      <c r="L339" s="184" t="s">
        <v>2042</v>
      </c>
      <c r="M339" s="184" t="s">
        <v>2042</v>
      </c>
      <c r="N339" s="184" t="s">
        <v>2042</v>
      </c>
      <c r="O339" s="184" t="s">
        <v>2042</v>
      </c>
      <c r="P339" s="184" t="s">
        <v>2042</v>
      </c>
      <c r="Q339" s="184" t="s">
        <v>2042</v>
      </c>
      <c r="R339" s="184" t="s">
        <v>2042</v>
      </c>
      <c r="S339" s="184" t="s">
        <v>2042</v>
      </c>
      <c r="T339" s="184" t="s">
        <v>2042</v>
      </c>
      <c r="U339" s="184" t="s">
        <v>2042</v>
      </c>
      <c r="V339" s="184" t="s">
        <v>2042</v>
      </c>
      <c r="W339" s="184" t="s">
        <v>2042</v>
      </c>
      <c r="X339" s="184" t="s">
        <v>2042</v>
      </c>
      <c r="Y339" s="184" t="s">
        <v>2042</v>
      </c>
      <c r="Z339" s="184" t="s">
        <v>2042</v>
      </c>
      <c r="AA339" s="184" t="s">
        <v>2042</v>
      </c>
      <c r="AB339" s="184" t="s">
        <v>2042</v>
      </c>
      <c r="AC339" s="184" t="s">
        <v>2042</v>
      </c>
      <c r="AD339" s="184" t="s">
        <v>2042</v>
      </c>
      <c r="AE339" s="184" t="s">
        <v>2042</v>
      </c>
      <c r="AF339" s="184" t="s">
        <v>2042</v>
      </c>
      <c r="AG339" s="184" t="s">
        <v>2042</v>
      </c>
      <c r="AH339" s="184" t="s">
        <v>2042</v>
      </c>
      <c r="AI339" s="184" t="s">
        <v>2042</v>
      </c>
      <c r="AJ339" s="184" t="s">
        <v>2042</v>
      </c>
      <c r="AK339" s="184" t="s">
        <v>2042</v>
      </c>
      <c r="AL339" s="184" t="s">
        <v>2042</v>
      </c>
      <c r="AM339" s="184" t="s">
        <v>2042</v>
      </c>
      <c r="AN339" s="184" t="s">
        <v>2042</v>
      </c>
      <c r="AO339" s="184" t="s">
        <v>2042</v>
      </c>
      <c r="AP339" s="184" t="s">
        <v>2042</v>
      </c>
      <c r="AQ339" s="175"/>
    </row>
    <row r="340" spans="1:43" ht="14.5">
      <c r="A340" s="169"/>
      <c r="B340" s="170"/>
      <c r="C340" s="191"/>
      <c r="D340" s="170"/>
      <c r="E340" s="170"/>
      <c r="F340" s="179"/>
      <c r="G340" s="186" t="e">
        <f>IF(C340="","",SUMIFS(MRP!$D$5:$D1000,MRP!$B$5:$B1000,C340))*E340</f>
        <v>#VALUE!</v>
      </c>
      <c r="H340" s="181" t="s">
        <v>2041</v>
      </c>
      <c r="I340" s="182">
        <v>0</v>
      </c>
      <c r="J340" s="183" t="s">
        <v>2042</v>
      </c>
      <c r="K340" s="184" t="s">
        <v>2042</v>
      </c>
      <c r="L340" s="184" t="s">
        <v>2042</v>
      </c>
      <c r="M340" s="184" t="s">
        <v>2042</v>
      </c>
      <c r="N340" s="184" t="s">
        <v>2042</v>
      </c>
      <c r="O340" s="184" t="s">
        <v>2042</v>
      </c>
      <c r="P340" s="184" t="s">
        <v>2042</v>
      </c>
      <c r="Q340" s="184" t="s">
        <v>2042</v>
      </c>
      <c r="R340" s="184" t="s">
        <v>2042</v>
      </c>
      <c r="S340" s="184" t="s">
        <v>2042</v>
      </c>
      <c r="T340" s="184" t="s">
        <v>2042</v>
      </c>
      <c r="U340" s="184" t="s">
        <v>2042</v>
      </c>
      <c r="V340" s="184" t="s">
        <v>2042</v>
      </c>
      <c r="W340" s="184" t="s">
        <v>2042</v>
      </c>
      <c r="X340" s="184" t="s">
        <v>2042</v>
      </c>
      <c r="Y340" s="184" t="s">
        <v>2042</v>
      </c>
      <c r="Z340" s="184" t="s">
        <v>2042</v>
      </c>
      <c r="AA340" s="184" t="s">
        <v>2042</v>
      </c>
      <c r="AB340" s="184" t="s">
        <v>2042</v>
      </c>
      <c r="AC340" s="184" t="s">
        <v>2042</v>
      </c>
      <c r="AD340" s="184" t="s">
        <v>2042</v>
      </c>
      <c r="AE340" s="184" t="s">
        <v>2042</v>
      </c>
      <c r="AF340" s="184" t="s">
        <v>2042</v>
      </c>
      <c r="AG340" s="184" t="s">
        <v>2042</v>
      </c>
      <c r="AH340" s="184" t="s">
        <v>2042</v>
      </c>
      <c r="AI340" s="184" t="s">
        <v>2042</v>
      </c>
      <c r="AJ340" s="184" t="s">
        <v>2042</v>
      </c>
      <c r="AK340" s="184" t="s">
        <v>2042</v>
      </c>
      <c r="AL340" s="184" t="s">
        <v>2042</v>
      </c>
      <c r="AM340" s="184" t="s">
        <v>2042</v>
      </c>
      <c r="AN340" s="184" t="s">
        <v>2042</v>
      </c>
      <c r="AO340" s="184" t="s">
        <v>2042</v>
      </c>
      <c r="AP340" s="184" t="s">
        <v>2042</v>
      </c>
      <c r="AQ340" s="175"/>
    </row>
    <row r="341" spans="1:43" ht="14.5">
      <c r="A341" s="169"/>
      <c r="B341" s="170"/>
      <c r="C341" s="191"/>
      <c r="D341" s="170"/>
      <c r="E341" s="170"/>
      <c r="F341" s="179"/>
      <c r="G341" s="186" t="e">
        <f>IF(C341="","",SUMIFS(MRP!$D$5:$D1000,MRP!$B$5:$B1000,C341))*E341</f>
        <v>#VALUE!</v>
      </c>
      <c r="H341" s="181" t="s">
        <v>2041</v>
      </c>
      <c r="I341" s="182">
        <v>0</v>
      </c>
      <c r="J341" s="183" t="s">
        <v>2042</v>
      </c>
      <c r="K341" s="184" t="s">
        <v>2042</v>
      </c>
      <c r="L341" s="184" t="s">
        <v>2042</v>
      </c>
      <c r="M341" s="184" t="s">
        <v>2042</v>
      </c>
      <c r="N341" s="184" t="s">
        <v>2042</v>
      </c>
      <c r="O341" s="184" t="s">
        <v>2042</v>
      </c>
      <c r="P341" s="184" t="s">
        <v>2042</v>
      </c>
      <c r="Q341" s="184" t="s">
        <v>2042</v>
      </c>
      <c r="R341" s="184" t="s">
        <v>2042</v>
      </c>
      <c r="S341" s="184" t="s">
        <v>2042</v>
      </c>
      <c r="T341" s="184" t="s">
        <v>2042</v>
      </c>
      <c r="U341" s="184" t="s">
        <v>2042</v>
      </c>
      <c r="V341" s="184" t="s">
        <v>2042</v>
      </c>
      <c r="W341" s="184" t="s">
        <v>2042</v>
      </c>
      <c r="X341" s="184" t="s">
        <v>2042</v>
      </c>
      <c r="Y341" s="184" t="s">
        <v>2042</v>
      </c>
      <c r="Z341" s="184" t="s">
        <v>2042</v>
      </c>
      <c r="AA341" s="184" t="s">
        <v>2042</v>
      </c>
      <c r="AB341" s="184" t="s">
        <v>2042</v>
      </c>
      <c r="AC341" s="184" t="s">
        <v>2042</v>
      </c>
      <c r="AD341" s="184" t="s">
        <v>2042</v>
      </c>
      <c r="AE341" s="184" t="s">
        <v>2042</v>
      </c>
      <c r="AF341" s="184" t="s">
        <v>2042</v>
      </c>
      <c r="AG341" s="184" t="s">
        <v>2042</v>
      </c>
      <c r="AH341" s="184" t="s">
        <v>2042</v>
      </c>
      <c r="AI341" s="184" t="s">
        <v>2042</v>
      </c>
      <c r="AJ341" s="184" t="s">
        <v>2042</v>
      </c>
      <c r="AK341" s="184" t="s">
        <v>2042</v>
      </c>
      <c r="AL341" s="184" t="s">
        <v>2042</v>
      </c>
      <c r="AM341" s="184" t="s">
        <v>2042</v>
      </c>
      <c r="AN341" s="184" t="s">
        <v>2042</v>
      </c>
      <c r="AO341" s="184" t="s">
        <v>2042</v>
      </c>
      <c r="AP341" s="184" t="s">
        <v>2042</v>
      </c>
      <c r="AQ341" s="175"/>
    </row>
    <row r="342" spans="1:43" ht="14.5">
      <c r="A342" s="169"/>
      <c r="B342" s="170"/>
      <c r="C342" s="191"/>
      <c r="D342" s="170"/>
      <c r="E342" s="170"/>
      <c r="F342" s="179"/>
      <c r="G342" s="186" t="e">
        <f>IF(C342="","",SUMIFS(MRP!$D$5:$D1000,MRP!$B$5:$B1000,C342))*E342</f>
        <v>#VALUE!</v>
      </c>
      <c r="H342" s="181" t="s">
        <v>2041</v>
      </c>
      <c r="I342" s="182">
        <v>0</v>
      </c>
      <c r="J342" s="183" t="s">
        <v>2042</v>
      </c>
      <c r="K342" s="184" t="s">
        <v>2042</v>
      </c>
      <c r="L342" s="184" t="s">
        <v>2042</v>
      </c>
      <c r="M342" s="184" t="s">
        <v>2042</v>
      </c>
      <c r="N342" s="184" t="s">
        <v>2042</v>
      </c>
      <c r="O342" s="184" t="s">
        <v>2042</v>
      </c>
      <c r="P342" s="184" t="s">
        <v>2042</v>
      </c>
      <c r="Q342" s="184" t="s">
        <v>2042</v>
      </c>
      <c r="R342" s="184" t="s">
        <v>2042</v>
      </c>
      <c r="S342" s="184" t="s">
        <v>2042</v>
      </c>
      <c r="T342" s="184" t="s">
        <v>2042</v>
      </c>
      <c r="U342" s="184" t="s">
        <v>2042</v>
      </c>
      <c r="V342" s="184" t="s">
        <v>2042</v>
      </c>
      <c r="W342" s="184" t="s">
        <v>2042</v>
      </c>
      <c r="X342" s="184" t="s">
        <v>2042</v>
      </c>
      <c r="Y342" s="184" t="s">
        <v>2042</v>
      </c>
      <c r="Z342" s="184" t="s">
        <v>2042</v>
      </c>
      <c r="AA342" s="184" t="s">
        <v>2042</v>
      </c>
      <c r="AB342" s="184" t="s">
        <v>2042</v>
      </c>
      <c r="AC342" s="184" t="s">
        <v>2042</v>
      </c>
      <c r="AD342" s="184" t="s">
        <v>2042</v>
      </c>
      <c r="AE342" s="184" t="s">
        <v>2042</v>
      </c>
      <c r="AF342" s="184" t="s">
        <v>2042</v>
      </c>
      <c r="AG342" s="184" t="s">
        <v>2042</v>
      </c>
      <c r="AH342" s="184" t="s">
        <v>2042</v>
      </c>
      <c r="AI342" s="184" t="s">
        <v>2042</v>
      </c>
      <c r="AJ342" s="184" t="s">
        <v>2042</v>
      </c>
      <c r="AK342" s="184" t="s">
        <v>2042</v>
      </c>
      <c r="AL342" s="184" t="s">
        <v>2042</v>
      </c>
      <c r="AM342" s="184" t="s">
        <v>2042</v>
      </c>
      <c r="AN342" s="184" t="s">
        <v>2042</v>
      </c>
      <c r="AO342" s="184" t="s">
        <v>2042</v>
      </c>
      <c r="AP342" s="184" t="s">
        <v>2042</v>
      </c>
      <c r="AQ342" s="175"/>
    </row>
    <row r="343" spans="1:43" ht="14.5">
      <c r="A343" s="169"/>
      <c r="B343" s="170"/>
      <c r="C343" s="191"/>
      <c r="D343" s="170"/>
      <c r="E343" s="170"/>
      <c r="F343" s="179"/>
      <c r="G343" s="186" t="e">
        <f>IF(C343="","",SUMIFS(MRP!$D$5:$D1000,MRP!$B$5:$B1000,C343))*E343</f>
        <v>#VALUE!</v>
      </c>
      <c r="H343" s="181" t="s">
        <v>2041</v>
      </c>
      <c r="I343" s="182">
        <v>0</v>
      </c>
      <c r="J343" s="183" t="s">
        <v>2042</v>
      </c>
      <c r="K343" s="184" t="s">
        <v>2042</v>
      </c>
      <c r="L343" s="184" t="s">
        <v>2042</v>
      </c>
      <c r="M343" s="184" t="s">
        <v>2042</v>
      </c>
      <c r="N343" s="184" t="s">
        <v>2042</v>
      </c>
      <c r="O343" s="184" t="s">
        <v>2042</v>
      </c>
      <c r="P343" s="184" t="s">
        <v>2042</v>
      </c>
      <c r="Q343" s="184" t="s">
        <v>2042</v>
      </c>
      <c r="R343" s="184" t="s">
        <v>2042</v>
      </c>
      <c r="S343" s="184" t="s">
        <v>2042</v>
      </c>
      <c r="T343" s="184" t="s">
        <v>2042</v>
      </c>
      <c r="U343" s="184" t="s">
        <v>2042</v>
      </c>
      <c r="V343" s="184" t="s">
        <v>2042</v>
      </c>
      <c r="W343" s="184" t="s">
        <v>2042</v>
      </c>
      <c r="X343" s="184" t="s">
        <v>2042</v>
      </c>
      <c r="Y343" s="184" t="s">
        <v>2042</v>
      </c>
      <c r="Z343" s="184" t="s">
        <v>2042</v>
      </c>
      <c r="AA343" s="184" t="s">
        <v>2042</v>
      </c>
      <c r="AB343" s="184" t="s">
        <v>2042</v>
      </c>
      <c r="AC343" s="184" t="s">
        <v>2042</v>
      </c>
      <c r="AD343" s="184" t="s">
        <v>2042</v>
      </c>
      <c r="AE343" s="184" t="s">
        <v>2042</v>
      </c>
      <c r="AF343" s="184" t="s">
        <v>2042</v>
      </c>
      <c r="AG343" s="184" t="s">
        <v>2042</v>
      </c>
      <c r="AH343" s="184" t="s">
        <v>2042</v>
      </c>
      <c r="AI343" s="184" t="s">
        <v>2042</v>
      </c>
      <c r="AJ343" s="184" t="s">
        <v>2042</v>
      </c>
      <c r="AK343" s="184" t="s">
        <v>2042</v>
      </c>
      <c r="AL343" s="184" t="s">
        <v>2042</v>
      </c>
      <c r="AM343" s="184" t="s">
        <v>2042</v>
      </c>
      <c r="AN343" s="184" t="s">
        <v>2042</v>
      </c>
      <c r="AO343" s="184" t="s">
        <v>2042</v>
      </c>
      <c r="AP343" s="184" t="s">
        <v>2042</v>
      </c>
      <c r="AQ343" s="175"/>
    </row>
    <row r="344" spans="1:43" ht="14.5">
      <c r="A344" s="169"/>
      <c r="B344" s="170"/>
      <c r="C344" s="191"/>
      <c r="D344" s="170"/>
      <c r="E344" s="170"/>
      <c r="F344" s="179"/>
      <c r="G344" s="186" t="e">
        <f>IF(C344="","",SUMIFS(MRP!$D$5:$D1000,MRP!$B$5:$B1000,C344))*E344</f>
        <v>#VALUE!</v>
      </c>
      <c r="H344" s="181" t="s">
        <v>2041</v>
      </c>
      <c r="I344" s="182">
        <v>0</v>
      </c>
      <c r="J344" s="183" t="s">
        <v>2042</v>
      </c>
      <c r="K344" s="184" t="s">
        <v>2042</v>
      </c>
      <c r="L344" s="184" t="s">
        <v>2042</v>
      </c>
      <c r="M344" s="184" t="s">
        <v>2042</v>
      </c>
      <c r="N344" s="184" t="s">
        <v>2042</v>
      </c>
      <c r="O344" s="184" t="s">
        <v>2042</v>
      </c>
      <c r="P344" s="184" t="s">
        <v>2042</v>
      </c>
      <c r="Q344" s="184" t="s">
        <v>2042</v>
      </c>
      <c r="R344" s="184" t="s">
        <v>2042</v>
      </c>
      <c r="S344" s="184" t="s">
        <v>2042</v>
      </c>
      <c r="T344" s="184" t="s">
        <v>2042</v>
      </c>
      <c r="U344" s="184" t="s">
        <v>2042</v>
      </c>
      <c r="V344" s="184" t="s">
        <v>2042</v>
      </c>
      <c r="W344" s="184" t="s">
        <v>2042</v>
      </c>
      <c r="X344" s="184" t="s">
        <v>2042</v>
      </c>
      <c r="Y344" s="184" t="s">
        <v>2042</v>
      </c>
      <c r="Z344" s="184" t="s">
        <v>2042</v>
      </c>
      <c r="AA344" s="184" t="s">
        <v>2042</v>
      </c>
      <c r="AB344" s="184" t="s">
        <v>2042</v>
      </c>
      <c r="AC344" s="184" t="s">
        <v>2042</v>
      </c>
      <c r="AD344" s="184" t="s">
        <v>2042</v>
      </c>
      <c r="AE344" s="184" t="s">
        <v>2042</v>
      </c>
      <c r="AF344" s="184" t="s">
        <v>2042</v>
      </c>
      <c r="AG344" s="184" t="s">
        <v>2042</v>
      </c>
      <c r="AH344" s="184" t="s">
        <v>2042</v>
      </c>
      <c r="AI344" s="184" t="s">
        <v>2042</v>
      </c>
      <c r="AJ344" s="184" t="s">
        <v>2042</v>
      </c>
      <c r="AK344" s="184" t="s">
        <v>2042</v>
      </c>
      <c r="AL344" s="184" t="s">
        <v>2042</v>
      </c>
      <c r="AM344" s="184" t="s">
        <v>2042</v>
      </c>
      <c r="AN344" s="184" t="s">
        <v>2042</v>
      </c>
      <c r="AO344" s="184" t="s">
        <v>2042</v>
      </c>
      <c r="AP344" s="184" t="s">
        <v>2042</v>
      </c>
      <c r="AQ344" s="175"/>
    </row>
    <row r="345" spans="1:43" ht="14.5">
      <c r="A345" s="169"/>
      <c r="B345" s="170"/>
      <c r="C345" s="191"/>
      <c r="D345" s="170"/>
      <c r="E345" s="170"/>
      <c r="F345" s="179"/>
      <c r="G345" s="186" t="e">
        <f>IF(C345="","",SUMIFS(MRP!$D$5:$D1000,MRP!$B$5:$B1000,C345))*E345</f>
        <v>#VALUE!</v>
      </c>
      <c r="H345" s="181" t="s">
        <v>2041</v>
      </c>
      <c r="I345" s="182">
        <v>0</v>
      </c>
      <c r="J345" s="183" t="s">
        <v>2042</v>
      </c>
      <c r="K345" s="184" t="s">
        <v>2042</v>
      </c>
      <c r="L345" s="184" t="s">
        <v>2042</v>
      </c>
      <c r="M345" s="184" t="s">
        <v>2042</v>
      </c>
      <c r="N345" s="184" t="s">
        <v>2042</v>
      </c>
      <c r="O345" s="184" t="s">
        <v>2042</v>
      </c>
      <c r="P345" s="184" t="s">
        <v>2042</v>
      </c>
      <c r="Q345" s="184" t="s">
        <v>2042</v>
      </c>
      <c r="R345" s="184" t="s">
        <v>2042</v>
      </c>
      <c r="S345" s="184" t="s">
        <v>2042</v>
      </c>
      <c r="T345" s="184" t="s">
        <v>2042</v>
      </c>
      <c r="U345" s="184" t="s">
        <v>2042</v>
      </c>
      <c r="V345" s="184" t="s">
        <v>2042</v>
      </c>
      <c r="W345" s="184" t="s">
        <v>2042</v>
      </c>
      <c r="X345" s="184" t="s">
        <v>2042</v>
      </c>
      <c r="Y345" s="184" t="s">
        <v>2042</v>
      </c>
      <c r="Z345" s="184" t="s">
        <v>2042</v>
      </c>
      <c r="AA345" s="184" t="s">
        <v>2042</v>
      </c>
      <c r="AB345" s="184" t="s">
        <v>2042</v>
      </c>
      <c r="AC345" s="184" t="s">
        <v>2042</v>
      </c>
      <c r="AD345" s="184" t="s">
        <v>2042</v>
      </c>
      <c r="AE345" s="184" t="s">
        <v>2042</v>
      </c>
      <c r="AF345" s="184" t="s">
        <v>2042</v>
      </c>
      <c r="AG345" s="184" t="s">
        <v>2042</v>
      </c>
      <c r="AH345" s="184" t="s">
        <v>2042</v>
      </c>
      <c r="AI345" s="184" t="s">
        <v>2042</v>
      </c>
      <c r="AJ345" s="184" t="s">
        <v>2042</v>
      </c>
      <c r="AK345" s="184" t="s">
        <v>2042</v>
      </c>
      <c r="AL345" s="184" t="s">
        <v>2042</v>
      </c>
      <c r="AM345" s="184" t="s">
        <v>2042</v>
      </c>
      <c r="AN345" s="184" t="s">
        <v>2042</v>
      </c>
      <c r="AO345" s="184" t="s">
        <v>2042</v>
      </c>
      <c r="AP345" s="184" t="s">
        <v>2042</v>
      </c>
      <c r="AQ345" s="175"/>
    </row>
    <row r="346" spans="1:43" ht="14.5">
      <c r="A346" s="169"/>
      <c r="B346" s="170"/>
      <c r="C346" s="191"/>
      <c r="D346" s="170"/>
      <c r="E346" s="170"/>
      <c r="F346" s="179"/>
      <c r="G346" s="186" t="e">
        <f>IF(C346="","",SUMIFS(MRP!$D$5:$D1000,MRP!$B$5:$B1000,C346))*E346</f>
        <v>#VALUE!</v>
      </c>
      <c r="H346" s="181" t="s">
        <v>2041</v>
      </c>
      <c r="I346" s="182">
        <v>0</v>
      </c>
      <c r="J346" s="183" t="s">
        <v>2042</v>
      </c>
      <c r="K346" s="184" t="s">
        <v>2042</v>
      </c>
      <c r="L346" s="184" t="s">
        <v>2042</v>
      </c>
      <c r="M346" s="184" t="s">
        <v>2042</v>
      </c>
      <c r="N346" s="184" t="s">
        <v>2042</v>
      </c>
      <c r="O346" s="184" t="s">
        <v>2042</v>
      </c>
      <c r="P346" s="184" t="s">
        <v>2042</v>
      </c>
      <c r="Q346" s="184" t="s">
        <v>2042</v>
      </c>
      <c r="R346" s="184" t="s">
        <v>2042</v>
      </c>
      <c r="S346" s="184" t="s">
        <v>2042</v>
      </c>
      <c r="T346" s="184" t="s">
        <v>2042</v>
      </c>
      <c r="U346" s="184" t="s">
        <v>2042</v>
      </c>
      <c r="V346" s="184" t="s">
        <v>2042</v>
      </c>
      <c r="W346" s="184" t="s">
        <v>2042</v>
      </c>
      <c r="X346" s="184" t="s">
        <v>2042</v>
      </c>
      <c r="Y346" s="184" t="s">
        <v>2042</v>
      </c>
      <c r="Z346" s="184" t="s">
        <v>2042</v>
      </c>
      <c r="AA346" s="184" t="s">
        <v>2042</v>
      </c>
      <c r="AB346" s="184" t="s">
        <v>2042</v>
      </c>
      <c r="AC346" s="184" t="s">
        <v>2042</v>
      </c>
      <c r="AD346" s="184" t="s">
        <v>2042</v>
      </c>
      <c r="AE346" s="184" t="s">
        <v>2042</v>
      </c>
      <c r="AF346" s="184" t="s">
        <v>2042</v>
      </c>
      <c r="AG346" s="184" t="s">
        <v>2042</v>
      </c>
      <c r="AH346" s="184" t="s">
        <v>2042</v>
      </c>
      <c r="AI346" s="184" t="s">
        <v>2042</v>
      </c>
      <c r="AJ346" s="184" t="s">
        <v>2042</v>
      </c>
      <c r="AK346" s="184" t="s">
        <v>2042</v>
      </c>
      <c r="AL346" s="184" t="s">
        <v>2042</v>
      </c>
      <c r="AM346" s="184" t="s">
        <v>2042</v>
      </c>
      <c r="AN346" s="184" t="s">
        <v>2042</v>
      </c>
      <c r="AO346" s="184" t="s">
        <v>2042</v>
      </c>
      <c r="AP346" s="184" t="s">
        <v>2042</v>
      </c>
      <c r="AQ346" s="175"/>
    </row>
    <row r="347" spans="1:43" ht="14.5">
      <c r="A347" s="169"/>
      <c r="B347" s="170"/>
      <c r="C347" s="191"/>
      <c r="D347" s="170"/>
      <c r="E347" s="170"/>
      <c r="F347" s="179"/>
      <c r="G347" s="186" t="e">
        <f>IF(C347="","",SUMIFS(MRP!$D$5:$D1000,MRP!$B$5:$B1000,C347))*E347</f>
        <v>#VALUE!</v>
      </c>
      <c r="H347" s="181" t="s">
        <v>2041</v>
      </c>
      <c r="I347" s="182">
        <v>0</v>
      </c>
      <c r="J347" s="183" t="s">
        <v>2042</v>
      </c>
      <c r="K347" s="184" t="s">
        <v>2042</v>
      </c>
      <c r="L347" s="184" t="s">
        <v>2042</v>
      </c>
      <c r="M347" s="184" t="s">
        <v>2042</v>
      </c>
      <c r="N347" s="184" t="s">
        <v>2042</v>
      </c>
      <c r="O347" s="184" t="s">
        <v>2042</v>
      </c>
      <c r="P347" s="184" t="s">
        <v>2042</v>
      </c>
      <c r="Q347" s="184" t="s">
        <v>2042</v>
      </c>
      <c r="R347" s="184" t="s">
        <v>2042</v>
      </c>
      <c r="S347" s="184" t="s">
        <v>2042</v>
      </c>
      <c r="T347" s="184" t="s">
        <v>2042</v>
      </c>
      <c r="U347" s="184" t="s">
        <v>2042</v>
      </c>
      <c r="V347" s="184" t="s">
        <v>2042</v>
      </c>
      <c r="W347" s="184" t="s">
        <v>2042</v>
      </c>
      <c r="X347" s="184" t="s">
        <v>2042</v>
      </c>
      <c r="Y347" s="184" t="s">
        <v>2042</v>
      </c>
      <c r="Z347" s="184" t="s">
        <v>2042</v>
      </c>
      <c r="AA347" s="184" t="s">
        <v>2042</v>
      </c>
      <c r="AB347" s="184" t="s">
        <v>2042</v>
      </c>
      <c r="AC347" s="184" t="s">
        <v>2042</v>
      </c>
      <c r="AD347" s="184" t="s">
        <v>2042</v>
      </c>
      <c r="AE347" s="184" t="s">
        <v>2042</v>
      </c>
      <c r="AF347" s="184" t="s">
        <v>2042</v>
      </c>
      <c r="AG347" s="184" t="s">
        <v>2042</v>
      </c>
      <c r="AH347" s="184" t="s">
        <v>2042</v>
      </c>
      <c r="AI347" s="184" t="s">
        <v>2042</v>
      </c>
      <c r="AJ347" s="184" t="s">
        <v>2042</v>
      </c>
      <c r="AK347" s="184" t="s">
        <v>2042</v>
      </c>
      <c r="AL347" s="184" t="s">
        <v>2042</v>
      </c>
      <c r="AM347" s="184" t="s">
        <v>2042</v>
      </c>
      <c r="AN347" s="184" t="s">
        <v>2042</v>
      </c>
      <c r="AO347" s="184" t="s">
        <v>2042</v>
      </c>
      <c r="AP347" s="184" t="s">
        <v>2042</v>
      </c>
      <c r="AQ347" s="175"/>
    </row>
    <row r="348" spans="1:43" ht="14.5">
      <c r="A348" s="169"/>
      <c r="B348" s="170"/>
      <c r="C348" s="191"/>
      <c r="D348" s="170"/>
      <c r="E348" s="170"/>
      <c r="F348" s="179"/>
      <c r="G348" s="186" t="e">
        <f>IF(C348="","",SUMIFS(MRP!$D$5:$D1000,MRP!$B$5:$B1000,C348))*E348</f>
        <v>#VALUE!</v>
      </c>
      <c r="H348" s="181" t="s">
        <v>2041</v>
      </c>
      <c r="I348" s="182">
        <v>0</v>
      </c>
      <c r="J348" s="183" t="s">
        <v>2042</v>
      </c>
      <c r="K348" s="184" t="s">
        <v>2042</v>
      </c>
      <c r="L348" s="184" t="s">
        <v>2042</v>
      </c>
      <c r="M348" s="184" t="s">
        <v>2042</v>
      </c>
      <c r="N348" s="184" t="s">
        <v>2042</v>
      </c>
      <c r="O348" s="184" t="s">
        <v>2042</v>
      </c>
      <c r="P348" s="184" t="s">
        <v>2042</v>
      </c>
      <c r="Q348" s="184" t="s">
        <v>2042</v>
      </c>
      <c r="R348" s="184" t="s">
        <v>2042</v>
      </c>
      <c r="S348" s="184" t="s">
        <v>2042</v>
      </c>
      <c r="T348" s="184" t="s">
        <v>2042</v>
      </c>
      <c r="U348" s="184" t="s">
        <v>2042</v>
      </c>
      <c r="V348" s="184" t="s">
        <v>2042</v>
      </c>
      <c r="W348" s="184" t="s">
        <v>2042</v>
      </c>
      <c r="X348" s="184" t="s">
        <v>2042</v>
      </c>
      <c r="Y348" s="184" t="s">
        <v>2042</v>
      </c>
      <c r="Z348" s="184" t="s">
        <v>2042</v>
      </c>
      <c r="AA348" s="184" t="s">
        <v>2042</v>
      </c>
      <c r="AB348" s="184" t="s">
        <v>2042</v>
      </c>
      <c r="AC348" s="184" t="s">
        <v>2042</v>
      </c>
      <c r="AD348" s="184" t="s">
        <v>2042</v>
      </c>
      <c r="AE348" s="184" t="s">
        <v>2042</v>
      </c>
      <c r="AF348" s="184" t="s">
        <v>2042</v>
      </c>
      <c r="AG348" s="184" t="s">
        <v>2042</v>
      </c>
      <c r="AH348" s="184" t="s">
        <v>2042</v>
      </c>
      <c r="AI348" s="184" t="s">
        <v>2042</v>
      </c>
      <c r="AJ348" s="184" t="s">
        <v>2042</v>
      </c>
      <c r="AK348" s="184" t="s">
        <v>2042</v>
      </c>
      <c r="AL348" s="184" t="s">
        <v>2042</v>
      </c>
      <c r="AM348" s="184" t="s">
        <v>2042</v>
      </c>
      <c r="AN348" s="184" t="s">
        <v>2042</v>
      </c>
      <c r="AO348" s="184" t="s">
        <v>2042</v>
      </c>
      <c r="AP348" s="184" t="s">
        <v>2042</v>
      </c>
      <c r="AQ348" s="175"/>
    </row>
    <row r="349" spans="1:43" ht="14.5">
      <c r="A349" s="169"/>
      <c r="B349" s="170"/>
      <c r="C349" s="191"/>
      <c r="D349" s="170"/>
      <c r="E349" s="170"/>
      <c r="F349" s="179"/>
      <c r="G349" s="186" t="e">
        <f>IF(C349="","",SUMIFS(MRP!$D$5:$D1000,MRP!$B$5:$B1000,C349))*E349</f>
        <v>#VALUE!</v>
      </c>
      <c r="H349" s="181" t="s">
        <v>2041</v>
      </c>
      <c r="I349" s="182">
        <v>0</v>
      </c>
      <c r="J349" s="183" t="s">
        <v>2042</v>
      </c>
      <c r="K349" s="184" t="s">
        <v>2042</v>
      </c>
      <c r="L349" s="184" t="s">
        <v>2042</v>
      </c>
      <c r="M349" s="184" t="s">
        <v>2042</v>
      </c>
      <c r="N349" s="184" t="s">
        <v>2042</v>
      </c>
      <c r="O349" s="184" t="s">
        <v>2042</v>
      </c>
      <c r="P349" s="184" t="s">
        <v>2042</v>
      </c>
      <c r="Q349" s="184" t="s">
        <v>2042</v>
      </c>
      <c r="R349" s="184" t="s">
        <v>2042</v>
      </c>
      <c r="S349" s="184" t="s">
        <v>2042</v>
      </c>
      <c r="T349" s="184" t="s">
        <v>2042</v>
      </c>
      <c r="U349" s="184" t="s">
        <v>2042</v>
      </c>
      <c r="V349" s="184" t="s">
        <v>2042</v>
      </c>
      <c r="W349" s="184" t="s">
        <v>2042</v>
      </c>
      <c r="X349" s="184" t="s">
        <v>2042</v>
      </c>
      <c r="Y349" s="184" t="s">
        <v>2042</v>
      </c>
      <c r="Z349" s="184" t="s">
        <v>2042</v>
      </c>
      <c r="AA349" s="184" t="s">
        <v>2042</v>
      </c>
      <c r="AB349" s="184" t="s">
        <v>2042</v>
      </c>
      <c r="AC349" s="184" t="s">
        <v>2042</v>
      </c>
      <c r="AD349" s="184" t="s">
        <v>2042</v>
      </c>
      <c r="AE349" s="184" t="s">
        <v>2042</v>
      </c>
      <c r="AF349" s="184" t="s">
        <v>2042</v>
      </c>
      <c r="AG349" s="184" t="s">
        <v>2042</v>
      </c>
      <c r="AH349" s="184" t="s">
        <v>2042</v>
      </c>
      <c r="AI349" s="184" t="s">
        <v>2042</v>
      </c>
      <c r="AJ349" s="184" t="s">
        <v>2042</v>
      </c>
      <c r="AK349" s="184" t="s">
        <v>2042</v>
      </c>
      <c r="AL349" s="184" t="s">
        <v>2042</v>
      </c>
      <c r="AM349" s="184" t="s">
        <v>2042</v>
      </c>
      <c r="AN349" s="184" t="s">
        <v>2042</v>
      </c>
      <c r="AO349" s="184" t="s">
        <v>2042</v>
      </c>
      <c r="AP349" s="184" t="s">
        <v>2042</v>
      </c>
      <c r="AQ349" s="175"/>
    </row>
    <row r="350" spans="1:43" ht="14.5">
      <c r="A350" s="169"/>
      <c r="B350" s="170"/>
      <c r="C350" s="191"/>
      <c r="D350" s="170"/>
      <c r="E350" s="170"/>
      <c r="F350" s="179"/>
      <c r="G350" s="186" t="e">
        <f>IF(C350="","",SUMIFS(MRP!$D$5:$D1000,MRP!$B$5:$B1000,C350))*E350</f>
        <v>#VALUE!</v>
      </c>
      <c r="H350" s="181" t="s">
        <v>2041</v>
      </c>
      <c r="I350" s="182">
        <v>0</v>
      </c>
      <c r="J350" s="183" t="s">
        <v>2042</v>
      </c>
      <c r="K350" s="184" t="s">
        <v>2042</v>
      </c>
      <c r="L350" s="184" t="s">
        <v>2042</v>
      </c>
      <c r="M350" s="184" t="s">
        <v>2042</v>
      </c>
      <c r="N350" s="184" t="s">
        <v>2042</v>
      </c>
      <c r="O350" s="184" t="s">
        <v>2042</v>
      </c>
      <c r="P350" s="184" t="s">
        <v>2042</v>
      </c>
      <c r="Q350" s="184" t="s">
        <v>2042</v>
      </c>
      <c r="R350" s="184" t="s">
        <v>2042</v>
      </c>
      <c r="S350" s="184" t="s">
        <v>2042</v>
      </c>
      <c r="T350" s="184" t="s">
        <v>2042</v>
      </c>
      <c r="U350" s="184" t="s">
        <v>2042</v>
      </c>
      <c r="V350" s="184" t="s">
        <v>2042</v>
      </c>
      <c r="W350" s="184" t="s">
        <v>2042</v>
      </c>
      <c r="X350" s="184" t="s">
        <v>2042</v>
      </c>
      <c r="Y350" s="184" t="s">
        <v>2042</v>
      </c>
      <c r="Z350" s="184" t="s">
        <v>2042</v>
      </c>
      <c r="AA350" s="184" t="s">
        <v>2042</v>
      </c>
      <c r="AB350" s="184" t="s">
        <v>2042</v>
      </c>
      <c r="AC350" s="184" t="s">
        <v>2042</v>
      </c>
      <c r="AD350" s="184" t="s">
        <v>2042</v>
      </c>
      <c r="AE350" s="184" t="s">
        <v>2042</v>
      </c>
      <c r="AF350" s="184" t="s">
        <v>2042</v>
      </c>
      <c r="AG350" s="184" t="s">
        <v>2042</v>
      </c>
      <c r="AH350" s="184" t="s">
        <v>2042</v>
      </c>
      <c r="AI350" s="184" t="s">
        <v>2042</v>
      </c>
      <c r="AJ350" s="184" t="s">
        <v>2042</v>
      </c>
      <c r="AK350" s="184" t="s">
        <v>2042</v>
      </c>
      <c r="AL350" s="184" t="s">
        <v>2042</v>
      </c>
      <c r="AM350" s="184" t="s">
        <v>2042</v>
      </c>
      <c r="AN350" s="184" t="s">
        <v>2042</v>
      </c>
      <c r="AO350" s="184" t="s">
        <v>2042</v>
      </c>
      <c r="AP350" s="184" t="s">
        <v>2042</v>
      </c>
      <c r="AQ350" s="175"/>
    </row>
    <row r="351" spans="1:43" ht="14.5">
      <c r="A351" s="169"/>
      <c r="B351" s="170"/>
      <c r="C351" s="191"/>
      <c r="D351" s="170"/>
      <c r="E351" s="170"/>
      <c r="F351" s="179"/>
      <c r="G351" s="186" t="e">
        <f>IF(C351="","",SUMIFS(MRP!$D$5:$D1000,MRP!$B$5:$B1000,C351))*E351</f>
        <v>#VALUE!</v>
      </c>
      <c r="H351" s="181" t="s">
        <v>2041</v>
      </c>
      <c r="I351" s="182">
        <v>0</v>
      </c>
      <c r="J351" s="183" t="s">
        <v>2042</v>
      </c>
      <c r="K351" s="184" t="s">
        <v>2042</v>
      </c>
      <c r="L351" s="184" t="s">
        <v>2042</v>
      </c>
      <c r="M351" s="184" t="s">
        <v>2042</v>
      </c>
      <c r="N351" s="184" t="s">
        <v>2042</v>
      </c>
      <c r="O351" s="184" t="s">
        <v>2042</v>
      </c>
      <c r="P351" s="184" t="s">
        <v>2042</v>
      </c>
      <c r="Q351" s="184" t="s">
        <v>2042</v>
      </c>
      <c r="R351" s="184" t="s">
        <v>2042</v>
      </c>
      <c r="S351" s="184" t="s">
        <v>2042</v>
      </c>
      <c r="T351" s="184" t="s">
        <v>2042</v>
      </c>
      <c r="U351" s="184" t="s">
        <v>2042</v>
      </c>
      <c r="V351" s="184" t="s">
        <v>2042</v>
      </c>
      <c r="W351" s="184" t="s">
        <v>2042</v>
      </c>
      <c r="X351" s="184" t="s">
        <v>2042</v>
      </c>
      <c r="Y351" s="184" t="s">
        <v>2042</v>
      </c>
      <c r="Z351" s="184" t="s">
        <v>2042</v>
      </c>
      <c r="AA351" s="184" t="s">
        <v>2042</v>
      </c>
      <c r="AB351" s="184" t="s">
        <v>2042</v>
      </c>
      <c r="AC351" s="184" t="s">
        <v>2042</v>
      </c>
      <c r="AD351" s="184" t="s">
        <v>2042</v>
      </c>
      <c r="AE351" s="184" t="s">
        <v>2042</v>
      </c>
      <c r="AF351" s="184" t="s">
        <v>2042</v>
      </c>
      <c r="AG351" s="184" t="s">
        <v>2042</v>
      </c>
      <c r="AH351" s="184" t="s">
        <v>2042</v>
      </c>
      <c r="AI351" s="184" t="s">
        <v>2042</v>
      </c>
      <c r="AJ351" s="184" t="s">
        <v>2042</v>
      </c>
      <c r="AK351" s="184" t="s">
        <v>2042</v>
      </c>
      <c r="AL351" s="184" t="s">
        <v>2042</v>
      </c>
      <c r="AM351" s="184" t="s">
        <v>2042</v>
      </c>
      <c r="AN351" s="184" t="s">
        <v>2042</v>
      </c>
      <c r="AO351" s="184" t="s">
        <v>2042</v>
      </c>
      <c r="AP351" s="184" t="s">
        <v>2042</v>
      </c>
      <c r="AQ351" s="175"/>
    </row>
    <row r="352" spans="1:43" ht="14.5">
      <c r="A352" s="169"/>
      <c r="B352" s="170"/>
      <c r="C352" s="191"/>
      <c r="D352" s="170"/>
      <c r="E352" s="170"/>
      <c r="F352" s="179"/>
      <c r="G352" s="186" t="e">
        <f>IF(C352="","",SUMIFS(MRP!$D$5:$D1000,MRP!$B$5:$B1000,C352))*E352</f>
        <v>#VALUE!</v>
      </c>
      <c r="H352" s="181" t="s">
        <v>2041</v>
      </c>
      <c r="I352" s="182">
        <v>0</v>
      </c>
      <c r="J352" s="183" t="s">
        <v>2042</v>
      </c>
      <c r="K352" s="184" t="s">
        <v>2042</v>
      </c>
      <c r="L352" s="184" t="s">
        <v>2042</v>
      </c>
      <c r="M352" s="184" t="s">
        <v>2042</v>
      </c>
      <c r="N352" s="184" t="s">
        <v>2042</v>
      </c>
      <c r="O352" s="184" t="s">
        <v>2042</v>
      </c>
      <c r="P352" s="184" t="s">
        <v>2042</v>
      </c>
      <c r="Q352" s="184" t="s">
        <v>2042</v>
      </c>
      <c r="R352" s="184" t="s">
        <v>2042</v>
      </c>
      <c r="S352" s="184" t="s">
        <v>2042</v>
      </c>
      <c r="T352" s="184" t="s">
        <v>2042</v>
      </c>
      <c r="U352" s="184" t="s">
        <v>2042</v>
      </c>
      <c r="V352" s="184" t="s">
        <v>2042</v>
      </c>
      <c r="W352" s="184" t="s">
        <v>2042</v>
      </c>
      <c r="X352" s="184" t="s">
        <v>2042</v>
      </c>
      <c r="Y352" s="184" t="s">
        <v>2042</v>
      </c>
      <c r="Z352" s="184" t="s">
        <v>2042</v>
      </c>
      <c r="AA352" s="184" t="s">
        <v>2042</v>
      </c>
      <c r="AB352" s="184" t="s">
        <v>2042</v>
      </c>
      <c r="AC352" s="184" t="s">
        <v>2042</v>
      </c>
      <c r="AD352" s="184" t="s">
        <v>2042</v>
      </c>
      <c r="AE352" s="184" t="s">
        <v>2042</v>
      </c>
      <c r="AF352" s="184" t="s">
        <v>2042</v>
      </c>
      <c r="AG352" s="184" t="s">
        <v>2042</v>
      </c>
      <c r="AH352" s="184" t="s">
        <v>2042</v>
      </c>
      <c r="AI352" s="184" t="s">
        <v>2042</v>
      </c>
      <c r="AJ352" s="184" t="s">
        <v>2042</v>
      </c>
      <c r="AK352" s="184" t="s">
        <v>2042</v>
      </c>
      <c r="AL352" s="184" t="s">
        <v>2042</v>
      </c>
      <c r="AM352" s="184" t="s">
        <v>2042</v>
      </c>
      <c r="AN352" s="184" t="s">
        <v>2042</v>
      </c>
      <c r="AO352" s="184" t="s">
        <v>2042</v>
      </c>
      <c r="AP352" s="184" t="s">
        <v>2042</v>
      </c>
      <c r="AQ352" s="175"/>
    </row>
    <row r="353" spans="1:43" ht="14.5">
      <c r="A353" s="169"/>
      <c r="B353" s="170"/>
      <c r="C353" s="191"/>
      <c r="D353" s="170"/>
      <c r="E353" s="170"/>
      <c r="F353" s="179"/>
      <c r="G353" s="186" t="e">
        <f>IF(C353="","",SUMIFS(MRP!$D$5:$D1000,MRP!$B$5:$B1000,C353))*E353</f>
        <v>#VALUE!</v>
      </c>
      <c r="H353" s="181" t="s">
        <v>2041</v>
      </c>
      <c r="I353" s="182">
        <v>0</v>
      </c>
      <c r="J353" s="183" t="s">
        <v>2042</v>
      </c>
      <c r="K353" s="184" t="s">
        <v>2042</v>
      </c>
      <c r="L353" s="184" t="s">
        <v>2042</v>
      </c>
      <c r="M353" s="184" t="s">
        <v>2042</v>
      </c>
      <c r="N353" s="184" t="s">
        <v>2042</v>
      </c>
      <c r="O353" s="184" t="s">
        <v>2042</v>
      </c>
      <c r="P353" s="184" t="s">
        <v>2042</v>
      </c>
      <c r="Q353" s="184" t="s">
        <v>2042</v>
      </c>
      <c r="R353" s="184" t="s">
        <v>2042</v>
      </c>
      <c r="S353" s="184" t="s">
        <v>2042</v>
      </c>
      <c r="T353" s="184" t="s">
        <v>2042</v>
      </c>
      <c r="U353" s="184" t="s">
        <v>2042</v>
      </c>
      <c r="V353" s="184" t="s">
        <v>2042</v>
      </c>
      <c r="W353" s="184" t="s">
        <v>2042</v>
      </c>
      <c r="X353" s="184" t="s">
        <v>2042</v>
      </c>
      <c r="Y353" s="184" t="s">
        <v>2042</v>
      </c>
      <c r="Z353" s="184" t="s">
        <v>2042</v>
      </c>
      <c r="AA353" s="184" t="s">
        <v>2042</v>
      </c>
      <c r="AB353" s="184" t="s">
        <v>2042</v>
      </c>
      <c r="AC353" s="184" t="s">
        <v>2042</v>
      </c>
      <c r="AD353" s="184" t="s">
        <v>2042</v>
      </c>
      <c r="AE353" s="184" t="s">
        <v>2042</v>
      </c>
      <c r="AF353" s="184" t="s">
        <v>2042</v>
      </c>
      <c r="AG353" s="184" t="s">
        <v>2042</v>
      </c>
      <c r="AH353" s="184" t="s">
        <v>2042</v>
      </c>
      <c r="AI353" s="184" t="s">
        <v>2042</v>
      </c>
      <c r="AJ353" s="184" t="s">
        <v>2042</v>
      </c>
      <c r="AK353" s="184" t="s">
        <v>2042</v>
      </c>
      <c r="AL353" s="184" t="s">
        <v>2042</v>
      </c>
      <c r="AM353" s="184" t="s">
        <v>2042</v>
      </c>
      <c r="AN353" s="184" t="s">
        <v>2042</v>
      </c>
      <c r="AO353" s="184" t="s">
        <v>2042</v>
      </c>
      <c r="AP353" s="184" t="s">
        <v>2042</v>
      </c>
      <c r="AQ353" s="175"/>
    </row>
    <row r="354" spans="1:43" ht="14.5">
      <c r="A354" s="169"/>
      <c r="B354" s="170"/>
      <c r="C354" s="191"/>
      <c r="D354" s="170"/>
      <c r="E354" s="170"/>
      <c r="F354" s="179"/>
      <c r="G354" s="186" t="e">
        <f>IF(C354="","",SUMIFS(MRP!$D$5:$D1000,MRP!$B$5:$B1000,C354))*E354</f>
        <v>#VALUE!</v>
      </c>
      <c r="H354" s="181" t="s">
        <v>2041</v>
      </c>
      <c r="I354" s="182">
        <v>0</v>
      </c>
      <c r="J354" s="183" t="s">
        <v>2042</v>
      </c>
      <c r="K354" s="184" t="s">
        <v>2042</v>
      </c>
      <c r="L354" s="184" t="s">
        <v>2042</v>
      </c>
      <c r="M354" s="184" t="s">
        <v>2042</v>
      </c>
      <c r="N354" s="184" t="s">
        <v>2042</v>
      </c>
      <c r="O354" s="184" t="s">
        <v>2042</v>
      </c>
      <c r="P354" s="184" t="s">
        <v>2042</v>
      </c>
      <c r="Q354" s="184" t="s">
        <v>2042</v>
      </c>
      <c r="R354" s="184" t="s">
        <v>2042</v>
      </c>
      <c r="S354" s="184" t="s">
        <v>2042</v>
      </c>
      <c r="T354" s="184" t="s">
        <v>2042</v>
      </c>
      <c r="U354" s="184" t="s">
        <v>2042</v>
      </c>
      <c r="V354" s="184" t="s">
        <v>2042</v>
      </c>
      <c r="W354" s="184" t="s">
        <v>2042</v>
      </c>
      <c r="X354" s="184" t="s">
        <v>2042</v>
      </c>
      <c r="Y354" s="184" t="s">
        <v>2042</v>
      </c>
      <c r="Z354" s="184" t="s">
        <v>2042</v>
      </c>
      <c r="AA354" s="184" t="s">
        <v>2042</v>
      </c>
      <c r="AB354" s="184" t="s">
        <v>2042</v>
      </c>
      <c r="AC354" s="184" t="s">
        <v>2042</v>
      </c>
      <c r="AD354" s="184" t="s">
        <v>2042</v>
      </c>
      <c r="AE354" s="184" t="s">
        <v>2042</v>
      </c>
      <c r="AF354" s="184" t="s">
        <v>2042</v>
      </c>
      <c r="AG354" s="184" t="s">
        <v>2042</v>
      </c>
      <c r="AH354" s="184" t="s">
        <v>2042</v>
      </c>
      <c r="AI354" s="184" t="s">
        <v>2042</v>
      </c>
      <c r="AJ354" s="184" t="s">
        <v>2042</v>
      </c>
      <c r="AK354" s="184" t="s">
        <v>2042</v>
      </c>
      <c r="AL354" s="184" t="s">
        <v>2042</v>
      </c>
      <c r="AM354" s="184" t="s">
        <v>2042</v>
      </c>
      <c r="AN354" s="184" t="s">
        <v>2042</v>
      </c>
      <c r="AO354" s="184" t="s">
        <v>2042</v>
      </c>
      <c r="AP354" s="184" t="s">
        <v>2042</v>
      </c>
      <c r="AQ354" s="175"/>
    </row>
    <row r="355" spans="1:43" ht="14.5">
      <c r="A355" s="169"/>
      <c r="B355" s="170"/>
      <c r="C355" s="191"/>
      <c r="D355" s="170"/>
      <c r="E355" s="170"/>
      <c r="F355" s="179"/>
      <c r="G355" s="186" t="e">
        <f>IF(C355="","",SUMIFS(MRP!$D$5:$D1000,MRP!$B$5:$B1000,C355))*E355</f>
        <v>#VALUE!</v>
      </c>
      <c r="H355" s="181" t="s">
        <v>2041</v>
      </c>
      <c r="I355" s="182">
        <v>0</v>
      </c>
      <c r="J355" s="183" t="s">
        <v>2042</v>
      </c>
      <c r="K355" s="184" t="s">
        <v>2042</v>
      </c>
      <c r="L355" s="184" t="s">
        <v>2042</v>
      </c>
      <c r="M355" s="184" t="s">
        <v>2042</v>
      </c>
      <c r="N355" s="184" t="s">
        <v>2042</v>
      </c>
      <c r="O355" s="184" t="s">
        <v>2042</v>
      </c>
      <c r="P355" s="184" t="s">
        <v>2042</v>
      </c>
      <c r="Q355" s="184" t="s">
        <v>2042</v>
      </c>
      <c r="R355" s="184" t="s">
        <v>2042</v>
      </c>
      <c r="S355" s="184" t="s">
        <v>2042</v>
      </c>
      <c r="T355" s="184" t="s">
        <v>2042</v>
      </c>
      <c r="U355" s="184" t="s">
        <v>2042</v>
      </c>
      <c r="V355" s="184" t="s">
        <v>2042</v>
      </c>
      <c r="W355" s="184" t="s">
        <v>2042</v>
      </c>
      <c r="X355" s="184" t="s">
        <v>2042</v>
      </c>
      <c r="Y355" s="184" t="s">
        <v>2042</v>
      </c>
      <c r="Z355" s="184" t="s">
        <v>2042</v>
      </c>
      <c r="AA355" s="184" t="s">
        <v>2042</v>
      </c>
      <c r="AB355" s="184" t="s">
        <v>2042</v>
      </c>
      <c r="AC355" s="184" t="s">
        <v>2042</v>
      </c>
      <c r="AD355" s="184" t="s">
        <v>2042</v>
      </c>
      <c r="AE355" s="184" t="s">
        <v>2042</v>
      </c>
      <c r="AF355" s="184" t="s">
        <v>2042</v>
      </c>
      <c r="AG355" s="184" t="s">
        <v>2042</v>
      </c>
      <c r="AH355" s="184" t="s">
        <v>2042</v>
      </c>
      <c r="AI355" s="184" t="s">
        <v>2042</v>
      </c>
      <c r="AJ355" s="184" t="s">
        <v>2042</v>
      </c>
      <c r="AK355" s="184" t="s">
        <v>2042</v>
      </c>
      <c r="AL355" s="184" t="s">
        <v>2042</v>
      </c>
      <c r="AM355" s="184" t="s">
        <v>2042</v>
      </c>
      <c r="AN355" s="184" t="s">
        <v>2042</v>
      </c>
      <c r="AO355" s="184" t="s">
        <v>2042</v>
      </c>
      <c r="AP355" s="184" t="s">
        <v>2042</v>
      </c>
      <c r="AQ355" s="175"/>
    </row>
    <row r="356" spans="1:43" ht="14.5">
      <c r="A356" s="169"/>
      <c r="B356" s="170"/>
      <c r="C356" s="191"/>
      <c r="D356" s="170"/>
      <c r="E356" s="170"/>
      <c r="F356" s="179"/>
      <c r="G356" s="186" t="e">
        <f>IF(C356="","",SUMIFS(MRP!$D$5:$D1000,MRP!$B$5:$B1000,C356))*E356</f>
        <v>#VALUE!</v>
      </c>
      <c r="H356" s="181" t="s">
        <v>2041</v>
      </c>
      <c r="I356" s="182">
        <v>0</v>
      </c>
      <c r="J356" s="183" t="s">
        <v>2042</v>
      </c>
      <c r="K356" s="184" t="s">
        <v>2042</v>
      </c>
      <c r="L356" s="184" t="s">
        <v>2042</v>
      </c>
      <c r="M356" s="184" t="s">
        <v>2042</v>
      </c>
      <c r="N356" s="184" t="s">
        <v>2042</v>
      </c>
      <c r="O356" s="184" t="s">
        <v>2042</v>
      </c>
      <c r="P356" s="184" t="s">
        <v>2042</v>
      </c>
      <c r="Q356" s="184" t="s">
        <v>2042</v>
      </c>
      <c r="R356" s="184" t="s">
        <v>2042</v>
      </c>
      <c r="S356" s="184" t="s">
        <v>2042</v>
      </c>
      <c r="T356" s="184" t="s">
        <v>2042</v>
      </c>
      <c r="U356" s="184" t="s">
        <v>2042</v>
      </c>
      <c r="V356" s="184" t="s">
        <v>2042</v>
      </c>
      <c r="W356" s="184" t="s">
        <v>2042</v>
      </c>
      <c r="X356" s="184" t="s">
        <v>2042</v>
      </c>
      <c r="Y356" s="184" t="s">
        <v>2042</v>
      </c>
      <c r="Z356" s="184" t="s">
        <v>2042</v>
      </c>
      <c r="AA356" s="184" t="s">
        <v>2042</v>
      </c>
      <c r="AB356" s="184" t="s">
        <v>2042</v>
      </c>
      <c r="AC356" s="184" t="s">
        <v>2042</v>
      </c>
      <c r="AD356" s="184" t="s">
        <v>2042</v>
      </c>
      <c r="AE356" s="184" t="s">
        <v>2042</v>
      </c>
      <c r="AF356" s="184" t="s">
        <v>2042</v>
      </c>
      <c r="AG356" s="184" t="s">
        <v>2042</v>
      </c>
      <c r="AH356" s="184" t="s">
        <v>2042</v>
      </c>
      <c r="AI356" s="184" t="s">
        <v>2042</v>
      </c>
      <c r="AJ356" s="184" t="s">
        <v>2042</v>
      </c>
      <c r="AK356" s="184" t="s">
        <v>2042</v>
      </c>
      <c r="AL356" s="184" t="s">
        <v>2042</v>
      </c>
      <c r="AM356" s="184" t="s">
        <v>2042</v>
      </c>
      <c r="AN356" s="184" t="s">
        <v>2042</v>
      </c>
      <c r="AO356" s="184" t="s">
        <v>2042</v>
      </c>
      <c r="AP356" s="184" t="s">
        <v>2042</v>
      </c>
      <c r="AQ356" s="175"/>
    </row>
    <row r="357" spans="1:43" ht="14.5">
      <c r="A357" s="169"/>
      <c r="B357" s="170"/>
      <c r="C357" s="191"/>
      <c r="D357" s="170"/>
      <c r="E357" s="170"/>
      <c r="F357" s="179"/>
      <c r="G357" s="186" t="e">
        <f>IF(C357="","",SUMIFS(MRP!$D$5:$D1000,MRP!$B$5:$B1000,C357))*E357</f>
        <v>#VALUE!</v>
      </c>
      <c r="H357" s="181" t="s">
        <v>2041</v>
      </c>
      <c r="I357" s="182">
        <v>0</v>
      </c>
      <c r="J357" s="183" t="s">
        <v>2042</v>
      </c>
      <c r="K357" s="184" t="s">
        <v>2042</v>
      </c>
      <c r="L357" s="184" t="s">
        <v>2042</v>
      </c>
      <c r="M357" s="184" t="s">
        <v>2042</v>
      </c>
      <c r="N357" s="184" t="s">
        <v>2042</v>
      </c>
      <c r="O357" s="184" t="s">
        <v>2042</v>
      </c>
      <c r="P357" s="184" t="s">
        <v>2042</v>
      </c>
      <c r="Q357" s="184" t="s">
        <v>2042</v>
      </c>
      <c r="R357" s="184" t="s">
        <v>2042</v>
      </c>
      <c r="S357" s="184" t="s">
        <v>2042</v>
      </c>
      <c r="T357" s="184" t="s">
        <v>2042</v>
      </c>
      <c r="U357" s="184" t="s">
        <v>2042</v>
      </c>
      <c r="V357" s="184" t="s">
        <v>2042</v>
      </c>
      <c r="W357" s="184" t="s">
        <v>2042</v>
      </c>
      <c r="X357" s="184" t="s">
        <v>2042</v>
      </c>
      <c r="Y357" s="184" t="s">
        <v>2042</v>
      </c>
      <c r="Z357" s="184" t="s">
        <v>2042</v>
      </c>
      <c r="AA357" s="184" t="s">
        <v>2042</v>
      </c>
      <c r="AB357" s="184" t="s">
        <v>2042</v>
      </c>
      <c r="AC357" s="184" t="s">
        <v>2042</v>
      </c>
      <c r="AD357" s="184" t="s">
        <v>2042</v>
      </c>
      <c r="AE357" s="184" t="s">
        <v>2042</v>
      </c>
      <c r="AF357" s="184" t="s">
        <v>2042</v>
      </c>
      <c r="AG357" s="184" t="s">
        <v>2042</v>
      </c>
      <c r="AH357" s="184" t="s">
        <v>2042</v>
      </c>
      <c r="AI357" s="184" t="s">
        <v>2042</v>
      </c>
      <c r="AJ357" s="184" t="s">
        <v>2042</v>
      </c>
      <c r="AK357" s="184" t="s">
        <v>2042</v>
      </c>
      <c r="AL357" s="184" t="s">
        <v>2042</v>
      </c>
      <c r="AM357" s="184" t="s">
        <v>2042</v>
      </c>
      <c r="AN357" s="184" t="s">
        <v>2042</v>
      </c>
      <c r="AO357" s="184" t="s">
        <v>2042</v>
      </c>
      <c r="AP357" s="184" t="s">
        <v>2042</v>
      </c>
      <c r="AQ357" s="175"/>
    </row>
    <row r="358" spans="1:43" ht="14.5">
      <c r="A358" s="169"/>
      <c r="B358" s="170"/>
      <c r="C358" s="191"/>
      <c r="D358" s="170"/>
      <c r="E358" s="170"/>
      <c r="F358" s="179"/>
      <c r="G358" s="186" t="e">
        <f>IF(C358="","",SUMIFS(MRP!$D$5:$D1000,MRP!$B$5:$B1000,C358))*E358</f>
        <v>#VALUE!</v>
      </c>
      <c r="H358" s="181" t="s">
        <v>2041</v>
      </c>
      <c r="I358" s="182">
        <v>0</v>
      </c>
      <c r="J358" s="183" t="s">
        <v>2042</v>
      </c>
      <c r="K358" s="184" t="s">
        <v>2042</v>
      </c>
      <c r="L358" s="184" t="s">
        <v>2042</v>
      </c>
      <c r="M358" s="184" t="s">
        <v>2042</v>
      </c>
      <c r="N358" s="184" t="s">
        <v>2042</v>
      </c>
      <c r="O358" s="184" t="s">
        <v>2042</v>
      </c>
      <c r="P358" s="184" t="s">
        <v>2042</v>
      </c>
      <c r="Q358" s="184" t="s">
        <v>2042</v>
      </c>
      <c r="R358" s="184" t="s">
        <v>2042</v>
      </c>
      <c r="S358" s="184" t="s">
        <v>2042</v>
      </c>
      <c r="T358" s="184" t="s">
        <v>2042</v>
      </c>
      <c r="U358" s="184" t="s">
        <v>2042</v>
      </c>
      <c r="V358" s="184" t="s">
        <v>2042</v>
      </c>
      <c r="W358" s="184" t="s">
        <v>2042</v>
      </c>
      <c r="X358" s="184" t="s">
        <v>2042</v>
      </c>
      <c r="Y358" s="184" t="s">
        <v>2042</v>
      </c>
      <c r="Z358" s="184" t="s">
        <v>2042</v>
      </c>
      <c r="AA358" s="184" t="s">
        <v>2042</v>
      </c>
      <c r="AB358" s="184" t="s">
        <v>2042</v>
      </c>
      <c r="AC358" s="184" t="s">
        <v>2042</v>
      </c>
      <c r="AD358" s="184" t="s">
        <v>2042</v>
      </c>
      <c r="AE358" s="184" t="s">
        <v>2042</v>
      </c>
      <c r="AF358" s="184" t="s">
        <v>2042</v>
      </c>
      <c r="AG358" s="184" t="s">
        <v>2042</v>
      </c>
      <c r="AH358" s="184" t="s">
        <v>2042</v>
      </c>
      <c r="AI358" s="184" t="s">
        <v>2042</v>
      </c>
      <c r="AJ358" s="184" t="s">
        <v>2042</v>
      </c>
      <c r="AK358" s="184" t="s">
        <v>2042</v>
      </c>
      <c r="AL358" s="184" t="s">
        <v>2042</v>
      </c>
      <c r="AM358" s="184" t="s">
        <v>2042</v>
      </c>
      <c r="AN358" s="184" t="s">
        <v>2042</v>
      </c>
      <c r="AO358" s="184" t="s">
        <v>2042</v>
      </c>
      <c r="AP358" s="184" t="s">
        <v>2042</v>
      </c>
      <c r="AQ358" s="175"/>
    </row>
    <row r="359" spans="1:43" ht="14.5">
      <c r="A359" s="169"/>
      <c r="B359" s="170"/>
      <c r="C359" s="191"/>
      <c r="D359" s="170"/>
      <c r="E359" s="170"/>
      <c r="F359" s="179"/>
      <c r="G359" s="186" t="e">
        <f>IF(C359="","",SUMIFS(MRP!$D$5:$D1000,MRP!$B$5:$B1000,C359))*E359</f>
        <v>#VALUE!</v>
      </c>
      <c r="H359" s="181" t="s">
        <v>2041</v>
      </c>
      <c r="I359" s="182">
        <v>0</v>
      </c>
      <c r="J359" s="183" t="s">
        <v>2042</v>
      </c>
      <c r="K359" s="184" t="s">
        <v>2042</v>
      </c>
      <c r="L359" s="184" t="s">
        <v>2042</v>
      </c>
      <c r="M359" s="184" t="s">
        <v>2042</v>
      </c>
      <c r="N359" s="184" t="s">
        <v>2042</v>
      </c>
      <c r="O359" s="184" t="s">
        <v>2042</v>
      </c>
      <c r="P359" s="184" t="s">
        <v>2042</v>
      </c>
      <c r="Q359" s="184" t="s">
        <v>2042</v>
      </c>
      <c r="R359" s="184" t="s">
        <v>2042</v>
      </c>
      <c r="S359" s="184" t="s">
        <v>2042</v>
      </c>
      <c r="T359" s="184" t="s">
        <v>2042</v>
      </c>
      <c r="U359" s="184" t="s">
        <v>2042</v>
      </c>
      <c r="V359" s="184" t="s">
        <v>2042</v>
      </c>
      <c r="W359" s="184" t="s">
        <v>2042</v>
      </c>
      <c r="X359" s="184" t="s">
        <v>2042</v>
      </c>
      <c r="Y359" s="184" t="s">
        <v>2042</v>
      </c>
      <c r="Z359" s="184" t="s">
        <v>2042</v>
      </c>
      <c r="AA359" s="184" t="s">
        <v>2042</v>
      </c>
      <c r="AB359" s="184" t="s">
        <v>2042</v>
      </c>
      <c r="AC359" s="184" t="s">
        <v>2042</v>
      </c>
      <c r="AD359" s="184" t="s">
        <v>2042</v>
      </c>
      <c r="AE359" s="184" t="s">
        <v>2042</v>
      </c>
      <c r="AF359" s="184" t="s">
        <v>2042</v>
      </c>
      <c r="AG359" s="184" t="s">
        <v>2042</v>
      </c>
      <c r="AH359" s="184" t="s">
        <v>2042</v>
      </c>
      <c r="AI359" s="184" t="s">
        <v>2042</v>
      </c>
      <c r="AJ359" s="184" t="s">
        <v>2042</v>
      </c>
      <c r="AK359" s="184" t="s">
        <v>2042</v>
      </c>
      <c r="AL359" s="184" t="s">
        <v>2042</v>
      </c>
      <c r="AM359" s="184" t="s">
        <v>2042</v>
      </c>
      <c r="AN359" s="184" t="s">
        <v>2042</v>
      </c>
      <c r="AO359" s="184" t="s">
        <v>2042</v>
      </c>
      <c r="AP359" s="184" t="s">
        <v>2042</v>
      </c>
      <c r="AQ359" s="175"/>
    </row>
    <row r="360" spans="1:43" ht="14.5">
      <c r="A360" s="169"/>
      <c r="B360" s="170"/>
      <c r="C360" s="191"/>
      <c r="D360" s="170"/>
      <c r="E360" s="170"/>
      <c r="F360" s="179"/>
      <c r="G360" s="186" t="e">
        <f>IF(C360="","",SUMIFS(MRP!$D$5:$D1000,MRP!$B$5:$B1000,C360))*E360</f>
        <v>#VALUE!</v>
      </c>
      <c r="H360" s="181" t="s">
        <v>2041</v>
      </c>
      <c r="I360" s="182">
        <v>0</v>
      </c>
      <c r="J360" s="183" t="s">
        <v>2042</v>
      </c>
      <c r="K360" s="184" t="s">
        <v>2042</v>
      </c>
      <c r="L360" s="184" t="s">
        <v>2042</v>
      </c>
      <c r="M360" s="184" t="s">
        <v>2042</v>
      </c>
      <c r="N360" s="184" t="s">
        <v>2042</v>
      </c>
      <c r="O360" s="184" t="s">
        <v>2042</v>
      </c>
      <c r="P360" s="184" t="s">
        <v>2042</v>
      </c>
      <c r="Q360" s="184" t="s">
        <v>2042</v>
      </c>
      <c r="R360" s="184" t="s">
        <v>2042</v>
      </c>
      <c r="S360" s="184" t="s">
        <v>2042</v>
      </c>
      <c r="T360" s="184" t="s">
        <v>2042</v>
      </c>
      <c r="U360" s="184" t="s">
        <v>2042</v>
      </c>
      <c r="V360" s="184" t="s">
        <v>2042</v>
      </c>
      <c r="W360" s="184" t="s">
        <v>2042</v>
      </c>
      <c r="X360" s="184" t="s">
        <v>2042</v>
      </c>
      <c r="Y360" s="184" t="s">
        <v>2042</v>
      </c>
      <c r="Z360" s="184" t="s">
        <v>2042</v>
      </c>
      <c r="AA360" s="184" t="s">
        <v>2042</v>
      </c>
      <c r="AB360" s="184" t="s">
        <v>2042</v>
      </c>
      <c r="AC360" s="184" t="s">
        <v>2042</v>
      </c>
      <c r="AD360" s="184" t="s">
        <v>2042</v>
      </c>
      <c r="AE360" s="184" t="s">
        <v>2042</v>
      </c>
      <c r="AF360" s="184" t="s">
        <v>2042</v>
      </c>
      <c r="AG360" s="184" t="s">
        <v>2042</v>
      </c>
      <c r="AH360" s="184" t="s">
        <v>2042</v>
      </c>
      <c r="AI360" s="184" t="s">
        <v>2042</v>
      </c>
      <c r="AJ360" s="184" t="s">
        <v>2042</v>
      </c>
      <c r="AK360" s="184" t="s">
        <v>2042</v>
      </c>
      <c r="AL360" s="184" t="s">
        <v>2042</v>
      </c>
      <c r="AM360" s="184" t="s">
        <v>2042</v>
      </c>
      <c r="AN360" s="184" t="s">
        <v>2042</v>
      </c>
      <c r="AO360" s="184" t="s">
        <v>2042</v>
      </c>
      <c r="AP360" s="184" t="s">
        <v>2042</v>
      </c>
      <c r="AQ360" s="175"/>
    </row>
    <row r="361" spans="1:43" ht="14.5">
      <c r="A361" s="169"/>
      <c r="B361" s="170"/>
      <c r="C361" s="191"/>
      <c r="D361" s="170"/>
      <c r="E361" s="170"/>
      <c r="F361" s="179"/>
      <c r="G361" s="186" t="e">
        <f>IF(C361="","",SUMIFS(MRP!$D$5:$D1000,MRP!$B$5:$B1000,C361))*E361</f>
        <v>#VALUE!</v>
      </c>
      <c r="H361" s="181" t="s">
        <v>2041</v>
      </c>
      <c r="I361" s="182">
        <v>0</v>
      </c>
      <c r="J361" s="183" t="s">
        <v>2042</v>
      </c>
      <c r="K361" s="184" t="s">
        <v>2042</v>
      </c>
      <c r="L361" s="184" t="s">
        <v>2042</v>
      </c>
      <c r="M361" s="184" t="s">
        <v>2042</v>
      </c>
      <c r="N361" s="184" t="s">
        <v>2042</v>
      </c>
      <c r="O361" s="184" t="s">
        <v>2042</v>
      </c>
      <c r="P361" s="184" t="s">
        <v>2042</v>
      </c>
      <c r="Q361" s="184" t="s">
        <v>2042</v>
      </c>
      <c r="R361" s="184" t="s">
        <v>2042</v>
      </c>
      <c r="S361" s="184" t="s">
        <v>2042</v>
      </c>
      <c r="T361" s="184" t="s">
        <v>2042</v>
      </c>
      <c r="U361" s="184" t="s">
        <v>2042</v>
      </c>
      <c r="V361" s="184" t="s">
        <v>2042</v>
      </c>
      <c r="W361" s="184" t="s">
        <v>2042</v>
      </c>
      <c r="X361" s="184" t="s">
        <v>2042</v>
      </c>
      <c r="Y361" s="184" t="s">
        <v>2042</v>
      </c>
      <c r="Z361" s="184" t="s">
        <v>2042</v>
      </c>
      <c r="AA361" s="184" t="s">
        <v>2042</v>
      </c>
      <c r="AB361" s="184" t="s">
        <v>2042</v>
      </c>
      <c r="AC361" s="184" t="s">
        <v>2042</v>
      </c>
      <c r="AD361" s="184" t="s">
        <v>2042</v>
      </c>
      <c r="AE361" s="184" t="s">
        <v>2042</v>
      </c>
      <c r="AF361" s="184" t="s">
        <v>2042</v>
      </c>
      <c r="AG361" s="184" t="s">
        <v>2042</v>
      </c>
      <c r="AH361" s="184" t="s">
        <v>2042</v>
      </c>
      <c r="AI361" s="184" t="s">
        <v>2042</v>
      </c>
      <c r="AJ361" s="184" t="s">
        <v>2042</v>
      </c>
      <c r="AK361" s="184" t="s">
        <v>2042</v>
      </c>
      <c r="AL361" s="184" t="s">
        <v>2042</v>
      </c>
      <c r="AM361" s="184" t="s">
        <v>2042</v>
      </c>
      <c r="AN361" s="184" t="s">
        <v>2042</v>
      </c>
      <c r="AO361" s="184" t="s">
        <v>2042</v>
      </c>
      <c r="AP361" s="184" t="s">
        <v>2042</v>
      </c>
      <c r="AQ361" s="175"/>
    </row>
    <row r="362" spans="1:43" ht="14.5">
      <c r="A362" s="169"/>
      <c r="B362" s="170"/>
      <c r="C362" s="191"/>
      <c r="D362" s="170"/>
      <c r="E362" s="170"/>
      <c r="F362" s="179"/>
      <c r="G362" s="186" t="e">
        <f>IF(C362="","",SUMIFS(MRP!$D$5:$D1000,MRP!$B$5:$B1000,C362))*E362</f>
        <v>#VALUE!</v>
      </c>
      <c r="H362" s="181" t="s">
        <v>2041</v>
      </c>
      <c r="I362" s="182">
        <v>0</v>
      </c>
      <c r="J362" s="183" t="s">
        <v>2042</v>
      </c>
      <c r="K362" s="184" t="s">
        <v>2042</v>
      </c>
      <c r="L362" s="184" t="s">
        <v>2042</v>
      </c>
      <c r="M362" s="184" t="s">
        <v>2042</v>
      </c>
      <c r="N362" s="184" t="s">
        <v>2042</v>
      </c>
      <c r="O362" s="184" t="s">
        <v>2042</v>
      </c>
      <c r="P362" s="184" t="s">
        <v>2042</v>
      </c>
      <c r="Q362" s="184" t="s">
        <v>2042</v>
      </c>
      <c r="R362" s="184" t="s">
        <v>2042</v>
      </c>
      <c r="S362" s="184" t="s">
        <v>2042</v>
      </c>
      <c r="T362" s="184" t="s">
        <v>2042</v>
      </c>
      <c r="U362" s="184" t="s">
        <v>2042</v>
      </c>
      <c r="V362" s="184" t="s">
        <v>2042</v>
      </c>
      <c r="W362" s="184" t="s">
        <v>2042</v>
      </c>
      <c r="X362" s="184" t="s">
        <v>2042</v>
      </c>
      <c r="Y362" s="184" t="s">
        <v>2042</v>
      </c>
      <c r="Z362" s="184" t="s">
        <v>2042</v>
      </c>
      <c r="AA362" s="184" t="s">
        <v>2042</v>
      </c>
      <c r="AB362" s="184" t="s">
        <v>2042</v>
      </c>
      <c r="AC362" s="184" t="s">
        <v>2042</v>
      </c>
      <c r="AD362" s="184" t="s">
        <v>2042</v>
      </c>
      <c r="AE362" s="184" t="s">
        <v>2042</v>
      </c>
      <c r="AF362" s="184" t="s">
        <v>2042</v>
      </c>
      <c r="AG362" s="184" t="s">
        <v>2042</v>
      </c>
      <c r="AH362" s="184" t="s">
        <v>2042</v>
      </c>
      <c r="AI362" s="184" t="s">
        <v>2042</v>
      </c>
      <c r="AJ362" s="184" t="s">
        <v>2042</v>
      </c>
      <c r="AK362" s="184" t="s">
        <v>2042</v>
      </c>
      <c r="AL362" s="184" t="s">
        <v>2042</v>
      </c>
      <c r="AM362" s="184" t="s">
        <v>2042</v>
      </c>
      <c r="AN362" s="184" t="s">
        <v>2042</v>
      </c>
      <c r="AO362" s="184" t="s">
        <v>2042</v>
      </c>
      <c r="AP362" s="184" t="s">
        <v>2042</v>
      </c>
      <c r="AQ362" s="175"/>
    </row>
    <row r="363" spans="1:43" ht="14.5">
      <c r="A363" s="169"/>
      <c r="B363" s="170"/>
      <c r="C363" s="191"/>
      <c r="D363" s="170"/>
      <c r="E363" s="170"/>
      <c r="F363" s="179"/>
      <c r="G363" s="186" t="e">
        <f>IF(C363="","",SUMIFS(MRP!$D$5:$D1000,MRP!$B$5:$B1000,C363))*E363</f>
        <v>#VALUE!</v>
      </c>
      <c r="H363" s="181" t="s">
        <v>2041</v>
      </c>
      <c r="I363" s="182">
        <v>0</v>
      </c>
      <c r="J363" s="183" t="s">
        <v>2042</v>
      </c>
      <c r="K363" s="184" t="s">
        <v>2042</v>
      </c>
      <c r="L363" s="184" t="s">
        <v>2042</v>
      </c>
      <c r="M363" s="184" t="s">
        <v>2042</v>
      </c>
      <c r="N363" s="184" t="s">
        <v>2042</v>
      </c>
      <c r="O363" s="184" t="s">
        <v>2042</v>
      </c>
      <c r="P363" s="184" t="s">
        <v>2042</v>
      </c>
      <c r="Q363" s="184" t="s">
        <v>2042</v>
      </c>
      <c r="R363" s="184" t="s">
        <v>2042</v>
      </c>
      <c r="S363" s="184" t="s">
        <v>2042</v>
      </c>
      <c r="T363" s="184" t="s">
        <v>2042</v>
      </c>
      <c r="U363" s="184" t="s">
        <v>2042</v>
      </c>
      <c r="V363" s="184" t="s">
        <v>2042</v>
      </c>
      <c r="W363" s="184" t="s">
        <v>2042</v>
      </c>
      <c r="X363" s="184" t="s">
        <v>2042</v>
      </c>
      <c r="Y363" s="184" t="s">
        <v>2042</v>
      </c>
      <c r="Z363" s="184" t="s">
        <v>2042</v>
      </c>
      <c r="AA363" s="184" t="s">
        <v>2042</v>
      </c>
      <c r="AB363" s="184" t="s">
        <v>2042</v>
      </c>
      <c r="AC363" s="184" t="s">
        <v>2042</v>
      </c>
      <c r="AD363" s="184" t="s">
        <v>2042</v>
      </c>
      <c r="AE363" s="184" t="s">
        <v>2042</v>
      </c>
      <c r="AF363" s="184" t="s">
        <v>2042</v>
      </c>
      <c r="AG363" s="184" t="s">
        <v>2042</v>
      </c>
      <c r="AH363" s="184" t="s">
        <v>2042</v>
      </c>
      <c r="AI363" s="184" t="s">
        <v>2042</v>
      </c>
      <c r="AJ363" s="184" t="s">
        <v>2042</v>
      </c>
      <c r="AK363" s="184" t="s">
        <v>2042</v>
      </c>
      <c r="AL363" s="184" t="s">
        <v>2042</v>
      </c>
      <c r="AM363" s="184" t="s">
        <v>2042</v>
      </c>
      <c r="AN363" s="184" t="s">
        <v>2042</v>
      </c>
      <c r="AO363" s="184" t="s">
        <v>2042</v>
      </c>
      <c r="AP363" s="184" t="s">
        <v>2042</v>
      </c>
      <c r="AQ363" s="175"/>
    </row>
    <row r="364" spans="1:43" ht="14.5">
      <c r="A364" s="169"/>
      <c r="B364" s="170"/>
      <c r="C364" s="191"/>
      <c r="D364" s="170"/>
      <c r="E364" s="170"/>
      <c r="F364" s="179"/>
      <c r="G364" s="186" t="e">
        <f>IF(C364="","",SUMIFS(MRP!$D$5:$D1000,MRP!$B$5:$B1000,C364))*E364</f>
        <v>#VALUE!</v>
      </c>
      <c r="H364" s="181" t="s">
        <v>2041</v>
      </c>
      <c r="I364" s="182">
        <v>0</v>
      </c>
      <c r="J364" s="183" t="s">
        <v>2042</v>
      </c>
      <c r="K364" s="184" t="s">
        <v>2042</v>
      </c>
      <c r="L364" s="184" t="s">
        <v>2042</v>
      </c>
      <c r="M364" s="184" t="s">
        <v>2042</v>
      </c>
      <c r="N364" s="184" t="s">
        <v>2042</v>
      </c>
      <c r="O364" s="184" t="s">
        <v>2042</v>
      </c>
      <c r="P364" s="184" t="s">
        <v>2042</v>
      </c>
      <c r="Q364" s="184" t="s">
        <v>2042</v>
      </c>
      <c r="R364" s="184" t="s">
        <v>2042</v>
      </c>
      <c r="S364" s="184" t="s">
        <v>2042</v>
      </c>
      <c r="T364" s="184" t="s">
        <v>2042</v>
      </c>
      <c r="U364" s="184" t="s">
        <v>2042</v>
      </c>
      <c r="V364" s="184" t="s">
        <v>2042</v>
      </c>
      <c r="W364" s="184" t="s">
        <v>2042</v>
      </c>
      <c r="X364" s="184" t="s">
        <v>2042</v>
      </c>
      <c r="Y364" s="184" t="s">
        <v>2042</v>
      </c>
      <c r="Z364" s="184" t="s">
        <v>2042</v>
      </c>
      <c r="AA364" s="184" t="s">
        <v>2042</v>
      </c>
      <c r="AB364" s="184" t="s">
        <v>2042</v>
      </c>
      <c r="AC364" s="184" t="s">
        <v>2042</v>
      </c>
      <c r="AD364" s="184" t="s">
        <v>2042</v>
      </c>
      <c r="AE364" s="184" t="s">
        <v>2042</v>
      </c>
      <c r="AF364" s="184" t="s">
        <v>2042</v>
      </c>
      <c r="AG364" s="184" t="s">
        <v>2042</v>
      </c>
      <c r="AH364" s="184" t="s">
        <v>2042</v>
      </c>
      <c r="AI364" s="184" t="s">
        <v>2042</v>
      </c>
      <c r="AJ364" s="184" t="s">
        <v>2042</v>
      </c>
      <c r="AK364" s="184" t="s">
        <v>2042</v>
      </c>
      <c r="AL364" s="184" t="s">
        <v>2042</v>
      </c>
      <c r="AM364" s="184" t="s">
        <v>2042</v>
      </c>
      <c r="AN364" s="184" t="s">
        <v>2042</v>
      </c>
      <c r="AO364" s="184" t="s">
        <v>2042</v>
      </c>
      <c r="AP364" s="184" t="s">
        <v>2042</v>
      </c>
      <c r="AQ364" s="175"/>
    </row>
    <row r="365" spans="1:43" ht="14.5">
      <c r="A365" s="169"/>
      <c r="B365" s="170"/>
      <c r="C365" s="191"/>
      <c r="D365" s="170"/>
      <c r="E365" s="170"/>
      <c r="F365" s="179"/>
      <c r="G365" s="186" t="e">
        <f>IF(C365="","",SUMIFS(MRP!$D$5:$D1000,MRP!$B$5:$B1000,C365))*E365</f>
        <v>#VALUE!</v>
      </c>
      <c r="H365" s="181" t="s">
        <v>2041</v>
      </c>
      <c r="I365" s="182">
        <v>0</v>
      </c>
      <c r="J365" s="183" t="s">
        <v>2042</v>
      </c>
      <c r="K365" s="184" t="s">
        <v>2042</v>
      </c>
      <c r="L365" s="184" t="s">
        <v>2042</v>
      </c>
      <c r="M365" s="184" t="s">
        <v>2042</v>
      </c>
      <c r="N365" s="184" t="s">
        <v>2042</v>
      </c>
      <c r="O365" s="184" t="s">
        <v>2042</v>
      </c>
      <c r="P365" s="184" t="s">
        <v>2042</v>
      </c>
      <c r="Q365" s="184" t="s">
        <v>2042</v>
      </c>
      <c r="R365" s="184" t="s">
        <v>2042</v>
      </c>
      <c r="S365" s="184" t="s">
        <v>2042</v>
      </c>
      <c r="T365" s="184" t="s">
        <v>2042</v>
      </c>
      <c r="U365" s="184" t="s">
        <v>2042</v>
      </c>
      <c r="V365" s="184" t="s">
        <v>2042</v>
      </c>
      <c r="W365" s="184" t="s">
        <v>2042</v>
      </c>
      <c r="X365" s="184" t="s">
        <v>2042</v>
      </c>
      <c r="Y365" s="184" t="s">
        <v>2042</v>
      </c>
      <c r="Z365" s="184" t="s">
        <v>2042</v>
      </c>
      <c r="AA365" s="184" t="s">
        <v>2042</v>
      </c>
      <c r="AB365" s="184" t="s">
        <v>2042</v>
      </c>
      <c r="AC365" s="184" t="s">
        <v>2042</v>
      </c>
      <c r="AD365" s="184" t="s">
        <v>2042</v>
      </c>
      <c r="AE365" s="184" t="s">
        <v>2042</v>
      </c>
      <c r="AF365" s="184" t="s">
        <v>2042</v>
      </c>
      <c r="AG365" s="184" t="s">
        <v>2042</v>
      </c>
      <c r="AH365" s="184" t="s">
        <v>2042</v>
      </c>
      <c r="AI365" s="184" t="s">
        <v>2042</v>
      </c>
      <c r="AJ365" s="184" t="s">
        <v>2042</v>
      </c>
      <c r="AK365" s="184" t="s">
        <v>2042</v>
      </c>
      <c r="AL365" s="184" t="s">
        <v>2042</v>
      </c>
      <c r="AM365" s="184" t="s">
        <v>2042</v>
      </c>
      <c r="AN365" s="184" t="s">
        <v>2042</v>
      </c>
      <c r="AO365" s="184" t="s">
        <v>2042</v>
      </c>
      <c r="AP365" s="184" t="s">
        <v>2042</v>
      </c>
      <c r="AQ365" s="175"/>
    </row>
    <row r="366" spans="1:43" ht="14.5">
      <c r="A366" s="169"/>
      <c r="B366" s="170"/>
      <c r="C366" s="191"/>
      <c r="D366" s="170"/>
      <c r="E366" s="170"/>
      <c r="F366" s="179"/>
      <c r="G366" s="186" t="e">
        <f>IF(C366="","",SUMIFS(MRP!$D$5:$D1000,MRP!$B$5:$B1000,C366))*E366</f>
        <v>#VALUE!</v>
      </c>
      <c r="H366" s="181" t="s">
        <v>2041</v>
      </c>
      <c r="I366" s="182">
        <v>0</v>
      </c>
      <c r="J366" s="183" t="s">
        <v>2042</v>
      </c>
      <c r="K366" s="184" t="s">
        <v>2042</v>
      </c>
      <c r="L366" s="184" t="s">
        <v>2042</v>
      </c>
      <c r="M366" s="184" t="s">
        <v>2042</v>
      </c>
      <c r="N366" s="184" t="s">
        <v>2042</v>
      </c>
      <c r="O366" s="184" t="s">
        <v>2042</v>
      </c>
      <c r="P366" s="184" t="s">
        <v>2042</v>
      </c>
      <c r="Q366" s="184" t="s">
        <v>2042</v>
      </c>
      <c r="R366" s="184" t="s">
        <v>2042</v>
      </c>
      <c r="S366" s="184" t="s">
        <v>2042</v>
      </c>
      <c r="T366" s="184" t="s">
        <v>2042</v>
      </c>
      <c r="U366" s="184" t="s">
        <v>2042</v>
      </c>
      <c r="V366" s="184" t="s">
        <v>2042</v>
      </c>
      <c r="W366" s="184" t="s">
        <v>2042</v>
      </c>
      <c r="X366" s="184" t="s">
        <v>2042</v>
      </c>
      <c r="Y366" s="184" t="s">
        <v>2042</v>
      </c>
      <c r="Z366" s="184" t="s">
        <v>2042</v>
      </c>
      <c r="AA366" s="184" t="s">
        <v>2042</v>
      </c>
      <c r="AB366" s="184" t="s">
        <v>2042</v>
      </c>
      <c r="AC366" s="184" t="s">
        <v>2042</v>
      </c>
      <c r="AD366" s="184" t="s">
        <v>2042</v>
      </c>
      <c r="AE366" s="184" t="s">
        <v>2042</v>
      </c>
      <c r="AF366" s="184" t="s">
        <v>2042</v>
      </c>
      <c r="AG366" s="184" t="s">
        <v>2042</v>
      </c>
      <c r="AH366" s="184" t="s">
        <v>2042</v>
      </c>
      <c r="AI366" s="184" t="s">
        <v>2042</v>
      </c>
      <c r="AJ366" s="184" t="s">
        <v>2042</v>
      </c>
      <c r="AK366" s="184" t="s">
        <v>2042</v>
      </c>
      <c r="AL366" s="184" t="s">
        <v>2042</v>
      </c>
      <c r="AM366" s="184" t="s">
        <v>2042</v>
      </c>
      <c r="AN366" s="184" t="s">
        <v>2042</v>
      </c>
      <c r="AO366" s="184" t="s">
        <v>2042</v>
      </c>
      <c r="AP366" s="184" t="s">
        <v>2042</v>
      </c>
      <c r="AQ366" s="175"/>
    </row>
    <row r="367" spans="1:43" ht="14.5">
      <c r="A367" s="169"/>
      <c r="B367" s="170"/>
      <c r="C367" s="191"/>
      <c r="D367" s="170"/>
      <c r="E367" s="170"/>
      <c r="F367" s="179"/>
      <c r="G367" s="186" t="e">
        <f>IF(C367="","",SUMIFS(MRP!$D$5:$D1000,MRP!$B$5:$B1000,C367))*E367</f>
        <v>#VALUE!</v>
      </c>
      <c r="H367" s="181" t="s">
        <v>2041</v>
      </c>
      <c r="I367" s="182">
        <v>0</v>
      </c>
      <c r="J367" s="183" t="s">
        <v>2042</v>
      </c>
      <c r="K367" s="184" t="s">
        <v>2042</v>
      </c>
      <c r="L367" s="184" t="s">
        <v>2042</v>
      </c>
      <c r="M367" s="184" t="s">
        <v>2042</v>
      </c>
      <c r="N367" s="184" t="s">
        <v>2042</v>
      </c>
      <c r="O367" s="184" t="s">
        <v>2042</v>
      </c>
      <c r="P367" s="184" t="s">
        <v>2042</v>
      </c>
      <c r="Q367" s="184" t="s">
        <v>2042</v>
      </c>
      <c r="R367" s="184" t="s">
        <v>2042</v>
      </c>
      <c r="S367" s="184" t="s">
        <v>2042</v>
      </c>
      <c r="T367" s="184" t="s">
        <v>2042</v>
      </c>
      <c r="U367" s="184" t="s">
        <v>2042</v>
      </c>
      <c r="V367" s="184" t="s">
        <v>2042</v>
      </c>
      <c r="W367" s="184" t="s">
        <v>2042</v>
      </c>
      <c r="X367" s="184" t="s">
        <v>2042</v>
      </c>
      <c r="Y367" s="184" t="s">
        <v>2042</v>
      </c>
      <c r="Z367" s="184" t="s">
        <v>2042</v>
      </c>
      <c r="AA367" s="184" t="s">
        <v>2042</v>
      </c>
      <c r="AB367" s="184" t="s">
        <v>2042</v>
      </c>
      <c r="AC367" s="184" t="s">
        <v>2042</v>
      </c>
      <c r="AD367" s="184" t="s">
        <v>2042</v>
      </c>
      <c r="AE367" s="184" t="s">
        <v>2042</v>
      </c>
      <c r="AF367" s="184" t="s">
        <v>2042</v>
      </c>
      <c r="AG367" s="184" t="s">
        <v>2042</v>
      </c>
      <c r="AH367" s="184" t="s">
        <v>2042</v>
      </c>
      <c r="AI367" s="184" t="s">
        <v>2042</v>
      </c>
      <c r="AJ367" s="184" t="s">
        <v>2042</v>
      </c>
      <c r="AK367" s="184" t="s">
        <v>2042</v>
      </c>
      <c r="AL367" s="184" t="s">
        <v>2042</v>
      </c>
      <c r="AM367" s="184" t="s">
        <v>2042</v>
      </c>
      <c r="AN367" s="184" t="s">
        <v>2042</v>
      </c>
      <c r="AO367" s="184" t="s">
        <v>2042</v>
      </c>
      <c r="AP367" s="184" t="s">
        <v>2042</v>
      </c>
      <c r="AQ367" s="175"/>
    </row>
    <row r="368" spans="1:43" ht="14.5">
      <c r="A368" s="169"/>
      <c r="B368" s="170"/>
      <c r="C368" s="191"/>
      <c r="D368" s="170"/>
      <c r="E368" s="170"/>
      <c r="F368" s="179"/>
      <c r="G368" s="186" t="e">
        <f>IF(C368="","",SUMIFS(MRP!$D$5:$D1000,MRP!$B$5:$B1000,C368))*E368</f>
        <v>#VALUE!</v>
      </c>
      <c r="H368" s="181" t="s">
        <v>2041</v>
      </c>
      <c r="I368" s="182">
        <v>0</v>
      </c>
      <c r="J368" s="183" t="s">
        <v>2042</v>
      </c>
      <c r="K368" s="184" t="s">
        <v>2042</v>
      </c>
      <c r="L368" s="184" t="s">
        <v>2042</v>
      </c>
      <c r="M368" s="184" t="s">
        <v>2042</v>
      </c>
      <c r="N368" s="184" t="s">
        <v>2042</v>
      </c>
      <c r="O368" s="184" t="s">
        <v>2042</v>
      </c>
      <c r="P368" s="184" t="s">
        <v>2042</v>
      </c>
      <c r="Q368" s="184" t="s">
        <v>2042</v>
      </c>
      <c r="R368" s="184" t="s">
        <v>2042</v>
      </c>
      <c r="S368" s="184" t="s">
        <v>2042</v>
      </c>
      <c r="T368" s="184" t="s">
        <v>2042</v>
      </c>
      <c r="U368" s="184" t="s">
        <v>2042</v>
      </c>
      <c r="V368" s="184" t="s">
        <v>2042</v>
      </c>
      <c r="W368" s="184" t="s">
        <v>2042</v>
      </c>
      <c r="X368" s="184" t="s">
        <v>2042</v>
      </c>
      <c r="Y368" s="184" t="s">
        <v>2042</v>
      </c>
      <c r="Z368" s="184" t="s">
        <v>2042</v>
      </c>
      <c r="AA368" s="184" t="s">
        <v>2042</v>
      </c>
      <c r="AB368" s="184" t="s">
        <v>2042</v>
      </c>
      <c r="AC368" s="184" t="s">
        <v>2042</v>
      </c>
      <c r="AD368" s="184" t="s">
        <v>2042</v>
      </c>
      <c r="AE368" s="184" t="s">
        <v>2042</v>
      </c>
      <c r="AF368" s="184" t="s">
        <v>2042</v>
      </c>
      <c r="AG368" s="184" t="s">
        <v>2042</v>
      </c>
      <c r="AH368" s="184" t="s">
        <v>2042</v>
      </c>
      <c r="AI368" s="184" t="s">
        <v>2042</v>
      </c>
      <c r="AJ368" s="184" t="s">
        <v>2042</v>
      </c>
      <c r="AK368" s="184" t="s">
        <v>2042</v>
      </c>
      <c r="AL368" s="184" t="s">
        <v>2042</v>
      </c>
      <c r="AM368" s="184" t="s">
        <v>2042</v>
      </c>
      <c r="AN368" s="184" t="s">
        <v>2042</v>
      </c>
      <c r="AO368" s="184" t="s">
        <v>2042</v>
      </c>
      <c r="AP368" s="184" t="s">
        <v>2042</v>
      </c>
      <c r="AQ368" s="175"/>
    </row>
    <row r="369" spans="1:43" ht="14.5">
      <c r="A369" s="169"/>
      <c r="B369" s="170"/>
      <c r="C369" s="191"/>
      <c r="D369" s="170"/>
      <c r="E369" s="170"/>
      <c r="F369" s="179"/>
      <c r="G369" s="186" t="e">
        <f>IF(C369="","",SUMIFS(MRP!$D$5:$D1000,MRP!$B$5:$B1000,C369))*E369</f>
        <v>#VALUE!</v>
      </c>
      <c r="H369" s="181" t="s">
        <v>2041</v>
      </c>
      <c r="I369" s="182">
        <v>0</v>
      </c>
      <c r="J369" s="183" t="s">
        <v>2042</v>
      </c>
      <c r="K369" s="184" t="s">
        <v>2042</v>
      </c>
      <c r="L369" s="184" t="s">
        <v>2042</v>
      </c>
      <c r="M369" s="184" t="s">
        <v>2042</v>
      </c>
      <c r="N369" s="184" t="s">
        <v>2042</v>
      </c>
      <c r="O369" s="184" t="s">
        <v>2042</v>
      </c>
      <c r="P369" s="184" t="s">
        <v>2042</v>
      </c>
      <c r="Q369" s="184" t="s">
        <v>2042</v>
      </c>
      <c r="R369" s="184" t="s">
        <v>2042</v>
      </c>
      <c r="S369" s="184" t="s">
        <v>2042</v>
      </c>
      <c r="T369" s="184" t="s">
        <v>2042</v>
      </c>
      <c r="U369" s="184" t="s">
        <v>2042</v>
      </c>
      <c r="V369" s="184" t="s">
        <v>2042</v>
      </c>
      <c r="W369" s="184" t="s">
        <v>2042</v>
      </c>
      <c r="X369" s="184" t="s">
        <v>2042</v>
      </c>
      <c r="Y369" s="184" t="s">
        <v>2042</v>
      </c>
      <c r="Z369" s="184" t="s">
        <v>2042</v>
      </c>
      <c r="AA369" s="184" t="s">
        <v>2042</v>
      </c>
      <c r="AB369" s="184" t="s">
        <v>2042</v>
      </c>
      <c r="AC369" s="184" t="s">
        <v>2042</v>
      </c>
      <c r="AD369" s="184" t="s">
        <v>2042</v>
      </c>
      <c r="AE369" s="184" t="s">
        <v>2042</v>
      </c>
      <c r="AF369" s="184" t="s">
        <v>2042</v>
      </c>
      <c r="AG369" s="184" t="s">
        <v>2042</v>
      </c>
      <c r="AH369" s="184" t="s">
        <v>2042</v>
      </c>
      <c r="AI369" s="184" t="s">
        <v>2042</v>
      </c>
      <c r="AJ369" s="184" t="s">
        <v>2042</v>
      </c>
      <c r="AK369" s="184" t="s">
        <v>2042</v>
      </c>
      <c r="AL369" s="184" t="s">
        <v>2042</v>
      </c>
      <c r="AM369" s="184" t="s">
        <v>2042</v>
      </c>
      <c r="AN369" s="184" t="s">
        <v>2042</v>
      </c>
      <c r="AO369" s="184" t="s">
        <v>2042</v>
      </c>
      <c r="AP369" s="184" t="s">
        <v>2042</v>
      </c>
      <c r="AQ369" s="175"/>
    </row>
    <row r="370" spans="1:43" ht="14.5">
      <c r="A370" s="169"/>
      <c r="B370" s="170"/>
      <c r="C370" s="191"/>
      <c r="D370" s="170"/>
      <c r="E370" s="170"/>
      <c r="F370" s="179"/>
      <c r="G370" s="186" t="e">
        <f>IF(C370="","",SUMIFS(MRP!$D$5:$D1000,MRP!$B$5:$B1000,C370))*E370</f>
        <v>#VALUE!</v>
      </c>
      <c r="H370" s="181" t="s">
        <v>2041</v>
      </c>
      <c r="I370" s="182">
        <v>0</v>
      </c>
      <c r="J370" s="183" t="s">
        <v>2042</v>
      </c>
      <c r="K370" s="184" t="s">
        <v>2042</v>
      </c>
      <c r="L370" s="184" t="s">
        <v>2042</v>
      </c>
      <c r="M370" s="184" t="s">
        <v>2042</v>
      </c>
      <c r="N370" s="184" t="s">
        <v>2042</v>
      </c>
      <c r="O370" s="184" t="s">
        <v>2042</v>
      </c>
      <c r="P370" s="184" t="s">
        <v>2042</v>
      </c>
      <c r="Q370" s="184" t="s">
        <v>2042</v>
      </c>
      <c r="R370" s="184" t="s">
        <v>2042</v>
      </c>
      <c r="S370" s="184" t="s">
        <v>2042</v>
      </c>
      <c r="T370" s="184" t="s">
        <v>2042</v>
      </c>
      <c r="U370" s="184" t="s">
        <v>2042</v>
      </c>
      <c r="V370" s="184" t="s">
        <v>2042</v>
      </c>
      <c r="W370" s="184" t="s">
        <v>2042</v>
      </c>
      <c r="X370" s="184" t="s">
        <v>2042</v>
      </c>
      <c r="Y370" s="184" t="s">
        <v>2042</v>
      </c>
      <c r="Z370" s="184" t="s">
        <v>2042</v>
      </c>
      <c r="AA370" s="184" t="s">
        <v>2042</v>
      </c>
      <c r="AB370" s="184" t="s">
        <v>2042</v>
      </c>
      <c r="AC370" s="184" t="s">
        <v>2042</v>
      </c>
      <c r="AD370" s="184" t="s">
        <v>2042</v>
      </c>
      <c r="AE370" s="184" t="s">
        <v>2042</v>
      </c>
      <c r="AF370" s="184" t="s">
        <v>2042</v>
      </c>
      <c r="AG370" s="184" t="s">
        <v>2042</v>
      </c>
      <c r="AH370" s="184" t="s">
        <v>2042</v>
      </c>
      <c r="AI370" s="184" t="s">
        <v>2042</v>
      </c>
      <c r="AJ370" s="184" t="s">
        <v>2042</v>
      </c>
      <c r="AK370" s="184" t="s">
        <v>2042</v>
      </c>
      <c r="AL370" s="184" t="s">
        <v>2042</v>
      </c>
      <c r="AM370" s="184" t="s">
        <v>2042</v>
      </c>
      <c r="AN370" s="184" t="s">
        <v>2042</v>
      </c>
      <c r="AO370" s="184" t="s">
        <v>2042</v>
      </c>
      <c r="AP370" s="184" t="s">
        <v>2042</v>
      </c>
      <c r="AQ370" s="175"/>
    </row>
    <row r="371" spans="1:43" ht="14.5">
      <c r="A371" s="169"/>
      <c r="B371" s="170"/>
      <c r="C371" s="191"/>
      <c r="D371" s="170"/>
      <c r="E371" s="170"/>
      <c r="F371" s="179"/>
      <c r="G371" s="186" t="e">
        <f>IF(C371="","",SUMIFS(MRP!$D$5:$D1000,MRP!$B$5:$B1000,C371))*E371</f>
        <v>#VALUE!</v>
      </c>
      <c r="H371" s="181" t="s">
        <v>2041</v>
      </c>
      <c r="I371" s="182">
        <v>0</v>
      </c>
      <c r="J371" s="183" t="s">
        <v>2042</v>
      </c>
      <c r="K371" s="184" t="s">
        <v>2042</v>
      </c>
      <c r="L371" s="184" t="s">
        <v>2042</v>
      </c>
      <c r="M371" s="184" t="s">
        <v>2042</v>
      </c>
      <c r="N371" s="184" t="s">
        <v>2042</v>
      </c>
      <c r="O371" s="184" t="s">
        <v>2042</v>
      </c>
      <c r="P371" s="184" t="s">
        <v>2042</v>
      </c>
      <c r="Q371" s="184" t="s">
        <v>2042</v>
      </c>
      <c r="R371" s="184" t="s">
        <v>2042</v>
      </c>
      <c r="S371" s="184" t="s">
        <v>2042</v>
      </c>
      <c r="T371" s="184" t="s">
        <v>2042</v>
      </c>
      <c r="U371" s="184" t="s">
        <v>2042</v>
      </c>
      <c r="V371" s="184" t="s">
        <v>2042</v>
      </c>
      <c r="W371" s="184" t="s">
        <v>2042</v>
      </c>
      <c r="X371" s="184" t="s">
        <v>2042</v>
      </c>
      <c r="Y371" s="184" t="s">
        <v>2042</v>
      </c>
      <c r="Z371" s="184" t="s">
        <v>2042</v>
      </c>
      <c r="AA371" s="184" t="s">
        <v>2042</v>
      </c>
      <c r="AB371" s="184" t="s">
        <v>2042</v>
      </c>
      <c r="AC371" s="184" t="s">
        <v>2042</v>
      </c>
      <c r="AD371" s="184" t="s">
        <v>2042</v>
      </c>
      <c r="AE371" s="184" t="s">
        <v>2042</v>
      </c>
      <c r="AF371" s="184" t="s">
        <v>2042</v>
      </c>
      <c r="AG371" s="184" t="s">
        <v>2042</v>
      </c>
      <c r="AH371" s="184" t="s">
        <v>2042</v>
      </c>
      <c r="AI371" s="184" t="s">
        <v>2042</v>
      </c>
      <c r="AJ371" s="184" t="s">
        <v>2042</v>
      </c>
      <c r="AK371" s="184" t="s">
        <v>2042</v>
      </c>
      <c r="AL371" s="184" t="s">
        <v>2042</v>
      </c>
      <c r="AM371" s="184" t="s">
        <v>2042</v>
      </c>
      <c r="AN371" s="184" t="s">
        <v>2042</v>
      </c>
      <c r="AO371" s="184" t="s">
        <v>2042</v>
      </c>
      <c r="AP371" s="184" t="s">
        <v>2042</v>
      </c>
      <c r="AQ371" s="175"/>
    </row>
    <row r="372" spans="1:43" ht="14.5">
      <c r="A372" s="169"/>
      <c r="B372" s="170"/>
      <c r="C372" s="191"/>
      <c r="D372" s="170"/>
      <c r="E372" s="170"/>
      <c r="F372" s="179"/>
      <c r="G372" s="186" t="e">
        <f>IF(C372="","",SUMIFS(MRP!$D$5:$D1000,MRP!$B$5:$B1000,C372))*E372</f>
        <v>#VALUE!</v>
      </c>
      <c r="H372" s="181" t="s">
        <v>2041</v>
      </c>
      <c r="I372" s="182">
        <v>0</v>
      </c>
      <c r="J372" s="183" t="s">
        <v>2042</v>
      </c>
      <c r="K372" s="184" t="s">
        <v>2042</v>
      </c>
      <c r="L372" s="184" t="s">
        <v>2042</v>
      </c>
      <c r="M372" s="184" t="s">
        <v>2042</v>
      </c>
      <c r="N372" s="184" t="s">
        <v>2042</v>
      </c>
      <c r="O372" s="184" t="s">
        <v>2042</v>
      </c>
      <c r="P372" s="184" t="s">
        <v>2042</v>
      </c>
      <c r="Q372" s="184" t="s">
        <v>2042</v>
      </c>
      <c r="R372" s="184" t="s">
        <v>2042</v>
      </c>
      <c r="S372" s="184" t="s">
        <v>2042</v>
      </c>
      <c r="T372" s="184" t="s">
        <v>2042</v>
      </c>
      <c r="U372" s="184" t="s">
        <v>2042</v>
      </c>
      <c r="V372" s="184" t="s">
        <v>2042</v>
      </c>
      <c r="W372" s="184" t="s">
        <v>2042</v>
      </c>
      <c r="X372" s="184" t="s">
        <v>2042</v>
      </c>
      <c r="Y372" s="184" t="s">
        <v>2042</v>
      </c>
      <c r="Z372" s="184" t="s">
        <v>2042</v>
      </c>
      <c r="AA372" s="184" t="s">
        <v>2042</v>
      </c>
      <c r="AB372" s="184" t="s">
        <v>2042</v>
      </c>
      <c r="AC372" s="184" t="s">
        <v>2042</v>
      </c>
      <c r="AD372" s="184" t="s">
        <v>2042</v>
      </c>
      <c r="AE372" s="184" t="s">
        <v>2042</v>
      </c>
      <c r="AF372" s="184" t="s">
        <v>2042</v>
      </c>
      <c r="AG372" s="184" t="s">
        <v>2042</v>
      </c>
      <c r="AH372" s="184" t="s">
        <v>2042</v>
      </c>
      <c r="AI372" s="184" t="s">
        <v>2042</v>
      </c>
      <c r="AJ372" s="184" t="s">
        <v>2042</v>
      </c>
      <c r="AK372" s="184" t="s">
        <v>2042</v>
      </c>
      <c r="AL372" s="184" t="s">
        <v>2042</v>
      </c>
      <c r="AM372" s="184" t="s">
        <v>2042</v>
      </c>
      <c r="AN372" s="184" t="s">
        <v>2042</v>
      </c>
      <c r="AO372" s="184" t="s">
        <v>2042</v>
      </c>
      <c r="AP372" s="184" t="s">
        <v>2042</v>
      </c>
      <c r="AQ372" s="175"/>
    </row>
    <row r="373" spans="1:43" ht="14.5">
      <c r="A373" s="169"/>
      <c r="B373" s="170"/>
      <c r="C373" s="191"/>
      <c r="D373" s="170"/>
      <c r="E373" s="170"/>
      <c r="F373" s="179"/>
      <c r="G373" s="186" t="e">
        <f>IF(C373="","",SUMIFS(MRP!$D$5:$D1000,MRP!$B$5:$B1000,C373))*E373</f>
        <v>#VALUE!</v>
      </c>
      <c r="H373" s="181" t="s">
        <v>2041</v>
      </c>
      <c r="I373" s="182">
        <v>0</v>
      </c>
      <c r="J373" s="183" t="s">
        <v>2042</v>
      </c>
      <c r="K373" s="184" t="s">
        <v>2042</v>
      </c>
      <c r="L373" s="184" t="s">
        <v>2042</v>
      </c>
      <c r="M373" s="184" t="s">
        <v>2042</v>
      </c>
      <c r="N373" s="184" t="s">
        <v>2042</v>
      </c>
      <c r="O373" s="184" t="s">
        <v>2042</v>
      </c>
      <c r="P373" s="184" t="s">
        <v>2042</v>
      </c>
      <c r="Q373" s="184" t="s">
        <v>2042</v>
      </c>
      <c r="R373" s="184" t="s">
        <v>2042</v>
      </c>
      <c r="S373" s="184" t="s">
        <v>2042</v>
      </c>
      <c r="T373" s="184" t="s">
        <v>2042</v>
      </c>
      <c r="U373" s="184" t="s">
        <v>2042</v>
      </c>
      <c r="V373" s="184" t="s">
        <v>2042</v>
      </c>
      <c r="W373" s="184" t="s">
        <v>2042</v>
      </c>
      <c r="X373" s="184" t="s">
        <v>2042</v>
      </c>
      <c r="Y373" s="184" t="s">
        <v>2042</v>
      </c>
      <c r="Z373" s="184" t="s">
        <v>2042</v>
      </c>
      <c r="AA373" s="184" t="s">
        <v>2042</v>
      </c>
      <c r="AB373" s="184" t="s">
        <v>2042</v>
      </c>
      <c r="AC373" s="184" t="s">
        <v>2042</v>
      </c>
      <c r="AD373" s="184" t="s">
        <v>2042</v>
      </c>
      <c r="AE373" s="184" t="s">
        <v>2042</v>
      </c>
      <c r="AF373" s="184" t="s">
        <v>2042</v>
      </c>
      <c r="AG373" s="184" t="s">
        <v>2042</v>
      </c>
      <c r="AH373" s="184" t="s">
        <v>2042</v>
      </c>
      <c r="AI373" s="184" t="s">
        <v>2042</v>
      </c>
      <c r="AJ373" s="184" t="s">
        <v>2042</v>
      </c>
      <c r="AK373" s="184" t="s">
        <v>2042</v>
      </c>
      <c r="AL373" s="184" t="s">
        <v>2042</v>
      </c>
      <c r="AM373" s="184" t="s">
        <v>2042</v>
      </c>
      <c r="AN373" s="184" t="s">
        <v>2042</v>
      </c>
      <c r="AO373" s="184" t="s">
        <v>2042</v>
      </c>
      <c r="AP373" s="184" t="s">
        <v>2042</v>
      </c>
      <c r="AQ373" s="175"/>
    </row>
    <row r="374" spans="1:43" ht="14.5">
      <c r="A374" s="169"/>
      <c r="B374" s="170"/>
      <c r="C374" s="191"/>
      <c r="D374" s="170"/>
      <c r="E374" s="170"/>
      <c r="F374" s="179"/>
      <c r="G374" s="186" t="e">
        <f>IF(C374="","",SUMIFS(MRP!$D$5:$D1000,MRP!$B$5:$B1000,C374))*E374</f>
        <v>#VALUE!</v>
      </c>
      <c r="H374" s="181" t="s">
        <v>2041</v>
      </c>
      <c r="I374" s="182">
        <v>0</v>
      </c>
      <c r="J374" s="183" t="s">
        <v>2042</v>
      </c>
      <c r="K374" s="184" t="s">
        <v>2042</v>
      </c>
      <c r="L374" s="184" t="s">
        <v>2042</v>
      </c>
      <c r="M374" s="184" t="s">
        <v>2042</v>
      </c>
      <c r="N374" s="184" t="s">
        <v>2042</v>
      </c>
      <c r="O374" s="184" t="s">
        <v>2042</v>
      </c>
      <c r="P374" s="184" t="s">
        <v>2042</v>
      </c>
      <c r="Q374" s="184" t="s">
        <v>2042</v>
      </c>
      <c r="R374" s="184" t="s">
        <v>2042</v>
      </c>
      <c r="S374" s="184" t="s">
        <v>2042</v>
      </c>
      <c r="T374" s="184" t="s">
        <v>2042</v>
      </c>
      <c r="U374" s="184" t="s">
        <v>2042</v>
      </c>
      <c r="V374" s="184" t="s">
        <v>2042</v>
      </c>
      <c r="W374" s="184" t="s">
        <v>2042</v>
      </c>
      <c r="X374" s="184" t="s">
        <v>2042</v>
      </c>
      <c r="Y374" s="184" t="s">
        <v>2042</v>
      </c>
      <c r="Z374" s="184" t="s">
        <v>2042</v>
      </c>
      <c r="AA374" s="184" t="s">
        <v>2042</v>
      </c>
      <c r="AB374" s="184" t="s">
        <v>2042</v>
      </c>
      <c r="AC374" s="184" t="s">
        <v>2042</v>
      </c>
      <c r="AD374" s="184" t="s">
        <v>2042</v>
      </c>
      <c r="AE374" s="184" t="s">
        <v>2042</v>
      </c>
      <c r="AF374" s="184" t="s">
        <v>2042</v>
      </c>
      <c r="AG374" s="184" t="s">
        <v>2042</v>
      </c>
      <c r="AH374" s="184" t="s">
        <v>2042</v>
      </c>
      <c r="AI374" s="184" t="s">
        <v>2042</v>
      </c>
      <c r="AJ374" s="184" t="s">
        <v>2042</v>
      </c>
      <c r="AK374" s="184" t="s">
        <v>2042</v>
      </c>
      <c r="AL374" s="184" t="s">
        <v>2042</v>
      </c>
      <c r="AM374" s="184" t="s">
        <v>2042</v>
      </c>
      <c r="AN374" s="184" t="s">
        <v>2042</v>
      </c>
      <c r="AO374" s="184" t="s">
        <v>2042</v>
      </c>
      <c r="AP374" s="184" t="s">
        <v>2042</v>
      </c>
      <c r="AQ374" s="175"/>
    </row>
    <row r="375" spans="1:43" ht="14.5">
      <c r="A375" s="169"/>
      <c r="B375" s="170"/>
      <c r="C375" s="191"/>
      <c r="D375" s="170"/>
      <c r="E375" s="170"/>
      <c r="F375" s="179"/>
      <c r="G375" s="186" t="e">
        <f>IF(C375="","",SUMIFS(MRP!$D$5:$D1000,MRP!$B$5:$B1000,C375))*E375</f>
        <v>#VALUE!</v>
      </c>
      <c r="H375" s="181" t="s">
        <v>2041</v>
      </c>
      <c r="I375" s="182">
        <v>0</v>
      </c>
      <c r="J375" s="183" t="s">
        <v>2042</v>
      </c>
      <c r="K375" s="184" t="s">
        <v>2042</v>
      </c>
      <c r="L375" s="184" t="s">
        <v>2042</v>
      </c>
      <c r="M375" s="184" t="s">
        <v>2042</v>
      </c>
      <c r="N375" s="184" t="s">
        <v>2042</v>
      </c>
      <c r="O375" s="184" t="s">
        <v>2042</v>
      </c>
      <c r="P375" s="184" t="s">
        <v>2042</v>
      </c>
      <c r="Q375" s="184" t="s">
        <v>2042</v>
      </c>
      <c r="R375" s="184" t="s">
        <v>2042</v>
      </c>
      <c r="S375" s="184" t="s">
        <v>2042</v>
      </c>
      <c r="T375" s="184" t="s">
        <v>2042</v>
      </c>
      <c r="U375" s="184" t="s">
        <v>2042</v>
      </c>
      <c r="V375" s="184" t="s">
        <v>2042</v>
      </c>
      <c r="W375" s="184" t="s">
        <v>2042</v>
      </c>
      <c r="X375" s="184" t="s">
        <v>2042</v>
      </c>
      <c r="Y375" s="184" t="s">
        <v>2042</v>
      </c>
      <c r="Z375" s="184" t="s">
        <v>2042</v>
      </c>
      <c r="AA375" s="184" t="s">
        <v>2042</v>
      </c>
      <c r="AB375" s="184" t="s">
        <v>2042</v>
      </c>
      <c r="AC375" s="184" t="s">
        <v>2042</v>
      </c>
      <c r="AD375" s="184" t="s">
        <v>2042</v>
      </c>
      <c r="AE375" s="184" t="s">
        <v>2042</v>
      </c>
      <c r="AF375" s="184" t="s">
        <v>2042</v>
      </c>
      <c r="AG375" s="184" t="s">
        <v>2042</v>
      </c>
      <c r="AH375" s="184" t="s">
        <v>2042</v>
      </c>
      <c r="AI375" s="184" t="s">
        <v>2042</v>
      </c>
      <c r="AJ375" s="184" t="s">
        <v>2042</v>
      </c>
      <c r="AK375" s="184" t="s">
        <v>2042</v>
      </c>
      <c r="AL375" s="184" t="s">
        <v>2042</v>
      </c>
      <c r="AM375" s="184" t="s">
        <v>2042</v>
      </c>
      <c r="AN375" s="184" t="s">
        <v>2042</v>
      </c>
      <c r="AO375" s="184" t="s">
        <v>2042</v>
      </c>
      <c r="AP375" s="184" t="s">
        <v>2042</v>
      </c>
      <c r="AQ375" s="175"/>
    </row>
    <row r="376" spans="1:43" ht="14.5">
      <c r="A376" s="169"/>
      <c r="B376" s="170"/>
      <c r="C376" s="191"/>
      <c r="D376" s="170"/>
      <c r="E376" s="170"/>
      <c r="F376" s="179"/>
      <c r="G376" s="186" t="e">
        <f>IF(C376="","",SUMIFS(MRP!$D$5:$D1000,MRP!$B$5:$B1000,C376))*E376</f>
        <v>#VALUE!</v>
      </c>
      <c r="H376" s="181" t="s">
        <v>2041</v>
      </c>
      <c r="I376" s="182">
        <v>0</v>
      </c>
      <c r="J376" s="183" t="s">
        <v>2042</v>
      </c>
      <c r="K376" s="184" t="s">
        <v>2042</v>
      </c>
      <c r="L376" s="184" t="s">
        <v>2042</v>
      </c>
      <c r="M376" s="184" t="s">
        <v>2042</v>
      </c>
      <c r="N376" s="184" t="s">
        <v>2042</v>
      </c>
      <c r="O376" s="184" t="s">
        <v>2042</v>
      </c>
      <c r="P376" s="184" t="s">
        <v>2042</v>
      </c>
      <c r="Q376" s="184" t="s">
        <v>2042</v>
      </c>
      <c r="R376" s="184" t="s">
        <v>2042</v>
      </c>
      <c r="S376" s="184" t="s">
        <v>2042</v>
      </c>
      <c r="T376" s="184" t="s">
        <v>2042</v>
      </c>
      <c r="U376" s="184" t="s">
        <v>2042</v>
      </c>
      <c r="V376" s="184" t="s">
        <v>2042</v>
      </c>
      <c r="W376" s="184" t="s">
        <v>2042</v>
      </c>
      <c r="X376" s="184" t="s">
        <v>2042</v>
      </c>
      <c r="Y376" s="184" t="s">
        <v>2042</v>
      </c>
      <c r="Z376" s="184" t="s">
        <v>2042</v>
      </c>
      <c r="AA376" s="184" t="s">
        <v>2042</v>
      </c>
      <c r="AB376" s="184" t="s">
        <v>2042</v>
      </c>
      <c r="AC376" s="184" t="s">
        <v>2042</v>
      </c>
      <c r="AD376" s="184" t="s">
        <v>2042</v>
      </c>
      <c r="AE376" s="184" t="s">
        <v>2042</v>
      </c>
      <c r="AF376" s="184" t="s">
        <v>2042</v>
      </c>
      <c r="AG376" s="184" t="s">
        <v>2042</v>
      </c>
      <c r="AH376" s="184" t="s">
        <v>2042</v>
      </c>
      <c r="AI376" s="184" t="s">
        <v>2042</v>
      </c>
      <c r="AJ376" s="184" t="s">
        <v>2042</v>
      </c>
      <c r="AK376" s="184" t="s">
        <v>2042</v>
      </c>
      <c r="AL376" s="184" t="s">
        <v>2042</v>
      </c>
      <c r="AM376" s="184" t="s">
        <v>2042</v>
      </c>
      <c r="AN376" s="184" t="s">
        <v>2042</v>
      </c>
      <c r="AO376" s="184" t="s">
        <v>2042</v>
      </c>
      <c r="AP376" s="184" t="s">
        <v>2042</v>
      </c>
      <c r="AQ376" s="175"/>
    </row>
    <row r="377" spans="1:43" ht="14.5">
      <c r="A377" s="169"/>
      <c r="B377" s="170"/>
      <c r="C377" s="191"/>
      <c r="D377" s="170"/>
      <c r="E377" s="170"/>
      <c r="F377" s="179"/>
      <c r="G377" s="186" t="e">
        <f>IF(C377="","",SUMIFS(MRP!$D$5:$D1000,MRP!$B$5:$B1000,C377))*E377</f>
        <v>#VALUE!</v>
      </c>
      <c r="H377" s="181" t="s">
        <v>2041</v>
      </c>
      <c r="I377" s="182">
        <v>0</v>
      </c>
      <c r="J377" s="183" t="s">
        <v>2042</v>
      </c>
      <c r="K377" s="184" t="s">
        <v>2042</v>
      </c>
      <c r="L377" s="184" t="s">
        <v>2042</v>
      </c>
      <c r="M377" s="184" t="s">
        <v>2042</v>
      </c>
      <c r="N377" s="184" t="s">
        <v>2042</v>
      </c>
      <c r="O377" s="184" t="s">
        <v>2042</v>
      </c>
      <c r="P377" s="184" t="s">
        <v>2042</v>
      </c>
      <c r="Q377" s="184" t="s">
        <v>2042</v>
      </c>
      <c r="R377" s="184" t="s">
        <v>2042</v>
      </c>
      <c r="S377" s="184" t="s">
        <v>2042</v>
      </c>
      <c r="T377" s="184" t="s">
        <v>2042</v>
      </c>
      <c r="U377" s="184" t="s">
        <v>2042</v>
      </c>
      <c r="V377" s="184" t="s">
        <v>2042</v>
      </c>
      <c r="W377" s="184" t="s">
        <v>2042</v>
      </c>
      <c r="X377" s="184" t="s">
        <v>2042</v>
      </c>
      <c r="Y377" s="184" t="s">
        <v>2042</v>
      </c>
      <c r="Z377" s="184" t="s">
        <v>2042</v>
      </c>
      <c r="AA377" s="184" t="s">
        <v>2042</v>
      </c>
      <c r="AB377" s="184" t="s">
        <v>2042</v>
      </c>
      <c r="AC377" s="184" t="s">
        <v>2042</v>
      </c>
      <c r="AD377" s="184" t="s">
        <v>2042</v>
      </c>
      <c r="AE377" s="184" t="s">
        <v>2042</v>
      </c>
      <c r="AF377" s="184" t="s">
        <v>2042</v>
      </c>
      <c r="AG377" s="184" t="s">
        <v>2042</v>
      </c>
      <c r="AH377" s="184" t="s">
        <v>2042</v>
      </c>
      <c r="AI377" s="184" t="s">
        <v>2042</v>
      </c>
      <c r="AJ377" s="184" t="s">
        <v>2042</v>
      </c>
      <c r="AK377" s="184" t="s">
        <v>2042</v>
      </c>
      <c r="AL377" s="184" t="s">
        <v>2042</v>
      </c>
      <c r="AM377" s="184" t="s">
        <v>2042</v>
      </c>
      <c r="AN377" s="184" t="s">
        <v>2042</v>
      </c>
      <c r="AO377" s="184" t="s">
        <v>2042</v>
      </c>
      <c r="AP377" s="184" t="s">
        <v>2042</v>
      </c>
      <c r="AQ377" s="175"/>
    </row>
    <row r="378" spans="1:43" ht="14.5">
      <c r="A378" s="169"/>
      <c r="B378" s="170"/>
      <c r="C378" s="191"/>
      <c r="D378" s="170"/>
      <c r="E378" s="170"/>
      <c r="F378" s="179"/>
      <c r="G378" s="186" t="e">
        <f>IF(C378="","",SUMIFS(MRP!$D$5:$D1000,MRP!$B$5:$B1000,C378))*E378</f>
        <v>#VALUE!</v>
      </c>
      <c r="H378" s="181" t="s">
        <v>2041</v>
      </c>
      <c r="I378" s="182">
        <v>0</v>
      </c>
      <c r="J378" s="183" t="s">
        <v>2042</v>
      </c>
      <c r="K378" s="184" t="s">
        <v>2042</v>
      </c>
      <c r="L378" s="184" t="s">
        <v>2042</v>
      </c>
      <c r="M378" s="184" t="s">
        <v>2042</v>
      </c>
      <c r="N378" s="184" t="s">
        <v>2042</v>
      </c>
      <c r="O378" s="184" t="s">
        <v>2042</v>
      </c>
      <c r="P378" s="184" t="s">
        <v>2042</v>
      </c>
      <c r="Q378" s="184" t="s">
        <v>2042</v>
      </c>
      <c r="R378" s="184" t="s">
        <v>2042</v>
      </c>
      <c r="S378" s="184" t="s">
        <v>2042</v>
      </c>
      <c r="T378" s="184" t="s">
        <v>2042</v>
      </c>
      <c r="U378" s="184" t="s">
        <v>2042</v>
      </c>
      <c r="V378" s="184" t="s">
        <v>2042</v>
      </c>
      <c r="W378" s="184" t="s">
        <v>2042</v>
      </c>
      <c r="X378" s="184" t="s">
        <v>2042</v>
      </c>
      <c r="Y378" s="184" t="s">
        <v>2042</v>
      </c>
      <c r="Z378" s="184" t="s">
        <v>2042</v>
      </c>
      <c r="AA378" s="184" t="s">
        <v>2042</v>
      </c>
      <c r="AB378" s="184" t="s">
        <v>2042</v>
      </c>
      <c r="AC378" s="184" t="s">
        <v>2042</v>
      </c>
      <c r="AD378" s="184" t="s">
        <v>2042</v>
      </c>
      <c r="AE378" s="184" t="s">
        <v>2042</v>
      </c>
      <c r="AF378" s="184" t="s">
        <v>2042</v>
      </c>
      <c r="AG378" s="184" t="s">
        <v>2042</v>
      </c>
      <c r="AH378" s="184" t="s">
        <v>2042</v>
      </c>
      <c r="AI378" s="184" t="s">
        <v>2042</v>
      </c>
      <c r="AJ378" s="184" t="s">
        <v>2042</v>
      </c>
      <c r="AK378" s="184" t="s">
        <v>2042</v>
      </c>
      <c r="AL378" s="184" t="s">
        <v>2042</v>
      </c>
      <c r="AM378" s="184" t="s">
        <v>2042</v>
      </c>
      <c r="AN378" s="184" t="s">
        <v>2042</v>
      </c>
      <c r="AO378" s="184" t="s">
        <v>2042</v>
      </c>
      <c r="AP378" s="184" t="s">
        <v>2042</v>
      </c>
      <c r="AQ378" s="175"/>
    </row>
    <row r="379" spans="1:43" ht="14.5">
      <c r="A379" s="169"/>
      <c r="B379" s="170"/>
      <c r="C379" s="191"/>
      <c r="D379" s="170"/>
      <c r="E379" s="170"/>
      <c r="F379" s="179"/>
      <c r="G379" s="186" t="e">
        <f>IF(C379="","",SUMIFS(MRP!$D$5:$D1000,MRP!$B$5:$B1000,C379))*E379</f>
        <v>#VALUE!</v>
      </c>
      <c r="H379" s="181" t="s">
        <v>2041</v>
      </c>
      <c r="I379" s="182">
        <v>0</v>
      </c>
      <c r="J379" s="183" t="s">
        <v>2042</v>
      </c>
      <c r="K379" s="184" t="s">
        <v>2042</v>
      </c>
      <c r="L379" s="184" t="s">
        <v>2042</v>
      </c>
      <c r="M379" s="184" t="s">
        <v>2042</v>
      </c>
      <c r="N379" s="184" t="s">
        <v>2042</v>
      </c>
      <c r="O379" s="184" t="s">
        <v>2042</v>
      </c>
      <c r="P379" s="184" t="s">
        <v>2042</v>
      </c>
      <c r="Q379" s="184" t="s">
        <v>2042</v>
      </c>
      <c r="R379" s="184" t="s">
        <v>2042</v>
      </c>
      <c r="S379" s="184" t="s">
        <v>2042</v>
      </c>
      <c r="T379" s="184" t="s">
        <v>2042</v>
      </c>
      <c r="U379" s="184" t="s">
        <v>2042</v>
      </c>
      <c r="V379" s="184" t="s">
        <v>2042</v>
      </c>
      <c r="W379" s="184" t="s">
        <v>2042</v>
      </c>
      <c r="X379" s="184" t="s">
        <v>2042</v>
      </c>
      <c r="Y379" s="184" t="s">
        <v>2042</v>
      </c>
      <c r="Z379" s="184" t="s">
        <v>2042</v>
      </c>
      <c r="AA379" s="184" t="s">
        <v>2042</v>
      </c>
      <c r="AB379" s="184" t="s">
        <v>2042</v>
      </c>
      <c r="AC379" s="184" t="s">
        <v>2042</v>
      </c>
      <c r="AD379" s="184" t="s">
        <v>2042</v>
      </c>
      <c r="AE379" s="184" t="s">
        <v>2042</v>
      </c>
      <c r="AF379" s="184" t="s">
        <v>2042</v>
      </c>
      <c r="AG379" s="184" t="s">
        <v>2042</v>
      </c>
      <c r="AH379" s="184" t="s">
        <v>2042</v>
      </c>
      <c r="AI379" s="184" t="s">
        <v>2042</v>
      </c>
      <c r="AJ379" s="184" t="s">
        <v>2042</v>
      </c>
      <c r="AK379" s="184" t="s">
        <v>2042</v>
      </c>
      <c r="AL379" s="184" t="s">
        <v>2042</v>
      </c>
      <c r="AM379" s="184" t="s">
        <v>2042</v>
      </c>
      <c r="AN379" s="184" t="s">
        <v>2042</v>
      </c>
      <c r="AO379" s="184" t="s">
        <v>2042</v>
      </c>
      <c r="AP379" s="184" t="s">
        <v>2042</v>
      </c>
      <c r="AQ379" s="175"/>
    </row>
    <row r="380" spans="1:43" ht="14.5">
      <c r="A380" s="169"/>
      <c r="B380" s="170"/>
      <c r="C380" s="191"/>
      <c r="D380" s="170"/>
      <c r="E380" s="170"/>
      <c r="F380" s="179"/>
      <c r="G380" s="186" t="e">
        <f>IF(C380="","",SUMIFS(MRP!$D$5:$D1000,MRP!$B$5:$B1000,C380))*E380</f>
        <v>#VALUE!</v>
      </c>
      <c r="H380" s="181" t="s">
        <v>2041</v>
      </c>
      <c r="I380" s="182">
        <v>0</v>
      </c>
      <c r="J380" s="183" t="s">
        <v>2042</v>
      </c>
      <c r="K380" s="184" t="s">
        <v>2042</v>
      </c>
      <c r="L380" s="184" t="s">
        <v>2042</v>
      </c>
      <c r="M380" s="184" t="s">
        <v>2042</v>
      </c>
      <c r="N380" s="184" t="s">
        <v>2042</v>
      </c>
      <c r="O380" s="184" t="s">
        <v>2042</v>
      </c>
      <c r="P380" s="184" t="s">
        <v>2042</v>
      </c>
      <c r="Q380" s="184" t="s">
        <v>2042</v>
      </c>
      <c r="R380" s="184" t="s">
        <v>2042</v>
      </c>
      <c r="S380" s="184" t="s">
        <v>2042</v>
      </c>
      <c r="T380" s="184" t="s">
        <v>2042</v>
      </c>
      <c r="U380" s="184" t="s">
        <v>2042</v>
      </c>
      <c r="V380" s="184" t="s">
        <v>2042</v>
      </c>
      <c r="W380" s="184" t="s">
        <v>2042</v>
      </c>
      <c r="X380" s="184" t="s">
        <v>2042</v>
      </c>
      <c r="Y380" s="184" t="s">
        <v>2042</v>
      </c>
      <c r="Z380" s="184" t="s">
        <v>2042</v>
      </c>
      <c r="AA380" s="184" t="s">
        <v>2042</v>
      </c>
      <c r="AB380" s="184" t="s">
        <v>2042</v>
      </c>
      <c r="AC380" s="184" t="s">
        <v>2042</v>
      </c>
      <c r="AD380" s="184" t="s">
        <v>2042</v>
      </c>
      <c r="AE380" s="184" t="s">
        <v>2042</v>
      </c>
      <c r="AF380" s="184" t="s">
        <v>2042</v>
      </c>
      <c r="AG380" s="184" t="s">
        <v>2042</v>
      </c>
      <c r="AH380" s="184" t="s">
        <v>2042</v>
      </c>
      <c r="AI380" s="184" t="s">
        <v>2042</v>
      </c>
      <c r="AJ380" s="184" t="s">
        <v>2042</v>
      </c>
      <c r="AK380" s="184" t="s">
        <v>2042</v>
      </c>
      <c r="AL380" s="184" t="s">
        <v>2042</v>
      </c>
      <c r="AM380" s="184" t="s">
        <v>2042</v>
      </c>
      <c r="AN380" s="184" t="s">
        <v>2042</v>
      </c>
      <c r="AO380" s="184" t="s">
        <v>2042</v>
      </c>
      <c r="AP380" s="184" t="s">
        <v>2042</v>
      </c>
      <c r="AQ380" s="175"/>
    </row>
    <row r="381" spans="1:43" ht="14.5">
      <c r="A381" s="169"/>
      <c r="B381" s="170"/>
      <c r="C381" s="191"/>
      <c r="D381" s="170"/>
      <c r="E381" s="170"/>
      <c r="F381" s="179"/>
      <c r="G381" s="186" t="e">
        <f>IF(C381="","",SUMIFS(MRP!$D$5:$D1000,MRP!$B$5:$B1000,C381))*E381</f>
        <v>#VALUE!</v>
      </c>
      <c r="H381" s="181" t="s">
        <v>2041</v>
      </c>
      <c r="I381" s="182">
        <v>0</v>
      </c>
      <c r="J381" s="183" t="s">
        <v>2042</v>
      </c>
      <c r="K381" s="184" t="s">
        <v>2042</v>
      </c>
      <c r="L381" s="184" t="s">
        <v>2042</v>
      </c>
      <c r="M381" s="184" t="s">
        <v>2042</v>
      </c>
      <c r="N381" s="184" t="s">
        <v>2042</v>
      </c>
      <c r="O381" s="184" t="s">
        <v>2042</v>
      </c>
      <c r="P381" s="184" t="s">
        <v>2042</v>
      </c>
      <c r="Q381" s="184" t="s">
        <v>2042</v>
      </c>
      <c r="R381" s="184" t="s">
        <v>2042</v>
      </c>
      <c r="S381" s="184" t="s">
        <v>2042</v>
      </c>
      <c r="T381" s="184" t="s">
        <v>2042</v>
      </c>
      <c r="U381" s="184" t="s">
        <v>2042</v>
      </c>
      <c r="V381" s="184" t="s">
        <v>2042</v>
      </c>
      <c r="W381" s="184" t="s">
        <v>2042</v>
      </c>
      <c r="X381" s="184" t="s">
        <v>2042</v>
      </c>
      <c r="Y381" s="184" t="s">
        <v>2042</v>
      </c>
      <c r="Z381" s="184" t="s">
        <v>2042</v>
      </c>
      <c r="AA381" s="184" t="s">
        <v>2042</v>
      </c>
      <c r="AB381" s="184" t="s">
        <v>2042</v>
      </c>
      <c r="AC381" s="184" t="s">
        <v>2042</v>
      </c>
      <c r="AD381" s="184" t="s">
        <v>2042</v>
      </c>
      <c r="AE381" s="184" t="s">
        <v>2042</v>
      </c>
      <c r="AF381" s="184" t="s">
        <v>2042</v>
      </c>
      <c r="AG381" s="184" t="s">
        <v>2042</v>
      </c>
      <c r="AH381" s="184" t="s">
        <v>2042</v>
      </c>
      <c r="AI381" s="184" t="s">
        <v>2042</v>
      </c>
      <c r="AJ381" s="184" t="s">
        <v>2042</v>
      </c>
      <c r="AK381" s="184" t="s">
        <v>2042</v>
      </c>
      <c r="AL381" s="184" t="s">
        <v>2042</v>
      </c>
      <c r="AM381" s="184" t="s">
        <v>2042</v>
      </c>
      <c r="AN381" s="184" t="s">
        <v>2042</v>
      </c>
      <c r="AO381" s="184" t="s">
        <v>2042</v>
      </c>
      <c r="AP381" s="184" t="s">
        <v>2042</v>
      </c>
      <c r="AQ381" s="175"/>
    </row>
    <row r="382" spans="1:43" ht="14.5">
      <c r="A382" s="169"/>
      <c r="B382" s="170"/>
      <c r="C382" s="191"/>
      <c r="D382" s="170"/>
      <c r="E382" s="170"/>
      <c r="F382" s="179"/>
      <c r="G382" s="186" t="e">
        <f>IF(C382="","",SUMIFS(MRP!$D$5:$D1000,MRP!$B$5:$B1000,C382))*E382</f>
        <v>#VALUE!</v>
      </c>
      <c r="H382" s="181" t="s">
        <v>2041</v>
      </c>
      <c r="I382" s="182">
        <v>0</v>
      </c>
      <c r="J382" s="183" t="s">
        <v>2042</v>
      </c>
      <c r="K382" s="184" t="s">
        <v>2042</v>
      </c>
      <c r="L382" s="184" t="s">
        <v>2042</v>
      </c>
      <c r="M382" s="184" t="s">
        <v>2042</v>
      </c>
      <c r="N382" s="184" t="s">
        <v>2042</v>
      </c>
      <c r="O382" s="184" t="s">
        <v>2042</v>
      </c>
      <c r="P382" s="184" t="s">
        <v>2042</v>
      </c>
      <c r="Q382" s="184" t="s">
        <v>2042</v>
      </c>
      <c r="R382" s="184" t="s">
        <v>2042</v>
      </c>
      <c r="S382" s="184" t="s">
        <v>2042</v>
      </c>
      <c r="T382" s="184" t="s">
        <v>2042</v>
      </c>
      <c r="U382" s="184" t="s">
        <v>2042</v>
      </c>
      <c r="V382" s="184" t="s">
        <v>2042</v>
      </c>
      <c r="W382" s="184" t="s">
        <v>2042</v>
      </c>
      <c r="X382" s="184" t="s">
        <v>2042</v>
      </c>
      <c r="Y382" s="184" t="s">
        <v>2042</v>
      </c>
      <c r="Z382" s="184" t="s">
        <v>2042</v>
      </c>
      <c r="AA382" s="184" t="s">
        <v>2042</v>
      </c>
      <c r="AB382" s="184" t="s">
        <v>2042</v>
      </c>
      <c r="AC382" s="184" t="s">
        <v>2042</v>
      </c>
      <c r="AD382" s="184" t="s">
        <v>2042</v>
      </c>
      <c r="AE382" s="184" t="s">
        <v>2042</v>
      </c>
      <c r="AF382" s="184" t="s">
        <v>2042</v>
      </c>
      <c r="AG382" s="184" t="s">
        <v>2042</v>
      </c>
      <c r="AH382" s="184" t="s">
        <v>2042</v>
      </c>
      <c r="AI382" s="184" t="s">
        <v>2042</v>
      </c>
      <c r="AJ382" s="184" t="s">
        <v>2042</v>
      </c>
      <c r="AK382" s="184" t="s">
        <v>2042</v>
      </c>
      <c r="AL382" s="184" t="s">
        <v>2042</v>
      </c>
      <c r="AM382" s="184" t="s">
        <v>2042</v>
      </c>
      <c r="AN382" s="184" t="s">
        <v>2042</v>
      </c>
      <c r="AO382" s="184" t="s">
        <v>2042</v>
      </c>
      <c r="AP382" s="184" t="s">
        <v>2042</v>
      </c>
      <c r="AQ382" s="175"/>
    </row>
    <row r="383" spans="1:43" ht="14.5">
      <c r="A383" s="169"/>
      <c r="B383" s="170"/>
      <c r="C383" s="191"/>
      <c r="D383" s="170"/>
      <c r="E383" s="170"/>
      <c r="F383" s="179"/>
      <c r="G383" s="186" t="e">
        <f>IF(C383="","",SUMIFS(MRP!$D$5:$D1000,MRP!$B$5:$B1000,C383))*E383</f>
        <v>#VALUE!</v>
      </c>
      <c r="H383" s="181" t="s">
        <v>2041</v>
      </c>
      <c r="I383" s="182">
        <v>0</v>
      </c>
      <c r="J383" s="183" t="s">
        <v>2042</v>
      </c>
      <c r="K383" s="184" t="s">
        <v>2042</v>
      </c>
      <c r="L383" s="184" t="s">
        <v>2042</v>
      </c>
      <c r="M383" s="184" t="s">
        <v>2042</v>
      </c>
      <c r="N383" s="184" t="s">
        <v>2042</v>
      </c>
      <c r="O383" s="184" t="s">
        <v>2042</v>
      </c>
      <c r="P383" s="184" t="s">
        <v>2042</v>
      </c>
      <c r="Q383" s="184" t="s">
        <v>2042</v>
      </c>
      <c r="R383" s="184" t="s">
        <v>2042</v>
      </c>
      <c r="S383" s="184" t="s">
        <v>2042</v>
      </c>
      <c r="T383" s="184" t="s">
        <v>2042</v>
      </c>
      <c r="U383" s="184" t="s">
        <v>2042</v>
      </c>
      <c r="V383" s="184" t="s">
        <v>2042</v>
      </c>
      <c r="W383" s="184" t="s">
        <v>2042</v>
      </c>
      <c r="X383" s="184" t="s">
        <v>2042</v>
      </c>
      <c r="Y383" s="184" t="s">
        <v>2042</v>
      </c>
      <c r="Z383" s="184" t="s">
        <v>2042</v>
      </c>
      <c r="AA383" s="184" t="s">
        <v>2042</v>
      </c>
      <c r="AB383" s="184" t="s">
        <v>2042</v>
      </c>
      <c r="AC383" s="184" t="s">
        <v>2042</v>
      </c>
      <c r="AD383" s="184" t="s">
        <v>2042</v>
      </c>
      <c r="AE383" s="184" t="s">
        <v>2042</v>
      </c>
      <c r="AF383" s="184" t="s">
        <v>2042</v>
      </c>
      <c r="AG383" s="184" t="s">
        <v>2042</v>
      </c>
      <c r="AH383" s="184" t="s">
        <v>2042</v>
      </c>
      <c r="AI383" s="184" t="s">
        <v>2042</v>
      </c>
      <c r="AJ383" s="184" t="s">
        <v>2042</v>
      </c>
      <c r="AK383" s="184" t="s">
        <v>2042</v>
      </c>
      <c r="AL383" s="184" t="s">
        <v>2042</v>
      </c>
      <c r="AM383" s="184" t="s">
        <v>2042</v>
      </c>
      <c r="AN383" s="184" t="s">
        <v>2042</v>
      </c>
      <c r="AO383" s="184" t="s">
        <v>2042</v>
      </c>
      <c r="AP383" s="184" t="s">
        <v>2042</v>
      </c>
      <c r="AQ383" s="175"/>
    </row>
    <row r="384" spans="1:43" ht="14.5">
      <c r="A384" s="169"/>
      <c r="B384" s="170"/>
      <c r="C384" s="191"/>
      <c r="D384" s="170"/>
      <c r="E384" s="170"/>
      <c r="F384" s="179"/>
      <c r="G384" s="186" t="e">
        <f>IF(C384="","",SUMIFS(MRP!$D$5:$D1000,MRP!$B$5:$B1000,C384))*E384</f>
        <v>#VALUE!</v>
      </c>
      <c r="H384" s="181" t="s">
        <v>2041</v>
      </c>
      <c r="I384" s="182">
        <v>0</v>
      </c>
      <c r="J384" s="183" t="s">
        <v>2042</v>
      </c>
      <c r="K384" s="184" t="s">
        <v>2042</v>
      </c>
      <c r="L384" s="184" t="s">
        <v>2042</v>
      </c>
      <c r="M384" s="184" t="s">
        <v>2042</v>
      </c>
      <c r="N384" s="184" t="s">
        <v>2042</v>
      </c>
      <c r="O384" s="184" t="s">
        <v>2042</v>
      </c>
      <c r="P384" s="184" t="s">
        <v>2042</v>
      </c>
      <c r="Q384" s="184" t="s">
        <v>2042</v>
      </c>
      <c r="R384" s="184" t="s">
        <v>2042</v>
      </c>
      <c r="S384" s="184" t="s">
        <v>2042</v>
      </c>
      <c r="T384" s="184" t="s">
        <v>2042</v>
      </c>
      <c r="U384" s="184" t="s">
        <v>2042</v>
      </c>
      <c r="V384" s="184" t="s">
        <v>2042</v>
      </c>
      <c r="W384" s="184" t="s">
        <v>2042</v>
      </c>
      <c r="X384" s="184" t="s">
        <v>2042</v>
      </c>
      <c r="Y384" s="184" t="s">
        <v>2042</v>
      </c>
      <c r="Z384" s="184" t="s">
        <v>2042</v>
      </c>
      <c r="AA384" s="184" t="s">
        <v>2042</v>
      </c>
      <c r="AB384" s="184" t="s">
        <v>2042</v>
      </c>
      <c r="AC384" s="184" t="s">
        <v>2042</v>
      </c>
      <c r="AD384" s="184" t="s">
        <v>2042</v>
      </c>
      <c r="AE384" s="184" t="s">
        <v>2042</v>
      </c>
      <c r="AF384" s="184" t="s">
        <v>2042</v>
      </c>
      <c r="AG384" s="184" t="s">
        <v>2042</v>
      </c>
      <c r="AH384" s="184" t="s">
        <v>2042</v>
      </c>
      <c r="AI384" s="184" t="s">
        <v>2042</v>
      </c>
      <c r="AJ384" s="184" t="s">
        <v>2042</v>
      </c>
      <c r="AK384" s="184" t="s">
        <v>2042</v>
      </c>
      <c r="AL384" s="184" t="s">
        <v>2042</v>
      </c>
      <c r="AM384" s="184" t="s">
        <v>2042</v>
      </c>
      <c r="AN384" s="184" t="s">
        <v>2042</v>
      </c>
      <c r="AO384" s="184" t="s">
        <v>2042</v>
      </c>
      <c r="AP384" s="184" t="s">
        <v>2042</v>
      </c>
      <c r="AQ384" s="175"/>
    </row>
    <row r="385" spans="1:43" ht="14.5">
      <c r="A385" s="169"/>
      <c r="B385" s="170"/>
      <c r="C385" s="191"/>
      <c r="D385" s="170"/>
      <c r="E385" s="170"/>
      <c r="F385" s="179"/>
      <c r="G385" s="186" t="e">
        <f>IF(C385="","",SUMIFS(MRP!$D$5:$D1000,MRP!$B$5:$B1000,C385))*E385</f>
        <v>#VALUE!</v>
      </c>
      <c r="H385" s="181" t="s">
        <v>2041</v>
      </c>
      <c r="I385" s="182">
        <v>0</v>
      </c>
      <c r="J385" s="183" t="s">
        <v>2042</v>
      </c>
      <c r="K385" s="184" t="s">
        <v>2042</v>
      </c>
      <c r="L385" s="184" t="s">
        <v>2042</v>
      </c>
      <c r="M385" s="184" t="s">
        <v>2042</v>
      </c>
      <c r="N385" s="184" t="s">
        <v>2042</v>
      </c>
      <c r="O385" s="184" t="s">
        <v>2042</v>
      </c>
      <c r="P385" s="184" t="s">
        <v>2042</v>
      </c>
      <c r="Q385" s="184" t="s">
        <v>2042</v>
      </c>
      <c r="R385" s="184" t="s">
        <v>2042</v>
      </c>
      <c r="S385" s="184" t="s">
        <v>2042</v>
      </c>
      <c r="T385" s="184" t="s">
        <v>2042</v>
      </c>
      <c r="U385" s="184" t="s">
        <v>2042</v>
      </c>
      <c r="V385" s="184" t="s">
        <v>2042</v>
      </c>
      <c r="W385" s="184" t="s">
        <v>2042</v>
      </c>
      <c r="X385" s="184" t="s">
        <v>2042</v>
      </c>
      <c r="Y385" s="184" t="s">
        <v>2042</v>
      </c>
      <c r="Z385" s="184" t="s">
        <v>2042</v>
      </c>
      <c r="AA385" s="184" t="s">
        <v>2042</v>
      </c>
      <c r="AB385" s="184" t="s">
        <v>2042</v>
      </c>
      <c r="AC385" s="184" t="s">
        <v>2042</v>
      </c>
      <c r="AD385" s="184" t="s">
        <v>2042</v>
      </c>
      <c r="AE385" s="184" t="s">
        <v>2042</v>
      </c>
      <c r="AF385" s="184" t="s">
        <v>2042</v>
      </c>
      <c r="AG385" s="184" t="s">
        <v>2042</v>
      </c>
      <c r="AH385" s="184" t="s">
        <v>2042</v>
      </c>
      <c r="AI385" s="184" t="s">
        <v>2042</v>
      </c>
      <c r="AJ385" s="184" t="s">
        <v>2042</v>
      </c>
      <c r="AK385" s="184" t="s">
        <v>2042</v>
      </c>
      <c r="AL385" s="184" t="s">
        <v>2042</v>
      </c>
      <c r="AM385" s="184" t="s">
        <v>2042</v>
      </c>
      <c r="AN385" s="184" t="s">
        <v>2042</v>
      </c>
      <c r="AO385" s="184" t="s">
        <v>2042</v>
      </c>
      <c r="AP385" s="184" t="s">
        <v>2042</v>
      </c>
      <c r="AQ385" s="175"/>
    </row>
    <row r="386" spans="1:43" ht="14.5">
      <c r="A386" s="169"/>
      <c r="B386" s="170"/>
      <c r="C386" s="191"/>
      <c r="D386" s="170"/>
      <c r="E386" s="170"/>
      <c r="F386" s="179"/>
      <c r="G386" s="186" t="e">
        <f>IF(C386="","",SUMIFS(MRP!$D$5:$D1000,MRP!$B$5:$B1000,C386))*E386</f>
        <v>#VALUE!</v>
      </c>
      <c r="H386" s="181" t="s">
        <v>2041</v>
      </c>
      <c r="I386" s="182">
        <v>0</v>
      </c>
      <c r="J386" s="183" t="s">
        <v>2042</v>
      </c>
      <c r="K386" s="184" t="s">
        <v>2042</v>
      </c>
      <c r="L386" s="184" t="s">
        <v>2042</v>
      </c>
      <c r="M386" s="184" t="s">
        <v>2042</v>
      </c>
      <c r="N386" s="184" t="s">
        <v>2042</v>
      </c>
      <c r="O386" s="184" t="s">
        <v>2042</v>
      </c>
      <c r="P386" s="184" t="s">
        <v>2042</v>
      </c>
      <c r="Q386" s="184" t="s">
        <v>2042</v>
      </c>
      <c r="R386" s="184" t="s">
        <v>2042</v>
      </c>
      <c r="S386" s="184" t="s">
        <v>2042</v>
      </c>
      <c r="T386" s="184" t="s">
        <v>2042</v>
      </c>
      <c r="U386" s="184" t="s">
        <v>2042</v>
      </c>
      <c r="V386" s="184" t="s">
        <v>2042</v>
      </c>
      <c r="W386" s="184" t="s">
        <v>2042</v>
      </c>
      <c r="X386" s="184" t="s">
        <v>2042</v>
      </c>
      <c r="Y386" s="184" t="s">
        <v>2042</v>
      </c>
      <c r="Z386" s="184" t="s">
        <v>2042</v>
      </c>
      <c r="AA386" s="184" t="s">
        <v>2042</v>
      </c>
      <c r="AB386" s="184" t="s">
        <v>2042</v>
      </c>
      <c r="AC386" s="184" t="s">
        <v>2042</v>
      </c>
      <c r="AD386" s="184" t="s">
        <v>2042</v>
      </c>
      <c r="AE386" s="184" t="s">
        <v>2042</v>
      </c>
      <c r="AF386" s="184" t="s">
        <v>2042</v>
      </c>
      <c r="AG386" s="184" t="s">
        <v>2042</v>
      </c>
      <c r="AH386" s="184" t="s">
        <v>2042</v>
      </c>
      <c r="AI386" s="184" t="s">
        <v>2042</v>
      </c>
      <c r="AJ386" s="184" t="s">
        <v>2042</v>
      </c>
      <c r="AK386" s="184" t="s">
        <v>2042</v>
      </c>
      <c r="AL386" s="184" t="s">
        <v>2042</v>
      </c>
      <c r="AM386" s="184" t="s">
        <v>2042</v>
      </c>
      <c r="AN386" s="184" t="s">
        <v>2042</v>
      </c>
      <c r="AO386" s="184" t="s">
        <v>2042</v>
      </c>
      <c r="AP386" s="184" t="s">
        <v>2042</v>
      </c>
      <c r="AQ386" s="175"/>
    </row>
    <row r="387" spans="1:43" ht="14.5">
      <c r="A387" s="169"/>
      <c r="B387" s="170"/>
      <c r="C387" s="191"/>
      <c r="D387" s="170"/>
      <c r="E387" s="170"/>
      <c r="F387" s="179"/>
      <c r="G387" s="186" t="e">
        <f>IF(C387="","",SUMIFS(MRP!$D$5:$D1000,MRP!$B$5:$B1000,C387))*E387</f>
        <v>#VALUE!</v>
      </c>
      <c r="H387" s="181" t="s">
        <v>2041</v>
      </c>
      <c r="I387" s="182">
        <v>0</v>
      </c>
      <c r="J387" s="183" t="s">
        <v>2042</v>
      </c>
      <c r="K387" s="184" t="s">
        <v>2042</v>
      </c>
      <c r="L387" s="184" t="s">
        <v>2042</v>
      </c>
      <c r="M387" s="184" t="s">
        <v>2042</v>
      </c>
      <c r="N387" s="184" t="s">
        <v>2042</v>
      </c>
      <c r="O387" s="184" t="s">
        <v>2042</v>
      </c>
      <c r="P387" s="184" t="s">
        <v>2042</v>
      </c>
      <c r="Q387" s="184" t="s">
        <v>2042</v>
      </c>
      <c r="R387" s="184" t="s">
        <v>2042</v>
      </c>
      <c r="S387" s="184" t="s">
        <v>2042</v>
      </c>
      <c r="T387" s="184" t="s">
        <v>2042</v>
      </c>
      <c r="U387" s="184" t="s">
        <v>2042</v>
      </c>
      <c r="V387" s="184" t="s">
        <v>2042</v>
      </c>
      <c r="W387" s="184" t="s">
        <v>2042</v>
      </c>
      <c r="X387" s="184" t="s">
        <v>2042</v>
      </c>
      <c r="Y387" s="184" t="s">
        <v>2042</v>
      </c>
      <c r="Z387" s="184" t="s">
        <v>2042</v>
      </c>
      <c r="AA387" s="184" t="s">
        <v>2042</v>
      </c>
      <c r="AB387" s="184" t="s">
        <v>2042</v>
      </c>
      <c r="AC387" s="184" t="s">
        <v>2042</v>
      </c>
      <c r="AD387" s="184" t="s">
        <v>2042</v>
      </c>
      <c r="AE387" s="184" t="s">
        <v>2042</v>
      </c>
      <c r="AF387" s="184" t="s">
        <v>2042</v>
      </c>
      <c r="AG387" s="184" t="s">
        <v>2042</v>
      </c>
      <c r="AH387" s="184" t="s">
        <v>2042</v>
      </c>
      <c r="AI387" s="184" t="s">
        <v>2042</v>
      </c>
      <c r="AJ387" s="184" t="s">
        <v>2042</v>
      </c>
      <c r="AK387" s="184" t="s">
        <v>2042</v>
      </c>
      <c r="AL387" s="184" t="s">
        <v>2042</v>
      </c>
      <c r="AM387" s="184" t="s">
        <v>2042</v>
      </c>
      <c r="AN387" s="184" t="s">
        <v>2042</v>
      </c>
      <c r="AO387" s="184" t="s">
        <v>2042</v>
      </c>
      <c r="AP387" s="184" t="s">
        <v>2042</v>
      </c>
      <c r="AQ387" s="175"/>
    </row>
    <row r="388" spans="1:43" ht="14.5">
      <c r="A388" s="169"/>
      <c r="B388" s="170"/>
      <c r="C388" s="191"/>
      <c r="D388" s="170"/>
      <c r="E388" s="170"/>
      <c r="F388" s="179"/>
      <c r="G388" s="186" t="e">
        <f>IF(C388="","",SUMIFS(MRP!$D$5:$D1000,MRP!$B$5:$B1000,C388))*E388</f>
        <v>#VALUE!</v>
      </c>
      <c r="H388" s="181" t="s">
        <v>2041</v>
      </c>
      <c r="I388" s="182">
        <v>0</v>
      </c>
      <c r="J388" s="183" t="s">
        <v>2042</v>
      </c>
      <c r="K388" s="184" t="s">
        <v>2042</v>
      </c>
      <c r="L388" s="184" t="s">
        <v>2042</v>
      </c>
      <c r="M388" s="184" t="s">
        <v>2042</v>
      </c>
      <c r="N388" s="184" t="s">
        <v>2042</v>
      </c>
      <c r="O388" s="184" t="s">
        <v>2042</v>
      </c>
      <c r="P388" s="184" t="s">
        <v>2042</v>
      </c>
      <c r="Q388" s="184" t="s">
        <v>2042</v>
      </c>
      <c r="R388" s="184" t="s">
        <v>2042</v>
      </c>
      <c r="S388" s="184" t="s">
        <v>2042</v>
      </c>
      <c r="T388" s="184" t="s">
        <v>2042</v>
      </c>
      <c r="U388" s="184" t="s">
        <v>2042</v>
      </c>
      <c r="V388" s="184" t="s">
        <v>2042</v>
      </c>
      <c r="W388" s="184" t="s">
        <v>2042</v>
      </c>
      <c r="X388" s="184" t="s">
        <v>2042</v>
      </c>
      <c r="Y388" s="184" t="s">
        <v>2042</v>
      </c>
      <c r="Z388" s="184" t="s">
        <v>2042</v>
      </c>
      <c r="AA388" s="184" t="s">
        <v>2042</v>
      </c>
      <c r="AB388" s="184" t="s">
        <v>2042</v>
      </c>
      <c r="AC388" s="184" t="s">
        <v>2042</v>
      </c>
      <c r="AD388" s="184" t="s">
        <v>2042</v>
      </c>
      <c r="AE388" s="184" t="s">
        <v>2042</v>
      </c>
      <c r="AF388" s="184" t="s">
        <v>2042</v>
      </c>
      <c r="AG388" s="184" t="s">
        <v>2042</v>
      </c>
      <c r="AH388" s="184" t="s">
        <v>2042</v>
      </c>
      <c r="AI388" s="184" t="s">
        <v>2042</v>
      </c>
      <c r="AJ388" s="184" t="s">
        <v>2042</v>
      </c>
      <c r="AK388" s="184" t="s">
        <v>2042</v>
      </c>
      <c r="AL388" s="184" t="s">
        <v>2042</v>
      </c>
      <c r="AM388" s="184" t="s">
        <v>2042</v>
      </c>
      <c r="AN388" s="184" t="s">
        <v>2042</v>
      </c>
      <c r="AO388" s="184" t="s">
        <v>2042</v>
      </c>
      <c r="AP388" s="184" t="s">
        <v>2042</v>
      </c>
      <c r="AQ388" s="175"/>
    </row>
    <row r="389" spans="1:43" ht="14.5">
      <c r="A389" s="169"/>
      <c r="B389" s="170"/>
      <c r="C389" s="191"/>
      <c r="D389" s="170"/>
      <c r="E389" s="170"/>
      <c r="F389" s="179"/>
      <c r="G389" s="186" t="e">
        <f>IF(C389="","",SUMIFS(MRP!$D$5:$D1000,MRP!$B$5:$B1000,C389))*E389</f>
        <v>#VALUE!</v>
      </c>
      <c r="H389" s="181" t="s">
        <v>2041</v>
      </c>
      <c r="I389" s="182">
        <v>0</v>
      </c>
      <c r="J389" s="183" t="s">
        <v>2042</v>
      </c>
      <c r="K389" s="184" t="s">
        <v>2042</v>
      </c>
      <c r="L389" s="184" t="s">
        <v>2042</v>
      </c>
      <c r="M389" s="184" t="s">
        <v>2042</v>
      </c>
      <c r="N389" s="184" t="s">
        <v>2042</v>
      </c>
      <c r="O389" s="184" t="s">
        <v>2042</v>
      </c>
      <c r="P389" s="184" t="s">
        <v>2042</v>
      </c>
      <c r="Q389" s="184" t="s">
        <v>2042</v>
      </c>
      <c r="R389" s="184" t="s">
        <v>2042</v>
      </c>
      <c r="S389" s="184" t="s">
        <v>2042</v>
      </c>
      <c r="T389" s="184" t="s">
        <v>2042</v>
      </c>
      <c r="U389" s="184" t="s">
        <v>2042</v>
      </c>
      <c r="V389" s="184" t="s">
        <v>2042</v>
      </c>
      <c r="W389" s="184" t="s">
        <v>2042</v>
      </c>
      <c r="X389" s="184" t="s">
        <v>2042</v>
      </c>
      <c r="Y389" s="184" t="s">
        <v>2042</v>
      </c>
      <c r="Z389" s="184" t="s">
        <v>2042</v>
      </c>
      <c r="AA389" s="184" t="s">
        <v>2042</v>
      </c>
      <c r="AB389" s="184" t="s">
        <v>2042</v>
      </c>
      <c r="AC389" s="184" t="s">
        <v>2042</v>
      </c>
      <c r="AD389" s="184" t="s">
        <v>2042</v>
      </c>
      <c r="AE389" s="184" t="s">
        <v>2042</v>
      </c>
      <c r="AF389" s="184" t="s">
        <v>2042</v>
      </c>
      <c r="AG389" s="184" t="s">
        <v>2042</v>
      </c>
      <c r="AH389" s="184" t="s">
        <v>2042</v>
      </c>
      <c r="AI389" s="184" t="s">
        <v>2042</v>
      </c>
      <c r="AJ389" s="184" t="s">
        <v>2042</v>
      </c>
      <c r="AK389" s="184" t="s">
        <v>2042</v>
      </c>
      <c r="AL389" s="184" t="s">
        <v>2042</v>
      </c>
      <c r="AM389" s="184" t="s">
        <v>2042</v>
      </c>
      <c r="AN389" s="184" t="s">
        <v>2042</v>
      </c>
      <c r="AO389" s="184" t="s">
        <v>2042</v>
      </c>
      <c r="AP389" s="184" t="s">
        <v>2042</v>
      </c>
      <c r="AQ389" s="175"/>
    </row>
    <row r="390" spans="1:43" ht="14.5">
      <c r="A390" s="169"/>
      <c r="B390" s="170"/>
      <c r="C390" s="191"/>
      <c r="D390" s="170"/>
      <c r="E390" s="170"/>
      <c r="F390" s="179"/>
      <c r="G390" s="186" t="e">
        <f>IF(C390="","",SUMIFS(MRP!$D$5:$D1000,MRP!$B$5:$B1000,C390))*E390</f>
        <v>#VALUE!</v>
      </c>
      <c r="H390" s="181" t="s">
        <v>2041</v>
      </c>
      <c r="I390" s="182">
        <v>0</v>
      </c>
      <c r="J390" s="183" t="s">
        <v>2042</v>
      </c>
      <c r="K390" s="184" t="s">
        <v>2042</v>
      </c>
      <c r="L390" s="184" t="s">
        <v>2042</v>
      </c>
      <c r="M390" s="184" t="s">
        <v>2042</v>
      </c>
      <c r="N390" s="184" t="s">
        <v>2042</v>
      </c>
      <c r="O390" s="184" t="s">
        <v>2042</v>
      </c>
      <c r="P390" s="184" t="s">
        <v>2042</v>
      </c>
      <c r="Q390" s="184" t="s">
        <v>2042</v>
      </c>
      <c r="R390" s="184" t="s">
        <v>2042</v>
      </c>
      <c r="S390" s="184" t="s">
        <v>2042</v>
      </c>
      <c r="T390" s="184" t="s">
        <v>2042</v>
      </c>
      <c r="U390" s="184" t="s">
        <v>2042</v>
      </c>
      <c r="V390" s="184" t="s">
        <v>2042</v>
      </c>
      <c r="W390" s="184" t="s">
        <v>2042</v>
      </c>
      <c r="X390" s="184" t="s">
        <v>2042</v>
      </c>
      <c r="Y390" s="184" t="s">
        <v>2042</v>
      </c>
      <c r="Z390" s="184" t="s">
        <v>2042</v>
      </c>
      <c r="AA390" s="184" t="s">
        <v>2042</v>
      </c>
      <c r="AB390" s="184" t="s">
        <v>2042</v>
      </c>
      <c r="AC390" s="184" t="s">
        <v>2042</v>
      </c>
      <c r="AD390" s="184" t="s">
        <v>2042</v>
      </c>
      <c r="AE390" s="184" t="s">
        <v>2042</v>
      </c>
      <c r="AF390" s="184" t="s">
        <v>2042</v>
      </c>
      <c r="AG390" s="184" t="s">
        <v>2042</v>
      </c>
      <c r="AH390" s="184" t="s">
        <v>2042</v>
      </c>
      <c r="AI390" s="184" t="s">
        <v>2042</v>
      </c>
      <c r="AJ390" s="184" t="s">
        <v>2042</v>
      </c>
      <c r="AK390" s="184" t="s">
        <v>2042</v>
      </c>
      <c r="AL390" s="184" t="s">
        <v>2042</v>
      </c>
      <c r="AM390" s="184" t="s">
        <v>2042</v>
      </c>
      <c r="AN390" s="184" t="s">
        <v>2042</v>
      </c>
      <c r="AO390" s="184" t="s">
        <v>2042</v>
      </c>
      <c r="AP390" s="184" t="s">
        <v>2042</v>
      </c>
      <c r="AQ390" s="175"/>
    </row>
    <row r="391" spans="1:43" ht="14.5">
      <c r="A391" s="169"/>
      <c r="B391" s="170"/>
      <c r="C391" s="191"/>
      <c r="D391" s="170"/>
      <c r="E391" s="170"/>
      <c r="F391" s="179"/>
      <c r="G391" s="186" t="e">
        <f>IF(C391="","",SUMIFS(MRP!$D$5:$D1000,MRP!$B$5:$B1000,C391))*E391</f>
        <v>#VALUE!</v>
      </c>
      <c r="H391" s="181" t="s">
        <v>2041</v>
      </c>
      <c r="I391" s="182">
        <v>0</v>
      </c>
      <c r="J391" s="183" t="s">
        <v>2042</v>
      </c>
      <c r="K391" s="184" t="s">
        <v>2042</v>
      </c>
      <c r="L391" s="184" t="s">
        <v>2042</v>
      </c>
      <c r="M391" s="184" t="s">
        <v>2042</v>
      </c>
      <c r="N391" s="184" t="s">
        <v>2042</v>
      </c>
      <c r="O391" s="184" t="s">
        <v>2042</v>
      </c>
      <c r="P391" s="184" t="s">
        <v>2042</v>
      </c>
      <c r="Q391" s="184" t="s">
        <v>2042</v>
      </c>
      <c r="R391" s="184" t="s">
        <v>2042</v>
      </c>
      <c r="S391" s="184" t="s">
        <v>2042</v>
      </c>
      <c r="T391" s="184" t="s">
        <v>2042</v>
      </c>
      <c r="U391" s="184" t="s">
        <v>2042</v>
      </c>
      <c r="V391" s="184" t="s">
        <v>2042</v>
      </c>
      <c r="W391" s="184" t="s">
        <v>2042</v>
      </c>
      <c r="X391" s="184" t="s">
        <v>2042</v>
      </c>
      <c r="Y391" s="184" t="s">
        <v>2042</v>
      </c>
      <c r="Z391" s="184" t="s">
        <v>2042</v>
      </c>
      <c r="AA391" s="184" t="s">
        <v>2042</v>
      </c>
      <c r="AB391" s="184" t="s">
        <v>2042</v>
      </c>
      <c r="AC391" s="184" t="s">
        <v>2042</v>
      </c>
      <c r="AD391" s="184" t="s">
        <v>2042</v>
      </c>
      <c r="AE391" s="184" t="s">
        <v>2042</v>
      </c>
      <c r="AF391" s="184" t="s">
        <v>2042</v>
      </c>
      <c r="AG391" s="184" t="s">
        <v>2042</v>
      </c>
      <c r="AH391" s="184" t="s">
        <v>2042</v>
      </c>
      <c r="AI391" s="184" t="s">
        <v>2042</v>
      </c>
      <c r="AJ391" s="184" t="s">
        <v>2042</v>
      </c>
      <c r="AK391" s="184" t="s">
        <v>2042</v>
      </c>
      <c r="AL391" s="184" t="s">
        <v>2042</v>
      </c>
      <c r="AM391" s="184" t="s">
        <v>2042</v>
      </c>
      <c r="AN391" s="184" t="s">
        <v>2042</v>
      </c>
      <c r="AO391" s="184" t="s">
        <v>2042</v>
      </c>
      <c r="AP391" s="184" t="s">
        <v>2042</v>
      </c>
      <c r="AQ391" s="175"/>
    </row>
    <row r="392" spans="1:43" ht="14.5">
      <c r="A392" s="169"/>
      <c r="B392" s="170"/>
      <c r="C392" s="191"/>
      <c r="D392" s="170"/>
      <c r="E392" s="170"/>
      <c r="F392" s="179"/>
      <c r="G392" s="186" t="e">
        <f>IF(C392="","",SUMIFS(MRP!$D$5:$D1000,MRP!$B$5:$B1000,C392))*E392</f>
        <v>#VALUE!</v>
      </c>
      <c r="H392" s="181" t="s">
        <v>2041</v>
      </c>
      <c r="I392" s="182">
        <v>0</v>
      </c>
      <c r="J392" s="183" t="s">
        <v>2042</v>
      </c>
      <c r="K392" s="184" t="s">
        <v>2042</v>
      </c>
      <c r="L392" s="184" t="s">
        <v>2042</v>
      </c>
      <c r="M392" s="184" t="s">
        <v>2042</v>
      </c>
      <c r="N392" s="184" t="s">
        <v>2042</v>
      </c>
      <c r="O392" s="184" t="s">
        <v>2042</v>
      </c>
      <c r="P392" s="184" t="s">
        <v>2042</v>
      </c>
      <c r="Q392" s="184" t="s">
        <v>2042</v>
      </c>
      <c r="R392" s="184" t="s">
        <v>2042</v>
      </c>
      <c r="S392" s="184" t="s">
        <v>2042</v>
      </c>
      <c r="T392" s="184" t="s">
        <v>2042</v>
      </c>
      <c r="U392" s="184" t="s">
        <v>2042</v>
      </c>
      <c r="V392" s="184" t="s">
        <v>2042</v>
      </c>
      <c r="W392" s="184" t="s">
        <v>2042</v>
      </c>
      <c r="X392" s="184" t="s">
        <v>2042</v>
      </c>
      <c r="Y392" s="184" t="s">
        <v>2042</v>
      </c>
      <c r="Z392" s="184" t="s">
        <v>2042</v>
      </c>
      <c r="AA392" s="184" t="s">
        <v>2042</v>
      </c>
      <c r="AB392" s="184" t="s">
        <v>2042</v>
      </c>
      <c r="AC392" s="184" t="s">
        <v>2042</v>
      </c>
      <c r="AD392" s="184" t="s">
        <v>2042</v>
      </c>
      <c r="AE392" s="184" t="s">
        <v>2042</v>
      </c>
      <c r="AF392" s="184" t="s">
        <v>2042</v>
      </c>
      <c r="AG392" s="184" t="s">
        <v>2042</v>
      </c>
      <c r="AH392" s="184" t="s">
        <v>2042</v>
      </c>
      <c r="AI392" s="184" t="s">
        <v>2042</v>
      </c>
      <c r="AJ392" s="184" t="s">
        <v>2042</v>
      </c>
      <c r="AK392" s="184" t="s">
        <v>2042</v>
      </c>
      <c r="AL392" s="184" t="s">
        <v>2042</v>
      </c>
      <c r="AM392" s="184" t="s">
        <v>2042</v>
      </c>
      <c r="AN392" s="184" t="s">
        <v>2042</v>
      </c>
      <c r="AO392" s="184" t="s">
        <v>2042</v>
      </c>
      <c r="AP392" s="184" t="s">
        <v>2042</v>
      </c>
      <c r="AQ392" s="175"/>
    </row>
    <row r="393" spans="1:43" ht="14.5">
      <c r="A393" s="169"/>
      <c r="B393" s="170"/>
      <c r="C393" s="191"/>
      <c r="D393" s="170"/>
      <c r="E393" s="170"/>
      <c r="F393" s="179"/>
      <c r="G393" s="186" t="e">
        <f>IF(C393="","",SUMIFS(MRP!$D$5:$D1000,MRP!$B$5:$B1000,C393))*E393</f>
        <v>#VALUE!</v>
      </c>
      <c r="H393" s="181" t="s">
        <v>2041</v>
      </c>
      <c r="I393" s="182">
        <v>0</v>
      </c>
      <c r="J393" s="183" t="s">
        <v>2042</v>
      </c>
      <c r="K393" s="184" t="s">
        <v>2042</v>
      </c>
      <c r="L393" s="184" t="s">
        <v>2042</v>
      </c>
      <c r="M393" s="184" t="s">
        <v>2042</v>
      </c>
      <c r="N393" s="184" t="s">
        <v>2042</v>
      </c>
      <c r="O393" s="184" t="s">
        <v>2042</v>
      </c>
      <c r="P393" s="184" t="s">
        <v>2042</v>
      </c>
      <c r="Q393" s="184" t="s">
        <v>2042</v>
      </c>
      <c r="R393" s="184" t="s">
        <v>2042</v>
      </c>
      <c r="S393" s="184" t="s">
        <v>2042</v>
      </c>
      <c r="T393" s="184" t="s">
        <v>2042</v>
      </c>
      <c r="U393" s="184" t="s">
        <v>2042</v>
      </c>
      <c r="V393" s="184" t="s">
        <v>2042</v>
      </c>
      <c r="W393" s="184" t="s">
        <v>2042</v>
      </c>
      <c r="X393" s="184" t="s">
        <v>2042</v>
      </c>
      <c r="Y393" s="184" t="s">
        <v>2042</v>
      </c>
      <c r="Z393" s="184" t="s">
        <v>2042</v>
      </c>
      <c r="AA393" s="184" t="s">
        <v>2042</v>
      </c>
      <c r="AB393" s="184" t="s">
        <v>2042</v>
      </c>
      <c r="AC393" s="184" t="s">
        <v>2042</v>
      </c>
      <c r="AD393" s="184" t="s">
        <v>2042</v>
      </c>
      <c r="AE393" s="184" t="s">
        <v>2042</v>
      </c>
      <c r="AF393" s="184" t="s">
        <v>2042</v>
      </c>
      <c r="AG393" s="184" t="s">
        <v>2042</v>
      </c>
      <c r="AH393" s="184" t="s">
        <v>2042</v>
      </c>
      <c r="AI393" s="184" t="s">
        <v>2042</v>
      </c>
      <c r="AJ393" s="184" t="s">
        <v>2042</v>
      </c>
      <c r="AK393" s="184" t="s">
        <v>2042</v>
      </c>
      <c r="AL393" s="184" t="s">
        <v>2042</v>
      </c>
      <c r="AM393" s="184" t="s">
        <v>2042</v>
      </c>
      <c r="AN393" s="184" t="s">
        <v>2042</v>
      </c>
      <c r="AO393" s="184" t="s">
        <v>2042</v>
      </c>
      <c r="AP393" s="184" t="s">
        <v>2042</v>
      </c>
      <c r="AQ393" s="175"/>
    </row>
    <row r="394" spans="1:43" ht="14.5">
      <c r="A394" s="169"/>
      <c r="B394" s="170"/>
      <c r="C394" s="191"/>
      <c r="D394" s="170"/>
      <c r="E394" s="170"/>
      <c r="F394" s="179"/>
      <c r="G394" s="186" t="e">
        <f>IF(C394="","",SUMIFS(MRP!$D$5:$D1000,MRP!$B$5:$B1000,C394))*E394</f>
        <v>#VALUE!</v>
      </c>
      <c r="H394" s="181" t="s">
        <v>2041</v>
      </c>
      <c r="I394" s="182">
        <v>0</v>
      </c>
      <c r="J394" s="183" t="s">
        <v>2042</v>
      </c>
      <c r="K394" s="184" t="s">
        <v>2042</v>
      </c>
      <c r="L394" s="184" t="s">
        <v>2042</v>
      </c>
      <c r="M394" s="184" t="s">
        <v>2042</v>
      </c>
      <c r="N394" s="184" t="s">
        <v>2042</v>
      </c>
      <c r="O394" s="184" t="s">
        <v>2042</v>
      </c>
      <c r="P394" s="184" t="s">
        <v>2042</v>
      </c>
      <c r="Q394" s="184" t="s">
        <v>2042</v>
      </c>
      <c r="R394" s="184" t="s">
        <v>2042</v>
      </c>
      <c r="S394" s="184" t="s">
        <v>2042</v>
      </c>
      <c r="T394" s="184" t="s">
        <v>2042</v>
      </c>
      <c r="U394" s="184" t="s">
        <v>2042</v>
      </c>
      <c r="V394" s="184" t="s">
        <v>2042</v>
      </c>
      <c r="W394" s="184" t="s">
        <v>2042</v>
      </c>
      <c r="X394" s="184" t="s">
        <v>2042</v>
      </c>
      <c r="Y394" s="184" t="s">
        <v>2042</v>
      </c>
      <c r="Z394" s="184" t="s">
        <v>2042</v>
      </c>
      <c r="AA394" s="184" t="s">
        <v>2042</v>
      </c>
      <c r="AB394" s="184" t="s">
        <v>2042</v>
      </c>
      <c r="AC394" s="184" t="s">
        <v>2042</v>
      </c>
      <c r="AD394" s="184" t="s">
        <v>2042</v>
      </c>
      <c r="AE394" s="184" t="s">
        <v>2042</v>
      </c>
      <c r="AF394" s="184" t="s">
        <v>2042</v>
      </c>
      <c r="AG394" s="184" t="s">
        <v>2042</v>
      </c>
      <c r="AH394" s="184" t="s">
        <v>2042</v>
      </c>
      <c r="AI394" s="184" t="s">
        <v>2042</v>
      </c>
      <c r="AJ394" s="184" t="s">
        <v>2042</v>
      </c>
      <c r="AK394" s="184" t="s">
        <v>2042</v>
      </c>
      <c r="AL394" s="184" t="s">
        <v>2042</v>
      </c>
      <c r="AM394" s="184" t="s">
        <v>2042</v>
      </c>
      <c r="AN394" s="184" t="s">
        <v>2042</v>
      </c>
      <c r="AO394" s="184" t="s">
        <v>2042</v>
      </c>
      <c r="AP394" s="184" t="s">
        <v>2042</v>
      </c>
      <c r="AQ394" s="175"/>
    </row>
    <row r="395" spans="1:43" ht="14.5">
      <c r="A395" s="169"/>
      <c r="B395" s="170"/>
      <c r="C395" s="191"/>
      <c r="D395" s="170"/>
      <c r="E395" s="170"/>
      <c r="F395" s="179"/>
      <c r="G395" s="186" t="e">
        <f>IF(C395="","",SUMIFS(MRP!$D$5:$D1000,MRP!$B$5:$B1000,C395))*E395</f>
        <v>#VALUE!</v>
      </c>
      <c r="H395" s="181" t="s">
        <v>2041</v>
      </c>
      <c r="I395" s="182">
        <v>0</v>
      </c>
      <c r="J395" s="183" t="s">
        <v>2042</v>
      </c>
      <c r="K395" s="184" t="s">
        <v>2042</v>
      </c>
      <c r="L395" s="184" t="s">
        <v>2042</v>
      </c>
      <c r="M395" s="184" t="s">
        <v>2042</v>
      </c>
      <c r="N395" s="184" t="s">
        <v>2042</v>
      </c>
      <c r="O395" s="184" t="s">
        <v>2042</v>
      </c>
      <c r="P395" s="184" t="s">
        <v>2042</v>
      </c>
      <c r="Q395" s="184" t="s">
        <v>2042</v>
      </c>
      <c r="R395" s="184" t="s">
        <v>2042</v>
      </c>
      <c r="S395" s="184" t="s">
        <v>2042</v>
      </c>
      <c r="T395" s="184" t="s">
        <v>2042</v>
      </c>
      <c r="U395" s="184" t="s">
        <v>2042</v>
      </c>
      <c r="V395" s="184" t="s">
        <v>2042</v>
      </c>
      <c r="W395" s="184" t="s">
        <v>2042</v>
      </c>
      <c r="X395" s="184" t="s">
        <v>2042</v>
      </c>
      <c r="Y395" s="184" t="s">
        <v>2042</v>
      </c>
      <c r="Z395" s="184" t="s">
        <v>2042</v>
      </c>
      <c r="AA395" s="184" t="s">
        <v>2042</v>
      </c>
      <c r="AB395" s="184" t="s">
        <v>2042</v>
      </c>
      <c r="AC395" s="184" t="s">
        <v>2042</v>
      </c>
      <c r="AD395" s="184" t="s">
        <v>2042</v>
      </c>
      <c r="AE395" s="184" t="s">
        <v>2042</v>
      </c>
      <c r="AF395" s="184" t="s">
        <v>2042</v>
      </c>
      <c r="AG395" s="184" t="s">
        <v>2042</v>
      </c>
      <c r="AH395" s="184" t="s">
        <v>2042</v>
      </c>
      <c r="AI395" s="184" t="s">
        <v>2042</v>
      </c>
      <c r="AJ395" s="184" t="s">
        <v>2042</v>
      </c>
      <c r="AK395" s="184" t="s">
        <v>2042</v>
      </c>
      <c r="AL395" s="184" t="s">
        <v>2042</v>
      </c>
      <c r="AM395" s="184" t="s">
        <v>2042</v>
      </c>
      <c r="AN395" s="184" t="s">
        <v>2042</v>
      </c>
      <c r="AO395" s="184" t="s">
        <v>2042</v>
      </c>
      <c r="AP395" s="184" t="s">
        <v>2042</v>
      </c>
      <c r="AQ395" s="175"/>
    </row>
    <row r="396" spans="1:43" ht="14.5">
      <c r="A396" s="169"/>
      <c r="B396" s="170"/>
      <c r="C396" s="191"/>
      <c r="D396" s="170"/>
      <c r="E396" s="170"/>
      <c r="F396" s="179"/>
      <c r="G396" s="186" t="e">
        <f>IF(C396="","",SUMIFS(MRP!$D$5:$D1000,MRP!$B$5:$B1000,C396))*E396</f>
        <v>#VALUE!</v>
      </c>
      <c r="H396" s="181" t="s">
        <v>2041</v>
      </c>
      <c r="I396" s="182">
        <v>0</v>
      </c>
      <c r="J396" s="183" t="s">
        <v>2042</v>
      </c>
      <c r="K396" s="184" t="s">
        <v>2042</v>
      </c>
      <c r="L396" s="184" t="s">
        <v>2042</v>
      </c>
      <c r="M396" s="184" t="s">
        <v>2042</v>
      </c>
      <c r="N396" s="184" t="s">
        <v>2042</v>
      </c>
      <c r="O396" s="184" t="s">
        <v>2042</v>
      </c>
      <c r="P396" s="184" t="s">
        <v>2042</v>
      </c>
      <c r="Q396" s="184" t="s">
        <v>2042</v>
      </c>
      <c r="R396" s="184" t="s">
        <v>2042</v>
      </c>
      <c r="S396" s="184" t="s">
        <v>2042</v>
      </c>
      <c r="T396" s="184" t="s">
        <v>2042</v>
      </c>
      <c r="U396" s="184" t="s">
        <v>2042</v>
      </c>
      <c r="V396" s="184" t="s">
        <v>2042</v>
      </c>
      <c r="W396" s="184" t="s">
        <v>2042</v>
      </c>
      <c r="X396" s="184" t="s">
        <v>2042</v>
      </c>
      <c r="Y396" s="184" t="s">
        <v>2042</v>
      </c>
      <c r="Z396" s="184" t="s">
        <v>2042</v>
      </c>
      <c r="AA396" s="184" t="s">
        <v>2042</v>
      </c>
      <c r="AB396" s="184" t="s">
        <v>2042</v>
      </c>
      <c r="AC396" s="184" t="s">
        <v>2042</v>
      </c>
      <c r="AD396" s="184" t="s">
        <v>2042</v>
      </c>
      <c r="AE396" s="184" t="s">
        <v>2042</v>
      </c>
      <c r="AF396" s="184" t="s">
        <v>2042</v>
      </c>
      <c r="AG396" s="184" t="s">
        <v>2042</v>
      </c>
      <c r="AH396" s="184" t="s">
        <v>2042</v>
      </c>
      <c r="AI396" s="184" t="s">
        <v>2042</v>
      </c>
      <c r="AJ396" s="184" t="s">
        <v>2042</v>
      </c>
      <c r="AK396" s="184" t="s">
        <v>2042</v>
      </c>
      <c r="AL396" s="184" t="s">
        <v>2042</v>
      </c>
      <c r="AM396" s="184" t="s">
        <v>2042</v>
      </c>
      <c r="AN396" s="184" t="s">
        <v>2042</v>
      </c>
      <c r="AO396" s="184" t="s">
        <v>2042</v>
      </c>
      <c r="AP396" s="184" t="s">
        <v>2042</v>
      </c>
      <c r="AQ396" s="175"/>
    </row>
    <row r="397" spans="1:43" ht="14.5">
      <c r="A397" s="169"/>
      <c r="B397" s="170"/>
      <c r="C397" s="191"/>
      <c r="D397" s="170"/>
      <c r="E397" s="170"/>
      <c r="F397" s="179"/>
      <c r="G397" s="186" t="e">
        <f>IF(C397="","",SUMIFS(MRP!$D$5:$D1000,MRP!$B$5:$B1000,C397))*E397</f>
        <v>#VALUE!</v>
      </c>
      <c r="H397" s="181" t="s">
        <v>2041</v>
      </c>
      <c r="I397" s="182">
        <v>0</v>
      </c>
      <c r="J397" s="183" t="s">
        <v>2042</v>
      </c>
      <c r="K397" s="184" t="s">
        <v>2042</v>
      </c>
      <c r="L397" s="184" t="s">
        <v>2042</v>
      </c>
      <c r="M397" s="184" t="s">
        <v>2042</v>
      </c>
      <c r="N397" s="184" t="s">
        <v>2042</v>
      </c>
      <c r="O397" s="184" t="s">
        <v>2042</v>
      </c>
      <c r="P397" s="184" t="s">
        <v>2042</v>
      </c>
      <c r="Q397" s="184" t="s">
        <v>2042</v>
      </c>
      <c r="R397" s="184" t="s">
        <v>2042</v>
      </c>
      <c r="S397" s="184" t="s">
        <v>2042</v>
      </c>
      <c r="T397" s="184" t="s">
        <v>2042</v>
      </c>
      <c r="U397" s="184" t="s">
        <v>2042</v>
      </c>
      <c r="V397" s="184" t="s">
        <v>2042</v>
      </c>
      <c r="W397" s="184" t="s">
        <v>2042</v>
      </c>
      <c r="X397" s="184" t="s">
        <v>2042</v>
      </c>
      <c r="Y397" s="184" t="s">
        <v>2042</v>
      </c>
      <c r="Z397" s="184" t="s">
        <v>2042</v>
      </c>
      <c r="AA397" s="184" t="s">
        <v>2042</v>
      </c>
      <c r="AB397" s="184" t="s">
        <v>2042</v>
      </c>
      <c r="AC397" s="184" t="s">
        <v>2042</v>
      </c>
      <c r="AD397" s="184" t="s">
        <v>2042</v>
      </c>
      <c r="AE397" s="184" t="s">
        <v>2042</v>
      </c>
      <c r="AF397" s="184" t="s">
        <v>2042</v>
      </c>
      <c r="AG397" s="184" t="s">
        <v>2042</v>
      </c>
      <c r="AH397" s="184" t="s">
        <v>2042</v>
      </c>
      <c r="AI397" s="184" t="s">
        <v>2042</v>
      </c>
      <c r="AJ397" s="184" t="s">
        <v>2042</v>
      </c>
      <c r="AK397" s="184" t="s">
        <v>2042</v>
      </c>
      <c r="AL397" s="184" t="s">
        <v>2042</v>
      </c>
      <c r="AM397" s="184" t="s">
        <v>2042</v>
      </c>
      <c r="AN397" s="184" t="s">
        <v>2042</v>
      </c>
      <c r="AO397" s="184" t="s">
        <v>2042</v>
      </c>
      <c r="AP397" s="184" t="s">
        <v>2042</v>
      </c>
      <c r="AQ397" s="175"/>
    </row>
    <row r="398" spans="1:43" ht="14.5">
      <c r="A398" s="169"/>
      <c r="B398" s="170"/>
      <c r="C398" s="191"/>
      <c r="D398" s="170"/>
      <c r="E398" s="170"/>
      <c r="F398" s="179"/>
      <c r="G398" s="186" t="e">
        <f>IF(C398="","",SUMIFS(MRP!$D$5:$D1000,MRP!$B$5:$B1000,C398))*E398</f>
        <v>#VALUE!</v>
      </c>
      <c r="H398" s="181" t="s">
        <v>2041</v>
      </c>
      <c r="I398" s="182">
        <v>0</v>
      </c>
      <c r="J398" s="183" t="s">
        <v>2042</v>
      </c>
      <c r="K398" s="184" t="s">
        <v>2042</v>
      </c>
      <c r="L398" s="184" t="s">
        <v>2042</v>
      </c>
      <c r="M398" s="184" t="s">
        <v>2042</v>
      </c>
      <c r="N398" s="184" t="s">
        <v>2042</v>
      </c>
      <c r="O398" s="184" t="s">
        <v>2042</v>
      </c>
      <c r="P398" s="184" t="s">
        <v>2042</v>
      </c>
      <c r="Q398" s="184" t="s">
        <v>2042</v>
      </c>
      <c r="R398" s="184" t="s">
        <v>2042</v>
      </c>
      <c r="S398" s="184" t="s">
        <v>2042</v>
      </c>
      <c r="T398" s="184" t="s">
        <v>2042</v>
      </c>
      <c r="U398" s="184" t="s">
        <v>2042</v>
      </c>
      <c r="V398" s="184" t="s">
        <v>2042</v>
      </c>
      <c r="W398" s="184" t="s">
        <v>2042</v>
      </c>
      <c r="X398" s="184" t="s">
        <v>2042</v>
      </c>
      <c r="Y398" s="184" t="s">
        <v>2042</v>
      </c>
      <c r="Z398" s="184" t="s">
        <v>2042</v>
      </c>
      <c r="AA398" s="184" t="s">
        <v>2042</v>
      </c>
      <c r="AB398" s="184" t="s">
        <v>2042</v>
      </c>
      <c r="AC398" s="184" t="s">
        <v>2042</v>
      </c>
      <c r="AD398" s="184" t="s">
        <v>2042</v>
      </c>
      <c r="AE398" s="184" t="s">
        <v>2042</v>
      </c>
      <c r="AF398" s="184" t="s">
        <v>2042</v>
      </c>
      <c r="AG398" s="184" t="s">
        <v>2042</v>
      </c>
      <c r="AH398" s="184" t="s">
        <v>2042</v>
      </c>
      <c r="AI398" s="184" t="s">
        <v>2042</v>
      </c>
      <c r="AJ398" s="184" t="s">
        <v>2042</v>
      </c>
      <c r="AK398" s="184" t="s">
        <v>2042</v>
      </c>
      <c r="AL398" s="184" t="s">
        <v>2042</v>
      </c>
      <c r="AM398" s="184" t="s">
        <v>2042</v>
      </c>
      <c r="AN398" s="184" t="s">
        <v>2042</v>
      </c>
      <c r="AO398" s="184" t="s">
        <v>2042</v>
      </c>
      <c r="AP398" s="184" t="s">
        <v>2042</v>
      </c>
      <c r="AQ398" s="175"/>
    </row>
    <row r="399" spans="1:43" ht="14.5">
      <c r="A399" s="169"/>
      <c r="B399" s="170"/>
      <c r="C399" s="191"/>
      <c r="D399" s="170"/>
      <c r="E399" s="170"/>
      <c r="F399" s="179"/>
      <c r="G399" s="186" t="e">
        <f>IF(C399="","",SUMIFS(MRP!$D$5:$D1000,MRP!$B$5:$B1000,C399))*E399</f>
        <v>#VALUE!</v>
      </c>
      <c r="H399" s="181" t="s">
        <v>2041</v>
      </c>
      <c r="I399" s="182">
        <v>0</v>
      </c>
      <c r="J399" s="183" t="s">
        <v>2042</v>
      </c>
      <c r="K399" s="184" t="s">
        <v>2042</v>
      </c>
      <c r="L399" s="184" t="s">
        <v>2042</v>
      </c>
      <c r="M399" s="184" t="s">
        <v>2042</v>
      </c>
      <c r="N399" s="184" t="s">
        <v>2042</v>
      </c>
      <c r="O399" s="184" t="s">
        <v>2042</v>
      </c>
      <c r="P399" s="184" t="s">
        <v>2042</v>
      </c>
      <c r="Q399" s="184" t="s">
        <v>2042</v>
      </c>
      <c r="R399" s="184" t="s">
        <v>2042</v>
      </c>
      <c r="S399" s="184" t="s">
        <v>2042</v>
      </c>
      <c r="T399" s="184" t="s">
        <v>2042</v>
      </c>
      <c r="U399" s="184" t="s">
        <v>2042</v>
      </c>
      <c r="V399" s="184" t="s">
        <v>2042</v>
      </c>
      <c r="W399" s="184" t="s">
        <v>2042</v>
      </c>
      <c r="X399" s="184" t="s">
        <v>2042</v>
      </c>
      <c r="Y399" s="184" t="s">
        <v>2042</v>
      </c>
      <c r="Z399" s="184" t="s">
        <v>2042</v>
      </c>
      <c r="AA399" s="184" t="s">
        <v>2042</v>
      </c>
      <c r="AB399" s="184" t="s">
        <v>2042</v>
      </c>
      <c r="AC399" s="184" t="s">
        <v>2042</v>
      </c>
      <c r="AD399" s="184" t="s">
        <v>2042</v>
      </c>
      <c r="AE399" s="184" t="s">
        <v>2042</v>
      </c>
      <c r="AF399" s="184" t="s">
        <v>2042</v>
      </c>
      <c r="AG399" s="184" t="s">
        <v>2042</v>
      </c>
      <c r="AH399" s="184" t="s">
        <v>2042</v>
      </c>
      <c r="AI399" s="184" t="s">
        <v>2042</v>
      </c>
      <c r="AJ399" s="184" t="s">
        <v>2042</v>
      </c>
      <c r="AK399" s="184" t="s">
        <v>2042</v>
      </c>
      <c r="AL399" s="184" t="s">
        <v>2042</v>
      </c>
      <c r="AM399" s="184" t="s">
        <v>2042</v>
      </c>
      <c r="AN399" s="184" t="s">
        <v>2042</v>
      </c>
      <c r="AO399" s="184" t="s">
        <v>2042</v>
      </c>
      <c r="AP399" s="184" t="s">
        <v>2042</v>
      </c>
      <c r="AQ399" s="175"/>
    </row>
    <row r="400" spans="1:43" ht="14.5">
      <c r="A400" s="169"/>
      <c r="B400" s="170"/>
      <c r="C400" s="191"/>
      <c r="D400" s="170"/>
      <c r="E400" s="170"/>
      <c r="F400" s="179"/>
      <c r="G400" s="186" t="e">
        <f>IF(C400="","",SUMIFS(MRP!$D$5:$D1000,MRP!$B$5:$B1000,C400))*E400</f>
        <v>#VALUE!</v>
      </c>
      <c r="H400" s="181" t="s">
        <v>2041</v>
      </c>
      <c r="I400" s="182">
        <v>0</v>
      </c>
      <c r="J400" s="183" t="s">
        <v>2042</v>
      </c>
      <c r="K400" s="184" t="s">
        <v>2042</v>
      </c>
      <c r="L400" s="184" t="s">
        <v>2042</v>
      </c>
      <c r="M400" s="184" t="s">
        <v>2042</v>
      </c>
      <c r="N400" s="184" t="s">
        <v>2042</v>
      </c>
      <c r="O400" s="184" t="s">
        <v>2042</v>
      </c>
      <c r="P400" s="184" t="s">
        <v>2042</v>
      </c>
      <c r="Q400" s="184" t="s">
        <v>2042</v>
      </c>
      <c r="R400" s="184" t="s">
        <v>2042</v>
      </c>
      <c r="S400" s="184" t="s">
        <v>2042</v>
      </c>
      <c r="T400" s="184" t="s">
        <v>2042</v>
      </c>
      <c r="U400" s="184" t="s">
        <v>2042</v>
      </c>
      <c r="V400" s="184" t="s">
        <v>2042</v>
      </c>
      <c r="W400" s="184" t="s">
        <v>2042</v>
      </c>
      <c r="X400" s="184" t="s">
        <v>2042</v>
      </c>
      <c r="Y400" s="184" t="s">
        <v>2042</v>
      </c>
      <c r="Z400" s="184" t="s">
        <v>2042</v>
      </c>
      <c r="AA400" s="184" t="s">
        <v>2042</v>
      </c>
      <c r="AB400" s="184" t="s">
        <v>2042</v>
      </c>
      <c r="AC400" s="184" t="s">
        <v>2042</v>
      </c>
      <c r="AD400" s="184" t="s">
        <v>2042</v>
      </c>
      <c r="AE400" s="184" t="s">
        <v>2042</v>
      </c>
      <c r="AF400" s="184" t="s">
        <v>2042</v>
      </c>
      <c r="AG400" s="184" t="s">
        <v>2042</v>
      </c>
      <c r="AH400" s="184" t="s">
        <v>2042</v>
      </c>
      <c r="AI400" s="184" t="s">
        <v>2042</v>
      </c>
      <c r="AJ400" s="184" t="s">
        <v>2042</v>
      </c>
      <c r="AK400" s="184" t="s">
        <v>2042</v>
      </c>
      <c r="AL400" s="184" t="s">
        <v>2042</v>
      </c>
      <c r="AM400" s="184" t="s">
        <v>2042</v>
      </c>
      <c r="AN400" s="184" t="s">
        <v>2042</v>
      </c>
      <c r="AO400" s="184" t="s">
        <v>2042</v>
      </c>
      <c r="AP400" s="184" t="s">
        <v>2042</v>
      </c>
      <c r="AQ400" s="175"/>
    </row>
    <row r="401" spans="1:43" ht="14.5">
      <c r="A401" s="169"/>
      <c r="B401" s="170"/>
      <c r="C401" s="191"/>
      <c r="D401" s="170"/>
      <c r="E401" s="170"/>
      <c r="F401" s="179"/>
      <c r="G401" s="186" t="e">
        <f>IF(C401="","",SUMIFS(MRP!$D$5:$D1000,MRP!$B$5:$B1000,C401))*E401</f>
        <v>#VALUE!</v>
      </c>
      <c r="H401" s="181" t="s">
        <v>2041</v>
      </c>
      <c r="I401" s="182">
        <v>0</v>
      </c>
      <c r="J401" s="183" t="s">
        <v>2042</v>
      </c>
      <c r="K401" s="184" t="s">
        <v>2042</v>
      </c>
      <c r="L401" s="184" t="s">
        <v>2042</v>
      </c>
      <c r="M401" s="184" t="s">
        <v>2042</v>
      </c>
      <c r="N401" s="184" t="s">
        <v>2042</v>
      </c>
      <c r="O401" s="184" t="s">
        <v>2042</v>
      </c>
      <c r="P401" s="184" t="s">
        <v>2042</v>
      </c>
      <c r="Q401" s="184" t="s">
        <v>2042</v>
      </c>
      <c r="R401" s="184" t="s">
        <v>2042</v>
      </c>
      <c r="S401" s="184" t="s">
        <v>2042</v>
      </c>
      <c r="T401" s="184" t="s">
        <v>2042</v>
      </c>
      <c r="U401" s="184" t="s">
        <v>2042</v>
      </c>
      <c r="V401" s="184" t="s">
        <v>2042</v>
      </c>
      <c r="W401" s="184" t="s">
        <v>2042</v>
      </c>
      <c r="X401" s="184" t="s">
        <v>2042</v>
      </c>
      <c r="Y401" s="184" t="s">
        <v>2042</v>
      </c>
      <c r="Z401" s="184" t="s">
        <v>2042</v>
      </c>
      <c r="AA401" s="184" t="s">
        <v>2042</v>
      </c>
      <c r="AB401" s="184" t="s">
        <v>2042</v>
      </c>
      <c r="AC401" s="184" t="s">
        <v>2042</v>
      </c>
      <c r="AD401" s="184" t="s">
        <v>2042</v>
      </c>
      <c r="AE401" s="184" t="s">
        <v>2042</v>
      </c>
      <c r="AF401" s="184" t="s">
        <v>2042</v>
      </c>
      <c r="AG401" s="184" t="s">
        <v>2042</v>
      </c>
      <c r="AH401" s="184" t="s">
        <v>2042</v>
      </c>
      <c r="AI401" s="184" t="s">
        <v>2042</v>
      </c>
      <c r="AJ401" s="184" t="s">
        <v>2042</v>
      </c>
      <c r="AK401" s="184" t="s">
        <v>2042</v>
      </c>
      <c r="AL401" s="184" t="s">
        <v>2042</v>
      </c>
      <c r="AM401" s="184" t="s">
        <v>2042</v>
      </c>
      <c r="AN401" s="184" t="s">
        <v>2042</v>
      </c>
      <c r="AO401" s="184" t="s">
        <v>2042</v>
      </c>
      <c r="AP401" s="184" t="s">
        <v>2042</v>
      </c>
      <c r="AQ401" s="175"/>
    </row>
    <row r="402" spans="1:43" ht="14.5">
      <c r="A402" s="169"/>
      <c r="B402" s="170"/>
      <c r="C402" s="191"/>
      <c r="D402" s="170"/>
      <c r="E402" s="170"/>
      <c r="F402" s="179"/>
      <c r="G402" s="186" t="e">
        <f>IF(C402="","",SUMIFS(MRP!$D$5:$D1000,MRP!$B$5:$B1000,C402))*E402</f>
        <v>#VALUE!</v>
      </c>
      <c r="H402" s="181" t="s">
        <v>2041</v>
      </c>
      <c r="I402" s="182">
        <v>0</v>
      </c>
      <c r="J402" s="183" t="s">
        <v>2042</v>
      </c>
      <c r="K402" s="184" t="s">
        <v>2042</v>
      </c>
      <c r="L402" s="184" t="s">
        <v>2042</v>
      </c>
      <c r="M402" s="184" t="s">
        <v>2042</v>
      </c>
      <c r="N402" s="184" t="s">
        <v>2042</v>
      </c>
      <c r="O402" s="184" t="s">
        <v>2042</v>
      </c>
      <c r="P402" s="184" t="s">
        <v>2042</v>
      </c>
      <c r="Q402" s="184" t="s">
        <v>2042</v>
      </c>
      <c r="R402" s="184" t="s">
        <v>2042</v>
      </c>
      <c r="S402" s="184" t="s">
        <v>2042</v>
      </c>
      <c r="T402" s="184" t="s">
        <v>2042</v>
      </c>
      <c r="U402" s="184" t="s">
        <v>2042</v>
      </c>
      <c r="V402" s="184" t="s">
        <v>2042</v>
      </c>
      <c r="W402" s="184" t="s">
        <v>2042</v>
      </c>
      <c r="X402" s="184" t="s">
        <v>2042</v>
      </c>
      <c r="Y402" s="184" t="s">
        <v>2042</v>
      </c>
      <c r="Z402" s="184" t="s">
        <v>2042</v>
      </c>
      <c r="AA402" s="184" t="s">
        <v>2042</v>
      </c>
      <c r="AB402" s="184" t="s">
        <v>2042</v>
      </c>
      <c r="AC402" s="184" t="s">
        <v>2042</v>
      </c>
      <c r="AD402" s="184" t="s">
        <v>2042</v>
      </c>
      <c r="AE402" s="184" t="s">
        <v>2042</v>
      </c>
      <c r="AF402" s="184" t="s">
        <v>2042</v>
      </c>
      <c r="AG402" s="184" t="s">
        <v>2042</v>
      </c>
      <c r="AH402" s="184" t="s">
        <v>2042</v>
      </c>
      <c r="AI402" s="184" t="s">
        <v>2042</v>
      </c>
      <c r="AJ402" s="184" t="s">
        <v>2042</v>
      </c>
      <c r="AK402" s="184" t="s">
        <v>2042</v>
      </c>
      <c r="AL402" s="184" t="s">
        <v>2042</v>
      </c>
      <c r="AM402" s="184" t="s">
        <v>2042</v>
      </c>
      <c r="AN402" s="184" t="s">
        <v>2042</v>
      </c>
      <c r="AO402" s="184" t="s">
        <v>2042</v>
      </c>
      <c r="AP402" s="184" t="s">
        <v>2042</v>
      </c>
      <c r="AQ402" s="175"/>
    </row>
    <row r="403" spans="1:43" ht="14.5">
      <c r="A403" s="169"/>
      <c r="B403" s="170"/>
      <c r="C403" s="191"/>
      <c r="D403" s="170"/>
      <c r="E403" s="170"/>
      <c r="F403" s="179"/>
      <c r="G403" s="186" t="e">
        <f>IF(C403="","",SUMIFS(MRP!$D$5:$D1000,MRP!$B$5:$B1000,C403))*E403</f>
        <v>#VALUE!</v>
      </c>
      <c r="H403" s="181" t="s">
        <v>2041</v>
      </c>
      <c r="I403" s="182">
        <v>0</v>
      </c>
      <c r="J403" s="183" t="s">
        <v>2042</v>
      </c>
      <c r="K403" s="184" t="s">
        <v>2042</v>
      </c>
      <c r="L403" s="184" t="s">
        <v>2042</v>
      </c>
      <c r="M403" s="184" t="s">
        <v>2042</v>
      </c>
      <c r="N403" s="184" t="s">
        <v>2042</v>
      </c>
      <c r="O403" s="184" t="s">
        <v>2042</v>
      </c>
      <c r="P403" s="184" t="s">
        <v>2042</v>
      </c>
      <c r="Q403" s="184" t="s">
        <v>2042</v>
      </c>
      <c r="R403" s="184" t="s">
        <v>2042</v>
      </c>
      <c r="S403" s="184" t="s">
        <v>2042</v>
      </c>
      <c r="T403" s="184" t="s">
        <v>2042</v>
      </c>
      <c r="U403" s="184" t="s">
        <v>2042</v>
      </c>
      <c r="V403" s="184" t="s">
        <v>2042</v>
      </c>
      <c r="W403" s="184" t="s">
        <v>2042</v>
      </c>
      <c r="X403" s="184" t="s">
        <v>2042</v>
      </c>
      <c r="Y403" s="184" t="s">
        <v>2042</v>
      </c>
      <c r="Z403" s="184" t="s">
        <v>2042</v>
      </c>
      <c r="AA403" s="184" t="s">
        <v>2042</v>
      </c>
      <c r="AB403" s="184" t="s">
        <v>2042</v>
      </c>
      <c r="AC403" s="184" t="s">
        <v>2042</v>
      </c>
      <c r="AD403" s="184" t="s">
        <v>2042</v>
      </c>
      <c r="AE403" s="184" t="s">
        <v>2042</v>
      </c>
      <c r="AF403" s="184" t="s">
        <v>2042</v>
      </c>
      <c r="AG403" s="184" t="s">
        <v>2042</v>
      </c>
      <c r="AH403" s="184" t="s">
        <v>2042</v>
      </c>
      <c r="AI403" s="184" t="s">
        <v>2042</v>
      </c>
      <c r="AJ403" s="184" t="s">
        <v>2042</v>
      </c>
      <c r="AK403" s="184" t="s">
        <v>2042</v>
      </c>
      <c r="AL403" s="184" t="s">
        <v>2042</v>
      </c>
      <c r="AM403" s="184" t="s">
        <v>2042</v>
      </c>
      <c r="AN403" s="184" t="s">
        <v>2042</v>
      </c>
      <c r="AO403" s="184" t="s">
        <v>2042</v>
      </c>
      <c r="AP403" s="184" t="s">
        <v>2042</v>
      </c>
      <c r="AQ403" s="175"/>
    </row>
    <row r="404" spans="1:43" ht="14.5">
      <c r="A404" s="169"/>
      <c r="B404" s="170"/>
      <c r="C404" s="191"/>
      <c r="D404" s="170"/>
      <c r="E404" s="170"/>
      <c r="F404" s="179"/>
      <c r="G404" s="186" t="e">
        <f>IF(C404="","",SUMIFS(MRP!$D$5:$D1000,MRP!$B$5:$B1000,C404))*E404</f>
        <v>#VALUE!</v>
      </c>
      <c r="H404" s="181" t="s">
        <v>2041</v>
      </c>
      <c r="I404" s="182">
        <v>0</v>
      </c>
      <c r="J404" s="183" t="s">
        <v>2042</v>
      </c>
      <c r="K404" s="184" t="s">
        <v>2042</v>
      </c>
      <c r="L404" s="184" t="s">
        <v>2042</v>
      </c>
      <c r="M404" s="184" t="s">
        <v>2042</v>
      </c>
      <c r="N404" s="184" t="s">
        <v>2042</v>
      </c>
      <c r="O404" s="184" t="s">
        <v>2042</v>
      </c>
      <c r="P404" s="184" t="s">
        <v>2042</v>
      </c>
      <c r="Q404" s="184" t="s">
        <v>2042</v>
      </c>
      <c r="R404" s="184" t="s">
        <v>2042</v>
      </c>
      <c r="S404" s="184" t="s">
        <v>2042</v>
      </c>
      <c r="T404" s="184" t="s">
        <v>2042</v>
      </c>
      <c r="U404" s="184" t="s">
        <v>2042</v>
      </c>
      <c r="V404" s="184" t="s">
        <v>2042</v>
      </c>
      <c r="W404" s="184" t="s">
        <v>2042</v>
      </c>
      <c r="X404" s="184" t="s">
        <v>2042</v>
      </c>
      <c r="Y404" s="184" t="s">
        <v>2042</v>
      </c>
      <c r="Z404" s="184" t="s">
        <v>2042</v>
      </c>
      <c r="AA404" s="184" t="s">
        <v>2042</v>
      </c>
      <c r="AB404" s="184" t="s">
        <v>2042</v>
      </c>
      <c r="AC404" s="184" t="s">
        <v>2042</v>
      </c>
      <c r="AD404" s="184" t="s">
        <v>2042</v>
      </c>
      <c r="AE404" s="184" t="s">
        <v>2042</v>
      </c>
      <c r="AF404" s="184" t="s">
        <v>2042</v>
      </c>
      <c r="AG404" s="184" t="s">
        <v>2042</v>
      </c>
      <c r="AH404" s="184" t="s">
        <v>2042</v>
      </c>
      <c r="AI404" s="184" t="s">
        <v>2042</v>
      </c>
      <c r="AJ404" s="184" t="s">
        <v>2042</v>
      </c>
      <c r="AK404" s="184" t="s">
        <v>2042</v>
      </c>
      <c r="AL404" s="184" t="s">
        <v>2042</v>
      </c>
      <c r="AM404" s="184" t="s">
        <v>2042</v>
      </c>
      <c r="AN404" s="184" t="s">
        <v>2042</v>
      </c>
      <c r="AO404" s="184" t="s">
        <v>2042</v>
      </c>
      <c r="AP404" s="184" t="s">
        <v>2042</v>
      </c>
      <c r="AQ404" s="175"/>
    </row>
    <row r="405" spans="1:43" ht="14.5">
      <c r="A405" s="169"/>
      <c r="B405" s="170"/>
      <c r="C405" s="191"/>
      <c r="D405" s="170"/>
      <c r="E405" s="170"/>
      <c r="F405" s="179"/>
      <c r="G405" s="186" t="e">
        <f>IF(C405="","",SUMIFS(MRP!$D$5:$D1000,MRP!$B$5:$B1000,C405))*E405</f>
        <v>#VALUE!</v>
      </c>
      <c r="H405" s="181" t="s">
        <v>2041</v>
      </c>
      <c r="I405" s="182">
        <v>0</v>
      </c>
      <c r="J405" s="183" t="s">
        <v>2042</v>
      </c>
      <c r="K405" s="184" t="s">
        <v>2042</v>
      </c>
      <c r="L405" s="184" t="s">
        <v>2042</v>
      </c>
      <c r="M405" s="184" t="s">
        <v>2042</v>
      </c>
      <c r="N405" s="184" t="s">
        <v>2042</v>
      </c>
      <c r="O405" s="184" t="s">
        <v>2042</v>
      </c>
      <c r="P405" s="184" t="s">
        <v>2042</v>
      </c>
      <c r="Q405" s="184" t="s">
        <v>2042</v>
      </c>
      <c r="R405" s="184" t="s">
        <v>2042</v>
      </c>
      <c r="S405" s="184" t="s">
        <v>2042</v>
      </c>
      <c r="T405" s="184" t="s">
        <v>2042</v>
      </c>
      <c r="U405" s="184" t="s">
        <v>2042</v>
      </c>
      <c r="V405" s="184" t="s">
        <v>2042</v>
      </c>
      <c r="W405" s="184" t="s">
        <v>2042</v>
      </c>
      <c r="X405" s="184" t="s">
        <v>2042</v>
      </c>
      <c r="Y405" s="184" t="s">
        <v>2042</v>
      </c>
      <c r="Z405" s="184" t="s">
        <v>2042</v>
      </c>
      <c r="AA405" s="184" t="s">
        <v>2042</v>
      </c>
      <c r="AB405" s="184" t="s">
        <v>2042</v>
      </c>
      <c r="AC405" s="184" t="s">
        <v>2042</v>
      </c>
      <c r="AD405" s="184" t="s">
        <v>2042</v>
      </c>
      <c r="AE405" s="184" t="s">
        <v>2042</v>
      </c>
      <c r="AF405" s="184" t="s">
        <v>2042</v>
      </c>
      <c r="AG405" s="184" t="s">
        <v>2042</v>
      </c>
      <c r="AH405" s="184" t="s">
        <v>2042</v>
      </c>
      <c r="AI405" s="184" t="s">
        <v>2042</v>
      </c>
      <c r="AJ405" s="184" t="s">
        <v>2042</v>
      </c>
      <c r="AK405" s="184" t="s">
        <v>2042</v>
      </c>
      <c r="AL405" s="184" t="s">
        <v>2042</v>
      </c>
      <c r="AM405" s="184" t="s">
        <v>2042</v>
      </c>
      <c r="AN405" s="184" t="s">
        <v>2042</v>
      </c>
      <c r="AO405" s="184" t="s">
        <v>2042</v>
      </c>
      <c r="AP405" s="184" t="s">
        <v>2042</v>
      </c>
      <c r="AQ405" s="175"/>
    </row>
    <row r="406" spans="1:43" ht="14.5">
      <c r="A406" s="169"/>
      <c r="B406" s="170"/>
      <c r="C406" s="191"/>
      <c r="D406" s="170"/>
      <c r="E406" s="170"/>
      <c r="F406" s="179"/>
      <c r="G406" s="186" t="e">
        <f>IF(C406="","",SUMIFS(MRP!$D$5:$D1000,MRP!$B$5:$B1000,C406))*E406</f>
        <v>#VALUE!</v>
      </c>
      <c r="H406" s="181" t="s">
        <v>2041</v>
      </c>
      <c r="I406" s="182">
        <v>0</v>
      </c>
      <c r="J406" s="183" t="s">
        <v>2042</v>
      </c>
      <c r="K406" s="184" t="s">
        <v>2042</v>
      </c>
      <c r="L406" s="184" t="s">
        <v>2042</v>
      </c>
      <c r="M406" s="184" t="s">
        <v>2042</v>
      </c>
      <c r="N406" s="184" t="s">
        <v>2042</v>
      </c>
      <c r="O406" s="184" t="s">
        <v>2042</v>
      </c>
      <c r="P406" s="184" t="s">
        <v>2042</v>
      </c>
      <c r="Q406" s="184" t="s">
        <v>2042</v>
      </c>
      <c r="R406" s="184" t="s">
        <v>2042</v>
      </c>
      <c r="S406" s="184" t="s">
        <v>2042</v>
      </c>
      <c r="T406" s="184" t="s">
        <v>2042</v>
      </c>
      <c r="U406" s="184" t="s">
        <v>2042</v>
      </c>
      <c r="V406" s="184" t="s">
        <v>2042</v>
      </c>
      <c r="W406" s="184" t="s">
        <v>2042</v>
      </c>
      <c r="X406" s="184" t="s">
        <v>2042</v>
      </c>
      <c r="Y406" s="184" t="s">
        <v>2042</v>
      </c>
      <c r="Z406" s="184" t="s">
        <v>2042</v>
      </c>
      <c r="AA406" s="184" t="s">
        <v>2042</v>
      </c>
      <c r="AB406" s="184" t="s">
        <v>2042</v>
      </c>
      <c r="AC406" s="184" t="s">
        <v>2042</v>
      </c>
      <c r="AD406" s="184" t="s">
        <v>2042</v>
      </c>
      <c r="AE406" s="184" t="s">
        <v>2042</v>
      </c>
      <c r="AF406" s="184" t="s">
        <v>2042</v>
      </c>
      <c r="AG406" s="184" t="s">
        <v>2042</v>
      </c>
      <c r="AH406" s="184" t="s">
        <v>2042</v>
      </c>
      <c r="AI406" s="184" t="s">
        <v>2042</v>
      </c>
      <c r="AJ406" s="184" t="s">
        <v>2042</v>
      </c>
      <c r="AK406" s="184" t="s">
        <v>2042</v>
      </c>
      <c r="AL406" s="184" t="s">
        <v>2042</v>
      </c>
      <c r="AM406" s="184" t="s">
        <v>2042</v>
      </c>
      <c r="AN406" s="184" t="s">
        <v>2042</v>
      </c>
      <c r="AO406" s="184" t="s">
        <v>2042</v>
      </c>
      <c r="AP406" s="184" t="s">
        <v>2042</v>
      </c>
      <c r="AQ406" s="175"/>
    </row>
  </sheetData>
  <mergeCells count="26">
    <mergeCell ref="F2:F4"/>
    <mergeCell ref="G2:G4"/>
    <mergeCell ref="AJ2:AL2"/>
    <mergeCell ref="AM2:AP2"/>
    <mergeCell ref="K2:N2"/>
    <mergeCell ref="O2:Q2"/>
    <mergeCell ref="R2:U2"/>
    <mergeCell ref="V2:X2"/>
    <mergeCell ref="Y2:AB2"/>
    <mergeCell ref="AC2:AE2"/>
    <mergeCell ref="AF2:AI2"/>
    <mergeCell ref="A2:A4"/>
    <mergeCell ref="B2:B4"/>
    <mergeCell ref="C2:C4"/>
    <mergeCell ref="D2:D4"/>
    <mergeCell ref="E2:E4"/>
    <mergeCell ref="AE1:AH1"/>
    <mergeCell ref="AI1:AL1"/>
    <mergeCell ref="AM1:AP1"/>
    <mergeCell ref="A1:B1"/>
    <mergeCell ref="H1:I1"/>
    <mergeCell ref="K1:N1"/>
    <mergeCell ref="O1:R1"/>
    <mergeCell ref="S1:V1"/>
    <mergeCell ref="W1:Z1"/>
    <mergeCell ref="AA1:AD1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A1000"/>
  <sheetViews>
    <sheetView workbookViewId="0"/>
  </sheetViews>
  <sheetFormatPr defaultColWidth="14.453125" defaultRowHeight="15" customHeight="1"/>
  <cols>
    <col min="1" max="1" width="18.1796875" customWidth="1"/>
    <col min="2" max="2" width="30.26953125" customWidth="1"/>
    <col min="4" max="4" width="40.81640625" customWidth="1"/>
  </cols>
  <sheetData>
    <row r="1" spans="1:1">
      <c r="A1" t="str">
        <f ca="1">IFERROR(__xludf.DUMMYFUNCTION("IMPORTRANGE(""https://docs.google.com/spreadsheets/d/1lDqM2tOpxDLB8etWk6TnTfdnv2BmWamiUn5cvLrDcwI/edit#gid=795873327"",""GRNForm!A1:Z"")"),"#REF!")</f>
        <v>#REF!</v>
      </c>
    </row>
    <row r="2" spans="1:1"/>
    <row r="3" spans="1:1"/>
    <row r="4" spans="1:1"/>
    <row r="5" spans="1:1"/>
    <row r="6" spans="1:1"/>
    <row r="7" spans="1:1"/>
    <row r="8" spans="1:1"/>
    <row r="9" spans="1:1"/>
    <row r="10" spans="1:1"/>
    <row r="11" spans="1:1"/>
    <row r="12" spans="1:1"/>
    <row r="13" spans="1:1"/>
    <row r="14" spans="1:1"/>
    <row r="15" spans="1:1"/>
    <row r="16" spans="1:1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AA18931"/>
  <sheetViews>
    <sheetView workbookViewId="0">
      <pane ySplit="4" topLeftCell="A5" activePane="bottomLeft" state="frozen"/>
      <selection pane="bottomLeft" activeCell="B6" sqref="B6"/>
    </sheetView>
  </sheetViews>
  <sheetFormatPr defaultColWidth="14.453125" defaultRowHeight="15" customHeight="1"/>
  <cols>
    <col min="1" max="1" width="14" customWidth="1"/>
    <col min="2" max="2" width="35.81640625" customWidth="1"/>
    <col min="3" max="3" width="6.26953125" hidden="1" customWidth="1"/>
    <col min="4" max="4" width="13.7265625" customWidth="1"/>
    <col min="5" max="5" width="17.1796875" customWidth="1"/>
    <col min="6" max="6" width="3.26953125" customWidth="1"/>
    <col min="7" max="13" width="3.26953125" hidden="1" customWidth="1"/>
    <col min="14" max="14" width="27.81640625" hidden="1" customWidth="1"/>
    <col min="15" max="15" width="9.81640625" hidden="1" customWidth="1"/>
    <col min="16" max="16" width="6.54296875" hidden="1" customWidth="1"/>
    <col min="17" max="17" width="17.453125" hidden="1" customWidth="1"/>
    <col min="18" max="27" width="3.26953125" hidden="1" customWidth="1"/>
  </cols>
  <sheetData>
    <row r="1" spans="1:22">
      <c r="A1" s="262" t="s">
        <v>1980</v>
      </c>
      <c r="B1" s="240"/>
      <c r="C1" s="240"/>
      <c r="D1" s="240"/>
      <c r="E1" s="241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</row>
    <row r="2" spans="1:22">
      <c r="A2" s="153" t="s">
        <v>1981</v>
      </c>
      <c r="B2" s="193" t="s">
        <v>1471</v>
      </c>
      <c r="C2" s="140"/>
      <c r="D2" s="194" t="s">
        <v>1982</v>
      </c>
      <c r="E2" s="195" t="e">
        <f>VLOOKUP(B2,RM!C4:G18921,14,FALSE)</f>
        <v>#N/A</v>
      </c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</row>
    <row r="3" spans="1:22">
      <c r="A3" s="194" t="s">
        <v>1716</v>
      </c>
      <c r="B3" s="195" t="e">
        <f>VLOOKUP(B2,RM!C4:G18921,16,FALSE)</f>
        <v>#N/A</v>
      </c>
      <c r="C3" s="140"/>
      <c r="D3" s="194" t="s">
        <v>1719</v>
      </c>
      <c r="E3" s="195" t="e">
        <f ca="1">IF(VLOOKUP(B2,MRPback!X2:AC18931,6,FALSE)&lt;0,0,VLOOKUP(B2,MRPback!X2:AC18931,6,FALSE))</f>
        <v>#N/A</v>
      </c>
      <c r="F3" s="192"/>
      <c r="G3" s="192"/>
      <c r="H3" s="192"/>
      <c r="I3" s="192"/>
      <c r="J3" s="192"/>
      <c r="K3" s="192"/>
      <c r="L3" s="192"/>
      <c r="M3" s="192"/>
      <c r="N3" s="192"/>
      <c r="O3" s="192"/>
      <c r="P3" s="192"/>
      <c r="Q3" s="192"/>
      <c r="R3" s="192"/>
      <c r="S3" s="192"/>
      <c r="T3" s="192"/>
      <c r="U3" s="192"/>
      <c r="V3" s="192"/>
    </row>
    <row r="4" spans="1:22">
      <c r="A4" s="196" t="s">
        <v>1440</v>
      </c>
      <c r="B4" s="197" t="s">
        <v>1983</v>
      </c>
      <c r="C4" s="197"/>
      <c r="D4" s="197" t="s">
        <v>1442</v>
      </c>
      <c r="E4" s="197" t="s">
        <v>76</v>
      </c>
      <c r="F4" s="192"/>
      <c r="G4" s="192"/>
      <c r="H4" s="192"/>
      <c r="I4" s="192"/>
      <c r="J4" s="192"/>
      <c r="K4" s="192"/>
      <c r="L4" s="192"/>
      <c r="M4" s="192"/>
      <c r="N4" s="198" t="s">
        <v>1983</v>
      </c>
      <c r="O4" s="199"/>
      <c r="P4" s="199" t="s">
        <v>1442</v>
      </c>
      <c r="Q4" s="199" t="s">
        <v>76</v>
      </c>
      <c r="R4" s="200"/>
      <c r="S4" s="198" t="s">
        <v>1983</v>
      </c>
      <c r="T4" s="199"/>
      <c r="U4" s="201" t="s">
        <v>1442</v>
      </c>
      <c r="V4" s="201" t="s">
        <v>76</v>
      </c>
    </row>
    <row r="5" spans="1:22">
      <c r="A5" s="139">
        <f t="shared" ref="A5:A259" ca="1" si="0">IF(B5="","",ROW()-4)</f>
        <v>1</v>
      </c>
      <c r="B5" s="202" t="str">
        <f ca="1">IFERROR(__xludf.DUMMYFUNCTION("{FILTER(N5:Q18931,N5:N18931&lt;&gt;"""");filter(S5:V18931,S5:S18931&lt;&gt;"""")}"),"A21 MotherBoard Assy")</f>
        <v>A21 MotherBoard Assy</v>
      </c>
      <c r="C5" s="139" t="str">
        <f ca="1">IFERROR(__xludf.DUMMYFUNCTION("""COMPUTED_VALUE"""),"4mm Female Bullet connector")</f>
        <v>4mm Female Bullet connector</v>
      </c>
      <c r="D5" s="203">
        <f ca="1">IFERROR(__xludf.DUMMYFUNCTION("""COMPUTED_VALUE"""),4)</f>
        <v>4</v>
      </c>
      <c r="E5" s="139" t="str">
        <f ca="1">IFERROR(__xludf.DUMMYFUNCTION("""COMPUTED_VALUE"""),".")</f>
        <v>.</v>
      </c>
      <c r="F5" s="192"/>
      <c r="G5" s="192"/>
      <c r="H5" s="192"/>
      <c r="I5" s="192"/>
      <c r="J5" s="192"/>
      <c r="K5" s="192"/>
      <c r="L5" s="192"/>
      <c r="M5" s="192"/>
      <c r="N5" s="204" t="str">
        <f ca="1">IFERROR(__xludf.DUMMYFUNCTION("IFERROR(SORT(FILTER('S-BOM'!B3:E18931,'S-BOM'!C3:C18931=B2),1,true),""."")"),"A21 MotherBoard Assy")</f>
        <v>A21 MotherBoard Assy</v>
      </c>
      <c r="O5" s="204" t="str">
        <f ca="1">IFERROR(__xludf.DUMMYFUNCTION("""COMPUTED_VALUE"""),"4mm Female Bullet connector")</f>
        <v>4mm Female Bullet connector</v>
      </c>
      <c r="P5" s="205">
        <f ca="1">IFERROR(__xludf.DUMMYFUNCTION("""COMPUTED_VALUE"""),4)</f>
        <v>4</v>
      </c>
      <c r="Q5" s="200" t="str">
        <f ca="1">IFERROR(__xludf.DUMMYFUNCTION("""COMPUTED_VALUE"""),".")</f>
        <v>.</v>
      </c>
      <c r="R5" s="200"/>
      <c r="S5" s="206" t="str">
        <f ca="1">IFERROR(__xludf.DUMMYFUNCTION("IFERROR(SORT(FILTER('A-BOM'!B3:E18931,'A-BOM'!C3:C18931=B2),1,true),""."")"),".")</f>
        <v>.</v>
      </c>
      <c r="T5" s="204"/>
      <c r="U5" s="204"/>
      <c r="V5" s="204"/>
    </row>
    <row r="6" spans="1:22">
      <c r="A6" s="139">
        <f t="shared" ca="1" si="0"/>
        <v>2</v>
      </c>
      <c r="B6" s="202" t="str">
        <f ca="1">IFERROR(__xludf.DUMMYFUNCTION("""COMPUTED_VALUE"""),"PORT Battery Assy")</f>
        <v>PORT Battery Assy</v>
      </c>
      <c r="C6" s="139" t="str">
        <f ca="1">IFERROR(__xludf.DUMMYFUNCTION("""COMPUTED_VALUE"""),"4mm Female Bullet connector")</f>
        <v>4mm Female Bullet connector</v>
      </c>
      <c r="D6" s="139">
        <f ca="1">IFERROR(__xludf.DUMMYFUNCTION("""COMPUTED_VALUE"""),2)</f>
        <v>2</v>
      </c>
      <c r="E6" s="139" t="str">
        <f ca="1">IFERROR(__xludf.DUMMYFUNCTION("""COMPUTED_VALUE"""),".")</f>
        <v>.</v>
      </c>
      <c r="F6" s="192"/>
      <c r="G6" s="192"/>
      <c r="H6" s="192"/>
      <c r="I6" s="192"/>
      <c r="J6" s="192"/>
      <c r="K6" s="192"/>
      <c r="L6" s="192"/>
      <c r="M6" s="192"/>
      <c r="N6" s="192" t="str">
        <f ca="1">IFERROR(__xludf.DUMMYFUNCTION("""COMPUTED_VALUE"""),"PORT Battery Assy")</f>
        <v>PORT Battery Assy</v>
      </c>
      <c r="O6" s="192" t="str">
        <f ca="1">IFERROR(__xludf.DUMMYFUNCTION("""COMPUTED_VALUE"""),"4mm Female Bullet connector")</f>
        <v>4mm Female Bullet connector</v>
      </c>
      <c r="P6" s="192">
        <f ca="1">IFERROR(__xludf.DUMMYFUNCTION("""COMPUTED_VALUE"""),2)</f>
        <v>2</v>
      </c>
      <c r="Q6" s="192" t="str">
        <f ca="1">IFERROR(__xludf.DUMMYFUNCTION("""COMPUTED_VALUE"""),".")</f>
        <v>.</v>
      </c>
      <c r="R6" s="192"/>
      <c r="S6" s="192"/>
      <c r="T6" s="192"/>
      <c r="U6" s="192"/>
      <c r="V6" s="192"/>
    </row>
    <row r="7" spans="1:22">
      <c r="A7" s="139">
        <f t="shared" ca="1" si="0"/>
        <v>3</v>
      </c>
      <c r="B7" s="202" t="str">
        <f ca="1">IFERROR(__xludf.DUMMYFUNCTION("""COMPUTED_VALUE"""),"PORT_ESC Assy")</f>
        <v>PORT_ESC Assy</v>
      </c>
      <c r="C7" s="139" t="str">
        <f ca="1">IFERROR(__xludf.DUMMYFUNCTION("""COMPUTED_VALUE"""),"4mm Female Bullet connector")</f>
        <v>4mm Female Bullet connector</v>
      </c>
      <c r="D7" s="139">
        <f ca="1">IFERROR(__xludf.DUMMYFUNCTION("""COMPUTED_VALUE"""),1)</f>
        <v>1</v>
      </c>
      <c r="E7" s="139" t="str">
        <f ca="1">IFERROR(__xludf.DUMMYFUNCTION("""COMPUTED_VALUE"""),".")</f>
        <v>.</v>
      </c>
      <c r="F7" s="192"/>
      <c r="G7" s="192"/>
      <c r="H7" s="192"/>
      <c r="I7" s="192"/>
      <c r="J7" s="192"/>
      <c r="K7" s="192"/>
      <c r="L7" s="192"/>
      <c r="M7" s="192"/>
      <c r="N7" s="192" t="str">
        <f ca="1">IFERROR(__xludf.DUMMYFUNCTION("""COMPUTED_VALUE"""),"PORT_ESC Assy")</f>
        <v>PORT_ESC Assy</v>
      </c>
      <c r="O7" s="192" t="str">
        <f ca="1">IFERROR(__xludf.DUMMYFUNCTION("""COMPUTED_VALUE"""),"4mm Female Bullet connector")</f>
        <v>4mm Female Bullet connector</v>
      </c>
      <c r="P7" s="192">
        <f ca="1">IFERROR(__xludf.DUMMYFUNCTION("""COMPUTED_VALUE"""),1)</f>
        <v>1</v>
      </c>
      <c r="Q7" s="192" t="str">
        <f ca="1">IFERROR(__xludf.DUMMYFUNCTION("""COMPUTED_VALUE"""),".")</f>
        <v>.</v>
      </c>
      <c r="R7" s="192"/>
      <c r="S7" s="192"/>
      <c r="T7" s="192"/>
      <c r="U7" s="192"/>
      <c r="V7" s="192"/>
    </row>
    <row r="8" spans="1:22">
      <c r="A8" s="139">
        <f t="shared" ca="1" si="0"/>
        <v>4</v>
      </c>
      <c r="B8" s="202" t="str">
        <f ca="1">IFERROR(__xludf.DUMMYFUNCTION("""COMPUTED_VALUE"""),"STBD_ESC Assy")</f>
        <v>STBD_ESC Assy</v>
      </c>
      <c r="C8" s="139" t="str">
        <f ca="1">IFERROR(__xludf.DUMMYFUNCTION("""COMPUTED_VALUE"""),"4mm Female Bullet connector")</f>
        <v>4mm Female Bullet connector</v>
      </c>
      <c r="D8" s="139">
        <f ca="1">IFERROR(__xludf.DUMMYFUNCTION("""COMPUTED_VALUE"""),1)</f>
        <v>1</v>
      </c>
      <c r="E8" s="139" t="str">
        <f ca="1">IFERROR(__xludf.DUMMYFUNCTION("""COMPUTED_VALUE"""),".")</f>
        <v>.</v>
      </c>
      <c r="F8" s="192"/>
      <c r="G8" s="192"/>
      <c r="H8" s="192"/>
      <c r="I8" s="192"/>
      <c r="J8" s="192"/>
      <c r="K8" s="192"/>
      <c r="L8" s="192"/>
      <c r="M8" s="192"/>
      <c r="N8" s="192" t="str">
        <f ca="1">IFERROR(__xludf.DUMMYFUNCTION("""COMPUTED_VALUE"""),"STBD_ESC Assy")</f>
        <v>STBD_ESC Assy</v>
      </c>
      <c r="O8" s="192" t="str">
        <f ca="1">IFERROR(__xludf.DUMMYFUNCTION("""COMPUTED_VALUE"""),"4mm Female Bullet connector")</f>
        <v>4mm Female Bullet connector</v>
      </c>
      <c r="P8" s="192">
        <f ca="1">IFERROR(__xludf.DUMMYFUNCTION("""COMPUTED_VALUE"""),1)</f>
        <v>1</v>
      </c>
      <c r="Q8" s="192" t="str">
        <f ca="1">IFERROR(__xludf.DUMMYFUNCTION("""COMPUTED_VALUE"""),".")</f>
        <v>.</v>
      </c>
      <c r="R8" s="192"/>
      <c r="S8" s="192"/>
      <c r="T8" s="192"/>
      <c r="U8" s="192"/>
      <c r="V8" s="192"/>
    </row>
    <row r="9" spans="1:22">
      <c r="A9" s="139">
        <f t="shared" ca="1" si="0"/>
        <v>5</v>
      </c>
      <c r="B9" s="202" t="str">
        <f ca="1">IFERROR(__xludf.DUMMYFUNCTION("""COMPUTED_VALUE"""),".")</f>
        <v>.</v>
      </c>
      <c r="C9" s="139"/>
      <c r="D9" s="139"/>
      <c r="E9" s="139"/>
      <c r="F9" s="192"/>
      <c r="G9" s="192"/>
      <c r="H9" s="192"/>
      <c r="I9" s="192"/>
      <c r="J9" s="192"/>
      <c r="K9" s="192"/>
      <c r="L9" s="192"/>
      <c r="M9" s="192"/>
      <c r="N9" s="192"/>
      <c r="O9" s="192"/>
      <c r="P9" s="192"/>
      <c r="Q9" s="192"/>
      <c r="R9" s="192"/>
      <c r="S9" s="192"/>
      <c r="T9" s="192"/>
      <c r="U9" s="192"/>
      <c r="V9" s="192"/>
    </row>
    <row r="10" spans="1:22">
      <c r="A10" s="139" t="str">
        <f t="shared" si="0"/>
        <v/>
      </c>
      <c r="B10" s="202"/>
      <c r="C10" s="139"/>
      <c r="D10" s="98"/>
      <c r="E10" s="139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</row>
    <row r="11" spans="1:22">
      <c r="A11" s="139" t="str">
        <f t="shared" si="0"/>
        <v/>
      </c>
      <c r="B11" s="202"/>
      <c r="C11" s="139"/>
      <c r="D11" s="139"/>
      <c r="E11" s="139"/>
      <c r="F11" s="192"/>
      <c r="G11" s="192"/>
      <c r="H11" s="192"/>
      <c r="I11" s="192"/>
      <c r="J11" s="192"/>
      <c r="K11" s="192"/>
      <c r="L11" s="192"/>
      <c r="M11" s="192"/>
      <c r="N11" s="192"/>
      <c r="O11" s="192"/>
      <c r="P11" s="192"/>
      <c r="Q11" s="192"/>
      <c r="R11" s="192"/>
      <c r="S11" s="192"/>
      <c r="T11" s="192"/>
      <c r="U11" s="192"/>
      <c r="V11" s="192"/>
    </row>
    <row r="12" spans="1:22">
      <c r="A12" s="139" t="str">
        <f t="shared" si="0"/>
        <v/>
      </c>
      <c r="B12" s="202"/>
      <c r="C12" s="139"/>
      <c r="D12" s="139"/>
      <c r="E12" s="139"/>
      <c r="F12" s="192"/>
      <c r="G12" s="192"/>
      <c r="H12" s="192"/>
      <c r="I12" s="192"/>
      <c r="J12" s="192"/>
      <c r="K12" s="192"/>
      <c r="L12" s="192"/>
      <c r="M12" s="192"/>
      <c r="N12" s="192"/>
      <c r="O12" s="192"/>
      <c r="P12" s="192"/>
      <c r="Q12" s="192"/>
      <c r="R12" s="192"/>
      <c r="S12" s="192"/>
      <c r="T12" s="192"/>
      <c r="U12" s="192"/>
      <c r="V12" s="192"/>
    </row>
    <row r="13" spans="1:22">
      <c r="A13" s="139" t="str">
        <f t="shared" si="0"/>
        <v/>
      </c>
      <c r="B13" s="202"/>
      <c r="C13" s="139"/>
      <c r="D13" s="139"/>
      <c r="E13" s="139"/>
      <c r="F13" s="192"/>
      <c r="G13" s="192"/>
      <c r="H13" s="192"/>
      <c r="I13" s="192"/>
      <c r="J13" s="192"/>
      <c r="K13" s="192"/>
      <c r="L13" s="192"/>
      <c r="M13" s="192"/>
      <c r="N13" s="192"/>
      <c r="O13" s="192"/>
      <c r="P13" s="192"/>
      <c r="Q13" s="192"/>
      <c r="R13" s="192"/>
      <c r="S13" s="192"/>
      <c r="T13" s="192"/>
      <c r="U13" s="192"/>
      <c r="V13" s="192"/>
    </row>
    <row r="14" spans="1:22">
      <c r="A14" s="139" t="str">
        <f t="shared" si="0"/>
        <v/>
      </c>
      <c r="B14" s="202"/>
      <c r="C14" s="139"/>
      <c r="D14" s="139"/>
      <c r="E14" s="139"/>
      <c r="F14" s="192"/>
      <c r="G14" s="192"/>
      <c r="H14" s="192"/>
      <c r="I14" s="192"/>
      <c r="J14" s="192"/>
      <c r="K14" s="192"/>
      <c r="L14" s="192"/>
      <c r="M14" s="192"/>
      <c r="N14" s="192"/>
      <c r="O14" s="192"/>
      <c r="P14" s="192"/>
      <c r="Q14" s="192"/>
      <c r="R14" s="192"/>
      <c r="S14" s="192"/>
      <c r="T14" s="192"/>
      <c r="U14" s="192"/>
      <c r="V14" s="192"/>
    </row>
    <row r="15" spans="1:22">
      <c r="A15" s="139" t="str">
        <f t="shared" si="0"/>
        <v/>
      </c>
      <c r="B15" s="202"/>
      <c r="C15" s="139"/>
      <c r="D15" s="139"/>
      <c r="E15" s="139"/>
      <c r="F15" s="192"/>
      <c r="G15" s="192"/>
      <c r="H15" s="192"/>
      <c r="I15" s="192"/>
      <c r="J15" s="192"/>
      <c r="K15" s="192"/>
      <c r="L15" s="192"/>
      <c r="M15" s="192"/>
      <c r="N15" s="192"/>
      <c r="O15" s="192"/>
      <c r="P15" s="192"/>
      <c r="Q15" s="192"/>
      <c r="R15" s="192"/>
      <c r="S15" s="192"/>
      <c r="T15" s="192"/>
      <c r="U15" s="192"/>
      <c r="V15" s="192"/>
    </row>
    <row r="16" spans="1:22">
      <c r="A16" s="139" t="str">
        <f t="shared" si="0"/>
        <v/>
      </c>
      <c r="B16" s="202"/>
      <c r="C16" s="139"/>
      <c r="D16" s="139"/>
      <c r="E16" s="139"/>
      <c r="F16" s="192"/>
      <c r="G16" s="192"/>
      <c r="H16" s="192"/>
      <c r="I16" s="192"/>
      <c r="J16" s="192"/>
      <c r="K16" s="192"/>
      <c r="L16" s="192"/>
      <c r="M16" s="192"/>
      <c r="N16" s="192"/>
      <c r="O16" s="192"/>
      <c r="P16" s="192"/>
      <c r="Q16" s="192"/>
      <c r="R16" s="192"/>
      <c r="S16" s="192"/>
      <c r="T16" s="192"/>
      <c r="U16" s="192"/>
      <c r="V16" s="192"/>
    </row>
    <row r="17" spans="1:5">
      <c r="A17" s="139" t="str">
        <f t="shared" si="0"/>
        <v/>
      </c>
      <c r="B17" s="202"/>
      <c r="C17" s="139"/>
      <c r="D17" s="139"/>
      <c r="E17" s="139"/>
    </row>
    <row r="18" spans="1:5">
      <c r="A18" s="139" t="str">
        <f t="shared" si="0"/>
        <v/>
      </c>
      <c r="B18" s="202"/>
      <c r="C18" s="139"/>
      <c r="D18" s="139"/>
      <c r="E18" s="139"/>
    </row>
    <row r="19" spans="1:5">
      <c r="A19" s="139" t="str">
        <f t="shared" si="0"/>
        <v/>
      </c>
      <c r="B19" s="202"/>
      <c r="C19" s="139"/>
      <c r="D19" s="139"/>
      <c r="E19" s="139"/>
    </row>
    <row r="20" spans="1:5">
      <c r="A20" s="139" t="str">
        <f t="shared" si="0"/>
        <v/>
      </c>
      <c r="B20" s="202"/>
      <c r="C20" s="139"/>
      <c r="D20" s="139"/>
      <c r="E20" s="139"/>
    </row>
    <row r="21" spans="1:5">
      <c r="A21" s="139" t="str">
        <f t="shared" si="0"/>
        <v/>
      </c>
      <c r="B21" s="202"/>
      <c r="C21" s="139"/>
      <c r="D21" s="139"/>
      <c r="E21" s="139"/>
    </row>
    <row r="22" spans="1:5">
      <c r="A22" s="139" t="str">
        <f t="shared" si="0"/>
        <v/>
      </c>
      <c r="B22" s="202"/>
      <c r="C22" s="139"/>
      <c r="D22" s="139"/>
      <c r="E22" s="139"/>
    </row>
    <row r="23" spans="1:5">
      <c r="A23" s="139" t="str">
        <f t="shared" si="0"/>
        <v/>
      </c>
      <c r="B23" s="202"/>
      <c r="C23" s="139"/>
      <c r="D23" s="139"/>
      <c r="E23" s="139"/>
    </row>
    <row r="24" spans="1:5">
      <c r="A24" s="139" t="str">
        <f t="shared" si="0"/>
        <v/>
      </c>
      <c r="B24" s="202"/>
      <c r="C24" s="139"/>
      <c r="D24" s="139"/>
      <c r="E24" s="139"/>
    </row>
    <row r="25" spans="1:5">
      <c r="A25" s="139" t="str">
        <f t="shared" si="0"/>
        <v/>
      </c>
      <c r="B25" s="202"/>
      <c r="C25" s="139"/>
      <c r="D25" s="139"/>
      <c r="E25" s="139"/>
    </row>
    <row r="26" spans="1:5">
      <c r="A26" s="139" t="str">
        <f t="shared" si="0"/>
        <v/>
      </c>
      <c r="B26" s="202"/>
      <c r="C26" s="139"/>
      <c r="D26" s="139"/>
      <c r="E26" s="139"/>
    </row>
    <row r="27" spans="1:5">
      <c r="A27" s="139" t="str">
        <f t="shared" si="0"/>
        <v/>
      </c>
      <c r="B27" s="202"/>
      <c r="C27" s="139"/>
      <c r="D27" s="139"/>
      <c r="E27" s="139"/>
    </row>
    <row r="28" spans="1:5">
      <c r="A28" s="139" t="str">
        <f t="shared" si="0"/>
        <v/>
      </c>
      <c r="B28" s="202"/>
      <c r="C28" s="139"/>
      <c r="D28" s="139"/>
      <c r="E28" s="139"/>
    </row>
    <row r="29" spans="1:5">
      <c r="A29" s="139" t="str">
        <f t="shared" si="0"/>
        <v/>
      </c>
      <c r="B29" s="202"/>
      <c r="C29" s="139"/>
      <c r="D29" s="139"/>
      <c r="E29" s="139"/>
    </row>
    <row r="30" spans="1:5">
      <c r="A30" s="139" t="str">
        <f t="shared" si="0"/>
        <v/>
      </c>
      <c r="B30" s="202"/>
      <c r="C30" s="139"/>
      <c r="D30" s="139"/>
      <c r="E30" s="139"/>
    </row>
    <row r="31" spans="1:5">
      <c r="A31" s="139" t="str">
        <f t="shared" si="0"/>
        <v/>
      </c>
      <c r="B31" s="202"/>
      <c r="C31" s="139"/>
      <c r="D31" s="139"/>
      <c r="E31" s="139"/>
    </row>
    <row r="32" spans="1:5">
      <c r="A32" s="139" t="str">
        <f t="shared" si="0"/>
        <v/>
      </c>
      <c r="B32" s="202"/>
      <c r="C32" s="139"/>
      <c r="D32" s="139"/>
      <c r="E32" s="139"/>
    </row>
    <row r="33" spans="1:5">
      <c r="A33" s="139" t="str">
        <f t="shared" si="0"/>
        <v/>
      </c>
      <c r="B33" s="202"/>
      <c r="C33" s="139"/>
      <c r="D33" s="139"/>
      <c r="E33" s="139"/>
    </row>
    <row r="34" spans="1:5">
      <c r="A34" s="139" t="str">
        <f t="shared" si="0"/>
        <v/>
      </c>
      <c r="B34" s="202"/>
      <c r="C34" s="139"/>
      <c r="D34" s="139"/>
      <c r="E34" s="139"/>
    </row>
    <row r="35" spans="1:5">
      <c r="A35" s="139" t="str">
        <f t="shared" si="0"/>
        <v/>
      </c>
      <c r="B35" s="202"/>
      <c r="C35" s="139"/>
      <c r="D35" s="139"/>
      <c r="E35" s="139"/>
    </row>
    <row r="36" spans="1:5">
      <c r="A36" s="139" t="str">
        <f t="shared" si="0"/>
        <v/>
      </c>
      <c r="B36" s="202"/>
      <c r="C36" s="139"/>
      <c r="D36" s="139"/>
      <c r="E36" s="139"/>
    </row>
    <row r="37" spans="1:5">
      <c r="A37" s="139" t="str">
        <f t="shared" si="0"/>
        <v/>
      </c>
      <c r="B37" s="202"/>
      <c r="C37" s="139"/>
      <c r="D37" s="139"/>
      <c r="E37" s="139"/>
    </row>
    <row r="38" spans="1:5">
      <c r="A38" s="139" t="str">
        <f t="shared" si="0"/>
        <v/>
      </c>
      <c r="B38" s="202"/>
      <c r="C38" s="139"/>
      <c r="D38" s="139"/>
      <c r="E38" s="139"/>
    </row>
    <row r="39" spans="1:5">
      <c r="A39" s="139" t="str">
        <f t="shared" si="0"/>
        <v/>
      </c>
      <c r="B39" s="202"/>
      <c r="C39" s="139"/>
      <c r="D39" s="139"/>
      <c r="E39" s="139"/>
    </row>
    <row r="40" spans="1:5">
      <c r="A40" s="139" t="str">
        <f t="shared" si="0"/>
        <v/>
      </c>
      <c r="B40" s="202"/>
      <c r="C40" s="139"/>
      <c r="D40" s="139"/>
      <c r="E40" s="139"/>
    </row>
    <row r="41" spans="1:5">
      <c r="A41" s="139" t="str">
        <f t="shared" si="0"/>
        <v/>
      </c>
      <c r="B41" s="202"/>
      <c r="C41" s="139"/>
      <c r="D41" s="139"/>
      <c r="E41" s="139"/>
    </row>
    <row r="42" spans="1:5">
      <c r="A42" s="139" t="str">
        <f t="shared" si="0"/>
        <v/>
      </c>
      <c r="B42" s="202"/>
      <c r="C42" s="139"/>
      <c r="D42" s="139"/>
      <c r="E42" s="139"/>
    </row>
    <row r="43" spans="1:5">
      <c r="A43" s="139" t="str">
        <f t="shared" si="0"/>
        <v/>
      </c>
      <c r="B43" s="202"/>
      <c r="C43" s="139"/>
      <c r="D43" s="139"/>
      <c r="E43" s="139"/>
    </row>
    <row r="44" spans="1:5">
      <c r="A44" s="139" t="str">
        <f t="shared" si="0"/>
        <v/>
      </c>
      <c r="B44" s="202"/>
      <c r="C44" s="139"/>
      <c r="D44" s="139"/>
      <c r="E44" s="139"/>
    </row>
    <row r="45" spans="1:5">
      <c r="A45" s="139" t="str">
        <f t="shared" si="0"/>
        <v/>
      </c>
      <c r="B45" s="202"/>
      <c r="C45" s="139"/>
      <c r="D45" s="139"/>
      <c r="E45" s="139"/>
    </row>
    <row r="46" spans="1:5">
      <c r="A46" s="139" t="str">
        <f t="shared" si="0"/>
        <v/>
      </c>
      <c r="B46" s="202"/>
      <c r="C46" s="139"/>
      <c r="D46" s="139"/>
      <c r="E46" s="139"/>
    </row>
    <row r="47" spans="1:5">
      <c r="A47" s="139" t="str">
        <f t="shared" si="0"/>
        <v/>
      </c>
      <c r="B47" s="202"/>
      <c r="C47" s="139"/>
      <c r="D47" s="139"/>
      <c r="E47" s="139"/>
    </row>
    <row r="48" spans="1:5">
      <c r="A48" s="139" t="str">
        <f t="shared" si="0"/>
        <v/>
      </c>
      <c r="B48" s="202"/>
      <c r="C48" s="139"/>
      <c r="D48" s="139"/>
      <c r="E48" s="139"/>
    </row>
    <row r="49" spans="1:5">
      <c r="A49" s="139" t="str">
        <f t="shared" si="0"/>
        <v/>
      </c>
      <c r="B49" s="202"/>
      <c r="C49" s="139"/>
      <c r="D49" s="139"/>
      <c r="E49" s="139"/>
    </row>
    <row r="50" spans="1:5">
      <c r="A50" s="139" t="str">
        <f t="shared" si="0"/>
        <v/>
      </c>
      <c r="B50" s="202"/>
      <c r="C50" s="139"/>
      <c r="D50" s="139"/>
      <c r="E50" s="139"/>
    </row>
    <row r="51" spans="1:5">
      <c r="A51" s="139" t="str">
        <f t="shared" si="0"/>
        <v/>
      </c>
      <c r="B51" s="202"/>
      <c r="C51" s="139"/>
      <c r="D51" s="139"/>
      <c r="E51" s="139"/>
    </row>
    <row r="52" spans="1:5">
      <c r="A52" s="139" t="str">
        <f t="shared" si="0"/>
        <v/>
      </c>
      <c r="B52" s="202"/>
      <c r="C52" s="139"/>
      <c r="D52" s="139"/>
      <c r="E52" s="139"/>
    </row>
    <row r="53" spans="1:5">
      <c r="A53" s="139" t="str">
        <f t="shared" si="0"/>
        <v/>
      </c>
      <c r="B53" s="202"/>
      <c r="C53" s="139"/>
      <c r="D53" s="139"/>
      <c r="E53" s="139"/>
    </row>
    <row r="54" spans="1:5">
      <c r="A54" s="139" t="str">
        <f t="shared" si="0"/>
        <v/>
      </c>
      <c r="B54" s="202"/>
      <c r="C54" s="139"/>
      <c r="D54" s="139"/>
      <c r="E54" s="139"/>
    </row>
    <row r="55" spans="1:5">
      <c r="A55" s="139" t="str">
        <f t="shared" si="0"/>
        <v/>
      </c>
      <c r="B55" s="202"/>
      <c r="C55" s="139"/>
      <c r="D55" s="139"/>
      <c r="E55" s="139"/>
    </row>
    <row r="56" spans="1:5">
      <c r="A56" s="139" t="str">
        <f t="shared" si="0"/>
        <v/>
      </c>
      <c r="B56" s="202"/>
      <c r="C56" s="139"/>
      <c r="D56" s="139"/>
      <c r="E56" s="139"/>
    </row>
    <row r="57" spans="1:5">
      <c r="A57" s="139" t="str">
        <f t="shared" si="0"/>
        <v/>
      </c>
      <c r="B57" s="202"/>
      <c r="C57" s="139"/>
      <c r="D57" s="139"/>
      <c r="E57" s="139"/>
    </row>
    <row r="58" spans="1:5">
      <c r="A58" s="139" t="str">
        <f t="shared" si="0"/>
        <v/>
      </c>
      <c r="B58" s="202"/>
      <c r="C58" s="139"/>
      <c r="D58" s="139"/>
      <c r="E58" s="139"/>
    </row>
    <row r="59" spans="1:5">
      <c r="A59" s="139" t="str">
        <f t="shared" si="0"/>
        <v/>
      </c>
      <c r="B59" s="202"/>
      <c r="C59" s="139"/>
      <c r="D59" s="139"/>
      <c r="E59" s="139"/>
    </row>
    <row r="60" spans="1:5">
      <c r="A60" s="139" t="str">
        <f t="shared" si="0"/>
        <v/>
      </c>
      <c r="B60" s="202"/>
      <c r="C60" s="139"/>
      <c r="D60" s="139"/>
      <c r="E60" s="139"/>
    </row>
    <row r="61" spans="1:5">
      <c r="A61" s="139" t="str">
        <f t="shared" si="0"/>
        <v/>
      </c>
      <c r="B61" s="202"/>
      <c r="C61" s="139"/>
      <c r="D61" s="139"/>
      <c r="E61" s="139"/>
    </row>
    <row r="62" spans="1:5">
      <c r="A62" s="139" t="str">
        <f t="shared" si="0"/>
        <v/>
      </c>
      <c r="B62" s="202"/>
      <c r="C62" s="139"/>
      <c r="D62" s="139"/>
      <c r="E62" s="139"/>
    </row>
    <row r="63" spans="1:5">
      <c r="A63" s="139" t="str">
        <f t="shared" si="0"/>
        <v/>
      </c>
      <c r="B63" s="202"/>
      <c r="C63" s="139"/>
      <c r="D63" s="139"/>
      <c r="E63" s="139"/>
    </row>
    <row r="64" spans="1:5">
      <c r="A64" s="139" t="str">
        <f t="shared" si="0"/>
        <v/>
      </c>
      <c r="B64" s="202"/>
      <c r="C64" s="139"/>
      <c r="D64" s="139"/>
      <c r="E64" s="139"/>
    </row>
    <row r="65" spans="1:5">
      <c r="A65" s="139" t="str">
        <f t="shared" si="0"/>
        <v/>
      </c>
      <c r="B65" s="202"/>
      <c r="C65" s="139"/>
      <c r="D65" s="139"/>
      <c r="E65" s="139"/>
    </row>
    <row r="66" spans="1:5">
      <c r="A66" s="139" t="str">
        <f t="shared" si="0"/>
        <v/>
      </c>
      <c r="B66" s="202"/>
      <c r="C66" s="139"/>
      <c r="D66" s="139"/>
      <c r="E66" s="139"/>
    </row>
    <row r="67" spans="1:5">
      <c r="A67" s="139" t="str">
        <f t="shared" si="0"/>
        <v/>
      </c>
      <c r="B67" s="202"/>
      <c r="C67" s="139"/>
      <c r="D67" s="139"/>
      <c r="E67" s="139"/>
    </row>
    <row r="68" spans="1:5">
      <c r="A68" s="139" t="str">
        <f t="shared" si="0"/>
        <v/>
      </c>
      <c r="B68" s="202"/>
      <c r="C68" s="139"/>
      <c r="D68" s="139"/>
      <c r="E68" s="139"/>
    </row>
    <row r="69" spans="1:5">
      <c r="A69" s="139" t="str">
        <f t="shared" si="0"/>
        <v/>
      </c>
      <c r="B69" s="202"/>
      <c r="C69" s="139"/>
      <c r="D69" s="139"/>
      <c r="E69" s="139"/>
    </row>
    <row r="70" spans="1:5">
      <c r="A70" s="139" t="str">
        <f t="shared" si="0"/>
        <v/>
      </c>
      <c r="B70" s="202"/>
      <c r="C70" s="139"/>
      <c r="D70" s="139"/>
      <c r="E70" s="139"/>
    </row>
    <row r="71" spans="1:5">
      <c r="A71" s="139" t="str">
        <f t="shared" si="0"/>
        <v/>
      </c>
      <c r="B71" s="202"/>
      <c r="C71" s="139"/>
      <c r="D71" s="139"/>
      <c r="E71" s="139"/>
    </row>
    <row r="72" spans="1:5">
      <c r="A72" s="139" t="str">
        <f t="shared" si="0"/>
        <v/>
      </c>
      <c r="B72" s="202"/>
      <c r="C72" s="139"/>
      <c r="D72" s="139"/>
      <c r="E72" s="139"/>
    </row>
    <row r="73" spans="1:5">
      <c r="A73" s="139" t="str">
        <f t="shared" si="0"/>
        <v/>
      </c>
      <c r="B73" s="202"/>
      <c r="C73" s="139"/>
      <c r="D73" s="139"/>
      <c r="E73" s="139"/>
    </row>
    <row r="74" spans="1:5">
      <c r="A74" s="139" t="str">
        <f t="shared" si="0"/>
        <v/>
      </c>
      <c r="B74" s="202"/>
      <c r="C74" s="139"/>
      <c r="D74" s="139"/>
      <c r="E74" s="139"/>
    </row>
    <row r="75" spans="1:5">
      <c r="A75" s="139" t="str">
        <f t="shared" si="0"/>
        <v/>
      </c>
      <c r="B75" s="202"/>
      <c r="C75" s="139"/>
      <c r="D75" s="139"/>
      <c r="E75" s="139"/>
    </row>
    <row r="76" spans="1:5">
      <c r="A76" s="139" t="str">
        <f t="shared" si="0"/>
        <v/>
      </c>
      <c r="B76" s="202"/>
      <c r="C76" s="139"/>
      <c r="D76" s="139"/>
      <c r="E76" s="139"/>
    </row>
    <row r="77" spans="1:5">
      <c r="A77" s="139" t="str">
        <f t="shared" si="0"/>
        <v/>
      </c>
      <c r="B77" s="202"/>
      <c r="C77" s="139"/>
      <c r="D77" s="139"/>
      <c r="E77" s="139"/>
    </row>
    <row r="78" spans="1:5">
      <c r="A78" s="139" t="str">
        <f t="shared" si="0"/>
        <v/>
      </c>
      <c r="B78" s="202"/>
      <c r="C78" s="139"/>
      <c r="D78" s="139"/>
      <c r="E78" s="139"/>
    </row>
    <row r="79" spans="1:5">
      <c r="A79" s="139" t="str">
        <f t="shared" si="0"/>
        <v/>
      </c>
      <c r="B79" s="202"/>
      <c r="C79" s="139"/>
      <c r="D79" s="139"/>
      <c r="E79" s="139"/>
    </row>
    <row r="80" spans="1:5">
      <c r="A80" s="139" t="str">
        <f t="shared" si="0"/>
        <v/>
      </c>
      <c r="B80" s="202"/>
      <c r="C80" s="139"/>
      <c r="D80" s="139"/>
      <c r="E80" s="139"/>
    </row>
    <row r="81" spans="1:5">
      <c r="A81" s="139" t="str">
        <f t="shared" si="0"/>
        <v/>
      </c>
      <c r="B81" s="202"/>
      <c r="C81" s="139"/>
      <c r="D81" s="139"/>
      <c r="E81" s="139"/>
    </row>
    <row r="82" spans="1:5">
      <c r="A82" s="139" t="str">
        <f t="shared" si="0"/>
        <v/>
      </c>
      <c r="B82" s="202"/>
      <c r="C82" s="139"/>
      <c r="D82" s="139"/>
      <c r="E82" s="139"/>
    </row>
    <row r="83" spans="1:5">
      <c r="A83" s="139" t="str">
        <f t="shared" si="0"/>
        <v/>
      </c>
      <c r="B83" s="202"/>
      <c r="C83" s="139"/>
      <c r="D83" s="139"/>
      <c r="E83" s="139"/>
    </row>
    <row r="84" spans="1:5">
      <c r="A84" s="139" t="str">
        <f t="shared" si="0"/>
        <v/>
      </c>
      <c r="B84" s="202"/>
      <c r="C84" s="139"/>
      <c r="D84" s="139"/>
      <c r="E84" s="139"/>
    </row>
    <row r="85" spans="1:5">
      <c r="A85" s="139" t="str">
        <f t="shared" si="0"/>
        <v/>
      </c>
      <c r="B85" s="202"/>
      <c r="C85" s="139"/>
      <c r="D85" s="139"/>
      <c r="E85" s="139"/>
    </row>
    <row r="86" spans="1:5">
      <c r="A86" s="139" t="str">
        <f t="shared" si="0"/>
        <v/>
      </c>
      <c r="B86" s="202"/>
      <c r="C86" s="139"/>
      <c r="D86" s="139"/>
      <c r="E86" s="139"/>
    </row>
    <row r="87" spans="1:5">
      <c r="A87" s="139" t="str">
        <f t="shared" si="0"/>
        <v/>
      </c>
      <c r="B87" s="202"/>
      <c r="C87" s="139"/>
      <c r="D87" s="139"/>
      <c r="E87" s="139"/>
    </row>
    <row r="88" spans="1:5">
      <c r="A88" s="139" t="str">
        <f t="shared" si="0"/>
        <v/>
      </c>
      <c r="B88" s="202"/>
      <c r="C88" s="139"/>
      <c r="D88" s="139"/>
      <c r="E88" s="139"/>
    </row>
    <row r="89" spans="1:5">
      <c r="A89" s="139" t="str">
        <f t="shared" si="0"/>
        <v/>
      </c>
      <c r="B89" s="202"/>
      <c r="C89" s="139"/>
      <c r="D89" s="139"/>
      <c r="E89" s="139"/>
    </row>
    <row r="90" spans="1:5">
      <c r="A90" s="139" t="str">
        <f t="shared" si="0"/>
        <v/>
      </c>
      <c r="B90" s="202"/>
      <c r="C90" s="139"/>
      <c r="D90" s="139"/>
      <c r="E90" s="139"/>
    </row>
    <row r="91" spans="1:5">
      <c r="A91" s="139" t="str">
        <f t="shared" si="0"/>
        <v/>
      </c>
      <c r="B91" s="202"/>
      <c r="C91" s="139"/>
      <c r="D91" s="139"/>
      <c r="E91" s="139"/>
    </row>
    <row r="92" spans="1:5">
      <c r="A92" s="139" t="str">
        <f t="shared" si="0"/>
        <v/>
      </c>
      <c r="B92" s="202"/>
      <c r="C92" s="139"/>
      <c r="D92" s="139"/>
      <c r="E92" s="139"/>
    </row>
    <row r="93" spans="1:5">
      <c r="A93" s="139" t="str">
        <f t="shared" si="0"/>
        <v/>
      </c>
      <c r="B93" s="202"/>
      <c r="C93" s="139"/>
      <c r="D93" s="139"/>
      <c r="E93" s="139"/>
    </row>
    <row r="94" spans="1:5">
      <c r="A94" s="139" t="str">
        <f t="shared" si="0"/>
        <v/>
      </c>
      <c r="B94" s="202"/>
      <c r="C94" s="139"/>
      <c r="D94" s="139"/>
      <c r="E94" s="139"/>
    </row>
    <row r="95" spans="1:5">
      <c r="A95" s="139" t="str">
        <f t="shared" si="0"/>
        <v/>
      </c>
      <c r="B95" s="202"/>
      <c r="C95" s="139"/>
      <c r="D95" s="139"/>
      <c r="E95" s="139"/>
    </row>
    <row r="96" spans="1:5">
      <c r="A96" s="139" t="str">
        <f t="shared" si="0"/>
        <v/>
      </c>
      <c r="B96" s="202"/>
      <c r="C96" s="139"/>
      <c r="D96" s="139"/>
      <c r="E96" s="139"/>
    </row>
    <row r="97" spans="1:5">
      <c r="A97" s="139" t="str">
        <f t="shared" si="0"/>
        <v/>
      </c>
      <c r="B97" s="202"/>
      <c r="C97" s="139"/>
      <c r="D97" s="139"/>
      <c r="E97" s="139"/>
    </row>
    <row r="98" spans="1:5">
      <c r="A98" s="139" t="str">
        <f t="shared" si="0"/>
        <v/>
      </c>
      <c r="B98" s="202"/>
      <c r="C98" s="139"/>
      <c r="D98" s="139"/>
      <c r="E98" s="139"/>
    </row>
    <row r="99" spans="1:5">
      <c r="A99" s="139" t="str">
        <f t="shared" si="0"/>
        <v/>
      </c>
      <c r="B99" s="202"/>
      <c r="C99" s="139"/>
      <c r="D99" s="139"/>
      <c r="E99" s="139"/>
    </row>
    <row r="100" spans="1:5">
      <c r="A100" s="139" t="str">
        <f t="shared" si="0"/>
        <v/>
      </c>
      <c r="B100" s="202"/>
      <c r="C100" s="139"/>
      <c r="D100" s="139"/>
      <c r="E100" s="139"/>
    </row>
    <row r="101" spans="1:5">
      <c r="A101" s="139" t="str">
        <f t="shared" si="0"/>
        <v/>
      </c>
      <c r="B101" s="202"/>
      <c r="C101" s="139"/>
      <c r="D101" s="139"/>
      <c r="E101" s="139"/>
    </row>
    <row r="102" spans="1:5">
      <c r="A102" s="139" t="str">
        <f t="shared" si="0"/>
        <v/>
      </c>
      <c r="B102" s="202"/>
      <c r="C102" s="139"/>
      <c r="D102" s="139"/>
      <c r="E102" s="139"/>
    </row>
    <row r="103" spans="1:5">
      <c r="A103" s="139" t="str">
        <f t="shared" si="0"/>
        <v/>
      </c>
      <c r="B103" s="202"/>
      <c r="C103" s="139"/>
      <c r="D103" s="139"/>
      <c r="E103" s="139"/>
    </row>
    <row r="104" spans="1:5">
      <c r="A104" s="139" t="str">
        <f t="shared" si="0"/>
        <v/>
      </c>
      <c r="B104" s="202"/>
      <c r="C104" s="139"/>
      <c r="D104" s="139"/>
      <c r="E104" s="139"/>
    </row>
    <row r="105" spans="1:5">
      <c r="A105" s="139" t="str">
        <f t="shared" si="0"/>
        <v/>
      </c>
      <c r="B105" s="202"/>
      <c r="C105" s="139"/>
      <c r="D105" s="139"/>
      <c r="E105" s="139"/>
    </row>
    <row r="106" spans="1:5">
      <c r="A106" s="139" t="str">
        <f t="shared" si="0"/>
        <v/>
      </c>
      <c r="B106" s="202"/>
      <c r="C106" s="139"/>
      <c r="D106" s="139"/>
      <c r="E106" s="139"/>
    </row>
    <row r="107" spans="1:5">
      <c r="A107" s="139" t="str">
        <f t="shared" si="0"/>
        <v/>
      </c>
      <c r="B107" s="202"/>
      <c r="C107" s="139"/>
      <c r="D107" s="139"/>
      <c r="E107" s="139"/>
    </row>
    <row r="108" spans="1:5">
      <c r="A108" s="139" t="str">
        <f t="shared" si="0"/>
        <v/>
      </c>
      <c r="B108" s="202"/>
      <c r="C108" s="139"/>
      <c r="D108" s="139"/>
      <c r="E108" s="139"/>
    </row>
    <row r="109" spans="1:5">
      <c r="A109" s="139" t="str">
        <f t="shared" si="0"/>
        <v/>
      </c>
      <c r="B109" s="202"/>
      <c r="C109" s="139"/>
      <c r="D109" s="139"/>
      <c r="E109" s="139"/>
    </row>
    <row r="110" spans="1:5">
      <c r="A110" s="139" t="str">
        <f t="shared" si="0"/>
        <v/>
      </c>
      <c r="B110" s="202"/>
      <c r="C110" s="139"/>
      <c r="D110" s="139"/>
      <c r="E110" s="139"/>
    </row>
    <row r="111" spans="1:5">
      <c r="A111" s="139" t="str">
        <f t="shared" si="0"/>
        <v/>
      </c>
      <c r="B111" s="202"/>
      <c r="C111" s="139"/>
      <c r="D111" s="139"/>
      <c r="E111" s="139"/>
    </row>
    <row r="112" spans="1:5">
      <c r="A112" s="139" t="str">
        <f t="shared" si="0"/>
        <v/>
      </c>
      <c r="B112" s="202"/>
      <c r="C112" s="139"/>
      <c r="D112" s="139"/>
      <c r="E112" s="139"/>
    </row>
    <row r="113" spans="1:5">
      <c r="A113" s="139" t="str">
        <f t="shared" si="0"/>
        <v/>
      </c>
      <c r="B113" s="202"/>
      <c r="C113" s="139"/>
      <c r="D113" s="139"/>
      <c r="E113" s="139"/>
    </row>
    <row r="114" spans="1:5">
      <c r="A114" s="139" t="str">
        <f t="shared" si="0"/>
        <v/>
      </c>
      <c r="B114" s="202"/>
      <c r="C114" s="139"/>
      <c r="D114" s="139"/>
      <c r="E114" s="139"/>
    </row>
    <row r="115" spans="1:5">
      <c r="A115" s="139" t="str">
        <f t="shared" si="0"/>
        <v/>
      </c>
      <c r="B115" s="202"/>
      <c r="C115" s="139"/>
      <c r="D115" s="139"/>
      <c r="E115" s="139"/>
    </row>
    <row r="116" spans="1:5">
      <c r="A116" s="139" t="str">
        <f t="shared" si="0"/>
        <v/>
      </c>
      <c r="B116" s="202"/>
      <c r="C116" s="139"/>
      <c r="D116" s="139"/>
      <c r="E116" s="139"/>
    </row>
    <row r="117" spans="1:5">
      <c r="A117" s="139" t="str">
        <f t="shared" si="0"/>
        <v/>
      </c>
      <c r="B117" s="202"/>
      <c r="C117" s="139"/>
      <c r="D117" s="139"/>
      <c r="E117" s="139"/>
    </row>
    <row r="118" spans="1:5">
      <c r="A118" s="139" t="str">
        <f t="shared" si="0"/>
        <v/>
      </c>
      <c r="B118" s="202"/>
      <c r="C118" s="139"/>
      <c r="D118" s="139"/>
      <c r="E118" s="139"/>
    </row>
    <row r="119" spans="1:5">
      <c r="A119" s="139" t="str">
        <f t="shared" si="0"/>
        <v/>
      </c>
      <c r="B119" s="202"/>
      <c r="C119" s="139"/>
      <c r="D119" s="139"/>
      <c r="E119" s="139"/>
    </row>
    <row r="120" spans="1:5">
      <c r="A120" s="139" t="str">
        <f t="shared" si="0"/>
        <v/>
      </c>
      <c r="B120" s="202"/>
      <c r="C120" s="139"/>
      <c r="D120" s="139"/>
      <c r="E120" s="139"/>
    </row>
    <row r="121" spans="1:5">
      <c r="A121" s="139" t="str">
        <f t="shared" si="0"/>
        <v/>
      </c>
      <c r="B121" s="202"/>
      <c r="C121" s="139"/>
      <c r="D121" s="139"/>
      <c r="E121" s="139"/>
    </row>
    <row r="122" spans="1:5">
      <c r="A122" s="139" t="str">
        <f t="shared" si="0"/>
        <v/>
      </c>
      <c r="B122" s="202"/>
      <c r="C122" s="139"/>
      <c r="D122" s="139"/>
      <c r="E122" s="139"/>
    </row>
    <row r="123" spans="1:5">
      <c r="A123" s="139" t="str">
        <f t="shared" si="0"/>
        <v/>
      </c>
      <c r="B123" s="202"/>
      <c r="C123" s="139"/>
      <c r="D123" s="139"/>
      <c r="E123" s="139"/>
    </row>
    <row r="124" spans="1:5">
      <c r="A124" s="139" t="str">
        <f t="shared" si="0"/>
        <v/>
      </c>
      <c r="B124" s="202"/>
      <c r="C124" s="139"/>
      <c r="D124" s="139"/>
      <c r="E124" s="139"/>
    </row>
    <row r="125" spans="1:5">
      <c r="A125" s="139" t="str">
        <f t="shared" si="0"/>
        <v/>
      </c>
      <c r="B125" s="202"/>
      <c r="C125" s="139"/>
      <c r="D125" s="139"/>
      <c r="E125" s="139"/>
    </row>
    <row r="126" spans="1:5">
      <c r="A126" s="139" t="str">
        <f t="shared" si="0"/>
        <v/>
      </c>
      <c r="B126" s="202"/>
      <c r="C126" s="139"/>
      <c r="D126" s="139"/>
      <c r="E126" s="139"/>
    </row>
    <row r="127" spans="1:5">
      <c r="A127" s="139" t="str">
        <f t="shared" si="0"/>
        <v/>
      </c>
      <c r="B127" s="202"/>
      <c r="C127" s="139"/>
      <c r="D127" s="139"/>
      <c r="E127" s="139"/>
    </row>
    <row r="128" spans="1:5">
      <c r="A128" s="139" t="str">
        <f t="shared" si="0"/>
        <v/>
      </c>
      <c r="B128" s="202"/>
      <c r="C128" s="139"/>
      <c r="D128" s="139"/>
      <c r="E128" s="139"/>
    </row>
    <row r="129" spans="1:5">
      <c r="A129" s="139" t="str">
        <f t="shared" si="0"/>
        <v/>
      </c>
      <c r="B129" s="202"/>
      <c r="C129" s="139"/>
      <c r="D129" s="139"/>
      <c r="E129" s="139"/>
    </row>
    <row r="130" spans="1:5">
      <c r="A130" s="139" t="str">
        <f t="shared" si="0"/>
        <v/>
      </c>
      <c r="B130" s="202"/>
      <c r="C130" s="139"/>
      <c r="D130" s="139"/>
      <c r="E130" s="139"/>
    </row>
    <row r="131" spans="1:5">
      <c r="A131" s="139" t="str">
        <f t="shared" si="0"/>
        <v/>
      </c>
      <c r="B131" s="202"/>
      <c r="C131" s="139"/>
      <c r="D131" s="139"/>
      <c r="E131" s="139"/>
    </row>
    <row r="132" spans="1:5">
      <c r="A132" s="139" t="str">
        <f t="shared" si="0"/>
        <v/>
      </c>
      <c r="B132" s="202"/>
      <c r="C132" s="139"/>
      <c r="D132" s="139"/>
      <c r="E132" s="139"/>
    </row>
    <row r="133" spans="1:5">
      <c r="A133" s="139" t="str">
        <f t="shared" si="0"/>
        <v/>
      </c>
      <c r="B133" s="202"/>
      <c r="C133" s="139"/>
      <c r="D133" s="139"/>
      <c r="E133" s="139"/>
    </row>
    <row r="134" spans="1:5">
      <c r="A134" s="139" t="str">
        <f t="shared" si="0"/>
        <v/>
      </c>
      <c r="B134" s="202"/>
      <c r="C134" s="139"/>
      <c r="D134" s="139"/>
      <c r="E134" s="139"/>
    </row>
    <row r="135" spans="1:5">
      <c r="A135" s="139" t="str">
        <f t="shared" si="0"/>
        <v/>
      </c>
      <c r="B135" s="202"/>
      <c r="C135" s="139"/>
      <c r="D135" s="139"/>
      <c r="E135" s="139"/>
    </row>
    <row r="136" spans="1:5">
      <c r="A136" s="139" t="str">
        <f t="shared" si="0"/>
        <v/>
      </c>
      <c r="B136" s="202"/>
      <c r="C136" s="139"/>
      <c r="D136" s="139"/>
      <c r="E136" s="139"/>
    </row>
    <row r="137" spans="1:5">
      <c r="A137" s="139" t="str">
        <f t="shared" si="0"/>
        <v/>
      </c>
      <c r="B137" s="202"/>
      <c r="C137" s="139"/>
      <c r="D137" s="139"/>
      <c r="E137" s="139"/>
    </row>
    <row r="138" spans="1:5">
      <c r="A138" s="139" t="str">
        <f t="shared" si="0"/>
        <v/>
      </c>
      <c r="B138" s="202"/>
      <c r="C138" s="139"/>
      <c r="D138" s="139"/>
      <c r="E138" s="139"/>
    </row>
    <row r="139" spans="1:5">
      <c r="A139" s="139" t="str">
        <f t="shared" si="0"/>
        <v/>
      </c>
      <c r="B139" s="202"/>
      <c r="C139" s="139"/>
      <c r="D139" s="139"/>
      <c r="E139" s="139"/>
    </row>
    <row r="140" spans="1:5">
      <c r="A140" s="139" t="str">
        <f t="shared" si="0"/>
        <v/>
      </c>
      <c r="B140" s="202"/>
      <c r="C140" s="139"/>
      <c r="D140" s="139"/>
      <c r="E140" s="139"/>
    </row>
    <row r="141" spans="1:5">
      <c r="A141" s="139" t="str">
        <f t="shared" si="0"/>
        <v/>
      </c>
      <c r="B141" s="202"/>
      <c r="C141" s="139"/>
      <c r="D141" s="139"/>
      <c r="E141" s="139"/>
    </row>
    <row r="142" spans="1:5">
      <c r="A142" s="139" t="str">
        <f t="shared" si="0"/>
        <v/>
      </c>
      <c r="B142" s="202"/>
      <c r="C142" s="139"/>
      <c r="D142" s="139"/>
      <c r="E142" s="139"/>
    </row>
    <row r="143" spans="1:5">
      <c r="A143" s="139" t="str">
        <f t="shared" si="0"/>
        <v/>
      </c>
      <c r="B143" s="202"/>
      <c r="C143" s="139"/>
      <c r="D143" s="139"/>
      <c r="E143" s="139"/>
    </row>
    <row r="144" spans="1:5">
      <c r="A144" s="139" t="str">
        <f t="shared" si="0"/>
        <v/>
      </c>
      <c r="B144" s="202"/>
      <c r="C144" s="139"/>
      <c r="D144" s="139"/>
      <c r="E144" s="139"/>
    </row>
    <row r="145" spans="1:5">
      <c r="A145" s="139" t="str">
        <f t="shared" si="0"/>
        <v/>
      </c>
      <c r="B145" s="202"/>
      <c r="C145" s="139"/>
      <c r="D145" s="139"/>
      <c r="E145" s="139"/>
    </row>
    <row r="146" spans="1:5">
      <c r="A146" s="139" t="str">
        <f t="shared" si="0"/>
        <v/>
      </c>
      <c r="B146" s="202"/>
      <c r="C146" s="139"/>
      <c r="D146" s="139"/>
      <c r="E146" s="139"/>
    </row>
    <row r="147" spans="1:5">
      <c r="A147" s="139" t="str">
        <f t="shared" si="0"/>
        <v/>
      </c>
      <c r="B147" s="202"/>
      <c r="C147" s="139"/>
      <c r="D147" s="139"/>
      <c r="E147" s="139"/>
    </row>
    <row r="148" spans="1:5">
      <c r="A148" s="139" t="str">
        <f t="shared" si="0"/>
        <v/>
      </c>
      <c r="B148" s="202"/>
      <c r="C148" s="139"/>
      <c r="D148" s="139"/>
      <c r="E148" s="139"/>
    </row>
    <row r="149" spans="1:5">
      <c r="A149" s="139" t="str">
        <f t="shared" si="0"/>
        <v/>
      </c>
      <c r="B149" s="202"/>
      <c r="C149" s="139"/>
      <c r="D149" s="139"/>
      <c r="E149" s="139"/>
    </row>
    <row r="150" spans="1:5">
      <c r="A150" s="139" t="str">
        <f t="shared" si="0"/>
        <v/>
      </c>
      <c r="B150" s="202"/>
      <c r="C150" s="139"/>
      <c r="D150" s="139"/>
      <c r="E150" s="139"/>
    </row>
    <row r="151" spans="1:5">
      <c r="A151" s="139" t="str">
        <f t="shared" si="0"/>
        <v/>
      </c>
      <c r="B151" s="202"/>
      <c r="C151" s="139"/>
      <c r="D151" s="139"/>
      <c r="E151" s="139"/>
    </row>
    <row r="152" spans="1:5">
      <c r="A152" s="139" t="str">
        <f t="shared" si="0"/>
        <v/>
      </c>
      <c r="B152" s="202"/>
      <c r="C152" s="139"/>
      <c r="D152" s="139"/>
      <c r="E152" s="139"/>
    </row>
    <row r="153" spans="1:5">
      <c r="A153" s="139" t="str">
        <f t="shared" si="0"/>
        <v/>
      </c>
      <c r="B153" s="202"/>
      <c r="C153" s="139"/>
      <c r="D153" s="139"/>
      <c r="E153" s="139"/>
    </row>
    <row r="154" spans="1:5">
      <c r="A154" s="139" t="str">
        <f t="shared" si="0"/>
        <v/>
      </c>
      <c r="B154" s="202"/>
      <c r="C154" s="139"/>
      <c r="D154" s="139"/>
      <c r="E154" s="139"/>
    </row>
    <row r="155" spans="1:5">
      <c r="A155" s="139" t="str">
        <f t="shared" si="0"/>
        <v/>
      </c>
      <c r="B155" s="202"/>
      <c r="C155" s="139"/>
      <c r="D155" s="139"/>
      <c r="E155" s="139"/>
    </row>
    <row r="156" spans="1:5">
      <c r="A156" s="139" t="str">
        <f t="shared" si="0"/>
        <v/>
      </c>
      <c r="B156" s="202"/>
      <c r="C156" s="139"/>
      <c r="D156" s="139"/>
      <c r="E156" s="139"/>
    </row>
    <row r="157" spans="1:5">
      <c r="A157" s="139" t="str">
        <f t="shared" si="0"/>
        <v/>
      </c>
      <c r="B157" s="202"/>
      <c r="C157" s="139"/>
      <c r="D157" s="139"/>
      <c r="E157" s="139"/>
    </row>
    <row r="158" spans="1:5">
      <c r="A158" s="139" t="str">
        <f t="shared" si="0"/>
        <v/>
      </c>
      <c r="B158" s="202"/>
      <c r="C158" s="139"/>
      <c r="D158" s="139"/>
      <c r="E158" s="139"/>
    </row>
    <row r="159" spans="1:5">
      <c r="A159" s="139" t="str">
        <f t="shared" si="0"/>
        <v/>
      </c>
      <c r="B159" s="202"/>
      <c r="C159" s="139"/>
      <c r="D159" s="139"/>
      <c r="E159" s="139"/>
    </row>
    <row r="160" spans="1:5">
      <c r="A160" s="139" t="str">
        <f t="shared" si="0"/>
        <v/>
      </c>
      <c r="B160" s="202"/>
      <c r="C160" s="139"/>
      <c r="D160" s="139"/>
      <c r="E160" s="139"/>
    </row>
    <row r="161" spans="1:5">
      <c r="A161" s="139" t="str">
        <f t="shared" si="0"/>
        <v/>
      </c>
      <c r="B161" s="202"/>
      <c r="C161" s="139"/>
      <c r="D161" s="139"/>
      <c r="E161" s="139"/>
    </row>
    <row r="162" spans="1:5">
      <c r="A162" s="139" t="str">
        <f t="shared" si="0"/>
        <v/>
      </c>
      <c r="B162" s="202"/>
      <c r="C162" s="139"/>
      <c r="D162" s="139"/>
      <c r="E162" s="139"/>
    </row>
    <row r="163" spans="1:5">
      <c r="A163" s="139" t="str">
        <f t="shared" si="0"/>
        <v/>
      </c>
      <c r="B163" s="202"/>
      <c r="C163" s="139"/>
      <c r="D163" s="139"/>
      <c r="E163" s="139"/>
    </row>
    <row r="164" spans="1:5">
      <c r="A164" s="139" t="str">
        <f t="shared" si="0"/>
        <v/>
      </c>
      <c r="B164" s="202"/>
      <c r="C164" s="139"/>
      <c r="D164" s="139"/>
      <c r="E164" s="139"/>
    </row>
    <row r="165" spans="1:5">
      <c r="A165" s="139" t="str">
        <f t="shared" si="0"/>
        <v/>
      </c>
      <c r="B165" s="202"/>
      <c r="C165" s="139"/>
      <c r="D165" s="139"/>
      <c r="E165" s="139"/>
    </row>
    <row r="166" spans="1:5">
      <c r="A166" s="139" t="str">
        <f t="shared" si="0"/>
        <v/>
      </c>
      <c r="B166" s="202"/>
      <c r="C166" s="139"/>
      <c r="D166" s="139"/>
      <c r="E166" s="139"/>
    </row>
    <row r="167" spans="1:5">
      <c r="A167" s="139" t="str">
        <f t="shared" si="0"/>
        <v/>
      </c>
      <c r="B167" s="202"/>
      <c r="C167" s="139"/>
      <c r="D167" s="139"/>
      <c r="E167" s="139"/>
    </row>
    <row r="168" spans="1:5">
      <c r="A168" s="139" t="str">
        <f t="shared" si="0"/>
        <v/>
      </c>
      <c r="B168" s="202"/>
      <c r="C168" s="139"/>
      <c r="D168" s="139"/>
      <c r="E168" s="139"/>
    </row>
    <row r="169" spans="1:5">
      <c r="A169" s="139" t="str">
        <f t="shared" si="0"/>
        <v/>
      </c>
      <c r="B169" s="202"/>
      <c r="C169" s="139"/>
      <c r="D169" s="139"/>
      <c r="E169" s="139"/>
    </row>
    <row r="170" spans="1:5">
      <c r="A170" s="139" t="str">
        <f t="shared" si="0"/>
        <v/>
      </c>
      <c r="B170" s="202"/>
      <c r="C170" s="139"/>
      <c r="D170" s="139"/>
      <c r="E170" s="139"/>
    </row>
    <row r="171" spans="1:5">
      <c r="A171" s="139" t="str">
        <f t="shared" si="0"/>
        <v/>
      </c>
      <c r="B171" s="202"/>
      <c r="C171" s="139"/>
      <c r="D171" s="139"/>
      <c r="E171" s="139"/>
    </row>
    <row r="172" spans="1:5">
      <c r="A172" s="139" t="str">
        <f t="shared" si="0"/>
        <v/>
      </c>
      <c r="B172" s="202"/>
      <c r="C172" s="139"/>
      <c r="D172" s="139"/>
      <c r="E172" s="139"/>
    </row>
    <row r="173" spans="1:5">
      <c r="A173" s="139" t="str">
        <f t="shared" si="0"/>
        <v/>
      </c>
      <c r="B173" s="202"/>
      <c r="C173" s="139"/>
      <c r="D173" s="139"/>
      <c r="E173" s="139"/>
    </row>
    <row r="174" spans="1:5">
      <c r="A174" s="139" t="str">
        <f t="shared" si="0"/>
        <v/>
      </c>
      <c r="B174" s="202"/>
      <c r="C174" s="139"/>
      <c r="D174" s="139"/>
      <c r="E174" s="139"/>
    </row>
    <row r="175" spans="1:5">
      <c r="A175" s="139" t="str">
        <f t="shared" si="0"/>
        <v/>
      </c>
      <c r="B175" s="202"/>
      <c r="C175" s="139"/>
      <c r="D175" s="139"/>
      <c r="E175" s="139"/>
    </row>
    <row r="176" spans="1:5">
      <c r="A176" s="139" t="str">
        <f t="shared" si="0"/>
        <v/>
      </c>
      <c r="B176" s="202"/>
      <c r="C176" s="139"/>
      <c r="D176" s="139"/>
      <c r="E176" s="139"/>
    </row>
    <row r="177" spans="1:5">
      <c r="A177" s="139" t="str">
        <f t="shared" si="0"/>
        <v/>
      </c>
      <c r="B177" s="202"/>
      <c r="C177" s="139"/>
      <c r="D177" s="139"/>
      <c r="E177" s="139"/>
    </row>
    <row r="178" spans="1:5">
      <c r="A178" s="139" t="str">
        <f t="shared" si="0"/>
        <v/>
      </c>
      <c r="B178" s="202"/>
      <c r="C178" s="139"/>
      <c r="D178" s="139"/>
      <c r="E178" s="139"/>
    </row>
    <row r="179" spans="1:5">
      <c r="A179" s="139" t="str">
        <f t="shared" si="0"/>
        <v/>
      </c>
      <c r="B179" s="202"/>
      <c r="C179" s="139"/>
      <c r="D179" s="139"/>
      <c r="E179" s="139"/>
    </row>
    <row r="180" spans="1:5">
      <c r="A180" s="139" t="str">
        <f t="shared" si="0"/>
        <v/>
      </c>
      <c r="B180" s="202"/>
      <c r="C180" s="139"/>
      <c r="D180" s="139"/>
      <c r="E180" s="139"/>
    </row>
    <row r="181" spans="1:5">
      <c r="A181" s="139" t="str">
        <f t="shared" si="0"/>
        <v/>
      </c>
      <c r="B181" s="202"/>
      <c r="C181" s="139"/>
      <c r="D181" s="139"/>
      <c r="E181" s="139"/>
    </row>
    <row r="182" spans="1:5">
      <c r="A182" s="139" t="str">
        <f t="shared" si="0"/>
        <v/>
      </c>
      <c r="B182" s="202"/>
      <c r="C182" s="139"/>
      <c r="D182" s="139"/>
      <c r="E182" s="139"/>
    </row>
    <row r="183" spans="1:5">
      <c r="A183" s="139" t="str">
        <f t="shared" si="0"/>
        <v/>
      </c>
      <c r="B183" s="202"/>
      <c r="C183" s="139"/>
      <c r="D183" s="139"/>
      <c r="E183" s="139"/>
    </row>
    <row r="184" spans="1:5">
      <c r="A184" s="139" t="str">
        <f t="shared" si="0"/>
        <v/>
      </c>
      <c r="B184" s="202"/>
      <c r="C184" s="139"/>
      <c r="D184" s="139"/>
      <c r="E184" s="139"/>
    </row>
    <row r="185" spans="1:5">
      <c r="A185" s="139" t="str">
        <f t="shared" si="0"/>
        <v/>
      </c>
      <c r="B185" s="202"/>
      <c r="C185" s="139"/>
      <c r="D185" s="139"/>
      <c r="E185" s="139"/>
    </row>
    <row r="186" spans="1:5">
      <c r="A186" s="139" t="str">
        <f t="shared" si="0"/>
        <v/>
      </c>
      <c r="B186" s="202"/>
      <c r="C186" s="139"/>
      <c r="D186" s="139"/>
      <c r="E186" s="139"/>
    </row>
    <row r="187" spans="1:5">
      <c r="A187" s="139" t="str">
        <f t="shared" si="0"/>
        <v/>
      </c>
      <c r="B187" s="202"/>
      <c r="C187" s="139"/>
      <c r="D187" s="139"/>
      <c r="E187" s="139"/>
    </row>
    <row r="188" spans="1:5">
      <c r="A188" s="139" t="str">
        <f t="shared" si="0"/>
        <v/>
      </c>
      <c r="B188" s="202"/>
      <c r="C188" s="139"/>
      <c r="D188" s="139"/>
      <c r="E188" s="139"/>
    </row>
    <row r="189" spans="1:5">
      <c r="A189" s="139" t="str">
        <f t="shared" si="0"/>
        <v/>
      </c>
      <c r="B189" s="202"/>
      <c r="C189" s="139"/>
      <c r="D189" s="139"/>
      <c r="E189" s="139"/>
    </row>
    <row r="190" spans="1:5">
      <c r="A190" s="139" t="str">
        <f t="shared" si="0"/>
        <v/>
      </c>
      <c r="B190" s="202"/>
      <c r="C190" s="139"/>
      <c r="D190" s="139"/>
      <c r="E190" s="139"/>
    </row>
    <row r="191" spans="1:5">
      <c r="A191" s="139" t="str">
        <f t="shared" si="0"/>
        <v/>
      </c>
      <c r="B191" s="202"/>
      <c r="C191" s="139"/>
      <c r="D191" s="139"/>
      <c r="E191" s="139"/>
    </row>
    <row r="192" spans="1:5">
      <c r="A192" s="139" t="str">
        <f t="shared" si="0"/>
        <v/>
      </c>
      <c r="B192" s="202"/>
      <c r="C192" s="139"/>
      <c r="D192" s="139"/>
      <c r="E192" s="139"/>
    </row>
    <row r="193" spans="1:5">
      <c r="A193" s="139" t="str">
        <f t="shared" si="0"/>
        <v/>
      </c>
      <c r="B193" s="202"/>
      <c r="C193" s="139"/>
      <c r="D193" s="139"/>
      <c r="E193" s="139"/>
    </row>
    <row r="194" spans="1:5">
      <c r="A194" s="139" t="str">
        <f t="shared" si="0"/>
        <v/>
      </c>
      <c r="B194" s="202"/>
      <c r="C194" s="139"/>
      <c r="D194" s="139"/>
      <c r="E194" s="139"/>
    </row>
    <row r="195" spans="1:5">
      <c r="A195" s="139" t="str">
        <f t="shared" si="0"/>
        <v/>
      </c>
      <c r="B195" s="202"/>
      <c r="C195" s="139"/>
      <c r="D195" s="139"/>
      <c r="E195" s="139"/>
    </row>
    <row r="196" spans="1:5">
      <c r="A196" s="139" t="str">
        <f t="shared" si="0"/>
        <v/>
      </c>
      <c r="B196" s="202"/>
      <c r="C196" s="139"/>
      <c r="D196" s="139"/>
      <c r="E196" s="139"/>
    </row>
    <row r="197" spans="1:5">
      <c r="A197" s="139" t="str">
        <f t="shared" si="0"/>
        <v/>
      </c>
      <c r="B197" s="202"/>
      <c r="C197" s="139"/>
      <c r="D197" s="139"/>
      <c r="E197" s="139"/>
    </row>
    <row r="198" spans="1:5">
      <c r="A198" s="139" t="str">
        <f t="shared" si="0"/>
        <v/>
      </c>
      <c r="B198" s="202"/>
      <c r="C198" s="139"/>
      <c r="D198" s="139"/>
      <c r="E198" s="139"/>
    </row>
    <row r="199" spans="1:5">
      <c r="A199" s="139" t="str">
        <f t="shared" si="0"/>
        <v/>
      </c>
      <c r="B199" s="202"/>
      <c r="C199" s="139"/>
      <c r="D199" s="139"/>
      <c r="E199" s="139"/>
    </row>
    <row r="200" spans="1:5">
      <c r="A200" s="139" t="str">
        <f t="shared" si="0"/>
        <v/>
      </c>
      <c r="B200" s="202"/>
      <c r="C200" s="139"/>
      <c r="D200" s="139"/>
      <c r="E200" s="139"/>
    </row>
    <row r="201" spans="1:5">
      <c r="A201" s="139" t="str">
        <f t="shared" si="0"/>
        <v/>
      </c>
      <c r="B201" s="202"/>
      <c r="C201" s="139"/>
      <c r="D201" s="139"/>
      <c r="E201" s="139"/>
    </row>
    <row r="202" spans="1:5">
      <c r="A202" s="139" t="str">
        <f t="shared" si="0"/>
        <v/>
      </c>
      <c r="B202" s="202"/>
      <c r="C202" s="139"/>
      <c r="D202" s="139"/>
      <c r="E202" s="139"/>
    </row>
    <row r="203" spans="1:5">
      <c r="A203" s="139" t="str">
        <f t="shared" si="0"/>
        <v/>
      </c>
      <c r="B203" s="202"/>
      <c r="C203" s="139"/>
      <c r="D203" s="139"/>
      <c r="E203" s="139"/>
    </row>
    <row r="204" spans="1:5">
      <c r="A204" s="139" t="str">
        <f t="shared" si="0"/>
        <v/>
      </c>
      <c r="B204" s="202"/>
      <c r="C204" s="139"/>
      <c r="D204" s="139"/>
      <c r="E204" s="139"/>
    </row>
    <row r="205" spans="1:5">
      <c r="A205" s="139" t="str">
        <f t="shared" si="0"/>
        <v/>
      </c>
      <c r="B205" s="202"/>
      <c r="C205" s="139"/>
      <c r="D205" s="139"/>
      <c r="E205" s="139"/>
    </row>
    <row r="206" spans="1:5">
      <c r="A206" s="139" t="str">
        <f t="shared" si="0"/>
        <v/>
      </c>
      <c r="B206" s="202"/>
      <c r="C206" s="139"/>
      <c r="D206" s="139"/>
      <c r="E206" s="139"/>
    </row>
    <row r="207" spans="1:5">
      <c r="A207" s="139" t="str">
        <f t="shared" si="0"/>
        <v/>
      </c>
      <c r="B207" s="202"/>
      <c r="C207" s="139"/>
      <c r="D207" s="139"/>
      <c r="E207" s="139"/>
    </row>
    <row r="208" spans="1:5">
      <c r="A208" s="139" t="str">
        <f t="shared" si="0"/>
        <v/>
      </c>
      <c r="B208" s="202"/>
      <c r="C208" s="139"/>
      <c r="D208" s="139"/>
      <c r="E208" s="139"/>
    </row>
    <row r="209" spans="1:5">
      <c r="A209" s="139" t="str">
        <f t="shared" si="0"/>
        <v/>
      </c>
      <c r="B209" s="202"/>
      <c r="C209" s="139"/>
      <c r="D209" s="139"/>
      <c r="E209" s="139"/>
    </row>
    <row r="210" spans="1:5">
      <c r="A210" s="139" t="str">
        <f t="shared" si="0"/>
        <v/>
      </c>
      <c r="B210" s="202"/>
      <c r="C210" s="139"/>
      <c r="D210" s="139"/>
      <c r="E210" s="139"/>
    </row>
    <row r="211" spans="1:5">
      <c r="A211" s="139" t="str">
        <f t="shared" si="0"/>
        <v/>
      </c>
      <c r="B211" s="202"/>
      <c r="C211" s="139"/>
      <c r="D211" s="139"/>
      <c r="E211" s="139"/>
    </row>
    <row r="212" spans="1:5">
      <c r="A212" s="139" t="str">
        <f t="shared" si="0"/>
        <v/>
      </c>
      <c r="B212" s="202"/>
      <c r="C212" s="139"/>
      <c r="D212" s="139"/>
      <c r="E212" s="139"/>
    </row>
    <row r="213" spans="1:5">
      <c r="A213" s="139" t="str">
        <f t="shared" si="0"/>
        <v/>
      </c>
      <c r="B213" s="202"/>
      <c r="C213" s="139"/>
      <c r="D213" s="139"/>
      <c r="E213" s="139"/>
    </row>
    <row r="214" spans="1:5">
      <c r="A214" s="139" t="str">
        <f t="shared" si="0"/>
        <v/>
      </c>
      <c r="B214" s="202"/>
      <c r="C214" s="139"/>
      <c r="D214" s="139"/>
      <c r="E214" s="139"/>
    </row>
    <row r="215" spans="1:5">
      <c r="A215" s="139" t="str">
        <f t="shared" si="0"/>
        <v/>
      </c>
      <c r="B215" s="202"/>
      <c r="C215" s="139"/>
      <c r="D215" s="139"/>
      <c r="E215" s="139"/>
    </row>
    <row r="216" spans="1:5">
      <c r="A216" s="139" t="str">
        <f t="shared" si="0"/>
        <v/>
      </c>
      <c r="B216" s="202"/>
      <c r="C216" s="139"/>
      <c r="D216" s="139"/>
      <c r="E216" s="139"/>
    </row>
    <row r="217" spans="1:5">
      <c r="A217" s="139" t="str">
        <f t="shared" si="0"/>
        <v/>
      </c>
      <c r="B217" s="202"/>
      <c r="C217" s="139"/>
      <c r="D217" s="139"/>
      <c r="E217" s="139"/>
    </row>
    <row r="218" spans="1:5">
      <c r="A218" s="139" t="str">
        <f t="shared" si="0"/>
        <v/>
      </c>
      <c r="B218" s="202"/>
      <c r="C218" s="139"/>
      <c r="D218" s="139"/>
      <c r="E218" s="139"/>
    </row>
    <row r="219" spans="1:5">
      <c r="A219" s="139" t="str">
        <f t="shared" si="0"/>
        <v/>
      </c>
      <c r="B219" s="202"/>
      <c r="C219" s="139"/>
      <c r="D219" s="139"/>
      <c r="E219" s="139"/>
    </row>
    <row r="220" spans="1:5">
      <c r="A220" s="139" t="str">
        <f t="shared" si="0"/>
        <v/>
      </c>
      <c r="B220" s="202"/>
      <c r="C220" s="139"/>
      <c r="D220" s="139"/>
      <c r="E220" s="139"/>
    </row>
    <row r="221" spans="1:5">
      <c r="A221" s="139" t="str">
        <f t="shared" si="0"/>
        <v/>
      </c>
      <c r="B221" s="202"/>
      <c r="C221" s="139"/>
      <c r="D221" s="139"/>
      <c r="E221" s="139"/>
    </row>
    <row r="222" spans="1:5">
      <c r="A222" s="139" t="str">
        <f t="shared" si="0"/>
        <v/>
      </c>
      <c r="B222" s="202"/>
      <c r="C222" s="139"/>
      <c r="D222" s="139"/>
      <c r="E222" s="139"/>
    </row>
    <row r="223" spans="1:5">
      <c r="A223" s="139" t="str">
        <f t="shared" si="0"/>
        <v/>
      </c>
      <c r="B223" s="202"/>
      <c r="C223" s="139"/>
      <c r="D223" s="139"/>
      <c r="E223" s="139"/>
    </row>
    <row r="224" spans="1:5">
      <c r="A224" s="139" t="str">
        <f t="shared" si="0"/>
        <v/>
      </c>
      <c r="B224" s="202"/>
      <c r="C224" s="139"/>
      <c r="D224" s="139"/>
      <c r="E224" s="139"/>
    </row>
    <row r="225" spans="1:5">
      <c r="A225" s="139" t="str">
        <f t="shared" si="0"/>
        <v/>
      </c>
      <c r="B225" s="202"/>
      <c r="C225" s="139"/>
      <c r="D225" s="139"/>
      <c r="E225" s="139"/>
    </row>
    <row r="226" spans="1:5">
      <c r="A226" s="139" t="str">
        <f t="shared" si="0"/>
        <v/>
      </c>
      <c r="B226" s="202"/>
      <c r="C226" s="139"/>
      <c r="D226" s="139"/>
      <c r="E226" s="139"/>
    </row>
    <row r="227" spans="1:5">
      <c r="A227" s="139" t="str">
        <f t="shared" si="0"/>
        <v/>
      </c>
      <c r="B227" s="202"/>
      <c r="C227" s="139"/>
      <c r="D227" s="139"/>
      <c r="E227" s="139"/>
    </row>
    <row r="228" spans="1:5">
      <c r="A228" s="139" t="str">
        <f t="shared" si="0"/>
        <v/>
      </c>
      <c r="B228" s="202"/>
      <c r="C228" s="139"/>
      <c r="D228" s="139"/>
      <c r="E228" s="139"/>
    </row>
    <row r="229" spans="1:5">
      <c r="A229" s="139" t="str">
        <f t="shared" si="0"/>
        <v/>
      </c>
      <c r="B229" s="202"/>
      <c r="C229" s="139"/>
      <c r="D229" s="139"/>
      <c r="E229" s="139"/>
    </row>
    <row r="230" spans="1:5">
      <c r="A230" s="139" t="str">
        <f t="shared" si="0"/>
        <v/>
      </c>
      <c r="B230" s="202"/>
      <c r="C230" s="139"/>
      <c r="D230" s="139"/>
      <c r="E230" s="139"/>
    </row>
    <row r="231" spans="1:5">
      <c r="A231" s="139" t="str">
        <f t="shared" si="0"/>
        <v/>
      </c>
      <c r="B231" s="202"/>
      <c r="C231" s="139"/>
      <c r="D231" s="139"/>
      <c r="E231" s="139"/>
    </row>
    <row r="232" spans="1:5">
      <c r="A232" s="139" t="str">
        <f t="shared" si="0"/>
        <v/>
      </c>
      <c r="B232" s="202"/>
      <c r="C232" s="139"/>
      <c r="D232" s="139"/>
      <c r="E232" s="139"/>
    </row>
    <row r="233" spans="1:5">
      <c r="A233" s="139" t="str">
        <f t="shared" si="0"/>
        <v/>
      </c>
      <c r="B233" s="202"/>
      <c r="C233" s="139"/>
      <c r="D233" s="139"/>
      <c r="E233" s="139"/>
    </row>
    <row r="234" spans="1:5">
      <c r="A234" s="139" t="str">
        <f t="shared" si="0"/>
        <v/>
      </c>
      <c r="B234" s="202"/>
      <c r="C234" s="139"/>
      <c r="D234" s="139"/>
      <c r="E234" s="139"/>
    </row>
    <row r="235" spans="1:5">
      <c r="A235" s="139" t="str">
        <f t="shared" si="0"/>
        <v/>
      </c>
      <c r="B235" s="202"/>
      <c r="C235" s="139"/>
      <c r="D235" s="139"/>
      <c r="E235" s="139"/>
    </row>
    <row r="236" spans="1:5">
      <c r="A236" s="139" t="str">
        <f t="shared" si="0"/>
        <v/>
      </c>
      <c r="B236" s="202"/>
      <c r="C236" s="139"/>
      <c r="D236" s="139"/>
      <c r="E236" s="139"/>
    </row>
    <row r="237" spans="1:5">
      <c r="A237" s="139" t="str">
        <f t="shared" si="0"/>
        <v/>
      </c>
      <c r="B237" s="202"/>
      <c r="C237" s="139"/>
      <c r="D237" s="139"/>
      <c r="E237" s="139"/>
    </row>
    <row r="238" spans="1:5">
      <c r="A238" s="139" t="str">
        <f t="shared" si="0"/>
        <v/>
      </c>
      <c r="B238" s="202"/>
      <c r="C238" s="139"/>
      <c r="D238" s="139"/>
      <c r="E238" s="139"/>
    </row>
    <row r="239" spans="1:5">
      <c r="A239" s="139" t="str">
        <f t="shared" si="0"/>
        <v/>
      </c>
      <c r="B239" s="202"/>
      <c r="C239" s="139"/>
      <c r="D239" s="139"/>
      <c r="E239" s="139"/>
    </row>
    <row r="240" spans="1:5">
      <c r="A240" s="139" t="str">
        <f t="shared" si="0"/>
        <v/>
      </c>
      <c r="B240" s="202"/>
      <c r="C240" s="139"/>
      <c r="D240" s="139"/>
      <c r="E240" s="139"/>
    </row>
    <row r="241" spans="1:5">
      <c r="A241" s="139" t="str">
        <f t="shared" si="0"/>
        <v/>
      </c>
      <c r="B241" s="202"/>
      <c r="C241" s="139"/>
      <c r="D241" s="139"/>
      <c r="E241" s="139"/>
    </row>
    <row r="242" spans="1:5">
      <c r="A242" s="139" t="str">
        <f t="shared" si="0"/>
        <v/>
      </c>
      <c r="B242" s="202"/>
      <c r="C242" s="139"/>
      <c r="D242" s="139"/>
      <c r="E242" s="139"/>
    </row>
    <row r="243" spans="1:5">
      <c r="A243" s="139" t="str">
        <f t="shared" si="0"/>
        <v/>
      </c>
      <c r="B243" s="202"/>
      <c r="C243" s="139"/>
      <c r="D243" s="139"/>
      <c r="E243" s="139"/>
    </row>
    <row r="244" spans="1:5">
      <c r="A244" s="139" t="str">
        <f t="shared" si="0"/>
        <v/>
      </c>
      <c r="B244" s="202"/>
      <c r="C244" s="139"/>
      <c r="D244" s="139"/>
      <c r="E244" s="139"/>
    </row>
    <row r="245" spans="1:5">
      <c r="A245" s="139" t="str">
        <f t="shared" si="0"/>
        <v/>
      </c>
      <c r="B245" s="202"/>
      <c r="C245" s="139"/>
      <c r="D245" s="139"/>
      <c r="E245" s="139"/>
    </row>
    <row r="246" spans="1:5">
      <c r="A246" s="139" t="str">
        <f t="shared" si="0"/>
        <v/>
      </c>
      <c r="B246" s="202"/>
      <c r="C246" s="139"/>
      <c r="D246" s="139"/>
      <c r="E246" s="139"/>
    </row>
    <row r="247" spans="1:5">
      <c r="A247" s="139" t="str">
        <f t="shared" si="0"/>
        <v/>
      </c>
      <c r="B247" s="202"/>
      <c r="C247" s="139"/>
      <c r="D247" s="139"/>
      <c r="E247" s="139"/>
    </row>
    <row r="248" spans="1:5">
      <c r="A248" s="139" t="str">
        <f t="shared" si="0"/>
        <v/>
      </c>
      <c r="B248" s="202"/>
      <c r="C248" s="139"/>
      <c r="D248" s="139"/>
      <c r="E248" s="139"/>
    </row>
    <row r="249" spans="1:5">
      <c r="A249" s="139" t="str">
        <f t="shared" si="0"/>
        <v/>
      </c>
      <c r="B249" s="202"/>
      <c r="C249" s="139"/>
      <c r="D249" s="139"/>
      <c r="E249" s="139"/>
    </row>
    <row r="250" spans="1:5">
      <c r="A250" s="139" t="str">
        <f t="shared" si="0"/>
        <v/>
      </c>
      <c r="B250" s="202"/>
      <c r="C250" s="139"/>
      <c r="D250" s="139"/>
      <c r="E250" s="139"/>
    </row>
    <row r="251" spans="1:5">
      <c r="A251" s="139" t="str">
        <f t="shared" si="0"/>
        <v/>
      </c>
      <c r="B251" s="202"/>
      <c r="C251" s="139"/>
      <c r="D251" s="139"/>
      <c r="E251" s="139"/>
    </row>
    <row r="252" spans="1:5">
      <c r="A252" s="139" t="str">
        <f t="shared" si="0"/>
        <v/>
      </c>
      <c r="B252" s="202"/>
      <c r="C252" s="139"/>
      <c r="D252" s="139"/>
      <c r="E252" s="139"/>
    </row>
    <row r="253" spans="1:5">
      <c r="A253" s="139" t="str">
        <f t="shared" si="0"/>
        <v/>
      </c>
      <c r="B253" s="202"/>
      <c r="C253" s="139"/>
      <c r="D253" s="139"/>
      <c r="E253" s="139"/>
    </row>
    <row r="254" spans="1:5">
      <c r="A254" s="139" t="str">
        <f t="shared" si="0"/>
        <v/>
      </c>
      <c r="B254" s="202"/>
      <c r="C254" s="139"/>
      <c r="D254" s="139"/>
      <c r="E254" s="139"/>
    </row>
    <row r="255" spans="1:5">
      <c r="A255" s="139" t="str">
        <f t="shared" si="0"/>
        <v/>
      </c>
      <c r="B255" s="202"/>
      <c r="C255" s="139"/>
      <c r="D255" s="139"/>
      <c r="E255" s="139"/>
    </row>
    <row r="256" spans="1:5">
      <c r="A256" s="139" t="str">
        <f t="shared" si="0"/>
        <v/>
      </c>
      <c r="B256" s="202"/>
      <c r="C256" s="139"/>
      <c r="D256" s="139"/>
      <c r="E256" s="139"/>
    </row>
    <row r="257" spans="1:5">
      <c r="A257" s="139" t="str">
        <f t="shared" si="0"/>
        <v/>
      </c>
      <c r="B257" s="202"/>
      <c r="C257" s="139"/>
      <c r="D257" s="139"/>
      <c r="E257" s="139"/>
    </row>
    <row r="258" spans="1:5">
      <c r="A258" s="139" t="str">
        <f t="shared" si="0"/>
        <v/>
      </c>
      <c r="B258" s="202"/>
      <c r="C258" s="139"/>
      <c r="D258" s="139"/>
      <c r="E258" s="139"/>
    </row>
    <row r="259" spans="1:5">
      <c r="A259" s="139" t="str">
        <f t="shared" si="0"/>
        <v/>
      </c>
      <c r="B259" s="202"/>
      <c r="C259" s="139"/>
      <c r="D259" s="139"/>
      <c r="E259" s="139"/>
    </row>
    <row r="260" spans="1:5">
      <c r="A260" s="139" t="str">
        <f t="shared" ref="A260:A514" si="1">IF(B260="","",ROW()-4)</f>
        <v/>
      </c>
      <c r="B260" s="202"/>
      <c r="C260" s="139"/>
      <c r="D260" s="139"/>
      <c r="E260" s="139"/>
    </row>
    <row r="261" spans="1:5">
      <c r="A261" s="139" t="str">
        <f t="shared" si="1"/>
        <v/>
      </c>
      <c r="B261" s="202"/>
      <c r="C261" s="139"/>
      <c r="D261" s="139"/>
      <c r="E261" s="139"/>
    </row>
    <row r="262" spans="1:5">
      <c r="A262" s="139" t="str">
        <f t="shared" si="1"/>
        <v/>
      </c>
      <c r="B262" s="202"/>
      <c r="C262" s="139"/>
      <c r="D262" s="139"/>
      <c r="E262" s="139"/>
    </row>
    <row r="263" spans="1:5">
      <c r="A263" s="139" t="str">
        <f t="shared" si="1"/>
        <v/>
      </c>
      <c r="B263" s="202"/>
      <c r="C263" s="139"/>
      <c r="D263" s="139"/>
      <c r="E263" s="139"/>
    </row>
    <row r="264" spans="1:5">
      <c r="A264" s="139" t="str">
        <f t="shared" si="1"/>
        <v/>
      </c>
      <c r="B264" s="202"/>
      <c r="C264" s="139"/>
      <c r="D264" s="139"/>
      <c r="E264" s="139"/>
    </row>
    <row r="265" spans="1:5">
      <c r="A265" s="139" t="str">
        <f t="shared" si="1"/>
        <v/>
      </c>
      <c r="B265" s="202"/>
      <c r="C265" s="139"/>
      <c r="D265" s="139"/>
      <c r="E265" s="139"/>
    </row>
    <row r="266" spans="1:5">
      <c r="A266" s="139" t="str">
        <f t="shared" si="1"/>
        <v/>
      </c>
      <c r="B266" s="202"/>
      <c r="C266" s="139"/>
      <c r="D266" s="139"/>
      <c r="E266" s="139"/>
    </row>
    <row r="267" spans="1:5">
      <c r="A267" s="139" t="str">
        <f t="shared" si="1"/>
        <v/>
      </c>
      <c r="B267" s="202"/>
      <c r="C267" s="139"/>
      <c r="D267" s="139"/>
      <c r="E267" s="139"/>
    </row>
    <row r="268" spans="1:5">
      <c r="A268" s="139" t="str">
        <f t="shared" si="1"/>
        <v/>
      </c>
      <c r="B268" s="202"/>
      <c r="C268" s="139"/>
      <c r="D268" s="139"/>
      <c r="E268" s="139"/>
    </row>
    <row r="269" spans="1:5">
      <c r="A269" s="139" t="str">
        <f t="shared" si="1"/>
        <v/>
      </c>
      <c r="B269" s="202"/>
      <c r="C269" s="139"/>
      <c r="D269" s="139"/>
      <c r="E269" s="139"/>
    </row>
    <row r="270" spans="1:5">
      <c r="A270" s="139" t="str">
        <f t="shared" si="1"/>
        <v/>
      </c>
      <c r="B270" s="202"/>
      <c r="C270" s="139"/>
      <c r="D270" s="139"/>
      <c r="E270" s="139"/>
    </row>
    <row r="271" spans="1:5">
      <c r="A271" s="139" t="str">
        <f t="shared" si="1"/>
        <v/>
      </c>
      <c r="B271" s="202"/>
      <c r="C271" s="139"/>
      <c r="D271" s="139"/>
      <c r="E271" s="139"/>
    </row>
    <row r="272" spans="1:5">
      <c r="A272" s="139" t="str">
        <f t="shared" si="1"/>
        <v/>
      </c>
      <c r="B272" s="202"/>
      <c r="C272" s="139"/>
      <c r="D272" s="139"/>
      <c r="E272" s="139"/>
    </row>
    <row r="273" spans="1:5">
      <c r="A273" s="139" t="str">
        <f t="shared" si="1"/>
        <v/>
      </c>
      <c r="B273" s="202"/>
      <c r="C273" s="139"/>
      <c r="D273" s="139"/>
      <c r="E273" s="139"/>
    </row>
    <row r="274" spans="1:5">
      <c r="A274" s="139" t="str">
        <f t="shared" si="1"/>
        <v/>
      </c>
      <c r="B274" s="202"/>
      <c r="C274" s="139"/>
      <c r="D274" s="139"/>
      <c r="E274" s="139"/>
    </row>
    <row r="275" spans="1:5">
      <c r="A275" s="139" t="str">
        <f t="shared" si="1"/>
        <v/>
      </c>
      <c r="B275" s="202"/>
      <c r="C275" s="139"/>
      <c r="D275" s="139"/>
      <c r="E275" s="139"/>
    </row>
    <row r="276" spans="1:5">
      <c r="A276" s="139" t="str">
        <f t="shared" si="1"/>
        <v/>
      </c>
      <c r="B276" s="202"/>
      <c r="C276" s="139"/>
      <c r="D276" s="139"/>
      <c r="E276" s="139"/>
    </row>
    <row r="277" spans="1:5">
      <c r="A277" s="139" t="str">
        <f t="shared" si="1"/>
        <v/>
      </c>
      <c r="B277" s="202"/>
      <c r="C277" s="139"/>
      <c r="D277" s="139"/>
      <c r="E277" s="139"/>
    </row>
    <row r="278" spans="1:5">
      <c r="A278" s="139" t="str">
        <f t="shared" si="1"/>
        <v/>
      </c>
      <c r="B278" s="202"/>
      <c r="C278" s="139"/>
      <c r="D278" s="139"/>
      <c r="E278" s="139"/>
    </row>
    <row r="279" spans="1:5">
      <c r="A279" s="139" t="str">
        <f t="shared" si="1"/>
        <v/>
      </c>
      <c r="B279" s="202"/>
      <c r="C279" s="139"/>
      <c r="D279" s="139"/>
      <c r="E279" s="139"/>
    </row>
    <row r="280" spans="1:5">
      <c r="A280" s="139" t="str">
        <f t="shared" si="1"/>
        <v/>
      </c>
      <c r="B280" s="202"/>
      <c r="C280" s="139"/>
      <c r="D280" s="139"/>
      <c r="E280" s="139"/>
    </row>
    <row r="281" spans="1:5">
      <c r="A281" s="139" t="str">
        <f t="shared" si="1"/>
        <v/>
      </c>
      <c r="B281" s="202"/>
      <c r="C281" s="139"/>
      <c r="D281" s="139"/>
      <c r="E281" s="139"/>
    </row>
    <row r="282" spans="1:5">
      <c r="A282" s="139" t="str">
        <f t="shared" si="1"/>
        <v/>
      </c>
      <c r="B282" s="202"/>
      <c r="C282" s="139"/>
      <c r="D282" s="139"/>
      <c r="E282" s="139"/>
    </row>
    <row r="283" spans="1:5">
      <c r="A283" s="139" t="str">
        <f t="shared" si="1"/>
        <v/>
      </c>
      <c r="B283" s="202"/>
      <c r="C283" s="139"/>
      <c r="D283" s="139"/>
      <c r="E283" s="139"/>
    </row>
    <row r="284" spans="1:5">
      <c r="A284" s="139" t="str">
        <f t="shared" si="1"/>
        <v/>
      </c>
      <c r="B284" s="202"/>
      <c r="C284" s="139"/>
      <c r="D284" s="139"/>
      <c r="E284" s="139"/>
    </row>
    <row r="285" spans="1:5">
      <c r="A285" s="139" t="str">
        <f t="shared" si="1"/>
        <v/>
      </c>
      <c r="B285" s="202"/>
      <c r="C285" s="139"/>
      <c r="D285" s="139"/>
      <c r="E285" s="139"/>
    </row>
    <row r="286" spans="1:5">
      <c r="A286" s="139" t="str">
        <f t="shared" si="1"/>
        <v/>
      </c>
      <c r="B286" s="202"/>
      <c r="C286" s="139"/>
      <c r="D286" s="139"/>
      <c r="E286" s="139"/>
    </row>
    <row r="287" spans="1:5">
      <c r="A287" s="139" t="str">
        <f t="shared" si="1"/>
        <v/>
      </c>
      <c r="B287" s="202"/>
      <c r="C287" s="139"/>
      <c r="D287" s="139"/>
      <c r="E287" s="139"/>
    </row>
    <row r="288" spans="1:5">
      <c r="A288" s="139" t="str">
        <f t="shared" si="1"/>
        <v/>
      </c>
      <c r="B288" s="202"/>
      <c r="C288" s="139"/>
      <c r="D288" s="139"/>
      <c r="E288" s="139"/>
    </row>
    <row r="289" spans="1:5">
      <c r="A289" s="139" t="str">
        <f t="shared" si="1"/>
        <v/>
      </c>
      <c r="B289" s="202"/>
      <c r="C289" s="139"/>
      <c r="D289" s="139"/>
      <c r="E289" s="139"/>
    </row>
    <row r="290" spans="1:5">
      <c r="A290" s="139" t="str">
        <f t="shared" si="1"/>
        <v/>
      </c>
      <c r="B290" s="202"/>
      <c r="C290" s="139"/>
      <c r="D290" s="139"/>
      <c r="E290" s="139"/>
    </row>
    <row r="291" spans="1:5">
      <c r="A291" s="139" t="str">
        <f t="shared" si="1"/>
        <v/>
      </c>
      <c r="B291" s="202"/>
      <c r="C291" s="139"/>
      <c r="D291" s="139"/>
      <c r="E291" s="139"/>
    </row>
    <row r="292" spans="1:5">
      <c r="A292" s="139" t="str">
        <f t="shared" si="1"/>
        <v/>
      </c>
      <c r="B292" s="202"/>
      <c r="C292" s="139"/>
      <c r="D292" s="139"/>
      <c r="E292" s="139"/>
    </row>
    <row r="293" spans="1:5">
      <c r="A293" s="139" t="str">
        <f t="shared" si="1"/>
        <v/>
      </c>
      <c r="B293" s="202"/>
      <c r="C293" s="139"/>
      <c r="D293" s="139"/>
      <c r="E293" s="139"/>
    </row>
    <row r="294" spans="1:5">
      <c r="A294" s="139" t="str">
        <f t="shared" si="1"/>
        <v/>
      </c>
      <c r="B294" s="202"/>
      <c r="C294" s="139"/>
      <c r="D294" s="139"/>
      <c r="E294" s="139"/>
    </row>
    <row r="295" spans="1:5">
      <c r="A295" s="139" t="str">
        <f t="shared" si="1"/>
        <v/>
      </c>
      <c r="B295" s="202"/>
      <c r="C295" s="139"/>
      <c r="D295" s="139"/>
      <c r="E295" s="139"/>
    </row>
    <row r="296" spans="1:5">
      <c r="A296" s="139" t="str">
        <f t="shared" si="1"/>
        <v/>
      </c>
      <c r="B296" s="202"/>
      <c r="C296" s="139"/>
      <c r="D296" s="139"/>
      <c r="E296" s="139"/>
    </row>
    <row r="297" spans="1:5">
      <c r="A297" s="139" t="str">
        <f t="shared" si="1"/>
        <v/>
      </c>
      <c r="B297" s="202"/>
      <c r="C297" s="139"/>
      <c r="D297" s="139"/>
      <c r="E297" s="139"/>
    </row>
    <row r="298" spans="1:5">
      <c r="A298" s="139" t="str">
        <f t="shared" si="1"/>
        <v/>
      </c>
      <c r="B298" s="202"/>
      <c r="C298" s="139"/>
      <c r="D298" s="139"/>
      <c r="E298" s="139"/>
    </row>
    <row r="299" spans="1:5">
      <c r="A299" s="139" t="str">
        <f t="shared" si="1"/>
        <v/>
      </c>
      <c r="B299" s="202"/>
      <c r="C299" s="139"/>
      <c r="D299" s="139"/>
      <c r="E299" s="139"/>
    </row>
    <row r="300" spans="1:5">
      <c r="A300" s="139" t="str">
        <f t="shared" si="1"/>
        <v/>
      </c>
      <c r="B300" s="202"/>
      <c r="C300" s="139"/>
      <c r="D300" s="139"/>
      <c r="E300" s="139"/>
    </row>
    <row r="301" spans="1:5">
      <c r="A301" s="139" t="str">
        <f t="shared" si="1"/>
        <v/>
      </c>
      <c r="B301" s="202"/>
      <c r="C301" s="139"/>
      <c r="D301" s="139"/>
      <c r="E301" s="139"/>
    </row>
    <row r="302" spans="1:5">
      <c r="A302" s="139" t="str">
        <f t="shared" si="1"/>
        <v/>
      </c>
      <c r="B302" s="202"/>
      <c r="C302" s="139"/>
      <c r="D302" s="139"/>
      <c r="E302" s="139"/>
    </row>
    <row r="303" spans="1:5">
      <c r="A303" s="139" t="str">
        <f t="shared" si="1"/>
        <v/>
      </c>
      <c r="B303" s="202"/>
      <c r="C303" s="139"/>
      <c r="D303" s="139"/>
      <c r="E303" s="139"/>
    </row>
    <row r="304" spans="1:5">
      <c r="A304" s="139" t="str">
        <f t="shared" si="1"/>
        <v/>
      </c>
      <c r="B304" s="202"/>
      <c r="C304" s="139"/>
      <c r="D304" s="139"/>
      <c r="E304" s="139"/>
    </row>
    <row r="305" spans="1:5">
      <c r="A305" s="139" t="str">
        <f t="shared" si="1"/>
        <v/>
      </c>
      <c r="B305" s="202"/>
      <c r="C305" s="139"/>
      <c r="D305" s="139"/>
      <c r="E305" s="139"/>
    </row>
    <row r="306" spans="1:5">
      <c r="A306" s="139" t="str">
        <f t="shared" si="1"/>
        <v/>
      </c>
      <c r="B306" s="202"/>
      <c r="C306" s="139"/>
      <c r="D306" s="139"/>
      <c r="E306" s="139"/>
    </row>
    <row r="307" spans="1:5">
      <c r="A307" s="139" t="str">
        <f t="shared" si="1"/>
        <v/>
      </c>
      <c r="B307" s="202"/>
      <c r="C307" s="139"/>
      <c r="D307" s="139"/>
      <c r="E307" s="139"/>
    </row>
    <row r="308" spans="1:5">
      <c r="A308" s="139" t="str">
        <f t="shared" si="1"/>
        <v/>
      </c>
      <c r="B308" s="202"/>
      <c r="C308" s="139"/>
      <c r="D308" s="139"/>
      <c r="E308" s="139"/>
    </row>
    <row r="309" spans="1:5">
      <c r="A309" s="139" t="str">
        <f t="shared" si="1"/>
        <v/>
      </c>
      <c r="B309" s="202"/>
      <c r="C309" s="139"/>
      <c r="D309" s="139"/>
      <c r="E309" s="139"/>
    </row>
    <row r="310" spans="1:5">
      <c r="A310" s="139" t="str">
        <f t="shared" si="1"/>
        <v/>
      </c>
      <c r="B310" s="202"/>
      <c r="C310" s="139"/>
      <c r="D310" s="139"/>
      <c r="E310" s="139"/>
    </row>
    <row r="311" spans="1:5">
      <c r="A311" s="139" t="str">
        <f t="shared" si="1"/>
        <v/>
      </c>
      <c r="B311" s="202"/>
      <c r="C311" s="139"/>
      <c r="D311" s="139"/>
      <c r="E311" s="139"/>
    </row>
    <row r="312" spans="1:5">
      <c r="A312" s="139" t="str">
        <f t="shared" si="1"/>
        <v/>
      </c>
      <c r="B312" s="202"/>
      <c r="C312" s="139"/>
      <c r="D312" s="139"/>
      <c r="E312" s="139"/>
    </row>
    <row r="313" spans="1:5">
      <c r="A313" s="139" t="str">
        <f t="shared" si="1"/>
        <v/>
      </c>
      <c r="B313" s="202"/>
      <c r="C313" s="139"/>
      <c r="D313" s="139"/>
      <c r="E313" s="139"/>
    </row>
    <row r="314" spans="1:5">
      <c r="A314" s="139" t="str">
        <f t="shared" si="1"/>
        <v/>
      </c>
      <c r="B314" s="202"/>
      <c r="C314" s="139"/>
      <c r="D314" s="139"/>
      <c r="E314" s="139"/>
    </row>
    <row r="315" spans="1:5">
      <c r="A315" s="139" t="str">
        <f t="shared" si="1"/>
        <v/>
      </c>
      <c r="B315" s="202"/>
      <c r="C315" s="139"/>
      <c r="D315" s="139"/>
      <c r="E315" s="139"/>
    </row>
    <row r="316" spans="1:5">
      <c r="A316" s="139" t="str">
        <f t="shared" si="1"/>
        <v/>
      </c>
      <c r="B316" s="202"/>
      <c r="C316" s="139"/>
      <c r="D316" s="139"/>
      <c r="E316" s="139"/>
    </row>
    <row r="317" spans="1:5">
      <c r="A317" s="139" t="str">
        <f t="shared" si="1"/>
        <v/>
      </c>
      <c r="B317" s="202"/>
      <c r="C317" s="139"/>
      <c r="D317" s="139"/>
      <c r="E317" s="139"/>
    </row>
    <row r="318" spans="1:5">
      <c r="A318" s="139" t="str">
        <f t="shared" si="1"/>
        <v/>
      </c>
      <c r="B318" s="202"/>
      <c r="C318" s="139"/>
      <c r="D318" s="139"/>
      <c r="E318" s="139"/>
    </row>
    <row r="319" spans="1:5">
      <c r="A319" s="139" t="str">
        <f t="shared" si="1"/>
        <v/>
      </c>
      <c r="B319" s="202"/>
      <c r="C319" s="139"/>
      <c r="D319" s="139"/>
      <c r="E319" s="139"/>
    </row>
    <row r="320" spans="1:5">
      <c r="A320" s="139" t="str">
        <f t="shared" si="1"/>
        <v/>
      </c>
      <c r="B320" s="202"/>
      <c r="C320" s="139"/>
      <c r="D320" s="139"/>
      <c r="E320" s="139"/>
    </row>
    <row r="321" spans="1:5">
      <c r="A321" s="139" t="str">
        <f t="shared" si="1"/>
        <v/>
      </c>
      <c r="B321" s="202"/>
      <c r="C321" s="139"/>
      <c r="D321" s="139"/>
      <c r="E321" s="139"/>
    </row>
    <row r="322" spans="1:5">
      <c r="A322" s="139" t="str">
        <f t="shared" si="1"/>
        <v/>
      </c>
      <c r="B322" s="202"/>
      <c r="C322" s="139"/>
      <c r="D322" s="139"/>
      <c r="E322" s="139"/>
    </row>
    <row r="323" spans="1:5">
      <c r="A323" s="139" t="str">
        <f t="shared" si="1"/>
        <v/>
      </c>
      <c r="B323" s="202"/>
      <c r="C323" s="139"/>
      <c r="D323" s="139"/>
      <c r="E323" s="139"/>
    </row>
    <row r="324" spans="1:5">
      <c r="A324" s="139" t="str">
        <f t="shared" si="1"/>
        <v/>
      </c>
      <c r="B324" s="202"/>
      <c r="C324" s="139"/>
      <c r="D324" s="139"/>
      <c r="E324" s="139"/>
    </row>
    <row r="325" spans="1:5">
      <c r="A325" s="139" t="str">
        <f t="shared" si="1"/>
        <v/>
      </c>
      <c r="B325" s="202"/>
      <c r="C325" s="139"/>
      <c r="D325" s="139"/>
      <c r="E325" s="139"/>
    </row>
    <row r="326" spans="1:5">
      <c r="A326" s="139" t="str">
        <f t="shared" si="1"/>
        <v/>
      </c>
      <c r="B326" s="202"/>
      <c r="C326" s="139"/>
      <c r="D326" s="139"/>
      <c r="E326" s="139"/>
    </row>
    <row r="327" spans="1:5">
      <c r="A327" s="139" t="str">
        <f t="shared" si="1"/>
        <v/>
      </c>
      <c r="B327" s="202"/>
      <c r="C327" s="139"/>
      <c r="D327" s="139"/>
      <c r="E327" s="139"/>
    </row>
    <row r="328" spans="1:5">
      <c r="A328" s="139" t="str">
        <f t="shared" si="1"/>
        <v/>
      </c>
      <c r="B328" s="202"/>
      <c r="C328" s="139"/>
      <c r="D328" s="139"/>
      <c r="E328" s="139"/>
    </row>
    <row r="329" spans="1:5">
      <c r="A329" s="139" t="str">
        <f t="shared" si="1"/>
        <v/>
      </c>
      <c r="B329" s="202"/>
      <c r="C329" s="139"/>
      <c r="D329" s="139"/>
      <c r="E329" s="139"/>
    </row>
    <row r="330" spans="1:5">
      <c r="A330" s="139" t="str">
        <f t="shared" si="1"/>
        <v/>
      </c>
      <c r="B330" s="202"/>
      <c r="C330" s="139"/>
      <c r="D330" s="139"/>
      <c r="E330" s="139"/>
    </row>
    <row r="331" spans="1:5">
      <c r="A331" s="139" t="str">
        <f t="shared" si="1"/>
        <v/>
      </c>
      <c r="B331" s="202"/>
      <c r="C331" s="139"/>
      <c r="D331" s="139"/>
      <c r="E331" s="139"/>
    </row>
    <row r="332" spans="1:5">
      <c r="A332" s="139" t="str">
        <f t="shared" si="1"/>
        <v/>
      </c>
      <c r="B332" s="202"/>
      <c r="C332" s="139"/>
      <c r="D332" s="139"/>
      <c r="E332" s="139"/>
    </row>
    <row r="333" spans="1:5">
      <c r="A333" s="139" t="str">
        <f t="shared" si="1"/>
        <v/>
      </c>
      <c r="B333" s="202"/>
      <c r="C333" s="139"/>
      <c r="D333" s="139"/>
      <c r="E333" s="139"/>
    </row>
    <row r="334" spans="1:5">
      <c r="A334" s="139" t="str">
        <f t="shared" si="1"/>
        <v/>
      </c>
      <c r="B334" s="202"/>
      <c r="C334" s="139"/>
      <c r="D334" s="139"/>
      <c r="E334" s="139"/>
    </row>
    <row r="335" spans="1:5">
      <c r="A335" s="139" t="str">
        <f t="shared" si="1"/>
        <v/>
      </c>
      <c r="B335" s="202"/>
      <c r="C335" s="139"/>
      <c r="D335" s="139"/>
      <c r="E335" s="139"/>
    </row>
    <row r="336" spans="1:5">
      <c r="A336" s="139" t="str">
        <f t="shared" si="1"/>
        <v/>
      </c>
      <c r="B336" s="202"/>
      <c r="C336" s="139"/>
      <c r="D336" s="139"/>
      <c r="E336" s="139"/>
    </row>
    <row r="337" spans="1:5">
      <c r="A337" s="139" t="str">
        <f t="shared" si="1"/>
        <v/>
      </c>
      <c r="B337" s="202"/>
      <c r="C337" s="139"/>
      <c r="D337" s="139"/>
      <c r="E337" s="139"/>
    </row>
    <row r="338" spans="1:5">
      <c r="A338" s="139" t="str">
        <f t="shared" si="1"/>
        <v/>
      </c>
      <c r="B338" s="202"/>
      <c r="C338" s="139"/>
      <c r="D338" s="139"/>
      <c r="E338" s="139"/>
    </row>
    <row r="339" spans="1:5">
      <c r="A339" s="139" t="str">
        <f t="shared" si="1"/>
        <v/>
      </c>
      <c r="B339" s="202"/>
      <c r="C339" s="139"/>
      <c r="D339" s="139"/>
      <c r="E339" s="139"/>
    </row>
    <row r="340" spans="1:5">
      <c r="A340" s="139" t="str">
        <f t="shared" si="1"/>
        <v/>
      </c>
      <c r="B340" s="202"/>
      <c r="C340" s="139"/>
      <c r="D340" s="139"/>
      <c r="E340" s="139"/>
    </row>
    <row r="341" spans="1:5">
      <c r="A341" s="139" t="str">
        <f t="shared" si="1"/>
        <v/>
      </c>
      <c r="B341" s="202"/>
      <c r="C341" s="139"/>
      <c r="D341" s="139"/>
      <c r="E341" s="139"/>
    </row>
    <row r="342" spans="1:5">
      <c r="A342" s="139" t="str">
        <f t="shared" si="1"/>
        <v/>
      </c>
      <c r="B342" s="202"/>
      <c r="C342" s="139"/>
      <c r="D342" s="139"/>
      <c r="E342" s="139"/>
    </row>
    <row r="343" spans="1:5">
      <c r="A343" s="139" t="str">
        <f t="shared" si="1"/>
        <v/>
      </c>
      <c r="B343" s="202"/>
      <c r="C343" s="139"/>
      <c r="D343" s="139"/>
      <c r="E343" s="139"/>
    </row>
    <row r="344" spans="1:5">
      <c r="A344" s="139" t="str">
        <f t="shared" si="1"/>
        <v/>
      </c>
      <c r="B344" s="202"/>
      <c r="C344" s="139"/>
      <c r="D344" s="139"/>
      <c r="E344" s="139"/>
    </row>
    <row r="345" spans="1:5">
      <c r="A345" s="139" t="str">
        <f t="shared" si="1"/>
        <v/>
      </c>
      <c r="B345" s="202"/>
      <c r="C345" s="139"/>
      <c r="D345" s="139"/>
      <c r="E345" s="139"/>
    </row>
    <row r="346" spans="1:5">
      <c r="A346" s="139" t="str">
        <f t="shared" si="1"/>
        <v/>
      </c>
      <c r="B346" s="202"/>
      <c r="C346" s="139"/>
      <c r="D346" s="139"/>
      <c r="E346" s="139"/>
    </row>
    <row r="347" spans="1:5">
      <c r="A347" s="139" t="str">
        <f t="shared" si="1"/>
        <v/>
      </c>
      <c r="B347" s="202"/>
      <c r="C347" s="139"/>
      <c r="D347" s="139"/>
      <c r="E347" s="139"/>
    </row>
    <row r="348" spans="1:5">
      <c r="A348" s="139" t="str">
        <f t="shared" si="1"/>
        <v/>
      </c>
      <c r="B348" s="202"/>
      <c r="C348" s="139"/>
      <c r="D348" s="139"/>
      <c r="E348" s="139"/>
    </row>
    <row r="349" spans="1:5">
      <c r="A349" s="139" t="str">
        <f t="shared" si="1"/>
        <v/>
      </c>
      <c r="B349" s="202"/>
      <c r="C349" s="139"/>
      <c r="D349" s="139"/>
      <c r="E349" s="139"/>
    </row>
    <row r="350" spans="1:5">
      <c r="A350" s="139" t="str">
        <f t="shared" si="1"/>
        <v/>
      </c>
      <c r="B350" s="202"/>
      <c r="C350" s="139"/>
      <c r="D350" s="139"/>
      <c r="E350" s="139"/>
    </row>
    <row r="351" spans="1:5">
      <c r="A351" s="139" t="str">
        <f t="shared" si="1"/>
        <v/>
      </c>
      <c r="B351" s="202"/>
      <c r="C351" s="139"/>
      <c r="D351" s="139"/>
      <c r="E351" s="139"/>
    </row>
    <row r="352" spans="1:5">
      <c r="A352" s="139" t="str">
        <f t="shared" si="1"/>
        <v/>
      </c>
      <c r="B352" s="202"/>
      <c r="C352" s="139"/>
      <c r="D352" s="139"/>
      <c r="E352" s="139"/>
    </row>
    <row r="353" spans="1:5">
      <c r="A353" s="139" t="str">
        <f t="shared" si="1"/>
        <v/>
      </c>
      <c r="B353" s="202"/>
      <c r="C353" s="139"/>
      <c r="D353" s="139"/>
      <c r="E353" s="139"/>
    </row>
    <row r="354" spans="1:5">
      <c r="A354" s="139" t="str">
        <f t="shared" si="1"/>
        <v/>
      </c>
      <c r="B354" s="202"/>
      <c r="C354" s="139"/>
      <c r="D354" s="139"/>
      <c r="E354" s="139"/>
    </row>
    <row r="355" spans="1:5">
      <c r="A355" s="139" t="str">
        <f t="shared" si="1"/>
        <v/>
      </c>
      <c r="B355" s="202"/>
      <c r="C355" s="139"/>
      <c r="D355" s="139"/>
      <c r="E355" s="139"/>
    </row>
    <row r="356" spans="1:5">
      <c r="A356" s="139" t="str">
        <f t="shared" si="1"/>
        <v/>
      </c>
      <c r="B356" s="202"/>
      <c r="C356" s="139"/>
      <c r="D356" s="139"/>
      <c r="E356" s="139"/>
    </row>
    <row r="357" spans="1:5">
      <c r="A357" s="139" t="str">
        <f t="shared" si="1"/>
        <v/>
      </c>
      <c r="B357" s="202"/>
      <c r="C357" s="139"/>
      <c r="D357" s="139"/>
      <c r="E357" s="139"/>
    </row>
    <row r="358" spans="1:5">
      <c r="A358" s="139" t="str">
        <f t="shared" si="1"/>
        <v/>
      </c>
      <c r="B358" s="202"/>
      <c r="C358" s="139"/>
      <c r="D358" s="139"/>
      <c r="E358" s="139"/>
    </row>
    <row r="359" spans="1:5">
      <c r="A359" s="139" t="str">
        <f t="shared" si="1"/>
        <v/>
      </c>
      <c r="B359" s="202"/>
      <c r="C359" s="139"/>
      <c r="D359" s="139"/>
      <c r="E359" s="139"/>
    </row>
    <row r="360" spans="1:5">
      <c r="A360" s="139" t="str">
        <f t="shared" si="1"/>
        <v/>
      </c>
      <c r="B360" s="202"/>
      <c r="C360" s="139"/>
      <c r="D360" s="139"/>
      <c r="E360" s="139"/>
    </row>
    <row r="361" spans="1:5">
      <c r="A361" s="139" t="str">
        <f t="shared" si="1"/>
        <v/>
      </c>
      <c r="B361" s="202"/>
      <c r="C361" s="139"/>
      <c r="D361" s="139"/>
      <c r="E361" s="139"/>
    </row>
    <row r="362" spans="1:5">
      <c r="A362" s="139" t="str">
        <f t="shared" si="1"/>
        <v/>
      </c>
      <c r="B362" s="202"/>
      <c r="C362" s="139"/>
      <c r="D362" s="139"/>
      <c r="E362" s="139"/>
    </row>
    <row r="363" spans="1:5">
      <c r="A363" s="139" t="str">
        <f t="shared" si="1"/>
        <v/>
      </c>
      <c r="B363" s="202"/>
      <c r="C363" s="139"/>
      <c r="D363" s="139"/>
      <c r="E363" s="139"/>
    </row>
    <row r="364" spans="1:5">
      <c r="A364" s="139" t="str">
        <f t="shared" si="1"/>
        <v/>
      </c>
      <c r="B364" s="202"/>
      <c r="C364" s="139"/>
      <c r="D364" s="139"/>
      <c r="E364" s="139"/>
    </row>
    <row r="365" spans="1:5">
      <c r="A365" s="139" t="str">
        <f t="shared" si="1"/>
        <v/>
      </c>
      <c r="B365" s="202"/>
      <c r="C365" s="139"/>
      <c r="D365" s="139"/>
      <c r="E365" s="139"/>
    </row>
    <row r="366" spans="1:5">
      <c r="A366" s="139" t="str">
        <f t="shared" si="1"/>
        <v/>
      </c>
      <c r="B366" s="202"/>
      <c r="C366" s="139"/>
      <c r="D366" s="139"/>
      <c r="E366" s="139"/>
    </row>
    <row r="367" spans="1:5">
      <c r="A367" s="139" t="str">
        <f t="shared" si="1"/>
        <v/>
      </c>
      <c r="B367" s="202"/>
      <c r="C367" s="139"/>
      <c r="D367" s="139"/>
      <c r="E367" s="139"/>
    </row>
    <row r="368" spans="1:5">
      <c r="A368" s="139" t="str">
        <f t="shared" si="1"/>
        <v/>
      </c>
      <c r="B368" s="202"/>
      <c r="C368" s="139"/>
      <c r="D368" s="139"/>
      <c r="E368" s="139"/>
    </row>
    <row r="369" spans="1:5">
      <c r="A369" s="139" t="str">
        <f t="shared" si="1"/>
        <v/>
      </c>
      <c r="B369" s="202"/>
      <c r="C369" s="139"/>
      <c r="D369" s="139"/>
      <c r="E369" s="139"/>
    </row>
    <row r="370" spans="1:5">
      <c r="A370" s="139" t="str">
        <f t="shared" si="1"/>
        <v/>
      </c>
      <c r="B370" s="202"/>
      <c r="C370" s="139"/>
      <c r="D370" s="139"/>
      <c r="E370" s="139"/>
    </row>
    <row r="371" spans="1:5">
      <c r="A371" s="139" t="str">
        <f t="shared" si="1"/>
        <v/>
      </c>
      <c r="B371" s="202"/>
      <c r="C371" s="139"/>
      <c r="D371" s="139"/>
      <c r="E371" s="139"/>
    </row>
    <row r="372" spans="1:5">
      <c r="A372" s="139" t="str">
        <f t="shared" si="1"/>
        <v/>
      </c>
      <c r="B372" s="202"/>
      <c r="C372" s="139"/>
      <c r="D372" s="139"/>
      <c r="E372" s="139"/>
    </row>
    <row r="373" spans="1:5">
      <c r="A373" s="139" t="str">
        <f t="shared" si="1"/>
        <v/>
      </c>
      <c r="B373" s="202"/>
      <c r="C373" s="139"/>
      <c r="D373" s="139"/>
      <c r="E373" s="139"/>
    </row>
    <row r="374" spans="1:5">
      <c r="A374" s="139" t="str">
        <f t="shared" si="1"/>
        <v/>
      </c>
      <c r="B374" s="202"/>
      <c r="C374" s="139"/>
      <c r="D374" s="139"/>
      <c r="E374" s="139"/>
    </row>
    <row r="375" spans="1:5">
      <c r="A375" s="139" t="str">
        <f t="shared" si="1"/>
        <v/>
      </c>
      <c r="B375" s="202"/>
      <c r="C375" s="139"/>
      <c r="D375" s="139"/>
      <c r="E375" s="139"/>
    </row>
    <row r="376" spans="1:5">
      <c r="A376" s="139" t="str">
        <f t="shared" si="1"/>
        <v/>
      </c>
      <c r="B376" s="202"/>
      <c r="C376" s="139"/>
      <c r="D376" s="139"/>
      <c r="E376" s="139"/>
    </row>
    <row r="377" spans="1:5">
      <c r="A377" s="139" t="str">
        <f t="shared" si="1"/>
        <v/>
      </c>
      <c r="B377" s="202"/>
      <c r="C377" s="139"/>
      <c r="D377" s="139"/>
      <c r="E377" s="139"/>
    </row>
    <row r="378" spans="1:5">
      <c r="A378" s="139" t="str">
        <f t="shared" si="1"/>
        <v/>
      </c>
      <c r="B378" s="202"/>
      <c r="C378" s="139"/>
      <c r="D378" s="139"/>
      <c r="E378" s="139"/>
    </row>
    <row r="379" spans="1:5">
      <c r="A379" s="139" t="str">
        <f t="shared" si="1"/>
        <v/>
      </c>
      <c r="B379" s="202"/>
      <c r="C379" s="139"/>
      <c r="D379" s="139"/>
      <c r="E379" s="139"/>
    </row>
    <row r="380" spans="1:5">
      <c r="A380" s="139" t="str">
        <f t="shared" si="1"/>
        <v/>
      </c>
      <c r="B380" s="202"/>
      <c r="C380" s="139"/>
      <c r="D380" s="139"/>
      <c r="E380" s="139"/>
    </row>
    <row r="381" spans="1:5">
      <c r="A381" s="139" t="str">
        <f t="shared" si="1"/>
        <v/>
      </c>
      <c r="B381" s="202"/>
      <c r="C381" s="139"/>
      <c r="D381" s="139"/>
      <c r="E381" s="139"/>
    </row>
    <row r="382" spans="1:5">
      <c r="A382" s="139" t="str">
        <f t="shared" si="1"/>
        <v/>
      </c>
      <c r="B382" s="202"/>
      <c r="C382" s="139"/>
      <c r="D382" s="139"/>
      <c r="E382" s="139"/>
    </row>
    <row r="383" spans="1:5">
      <c r="A383" s="139" t="str">
        <f t="shared" si="1"/>
        <v/>
      </c>
      <c r="B383" s="202"/>
      <c r="C383" s="139"/>
      <c r="D383" s="139"/>
      <c r="E383" s="139"/>
    </row>
    <row r="384" spans="1:5">
      <c r="A384" s="139" t="str">
        <f t="shared" si="1"/>
        <v/>
      </c>
      <c r="B384" s="202"/>
      <c r="C384" s="139"/>
      <c r="D384" s="139"/>
      <c r="E384" s="139"/>
    </row>
    <row r="385" spans="1:5">
      <c r="A385" s="139" t="str">
        <f t="shared" si="1"/>
        <v/>
      </c>
      <c r="B385" s="202"/>
      <c r="C385" s="139"/>
      <c r="D385" s="139"/>
      <c r="E385" s="139"/>
    </row>
    <row r="386" spans="1:5">
      <c r="A386" s="139" t="str">
        <f t="shared" si="1"/>
        <v/>
      </c>
      <c r="B386" s="202"/>
      <c r="C386" s="139"/>
      <c r="D386" s="139"/>
      <c r="E386" s="139"/>
    </row>
    <row r="387" spans="1:5">
      <c r="A387" s="139" t="str">
        <f t="shared" si="1"/>
        <v/>
      </c>
      <c r="B387" s="202"/>
      <c r="C387" s="139"/>
      <c r="D387" s="139"/>
      <c r="E387" s="139"/>
    </row>
    <row r="388" spans="1:5">
      <c r="A388" s="139" t="str">
        <f t="shared" si="1"/>
        <v/>
      </c>
      <c r="B388" s="202"/>
      <c r="C388" s="139"/>
      <c r="D388" s="139"/>
      <c r="E388" s="139"/>
    </row>
    <row r="389" spans="1:5">
      <c r="A389" s="139" t="str">
        <f t="shared" si="1"/>
        <v/>
      </c>
      <c r="B389" s="202"/>
      <c r="C389" s="139"/>
      <c r="D389" s="139"/>
      <c r="E389" s="139"/>
    </row>
    <row r="390" spans="1:5">
      <c r="A390" s="139" t="str">
        <f t="shared" si="1"/>
        <v/>
      </c>
      <c r="B390" s="202"/>
      <c r="C390" s="139"/>
      <c r="D390" s="139"/>
      <c r="E390" s="139"/>
    </row>
    <row r="391" spans="1:5">
      <c r="A391" s="139" t="str">
        <f t="shared" si="1"/>
        <v/>
      </c>
      <c r="B391" s="202"/>
      <c r="C391" s="139"/>
      <c r="D391" s="139"/>
      <c r="E391" s="139"/>
    </row>
    <row r="392" spans="1:5">
      <c r="A392" s="139" t="str">
        <f t="shared" si="1"/>
        <v/>
      </c>
      <c r="B392" s="202"/>
      <c r="C392" s="139"/>
      <c r="D392" s="139"/>
      <c r="E392" s="139"/>
    </row>
    <row r="393" spans="1:5">
      <c r="A393" s="139" t="str">
        <f t="shared" si="1"/>
        <v/>
      </c>
      <c r="B393" s="202"/>
      <c r="C393" s="139"/>
      <c r="D393" s="139"/>
      <c r="E393" s="139"/>
    </row>
    <row r="394" spans="1:5">
      <c r="A394" s="139" t="str">
        <f t="shared" si="1"/>
        <v/>
      </c>
      <c r="B394" s="202"/>
      <c r="C394" s="139"/>
      <c r="D394" s="139"/>
      <c r="E394" s="139"/>
    </row>
    <row r="395" spans="1:5">
      <c r="A395" s="139" t="str">
        <f t="shared" si="1"/>
        <v/>
      </c>
      <c r="B395" s="202"/>
      <c r="C395" s="139"/>
      <c r="D395" s="139"/>
      <c r="E395" s="139"/>
    </row>
    <row r="396" spans="1:5">
      <c r="A396" s="139" t="str">
        <f t="shared" si="1"/>
        <v/>
      </c>
      <c r="B396" s="202"/>
      <c r="C396" s="139"/>
      <c r="D396" s="139"/>
      <c r="E396" s="139"/>
    </row>
    <row r="397" spans="1:5">
      <c r="A397" s="139" t="str">
        <f t="shared" si="1"/>
        <v/>
      </c>
      <c r="B397" s="202"/>
      <c r="C397" s="139"/>
      <c r="D397" s="139"/>
      <c r="E397" s="139"/>
    </row>
    <row r="398" spans="1:5">
      <c r="A398" s="139" t="str">
        <f t="shared" si="1"/>
        <v/>
      </c>
      <c r="B398" s="202"/>
      <c r="C398" s="139"/>
      <c r="D398" s="139"/>
      <c r="E398" s="139"/>
    </row>
    <row r="399" spans="1:5">
      <c r="A399" s="139" t="str">
        <f t="shared" si="1"/>
        <v/>
      </c>
      <c r="B399" s="202"/>
      <c r="C399" s="139"/>
      <c r="D399" s="139"/>
      <c r="E399" s="139"/>
    </row>
    <row r="400" spans="1:5">
      <c r="A400" s="139" t="str">
        <f t="shared" si="1"/>
        <v/>
      </c>
      <c r="B400" s="202"/>
      <c r="C400" s="139"/>
      <c r="D400" s="139"/>
      <c r="E400" s="139"/>
    </row>
    <row r="401" spans="1:5">
      <c r="A401" s="139" t="str">
        <f t="shared" si="1"/>
        <v/>
      </c>
      <c r="B401" s="202"/>
      <c r="C401" s="139"/>
      <c r="D401" s="139"/>
      <c r="E401" s="139"/>
    </row>
    <row r="402" spans="1:5">
      <c r="A402" s="139" t="str">
        <f t="shared" si="1"/>
        <v/>
      </c>
      <c r="B402" s="202"/>
      <c r="C402" s="139"/>
      <c r="D402" s="139"/>
      <c r="E402" s="139"/>
    </row>
    <row r="403" spans="1:5">
      <c r="A403" s="139" t="str">
        <f t="shared" si="1"/>
        <v/>
      </c>
      <c r="B403" s="202"/>
      <c r="C403" s="139"/>
      <c r="D403" s="139"/>
      <c r="E403" s="139"/>
    </row>
    <row r="404" spans="1:5">
      <c r="A404" s="139" t="str">
        <f t="shared" si="1"/>
        <v/>
      </c>
      <c r="B404" s="202"/>
      <c r="C404" s="139"/>
      <c r="D404" s="139"/>
      <c r="E404" s="139"/>
    </row>
    <row r="405" spans="1:5">
      <c r="A405" s="139" t="str">
        <f t="shared" si="1"/>
        <v/>
      </c>
      <c r="B405" s="202"/>
      <c r="C405" s="139"/>
      <c r="D405" s="139"/>
      <c r="E405" s="139"/>
    </row>
    <row r="406" spans="1:5">
      <c r="A406" s="139" t="str">
        <f t="shared" si="1"/>
        <v/>
      </c>
      <c r="B406" s="202"/>
      <c r="C406" s="139"/>
      <c r="D406" s="139"/>
      <c r="E406" s="139"/>
    </row>
    <row r="407" spans="1:5">
      <c r="A407" s="139" t="str">
        <f t="shared" si="1"/>
        <v/>
      </c>
      <c r="B407" s="202"/>
      <c r="C407" s="139"/>
      <c r="D407" s="139"/>
      <c r="E407" s="139"/>
    </row>
    <row r="408" spans="1:5">
      <c r="A408" s="139" t="str">
        <f t="shared" si="1"/>
        <v/>
      </c>
      <c r="B408" s="202"/>
      <c r="C408" s="139"/>
      <c r="D408" s="139"/>
      <c r="E408" s="139"/>
    </row>
    <row r="409" spans="1:5">
      <c r="A409" s="139" t="str">
        <f t="shared" si="1"/>
        <v/>
      </c>
      <c r="B409" s="202"/>
      <c r="C409" s="139"/>
      <c r="D409" s="139"/>
      <c r="E409" s="139"/>
    </row>
    <row r="410" spans="1:5">
      <c r="A410" s="139" t="str">
        <f t="shared" si="1"/>
        <v/>
      </c>
      <c r="B410" s="202"/>
      <c r="C410" s="139"/>
      <c r="D410" s="139"/>
      <c r="E410" s="139"/>
    </row>
    <row r="411" spans="1:5">
      <c r="A411" s="139" t="str">
        <f t="shared" si="1"/>
        <v/>
      </c>
      <c r="B411" s="202"/>
      <c r="C411" s="139"/>
      <c r="D411" s="139"/>
      <c r="E411" s="139"/>
    </row>
    <row r="412" spans="1:5">
      <c r="A412" s="139" t="str">
        <f t="shared" si="1"/>
        <v/>
      </c>
      <c r="B412" s="202"/>
      <c r="C412" s="139"/>
      <c r="D412" s="139"/>
      <c r="E412" s="139"/>
    </row>
    <row r="413" spans="1:5">
      <c r="A413" s="139" t="str">
        <f t="shared" si="1"/>
        <v/>
      </c>
      <c r="B413" s="202"/>
      <c r="C413" s="139"/>
      <c r="D413" s="139"/>
      <c r="E413" s="139"/>
    </row>
    <row r="414" spans="1:5">
      <c r="A414" s="139" t="str">
        <f t="shared" si="1"/>
        <v/>
      </c>
      <c r="B414" s="202"/>
      <c r="C414" s="139"/>
      <c r="D414" s="139"/>
      <c r="E414" s="139"/>
    </row>
    <row r="415" spans="1:5">
      <c r="A415" s="139" t="str">
        <f t="shared" si="1"/>
        <v/>
      </c>
      <c r="B415" s="202"/>
      <c r="C415" s="139"/>
      <c r="D415" s="139"/>
      <c r="E415" s="139"/>
    </row>
    <row r="416" spans="1:5">
      <c r="A416" s="139" t="str">
        <f t="shared" si="1"/>
        <v/>
      </c>
      <c r="B416" s="202"/>
      <c r="C416" s="139"/>
      <c r="D416" s="139"/>
      <c r="E416" s="139"/>
    </row>
    <row r="417" spans="1:5">
      <c r="A417" s="139" t="str">
        <f t="shared" si="1"/>
        <v/>
      </c>
      <c r="B417" s="202"/>
      <c r="C417" s="139"/>
      <c r="D417" s="139"/>
      <c r="E417" s="139"/>
    </row>
    <row r="418" spans="1:5">
      <c r="A418" s="139" t="str">
        <f t="shared" si="1"/>
        <v/>
      </c>
      <c r="B418" s="202"/>
      <c r="C418" s="139"/>
      <c r="D418" s="139"/>
      <c r="E418" s="139"/>
    </row>
    <row r="419" spans="1:5">
      <c r="A419" s="139" t="str">
        <f t="shared" si="1"/>
        <v/>
      </c>
      <c r="B419" s="202"/>
      <c r="C419" s="139"/>
      <c r="D419" s="139"/>
      <c r="E419" s="139"/>
    </row>
    <row r="420" spans="1:5">
      <c r="A420" s="139" t="str">
        <f t="shared" si="1"/>
        <v/>
      </c>
      <c r="B420" s="202"/>
      <c r="C420" s="139"/>
      <c r="D420" s="139"/>
      <c r="E420" s="139"/>
    </row>
    <row r="421" spans="1:5">
      <c r="A421" s="139" t="str">
        <f t="shared" si="1"/>
        <v/>
      </c>
      <c r="B421" s="202"/>
      <c r="C421" s="139"/>
      <c r="D421" s="139"/>
      <c r="E421" s="139"/>
    </row>
    <row r="422" spans="1:5">
      <c r="A422" s="139" t="str">
        <f t="shared" si="1"/>
        <v/>
      </c>
      <c r="B422" s="202"/>
      <c r="C422" s="139"/>
      <c r="D422" s="139"/>
      <c r="E422" s="139"/>
    </row>
    <row r="423" spans="1:5">
      <c r="A423" s="139" t="str">
        <f t="shared" si="1"/>
        <v/>
      </c>
      <c r="B423" s="202"/>
      <c r="C423" s="139"/>
      <c r="D423" s="139"/>
      <c r="E423" s="139"/>
    </row>
    <row r="424" spans="1:5">
      <c r="A424" s="139" t="str">
        <f t="shared" si="1"/>
        <v/>
      </c>
      <c r="B424" s="202"/>
      <c r="C424" s="139"/>
      <c r="D424" s="139"/>
      <c r="E424" s="139"/>
    </row>
    <row r="425" spans="1:5">
      <c r="A425" s="139" t="str">
        <f t="shared" si="1"/>
        <v/>
      </c>
      <c r="B425" s="202"/>
      <c r="C425" s="139"/>
      <c r="D425" s="139"/>
      <c r="E425" s="139"/>
    </row>
    <row r="426" spans="1:5">
      <c r="A426" s="139" t="str">
        <f t="shared" si="1"/>
        <v/>
      </c>
      <c r="B426" s="202"/>
      <c r="C426" s="139"/>
      <c r="D426" s="139"/>
      <c r="E426" s="139"/>
    </row>
    <row r="427" spans="1:5">
      <c r="A427" s="139" t="str">
        <f t="shared" si="1"/>
        <v/>
      </c>
      <c r="B427" s="202"/>
      <c r="C427" s="139"/>
      <c r="D427" s="139"/>
      <c r="E427" s="139"/>
    </row>
    <row r="428" spans="1:5">
      <c r="A428" s="139" t="str">
        <f t="shared" si="1"/>
        <v/>
      </c>
      <c r="B428" s="202"/>
      <c r="C428" s="139"/>
      <c r="D428" s="139"/>
      <c r="E428" s="139"/>
    </row>
    <row r="429" spans="1:5">
      <c r="A429" s="139" t="str">
        <f t="shared" si="1"/>
        <v/>
      </c>
      <c r="B429" s="202"/>
      <c r="C429" s="139"/>
      <c r="D429" s="139"/>
      <c r="E429" s="139"/>
    </row>
    <row r="430" spans="1:5">
      <c r="A430" s="139" t="str">
        <f t="shared" si="1"/>
        <v/>
      </c>
      <c r="B430" s="202"/>
      <c r="C430" s="139"/>
      <c r="D430" s="139"/>
      <c r="E430" s="139"/>
    </row>
    <row r="431" spans="1:5">
      <c r="A431" s="139" t="str">
        <f t="shared" si="1"/>
        <v/>
      </c>
      <c r="B431" s="202"/>
      <c r="C431" s="139"/>
      <c r="D431" s="139"/>
      <c r="E431" s="139"/>
    </row>
    <row r="432" spans="1:5">
      <c r="A432" s="139" t="str">
        <f t="shared" si="1"/>
        <v/>
      </c>
      <c r="B432" s="202"/>
      <c r="C432" s="139"/>
      <c r="D432" s="139"/>
      <c r="E432" s="139"/>
    </row>
    <row r="433" spans="1:5">
      <c r="A433" s="139" t="str">
        <f t="shared" si="1"/>
        <v/>
      </c>
      <c r="B433" s="202"/>
      <c r="C433" s="139"/>
      <c r="D433" s="139"/>
      <c r="E433" s="139"/>
    </row>
    <row r="434" spans="1:5">
      <c r="A434" s="139" t="str">
        <f t="shared" si="1"/>
        <v/>
      </c>
      <c r="B434" s="202"/>
      <c r="C434" s="139"/>
      <c r="D434" s="139"/>
      <c r="E434" s="139"/>
    </row>
    <row r="435" spans="1:5">
      <c r="A435" s="139" t="str">
        <f t="shared" si="1"/>
        <v/>
      </c>
      <c r="B435" s="202"/>
      <c r="C435" s="139"/>
      <c r="D435" s="139"/>
      <c r="E435" s="139"/>
    </row>
    <row r="436" spans="1:5">
      <c r="A436" s="139" t="str">
        <f t="shared" si="1"/>
        <v/>
      </c>
      <c r="B436" s="202"/>
      <c r="C436" s="139"/>
      <c r="D436" s="139"/>
      <c r="E436" s="139"/>
    </row>
    <row r="437" spans="1:5">
      <c r="A437" s="139" t="str">
        <f t="shared" si="1"/>
        <v/>
      </c>
      <c r="B437" s="202"/>
      <c r="C437" s="139"/>
      <c r="D437" s="139"/>
      <c r="E437" s="139"/>
    </row>
    <row r="438" spans="1:5">
      <c r="A438" s="139" t="str">
        <f t="shared" si="1"/>
        <v/>
      </c>
      <c r="B438" s="202"/>
      <c r="C438" s="139"/>
      <c r="D438" s="139"/>
      <c r="E438" s="139"/>
    </row>
    <row r="439" spans="1:5">
      <c r="A439" s="139" t="str">
        <f t="shared" si="1"/>
        <v/>
      </c>
      <c r="B439" s="202"/>
      <c r="C439" s="139"/>
      <c r="D439" s="139"/>
      <c r="E439" s="139"/>
    </row>
    <row r="440" spans="1:5">
      <c r="A440" s="139" t="str">
        <f t="shared" si="1"/>
        <v/>
      </c>
      <c r="B440" s="202"/>
      <c r="C440" s="139"/>
      <c r="D440" s="139"/>
      <c r="E440" s="139"/>
    </row>
    <row r="441" spans="1:5">
      <c r="A441" s="139" t="str">
        <f t="shared" si="1"/>
        <v/>
      </c>
      <c r="B441" s="202"/>
      <c r="C441" s="139"/>
      <c r="D441" s="139"/>
      <c r="E441" s="139"/>
    </row>
    <row r="442" spans="1:5">
      <c r="A442" s="139" t="str">
        <f t="shared" si="1"/>
        <v/>
      </c>
      <c r="B442" s="202"/>
      <c r="C442" s="139"/>
      <c r="D442" s="139"/>
      <c r="E442" s="139"/>
    </row>
    <row r="443" spans="1:5">
      <c r="A443" s="139" t="str">
        <f t="shared" si="1"/>
        <v/>
      </c>
      <c r="B443" s="202"/>
      <c r="C443" s="139"/>
      <c r="D443" s="139"/>
      <c r="E443" s="139"/>
    </row>
    <row r="444" spans="1:5">
      <c r="A444" s="139" t="str">
        <f t="shared" si="1"/>
        <v/>
      </c>
      <c r="B444" s="202"/>
      <c r="C444" s="139"/>
      <c r="D444" s="139"/>
      <c r="E444" s="139"/>
    </row>
    <row r="445" spans="1:5">
      <c r="A445" s="139" t="str">
        <f t="shared" si="1"/>
        <v/>
      </c>
      <c r="B445" s="202"/>
      <c r="C445" s="139"/>
      <c r="D445" s="139"/>
      <c r="E445" s="139"/>
    </row>
    <row r="446" spans="1:5">
      <c r="A446" s="139" t="str">
        <f t="shared" si="1"/>
        <v/>
      </c>
      <c r="B446" s="202"/>
      <c r="C446" s="139"/>
      <c r="D446" s="139"/>
      <c r="E446" s="139"/>
    </row>
    <row r="447" spans="1:5">
      <c r="A447" s="139" t="str">
        <f t="shared" si="1"/>
        <v/>
      </c>
      <c r="B447" s="202"/>
      <c r="C447" s="139"/>
      <c r="D447" s="139"/>
      <c r="E447" s="139"/>
    </row>
    <row r="448" spans="1:5">
      <c r="A448" s="139" t="str">
        <f t="shared" si="1"/>
        <v/>
      </c>
      <c r="B448" s="202"/>
      <c r="C448" s="139"/>
      <c r="D448" s="139"/>
      <c r="E448" s="139"/>
    </row>
    <row r="449" spans="1:5">
      <c r="A449" s="139" t="str">
        <f t="shared" si="1"/>
        <v/>
      </c>
      <c r="B449" s="202"/>
      <c r="C449" s="139"/>
      <c r="D449" s="139"/>
      <c r="E449" s="139"/>
    </row>
    <row r="450" spans="1:5">
      <c r="A450" s="139" t="str">
        <f t="shared" si="1"/>
        <v/>
      </c>
      <c r="B450" s="202"/>
      <c r="C450" s="139"/>
      <c r="D450" s="139"/>
      <c r="E450" s="139"/>
    </row>
    <row r="451" spans="1:5">
      <c r="A451" s="139" t="str">
        <f t="shared" si="1"/>
        <v/>
      </c>
      <c r="B451" s="202"/>
      <c r="C451" s="139"/>
      <c r="D451" s="139"/>
      <c r="E451" s="139"/>
    </row>
    <row r="452" spans="1:5">
      <c r="A452" s="139" t="str">
        <f t="shared" si="1"/>
        <v/>
      </c>
      <c r="B452" s="202"/>
      <c r="C452" s="139"/>
      <c r="D452" s="139"/>
      <c r="E452" s="139"/>
    </row>
    <row r="453" spans="1:5">
      <c r="A453" s="139" t="str">
        <f t="shared" si="1"/>
        <v/>
      </c>
      <c r="B453" s="202"/>
      <c r="C453" s="139"/>
      <c r="D453" s="139"/>
      <c r="E453" s="139"/>
    </row>
    <row r="454" spans="1:5">
      <c r="A454" s="139" t="str">
        <f t="shared" si="1"/>
        <v/>
      </c>
      <c r="B454" s="202"/>
      <c r="C454" s="139"/>
      <c r="D454" s="139"/>
      <c r="E454" s="139"/>
    </row>
    <row r="455" spans="1:5">
      <c r="A455" s="139" t="str">
        <f t="shared" si="1"/>
        <v/>
      </c>
      <c r="B455" s="202"/>
      <c r="C455" s="139"/>
      <c r="D455" s="139"/>
      <c r="E455" s="139"/>
    </row>
    <row r="456" spans="1:5">
      <c r="A456" s="139" t="str">
        <f t="shared" si="1"/>
        <v/>
      </c>
      <c r="B456" s="202"/>
      <c r="C456" s="139"/>
      <c r="D456" s="139"/>
      <c r="E456" s="139"/>
    </row>
    <row r="457" spans="1:5">
      <c r="A457" s="139" t="str">
        <f t="shared" si="1"/>
        <v/>
      </c>
      <c r="B457" s="202"/>
      <c r="C457" s="139"/>
      <c r="D457" s="139"/>
      <c r="E457" s="139"/>
    </row>
    <row r="458" spans="1:5">
      <c r="A458" s="139" t="str">
        <f t="shared" si="1"/>
        <v/>
      </c>
      <c r="B458" s="202"/>
      <c r="C458" s="139"/>
      <c r="D458" s="139"/>
      <c r="E458" s="139"/>
    </row>
    <row r="459" spans="1:5">
      <c r="A459" s="139" t="str">
        <f t="shared" si="1"/>
        <v/>
      </c>
      <c r="B459" s="202"/>
      <c r="C459" s="139"/>
      <c r="D459" s="139"/>
      <c r="E459" s="139"/>
    </row>
    <row r="460" spans="1:5">
      <c r="A460" s="139" t="str">
        <f t="shared" si="1"/>
        <v/>
      </c>
      <c r="B460" s="202"/>
      <c r="C460" s="139"/>
      <c r="D460" s="139"/>
      <c r="E460" s="139"/>
    </row>
    <row r="461" spans="1:5">
      <c r="A461" s="139" t="str">
        <f t="shared" si="1"/>
        <v/>
      </c>
      <c r="B461" s="202"/>
      <c r="C461" s="139"/>
      <c r="D461" s="139"/>
      <c r="E461" s="139"/>
    </row>
    <row r="462" spans="1:5">
      <c r="A462" s="139" t="str">
        <f t="shared" si="1"/>
        <v/>
      </c>
      <c r="B462" s="202"/>
      <c r="C462" s="139"/>
      <c r="D462" s="139"/>
      <c r="E462" s="139"/>
    </row>
    <row r="463" spans="1:5">
      <c r="A463" s="139" t="str">
        <f t="shared" si="1"/>
        <v/>
      </c>
      <c r="B463" s="202"/>
      <c r="C463" s="139"/>
      <c r="D463" s="139"/>
      <c r="E463" s="139"/>
    </row>
    <row r="464" spans="1:5">
      <c r="A464" s="139" t="str">
        <f t="shared" si="1"/>
        <v/>
      </c>
      <c r="B464" s="202"/>
      <c r="C464" s="139"/>
      <c r="D464" s="139"/>
      <c r="E464" s="139"/>
    </row>
    <row r="465" spans="1:5">
      <c r="A465" s="139" t="str">
        <f t="shared" si="1"/>
        <v/>
      </c>
      <c r="B465" s="202"/>
      <c r="C465" s="139"/>
      <c r="D465" s="139"/>
      <c r="E465" s="139"/>
    </row>
    <row r="466" spans="1:5">
      <c r="A466" s="139" t="str">
        <f t="shared" si="1"/>
        <v/>
      </c>
      <c r="B466" s="202"/>
      <c r="C466" s="139"/>
      <c r="D466" s="139"/>
      <c r="E466" s="139"/>
    </row>
    <row r="467" spans="1:5">
      <c r="A467" s="139" t="str">
        <f t="shared" si="1"/>
        <v/>
      </c>
      <c r="B467" s="202"/>
      <c r="C467" s="139"/>
      <c r="D467" s="139"/>
      <c r="E467" s="139"/>
    </row>
    <row r="468" spans="1:5">
      <c r="A468" s="139" t="str">
        <f t="shared" si="1"/>
        <v/>
      </c>
      <c r="B468" s="202"/>
      <c r="C468" s="139"/>
      <c r="D468" s="139"/>
      <c r="E468" s="139"/>
    </row>
    <row r="469" spans="1:5">
      <c r="A469" s="139" t="str">
        <f t="shared" si="1"/>
        <v/>
      </c>
      <c r="B469" s="202"/>
      <c r="C469" s="139"/>
      <c r="D469" s="139"/>
      <c r="E469" s="139"/>
    </row>
    <row r="470" spans="1:5">
      <c r="A470" s="139" t="str">
        <f t="shared" si="1"/>
        <v/>
      </c>
      <c r="B470" s="202"/>
      <c r="C470" s="139"/>
      <c r="D470" s="139"/>
      <c r="E470" s="139"/>
    </row>
    <row r="471" spans="1:5">
      <c r="A471" s="139" t="str">
        <f t="shared" si="1"/>
        <v/>
      </c>
      <c r="B471" s="202"/>
      <c r="C471" s="139"/>
      <c r="D471" s="139"/>
      <c r="E471" s="139"/>
    </row>
    <row r="472" spans="1:5">
      <c r="A472" s="139" t="str">
        <f t="shared" si="1"/>
        <v/>
      </c>
      <c r="B472" s="202"/>
      <c r="C472" s="139"/>
      <c r="D472" s="139"/>
      <c r="E472" s="139"/>
    </row>
    <row r="473" spans="1:5">
      <c r="A473" s="139" t="str">
        <f t="shared" si="1"/>
        <v/>
      </c>
      <c r="B473" s="202"/>
      <c r="C473" s="139"/>
      <c r="D473" s="139"/>
      <c r="E473" s="139"/>
    </row>
    <row r="474" spans="1:5">
      <c r="A474" s="139" t="str">
        <f t="shared" si="1"/>
        <v/>
      </c>
      <c r="B474" s="202"/>
      <c r="C474" s="139"/>
      <c r="D474" s="139"/>
      <c r="E474" s="139"/>
    </row>
    <row r="475" spans="1:5">
      <c r="A475" s="139" t="str">
        <f t="shared" si="1"/>
        <v/>
      </c>
      <c r="B475" s="202"/>
      <c r="C475" s="139"/>
      <c r="D475" s="139"/>
      <c r="E475" s="139"/>
    </row>
    <row r="476" spans="1:5">
      <c r="A476" s="139" t="str">
        <f t="shared" si="1"/>
        <v/>
      </c>
      <c r="B476" s="202"/>
      <c r="C476" s="139"/>
      <c r="D476" s="139"/>
      <c r="E476" s="139"/>
    </row>
    <row r="477" spans="1:5">
      <c r="A477" s="139" t="str">
        <f t="shared" si="1"/>
        <v/>
      </c>
      <c r="B477" s="202"/>
      <c r="C477" s="139"/>
      <c r="D477" s="139"/>
      <c r="E477" s="139"/>
    </row>
    <row r="478" spans="1:5">
      <c r="A478" s="139" t="str">
        <f t="shared" si="1"/>
        <v/>
      </c>
      <c r="B478" s="202"/>
      <c r="C478" s="139"/>
      <c r="D478" s="139"/>
      <c r="E478" s="139"/>
    </row>
    <row r="479" spans="1:5">
      <c r="A479" s="139" t="str">
        <f t="shared" si="1"/>
        <v/>
      </c>
      <c r="B479" s="202"/>
      <c r="C479" s="139"/>
      <c r="D479" s="139"/>
      <c r="E479" s="139"/>
    </row>
    <row r="480" spans="1:5">
      <c r="A480" s="139" t="str">
        <f t="shared" si="1"/>
        <v/>
      </c>
      <c r="B480" s="202"/>
      <c r="C480" s="139"/>
      <c r="D480" s="139"/>
      <c r="E480" s="139"/>
    </row>
    <row r="481" spans="1:5">
      <c r="A481" s="139" t="str">
        <f t="shared" si="1"/>
        <v/>
      </c>
      <c r="B481" s="202"/>
      <c r="C481" s="139"/>
      <c r="D481" s="139"/>
      <c r="E481" s="139"/>
    </row>
    <row r="482" spans="1:5">
      <c r="A482" s="139" t="str">
        <f t="shared" si="1"/>
        <v/>
      </c>
      <c r="B482" s="202"/>
      <c r="C482" s="139"/>
      <c r="D482" s="139"/>
      <c r="E482" s="139"/>
    </row>
    <row r="483" spans="1:5">
      <c r="A483" s="139" t="str">
        <f t="shared" si="1"/>
        <v/>
      </c>
      <c r="B483" s="202"/>
      <c r="C483" s="139"/>
      <c r="D483" s="139"/>
      <c r="E483" s="139"/>
    </row>
    <row r="484" spans="1:5">
      <c r="A484" s="139" t="str">
        <f t="shared" si="1"/>
        <v/>
      </c>
      <c r="B484" s="202"/>
      <c r="C484" s="139"/>
      <c r="D484" s="139"/>
      <c r="E484" s="139"/>
    </row>
    <row r="485" spans="1:5">
      <c r="A485" s="139" t="str">
        <f t="shared" si="1"/>
        <v/>
      </c>
      <c r="B485" s="202"/>
      <c r="C485" s="139"/>
      <c r="D485" s="139"/>
      <c r="E485" s="139"/>
    </row>
    <row r="486" spans="1:5">
      <c r="A486" s="139" t="str">
        <f t="shared" si="1"/>
        <v/>
      </c>
      <c r="B486" s="202"/>
      <c r="C486" s="139"/>
      <c r="D486" s="139"/>
      <c r="E486" s="139"/>
    </row>
    <row r="487" spans="1:5">
      <c r="A487" s="139" t="str">
        <f t="shared" si="1"/>
        <v/>
      </c>
      <c r="B487" s="202"/>
      <c r="C487" s="139"/>
      <c r="D487" s="139"/>
      <c r="E487" s="139"/>
    </row>
    <row r="488" spans="1:5">
      <c r="A488" s="139" t="str">
        <f t="shared" si="1"/>
        <v/>
      </c>
      <c r="B488" s="202"/>
      <c r="C488" s="139"/>
      <c r="D488" s="139"/>
      <c r="E488" s="139"/>
    </row>
    <row r="489" spans="1:5">
      <c r="A489" s="139" t="str">
        <f t="shared" si="1"/>
        <v/>
      </c>
      <c r="B489" s="202"/>
      <c r="C489" s="139"/>
      <c r="D489" s="139"/>
      <c r="E489" s="139"/>
    </row>
    <row r="490" spans="1:5">
      <c r="A490" s="139" t="str">
        <f t="shared" si="1"/>
        <v/>
      </c>
      <c r="B490" s="202"/>
      <c r="C490" s="139"/>
      <c r="D490" s="139"/>
      <c r="E490" s="139"/>
    </row>
    <row r="491" spans="1:5">
      <c r="A491" s="139" t="str">
        <f t="shared" si="1"/>
        <v/>
      </c>
      <c r="B491" s="202"/>
      <c r="C491" s="139"/>
      <c r="D491" s="139"/>
      <c r="E491" s="139"/>
    </row>
    <row r="492" spans="1:5">
      <c r="A492" s="139" t="str">
        <f t="shared" si="1"/>
        <v/>
      </c>
      <c r="B492" s="202"/>
      <c r="C492" s="139"/>
      <c r="D492" s="139"/>
      <c r="E492" s="139"/>
    </row>
    <row r="493" spans="1:5">
      <c r="A493" s="139" t="str">
        <f t="shared" si="1"/>
        <v/>
      </c>
      <c r="B493" s="202"/>
      <c r="C493" s="139"/>
      <c r="D493" s="139"/>
      <c r="E493" s="139"/>
    </row>
    <row r="494" spans="1:5">
      <c r="A494" s="139" t="str">
        <f t="shared" si="1"/>
        <v/>
      </c>
      <c r="B494" s="202"/>
      <c r="C494" s="139"/>
      <c r="D494" s="139"/>
      <c r="E494" s="139"/>
    </row>
    <row r="495" spans="1:5">
      <c r="A495" s="139" t="str">
        <f t="shared" si="1"/>
        <v/>
      </c>
      <c r="B495" s="202"/>
      <c r="C495" s="139"/>
      <c r="D495" s="139"/>
      <c r="E495" s="139"/>
    </row>
    <row r="496" spans="1:5">
      <c r="A496" s="139" t="str">
        <f t="shared" si="1"/>
        <v/>
      </c>
      <c r="B496" s="202"/>
      <c r="C496" s="139"/>
      <c r="D496" s="139"/>
      <c r="E496" s="139"/>
    </row>
    <row r="497" spans="1:5">
      <c r="A497" s="139" t="str">
        <f t="shared" si="1"/>
        <v/>
      </c>
      <c r="B497" s="202"/>
      <c r="C497" s="139"/>
      <c r="D497" s="139"/>
      <c r="E497" s="139"/>
    </row>
    <row r="498" spans="1:5">
      <c r="A498" s="139" t="str">
        <f t="shared" si="1"/>
        <v/>
      </c>
      <c r="B498" s="202"/>
      <c r="C498" s="139"/>
      <c r="D498" s="139"/>
      <c r="E498" s="139"/>
    </row>
    <row r="499" spans="1:5">
      <c r="A499" s="139" t="str">
        <f t="shared" si="1"/>
        <v/>
      </c>
      <c r="B499" s="202"/>
      <c r="C499" s="139"/>
      <c r="D499" s="139"/>
      <c r="E499" s="139"/>
    </row>
    <row r="500" spans="1:5">
      <c r="A500" s="139" t="str">
        <f t="shared" si="1"/>
        <v/>
      </c>
      <c r="B500" s="202"/>
      <c r="C500" s="139"/>
      <c r="D500" s="139"/>
      <c r="E500" s="139"/>
    </row>
    <row r="501" spans="1:5">
      <c r="A501" s="139" t="str">
        <f t="shared" si="1"/>
        <v/>
      </c>
      <c r="B501" s="202"/>
      <c r="C501" s="139"/>
      <c r="D501" s="139"/>
      <c r="E501" s="139"/>
    </row>
    <row r="502" spans="1:5">
      <c r="A502" s="139" t="str">
        <f t="shared" si="1"/>
        <v/>
      </c>
      <c r="B502" s="202"/>
      <c r="C502" s="139"/>
      <c r="D502" s="139"/>
      <c r="E502" s="139"/>
    </row>
    <row r="503" spans="1:5">
      <c r="A503" s="139" t="str">
        <f t="shared" si="1"/>
        <v/>
      </c>
      <c r="B503" s="202"/>
      <c r="C503" s="139"/>
      <c r="D503" s="139"/>
      <c r="E503" s="139"/>
    </row>
    <row r="504" spans="1:5">
      <c r="A504" s="139" t="str">
        <f t="shared" si="1"/>
        <v/>
      </c>
      <c r="B504" s="202"/>
      <c r="C504" s="139"/>
      <c r="D504" s="139"/>
      <c r="E504" s="139"/>
    </row>
    <row r="505" spans="1:5">
      <c r="A505" s="139" t="str">
        <f t="shared" si="1"/>
        <v/>
      </c>
      <c r="B505" s="202"/>
      <c r="C505" s="139"/>
      <c r="D505" s="139"/>
      <c r="E505" s="139"/>
    </row>
    <row r="506" spans="1:5">
      <c r="A506" s="139" t="str">
        <f t="shared" si="1"/>
        <v/>
      </c>
      <c r="B506" s="202"/>
      <c r="C506" s="139"/>
      <c r="D506" s="139"/>
      <c r="E506" s="139"/>
    </row>
    <row r="507" spans="1:5">
      <c r="A507" s="139" t="str">
        <f t="shared" si="1"/>
        <v/>
      </c>
      <c r="B507" s="202"/>
      <c r="C507" s="139"/>
      <c r="D507" s="139"/>
      <c r="E507" s="139"/>
    </row>
    <row r="508" spans="1:5">
      <c r="A508" s="139" t="str">
        <f t="shared" si="1"/>
        <v/>
      </c>
      <c r="B508" s="202"/>
      <c r="C508" s="139"/>
      <c r="D508" s="139"/>
      <c r="E508" s="139"/>
    </row>
    <row r="509" spans="1:5">
      <c r="A509" s="139" t="str">
        <f t="shared" si="1"/>
        <v/>
      </c>
      <c r="B509" s="202"/>
      <c r="C509" s="139"/>
      <c r="D509" s="139"/>
      <c r="E509" s="139"/>
    </row>
    <row r="510" spans="1:5">
      <c r="A510" s="139" t="str">
        <f t="shared" si="1"/>
        <v/>
      </c>
      <c r="B510" s="202"/>
      <c r="C510" s="139"/>
      <c r="D510" s="139"/>
      <c r="E510" s="139"/>
    </row>
    <row r="511" spans="1:5">
      <c r="A511" s="139" t="str">
        <f t="shared" si="1"/>
        <v/>
      </c>
      <c r="B511" s="202"/>
      <c r="C511" s="139"/>
      <c r="D511" s="139"/>
      <c r="E511" s="139"/>
    </row>
    <row r="512" spans="1:5">
      <c r="A512" s="139" t="str">
        <f t="shared" si="1"/>
        <v/>
      </c>
      <c r="B512" s="202"/>
      <c r="C512" s="139"/>
      <c r="D512" s="139"/>
      <c r="E512" s="139"/>
    </row>
    <row r="513" spans="1:5">
      <c r="A513" s="139" t="str">
        <f t="shared" si="1"/>
        <v/>
      </c>
      <c r="B513" s="202"/>
      <c r="C513" s="139"/>
      <c r="D513" s="139"/>
      <c r="E513" s="139"/>
    </row>
    <row r="514" spans="1:5">
      <c r="A514" s="139" t="str">
        <f t="shared" si="1"/>
        <v/>
      </c>
      <c r="B514" s="202"/>
      <c r="C514" s="139"/>
      <c r="D514" s="139"/>
      <c r="E514" s="139"/>
    </row>
    <row r="515" spans="1:5">
      <c r="A515" s="139" t="str">
        <f t="shared" ref="A515:A769" si="2">IF(B515="","",ROW()-4)</f>
        <v/>
      </c>
      <c r="B515" s="202"/>
      <c r="C515" s="139"/>
      <c r="D515" s="139"/>
      <c r="E515" s="139"/>
    </row>
    <row r="516" spans="1:5">
      <c r="A516" s="139" t="str">
        <f t="shared" si="2"/>
        <v/>
      </c>
      <c r="B516" s="202"/>
      <c r="C516" s="139"/>
      <c r="D516" s="139"/>
      <c r="E516" s="139"/>
    </row>
    <row r="517" spans="1:5">
      <c r="A517" s="139" t="str">
        <f t="shared" si="2"/>
        <v/>
      </c>
      <c r="B517" s="202"/>
      <c r="C517" s="139"/>
      <c r="D517" s="139"/>
      <c r="E517" s="139"/>
    </row>
    <row r="518" spans="1:5">
      <c r="A518" s="139" t="str">
        <f t="shared" si="2"/>
        <v/>
      </c>
      <c r="B518" s="202"/>
      <c r="C518" s="139"/>
      <c r="D518" s="139"/>
      <c r="E518" s="139"/>
    </row>
    <row r="519" spans="1:5">
      <c r="A519" s="139" t="str">
        <f t="shared" si="2"/>
        <v/>
      </c>
      <c r="B519" s="202"/>
      <c r="C519" s="139"/>
      <c r="D519" s="139"/>
      <c r="E519" s="139"/>
    </row>
    <row r="520" spans="1:5">
      <c r="A520" s="139" t="str">
        <f t="shared" si="2"/>
        <v/>
      </c>
      <c r="B520" s="202"/>
      <c r="C520" s="139"/>
      <c r="D520" s="139"/>
      <c r="E520" s="139"/>
    </row>
    <row r="521" spans="1:5">
      <c r="A521" s="139" t="str">
        <f t="shared" si="2"/>
        <v/>
      </c>
      <c r="B521" s="202"/>
      <c r="C521" s="139"/>
      <c r="D521" s="139"/>
      <c r="E521" s="139"/>
    </row>
    <row r="522" spans="1:5">
      <c r="A522" s="139" t="str">
        <f t="shared" si="2"/>
        <v/>
      </c>
      <c r="B522" s="202"/>
      <c r="C522" s="139"/>
      <c r="D522" s="139"/>
      <c r="E522" s="139"/>
    </row>
    <row r="523" spans="1:5">
      <c r="A523" s="139" t="str">
        <f t="shared" si="2"/>
        <v/>
      </c>
      <c r="B523" s="202"/>
      <c r="C523" s="139"/>
      <c r="D523" s="139"/>
      <c r="E523" s="139"/>
    </row>
    <row r="524" spans="1:5">
      <c r="A524" s="139" t="str">
        <f t="shared" si="2"/>
        <v/>
      </c>
      <c r="B524" s="202"/>
      <c r="C524" s="139"/>
      <c r="D524" s="139"/>
      <c r="E524" s="139"/>
    </row>
    <row r="525" spans="1:5">
      <c r="A525" s="139" t="str">
        <f t="shared" si="2"/>
        <v/>
      </c>
      <c r="B525" s="202"/>
      <c r="C525" s="139"/>
      <c r="D525" s="139"/>
      <c r="E525" s="139"/>
    </row>
    <row r="526" spans="1:5">
      <c r="A526" s="139" t="str">
        <f t="shared" si="2"/>
        <v/>
      </c>
      <c r="B526" s="202"/>
      <c r="C526" s="139"/>
      <c r="D526" s="139"/>
      <c r="E526" s="139"/>
    </row>
    <row r="527" spans="1:5">
      <c r="A527" s="139" t="str">
        <f t="shared" si="2"/>
        <v/>
      </c>
      <c r="B527" s="202"/>
      <c r="C527" s="139"/>
      <c r="D527" s="139"/>
      <c r="E527" s="139"/>
    </row>
    <row r="528" spans="1:5">
      <c r="A528" s="139" t="str">
        <f t="shared" si="2"/>
        <v/>
      </c>
      <c r="B528" s="202"/>
      <c r="C528" s="139"/>
      <c r="D528" s="139"/>
      <c r="E528" s="139"/>
    </row>
    <row r="529" spans="1:5">
      <c r="A529" s="139" t="str">
        <f t="shared" si="2"/>
        <v/>
      </c>
      <c r="B529" s="202"/>
      <c r="C529" s="139"/>
      <c r="D529" s="139"/>
      <c r="E529" s="139"/>
    </row>
    <row r="530" spans="1:5">
      <c r="A530" s="139" t="str">
        <f t="shared" si="2"/>
        <v/>
      </c>
      <c r="B530" s="202"/>
      <c r="C530" s="139"/>
      <c r="D530" s="139"/>
      <c r="E530" s="139"/>
    </row>
    <row r="531" spans="1:5">
      <c r="A531" s="139" t="str">
        <f t="shared" si="2"/>
        <v/>
      </c>
      <c r="B531" s="202"/>
      <c r="C531" s="139"/>
      <c r="D531" s="139"/>
      <c r="E531" s="139"/>
    </row>
    <row r="532" spans="1:5">
      <c r="A532" s="139" t="str">
        <f t="shared" si="2"/>
        <v/>
      </c>
      <c r="B532" s="202"/>
      <c r="C532" s="139"/>
      <c r="D532" s="139"/>
      <c r="E532" s="139"/>
    </row>
    <row r="533" spans="1:5">
      <c r="A533" s="139" t="str">
        <f t="shared" si="2"/>
        <v/>
      </c>
      <c r="B533" s="202"/>
      <c r="C533" s="139"/>
      <c r="D533" s="139"/>
      <c r="E533" s="139"/>
    </row>
    <row r="534" spans="1:5">
      <c r="A534" s="139" t="str">
        <f t="shared" si="2"/>
        <v/>
      </c>
      <c r="B534" s="202"/>
      <c r="C534" s="139"/>
      <c r="D534" s="139"/>
      <c r="E534" s="139"/>
    </row>
    <row r="535" spans="1:5">
      <c r="A535" s="139" t="str">
        <f t="shared" si="2"/>
        <v/>
      </c>
      <c r="B535" s="202"/>
      <c r="C535" s="139"/>
      <c r="D535" s="139"/>
      <c r="E535" s="139"/>
    </row>
    <row r="536" spans="1:5">
      <c r="A536" s="139" t="str">
        <f t="shared" si="2"/>
        <v/>
      </c>
      <c r="B536" s="202"/>
      <c r="C536" s="139"/>
      <c r="D536" s="139"/>
      <c r="E536" s="139"/>
    </row>
    <row r="537" spans="1:5">
      <c r="A537" s="139" t="str">
        <f t="shared" si="2"/>
        <v/>
      </c>
      <c r="B537" s="202"/>
      <c r="C537" s="139"/>
      <c r="D537" s="139"/>
      <c r="E537" s="139"/>
    </row>
    <row r="538" spans="1:5">
      <c r="A538" s="139" t="str">
        <f t="shared" si="2"/>
        <v/>
      </c>
      <c r="B538" s="202"/>
      <c r="C538" s="139"/>
      <c r="D538" s="139"/>
      <c r="E538" s="139"/>
    </row>
    <row r="539" spans="1:5">
      <c r="A539" s="139" t="str">
        <f t="shared" si="2"/>
        <v/>
      </c>
      <c r="B539" s="202"/>
      <c r="C539" s="139"/>
      <c r="D539" s="139"/>
      <c r="E539" s="139"/>
    </row>
    <row r="540" spans="1:5">
      <c r="A540" s="139" t="str">
        <f t="shared" si="2"/>
        <v/>
      </c>
      <c r="B540" s="202"/>
      <c r="C540" s="139"/>
      <c r="D540" s="139"/>
      <c r="E540" s="139"/>
    </row>
    <row r="541" spans="1:5">
      <c r="A541" s="139" t="str">
        <f t="shared" si="2"/>
        <v/>
      </c>
      <c r="B541" s="202"/>
      <c r="C541" s="139"/>
      <c r="D541" s="139"/>
      <c r="E541" s="139"/>
    </row>
    <row r="542" spans="1:5">
      <c r="A542" s="139" t="str">
        <f t="shared" si="2"/>
        <v/>
      </c>
      <c r="B542" s="202"/>
      <c r="C542" s="139"/>
      <c r="D542" s="139"/>
      <c r="E542" s="139"/>
    </row>
    <row r="543" spans="1:5">
      <c r="A543" s="139" t="str">
        <f t="shared" si="2"/>
        <v/>
      </c>
      <c r="B543" s="202"/>
      <c r="C543" s="139"/>
      <c r="D543" s="139"/>
      <c r="E543" s="139"/>
    </row>
    <row r="544" spans="1:5">
      <c r="A544" s="139" t="str">
        <f t="shared" si="2"/>
        <v/>
      </c>
      <c r="B544" s="202"/>
      <c r="C544" s="139"/>
      <c r="D544" s="139"/>
      <c r="E544" s="139"/>
    </row>
    <row r="545" spans="1:5">
      <c r="A545" s="139" t="str">
        <f t="shared" si="2"/>
        <v/>
      </c>
      <c r="B545" s="202"/>
      <c r="C545" s="139"/>
      <c r="D545" s="139"/>
      <c r="E545" s="139"/>
    </row>
    <row r="546" spans="1:5">
      <c r="A546" s="139" t="str">
        <f t="shared" si="2"/>
        <v/>
      </c>
      <c r="B546" s="202"/>
      <c r="C546" s="139"/>
      <c r="D546" s="139"/>
      <c r="E546" s="139"/>
    </row>
    <row r="547" spans="1:5">
      <c r="A547" s="139" t="str">
        <f t="shared" si="2"/>
        <v/>
      </c>
      <c r="B547" s="202"/>
      <c r="C547" s="139"/>
      <c r="D547" s="139"/>
      <c r="E547" s="139"/>
    </row>
    <row r="548" spans="1:5">
      <c r="A548" s="139" t="str">
        <f t="shared" si="2"/>
        <v/>
      </c>
      <c r="B548" s="202"/>
      <c r="C548" s="139"/>
      <c r="D548" s="139"/>
      <c r="E548" s="139"/>
    </row>
    <row r="549" spans="1:5">
      <c r="A549" s="139" t="str">
        <f t="shared" si="2"/>
        <v/>
      </c>
      <c r="B549" s="202"/>
      <c r="C549" s="139"/>
      <c r="D549" s="139"/>
      <c r="E549" s="139"/>
    </row>
    <row r="550" spans="1:5">
      <c r="A550" s="139" t="str">
        <f t="shared" si="2"/>
        <v/>
      </c>
      <c r="B550" s="202"/>
      <c r="C550" s="139"/>
      <c r="D550" s="139"/>
      <c r="E550" s="139"/>
    </row>
    <row r="551" spans="1:5">
      <c r="A551" s="139" t="str">
        <f t="shared" si="2"/>
        <v/>
      </c>
      <c r="B551" s="202"/>
      <c r="C551" s="139"/>
      <c r="D551" s="139"/>
      <c r="E551" s="139"/>
    </row>
    <row r="552" spans="1:5">
      <c r="A552" s="139" t="str">
        <f t="shared" si="2"/>
        <v/>
      </c>
      <c r="B552" s="202"/>
      <c r="C552" s="139"/>
      <c r="D552" s="139"/>
      <c r="E552" s="139"/>
    </row>
    <row r="553" spans="1:5">
      <c r="A553" s="139" t="str">
        <f t="shared" si="2"/>
        <v/>
      </c>
      <c r="B553" s="202"/>
      <c r="C553" s="139"/>
      <c r="D553" s="139"/>
      <c r="E553" s="139"/>
    </row>
    <row r="554" spans="1:5">
      <c r="A554" s="139" t="str">
        <f t="shared" si="2"/>
        <v/>
      </c>
      <c r="B554" s="202"/>
      <c r="C554" s="139"/>
      <c r="D554" s="139"/>
      <c r="E554" s="139"/>
    </row>
    <row r="555" spans="1:5">
      <c r="A555" s="139" t="str">
        <f t="shared" si="2"/>
        <v/>
      </c>
      <c r="B555" s="202"/>
      <c r="C555" s="139"/>
      <c r="D555" s="139"/>
      <c r="E555" s="139"/>
    </row>
    <row r="556" spans="1:5">
      <c r="A556" s="139" t="str">
        <f t="shared" si="2"/>
        <v/>
      </c>
      <c r="B556" s="202"/>
      <c r="C556" s="139"/>
      <c r="D556" s="139"/>
      <c r="E556" s="139"/>
    </row>
    <row r="557" spans="1:5">
      <c r="A557" s="139" t="str">
        <f t="shared" si="2"/>
        <v/>
      </c>
      <c r="B557" s="202"/>
      <c r="C557" s="139"/>
      <c r="D557" s="139"/>
      <c r="E557" s="139"/>
    </row>
    <row r="558" spans="1:5">
      <c r="A558" s="139" t="str">
        <f t="shared" si="2"/>
        <v/>
      </c>
      <c r="B558" s="202"/>
      <c r="C558" s="139"/>
      <c r="D558" s="139"/>
      <c r="E558" s="139"/>
    </row>
    <row r="559" spans="1:5">
      <c r="A559" s="139" t="str">
        <f t="shared" si="2"/>
        <v/>
      </c>
      <c r="B559" s="202"/>
      <c r="C559" s="139"/>
      <c r="D559" s="139"/>
      <c r="E559" s="139"/>
    </row>
    <row r="560" spans="1:5">
      <c r="A560" s="139" t="str">
        <f t="shared" si="2"/>
        <v/>
      </c>
      <c r="B560" s="202"/>
      <c r="C560" s="139"/>
      <c r="D560" s="139"/>
      <c r="E560" s="139"/>
    </row>
    <row r="561" spans="1:5">
      <c r="A561" s="139" t="str">
        <f t="shared" si="2"/>
        <v/>
      </c>
      <c r="B561" s="202"/>
      <c r="C561" s="139"/>
      <c r="D561" s="139"/>
      <c r="E561" s="139"/>
    </row>
    <row r="562" spans="1:5">
      <c r="A562" s="139" t="str">
        <f t="shared" si="2"/>
        <v/>
      </c>
      <c r="B562" s="202"/>
      <c r="C562" s="139"/>
      <c r="D562" s="139"/>
      <c r="E562" s="139"/>
    </row>
    <row r="563" spans="1:5">
      <c r="A563" s="139" t="str">
        <f t="shared" si="2"/>
        <v/>
      </c>
      <c r="B563" s="202"/>
      <c r="C563" s="139"/>
      <c r="D563" s="139"/>
      <c r="E563" s="139"/>
    </row>
    <row r="564" spans="1:5">
      <c r="A564" s="139" t="str">
        <f t="shared" si="2"/>
        <v/>
      </c>
      <c r="B564" s="202"/>
      <c r="C564" s="139"/>
      <c r="D564" s="139"/>
      <c r="E564" s="139"/>
    </row>
    <row r="565" spans="1:5">
      <c r="A565" s="139" t="str">
        <f t="shared" si="2"/>
        <v/>
      </c>
      <c r="B565" s="202"/>
      <c r="C565" s="139"/>
      <c r="D565" s="139"/>
      <c r="E565" s="139"/>
    </row>
    <row r="566" spans="1:5">
      <c r="A566" s="139" t="str">
        <f t="shared" si="2"/>
        <v/>
      </c>
      <c r="B566" s="202"/>
      <c r="C566" s="139"/>
      <c r="D566" s="139"/>
      <c r="E566" s="139"/>
    </row>
    <row r="567" spans="1:5">
      <c r="A567" s="139" t="str">
        <f t="shared" si="2"/>
        <v/>
      </c>
      <c r="B567" s="202"/>
      <c r="C567" s="139"/>
      <c r="D567" s="139"/>
      <c r="E567" s="139"/>
    </row>
    <row r="568" spans="1:5">
      <c r="A568" s="139" t="str">
        <f t="shared" si="2"/>
        <v/>
      </c>
      <c r="B568" s="202"/>
      <c r="C568" s="139"/>
      <c r="D568" s="139"/>
      <c r="E568" s="139"/>
    </row>
    <row r="569" spans="1:5">
      <c r="A569" s="139" t="str">
        <f t="shared" si="2"/>
        <v/>
      </c>
      <c r="B569" s="202"/>
      <c r="C569" s="139"/>
      <c r="D569" s="139"/>
      <c r="E569" s="139"/>
    </row>
    <row r="570" spans="1:5">
      <c r="A570" s="139" t="str">
        <f t="shared" si="2"/>
        <v/>
      </c>
      <c r="B570" s="202"/>
      <c r="C570" s="139"/>
      <c r="D570" s="139"/>
      <c r="E570" s="139"/>
    </row>
    <row r="571" spans="1:5">
      <c r="A571" s="139" t="str">
        <f t="shared" si="2"/>
        <v/>
      </c>
      <c r="B571" s="202"/>
      <c r="C571" s="139"/>
      <c r="D571" s="139"/>
      <c r="E571" s="139"/>
    </row>
    <row r="572" spans="1:5">
      <c r="A572" s="139" t="str">
        <f t="shared" si="2"/>
        <v/>
      </c>
      <c r="B572" s="202"/>
      <c r="C572" s="139"/>
      <c r="D572" s="139"/>
      <c r="E572" s="139"/>
    </row>
    <row r="573" spans="1:5">
      <c r="A573" s="139" t="str">
        <f t="shared" si="2"/>
        <v/>
      </c>
      <c r="B573" s="202"/>
      <c r="C573" s="139"/>
      <c r="D573" s="139"/>
      <c r="E573" s="139"/>
    </row>
    <row r="574" spans="1:5">
      <c r="A574" s="139" t="str">
        <f t="shared" si="2"/>
        <v/>
      </c>
      <c r="B574" s="202"/>
      <c r="C574" s="139"/>
      <c r="D574" s="139"/>
      <c r="E574" s="139"/>
    </row>
    <row r="575" spans="1:5">
      <c r="A575" s="139" t="str">
        <f t="shared" si="2"/>
        <v/>
      </c>
      <c r="B575" s="202"/>
      <c r="C575" s="139"/>
      <c r="D575" s="139"/>
      <c r="E575" s="139"/>
    </row>
    <row r="576" spans="1:5">
      <c r="A576" s="139" t="str">
        <f t="shared" si="2"/>
        <v/>
      </c>
      <c r="B576" s="202"/>
      <c r="C576" s="139"/>
      <c r="D576" s="139"/>
      <c r="E576" s="139"/>
    </row>
    <row r="577" spans="1:5">
      <c r="A577" s="139" t="str">
        <f t="shared" si="2"/>
        <v/>
      </c>
      <c r="B577" s="202"/>
      <c r="C577" s="139"/>
      <c r="D577" s="139"/>
      <c r="E577" s="139"/>
    </row>
    <row r="578" spans="1:5">
      <c r="A578" s="139" t="str">
        <f t="shared" si="2"/>
        <v/>
      </c>
      <c r="B578" s="202"/>
      <c r="C578" s="139"/>
      <c r="D578" s="139"/>
      <c r="E578" s="139"/>
    </row>
    <row r="579" spans="1:5">
      <c r="A579" s="139" t="str">
        <f t="shared" si="2"/>
        <v/>
      </c>
      <c r="B579" s="202"/>
      <c r="C579" s="139"/>
      <c r="D579" s="139"/>
      <c r="E579" s="139"/>
    </row>
    <row r="580" spans="1:5">
      <c r="A580" s="139" t="str">
        <f t="shared" si="2"/>
        <v/>
      </c>
      <c r="B580" s="202"/>
      <c r="C580" s="139"/>
      <c r="D580" s="139"/>
      <c r="E580" s="139"/>
    </row>
    <row r="581" spans="1:5">
      <c r="A581" s="139" t="str">
        <f t="shared" si="2"/>
        <v/>
      </c>
      <c r="B581" s="202"/>
      <c r="C581" s="139"/>
      <c r="D581" s="139"/>
      <c r="E581" s="139"/>
    </row>
    <row r="582" spans="1:5">
      <c r="A582" s="139" t="str">
        <f t="shared" si="2"/>
        <v/>
      </c>
      <c r="B582" s="202"/>
      <c r="C582" s="139"/>
      <c r="D582" s="139"/>
      <c r="E582" s="139"/>
    </row>
    <row r="583" spans="1:5">
      <c r="A583" s="139" t="str">
        <f t="shared" si="2"/>
        <v/>
      </c>
      <c r="B583" s="202"/>
      <c r="C583" s="139"/>
      <c r="D583" s="139"/>
      <c r="E583" s="139"/>
    </row>
    <row r="584" spans="1:5">
      <c r="A584" s="139" t="str">
        <f t="shared" si="2"/>
        <v/>
      </c>
      <c r="B584" s="202"/>
      <c r="C584" s="139"/>
      <c r="D584" s="139"/>
      <c r="E584" s="139"/>
    </row>
    <row r="585" spans="1:5">
      <c r="A585" s="139" t="str">
        <f t="shared" si="2"/>
        <v/>
      </c>
      <c r="B585" s="202"/>
      <c r="C585" s="139"/>
      <c r="D585" s="139"/>
      <c r="E585" s="139"/>
    </row>
    <row r="586" spans="1:5">
      <c r="A586" s="139" t="str">
        <f t="shared" si="2"/>
        <v/>
      </c>
      <c r="B586" s="202"/>
      <c r="C586" s="139"/>
      <c r="D586" s="139"/>
      <c r="E586" s="139"/>
    </row>
    <row r="587" spans="1:5">
      <c r="A587" s="139" t="str">
        <f t="shared" si="2"/>
        <v/>
      </c>
      <c r="B587" s="202"/>
      <c r="C587" s="139"/>
      <c r="D587" s="139"/>
      <c r="E587" s="139"/>
    </row>
    <row r="588" spans="1:5">
      <c r="A588" s="139" t="str">
        <f t="shared" si="2"/>
        <v/>
      </c>
      <c r="B588" s="202"/>
      <c r="C588" s="139"/>
      <c r="D588" s="139"/>
      <c r="E588" s="139"/>
    </row>
    <row r="589" spans="1:5">
      <c r="A589" s="139" t="str">
        <f t="shared" si="2"/>
        <v/>
      </c>
      <c r="B589" s="202"/>
      <c r="C589" s="139"/>
      <c r="D589" s="139"/>
      <c r="E589" s="139"/>
    </row>
    <row r="590" spans="1:5">
      <c r="A590" s="139" t="str">
        <f t="shared" si="2"/>
        <v/>
      </c>
      <c r="B590" s="202"/>
      <c r="C590" s="139"/>
      <c r="D590" s="139"/>
      <c r="E590" s="139"/>
    </row>
    <row r="591" spans="1:5">
      <c r="A591" s="139" t="str">
        <f t="shared" si="2"/>
        <v/>
      </c>
      <c r="B591" s="202"/>
      <c r="C591" s="139"/>
      <c r="D591" s="139"/>
      <c r="E591" s="139"/>
    </row>
    <row r="592" spans="1:5">
      <c r="A592" s="139" t="str">
        <f t="shared" si="2"/>
        <v/>
      </c>
      <c r="B592" s="202"/>
      <c r="C592" s="139"/>
      <c r="D592" s="139"/>
      <c r="E592" s="139"/>
    </row>
    <row r="593" spans="1:5">
      <c r="A593" s="139" t="str">
        <f t="shared" si="2"/>
        <v/>
      </c>
      <c r="B593" s="202"/>
      <c r="C593" s="139"/>
      <c r="D593" s="139"/>
      <c r="E593" s="139"/>
    </row>
    <row r="594" spans="1:5">
      <c r="A594" s="139" t="str">
        <f t="shared" si="2"/>
        <v/>
      </c>
      <c r="B594" s="202"/>
      <c r="C594" s="139"/>
      <c r="D594" s="139"/>
      <c r="E594" s="139"/>
    </row>
    <row r="595" spans="1:5">
      <c r="A595" s="139" t="str">
        <f t="shared" si="2"/>
        <v/>
      </c>
      <c r="B595" s="202"/>
      <c r="C595" s="139"/>
      <c r="D595" s="139"/>
      <c r="E595" s="139"/>
    </row>
    <row r="596" spans="1:5">
      <c r="A596" s="139" t="str">
        <f t="shared" si="2"/>
        <v/>
      </c>
      <c r="B596" s="202"/>
      <c r="C596" s="139"/>
      <c r="D596" s="139"/>
      <c r="E596" s="139"/>
    </row>
    <row r="597" spans="1:5">
      <c r="A597" s="139" t="str">
        <f t="shared" si="2"/>
        <v/>
      </c>
      <c r="B597" s="202"/>
      <c r="C597" s="139"/>
      <c r="D597" s="139"/>
      <c r="E597" s="139"/>
    </row>
    <row r="598" spans="1:5">
      <c r="A598" s="139" t="str">
        <f t="shared" si="2"/>
        <v/>
      </c>
      <c r="B598" s="202"/>
      <c r="C598" s="139"/>
      <c r="D598" s="139"/>
      <c r="E598" s="139"/>
    </row>
    <row r="599" spans="1:5">
      <c r="A599" s="139" t="str">
        <f t="shared" si="2"/>
        <v/>
      </c>
      <c r="B599" s="202"/>
      <c r="C599" s="139"/>
      <c r="D599" s="139"/>
      <c r="E599" s="139"/>
    </row>
    <row r="600" spans="1:5">
      <c r="A600" s="139" t="str">
        <f t="shared" si="2"/>
        <v/>
      </c>
      <c r="B600" s="202"/>
      <c r="C600" s="139"/>
      <c r="D600" s="139"/>
      <c r="E600" s="139"/>
    </row>
    <row r="601" spans="1:5">
      <c r="A601" s="139" t="str">
        <f t="shared" si="2"/>
        <v/>
      </c>
      <c r="B601" s="202"/>
      <c r="C601" s="139"/>
      <c r="D601" s="139"/>
      <c r="E601" s="139"/>
    </row>
    <row r="602" spans="1:5">
      <c r="A602" s="139" t="str">
        <f t="shared" si="2"/>
        <v/>
      </c>
      <c r="B602" s="202"/>
      <c r="C602" s="139"/>
      <c r="D602" s="139"/>
      <c r="E602" s="139"/>
    </row>
    <row r="603" spans="1:5">
      <c r="A603" s="139" t="str">
        <f t="shared" si="2"/>
        <v/>
      </c>
      <c r="B603" s="202"/>
      <c r="C603" s="139"/>
      <c r="D603" s="139"/>
      <c r="E603" s="139"/>
    </row>
    <row r="604" spans="1:5">
      <c r="A604" s="139" t="str">
        <f t="shared" si="2"/>
        <v/>
      </c>
      <c r="B604" s="202"/>
      <c r="C604" s="139"/>
      <c r="D604" s="139"/>
      <c r="E604" s="139"/>
    </row>
    <row r="605" spans="1:5">
      <c r="A605" s="139" t="str">
        <f t="shared" si="2"/>
        <v/>
      </c>
      <c r="B605" s="202"/>
      <c r="C605" s="139"/>
      <c r="D605" s="139"/>
      <c r="E605" s="139"/>
    </row>
    <row r="606" spans="1:5">
      <c r="A606" s="139" t="str">
        <f t="shared" si="2"/>
        <v/>
      </c>
      <c r="B606" s="202"/>
      <c r="C606" s="139"/>
      <c r="D606" s="139"/>
      <c r="E606" s="139"/>
    </row>
    <row r="607" spans="1:5">
      <c r="A607" s="139" t="str">
        <f t="shared" si="2"/>
        <v/>
      </c>
      <c r="B607" s="202"/>
      <c r="C607" s="139"/>
      <c r="D607" s="139"/>
      <c r="E607" s="139"/>
    </row>
    <row r="608" spans="1:5">
      <c r="A608" s="139" t="str">
        <f t="shared" si="2"/>
        <v/>
      </c>
      <c r="B608" s="202"/>
      <c r="C608" s="139"/>
      <c r="D608" s="139"/>
      <c r="E608" s="139"/>
    </row>
    <row r="609" spans="1:5">
      <c r="A609" s="139" t="str">
        <f t="shared" si="2"/>
        <v/>
      </c>
      <c r="B609" s="202"/>
      <c r="C609" s="139"/>
      <c r="D609" s="139"/>
      <c r="E609" s="139"/>
    </row>
    <row r="610" spans="1:5">
      <c r="A610" s="139" t="str">
        <f t="shared" si="2"/>
        <v/>
      </c>
      <c r="B610" s="202"/>
      <c r="C610" s="139"/>
      <c r="D610" s="139"/>
      <c r="E610" s="139"/>
    </row>
    <row r="611" spans="1:5">
      <c r="A611" s="139" t="str">
        <f t="shared" si="2"/>
        <v/>
      </c>
      <c r="B611" s="202"/>
      <c r="C611" s="139"/>
      <c r="D611" s="139"/>
      <c r="E611" s="139"/>
    </row>
    <row r="612" spans="1:5">
      <c r="A612" s="139" t="str">
        <f t="shared" si="2"/>
        <v/>
      </c>
      <c r="B612" s="202"/>
      <c r="C612" s="139"/>
      <c r="D612" s="139"/>
      <c r="E612" s="139"/>
    </row>
    <row r="613" spans="1:5">
      <c r="A613" s="139" t="str">
        <f t="shared" si="2"/>
        <v/>
      </c>
      <c r="B613" s="202"/>
      <c r="C613" s="139"/>
      <c r="D613" s="139"/>
      <c r="E613" s="139"/>
    </row>
    <row r="614" spans="1:5">
      <c r="A614" s="139" t="str">
        <f t="shared" si="2"/>
        <v/>
      </c>
      <c r="B614" s="202"/>
      <c r="C614" s="139"/>
      <c r="D614" s="139"/>
      <c r="E614" s="139"/>
    </row>
    <row r="615" spans="1:5">
      <c r="A615" s="139" t="str">
        <f t="shared" si="2"/>
        <v/>
      </c>
      <c r="B615" s="202"/>
      <c r="C615" s="139"/>
      <c r="D615" s="139"/>
      <c r="E615" s="139"/>
    </row>
    <row r="616" spans="1:5">
      <c r="A616" s="139" t="str">
        <f t="shared" si="2"/>
        <v/>
      </c>
      <c r="B616" s="202"/>
      <c r="C616" s="139"/>
      <c r="D616" s="139"/>
      <c r="E616" s="139"/>
    </row>
    <row r="617" spans="1:5">
      <c r="A617" s="139" t="str">
        <f t="shared" si="2"/>
        <v/>
      </c>
      <c r="B617" s="202"/>
      <c r="C617" s="139"/>
      <c r="D617" s="139"/>
      <c r="E617" s="139"/>
    </row>
    <row r="618" spans="1:5">
      <c r="A618" s="139" t="str">
        <f t="shared" si="2"/>
        <v/>
      </c>
      <c r="B618" s="202"/>
      <c r="C618" s="139"/>
      <c r="D618" s="139"/>
      <c r="E618" s="139"/>
    </row>
    <row r="619" spans="1:5">
      <c r="A619" s="139" t="str">
        <f t="shared" si="2"/>
        <v/>
      </c>
      <c r="B619" s="202"/>
      <c r="C619" s="139"/>
      <c r="D619" s="139"/>
      <c r="E619" s="139"/>
    </row>
    <row r="620" spans="1:5">
      <c r="A620" s="139" t="str">
        <f t="shared" si="2"/>
        <v/>
      </c>
      <c r="B620" s="202"/>
      <c r="C620" s="139"/>
      <c r="D620" s="139"/>
      <c r="E620" s="139"/>
    </row>
    <row r="621" spans="1:5">
      <c r="A621" s="139" t="str">
        <f t="shared" si="2"/>
        <v/>
      </c>
      <c r="B621" s="202"/>
      <c r="C621" s="139"/>
      <c r="D621" s="139"/>
      <c r="E621" s="139"/>
    </row>
    <row r="622" spans="1:5">
      <c r="A622" s="139" t="str">
        <f t="shared" si="2"/>
        <v/>
      </c>
      <c r="B622" s="202"/>
      <c r="C622" s="139"/>
      <c r="D622" s="139"/>
      <c r="E622" s="139"/>
    </row>
    <row r="623" spans="1:5">
      <c r="A623" s="139" t="str">
        <f t="shared" si="2"/>
        <v/>
      </c>
      <c r="B623" s="202"/>
      <c r="C623" s="139"/>
      <c r="D623" s="139"/>
      <c r="E623" s="139"/>
    </row>
    <row r="624" spans="1:5">
      <c r="A624" s="139" t="str">
        <f t="shared" si="2"/>
        <v/>
      </c>
      <c r="B624" s="202"/>
      <c r="C624" s="139"/>
      <c r="D624" s="139"/>
      <c r="E624" s="139"/>
    </row>
    <row r="625" spans="1:5">
      <c r="A625" s="139" t="str">
        <f t="shared" si="2"/>
        <v/>
      </c>
      <c r="B625" s="202"/>
      <c r="C625" s="139"/>
      <c r="D625" s="139"/>
      <c r="E625" s="139"/>
    </row>
    <row r="626" spans="1:5">
      <c r="A626" s="139" t="str">
        <f t="shared" si="2"/>
        <v/>
      </c>
      <c r="B626" s="202"/>
      <c r="C626" s="139"/>
      <c r="D626" s="139"/>
      <c r="E626" s="139"/>
    </row>
    <row r="627" spans="1:5">
      <c r="A627" s="139" t="str">
        <f t="shared" si="2"/>
        <v/>
      </c>
      <c r="B627" s="202"/>
      <c r="C627" s="139"/>
      <c r="D627" s="139"/>
      <c r="E627" s="139"/>
    </row>
    <row r="628" spans="1:5">
      <c r="A628" s="139" t="str">
        <f t="shared" si="2"/>
        <v/>
      </c>
      <c r="B628" s="202"/>
      <c r="C628" s="139"/>
      <c r="D628" s="139"/>
      <c r="E628" s="139"/>
    </row>
    <row r="629" spans="1:5">
      <c r="A629" s="139" t="str">
        <f t="shared" si="2"/>
        <v/>
      </c>
      <c r="B629" s="202"/>
      <c r="C629" s="139"/>
      <c r="D629" s="139"/>
      <c r="E629" s="139"/>
    </row>
    <row r="630" spans="1:5">
      <c r="A630" s="139" t="str">
        <f t="shared" si="2"/>
        <v/>
      </c>
      <c r="B630" s="202"/>
      <c r="C630" s="139"/>
      <c r="D630" s="139"/>
      <c r="E630" s="139"/>
    </row>
    <row r="631" spans="1:5">
      <c r="A631" s="139" t="str">
        <f t="shared" si="2"/>
        <v/>
      </c>
      <c r="B631" s="202"/>
      <c r="C631" s="139"/>
      <c r="D631" s="139"/>
      <c r="E631" s="139"/>
    </row>
    <row r="632" spans="1:5">
      <c r="A632" s="139" t="str">
        <f t="shared" si="2"/>
        <v/>
      </c>
      <c r="B632" s="202"/>
      <c r="C632" s="139"/>
      <c r="D632" s="139"/>
      <c r="E632" s="139"/>
    </row>
    <row r="633" spans="1:5">
      <c r="A633" s="139" t="str">
        <f t="shared" si="2"/>
        <v/>
      </c>
      <c r="B633" s="202"/>
      <c r="C633" s="139"/>
      <c r="D633" s="139"/>
      <c r="E633" s="139"/>
    </row>
    <row r="634" spans="1:5">
      <c r="A634" s="139" t="str">
        <f t="shared" si="2"/>
        <v/>
      </c>
      <c r="B634" s="202"/>
      <c r="C634" s="139"/>
      <c r="D634" s="139"/>
      <c r="E634" s="139"/>
    </row>
    <row r="635" spans="1:5">
      <c r="A635" s="139" t="str">
        <f t="shared" si="2"/>
        <v/>
      </c>
      <c r="B635" s="202"/>
      <c r="C635" s="139"/>
      <c r="D635" s="139"/>
      <c r="E635" s="139"/>
    </row>
    <row r="636" spans="1:5">
      <c r="A636" s="139" t="str">
        <f t="shared" si="2"/>
        <v/>
      </c>
      <c r="B636" s="202"/>
      <c r="C636" s="139"/>
      <c r="D636" s="139"/>
      <c r="E636" s="139"/>
    </row>
    <row r="637" spans="1:5">
      <c r="A637" s="139" t="str">
        <f t="shared" si="2"/>
        <v/>
      </c>
      <c r="B637" s="202"/>
      <c r="C637" s="139"/>
      <c r="D637" s="139"/>
      <c r="E637" s="139"/>
    </row>
    <row r="638" spans="1:5">
      <c r="A638" s="139" t="str">
        <f t="shared" si="2"/>
        <v/>
      </c>
      <c r="B638" s="202"/>
      <c r="C638" s="139"/>
      <c r="D638" s="139"/>
      <c r="E638" s="139"/>
    </row>
    <row r="639" spans="1:5">
      <c r="A639" s="139" t="str">
        <f t="shared" si="2"/>
        <v/>
      </c>
      <c r="B639" s="202"/>
      <c r="C639" s="139"/>
      <c r="D639" s="139"/>
      <c r="E639" s="139"/>
    </row>
    <row r="640" spans="1:5">
      <c r="A640" s="139" t="str">
        <f t="shared" si="2"/>
        <v/>
      </c>
      <c r="B640" s="202"/>
      <c r="C640" s="139"/>
      <c r="D640" s="139"/>
      <c r="E640" s="139"/>
    </row>
    <row r="641" spans="1:5">
      <c r="A641" s="139" t="str">
        <f t="shared" si="2"/>
        <v/>
      </c>
      <c r="B641" s="202"/>
      <c r="C641" s="139"/>
      <c r="D641" s="139"/>
      <c r="E641" s="139"/>
    </row>
    <row r="642" spans="1:5">
      <c r="A642" s="139" t="str">
        <f t="shared" si="2"/>
        <v/>
      </c>
      <c r="B642" s="202"/>
      <c r="C642" s="139"/>
      <c r="D642" s="139"/>
      <c r="E642" s="139"/>
    </row>
    <row r="643" spans="1:5">
      <c r="A643" s="139" t="str">
        <f t="shared" si="2"/>
        <v/>
      </c>
      <c r="B643" s="202"/>
      <c r="C643" s="139"/>
      <c r="D643" s="139"/>
      <c r="E643" s="139"/>
    </row>
    <row r="644" spans="1:5">
      <c r="A644" s="139" t="str">
        <f t="shared" si="2"/>
        <v/>
      </c>
      <c r="B644" s="202"/>
      <c r="C644" s="139"/>
      <c r="D644" s="139"/>
      <c r="E644" s="139"/>
    </row>
    <row r="645" spans="1:5">
      <c r="A645" s="139" t="str">
        <f t="shared" si="2"/>
        <v/>
      </c>
      <c r="B645" s="202"/>
      <c r="C645" s="139"/>
      <c r="D645" s="139"/>
      <c r="E645" s="139"/>
    </row>
    <row r="646" spans="1:5">
      <c r="A646" s="139" t="str">
        <f t="shared" si="2"/>
        <v/>
      </c>
      <c r="B646" s="202"/>
      <c r="C646" s="139"/>
      <c r="D646" s="139"/>
      <c r="E646" s="139"/>
    </row>
    <row r="647" spans="1:5">
      <c r="A647" s="139" t="str">
        <f t="shared" si="2"/>
        <v/>
      </c>
      <c r="B647" s="202"/>
      <c r="C647" s="139"/>
      <c r="D647" s="139"/>
      <c r="E647" s="139"/>
    </row>
    <row r="648" spans="1:5">
      <c r="A648" s="139" t="str">
        <f t="shared" si="2"/>
        <v/>
      </c>
      <c r="B648" s="202"/>
      <c r="C648" s="139"/>
      <c r="D648" s="139"/>
      <c r="E648" s="139"/>
    </row>
    <row r="649" spans="1:5">
      <c r="A649" s="139" t="str">
        <f t="shared" si="2"/>
        <v/>
      </c>
      <c r="B649" s="202"/>
      <c r="C649" s="139"/>
      <c r="D649" s="139"/>
      <c r="E649" s="139"/>
    </row>
    <row r="650" spans="1:5">
      <c r="A650" s="139" t="str">
        <f t="shared" si="2"/>
        <v/>
      </c>
      <c r="B650" s="202"/>
      <c r="C650" s="139"/>
      <c r="D650" s="139"/>
      <c r="E650" s="139"/>
    </row>
    <row r="651" spans="1:5">
      <c r="A651" s="139" t="str">
        <f t="shared" si="2"/>
        <v/>
      </c>
      <c r="B651" s="202"/>
      <c r="C651" s="139"/>
      <c r="D651" s="139"/>
      <c r="E651" s="139"/>
    </row>
    <row r="652" spans="1:5">
      <c r="A652" s="139" t="str">
        <f t="shared" si="2"/>
        <v/>
      </c>
      <c r="B652" s="202"/>
      <c r="C652" s="139"/>
      <c r="D652" s="139"/>
      <c r="E652" s="139"/>
    </row>
    <row r="653" spans="1:5">
      <c r="A653" s="139" t="str">
        <f t="shared" si="2"/>
        <v/>
      </c>
      <c r="B653" s="202"/>
      <c r="C653" s="139"/>
      <c r="D653" s="139"/>
      <c r="E653" s="139"/>
    </row>
    <row r="654" spans="1:5">
      <c r="A654" s="139" t="str">
        <f t="shared" si="2"/>
        <v/>
      </c>
      <c r="B654" s="202"/>
      <c r="C654" s="139"/>
      <c r="D654" s="139"/>
      <c r="E654" s="139"/>
    </row>
    <row r="655" spans="1:5">
      <c r="A655" s="139" t="str">
        <f t="shared" si="2"/>
        <v/>
      </c>
      <c r="B655" s="202"/>
      <c r="C655" s="139"/>
      <c r="D655" s="139"/>
      <c r="E655" s="139"/>
    </row>
    <row r="656" spans="1:5">
      <c r="A656" s="139" t="str">
        <f t="shared" si="2"/>
        <v/>
      </c>
      <c r="B656" s="202"/>
      <c r="C656" s="139"/>
      <c r="D656" s="139"/>
      <c r="E656" s="139"/>
    </row>
    <row r="657" spans="1:5">
      <c r="A657" s="139" t="str">
        <f t="shared" si="2"/>
        <v/>
      </c>
      <c r="B657" s="202"/>
      <c r="C657" s="139"/>
      <c r="D657" s="139"/>
      <c r="E657" s="139"/>
    </row>
    <row r="658" spans="1:5">
      <c r="A658" s="139" t="str">
        <f t="shared" si="2"/>
        <v/>
      </c>
      <c r="B658" s="202"/>
      <c r="C658" s="139"/>
      <c r="D658" s="139"/>
      <c r="E658" s="139"/>
    </row>
    <row r="659" spans="1:5">
      <c r="A659" s="139" t="str">
        <f t="shared" si="2"/>
        <v/>
      </c>
      <c r="B659" s="202"/>
      <c r="C659" s="139"/>
      <c r="D659" s="139"/>
      <c r="E659" s="139"/>
    </row>
    <row r="660" spans="1:5">
      <c r="A660" s="139" t="str">
        <f t="shared" si="2"/>
        <v/>
      </c>
      <c r="B660" s="202"/>
      <c r="C660" s="139"/>
      <c r="D660" s="139"/>
      <c r="E660" s="139"/>
    </row>
    <row r="661" spans="1:5">
      <c r="A661" s="139" t="str">
        <f t="shared" si="2"/>
        <v/>
      </c>
      <c r="B661" s="202"/>
      <c r="C661" s="139"/>
      <c r="D661" s="139"/>
      <c r="E661" s="139"/>
    </row>
    <row r="662" spans="1:5">
      <c r="A662" s="139" t="str">
        <f t="shared" si="2"/>
        <v/>
      </c>
      <c r="B662" s="202"/>
      <c r="C662" s="139"/>
      <c r="D662" s="139"/>
      <c r="E662" s="139"/>
    </row>
    <row r="663" spans="1:5">
      <c r="A663" s="139" t="str">
        <f t="shared" si="2"/>
        <v/>
      </c>
      <c r="B663" s="202"/>
      <c r="C663" s="139"/>
      <c r="D663" s="139"/>
      <c r="E663" s="139"/>
    </row>
    <row r="664" spans="1:5">
      <c r="A664" s="139" t="str">
        <f t="shared" si="2"/>
        <v/>
      </c>
      <c r="B664" s="202"/>
      <c r="C664" s="139"/>
      <c r="D664" s="139"/>
      <c r="E664" s="139"/>
    </row>
    <row r="665" spans="1:5">
      <c r="A665" s="139" t="str">
        <f t="shared" si="2"/>
        <v/>
      </c>
      <c r="B665" s="202"/>
      <c r="C665" s="139"/>
      <c r="D665" s="139"/>
      <c r="E665" s="139"/>
    </row>
    <row r="666" spans="1:5">
      <c r="A666" s="139" t="str">
        <f t="shared" si="2"/>
        <v/>
      </c>
      <c r="B666" s="202"/>
      <c r="C666" s="139"/>
      <c r="D666" s="139"/>
      <c r="E666" s="139"/>
    </row>
    <row r="667" spans="1:5">
      <c r="A667" s="139" t="str">
        <f t="shared" si="2"/>
        <v/>
      </c>
      <c r="B667" s="202"/>
      <c r="C667" s="139"/>
      <c r="D667" s="139"/>
      <c r="E667" s="139"/>
    </row>
    <row r="668" spans="1:5">
      <c r="A668" s="139" t="str">
        <f t="shared" si="2"/>
        <v/>
      </c>
      <c r="B668" s="202"/>
      <c r="C668" s="139"/>
      <c r="D668" s="139"/>
      <c r="E668" s="139"/>
    </row>
    <row r="669" spans="1:5">
      <c r="A669" s="139" t="str">
        <f t="shared" si="2"/>
        <v/>
      </c>
      <c r="B669" s="202"/>
      <c r="C669" s="139"/>
      <c r="D669" s="139"/>
      <c r="E669" s="139"/>
    </row>
    <row r="670" spans="1:5">
      <c r="A670" s="139" t="str">
        <f t="shared" si="2"/>
        <v/>
      </c>
      <c r="B670" s="202"/>
      <c r="C670" s="139"/>
      <c r="D670" s="139"/>
      <c r="E670" s="139"/>
    </row>
    <row r="671" spans="1:5">
      <c r="A671" s="139" t="str">
        <f t="shared" si="2"/>
        <v/>
      </c>
      <c r="B671" s="202"/>
      <c r="C671" s="139"/>
      <c r="D671" s="139"/>
      <c r="E671" s="139"/>
    </row>
    <row r="672" spans="1:5">
      <c r="A672" s="139" t="str">
        <f t="shared" si="2"/>
        <v/>
      </c>
      <c r="B672" s="202"/>
      <c r="C672" s="139"/>
      <c r="D672" s="139"/>
      <c r="E672" s="139"/>
    </row>
    <row r="673" spans="1:5">
      <c r="A673" s="139" t="str">
        <f t="shared" si="2"/>
        <v/>
      </c>
      <c r="B673" s="202"/>
      <c r="C673" s="139"/>
      <c r="D673" s="139"/>
      <c r="E673" s="139"/>
    </row>
    <row r="674" spans="1:5">
      <c r="A674" s="139" t="str">
        <f t="shared" si="2"/>
        <v/>
      </c>
      <c r="B674" s="202"/>
      <c r="C674" s="139"/>
      <c r="D674" s="139"/>
      <c r="E674" s="139"/>
    </row>
    <row r="675" spans="1:5">
      <c r="A675" s="139" t="str">
        <f t="shared" si="2"/>
        <v/>
      </c>
      <c r="B675" s="202"/>
      <c r="C675" s="139"/>
      <c r="D675" s="139"/>
      <c r="E675" s="139"/>
    </row>
    <row r="676" spans="1:5">
      <c r="A676" s="139" t="str">
        <f t="shared" si="2"/>
        <v/>
      </c>
      <c r="B676" s="202"/>
      <c r="C676" s="139"/>
      <c r="D676" s="139"/>
      <c r="E676" s="139"/>
    </row>
    <row r="677" spans="1:5">
      <c r="A677" s="139" t="str">
        <f t="shared" si="2"/>
        <v/>
      </c>
      <c r="B677" s="202"/>
      <c r="C677" s="139"/>
      <c r="D677" s="139"/>
      <c r="E677" s="139"/>
    </row>
    <row r="678" spans="1:5">
      <c r="A678" s="139" t="str">
        <f t="shared" si="2"/>
        <v/>
      </c>
      <c r="B678" s="202"/>
      <c r="C678" s="139"/>
      <c r="D678" s="139"/>
      <c r="E678" s="139"/>
    </row>
    <row r="679" spans="1:5">
      <c r="A679" s="139" t="str">
        <f t="shared" si="2"/>
        <v/>
      </c>
      <c r="B679" s="202"/>
      <c r="C679" s="139"/>
      <c r="D679" s="139"/>
      <c r="E679" s="139"/>
    </row>
    <row r="680" spans="1:5">
      <c r="A680" s="139" t="str">
        <f t="shared" si="2"/>
        <v/>
      </c>
      <c r="B680" s="202"/>
      <c r="C680" s="139"/>
      <c r="D680" s="139"/>
      <c r="E680" s="139"/>
    </row>
    <row r="681" spans="1:5">
      <c r="A681" s="139" t="str">
        <f t="shared" si="2"/>
        <v/>
      </c>
      <c r="B681" s="202"/>
      <c r="C681" s="139"/>
      <c r="D681" s="139"/>
      <c r="E681" s="139"/>
    </row>
    <row r="682" spans="1:5">
      <c r="A682" s="139" t="str">
        <f t="shared" si="2"/>
        <v/>
      </c>
      <c r="B682" s="202"/>
      <c r="C682" s="139"/>
      <c r="D682" s="139"/>
      <c r="E682" s="139"/>
    </row>
    <row r="683" spans="1:5">
      <c r="A683" s="139" t="str">
        <f t="shared" si="2"/>
        <v/>
      </c>
      <c r="B683" s="202"/>
      <c r="C683" s="139"/>
      <c r="D683" s="139"/>
      <c r="E683" s="139"/>
    </row>
    <row r="684" spans="1:5">
      <c r="A684" s="139" t="str">
        <f t="shared" si="2"/>
        <v/>
      </c>
      <c r="B684" s="202"/>
      <c r="C684" s="139"/>
      <c r="D684" s="139"/>
      <c r="E684" s="139"/>
    </row>
    <row r="685" spans="1:5">
      <c r="A685" s="139" t="str">
        <f t="shared" si="2"/>
        <v/>
      </c>
      <c r="B685" s="202"/>
      <c r="C685" s="139"/>
      <c r="D685" s="139"/>
      <c r="E685" s="139"/>
    </row>
    <row r="686" spans="1:5">
      <c r="A686" s="139" t="str">
        <f t="shared" si="2"/>
        <v/>
      </c>
      <c r="B686" s="202"/>
      <c r="C686" s="139"/>
      <c r="D686" s="139"/>
      <c r="E686" s="139"/>
    </row>
    <row r="687" spans="1:5">
      <c r="A687" s="139" t="str">
        <f t="shared" si="2"/>
        <v/>
      </c>
      <c r="B687" s="202"/>
      <c r="C687" s="139"/>
      <c r="D687" s="139"/>
      <c r="E687" s="139"/>
    </row>
    <row r="688" spans="1:5">
      <c r="A688" s="139" t="str">
        <f t="shared" si="2"/>
        <v/>
      </c>
      <c r="B688" s="202"/>
      <c r="C688" s="139"/>
      <c r="D688" s="139"/>
      <c r="E688" s="139"/>
    </row>
    <row r="689" spans="1:5">
      <c r="A689" s="139" t="str">
        <f t="shared" si="2"/>
        <v/>
      </c>
      <c r="B689" s="202"/>
      <c r="C689" s="139"/>
      <c r="D689" s="139"/>
      <c r="E689" s="139"/>
    </row>
    <row r="690" spans="1:5">
      <c r="A690" s="139" t="str">
        <f t="shared" si="2"/>
        <v/>
      </c>
      <c r="B690" s="202"/>
      <c r="C690" s="139"/>
      <c r="D690" s="139"/>
      <c r="E690" s="139"/>
    </row>
    <row r="691" spans="1:5">
      <c r="A691" s="139" t="str">
        <f t="shared" si="2"/>
        <v/>
      </c>
      <c r="B691" s="202"/>
      <c r="C691" s="139"/>
      <c r="D691" s="139"/>
      <c r="E691" s="139"/>
    </row>
    <row r="692" spans="1:5">
      <c r="A692" s="139" t="str">
        <f t="shared" si="2"/>
        <v/>
      </c>
      <c r="B692" s="202"/>
      <c r="C692" s="139"/>
      <c r="D692" s="139"/>
      <c r="E692" s="139"/>
    </row>
    <row r="693" spans="1:5">
      <c r="A693" s="139" t="str">
        <f t="shared" si="2"/>
        <v/>
      </c>
      <c r="B693" s="202"/>
      <c r="C693" s="139"/>
      <c r="D693" s="139"/>
      <c r="E693" s="139"/>
    </row>
    <row r="694" spans="1:5">
      <c r="A694" s="139" t="str">
        <f t="shared" si="2"/>
        <v/>
      </c>
      <c r="B694" s="202"/>
      <c r="C694" s="139"/>
      <c r="D694" s="139"/>
      <c r="E694" s="139"/>
    </row>
    <row r="695" spans="1:5">
      <c r="A695" s="139" t="str">
        <f t="shared" si="2"/>
        <v/>
      </c>
      <c r="B695" s="202"/>
      <c r="C695" s="139"/>
      <c r="D695" s="139"/>
      <c r="E695" s="139"/>
    </row>
    <row r="696" spans="1:5">
      <c r="A696" s="139" t="str">
        <f t="shared" si="2"/>
        <v/>
      </c>
      <c r="B696" s="202"/>
      <c r="C696" s="139"/>
      <c r="D696" s="139"/>
      <c r="E696" s="139"/>
    </row>
    <row r="697" spans="1:5">
      <c r="A697" s="139" t="str">
        <f t="shared" si="2"/>
        <v/>
      </c>
      <c r="B697" s="202"/>
      <c r="C697" s="139"/>
      <c r="D697" s="139"/>
      <c r="E697" s="139"/>
    </row>
    <row r="698" spans="1:5">
      <c r="A698" s="139" t="str">
        <f t="shared" si="2"/>
        <v/>
      </c>
      <c r="B698" s="202"/>
      <c r="C698" s="139"/>
      <c r="D698" s="139"/>
      <c r="E698" s="139"/>
    </row>
    <row r="699" spans="1:5">
      <c r="A699" s="139" t="str">
        <f t="shared" si="2"/>
        <v/>
      </c>
      <c r="B699" s="202"/>
      <c r="C699" s="139"/>
      <c r="D699" s="139"/>
      <c r="E699" s="139"/>
    </row>
    <row r="700" spans="1:5">
      <c r="A700" s="139" t="str">
        <f t="shared" si="2"/>
        <v/>
      </c>
      <c r="B700" s="202"/>
      <c r="C700" s="139"/>
      <c r="D700" s="139"/>
      <c r="E700" s="139"/>
    </row>
    <row r="701" spans="1:5">
      <c r="A701" s="139" t="str">
        <f t="shared" si="2"/>
        <v/>
      </c>
      <c r="B701" s="202"/>
      <c r="C701" s="139"/>
      <c r="D701" s="139"/>
      <c r="E701" s="139"/>
    </row>
    <row r="702" spans="1:5">
      <c r="A702" s="139" t="str">
        <f t="shared" si="2"/>
        <v/>
      </c>
      <c r="B702" s="202"/>
      <c r="C702" s="139"/>
      <c r="D702" s="139"/>
      <c r="E702" s="139"/>
    </row>
    <row r="703" spans="1:5">
      <c r="A703" s="139" t="str">
        <f t="shared" si="2"/>
        <v/>
      </c>
      <c r="B703" s="202"/>
      <c r="C703" s="139"/>
      <c r="D703" s="139"/>
      <c r="E703" s="139"/>
    </row>
    <row r="704" spans="1:5">
      <c r="A704" s="139" t="str">
        <f t="shared" si="2"/>
        <v/>
      </c>
      <c r="B704" s="202"/>
      <c r="C704" s="139"/>
      <c r="D704" s="139"/>
      <c r="E704" s="139"/>
    </row>
    <row r="705" spans="1:5">
      <c r="A705" s="139" t="str">
        <f t="shared" si="2"/>
        <v/>
      </c>
      <c r="B705" s="202"/>
      <c r="C705" s="139"/>
      <c r="D705" s="139"/>
      <c r="E705" s="139"/>
    </row>
    <row r="706" spans="1:5">
      <c r="A706" s="139" t="str">
        <f t="shared" si="2"/>
        <v/>
      </c>
      <c r="B706" s="202"/>
      <c r="C706" s="139"/>
      <c r="D706" s="139"/>
      <c r="E706" s="139"/>
    </row>
    <row r="707" spans="1:5">
      <c r="A707" s="139" t="str">
        <f t="shared" si="2"/>
        <v/>
      </c>
      <c r="B707" s="202"/>
      <c r="C707" s="139"/>
      <c r="D707" s="139"/>
      <c r="E707" s="139"/>
    </row>
    <row r="708" spans="1:5">
      <c r="A708" s="139" t="str">
        <f t="shared" si="2"/>
        <v/>
      </c>
      <c r="B708" s="202"/>
      <c r="C708" s="139"/>
      <c r="D708" s="139"/>
      <c r="E708" s="139"/>
    </row>
    <row r="709" spans="1:5">
      <c r="A709" s="139" t="str">
        <f t="shared" si="2"/>
        <v/>
      </c>
      <c r="B709" s="202"/>
      <c r="C709" s="139"/>
      <c r="D709" s="139"/>
      <c r="E709" s="139"/>
    </row>
    <row r="710" spans="1:5">
      <c r="A710" s="139" t="str">
        <f t="shared" si="2"/>
        <v/>
      </c>
      <c r="B710" s="202"/>
      <c r="C710" s="139"/>
      <c r="D710" s="139"/>
      <c r="E710" s="139"/>
    </row>
    <row r="711" spans="1:5">
      <c r="A711" s="139" t="str">
        <f t="shared" si="2"/>
        <v/>
      </c>
      <c r="B711" s="202"/>
      <c r="C711" s="139"/>
      <c r="D711" s="139"/>
      <c r="E711" s="139"/>
    </row>
    <row r="712" spans="1:5">
      <c r="A712" s="139" t="str">
        <f t="shared" si="2"/>
        <v/>
      </c>
      <c r="B712" s="202"/>
      <c r="C712" s="139"/>
      <c r="D712" s="139"/>
      <c r="E712" s="139"/>
    </row>
    <row r="713" spans="1:5">
      <c r="A713" s="139" t="str">
        <f t="shared" si="2"/>
        <v/>
      </c>
      <c r="B713" s="202"/>
      <c r="C713" s="139"/>
      <c r="D713" s="139"/>
      <c r="E713" s="139"/>
    </row>
    <row r="714" spans="1:5">
      <c r="A714" s="139" t="str">
        <f t="shared" si="2"/>
        <v/>
      </c>
      <c r="B714" s="202"/>
      <c r="C714" s="139"/>
      <c r="D714" s="139"/>
      <c r="E714" s="139"/>
    </row>
    <row r="715" spans="1:5">
      <c r="A715" s="139" t="str">
        <f t="shared" si="2"/>
        <v/>
      </c>
      <c r="B715" s="202"/>
      <c r="C715" s="139"/>
      <c r="D715" s="139"/>
      <c r="E715" s="139"/>
    </row>
    <row r="716" spans="1:5">
      <c r="A716" s="139" t="str">
        <f t="shared" si="2"/>
        <v/>
      </c>
      <c r="B716" s="202"/>
      <c r="C716" s="139"/>
      <c r="D716" s="139"/>
      <c r="E716" s="139"/>
    </row>
    <row r="717" spans="1:5">
      <c r="A717" s="139" t="str">
        <f t="shared" si="2"/>
        <v/>
      </c>
      <c r="B717" s="202"/>
      <c r="C717" s="139"/>
      <c r="D717" s="139"/>
      <c r="E717" s="139"/>
    </row>
    <row r="718" spans="1:5">
      <c r="A718" s="139" t="str">
        <f t="shared" si="2"/>
        <v/>
      </c>
      <c r="B718" s="202"/>
      <c r="C718" s="139"/>
      <c r="D718" s="139"/>
      <c r="E718" s="139"/>
    </row>
    <row r="719" spans="1:5">
      <c r="A719" s="139" t="str">
        <f t="shared" si="2"/>
        <v/>
      </c>
      <c r="B719" s="202"/>
      <c r="C719" s="139"/>
      <c r="D719" s="139"/>
      <c r="E719" s="139"/>
    </row>
    <row r="720" spans="1:5">
      <c r="A720" s="139" t="str">
        <f t="shared" si="2"/>
        <v/>
      </c>
      <c r="B720" s="202"/>
      <c r="C720" s="139"/>
      <c r="D720" s="139"/>
      <c r="E720" s="139"/>
    </row>
    <row r="721" spans="1:5">
      <c r="A721" s="139" t="str">
        <f t="shared" si="2"/>
        <v/>
      </c>
      <c r="B721" s="202"/>
      <c r="C721" s="139"/>
      <c r="D721" s="139"/>
      <c r="E721" s="139"/>
    </row>
    <row r="722" spans="1:5">
      <c r="A722" s="139" t="str">
        <f t="shared" si="2"/>
        <v/>
      </c>
      <c r="B722" s="202"/>
      <c r="C722" s="139"/>
      <c r="D722" s="139"/>
      <c r="E722" s="139"/>
    </row>
    <row r="723" spans="1:5">
      <c r="A723" s="139" t="str">
        <f t="shared" si="2"/>
        <v/>
      </c>
      <c r="B723" s="202"/>
      <c r="C723" s="139"/>
      <c r="D723" s="139"/>
      <c r="E723" s="139"/>
    </row>
    <row r="724" spans="1:5">
      <c r="A724" s="139" t="str">
        <f t="shared" si="2"/>
        <v/>
      </c>
      <c r="B724" s="202"/>
      <c r="C724" s="139"/>
      <c r="D724" s="139"/>
      <c r="E724" s="139"/>
    </row>
    <row r="725" spans="1:5">
      <c r="A725" s="139" t="str">
        <f t="shared" si="2"/>
        <v/>
      </c>
      <c r="B725" s="202"/>
      <c r="C725" s="139"/>
      <c r="D725" s="139"/>
      <c r="E725" s="139"/>
    </row>
    <row r="726" spans="1:5">
      <c r="A726" s="139" t="str">
        <f t="shared" si="2"/>
        <v/>
      </c>
      <c r="B726" s="202"/>
      <c r="C726" s="139"/>
      <c r="D726" s="139"/>
      <c r="E726" s="139"/>
    </row>
    <row r="727" spans="1:5">
      <c r="A727" s="139" t="str">
        <f t="shared" si="2"/>
        <v/>
      </c>
      <c r="B727" s="202"/>
      <c r="C727" s="139"/>
      <c r="D727" s="139"/>
      <c r="E727" s="139"/>
    </row>
    <row r="728" spans="1:5">
      <c r="A728" s="139" t="str">
        <f t="shared" si="2"/>
        <v/>
      </c>
      <c r="B728" s="202"/>
      <c r="C728" s="139"/>
      <c r="D728" s="139"/>
      <c r="E728" s="139"/>
    </row>
    <row r="729" spans="1:5">
      <c r="A729" s="139" t="str">
        <f t="shared" si="2"/>
        <v/>
      </c>
      <c r="B729" s="202"/>
      <c r="C729" s="139"/>
      <c r="D729" s="139"/>
      <c r="E729" s="139"/>
    </row>
    <row r="730" spans="1:5">
      <c r="A730" s="139" t="str">
        <f t="shared" si="2"/>
        <v/>
      </c>
      <c r="B730" s="202"/>
      <c r="C730" s="139"/>
      <c r="D730" s="139"/>
      <c r="E730" s="139"/>
    </row>
    <row r="731" spans="1:5">
      <c r="A731" s="139" t="str">
        <f t="shared" si="2"/>
        <v/>
      </c>
      <c r="B731" s="202"/>
      <c r="C731" s="139"/>
      <c r="D731" s="139"/>
      <c r="E731" s="139"/>
    </row>
    <row r="732" spans="1:5">
      <c r="A732" s="139" t="str">
        <f t="shared" si="2"/>
        <v/>
      </c>
      <c r="B732" s="202"/>
      <c r="C732" s="139"/>
      <c r="D732" s="139"/>
      <c r="E732" s="139"/>
    </row>
    <row r="733" spans="1:5">
      <c r="A733" s="139" t="str">
        <f t="shared" si="2"/>
        <v/>
      </c>
      <c r="B733" s="202"/>
      <c r="C733" s="139"/>
      <c r="D733" s="139"/>
      <c r="E733" s="139"/>
    </row>
    <row r="734" spans="1:5">
      <c r="A734" s="139" t="str">
        <f t="shared" si="2"/>
        <v/>
      </c>
      <c r="B734" s="202"/>
      <c r="C734" s="139"/>
      <c r="D734" s="139"/>
      <c r="E734" s="139"/>
    </row>
    <row r="735" spans="1:5">
      <c r="A735" s="139" t="str">
        <f t="shared" si="2"/>
        <v/>
      </c>
      <c r="B735" s="202"/>
      <c r="C735" s="139"/>
      <c r="D735" s="139"/>
      <c r="E735" s="139"/>
    </row>
    <row r="736" spans="1:5">
      <c r="A736" s="139" t="str">
        <f t="shared" si="2"/>
        <v/>
      </c>
      <c r="B736" s="202"/>
      <c r="C736" s="139"/>
      <c r="D736" s="139"/>
      <c r="E736" s="139"/>
    </row>
    <row r="737" spans="1:5">
      <c r="A737" s="139" t="str">
        <f t="shared" si="2"/>
        <v/>
      </c>
      <c r="B737" s="202"/>
      <c r="C737" s="139"/>
      <c r="D737" s="139"/>
      <c r="E737" s="139"/>
    </row>
    <row r="738" spans="1:5">
      <c r="A738" s="139" t="str">
        <f t="shared" si="2"/>
        <v/>
      </c>
      <c r="B738" s="202"/>
      <c r="C738" s="139"/>
      <c r="D738" s="139"/>
      <c r="E738" s="139"/>
    </row>
    <row r="739" spans="1:5">
      <c r="A739" s="139" t="str">
        <f t="shared" si="2"/>
        <v/>
      </c>
      <c r="B739" s="202"/>
      <c r="C739" s="139"/>
      <c r="D739" s="139"/>
      <c r="E739" s="139"/>
    </row>
    <row r="740" spans="1:5">
      <c r="A740" s="139" t="str">
        <f t="shared" si="2"/>
        <v/>
      </c>
      <c r="B740" s="202"/>
      <c r="C740" s="139"/>
      <c r="D740" s="139"/>
      <c r="E740" s="139"/>
    </row>
    <row r="741" spans="1:5">
      <c r="A741" s="139" t="str">
        <f t="shared" si="2"/>
        <v/>
      </c>
      <c r="B741" s="202"/>
      <c r="C741" s="139"/>
      <c r="D741" s="139"/>
      <c r="E741" s="139"/>
    </row>
    <row r="742" spans="1:5">
      <c r="A742" s="139" t="str">
        <f t="shared" si="2"/>
        <v/>
      </c>
      <c r="B742" s="202"/>
      <c r="C742" s="139"/>
      <c r="D742" s="139"/>
      <c r="E742" s="139"/>
    </row>
    <row r="743" spans="1:5">
      <c r="A743" s="139" t="str">
        <f t="shared" si="2"/>
        <v/>
      </c>
      <c r="B743" s="202"/>
      <c r="C743" s="139"/>
      <c r="D743" s="139"/>
      <c r="E743" s="139"/>
    </row>
    <row r="744" spans="1:5">
      <c r="A744" s="139" t="str">
        <f t="shared" si="2"/>
        <v/>
      </c>
      <c r="B744" s="202"/>
      <c r="C744" s="139"/>
      <c r="D744" s="139"/>
      <c r="E744" s="139"/>
    </row>
    <row r="745" spans="1:5">
      <c r="A745" s="139" t="str">
        <f t="shared" si="2"/>
        <v/>
      </c>
      <c r="B745" s="202"/>
      <c r="C745" s="139"/>
      <c r="D745" s="139"/>
      <c r="E745" s="139"/>
    </row>
    <row r="746" spans="1:5">
      <c r="A746" s="139" t="str">
        <f t="shared" si="2"/>
        <v/>
      </c>
      <c r="B746" s="202"/>
      <c r="C746" s="139"/>
      <c r="D746" s="139"/>
      <c r="E746" s="139"/>
    </row>
    <row r="747" spans="1:5">
      <c r="A747" s="139" t="str">
        <f t="shared" si="2"/>
        <v/>
      </c>
      <c r="B747" s="202"/>
      <c r="C747" s="139"/>
      <c r="D747" s="139"/>
      <c r="E747" s="139"/>
    </row>
    <row r="748" spans="1:5">
      <c r="A748" s="139" t="str">
        <f t="shared" si="2"/>
        <v/>
      </c>
      <c r="B748" s="202"/>
      <c r="C748" s="139"/>
      <c r="D748" s="139"/>
      <c r="E748" s="139"/>
    </row>
    <row r="749" spans="1:5">
      <c r="A749" s="139" t="str">
        <f t="shared" si="2"/>
        <v/>
      </c>
      <c r="B749" s="202"/>
      <c r="C749" s="139"/>
      <c r="D749" s="139"/>
      <c r="E749" s="139"/>
    </row>
    <row r="750" spans="1:5">
      <c r="A750" s="139" t="str">
        <f t="shared" si="2"/>
        <v/>
      </c>
      <c r="B750" s="202"/>
      <c r="C750" s="139"/>
      <c r="D750" s="139"/>
      <c r="E750" s="139"/>
    </row>
    <row r="751" spans="1:5">
      <c r="A751" s="139" t="str">
        <f t="shared" si="2"/>
        <v/>
      </c>
      <c r="B751" s="202"/>
      <c r="C751" s="139"/>
      <c r="D751" s="139"/>
      <c r="E751" s="139"/>
    </row>
    <row r="752" spans="1:5">
      <c r="A752" s="139" t="str">
        <f t="shared" si="2"/>
        <v/>
      </c>
      <c r="B752" s="202"/>
      <c r="C752" s="139"/>
      <c r="D752" s="139"/>
      <c r="E752" s="139"/>
    </row>
    <row r="753" spans="1:5">
      <c r="A753" s="139" t="str">
        <f t="shared" si="2"/>
        <v/>
      </c>
      <c r="B753" s="202"/>
      <c r="C753" s="139"/>
      <c r="D753" s="139"/>
      <c r="E753" s="139"/>
    </row>
    <row r="754" spans="1:5">
      <c r="A754" s="139" t="str">
        <f t="shared" si="2"/>
        <v/>
      </c>
      <c r="B754" s="202"/>
      <c r="C754" s="139"/>
      <c r="D754" s="139"/>
      <c r="E754" s="139"/>
    </row>
    <row r="755" spans="1:5">
      <c r="A755" s="139" t="str">
        <f t="shared" si="2"/>
        <v/>
      </c>
      <c r="B755" s="202"/>
      <c r="C755" s="139"/>
      <c r="D755" s="139"/>
      <c r="E755" s="139"/>
    </row>
    <row r="756" spans="1:5">
      <c r="A756" s="139" t="str">
        <f t="shared" si="2"/>
        <v/>
      </c>
      <c r="B756" s="202"/>
      <c r="C756" s="139"/>
      <c r="D756" s="139"/>
      <c r="E756" s="139"/>
    </row>
    <row r="757" spans="1:5">
      <c r="A757" s="139" t="str">
        <f t="shared" si="2"/>
        <v/>
      </c>
      <c r="B757" s="202"/>
      <c r="C757" s="139"/>
      <c r="D757" s="139"/>
      <c r="E757" s="139"/>
    </row>
    <row r="758" spans="1:5">
      <c r="A758" s="139" t="str">
        <f t="shared" si="2"/>
        <v/>
      </c>
      <c r="B758" s="202"/>
      <c r="C758" s="139"/>
      <c r="D758" s="139"/>
      <c r="E758" s="139"/>
    </row>
    <row r="759" spans="1:5">
      <c r="A759" s="139" t="str">
        <f t="shared" si="2"/>
        <v/>
      </c>
      <c r="B759" s="202"/>
      <c r="C759" s="139"/>
      <c r="D759" s="139"/>
      <c r="E759" s="139"/>
    </row>
    <row r="760" spans="1:5">
      <c r="A760" s="139" t="str">
        <f t="shared" si="2"/>
        <v/>
      </c>
      <c r="B760" s="202"/>
      <c r="C760" s="139"/>
      <c r="D760" s="139"/>
      <c r="E760" s="139"/>
    </row>
    <row r="761" spans="1:5">
      <c r="A761" s="139" t="str">
        <f t="shared" si="2"/>
        <v/>
      </c>
      <c r="B761" s="202"/>
      <c r="C761" s="139"/>
      <c r="D761" s="139"/>
      <c r="E761" s="139"/>
    </row>
    <row r="762" spans="1:5">
      <c r="A762" s="139" t="str">
        <f t="shared" si="2"/>
        <v/>
      </c>
      <c r="B762" s="202"/>
      <c r="C762" s="139"/>
      <c r="D762" s="139"/>
      <c r="E762" s="139"/>
    </row>
    <row r="763" spans="1:5">
      <c r="A763" s="139" t="str">
        <f t="shared" si="2"/>
        <v/>
      </c>
      <c r="B763" s="202"/>
      <c r="C763" s="139"/>
      <c r="D763" s="139"/>
      <c r="E763" s="139"/>
    </row>
    <row r="764" spans="1:5">
      <c r="A764" s="139" t="str">
        <f t="shared" si="2"/>
        <v/>
      </c>
      <c r="B764" s="202"/>
      <c r="C764" s="139"/>
      <c r="D764" s="139"/>
      <c r="E764" s="139"/>
    </row>
    <row r="765" spans="1:5">
      <c r="A765" s="139" t="str">
        <f t="shared" si="2"/>
        <v/>
      </c>
      <c r="B765" s="202"/>
      <c r="C765" s="139"/>
      <c r="D765" s="139"/>
      <c r="E765" s="139"/>
    </row>
    <row r="766" spans="1:5">
      <c r="A766" s="139" t="str">
        <f t="shared" si="2"/>
        <v/>
      </c>
      <c r="B766" s="202"/>
      <c r="C766" s="139"/>
      <c r="D766" s="139"/>
      <c r="E766" s="139"/>
    </row>
    <row r="767" spans="1:5">
      <c r="A767" s="139" t="str">
        <f t="shared" si="2"/>
        <v/>
      </c>
      <c r="B767" s="202"/>
      <c r="C767" s="139"/>
      <c r="D767" s="139"/>
      <c r="E767" s="139"/>
    </row>
    <row r="768" spans="1:5">
      <c r="A768" s="139" t="str">
        <f t="shared" si="2"/>
        <v/>
      </c>
      <c r="B768" s="202"/>
      <c r="C768" s="139"/>
      <c r="D768" s="139"/>
      <c r="E768" s="139"/>
    </row>
    <row r="769" spans="1:5">
      <c r="A769" s="139" t="str">
        <f t="shared" si="2"/>
        <v/>
      </c>
      <c r="B769" s="202"/>
      <c r="C769" s="139"/>
      <c r="D769" s="139"/>
      <c r="E769" s="139"/>
    </row>
    <row r="770" spans="1:5">
      <c r="A770" s="139" t="str">
        <f t="shared" ref="A770:A995" si="3">IF(B770="","",ROW()-4)</f>
        <v/>
      </c>
      <c r="B770" s="202"/>
      <c r="C770" s="139"/>
      <c r="D770" s="139"/>
      <c r="E770" s="139"/>
    </row>
    <row r="771" spans="1:5">
      <c r="A771" s="139" t="str">
        <f t="shared" si="3"/>
        <v/>
      </c>
      <c r="B771" s="202"/>
      <c r="C771" s="139"/>
      <c r="D771" s="139"/>
      <c r="E771" s="139"/>
    </row>
    <row r="772" spans="1:5">
      <c r="A772" s="139" t="str">
        <f t="shared" si="3"/>
        <v/>
      </c>
      <c r="B772" s="202"/>
      <c r="C772" s="139"/>
      <c r="D772" s="139"/>
      <c r="E772" s="139"/>
    </row>
    <row r="773" spans="1:5">
      <c r="A773" s="139" t="str">
        <f t="shared" si="3"/>
        <v/>
      </c>
      <c r="B773" s="202"/>
      <c r="C773" s="139"/>
      <c r="D773" s="139"/>
      <c r="E773" s="139"/>
    </row>
    <row r="774" spans="1:5">
      <c r="A774" s="139" t="str">
        <f t="shared" si="3"/>
        <v/>
      </c>
      <c r="B774" s="202"/>
      <c r="C774" s="139"/>
      <c r="D774" s="139"/>
      <c r="E774" s="139"/>
    </row>
    <row r="775" spans="1:5">
      <c r="A775" s="139" t="str">
        <f t="shared" si="3"/>
        <v/>
      </c>
      <c r="B775" s="202"/>
      <c r="C775" s="139"/>
      <c r="D775" s="139"/>
      <c r="E775" s="139"/>
    </row>
    <row r="776" spans="1:5">
      <c r="A776" s="139" t="str">
        <f t="shared" si="3"/>
        <v/>
      </c>
      <c r="B776" s="202"/>
      <c r="C776" s="139"/>
      <c r="D776" s="139"/>
      <c r="E776" s="139"/>
    </row>
    <row r="777" spans="1:5">
      <c r="A777" s="139" t="str">
        <f t="shared" si="3"/>
        <v/>
      </c>
      <c r="B777" s="202"/>
      <c r="C777" s="139"/>
      <c r="D777" s="139"/>
      <c r="E777" s="139"/>
    </row>
    <row r="778" spans="1:5">
      <c r="A778" s="139" t="str">
        <f t="shared" si="3"/>
        <v/>
      </c>
      <c r="B778" s="202"/>
      <c r="C778" s="139"/>
      <c r="D778" s="139"/>
      <c r="E778" s="139"/>
    </row>
    <row r="779" spans="1:5">
      <c r="A779" s="139" t="str">
        <f t="shared" si="3"/>
        <v/>
      </c>
      <c r="B779" s="202"/>
      <c r="C779" s="139"/>
      <c r="D779" s="139"/>
      <c r="E779" s="139"/>
    </row>
    <row r="780" spans="1:5">
      <c r="A780" s="139" t="str">
        <f t="shared" si="3"/>
        <v/>
      </c>
      <c r="B780" s="202"/>
      <c r="C780" s="139"/>
      <c r="D780" s="139"/>
      <c r="E780" s="139"/>
    </row>
    <row r="781" spans="1:5">
      <c r="A781" s="139" t="str">
        <f t="shared" si="3"/>
        <v/>
      </c>
      <c r="B781" s="202"/>
      <c r="C781" s="139"/>
      <c r="D781" s="139"/>
      <c r="E781" s="139"/>
    </row>
    <row r="782" spans="1:5">
      <c r="A782" s="139" t="str">
        <f t="shared" si="3"/>
        <v/>
      </c>
      <c r="B782" s="202"/>
      <c r="C782" s="139"/>
      <c r="D782" s="139"/>
      <c r="E782" s="139"/>
    </row>
    <row r="783" spans="1:5">
      <c r="A783" s="139" t="str">
        <f t="shared" si="3"/>
        <v/>
      </c>
      <c r="B783" s="202"/>
      <c r="C783" s="139"/>
      <c r="D783" s="139"/>
      <c r="E783" s="139"/>
    </row>
    <row r="784" spans="1:5">
      <c r="A784" s="139" t="str">
        <f t="shared" si="3"/>
        <v/>
      </c>
      <c r="B784" s="202"/>
      <c r="C784" s="139"/>
      <c r="D784" s="139"/>
      <c r="E784" s="139"/>
    </row>
    <row r="785" spans="1:5">
      <c r="A785" s="139" t="str">
        <f t="shared" si="3"/>
        <v/>
      </c>
      <c r="B785" s="202"/>
      <c r="C785" s="139"/>
      <c r="D785" s="139"/>
      <c r="E785" s="139"/>
    </row>
    <row r="786" spans="1:5">
      <c r="A786" s="139" t="str">
        <f t="shared" si="3"/>
        <v/>
      </c>
      <c r="B786" s="202"/>
      <c r="C786" s="139"/>
      <c r="D786" s="139"/>
      <c r="E786" s="139"/>
    </row>
    <row r="787" spans="1:5">
      <c r="A787" s="139" t="str">
        <f t="shared" si="3"/>
        <v/>
      </c>
      <c r="B787" s="202"/>
      <c r="C787" s="139"/>
      <c r="D787" s="139"/>
      <c r="E787" s="139"/>
    </row>
    <row r="788" spans="1:5">
      <c r="A788" s="139" t="str">
        <f t="shared" si="3"/>
        <v/>
      </c>
      <c r="B788" s="202"/>
      <c r="C788" s="139"/>
      <c r="D788" s="139"/>
      <c r="E788" s="139"/>
    </row>
    <row r="789" spans="1:5">
      <c r="A789" s="139" t="str">
        <f t="shared" si="3"/>
        <v/>
      </c>
      <c r="B789" s="202"/>
      <c r="C789" s="139"/>
      <c r="D789" s="139"/>
      <c r="E789" s="139"/>
    </row>
    <row r="790" spans="1:5">
      <c r="A790" s="139" t="str">
        <f t="shared" si="3"/>
        <v/>
      </c>
      <c r="B790" s="202"/>
      <c r="C790" s="139"/>
      <c r="D790" s="139"/>
      <c r="E790" s="139"/>
    </row>
    <row r="791" spans="1:5">
      <c r="A791" s="139" t="str">
        <f t="shared" si="3"/>
        <v/>
      </c>
      <c r="B791" s="202"/>
      <c r="C791" s="139"/>
      <c r="D791" s="139"/>
      <c r="E791" s="139"/>
    </row>
    <row r="792" spans="1:5">
      <c r="A792" s="139" t="str">
        <f t="shared" si="3"/>
        <v/>
      </c>
      <c r="B792" s="202"/>
      <c r="C792" s="139"/>
      <c r="D792" s="139"/>
      <c r="E792" s="139"/>
    </row>
    <row r="793" spans="1:5">
      <c r="A793" s="139" t="str">
        <f t="shared" si="3"/>
        <v/>
      </c>
      <c r="B793" s="202"/>
      <c r="C793" s="139"/>
      <c r="D793" s="139"/>
      <c r="E793" s="139"/>
    </row>
    <row r="794" spans="1:5">
      <c r="A794" s="139" t="str">
        <f t="shared" si="3"/>
        <v/>
      </c>
      <c r="B794" s="202"/>
      <c r="C794" s="139"/>
      <c r="D794" s="139"/>
      <c r="E794" s="139"/>
    </row>
    <row r="795" spans="1:5">
      <c r="A795" s="139" t="str">
        <f t="shared" si="3"/>
        <v/>
      </c>
      <c r="B795" s="202"/>
      <c r="C795" s="139"/>
      <c r="D795" s="139"/>
      <c r="E795" s="139"/>
    </row>
    <row r="796" spans="1:5">
      <c r="A796" s="139" t="str">
        <f t="shared" si="3"/>
        <v/>
      </c>
      <c r="B796" s="202"/>
      <c r="C796" s="139"/>
      <c r="D796" s="139"/>
      <c r="E796" s="139"/>
    </row>
    <row r="797" spans="1:5">
      <c r="A797" s="139" t="str">
        <f t="shared" si="3"/>
        <v/>
      </c>
      <c r="B797" s="202"/>
      <c r="C797" s="139"/>
      <c r="D797" s="139"/>
      <c r="E797" s="139"/>
    </row>
    <row r="798" spans="1:5">
      <c r="A798" s="139" t="str">
        <f t="shared" si="3"/>
        <v/>
      </c>
      <c r="B798" s="202"/>
      <c r="C798" s="139"/>
      <c r="D798" s="139"/>
      <c r="E798" s="139"/>
    </row>
    <row r="799" spans="1:5">
      <c r="A799" s="139" t="str">
        <f t="shared" si="3"/>
        <v/>
      </c>
      <c r="B799" s="202"/>
      <c r="C799" s="139"/>
      <c r="D799" s="139"/>
      <c r="E799" s="139"/>
    </row>
    <row r="800" spans="1:5">
      <c r="A800" s="139" t="str">
        <f t="shared" si="3"/>
        <v/>
      </c>
      <c r="B800" s="202"/>
      <c r="C800" s="139"/>
      <c r="D800" s="139"/>
      <c r="E800" s="139"/>
    </row>
    <row r="801" spans="1:5">
      <c r="A801" s="139" t="str">
        <f t="shared" si="3"/>
        <v/>
      </c>
      <c r="B801" s="202"/>
      <c r="C801" s="139"/>
      <c r="D801" s="139"/>
      <c r="E801" s="139"/>
    </row>
    <row r="802" spans="1:5">
      <c r="A802" s="139" t="str">
        <f t="shared" si="3"/>
        <v/>
      </c>
      <c r="B802" s="202"/>
      <c r="C802" s="139"/>
      <c r="D802" s="139"/>
      <c r="E802" s="139"/>
    </row>
    <row r="803" spans="1:5">
      <c r="A803" s="139" t="str">
        <f t="shared" si="3"/>
        <v/>
      </c>
      <c r="B803" s="202"/>
      <c r="C803" s="139"/>
      <c r="D803" s="139"/>
      <c r="E803" s="139"/>
    </row>
    <row r="804" spans="1:5">
      <c r="A804" s="139" t="str">
        <f t="shared" si="3"/>
        <v/>
      </c>
      <c r="B804" s="202"/>
      <c r="C804" s="139"/>
      <c r="D804" s="139"/>
      <c r="E804" s="139"/>
    </row>
    <row r="805" spans="1:5">
      <c r="A805" s="139" t="str">
        <f t="shared" si="3"/>
        <v/>
      </c>
      <c r="B805" s="202"/>
      <c r="C805" s="139"/>
      <c r="D805" s="139"/>
      <c r="E805" s="139"/>
    </row>
    <row r="806" spans="1:5">
      <c r="A806" s="139" t="str">
        <f t="shared" si="3"/>
        <v/>
      </c>
      <c r="B806" s="202"/>
      <c r="C806" s="139"/>
      <c r="D806" s="139"/>
      <c r="E806" s="139"/>
    </row>
    <row r="807" spans="1:5">
      <c r="A807" s="139" t="str">
        <f t="shared" si="3"/>
        <v/>
      </c>
      <c r="B807" s="202"/>
      <c r="C807" s="139"/>
      <c r="D807" s="139"/>
      <c r="E807" s="139"/>
    </row>
    <row r="808" spans="1:5">
      <c r="A808" s="139" t="str">
        <f t="shared" si="3"/>
        <v/>
      </c>
      <c r="B808" s="202"/>
      <c r="C808" s="139"/>
      <c r="D808" s="139"/>
      <c r="E808" s="139"/>
    </row>
    <row r="809" spans="1:5">
      <c r="A809" s="139" t="str">
        <f t="shared" si="3"/>
        <v/>
      </c>
      <c r="B809" s="202"/>
      <c r="C809" s="139"/>
      <c r="D809" s="139"/>
      <c r="E809" s="139"/>
    </row>
    <row r="810" spans="1:5">
      <c r="A810" s="139" t="str">
        <f t="shared" si="3"/>
        <v/>
      </c>
      <c r="B810" s="202"/>
      <c r="C810" s="139"/>
      <c r="D810" s="139"/>
      <c r="E810" s="139"/>
    </row>
    <row r="811" spans="1:5">
      <c r="A811" s="139" t="str">
        <f t="shared" si="3"/>
        <v/>
      </c>
      <c r="B811" s="202"/>
      <c r="C811" s="139"/>
      <c r="D811" s="139"/>
      <c r="E811" s="139"/>
    </row>
    <row r="812" spans="1:5">
      <c r="A812" s="139" t="str">
        <f t="shared" si="3"/>
        <v/>
      </c>
      <c r="B812" s="202"/>
      <c r="C812" s="139"/>
      <c r="D812" s="139"/>
      <c r="E812" s="139"/>
    </row>
    <row r="813" spans="1:5">
      <c r="A813" s="139" t="str">
        <f t="shared" si="3"/>
        <v/>
      </c>
      <c r="B813" s="202"/>
      <c r="C813" s="139"/>
      <c r="D813" s="139"/>
      <c r="E813" s="139"/>
    </row>
    <row r="814" spans="1:5">
      <c r="A814" s="139" t="str">
        <f t="shared" si="3"/>
        <v/>
      </c>
      <c r="B814" s="202"/>
      <c r="C814" s="139"/>
      <c r="D814" s="139"/>
      <c r="E814" s="139"/>
    </row>
    <row r="815" spans="1:5">
      <c r="A815" s="139" t="str">
        <f t="shared" si="3"/>
        <v/>
      </c>
      <c r="B815" s="202"/>
      <c r="C815" s="139"/>
      <c r="D815" s="139"/>
      <c r="E815" s="139"/>
    </row>
    <row r="816" spans="1:5">
      <c r="A816" s="139" t="str">
        <f t="shared" si="3"/>
        <v/>
      </c>
      <c r="B816" s="202"/>
      <c r="C816" s="139"/>
      <c r="D816" s="139"/>
      <c r="E816" s="139"/>
    </row>
    <row r="817" spans="1:5">
      <c r="A817" s="139" t="str">
        <f t="shared" si="3"/>
        <v/>
      </c>
      <c r="B817" s="202"/>
      <c r="C817" s="139"/>
      <c r="D817" s="139"/>
      <c r="E817" s="139"/>
    </row>
    <row r="818" spans="1:5">
      <c r="A818" s="139" t="str">
        <f t="shared" si="3"/>
        <v/>
      </c>
      <c r="B818" s="202"/>
      <c r="C818" s="139"/>
      <c r="D818" s="139"/>
      <c r="E818" s="139"/>
    </row>
    <row r="819" spans="1:5">
      <c r="A819" s="139" t="str">
        <f t="shared" si="3"/>
        <v/>
      </c>
      <c r="B819" s="202"/>
      <c r="C819" s="139"/>
      <c r="D819" s="139"/>
      <c r="E819" s="139"/>
    </row>
    <row r="820" spans="1:5">
      <c r="A820" s="139" t="str">
        <f t="shared" si="3"/>
        <v/>
      </c>
      <c r="B820" s="202"/>
      <c r="C820" s="139"/>
      <c r="D820" s="139"/>
      <c r="E820" s="139"/>
    </row>
    <row r="821" spans="1:5">
      <c r="A821" s="139" t="str">
        <f t="shared" si="3"/>
        <v/>
      </c>
      <c r="B821" s="202"/>
      <c r="C821" s="139"/>
      <c r="D821" s="139"/>
      <c r="E821" s="139"/>
    </row>
    <row r="822" spans="1:5">
      <c r="A822" s="139" t="str">
        <f t="shared" si="3"/>
        <v/>
      </c>
      <c r="B822" s="202"/>
      <c r="C822" s="139"/>
      <c r="D822" s="139"/>
      <c r="E822" s="139"/>
    </row>
    <row r="823" spans="1:5">
      <c r="A823" s="139" t="str">
        <f t="shared" si="3"/>
        <v/>
      </c>
      <c r="B823" s="202"/>
      <c r="C823" s="139"/>
      <c r="D823" s="139"/>
      <c r="E823" s="139"/>
    </row>
    <row r="824" spans="1:5">
      <c r="A824" s="139" t="str">
        <f t="shared" si="3"/>
        <v/>
      </c>
      <c r="B824" s="202"/>
      <c r="C824" s="139"/>
      <c r="D824" s="139"/>
      <c r="E824" s="139"/>
    </row>
    <row r="825" spans="1:5">
      <c r="A825" s="139" t="str">
        <f t="shared" si="3"/>
        <v/>
      </c>
      <c r="B825" s="202"/>
      <c r="C825" s="139"/>
      <c r="D825" s="139"/>
      <c r="E825" s="139"/>
    </row>
    <row r="826" spans="1:5">
      <c r="A826" s="139" t="str">
        <f t="shared" si="3"/>
        <v/>
      </c>
      <c r="B826" s="202"/>
      <c r="C826" s="139"/>
      <c r="D826" s="139"/>
      <c r="E826" s="139"/>
    </row>
    <row r="827" spans="1:5">
      <c r="A827" s="139" t="str">
        <f t="shared" si="3"/>
        <v/>
      </c>
      <c r="B827" s="202"/>
      <c r="C827" s="139"/>
      <c r="D827" s="139"/>
      <c r="E827" s="139"/>
    </row>
    <row r="828" spans="1:5">
      <c r="A828" s="139" t="str">
        <f t="shared" si="3"/>
        <v/>
      </c>
      <c r="B828" s="202"/>
      <c r="C828" s="139"/>
      <c r="D828" s="139"/>
      <c r="E828" s="139"/>
    </row>
    <row r="829" spans="1:5">
      <c r="A829" s="139" t="str">
        <f t="shared" si="3"/>
        <v/>
      </c>
      <c r="B829" s="202"/>
      <c r="C829" s="139"/>
      <c r="D829" s="139"/>
      <c r="E829" s="139"/>
    </row>
    <row r="830" spans="1:5">
      <c r="A830" s="139" t="str">
        <f t="shared" si="3"/>
        <v/>
      </c>
      <c r="B830" s="202"/>
      <c r="C830" s="139"/>
      <c r="D830" s="139"/>
      <c r="E830" s="139"/>
    </row>
    <row r="831" spans="1:5">
      <c r="A831" s="139" t="str">
        <f t="shared" si="3"/>
        <v/>
      </c>
      <c r="B831" s="202"/>
      <c r="C831" s="139"/>
      <c r="D831" s="139"/>
      <c r="E831" s="139"/>
    </row>
    <row r="832" spans="1:5">
      <c r="A832" s="139" t="str">
        <f t="shared" si="3"/>
        <v/>
      </c>
      <c r="B832" s="202"/>
      <c r="C832" s="139"/>
      <c r="D832" s="139"/>
      <c r="E832" s="139"/>
    </row>
    <row r="833" spans="1:5">
      <c r="A833" s="139" t="str">
        <f t="shared" si="3"/>
        <v/>
      </c>
      <c r="B833" s="202"/>
      <c r="C833" s="139"/>
      <c r="D833" s="139"/>
      <c r="E833" s="139"/>
    </row>
    <row r="834" spans="1:5">
      <c r="A834" s="139" t="str">
        <f t="shared" si="3"/>
        <v/>
      </c>
      <c r="B834" s="202"/>
      <c r="C834" s="139"/>
      <c r="D834" s="139"/>
      <c r="E834" s="139"/>
    </row>
    <row r="835" spans="1:5">
      <c r="A835" s="139" t="str">
        <f t="shared" si="3"/>
        <v/>
      </c>
      <c r="B835" s="202"/>
      <c r="C835" s="139"/>
      <c r="D835" s="139"/>
      <c r="E835" s="139"/>
    </row>
    <row r="836" spans="1:5">
      <c r="A836" s="139" t="str">
        <f t="shared" si="3"/>
        <v/>
      </c>
      <c r="B836" s="202"/>
      <c r="C836" s="139"/>
      <c r="D836" s="139"/>
      <c r="E836" s="139"/>
    </row>
    <row r="837" spans="1:5">
      <c r="A837" s="139" t="str">
        <f t="shared" si="3"/>
        <v/>
      </c>
      <c r="B837" s="202"/>
      <c r="C837" s="139"/>
      <c r="D837" s="139"/>
      <c r="E837" s="139"/>
    </row>
    <row r="838" spans="1:5">
      <c r="A838" s="139" t="str">
        <f t="shared" si="3"/>
        <v/>
      </c>
      <c r="B838" s="202"/>
      <c r="C838" s="139"/>
      <c r="D838" s="139"/>
      <c r="E838" s="139"/>
    </row>
    <row r="839" spans="1:5">
      <c r="A839" s="139" t="str">
        <f t="shared" si="3"/>
        <v/>
      </c>
      <c r="B839" s="202"/>
      <c r="C839" s="139"/>
      <c r="D839" s="139"/>
      <c r="E839" s="139"/>
    </row>
    <row r="840" spans="1:5">
      <c r="A840" s="139" t="str">
        <f t="shared" si="3"/>
        <v/>
      </c>
      <c r="B840" s="202"/>
      <c r="C840" s="139"/>
      <c r="D840" s="139"/>
      <c r="E840" s="139"/>
    </row>
    <row r="841" spans="1:5">
      <c r="A841" s="139" t="str">
        <f t="shared" si="3"/>
        <v/>
      </c>
      <c r="B841" s="202"/>
      <c r="C841" s="139"/>
      <c r="D841" s="139"/>
      <c r="E841" s="139"/>
    </row>
    <row r="842" spans="1:5">
      <c r="A842" s="139" t="str">
        <f t="shared" si="3"/>
        <v/>
      </c>
      <c r="B842" s="202"/>
      <c r="C842" s="139"/>
      <c r="D842" s="139"/>
      <c r="E842" s="139"/>
    </row>
    <row r="843" spans="1:5">
      <c r="A843" s="139" t="str">
        <f t="shared" si="3"/>
        <v/>
      </c>
      <c r="B843" s="202"/>
      <c r="C843" s="139"/>
      <c r="D843" s="139"/>
      <c r="E843" s="139"/>
    </row>
    <row r="844" spans="1:5">
      <c r="A844" s="139" t="str">
        <f t="shared" si="3"/>
        <v/>
      </c>
      <c r="B844" s="202"/>
      <c r="C844" s="139"/>
      <c r="D844" s="139"/>
      <c r="E844" s="139"/>
    </row>
    <row r="845" spans="1:5">
      <c r="A845" s="139" t="str">
        <f t="shared" si="3"/>
        <v/>
      </c>
      <c r="B845" s="202"/>
      <c r="C845" s="139"/>
      <c r="D845" s="139"/>
      <c r="E845" s="139"/>
    </row>
    <row r="846" spans="1:5">
      <c r="A846" s="139" t="str">
        <f t="shared" si="3"/>
        <v/>
      </c>
      <c r="B846" s="202"/>
      <c r="C846" s="139"/>
      <c r="D846" s="139"/>
      <c r="E846" s="139"/>
    </row>
    <row r="847" spans="1:5">
      <c r="A847" s="139" t="str">
        <f t="shared" si="3"/>
        <v/>
      </c>
      <c r="B847" s="202"/>
      <c r="C847" s="139"/>
      <c r="D847" s="139"/>
      <c r="E847" s="139"/>
    </row>
    <row r="848" spans="1:5">
      <c r="A848" s="139" t="str">
        <f t="shared" si="3"/>
        <v/>
      </c>
      <c r="B848" s="202"/>
      <c r="C848" s="139"/>
      <c r="D848" s="139"/>
      <c r="E848" s="139"/>
    </row>
    <row r="849" spans="1:5">
      <c r="A849" s="139" t="str">
        <f t="shared" si="3"/>
        <v/>
      </c>
      <c r="B849" s="202"/>
      <c r="C849" s="139"/>
      <c r="D849" s="139"/>
      <c r="E849" s="139"/>
    </row>
    <row r="850" spans="1:5">
      <c r="A850" s="139" t="str">
        <f t="shared" si="3"/>
        <v/>
      </c>
      <c r="B850" s="202"/>
      <c r="C850" s="139"/>
      <c r="D850" s="139"/>
      <c r="E850" s="139"/>
    </row>
    <row r="851" spans="1:5">
      <c r="A851" s="139" t="str">
        <f t="shared" si="3"/>
        <v/>
      </c>
      <c r="B851" s="202"/>
      <c r="C851" s="139"/>
      <c r="D851" s="139"/>
      <c r="E851" s="139"/>
    </row>
    <row r="852" spans="1:5">
      <c r="A852" s="139" t="str">
        <f t="shared" si="3"/>
        <v/>
      </c>
      <c r="B852" s="202"/>
      <c r="C852" s="139"/>
      <c r="D852" s="139"/>
      <c r="E852" s="139"/>
    </row>
    <row r="853" spans="1:5">
      <c r="A853" s="139" t="str">
        <f t="shared" si="3"/>
        <v/>
      </c>
      <c r="B853" s="202"/>
      <c r="C853" s="139"/>
      <c r="D853" s="139"/>
      <c r="E853" s="139"/>
    </row>
    <row r="854" spans="1:5">
      <c r="A854" s="139" t="str">
        <f t="shared" si="3"/>
        <v/>
      </c>
      <c r="B854" s="202"/>
      <c r="C854" s="139"/>
      <c r="D854" s="139"/>
      <c r="E854" s="139"/>
    </row>
    <row r="855" spans="1:5">
      <c r="A855" s="139" t="str">
        <f t="shared" si="3"/>
        <v/>
      </c>
      <c r="B855" s="202"/>
      <c r="C855" s="139"/>
      <c r="D855" s="139"/>
      <c r="E855" s="139"/>
    </row>
    <row r="856" spans="1:5">
      <c r="A856" s="139" t="str">
        <f t="shared" si="3"/>
        <v/>
      </c>
      <c r="B856" s="202"/>
      <c r="C856" s="139"/>
      <c r="D856" s="139"/>
      <c r="E856" s="139"/>
    </row>
    <row r="857" spans="1:5">
      <c r="A857" s="139" t="str">
        <f t="shared" si="3"/>
        <v/>
      </c>
      <c r="B857" s="202"/>
      <c r="C857" s="139"/>
      <c r="D857" s="139"/>
      <c r="E857" s="139"/>
    </row>
    <row r="858" spans="1:5">
      <c r="A858" s="139" t="str">
        <f t="shared" si="3"/>
        <v/>
      </c>
      <c r="B858" s="202"/>
      <c r="C858" s="139"/>
      <c r="D858" s="139"/>
      <c r="E858" s="139"/>
    </row>
    <row r="859" spans="1:5">
      <c r="A859" s="139" t="str">
        <f t="shared" si="3"/>
        <v/>
      </c>
      <c r="B859" s="202"/>
      <c r="C859" s="139"/>
      <c r="D859" s="139"/>
      <c r="E859" s="139"/>
    </row>
    <row r="860" spans="1:5">
      <c r="A860" s="139" t="str">
        <f t="shared" si="3"/>
        <v/>
      </c>
      <c r="B860" s="202"/>
      <c r="C860" s="139"/>
      <c r="D860" s="139"/>
      <c r="E860" s="139"/>
    </row>
    <row r="861" spans="1:5">
      <c r="A861" s="139" t="str">
        <f t="shared" si="3"/>
        <v/>
      </c>
      <c r="B861" s="202"/>
      <c r="C861" s="139"/>
      <c r="D861" s="139"/>
      <c r="E861" s="139"/>
    </row>
    <row r="862" spans="1:5">
      <c r="A862" s="139" t="str">
        <f t="shared" si="3"/>
        <v/>
      </c>
      <c r="B862" s="202"/>
      <c r="C862" s="139"/>
      <c r="D862" s="139"/>
      <c r="E862" s="139"/>
    </row>
    <row r="863" spans="1:5">
      <c r="A863" s="139" t="str">
        <f t="shared" si="3"/>
        <v/>
      </c>
      <c r="B863" s="202"/>
      <c r="C863" s="139"/>
      <c r="D863" s="139"/>
      <c r="E863" s="139"/>
    </row>
    <row r="864" spans="1:5">
      <c r="A864" s="139" t="str">
        <f t="shared" si="3"/>
        <v/>
      </c>
      <c r="B864" s="202"/>
      <c r="C864" s="139"/>
      <c r="D864" s="139"/>
      <c r="E864" s="139"/>
    </row>
    <row r="865" spans="1:5">
      <c r="A865" s="139" t="str">
        <f t="shared" si="3"/>
        <v/>
      </c>
      <c r="B865" s="202"/>
      <c r="C865" s="139"/>
      <c r="D865" s="139"/>
      <c r="E865" s="139"/>
    </row>
    <row r="866" spans="1:5">
      <c r="A866" s="139" t="str">
        <f t="shared" si="3"/>
        <v/>
      </c>
      <c r="B866" s="202"/>
      <c r="C866" s="139"/>
      <c r="D866" s="139"/>
      <c r="E866" s="139"/>
    </row>
    <row r="867" spans="1:5">
      <c r="A867" s="139" t="str">
        <f t="shared" si="3"/>
        <v/>
      </c>
      <c r="B867" s="202"/>
      <c r="C867" s="139"/>
      <c r="D867" s="139"/>
      <c r="E867" s="139"/>
    </row>
    <row r="868" spans="1:5">
      <c r="A868" s="139" t="str">
        <f t="shared" si="3"/>
        <v/>
      </c>
      <c r="B868" s="202"/>
      <c r="C868" s="139"/>
      <c r="D868" s="139"/>
      <c r="E868" s="139"/>
    </row>
    <row r="869" spans="1:5">
      <c r="A869" s="139" t="str">
        <f t="shared" si="3"/>
        <v/>
      </c>
      <c r="B869" s="202"/>
      <c r="C869" s="139"/>
      <c r="D869" s="139"/>
      <c r="E869" s="139"/>
    </row>
    <row r="870" spans="1:5">
      <c r="A870" s="139" t="str">
        <f t="shared" si="3"/>
        <v/>
      </c>
      <c r="B870" s="202"/>
      <c r="C870" s="139"/>
      <c r="D870" s="139"/>
      <c r="E870" s="139"/>
    </row>
    <row r="871" spans="1:5">
      <c r="A871" s="139" t="str">
        <f t="shared" si="3"/>
        <v/>
      </c>
      <c r="B871" s="202"/>
      <c r="C871" s="139"/>
      <c r="D871" s="139"/>
      <c r="E871" s="139"/>
    </row>
    <row r="872" spans="1:5">
      <c r="A872" s="139" t="str">
        <f t="shared" si="3"/>
        <v/>
      </c>
      <c r="B872" s="202"/>
      <c r="C872" s="139"/>
      <c r="D872" s="139"/>
      <c r="E872" s="139"/>
    </row>
    <row r="873" spans="1:5">
      <c r="A873" s="139" t="str">
        <f t="shared" si="3"/>
        <v/>
      </c>
      <c r="B873" s="202"/>
      <c r="C873" s="139"/>
      <c r="D873" s="139"/>
      <c r="E873" s="139"/>
    </row>
    <row r="874" spans="1:5">
      <c r="A874" s="139" t="str">
        <f t="shared" si="3"/>
        <v/>
      </c>
      <c r="B874" s="202"/>
      <c r="C874" s="139"/>
      <c r="D874" s="139"/>
      <c r="E874" s="139"/>
    </row>
    <row r="875" spans="1:5">
      <c r="A875" s="139" t="str">
        <f t="shared" si="3"/>
        <v/>
      </c>
      <c r="B875" s="202"/>
      <c r="C875" s="139"/>
      <c r="D875" s="139"/>
      <c r="E875" s="139"/>
    </row>
    <row r="876" spans="1:5">
      <c r="A876" s="139" t="str">
        <f t="shared" si="3"/>
        <v/>
      </c>
      <c r="B876" s="202"/>
      <c r="C876" s="139"/>
      <c r="D876" s="139"/>
      <c r="E876" s="139"/>
    </row>
    <row r="877" spans="1:5">
      <c r="A877" s="139" t="str">
        <f t="shared" si="3"/>
        <v/>
      </c>
      <c r="B877" s="202"/>
      <c r="C877" s="139"/>
      <c r="D877" s="139"/>
      <c r="E877" s="139"/>
    </row>
    <row r="878" spans="1:5">
      <c r="A878" s="139" t="str">
        <f t="shared" si="3"/>
        <v/>
      </c>
      <c r="B878" s="202"/>
      <c r="C878" s="139"/>
      <c r="D878" s="139"/>
      <c r="E878" s="139"/>
    </row>
    <row r="879" spans="1:5">
      <c r="A879" s="139" t="str">
        <f t="shared" si="3"/>
        <v/>
      </c>
      <c r="B879" s="202"/>
      <c r="C879" s="139"/>
      <c r="D879" s="139"/>
      <c r="E879" s="139"/>
    </row>
    <row r="880" spans="1:5">
      <c r="A880" s="139" t="str">
        <f t="shared" si="3"/>
        <v/>
      </c>
      <c r="B880" s="202"/>
      <c r="C880" s="139"/>
      <c r="D880" s="139"/>
      <c r="E880" s="139"/>
    </row>
    <row r="881" spans="1:5">
      <c r="A881" s="139" t="str">
        <f t="shared" si="3"/>
        <v/>
      </c>
      <c r="B881" s="202"/>
      <c r="C881" s="139"/>
      <c r="D881" s="139"/>
      <c r="E881" s="139"/>
    </row>
    <row r="882" spans="1:5">
      <c r="A882" s="139" t="str">
        <f t="shared" si="3"/>
        <v/>
      </c>
      <c r="B882" s="202"/>
      <c r="C882" s="139"/>
      <c r="D882" s="139"/>
      <c r="E882" s="139"/>
    </row>
    <row r="883" spans="1:5">
      <c r="A883" s="139" t="str">
        <f t="shared" si="3"/>
        <v/>
      </c>
      <c r="B883" s="202"/>
      <c r="C883" s="139"/>
      <c r="D883" s="139"/>
      <c r="E883" s="139"/>
    </row>
    <row r="884" spans="1:5">
      <c r="A884" s="139" t="str">
        <f t="shared" si="3"/>
        <v/>
      </c>
      <c r="B884" s="202"/>
      <c r="C884" s="139"/>
      <c r="D884" s="139"/>
      <c r="E884" s="139"/>
    </row>
    <row r="885" spans="1:5">
      <c r="A885" s="139" t="str">
        <f t="shared" si="3"/>
        <v/>
      </c>
      <c r="B885" s="202"/>
      <c r="C885" s="139"/>
      <c r="D885" s="139"/>
      <c r="E885" s="139"/>
    </row>
    <row r="886" spans="1:5">
      <c r="A886" s="139" t="str">
        <f t="shared" si="3"/>
        <v/>
      </c>
      <c r="B886" s="202"/>
      <c r="C886" s="139"/>
      <c r="D886" s="139"/>
      <c r="E886" s="139"/>
    </row>
    <row r="887" spans="1:5">
      <c r="A887" s="139" t="str">
        <f t="shared" si="3"/>
        <v/>
      </c>
      <c r="B887" s="202"/>
      <c r="C887" s="139"/>
      <c r="D887" s="139"/>
      <c r="E887" s="139"/>
    </row>
    <row r="888" spans="1:5">
      <c r="A888" s="139" t="str">
        <f t="shared" si="3"/>
        <v/>
      </c>
      <c r="B888" s="202"/>
      <c r="C888" s="139"/>
      <c r="D888" s="139"/>
      <c r="E888" s="139"/>
    </row>
    <row r="889" spans="1:5">
      <c r="A889" s="139" t="str">
        <f t="shared" si="3"/>
        <v/>
      </c>
      <c r="B889" s="202"/>
      <c r="C889" s="139"/>
      <c r="D889" s="139"/>
      <c r="E889" s="139"/>
    </row>
    <row r="890" spans="1:5">
      <c r="A890" s="139" t="str">
        <f t="shared" si="3"/>
        <v/>
      </c>
      <c r="B890" s="202"/>
      <c r="C890" s="139"/>
      <c r="D890" s="139"/>
      <c r="E890" s="139"/>
    </row>
    <row r="891" spans="1:5">
      <c r="A891" s="139" t="str">
        <f t="shared" si="3"/>
        <v/>
      </c>
      <c r="B891" s="202"/>
      <c r="C891" s="139"/>
      <c r="D891" s="139"/>
      <c r="E891" s="139"/>
    </row>
    <row r="892" spans="1:5">
      <c r="A892" s="139" t="str">
        <f t="shared" si="3"/>
        <v/>
      </c>
      <c r="B892" s="202"/>
      <c r="C892" s="139"/>
      <c r="D892" s="139"/>
      <c r="E892" s="139"/>
    </row>
    <row r="893" spans="1:5">
      <c r="A893" s="139" t="str">
        <f t="shared" si="3"/>
        <v/>
      </c>
      <c r="B893" s="202"/>
      <c r="C893" s="139"/>
      <c r="D893" s="139"/>
      <c r="E893" s="139"/>
    </row>
    <row r="894" spans="1:5">
      <c r="A894" s="139" t="str">
        <f t="shared" si="3"/>
        <v/>
      </c>
      <c r="B894" s="202"/>
      <c r="C894" s="139"/>
      <c r="D894" s="139"/>
      <c r="E894" s="139"/>
    </row>
    <row r="895" spans="1:5">
      <c r="A895" s="139" t="str">
        <f t="shared" si="3"/>
        <v/>
      </c>
      <c r="B895" s="202"/>
      <c r="C895" s="139"/>
      <c r="D895" s="139"/>
      <c r="E895" s="139"/>
    </row>
    <row r="896" spans="1:5">
      <c r="A896" s="139" t="str">
        <f t="shared" si="3"/>
        <v/>
      </c>
      <c r="B896" s="202"/>
      <c r="C896" s="139"/>
      <c r="D896" s="139"/>
      <c r="E896" s="139"/>
    </row>
    <row r="897" spans="1:5">
      <c r="A897" s="139" t="str">
        <f t="shared" si="3"/>
        <v/>
      </c>
      <c r="B897" s="202"/>
      <c r="C897" s="139"/>
      <c r="D897" s="139"/>
      <c r="E897" s="139"/>
    </row>
    <row r="898" spans="1:5">
      <c r="A898" s="139" t="str">
        <f t="shared" si="3"/>
        <v/>
      </c>
      <c r="B898" s="202"/>
      <c r="C898" s="139"/>
      <c r="D898" s="139"/>
      <c r="E898" s="139"/>
    </row>
    <row r="899" spans="1:5">
      <c r="A899" s="139" t="str">
        <f t="shared" si="3"/>
        <v/>
      </c>
      <c r="B899" s="202"/>
      <c r="C899" s="139"/>
      <c r="D899" s="139"/>
      <c r="E899" s="139"/>
    </row>
    <row r="900" spans="1:5">
      <c r="A900" s="139" t="str">
        <f t="shared" si="3"/>
        <v/>
      </c>
      <c r="B900" s="202"/>
      <c r="C900" s="139"/>
      <c r="D900" s="139"/>
      <c r="E900" s="139"/>
    </row>
    <row r="901" spans="1:5">
      <c r="A901" s="139" t="str">
        <f t="shared" si="3"/>
        <v/>
      </c>
      <c r="B901" s="202"/>
      <c r="C901" s="139"/>
      <c r="D901" s="139"/>
      <c r="E901" s="139"/>
    </row>
    <row r="902" spans="1:5">
      <c r="A902" s="139" t="str">
        <f t="shared" si="3"/>
        <v/>
      </c>
      <c r="B902" s="202"/>
      <c r="C902" s="139"/>
      <c r="D902" s="139"/>
      <c r="E902" s="139"/>
    </row>
    <row r="903" spans="1:5">
      <c r="A903" s="139" t="str">
        <f t="shared" si="3"/>
        <v/>
      </c>
      <c r="B903" s="202"/>
      <c r="C903" s="139"/>
      <c r="D903" s="139"/>
      <c r="E903" s="139"/>
    </row>
    <row r="904" spans="1:5">
      <c r="A904" s="139" t="str">
        <f t="shared" si="3"/>
        <v/>
      </c>
      <c r="B904" s="202"/>
      <c r="C904" s="139"/>
      <c r="D904" s="139"/>
      <c r="E904" s="139"/>
    </row>
    <row r="905" spans="1:5">
      <c r="A905" s="139" t="str">
        <f t="shared" si="3"/>
        <v/>
      </c>
      <c r="B905" s="202"/>
      <c r="C905" s="139"/>
      <c r="D905" s="139"/>
      <c r="E905" s="139"/>
    </row>
    <row r="906" spans="1:5">
      <c r="A906" s="139" t="str">
        <f t="shared" si="3"/>
        <v/>
      </c>
      <c r="B906" s="202"/>
      <c r="C906" s="139"/>
      <c r="D906" s="139"/>
      <c r="E906" s="139"/>
    </row>
    <row r="907" spans="1:5">
      <c r="A907" s="139" t="str">
        <f t="shared" si="3"/>
        <v/>
      </c>
      <c r="B907" s="202"/>
      <c r="C907" s="139"/>
      <c r="D907" s="139"/>
      <c r="E907" s="139"/>
    </row>
    <row r="908" spans="1:5">
      <c r="A908" s="139" t="str">
        <f t="shared" si="3"/>
        <v/>
      </c>
      <c r="B908" s="202"/>
      <c r="C908" s="139"/>
      <c r="D908" s="139"/>
      <c r="E908" s="139"/>
    </row>
    <row r="909" spans="1:5">
      <c r="A909" s="139" t="str">
        <f t="shared" si="3"/>
        <v/>
      </c>
      <c r="B909" s="202"/>
      <c r="C909" s="139"/>
      <c r="D909" s="139"/>
      <c r="E909" s="139"/>
    </row>
    <row r="910" spans="1:5">
      <c r="A910" s="139" t="str">
        <f t="shared" si="3"/>
        <v/>
      </c>
      <c r="B910" s="202"/>
      <c r="C910" s="139"/>
      <c r="D910" s="139"/>
      <c r="E910" s="139"/>
    </row>
    <row r="911" spans="1:5">
      <c r="A911" s="139" t="str">
        <f t="shared" si="3"/>
        <v/>
      </c>
      <c r="B911" s="202"/>
      <c r="C911" s="139"/>
      <c r="D911" s="139"/>
      <c r="E911" s="139"/>
    </row>
    <row r="912" spans="1:5">
      <c r="A912" s="139" t="str">
        <f t="shared" si="3"/>
        <v/>
      </c>
      <c r="B912" s="202"/>
      <c r="C912" s="139"/>
      <c r="D912" s="139"/>
      <c r="E912" s="139"/>
    </row>
    <row r="913" spans="1:5">
      <c r="A913" s="139" t="str">
        <f t="shared" si="3"/>
        <v/>
      </c>
      <c r="B913" s="202"/>
      <c r="C913" s="139"/>
      <c r="D913" s="139"/>
      <c r="E913" s="139"/>
    </row>
    <row r="914" spans="1:5">
      <c r="A914" s="139" t="str">
        <f t="shared" si="3"/>
        <v/>
      </c>
      <c r="B914" s="202"/>
      <c r="C914" s="139"/>
      <c r="D914" s="139"/>
      <c r="E914" s="139"/>
    </row>
    <row r="915" spans="1:5">
      <c r="A915" s="139" t="str">
        <f t="shared" si="3"/>
        <v/>
      </c>
      <c r="B915" s="202"/>
      <c r="C915" s="139"/>
      <c r="D915" s="139"/>
      <c r="E915" s="139"/>
    </row>
    <row r="916" spans="1:5">
      <c r="A916" s="139" t="str">
        <f t="shared" si="3"/>
        <v/>
      </c>
      <c r="B916" s="202"/>
      <c r="C916" s="139"/>
      <c r="D916" s="139"/>
      <c r="E916" s="139"/>
    </row>
    <row r="917" spans="1:5">
      <c r="A917" s="139" t="str">
        <f t="shared" si="3"/>
        <v/>
      </c>
      <c r="B917" s="202"/>
      <c r="C917" s="139"/>
      <c r="D917" s="139"/>
      <c r="E917" s="139"/>
    </row>
    <row r="918" spans="1:5">
      <c r="A918" s="139" t="str">
        <f t="shared" si="3"/>
        <v/>
      </c>
      <c r="B918" s="202"/>
      <c r="C918" s="139"/>
      <c r="D918" s="139"/>
      <c r="E918" s="139"/>
    </row>
    <row r="919" spans="1:5">
      <c r="A919" s="139" t="str">
        <f t="shared" si="3"/>
        <v/>
      </c>
      <c r="B919" s="202"/>
      <c r="C919" s="139"/>
      <c r="D919" s="139"/>
      <c r="E919" s="139"/>
    </row>
    <row r="920" spans="1:5">
      <c r="A920" s="139" t="str">
        <f t="shared" si="3"/>
        <v/>
      </c>
      <c r="B920" s="202"/>
      <c r="C920" s="139"/>
      <c r="D920" s="139"/>
      <c r="E920" s="139"/>
    </row>
    <row r="921" spans="1:5">
      <c r="A921" s="139" t="str">
        <f t="shared" si="3"/>
        <v/>
      </c>
      <c r="B921" s="202"/>
      <c r="C921" s="139"/>
      <c r="D921" s="139"/>
      <c r="E921" s="139"/>
    </row>
    <row r="922" spans="1:5">
      <c r="A922" s="139" t="str">
        <f t="shared" si="3"/>
        <v/>
      </c>
      <c r="B922" s="202"/>
      <c r="C922" s="139"/>
      <c r="D922" s="139"/>
      <c r="E922" s="139"/>
    </row>
    <row r="923" spans="1:5">
      <c r="A923" s="139" t="str">
        <f t="shared" si="3"/>
        <v/>
      </c>
      <c r="B923" s="202"/>
      <c r="C923" s="139"/>
      <c r="D923" s="139"/>
      <c r="E923" s="139"/>
    </row>
    <row r="924" spans="1:5">
      <c r="A924" s="139" t="str">
        <f t="shared" si="3"/>
        <v/>
      </c>
      <c r="B924" s="202"/>
      <c r="C924" s="139"/>
      <c r="D924" s="139"/>
      <c r="E924" s="139"/>
    </row>
    <row r="925" spans="1:5">
      <c r="A925" s="139" t="str">
        <f t="shared" si="3"/>
        <v/>
      </c>
      <c r="B925" s="202"/>
      <c r="C925" s="139"/>
      <c r="D925" s="139"/>
      <c r="E925" s="139"/>
    </row>
    <row r="926" spans="1:5">
      <c r="A926" s="139" t="str">
        <f t="shared" si="3"/>
        <v/>
      </c>
      <c r="B926" s="202"/>
      <c r="C926" s="139"/>
      <c r="D926" s="139"/>
      <c r="E926" s="139"/>
    </row>
    <row r="927" spans="1:5">
      <c r="A927" s="139" t="str">
        <f t="shared" si="3"/>
        <v/>
      </c>
      <c r="B927" s="202"/>
      <c r="C927" s="139"/>
      <c r="D927" s="139"/>
      <c r="E927" s="139"/>
    </row>
    <row r="928" spans="1:5">
      <c r="A928" s="139" t="str">
        <f t="shared" si="3"/>
        <v/>
      </c>
      <c r="B928" s="202"/>
      <c r="C928" s="139"/>
      <c r="D928" s="139"/>
      <c r="E928" s="139"/>
    </row>
    <row r="929" spans="1:5">
      <c r="A929" s="139" t="str">
        <f t="shared" si="3"/>
        <v/>
      </c>
      <c r="B929" s="202"/>
      <c r="C929" s="139"/>
      <c r="D929" s="139"/>
      <c r="E929" s="139"/>
    </row>
    <row r="930" spans="1:5">
      <c r="A930" s="139" t="str">
        <f t="shared" si="3"/>
        <v/>
      </c>
      <c r="B930" s="202"/>
      <c r="C930" s="139"/>
      <c r="D930" s="139"/>
      <c r="E930" s="139"/>
    </row>
    <row r="931" spans="1:5">
      <c r="A931" s="139" t="str">
        <f t="shared" si="3"/>
        <v/>
      </c>
      <c r="B931" s="202"/>
      <c r="C931" s="139"/>
      <c r="D931" s="139"/>
      <c r="E931" s="139"/>
    </row>
    <row r="932" spans="1:5">
      <c r="A932" s="139" t="str">
        <f t="shared" si="3"/>
        <v/>
      </c>
      <c r="B932" s="202"/>
      <c r="C932" s="139"/>
      <c r="D932" s="139"/>
      <c r="E932" s="139"/>
    </row>
    <row r="933" spans="1:5">
      <c r="A933" s="139" t="str">
        <f t="shared" si="3"/>
        <v/>
      </c>
      <c r="B933" s="202"/>
      <c r="C933" s="139"/>
      <c r="D933" s="139"/>
      <c r="E933" s="139"/>
    </row>
    <row r="934" spans="1:5">
      <c r="A934" s="139" t="str">
        <f t="shared" si="3"/>
        <v/>
      </c>
      <c r="B934" s="202"/>
      <c r="C934" s="139"/>
      <c r="D934" s="139"/>
      <c r="E934" s="139"/>
    </row>
    <row r="935" spans="1:5">
      <c r="A935" s="139" t="str">
        <f t="shared" si="3"/>
        <v/>
      </c>
      <c r="B935" s="202"/>
      <c r="C935" s="139"/>
      <c r="D935" s="139"/>
      <c r="E935" s="139"/>
    </row>
    <row r="936" spans="1:5">
      <c r="A936" s="139" t="str">
        <f t="shared" si="3"/>
        <v/>
      </c>
      <c r="B936" s="202"/>
      <c r="C936" s="139"/>
      <c r="D936" s="139"/>
      <c r="E936" s="139"/>
    </row>
    <row r="937" spans="1:5">
      <c r="A937" s="139" t="str">
        <f t="shared" si="3"/>
        <v/>
      </c>
      <c r="B937" s="202"/>
      <c r="C937" s="139"/>
      <c r="D937" s="139"/>
      <c r="E937" s="139"/>
    </row>
    <row r="938" spans="1:5">
      <c r="A938" s="139" t="str">
        <f t="shared" si="3"/>
        <v/>
      </c>
      <c r="B938" s="202"/>
      <c r="C938" s="139"/>
      <c r="D938" s="139"/>
      <c r="E938" s="139"/>
    </row>
    <row r="939" spans="1:5">
      <c r="A939" s="139" t="str">
        <f t="shared" si="3"/>
        <v/>
      </c>
      <c r="B939" s="202"/>
      <c r="C939" s="139"/>
      <c r="D939" s="139"/>
      <c r="E939" s="139"/>
    </row>
    <row r="940" spans="1:5">
      <c r="A940" s="139" t="str">
        <f t="shared" si="3"/>
        <v/>
      </c>
      <c r="B940" s="202"/>
      <c r="C940" s="139"/>
      <c r="D940" s="139"/>
      <c r="E940" s="139"/>
    </row>
    <row r="941" spans="1:5">
      <c r="A941" s="139" t="str">
        <f t="shared" si="3"/>
        <v/>
      </c>
      <c r="B941" s="202"/>
      <c r="C941" s="139"/>
      <c r="D941" s="139"/>
      <c r="E941" s="139"/>
    </row>
    <row r="942" spans="1:5">
      <c r="A942" s="139" t="str">
        <f t="shared" si="3"/>
        <v/>
      </c>
      <c r="B942" s="202"/>
      <c r="C942" s="139"/>
      <c r="D942" s="139"/>
      <c r="E942" s="139"/>
    </row>
    <row r="943" spans="1:5">
      <c r="A943" s="139" t="str">
        <f t="shared" si="3"/>
        <v/>
      </c>
      <c r="B943" s="202"/>
      <c r="C943" s="139"/>
      <c r="D943" s="139"/>
      <c r="E943" s="139"/>
    </row>
    <row r="944" spans="1:5">
      <c r="A944" s="139" t="str">
        <f t="shared" si="3"/>
        <v/>
      </c>
      <c r="B944" s="202"/>
      <c r="C944" s="139"/>
      <c r="D944" s="139"/>
      <c r="E944" s="139"/>
    </row>
    <row r="945" spans="1:5">
      <c r="A945" s="139" t="str">
        <f t="shared" si="3"/>
        <v/>
      </c>
      <c r="B945" s="202"/>
      <c r="C945" s="139"/>
      <c r="D945" s="139"/>
      <c r="E945" s="139"/>
    </row>
    <row r="946" spans="1:5">
      <c r="A946" s="139" t="str">
        <f t="shared" si="3"/>
        <v/>
      </c>
      <c r="B946" s="202"/>
      <c r="C946" s="139"/>
      <c r="D946" s="139"/>
      <c r="E946" s="139"/>
    </row>
    <row r="947" spans="1:5">
      <c r="A947" s="139" t="str">
        <f t="shared" si="3"/>
        <v/>
      </c>
      <c r="B947" s="202"/>
      <c r="C947" s="139"/>
      <c r="D947" s="139"/>
      <c r="E947" s="139"/>
    </row>
    <row r="948" spans="1:5">
      <c r="A948" s="139" t="str">
        <f t="shared" si="3"/>
        <v/>
      </c>
      <c r="B948" s="202"/>
      <c r="C948" s="139"/>
      <c r="D948" s="139"/>
      <c r="E948" s="139"/>
    </row>
    <row r="949" spans="1:5">
      <c r="A949" s="139" t="str">
        <f t="shared" si="3"/>
        <v/>
      </c>
      <c r="B949" s="202"/>
      <c r="C949" s="139"/>
      <c r="D949" s="139"/>
      <c r="E949" s="139"/>
    </row>
    <row r="950" spans="1:5">
      <c r="A950" s="139" t="str">
        <f t="shared" si="3"/>
        <v/>
      </c>
      <c r="B950" s="202"/>
      <c r="C950" s="139"/>
      <c r="D950" s="139"/>
      <c r="E950" s="139"/>
    </row>
    <row r="951" spans="1:5">
      <c r="A951" s="139" t="str">
        <f t="shared" si="3"/>
        <v/>
      </c>
      <c r="B951" s="202"/>
      <c r="C951" s="139"/>
      <c r="D951" s="139"/>
      <c r="E951" s="139"/>
    </row>
    <row r="952" spans="1:5">
      <c r="A952" s="139" t="str">
        <f t="shared" si="3"/>
        <v/>
      </c>
      <c r="B952" s="202"/>
      <c r="C952" s="139"/>
      <c r="D952" s="139"/>
      <c r="E952" s="139"/>
    </row>
    <row r="953" spans="1:5">
      <c r="A953" s="139" t="str">
        <f t="shared" si="3"/>
        <v/>
      </c>
      <c r="B953" s="202"/>
      <c r="C953" s="139"/>
      <c r="D953" s="139"/>
      <c r="E953" s="139"/>
    </row>
    <row r="954" spans="1:5">
      <c r="A954" s="139" t="str">
        <f t="shared" si="3"/>
        <v/>
      </c>
      <c r="B954" s="202"/>
      <c r="C954" s="139"/>
      <c r="D954" s="139"/>
      <c r="E954" s="139"/>
    </row>
    <row r="955" spans="1:5">
      <c r="A955" s="139" t="str">
        <f t="shared" si="3"/>
        <v/>
      </c>
      <c r="B955" s="202"/>
      <c r="C955" s="139"/>
      <c r="D955" s="139"/>
      <c r="E955" s="139"/>
    </row>
    <row r="956" spans="1:5">
      <c r="A956" s="139" t="str">
        <f t="shared" si="3"/>
        <v/>
      </c>
      <c r="B956" s="202"/>
      <c r="C956" s="139"/>
      <c r="D956" s="139"/>
      <c r="E956" s="139"/>
    </row>
    <row r="957" spans="1:5">
      <c r="A957" s="139" t="str">
        <f t="shared" si="3"/>
        <v/>
      </c>
      <c r="B957" s="202"/>
      <c r="C957" s="139"/>
      <c r="D957" s="139"/>
      <c r="E957" s="139"/>
    </row>
    <row r="958" spans="1:5">
      <c r="A958" s="139" t="str">
        <f t="shared" si="3"/>
        <v/>
      </c>
      <c r="B958" s="202"/>
      <c r="C958" s="139"/>
      <c r="D958" s="139"/>
      <c r="E958" s="139"/>
    </row>
    <row r="959" spans="1:5">
      <c r="A959" s="139" t="str">
        <f t="shared" si="3"/>
        <v/>
      </c>
      <c r="B959" s="202"/>
      <c r="C959" s="139"/>
      <c r="D959" s="139"/>
      <c r="E959" s="139"/>
    </row>
    <row r="960" spans="1:5">
      <c r="A960" s="139" t="str">
        <f t="shared" si="3"/>
        <v/>
      </c>
      <c r="B960" s="202"/>
      <c r="C960" s="139"/>
      <c r="D960" s="139"/>
      <c r="E960" s="139"/>
    </row>
    <row r="961" spans="1:5">
      <c r="A961" s="139" t="str">
        <f t="shared" si="3"/>
        <v/>
      </c>
      <c r="B961" s="202"/>
      <c r="C961" s="139"/>
      <c r="D961" s="139"/>
      <c r="E961" s="139"/>
    </row>
    <row r="962" spans="1:5">
      <c r="A962" s="139" t="str">
        <f t="shared" si="3"/>
        <v/>
      </c>
      <c r="B962" s="202"/>
      <c r="C962" s="139"/>
      <c r="D962" s="139"/>
      <c r="E962" s="139"/>
    </row>
    <row r="963" spans="1:5">
      <c r="A963" s="139" t="str">
        <f t="shared" si="3"/>
        <v/>
      </c>
      <c r="B963" s="202"/>
      <c r="C963" s="139"/>
      <c r="D963" s="139"/>
      <c r="E963" s="139"/>
    </row>
    <row r="964" spans="1:5">
      <c r="A964" s="139" t="str">
        <f t="shared" si="3"/>
        <v/>
      </c>
      <c r="B964" s="202"/>
      <c r="C964" s="139"/>
      <c r="D964" s="139"/>
      <c r="E964" s="139"/>
    </row>
    <row r="965" spans="1:5">
      <c r="A965" s="139" t="str">
        <f t="shared" si="3"/>
        <v/>
      </c>
      <c r="B965" s="202"/>
      <c r="C965" s="139"/>
      <c r="D965" s="139"/>
      <c r="E965" s="139"/>
    </row>
    <row r="966" spans="1:5">
      <c r="A966" s="139" t="str">
        <f t="shared" si="3"/>
        <v/>
      </c>
      <c r="B966" s="202"/>
      <c r="C966" s="139"/>
      <c r="D966" s="139"/>
      <c r="E966" s="139"/>
    </row>
    <row r="967" spans="1:5">
      <c r="A967" s="139" t="str">
        <f t="shared" si="3"/>
        <v/>
      </c>
      <c r="B967" s="202"/>
      <c r="C967" s="139"/>
      <c r="D967" s="139"/>
      <c r="E967" s="139"/>
    </row>
    <row r="968" spans="1:5">
      <c r="A968" s="139" t="str">
        <f t="shared" si="3"/>
        <v/>
      </c>
      <c r="B968" s="202"/>
      <c r="C968" s="139"/>
      <c r="D968" s="139"/>
      <c r="E968" s="139"/>
    </row>
    <row r="969" spans="1:5">
      <c r="A969" s="139" t="str">
        <f t="shared" si="3"/>
        <v/>
      </c>
      <c r="B969" s="202"/>
      <c r="C969" s="139"/>
      <c r="D969" s="139"/>
      <c r="E969" s="139"/>
    </row>
    <row r="970" spans="1:5">
      <c r="A970" s="139" t="str">
        <f t="shared" si="3"/>
        <v/>
      </c>
      <c r="B970" s="202"/>
      <c r="C970" s="139"/>
      <c r="D970" s="139"/>
      <c r="E970" s="139"/>
    </row>
    <row r="971" spans="1:5">
      <c r="A971" s="139" t="str">
        <f t="shared" si="3"/>
        <v/>
      </c>
      <c r="B971" s="202"/>
      <c r="C971" s="139"/>
      <c r="D971" s="139"/>
      <c r="E971" s="139"/>
    </row>
    <row r="972" spans="1:5">
      <c r="A972" s="139" t="str">
        <f t="shared" si="3"/>
        <v/>
      </c>
      <c r="B972" s="202"/>
      <c r="C972" s="139"/>
      <c r="D972" s="139"/>
      <c r="E972" s="139"/>
    </row>
    <row r="973" spans="1:5">
      <c r="A973" s="139" t="str">
        <f t="shared" si="3"/>
        <v/>
      </c>
      <c r="B973" s="202"/>
      <c r="C973" s="139"/>
      <c r="D973" s="139"/>
      <c r="E973" s="139"/>
    </row>
    <row r="974" spans="1:5">
      <c r="A974" s="139" t="str">
        <f t="shared" si="3"/>
        <v/>
      </c>
      <c r="B974" s="202"/>
      <c r="C974" s="139"/>
      <c r="D974" s="139"/>
      <c r="E974" s="139"/>
    </row>
    <row r="975" spans="1:5">
      <c r="A975" s="139" t="str">
        <f t="shared" si="3"/>
        <v/>
      </c>
      <c r="B975" s="202"/>
      <c r="C975" s="139"/>
      <c r="D975" s="139"/>
      <c r="E975" s="139"/>
    </row>
    <row r="976" spans="1:5">
      <c r="A976" s="139" t="str">
        <f t="shared" si="3"/>
        <v/>
      </c>
      <c r="B976" s="202"/>
      <c r="C976" s="139"/>
      <c r="D976" s="139"/>
      <c r="E976" s="139"/>
    </row>
    <row r="977" spans="1:5">
      <c r="A977" s="139" t="str">
        <f t="shared" si="3"/>
        <v/>
      </c>
      <c r="B977" s="202"/>
      <c r="C977" s="139"/>
      <c r="D977" s="139"/>
      <c r="E977" s="139"/>
    </row>
    <row r="978" spans="1:5">
      <c r="A978" s="139" t="str">
        <f t="shared" si="3"/>
        <v/>
      </c>
      <c r="B978" s="202"/>
      <c r="C978" s="139"/>
      <c r="D978" s="139"/>
      <c r="E978" s="139"/>
    </row>
    <row r="979" spans="1:5">
      <c r="A979" s="139" t="str">
        <f t="shared" si="3"/>
        <v/>
      </c>
      <c r="B979" s="202"/>
      <c r="C979" s="139"/>
      <c r="D979" s="139"/>
      <c r="E979" s="139"/>
    </row>
    <row r="980" spans="1:5">
      <c r="A980" s="139" t="str">
        <f t="shared" si="3"/>
        <v/>
      </c>
      <c r="B980" s="202"/>
      <c r="C980" s="139"/>
      <c r="D980" s="139"/>
      <c r="E980" s="139"/>
    </row>
    <row r="981" spans="1:5">
      <c r="A981" s="139" t="str">
        <f t="shared" si="3"/>
        <v/>
      </c>
      <c r="B981" s="202"/>
      <c r="C981" s="139"/>
      <c r="D981" s="139"/>
      <c r="E981" s="139"/>
    </row>
    <row r="982" spans="1:5">
      <c r="A982" s="139" t="str">
        <f t="shared" si="3"/>
        <v/>
      </c>
      <c r="B982" s="202"/>
      <c r="C982" s="139"/>
      <c r="D982" s="139"/>
      <c r="E982" s="139"/>
    </row>
    <row r="983" spans="1:5">
      <c r="A983" s="139" t="str">
        <f t="shared" si="3"/>
        <v/>
      </c>
      <c r="B983" s="202"/>
      <c r="C983" s="139"/>
      <c r="D983" s="139"/>
      <c r="E983" s="139"/>
    </row>
    <row r="984" spans="1:5">
      <c r="A984" s="139" t="str">
        <f t="shared" si="3"/>
        <v/>
      </c>
      <c r="B984" s="202"/>
      <c r="C984" s="139"/>
      <c r="D984" s="139"/>
      <c r="E984" s="139"/>
    </row>
    <row r="985" spans="1:5">
      <c r="A985" s="139" t="str">
        <f t="shared" si="3"/>
        <v/>
      </c>
      <c r="B985" s="202"/>
      <c r="C985" s="139"/>
      <c r="D985" s="139"/>
      <c r="E985" s="139"/>
    </row>
    <row r="986" spans="1:5">
      <c r="A986" s="139" t="str">
        <f t="shared" si="3"/>
        <v/>
      </c>
      <c r="B986" s="202"/>
      <c r="C986" s="139"/>
      <c r="D986" s="139"/>
      <c r="E986" s="139"/>
    </row>
    <row r="987" spans="1:5">
      <c r="A987" s="139" t="str">
        <f t="shared" si="3"/>
        <v/>
      </c>
      <c r="B987" s="202"/>
      <c r="C987" s="139"/>
      <c r="D987" s="139"/>
      <c r="E987" s="139"/>
    </row>
    <row r="988" spans="1:5">
      <c r="A988" s="139" t="str">
        <f t="shared" si="3"/>
        <v/>
      </c>
      <c r="B988" s="202"/>
      <c r="C988" s="139"/>
      <c r="D988" s="139"/>
      <c r="E988" s="139"/>
    </row>
    <row r="989" spans="1:5">
      <c r="A989" s="139" t="str">
        <f t="shared" si="3"/>
        <v/>
      </c>
      <c r="B989" s="202"/>
      <c r="C989" s="139"/>
      <c r="D989" s="139"/>
      <c r="E989" s="139"/>
    </row>
    <row r="990" spans="1:5">
      <c r="A990" s="139" t="str">
        <f t="shared" si="3"/>
        <v/>
      </c>
      <c r="B990" s="202"/>
      <c r="C990" s="139"/>
      <c r="D990" s="139"/>
      <c r="E990" s="139"/>
    </row>
    <row r="991" spans="1:5">
      <c r="A991" s="139" t="str">
        <f t="shared" si="3"/>
        <v/>
      </c>
      <c r="B991" s="202"/>
      <c r="C991" s="139"/>
      <c r="D991" s="139"/>
      <c r="E991" s="139"/>
    </row>
    <row r="992" spans="1:5">
      <c r="A992" s="139" t="str">
        <f t="shared" si="3"/>
        <v/>
      </c>
      <c r="B992" s="202"/>
      <c r="C992" s="139"/>
      <c r="D992" s="139"/>
      <c r="E992" s="139"/>
    </row>
    <row r="993" spans="1:5">
      <c r="A993" s="139" t="str">
        <f t="shared" si="3"/>
        <v/>
      </c>
      <c r="B993" s="202"/>
      <c r="C993" s="139"/>
      <c r="D993" s="139"/>
      <c r="E993" s="139"/>
    </row>
    <row r="994" spans="1:5">
      <c r="A994" s="139" t="str">
        <f t="shared" si="3"/>
        <v/>
      </c>
      <c r="B994" s="202"/>
      <c r="C994" s="139"/>
      <c r="D994" s="139"/>
      <c r="E994" s="139"/>
    </row>
    <row r="995" spans="1:5">
      <c r="A995" s="139" t="str">
        <f t="shared" si="3"/>
        <v/>
      </c>
      <c r="B995" s="202"/>
      <c r="C995" s="139"/>
      <c r="D995" s="139"/>
      <c r="E995" s="139"/>
    </row>
    <row r="996" spans="1:5">
      <c r="A996" s="140"/>
      <c r="B996" s="192"/>
      <c r="C996" s="140"/>
      <c r="D996" s="140"/>
      <c r="E996" s="140"/>
    </row>
    <row r="997" spans="1:5">
      <c r="A997" s="140"/>
      <c r="B997" s="192"/>
      <c r="C997" s="140"/>
      <c r="D997" s="140"/>
      <c r="E997" s="140"/>
    </row>
    <row r="998" spans="1:5">
      <c r="A998" s="140"/>
      <c r="B998" s="192"/>
      <c r="C998" s="140"/>
      <c r="D998" s="140"/>
      <c r="E998" s="140"/>
    </row>
    <row r="999" spans="1:5">
      <c r="A999" s="140"/>
      <c r="B999" s="192"/>
      <c r="C999" s="140"/>
      <c r="D999" s="140"/>
      <c r="E999" s="140"/>
    </row>
    <row r="1000" spans="1:5">
      <c r="A1000" s="140"/>
      <c r="B1000" s="192"/>
      <c r="C1000" s="140"/>
      <c r="D1000" s="140"/>
      <c r="E1000" s="140"/>
    </row>
    <row r="1001" spans="1:5">
      <c r="A1001" s="140"/>
      <c r="B1001" s="192"/>
      <c r="C1001" s="140"/>
      <c r="D1001" s="140"/>
      <c r="E1001" s="140"/>
    </row>
    <row r="1002" spans="1:5">
      <c r="A1002" s="140"/>
      <c r="B1002" s="192"/>
      <c r="C1002" s="140"/>
      <c r="D1002" s="140"/>
      <c r="E1002" s="140"/>
    </row>
    <row r="1003" spans="1:5">
      <c r="A1003" s="140"/>
      <c r="B1003" s="192"/>
      <c r="C1003" s="140"/>
      <c r="D1003" s="140"/>
      <c r="E1003" s="140"/>
    </row>
    <row r="1004" spans="1:5">
      <c r="A1004" s="140"/>
      <c r="B1004" s="192"/>
      <c r="C1004" s="140"/>
      <c r="D1004" s="140"/>
      <c r="E1004" s="140"/>
    </row>
    <row r="1005" spans="1:5">
      <c r="A1005" s="140"/>
      <c r="B1005" s="192"/>
      <c r="C1005" s="140"/>
      <c r="D1005" s="140"/>
      <c r="E1005" s="140"/>
    </row>
    <row r="1006" spans="1:5">
      <c r="A1006" s="140"/>
      <c r="B1006" s="192"/>
      <c r="C1006" s="140"/>
      <c r="D1006" s="140"/>
      <c r="E1006" s="140"/>
    </row>
    <row r="1007" spans="1:5">
      <c r="A1007" s="140"/>
      <c r="B1007" s="192"/>
      <c r="C1007" s="140"/>
      <c r="D1007" s="140"/>
      <c r="E1007" s="140"/>
    </row>
    <row r="1008" spans="1:5">
      <c r="A1008" s="140"/>
      <c r="B1008" s="192"/>
      <c r="C1008" s="140"/>
      <c r="D1008" s="140"/>
      <c r="E1008" s="140"/>
    </row>
    <row r="1009" spans="1:5">
      <c r="A1009" s="140"/>
      <c r="B1009" s="192"/>
      <c r="C1009" s="140"/>
      <c r="D1009" s="140"/>
      <c r="E1009" s="140"/>
    </row>
    <row r="1010" spans="1:5">
      <c r="A1010" s="140"/>
      <c r="B1010" s="192"/>
      <c r="C1010" s="140"/>
      <c r="D1010" s="140"/>
      <c r="E1010" s="140"/>
    </row>
    <row r="1011" spans="1:5">
      <c r="A1011" s="140"/>
      <c r="B1011" s="192"/>
      <c r="C1011" s="140"/>
      <c r="D1011" s="140"/>
      <c r="E1011" s="140"/>
    </row>
    <row r="1012" spans="1:5">
      <c r="A1012" s="140"/>
      <c r="B1012" s="192"/>
      <c r="C1012" s="140"/>
      <c r="D1012" s="140"/>
      <c r="E1012" s="140"/>
    </row>
    <row r="1013" spans="1:5">
      <c r="A1013" s="140"/>
      <c r="B1013" s="192"/>
      <c r="C1013" s="140"/>
      <c r="D1013" s="140"/>
      <c r="E1013" s="140"/>
    </row>
    <row r="1014" spans="1:5">
      <c r="A1014" s="140"/>
      <c r="B1014" s="192"/>
      <c r="C1014" s="140"/>
      <c r="D1014" s="140"/>
      <c r="E1014" s="140"/>
    </row>
    <row r="1015" spans="1:5">
      <c r="A1015" s="140"/>
      <c r="B1015" s="192"/>
      <c r="C1015" s="140"/>
      <c r="D1015" s="140"/>
      <c r="E1015" s="140"/>
    </row>
    <row r="1016" spans="1:5">
      <c r="A1016" s="140"/>
      <c r="B1016" s="192"/>
      <c r="C1016" s="140"/>
      <c r="D1016" s="140"/>
      <c r="E1016" s="140"/>
    </row>
    <row r="1017" spans="1:5">
      <c r="A1017" s="140"/>
      <c r="B1017" s="192"/>
      <c r="C1017" s="140"/>
      <c r="D1017" s="140"/>
      <c r="E1017" s="140"/>
    </row>
    <row r="1018" spans="1:5">
      <c r="A1018" s="140"/>
      <c r="B1018" s="192"/>
      <c r="C1018" s="140"/>
      <c r="D1018" s="140"/>
      <c r="E1018" s="140"/>
    </row>
    <row r="1019" spans="1:5">
      <c r="A1019" s="140"/>
      <c r="B1019" s="192"/>
      <c r="C1019" s="140"/>
      <c r="D1019" s="140"/>
      <c r="E1019" s="140"/>
    </row>
    <row r="1020" spans="1:5">
      <c r="A1020" s="140"/>
      <c r="B1020" s="192"/>
      <c r="C1020" s="140"/>
      <c r="D1020" s="140"/>
      <c r="E1020" s="140"/>
    </row>
    <row r="1021" spans="1:5">
      <c r="A1021" s="140"/>
      <c r="B1021" s="192"/>
      <c r="C1021" s="140"/>
      <c r="D1021" s="140"/>
      <c r="E1021" s="140"/>
    </row>
    <row r="1022" spans="1:5">
      <c r="A1022" s="140"/>
      <c r="B1022" s="192"/>
      <c r="C1022" s="140"/>
      <c r="D1022" s="140"/>
      <c r="E1022" s="140"/>
    </row>
    <row r="1023" spans="1:5">
      <c r="A1023" s="140"/>
      <c r="B1023" s="192"/>
      <c r="C1023" s="140"/>
      <c r="D1023" s="140"/>
      <c r="E1023" s="140"/>
    </row>
    <row r="1024" spans="1:5">
      <c r="A1024" s="140"/>
      <c r="B1024" s="192"/>
      <c r="C1024" s="140"/>
      <c r="D1024" s="140"/>
      <c r="E1024" s="140"/>
    </row>
    <row r="1025" spans="1:5">
      <c r="A1025" s="140"/>
      <c r="B1025" s="192"/>
      <c r="C1025" s="140"/>
      <c r="D1025" s="140"/>
      <c r="E1025" s="140"/>
    </row>
    <row r="1026" spans="1:5">
      <c r="A1026" s="140"/>
      <c r="B1026" s="192"/>
      <c r="C1026" s="140"/>
      <c r="D1026" s="140"/>
      <c r="E1026" s="140"/>
    </row>
    <row r="1027" spans="1:5">
      <c r="A1027" s="140"/>
      <c r="B1027" s="192"/>
      <c r="C1027" s="140"/>
      <c r="D1027" s="140"/>
      <c r="E1027" s="140"/>
    </row>
    <row r="1028" spans="1:5">
      <c r="A1028" s="140"/>
      <c r="B1028" s="192"/>
      <c r="C1028" s="140"/>
      <c r="D1028" s="140"/>
      <c r="E1028" s="140"/>
    </row>
    <row r="1029" spans="1:5">
      <c r="A1029" s="140"/>
      <c r="B1029" s="192"/>
      <c r="C1029" s="140"/>
      <c r="D1029" s="140"/>
      <c r="E1029" s="140"/>
    </row>
    <row r="1030" spans="1:5">
      <c r="A1030" s="140"/>
      <c r="B1030" s="192"/>
      <c r="C1030" s="140"/>
      <c r="D1030" s="140"/>
      <c r="E1030" s="140"/>
    </row>
    <row r="1031" spans="1:5">
      <c r="A1031" s="140"/>
      <c r="B1031" s="192"/>
      <c r="C1031" s="140"/>
      <c r="D1031" s="140"/>
      <c r="E1031" s="140"/>
    </row>
    <row r="1032" spans="1:5">
      <c r="A1032" s="140"/>
      <c r="B1032" s="192"/>
      <c r="C1032" s="140"/>
      <c r="D1032" s="140"/>
      <c r="E1032" s="140"/>
    </row>
    <row r="1033" spans="1:5">
      <c r="A1033" s="140"/>
      <c r="B1033" s="192"/>
      <c r="C1033" s="140"/>
      <c r="D1033" s="140"/>
      <c r="E1033" s="140"/>
    </row>
    <row r="1034" spans="1:5">
      <c r="A1034" s="140"/>
      <c r="B1034" s="192"/>
      <c r="C1034" s="140"/>
      <c r="D1034" s="140"/>
      <c r="E1034" s="140"/>
    </row>
    <row r="1035" spans="1:5">
      <c r="A1035" s="140"/>
      <c r="B1035" s="192"/>
      <c r="C1035" s="140"/>
      <c r="D1035" s="140"/>
      <c r="E1035" s="140"/>
    </row>
    <row r="1036" spans="1:5">
      <c r="A1036" s="140"/>
      <c r="B1036" s="192"/>
      <c r="C1036" s="140"/>
      <c r="D1036" s="140"/>
      <c r="E1036" s="140"/>
    </row>
    <row r="1037" spans="1:5">
      <c r="A1037" s="140"/>
      <c r="B1037" s="192"/>
      <c r="C1037" s="140"/>
      <c r="D1037" s="140"/>
      <c r="E1037" s="140"/>
    </row>
    <row r="1038" spans="1:5">
      <c r="A1038" s="140"/>
      <c r="B1038" s="192"/>
      <c r="C1038" s="140"/>
      <c r="D1038" s="140"/>
      <c r="E1038" s="140"/>
    </row>
    <row r="1039" spans="1:5">
      <c r="A1039" s="140"/>
      <c r="B1039" s="192"/>
      <c r="C1039" s="140"/>
      <c r="D1039" s="140"/>
      <c r="E1039" s="140"/>
    </row>
    <row r="1040" spans="1:5">
      <c r="A1040" s="140"/>
      <c r="B1040" s="192"/>
      <c r="C1040" s="140"/>
      <c r="D1040" s="140"/>
      <c r="E1040" s="140"/>
    </row>
    <row r="1041" spans="1:5">
      <c r="A1041" s="140"/>
      <c r="B1041" s="192"/>
      <c r="C1041" s="140"/>
      <c r="D1041" s="140"/>
      <c r="E1041" s="140"/>
    </row>
    <row r="1042" spans="1:5">
      <c r="A1042" s="140"/>
      <c r="B1042" s="192"/>
      <c r="C1042" s="140"/>
      <c r="D1042" s="140"/>
      <c r="E1042" s="140"/>
    </row>
    <row r="1043" spans="1:5">
      <c r="A1043" s="140"/>
      <c r="B1043" s="192"/>
      <c r="C1043" s="140"/>
      <c r="D1043" s="140"/>
      <c r="E1043" s="140"/>
    </row>
    <row r="1044" spans="1:5">
      <c r="A1044" s="140"/>
      <c r="B1044" s="192"/>
      <c r="C1044" s="140"/>
      <c r="D1044" s="140"/>
      <c r="E1044" s="140"/>
    </row>
    <row r="1045" spans="1:5">
      <c r="A1045" s="140"/>
      <c r="B1045" s="192"/>
      <c r="C1045" s="140"/>
      <c r="D1045" s="140"/>
      <c r="E1045" s="140"/>
    </row>
    <row r="1046" spans="1:5">
      <c r="A1046" s="140"/>
      <c r="B1046" s="192"/>
      <c r="C1046" s="140"/>
      <c r="D1046" s="140"/>
      <c r="E1046" s="140"/>
    </row>
    <row r="1047" spans="1:5">
      <c r="A1047" s="140"/>
      <c r="B1047" s="192"/>
      <c r="C1047" s="140"/>
      <c r="D1047" s="140"/>
      <c r="E1047" s="140"/>
    </row>
    <row r="1048" spans="1:5">
      <c r="A1048" s="140"/>
      <c r="B1048" s="192"/>
      <c r="C1048" s="140"/>
      <c r="D1048" s="140"/>
      <c r="E1048" s="140"/>
    </row>
    <row r="1049" spans="1:5">
      <c r="A1049" s="140"/>
      <c r="B1049" s="192"/>
      <c r="C1049" s="140"/>
      <c r="D1049" s="140"/>
      <c r="E1049" s="140"/>
    </row>
    <row r="1050" spans="1:5">
      <c r="A1050" s="140"/>
      <c r="B1050" s="192"/>
      <c r="C1050" s="140"/>
      <c r="D1050" s="140"/>
      <c r="E1050" s="140"/>
    </row>
    <row r="1051" spans="1:5">
      <c r="A1051" s="140"/>
      <c r="B1051" s="192"/>
      <c r="C1051" s="140"/>
      <c r="D1051" s="140"/>
      <c r="E1051" s="140"/>
    </row>
    <row r="1052" spans="1:5">
      <c r="A1052" s="140"/>
      <c r="B1052" s="192"/>
      <c r="C1052" s="140"/>
      <c r="D1052" s="140"/>
      <c r="E1052" s="140"/>
    </row>
    <row r="1053" spans="1:5">
      <c r="A1053" s="140"/>
      <c r="B1053" s="192"/>
      <c r="C1053" s="140"/>
      <c r="D1053" s="140"/>
      <c r="E1053" s="140"/>
    </row>
    <row r="1054" spans="1:5">
      <c r="A1054" s="140"/>
      <c r="B1054" s="192"/>
      <c r="C1054" s="140"/>
      <c r="D1054" s="140"/>
      <c r="E1054" s="140"/>
    </row>
    <row r="1055" spans="1:5">
      <c r="A1055" s="140"/>
      <c r="B1055" s="192"/>
      <c r="C1055" s="140"/>
      <c r="D1055" s="140"/>
      <c r="E1055" s="140"/>
    </row>
    <row r="1056" spans="1:5">
      <c r="A1056" s="140"/>
      <c r="B1056" s="192"/>
      <c r="C1056" s="140"/>
      <c r="D1056" s="140"/>
      <c r="E1056" s="140"/>
    </row>
    <row r="1057" spans="1:5">
      <c r="A1057" s="140"/>
      <c r="B1057" s="192"/>
      <c r="C1057" s="140"/>
      <c r="D1057" s="140"/>
      <c r="E1057" s="140"/>
    </row>
    <row r="1058" spans="1:5">
      <c r="A1058" s="140"/>
      <c r="B1058" s="192"/>
      <c r="C1058" s="140"/>
      <c r="D1058" s="140"/>
      <c r="E1058" s="140"/>
    </row>
    <row r="1059" spans="1:5">
      <c r="A1059" s="140"/>
      <c r="B1059" s="192"/>
      <c r="C1059" s="140"/>
      <c r="D1059" s="140"/>
      <c r="E1059" s="140"/>
    </row>
    <row r="1060" spans="1:5">
      <c r="A1060" s="140"/>
      <c r="B1060" s="192"/>
      <c r="C1060" s="140"/>
      <c r="D1060" s="140"/>
      <c r="E1060" s="140"/>
    </row>
    <row r="1061" spans="1:5">
      <c r="A1061" s="140"/>
      <c r="B1061" s="192"/>
      <c r="C1061" s="140"/>
      <c r="D1061" s="140"/>
      <c r="E1061" s="140"/>
    </row>
    <row r="1062" spans="1:5">
      <c r="A1062" s="140"/>
      <c r="B1062" s="192"/>
      <c r="C1062" s="140"/>
      <c r="D1062" s="140"/>
      <c r="E1062" s="140"/>
    </row>
    <row r="1063" spans="1:5">
      <c r="A1063" s="140"/>
      <c r="B1063" s="192"/>
      <c r="C1063" s="140"/>
      <c r="D1063" s="140"/>
      <c r="E1063" s="140"/>
    </row>
    <row r="1064" spans="1:5">
      <c r="A1064" s="140"/>
      <c r="B1064" s="192"/>
      <c r="C1064" s="140"/>
      <c r="D1064" s="140"/>
      <c r="E1064" s="140"/>
    </row>
    <row r="1065" spans="1:5">
      <c r="A1065" s="140"/>
      <c r="B1065" s="192"/>
      <c r="C1065" s="140"/>
      <c r="D1065" s="140"/>
      <c r="E1065" s="140"/>
    </row>
    <row r="1066" spans="1:5">
      <c r="A1066" s="140"/>
      <c r="B1066" s="192"/>
      <c r="C1066" s="140"/>
      <c r="D1066" s="140"/>
      <c r="E1066" s="140"/>
    </row>
    <row r="1067" spans="1:5">
      <c r="A1067" s="140"/>
      <c r="B1067" s="192"/>
      <c r="C1067" s="140"/>
      <c r="D1067" s="140"/>
      <c r="E1067" s="140"/>
    </row>
    <row r="1068" spans="1:5">
      <c r="A1068" s="140"/>
      <c r="B1068" s="192"/>
      <c r="C1068" s="140"/>
      <c r="D1068" s="140"/>
      <c r="E1068" s="140"/>
    </row>
    <row r="1069" spans="1:5">
      <c r="A1069" s="140"/>
      <c r="B1069" s="192"/>
      <c r="C1069" s="140"/>
      <c r="D1069" s="140"/>
      <c r="E1069" s="140"/>
    </row>
    <row r="1070" spans="1:5">
      <c r="A1070" s="140"/>
      <c r="B1070" s="192"/>
      <c r="C1070" s="140"/>
      <c r="D1070" s="140"/>
      <c r="E1070" s="140"/>
    </row>
    <row r="1071" spans="1:5">
      <c r="A1071" s="140"/>
      <c r="B1071" s="192"/>
      <c r="C1071" s="140"/>
      <c r="D1071" s="140"/>
      <c r="E1071" s="140"/>
    </row>
    <row r="1072" spans="1:5">
      <c r="A1072" s="140"/>
      <c r="B1072" s="192"/>
      <c r="C1072" s="140"/>
      <c r="D1072" s="140"/>
      <c r="E1072" s="140"/>
    </row>
    <row r="1073" spans="1:5">
      <c r="A1073" s="140"/>
      <c r="B1073" s="192"/>
      <c r="C1073" s="140"/>
      <c r="D1073" s="140"/>
      <c r="E1073" s="140"/>
    </row>
    <row r="1074" spans="1:5">
      <c r="A1074" s="140"/>
      <c r="B1074" s="192"/>
      <c r="C1074" s="140"/>
      <c r="D1074" s="140"/>
      <c r="E1074" s="140"/>
    </row>
    <row r="1075" spans="1:5">
      <c r="A1075" s="140"/>
      <c r="B1075" s="192"/>
      <c r="C1075" s="140"/>
      <c r="D1075" s="140"/>
      <c r="E1075" s="140"/>
    </row>
    <row r="1076" spans="1:5">
      <c r="A1076" s="140"/>
      <c r="B1076" s="192"/>
      <c r="C1076" s="140"/>
      <c r="D1076" s="140"/>
      <c r="E1076" s="140"/>
    </row>
    <row r="1077" spans="1:5">
      <c r="A1077" s="140"/>
      <c r="B1077" s="192"/>
      <c r="C1077" s="140"/>
      <c r="D1077" s="140"/>
      <c r="E1077" s="140"/>
    </row>
    <row r="1078" spans="1:5">
      <c r="A1078" s="140"/>
      <c r="B1078" s="192"/>
      <c r="C1078" s="140"/>
      <c r="D1078" s="140"/>
      <c r="E1078" s="140"/>
    </row>
    <row r="1079" spans="1:5">
      <c r="A1079" s="140"/>
      <c r="B1079" s="192"/>
      <c r="C1079" s="140"/>
      <c r="D1079" s="140"/>
      <c r="E1079" s="140"/>
    </row>
    <row r="1080" spans="1:5">
      <c r="A1080" s="140"/>
      <c r="B1080" s="192"/>
      <c r="C1080" s="140"/>
      <c r="D1080" s="140"/>
      <c r="E1080" s="140"/>
    </row>
    <row r="1081" spans="1:5">
      <c r="A1081" s="140"/>
      <c r="B1081" s="192"/>
      <c r="C1081" s="140"/>
      <c r="D1081" s="140"/>
      <c r="E1081" s="140"/>
    </row>
    <row r="1082" spans="1:5">
      <c r="A1082" s="140"/>
      <c r="B1082" s="192"/>
      <c r="C1082" s="140"/>
      <c r="D1082" s="140"/>
      <c r="E1082" s="140"/>
    </row>
    <row r="1083" spans="1:5">
      <c r="A1083" s="140"/>
      <c r="B1083" s="192"/>
      <c r="C1083" s="140"/>
      <c r="D1083" s="140"/>
      <c r="E1083" s="140"/>
    </row>
    <row r="1084" spans="1:5">
      <c r="A1084" s="140"/>
      <c r="B1084" s="192"/>
      <c r="C1084" s="140"/>
      <c r="D1084" s="140"/>
      <c r="E1084" s="140"/>
    </row>
    <row r="1085" spans="1:5">
      <c r="A1085" s="140"/>
      <c r="B1085" s="192"/>
      <c r="C1085" s="140"/>
      <c r="D1085" s="140"/>
      <c r="E1085" s="140"/>
    </row>
    <row r="1086" spans="1:5">
      <c r="A1086" s="140"/>
      <c r="B1086" s="192"/>
      <c r="C1086" s="140"/>
      <c r="D1086" s="140"/>
      <c r="E1086" s="140"/>
    </row>
    <row r="1087" spans="1:5">
      <c r="A1087" s="140"/>
      <c r="B1087" s="192"/>
      <c r="C1087" s="140"/>
      <c r="D1087" s="140"/>
      <c r="E1087" s="140"/>
    </row>
    <row r="1088" spans="1:5">
      <c r="A1088" s="140"/>
      <c r="B1088" s="192"/>
      <c r="C1088" s="140"/>
      <c r="D1088" s="140"/>
      <c r="E1088" s="140"/>
    </row>
    <row r="1089" spans="1:5">
      <c r="A1089" s="140"/>
      <c r="B1089" s="192"/>
      <c r="C1089" s="140"/>
      <c r="D1089" s="140"/>
      <c r="E1089" s="140"/>
    </row>
    <row r="1090" spans="1:5">
      <c r="A1090" s="140"/>
      <c r="B1090" s="192"/>
      <c r="C1090" s="140"/>
      <c r="D1090" s="140"/>
      <c r="E1090" s="140"/>
    </row>
    <row r="1091" spans="1:5">
      <c r="A1091" s="140"/>
      <c r="B1091" s="192"/>
      <c r="C1091" s="140"/>
      <c r="D1091" s="140"/>
      <c r="E1091" s="140"/>
    </row>
    <row r="1092" spans="1:5">
      <c r="A1092" s="140"/>
      <c r="B1092" s="192"/>
      <c r="C1092" s="140"/>
      <c r="D1092" s="140"/>
      <c r="E1092" s="140"/>
    </row>
    <row r="1093" spans="1:5">
      <c r="A1093" s="140"/>
      <c r="B1093" s="192"/>
      <c r="C1093" s="140"/>
      <c r="D1093" s="140"/>
      <c r="E1093" s="140"/>
    </row>
    <row r="1094" spans="1:5">
      <c r="A1094" s="140"/>
      <c r="B1094" s="192"/>
      <c r="C1094" s="140"/>
      <c r="D1094" s="140"/>
      <c r="E1094" s="140"/>
    </row>
    <row r="1095" spans="1:5">
      <c r="A1095" s="140"/>
      <c r="B1095" s="192"/>
      <c r="C1095" s="140"/>
      <c r="D1095" s="140"/>
      <c r="E1095" s="140"/>
    </row>
    <row r="1096" spans="1:5">
      <c r="A1096" s="140"/>
      <c r="B1096" s="192"/>
      <c r="C1096" s="140"/>
      <c r="D1096" s="140"/>
      <c r="E1096" s="140"/>
    </row>
    <row r="1097" spans="1:5">
      <c r="A1097" s="140"/>
      <c r="B1097" s="192"/>
      <c r="C1097" s="140"/>
      <c r="D1097" s="140"/>
      <c r="E1097" s="140"/>
    </row>
    <row r="1098" spans="1:5">
      <c r="A1098" s="140"/>
      <c r="B1098" s="192"/>
      <c r="C1098" s="140"/>
      <c r="D1098" s="140"/>
      <c r="E1098" s="140"/>
    </row>
    <row r="1099" spans="1:5">
      <c r="A1099" s="140"/>
      <c r="B1099" s="192"/>
      <c r="C1099" s="140"/>
      <c r="D1099" s="140"/>
      <c r="E1099" s="140"/>
    </row>
    <row r="1100" spans="1:5">
      <c r="A1100" s="140"/>
      <c r="B1100" s="192"/>
      <c r="C1100" s="140"/>
      <c r="D1100" s="140"/>
      <c r="E1100" s="140"/>
    </row>
    <row r="1101" spans="1:5">
      <c r="A1101" s="140"/>
      <c r="B1101" s="192"/>
      <c r="C1101" s="140"/>
      <c r="D1101" s="140"/>
      <c r="E1101" s="140"/>
    </row>
    <row r="1102" spans="1:5">
      <c r="A1102" s="140"/>
      <c r="B1102" s="192"/>
      <c r="C1102" s="140"/>
      <c r="D1102" s="140"/>
      <c r="E1102" s="140"/>
    </row>
    <row r="1103" spans="1:5">
      <c r="A1103" s="140"/>
      <c r="B1103" s="192"/>
      <c r="C1103" s="140"/>
      <c r="D1103" s="140"/>
      <c r="E1103" s="140"/>
    </row>
    <row r="1104" spans="1:5">
      <c r="A1104" s="140"/>
      <c r="B1104" s="192"/>
      <c r="C1104" s="140"/>
      <c r="D1104" s="140"/>
      <c r="E1104" s="140"/>
    </row>
    <row r="1105" spans="1:5">
      <c r="A1105" s="140"/>
      <c r="B1105" s="192"/>
      <c r="C1105" s="140"/>
      <c r="D1105" s="140"/>
      <c r="E1105" s="140"/>
    </row>
    <row r="1106" spans="1:5">
      <c r="A1106" s="140"/>
      <c r="B1106" s="192"/>
      <c r="C1106" s="140"/>
      <c r="D1106" s="140"/>
      <c r="E1106" s="140"/>
    </row>
    <row r="1107" spans="1:5">
      <c r="A1107" s="140"/>
      <c r="B1107" s="192"/>
      <c r="C1107" s="140"/>
      <c r="D1107" s="140"/>
      <c r="E1107" s="140"/>
    </row>
    <row r="1108" spans="1:5">
      <c r="A1108" s="140"/>
      <c r="B1108" s="192"/>
      <c r="C1108" s="140"/>
      <c r="D1108" s="140"/>
      <c r="E1108" s="140"/>
    </row>
    <row r="1109" spans="1:5">
      <c r="A1109" s="140"/>
      <c r="B1109" s="192"/>
      <c r="C1109" s="140"/>
      <c r="D1109" s="140"/>
      <c r="E1109" s="140"/>
    </row>
    <row r="1110" spans="1:5">
      <c r="A1110" s="140"/>
      <c r="B1110" s="192"/>
      <c r="C1110" s="140"/>
      <c r="D1110" s="140"/>
      <c r="E1110" s="140"/>
    </row>
    <row r="1111" spans="1:5">
      <c r="A1111" s="140"/>
      <c r="B1111" s="192"/>
      <c r="C1111" s="140"/>
      <c r="D1111" s="140"/>
      <c r="E1111" s="140"/>
    </row>
    <row r="1112" spans="1:5">
      <c r="A1112" s="140"/>
      <c r="B1112" s="192"/>
      <c r="C1112" s="140"/>
      <c r="D1112" s="140"/>
      <c r="E1112" s="140"/>
    </row>
    <row r="1113" spans="1:5">
      <c r="A1113" s="140"/>
      <c r="B1113" s="192"/>
      <c r="C1113" s="140"/>
      <c r="D1113" s="140"/>
      <c r="E1113" s="140"/>
    </row>
    <row r="1114" spans="1:5">
      <c r="A1114" s="140"/>
      <c r="B1114" s="192"/>
      <c r="C1114" s="140"/>
      <c r="D1114" s="140"/>
      <c r="E1114" s="140"/>
    </row>
    <row r="1115" spans="1:5">
      <c r="A1115" s="140"/>
      <c r="B1115" s="192"/>
      <c r="C1115" s="140"/>
      <c r="D1115" s="140"/>
      <c r="E1115" s="140"/>
    </row>
    <row r="1116" spans="1:5">
      <c r="A1116" s="140"/>
      <c r="B1116" s="192"/>
      <c r="C1116" s="140"/>
      <c r="D1116" s="140"/>
      <c r="E1116" s="140"/>
    </row>
    <row r="1117" spans="1:5">
      <c r="A1117" s="140"/>
      <c r="B1117" s="192"/>
      <c r="C1117" s="140"/>
      <c r="D1117" s="140"/>
      <c r="E1117" s="140"/>
    </row>
    <row r="1118" spans="1:5">
      <c r="A1118" s="140"/>
      <c r="B1118" s="192"/>
      <c r="C1118" s="140"/>
      <c r="D1118" s="140"/>
      <c r="E1118" s="140"/>
    </row>
    <row r="1119" spans="1:5">
      <c r="A1119" s="140"/>
      <c r="B1119" s="192"/>
      <c r="C1119" s="140"/>
      <c r="D1119" s="140"/>
      <c r="E1119" s="140"/>
    </row>
    <row r="1120" spans="1:5">
      <c r="A1120" s="140"/>
      <c r="B1120" s="192"/>
      <c r="C1120" s="140"/>
      <c r="D1120" s="140"/>
      <c r="E1120" s="140"/>
    </row>
    <row r="1121" spans="1:5">
      <c r="A1121" s="140"/>
      <c r="B1121" s="192"/>
      <c r="C1121" s="140"/>
      <c r="D1121" s="140"/>
      <c r="E1121" s="140"/>
    </row>
    <row r="1122" spans="1:5">
      <c r="A1122" s="140"/>
      <c r="B1122" s="192"/>
      <c r="C1122" s="140"/>
      <c r="D1122" s="140"/>
      <c r="E1122" s="140"/>
    </row>
    <row r="1123" spans="1:5">
      <c r="A1123" s="140"/>
      <c r="B1123" s="192"/>
      <c r="C1123" s="140"/>
      <c r="D1123" s="140"/>
      <c r="E1123" s="140"/>
    </row>
    <row r="1124" spans="1:5">
      <c r="A1124" s="140"/>
      <c r="B1124" s="192"/>
      <c r="C1124" s="140"/>
      <c r="D1124" s="140"/>
      <c r="E1124" s="140"/>
    </row>
    <row r="1125" spans="1:5">
      <c r="A1125" s="140"/>
      <c r="B1125" s="192"/>
      <c r="C1125" s="140"/>
      <c r="D1125" s="140"/>
      <c r="E1125" s="140"/>
    </row>
    <row r="1126" spans="1:5">
      <c r="A1126" s="140"/>
      <c r="B1126" s="192"/>
      <c r="C1126" s="140"/>
      <c r="D1126" s="140"/>
      <c r="E1126" s="140"/>
    </row>
    <row r="1127" spans="1:5">
      <c r="A1127" s="140"/>
      <c r="B1127" s="192"/>
      <c r="C1127" s="140"/>
      <c r="D1127" s="140"/>
      <c r="E1127" s="140"/>
    </row>
    <row r="1128" spans="1:5">
      <c r="A1128" s="140"/>
      <c r="B1128" s="192"/>
      <c r="C1128" s="140"/>
      <c r="D1128" s="140"/>
      <c r="E1128" s="140"/>
    </row>
    <row r="1129" spans="1:5">
      <c r="A1129" s="140"/>
      <c r="B1129" s="192"/>
      <c r="C1129" s="140"/>
      <c r="D1129" s="140"/>
      <c r="E1129" s="140"/>
    </row>
    <row r="1130" spans="1:5">
      <c r="A1130" s="140"/>
      <c r="B1130" s="192"/>
      <c r="C1130" s="140"/>
      <c r="D1130" s="140"/>
      <c r="E1130" s="140"/>
    </row>
    <row r="1131" spans="1:5">
      <c r="A1131" s="140"/>
      <c r="B1131" s="192"/>
      <c r="C1131" s="140"/>
      <c r="D1131" s="140"/>
      <c r="E1131" s="140"/>
    </row>
    <row r="1132" spans="1:5">
      <c r="A1132" s="140"/>
      <c r="B1132" s="192"/>
      <c r="C1132" s="140"/>
      <c r="D1132" s="140"/>
      <c r="E1132" s="140"/>
    </row>
    <row r="1133" spans="1:5">
      <c r="A1133" s="140"/>
      <c r="B1133" s="192"/>
      <c r="C1133" s="140"/>
      <c r="D1133" s="140"/>
      <c r="E1133" s="140"/>
    </row>
    <row r="1134" spans="1:5">
      <c r="A1134" s="140"/>
      <c r="B1134" s="192"/>
      <c r="C1134" s="140"/>
      <c r="D1134" s="140"/>
      <c r="E1134" s="140"/>
    </row>
    <row r="1135" spans="1:5">
      <c r="A1135" s="140"/>
      <c r="B1135" s="192"/>
      <c r="C1135" s="140"/>
      <c r="D1135" s="140"/>
      <c r="E1135" s="140"/>
    </row>
    <row r="1136" spans="1:5">
      <c r="A1136" s="140"/>
      <c r="B1136" s="192"/>
      <c r="C1136" s="140"/>
      <c r="D1136" s="140"/>
      <c r="E1136" s="140"/>
    </row>
    <row r="1137" spans="1:5">
      <c r="A1137" s="140"/>
      <c r="B1137" s="192"/>
      <c r="C1137" s="140"/>
      <c r="D1137" s="140"/>
      <c r="E1137" s="140"/>
    </row>
    <row r="1138" spans="1:5">
      <c r="A1138" s="140"/>
      <c r="B1138" s="192"/>
      <c r="C1138" s="140"/>
      <c r="D1138" s="140"/>
      <c r="E1138" s="140"/>
    </row>
    <row r="1139" spans="1:5">
      <c r="A1139" s="140"/>
      <c r="B1139" s="192"/>
      <c r="C1139" s="140"/>
      <c r="D1139" s="140"/>
      <c r="E1139" s="140"/>
    </row>
    <row r="1140" spans="1:5">
      <c r="A1140" s="140"/>
      <c r="B1140" s="192"/>
      <c r="C1140" s="140"/>
      <c r="D1140" s="140"/>
      <c r="E1140" s="140"/>
    </row>
    <row r="1141" spans="1:5">
      <c r="A1141" s="140"/>
      <c r="B1141" s="192"/>
      <c r="C1141" s="140"/>
      <c r="D1141" s="140"/>
      <c r="E1141" s="140"/>
    </row>
    <row r="1142" spans="1:5">
      <c r="A1142" s="140"/>
      <c r="B1142" s="192"/>
      <c r="C1142" s="140"/>
      <c r="D1142" s="140"/>
      <c r="E1142" s="140"/>
    </row>
    <row r="1143" spans="1:5">
      <c r="A1143" s="140"/>
      <c r="B1143" s="192"/>
      <c r="C1143" s="140"/>
      <c r="D1143" s="140"/>
      <c r="E1143" s="140"/>
    </row>
    <row r="1144" spans="1:5">
      <c r="A1144" s="140"/>
      <c r="B1144" s="192"/>
      <c r="C1144" s="140"/>
      <c r="D1144" s="140"/>
      <c r="E1144" s="140"/>
    </row>
    <row r="1145" spans="1:5">
      <c r="A1145" s="140"/>
      <c r="B1145" s="192"/>
      <c r="C1145" s="140"/>
      <c r="D1145" s="140"/>
      <c r="E1145" s="140"/>
    </row>
    <row r="1146" spans="1:5">
      <c r="A1146" s="140"/>
      <c r="B1146" s="192"/>
      <c r="C1146" s="140"/>
      <c r="D1146" s="140"/>
      <c r="E1146" s="140"/>
    </row>
    <row r="1147" spans="1:5">
      <c r="A1147" s="140"/>
      <c r="B1147" s="192"/>
      <c r="C1147" s="140"/>
      <c r="D1147" s="140"/>
      <c r="E1147" s="140"/>
    </row>
    <row r="1148" spans="1:5">
      <c r="A1148" s="140"/>
      <c r="B1148" s="192"/>
      <c r="C1148" s="140"/>
      <c r="D1148" s="140"/>
      <c r="E1148" s="140"/>
    </row>
    <row r="1149" spans="1:5">
      <c r="A1149" s="140"/>
      <c r="B1149" s="192"/>
      <c r="C1149" s="140"/>
      <c r="D1149" s="140"/>
      <c r="E1149" s="140"/>
    </row>
    <row r="1150" spans="1:5">
      <c r="A1150" s="140"/>
      <c r="B1150" s="192"/>
      <c r="C1150" s="140"/>
      <c r="D1150" s="140"/>
      <c r="E1150" s="140"/>
    </row>
    <row r="1151" spans="1:5">
      <c r="A1151" s="140"/>
      <c r="B1151" s="192"/>
      <c r="C1151" s="140"/>
      <c r="D1151" s="140"/>
      <c r="E1151" s="140"/>
    </row>
    <row r="1152" spans="1:5">
      <c r="A1152" s="140"/>
      <c r="B1152" s="192"/>
      <c r="C1152" s="140"/>
      <c r="D1152" s="140"/>
      <c r="E1152" s="140"/>
    </row>
    <row r="1153" spans="1:5">
      <c r="A1153" s="140"/>
      <c r="B1153" s="192"/>
      <c r="C1153" s="140"/>
      <c r="D1153" s="140"/>
      <c r="E1153" s="140"/>
    </row>
    <row r="1154" spans="1:5">
      <c r="A1154" s="140"/>
      <c r="B1154" s="192"/>
      <c r="C1154" s="140"/>
      <c r="D1154" s="140"/>
      <c r="E1154" s="140"/>
    </row>
    <row r="1155" spans="1:5">
      <c r="A1155" s="140"/>
      <c r="B1155" s="192"/>
      <c r="C1155" s="140"/>
      <c r="D1155" s="140"/>
      <c r="E1155" s="140"/>
    </row>
    <row r="1156" spans="1:5">
      <c r="A1156" s="140"/>
      <c r="B1156" s="192"/>
      <c r="C1156" s="140"/>
      <c r="D1156" s="140"/>
      <c r="E1156" s="140"/>
    </row>
    <row r="1157" spans="1:5">
      <c r="A1157" s="140"/>
      <c r="B1157" s="192"/>
      <c r="C1157" s="140"/>
      <c r="D1157" s="140"/>
      <c r="E1157" s="140"/>
    </row>
    <row r="1158" spans="1:5">
      <c r="A1158" s="140"/>
      <c r="B1158" s="192"/>
      <c r="C1158" s="140"/>
      <c r="D1158" s="140"/>
      <c r="E1158" s="140"/>
    </row>
    <row r="1159" spans="1:5">
      <c r="A1159" s="140"/>
      <c r="B1159" s="192"/>
      <c r="C1159" s="140"/>
      <c r="D1159" s="140"/>
      <c r="E1159" s="140"/>
    </row>
    <row r="1160" spans="1:5">
      <c r="A1160" s="140"/>
      <c r="B1160" s="192"/>
      <c r="C1160" s="140"/>
      <c r="D1160" s="140"/>
      <c r="E1160" s="140"/>
    </row>
    <row r="1161" spans="1:5">
      <c r="A1161" s="140"/>
      <c r="B1161" s="192"/>
      <c r="C1161" s="140"/>
      <c r="D1161" s="140"/>
      <c r="E1161" s="140"/>
    </row>
    <row r="1162" spans="1:5">
      <c r="A1162" s="140"/>
      <c r="B1162" s="192"/>
      <c r="C1162" s="140"/>
      <c r="D1162" s="140"/>
      <c r="E1162" s="140"/>
    </row>
    <row r="1163" spans="1:5">
      <c r="A1163" s="140"/>
      <c r="B1163" s="192"/>
      <c r="C1163" s="140"/>
      <c r="D1163" s="140"/>
      <c r="E1163" s="140"/>
    </row>
    <row r="1164" spans="1:5">
      <c r="A1164" s="140"/>
      <c r="B1164" s="192"/>
      <c r="C1164" s="140"/>
      <c r="D1164" s="140"/>
      <c r="E1164" s="140"/>
    </row>
    <row r="1165" spans="1:5">
      <c r="A1165" s="140"/>
      <c r="B1165" s="192"/>
      <c r="C1165" s="140"/>
      <c r="D1165" s="140"/>
      <c r="E1165" s="140"/>
    </row>
    <row r="1166" spans="1:5">
      <c r="A1166" s="140"/>
      <c r="B1166" s="192"/>
      <c r="C1166" s="140"/>
      <c r="D1166" s="140"/>
      <c r="E1166" s="140"/>
    </row>
    <row r="1167" spans="1:5">
      <c r="A1167" s="140"/>
      <c r="B1167" s="192"/>
      <c r="C1167" s="140"/>
      <c r="D1167" s="140"/>
      <c r="E1167" s="140"/>
    </row>
    <row r="1168" spans="1:5">
      <c r="A1168" s="140"/>
      <c r="B1168" s="192"/>
      <c r="C1168" s="140"/>
      <c r="D1168" s="140"/>
      <c r="E1168" s="140"/>
    </row>
    <row r="1169" spans="1:5">
      <c r="A1169" s="140"/>
      <c r="B1169" s="192"/>
      <c r="C1169" s="140"/>
      <c r="D1169" s="140"/>
      <c r="E1169" s="140"/>
    </row>
    <row r="1170" spans="1:5">
      <c r="A1170" s="140"/>
      <c r="B1170" s="192"/>
      <c r="C1170" s="140"/>
      <c r="D1170" s="140"/>
      <c r="E1170" s="140"/>
    </row>
    <row r="1171" spans="1:5">
      <c r="A1171" s="140"/>
      <c r="B1171" s="192"/>
      <c r="C1171" s="140"/>
      <c r="D1171" s="140"/>
      <c r="E1171" s="140"/>
    </row>
    <row r="1172" spans="1:5">
      <c r="A1172" s="140"/>
      <c r="B1172" s="192"/>
      <c r="C1172" s="140"/>
      <c r="D1172" s="140"/>
      <c r="E1172" s="140"/>
    </row>
    <row r="1173" spans="1:5">
      <c r="A1173" s="140"/>
      <c r="B1173" s="192"/>
      <c r="C1173" s="140"/>
      <c r="D1173" s="140"/>
      <c r="E1173" s="140"/>
    </row>
    <row r="1174" spans="1:5">
      <c r="A1174" s="140"/>
      <c r="B1174" s="192"/>
      <c r="C1174" s="140"/>
      <c r="D1174" s="140"/>
      <c r="E1174" s="140"/>
    </row>
    <row r="1175" spans="1:5">
      <c r="A1175" s="140"/>
      <c r="B1175" s="192"/>
      <c r="C1175" s="140"/>
      <c r="D1175" s="140"/>
      <c r="E1175" s="140"/>
    </row>
    <row r="1176" spans="1:5">
      <c r="A1176" s="140"/>
      <c r="B1176" s="192"/>
      <c r="C1176" s="140"/>
      <c r="D1176" s="140"/>
      <c r="E1176" s="140"/>
    </row>
    <row r="1177" spans="1:5">
      <c r="A1177" s="140"/>
      <c r="B1177" s="192"/>
      <c r="C1177" s="140"/>
      <c r="D1177" s="140"/>
      <c r="E1177" s="140"/>
    </row>
    <row r="1178" spans="1:5">
      <c r="A1178" s="140"/>
      <c r="B1178" s="192"/>
      <c r="C1178" s="140"/>
      <c r="D1178" s="140"/>
      <c r="E1178" s="140"/>
    </row>
    <row r="1179" spans="1:5">
      <c r="A1179" s="140"/>
      <c r="B1179" s="192"/>
      <c r="C1179" s="140"/>
      <c r="D1179" s="140"/>
      <c r="E1179" s="140"/>
    </row>
    <row r="1180" spans="1:5">
      <c r="A1180" s="140"/>
      <c r="B1180" s="192"/>
      <c r="C1180" s="140"/>
      <c r="D1180" s="140"/>
      <c r="E1180" s="140"/>
    </row>
    <row r="1181" spans="1:5">
      <c r="A1181" s="140"/>
      <c r="B1181" s="192"/>
      <c r="C1181" s="140"/>
      <c r="D1181" s="140"/>
      <c r="E1181" s="140"/>
    </row>
    <row r="1182" spans="1:5">
      <c r="A1182" s="140"/>
      <c r="B1182" s="192"/>
      <c r="C1182" s="140"/>
      <c r="D1182" s="140"/>
      <c r="E1182" s="140"/>
    </row>
    <row r="1183" spans="1:5">
      <c r="A1183" s="140"/>
      <c r="B1183" s="192"/>
      <c r="C1183" s="140"/>
      <c r="D1183" s="140"/>
      <c r="E1183" s="140"/>
    </row>
    <row r="1184" spans="1:5">
      <c r="A1184" s="140"/>
      <c r="B1184" s="192"/>
      <c r="C1184" s="140"/>
      <c r="D1184" s="140"/>
      <c r="E1184" s="140"/>
    </row>
    <row r="1185" spans="1:5">
      <c r="A1185" s="140"/>
      <c r="B1185" s="192"/>
      <c r="C1185" s="140"/>
      <c r="D1185" s="140"/>
      <c r="E1185" s="140"/>
    </row>
    <row r="1186" spans="1:5">
      <c r="A1186" s="140"/>
      <c r="B1186" s="192"/>
      <c r="C1186" s="140"/>
      <c r="D1186" s="140"/>
      <c r="E1186" s="140"/>
    </row>
    <row r="1187" spans="1:5">
      <c r="A1187" s="140"/>
      <c r="B1187" s="192"/>
      <c r="C1187" s="140"/>
      <c r="D1187" s="140"/>
      <c r="E1187" s="140"/>
    </row>
    <row r="1188" spans="1:5">
      <c r="A1188" s="140"/>
      <c r="B1188" s="192"/>
      <c r="C1188" s="140"/>
      <c r="D1188" s="140"/>
      <c r="E1188" s="140"/>
    </row>
    <row r="1189" spans="1:5">
      <c r="A1189" s="140"/>
      <c r="B1189" s="192"/>
      <c r="C1189" s="140"/>
      <c r="D1189" s="140"/>
      <c r="E1189" s="140"/>
    </row>
    <row r="1190" spans="1:5">
      <c r="A1190" s="140"/>
      <c r="B1190" s="192"/>
      <c r="C1190" s="140"/>
      <c r="D1190" s="140"/>
      <c r="E1190" s="140"/>
    </row>
    <row r="1191" spans="1:5">
      <c r="A1191" s="140"/>
      <c r="B1191" s="192"/>
      <c r="C1191" s="140"/>
      <c r="D1191" s="140"/>
      <c r="E1191" s="140"/>
    </row>
    <row r="1192" spans="1:5">
      <c r="A1192" s="140"/>
      <c r="B1192" s="192"/>
      <c r="C1192" s="140"/>
      <c r="D1192" s="140"/>
      <c r="E1192" s="140"/>
    </row>
    <row r="1193" spans="1:5">
      <c r="A1193" s="140"/>
      <c r="B1193" s="192"/>
      <c r="C1193" s="140"/>
      <c r="D1193" s="140"/>
      <c r="E1193" s="140"/>
    </row>
    <row r="1194" spans="1:5">
      <c r="A1194" s="140"/>
      <c r="B1194" s="192"/>
      <c r="C1194" s="140"/>
      <c r="D1194" s="140"/>
      <c r="E1194" s="140"/>
    </row>
    <row r="1195" spans="1:5">
      <c r="A1195" s="140"/>
      <c r="B1195" s="192"/>
      <c r="C1195" s="140"/>
      <c r="D1195" s="140"/>
      <c r="E1195" s="140"/>
    </row>
    <row r="1196" spans="1:5">
      <c r="A1196" s="140"/>
      <c r="B1196" s="192"/>
      <c r="C1196" s="140"/>
      <c r="D1196" s="140"/>
      <c r="E1196" s="140"/>
    </row>
    <row r="1197" spans="1:5">
      <c r="A1197" s="140"/>
      <c r="B1197" s="192"/>
      <c r="C1197" s="140"/>
      <c r="D1197" s="140"/>
      <c r="E1197" s="140"/>
    </row>
    <row r="1198" spans="1:5">
      <c r="A1198" s="140"/>
      <c r="B1198" s="192"/>
      <c r="C1198" s="140"/>
      <c r="D1198" s="140"/>
      <c r="E1198" s="140"/>
    </row>
    <row r="1199" spans="1:5">
      <c r="A1199" s="140"/>
      <c r="B1199" s="192"/>
      <c r="C1199" s="140"/>
      <c r="D1199" s="140"/>
      <c r="E1199" s="140"/>
    </row>
    <row r="1200" spans="1:5">
      <c r="A1200" s="140"/>
      <c r="B1200" s="192"/>
      <c r="C1200" s="140"/>
      <c r="D1200" s="140"/>
      <c r="E1200" s="140"/>
    </row>
    <row r="1201" spans="1:5">
      <c r="A1201" s="140"/>
      <c r="B1201" s="192"/>
      <c r="C1201" s="140"/>
      <c r="D1201" s="140"/>
      <c r="E1201" s="140"/>
    </row>
    <row r="1202" spans="1:5">
      <c r="A1202" s="140"/>
      <c r="B1202" s="192"/>
      <c r="C1202" s="140"/>
      <c r="D1202" s="140"/>
      <c r="E1202" s="140"/>
    </row>
    <row r="1203" spans="1:5">
      <c r="A1203" s="140"/>
      <c r="B1203" s="192"/>
      <c r="C1203" s="140"/>
      <c r="D1203" s="140"/>
      <c r="E1203" s="140"/>
    </row>
    <row r="1204" spans="1:5">
      <c r="A1204" s="140"/>
      <c r="B1204" s="192"/>
      <c r="C1204" s="140"/>
      <c r="D1204" s="140"/>
      <c r="E1204" s="140"/>
    </row>
    <row r="1205" spans="1:5">
      <c r="A1205" s="140"/>
      <c r="B1205" s="192"/>
      <c r="C1205" s="140"/>
      <c r="D1205" s="140"/>
      <c r="E1205" s="140"/>
    </row>
    <row r="1206" spans="1:5">
      <c r="A1206" s="140"/>
      <c r="B1206" s="192"/>
      <c r="C1206" s="140"/>
      <c r="D1206" s="140"/>
      <c r="E1206" s="140"/>
    </row>
    <row r="1207" spans="1:5">
      <c r="A1207" s="140"/>
      <c r="B1207" s="192"/>
      <c r="C1207" s="140"/>
      <c r="D1207" s="140"/>
      <c r="E1207" s="140"/>
    </row>
    <row r="1208" spans="1:5">
      <c r="A1208" s="140"/>
      <c r="B1208" s="192"/>
      <c r="C1208" s="140"/>
      <c r="D1208" s="140"/>
      <c r="E1208" s="140"/>
    </row>
    <row r="1209" spans="1:5">
      <c r="A1209" s="140"/>
      <c r="B1209" s="192"/>
      <c r="C1209" s="140"/>
      <c r="D1209" s="140"/>
      <c r="E1209" s="140"/>
    </row>
    <row r="1210" spans="1:5">
      <c r="A1210" s="140"/>
      <c r="B1210" s="192"/>
      <c r="C1210" s="140"/>
      <c r="D1210" s="140"/>
      <c r="E1210" s="140"/>
    </row>
    <row r="1211" spans="1:5">
      <c r="A1211" s="140"/>
      <c r="B1211" s="192"/>
      <c r="C1211" s="140"/>
      <c r="D1211" s="140"/>
      <c r="E1211" s="140"/>
    </row>
    <row r="1212" spans="1:5">
      <c r="A1212" s="140"/>
      <c r="B1212" s="192"/>
      <c r="C1212" s="140"/>
      <c r="D1212" s="140"/>
      <c r="E1212" s="140"/>
    </row>
    <row r="1213" spans="1:5">
      <c r="A1213" s="140"/>
      <c r="B1213" s="192"/>
      <c r="C1213" s="140"/>
      <c r="D1213" s="140"/>
      <c r="E1213" s="140"/>
    </row>
    <row r="1214" spans="1:5">
      <c r="A1214" s="140"/>
      <c r="B1214" s="192"/>
      <c r="C1214" s="140"/>
      <c r="D1214" s="140"/>
      <c r="E1214" s="140"/>
    </row>
    <row r="1215" spans="1:5">
      <c r="A1215" s="140"/>
      <c r="B1215" s="192"/>
      <c r="C1215" s="140"/>
      <c r="D1215" s="140"/>
      <c r="E1215" s="140"/>
    </row>
    <row r="1216" spans="1:5">
      <c r="A1216" s="140"/>
      <c r="B1216" s="192"/>
      <c r="C1216" s="140"/>
      <c r="D1216" s="140"/>
      <c r="E1216" s="140"/>
    </row>
    <row r="1217" spans="1:5">
      <c r="A1217" s="140"/>
      <c r="B1217" s="192"/>
      <c r="C1217" s="140"/>
      <c r="D1217" s="140"/>
      <c r="E1217" s="140"/>
    </row>
    <row r="1218" spans="1:5">
      <c r="A1218" s="140"/>
      <c r="B1218" s="192"/>
      <c r="C1218" s="140"/>
      <c r="D1218" s="140"/>
      <c r="E1218" s="140"/>
    </row>
    <row r="1219" spans="1:5">
      <c r="A1219" s="140"/>
      <c r="B1219" s="192"/>
      <c r="C1219" s="140"/>
      <c r="D1219" s="140"/>
      <c r="E1219" s="140"/>
    </row>
    <row r="1220" spans="1:5">
      <c r="A1220" s="140"/>
      <c r="B1220" s="192"/>
      <c r="C1220" s="140"/>
      <c r="D1220" s="140"/>
      <c r="E1220" s="140"/>
    </row>
    <row r="1221" spans="1:5">
      <c r="A1221" s="140"/>
      <c r="B1221" s="192"/>
      <c r="C1221" s="140"/>
      <c r="D1221" s="140"/>
      <c r="E1221" s="140"/>
    </row>
    <row r="1222" spans="1:5">
      <c r="A1222" s="140"/>
      <c r="B1222" s="192"/>
      <c r="C1222" s="140"/>
      <c r="D1222" s="140"/>
      <c r="E1222" s="140"/>
    </row>
    <row r="1223" spans="1:5">
      <c r="A1223" s="140"/>
      <c r="B1223" s="192"/>
      <c r="C1223" s="140"/>
      <c r="D1223" s="140"/>
      <c r="E1223" s="140"/>
    </row>
    <row r="1224" spans="1:5">
      <c r="A1224" s="140"/>
      <c r="B1224" s="192"/>
      <c r="C1224" s="140"/>
      <c r="D1224" s="140"/>
      <c r="E1224" s="140"/>
    </row>
    <row r="1225" spans="1:5">
      <c r="A1225" s="140"/>
      <c r="B1225" s="192"/>
      <c r="C1225" s="140"/>
      <c r="D1225" s="140"/>
      <c r="E1225" s="140"/>
    </row>
    <row r="1226" spans="1:5">
      <c r="A1226" s="140"/>
      <c r="B1226" s="192"/>
      <c r="C1226" s="140"/>
      <c r="D1226" s="140"/>
      <c r="E1226" s="140"/>
    </row>
    <row r="1227" spans="1:5">
      <c r="A1227" s="140"/>
      <c r="B1227" s="192"/>
      <c r="C1227" s="140"/>
      <c r="D1227" s="140"/>
      <c r="E1227" s="140"/>
    </row>
    <row r="1228" spans="1:5">
      <c r="A1228" s="140"/>
      <c r="B1228" s="192"/>
      <c r="C1228" s="140"/>
      <c r="D1228" s="140"/>
      <c r="E1228" s="140"/>
    </row>
    <row r="1229" spans="1:5">
      <c r="A1229" s="140"/>
      <c r="B1229" s="192"/>
      <c r="C1229" s="140"/>
      <c r="D1229" s="140"/>
      <c r="E1229" s="140"/>
    </row>
    <row r="1230" spans="1:5">
      <c r="A1230" s="140"/>
      <c r="B1230" s="192"/>
      <c r="C1230" s="140"/>
      <c r="D1230" s="140"/>
      <c r="E1230" s="140"/>
    </row>
    <row r="1231" spans="1:5">
      <c r="A1231" s="140"/>
      <c r="B1231" s="192"/>
      <c r="C1231" s="140"/>
      <c r="D1231" s="140"/>
      <c r="E1231" s="140"/>
    </row>
    <row r="1232" spans="1:5">
      <c r="A1232" s="140"/>
      <c r="B1232" s="192"/>
      <c r="C1232" s="140"/>
      <c r="D1232" s="140"/>
      <c r="E1232" s="140"/>
    </row>
    <row r="1233" spans="1:5">
      <c r="A1233" s="140"/>
      <c r="B1233" s="192"/>
      <c r="C1233" s="140"/>
      <c r="D1233" s="140"/>
      <c r="E1233" s="140"/>
    </row>
    <row r="1234" spans="1:5">
      <c r="A1234" s="140"/>
      <c r="B1234" s="192"/>
      <c r="C1234" s="140"/>
      <c r="D1234" s="140"/>
      <c r="E1234" s="140"/>
    </row>
    <row r="1235" spans="1:5">
      <c r="A1235" s="140"/>
      <c r="B1235" s="192"/>
      <c r="C1235" s="140"/>
      <c r="D1235" s="140"/>
      <c r="E1235" s="140"/>
    </row>
    <row r="1236" spans="1:5">
      <c r="A1236" s="140"/>
      <c r="B1236" s="192"/>
      <c r="C1236" s="140"/>
      <c r="D1236" s="140"/>
      <c r="E1236" s="140"/>
    </row>
    <row r="1237" spans="1:5">
      <c r="A1237" s="140"/>
      <c r="B1237" s="192"/>
      <c r="C1237" s="140"/>
      <c r="D1237" s="140"/>
      <c r="E1237" s="140"/>
    </row>
    <row r="1238" spans="1:5">
      <c r="A1238" s="140"/>
      <c r="B1238" s="192"/>
      <c r="C1238" s="140"/>
      <c r="D1238" s="140"/>
      <c r="E1238" s="140"/>
    </row>
    <row r="1239" spans="1:5">
      <c r="A1239" s="140"/>
      <c r="B1239" s="192"/>
      <c r="C1239" s="140"/>
      <c r="D1239" s="140"/>
      <c r="E1239" s="140"/>
    </row>
    <row r="1240" spans="1:5">
      <c r="A1240" s="140"/>
      <c r="B1240" s="192"/>
      <c r="C1240" s="140"/>
      <c r="D1240" s="140"/>
      <c r="E1240" s="140"/>
    </row>
    <row r="1241" spans="1:5">
      <c r="A1241" s="140"/>
      <c r="B1241" s="192"/>
      <c r="C1241" s="140"/>
      <c r="D1241" s="140"/>
      <c r="E1241" s="140"/>
    </row>
    <row r="1242" spans="1:5">
      <c r="A1242" s="140"/>
      <c r="B1242" s="192"/>
      <c r="C1242" s="140"/>
      <c r="D1242" s="140"/>
      <c r="E1242" s="140"/>
    </row>
    <row r="1243" spans="1:5">
      <c r="A1243" s="140"/>
      <c r="B1243" s="192"/>
      <c r="C1243" s="140"/>
      <c r="D1243" s="140"/>
      <c r="E1243" s="140"/>
    </row>
    <row r="1244" spans="1:5">
      <c r="A1244" s="140"/>
      <c r="B1244" s="192"/>
      <c r="C1244" s="140"/>
      <c r="D1244" s="140"/>
      <c r="E1244" s="140"/>
    </row>
    <row r="1245" spans="1:5">
      <c r="A1245" s="140"/>
      <c r="B1245" s="192"/>
      <c r="C1245" s="140"/>
      <c r="D1245" s="140"/>
      <c r="E1245" s="140"/>
    </row>
    <row r="1246" spans="1:5">
      <c r="A1246" s="140"/>
      <c r="B1246" s="192"/>
      <c r="C1246" s="140"/>
      <c r="D1246" s="140"/>
      <c r="E1246" s="140"/>
    </row>
    <row r="1247" spans="1:5">
      <c r="A1247" s="140"/>
      <c r="B1247" s="192"/>
      <c r="C1247" s="140"/>
      <c r="D1247" s="140"/>
      <c r="E1247" s="140"/>
    </row>
    <row r="1248" spans="1:5">
      <c r="A1248" s="140"/>
      <c r="B1248" s="192"/>
      <c r="C1248" s="140"/>
      <c r="D1248" s="140"/>
      <c r="E1248" s="140"/>
    </row>
    <row r="1249" spans="1:5">
      <c r="A1249" s="140"/>
      <c r="B1249" s="192"/>
      <c r="C1249" s="140"/>
      <c r="D1249" s="140"/>
      <c r="E1249" s="140"/>
    </row>
    <row r="1250" spans="1:5">
      <c r="A1250" s="140"/>
      <c r="B1250" s="192"/>
      <c r="C1250" s="140"/>
      <c r="D1250" s="140"/>
      <c r="E1250" s="140"/>
    </row>
    <row r="1251" spans="1:5">
      <c r="A1251" s="140"/>
      <c r="B1251" s="192"/>
      <c r="C1251" s="140"/>
      <c r="D1251" s="140"/>
      <c r="E1251" s="140"/>
    </row>
    <row r="1252" spans="1:5">
      <c r="A1252" s="140"/>
      <c r="B1252" s="192"/>
      <c r="C1252" s="140"/>
      <c r="D1252" s="140"/>
      <c r="E1252" s="140"/>
    </row>
    <row r="1253" spans="1:5">
      <c r="A1253" s="140"/>
      <c r="B1253" s="192"/>
      <c r="C1253" s="140"/>
      <c r="D1253" s="140"/>
      <c r="E1253" s="140"/>
    </row>
    <row r="1254" spans="1:5">
      <c r="A1254" s="140"/>
      <c r="B1254" s="192"/>
      <c r="C1254" s="140"/>
      <c r="D1254" s="140"/>
      <c r="E1254" s="140"/>
    </row>
    <row r="1255" spans="1:5">
      <c r="A1255" s="140"/>
      <c r="B1255" s="192"/>
      <c r="C1255" s="140"/>
      <c r="D1255" s="140"/>
      <c r="E1255" s="140"/>
    </row>
    <row r="1256" spans="1:5">
      <c r="A1256" s="140"/>
      <c r="B1256" s="192"/>
      <c r="C1256" s="140"/>
      <c r="D1256" s="140"/>
      <c r="E1256" s="140"/>
    </row>
    <row r="1257" spans="1:5">
      <c r="A1257" s="140"/>
      <c r="B1257" s="192"/>
      <c r="C1257" s="140"/>
      <c r="D1257" s="140"/>
      <c r="E1257" s="140"/>
    </row>
    <row r="1258" spans="1:5">
      <c r="A1258" s="140"/>
      <c r="B1258" s="192"/>
      <c r="C1258" s="140"/>
      <c r="D1258" s="140"/>
      <c r="E1258" s="140"/>
    </row>
    <row r="1259" spans="1:5">
      <c r="A1259" s="140"/>
      <c r="B1259" s="192"/>
      <c r="C1259" s="140"/>
      <c r="D1259" s="140"/>
      <c r="E1259" s="140"/>
    </row>
    <row r="1260" spans="1:5">
      <c r="A1260" s="140"/>
      <c r="B1260" s="192"/>
      <c r="C1260" s="140"/>
      <c r="D1260" s="140"/>
      <c r="E1260" s="140"/>
    </row>
    <row r="1261" spans="1:5">
      <c r="A1261" s="140"/>
      <c r="B1261" s="192"/>
      <c r="C1261" s="140"/>
      <c r="D1261" s="140"/>
      <c r="E1261" s="140"/>
    </row>
    <row r="1262" spans="1:5">
      <c r="A1262" s="140"/>
      <c r="B1262" s="192"/>
      <c r="C1262" s="140"/>
      <c r="D1262" s="140"/>
      <c r="E1262" s="140"/>
    </row>
    <row r="1263" spans="1:5">
      <c r="A1263" s="140"/>
      <c r="B1263" s="192"/>
      <c r="C1263" s="140"/>
      <c r="D1263" s="140"/>
      <c r="E1263" s="140"/>
    </row>
    <row r="1264" spans="1:5">
      <c r="A1264" s="140"/>
      <c r="B1264" s="192"/>
      <c r="C1264" s="140"/>
      <c r="D1264" s="140"/>
      <c r="E1264" s="140"/>
    </row>
    <row r="1265" spans="1:5">
      <c r="A1265" s="140"/>
      <c r="B1265" s="192"/>
      <c r="C1265" s="140"/>
      <c r="D1265" s="140"/>
      <c r="E1265" s="140"/>
    </row>
    <row r="1266" spans="1:5">
      <c r="A1266" s="140"/>
      <c r="B1266" s="192"/>
      <c r="C1266" s="140"/>
      <c r="D1266" s="140"/>
      <c r="E1266" s="140"/>
    </row>
    <row r="1267" spans="1:5">
      <c r="A1267" s="140"/>
      <c r="B1267" s="192"/>
      <c r="C1267" s="140"/>
      <c r="D1267" s="140"/>
      <c r="E1267" s="140"/>
    </row>
    <row r="1268" spans="1:5">
      <c r="A1268" s="140"/>
      <c r="B1268" s="192"/>
      <c r="C1268" s="140"/>
      <c r="D1268" s="140"/>
      <c r="E1268" s="140"/>
    </row>
    <row r="1269" spans="1:5">
      <c r="A1269" s="140"/>
      <c r="B1269" s="192"/>
      <c r="C1269" s="140"/>
      <c r="D1269" s="140"/>
      <c r="E1269" s="140"/>
    </row>
    <row r="1270" spans="1:5">
      <c r="A1270" s="140"/>
      <c r="B1270" s="192"/>
      <c r="C1270" s="140"/>
      <c r="D1270" s="140"/>
      <c r="E1270" s="140"/>
    </row>
    <row r="1271" spans="1:5">
      <c r="A1271" s="140"/>
      <c r="B1271" s="192"/>
      <c r="C1271" s="140"/>
      <c r="D1271" s="140"/>
      <c r="E1271" s="140"/>
    </row>
    <row r="1272" spans="1:5">
      <c r="A1272" s="140"/>
      <c r="B1272" s="192"/>
      <c r="C1272" s="140"/>
      <c r="D1272" s="140"/>
      <c r="E1272" s="140"/>
    </row>
    <row r="1273" spans="1:5">
      <c r="A1273" s="140"/>
      <c r="B1273" s="192"/>
      <c r="C1273" s="140"/>
      <c r="D1273" s="140"/>
      <c r="E1273" s="140"/>
    </row>
    <row r="1274" spans="1:5">
      <c r="A1274" s="140"/>
      <c r="B1274" s="192"/>
      <c r="C1274" s="140"/>
      <c r="D1274" s="140"/>
      <c r="E1274" s="140"/>
    </row>
    <row r="1275" spans="1:5">
      <c r="A1275" s="140"/>
      <c r="B1275" s="192"/>
      <c r="C1275" s="140"/>
      <c r="D1275" s="140"/>
      <c r="E1275" s="140"/>
    </row>
    <row r="1276" spans="1:5">
      <c r="A1276" s="140"/>
      <c r="B1276" s="192"/>
      <c r="C1276" s="140"/>
      <c r="D1276" s="140"/>
      <c r="E1276" s="140"/>
    </row>
    <row r="1277" spans="1:5">
      <c r="A1277" s="140"/>
      <c r="B1277" s="192"/>
      <c r="C1277" s="140"/>
      <c r="D1277" s="140"/>
      <c r="E1277" s="140"/>
    </row>
    <row r="1278" spans="1:5">
      <c r="A1278" s="140"/>
      <c r="B1278" s="192"/>
      <c r="C1278" s="140"/>
      <c r="D1278" s="140"/>
      <c r="E1278" s="140"/>
    </row>
    <row r="1279" spans="1:5">
      <c r="A1279" s="140"/>
      <c r="B1279" s="192"/>
      <c r="C1279" s="140"/>
      <c r="D1279" s="140"/>
      <c r="E1279" s="140"/>
    </row>
    <row r="1280" spans="1:5">
      <c r="A1280" s="140"/>
      <c r="B1280" s="192"/>
      <c r="C1280" s="140"/>
      <c r="D1280" s="140"/>
      <c r="E1280" s="140"/>
    </row>
    <row r="1281" spans="1:5">
      <c r="A1281" s="140"/>
      <c r="B1281" s="192"/>
      <c r="C1281" s="140"/>
      <c r="D1281" s="140"/>
      <c r="E1281" s="140"/>
    </row>
    <row r="1282" spans="1:5">
      <c r="A1282" s="140"/>
      <c r="B1282" s="192"/>
      <c r="C1282" s="140"/>
      <c r="D1282" s="140"/>
      <c r="E1282" s="140"/>
    </row>
    <row r="1283" spans="1:5">
      <c r="A1283" s="140"/>
      <c r="B1283" s="192"/>
      <c r="C1283" s="140"/>
      <c r="D1283" s="140"/>
      <c r="E1283" s="140"/>
    </row>
    <row r="1284" spans="1:5">
      <c r="A1284" s="140"/>
      <c r="B1284" s="192"/>
      <c r="C1284" s="140"/>
      <c r="D1284" s="140"/>
      <c r="E1284" s="140"/>
    </row>
    <row r="1285" spans="1:5">
      <c r="A1285" s="140"/>
      <c r="B1285" s="192"/>
      <c r="C1285" s="140"/>
      <c r="D1285" s="140"/>
      <c r="E1285" s="140"/>
    </row>
    <row r="1286" spans="1:5">
      <c r="A1286" s="140"/>
      <c r="B1286" s="192"/>
      <c r="C1286" s="140"/>
      <c r="D1286" s="140"/>
      <c r="E1286" s="140"/>
    </row>
    <row r="1287" spans="1:5">
      <c r="A1287" s="140"/>
      <c r="B1287" s="192"/>
      <c r="C1287" s="140"/>
      <c r="D1287" s="140"/>
      <c r="E1287" s="140"/>
    </row>
    <row r="1288" spans="1:5">
      <c r="A1288" s="140"/>
      <c r="B1288" s="192"/>
      <c r="C1288" s="140"/>
      <c r="D1288" s="140"/>
      <c r="E1288" s="140"/>
    </row>
    <row r="1289" spans="1:5">
      <c r="A1289" s="140"/>
      <c r="B1289" s="192"/>
      <c r="C1289" s="140"/>
      <c r="D1289" s="140"/>
      <c r="E1289" s="140"/>
    </row>
    <row r="1290" spans="1:5">
      <c r="A1290" s="140"/>
      <c r="B1290" s="192"/>
      <c r="C1290" s="140"/>
      <c r="D1290" s="140"/>
      <c r="E1290" s="140"/>
    </row>
    <row r="1291" spans="1:5">
      <c r="A1291" s="140"/>
      <c r="B1291" s="192"/>
      <c r="C1291" s="140"/>
      <c r="D1291" s="140"/>
      <c r="E1291" s="140"/>
    </row>
    <row r="1292" spans="1:5">
      <c r="A1292" s="140"/>
      <c r="B1292" s="192"/>
      <c r="C1292" s="140"/>
      <c r="D1292" s="140"/>
      <c r="E1292" s="140"/>
    </row>
    <row r="1293" spans="1:5">
      <c r="A1293" s="140"/>
      <c r="B1293" s="192"/>
      <c r="C1293" s="140"/>
      <c r="D1293" s="140"/>
      <c r="E1293" s="140"/>
    </row>
    <row r="1294" spans="1:5">
      <c r="A1294" s="140"/>
      <c r="B1294" s="192"/>
      <c r="C1294" s="140"/>
      <c r="D1294" s="140"/>
      <c r="E1294" s="140"/>
    </row>
    <row r="1295" spans="1:5">
      <c r="A1295" s="140"/>
      <c r="B1295" s="192"/>
      <c r="C1295" s="140"/>
      <c r="D1295" s="140"/>
      <c r="E1295" s="140"/>
    </row>
    <row r="1296" spans="1:5">
      <c r="A1296" s="140"/>
      <c r="B1296" s="192"/>
      <c r="C1296" s="140"/>
      <c r="D1296" s="140"/>
      <c r="E1296" s="140"/>
    </row>
    <row r="1297" spans="1:5">
      <c r="A1297" s="140"/>
      <c r="B1297" s="192"/>
      <c r="C1297" s="140"/>
      <c r="D1297" s="140"/>
      <c r="E1297" s="140"/>
    </row>
    <row r="1298" spans="1:5">
      <c r="A1298" s="140"/>
      <c r="B1298" s="192"/>
      <c r="C1298" s="140"/>
      <c r="D1298" s="140"/>
      <c r="E1298" s="140"/>
    </row>
    <row r="1299" spans="1:5">
      <c r="A1299" s="140"/>
      <c r="B1299" s="192"/>
      <c r="C1299" s="140"/>
      <c r="D1299" s="140"/>
      <c r="E1299" s="140"/>
    </row>
    <row r="1300" spans="1:5">
      <c r="A1300" s="140"/>
      <c r="B1300" s="192"/>
      <c r="C1300" s="140"/>
      <c r="D1300" s="140"/>
      <c r="E1300" s="140"/>
    </row>
    <row r="1301" spans="1:5">
      <c r="A1301" s="140"/>
      <c r="B1301" s="192"/>
      <c r="C1301" s="140"/>
      <c r="D1301" s="140"/>
      <c r="E1301" s="140"/>
    </row>
    <row r="1302" spans="1:5">
      <c r="A1302" s="140"/>
      <c r="B1302" s="192"/>
      <c r="C1302" s="140"/>
      <c r="D1302" s="140"/>
      <c r="E1302" s="140"/>
    </row>
    <row r="1303" spans="1:5">
      <c r="A1303" s="140"/>
      <c r="B1303" s="192"/>
      <c r="C1303" s="140"/>
      <c r="D1303" s="140"/>
      <c r="E1303" s="140"/>
    </row>
    <row r="1304" spans="1:5">
      <c r="A1304" s="140"/>
      <c r="B1304" s="192"/>
      <c r="C1304" s="140"/>
      <c r="D1304" s="140"/>
      <c r="E1304" s="140"/>
    </row>
    <row r="1305" spans="1:5">
      <c r="A1305" s="140"/>
      <c r="B1305" s="192"/>
      <c r="C1305" s="140"/>
      <c r="D1305" s="140"/>
      <c r="E1305" s="140"/>
    </row>
    <row r="1306" spans="1:5">
      <c r="A1306" s="140"/>
      <c r="B1306" s="192"/>
      <c r="C1306" s="140"/>
      <c r="D1306" s="140"/>
      <c r="E1306" s="140"/>
    </row>
    <row r="1307" spans="1:5">
      <c r="A1307" s="140"/>
      <c r="B1307" s="192"/>
      <c r="C1307" s="140"/>
      <c r="D1307" s="140"/>
      <c r="E1307" s="140"/>
    </row>
    <row r="1308" spans="1:5">
      <c r="A1308" s="140"/>
      <c r="B1308" s="192"/>
      <c r="C1308" s="140"/>
      <c r="D1308" s="140"/>
      <c r="E1308" s="140"/>
    </row>
    <row r="1309" spans="1:5">
      <c r="A1309" s="140"/>
      <c r="B1309" s="192"/>
      <c r="C1309" s="140"/>
      <c r="D1309" s="140"/>
      <c r="E1309" s="140"/>
    </row>
    <row r="1310" spans="1:5">
      <c r="A1310" s="140"/>
      <c r="B1310" s="192"/>
      <c r="C1310" s="140"/>
      <c r="D1310" s="140"/>
      <c r="E1310" s="140"/>
    </row>
    <row r="1311" spans="1:5">
      <c r="A1311" s="140"/>
      <c r="B1311" s="192"/>
      <c r="C1311" s="140"/>
      <c r="D1311" s="140"/>
      <c r="E1311" s="140"/>
    </row>
    <row r="1312" spans="1:5">
      <c r="A1312" s="140"/>
      <c r="B1312" s="192"/>
      <c r="C1312" s="140"/>
      <c r="D1312" s="140"/>
      <c r="E1312" s="140"/>
    </row>
    <row r="1313" spans="1:5">
      <c r="A1313" s="140"/>
      <c r="B1313" s="192"/>
      <c r="C1313" s="140"/>
      <c r="D1313" s="140"/>
      <c r="E1313" s="140"/>
    </row>
    <row r="1314" spans="1:5">
      <c r="A1314" s="140"/>
      <c r="B1314" s="192"/>
      <c r="C1314" s="140"/>
      <c r="D1314" s="140"/>
      <c r="E1314" s="140"/>
    </row>
    <row r="1315" spans="1:5">
      <c r="A1315" s="140"/>
      <c r="B1315" s="192"/>
      <c r="C1315" s="140"/>
      <c r="D1315" s="140"/>
      <c r="E1315" s="140"/>
    </row>
    <row r="1316" spans="1:5">
      <c r="A1316" s="140"/>
      <c r="B1316" s="192"/>
      <c r="C1316" s="140"/>
      <c r="D1316" s="140"/>
      <c r="E1316" s="140"/>
    </row>
    <row r="1317" spans="1:5">
      <c r="A1317" s="140"/>
      <c r="B1317" s="192"/>
      <c r="C1317" s="140"/>
      <c r="D1317" s="140"/>
      <c r="E1317" s="140"/>
    </row>
    <row r="1318" spans="1:5">
      <c r="A1318" s="140"/>
      <c r="B1318" s="192"/>
      <c r="C1318" s="140"/>
      <c r="D1318" s="140"/>
      <c r="E1318" s="140"/>
    </row>
    <row r="1319" spans="1:5">
      <c r="A1319" s="140"/>
      <c r="B1319" s="192"/>
      <c r="C1319" s="140"/>
      <c r="D1319" s="140"/>
      <c r="E1319" s="140"/>
    </row>
    <row r="1320" spans="1:5">
      <c r="A1320" s="140"/>
      <c r="B1320" s="192"/>
      <c r="C1320" s="140"/>
      <c r="D1320" s="140"/>
      <c r="E1320" s="140"/>
    </row>
    <row r="1321" spans="1:5">
      <c r="A1321" s="140"/>
      <c r="B1321" s="192"/>
      <c r="C1321" s="140"/>
      <c r="D1321" s="140"/>
      <c r="E1321" s="140"/>
    </row>
    <row r="1322" spans="1:5">
      <c r="A1322" s="140"/>
      <c r="B1322" s="192"/>
      <c r="C1322" s="140"/>
      <c r="D1322" s="140"/>
      <c r="E1322" s="140"/>
    </row>
    <row r="1323" spans="1:5">
      <c r="A1323" s="140"/>
      <c r="B1323" s="192"/>
      <c r="C1323" s="140"/>
      <c r="D1323" s="140"/>
      <c r="E1323" s="140"/>
    </row>
    <row r="1324" spans="1:5">
      <c r="A1324" s="140"/>
      <c r="B1324" s="192"/>
      <c r="C1324" s="140"/>
      <c r="D1324" s="140"/>
      <c r="E1324" s="140"/>
    </row>
    <row r="1325" spans="1:5">
      <c r="A1325" s="140"/>
      <c r="B1325" s="192"/>
      <c r="C1325" s="140"/>
      <c r="D1325" s="140"/>
      <c r="E1325" s="140"/>
    </row>
    <row r="1326" spans="1:5">
      <c r="A1326" s="140"/>
      <c r="B1326" s="192"/>
      <c r="C1326" s="140"/>
      <c r="D1326" s="140"/>
      <c r="E1326" s="140"/>
    </row>
    <row r="1327" spans="1:5">
      <c r="A1327" s="140"/>
      <c r="B1327" s="192"/>
      <c r="C1327" s="140"/>
      <c r="D1327" s="140"/>
      <c r="E1327" s="140"/>
    </row>
    <row r="1328" spans="1:5">
      <c r="A1328" s="140"/>
      <c r="B1328" s="192"/>
      <c r="C1328" s="140"/>
      <c r="D1328" s="140"/>
      <c r="E1328" s="140"/>
    </row>
    <row r="1329" spans="1:5">
      <c r="A1329" s="140"/>
      <c r="B1329" s="192"/>
      <c r="C1329" s="140"/>
      <c r="D1329" s="140"/>
      <c r="E1329" s="140"/>
    </row>
    <row r="1330" spans="1:5">
      <c r="A1330" s="140"/>
      <c r="B1330" s="192"/>
      <c r="C1330" s="140"/>
      <c r="D1330" s="140"/>
      <c r="E1330" s="140"/>
    </row>
    <row r="1331" spans="1:5">
      <c r="A1331" s="140"/>
      <c r="B1331" s="192"/>
      <c r="C1331" s="140"/>
      <c r="D1331" s="140"/>
      <c r="E1331" s="140"/>
    </row>
    <row r="1332" spans="1:5">
      <c r="A1332" s="140"/>
      <c r="B1332" s="192"/>
      <c r="C1332" s="140"/>
      <c r="D1332" s="140"/>
      <c r="E1332" s="140"/>
    </row>
    <row r="1333" spans="1:5">
      <c r="A1333" s="140"/>
      <c r="B1333" s="192"/>
      <c r="C1333" s="140"/>
      <c r="D1333" s="140"/>
      <c r="E1333" s="140"/>
    </row>
    <row r="1334" spans="1:5">
      <c r="A1334" s="140"/>
      <c r="B1334" s="192"/>
      <c r="C1334" s="140"/>
      <c r="D1334" s="140"/>
      <c r="E1334" s="140"/>
    </row>
    <row r="1335" spans="1:5">
      <c r="A1335" s="140"/>
      <c r="B1335" s="192"/>
      <c r="C1335" s="140"/>
      <c r="D1335" s="140"/>
      <c r="E1335" s="140"/>
    </row>
    <row r="1336" spans="1:5">
      <c r="A1336" s="140"/>
      <c r="B1336" s="192"/>
      <c r="C1336" s="140"/>
      <c r="D1336" s="140"/>
      <c r="E1336" s="140"/>
    </row>
    <row r="1337" spans="1:5">
      <c r="A1337" s="140"/>
      <c r="B1337" s="192"/>
      <c r="C1337" s="140"/>
      <c r="D1337" s="140"/>
      <c r="E1337" s="140"/>
    </row>
    <row r="1338" spans="1:5">
      <c r="A1338" s="140"/>
      <c r="B1338" s="192"/>
      <c r="C1338" s="140"/>
      <c r="D1338" s="140"/>
      <c r="E1338" s="140"/>
    </row>
    <row r="1339" spans="1:5">
      <c r="A1339" s="140"/>
      <c r="B1339" s="192"/>
      <c r="C1339" s="140"/>
      <c r="D1339" s="140"/>
      <c r="E1339" s="140"/>
    </row>
    <row r="1340" spans="1:5">
      <c r="A1340" s="140"/>
      <c r="B1340" s="192"/>
      <c r="C1340" s="140"/>
      <c r="D1340" s="140"/>
      <c r="E1340" s="140"/>
    </row>
    <row r="1341" spans="1:5">
      <c r="A1341" s="140"/>
      <c r="B1341" s="192"/>
      <c r="C1341" s="140"/>
      <c r="D1341" s="140"/>
      <c r="E1341" s="140"/>
    </row>
    <row r="1342" spans="1:5">
      <c r="A1342" s="140"/>
      <c r="B1342" s="192"/>
      <c r="C1342" s="140"/>
      <c r="D1342" s="140"/>
      <c r="E1342" s="140"/>
    </row>
    <row r="1343" spans="1:5">
      <c r="A1343" s="140"/>
      <c r="B1343" s="192"/>
      <c r="C1343" s="140"/>
      <c r="D1343" s="140"/>
      <c r="E1343" s="140"/>
    </row>
    <row r="1344" spans="1:5">
      <c r="A1344" s="140"/>
      <c r="B1344" s="192"/>
      <c r="C1344" s="140"/>
      <c r="D1344" s="140"/>
      <c r="E1344" s="140"/>
    </row>
    <row r="1345" spans="1:5">
      <c r="A1345" s="140"/>
      <c r="B1345" s="192"/>
      <c r="C1345" s="140"/>
      <c r="D1345" s="140"/>
      <c r="E1345" s="140"/>
    </row>
    <row r="1346" spans="1:5">
      <c r="A1346" s="140"/>
      <c r="B1346" s="192"/>
      <c r="C1346" s="140"/>
      <c r="D1346" s="140"/>
      <c r="E1346" s="140"/>
    </row>
    <row r="1347" spans="1:5">
      <c r="A1347" s="140"/>
      <c r="B1347" s="192"/>
      <c r="C1347" s="140"/>
      <c r="D1347" s="140"/>
      <c r="E1347" s="140"/>
    </row>
    <row r="1348" spans="1:5">
      <c r="A1348" s="140"/>
      <c r="B1348" s="192"/>
      <c r="C1348" s="140"/>
      <c r="D1348" s="140"/>
      <c r="E1348" s="140"/>
    </row>
    <row r="1349" spans="1:5">
      <c r="A1349" s="140"/>
      <c r="B1349" s="192"/>
      <c r="C1349" s="140"/>
      <c r="D1349" s="140"/>
      <c r="E1349" s="140"/>
    </row>
    <row r="1350" spans="1:5">
      <c r="A1350" s="140"/>
      <c r="B1350" s="192"/>
      <c r="C1350" s="140"/>
      <c r="D1350" s="140"/>
      <c r="E1350" s="140"/>
    </row>
    <row r="1351" spans="1:5">
      <c r="A1351" s="140"/>
      <c r="B1351" s="192"/>
      <c r="C1351" s="140"/>
      <c r="D1351" s="140"/>
      <c r="E1351" s="140"/>
    </row>
    <row r="1352" spans="1:5">
      <c r="A1352" s="140"/>
      <c r="B1352" s="192"/>
      <c r="C1352" s="140"/>
      <c r="D1352" s="140"/>
      <c r="E1352" s="140"/>
    </row>
    <row r="1353" spans="1:5">
      <c r="A1353" s="140"/>
      <c r="B1353" s="192"/>
      <c r="C1353" s="140"/>
      <c r="D1353" s="140"/>
      <c r="E1353" s="140"/>
    </row>
    <row r="1354" spans="1:5">
      <c r="A1354" s="140"/>
      <c r="B1354" s="192"/>
      <c r="C1354" s="140"/>
      <c r="D1354" s="140"/>
      <c r="E1354" s="140"/>
    </row>
    <row r="1355" spans="1:5">
      <c r="A1355" s="140"/>
      <c r="B1355" s="192"/>
      <c r="C1355" s="140"/>
      <c r="D1355" s="140"/>
      <c r="E1355" s="140"/>
    </row>
    <row r="1356" spans="1:5">
      <c r="A1356" s="140"/>
      <c r="B1356" s="192"/>
      <c r="C1356" s="140"/>
      <c r="D1356" s="140"/>
      <c r="E1356" s="140"/>
    </row>
    <row r="1357" spans="1:5">
      <c r="A1357" s="140"/>
      <c r="B1357" s="192"/>
      <c r="C1357" s="140"/>
      <c r="D1357" s="140"/>
      <c r="E1357" s="140"/>
    </row>
    <row r="1358" spans="1:5">
      <c r="A1358" s="140"/>
      <c r="B1358" s="192"/>
      <c r="C1358" s="140"/>
      <c r="D1358" s="140"/>
      <c r="E1358" s="140"/>
    </row>
    <row r="1359" spans="1:5">
      <c r="A1359" s="140"/>
      <c r="B1359" s="192"/>
      <c r="C1359" s="140"/>
      <c r="D1359" s="140"/>
      <c r="E1359" s="140"/>
    </row>
    <row r="1360" spans="1:5">
      <c r="A1360" s="140"/>
      <c r="B1360" s="192"/>
      <c r="C1360" s="140"/>
      <c r="D1360" s="140"/>
      <c r="E1360" s="140"/>
    </row>
    <row r="1361" spans="1:5">
      <c r="A1361" s="140"/>
      <c r="B1361" s="192"/>
      <c r="C1361" s="140"/>
      <c r="D1361" s="140"/>
      <c r="E1361" s="140"/>
    </row>
    <row r="1362" spans="1:5">
      <c r="A1362" s="140"/>
      <c r="B1362" s="192"/>
      <c r="C1362" s="140"/>
      <c r="D1362" s="140"/>
      <c r="E1362" s="140"/>
    </row>
    <row r="1363" spans="1:5">
      <c r="A1363" s="140"/>
      <c r="B1363" s="192"/>
      <c r="C1363" s="140"/>
      <c r="D1363" s="140"/>
      <c r="E1363" s="140"/>
    </row>
    <row r="1364" spans="1:5">
      <c r="A1364" s="140"/>
      <c r="B1364" s="192"/>
      <c r="C1364" s="140"/>
      <c r="D1364" s="140"/>
      <c r="E1364" s="140"/>
    </row>
    <row r="1365" spans="1:5">
      <c r="A1365" s="140"/>
      <c r="B1365" s="192"/>
      <c r="C1365" s="140"/>
      <c r="D1365" s="140"/>
      <c r="E1365" s="140"/>
    </row>
    <row r="1366" spans="1:5">
      <c r="A1366" s="140"/>
      <c r="B1366" s="192"/>
      <c r="C1366" s="140"/>
      <c r="D1366" s="140"/>
      <c r="E1366" s="140"/>
    </row>
    <row r="1367" spans="1:5">
      <c r="A1367" s="140"/>
      <c r="B1367" s="192"/>
      <c r="C1367" s="140"/>
      <c r="D1367" s="140"/>
      <c r="E1367" s="140"/>
    </row>
    <row r="1368" spans="1:5">
      <c r="A1368" s="140"/>
      <c r="B1368" s="192"/>
      <c r="C1368" s="140"/>
      <c r="D1368" s="140"/>
      <c r="E1368" s="140"/>
    </row>
    <row r="1369" spans="1:5">
      <c r="A1369" s="140"/>
      <c r="B1369" s="192"/>
      <c r="C1369" s="140"/>
      <c r="D1369" s="140"/>
      <c r="E1369" s="140"/>
    </row>
    <row r="1370" spans="1:5">
      <c r="A1370" s="140"/>
      <c r="B1370" s="192"/>
      <c r="C1370" s="140"/>
      <c r="D1370" s="140"/>
      <c r="E1370" s="140"/>
    </row>
    <row r="1371" spans="1:5">
      <c r="A1371" s="140"/>
      <c r="B1371" s="192"/>
      <c r="C1371" s="140"/>
      <c r="D1371" s="140"/>
      <c r="E1371" s="140"/>
    </row>
    <row r="1372" spans="1:5">
      <c r="A1372" s="140"/>
      <c r="B1372" s="192"/>
      <c r="C1372" s="140"/>
      <c r="D1372" s="140"/>
      <c r="E1372" s="140"/>
    </row>
    <row r="1373" spans="1:5">
      <c r="A1373" s="140"/>
      <c r="B1373" s="192"/>
      <c r="C1373" s="140"/>
      <c r="D1373" s="140"/>
      <c r="E1373" s="140"/>
    </row>
    <row r="1374" spans="1:5">
      <c r="A1374" s="140"/>
      <c r="B1374" s="192"/>
      <c r="C1374" s="140"/>
      <c r="D1374" s="140"/>
      <c r="E1374" s="140"/>
    </row>
    <row r="1375" spans="1:5">
      <c r="A1375" s="140"/>
      <c r="B1375" s="192"/>
      <c r="C1375" s="140"/>
      <c r="D1375" s="140"/>
      <c r="E1375" s="140"/>
    </row>
    <row r="1376" spans="1:5">
      <c r="A1376" s="140"/>
      <c r="B1376" s="192"/>
      <c r="C1376" s="140"/>
      <c r="D1376" s="140"/>
      <c r="E1376" s="140"/>
    </row>
    <row r="1377" spans="1:5">
      <c r="A1377" s="140"/>
      <c r="B1377" s="192"/>
      <c r="C1377" s="140"/>
      <c r="D1377" s="140"/>
      <c r="E1377" s="140"/>
    </row>
    <row r="1378" spans="1:5">
      <c r="A1378" s="140"/>
      <c r="B1378" s="192"/>
      <c r="C1378" s="140"/>
      <c r="D1378" s="140"/>
      <c r="E1378" s="140"/>
    </row>
    <row r="1379" spans="1:5">
      <c r="A1379" s="140"/>
      <c r="B1379" s="192"/>
      <c r="C1379" s="140"/>
      <c r="D1379" s="140"/>
      <c r="E1379" s="140"/>
    </row>
    <row r="1380" spans="1:5">
      <c r="A1380" s="140"/>
      <c r="B1380" s="192"/>
      <c r="C1380" s="140"/>
      <c r="D1380" s="140"/>
      <c r="E1380" s="140"/>
    </row>
    <row r="1381" spans="1:5">
      <c r="A1381" s="140"/>
      <c r="B1381" s="192"/>
      <c r="C1381" s="140"/>
      <c r="D1381" s="140"/>
      <c r="E1381" s="140"/>
    </row>
    <row r="1382" spans="1:5">
      <c r="A1382" s="140"/>
      <c r="B1382" s="192"/>
      <c r="C1382" s="140"/>
      <c r="D1382" s="140"/>
      <c r="E1382" s="140"/>
    </row>
    <row r="1383" spans="1:5">
      <c r="A1383" s="140"/>
      <c r="B1383" s="192"/>
      <c r="C1383" s="140"/>
      <c r="D1383" s="140"/>
      <c r="E1383" s="140"/>
    </row>
    <row r="1384" spans="1:5">
      <c r="A1384" s="140"/>
      <c r="B1384" s="192"/>
      <c r="C1384" s="140"/>
      <c r="D1384" s="140"/>
      <c r="E1384" s="140"/>
    </row>
    <row r="1385" spans="1:5">
      <c r="A1385" s="140"/>
      <c r="B1385" s="192"/>
      <c r="C1385" s="140"/>
      <c r="D1385" s="140"/>
      <c r="E1385" s="140"/>
    </row>
    <row r="1386" spans="1:5">
      <c r="A1386" s="140"/>
      <c r="B1386" s="192"/>
      <c r="C1386" s="140"/>
      <c r="D1386" s="140"/>
      <c r="E1386" s="140"/>
    </row>
    <row r="1387" spans="1:5">
      <c r="A1387" s="140"/>
      <c r="B1387" s="192"/>
      <c r="C1387" s="140"/>
      <c r="D1387" s="140"/>
      <c r="E1387" s="140"/>
    </row>
    <row r="1388" spans="1:5">
      <c r="A1388" s="140"/>
      <c r="B1388" s="192"/>
      <c r="C1388" s="140"/>
      <c r="D1388" s="140"/>
      <c r="E1388" s="140"/>
    </row>
    <row r="1389" spans="1:5">
      <c r="A1389" s="140"/>
      <c r="B1389" s="192"/>
      <c r="C1389" s="140"/>
      <c r="D1389" s="140"/>
      <c r="E1389" s="140"/>
    </row>
    <row r="1390" spans="1:5">
      <c r="A1390" s="140"/>
      <c r="B1390" s="192"/>
      <c r="C1390" s="140"/>
      <c r="D1390" s="140"/>
      <c r="E1390" s="140"/>
    </row>
    <row r="1391" spans="1:5">
      <c r="A1391" s="140"/>
      <c r="B1391" s="192"/>
      <c r="C1391" s="140"/>
      <c r="D1391" s="140"/>
      <c r="E1391" s="140"/>
    </row>
    <row r="1392" spans="1:5">
      <c r="A1392" s="140"/>
      <c r="B1392" s="192"/>
      <c r="C1392" s="140"/>
      <c r="D1392" s="140"/>
      <c r="E1392" s="140"/>
    </row>
    <row r="1393" spans="1:5">
      <c r="A1393" s="140"/>
      <c r="B1393" s="192"/>
      <c r="C1393" s="140"/>
      <c r="D1393" s="140"/>
      <c r="E1393" s="140"/>
    </row>
    <row r="1394" spans="1:5">
      <c r="A1394" s="140"/>
      <c r="B1394" s="192"/>
      <c r="C1394" s="140"/>
      <c r="D1394" s="140"/>
      <c r="E1394" s="140"/>
    </row>
    <row r="1395" spans="1:5">
      <c r="A1395" s="140"/>
      <c r="B1395" s="192"/>
      <c r="C1395" s="140"/>
      <c r="D1395" s="140"/>
      <c r="E1395" s="140"/>
    </row>
    <row r="1396" spans="1:5">
      <c r="A1396" s="140"/>
      <c r="B1396" s="192"/>
      <c r="C1396" s="140"/>
      <c r="D1396" s="140"/>
      <c r="E1396" s="140"/>
    </row>
    <row r="1397" spans="1:5">
      <c r="A1397" s="140"/>
      <c r="B1397" s="192"/>
      <c r="C1397" s="140"/>
      <c r="D1397" s="140"/>
      <c r="E1397" s="140"/>
    </row>
    <row r="1398" spans="1:5">
      <c r="A1398" s="140"/>
      <c r="B1398" s="192"/>
      <c r="C1398" s="140"/>
      <c r="D1398" s="140"/>
      <c r="E1398" s="140"/>
    </row>
    <row r="1399" spans="1:5">
      <c r="A1399" s="140"/>
      <c r="B1399" s="192"/>
      <c r="C1399" s="140"/>
      <c r="D1399" s="140"/>
      <c r="E1399" s="140"/>
    </row>
    <row r="1400" spans="1:5">
      <c r="A1400" s="140"/>
      <c r="B1400" s="192"/>
      <c r="C1400" s="140"/>
      <c r="D1400" s="140"/>
      <c r="E1400" s="140"/>
    </row>
    <row r="1401" spans="1:5">
      <c r="A1401" s="140"/>
      <c r="B1401" s="192"/>
      <c r="C1401" s="140"/>
      <c r="D1401" s="140"/>
      <c r="E1401" s="140"/>
    </row>
    <row r="1402" spans="1:5">
      <c r="A1402" s="140"/>
      <c r="B1402" s="192"/>
      <c r="C1402" s="140"/>
      <c r="D1402" s="140"/>
      <c r="E1402" s="140"/>
    </row>
    <row r="1403" spans="1:5">
      <c r="A1403" s="140"/>
      <c r="B1403" s="192"/>
      <c r="C1403" s="140"/>
      <c r="D1403" s="140"/>
      <c r="E1403" s="140"/>
    </row>
    <row r="1404" spans="1:5">
      <c r="A1404" s="140"/>
      <c r="B1404" s="192"/>
      <c r="C1404" s="140"/>
      <c r="D1404" s="140"/>
      <c r="E1404" s="140"/>
    </row>
    <row r="1405" spans="1:5">
      <c r="A1405" s="140"/>
      <c r="B1405" s="192"/>
      <c r="C1405" s="140"/>
      <c r="D1405" s="140"/>
      <c r="E1405" s="140"/>
    </row>
    <row r="1406" spans="1:5">
      <c r="A1406" s="140"/>
      <c r="B1406" s="192"/>
      <c r="C1406" s="140"/>
      <c r="D1406" s="140"/>
      <c r="E1406" s="140"/>
    </row>
    <row r="1407" spans="1:5">
      <c r="A1407" s="140"/>
      <c r="B1407" s="192"/>
      <c r="C1407" s="140"/>
      <c r="D1407" s="140"/>
      <c r="E1407" s="140"/>
    </row>
    <row r="1408" spans="1:5">
      <c r="A1408" s="140"/>
      <c r="B1408" s="192"/>
      <c r="C1408" s="140"/>
      <c r="D1408" s="140"/>
      <c r="E1408" s="140"/>
    </row>
    <row r="1409" spans="1:5">
      <c r="A1409" s="140"/>
      <c r="B1409" s="192"/>
      <c r="C1409" s="140"/>
      <c r="D1409" s="140"/>
      <c r="E1409" s="140"/>
    </row>
    <row r="1410" spans="1:5">
      <c r="A1410" s="140"/>
      <c r="B1410" s="192"/>
      <c r="C1410" s="140"/>
      <c r="D1410" s="140"/>
      <c r="E1410" s="140"/>
    </row>
    <row r="1411" spans="1:5">
      <c r="A1411" s="140"/>
      <c r="B1411" s="192"/>
      <c r="C1411" s="140"/>
      <c r="D1411" s="140"/>
      <c r="E1411" s="140"/>
    </row>
    <row r="1412" spans="1:5">
      <c r="A1412" s="140"/>
      <c r="B1412" s="192"/>
      <c r="C1412" s="140"/>
      <c r="D1412" s="140"/>
      <c r="E1412" s="140"/>
    </row>
    <row r="1413" spans="1:5">
      <c r="A1413" s="140"/>
      <c r="B1413" s="192"/>
      <c r="C1413" s="140"/>
      <c r="D1413" s="140"/>
      <c r="E1413" s="140"/>
    </row>
    <row r="1414" spans="1:5">
      <c r="A1414" s="140"/>
      <c r="B1414" s="192"/>
      <c r="C1414" s="140"/>
      <c r="D1414" s="140"/>
      <c r="E1414" s="140"/>
    </row>
    <row r="1415" spans="1:5">
      <c r="A1415" s="140"/>
      <c r="B1415" s="192"/>
      <c r="C1415" s="140"/>
      <c r="D1415" s="140"/>
      <c r="E1415" s="140"/>
    </row>
    <row r="1416" spans="1:5">
      <c r="A1416" s="140"/>
      <c r="B1416" s="192"/>
      <c r="C1416" s="140"/>
      <c r="D1416" s="140"/>
      <c r="E1416" s="140"/>
    </row>
    <row r="1417" spans="1:5">
      <c r="A1417" s="140"/>
      <c r="B1417" s="192"/>
      <c r="C1417" s="140"/>
      <c r="D1417" s="140"/>
      <c r="E1417" s="140"/>
    </row>
    <row r="1418" spans="1:5">
      <c r="A1418" s="140"/>
      <c r="B1418" s="192"/>
      <c r="C1418" s="140"/>
      <c r="D1418" s="140"/>
      <c r="E1418" s="140"/>
    </row>
    <row r="1419" spans="1:5">
      <c r="A1419" s="140"/>
      <c r="B1419" s="192"/>
      <c r="C1419" s="140"/>
      <c r="D1419" s="140"/>
      <c r="E1419" s="140"/>
    </row>
    <row r="1420" spans="1:5">
      <c r="A1420" s="140"/>
      <c r="B1420" s="192"/>
      <c r="C1420" s="140"/>
      <c r="D1420" s="140"/>
      <c r="E1420" s="140"/>
    </row>
    <row r="1421" spans="1:5">
      <c r="A1421" s="140"/>
      <c r="B1421" s="192"/>
      <c r="C1421" s="140"/>
      <c r="D1421" s="140"/>
      <c r="E1421" s="140"/>
    </row>
    <row r="1422" spans="1:5">
      <c r="A1422" s="140"/>
      <c r="B1422" s="192"/>
      <c r="C1422" s="140"/>
      <c r="D1422" s="140"/>
      <c r="E1422" s="140"/>
    </row>
    <row r="1423" spans="1:5">
      <c r="A1423" s="140"/>
      <c r="B1423" s="192"/>
      <c r="C1423" s="140"/>
      <c r="D1423" s="140"/>
      <c r="E1423" s="140"/>
    </row>
    <row r="1424" spans="1:5">
      <c r="A1424" s="140"/>
      <c r="B1424" s="192"/>
      <c r="C1424" s="140"/>
      <c r="D1424" s="140"/>
      <c r="E1424" s="140"/>
    </row>
    <row r="1425" spans="1:5">
      <c r="A1425" s="140"/>
      <c r="B1425" s="192"/>
      <c r="C1425" s="140"/>
      <c r="D1425" s="140"/>
      <c r="E1425" s="140"/>
    </row>
    <row r="1426" spans="1:5">
      <c r="A1426" s="140"/>
      <c r="B1426" s="192"/>
      <c r="C1426" s="140"/>
      <c r="D1426" s="140"/>
      <c r="E1426" s="140"/>
    </row>
    <row r="1427" spans="1:5">
      <c r="A1427" s="140"/>
      <c r="B1427" s="192"/>
      <c r="C1427" s="140"/>
      <c r="D1427" s="140"/>
      <c r="E1427" s="140"/>
    </row>
    <row r="1428" spans="1:5">
      <c r="A1428" s="140"/>
      <c r="B1428" s="192"/>
      <c r="C1428" s="140"/>
      <c r="D1428" s="140"/>
      <c r="E1428" s="140"/>
    </row>
    <row r="1429" spans="1:5">
      <c r="A1429" s="140"/>
      <c r="B1429" s="192"/>
      <c r="C1429" s="140"/>
      <c r="D1429" s="140"/>
      <c r="E1429" s="140"/>
    </row>
    <row r="1430" spans="1:5">
      <c r="A1430" s="140"/>
      <c r="B1430" s="192"/>
      <c r="C1430" s="140"/>
      <c r="D1430" s="140"/>
      <c r="E1430" s="140"/>
    </row>
    <row r="1431" spans="1:5">
      <c r="A1431" s="140"/>
      <c r="B1431" s="192"/>
      <c r="C1431" s="140"/>
      <c r="D1431" s="140"/>
      <c r="E1431" s="140"/>
    </row>
    <row r="1432" spans="1:5">
      <c r="A1432" s="140"/>
      <c r="B1432" s="192"/>
      <c r="C1432" s="140"/>
      <c r="D1432" s="140"/>
      <c r="E1432" s="140"/>
    </row>
    <row r="1433" spans="1:5">
      <c r="A1433" s="140"/>
      <c r="B1433" s="192"/>
      <c r="C1433" s="140"/>
      <c r="D1433" s="140"/>
      <c r="E1433" s="140"/>
    </row>
    <row r="1434" spans="1:5">
      <c r="A1434" s="140"/>
      <c r="B1434" s="192"/>
      <c r="C1434" s="140"/>
      <c r="D1434" s="140"/>
      <c r="E1434" s="140"/>
    </row>
    <row r="1435" spans="1:5">
      <c r="A1435" s="140"/>
      <c r="B1435" s="192"/>
      <c r="C1435" s="140"/>
      <c r="D1435" s="140"/>
      <c r="E1435" s="140"/>
    </row>
    <row r="1436" spans="1:5">
      <c r="A1436" s="140"/>
      <c r="B1436" s="192"/>
      <c r="C1436" s="140"/>
      <c r="D1436" s="140"/>
      <c r="E1436" s="140"/>
    </row>
    <row r="1437" spans="1:5">
      <c r="A1437" s="140"/>
      <c r="B1437" s="192"/>
      <c r="C1437" s="140"/>
      <c r="D1437" s="140"/>
      <c r="E1437" s="140"/>
    </row>
    <row r="1438" spans="1:5">
      <c r="A1438" s="140"/>
      <c r="B1438" s="192"/>
      <c r="C1438" s="140"/>
      <c r="D1438" s="140"/>
      <c r="E1438" s="140"/>
    </row>
    <row r="1439" spans="1:5">
      <c r="A1439" s="140"/>
      <c r="B1439" s="192"/>
      <c r="C1439" s="140"/>
      <c r="D1439" s="140"/>
      <c r="E1439" s="140"/>
    </row>
    <row r="1440" spans="1:5">
      <c r="A1440" s="140"/>
      <c r="B1440" s="192"/>
      <c r="C1440" s="140"/>
      <c r="D1440" s="140"/>
      <c r="E1440" s="140"/>
    </row>
    <row r="1441" spans="1:5">
      <c r="A1441" s="140"/>
      <c r="B1441" s="192"/>
      <c r="C1441" s="140"/>
      <c r="D1441" s="140"/>
      <c r="E1441" s="140"/>
    </row>
    <row r="1442" spans="1:5">
      <c r="A1442" s="140"/>
      <c r="B1442" s="192"/>
      <c r="C1442" s="140"/>
      <c r="D1442" s="140"/>
      <c r="E1442" s="140"/>
    </row>
    <row r="1443" spans="1:5">
      <c r="A1443" s="140"/>
      <c r="B1443" s="192"/>
      <c r="C1443" s="140"/>
      <c r="D1443" s="140"/>
      <c r="E1443" s="140"/>
    </row>
    <row r="1444" spans="1:5">
      <c r="A1444" s="140"/>
      <c r="B1444" s="192"/>
      <c r="C1444" s="140"/>
      <c r="D1444" s="140"/>
      <c r="E1444" s="140"/>
    </row>
    <row r="1445" spans="1:5">
      <c r="A1445" s="140"/>
      <c r="B1445" s="192"/>
      <c r="C1445" s="140"/>
      <c r="D1445" s="140"/>
      <c r="E1445" s="140"/>
    </row>
    <row r="1446" spans="1:5">
      <c r="A1446" s="140"/>
      <c r="B1446" s="192"/>
      <c r="C1446" s="140"/>
      <c r="D1446" s="140"/>
      <c r="E1446" s="140"/>
    </row>
    <row r="1447" spans="1:5">
      <c r="A1447" s="140"/>
      <c r="B1447" s="192"/>
      <c r="C1447" s="140"/>
      <c r="D1447" s="140"/>
      <c r="E1447" s="140"/>
    </row>
    <row r="1448" spans="1:5">
      <c r="A1448" s="140"/>
      <c r="B1448" s="192"/>
      <c r="C1448" s="140"/>
      <c r="D1448" s="140"/>
      <c r="E1448" s="140"/>
    </row>
    <row r="1449" spans="1:5">
      <c r="A1449" s="140"/>
      <c r="B1449" s="192"/>
      <c r="C1449" s="140"/>
      <c r="D1449" s="140"/>
      <c r="E1449" s="140"/>
    </row>
    <row r="1450" spans="1:5">
      <c r="A1450" s="140"/>
      <c r="B1450" s="192"/>
      <c r="C1450" s="140"/>
      <c r="D1450" s="140"/>
      <c r="E1450" s="140"/>
    </row>
    <row r="1451" spans="1:5">
      <c r="A1451" s="140"/>
      <c r="B1451" s="192"/>
      <c r="C1451" s="140"/>
      <c r="D1451" s="140"/>
      <c r="E1451" s="140"/>
    </row>
    <row r="1452" spans="1:5">
      <c r="A1452" s="140"/>
      <c r="B1452" s="192"/>
      <c r="C1452" s="140"/>
      <c r="D1452" s="140"/>
      <c r="E1452" s="140"/>
    </row>
    <row r="1453" spans="1:5">
      <c r="A1453" s="140"/>
      <c r="B1453" s="192"/>
      <c r="C1453" s="140"/>
      <c r="D1453" s="140"/>
      <c r="E1453" s="140"/>
    </row>
    <row r="1454" spans="1:5">
      <c r="A1454" s="140"/>
      <c r="B1454" s="192"/>
      <c r="C1454" s="140"/>
      <c r="D1454" s="140"/>
      <c r="E1454" s="140"/>
    </row>
    <row r="1455" spans="1:5">
      <c r="A1455" s="140"/>
      <c r="B1455" s="192"/>
      <c r="C1455" s="140"/>
      <c r="D1455" s="140"/>
      <c r="E1455" s="140"/>
    </row>
    <row r="1456" spans="1:5">
      <c r="A1456" s="140"/>
      <c r="B1456" s="192"/>
      <c r="C1456" s="140"/>
      <c r="D1456" s="140"/>
      <c r="E1456" s="140"/>
    </row>
    <row r="1457" spans="1:5">
      <c r="A1457" s="140"/>
      <c r="B1457" s="192"/>
      <c r="C1457" s="140"/>
      <c r="D1457" s="140"/>
      <c r="E1457" s="140"/>
    </row>
    <row r="1458" spans="1:5">
      <c r="A1458" s="140"/>
      <c r="B1458" s="192"/>
      <c r="C1458" s="140"/>
      <c r="D1458" s="140"/>
      <c r="E1458" s="140"/>
    </row>
    <row r="1459" spans="1:5">
      <c r="A1459" s="140"/>
      <c r="B1459" s="192"/>
      <c r="C1459" s="140"/>
      <c r="D1459" s="140"/>
      <c r="E1459" s="140"/>
    </row>
    <row r="1460" spans="1:5">
      <c r="A1460" s="140"/>
      <c r="B1460" s="192"/>
      <c r="C1460" s="140"/>
      <c r="D1460" s="140"/>
      <c r="E1460" s="140"/>
    </row>
    <row r="1461" spans="1:5">
      <c r="A1461" s="140"/>
      <c r="B1461" s="192"/>
      <c r="C1461" s="140"/>
      <c r="D1461" s="140"/>
      <c r="E1461" s="140"/>
    </row>
    <row r="1462" spans="1:5">
      <c r="A1462" s="140"/>
      <c r="B1462" s="192"/>
      <c r="C1462" s="140"/>
      <c r="D1462" s="140"/>
      <c r="E1462" s="140"/>
    </row>
    <row r="1463" spans="1:5">
      <c r="A1463" s="140"/>
      <c r="B1463" s="192"/>
      <c r="C1463" s="140"/>
      <c r="D1463" s="140"/>
      <c r="E1463" s="140"/>
    </row>
    <row r="1464" spans="1:5">
      <c r="A1464" s="140"/>
      <c r="B1464" s="192"/>
      <c r="C1464" s="140"/>
      <c r="D1464" s="140"/>
      <c r="E1464" s="140"/>
    </row>
    <row r="1465" spans="1:5">
      <c r="A1465" s="140"/>
      <c r="B1465" s="192"/>
      <c r="C1465" s="140"/>
      <c r="D1465" s="140"/>
      <c r="E1465" s="140"/>
    </row>
    <row r="1466" spans="1:5">
      <c r="A1466" s="140"/>
      <c r="B1466" s="192"/>
      <c r="C1466" s="140"/>
      <c r="D1466" s="140"/>
      <c r="E1466" s="140"/>
    </row>
    <row r="1467" spans="1:5">
      <c r="A1467" s="140"/>
      <c r="B1467" s="192"/>
      <c r="C1467" s="140"/>
      <c r="D1467" s="140"/>
      <c r="E1467" s="140"/>
    </row>
    <row r="1468" spans="1:5">
      <c r="A1468" s="140"/>
      <c r="B1468" s="192"/>
      <c r="C1468" s="140"/>
      <c r="D1468" s="140"/>
      <c r="E1468" s="140"/>
    </row>
    <row r="1469" spans="1:5">
      <c r="A1469" s="140"/>
      <c r="B1469" s="192"/>
      <c r="C1469" s="140"/>
      <c r="D1469" s="140"/>
      <c r="E1469" s="140"/>
    </row>
    <row r="1470" spans="1:5">
      <c r="A1470" s="140"/>
      <c r="B1470" s="192"/>
      <c r="C1470" s="140"/>
      <c r="D1470" s="140"/>
      <c r="E1470" s="140"/>
    </row>
    <row r="1471" spans="1:5">
      <c r="A1471" s="140"/>
      <c r="B1471" s="192"/>
      <c r="C1471" s="140"/>
      <c r="D1471" s="140"/>
      <c r="E1471" s="140"/>
    </row>
    <row r="1472" spans="1:5">
      <c r="A1472" s="140"/>
      <c r="B1472" s="192"/>
      <c r="C1472" s="140"/>
      <c r="D1472" s="140"/>
      <c r="E1472" s="140"/>
    </row>
    <row r="1473" spans="1:5">
      <c r="A1473" s="140"/>
      <c r="B1473" s="192"/>
      <c r="C1473" s="140"/>
      <c r="D1473" s="140"/>
      <c r="E1473" s="140"/>
    </row>
    <row r="1474" spans="1:5">
      <c r="A1474" s="140"/>
      <c r="B1474" s="192"/>
      <c r="C1474" s="140"/>
      <c r="D1474" s="140"/>
      <c r="E1474" s="140"/>
    </row>
    <row r="1475" spans="1:5">
      <c r="A1475" s="140"/>
      <c r="B1475" s="192"/>
      <c r="C1475" s="140"/>
      <c r="D1475" s="140"/>
      <c r="E1475" s="140"/>
    </row>
    <row r="1476" spans="1:5">
      <c r="A1476" s="140"/>
      <c r="B1476" s="192"/>
      <c r="C1476" s="140"/>
      <c r="D1476" s="140"/>
      <c r="E1476" s="140"/>
    </row>
    <row r="1477" spans="1:5">
      <c r="A1477" s="140"/>
      <c r="B1477" s="192"/>
      <c r="C1477" s="140"/>
      <c r="D1477" s="140"/>
      <c r="E1477" s="140"/>
    </row>
    <row r="1478" spans="1:5">
      <c r="A1478" s="140"/>
      <c r="B1478" s="192"/>
      <c r="C1478" s="140"/>
      <c r="D1478" s="140"/>
      <c r="E1478" s="140"/>
    </row>
    <row r="1479" spans="1:5">
      <c r="A1479" s="140"/>
      <c r="B1479" s="192"/>
      <c r="C1479" s="140"/>
      <c r="D1479" s="140"/>
      <c r="E1479" s="140"/>
    </row>
    <row r="1480" spans="1:5">
      <c r="A1480" s="140"/>
      <c r="B1480" s="192"/>
      <c r="C1480" s="140"/>
      <c r="D1480" s="140"/>
      <c r="E1480" s="140"/>
    </row>
    <row r="1481" spans="1:5">
      <c r="A1481" s="140"/>
      <c r="B1481" s="192"/>
      <c r="C1481" s="140"/>
      <c r="D1481" s="140"/>
      <c r="E1481" s="140"/>
    </row>
    <row r="1482" spans="1:5">
      <c r="A1482" s="140"/>
      <c r="B1482" s="192"/>
      <c r="C1482" s="140"/>
      <c r="D1482" s="140"/>
      <c r="E1482" s="140"/>
    </row>
    <row r="1483" spans="1:5">
      <c r="A1483" s="140"/>
      <c r="B1483" s="192"/>
      <c r="C1483" s="140"/>
      <c r="D1483" s="140"/>
      <c r="E1483" s="140"/>
    </row>
    <row r="1484" spans="1:5">
      <c r="A1484" s="140"/>
      <c r="B1484" s="192"/>
      <c r="C1484" s="140"/>
      <c r="D1484" s="140"/>
      <c r="E1484" s="140"/>
    </row>
    <row r="1485" spans="1:5">
      <c r="A1485" s="140"/>
      <c r="B1485" s="192"/>
      <c r="C1485" s="140"/>
      <c r="D1485" s="140"/>
      <c r="E1485" s="140"/>
    </row>
    <row r="1486" spans="1:5">
      <c r="A1486" s="140"/>
      <c r="B1486" s="192"/>
      <c r="C1486" s="140"/>
      <c r="D1486" s="140"/>
      <c r="E1486" s="140"/>
    </row>
    <row r="1487" spans="1:5">
      <c r="A1487" s="140"/>
      <c r="B1487" s="192"/>
      <c r="C1487" s="140"/>
      <c r="D1487" s="140"/>
      <c r="E1487" s="140"/>
    </row>
    <row r="1488" spans="1:5">
      <c r="A1488" s="140"/>
      <c r="B1488" s="192"/>
      <c r="C1488" s="140"/>
      <c r="D1488" s="140"/>
      <c r="E1488" s="140"/>
    </row>
    <row r="1489" spans="1:5">
      <c r="A1489" s="140"/>
      <c r="B1489" s="192"/>
      <c r="C1489" s="140"/>
      <c r="D1489" s="140"/>
      <c r="E1489" s="140"/>
    </row>
    <row r="1490" spans="1:5">
      <c r="A1490" s="140"/>
      <c r="B1490" s="192"/>
      <c r="C1490" s="140"/>
      <c r="D1490" s="140"/>
      <c r="E1490" s="140"/>
    </row>
    <row r="1491" spans="1:5">
      <c r="A1491" s="140"/>
      <c r="B1491" s="192"/>
      <c r="C1491" s="140"/>
      <c r="D1491" s="140"/>
      <c r="E1491" s="140"/>
    </row>
    <row r="1492" spans="1:5">
      <c r="A1492" s="140"/>
      <c r="B1492" s="192"/>
      <c r="C1492" s="140"/>
      <c r="D1492" s="140"/>
      <c r="E1492" s="140"/>
    </row>
    <row r="1493" spans="1:5">
      <c r="A1493" s="140"/>
      <c r="B1493" s="192"/>
      <c r="C1493" s="140"/>
      <c r="D1493" s="140"/>
      <c r="E1493" s="140"/>
    </row>
    <row r="1494" spans="1:5">
      <c r="A1494" s="140"/>
      <c r="B1494" s="192"/>
      <c r="C1494" s="140"/>
      <c r="D1494" s="140"/>
      <c r="E1494" s="140"/>
    </row>
    <row r="1495" spans="1:5">
      <c r="A1495" s="140"/>
      <c r="B1495" s="192"/>
      <c r="C1495" s="140"/>
      <c r="D1495" s="140"/>
      <c r="E1495" s="140"/>
    </row>
    <row r="1496" spans="1:5">
      <c r="A1496" s="140"/>
      <c r="B1496" s="192"/>
      <c r="C1496" s="140"/>
      <c r="D1496" s="140"/>
      <c r="E1496" s="140"/>
    </row>
    <row r="1497" spans="1:5">
      <c r="A1497" s="140"/>
      <c r="B1497" s="192"/>
      <c r="C1497" s="140"/>
      <c r="D1497" s="140"/>
      <c r="E1497" s="140"/>
    </row>
    <row r="1498" spans="1:5">
      <c r="A1498" s="140"/>
      <c r="B1498" s="192"/>
      <c r="C1498" s="140"/>
      <c r="D1498" s="140"/>
      <c r="E1498" s="140"/>
    </row>
    <row r="1499" spans="1:5">
      <c r="A1499" s="140"/>
      <c r="B1499" s="192"/>
      <c r="C1499" s="140"/>
      <c r="D1499" s="140"/>
      <c r="E1499" s="140"/>
    </row>
    <row r="1500" spans="1:5">
      <c r="A1500" s="140"/>
      <c r="B1500" s="192"/>
      <c r="C1500" s="140"/>
      <c r="D1500" s="140"/>
      <c r="E1500" s="140"/>
    </row>
    <row r="1501" spans="1:5">
      <c r="A1501" s="140"/>
      <c r="B1501" s="192"/>
      <c r="C1501" s="140"/>
      <c r="D1501" s="140"/>
      <c r="E1501" s="140"/>
    </row>
    <row r="1502" spans="1:5">
      <c r="A1502" s="140"/>
      <c r="B1502" s="192"/>
      <c r="C1502" s="140"/>
      <c r="D1502" s="140"/>
      <c r="E1502" s="140"/>
    </row>
    <row r="1503" spans="1:5">
      <c r="A1503" s="140"/>
      <c r="B1503" s="192"/>
      <c r="C1503" s="140"/>
      <c r="D1503" s="140"/>
      <c r="E1503" s="140"/>
    </row>
    <row r="1504" spans="1:5">
      <c r="A1504" s="140"/>
      <c r="B1504" s="192"/>
      <c r="C1504" s="140"/>
      <c r="D1504" s="140"/>
      <c r="E1504" s="140"/>
    </row>
    <row r="1505" spans="1:5">
      <c r="A1505" s="140"/>
      <c r="B1505" s="192"/>
      <c r="C1505" s="140"/>
      <c r="D1505" s="140"/>
      <c r="E1505" s="140"/>
    </row>
    <row r="1506" spans="1:5">
      <c r="A1506" s="140"/>
      <c r="B1506" s="192"/>
      <c r="C1506" s="140"/>
      <c r="D1506" s="140"/>
      <c r="E1506" s="140"/>
    </row>
    <row r="1507" spans="1:5">
      <c r="A1507" s="140"/>
      <c r="B1507" s="192"/>
      <c r="C1507" s="140"/>
      <c r="D1507" s="140"/>
      <c r="E1507" s="140"/>
    </row>
    <row r="1508" spans="1:5">
      <c r="A1508" s="140"/>
      <c r="B1508" s="192"/>
      <c r="C1508" s="140"/>
      <c r="D1508" s="140"/>
      <c r="E1508" s="140"/>
    </row>
    <row r="1509" spans="1:5">
      <c r="A1509" s="140"/>
      <c r="B1509" s="192"/>
      <c r="C1509" s="140"/>
      <c r="D1509" s="140"/>
      <c r="E1509" s="140"/>
    </row>
    <row r="1510" spans="1:5">
      <c r="A1510" s="140"/>
      <c r="B1510" s="192"/>
      <c r="C1510" s="140"/>
      <c r="D1510" s="140"/>
      <c r="E1510" s="140"/>
    </row>
    <row r="1511" spans="1:5">
      <c r="A1511" s="140"/>
      <c r="B1511" s="192"/>
      <c r="C1511" s="140"/>
      <c r="D1511" s="140"/>
      <c r="E1511" s="140"/>
    </row>
    <row r="1512" spans="1:5">
      <c r="A1512" s="140"/>
      <c r="B1512" s="192"/>
      <c r="C1512" s="140"/>
      <c r="D1512" s="140"/>
      <c r="E1512" s="140"/>
    </row>
    <row r="1513" spans="1:5">
      <c r="A1513" s="140"/>
      <c r="B1513" s="192"/>
      <c r="C1513" s="140"/>
      <c r="D1513" s="140"/>
      <c r="E1513" s="140"/>
    </row>
    <row r="1514" spans="1:5">
      <c r="A1514" s="140"/>
      <c r="B1514" s="192"/>
      <c r="C1514" s="140"/>
      <c r="D1514" s="140"/>
      <c r="E1514" s="140"/>
    </row>
    <row r="1515" spans="1:5">
      <c r="A1515" s="140"/>
      <c r="B1515" s="192"/>
      <c r="C1515" s="140"/>
      <c r="D1515" s="140"/>
      <c r="E1515" s="140"/>
    </row>
    <row r="1516" spans="1:5">
      <c r="A1516" s="140"/>
      <c r="B1516" s="192"/>
      <c r="C1516" s="140"/>
      <c r="D1516" s="140"/>
      <c r="E1516" s="140"/>
    </row>
    <row r="1517" spans="1:5">
      <c r="A1517" s="140"/>
      <c r="B1517" s="192"/>
      <c r="C1517" s="140"/>
      <c r="D1517" s="140"/>
      <c r="E1517" s="140"/>
    </row>
    <row r="1518" spans="1:5">
      <c r="A1518" s="140"/>
      <c r="B1518" s="192"/>
      <c r="C1518" s="140"/>
      <c r="D1518" s="140"/>
      <c r="E1518" s="140"/>
    </row>
    <row r="1519" spans="1:5">
      <c r="A1519" s="140"/>
      <c r="B1519" s="192"/>
      <c r="C1519" s="140"/>
      <c r="D1519" s="140"/>
      <c r="E1519" s="140"/>
    </row>
    <row r="1520" spans="1:5">
      <c r="A1520" s="140"/>
      <c r="B1520" s="192"/>
      <c r="C1520" s="140"/>
      <c r="D1520" s="140"/>
      <c r="E1520" s="140"/>
    </row>
    <row r="1521" spans="1:5">
      <c r="A1521" s="140"/>
      <c r="B1521" s="192"/>
      <c r="C1521" s="140"/>
      <c r="D1521" s="140"/>
      <c r="E1521" s="140"/>
    </row>
    <row r="1522" spans="1:5">
      <c r="A1522" s="140"/>
      <c r="B1522" s="192"/>
      <c r="C1522" s="140"/>
      <c r="D1522" s="140"/>
      <c r="E1522" s="140"/>
    </row>
    <row r="1523" spans="1:5">
      <c r="A1523" s="140"/>
      <c r="B1523" s="192"/>
      <c r="C1523" s="140"/>
      <c r="D1523" s="140"/>
      <c r="E1523" s="140"/>
    </row>
    <row r="1524" spans="1:5">
      <c r="A1524" s="140"/>
      <c r="B1524" s="192"/>
      <c r="C1524" s="140"/>
      <c r="D1524" s="140"/>
      <c r="E1524" s="140"/>
    </row>
    <row r="1525" spans="1:5">
      <c r="A1525" s="140"/>
      <c r="B1525" s="192"/>
      <c r="C1525" s="140"/>
      <c r="D1525" s="140"/>
      <c r="E1525" s="140"/>
    </row>
    <row r="1526" spans="1:5">
      <c r="A1526" s="140"/>
      <c r="B1526" s="192"/>
      <c r="C1526" s="140"/>
      <c r="D1526" s="140"/>
      <c r="E1526" s="140"/>
    </row>
    <row r="1527" spans="1:5">
      <c r="A1527" s="140"/>
      <c r="B1527" s="192"/>
      <c r="C1527" s="140"/>
      <c r="D1527" s="140"/>
      <c r="E1527" s="140"/>
    </row>
    <row r="1528" spans="1:5">
      <c r="A1528" s="140"/>
      <c r="B1528" s="192"/>
      <c r="C1528" s="140"/>
      <c r="D1528" s="140"/>
      <c r="E1528" s="140"/>
    </row>
    <row r="1529" spans="1:5">
      <c r="A1529" s="140"/>
      <c r="B1529" s="192"/>
      <c r="C1529" s="140"/>
      <c r="D1529" s="140"/>
      <c r="E1529" s="140"/>
    </row>
    <row r="1530" spans="1:5">
      <c r="A1530" s="140"/>
      <c r="B1530" s="192"/>
      <c r="C1530" s="140"/>
      <c r="D1530" s="140"/>
      <c r="E1530" s="140"/>
    </row>
    <row r="1531" spans="1:5">
      <c r="A1531" s="140"/>
      <c r="B1531" s="192"/>
      <c r="C1531" s="140"/>
      <c r="D1531" s="140"/>
      <c r="E1531" s="140"/>
    </row>
    <row r="1532" spans="1:5">
      <c r="A1532" s="140"/>
      <c r="B1532" s="192"/>
      <c r="C1532" s="140"/>
      <c r="D1532" s="140"/>
      <c r="E1532" s="140"/>
    </row>
    <row r="1533" spans="1:5">
      <c r="A1533" s="140"/>
      <c r="B1533" s="192"/>
      <c r="C1533" s="140"/>
      <c r="D1533" s="140"/>
      <c r="E1533" s="140"/>
    </row>
    <row r="1534" spans="1:5">
      <c r="A1534" s="140"/>
      <c r="B1534" s="192"/>
      <c r="C1534" s="140"/>
      <c r="D1534" s="140"/>
      <c r="E1534" s="140"/>
    </row>
    <row r="1535" spans="1:5">
      <c r="A1535" s="140"/>
      <c r="B1535" s="192"/>
      <c r="C1535" s="140"/>
      <c r="D1535" s="140"/>
      <c r="E1535" s="140"/>
    </row>
    <row r="1536" spans="1:5">
      <c r="A1536" s="140"/>
      <c r="B1536" s="192"/>
      <c r="C1536" s="140"/>
      <c r="D1536" s="140"/>
      <c r="E1536" s="140"/>
    </row>
    <row r="1537" spans="1:5">
      <c r="A1537" s="140"/>
      <c r="B1537" s="192"/>
      <c r="C1537" s="140"/>
      <c r="D1537" s="140"/>
      <c r="E1537" s="140"/>
    </row>
    <row r="1538" spans="1:5">
      <c r="A1538" s="140"/>
      <c r="B1538" s="192"/>
      <c r="C1538" s="140"/>
      <c r="D1538" s="140"/>
      <c r="E1538" s="140"/>
    </row>
    <row r="1539" spans="1:5">
      <c r="A1539" s="140"/>
      <c r="B1539" s="192"/>
      <c r="C1539" s="140"/>
      <c r="D1539" s="140"/>
      <c r="E1539" s="140"/>
    </row>
    <row r="1540" spans="1:5">
      <c r="A1540" s="140"/>
      <c r="B1540" s="192"/>
      <c r="C1540" s="140"/>
      <c r="D1540" s="140"/>
      <c r="E1540" s="140"/>
    </row>
    <row r="1541" spans="1:5">
      <c r="A1541" s="140"/>
      <c r="B1541" s="192"/>
      <c r="C1541" s="140"/>
      <c r="D1541" s="140"/>
      <c r="E1541" s="140"/>
    </row>
    <row r="1542" spans="1:5">
      <c r="A1542" s="140"/>
      <c r="B1542" s="192"/>
      <c r="C1542" s="140"/>
      <c r="D1542" s="140"/>
      <c r="E1542" s="140"/>
    </row>
    <row r="1543" spans="1:5">
      <c r="A1543" s="140"/>
      <c r="B1543" s="192"/>
      <c r="C1543" s="140"/>
      <c r="D1543" s="140"/>
      <c r="E1543" s="140"/>
    </row>
    <row r="1544" spans="1:5">
      <c r="A1544" s="140"/>
      <c r="B1544" s="192"/>
      <c r="C1544" s="140"/>
      <c r="D1544" s="140"/>
      <c r="E1544" s="140"/>
    </row>
    <row r="1545" spans="1:5">
      <c r="A1545" s="140"/>
      <c r="B1545" s="192"/>
      <c r="C1545" s="140"/>
      <c r="D1545" s="140"/>
      <c r="E1545" s="140"/>
    </row>
    <row r="1546" spans="1:5">
      <c r="A1546" s="140"/>
      <c r="B1546" s="192"/>
      <c r="C1546" s="140"/>
      <c r="D1546" s="140"/>
      <c r="E1546" s="140"/>
    </row>
    <row r="1547" spans="1:5">
      <c r="A1547" s="140"/>
      <c r="B1547" s="192"/>
      <c r="C1547" s="140"/>
      <c r="D1547" s="140"/>
      <c r="E1547" s="140"/>
    </row>
    <row r="1548" spans="1:5">
      <c r="A1548" s="140"/>
      <c r="B1548" s="192"/>
      <c r="C1548" s="140"/>
      <c r="D1548" s="140"/>
      <c r="E1548" s="140"/>
    </row>
    <row r="1549" spans="1:5">
      <c r="A1549" s="140"/>
      <c r="B1549" s="192"/>
      <c r="C1549" s="140"/>
      <c r="D1549" s="140"/>
      <c r="E1549" s="140"/>
    </row>
    <row r="1550" spans="1:5">
      <c r="A1550" s="140"/>
      <c r="B1550" s="192"/>
      <c r="C1550" s="140"/>
      <c r="D1550" s="140"/>
      <c r="E1550" s="140"/>
    </row>
    <row r="1551" spans="1:5">
      <c r="A1551" s="140"/>
      <c r="B1551" s="192"/>
      <c r="C1551" s="140"/>
      <c r="D1551" s="140"/>
      <c r="E1551" s="140"/>
    </row>
    <row r="1552" spans="1:5">
      <c r="A1552" s="140"/>
      <c r="B1552" s="192"/>
      <c r="C1552" s="140"/>
      <c r="D1552" s="140"/>
      <c r="E1552" s="140"/>
    </row>
    <row r="1553" spans="1:5">
      <c r="A1553" s="140"/>
      <c r="B1553" s="192"/>
      <c r="C1553" s="140"/>
      <c r="D1553" s="140"/>
      <c r="E1553" s="140"/>
    </row>
    <row r="1554" spans="1:5">
      <c r="A1554" s="140"/>
      <c r="B1554" s="192"/>
      <c r="C1554" s="140"/>
      <c r="D1554" s="140"/>
      <c r="E1554" s="140"/>
    </row>
    <row r="1555" spans="1:5">
      <c r="A1555" s="140"/>
      <c r="B1555" s="192"/>
      <c r="C1555" s="140"/>
      <c r="D1555" s="140"/>
      <c r="E1555" s="140"/>
    </row>
    <row r="1556" spans="1:5">
      <c r="A1556" s="140"/>
      <c r="B1556" s="192"/>
      <c r="C1556" s="140"/>
      <c r="D1556" s="140"/>
      <c r="E1556" s="140"/>
    </row>
    <row r="1557" spans="1:5">
      <c r="A1557" s="140"/>
      <c r="B1557" s="192"/>
      <c r="C1557" s="140"/>
      <c r="D1557" s="140"/>
      <c r="E1557" s="140"/>
    </row>
    <row r="1558" spans="1:5">
      <c r="A1558" s="140"/>
      <c r="B1558" s="192"/>
      <c r="C1558" s="140"/>
      <c r="D1558" s="140"/>
      <c r="E1558" s="140"/>
    </row>
    <row r="1559" spans="1:5">
      <c r="A1559" s="140"/>
      <c r="B1559" s="192"/>
      <c r="C1559" s="140"/>
      <c r="D1559" s="140"/>
      <c r="E1559" s="140"/>
    </row>
    <row r="1560" spans="1:5">
      <c r="A1560" s="140"/>
      <c r="B1560" s="192"/>
      <c r="C1560" s="140"/>
      <c r="D1560" s="140"/>
      <c r="E1560" s="140"/>
    </row>
    <row r="1561" spans="1:5">
      <c r="A1561" s="140"/>
      <c r="B1561" s="192"/>
      <c r="C1561" s="140"/>
      <c r="D1561" s="140"/>
      <c r="E1561" s="140"/>
    </row>
    <row r="1562" spans="1:5">
      <c r="A1562" s="140"/>
      <c r="B1562" s="192"/>
      <c r="C1562" s="140"/>
      <c r="D1562" s="140"/>
      <c r="E1562" s="140"/>
    </row>
    <row r="1563" spans="1:5">
      <c r="A1563" s="140"/>
      <c r="B1563" s="192"/>
      <c r="C1563" s="140"/>
      <c r="D1563" s="140"/>
      <c r="E1563" s="140"/>
    </row>
    <row r="1564" spans="1:5">
      <c r="A1564" s="140"/>
      <c r="B1564" s="192"/>
      <c r="C1564" s="140"/>
      <c r="D1564" s="140"/>
      <c r="E1564" s="140"/>
    </row>
    <row r="1565" spans="1:5">
      <c r="A1565" s="140"/>
      <c r="B1565" s="192"/>
      <c r="C1565" s="140"/>
      <c r="D1565" s="140"/>
      <c r="E1565" s="140"/>
    </row>
    <row r="1566" spans="1:5">
      <c r="A1566" s="140"/>
      <c r="B1566" s="192"/>
      <c r="C1566" s="140"/>
      <c r="D1566" s="140"/>
      <c r="E1566" s="140"/>
    </row>
    <row r="1567" spans="1:5">
      <c r="A1567" s="140"/>
      <c r="B1567" s="192"/>
      <c r="C1567" s="140"/>
      <c r="D1567" s="140"/>
      <c r="E1567" s="140"/>
    </row>
    <row r="1568" spans="1:5">
      <c r="A1568" s="140"/>
      <c r="B1568" s="192"/>
      <c r="C1568" s="140"/>
      <c r="D1568" s="140"/>
      <c r="E1568" s="140"/>
    </row>
    <row r="1569" spans="1:5">
      <c r="A1569" s="140"/>
      <c r="B1569" s="192"/>
      <c r="C1569" s="140"/>
      <c r="D1569" s="140"/>
      <c r="E1569" s="140"/>
    </row>
    <row r="1570" spans="1:5">
      <c r="A1570" s="140"/>
      <c r="B1570" s="192"/>
      <c r="C1570" s="140"/>
      <c r="D1570" s="140"/>
      <c r="E1570" s="140"/>
    </row>
    <row r="1571" spans="1:5">
      <c r="A1571" s="140"/>
      <c r="B1571" s="192"/>
      <c r="C1571" s="140"/>
      <c r="D1571" s="140"/>
      <c r="E1571" s="140"/>
    </row>
    <row r="1572" spans="1:5">
      <c r="A1572" s="140"/>
      <c r="B1572" s="192"/>
      <c r="C1572" s="140"/>
      <c r="D1572" s="140"/>
      <c r="E1572" s="140"/>
    </row>
    <row r="1573" spans="1:5">
      <c r="A1573" s="140"/>
      <c r="B1573" s="192"/>
      <c r="C1573" s="140"/>
      <c r="D1573" s="140"/>
      <c r="E1573" s="140"/>
    </row>
    <row r="1574" spans="1:5">
      <c r="A1574" s="140"/>
      <c r="B1574" s="192"/>
      <c r="C1574" s="140"/>
      <c r="D1574" s="140"/>
      <c r="E1574" s="140"/>
    </row>
    <row r="1575" spans="1:5">
      <c r="A1575" s="140"/>
      <c r="B1575" s="192"/>
      <c r="C1575" s="140"/>
      <c r="D1575" s="140"/>
      <c r="E1575" s="140"/>
    </row>
    <row r="1576" spans="1:5">
      <c r="A1576" s="140"/>
      <c r="B1576" s="192"/>
      <c r="C1576" s="140"/>
      <c r="D1576" s="140"/>
      <c r="E1576" s="140"/>
    </row>
    <row r="1577" spans="1:5">
      <c r="A1577" s="140"/>
      <c r="B1577" s="192"/>
      <c r="C1577" s="140"/>
      <c r="D1577" s="140"/>
      <c r="E1577" s="140"/>
    </row>
    <row r="1578" spans="1:5">
      <c r="A1578" s="140"/>
      <c r="B1578" s="192"/>
      <c r="C1578" s="140"/>
      <c r="D1578" s="140"/>
      <c r="E1578" s="140"/>
    </row>
    <row r="1579" spans="1:5">
      <c r="A1579" s="140"/>
      <c r="B1579" s="192"/>
      <c r="C1579" s="140"/>
      <c r="D1579" s="140"/>
      <c r="E1579" s="140"/>
    </row>
    <row r="1580" spans="1:5">
      <c r="A1580" s="140"/>
      <c r="B1580" s="192"/>
      <c r="C1580" s="140"/>
      <c r="D1580" s="140"/>
      <c r="E1580" s="140"/>
    </row>
    <row r="1581" spans="1:5">
      <c r="A1581" s="140"/>
      <c r="B1581" s="192"/>
      <c r="C1581" s="140"/>
      <c r="D1581" s="140"/>
      <c r="E1581" s="140"/>
    </row>
    <row r="1582" spans="1:5">
      <c r="A1582" s="140"/>
      <c r="B1582" s="192"/>
      <c r="C1582" s="140"/>
      <c r="D1582" s="140"/>
      <c r="E1582" s="140"/>
    </row>
    <row r="1583" spans="1:5">
      <c r="A1583" s="140"/>
      <c r="B1583" s="192"/>
      <c r="C1583" s="140"/>
      <c r="D1583" s="140"/>
      <c r="E1583" s="140"/>
    </row>
    <row r="1584" spans="1:5">
      <c r="A1584" s="140"/>
      <c r="B1584" s="192"/>
      <c r="C1584" s="140"/>
      <c r="D1584" s="140"/>
      <c r="E1584" s="140"/>
    </row>
    <row r="1585" spans="1:5">
      <c r="A1585" s="140"/>
      <c r="B1585" s="192"/>
      <c r="C1585" s="140"/>
      <c r="D1585" s="140"/>
      <c r="E1585" s="140"/>
    </row>
    <row r="1586" spans="1:5">
      <c r="A1586" s="140"/>
      <c r="B1586" s="192"/>
      <c r="C1586" s="140"/>
      <c r="D1586" s="140"/>
      <c r="E1586" s="140"/>
    </row>
    <row r="1587" spans="1:5">
      <c r="A1587" s="140"/>
      <c r="B1587" s="192"/>
      <c r="C1587" s="140"/>
      <c r="D1587" s="140"/>
      <c r="E1587" s="140"/>
    </row>
    <row r="1588" spans="1:5">
      <c r="A1588" s="140"/>
      <c r="B1588" s="192"/>
      <c r="C1588" s="140"/>
      <c r="D1588" s="140"/>
      <c r="E1588" s="140"/>
    </row>
    <row r="1589" spans="1:5">
      <c r="A1589" s="140"/>
      <c r="B1589" s="192"/>
      <c r="C1589" s="140"/>
      <c r="D1589" s="140"/>
      <c r="E1589" s="140"/>
    </row>
    <row r="1590" spans="1:5">
      <c r="A1590" s="140"/>
      <c r="B1590" s="192"/>
      <c r="C1590" s="140"/>
      <c r="D1590" s="140"/>
      <c r="E1590" s="140"/>
    </row>
    <row r="1591" spans="1:5">
      <c r="A1591" s="140"/>
      <c r="B1591" s="192"/>
      <c r="C1591" s="140"/>
      <c r="D1591" s="140"/>
      <c r="E1591" s="140"/>
    </row>
    <row r="1592" spans="1:5">
      <c r="A1592" s="140"/>
      <c r="B1592" s="192"/>
      <c r="C1592" s="140"/>
      <c r="D1592" s="140"/>
      <c r="E1592" s="140"/>
    </row>
    <row r="1593" spans="1:5">
      <c r="A1593" s="140"/>
      <c r="B1593" s="192"/>
      <c r="C1593" s="140"/>
      <c r="D1593" s="140"/>
      <c r="E1593" s="140"/>
    </row>
    <row r="1594" spans="1:5">
      <c r="A1594" s="140"/>
      <c r="B1594" s="192"/>
      <c r="C1594" s="140"/>
      <c r="D1594" s="140"/>
      <c r="E1594" s="140"/>
    </row>
    <row r="1595" spans="1:5">
      <c r="A1595" s="140"/>
      <c r="B1595" s="192"/>
      <c r="C1595" s="140"/>
      <c r="D1595" s="140"/>
      <c r="E1595" s="140"/>
    </row>
    <row r="1596" spans="1:5">
      <c r="A1596" s="140"/>
      <c r="B1596" s="192"/>
      <c r="C1596" s="140"/>
      <c r="D1596" s="140"/>
      <c r="E1596" s="140"/>
    </row>
    <row r="1597" spans="1:5">
      <c r="A1597" s="140"/>
      <c r="B1597" s="192"/>
      <c r="C1597" s="140"/>
      <c r="D1597" s="140"/>
      <c r="E1597" s="140"/>
    </row>
    <row r="1598" spans="1:5">
      <c r="A1598" s="140"/>
      <c r="B1598" s="192"/>
      <c r="C1598" s="140"/>
      <c r="D1598" s="140"/>
      <c r="E1598" s="140"/>
    </row>
    <row r="1599" spans="1:5">
      <c r="A1599" s="140"/>
      <c r="B1599" s="192"/>
      <c r="C1599" s="140"/>
      <c r="D1599" s="140"/>
      <c r="E1599" s="140"/>
    </row>
    <row r="1600" spans="1:5">
      <c r="A1600" s="140"/>
      <c r="B1600" s="192"/>
      <c r="C1600" s="140"/>
      <c r="D1600" s="140"/>
      <c r="E1600" s="140"/>
    </row>
    <row r="1601" spans="1:5">
      <c r="A1601" s="140"/>
      <c r="B1601" s="192"/>
      <c r="C1601" s="140"/>
      <c r="D1601" s="140"/>
      <c r="E1601" s="140"/>
    </row>
    <row r="1602" spans="1:5">
      <c r="A1602" s="140"/>
      <c r="B1602" s="192"/>
      <c r="C1602" s="140"/>
      <c r="D1602" s="140"/>
      <c r="E1602" s="140"/>
    </row>
    <row r="1603" spans="1:5">
      <c r="A1603" s="140"/>
      <c r="B1603" s="192"/>
      <c r="C1603" s="140"/>
      <c r="D1603" s="140"/>
      <c r="E1603" s="140"/>
    </row>
    <row r="1604" spans="1:5">
      <c r="A1604" s="140"/>
      <c r="B1604" s="192"/>
      <c r="C1604" s="140"/>
      <c r="D1604" s="140"/>
      <c r="E1604" s="140"/>
    </row>
    <row r="1605" spans="1:5">
      <c r="A1605" s="140"/>
      <c r="B1605" s="192"/>
      <c r="C1605" s="140"/>
      <c r="D1605" s="140"/>
      <c r="E1605" s="140"/>
    </row>
    <row r="1606" spans="1:5">
      <c r="A1606" s="140"/>
      <c r="B1606" s="192"/>
      <c r="C1606" s="140"/>
      <c r="D1606" s="140"/>
      <c r="E1606" s="140"/>
    </row>
    <row r="1607" spans="1:5">
      <c r="A1607" s="140"/>
      <c r="B1607" s="192"/>
      <c r="C1607" s="140"/>
      <c r="D1607" s="140"/>
      <c r="E1607" s="140"/>
    </row>
    <row r="1608" spans="1:5">
      <c r="A1608" s="140"/>
      <c r="B1608" s="192"/>
      <c r="C1608" s="140"/>
      <c r="D1608" s="140"/>
      <c r="E1608" s="140"/>
    </row>
    <row r="1609" spans="1:5">
      <c r="A1609" s="140"/>
      <c r="B1609" s="192"/>
      <c r="C1609" s="140"/>
      <c r="D1609" s="140"/>
      <c r="E1609" s="140"/>
    </row>
    <row r="1610" spans="1:5">
      <c r="A1610" s="140"/>
      <c r="B1610" s="192"/>
      <c r="C1610" s="140"/>
      <c r="D1610" s="140"/>
      <c r="E1610" s="140"/>
    </row>
    <row r="1611" spans="1:5">
      <c r="A1611" s="140"/>
      <c r="B1611" s="192"/>
      <c r="C1611" s="140"/>
      <c r="D1611" s="140"/>
      <c r="E1611" s="140"/>
    </row>
    <row r="1612" spans="1:5">
      <c r="A1612" s="140"/>
      <c r="B1612" s="192"/>
      <c r="C1612" s="140"/>
      <c r="D1612" s="140"/>
      <c r="E1612" s="140"/>
    </row>
    <row r="1613" spans="1:5">
      <c r="A1613" s="140"/>
      <c r="B1613" s="192"/>
      <c r="C1613" s="140"/>
      <c r="D1613" s="140"/>
      <c r="E1613" s="140"/>
    </row>
    <row r="1614" spans="1:5">
      <c r="A1614" s="140"/>
      <c r="B1614" s="192"/>
      <c r="C1614" s="140"/>
      <c r="D1614" s="140"/>
      <c r="E1614" s="140"/>
    </row>
    <row r="1615" spans="1:5">
      <c r="A1615" s="140"/>
      <c r="B1615" s="192"/>
      <c r="C1615" s="140"/>
      <c r="D1615" s="140"/>
      <c r="E1615" s="140"/>
    </row>
    <row r="1616" spans="1:5">
      <c r="A1616" s="140"/>
      <c r="B1616" s="192"/>
      <c r="C1616" s="140"/>
      <c r="D1616" s="140"/>
      <c r="E1616" s="140"/>
    </row>
    <row r="1617" spans="1:5">
      <c r="A1617" s="140"/>
      <c r="B1617" s="192"/>
      <c r="C1617" s="140"/>
      <c r="D1617" s="140"/>
      <c r="E1617" s="140"/>
    </row>
    <row r="1618" spans="1:5">
      <c r="A1618" s="140"/>
      <c r="B1618" s="192"/>
      <c r="C1618" s="140"/>
      <c r="D1618" s="140"/>
      <c r="E1618" s="140"/>
    </row>
    <row r="1619" spans="1:5">
      <c r="A1619" s="140"/>
      <c r="B1619" s="192"/>
      <c r="C1619" s="140"/>
      <c r="D1619" s="140"/>
      <c r="E1619" s="140"/>
    </row>
    <row r="1620" spans="1:5">
      <c r="A1620" s="140"/>
      <c r="B1620" s="192"/>
      <c r="C1620" s="140"/>
      <c r="D1620" s="140"/>
      <c r="E1620" s="140"/>
    </row>
    <row r="1621" spans="1:5">
      <c r="A1621" s="140"/>
      <c r="B1621" s="192"/>
      <c r="C1621" s="140"/>
      <c r="D1621" s="140"/>
      <c r="E1621" s="140"/>
    </row>
    <row r="1622" spans="1:5">
      <c r="A1622" s="140"/>
      <c r="B1622" s="192"/>
      <c r="C1622" s="140"/>
      <c r="D1622" s="140"/>
      <c r="E1622" s="140"/>
    </row>
    <row r="1623" spans="1:5">
      <c r="A1623" s="140"/>
      <c r="B1623" s="192"/>
      <c r="C1623" s="140"/>
      <c r="D1623" s="140"/>
      <c r="E1623" s="140"/>
    </row>
    <row r="1624" spans="1:5">
      <c r="A1624" s="140"/>
      <c r="B1624" s="192"/>
      <c r="C1624" s="140"/>
      <c r="D1624" s="140"/>
      <c r="E1624" s="140"/>
    </row>
    <row r="1625" spans="1:5">
      <c r="A1625" s="140"/>
      <c r="B1625" s="192"/>
      <c r="C1625" s="140"/>
      <c r="D1625" s="140"/>
      <c r="E1625" s="140"/>
    </row>
    <row r="1626" spans="1:5">
      <c r="A1626" s="140"/>
      <c r="B1626" s="192"/>
      <c r="C1626" s="140"/>
      <c r="D1626" s="140"/>
      <c r="E1626" s="140"/>
    </row>
    <row r="1627" spans="1:5">
      <c r="A1627" s="140"/>
      <c r="B1627" s="192"/>
      <c r="C1627" s="140"/>
      <c r="D1627" s="140"/>
      <c r="E1627" s="140"/>
    </row>
    <row r="1628" spans="1:5">
      <c r="A1628" s="140"/>
      <c r="B1628" s="192"/>
      <c r="C1628" s="140"/>
      <c r="D1628" s="140"/>
      <c r="E1628" s="140"/>
    </row>
    <row r="1629" spans="1:5">
      <c r="A1629" s="140"/>
      <c r="B1629" s="192"/>
      <c r="C1629" s="140"/>
      <c r="D1629" s="140"/>
      <c r="E1629" s="140"/>
    </row>
    <row r="1630" spans="1:5">
      <c r="A1630" s="140"/>
      <c r="B1630" s="192"/>
      <c r="C1630" s="140"/>
      <c r="D1630" s="140"/>
      <c r="E1630" s="140"/>
    </row>
    <row r="1631" spans="1:5">
      <c r="A1631" s="140"/>
      <c r="B1631" s="192"/>
      <c r="C1631" s="140"/>
      <c r="D1631" s="140"/>
      <c r="E1631" s="140"/>
    </row>
    <row r="1632" spans="1:5">
      <c r="A1632" s="140"/>
      <c r="B1632" s="192"/>
      <c r="C1632" s="140"/>
      <c r="D1632" s="140"/>
      <c r="E1632" s="140"/>
    </row>
    <row r="1633" spans="1:5">
      <c r="A1633" s="140"/>
      <c r="B1633" s="192"/>
      <c r="C1633" s="140"/>
      <c r="D1633" s="140"/>
      <c r="E1633" s="140"/>
    </row>
    <row r="1634" spans="1:5">
      <c r="A1634" s="140"/>
      <c r="B1634" s="192"/>
      <c r="C1634" s="140"/>
      <c r="D1634" s="140"/>
      <c r="E1634" s="140"/>
    </row>
    <row r="1635" spans="1:5">
      <c r="A1635" s="140"/>
      <c r="B1635" s="192"/>
      <c r="C1635" s="140"/>
      <c r="D1635" s="140"/>
      <c r="E1635" s="140"/>
    </row>
    <row r="1636" spans="1:5">
      <c r="A1636" s="140"/>
      <c r="B1636" s="192"/>
      <c r="C1636" s="140"/>
      <c r="D1636" s="140"/>
      <c r="E1636" s="140"/>
    </row>
    <row r="1637" spans="1:5">
      <c r="A1637" s="140"/>
      <c r="B1637" s="192"/>
      <c r="C1637" s="140"/>
      <c r="D1637" s="140"/>
      <c r="E1637" s="140"/>
    </row>
    <row r="1638" spans="1:5">
      <c r="A1638" s="140"/>
      <c r="B1638" s="192"/>
      <c r="C1638" s="140"/>
      <c r="D1638" s="140"/>
      <c r="E1638" s="140"/>
    </row>
    <row r="1639" spans="1:5">
      <c r="A1639" s="140"/>
      <c r="B1639" s="192"/>
      <c r="C1639" s="140"/>
      <c r="D1639" s="140"/>
      <c r="E1639" s="140"/>
    </row>
    <row r="1640" spans="1:5">
      <c r="A1640" s="140"/>
      <c r="B1640" s="192"/>
      <c r="C1640" s="140"/>
      <c r="D1640" s="140"/>
      <c r="E1640" s="140"/>
    </row>
    <row r="1641" spans="1:5">
      <c r="A1641" s="140"/>
      <c r="B1641" s="192"/>
      <c r="C1641" s="140"/>
      <c r="D1641" s="140"/>
      <c r="E1641" s="140"/>
    </row>
    <row r="1642" spans="1:5">
      <c r="A1642" s="140"/>
      <c r="B1642" s="192"/>
      <c r="C1642" s="140"/>
      <c r="D1642" s="140"/>
      <c r="E1642" s="140"/>
    </row>
    <row r="1643" spans="1:5">
      <c r="A1643" s="140"/>
      <c r="B1643" s="192"/>
      <c r="C1643" s="140"/>
      <c r="D1643" s="140"/>
      <c r="E1643" s="140"/>
    </row>
    <row r="1644" spans="1:5">
      <c r="A1644" s="140"/>
      <c r="B1644" s="192"/>
      <c r="C1644" s="140"/>
      <c r="D1644" s="140"/>
      <c r="E1644" s="140"/>
    </row>
    <row r="1645" spans="1:5">
      <c r="A1645" s="140"/>
      <c r="B1645" s="192"/>
      <c r="C1645" s="140"/>
      <c r="D1645" s="140"/>
      <c r="E1645" s="140"/>
    </row>
    <row r="1646" spans="1:5">
      <c r="A1646" s="140"/>
      <c r="B1646" s="192"/>
      <c r="C1646" s="140"/>
      <c r="D1646" s="140"/>
      <c r="E1646" s="140"/>
    </row>
    <row r="1647" spans="1:5">
      <c r="A1647" s="140"/>
      <c r="B1647" s="192"/>
      <c r="C1647" s="140"/>
      <c r="D1647" s="140"/>
      <c r="E1647" s="140"/>
    </row>
    <row r="1648" spans="1:5">
      <c r="A1648" s="140"/>
      <c r="B1648" s="192"/>
      <c r="C1648" s="140"/>
      <c r="D1648" s="140"/>
      <c r="E1648" s="140"/>
    </row>
    <row r="1649" spans="1:5">
      <c r="A1649" s="140"/>
      <c r="B1649" s="192"/>
      <c r="C1649" s="140"/>
      <c r="D1649" s="140"/>
      <c r="E1649" s="140"/>
    </row>
    <row r="1650" spans="1:5">
      <c r="A1650" s="140"/>
      <c r="B1650" s="192"/>
      <c r="C1650" s="140"/>
      <c r="D1650" s="140"/>
      <c r="E1650" s="140"/>
    </row>
    <row r="1651" spans="1:5">
      <c r="A1651" s="140"/>
      <c r="B1651" s="192"/>
      <c r="C1651" s="140"/>
      <c r="D1651" s="140"/>
      <c r="E1651" s="140"/>
    </row>
    <row r="1652" spans="1:5">
      <c r="A1652" s="140"/>
      <c r="B1652" s="192"/>
      <c r="C1652" s="140"/>
      <c r="D1652" s="140"/>
      <c r="E1652" s="140"/>
    </row>
    <row r="1653" spans="1:5">
      <c r="A1653" s="140"/>
      <c r="B1653" s="192"/>
      <c r="C1653" s="140"/>
      <c r="D1653" s="140"/>
      <c r="E1653" s="140"/>
    </row>
    <row r="1654" spans="1:5">
      <c r="A1654" s="140"/>
      <c r="B1654" s="192"/>
      <c r="C1654" s="140"/>
      <c r="D1654" s="140"/>
      <c r="E1654" s="140"/>
    </row>
    <row r="1655" spans="1:5">
      <c r="A1655" s="140"/>
      <c r="B1655" s="192"/>
      <c r="C1655" s="140"/>
      <c r="D1655" s="140"/>
      <c r="E1655" s="140"/>
    </row>
    <row r="1656" spans="1:5">
      <c r="A1656" s="140"/>
      <c r="B1656" s="192"/>
      <c r="C1656" s="140"/>
      <c r="D1656" s="140"/>
      <c r="E1656" s="140"/>
    </row>
    <row r="1657" spans="1:5">
      <c r="A1657" s="140"/>
      <c r="B1657" s="192"/>
      <c r="C1657" s="140"/>
      <c r="D1657" s="140"/>
      <c r="E1657" s="140"/>
    </row>
    <row r="1658" spans="1:5">
      <c r="A1658" s="140"/>
      <c r="B1658" s="192"/>
      <c r="C1658" s="140"/>
      <c r="D1658" s="140"/>
      <c r="E1658" s="140"/>
    </row>
    <row r="1659" spans="1:5">
      <c r="A1659" s="140"/>
      <c r="B1659" s="192"/>
      <c r="C1659" s="140"/>
      <c r="D1659" s="140"/>
      <c r="E1659" s="140"/>
    </row>
    <row r="1660" spans="1:5">
      <c r="A1660" s="140"/>
      <c r="B1660" s="192"/>
      <c r="C1660" s="140"/>
      <c r="D1660" s="140"/>
      <c r="E1660" s="140"/>
    </row>
    <row r="1661" spans="1:5">
      <c r="A1661" s="140"/>
      <c r="B1661" s="192"/>
      <c r="C1661" s="140"/>
      <c r="D1661" s="140"/>
      <c r="E1661" s="140"/>
    </row>
    <row r="1662" spans="1:5">
      <c r="A1662" s="140"/>
      <c r="B1662" s="192"/>
      <c r="C1662" s="140"/>
      <c r="D1662" s="140"/>
      <c r="E1662" s="140"/>
    </row>
    <row r="1663" spans="1:5">
      <c r="A1663" s="140"/>
      <c r="B1663" s="192"/>
      <c r="C1663" s="140"/>
      <c r="D1663" s="140"/>
      <c r="E1663" s="140"/>
    </row>
    <row r="1664" spans="1:5">
      <c r="A1664" s="140"/>
      <c r="B1664" s="192"/>
      <c r="C1664" s="140"/>
      <c r="D1664" s="140"/>
      <c r="E1664" s="140"/>
    </row>
    <row r="1665" spans="1:5">
      <c r="A1665" s="140"/>
      <c r="B1665" s="192"/>
      <c r="C1665" s="140"/>
      <c r="D1665" s="140"/>
      <c r="E1665" s="140"/>
    </row>
    <row r="1666" spans="1:5">
      <c r="A1666" s="140"/>
      <c r="B1666" s="192"/>
      <c r="C1666" s="140"/>
      <c r="D1666" s="140"/>
      <c r="E1666" s="140"/>
    </row>
    <row r="1667" spans="1:5">
      <c r="A1667" s="140"/>
      <c r="B1667" s="192"/>
      <c r="C1667" s="140"/>
      <c r="D1667" s="140"/>
      <c r="E1667" s="140"/>
    </row>
    <row r="1668" spans="1:5">
      <c r="A1668" s="140"/>
      <c r="B1668" s="192"/>
      <c r="C1668" s="140"/>
      <c r="D1668" s="140"/>
      <c r="E1668" s="140"/>
    </row>
    <row r="1669" spans="1:5">
      <c r="A1669" s="140"/>
      <c r="B1669" s="192"/>
      <c r="C1669" s="140"/>
      <c r="D1669" s="140"/>
      <c r="E1669" s="140"/>
    </row>
    <row r="1670" spans="1:5">
      <c r="A1670" s="140"/>
      <c r="B1670" s="192"/>
      <c r="C1670" s="140"/>
      <c r="D1670" s="140"/>
      <c r="E1670" s="140"/>
    </row>
    <row r="1671" spans="1:5">
      <c r="A1671" s="140"/>
      <c r="B1671" s="192"/>
      <c r="C1671" s="140"/>
      <c r="D1671" s="140"/>
      <c r="E1671" s="140"/>
    </row>
    <row r="1672" spans="1:5">
      <c r="A1672" s="140"/>
      <c r="B1672" s="192"/>
      <c r="C1672" s="140"/>
      <c r="D1672" s="140"/>
      <c r="E1672" s="140"/>
    </row>
    <row r="1673" spans="1:5">
      <c r="A1673" s="140"/>
      <c r="B1673" s="192"/>
      <c r="C1673" s="140"/>
      <c r="D1673" s="140"/>
      <c r="E1673" s="140"/>
    </row>
    <row r="1674" spans="1:5">
      <c r="A1674" s="140"/>
      <c r="B1674" s="192"/>
      <c r="C1674" s="140"/>
      <c r="D1674" s="140"/>
      <c r="E1674" s="140"/>
    </row>
    <row r="1675" spans="1:5">
      <c r="A1675" s="140"/>
      <c r="B1675" s="192"/>
      <c r="C1675" s="140"/>
      <c r="D1675" s="140"/>
      <c r="E1675" s="140"/>
    </row>
    <row r="1676" spans="1:5">
      <c r="A1676" s="140"/>
      <c r="B1676" s="192"/>
      <c r="C1676" s="140"/>
      <c r="D1676" s="140"/>
      <c r="E1676" s="140"/>
    </row>
    <row r="1677" spans="1:5">
      <c r="A1677" s="140"/>
      <c r="B1677" s="192"/>
      <c r="C1677" s="140"/>
      <c r="D1677" s="140"/>
      <c r="E1677" s="140"/>
    </row>
    <row r="1678" spans="1:5">
      <c r="A1678" s="140"/>
      <c r="B1678" s="192"/>
      <c r="C1678" s="140"/>
      <c r="D1678" s="140"/>
      <c r="E1678" s="140"/>
    </row>
    <row r="1679" spans="1:5">
      <c r="A1679" s="140"/>
      <c r="B1679" s="192"/>
      <c r="C1679" s="140"/>
      <c r="D1679" s="140"/>
      <c r="E1679" s="140"/>
    </row>
    <row r="1680" spans="1:5">
      <c r="A1680" s="140"/>
      <c r="B1680" s="192"/>
      <c r="C1680" s="140"/>
      <c r="D1680" s="140"/>
      <c r="E1680" s="140"/>
    </row>
    <row r="1681" spans="1:5">
      <c r="A1681" s="140"/>
      <c r="B1681" s="192"/>
      <c r="C1681" s="140"/>
      <c r="D1681" s="140"/>
      <c r="E1681" s="140"/>
    </row>
    <row r="1682" spans="1:5">
      <c r="A1682" s="140"/>
      <c r="B1682" s="192"/>
      <c r="C1682" s="140"/>
      <c r="D1682" s="140"/>
      <c r="E1682" s="140"/>
    </row>
    <row r="1683" spans="1:5">
      <c r="A1683" s="140"/>
      <c r="B1683" s="192"/>
      <c r="C1683" s="140"/>
      <c r="D1683" s="140"/>
      <c r="E1683" s="140"/>
    </row>
    <row r="1684" spans="1:5">
      <c r="A1684" s="140"/>
      <c r="B1684" s="192"/>
      <c r="C1684" s="140"/>
      <c r="D1684" s="140"/>
      <c r="E1684" s="140"/>
    </row>
    <row r="1685" spans="1:5">
      <c r="A1685" s="140"/>
      <c r="B1685" s="192"/>
      <c r="C1685" s="140"/>
      <c r="D1685" s="140"/>
      <c r="E1685" s="140"/>
    </row>
    <row r="1686" spans="1:5">
      <c r="A1686" s="140"/>
      <c r="B1686" s="192"/>
      <c r="C1686" s="140"/>
      <c r="D1686" s="140"/>
      <c r="E1686" s="140"/>
    </row>
    <row r="1687" spans="1:5">
      <c r="A1687" s="140"/>
      <c r="B1687" s="192"/>
      <c r="C1687" s="140"/>
      <c r="D1687" s="140"/>
      <c r="E1687" s="140"/>
    </row>
    <row r="1688" spans="1:5">
      <c r="A1688" s="140"/>
      <c r="B1688" s="192"/>
      <c r="C1688" s="140"/>
      <c r="D1688" s="140"/>
      <c r="E1688" s="140"/>
    </row>
    <row r="1689" spans="1:5">
      <c r="A1689" s="140"/>
      <c r="B1689" s="192"/>
      <c r="C1689" s="140"/>
      <c r="D1689" s="140"/>
      <c r="E1689" s="140"/>
    </row>
    <row r="1690" spans="1:5">
      <c r="A1690" s="140"/>
      <c r="B1690" s="192"/>
      <c r="C1690" s="140"/>
      <c r="D1690" s="140"/>
      <c r="E1690" s="140"/>
    </row>
    <row r="1691" spans="1:5">
      <c r="A1691" s="140"/>
      <c r="B1691" s="192"/>
      <c r="C1691" s="140"/>
      <c r="D1691" s="140"/>
      <c r="E1691" s="140"/>
    </row>
    <row r="1692" spans="1:5">
      <c r="A1692" s="140"/>
      <c r="B1692" s="192"/>
      <c r="C1692" s="140"/>
      <c r="D1692" s="140"/>
      <c r="E1692" s="140"/>
    </row>
    <row r="1693" spans="1:5">
      <c r="A1693" s="140"/>
      <c r="B1693" s="192"/>
      <c r="C1693" s="140"/>
      <c r="D1693" s="140"/>
      <c r="E1693" s="140"/>
    </row>
    <row r="1694" spans="1:5">
      <c r="A1694" s="140"/>
      <c r="B1694" s="192"/>
      <c r="C1694" s="140"/>
      <c r="D1694" s="140"/>
      <c r="E1694" s="140"/>
    </row>
    <row r="1695" spans="1:5">
      <c r="A1695" s="140"/>
      <c r="B1695" s="192"/>
      <c r="C1695" s="140"/>
      <c r="D1695" s="140"/>
      <c r="E1695" s="140"/>
    </row>
    <row r="1696" spans="1:5">
      <c r="A1696" s="140"/>
      <c r="B1696" s="192"/>
      <c r="C1696" s="140"/>
      <c r="D1696" s="140"/>
      <c r="E1696" s="140"/>
    </row>
    <row r="1697" spans="1:5">
      <c r="A1697" s="140"/>
      <c r="B1697" s="192"/>
      <c r="C1697" s="140"/>
      <c r="D1697" s="140"/>
      <c r="E1697" s="140"/>
    </row>
    <row r="1698" spans="1:5">
      <c r="A1698" s="140"/>
      <c r="B1698" s="192"/>
      <c r="C1698" s="140"/>
      <c r="D1698" s="140"/>
      <c r="E1698" s="140"/>
    </row>
    <row r="1699" spans="1:5">
      <c r="A1699" s="140"/>
      <c r="B1699" s="192"/>
      <c r="C1699" s="140"/>
      <c r="D1699" s="140"/>
      <c r="E1699" s="140"/>
    </row>
    <row r="1700" spans="1:5">
      <c r="A1700" s="140"/>
      <c r="B1700" s="192"/>
      <c r="C1700" s="140"/>
      <c r="D1700" s="140"/>
      <c r="E1700" s="140"/>
    </row>
    <row r="1701" spans="1:5">
      <c r="A1701" s="140"/>
      <c r="B1701" s="192"/>
      <c r="C1701" s="140"/>
      <c r="D1701" s="140"/>
      <c r="E1701" s="140"/>
    </row>
    <row r="1702" spans="1:5">
      <c r="A1702" s="140"/>
      <c r="B1702" s="192"/>
      <c r="C1702" s="140"/>
      <c r="D1702" s="140"/>
      <c r="E1702" s="140"/>
    </row>
    <row r="1703" spans="1:5">
      <c r="A1703" s="140"/>
      <c r="B1703" s="192"/>
      <c r="C1703" s="140"/>
      <c r="D1703" s="140"/>
      <c r="E1703" s="140"/>
    </row>
    <row r="1704" spans="1:5">
      <c r="A1704" s="140"/>
      <c r="B1704" s="192"/>
      <c r="C1704" s="140"/>
      <c r="D1704" s="140"/>
      <c r="E1704" s="140"/>
    </row>
    <row r="1705" spans="1:5">
      <c r="A1705" s="140"/>
      <c r="B1705" s="192"/>
      <c r="C1705" s="140"/>
      <c r="D1705" s="140"/>
      <c r="E1705" s="140"/>
    </row>
    <row r="1706" spans="1:5">
      <c r="A1706" s="140"/>
      <c r="B1706" s="192"/>
      <c r="C1706" s="140"/>
      <c r="D1706" s="140"/>
      <c r="E1706" s="140"/>
    </row>
    <row r="1707" spans="1:5">
      <c r="A1707" s="140"/>
      <c r="B1707" s="192"/>
      <c r="C1707" s="140"/>
      <c r="D1707" s="140"/>
      <c r="E1707" s="140"/>
    </row>
    <row r="1708" spans="1:5">
      <c r="A1708" s="140"/>
      <c r="B1708" s="192"/>
      <c r="C1708" s="140"/>
      <c r="D1708" s="140"/>
      <c r="E1708" s="140"/>
    </row>
    <row r="1709" spans="1:5">
      <c r="A1709" s="140"/>
      <c r="B1709" s="192"/>
      <c r="C1709" s="140"/>
      <c r="D1709" s="140"/>
      <c r="E1709" s="140"/>
    </row>
    <row r="1710" spans="1:5">
      <c r="A1710" s="140"/>
      <c r="B1710" s="192"/>
      <c r="C1710" s="140"/>
      <c r="D1710" s="140"/>
      <c r="E1710" s="140"/>
    </row>
    <row r="1711" spans="1:5">
      <c r="A1711" s="140"/>
      <c r="B1711" s="192"/>
      <c r="C1711" s="140"/>
      <c r="D1711" s="140"/>
      <c r="E1711" s="140"/>
    </row>
    <row r="1712" spans="1:5">
      <c r="A1712" s="140"/>
      <c r="B1712" s="192"/>
      <c r="C1712" s="140"/>
      <c r="D1712" s="140"/>
      <c r="E1712" s="140"/>
    </row>
    <row r="1713" spans="1:5">
      <c r="A1713" s="140"/>
      <c r="B1713" s="192"/>
      <c r="C1713" s="140"/>
      <c r="D1713" s="140"/>
      <c r="E1713" s="140"/>
    </row>
    <row r="1714" spans="1:5">
      <c r="A1714" s="140"/>
      <c r="B1714" s="192"/>
      <c r="C1714" s="140"/>
      <c r="D1714" s="140"/>
      <c r="E1714" s="140"/>
    </row>
    <row r="1715" spans="1:5">
      <c r="A1715" s="140"/>
      <c r="B1715" s="192"/>
      <c r="C1715" s="140"/>
      <c r="D1715" s="140"/>
      <c r="E1715" s="140"/>
    </row>
    <row r="1716" spans="1:5">
      <c r="A1716" s="140"/>
      <c r="B1716" s="192"/>
      <c r="C1716" s="140"/>
      <c r="D1716" s="140"/>
      <c r="E1716" s="140"/>
    </row>
    <row r="1717" spans="1:5">
      <c r="A1717" s="140"/>
      <c r="B1717" s="192"/>
      <c r="C1717" s="140"/>
      <c r="D1717" s="140"/>
      <c r="E1717" s="140"/>
    </row>
    <row r="1718" spans="1:5">
      <c r="A1718" s="140"/>
      <c r="B1718" s="192"/>
      <c r="C1718" s="140"/>
      <c r="D1718" s="140"/>
      <c r="E1718" s="140"/>
    </row>
    <row r="1719" spans="1:5">
      <c r="A1719" s="140"/>
      <c r="B1719" s="192"/>
      <c r="C1719" s="140"/>
      <c r="D1719" s="140"/>
      <c r="E1719" s="140"/>
    </row>
    <row r="1720" spans="1:5">
      <c r="A1720" s="140"/>
      <c r="B1720" s="192"/>
      <c r="C1720" s="140"/>
      <c r="D1720" s="140"/>
      <c r="E1720" s="140"/>
    </row>
    <row r="1721" spans="1:5">
      <c r="A1721" s="140"/>
      <c r="B1721" s="192"/>
      <c r="C1721" s="140"/>
      <c r="D1721" s="140"/>
      <c r="E1721" s="140"/>
    </row>
    <row r="1722" spans="1:5">
      <c r="A1722" s="140"/>
      <c r="B1722" s="192"/>
      <c r="C1722" s="140"/>
      <c r="D1722" s="140"/>
      <c r="E1722" s="140"/>
    </row>
    <row r="1723" spans="1:5">
      <c r="A1723" s="140"/>
      <c r="B1723" s="192"/>
      <c r="C1723" s="140"/>
      <c r="D1723" s="140"/>
      <c r="E1723" s="140"/>
    </row>
    <row r="1724" spans="1:5">
      <c r="A1724" s="140"/>
      <c r="B1724" s="192"/>
      <c r="C1724" s="140"/>
      <c r="D1724" s="140"/>
      <c r="E1724" s="140"/>
    </row>
    <row r="1725" spans="1:5">
      <c r="A1725" s="140"/>
      <c r="B1725" s="192"/>
      <c r="C1725" s="140"/>
      <c r="D1725" s="140"/>
      <c r="E1725" s="140"/>
    </row>
    <row r="1726" spans="1:5">
      <c r="A1726" s="140"/>
      <c r="B1726" s="192"/>
      <c r="C1726" s="140"/>
      <c r="D1726" s="140"/>
      <c r="E1726" s="140"/>
    </row>
    <row r="1727" spans="1:5">
      <c r="A1727" s="140"/>
      <c r="B1727" s="192"/>
      <c r="C1727" s="140"/>
      <c r="D1727" s="140"/>
      <c r="E1727" s="140"/>
    </row>
    <row r="1728" spans="1:5">
      <c r="A1728" s="140"/>
      <c r="B1728" s="192"/>
      <c r="C1728" s="140"/>
      <c r="D1728" s="140"/>
      <c r="E1728" s="140"/>
    </row>
    <row r="1729" spans="1:5">
      <c r="A1729" s="140"/>
      <c r="B1729" s="192"/>
      <c r="C1729" s="140"/>
      <c r="D1729" s="140"/>
      <c r="E1729" s="140"/>
    </row>
    <row r="1730" spans="1:5">
      <c r="A1730" s="140"/>
      <c r="B1730" s="192"/>
      <c r="C1730" s="140"/>
      <c r="D1730" s="140"/>
      <c r="E1730" s="140"/>
    </row>
    <row r="1731" spans="1:5">
      <c r="A1731" s="140"/>
      <c r="B1731" s="192"/>
      <c r="C1731" s="140"/>
      <c r="D1731" s="140"/>
      <c r="E1731" s="140"/>
    </row>
    <row r="1732" spans="1:5">
      <c r="A1732" s="140"/>
      <c r="B1732" s="192"/>
      <c r="C1732" s="140"/>
      <c r="D1732" s="140"/>
      <c r="E1732" s="140"/>
    </row>
    <row r="1733" spans="1:5">
      <c r="A1733" s="140"/>
      <c r="B1733" s="192"/>
      <c r="C1733" s="140"/>
      <c r="D1733" s="140"/>
      <c r="E1733" s="140"/>
    </row>
    <row r="1734" spans="1:5">
      <c r="A1734" s="140"/>
      <c r="B1734" s="192"/>
      <c r="C1734" s="140"/>
      <c r="D1734" s="140"/>
      <c r="E1734" s="140"/>
    </row>
    <row r="1735" spans="1:5">
      <c r="A1735" s="140"/>
      <c r="B1735" s="192"/>
      <c r="C1735" s="140"/>
      <c r="D1735" s="140"/>
      <c r="E1735" s="140"/>
    </row>
    <row r="1736" spans="1:5">
      <c r="A1736" s="140"/>
      <c r="B1736" s="192"/>
      <c r="C1736" s="140"/>
      <c r="D1736" s="140"/>
      <c r="E1736" s="140"/>
    </row>
    <row r="1737" spans="1:5">
      <c r="A1737" s="140"/>
      <c r="B1737" s="192"/>
      <c r="C1737" s="140"/>
      <c r="D1737" s="140"/>
      <c r="E1737" s="140"/>
    </row>
    <row r="1738" spans="1:5">
      <c r="A1738" s="140"/>
      <c r="B1738" s="192"/>
      <c r="C1738" s="140"/>
      <c r="D1738" s="140"/>
      <c r="E1738" s="140"/>
    </row>
    <row r="1739" spans="1:5">
      <c r="A1739" s="140"/>
      <c r="B1739" s="192"/>
      <c r="C1739" s="140"/>
      <c r="D1739" s="140"/>
      <c r="E1739" s="140"/>
    </row>
    <row r="1740" spans="1:5">
      <c r="A1740" s="140"/>
      <c r="B1740" s="192"/>
      <c r="C1740" s="140"/>
      <c r="D1740" s="140"/>
      <c r="E1740" s="140"/>
    </row>
    <row r="1741" spans="1:5">
      <c r="A1741" s="140"/>
      <c r="B1741" s="192"/>
      <c r="C1741" s="140"/>
      <c r="D1741" s="140"/>
      <c r="E1741" s="140"/>
    </row>
    <row r="1742" spans="1:5">
      <c r="A1742" s="140"/>
      <c r="B1742" s="192"/>
      <c r="C1742" s="140"/>
      <c r="D1742" s="140"/>
      <c r="E1742" s="140"/>
    </row>
    <row r="1743" spans="1:5">
      <c r="A1743" s="140"/>
      <c r="B1743" s="192"/>
      <c r="C1743" s="140"/>
      <c r="D1743" s="140"/>
      <c r="E1743" s="140"/>
    </row>
    <row r="1744" spans="1:5">
      <c r="A1744" s="140"/>
      <c r="B1744" s="192"/>
      <c r="C1744" s="140"/>
      <c r="D1744" s="140"/>
      <c r="E1744" s="140"/>
    </row>
    <row r="1745" spans="1:5">
      <c r="A1745" s="140"/>
      <c r="B1745" s="192"/>
      <c r="C1745" s="140"/>
      <c r="D1745" s="140"/>
      <c r="E1745" s="140"/>
    </row>
    <row r="1746" spans="1:5">
      <c r="A1746" s="140"/>
      <c r="B1746" s="192"/>
      <c r="C1746" s="140"/>
      <c r="D1746" s="140"/>
      <c r="E1746" s="140"/>
    </row>
    <row r="1747" spans="1:5">
      <c r="A1747" s="140"/>
      <c r="B1747" s="192"/>
      <c r="C1747" s="140"/>
      <c r="D1747" s="140"/>
      <c r="E1747" s="140"/>
    </row>
    <row r="1748" spans="1:5">
      <c r="A1748" s="140"/>
      <c r="B1748" s="192"/>
      <c r="C1748" s="140"/>
      <c r="D1748" s="140"/>
      <c r="E1748" s="140"/>
    </row>
    <row r="1749" spans="1:5">
      <c r="A1749" s="140"/>
      <c r="B1749" s="192"/>
      <c r="C1749" s="140"/>
      <c r="D1749" s="140"/>
      <c r="E1749" s="140"/>
    </row>
    <row r="1750" spans="1:5">
      <c r="A1750" s="140"/>
      <c r="B1750" s="192"/>
      <c r="C1750" s="140"/>
      <c r="D1750" s="140"/>
      <c r="E1750" s="140"/>
    </row>
    <row r="1751" spans="1:5">
      <c r="A1751" s="140"/>
      <c r="B1751" s="192"/>
      <c r="C1751" s="140"/>
      <c r="D1751" s="140"/>
      <c r="E1751" s="140"/>
    </row>
    <row r="1752" spans="1:5">
      <c r="A1752" s="140"/>
      <c r="B1752" s="192"/>
      <c r="C1752" s="140"/>
      <c r="D1752" s="140"/>
      <c r="E1752" s="140"/>
    </row>
    <row r="1753" spans="1:5">
      <c r="A1753" s="140"/>
      <c r="B1753" s="192"/>
      <c r="C1753" s="140"/>
      <c r="D1753" s="140"/>
      <c r="E1753" s="140"/>
    </row>
    <row r="1754" spans="1:5">
      <c r="A1754" s="140"/>
      <c r="B1754" s="192"/>
      <c r="C1754" s="140"/>
      <c r="D1754" s="140"/>
      <c r="E1754" s="140"/>
    </row>
    <row r="1755" spans="1:5">
      <c r="A1755" s="140"/>
      <c r="B1755" s="192"/>
      <c r="C1755" s="140"/>
      <c r="D1755" s="140"/>
      <c r="E1755" s="140"/>
    </row>
    <row r="1756" spans="1:5">
      <c r="A1756" s="140"/>
      <c r="B1756" s="192"/>
      <c r="C1756" s="140"/>
      <c r="D1756" s="140"/>
      <c r="E1756" s="140"/>
    </row>
    <row r="1757" spans="1:5">
      <c r="A1757" s="140"/>
      <c r="B1757" s="192"/>
      <c r="C1757" s="140"/>
      <c r="D1757" s="140"/>
      <c r="E1757" s="140"/>
    </row>
    <row r="1758" spans="1:5">
      <c r="A1758" s="140"/>
      <c r="B1758" s="192"/>
      <c r="C1758" s="140"/>
      <c r="D1758" s="140"/>
      <c r="E1758" s="140"/>
    </row>
    <row r="1759" spans="1:5">
      <c r="A1759" s="140"/>
      <c r="B1759" s="192"/>
      <c r="C1759" s="140"/>
      <c r="D1759" s="140"/>
      <c r="E1759" s="140"/>
    </row>
    <row r="1760" spans="1:5">
      <c r="A1760" s="140"/>
      <c r="B1760" s="192"/>
      <c r="C1760" s="140"/>
      <c r="D1760" s="140"/>
      <c r="E1760" s="140"/>
    </row>
    <row r="1761" spans="1:5">
      <c r="A1761" s="140"/>
      <c r="B1761" s="192"/>
      <c r="C1761" s="140"/>
      <c r="D1761" s="140"/>
      <c r="E1761" s="140"/>
    </row>
    <row r="1762" spans="1:5">
      <c r="A1762" s="140"/>
      <c r="B1762" s="192"/>
      <c r="C1762" s="140"/>
      <c r="D1762" s="140"/>
      <c r="E1762" s="140"/>
    </row>
    <row r="1763" spans="1:5">
      <c r="A1763" s="140"/>
      <c r="B1763" s="192"/>
      <c r="C1763" s="140"/>
      <c r="D1763" s="140"/>
      <c r="E1763" s="140"/>
    </row>
    <row r="1764" spans="1:5">
      <c r="A1764" s="140"/>
      <c r="B1764" s="192"/>
      <c r="C1764" s="140"/>
      <c r="D1764" s="140"/>
      <c r="E1764" s="140"/>
    </row>
    <row r="1765" spans="1:5">
      <c r="A1765" s="140"/>
      <c r="B1765" s="192"/>
      <c r="C1765" s="140"/>
      <c r="D1765" s="140"/>
      <c r="E1765" s="140"/>
    </row>
    <row r="1766" spans="1:5">
      <c r="A1766" s="140"/>
      <c r="B1766" s="192"/>
      <c r="C1766" s="140"/>
      <c r="D1766" s="140"/>
      <c r="E1766" s="140"/>
    </row>
    <row r="1767" spans="1:5">
      <c r="A1767" s="140"/>
      <c r="B1767" s="192"/>
      <c r="C1767" s="140"/>
      <c r="D1767" s="140"/>
      <c r="E1767" s="140"/>
    </row>
    <row r="1768" spans="1:5">
      <c r="A1768" s="140"/>
      <c r="B1768" s="192"/>
      <c r="C1768" s="140"/>
      <c r="D1768" s="140"/>
      <c r="E1768" s="140"/>
    </row>
    <row r="1769" spans="1:5">
      <c r="A1769" s="140"/>
      <c r="B1769" s="192"/>
      <c r="C1769" s="140"/>
      <c r="D1769" s="140"/>
      <c r="E1769" s="140"/>
    </row>
    <row r="1770" spans="1:5">
      <c r="A1770" s="140"/>
      <c r="B1770" s="192"/>
      <c r="C1770" s="140"/>
      <c r="D1770" s="140"/>
      <c r="E1770" s="140"/>
    </row>
    <row r="1771" spans="1:5">
      <c r="A1771" s="140"/>
      <c r="B1771" s="192"/>
      <c r="C1771" s="140"/>
      <c r="D1771" s="140"/>
      <c r="E1771" s="140"/>
    </row>
    <row r="1772" spans="1:5">
      <c r="A1772" s="140"/>
      <c r="B1772" s="192"/>
      <c r="C1772" s="140"/>
      <c r="D1772" s="140"/>
      <c r="E1772" s="140"/>
    </row>
    <row r="1773" spans="1:5">
      <c r="A1773" s="140"/>
      <c r="B1773" s="192"/>
      <c r="C1773" s="140"/>
      <c r="D1773" s="140"/>
      <c r="E1773" s="140"/>
    </row>
    <row r="1774" spans="1:5">
      <c r="A1774" s="140"/>
      <c r="B1774" s="192"/>
      <c r="C1774" s="140"/>
      <c r="D1774" s="140"/>
      <c r="E1774" s="140"/>
    </row>
    <row r="1775" spans="1:5">
      <c r="A1775" s="140"/>
      <c r="B1775" s="192"/>
      <c r="C1775" s="140"/>
      <c r="D1775" s="140"/>
      <c r="E1775" s="140"/>
    </row>
    <row r="1776" spans="1:5">
      <c r="A1776" s="140"/>
      <c r="B1776" s="192"/>
      <c r="C1776" s="140"/>
      <c r="D1776" s="140"/>
      <c r="E1776" s="140"/>
    </row>
    <row r="1777" spans="1:5">
      <c r="A1777" s="140"/>
      <c r="B1777" s="192"/>
      <c r="C1777" s="140"/>
      <c r="D1777" s="140"/>
      <c r="E1777" s="140"/>
    </row>
    <row r="1778" spans="1:5">
      <c r="A1778" s="140"/>
      <c r="B1778" s="192"/>
      <c r="C1778" s="140"/>
      <c r="D1778" s="140"/>
      <c r="E1778" s="140"/>
    </row>
    <row r="1779" spans="1:5">
      <c r="A1779" s="140"/>
      <c r="B1779" s="192"/>
      <c r="C1779" s="140"/>
      <c r="D1779" s="140"/>
      <c r="E1779" s="140"/>
    </row>
    <row r="1780" spans="1:5">
      <c r="A1780" s="140"/>
      <c r="B1780" s="192"/>
      <c r="C1780" s="140"/>
      <c r="D1780" s="140"/>
      <c r="E1780" s="140"/>
    </row>
    <row r="1781" spans="1:5">
      <c r="A1781" s="140"/>
      <c r="B1781" s="192"/>
      <c r="C1781" s="140"/>
      <c r="D1781" s="140"/>
      <c r="E1781" s="140"/>
    </row>
    <row r="1782" spans="1:5">
      <c r="A1782" s="140"/>
      <c r="B1782" s="192"/>
      <c r="C1782" s="140"/>
      <c r="D1782" s="140"/>
      <c r="E1782" s="140"/>
    </row>
    <row r="1783" spans="1:5">
      <c r="A1783" s="140"/>
      <c r="B1783" s="192"/>
      <c r="C1783" s="140"/>
      <c r="D1783" s="140"/>
      <c r="E1783" s="140"/>
    </row>
    <row r="1784" spans="1:5">
      <c r="A1784" s="140"/>
      <c r="B1784" s="192"/>
      <c r="C1784" s="140"/>
      <c r="D1784" s="140"/>
      <c r="E1784" s="140"/>
    </row>
    <row r="1785" spans="1:5">
      <c r="A1785" s="140"/>
      <c r="B1785" s="192"/>
      <c r="C1785" s="140"/>
      <c r="D1785" s="140"/>
      <c r="E1785" s="140"/>
    </row>
    <row r="1786" spans="1:5">
      <c r="A1786" s="140"/>
      <c r="B1786" s="192"/>
      <c r="C1786" s="140"/>
      <c r="D1786" s="140"/>
      <c r="E1786" s="140"/>
    </row>
    <row r="1787" spans="1:5">
      <c r="A1787" s="140"/>
      <c r="B1787" s="192"/>
      <c r="C1787" s="140"/>
      <c r="D1787" s="140"/>
      <c r="E1787" s="140"/>
    </row>
    <row r="1788" spans="1:5">
      <c r="A1788" s="140"/>
      <c r="B1788" s="192"/>
      <c r="C1788" s="140"/>
      <c r="D1788" s="140"/>
      <c r="E1788" s="140"/>
    </row>
    <row r="1789" spans="1:5">
      <c r="A1789" s="140"/>
      <c r="B1789" s="192"/>
      <c r="C1789" s="140"/>
      <c r="D1789" s="140"/>
      <c r="E1789" s="140"/>
    </row>
    <row r="1790" spans="1:5">
      <c r="A1790" s="140"/>
      <c r="B1790" s="192"/>
      <c r="C1790" s="140"/>
      <c r="D1790" s="140"/>
      <c r="E1790" s="140"/>
    </row>
    <row r="1791" spans="1:5">
      <c r="A1791" s="140"/>
      <c r="B1791" s="192"/>
      <c r="C1791" s="140"/>
      <c r="D1791" s="140"/>
      <c r="E1791" s="140"/>
    </row>
    <row r="1792" spans="1:5">
      <c r="A1792" s="140"/>
      <c r="B1792" s="192"/>
      <c r="C1792" s="140"/>
      <c r="D1792" s="140"/>
      <c r="E1792" s="140"/>
    </row>
    <row r="1793" spans="1:5">
      <c r="A1793" s="140"/>
      <c r="B1793" s="192"/>
      <c r="C1793" s="140"/>
      <c r="D1793" s="140"/>
      <c r="E1793" s="140"/>
    </row>
    <row r="1794" spans="1:5">
      <c r="A1794" s="140"/>
      <c r="B1794" s="192"/>
      <c r="C1794" s="140"/>
      <c r="D1794" s="140"/>
      <c r="E1794" s="140"/>
    </row>
    <row r="1795" spans="1:5">
      <c r="A1795" s="140"/>
      <c r="B1795" s="192"/>
      <c r="C1795" s="140"/>
      <c r="D1795" s="140"/>
      <c r="E1795" s="140"/>
    </row>
    <row r="1796" spans="1:5">
      <c r="A1796" s="140"/>
      <c r="B1796" s="192"/>
      <c r="C1796" s="140"/>
      <c r="D1796" s="140"/>
      <c r="E1796" s="140"/>
    </row>
    <row r="1797" spans="1:5">
      <c r="A1797" s="140"/>
      <c r="B1797" s="192"/>
      <c r="C1797" s="140"/>
      <c r="D1797" s="140"/>
      <c r="E1797" s="140"/>
    </row>
    <row r="1798" spans="1:5">
      <c r="A1798" s="140"/>
      <c r="B1798" s="192"/>
      <c r="C1798" s="140"/>
      <c r="D1798" s="140"/>
      <c r="E1798" s="140"/>
    </row>
    <row r="1799" spans="1:5">
      <c r="A1799" s="140"/>
      <c r="B1799" s="192"/>
      <c r="C1799" s="140"/>
      <c r="D1799" s="140"/>
      <c r="E1799" s="140"/>
    </row>
    <row r="1800" spans="1:5">
      <c r="A1800" s="140"/>
      <c r="B1800" s="192"/>
      <c r="C1800" s="140"/>
      <c r="D1800" s="140"/>
      <c r="E1800" s="140"/>
    </row>
    <row r="1801" spans="1:5">
      <c r="A1801" s="140"/>
      <c r="B1801" s="192"/>
      <c r="C1801" s="140"/>
      <c r="D1801" s="140"/>
      <c r="E1801" s="140"/>
    </row>
    <row r="1802" spans="1:5">
      <c r="A1802" s="140"/>
      <c r="B1802" s="192"/>
      <c r="C1802" s="140"/>
      <c r="D1802" s="140"/>
      <c r="E1802" s="140"/>
    </row>
    <row r="1803" spans="1:5">
      <c r="A1803" s="140"/>
      <c r="B1803" s="192"/>
      <c r="C1803" s="140"/>
      <c r="D1803" s="140"/>
      <c r="E1803" s="140"/>
    </row>
    <row r="1804" spans="1:5">
      <c r="A1804" s="140"/>
      <c r="B1804" s="192"/>
      <c r="C1804" s="140"/>
      <c r="D1804" s="140"/>
      <c r="E1804" s="140"/>
    </row>
    <row r="1805" spans="1:5">
      <c r="A1805" s="140"/>
      <c r="B1805" s="192"/>
      <c r="C1805" s="140"/>
      <c r="D1805" s="140"/>
      <c r="E1805" s="140"/>
    </row>
    <row r="1806" spans="1:5">
      <c r="A1806" s="140"/>
      <c r="B1806" s="192"/>
      <c r="C1806" s="140"/>
      <c r="D1806" s="140"/>
      <c r="E1806" s="140"/>
    </row>
    <row r="1807" spans="1:5">
      <c r="A1807" s="140"/>
      <c r="B1807" s="192"/>
      <c r="C1807" s="140"/>
      <c r="D1807" s="140"/>
      <c r="E1807" s="140"/>
    </row>
    <row r="1808" spans="1:5">
      <c r="A1808" s="140"/>
      <c r="B1808" s="192"/>
      <c r="C1808" s="140"/>
      <c r="D1808" s="140"/>
      <c r="E1808" s="140"/>
    </row>
    <row r="1809" spans="1:5">
      <c r="A1809" s="140"/>
      <c r="B1809" s="192"/>
      <c r="C1809" s="140"/>
      <c r="D1809" s="140"/>
      <c r="E1809" s="140"/>
    </row>
    <row r="1810" spans="1:5">
      <c r="A1810" s="140"/>
      <c r="B1810" s="192"/>
      <c r="C1810" s="140"/>
      <c r="D1810" s="140"/>
      <c r="E1810" s="140"/>
    </row>
    <row r="1811" spans="1:5">
      <c r="A1811" s="140"/>
      <c r="B1811" s="192"/>
      <c r="C1811" s="140"/>
      <c r="D1811" s="140"/>
      <c r="E1811" s="140"/>
    </row>
    <row r="1812" spans="1:5">
      <c r="A1812" s="140"/>
      <c r="B1812" s="192"/>
      <c r="C1812" s="140"/>
      <c r="D1812" s="140"/>
      <c r="E1812" s="140"/>
    </row>
    <row r="1813" spans="1:5">
      <c r="A1813" s="140"/>
      <c r="B1813" s="192"/>
      <c r="C1813" s="140"/>
      <c r="D1813" s="140"/>
      <c r="E1813" s="140"/>
    </row>
    <row r="1814" spans="1:5">
      <c r="A1814" s="140"/>
      <c r="B1814" s="192"/>
      <c r="C1814" s="140"/>
      <c r="D1814" s="140"/>
      <c r="E1814" s="140"/>
    </row>
    <row r="1815" spans="1:5">
      <c r="A1815" s="140"/>
      <c r="B1815" s="192"/>
      <c r="C1815" s="140"/>
      <c r="D1815" s="140"/>
      <c r="E1815" s="140"/>
    </row>
    <row r="1816" spans="1:5">
      <c r="A1816" s="140"/>
      <c r="B1816" s="192"/>
      <c r="C1816" s="140"/>
      <c r="D1816" s="140"/>
      <c r="E1816" s="140"/>
    </row>
    <row r="1817" spans="1:5">
      <c r="A1817" s="140"/>
      <c r="B1817" s="192"/>
      <c r="C1817" s="140"/>
      <c r="D1817" s="140"/>
      <c r="E1817" s="140"/>
    </row>
    <row r="1818" spans="1:5">
      <c r="A1818" s="140"/>
      <c r="B1818" s="192"/>
      <c r="C1818" s="140"/>
      <c r="D1818" s="140"/>
      <c r="E1818" s="140"/>
    </row>
    <row r="1819" spans="1:5">
      <c r="A1819" s="140"/>
      <c r="B1819" s="192"/>
      <c r="C1819" s="140"/>
      <c r="D1819" s="140"/>
      <c r="E1819" s="140"/>
    </row>
    <row r="1820" spans="1:5">
      <c r="A1820" s="140"/>
      <c r="B1820" s="192"/>
      <c r="C1820" s="140"/>
      <c r="D1820" s="140"/>
      <c r="E1820" s="140"/>
    </row>
    <row r="1821" spans="1:5">
      <c r="A1821" s="140"/>
      <c r="B1821" s="192"/>
      <c r="C1821" s="140"/>
      <c r="D1821" s="140"/>
      <c r="E1821" s="140"/>
    </row>
    <row r="1822" spans="1:5">
      <c r="A1822" s="140"/>
      <c r="B1822" s="192"/>
      <c r="C1822" s="140"/>
      <c r="D1822" s="140"/>
      <c r="E1822" s="140"/>
    </row>
    <row r="1823" spans="1:5">
      <c r="A1823" s="140"/>
      <c r="B1823" s="192"/>
      <c r="C1823" s="140"/>
      <c r="D1823" s="140"/>
      <c r="E1823" s="140"/>
    </row>
    <row r="1824" spans="1:5">
      <c r="A1824" s="140"/>
      <c r="B1824" s="192"/>
      <c r="C1824" s="140"/>
      <c r="D1824" s="140"/>
      <c r="E1824" s="140"/>
    </row>
    <row r="1825" spans="1:5">
      <c r="A1825" s="140"/>
      <c r="B1825" s="192"/>
      <c r="C1825" s="140"/>
      <c r="D1825" s="140"/>
      <c r="E1825" s="140"/>
    </row>
    <row r="1826" spans="1:5">
      <c r="A1826" s="140"/>
      <c r="B1826" s="192"/>
      <c r="C1826" s="140"/>
      <c r="D1826" s="140"/>
      <c r="E1826" s="140"/>
    </row>
    <row r="1827" spans="1:5">
      <c r="A1827" s="140"/>
      <c r="B1827" s="192"/>
      <c r="C1827" s="140"/>
      <c r="D1827" s="140"/>
      <c r="E1827" s="140"/>
    </row>
    <row r="1828" spans="1:5">
      <c r="A1828" s="140"/>
      <c r="B1828" s="192"/>
      <c r="C1828" s="140"/>
      <c r="D1828" s="140"/>
      <c r="E1828" s="140"/>
    </row>
    <row r="1829" spans="1:5">
      <c r="A1829" s="140"/>
      <c r="B1829" s="192"/>
      <c r="C1829" s="140"/>
      <c r="D1829" s="140"/>
      <c r="E1829" s="140"/>
    </row>
    <row r="1830" spans="1:5">
      <c r="A1830" s="140"/>
      <c r="B1830" s="192"/>
      <c r="C1830" s="140"/>
      <c r="D1830" s="140"/>
      <c r="E1830" s="140"/>
    </row>
    <row r="1831" spans="1:5">
      <c r="A1831" s="140"/>
      <c r="B1831" s="192"/>
      <c r="C1831" s="140"/>
      <c r="D1831" s="140"/>
      <c r="E1831" s="140"/>
    </row>
    <row r="1832" spans="1:5">
      <c r="A1832" s="140"/>
      <c r="B1832" s="192"/>
      <c r="C1832" s="140"/>
      <c r="D1832" s="140"/>
      <c r="E1832" s="140"/>
    </row>
    <row r="1833" spans="1:5">
      <c r="A1833" s="140"/>
      <c r="B1833" s="192"/>
      <c r="C1833" s="140"/>
      <c r="D1833" s="140"/>
      <c r="E1833" s="140"/>
    </row>
    <row r="1834" spans="1:5">
      <c r="A1834" s="140"/>
      <c r="B1834" s="192"/>
      <c r="C1834" s="140"/>
      <c r="D1834" s="140"/>
      <c r="E1834" s="140"/>
    </row>
    <row r="1835" spans="1:5">
      <c r="A1835" s="140"/>
      <c r="B1835" s="192"/>
      <c r="C1835" s="140"/>
      <c r="D1835" s="140"/>
      <c r="E1835" s="140"/>
    </row>
    <row r="1836" spans="1:5">
      <c r="A1836" s="140"/>
      <c r="B1836" s="192"/>
      <c r="C1836" s="140"/>
      <c r="D1836" s="140"/>
      <c r="E1836" s="140"/>
    </row>
    <row r="1837" spans="1:5">
      <c r="A1837" s="140"/>
      <c r="B1837" s="192"/>
      <c r="C1837" s="140"/>
      <c r="D1837" s="140"/>
      <c r="E1837" s="140"/>
    </row>
    <row r="1838" spans="1:5">
      <c r="A1838" s="140"/>
      <c r="B1838" s="192"/>
      <c r="C1838" s="140"/>
      <c r="D1838" s="140"/>
      <c r="E1838" s="140"/>
    </row>
    <row r="1839" spans="1:5">
      <c r="A1839" s="140"/>
      <c r="B1839" s="192"/>
      <c r="C1839" s="140"/>
      <c r="D1839" s="140"/>
      <c r="E1839" s="140"/>
    </row>
    <row r="1840" spans="1:5">
      <c r="A1840" s="140"/>
      <c r="B1840" s="192"/>
      <c r="C1840" s="140"/>
      <c r="D1840" s="140"/>
      <c r="E1840" s="140"/>
    </row>
    <row r="1841" spans="1:5">
      <c r="A1841" s="140"/>
      <c r="B1841" s="192"/>
      <c r="C1841" s="140"/>
      <c r="D1841" s="140"/>
      <c r="E1841" s="140"/>
    </row>
    <row r="1842" spans="1:5">
      <c r="A1842" s="140"/>
      <c r="B1842" s="192"/>
      <c r="C1842" s="140"/>
      <c r="D1842" s="140"/>
      <c r="E1842" s="140"/>
    </row>
    <row r="1843" spans="1:5">
      <c r="A1843" s="140"/>
      <c r="B1843" s="192"/>
      <c r="C1843" s="140"/>
      <c r="D1843" s="140"/>
      <c r="E1843" s="140"/>
    </row>
    <row r="1844" spans="1:5">
      <c r="A1844" s="140"/>
      <c r="B1844" s="192"/>
      <c r="C1844" s="140"/>
      <c r="D1844" s="140"/>
      <c r="E1844" s="140"/>
    </row>
    <row r="1845" spans="1:5">
      <c r="A1845" s="140"/>
      <c r="B1845" s="192"/>
      <c r="C1845" s="140"/>
      <c r="D1845" s="140"/>
      <c r="E1845" s="140"/>
    </row>
    <row r="1846" spans="1:5">
      <c r="A1846" s="140"/>
      <c r="B1846" s="192"/>
      <c r="C1846" s="140"/>
      <c r="D1846" s="140"/>
      <c r="E1846" s="140"/>
    </row>
    <row r="1847" spans="1:5">
      <c r="A1847" s="140"/>
      <c r="B1847" s="192"/>
      <c r="C1847" s="140"/>
      <c r="D1847" s="140"/>
      <c r="E1847" s="140"/>
    </row>
    <row r="1848" spans="1:5">
      <c r="A1848" s="140"/>
      <c r="B1848" s="192"/>
      <c r="C1848" s="140"/>
      <c r="D1848" s="140"/>
      <c r="E1848" s="140"/>
    </row>
    <row r="1849" spans="1:5">
      <c r="A1849" s="140"/>
      <c r="B1849" s="192"/>
      <c r="C1849" s="140"/>
      <c r="D1849" s="140"/>
      <c r="E1849" s="140"/>
    </row>
    <row r="1850" spans="1:5">
      <c r="A1850" s="140"/>
      <c r="B1850" s="192"/>
      <c r="C1850" s="140"/>
      <c r="D1850" s="140"/>
      <c r="E1850" s="140"/>
    </row>
    <row r="1851" spans="1:5">
      <c r="A1851" s="140"/>
      <c r="B1851" s="192"/>
      <c r="C1851" s="140"/>
      <c r="D1851" s="140"/>
      <c r="E1851" s="140"/>
    </row>
    <row r="1852" spans="1:5">
      <c r="A1852" s="140"/>
      <c r="B1852" s="192"/>
      <c r="C1852" s="140"/>
      <c r="D1852" s="140"/>
      <c r="E1852" s="140"/>
    </row>
    <row r="1853" spans="1:5">
      <c r="A1853" s="140"/>
      <c r="B1853" s="192"/>
      <c r="C1853" s="140"/>
      <c r="D1853" s="140"/>
      <c r="E1853" s="140"/>
    </row>
    <row r="1854" spans="1:5">
      <c r="A1854" s="140"/>
      <c r="B1854" s="192"/>
      <c r="C1854" s="140"/>
      <c r="D1854" s="140"/>
      <c r="E1854" s="140"/>
    </row>
    <row r="1855" spans="1:5">
      <c r="A1855" s="140"/>
      <c r="B1855" s="192"/>
      <c r="C1855" s="140"/>
      <c r="D1855" s="140"/>
      <c r="E1855" s="140"/>
    </row>
    <row r="1856" spans="1:5">
      <c r="A1856" s="140"/>
      <c r="B1856" s="192"/>
      <c r="C1856" s="140"/>
      <c r="D1856" s="140"/>
      <c r="E1856" s="140"/>
    </row>
    <row r="1857" spans="1:5">
      <c r="A1857" s="140"/>
      <c r="B1857" s="192"/>
      <c r="C1857" s="140"/>
      <c r="D1857" s="140"/>
      <c r="E1857" s="140"/>
    </row>
    <row r="1858" spans="1:5">
      <c r="A1858" s="140"/>
      <c r="B1858" s="192"/>
      <c r="C1858" s="140"/>
      <c r="D1858" s="140"/>
      <c r="E1858" s="140"/>
    </row>
    <row r="1859" spans="1:5">
      <c r="A1859" s="140"/>
      <c r="B1859" s="192"/>
      <c r="C1859" s="140"/>
      <c r="D1859" s="140"/>
      <c r="E1859" s="140"/>
    </row>
    <row r="1860" spans="1:5">
      <c r="A1860" s="140"/>
      <c r="B1860" s="192"/>
      <c r="C1860" s="140"/>
      <c r="D1860" s="140"/>
      <c r="E1860" s="140"/>
    </row>
    <row r="1861" spans="1:5">
      <c r="A1861" s="140"/>
      <c r="B1861" s="192"/>
      <c r="C1861" s="140"/>
      <c r="D1861" s="140"/>
      <c r="E1861" s="140"/>
    </row>
    <row r="1862" spans="1:5">
      <c r="A1862" s="140"/>
      <c r="B1862" s="192"/>
      <c r="C1862" s="140"/>
      <c r="D1862" s="140"/>
      <c r="E1862" s="140"/>
    </row>
    <row r="1863" spans="1:5">
      <c r="A1863" s="140"/>
      <c r="B1863" s="192"/>
      <c r="C1863" s="140"/>
      <c r="D1863" s="140"/>
      <c r="E1863" s="140"/>
    </row>
    <row r="1864" spans="1:5">
      <c r="A1864" s="140"/>
      <c r="B1864" s="192"/>
      <c r="C1864" s="140"/>
      <c r="D1864" s="140"/>
      <c r="E1864" s="140"/>
    </row>
    <row r="1865" spans="1:5">
      <c r="A1865" s="140"/>
      <c r="B1865" s="192"/>
      <c r="C1865" s="140"/>
      <c r="D1865" s="140"/>
      <c r="E1865" s="140"/>
    </row>
    <row r="1866" spans="1:5">
      <c r="A1866" s="140"/>
      <c r="B1866" s="192"/>
      <c r="C1866" s="140"/>
      <c r="D1866" s="140"/>
      <c r="E1866" s="140"/>
    </row>
    <row r="1867" spans="1:5">
      <c r="A1867" s="140"/>
      <c r="B1867" s="192"/>
      <c r="C1867" s="140"/>
      <c r="D1867" s="140"/>
      <c r="E1867" s="140"/>
    </row>
    <row r="1868" spans="1:5">
      <c r="A1868" s="140"/>
      <c r="B1868" s="192"/>
      <c r="C1868" s="140"/>
      <c r="D1868" s="140"/>
      <c r="E1868" s="140"/>
    </row>
    <row r="1869" spans="1:5">
      <c r="A1869" s="140"/>
      <c r="B1869" s="192"/>
      <c r="C1869" s="140"/>
      <c r="D1869" s="140"/>
      <c r="E1869" s="140"/>
    </row>
    <row r="1870" spans="1:5">
      <c r="A1870" s="140"/>
      <c r="B1870" s="192"/>
      <c r="C1870" s="140"/>
      <c r="D1870" s="140"/>
      <c r="E1870" s="140"/>
    </row>
    <row r="1871" spans="1:5">
      <c r="A1871" s="140"/>
      <c r="B1871" s="192"/>
      <c r="C1871" s="140"/>
      <c r="D1871" s="140"/>
      <c r="E1871" s="140"/>
    </row>
    <row r="1872" spans="1:5">
      <c r="A1872" s="140"/>
      <c r="B1872" s="192"/>
      <c r="C1872" s="140"/>
      <c r="D1872" s="140"/>
      <c r="E1872" s="140"/>
    </row>
    <row r="1873" spans="1:5">
      <c r="A1873" s="140"/>
      <c r="B1873" s="192"/>
      <c r="C1873" s="140"/>
      <c r="D1873" s="140"/>
      <c r="E1873" s="140"/>
    </row>
    <row r="1874" spans="1:5">
      <c r="A1874" s="140"/>
      <c r="B1874" s="192"/>
      <c r="C1874" s="140"/>
      <c r="D1874" s="140"/>
      <c r="E1874" s="140"/>
    </row>
    <row r="1875" spans="1:5">
      <c r="A1875" s="140"/>
      <c r="B1875" s="192"/>
      <c r="C1875" s="140"/>
      <c r="D1875" s="140"/>
      <c r="E1875" s="140"/>
    </row>
    <row r="1876" spans="1:5">
      <c r="A1876" s="140"/>
      <c r="B1876" s="192"/>
      <c r="C1876" s="140"/>
      <c r="D1876" s="140"/>
      <c r="E1876" s="140"/>
    </row>
    <row r="1877" spans="1:5">
      <c r="A1877" s="140"/>
      <c r="B1877" s="192"/>
      <c r="C1877" s="140"/>
      <c r="D1877" s="140"/>
      <c r="E1877" s="140"/>
    </row>
    <row r="1878" spans="1:5">
      <c r="A1878" s="140"/>
      <c r="B1878" s="192"/>
      <c r="C1878" s="140"/>
      <c r="D1878" s="140"/>
      <c r="E1878" s="140"/>
    </row>
    <row r="1879" spans="1:5">
      <c r="A1879" s="140"/>
      <c r="B1879" s="192"/>
      <c r="C1879" s="140"/>
      <c r="D1879" s="140"/>
      <c r="E1879" s="140"/>
    </row>
    <row r="1880" spans="1:5">
      <c r="A1880" s="140"/>
      <c r="B1880" s="192"/>
      <c r="C1880" s="140"/>
      <c r="D1880" s="140"/>
      <c r="E1880" s="140"/>
    </row>
    <row r="1881" spans="1:5">
      <c r="A1881" s="140"/>
      <c r="B1881" s="192"/>
      <c r="C1881" s="140"/>
      <c r="D1881" s="140"/>
      <c r="E1881" s="140"/>
    </row>
    <row r="1882" spans="1:5">
      <c r="A1882" s="140"/>
      <c r="B1882" s="192"/>
      <c r="C1882" s="140"/>
      <c r="D1882" s="140"/>
      <c r="E1882" s="140"/>
    </row>
    <row r="1883" spans="1:5">
      <c r="A1883" s="140"/>
      <c r="B1883" s="192"/>
      <c r="C1883" s="140"/>
      <c r="D1883" s="140"/>
      <c r="E1883" s="140"/>
    </row>
    <row r="1884" spans="1:5">
      <c r="A1884" s="140"/>
      <c r="B1884" s="192"/>
      <c r="C1884" s="140"/>
      <c r="D1884" s="140"/>
      <c r="E1884" s="140"/>
    </row>
    <row r="1885" spans="1:5">
      <c r="A1885" s="140"/>
      <c r="B1885" s="192"/>
      <c r="C1885" s="140"/>
      <c r="D1885" s="140"/>
      <c r="E1885" s="140"/>
    </row>
    <row r="1886" spans="1:5">
      <c r="A1886" s="140"/>
      <c r="B1886" s="192"/>
      <c r="C1886" s="140"/>
      <c r="D1886" s="140"/>
      <c r="E1886" s="140"/>
    </row>
    <row r="1887" spans="1:5">
      <c r="A1887" s="140"/>
      <c r="B1887" s="192"/>
      <c r="C1887" s="140"/>
      <c r="D1887" s="140"/>
      <c r="E1887" s="140"/>
    </row>
    <row r="1888" spans="1:5">
      <c r="A1888" s="140"/>
      <c r="B1888" s="192"/>
      <c r="C1888" s="140"/>
      <c r="D1888" s="140"/>
      <c r="E1888" s="140"/>
    </row>
    <row r="1889" spans="1:5">
      <c r="A1889" s="140"/>
      <c r="B1889" s="192"/>
      <c r="C1889" s="140"/>
      <c r="D1889" s="140"/>
      <c r="E1889" s="140"/>
    </row>
    <row r="1890" spans="1:5">
      <c r="A1890" s="140"/>
      <c r="B1890" s="192"/>
      <c r="C1890" s="140"/>
      <c r="D1890" s="140"/>
      <c r="E1890" s="140"/>
    </row>
    <row r="1891" spans="1:5">
      <c r="A1891" s="140"/>
      <c r="B1891" s="192"/>
      <c r="C1891" s="140"/>
      <c r="D1891" s="140"/>
      <c r="E1891" s="140"/>
    </row>
    <row r="1892" spans="1:5">
      <c r="A1892" s="140"/>
      <c r="B1892" s="192"/>
      <c r="C1892" s="140"/>
      <c r="D1892" s="140"/>
      <c r="E1892" s="140"/>
    </row>
    <row r="1893" spans="1:5">
      <c r="A1893" s="140"/>
      <c r="B1893" s="192"/>
      <c r="C1893" s="140"/>
      <c r="D1893" s="140"/>
      <c r="E1893" s="140"/>
    </row>
    <row r="1894" spans="1:5">
      <c r="A1894" s="140"/>
      <c r="B1894" s="192"/>
      <c r="C1894" s="140"/>
      <c r="D1894" s="140"/>
      <c r="E1894" s="140"/>
    </row>
    <row r="1895" spans="1:5">
      <c r="A1895" s="140"/>
      <c r="B1895" s="192"/>
      <c r="C1895" s="140"/>
      <c r="D1895" s="140"/>
      <c r="E1895" s="140"/>
    </row>
    <row r="1896" spans="1:5">
      <c r="A1896" s="140"/>
      <c r="B1896" s="192"/>
      <c r="C1896" s="140"/>
      <c r="D1896" s="140"/>
      <c r="E1896" s="140"/>
    </row>
    <row r="1897" spans="1:5">
      <c r="A1897" s="140"/>
      <c r="B1897" s="192"/>
      <c r="C1897" s="140"/>
      <c r="D1897" s="140"/>
      <c r="E1897" s="140"/>
    </row>
    <row r="1898" spans="1:5">
      <c r="A1898" s="140"/>
      <c r="B1898" s="192"/>
      <c r="C1898" s="140"/>
      <c r="D1898" s="140"/>
      <c r="E1898" s="140"/>
    </row>
    <row r="1899" spans="1:5">
      <c r="A1899" s="140"/>
      <c r="B1899" s="192"/>
      <c r="C1899" s="140"/>
      <c r="D1899" s="140"/>
      <c r="E1899" s="140"/>
    </row>
    <row r="1900" spans="1:5">
      <c r="A1900" s="140"/>
      <c r="B1900" s="192"/>
      <c r="C1900" s="140"/>
      <c r="D1900" s="140"/>
      <c r="E1900" s="140"/>
    </row>
    <row r="1901" spans="1:5">
      <c r="A1901" s="140"/>
      <c r="B1901" s="192"/>
      <c r="C1901" s="140"/>
      <c r="D1901" s="140"/>
      <c r="E1901" s="140"/>
    </row>
    <row r="1902" spans="1:5">
      <c r="A1902" s="140"/>
      <c r="B1902" s="192"/>
      <c r="C1902" s="140"/>
      <c r="D1902" s="140"/>
      <c r="E1902" s="140"/>
    </row>
    <row r="1903" spans="1:5">
      <c r="A1903" s="140"/>
      <c r="B1903" s="192"/>
      <c r="C1903" s="140"/>
      <c r="D1903" s="140"/>
      <c r="E1903" s="140"/>
    </row>
    <row r="1904" spans="1:5">
      <c r="A1904" s="140"/>
      <c r="B1904" s="192"/>
      <c r="C1904" s="140"/>
      <c r="D1904" s="140"/>
      <c r="E1904" s="140"/>
    </row>
    <row r="1905" spans="1:5">
      <c r="A1905" s="140"/>
      <c r="B1905" s="192"/>
      <c r="C1905" s="140"/>
      <c r="D1905" s="140"/>
      <c r="E1905" s="140"/>
    </row>
    <row r="1906" spans="1:5">
      <c r="A1906" s="140"/>
      <c r="B1906" s="192"/>
      <c r="C1906" s="140"/>
      <c r="D1906" s="140"/>
      <c r="E1906" s="140"/>
    </row>
    <row r="1907" spans="1:5">
      <c r="A1907" s="140"/>
      <c r="B1907" s="192"/>
      <c r="C1907" s="140"/>
      <c r="D1907" s="140"/>
      <c r="E1907" s="140"/>
    </row>
    <row r="1908" spans="1:5">
      <c r="A1908" s="140"/>
      <c r="B1908" s="192"/>
      <c r="C1908" s="140"/>
      <c r="D1908" s="140"/>
      <c r="E1908" s="140"/>
    </row>
    <row r="1909" spans="1:5">
      <c r="A1909" s="140"/>
      <c r="B1909" s="192"/>
      <c r="C1909" s="140"/>
      <c r="D1909" s="140"/>
      <c r="E1909" s="140"/>
    </row>
    <row r="1910" spans="1:5">
      <c r="A1910" s="140"/>
      <c r="B1910" s="192"/>
      <c r="C1910" s="140"/>
      <c r="D1910" s="140"/>
      <c r="E1910" s="140"/>
    </row>
    <row r="1911" spans="1:5">
      <c r="A1911" s="140"/>
      <c r="B1911" s="192"/>
      <c r="C1911" s="140"/>
      <c r="D1911" s="140"/>
      <c r="E1911" s="140"/>
    </row>
    <row r="1912" spans="1:5">
      <c r="A1912" s="140"/>
      <c r="B1912" s="192"/>
      <c r="C1912" s="140"/>
      <c r="D1912" s="140"/>
      <c r="E1912" s="140"/>
    </row>
    <row r="1913" spans="1:5">
      <c r="A1913" s="140"/>
      <c r="B1913" s="192"/>
      <c r="C1913" s="140"/>
      <c r="D1913" s="140"/>
      <c r="E1913" s="140"/>
    </row>
    <row r="1914" spans="1:5">
      <c r="A1914" s="140"/>
      <c r="B1914" s="192"/>
      <c r="C1914" s="140"/>
      <c r="D1914" s="140"/>
      <c r="E1914" s="140"/>
    </row>
    <row r="1915" spans="1:5">
      <c r="A1915" s="140"/>
      <c r="B1915" s="192"/>
      <c r="C1915" s="140"/>
      <c r="D1915" s="140"/>
      <c r="E1915" s="140"/>
    </row>
    <row r="1916" spans="1:5">
      <c r="A1916" s="140"/>
      <c r="B1916" s="192"/>
      <c r="C1916" s="140"/>
      <c r="D1916" s="140"/>
      <c r="E1916" s="140"/>
    </row>
    <row r="1917" spans="1:5">
      <c r="A1917" s="140"/>
      <c r="B1917" s="192"/>
      <c r="C1917" s="140"/>
      <c r="D1917" s="140"/>
      <c r="E1917" s="140"/>
    </row>
    <row r="1918" spans="1:5">
      <c r="A1918" s="140"/>
      <c r="B1918" s="192"/>
      <c r="C1918" s="140"/>
      <c r="D1918" s="140"/>
      <c r="E1918" s="140"/>
    </row>
    <row r="1919" spans="1:5">
      <c r="A1919" s="140"/>
      <c r="B1919" s="192"/>
      <c r="C1919" s="140"/>
      <c r="D1919" s="140"/>
      <c r="E1919" s="140"/>
    </row>
    <row r="1920" spans="1:5">
      <c r="A1920" s="140"/>
      <c r="B1920" s="192"/>
      <c r="C1920" s="140"/>
      <c r="D1920" s="140"/>
      <c r="E1920" s="140"/>
    </row>
    <row r="1921" spans="1:5">
      <c r="A1921" s="140"/>
      <c r="B1921" s="192"/>
      <c r="C1921" s="140"/>
      <c r="D1921" s="140"/>
      <c r="E1921" s="140"/>
    </row>
    <row r="1922" spans="1:5">
      <c r="A1922" s="140"/>
      <c r="B1922" s="192"/>
      <c r="C1922" s="140"/>
      <c r="D1922" s="140"/>
      <c r="E1922" s="140"/>
    </row>
    <row r="1923" spans="1:5">
      <c r="A1923" s="140"/>
      <c r="B1923" s="192"/>
      <c r="C1923" s="140"/>
      <c r="D1923" s="140"/>
      <c r="E1923" s="140"/>
    </row>
    <row r="1924" spans="1:5">
      <c r="A1924" s="140"/>
      <c r="B1924" s="192"/>
      <c r="C1924" s="140"/>
      <c r="D1924" s="140"/>
      <c r="E1924" s="140"/>
    </row>
    <row r="1925" spans="1:5">
      <c r="A1925" s="140"/>
      <c r="B1925" s="192"/>
      <c r="C1925" s="140"/>
      <c r="D1925" s="140"/>
      <c r="E1925" s="140"/>
    </row>
    <row r="1926" spans="1:5">
      <c r="A1926" s="140"/>
      <c r="B1926" s="192"/>
      <c r="C1926" s="140"/>
      <c r="D1926" s="140"/>
      <c r="E1926" s="140"/>
    </row>
    <row r="1927" spans="1:5">
      <c r="A1927" s="140"/>
      <c r="B1927" s="192"/>
      <c r="C1927" s="140"/>
      <c r="D1927" s="140"/>
      <c r="E1927" s="140"/>
    </row>
    <row r="1928" spans="1:5">
      <c r="A1928" s="140"/>
      <c r="B1928" s="192"/>
      <c r="C1928" s="140"/>
      <c r="D1928" s="140"/>
      <c r="E1928" s="140"/>
    </row>
    <row r="1929" spans="1:5">
      <c r="A1929" s="140"/>
      <c r="B1929" s="192"/>
      <c r="C1929" s="140"/>
      <c r="D1929" s="140"/>
      <c r="E1929" s="140"/>
    </row>
    <row r="1930" spans="1:5">
      <c r="A1930" s="140"/>
      <c r="B1930" s="192"/>
      <c r="C1930" s="140"/>
      <c r="D1930" s="140"/>
      <c r="E1930" s="140"/>
    </row>
    <row r="1931" spans="1:5">
      <c r="A1931" s="140"/>
      <c r="B1931" s="192"/>
      <c r="C1931" s="140"/>
      <c r="D1931" s="140"/>
      <c r="E1931" s="140"/>
    </row>
    <row r="1932" spans="1:5">
      <c r="A1932" s="140"/>
      <c r="B1932" s="192"/>
      <c r="C1932" s="140"/>
      <c r="D1932" s="140"/>
      <c r="E1932" s="140"/>
    </row>
    <row r="1933" spans="1:5">
      <c r="A1933" s="140"/>
      <c r="B1933" s="192"/>
      <c r="C1933" s="140"/>
      <c r="D1933" s="140"/>
      <c r="E1933" s="140"/>
    </row>
    <row r="1934" spans="1:5">
      <c r="A1934" s="140"/>
      <c r="B1934" s="192"/>
      <c r="C1934" s="140"/>
      <c r="D1934" s="140"/>
      <c r="E1934" s="140"/>
    </row>
    <row r="1935" spans="1:5">
      <c r="A1935" s="140"/>
      <c r="B1935" s="192"/>
      <c r="C1935" s="140"/>
      <c r="D1935" s="140"/>
      <c r="E1935" s="140"/>
    </row>
    <row r="1936" spans="1:5">
      <c r="A1936" s="140"/>
      <c r="B1936" s="192"/>
      <c r="C1936" s="140"/>
      <c r="D1936" s="140"/>
      <c r="E1936" s="140"/>
    </row>
    <row r="1937" spans="1:5">
      <c r="A1937" s="140"/>
      <c r="B1937" s="192"/>
      <c r="C1937" s="140"/>
      <c r="D1937" s="140"/>
      <c r="E1937" s="140"/>
    </row>
    <row r="1938" spans="1:5">
      <c r="A1938" s="140"/>
      <c r="B1938" s="192"/>
      <c r="C1938" s="140"/>
      <c r="D1938" s="140"/>
      <c r="E1938" s="140"/>
    </row>
    <row r="1939" spans="1:5">
      <c r="A1939" s="140"/>
      <c r="B1939" s="192"/>
      <c r="C1939" s="140"/>
      <c r="D1939" s="140"/>
      <c r="E1939" s="140"/>
    </row>
    <row r="1940" spans="1:5">
      <c r="A1940" s="140"/>
      <c r="B1940" s="192"/>
      <c r="C1940" s="140"/>
      <c r="D1940" s="140"/>
      <c r="E1940" s="140"/>
    </row>
    <row r="1941" spans="1:5">
      <c r="A1941" s="140"/>
      <c r="B1941" s="192"/>
      <c r="C1941" s="140"/>
      <c r="D1941" s="140"/>
      <c r="E1941" s="140"/>
    </row>
    <row r="1942" spans="1:5">
      <c r="A1942" s="140"/>
      <c r="B1942" s="192"/>
      <c r="C1942" s="140"/>
      <c r="D1942" s="140"/>
      <c r="E1942" s="140"/>
    </row>
    <row r="1943" spans="1:5">
      <c r="A1943" s="140"/>
      <c r="B1943" s="192"/>
      <c r="C1943" s="140"/>
      <c r="D1943" s="140"/>
      <c r="E1943" s="140"/>
    </row>
    <row r="1944" spans="1:5">
      <c r="A1944" s="140"/>
      <c r="B1944" s="192"/>
      <c r="C1944" s="140"/>
      <c r="D1944" s="140"/>
      <c r="E1944" s="140"/>
    </row>
    <row r="1945" spans="1:5">
      <c r="A1945" s="140"/>
      <c r="B1945" s="192"/>
      <c r="C1945" s="140"/>
      <c r="D1945" s="140"/>
      <c r="E1945" s="140"/>
    </row>
    <row r="1946" spans="1:5">
      <c r="A1946" s="140"/>
      <c r="B1946" s="192"/>
      <c r="C1946" s="140"/>
      <c r="D1946" s="140"/>
      <c r="E1946" s="140"/>
    </row>
    <row r="1947" spans="1:5">
      <c r="A1947" s="140"/>
      <c r="B1947" s="192"/>
      <c r="C1947" s="140"/>
      <c r="D1947" s="140"/>
      <c r="E1947" s="140"/>
    </row>
    <row r="1948" spans="1:5">
      <c r="A1948" s="140"/>
      <c r="B1948" s="192"/>
      <c r="C1948" s="140"/>
      <c r="D1948" s="140"/>
      <c r="E1948" s="140"/>
    </row>
    <row r="1949" spans="1:5">
      <c r="A1949" s="140"/>
      <c r="B1949" s="192"/>
      <c r="C1949" s="140"/>
      <c r="D1949" s="140"/>
      <c r="E1949" s="140"/>
    </row>
    <row r="1950" spans="1:5">
      <c r="A1950" s="140"/>
      <c r="B1950" s="192"/>
      <c r="C1950" s="140"/>
      <c r="D1950" s="140"/>
      <c r="E1950" s="140"/>
    </row>
    <row r="1951" spans="1:5">
      <c r="A1951" s="140"/>
      <c r="B1951" s="192"/>
      <c r="C1951" s="140"/>
      <c r="D1951" s="140"/>
      <c r="E1951" s="140"/>
    </row>
    <row r="1952" spans="1:5">
      <c r="A1952" s="140"/>
      <c r="B1952" s="192"/>
      <c r="C1952" s="140"/>
      <c r="D1952" s="140"/>
      <c r="E1952" s="140"/>
    </row>
    <row r="1953" spans="1:5">
      <c r="A1953" s="140"/>
      <c r="B1953" s="192"/>
      <c r="C1953" s="140"/>
      <c r="D1953" s="140"/>
      <c r="E1953" s="140"/>
    </row>
    <row r="1954" spans="1:5">
      <c r="A1954" s="140"/>
      <c r="B1954" s="192"/>
      <c r="C1954" s="140"/>
      <c r="D1954" s="140"/>
      <c r="E1954" s="140"/>
    </row>
    <row r="1955" spans="1:5">
      <c r="A1955" s="140"/>
      <c r="B1955" s="192"/>
      <c r="C1955" s="140"/>
      <c r="D1955" s="140"/>
      <c r="E1955" s="140"/>
    </row>
    <row r="1956" spans="1:5">
      <c r="A1956" s="140"/>
      <c r="B1956" s="192"/>
      <c r="C1956" s="140"/>
      <c r="D1956" s="140"/>
      <c r="E1956" s="140"/>
    </row>
    <row r="1957" spans="1:5">
      <c r="A1957" s="140"/>
      <c r="B1957" s="192"/>
      <c r="C1957" s="140"/>
      <c r="D1957" s="140"/>
      <c r="E1957" s="140"/>
    </row>
    <row r="1958" spans="1:5">
      <c r="A1958" s="140"/>
      <c r="B1958" s="192"/>
      <c r="C1958" s="140"/>
      <c r="D1958" s="140"/>
      <c r="E1958" s="140"/>
    </row>
    <row r="1959" spans="1:5">
      <c r="A1959" s="140"/>
      <c r="B1959" s="192"/>
      <c r="C1959" s="140"/>
      <c r="D1959" s="140"/>
      <c r="E1959" s="140"/>
    </row>
    <row r="1960" spans="1:5">
      <c r="A1960" s="140"/>
      <c r="B1960" s="192"/>
      <c r="C1960" s="140"/>
      <c r="D1960" s="140"/>
      <c r="E1960" s="140"/>
    </row>
    <row r="1961" spans="1:5">
      <c r="A1961" s="140"/>
      <c r="B1961" s="192"/>
      <c r="C1961" s="140"/>
      <c r="D1961" s="140"/>
      <c r="E1961" s="140"/>
    </row>
    <row r="1962" spans="1:5">
      <c r="A1962" s="140"/>
      <c r="B1962" s="192"/>
      <c r="C1962" s="140"/>
      <c r="D1962" s="140"/>
      <c r="E1962" s="140"/>
    </row>
    <row r="1963" spans="1:5">
      <c r="A1963" s="140"/>
      <c r="B1963" s="192"/>
      <c r="C1963" s="140"/>
      <c r="D1963" s="140"/>
      <c r="E1963" s="140"/>
    </row>
    <row r="1964" spans="1:5">
      <c r="A1964" s="140"/>
      <c r="B1964" s="192"/>
      <c r="C1964" s="140"/>
      <c r="D1964" s="140"/>
      <c r="E1964" s="140"/>
    </row>
    <row r="1965" spans="1:5">
      <c r="A1965" s="140"/>
      <c r="B1965" s="192"/>
      <c r="C1965" s="140"/>
      <c r="D1965" s="140"/>
      <c r="E1965" s="140"/>
    </row>
    <row r="1966" spans="1:5">
      <c r="A1966" s="140"/>
      <c r="B1966" s="192"/>
      <c r="C1966" s="140"/>
      <c r="D1966" s="140"/>
      <c r="E1966" s="140"/>
    </row>
    <row r="1967" spans="1:5">
      <c r="A1967" s="140"/>
      <c r="B1967" s="192"/>
      <c r="C1967" s="140"/>
      <c r="D1967" s="140"/>
      <c r="E1967" s="140"/>
    </row>
    <row r="1968" spans="1:5">
      <c r="A1968" s="140"/>
      <c r="B1968" s="192"/>
      <c r="C1968" s="140"/>
      <c r="D1968" s="140"/>
      <c r="E1968" s="140"/>
    </row>
    <row r="1969" spans="1:5">
      <c r="A1969" s="140"/>
      <c r="B1969" s="192"/>
      <c r="C1969" s="140"/>
      <c r="D1969" s="140"/>
      <c r="E1969" s="140"/>
    </row>
    <row r="1970" spans="1:5">
      <c r="A1970" s="140"/>
      <c r="B1970" s="192"/>
      <c r="C1970" s="140"/>
      <c r="D1970" s="140"/>
      <c r="E1970" s="140"/>
    </row>
    <row r="1971" spans="1:5">
      <c r="A1971" s="140"/>
      <c r="B1971" s="192"/>
      <c r="C1971" s="140"/>
      <c r="D1971" s="140"/>
      <c r="E1971" s="140"/>
    </row>
    <row r="1972" spans="1:5">
      <c r="A1972" s="140"/>
      <c r="B1972" s="192"/>
      <c r="C1972" s="140"/>
      <c r="D1972" s="140"/>
      <c r="E1972" s="140"/>
    </row>
    <row r="1973" spans="1:5">
      <c r="A1973" s="140"/>
      <c r="B1973" s="192"/>
      <c r="C1973" s="140"/>
      <c r="D1973" s="140"/>
      <c r="E1973" s="140"/>
    </row>
    <row r="1974" spans="1:5">
      <c r="A1974" s="140"/>
      <c r="B1974" s="192"/>
      <c r="C1974" s="140"/>
      <c r="D1974" s="140"/>
      <c r="E1974" s="140"/>
    </row>
    <row r="1975" spans="1:5">
      <c r="A1975" s="140"/>
      <c r="B1975" s="192"/>
      <c r="C1975" s="140"/>
      <c r="D1975" s="140"/>
      <c r="E1975" s="140"/>
    </row>
    <row r="1976" spans="1:5">
      <c r="A1976" s="140"/>
      <c r="B1976" s="192"/>
      <c r="C1976" s="140"/>
      <c r="D1976" s="140"/>
      <c r="E1976" s="140"/>
    </row>
    <row r="1977" spans="1:5">
      <c r="A1977" s="140"/>
      <c r="B1977" s="192"/>
      <c r="C1977" s="140"/>
      <c r="D1977" s="140"/>
      <c r="E1977" s="140"/>
    </row>
    <row r="1978" spans="1:5">
      <c r="A1978" s="140"/>
      <c r="B1978" s="192"/>
      <c r="C1978" s="140"/>
      <c r="D1978" s="140"/>
      <c r="E1978" s="140"/>
    </row>
    <row r="1979" spans="1:5">
      <c r="A1979" s="140"/>
      <c r="B1979" s="192"/>
      <c r="C1979" s="140"/>
      <c r="D1979" s="140"/>
      <c r="E1979" s="140"/>
    </row>
    <row r="1980" spans="1:5">
      <c r="A1980" s="140"/>
      <c r="B1980" s="192"/>
      <c r="C1980" s="140"/>
      <c r="D1980" s="140"/>
      <c r="E1980" s="140"/>
    </row>
    <row r="1981" spans="1:5">
      <c r="A1981" s="140"/>
      <c r="B1981" s="192"/>
      <c r="C1981" s="140"/>
      <c r="D1981" s="140"/>
      <c r="E1981" s="140"/>
    </row>
    <row r="1982" spans="1:5">
      <c r="A1982" s="140"/>
      <c r="B1982" s="192"/>
      <c r="C1982" s="140"/>
      <c r="D1982" s="140"/>
      <c r="E1982" s="140"/>
    </row>
    <row r="1983" spans="1:5">
      <c r="A1983" s="140"/>
      <c r="B1983" s="192"/>
      <c r="C1983" s="140"/>
      <c r="D1983" s="140"/>
      <c r="E1983" s="140"/>
    </row>
    <row r="1984" spans="1:5">
      <c r="A1984" s="140"/>
      <c r="B1984" s="192"/>
      <c r="C1984" s="140"/>
      <c r="D1984" s="140"/>
      <c r="E1984" s="140"/>
    </row>
    <row r="1985" spans="1:5">
      <c r="A1985" s="140"/>
      <c r="B1985" s="192"/>
      <c r="C1985" s="140"/>
      <c r="D1985" s="140"/>
      <c r="E1985" s="140"/>
    </row>
    <row r="1986" spans="1:5">
      <c r="A1986" s="140"/>
      <c r="B1986" s="192"/>
      <c r="C1986" s="140"/>
      <c r="D1986" s="140"/>
      <c r="E1986" s="140"/>
    </row>
    <row r="1987" spans="1:5">
      <c r="A1987" s="140"/>
      <c r="B1987" s="192"/>
      <c r="C1987" s="140"/>
      <c r="D1987" s="140"/>
      <c r="E1987" s="140"/>
    </row>
    <row r="1988" spans="1:5">
      <c r="A1988" s="140"/>
      <c r="B1988" s="192"/>
      <c r="C1988" s="140"/>
      <c r="D1988" s="140"/>
      <c r="E1988" s="140"/>
    </row>
    <row r="1989" spans="1:5">
      <c r="A1989" s="140"/>
      <c r="B1989" s="192"/>
      <c r="C1989" s="140"/>
      <c r="D1989" s="140"/>
      <c r="E1989" s="140"/>
    </row>
    <row r="1990" spans="1:5">
      <c r="A1990" s="140"/>
      <c r="B1990" s="192"/>
      <c r="C1990" s="140"/>
      <c r="D1990" s="140"/>
      <c r="E1990" s="140"/>
    </row>
    <row r="1991" spans="1:5">
      <c r="A1991" s="140"/>
      <c r="B1991" s="192"/>
      <c r="C1991" s="140"/>
      <c r="D1991" s="140"/>
      <c r="E1991" s="140"/>
    </row>
    <row r="1992" spans="1:5">
      <c r="A1992" s="140"/>
      <c r="B1992" s="192"/>
      <c r="C1992" s="140"/>
      <c r="D1992" s="140"/>
      <c r="E1992" s="140"/>
    </row>
    <row r="1993" spans="1:5">
      <c r="A1993" s="140"/>
      <c r="B1993" s="192"/>
      <c r="C1993" s="140"/>
      <c r="D1993" s="140"/>
      <c r="E1993" s="140"/>
    </row>
    <row r="1994" spans="1:5">
      <c r="A1994" s="140"/>
      <c r="B1994" s="192"/>
      <c r="C1994" s="140"/>
      <c r="D1994" s="140"/>
      <c r="E1994" s="140"/>
    </row>
    <row r="1995" spans="1:5">
      <c r="A1995" s="140"/>
      <c r="B1995" s="192"/>
      <c r="C1995" s="140"/>
      <c r="D1995" s="140"/>
      <c r="E1995" s="140"/>
    </row>
    <row r="1996" spans="1:5">
      <c r="A1996" s="140"/>
      <c r="B1996" s="192"/>
      <c r="C1996" s="140"/>
      <c r="D1996" s="140"/>
      <c r="E1996" s="140"/>
    </row>
    <row r="1997" spans="1:5">
      <c r="A1997" s="140"/>
      <c r="B1997" s="192"/>
      <c r="C1997" s="140"/>
      <c r="D1997" s="140"/>
      <c r="E1997" s="140"/>
    </row>
    <row r="1998" spans="1:5">
      <c r="A1998" s="140"/>
      <c r="B1998" s="192"/>
      <c r="C1998" s="140"/>
      <c r="D1998" s="140"/>
      <c r="E1998" s="140"/>
    </row>
    <row r="1999" spans="1:5">
      <c r="A1999" s="140"/>
      <c r="B1999" s="192"/>
      <c r="C1999" s="140"/>
      <c r="D1999" s="140"/>
      <c r="E1999" s="140"/>
    </row>
    <row r="2000" spans="1:5">
      <c r="A2000" s="140"/>
      <c r="B2000" s="192"/>
      <c r="C2000" s="140"/>
      <c r="D2000" s="140"/>
      <c r="E2000" s="140"/>
    </row>
    <row r="2001" spans="1:5">
      <c r="A2001" s="140"/>
      <c r="B2001" s="192"/>
      <c r="C2001" s="140"/>
      <c r="D2001" s="140"/>
      <c r="E2001" s="140"/>
    </row>
    <row r="2002" spans="1:5">
      <c r="A2002" s="140"/>
      <c r="B2002" s="192"/>
      <c r="C2002" s="140"/>
      <c r="D2002" s="140"/>
      <c r="E2002" s="140"/>
    </row>
    <row r="2003" spans="1:5">
      <c r="A2003" s="140"/>
      <c r="B2003" s="192"/>
      <c r="C2003" s="140"/>
      <c r="D2003" s="140"/>
      <c r="E2003" s="140"/>
    </row>
    <row r="2004" spans="1:5">
      <c r="A2004" s="140"/>
      <c r="B2004" s="192"/>
      <c r="C2004" s="140"/>
      <c r="D2004" s="140"/>
      <c r="E2004" s="140"/>
    </row>
    <row r="2005" spans="1:5">
      <c r="A2005" s="140"/>
      <c r="B2005" s="192"/>
      <c r="C2005" s="140"/>
      <c r="D2005" s="140"/>
      <c r="E2005" s="140"/>
    </row>
    <row r="2006" spans="1:5">
      <c r="A2006" s="140"/>
      <c r="B2006" s="192"/>
      <c r="C2006" s="140"/>
      <c r="D2006" s="140"/>
      <c r="E2006" s="140"/>
    </row>
    <row r="2007" spans="1:5">
      <c r="A2007" s="140"/>
      <c r="B2007" s="192"/>
      <c r="C2007" s="140"/>
      <c r="D2007" s="140"/>
      <c r="E2007" s="140"/>
    </row>
    <row r="2008" spans="1:5">
      <c r="A2008" s="140"/>
      <c r="B2008" s="192"/>
      <c r="C2008" s="140"/>
      <c r="D2008" s="140"/>
      <c r="E2008" s="140"/>
    </row>
    <row r="2009" spans="1:5">
      <c r="A2009" s="140"/>
      <c r="B2009" s="192"/>
      <c r="C2009" s="140"/>
      <c r="D2009" s="140"/>
      <c r="E2009" s="140"/>
    </row>
    <row r="2010" spans="1:5">
      <c r="A2010" s="140"/>
      <c r="B2010" s="192"/>
      <c r="C2010" s="140"/>
      <c r="D2010" s="140"/>
      <c r="E2010" s="140"/>
    </row>
    <row r="2011" spans="1:5">
      <c r="A2011" s="140"/>
      <c r="B2011" s="192"/>
      <c r="C2011" s="140"/>
      <c r="D2011" s="140"/>
      <c r="E2011" s="140"/>
    </row>
    <row r="2012" spans="1:5">
      <c r="A2012" s="140"/>
      <c r="B2012" s="192"/>
      <c r="C2012" s="140"/>
      <c r="D2012" s="140"/>
      <c r="E2012" s="140"/>
    </row>
    <row r="2013" spans="1:5">
      <c r="A2013" s="140"/>
      <c r="B2013" s="192"/>
      <c r="C2013" s="140"/>
      <c r="D2013" s="140"/>
      <c r="E2013" s="140"/>
    </row>
    <row r="2014" spans="1:5">
      <c r="A2014" s="140"/>
      <c r="B2014" s="192"/>
      <c r="C2014" s="140"/>
      <c r="D2014" s="140"/>
      <c r="E2014" s="140"/>
    </row>
    <row r="2015" spans="1:5">
      <c r="A2015" s="140"/>
      <c r="B2015" s="192"/>
      <c r="C2015" s="140"/>
      <c r="D2015" s="140"/>
      <c r="E2015" s="140"/>
    </row>
    <row r="2016" spans="1:5">
      <c r="A2016" s="140"/>
      <c r="B2016" s="192"/>
      <c r="C2016" s="140"/>
      <c r="D2016" s="140"/>
      <c r="E2016" s="140"/>
    </row>
    <row r="2017" spans="1:5">
      <c r="A2017" s="140"/>
      <c r="B2017" s="192"/>
      <c r="C2017" s="140"/>
      <c r="D2017" s="140"/>
      <c r="E2017" s="140"/>
    </row>
    <row r="2018" spans="1:5">
      <c r="A2018" s="140"/>
      <c r="B2018" s="192"/>
      <c r="C2018" s="140"/>
      <c r="D2018" s="140"/>
      <c r="E2018" s="140"/>
    </row>
    <row r="2019" spans="1:5">
      <c r="A2019" s="140"/>
      <c r="B2019" s="192"/>
      <c r="C2019" s="140"/>
      <c r="D2019" s="140"/>
      <c r="E2019" s="140"/>
    </row>
    <row r="2020" spans="1:5">
      <c r="A2020" s="140"/>
      <c r="B2020" s="192"/>
      <c r="C2020" s="140"/>
      <c r="D2020" s="140"/>
      <c r="E2020" s="140"/>
    </row>
    <row r="2021" spans="1:5">
      <c r="A2021" s="140"/>
      <c r="B2021" s="192"/>
      <c r="C2021" s="140"/>
      <c r="D2021" s="140"/>
      <c r="E2021" s="140"/>
    </row>
    <row r="2022" spans="1:5">
      <c r="A2022" s="140"/>
      <c r="B2022" s="192"/>
      <c r="C2022" s="140"/>
      <c r="D2022" s="140"/>
      <c r="E2022" s="140"/>
    </row>
    <row r="2023" spans="1:5">
      <c r="A2023" s="140"/>
      <c r="B2023" s="192"/>
      <c r="C2023" s="140"/>
      <c r="D2023" s="140"/>
      <c r="E2023" s="140"/>
    </row>
    <row r="2024" spans="1:5">
      <c r="A2024" s="140"/>
      <c r="B2024" s="192"/>
      <c r="C2024" s="140"/>
      <c r="D2024" s="140"/>
      <c r="E2024" s="140"/>
    </row>
    <row r="2025" spans="1:5">
      <c r="A2025" s="140"/>
      <c r="B2025" s="192"/>
      <c r="C2025" s="140"/>
      <c r="D2025" s="140"/>
      <c r="E2025" s="140"/>
    </row>
    <row r="2026" spans="1:5">
      <c r="A2026" s="140"/>
      <c r="B2026" s="192"/>
      <c r="C2026" s="140"/>
      <c r="D2026" s="140"/>
      <c r="E2026" s="140"/>
    </row>
    <row r="2027" spans="1:5">
      <c r="A2027" s="140"/>
      <c r="B2027" s="192"/>
      <c r="C2027" s="140"/>
      <c r="D2027" s="140"/>
      <c r="E2027" s="140"/>
    </row>
    <row r="2028" spans="1:5">
      <c r="A2028" s="140"/>
      <c r="B2028" s="192"/>
      <c r="C2028" s="140"/>
      <c r="D2028" s="140"/>
      <c r="E2028" s="140"/>
    </row>
    <row r="2029" spans="1:5">
      <c r="A2029" s="140"/>
      <c r="B2029" s="192"/>
      <c r="C2029" s="140"/>
      <c r="D2029" s="140"/>
      <c r="E2029" s="140"/>
    </row>
    <row r="2030" spans="1:5">
      <c r="A2030" s="140"/>
      <c r="B2030" s="192"/>
      <c r="C2030" s="140"/>
      <c r="D2030" s="140"/>
      <c r="E2030" s="140"/>
    </row>
    <row r="2031" spans="1:5">
      <c r="A2031" s="140"/>
      <c r="B2031" s="192"/>
      <c r="C2031" s="140"/>
      <c r="D2031" s="140"/>
      <c r="E2031" s="140"/>
    </row>
    <row r="2032" spans="1:5">
      <c r="A2032" s="140"/>
      <c r="B2032" s="192"/>
      <c r="C2032" s="140"/>
      <c r="D2032" s="140"/>
      <c r="E2032" s="140"/>
    </row>
    <row r="2033" spans="1:5">
      <c r="A2033" s="140"/>
      <c r="B2033" s="192"/>
      <c r="C2033" s="140"/>
      <c r="D2033" s="140"/>
      <c r="E2033" s="140"/>
    </row>
    <row r="2034" spans="1:5">
      <c r="A2034" s="140"/>
      <c r="B2034" s="192"/>
      <c r="C2034" s="140"/>
      <c r="D2034" s="140"/>
      <c r="E2034" s="140"/>
    </row>
    <row r="2035" spans="1:5">
      <c r="A2035" s="140"/>
      <c r="B2035" s="192"/>
      <c r="C2035" s="140"/>
      <c r="D2035" s="140"/>
      <c r="E2035" s="140"/>
    </row>
    <row r="2036" spans="1:5">
      <c r="A2036" s="140"/>
      <c r="B2036" s="192"/>
      <c r="C2036" s="140"/>
      <c r="D2036" s="140"/>
      <c r="E2036" s="140"/>
    </row>
    <row r="2037" spans="1:5">
      <c r="A2037" s="140"/>
      <c r="B2037" s="192"/>
      <c r="C2037" s="140"/>
      <c r="D2037" s="140"/>
      <c r="E2037" s="140"/>
    </row>
    <row r="2038" spans="1:5">
      <c r="A2038" s="140"/>
      <c r="B2038" s="192"/>
      <c r="C2038" s="140"/>
      <c r="D2038" s="140"/>
      <c r="E2038" s="140"/>
    </row>
    <row r="2039" spans="1:5">
      <c r="A2039" s="140"/>
      <c r="B2039" s="192"/>
      <c r="C2039" s="140"/>
      <c r="D2039" s="140"/>
      <c r="E2039" s="140"/>
    </row>
    <row r="2040" spans="1:5">
      <c r="A2040" s="140"/>
      <c r="B2040" s="192"/>
      <c r="C2040" s="140"/>
      <c r="D2040" s="140"/>
      <c r="E2040" s="140"/>
    </row>
    <row r="2041" spans="1:5">
      <c r="A2041" s="140"/>
      <c r="B2041" s="192"/>
      <c r="C2041" s="140"/>
      <c r="D2041" s="140"/>
      <c r="E2041" s="140"/>
    </row>
    <row r="2042" spans="1:5">
      <c r="A2042" s="140"/>
      <c r="B2042" s="192"/>
      <c r="C2042" s="140"/>
      <c r="D2042" s="140"/>
      <c r="E2042" s="140"/>
    </row>
    <row r="2043" spans="1:5">
      <c r="A2043" s="140"/>
      <c r="B2043" s="192"/>
      <c r="C2043" s="140"/>
      <c r="D2043" s="140"/>
      <c r="E2043" s="140"/>
    </row>
    <row r="2044" spans="1:5">
      <c r="A2044" s="140"/>
      <c r="B2044" s="192"/>
      <c r="C2044" s="140"/>
      <c r="D2044" s="140"/>
      <c r="E2044" s="140"/>
    </row>
    <row r="2045" spans="1:5">
      <c r="A2045" s="140"/>
      <c r="B2045" s="192"/>
      <c r="C2045" s="140"/>
      <c r="D2045" s="140"/>
      <c r="E2045" s="140"/>
    </row>
    <row r="2046" spans="1:5">
      <c r="A2046" s="140"/>
      <c r="B2046" s="192"/>
      <c r="C2046" s="140"/>
      <c r="D2046" s="140"/>
      <c r="E2046" s="140"/>
    </row>
    <row r="2047" spans="1:5">
      <c r="A2047" s="140"/>
      <c r="B2047" s="192"/>
      <c r="C2047" s="140"/>
      <c r="D2047" s="140"/>
      <c r="E2047" s="140"/>
    </row>
    <row r="2048" spans="1:5">
      <c r="A2048" s="140"/>
      <c r="B2048" s="192"/>
      <c r="C2048" s="140"/>
      <c r="D2048" s="140"/>
      <c r="E2048" s="140"/>
    </row>
    <row r="2049" spans="1:5">
      <c r="A2049" s="140"/>
      <c r="B2049" s="192"/>
      <c r="C2049" s="140"/>
      <c r="D2049" s="140"/>
      <c r="E2049" s="140"/>
    </row>
    <row r="2050" spans="1:5">
      <c r="A2050" s="140"/>
      <c r="B2050" s="192"/>
      <c r="C2050" s="140"/>
      <c r="D2050" s="140"/>
      <c r="E2050" s="140"/>
    </row>
    <row r="2051" spans="1:5">
      <c r="A2051" s="140"/>
      <c r="B2051" s="192"/>
      <c r="C2051" s="140"/>
      <c r="D2051" s="140"/>
      <c r="E2051" s="140"/>
    </row>
    <row r="2052" spans="1:5">
      <c r="A2052" s="140"/>
      <c r="B2052" s="192"/>
      <c r="C2052" s="140"/>
      <c r="D2052" s="140"/>
      <c r="E2052" s="140"/>
    </row>
    <row r="2053" spans="1:5">
      <c r="A2053" s="140"/>
      <c r="B2053" s="192"/>
      <c r="C2053" s="140"/>
      <c r="D2053" s="140"/>
      <c r="E2053" s="140"/>
    </row>
    <row r="2054" spans="1:5">
      <c r="A2054" s="140"/>
      <c r="B2054" s="192"/>
      <c r="C2054" s="140"/>
      <c r="D2054" s="140"/>
      <c r="E2054" s="140"/>
    </row>
    <row r="2055" spans="1:5">
      <c r="A2055" s="140"/>
      <c r="B2055" s="192"/>
      <c r="C2055" s="140"/>
      <c r="D2055" s="140"/>
      <c r="E2055" s="140"/>
    </row>
    <row r="2056" spans="1:5">
      <c r="A2056" s="140"/>
      <c r="B2056" s="192"/>
      <c r="C2056" s="140"/>
      <c r="D2056" s="140"/>
      <c r="E2056" s="140"/>
    </row>
    <row r="2057" spans="1:5">
      <c r="A2057" s="140"/>
      <c r="B2057" s="192"/>
      <c r="C2057" s="140"/>
      <c r="D2057" s="140"/>
      <c r="E2057" s="140"/>
    </row>
    <row r="2058" spans="1:5">
      <c r="A2058" s="140"/>
      <c r="B2058" s="192"/>
      <c r="C2058" s="140"/>
      <c r="D2058" s="140"/>
      <c r="E2058" s="140"/>
    </row>
    <row r="2059" spans="1:5">
      <c r="A2059" s="140"/>
      <c r="B2059" s="192"/>
      <c r="C2059" s="140"/>
      <c r="D2059" s="140"/>
      <c r="E2059" s="140"/>
    </row>
    <row r="2060" spans="1:5">
      <c r="A2060" s="140"/>
      <c r="B2060" s="192"/>
      <c r="C2060" s="140"/>
      <c r="D2060" s="140"/>
      <c r="E2060" s="140"/>
    </row>
    <row r="2061" spans="1:5">
      <c r="A2061" s="140"/>
      <c r="B2061" s="192"/>
      <c r="C2061" s="140"/>
      <c r="D2061" s="140"/>
      <c r="E2061" s="140"/>
    </row>
    <row r="2062" spans="1:5">
      <c r="A2062" s="140"/>
      <c r="B2062" s="192"/>
      <c r="C2062" s="140"/>
      <c r="D2062" s="140"/>
      <c r="E2062" s="140"/>
    </row>
    <row r="2063" spans="1:5">
      <c r="A2063" s="140"/>
      <c r="B2063" s="192"/>
      <c r="C2063" s="140"/>
      <c r="D2063" s="140"/>
      <c r="E2063" s="140"/>
    </row>
    <row r="2064" spans="1:5">
      <c r="A2064" s="140"/>
      <c r="B2064" s="192"/>
      <c r="C2064" s="140"/>
      <c r="D2064" s="140"/>
      <c r="E2064" s="140"/>
    </row>
    <row r="2065" spans="1:5">
      <c r="A2065" s="140"/>
      <c r="B2065" s="192"/>
      <c r="C2065" s="140"/>
      <c r="D2065" s="140"/>
      <c r="E2065" s="140"/>
    </row>
    <row r="2066" spans="1:5">
      <c r="A2066" s="140"/>
      <c r="B2066" s="192"/>
      <c r="C2066" s="140"/>
      <c r="D2066" s="140"/>
      <c r="E2066" s="140"/>
    </row>
    <row r="2067" spans="1:5">
      <c r="A2067" s="140"/>
      <c r="B2067" s="192"/>
      <c r="C2067" s="140"/>
      <c r="D2067" s="140"/>
      <c r="E2067" s="140"/>
    </row>
    <row r="2068" spans="1:5">
      <c r="A2068" s="140"/>
      <c r="B2068" s="192"/>
      <c r="C2068" s="140"/>
      <c r="D2068" s="140"/>
      <c r="E2068" s="140"/>
    </row>
    <row r="2069" spans="1:5">
      <c r="A2069" s="140"/>
      <c r="B2069" s="192"/>
      <c r="C2069" s="140"/>
      <c r="D2069" s="140"/>
      <c r="E2069" s="140"/>
    </row>
    <row r="2070" spans="1:5">
      <c r="A2070" s="140"/>
      <c r="B2070" s="192"/>
      <c r="C2070" s="140"/>
      <c r="D2070" s="140"/>
      <c r="E2070" s="140"/>
    </row>
    <row r="2071" spans="1:5">
      <c r="A2071" s="140"/>
      <c r="B2071" s="192"/>
      <c r="C2071" s="140"/>
      <c r="D2071" s="140"/>
      <c r="E2071" s="140"/>
    </row>
    <row r="2072" spans="1:5">
      <c r="A2072" s="140"/>
      <c r="B2072" s="192"/>
      <c r="C2072" s="140"/>
      <c r="D2072" s="140"/>
      <c r="E2072" s="140"/>
    </row>
    <row r="2073" spans="1:5">
      <c r="A2073" s="140"/>
      <c r="B2073" s="192"/>
      <c r="C2073" s="140"/>
      <c r="D2073" s="140"/>
      <c r="E2073" s="140"/>
    </row>
    <row r="2074" spans="1:5">
      <c r="A2074" s="140"/>
      <c r="B2074" s="192"/>
      <c r="C2074" s="140"/>
      <c r="D2074" s="140"/>
      <c r="E2074" s="140"/>
    </row>
    <row r="2075" spans="1:5">
      <c r="A2075" s="140"/>
      <c r="B2075" s="192"/>
      <c r="C2075" s="140"/>
      <c r="D2075" s="140"/>
      <c r="E2075" s="140"/>
    </row>
    <row r="2076" spans="1:5">
      <c r="A2076" s="140"/>
      <c r="B2076" s="192"/>
      <c r="C2076" s="140"/>
      <c r="D2076" s="140"/>
      <c r="E2076" s="140"/>
    </row>
    <row r="2077" spans="1:5">
      <c r="A2077" s="140"/>
      <c r="B2077" s="192"/>
      <c r="C2077" s="140"/>
      <c r="D2077" s="140"/>
      <c r="E2077" s="140"/>
    </row>
    <row r="2078" spans="1:5">
      <c r="A2078" s="140"/>
      <c r="B2078" s="192"/>
      <c r="C2078" s="140"/>
      <c r="D2078" s="140"/>
      <c r="E2078" s="140"/>
    </row>
    <row r="2079" spans="1:5">
      <c r="A2079" s="140"/>
      <c r="B2079" s="192"/>
      <c r="C2079" s="140"/>
      <c r="D2079" s="140"/>
      <c r="E2079" s="140"/>
    </row>
    <row r="2080" spans="1:5">
      <c r="A2080" s="140"/>
      <c r="B2080" s="192"/>
      <c r="C2080" s="140"/>
      <c r="D2080" s="140"/>
      <c r="E2080" s="140"/>
    </row>
    <row r="2081" spans="1:5">
      <c r="A2081" s="140"/>
      <c r="B2081" s="192"/>
      <c r="C2081" s="140"/>
      <c r="D2081" s="140"/>
      <c r="E2081" s="140"/>
    </row>
    <row r="2082" spans="1:5">
      <c r="A2082" s="140"/>
      <c r="B2082" s="192"/>
      <c r="C2082" s="140"/>
      <c r="D2082" s="140"/>
      <c r="E2082" s="140"/>
    </row>
    <row r="2083" spans="1:5">
      <c r="A2083" s="140"/>
      <c r="B2083" s="192"/>
      <c r="C2083" s="140"/>
      <c r="D2083" s="140"/>
      <c r="E2083" s="140"/>
    </row>
    <row r="2084" spans="1:5">
      <c r="A2084" s="140"/>
      <c r="B2084" s="192"/>
      <c r="C2084" s="140"/>
      <c r="D2084" s="140"/>
      <c r="E2084" s="140"/>
    </row>
    <row r="2085" spans="1:5">
      <c r="A2085" s="140"/>
      <c r="B2085" s="192"/>
      <c r="C2085" s="140"/>
      <c r="D2085" s="140"/>
      <c r="E2085" s="140"/>
    </row>
    <row r="2086" spans="1:5">
      <c r="A2086" s="140"/>
      <c r="B2086" s="192"/>
      <c r="C2086" s="140"/>
      <c r="D2086" s="140"/>
      <c r="E2086" s="140"/>
    </row>
    <row r="2087" spans="1:5">
      <c r="A2087" s="140"/>
      <c r="B2087" s="192"/>
      <c r="C2087" s="140"/>
      <c r="D2087" s="140"/>
      <c r="E2087" s="140"/>
    </row>
    <row r="2088" spans="1:5">
      <c r="A2088" s="140"/>
      <c r="B2088" s="192"/>
      <c r="C2088" s="140"/>
      <c r="D2088" s="140"/>
      <c r="E2088" s="140"/>
    </row>
    <row r="2089" spans="1:5">
      <c r="A2089" s="140"/>
      <c r="B2089" s="192"/>
      <c r="C2089" s="140"/>
      <c r="D2089" s="140"/>
      <c r="E2089" s="140"/>
    </row>
    <row r="2090" spans="1:5">
      <c r="A2090" s="140"/>
      <c r="B2090" s="192"/>
      <c r="C2090" s="140"/>
      <c r="D2090" s="140"/>
      <c r="E2090" s="140"/>
    </row>
    <row r="2091" spans="1:5">
      <c r="A2091" s="140"/>
      <c r="B2091" s="192"/>
      <c r="C2091" s="140"/>
      <c r="D2091" s="140"/>
      <c r="E2091" s="140"/>
    </row>
    <row r="2092" spans="1:5">
      <c r="A2092" s="140"/>
      <c r="B2092" s="192"/>
      <c r="C2092" s="140"/>
      <c r="D2092" s="140"/>
      <c r="E2092" s="140"/>
    </row>
    <row r="2093" spans="1:5">
      <c r="A2093" s="140"/>
      <c r="B2093" s="192"/>
      <c r="C2093" s="140"/>
      <c r="D2093" s="140"/>
      <c r="E2093" s="140"/>
    </row>
    <row r="2094" spans="1:5">
      <c r="A2094" s="140"/>
      <c r="B2094" s="192"/>
      <c r="C2094" s="140"/>
      <c r="D2094" s="140"/>
      <c r="E2094" s="140"/>
    </row>
    <row r="2095" spans="1:5">
      <c r="A2095" s="140"/>
      <c r="B2095" s="192"/>
      <c r="C2095" s="140"/>
      <c r="D2095" s="140"/>
      <c r="E2095" s="140"/>
    </row>
    <row r="2096" spans="1:5">
      <c r="A2096" s="140"/>
      <c r="B2096" s="192"/>
      <c r="C2096" s="140"/>
      <c r="D2096" s="140"/>
      <c r="E2096" s="140"/>
    </row>
    <row r="2097" spans="1:5">
      <c r="A2097" s="140"/>
      <c r="B2097" s="192"/>
      <c r="C2097" s="140"/>
      <c r="D2097" s="140"/>
      <c r="E2097" s="140"/>
    </row>
    <row r="2098" spans="1:5">
      <c r="A2098" s="140"/>
      <c r="B2098" s="192"/>
      <c r="C2098" s="140"/>
      <c r="D2098" s="140"/>
      <c r="E2098" s="140"/>
    </row>
    <row r="2099" spans="1:5">
      <c r="A2099" s="140"/>
      <c r="B2099" s="192"/>
      <c r="C2099" s="140"/>
      <c r="D2099" s="140"/>
      <c r="E2099" s="140"/>
    </row>
    <row r="2100" spans="1:5">
      <c r="A2100" s="140"/>
      <c r="B2100" s="192"/>
      <c r="C2100" s="140"/>
      <c r="D2100" s="140"/>
      <c r="E2100" s="140"/>
    </row>
    <row r="2101" spans="1:5">
      <c r="A2101" s="140"/>
      <c r="B2101" s="192"/>
      <c r="C2101" s="140"/>
      <c r="D2101" s="140"/>
      <c r="E2101" s="140"/>
    </row>
    <row r="2102" spans="1:5">
      <c r="A2102" s="140"/>
      <c r="B2102" s="192"/>
      <c r="C2102" s="140"/>
      <c r="D2102" s="140"/>
      <c r="E2102" s="140"/>
    </row>
    <row r="2103" spans="1:5">
      <c r="A2103" s="140"/>
      <c r="B2103" s="192"/>
      <c r="C2103" s="140"/>
      <c r="D2103" s="140"/>
      <c r="E2103" s="140"/>
    </row>
    <row r="2104" spans="1:5">
      <c r="A2104" s="140"/>
      <c r="B2104" s="192"/>
      <c r="C2104" s="140"/>
      <c r="D2104" s="140"/>
      <c r="E2104" s="140"/>
    </row>
    <row r="2105" spans="1:5">
      <c r="A2105" s="140"/>
      <c r="B2105" s="192"/>
      <c r="C2105" s="140"/>
      <c r="D2105" s="140"/>
      <c r="E2105" s="140"/>
    </row>
    <row r="2106" spans="1:5">
      <c r="A2106" s="140"/>
      <c r="B2106" s="192"/>
      <c r="C2106" s="140"/>
      <c r="D2106" s="140"/>
      <c r="E2106" s="140"/>
    </row>
    <row r="2107" spans="1:5">
      <c r="A2107" s="140"/>
      <c r="B2107" s="192"/>
      <c r="C2107" s="140"/>
      <c r="D2107" s="140"/>
      <c r="E2107" s="140"/>
    </row>
    <row r="2108" spans="1:5">
      <c r="A2108" s="140"/>
      <c r="B2108" s="192"/>
      <c r="C2108" s="140"/>
      <c r="D2108" s="140"/>
      <c r="E2108" s="140"/>
    </row>
    <row r="2109" spans="1:5">
      <c r="A2109" s="140"/>
      <c r="B2109" s="192"/>
      <c r="C2109" s="140"/>
      <c r="D2109" s="140"/>
      <c r="E2109" s="140"/>
    </row>
    <row r="2110" spans="1:5">
      <c r="A2110" s="140"/>
      <c r="B2110" s="192"/>
      <c r="C2110" s="140"/>
      <c r="D2110" s="140"/>
      <c r="E2110" s="140"/>
    </row>
    <row r="2111" spans="1:5">
      <c r="A2111" s="140"/>
      <c r="B2111" s="192"/>
      <c r="C2111" s="140"/>
      <c r="D2111" s="140"/>
      <c r="E2111" s="140"/>
    </row>
    <row r="2112" spans="1:5">
      <c r="A2112" s="140"/>
      <c r="B2112" s="192"/>
      <c r="C2112" s="140"/>
      <c r="D2112" s="140"/>
      <c r="E2112" s="140"/>
    </row>
    <row r="2113" spans="1:5">
      <c r="A2113" s="140"/>
      <c r="B2113" s="192"/>
      <c r="C2113" s="140"/>
      <c r="D2113" s="140"/>
      <c r="E2113" s="140"/>
    </row>
    <row r="2114" spans="1:5">
      <c r="A2114" s="140"/>
      <c r="B2114" s="192"/>
      <c r="C2114" s="140"/>
      <c r="D2114" s="140"/>
      <c r="E2114" s="140"/>
    </row>
    <row r="2115" spans="1:5">
      <c r="A2115" s="140"/>
      <c r="B2115" s="192"/>
      <c r="C2115" s="140"/>
      <c r="D2115" s="140"/>
      <c r="E2115" s="140"/>
    </row>
    <row r="2116" spans="1:5">
      <c r="A2116" s="140"/>
      <c r="B2116" s="192"/>
      <c r="C2116" s="140"/>
      <c r="D2116" s="140"/>
      <c r="E2116" s="140"/>
    </row>
    <row r="2117" spans="1:5">
      <c r="A2117" s="140"/>
      <c r="B2117" s="192"/>
      <c r="C2117" s="140"/>
      <c r="D2117" s="140"/>
      <c r="E2117" s="140"/>
    </row>
    <row r="2118" spans="1:5">
      <c r="A2118" s="140"/>
      <c r="B2118" s="192"/>
      <c r="C2118" s="140"/>
      <c r="D2118" s="140"/>
      <c r="E2118" s="140"/>
    </row>
    <row r="2119" spans="1:5">
      <c r="A2119" s="140"/>
      <c r="B2119" s="192"/>
      <c r="C2119" s="140"/>
      <c r="D2119" s="140"/>
      <c r="E2119" s="140"/>
    </row>
    <row r="2120" spans="1:5">
      <c r="A2120" s="140"/>
      <c r="B2120" s="192"/>
      <c r="C2120" s="140"/>
      <c r="D2120" s="140"/>
      <c r="E2120" s="140"/>
    </row>
    <row r="2121" spans="1:5">
      <c r="A2121" s="140"/>
      <c r="B2121" s="192"/>
      <c r="C2121" s="140"/>
      <c r="D2121" s="140"/>
      <c r="E2121" s="140"/>
    </row>
    <row r="2122" spans="1:5">
      <c r="A2122" s="140"/>
      <c r="B2122" s="192"/>
      <c r="C2122" s="140"/>
      <c r="D2122" s="140"/>
      <c r="E2122" s="140"/>
    </row>
    <row r="2123" spans="1:5">
      <c r="A2123" s="140"/>
      <c r="B2123" s="192"/>
      <c r="C2123" s="140"/>
      <c r="D2123" s="140"/>
      <c r="E2123" s="140"/>
    </row>
    <row r="2124" spans="1:5">
      <c r="A2124" s="140"/>
      <c r="B2124" s="192"/>
      <c r="C2124" s="140"/>
      <c r="D2124" s="140"/>
      <c r="E2124" s="140"/>
    </row>
    <row r="2125" spans="1:5">
      <c r="A2125" s="140"/>
      <c r="B2125" s="192"/>
      <c r="C2125" s="140"/>
      <c r="D2125" s="140"/>
      <c r="E2125" s="140"/>
    </row>
    <row r="2126" spans="1:5">
      <c r="A2126" s="140"/>
      <c r="B2126" s="192"/>
      <c r="C2126" s="140"/>
      <c r="D2126" s="140"/>
      <c r="E2126" s="140"/>
    </row>
    <row r="2127" spans="1:5">
      <c r="A2127" s="140"/>
      <c r="B2127" s="192"/>
      <c r="C2127" s="140"/>
      <c r="D2127" s="140"/>
      <c r="E2127" s="140"/>
    </row>
    <row r="2128" spans="1:5">
      <c r="A2128" s="140"/>
      <c r="B2128" s="192"/>
      <c r="C2128" s="140"/>
      <c r="D2128" s="140"/>
      <c r="E2128" s="140"/>
    </row>
    <row r="2129" spans="1:5">
      <c r="A2129" s="140"/>
      <c r="B2129" s="192"/>
      <c r="C2129" s="140"/>
      <c r="D2129" s="140"/>
      <c r="E2129" s="140"/>
    </row>
    <row r="2130" spans="1:5">
      <c r="A2130" s="140"/>
      <c r="B2130" s="192"/>
      <c r="C2130" s="140"/>
      <c r="D2130" s="140"/>
      <c r="E2130" s="140"/>
    </row>
    <row r="2131" spans="1:5">
      <c r="A2131" s="140"/>
      <c r="B2131" s="192"/>
      <c r="C2131" s="140"/>
      <c r="D2131" s="140"/>
      <c r="E2131" s="140"/>
    </row>
    <row r="2132" spans="1:5">
      <c r="A2132" s="140"/>
      <c r="B2132" s="192"/>
      <c r="C2132" s="140"/>
      <c r="D2132" s="140"/>
      <c r="E2132" s="140"/>
    </row>
    <row r="2133" spans="1:5">
      <c r="A2133" s="140"/>
      <c r="B2133" s="192"/>
      <c r="C2133" s="140"/>
      <c r="D2133" s="140"/>
      <c r="E2133" s="140"/>
    </row>
    <row r="2134" spans="1:5">
      <c r="A2134" s="140"/>
      <c r="B2134" s="192"/>
      <c r="C2134" s="140"/>
      <c r="D2134" s="140"/>
      <c r="E2134" s="140"/>
    </row>
    <row r="2135" spans="1:5">
      <c r="A2135" s="140"/>
      <c r="B2135" s="192"/>
      <c r="C2135" s="140"/>
      <c r="D2135" s="140"/>
      <c r="E2135" s="140"/>
    </row>
    <row r="2136" spans="1:5">
      <c r="A2136" s="140"/>
      <c r="B2136" s="192"/>
      <c r="C2136" s="140"/>
      <c r="D2136" s="140"/>
      <c r="E2136" s="140"/>
    </row>
    <row r="2137" spans="1:5">
      <c r="A2137" s="140"/>
      <c r="B2137" s="192"/>
      <c r="C2137" s="140"/>
      <c r="D2137" s="140"/>
      <c r="E2137" s="140"/>
    </row>
    <row r="2138" spans="1:5">
      <c r="A2138" s="140"/>
      <c r="B2138" s="192"/>
      <c r="C2138" s="140"/>
      <c r="D2138" s="140"/>
      <c r="E2138" s="140"/>
    </row>
    <row r="2139" spans="1:5">
      <c r="A2139" s="140"/>
      <c r="B2139" s="192"/>
      <c r="C2139" s="140"/>
      <c r="D2139" s="140"/>
      <c r="E2139" s="140"/>
    </row>
    <row r="2140" spans="1:5">
      <c r="A2140" s="140"/>
      <c r="B2140" s="192"/>
      <c r="C2140" s="140"/>
      <c r="D2140" s="140"/>
      <c r="E2140" s="140"/>
    </row>
    <row r="2141" spans="1:5">
      <c r="A2141" s="140"/>
      <c r="B2141" s="192"/>
      <c r="C2141" s="140"/>
      <c r="D2141" s="140"/>
      <c r="E2141" s="140"/>
    </row>
    <row r="2142" spans="1:5">
      <c r="A2142" s="140"/>
      <c r="B2142" s="192"/>
      <c r="C2142" s="140"/>
      <c r="D2142" s="140"/>
      <c r="E2142" s="140"/>
    </row>
    <row r="2143" spans="1:5">
      <c r="A2143" s="140"/>
      <c r="B2143" s="192"/>
      <c r="C2143" s="140"/>
      <c r="D2143" s="140"/>
      <c r="E2143" s="140"/>
    </row>
    <row r="2144" spans="1:5">
      <c r="A2144" s="140"/>
      <c r="B2144" s="192"/>
      <c r="C2144" s="140"/>
      <c r="D2144" s="140"/>
      <c r="E2144" s="140"/>
    </row>
    <row r="2145" spans="1:5">
      <c r="A2145" s="140"/>
      <c r="B2145" s="192"/>
      <c r="C2145" s="140"/>
      <c r="D2145" s="140"/>
      <c r="E2145" s="140"/>
    </row>
    <row r="2146" spans="1:5">
      <c r="A2146" s="140"/>
      <c r="B2146" s="192"/>
      <c r="C2146" s="140"/>
      <c r="D2146" s="140"/>
      <c r="E2146" s="140"/>
    </row>
    <row r="2147" spans="1:5">
      <c r="A2147" s="140"/>
      <c r="B2147" s="192"/>
      <c r="C2147" s="140"/>
      <c r="D2147" s="140"/>
      <c r="E2147" s="140"/>
    </row>
    <row r="2148" spans="1:5">
      <c r="A2148" s="140"/>
      <c r="B2148" s="192"/>
      <c r="C2148" s="140"/>
      <c r="D2148" s="140"/>
      <c r="E2148" s="140"/>
    </row>
    <row r="2149" spans="1:5">
      <c r="A2149" s="140"/>
      <c r="B2149" s="192"/>
      <c r="C2149" s="140"/>
      <c r="D2149" s="140"/>
      <c r="E2149" s="140"/>
    </row>
    <row r="2150" spans="1:5">
      <c r="A2150" s="140"/>
      <c r="B2150" s="192"/>
      <c r="C2150" s="140"/>
      <c r="D2150" s="140"/>
      <c r="E2150" s="140"/>
    </row>
    <row r="2151" spans="1:5">
      <c r="A2151" s="140"/>
      <c r="B2151" s="192"/>
      <c r="C2151" s="140"/>
      <c r="D2151" s="140"/>
      <c r="E2151" s="140"/>
    </row>
    <row r="2152" spans="1:5">
      <c r="A2152" s="140"/>
      <c r="B2152" s="192"/>
      <c r="C2152" s="140"/>
      <c r="D2152" s="140"/>
      <c r="E2152" s="140"/>
    </row>
    <row r="2153" spans="1:5">
      <c r="A2153" s="140"/>
      <c r="B2153" s="192"/>
      <c r="C2153" s="140"/>
      <c r="D2153" s="140"/>
      <c r="E2153" s="140"/>
    </row>
    <row r="2154" spans="1:5">
      <c r="A2154" s="140"/>
      <c r="B2154" s="192"/>
      <c r="C2154" s="140"/>
      <c r="D2154" s="140"/>
      <c r="E2154" s="140"/>
    </row>
    <row r="2155" spans="1:5">
      <c r="A2155" s="140"/>
      <c r="B2155" s="192"/>
      <c r="C2155" s="140"/>
      <c r="D2155" s="140"/>
      <c r="E2155" s="140"/>
    </row>
    <row r="2156" spans="1:5">
      <c r="A2156" s="140"/>
      <c r="B2156" s="192"/>
      <c r="C2156" s="140"/>
      <c r="D2156" s="140"/>
      <c r="E2156" s="140"/>
    </row>
    <row r="2157" spans="1:5">
      <c r="A2157" s="140"/>
      <c r="B2157" s="192"/>
      <c r="C2157" s="140"/>
      <c r="D2157" s="140"/>
      <c r="E2157" s="140"/>
    </row>
    <row r="2158" spans="1:5">
      <c r="A2158" s="140"/>
      <c r="B2158" s="192"/>
      <c r="C2158" s="140"/>
      <c r="D2158" s="140"/>
      <c r="E2158" s="140"/>
    </row>
    <row r="2159" spans="1:5">
      <c r="A2159" s="140"/>
      <c r="B2159" s="192"/>
      <c r="C2159" s="140"/>
      <c r="D2159" s="140"/>
      <c r="E2159" s="140"/>
    </row>
    <row r="2160" spans="1:5">
      <c r="A2160" s="140"/>
      <c r="B2160" s="192"/>
      <c r="C2160" s="140"/>
      <c r="D2160" s="140"/>
      <c r="E2160" s="140"/>
    </row>
    <row r="2161" spans="1:5">
      <c r="A2161" s="140"/>
      <c r="B2161" s="192"/>
      <c r="C2161" s="140"/>
      <c r="D2161" s="140"/>
      <c r="E2161" s="140"/>
    </row>
    <row r="2162" spans="1:5">
      <c r="A2162" s="140"/>
      <c r="B2162" s="192"/>
      <c r="C2162" s="140"/>
      <c r="D2162" s="140"/>
      <c r="E2162" s="140"/>
    </row>
    <row r="2163" spans="1:5">
      <c r="A2163" s="140"/>
      <c r="B2163" s="192"/>
      <c r="C2163" s="140"/>
      <c r="D2163" s="140"/>
      <c r="E2163" s="140"/>
    </row>
    <row r="2164" spans="1:5">
      <c r="A2164" s="140"/>
      <c r="B2164" s="192"/>
      <c r="C2164" s="140"/>
      <c r="D2164" s="140"/>
      <c r="E2164" s="140"/>
    </row>
    <row r="2165" spans="1:5">
      <c r="A2165" s="140"/>
      <c r="B2165" s="192"/>
      <c r="C2165" s="140"/>
      <c r="D2165" s="140"/>
      <c r="E2165" s="140"/>
    </row>
    <row r="2166" spans="1:5">
      <c r="A2166" s="140"/>
      <c r="B2166" s="192"/>
      <c r="C2166" s="140"/>
      <c r="D2166" s="140"/>
      <c r="E2166" s="140"/>
    </row>
    <row r="2167" spans="1:5">
      <c r="A2167" s="140"/>
      <c r="B2167" s="192"/>
      <c r="C2167" s="140"/>
      <c r="D2167" s="140"/>
      <c r="E2167" s="140"/>
    </row>
    <row r="2168" spans="1:5">
      <c r="A2168" s="140"/>
      <c r="B2168" s="192"/>
      <c r="C2168" s="140"/>
      <c r="D2168" s="140"/>
      <c r="E2168" s="140"/>
    </row>
    <row r="2169" spans="1:5">
      <c r="A2169" s="140"/>
      <c r="B2169" s="192"/>
      <c r="C2169" s="140"/>
      <c r="D2169" s="140"/>
      <c r="E2169" s="140"/>
    </row>
    <row r="2170" spans="1:5">
      <c r="A2170" s="140"/>
      <c r="B2170" s="192"/>
      <c r="C2170" s="140"/>
      <c r="D2170" s="140"/>
      <c r="E2170" s="140"/>
    </row>
    <row r="2171" spans="1:5">
      <c r="A2171" s="140"/>
      <c r="B2171" s="192"/>
      <c r="C2171" s="140"/>
      <c r="D2171" s="140"/>
      <c r="E2171" s="140"/>
    </row>
    <row r="2172" spans="1:5">
      <c r="A2172" s="140"/>
      <c r="B2172" s="192"/>
      <c r="C2172" s="140"/>
      <c r="D2172" s="140"/>
      <c r="E2172" s="140"/>
    </row>
    <row r="2173" spans="1:5">
      <c r="A2173" s="140"/>
      <c r="B2173" s="192"/>
      <c r="C2173" s="140"/>
      <c r="D2173" s="140"/>
      <c r="E2173" s="140"/>
    </row>
    <row r="2174" spans="1:5">
      <c r="A2174" s="140"/>
      <c r="B2174" s="192"/>
      <c r="C2174" s="140"/>
      <c r="D2174" s="140"/>
      <c r="E2174" s="140"/>
    </row>
    <row r="2175" spans="1:5">
      <c r="A2175" s="140"/>
      <c r="B2175" s="192"/>
      <c r="C2175" s="140"/>
      <c r="D2175" s="140"/>
      <c r="E2175" s="140"/>
    </row>
    <row r="2176" spans="1:5">
      <c r="A2176" s="140"/>
      <c r="B2176" s="192"/>
      <c r="C2176" s="140"/>
      <c r="D2176" s="140"/>
      <c r="E2176" s="140"/>
    </row>
    <row r="2177" spans="1:5">
      <c r="A2177" s="140"/>
      <c r="B2177" s="192"/>
      <c r="C2177" s="140"/>
      <c r="D2177" s="140"/>
      <c r="E2177" s="140"/>
    </row>
    <row r="2178" spans="1:5">
      <c r="A2178" s="140"/>
      <c r="B2178" s="192"/>
      <c r="C2178" s="140"/>
      <c r="D2178" s="140"/>
      <c r="E2178" s="140"/>
    </row>
    <row r="2179" spans="1:5">
      <c r="A2179" s="140"/>
      <c r="B2179" s="192"/>
      <c r="C2179" s="140"/>
      <c r="D2179" s="140"/>
      <c r="E2179" s="140"/>
    </row>
    <row r="2180" spans="1:5">
      <c r="A2180" s="140"/>
      <c r="B2180" s="192"/>
      <c r="C2180" s="140"/>
      <c r="D2180" s="140"/>
      <c r="E2180" s="140"/>
    </row>
    <row r="2181" spans="1:5">
      <c r="A2181" s="140"/>
      <c r="B2181" s="192"/>
      <c r="C2181" s="140"/>
      <c r="D2181" s="140"/>
      <c r="E2181" s="140"/>
    </row>
    <row r="2182" spans="1:5">
      <c r="A2182" s="140"/>
      <c r="B2182" s="192"/>
      <c r="C2182" s="140"/>
      <c r="D2182" s="140"/>
      <c r="E2182" s="140"/>
    </row>
    <row r="2183" spans="1:5">
      <c r="A2183" s="140"/>
      <c r="B2183" s="192"/>
      <c r="C2183" s="140"/>
      <c r="D2183" s="140"/>
      <c r="E2183" s="140"/>
    </row>
    <row r="2184" spans="1:5">
      <c r="A2184" s="140"/>
      <c r="B2184" s="192"/>
      <c r="C2184" s="140"/>
      <c r="D2184" s="140"/>
      <c r="E2184" s="140"/>
    </row>
    <row r="2185" spans="1:5">
      <c r="A2185" s="140"/>
      <c r="B2185" s="192"/>
      <c r="C2185" s="140"/>
      <c r="D2185" s="140"/>
      <c r="E2185" s="140"/>
    </row>
    <row r="2186" spans="1:5">
      <c r="A2186" s="140"/>
      <c r="B2186" s="192"/>
      <c r="C2186" s="140"/>
      <c r="D2186" s="140"/>
      <c r="E2186" s="140"/>
    </row>
    <row r="2187" spans="1:5">
      <c r="A2187" s="140"/>
      <c r="B2187" s="192"/>
      <c r="C2187" s="140"/>
      <c r="D2187" s="140"/>
      <c r="E2187" s="140"/>
    </row>
    <row r="2188" spans="1:5">
      <c r="A2188" s="140"/>
      <c r="B2188" s="192"/>
      <c r="C2188" s="140"/>
      <c r="D2188" s="140"/>
      <c r="E2188" s="140"/>
    </row>
    <row r="2189" spans="1:5">
      <c r="A2189" s="140"/>
      <c r="B2189" s="192"/>
      <c r="C2189" s="140"/>
      <c r="D2189" s="140"/>
      <c r="E2189" s="140"/>
    </row>
    <row r="2190" spans="1:5">
      <c r="A2190" s="140"/>
      <c r="B2190" s="192"/>
      <c r="C2190" s="140"/>
      <c r="D2190" s="140"/>
      <c r="E2190" s="140"/>
    </row>
    <row r="2191" spans="1:5">
      <c r="A2191" s="140"/>
      <c r="B2191" s="192"/>
      <c r="C2191" s="140"/>
      <c r="D2191" s="140"/>
      <c r="E2191" s="140"/>
    </row>
    <row r="2192" spans="1:5">
      <c r="A2192" s="140"/>
      <c r="B2192" s="192"/>
      <c r="C2192" s="140"/>
      <c r="D2192" s="140"/>
      <c r="E2192" s="140"/>
    </row>
    <row r="2193" spans="1:5">
      <c r="A2193" s="140"/>
      <c r="B2193" s="192"/>
      <c r="C2193" s="140"/>
      <c r="D2193" s="140"/>
      <c r="E2193" s="140"/>
    </row>
    <row r="2194" spans="1:5">
      <c r="A2194" s="140"/>
      <c r="B2194" s="192"/>
      <c r="C2194" s="140"/>
      <c r="D2194" s="140"/>
      <c r="E2194" s="140"/>
    </row>
    <row r="2195" spans="1:5">
      <c r="A2195" s="140"/>
      <c r="B2195" s="192"/>
      <c r="C2195" s="140"/>
      <c r="D2195" s="140"/>
      <c r="E2195" s="140"/>
    </row>
    <row r="2196" spans="1:5">
      <c r="A2196" s="140"/>
      <c r="B2196" s="192"/>
      <c r="C2196" s="140"/>
      <c r="D2196" s="140"/>
      <c r="E2196" s="140"/>
    </row>
    <row r="2197" spans="1:5">
      <c r="A2197" s="140"/>
      <c r="B2197" s="192"/>
      <c r="C2197" s="140"/>
      <c r="D2197" s="140"/>
      <c r="E2197" s="140"/>
    </row>
    <row r="2198" spans="1:5">
      <c r="A2198" s="140"/>
      <c r="B2198" s="192"/>
      <c r="C2198" s="140"/>
      <c r="D2198" s="140"/>
      <c r="E2198" s="140"/>
    </row>
    <row r="2199" spans="1:5">
      <c r="A2199" s="140"/>
      <c r="B2199" s="192"/>
      <c r="C2199" s="140"/>
      <c r="D2199" s="140"/>
      <c r="E2199" s="140"/>
    </row>
    <row r="2200" spans="1:5">
      <c r="A2200" s="140"/>
      <c r="B2200" s="192"/>
      <c r="C2200" s="140"/>
      <c r="D2200" s="140"/>
      <c r="E2200" s="140"/>
    </row>
    <row r="2201" spans="1:5">
      <c r="A2201" s="140"/>
      <c r="B2201" s="192"/>
      <c r="C2201" s="140"/>
      <c r="D2201" s="140"/>
      <c r="E2201" s="140"/>
    </row>
    <row r="2202" spans="1:5">
      <c r="A2202" s="140"/>
      <c r="B2202" s="192"/>
      <c r="C2202" s="140"/>
      <c r="D2202" s="140"/>
      <c r="E2202" s="140"/>
    </row>
    <row r="2203" spans="1:5">
      <c r="A2203" s="140"/>
      <c r="B2203" s="192"/>
      <c r="C2203" s="140"/>
      <c r="D2203" s="140"/>
      <c r="E2203" s="140"/>
    </row>
    <row r="2204" spans="1:5">
      <c r="A2204" s="140"/>
      <c r="B2204" s="192"/>
      <c r="C2204" s="140"/>
      <c r="D2204" s="140"/>
      <c r="E2204" s="140"/>
    </row>
    <row r="2205" spans="1:5">
      <c r="A2205" s="140"/>
      <c r="B2205" s="192"/>
      <c r="C2205" s="140"/>
      <c r="D2205" s="140"/>
      <c r="E2205" s="140"/>
    </row>
    <row r="2206" spans="1:5">
      <c r="A2206" s="140"/>
      <c r="B2206" s="192"/>
      <c r="C2206" s="140"/>
      <c r="D2206" s="140"/>
      <c r="E2206" s="140"/>
    </row>
    <row r="2207" spans="1:5">
      <c r="A2207" s="140"/>
      <c r="B2207" s="192"/>
      <c r="C2207" s="140"/>
      <c r="D2207" s="140"/>
      <c r="E2207" s="140"/>
    </row>
    <row r="2208" spans="1:5">
      <c r="A2208" s="140"/>
      <c r="B2208" s="192"/>
      <c r="C2208" s="140"/>
      <c r="D2208" s="140"/>
      <c r="E2208" s="140"/>
    </row>
    <row r="2209" spans="1:5">
      <c r="A2209" s="140"/>
      <c r="B2209" s="192"/>
      <c r="C2209" s="140"/>
      <c r="D2209" s="140"/>
      <c r="E2209" s="140"/>
    </row>
    <row r="2210" spans="1:5">
      <c r="A2210" s="140"/>
      <c r="B2210" s="192"/>
      <c r="C2210" s="140"/>
      <c r="D2210" s="140"/>
      <c r="E2210" s="140"/>
    </row>
    <row r="2211" spans="1:5">
      <c r="A2211" s="140"/>
      <c r="B2211" s="192"/>
      <c r="C2211" s="140"/>
      <c r="D2211" s="140"/>
      <c r="E2211" s="140"/>
    </row>
    <row r="2212" spans="1:5">
      <c r="A2212" s="140"/>
      <c r="B2212" s="192"/>
      <c r="C2212" s="140"/>
      <c r="D2212" s="140"/>
      <c r="E2212" s="140"/>
    </row>
    <row r="2213" spans="1:5">
      <c r="A2213" s="140"/>
      <c r="B2213" s="192"/>
      <c r="C2213" s="140"/>
      <c r="D2213" s="140"/>
      <c r="E2213" s="140"/>
    </row>
    <row r="2214" spans="1:5">
      <c r="A2214" s="140"/>
      <c r="B2214" s="192"/>
      <c r="C2214" s="140"/>
      <c r="D2214" s="140"/>
      <c r="E2214" s="140"/>
    </row>
    <row r="2215" spans="1:5">
      <c r="A2215" s="140"/>
      <c r="B2215" s="192"/>
      <c r="C2215" s="140"/>
      <c r="D2215" s="140"/>
      <c r="E2215" s="140"/>
    </row>
    <row r="2216" spans="1:5">
      <c r="A2216" s="140"/>
      <c r="B2216" s="192"/>
      <c r="C2216" s="140"/>
      <c r="D2216" s="140"/>
      <c r="E2216" s="140"/>
    </row>
    <row r="2217" spans="1:5">
      <c r="A2217" s="140"/>
      <c r="B2217" s="192"/>
      <c r="C2217" s="140"/>
      <c r="D2217" s="140"/>
      <c r="E2217" s="140"/>
    </row>
    <row r="2218" spans="1:5">
      <c r="A2218" s="140"/>
      <c r="B2218" s="192"/>
      <c r="C2218" s="140"/>
      <c r="D2218" s="140"/>
      <c r="E2218" s="140"/>
    </row>
    <row r="2219" spans="1:5">
      <c r="A2219" s="140"/>
      <c r="B2219" s="192"/>
      <c r="C2219" s="140"/>
      <c r="D2219" s="140"/>
      <c r="E2219" s="140"/>
    </row>
    <row r="2220" spans="1:5">
      <c r="A2220" s="140"/>
      <c r="B2220" s="192"/>
      <c r="C2220" s="140"/>
      <c r="D2220" s="140"/>
      <c r="E2220" s="140"/>
    </row>
    <row r="2221" spans="1:5">
      <c r="A2221" s="140"/>
      <c r="B2221" s="192"/>
      <c r="C2221" s="140"/>
      <c r="D2221" s="140"/>
      <c r="E2221" s="140"/>
    </row>
    <row r="2222" spans="1:5">
      <c r="A2222" s="140"/>
      <c r="B2222" s="192"/>
      <c r="C2222" s="140"/>
      <c r="D2222" s="140"/>
      <c r="E2222" s="140"/>
    </row>
    <row r="2223" spans="1:5">
      <c r="A2223" s="140"/>
      <c r="B2223" s="192"/>
      <c r="C2223" s="140"/>
      <c r="D2223" s="140"/>
      <c r="E2223" s="140"/>
    </row>
    <row r="2224" spans="1:5">
      <c r="A2224" s="140"/>
      <c r="B2224" s="192"/>
      <c r="C2224" s="140"/>
      <c r="D2224" s="140"/>
      <c r="E2224" s="140"/>
    </row>
    <row r="2225" spans="1:5">
      <c r="A2225" s="140"/>
      <c r="B2225" s="192"/>
      <c r="C2225" s="140"/>
      <c r="D2225" s="140"/>
      <c r="E2225" s="140"/>
    </row>
    <row r="2226" spans="1:5">
      <c r="A2226" s="140"/>
      <c r="B2226" s="192"/>
      <c r="C2226" s="140"/>
      <c r="D2226" s="140"/>
      <c r="E2226" s="140"/>
    </row>
    <row r="2227" spans="1:5">
      <c r="A2227" s="140"/>
      <c r="B2227" s="192"/>
      <c r="C2227" s="140"/>
      <c r="D2227" s="140"/>
      <c r="E2227" s="140"/>
    </row>
    <row r="2228" spans="1:5">
      <c r="A2228" s="140"/>
      <c r="B2228" s="192"/>
      <c r="C2228" s="140"/>
      <c r="D2228" s="140"/>
      <c r="E2228" s="140"/>
    </row>
    <row r="2229" spans="1:5">
      <c r="A2229" s="140"/>
      <c r="B2229" s="192"/>
      <c r="C2229" s="140"/>
      <c r="D2229" s="140"/>
      <c r="E2229" s="140"/>
    </row>
    <row r="2230" spans="1:5">
      <c r="A2230" s="140"/>
      <c r="B2230" s="192"/>
      <c r="C2230" s="140"/>
      <c r="D2230" s="140"/>
      <c r="E2230" s="140"/>
    </row>
    <row r="2231" spans="1:5">
      <c r="A2231" s="140"/>
      <c r="B2231" s="192"/>
      <c r="C2231" s="140"/>
      <c r="D2231" s="140"/>
      <c r="E2231" s="140"/>
    </row>
    <row r="2232" spans="1:5">
      <c r="A2232" s="140"/>
      <c r="B2232" s="192"/>
      <c r="C2232" s="140"/>
      <c r="D2232" s="140"/>
      <c r="E2232" s="140"/>
    </row>
    <row r="2233" spans="1:5">
      <c r="A2233" s="140"/>
      <c r="B2233" s="192"/>
      <c r="C2233" s="140"/>
      <c r="D2233" s="140"/>
      <c r="E2233" s="140"/>
    </row>
    <row r="2234" spans="1:5">
      <c r="A2234" s="140"/>
      <c r="B2234" s="192"/>
      <c r="C2234" s="140"/>
      <c r="D2234" s="140"/>
      <c r="E2234" s="140"/>
    </row>
    <row r="2235" spans="1:5">
      <c r="A2235" s="140"/>
      <c r="B2235" s="192"/>
      <c r="C2235" s="140"/>
      <c r="D2235" s="140"/>
      <c r="E2235" s="140"/>
    </row>
    <row r="2236" spans="1:5">
      <c r="A2236" s="140"/>
      <c r="B2236" s="192"/>
      <c r="C2236" s="140"/>
      <c r="D2236" s="140"/>
      <c r="E2236" s="140"/>
    </row>
    <row r="2237" spans="1:5">
      <c r="A2237" s="140"/>
      <c r="B2237" s="192"/>
      <c r="C2237" s="140"/>
      <c r="D2237" s="140"/>
      <c r="E2237" s="140"/>
    </row>
    <row r="2238" spans="1:5">
      <c r="A2238" s="140"/>
      <c r="B2238" s="192"/>
      <c r="C2238" s="140"/>
      <c r="D2238" s="140"/>
      <c r="E2238" s="140"/>
    </row>
    <row r="2239" spans="1:5">
      <c r="A2239" s="140"/>
      <c r="B2239" s="192"/>
      <c r="C2239" s="140"/>
      <c r="D2239" s="140"/>
      <c r="E2239" s="140"/>
    </row>
    <row r="2240" spans="1:5">
      <c r="A2240" s="140"/>
      <c r="B2240" s="192"/>
      <c r="C2240" s="140"/>
      <c r="D2240" s="140"/>
      <c r="E2240" s="140"/>
    </row>
    <row r="2241" spans="1:5">
      <c r="A2241" s="140"/>
      <c r="B2241" s="192"/>
      <c r="C2241" s="140"/>
      <c r="D2241" s="140"/>
      <c r="E2241" s="140"/>
    </row>
    <row r="2242" spans="1:5">
      <c r="A2242" s="140"/>
      <c r="B2242" s="192"/>
      <c r="C2242" s="140"/>
      <c r="D2242" s="140"/>
      <c r="E2242" s="140"/>
    </row>
    <row r="2243" spans="1:5">
      <c r="A2243" s="140"/>
      <c r="B2243" s="192"/>
      <c r="C2243" s="140"/>
      <c r="D2243" s="140"/>
      <c r="E2243" s="140"/>
    </row>
    <row r="2244" spans="1:5">
      <c r="A2244" s="140"/>
      <c r="B2244" s="192"/>
      <c r="C2244" s="140"/>
      <c r="D2244" s="140"/>
      <c r="E2244" s="140"/>
    </row>
    <row r="2245" spans="1:5">
      <c r="A2245" s="140"/>
      <c r="B2245" s="192"/>
      <c r="C2245" s="140"/>
      <c r="D2245" s="140"/>
      <c r="E2245" s="140"/>
    </row>
    <row r="2246" spans="1:5">
      <c r="A2246" s="140"/>
      <c r="B2246" s="192"/>
      <c r="C2246" s="140"/>
      <c r="D2246" s="140"/>
      <c r="E2246" s="140"/>
    </row>
    <row r="2247" spans="1:5">
      <c r="A2247" s="140"/>
      <c r="B2247" s="192"/>
      <c r="C2247" s="140"/>
      <c r="D2247" s="140"/>
      <c r="E2247" s="140"/>
    </row>
    <row r="2248" spans="1:5">
      <c r="A2248" s="140"/>
      <c r="B2248" s="192"/>
      <c r="C2248" s="140"/>
      <c r="D2248" s="140"/>
      <c r="E2248" s="140"/>
    </row>
    <row r="2249" spans="1:5">
      <c r="A2249" s="140"/>
      <c r="B2249" s="192"/>
      <c r="C2249" s="140"/>
      <c r="D2249" s="140"/>
      <c r="E2249" s="140"/>
    </row>
    <row r="2250" spans="1:5">
      <c r="A2250" s="140"/>
      <c r="B2250" s="192"/>
      <c r="C2250" s="140"/>
      <c r="D2250" s="140"/>
      <c r="E2250" s="140"/>
    </row>
    <row r="2251" spans="1:5">
      <c r="A2251" s="140"/>
      <c r="B2251" s="192"/>
      <c r="C2251" s="140"/>
      <c r="D2251" s="140"/>
      <c r="E2251" s="140"/>
    </row>
    <row r="2252" spans="1:5">
      <c r="A2252" s="140"/>
      <c r="B2252" s="192"/>
      <c r="C2252" s="140"/>
      <c r="D2252" s="140"/>
      <c r="E2252" s="140"/>
    </row>
    <row r="2253" spans="1:5">
      <c r="A2253" s="140"/>
      <c r="B2253" s="192"/>
      <c r="C2253" s="140"/>
      <c r="D2253" s="140"/>
      <c r="E2253" s="140"/>
    </row>
    <row r="2254" spans="1:5">
      <c r="A2254" s="140"/>
      <c r="B2254" s="192"/>
      <c r="C2254" s="140"/>
      <c r="D2254" s="140"/>
      <c r="E2254" s="140"/>
    </row>
    <row r="2255" spans="1:5">
      <c r="A2255" s="140"/>
      <c r="B2255" s="192"/>
      <c r="C2255" s="140"/>
      <c r="D2255" s="140"/>
      <c r="E2255" s="140"/>
    </row>
    <row r="2256" spans="1:5">
      <c r="A2256" s="140"/>
      <c r="B2256" s="192"/>
      <c r="C2256" s="140"/>
      <c r="D2256" s="140"/>
      <c r="E2256" s="140"/>
    </row>
    <row r="2257" spans="1:5">
      <c r="A2257" s="140"/>
      <c r="B2257" s="192"/>
      <c r="C2257" s="140"/>
      <c r="D2257" s="140"/>
      <c r="E2257" s="140"/>
    </row>
    <row r="2258" spans="1:5">
      <c r="A2258" s="140"/>
      <c r="B2258" s="192"/>
      <c r="C2258" s="140"/>
      <c r="D2258" s="140"/>
      <c r="E2258" s="140"/>
    </row>
    <row r="2259" spans="1:5">
      <c r="A2259" s="140"/>
      <c r="B2259" s="192"/>
      <c r="C2259" s="140"/>
      <c r="D2259" s="140"/>
      <c r="E2259" s="140"/>
    </row>
    <row r="2260" spans="1:5">
      <c r="A2260" s="140"/>
      <c r="B2260" s="192"/>
      <c r="C2260" s="140"/>
      <c r="D2260" s="140"/>
      <c r="E2260" s="140"/>
    </row>
    <row r="2261" spans="1:5">
      <c r="A2261" s="140"/>
      <c r="B2261" s="192"/>
      <c r="C2261" s="140"/>
      <c r="D2261" s="140"/>
      <c r="E2261" s="140"/>
    </row>
    <row r="2262" spans="1:5">
      <c r="A2262" s="140"/>
      <c r="B2262" s="192"/>
      <c r="C2262" s="140"/>
      <c r="D2262" s="140"/>
      <c r="E2262" s="140"/>
    </row>
    <row r="2263" spans="1:5">
      <c r="A2263" s="140"/>
      <c r="B2263" s="192"/>
      <c r="C2263" s="140"/>
      <c r="D2263" s="140"/>
      <c r="E2263" s="140"/>
    </row>
    <row r="2264" spans="1:5">
      <c r="A2264" s="140"/>
      <c r="B2264" s="192"/>
      <c r="C2264" s="140"/>
      <c r="D2264" s="140"/>
      <c r="E2264" s="140"/>
    </row>
    <row r="2265" spans="1:5">
      <c r="A2265" s="140"/>
      <c r="B2265" s="192"/>
      <c r="C2265" s="140"/>
      <c r="D2265" s="140"/>
      <c r="E2265" s="140"/>
    </row>
    <row r="2266" spans="1:5">
      <c r="A2266" s="140"/>
      <c r="B2266" s="192"/>
      <c r="C2266" s="140"/>
      <c r="D2266" s="140"/>
      <c r="E2266" s="140"/>
    </row>
    <row r="2267" spans="1:5">
      <c r="A2267" s="140"/>
      <c r="B2267" s="192"/>
      <c r="C2267" s="140"/>
      <c r="D2267" s="140"/>
      <c r="E2267" s="140"/>
    </row>
    <row r="2268" spans="1:5">
      <c r="A2268" s="140"/>
      <c r="B2268" s="192"/>
      <c r="C2268" s="140"/>
      <c r="D2268" s="140"/>
      <c r="E2268" s="140"/>
    </row>
    <row r="2269" spans="1:5">
      <c r="A2269" s="140"/>
      <c r="B2269" s="192"/>
      <c r="C2269" s="140"/>
      <c r="D2269" s="140"/>
      <c r="E2269" s="140"/>
    </row>
    <row r="2270" spans="1:5">
      <c r="A2270" s="140"/>
      <c r="B2270" s="192"/>
      <c r="C2270" s="140"/>
      <c r="D2270" s="140"/>
      <c r="E2270" s="140"/>
    </row>
    <row r="2271" spans="1:5">
      <c r="A2271" s="140"/>
      <c r="B2271" s="192"/>
      <c r="C2271" s="140"/>
      <c r="D2271" s="140"/>
      <c r="E2271" s="140"/>
    </row>
    <row r="2272" spans="1:5">
      <c r="A2272" s="140"/>
      <c r="B2272" s="192"/>
      <c r="C2272" s="140"/>
      <c r="D2272" s="140"/>
      <c r="E2272" s="140"/>
    </row>
    <row r="2273" spans="1:5">
      <c r="A2273" s="140"/>
      <c r="B2273" s="192"/>
      <c r="C2273" s="140"/>
      <c r="D2273" s="140"/>
      <c r="E2273" s="140"/>
    </row>
    <row r="2274" spans="1:5">
      <c r="A2274" s="140"/>
      <c r="B2274" s="192"/>
      <c r="C2274" s="140"/>
      <c r="D2274" s="140"/>
      <c r="E2274" s="140"/>
    </row>
    <row r="2275" spans="1:5">
      <c r="A2275" s="140"/>
      <c r="B2275" s="192"/>
      <c r="C2275" s="140"/>
      <c r="D2275" s="140"/>
      <c r="E2275" s="140"/>
    </row>
    <row r="2276" spans="1:5">
      <c r="A2276" s="140"/>
      <c r="B2276" s="192"/>
      <c r="C2276" s="140"/>
      <c r="D2276" s="140"/>
      <c r="E2276" s="140"/>
    </row>
    <row r="2277" spans="1:5">
      <c r="A2277" s="140"/>
      <c r="B2277" s="192"/>
      <c r="C2277" s="140"/>
      <c r="D2277" s="140"/>
      <c r="E2277" s="140"/>
    </row>
    <row r="2278" spans="1:5">
      <c r="A2278" s="140"/>
      <c r="B2278" s="192"/>
      <c r="C2278" s="140"/>
      <c r="D2278" s="140"/>
      <c r="E2278" s="140"/>
    </row>
    <row r="2279" spans="1:5">
      <c r="A2279" s="140"/>
      <c r="B2279" s="192"/>
      <c r="C2279" s="140"/>
      <c r="D2279" s="140"/>
      <c r="E2279" s="140"/>
    </row>
    <row r="2280" spans="1:5">
      <c r="A2280" s="140"/>
      <c r="B2280" s="192"/>
      <c r="C2280" s="140"/>
      <c r="D2280" s="140"/>
      <c r="E2280" s="140"/>
    </row>
    <row r="2281" spans="1:5">
      <c r="A2281" s="140"/>
      <c r="B2281" s="192"/>
      <c r="C2281" s="140"/>
      <c r="D2281" s="140"/>
      <c r="E2281" s="140"/>
    </row>
    <row r="2282" spans="1:5">
      <c r="A2282" s="140"/>
      <c r="B2282" s="192"/>
      <c r="C2282" s="140"/>
      <c r="D2282" s="140"/>
      <c r="E2282" s="140"/>
    </row>
    <row r="2283" spans="1:5">
      <c r="A2283" s="140"/>
      <c r="B2283" s="192"/>
      <c r="C2283" s="140"/>
      <c r="D2283" s="140"/>
      <c r="E2283" s="140"/>
    </row>
    <row r="2284" spans="1:5">
      <c r="A2284" s="140"/>
      <c r="B2284" s="192"/>
      <c r="C2284" s="140"/>
      <c r="D2284" s="140"/>
      <c r="E2284" s="140"/>
    </row>
    <row r="2285" spans="1:5">
      <c r="A2285" s="140"/>
      <c r="B2285" s="192"/>
      <c r="C2285" s="140"/>
      <c r="D2285" s="140"/>
      <c r="E2285" s="140"/>
    </row>
    <row r="2286" spans="1:5">
      <c r="A2286" s="140"/>
      <c r="B2286" s="192"/>
      <c r="C2286" s="140"/>
      <c r="D2286" s="140"/>
      <c r="E2286" s="140"/>
    </row>
    <row r="2287" spans="1:5">
      <c r="A2287" s="140"/>
      <c r="B2287" s="192"/>
      <c r="C2287" s="140"/>
      <c r="D2287" s="140"/>
      <c r="E2287" s="140"/>
    </row>
    <row r="2288" spans="1:5">
      <c r="A2288" s="140"/>
      <c r="B2288" s="192"/>
      <c r="C2288" s="140"/>
      <c r="D2288" s="140"/>
      <c r="E2288" s="140"/>
    </row>
    <row r="2289" spans="1:5">
      <c r="A2289" s="140"/>
      <c r="B2289" s="192"/>
      <c r="C2289" s="140"/>
      <c r="D2289" s="140"/>
      <c r="E2289" s="140"/>
    </row>
    <row r="2290" spans="1:5">
      <c r="A2290" s="140"/>
      <c r="B2290" s="192"/>
      <c r="C2290" s="140"/>
      <c r="D2290" s="140"/>
      <c r="E2290" s="140"/>
    </row>
    <row r="2291" spans="1:5">
      <c r="A2291" s="140"/>
      <c r="B2291" s="192"/>
      <c r="C2291" s="140"/>
      <c r="D2291" s="140"/>
      <c r="E2291" s="140"/>
    </row>
    <row r="2292" spans="1:5">
      <c r="A2292" s="140"/>
      <c r="B2292" s="192"/>
      <c r="C2292" s="140"/>
      <c r="D2292" s="140"/>
      <c r="E2292" s="140"/>
    </row>
    <row r="2293" spans="1:5">
      <c r="A2293" s="140"/>
      <c r="B2293" s="192"/>
      <c r="C2293" s="140"/>
      <c r="D2293" s="140"/>
      <c r="E2293" s="140"/>
    </row>
    <row r="2294" spans="1:5">
      <c r="A2294" s="140"/>
      <c r="B2294" s="192"/>
      <c r="C2294" s="140"/>
      <c r="D2294" s="140"/>
      <c r="E2294" s="140"/>
    </row>
    <row r="2295" spans="1:5">
      <c r="A2295" s="140"/>
      <c r="B2295" s="192"/>
      <c r="C2295" s="140"/>
      <c r="D2295" s="140"/>
      <c r="E2295" s="140"/>
    </row>
    <row r="2296" spans="1:5">
      <c r="A2296" s="140"/>
      <c r="B2296" s="192"/>
      <c r="C2296" s="140"/>
      <c r="D2296" s="140"/>
      <c r="E2296" s="140"/>
    </row>
    <row r="2297" spans="1:5">
      <c r="A2297" s="140"/>
      <c r="B2297" s="192"/>
      <c r="C2297" s="140"/>
      <c r="D2297" s="140"/>
      <c r="E2297" s="140"/>
    </row>
    <row r="2298" spans="1:5">
      <c r="A2298" s="140"/>
      <c r="B2298" s="192"/>
      <c r="C2298" s="140"/>
      <c r="D2298" s="140"/>
      <c r="E2298" s="140"/>
    </row>
    <row r="2299" spans="1:5">
      <c r="A2299" s="140"/>
      <c r="B2299" s="192"/>
      <c r="C2299" s="140"/>
      <c r="D2299" s="140"/>
      <c r="E2299" s="140"/>
    </row>
    <row r="2300" spans="1:5">
      <c r="A2300" s="140"/>
      <c r="B2300" s="192"/>
      <c r="C2300" s="140"/>
      <c r="D2300" s="140"/>
      <c r="E2300" s="140"/>
    </row>
    <row r="2301" spans="1:5">
      <c r="A2301" s="140"/>
      <c r="B2301" s="192"/>
      <c r="C2301" s="140"/>
      <c r="D2301" s="140"/>
      <c r="E2301" s="140"/>
    </row>
    <row r="2302" spans="1:5">
      <c r="A2302" s="140"/>
      <c r="B2302" s="192"/>
      <c r="C2302" s="140"/>
      <c r="D2302" s="140"/>
      <c r="E2302" s="140"/>
    </row>
    <row r="2303" spans="1:5">
      <c r="A2303" s="140"/>
      <c r="B2303" s="192"/>
      <c r="C2303" s="140"/>
      <c r="D2303" s="140"/>
      <c r="E2303" s="140"/>
    </row>
    <row r="2304" spans="1:5">
      <c r="A2304" s="140"/>
      <c r="B2304" s="192"/>
      <c r="C2304" s="140"/>
      <c r="D2304" s="140"/>
      <c r="E2304" s="140"/>
    </row>
    <row r="2305" spans="1:5">
      <c r="A2305" s="140"/>
      <c r="B2305" s="192"/>
      <c r="C2305" s="140"/>
      <c r="D2305" s="140"/>
      <c r="E2305" s="140"/>
    </row>
    <row r="2306" spans="1:5">
      <c r="A2306" s="140"/>
      <c r="B2306" s="192"/>
      <c r="C2306" s="140"/>
      <c r="D2306" s="140"/>
      <c r="E2306" s="140"/>
    </row>
    <row r="2307" spans="1:5">
      <c r="A2307" s="140"/>
      <c r="B2307" s="192"/>
      <c r="C2307" s="140"/>
      <c r="D2307" s="140"/>
      <c r="E2307" s="140"/>
    </row>
    <row r="2308" spans="1:5">
      <c r="A2308" s="140"/>
      <c r="B2308" s="192"/>
      <c r="C2308" s="140"/>
      <c r="D2308" s="140"/>
      <c r="E2308" s="140"/>
    </row>
    <row r="2309" spans="1:5">
      <c r="A2309" s="140"/>
      <c r="B2309" s="192"/>
      <c r="C2309" s="140"/>
      <c r="D2309" s="140"/>
      <c r="E2309" s="140"/>
    </row>
    <row r="2310" spans="1:5">
      <c r="A2310" s="140"/>
      <c r="B2310" s="192"/>
      <c r="C2310" s="140"/>
      <c r="D2310" s="140"/>
      <c r="E2310" s="140"/>
    </row>
    <row r="2311" spans="1:5">
      <c r="A2311" s="140"/>
      <c r="B2311" s="192"/>
      <c r="C2311" s="140"/>
      <c r="D2311" s="140"/>
      <c r="E2311" s="140"/>
    </row>
    <row r="2312" spans="1:5">
      <c r="A2312" s="140"/>
      <c r="B2312" s="192"/>
      <c r="C2312" s="140"/>
      <c r="D2312" s="140"/>
      <c r="E2312" s="140"/>
    </row>
    <row r="2313" spans="1:5">
      <c r="A2313" s="140"/>
      <c r="B2313" s="192"/>
      <c r="C2313" s="140"/>
      <c r="D2313" s="140"/>
      <c r="E2313" s="140"/>
    </row>
    <row r="2314" spans="1:5">
      <c r="A2314" s="140"/>
      <c r="B2314" s="192"/>
      <c r="C2314" s="140"/>
      <c r="D2314" s="140"/>
      <c r="E2314" s="140"/>
    </row>
    <row r="2315" spans="1:5">
      <c r="A2315" s="140"/>
      <c r="B2315" s="192"/>
      <c r="C2315" s="140"/>
      <c r="D2315" s="140"/>
      <c r="E2315" s="140"/>
    </row>
    <row r="2316" spans="1:5">
      <c r="A2316" s="140"/>
      <c r="B2316" s="192"/>
      <c r="C2316" s="140"/>
      <c r="D2316" s="140"/>
      <c r="E2316" s="140"/>
    </row>
    <row r="2317" spans="1:5">
      <c r="A2317" s="140"/>
      <c r="B2317" s="192"/>
      <c r="C2317" s="140"/>
      <c r="D2317" s="140"/>
      <c r="E2317" s="140"/>
    </row>
    <row r="2318" spans="1:5">
      <c r="A2318" s="140"/>
      <c r="B2318" s="192"/>
      <c r="C2318" s="140"/>
      <c r="D2318" s="140"/>
      <c r="E2318" s="140"/>
    </row>
    <row r="2319" spans="1:5">
      <c r="A2319" s="140"/>
      <c r="B2319" s="192"/>
      <c r="C2319" s="140"/>
      <c r="D2319" s="140"/>
      <c r="E2319" s="140"/>
    </row>
    <row r="2320" spans="1:5">
      <c r="A2320" s="140"/>
      <c r="B2320" s="192"/>
      <c r="C2320" s="140"/>
      <c r="D2320" s="140"/>
      <c r="E2320" s="140"/>
    </row>
    <row r="2321" spans="1:5">
      <c r="A2321" s="140"/>
      <c r="B2321" s="192"/>
      <c r="C2321" s="140"/>
      <c r="D2321" s="140"/>
      <c r="E2321" s="140"/>
    </row>
    <row r="2322" spans="1:5">
      <c r="A2322" s="140"/>
      <c r="B2322" s="192"/>
      <c r="C2322" s="140"/>
      <c r="D2322" s="140"/>
      <c r="E2322" s="140"/>
    </row>
    <row r="2323" spans="1:5">
      <c r="A2323" s="140"/>
      <c r="B2323" s="192"/>
      <c r="C2323" s="140"/>
      <c r="D2323" s="140"/>
      <c r="E2323" s="140"/>
    </row>
    <row r="2324" spans="1:5">
      <c r="A2324" s="140"/>
      <c r="B2324" s="192"/>
      <c r="C2324" s="140"/>
      <c r="D2324" s="140"/>
      <c r="E2324" s="140"/>
    </row>
    <row r="2325" spans="1:5">
      <c r="A2325" s="140"/>
      <c r="B2325" s="192"/>
      <c r="C2325" s="140"/>
      <c r="D2325" s="140"/>
      <c r="E2325" s="140"/>
    </row>
    <row r="2326" spans="1:5">
      <c r="A2326" s="140"/>
      <c r="B2326" s="192"/>
      <c r="C2326" s="140"/>
      <c r="D2326" s="140"/>
      <c r="E2326" s="140"/>
    </row>
    <row r="2327" spans="1:5">
      <c r="A2327" s="140"/>
      <c r="B2327" s="192"/>
      <c r="C2327" s="140"/>
      <c r="D2327" s="140"/>
      <c r="E2327" s="140"/>
    </row>
    <row r="2328" spans="1:5">
      <c r="A2328" s="140"/>
      <c r="B2328" s="192"/>
      <c r="C2328" s="140"/>
      <c r="D2328" s="140"/>
      <c r="E2328" s="140"/>
    </row>
    <row r="2329" spans="1:5">
      <c r="A2329" s="140"/>
      <c r="B2329" s="192"/>
      <c r="C2329" s="140"/>
      <c r="D2329" s="140"/>
      <c r="E2329" s="140"/>
    </row>
    <row r="2330" spans="1:5">
      <c r="A2330" s="140"/>
      <c r="B2330" s="192"/>
      <c r="C2330" s="140"/>
      <c r="D2330" s="140"/>
      <c r="E2330" s="140"/>
    </row>
    <row r="2331" spans="1:5">
      <c r="A2331" s="140"/>
      <c r="B2331" s="192"/>
      <c r="C2331" s="140"/>
      <c r="D2331" s="140"/>
      <c r="E2331" s="140"/>
    </row>
    <row r="2332" spans="1:5">
      <c r="A2332" s="140"/>
      <c r="B2332" s="192"/>
      <c r="C2332" s="140"/>
      <c r="D2332" s="140"/>
      <c r="E2332" s="140"/>
    </row>
    <row r="2333" spans="1:5">
      <c r="A2333" s="140"/>
      <c r="B2333" s="192"/>
      <c r="C2333" s="140"/>
      <c r="D2333" s="140"/>
      <c r="E2333" s="140"/>
    </row>
    <row r="2334" spans="1:5">
      <c r="A2334" s="140"/>
      <c r="B2334" s="192"/>
      <c r="C2334" s="140"/>
      <c r="D2334" s="140"/>
      <c r="E2334" s="140"/>
    </row>
    <row r="2335" spans="1:5">
      <c r="A2335" s="140"/>
      <c r="B2335" s="192"/>
      <c r="C2335" s="140"/>
      <c r="D2335" s="140"/>
      <c r="E2335" s="140"/>
    </row>
    <row r="2336" spans="1:5">
      <c r="A2336" s="140"/>
      <c r="B2336" s="192"/>
      <c r="C2336" s="140"/>
      <c r="D2336" s="140"/>
      <c r="E2336" s="140"/>
    </row>
    <row r="2337" spans="1:5">
      <c r="A2337" s="140"/>
      <c r="B2337" s="192"/>
      <c r="C2337" s="140"/>
      <c r="D2337" s="140"/>
      <c r="E2337" s="140"/>
    </row>
    <row r="2338" spans="1:5">
      <c r="A2338" s="140"/>
      <c r="B2338" s="192"/>
      <c r="C2338" s="140"/>
      <c r="D2338" s="140"/>
      <c r="E2338" s="140"/>
    </row>
    <row r="2339" spans="1:5">
      <c r="A2339" s="140"/>
      <c r="B2339" s="192"/>
      <c r="C2339" s="140"/>
      <c r="D2339" s="140"/>
      <c r="E2339" s="140"/>
    </row>
    <row r="2340" spans="1:5">
      <c r="A2340" s="140"/>
      <c r="B2340" s="192"/>
      <c r="C2340" s="140"/>
      <c r="D2340" s="140"/>
      <c r="E2340" s="140"/>
    </row>
    <row r="2341" spans="1:5">
      <c r="A2341" s="140"/>
      <c r="B2341" s="192"/>
      <c r="C2341" s="140"/>
      <c r="D2341" s="140"/>
      <c r="E2341" s="140"/>
    </row>
    <row r="2342" spans="1:5">
      <c r="A2342" s="140"/>
      <c r="B2342" s="192"/>
      <c r="C2342" s="140"/>
      <c r="D2342" s="140"/>
      <c r="E2342" s="140"/>
    </row>
    <row r="2343" spans="1:5">
      <c r="A2343" s="140"/>
      <c r="B2343" s="192"/>
      <c r="C2343" s="140"/>
      <c r="D2343" s="140"/>
      <c r="E2343" s="140"/>
    </row>
    <row r="2344" spans="1:5">
      <c r="A2344" s="140"/>
      <c r="B2344" s="192"/>
      <c r="C2344" s="140"/>
      <c r="D2344" s="140"/>
      <c r="E2344" s="140"/>
    </row>
    <row r="2345" spans="1:5">
      <c r="A2345" s="140"/>
      <c r="B2345" s="192"/>
      <c r="C2345" s="140"/>
      <c r="D2345" s="140"/>
      <c r="E2345" s="140"/>
    </row>
    <row r="2346" spans="1:5">
      <c r="A2346" s="140"/>
      <c r="B2346" s="192"/>
      <c r="C2346" s="140"/>
      <c r="D2346" s="140"/>
      <c r="E2346" s="140"/>
    </row>
    <row r="2347" spans="1:5">
      <c r="A2347" s="140"/>
      <c r="B2347" s="192"/>
      <c r="C2347" s="140"/>
      <c r="D2347" s="140"/>
      <c r="E2347" s="140"/>
    </row>
    <row r="2348" spans="1:5">
      <c r="A2348" s="140"/>
      <c r="B2348" s="192"/>
      <c r="C2348" s="140"/>
      <c r="D2348" s="140"/>
      <c r="E2348" s="140"/>
    </row>
    <row r="2349" spans="1:5">
      <c r="A2349" s="140"/>
      <c r="B2349" s="192"/>
      <c r="C2349" s="140"/>
      <c r="D2349" s="140"/>
      <c r="E2349" s="140"/>
    </row>
    <row r="2350" spans="1:5">
      <c r="A2350" s="140"/>
      <c r="B2350" s="192"/>
      <c r="C2350" s="140"/>
      <c r="D2350" s="140"/>
      <c r="E2350" s="140"/>
    </row>
    <row r="2351" spans="1:5">
      <c r="A2351" s="140"/>
      <c r="B2351" s="192"/>
      <c r="C2351" s="140"/>
      <c r="D2351" s="140"/>
      <c r="E2351" s="140"/>
    </row>
    <row r="2352" spans="1:5">
      <c r="A2352" s="140"/>
      <c r="B2352" s="192"/>
      <c r="C2352" s="140"/>
      <c r="D2352" s="140"/>
      <c r="E2352" s="140"/>
    </row>
    <row r="2353" spans="1:5">
      <c r="A2353" s="140"/>
      <c r="B2353" s="192"/>
      <c r="C2353" s="140"/>
      <c r="D2353" s="140"/>
      <c r="E2353" s="140"/>
    </row>
    <row r="2354" spans="1:5">
      <c r="A2354" s="140"/>
      <c r="B2354" s="192"/>
      <c r="C2354" s="140"/>
      <c r="D2354" s="140"/>
      <c r="E2354" s="140"/>
    </row>
    <row r="2355" spans="1:5">
      <c r="A2355" s="140"/>
      <c r="B2355" s="192"/>
      <c r="C2355" s="140"/>
      <c r="D2355" s="140"/>
      <c r="E2355" s="140"/>
    </row>
    <row r="2356" spans="1:5">
      <c r="A2356" s="140"/>
      <c r="B2356" s="192"/>
      <c r="C2356" s="140"/>
      <c r="D2356" s="140"/>
      <c r="E2356" s="140"/>
    </row>
    <row r="2357" spans="1:5">
      <c r="A2357" s="140"/>
      <c r="B2357" s="192"/>
      <c r="C2357" s="140"/>
      <c r="D2357" s="140"/>
      <c r="E2357" s="140"/>
    </row>
    <row r="2358" spans="1:5">
      <c r="A2358" s="140"/>
      <c r="B2358" s="192"/>
      <c r="C2358" s="140"/>
      <c r="D2358" s="140"/>
      <c r="E2358" s="140"/>
    </row>
    <row r="2359" spans="1:5">
      <c r="A2359" s="140"/>
      <c r="B2359" s="192"/>
      <c r="C2359" s="140"/>
      <c r="D2359" s="140"/>
      <c r="E2359" s="140"/>
    </row>
    <row r="2360" spans="1:5">
      <c r="A2360" s="140"/>
      <c r="B2360" s="192"/>
      <c r="C2360" s="140"/>
      <c r="D2360" s="140"/>
      <c r="E2360" s="140"/>
    </row>
    <row r="2361" spans="1:5">
      <c r="A2361" s="140"/>
      <c r="B2361" s="192"/>
      <c r="C2361" s="140"/>
      <c r="D2361" s="140"/>
      <c r="E2361" s="140"/>
    </row>
    <row r="2362" spans="1:5">
      <c r="A2362" s="140"/>
      <c r="B2362" s="192"/>
      <c r="C2362" s="140"/>
      <c r="D2362" s="140"/>
      <c r="E2362" s="140"/>
    </row>
    <row r="2363" spans="1:5">
      <c r="A2363" s="140"/>
      <c r="B2363" s="192"/>
      <c r="C2363" s="140"/>
      <c r="D2363" s="140"/>
      <c r="E2363" s="140"/>
    </row>
    <row r="2364" spans="1:5">
      <c r="A2364" s="140"/>
      <c r="B2364" s="192"/>
      <c r="C2364" s="140"/>
      <c r="D2364" s="140"/>
      <c r="E2364" s="140"/>
    </row>
    <row r="2365" spans="1:5">
      <c r="A2365" s="140"/>
      <c r="B2365" s="192"/>
      <c r="C2365" s="140"/>
      <c r="D2365" s="140"/>
      <c r="E2365" s="140"/>
    </row>
    <row r="2366" spans="1:5">
      <c r="A2366" s="140"/>
      <c r="B2366" s="192"/>
      <c r="C2366" s="140"/>
      <c r="D2366" s="140"/>
      <c r="E2366" s="140"/>
    </row>
    <row r="2367" spans="1:5">
      <c r="A2367" s="140"/>
      <c r="B2367" s="192"/>
      <c r="C2367" s="140"/>
      <c r="D2367" s="140"/>
      <c r="E2367" s="140"/>
    </row>
    <row r="2368" spans="1:5">
      <c r="A2368" s="140"/>
      <c r="B2368" s="192"/>
      <c r="C2368" s="140"/>
      <c r="D2368" s="140"/>
      <c r="E2368" s="140"/>
    </row>
    <row r="2369" spans="1:5">
      <c r="A2369" s="140"/>
      <c r="B2369" s="192"/>
      <c r="C2369" s="140"/>
      <c r="D2369" s="140"/>
      <c r="E2369" s="140"/>
    </row>
    <row r="2370" spans="1:5">
      <c r="A2370" s="140"/>
      <c r="B2370" s="192"/>
      <c r="C2370" s="140"/>
      <c r="D2370" s="140"/>
      <c r="E2370" s="140"/>
    </row>
    <row r="2371" spans="1:5">
      <c r="A2371" s="140"/>
      <c r="B2371" s="192"/>
      <c r="C2371" s="140"/>
      <c r="D2371" s="140"/>
      <c r="E2371" s="140"/>
    </row>
    <row r="2372" spans="1:5">
      <c r="A2372" s="140"/>
      <c r="B2372" s="192"/>
      <c r="C2372" s="140"/>
      <c r="D2372" s="140"/>
      <c r="E2372" s="140"/>
    </row>
    <row r="2373" spans="1:5">
      <c r="A2373" s="140"/>
      <c r="B2373" s="192"/>
      <c r="C2373" s="140"/>
      <c r="D2373" s="140"/>
      <c r="E2373" s="140"/>
    </row>
    <row r="2374" spans="1:5">
      <c r="A2374" s="140"/>
      <c r="B2374" s="192"/>
      <c r="C2374" s="140"/>
      <c r="D2374" s="140"/>
      <c r="E2374" s="140"/>
    </row>
    <row r="2375" spans="1:5">
      <c r="A2375" s="140"/>
      <c r="B2375" s="192"/>
      <c r="C2375" s="140"/>
      <c r="D2375" s="140"/>
      <c r="E2375" s="140"/>
    </row>
    <row r="2376" spans="1:5">
      <c r="A2376" s="140"/>
      <c r="B2376" s="192"/>
      <c r="C2376" s="140"/>
      <c r="D2376" s="140"/>
      <c r="E2376" s="140"/>
    </row>
    <row r="2377" spans="1:5">
      <c r="A2377" s="140"/>
      <c r="B2377" s="192"/>
      <c r="C2377" s="140"/>
      <c r="D2377" s="140"/>
      <c r="E2377" s="140"/>
    </row>
    <row r="2378" spans="1:5">
      <c r="A2378" s="140"/>
      <c r="B2378" s="192"/>
      <c r="C2378" s="140"/>
      <c r="D2378" s="140"/>
      <c r="E2378" s="140"/>
    </row>
    <row r="2379" spans="1:5">
      <c r="A2379" s="140"/>
      <c r="B2379" s="192"/>
      <c r="C2379" s="140"/>
      <c r="D2379" s="140"/>
      <c r="E2379" s="140"/>
    </row>
    <row r="2380" spans="1:5">
      <c r="A2380" s="140"/>
      <c r="B2380" s="192"/>
      <c r="C2380" s="140"/>
      <c r="D2380" s="140"/>
      <c r="E2380" s="140"/>
    </row>
    <row r="2381" spans="1:5">
      <c r="A2381" s="140"/>
      <c r="B2381" s="192"/>
      <c r="C2381" s="140"/>
      <c r="D2381" s="140"/>
      <c r="E2381" s="140"/>
    </row>
    <row r="2382" spans="1:5">
      <c r="A2382" s="140"/>
      <c r="B2382" s="192"/>
      <c r="C2382" s="140"/>
      <c r="D2382" s="140"/>
      <c r="E2382" s="140"/>
    </row>
    <row r="2383" spans="1:5">
      <c r="A2383" s="140"/>
      <c r="B2383" s="192"/>
      <c r="C2383" s="140"/>
      <c r="D2383" s="140"/>
      <c r="E2383" s="140"/>
    </row>
    <row r="2384" spans="1:5">
      <c r="A2384" s="140"/>
      <c r="B2384" s="192"/>
      <c r="C2384" s="140"/>
      <c r="D2384" s="140"/>
      <c r="E2384" s="140"/>
    </row>
    <row r="2385" spans="1:5">
      <c r="A2385" s="140"/>
      <c r="B2385" s="192"/>
      <c r="C2385" s="140"/>
      <c r="D2385" s="140"/>
      <c r="E2385" s="140"/>
    </row>
    <row r="2386" spans="1:5">
      <c r="A2386" s="140"/>
      <c r="B2386" s="192"/>
      <c r="C2386" s="140"/>
      <c r="D2386" s="140"/>
      <c r="E2386" s="140"/>
    </row>
    <row r="2387" spans="1:5">
      <c r="A2387" s="140"/>
      <c r="B2387" s="192"/>
      <c r="C2387" s="140"/>
      <c r="D2387" s="140"/>
      <c r="E2387" s="140"/>
    </row>
    <row r="2388" spans="1:5">
      <c r="A2388" s="140"/>
      <c r="B2388" s="192"/>
      <c r="C2388" s="140"/>
      <c r="D2388" s="140"/>
      <c r="E2388" s="140"/>
    </row>
    <row r="2389" spans="1:5">
      <c r="A2389" s="140"/>
      <c r="B2389" s="192"/>
      <c r="C2389" s="140"/>
      <c r="D2389" s="140"/>
      <c r="E2389" s="140"/>
    </row>
    <row r="2390" spans="1:5">
      <c r="A2390" s="140"/>
      <c r="B2390" s="192"/>
      <c r="C2390" s="140"/>
      <c r="D2390" s="140"/>
      <c r="E2390" s="140"/>
    </row>
    <row r="2391" spans="1:5">
      <c r="A2391" s="140"/>
      <c r="B2391" s="192"/>
      <c r="C2391" s="140"/>
      <c r="D2391" s="140"/>
      <c r="E2391" s="140"/>
    </row>
    <row r="2392" spans="1:5">
      <c r="A2392" s="140"/>
      <c r="B2392" s="192"/>
      <c r="C2392" s="140"/>
      <c r="D2392" s="140"/>
      <c r="E2392" s="140"/>
    </row>
    <row r="2393" spans="1:5">
      <c r="A2393" s="140"/>
      <c r="B2393" s="192"/>
      <c r="C2393" s="140"/>
      <c r="D2393" s="140"/>
      <c r="E2393" s="140"/>
    </row>
    <row r="2394" spans="1:5">
      <c r="A2394" s="140"/>
      <c r="B2394" s="192"/>
      <c r="C2394" s="140"/>
      <c r="D2394" s="140"/>
      <c r="E2394" s="140"/>
    </row>
    <row r="2395" spans="1:5">
      <c r="A2395" s="140"/>
      <c r="B2395" s="192"/>
      <c r="C2395" s="140"/>
      <c r="D2395" s="140"/>
      <c r="E2395" s="140"/>
    </row>
    <row r="2396" spans="1:5">
      <c r="A2396" s="140"/>
      <c r="B2396" s="192"/>
      <c r="C2396" s="140"/>
      <c r="D2396" s="140"/>
      <c r="E2396" s="140"/>
    </row>
    <row r="2397" spans="1:5">
      <c r="A2397" s="140"/>
      <c r="B2397" s="192"/>
      <c r="C2397" s="140"/>
      <c r="D2397" s="140"/>
      <c r="E2397" s="140"/>
    </row>
    <row r="2398" spans="1:5">
      <c r="A2398" s="140"/>
      <c r="B2398" s="192"/>
      <c r="C2398" s="140"/>
      <c r="D2398" s="140"/>
      <c r="E2398" s="140"/>
    </row>
    <row r="2399" spans="1:5">
      <c r="A2399" s="140"/>
      <c r="B2399" s="192"/>
      <c r="C2399" s="140"/>
      <c r="D2399" s="140"/>
      <c r="E2399" s="140"/>
    </row>
    <row r="2400" spans="1:5">
      <c r="A2400" s="140"/>
      <c r="B2400" s="192"/>
      <c r="C2400" s="140"/>
      <c r="D2400" s="140"/>
      <c r="E2400" s="140"/>
    </row>
    <row r="2401" spans="1:5">
      <c r="A2401" s="140"/>
      <c r="B2401" s="192"/>
      <c r="C2401" s="140"/>
      <c r="D2401" s="140"/>
      <c r="E2401" s="140"/>
    </row>
    <row r="2402" spans="1:5">
      <c r="A2402" s="140"/>
      <c r="B2402" s="192"/>
      <c r="C2402" s="140"/>
      <c r="D2402" s="140"/>
      <c r="E2402" s="140"/>
    </row>
    <row r="2403" spans="1:5">
      <c r="A2403" s="140"/>
      <c r="B2403" s="192"/>
      <c r="C2403" s="140"/>
      <c r="D2403" s="140"/>
      <c r="E2403" s="140"/>
    </row>
    <row r="2404" spans="1:5">
      <c r="A2404" s="140"/>
      <c r="B2404" s="192"/>
      <c r="C2404" s="140"/>
      <c r="D2404" s="140"/>
      <c r="E2404" s="140"/>
    </row>
    <row r="2405" spans="1:5">
      <c r="A2405" s="140"/>
      <c r="B2405" s="192"/>
      <c r="C2405" s="140"/>
      <c r="D2405" s="140"/>
      <c r="E2405" s="140"/>
    </row>
    <row r="2406" spans="1:5">
      <c r="A2406" s="140"/>
      <c r="B2406" s="192"/>
      <c r="C2406" s="140"/>
      <c r="D2406" s="140"/>
      <c r="E2406" s="140"/>
    </row>
    <row r="2407" spans="1:5">
      <c r="A2407" s="140"/>
      <c r="B2407" s="192"/>
      <c r="C2407" s="140"/>
      <c r="D2407" s="140"/>
      <c r="E2407" s="140"/>
    </row>
    <row r="2408" spans="1:5">
      <c r="A2408" s="140"/>
      <c r="B2408" s="192"/>
      <c r="C2408" s="140"/>
      <c r="D2408" s="140"/>
      <c r="E2408" s="140"/>
    </row>
    <row r="2409" spans="1:5">
      <c r="A2409" s="140"/>
      <c r="B2409" s="192"/>
      <c r="C2409" s="140"/>
      <c r="D2409" s="140"/>
      <c r="E2409" s="140"/>
    </row>
    <row r="2410" spans="1:5">
      <c r="A2410" s="140"/>
      <c r="B2410" s="192"/>
      <c r="C2410" s="140"/>
      <c r="D2410" s="140"/>
      <c r="E2410" s="140"/>
    </row>
    <row r="2411" spans="1:5">
      <c r="A2411" s="140"/>
      <c r="B2411" s="192"/>
      <c r="C2411" s="140"/>
      <c r="D2411" s="140"/>
      <c r="E2411" s="140"/>
    </row>
    <row r="2412" spans="1:5">
      <c r="A2412" s="140"/>
      <c r="B2412" s="192"/>
      <c r="C2412" s="140"/>
      <c r="D2412" s="140"/>
      <c r="E2412" s="140"/>
    </row>
    <row r="2413" spans="1:5">
      <c r="A2413" s="140"/>
      <c r="B2413" s="192"/>
      <c r="C2413" s="140"/>
      <c r="D2413" s="140"/>
      <c r="E2413" s="140"/>
    </row>
    <row r="2414" spans="1:5">
      <c r="A2414" s="140"/>
      <c r="B2414" s="192"/>
      <c r="C2414" s="140"/>
      <c r="D2414" s="140"/>
      <c r="E2414" s="140"/>
    </row>
    <row r="2415" spans="1:5">
      <c r="A2415" s="140"/>
      <c r="B2415" s="192"/>
      <c r="C2415" s="140"/>
      <c r="D2415" s="140"/>
      <c r="E2415" s="140"/>
    </row>
    <row r="2416" spans="1:5">
      <c r="A2416" s="140"/>
      <c r="B2416" s="192"/>
      <c r="C2416" s="140"/>
      <c r="D2416" s="140"/>
      <c r="E2416" s="140"/>
    </row>
    <row r="2417" spans="1:5">
      <c r="A2417" s="140"/>
      <c r="B2417" s="192"/>
      <c r="C2417" s="140"/>
      <c r="D2417" s="140"/>
      <c r="E2417" s="140"/>
    </row>
    <row r="2418" spans="1:5">
      <c r="A2418" s="140"/>
      <c r="B2418" s="192"/>
      <c r="C2418" s="140"/>
      <c r="D2418" s="140"/>
      <c r="E2418" s="140"/>
    </row>
    <row r="2419" spans="1:5">
      <c r="A2419" s="140"/>
      <c r="B2419" s="192"/>
      <c r="C2419" s="140"/>
      <c r="D2419" s="140"/>
      <c r="E2419" s="140"/>
    </row>
    <row r="2420" spans="1:5">
      <c r="A2420" s="140"/>
      <c r="B2420" s="192"/>
      <c r="C2420" s="140"/>
      <c r="D2420" s="140"/>
      <c r="E2420" s="140"/>
    </row>
    <row r="2421" spans="1:5">
      <c r="A2421" s="140"/>
      <c r="B2421" s="192"/>
      <c r="C2421" s="140"/>
      <c r="D2421" s="140"/>
      <c r="E2421" s="140"/>
    </row>
    <row r="2422" spans="1:5">
      <c r="A2422" s="140"/>
      <c r="B2422" s="192"/>
      <c r="C2422" s="140"/>
      <c r="D2422" s="140"/>
      <c r="E2422" s="140"/>
    </row>
    <row r="2423" spans="1:5">
      <c r="A2423" s="140"/>
      <c r="B2423" s="192"/>
      <c r="C2423" s="140"/>
      <c r="D2423" s="140"/>
      <c r="E2423" s="140"/>
    </row>
    <row r="2424" spans="1:5">
      <c r="A2424" s="140"/>
      <c r="B2424" s="192"/>
      <c r="C2424" s="140"/>
      <c r="D2424" s="140"/>
      <c r="E2424" s="140"/>
    </row>
    <row r="2425" spans="1:5">
      <c r="A2425" s="140"/>
      <c r="B2425" s="192"/>
      <c r="C2425" s="140"/>
      <c r="D2425" s="140"/>
      <c r="E2425" s="140"/>
    </row>
    <row r="2426" spans="1:5">
      <c r="A2426" s="140"/>
      <c r="B2426" s="192"/>
      <c r="C2426" s="140"/>
      <c r="D2426" s="140"/>
      <c r="E2426" s="140"/>
    </row>
    <row r="2427" spans="1:5">
      <c r="A2427" s="140"/>
      <c r="B2427" s="192"/>
      <c r="C2427" s="140"/>
      <c r="D2427" s="140"/>
      <c r="E2427" s="140"/>
    </row>
    <row r="2428" spans="1:5">
      <c r="A2428" s="140"/>
      <c r="B2428" s="192"/>
      <c r="C2428" s="140"/>
      <c r="D2428" s="140"/>
      <c r="E2428" s="140"/>
    </row>
    <row r="2429" spans="1:5">
      <c r="A2429" s="140"/>
      <c r="B2429" s="192"/>
      <c r="C2429" s="140"/>
      <c r="D2429" s="140"/>
      <c r="E2429" s="140"/>
    </row>
    <row r="2430" spans="1:5">
      <c r="A2430" s="140"/>
      <c r="B2430" s="192"/>
      <c r="C2430" s="140"/>
      <c r="D2430" s="140"/>
      <c r="E2430" s="140"/>
    </row>
    <row r="2431" spans="1:5">
      <c r="A2431" s="140"/>
      <c r="B2431" s="192"/>
      <c r="C2431" s="140"/>
      <c r="D2431" s="140"/>
      <c r="E2431" s="140"/>
    </row>
    <row r="2432" spans="1:5">
      <c r="A2432" s="140"/>
      <c r="B2432" s="192"/>
      <c r="C2432" s="140"/>
      <c r="D2432" s="140"/>
      <c r="E2432" s="140"/>
    </row>
    <row r="2433" spans="1:5">
      <c r="A2433" s="140"/>
      <c r="B2433" s="192"/>
      <c r="C2433" s="140"/>
      <c r="D2433" s="140"/>
      <c r="E2433" s="140"/>
    </row>
    <row r="2434" spans="1:5">
      <c r="A2434" s="140"/>
      <c r="B2434" s="192"/>
      <c r="C2434" s="140"/>
      <c r="D2434" s="140"/>
      <c r="E2434" s="140"/>
    </row>
    <row r="2435" spans="1:5">
      <c r="A2435" s="140"/>
      <c r="B2435" s="192"/>
      <c r="C2435" s="140"/>
      <c r="D2435" s="140"/>
      <c r="E2435" s="140"/>
    </row>
    <row r="2436" spans="1:5">
      <c r="A2436" s="140"/>
      <c r="B2436" s="192"/>
      <c r="C2436" s="140"/>
      <c r="D2436" s="140"/>
      <c r="E2436" s="140"/>
    </row>
    <row r="2437" spans="1:5">
      <c r="A2437" s="140"/>
      <c r="B2437" s="192"/>
      <c r="C2437" s="140"/>
      <c r="D2437" s="140"/>
      <c r="E2437" s="140"/>
    </row>
    <row r="2438" spans="1:5">
      <c r="A2438" s="140"/>
      <c r="B2438" s="192"/>
      <c r="C2438" s="140"/>
      <c r="D2438" s="140"/>
      <c r="E2438" s="140"/>
    </row>
    <row r="2439" spans="1:5">
      <c r="A2439" s="140"/>
      <c r="B2439" s="192"/>
      <c r="C2439" s="140"/>
      <c r="D2439" s="140"/>
      <c r="E2439" s="140"/>
    </row>
    <row r="2440" spans="1:5">
      <c r="A2440" s="140"/>
      <c r="B2440" s="192"/>
      <c r="C2440" s="140"/>
      <c r="D2440" s="140"/>
      <c r="E2440" s="140"/>
    </row>
    <row r="2441" spans="1:5">
      <c r="A2441" s="140"/>
      <c r="B2441" s="192"/>
      <c r="C2441" s="140"/>
      <c r="D2441" s="140"/>
      <c r="E2441" s="140"/>
    </row>
    <row r="2442" spans="1:5">
      <c r="A2442" s="140"/>
      <c r="B2442" s="192"/>
      <c r="C2442" s="140"/>
      <c r="D2442" s="140"/>
      <c r="E2442" s="140"/>
    </row>
    <row r="2443" spans="1:5">
      <c r="A2443" s="140"/>
      <c r="B2443" s="192"/>
      <c r="C2443" s="140"/>
      <c r="D2443" s="140"/>
      <c r="E2443" s="140"/>
    </row>
    <row r="2444" spans="1:5">
      <c r="A2444" s="140"/>
      <c r="B2444" s="192"/>
      <c r="C2444" s="140"/>
      <c r="D2444" s="140"/>
      <c r="E2444" s="140"/>
    </row>
    <row r="2445" spans="1:5">
      <c r="A2445" s="140"/>
      <c r="B2445" s="192"/>
      <c r="C2445" s="140"/>
      <c r="D2445" s="140"/>
      <c r="E2445" s="140"/>
    </row>
    <row r="2446" spans="1:5">
      <c r="A2446" s="140"/>
      <c r="B2446" s="192"/>
      <c r="C2446" s="140"/>
      <c r="D2446" s="140"/>
      <c r="E2446" s="140"/>
    </row>
    <row r="2447" spans="1:5">
      <c r="A2447" s="140"/>
      <c r="B2447" s="192"/>
      <c r="C2447" s="140"/>
      <c r="D2447" s="140"/>
      <c r="E2447" s="140"/>
    </row>
    <row r="2448" spans="1:5">
      <c r="A2448" s="140"/>
      <c r="B2448" s="192"/>
      <c r="C2448" s="140"/>
      <c r="D2448" s="140"/>
      <c r="E2448" s="140"/>
    </row>
    <row r="2449" spans="1:5">
      <c r="A2449" s="140"/>
      <c r="B2449" s="192"/>
      <c r="C2449" s="140"/>
      <c r="D2449" s="140"/>
      <c r="E2449" s="140"/>
    </row>
    <row r="2450" spans="1:5">
      <c r="A2450" s="140"/>
      <c r="B2450" s="192"/>
      <c r="C2450" s="140"/>
      <c r="D2450" s="140"/>
      <c r="E2450" s="140"/>
    </row>
    <row r="2451" spans="1:5">
      <c r="A2451" s="140"/>
      <c r="B2451" s="192"/>
      <c r="C2451" s="140"/>
      <c r="D2451" s="140"/>
      <c r="E2451" s="140"/>
    </row>
    <row r="2452" spans="1:5">
      <c r="A2452" s="140"/>
      <c r="B2452" s="192"/>
      <c r="C2452" s="140"/>
      <c r="D2452" s="140"/>
      <c r="E2452" s="140"/>
    </row>
    <row r="2453" spans="1:5">
      <c r="A2453" s="140"/>
      <c r="B2453" s="192"/>
      <c r="C2453" s="140"/>
      <c r="D2453" s="140"/>
      <c r="E2453" s="140"/>
    </row>
    <row r="2454" spans="1:5">
      <c r="A2454" s="140"/>
      <c r="B2454" s="192"/>
      <c r="C2454" s="140"/>
      <c r="D2454" s="140"/>
      <c r="E2454" s="140"/>
    </row>
    <row r="2455" spans="1:5">
      <c r="A2455" s="140"/>
      <c r="B2455" s="192"/>
      <c r="C2455" s="140"/>
      <c r="D2455" s="140"/>
      <c r="E2455" s="140"/>
    </row>
    <row r="2456" spans="1:5">
      <c r="A2456" s="140"/>
      <c r="B2456" s="192"/>
      <c r="C2456" s="140"/>
      <c r="D2456" s="140"/>
      <c r="E2456" s="140"/>
    </row>
    <row r="2457" spans="1:5">
      <c r="A2457" s="140"/>
      <c r="B2457" s="192"/>
      <c r="C2457" s="140"/>
      <c r="D2457" s="140"/>
      <c r="E2457" s="140"/>
    </row>
    <row r="2458" spans="1:5">
      <c r="A2458" s="140"/>
      <c r="B2458" s="192"/>
      <c r="C2458" s="140"/>
      <c r="D2458" s="140"/>
      <c r="E2458" s="140"/>
    </row>
    <row r="2459" spans="1:5">
      <c r="A2459" s="140"/>
      <c r="B2459" s="192"/>
      <c r="C2459" s="140"/>
      <c r="D2459" s="140"/>
      <c r="E2459" s="140"/>
    </row>
    <row r="2460" spans="1:5">
      <c r="A2460" s="140"/>
      <c r="B2460" s="192"/>
      <c r="C2460" s="140"/>
      <c r="D2460" s="140"/>
      <c r="E2460" s="140"/>
    </row>
    <row r="2461" spans="1:5">
      <c r="A2461" s="140"/>
      <c r="B2461" s="192"/>
      <c r="C2461" s="140"/>
      <c r="D2461" s="140"/>
      <c r="E2461" s="140"/>
    </row>
    <row r="2462" spans="1:5">
      <c r="A2462" s="140"/>
      <c r="B2462" s="192"/>
      <c r="C2462" s="140"/>
      <c r="D2462" s="140"/>
      <c r="E2462" s="140"/>
    </row>
    <row r="2463" spans="1:5">
      <c r="A2463" s="140"/>
      <c r="B2463" s="192"/>
      <c r="C2463" s="140"/>
      <c r="D2463" s="140"/>
      <c r="E2463" s="140"/>
    </row>
    <row r="2464" spans="1:5">
      <c r="A2464" s="140"/>
      <c r="B2464" s="192"/>
      <c r="C2464" s="140"/>
      <c r="D2464" s="140"/>
      <c r="E2464" s="140"/>
    </row>
    <row r="2465" spans="1:5">
      <c r="A2465" s="140"/>
      <c r="B2465" s="192"/>
      <c r="C2465" s="140"/>
      <c r="D2465" s="140"/>
      <c r="E2465" s="140"/>
    </row>
    <row r="2466" spans="1:5">
      <c r="A2466" s="140"/>
      <c r="B2466" s="192"/>
      <c r="C2466" s="140"/>
      <c r="D2466" s="140"/>
      <c r="E2466" s="140"/>
    </row>
    <row r="2467" spans="1:5">
      <c r="A2467" s="140"/>
      <c r="B2467" s="192"/>
      <c r="C2467" s="140"/>
      <c r="D2467" s="140"/>
      <c r="E2467" s="140"/>
    </row>
    <row r="2468" spans="1:5">
      <c r="A2468" s="140"/>
      <c r="B2468" s="192"/>
      <c r="C2468" s="140"/>
      <c r="D2468" s="140"/>
      <c r="E2468" s="140"/>
    </row>
    <row r="2469" spans="1:5">
      <c r="A2469" s="140"/>
      <c r="B2469" s="192"/>
      <c r="C2469" s="140"/>
      <c r="D2469" s="140"/>
      <c r="E2469" s="140"/>
    </row>
    <row r="2470" spans="1:5">
      <c r="A2470" s="140"/>
      <c r="B2470" s="192"/>
      <c r="C2470" s="140"/>
      <c r="D2470" s="140"/>
      <c r="E2470" s="140"/>
    </row>
    <row r="2471" spans="1:5">
      <c r="A2471" s="140"/>
      <c r="B2471" s="192"/>
      <c r="C2471" s="140"/>
      <c r="D2471" s="140"/>
      <c r="E2471" s="140"/>
    </row>
    <row r="2472" spans="1:5">
      <c r="A2472" s="140"/>
      <c r="B2472" s="192"/>
      <c r="C2472" s="140"/>
      <c r="D2472" s="140"/>
      <c r="E2472" s="140"/>
    </row>
    <row r="2473" spans="1:5">
      <c r="A2473" s="140"/>
      <c r="B2473" s="192"/>
      <c r="C2473" s="140"/>
      <c r="D2473" s="140"/>
      <c r="E2473" s="140"/>
    </row>
    <row r="2474" spans="1:5">
      <c r="A2474" s="140"/>
      <c r="B2474" s="192"/>
      <c r="C2474" s="140"/>
      <c r="D2474" s="140"/>
      <c r="E2474" s="140"/>
    </row>
    <row r="2475" spans="1:5">
      <c r="A2475" s="140"/>
      <c r="B2475" s="192"/>
      <c r="C2475" s="140"/>
      <c r="D2475" s="140"/>
      <c r="E2475" s="140"/>
    </row>
    <row r="2476" spans="1:5">
      <c r="A2476" s="140"/>
      <c r="B2476" s="192"/>
      <c r="C2476" s="140"/>
      <c r="D2476" s="140"/>
      <c r="E2476" s="140"/>
    </row>
    <row r="2477" spans="1:5">
      <c r="A2477" s="140"/>
      <c r="B2477" s="192"/>
      <c r="C2477" s="140"/>
      <c r="D2477" s="140"/>
      <c r="E2477" s="140"/>
    </row>
    <row r="2478" spans="1:5">
      <c r="A2478" s="140"/>
      <c r="B2478" s="192"/>
      <c r="C2478" s="140"/>
      <c r="D2478" s="140"/>
      <c r="E2478" s="140"/>
    </row>
    <row r="2479" spans="1:5">
      <c r="A2479" s="140"/>
      <c r="B2479" s="192"/>
      <c r="C2479" s="140"/>
      <c r="D2479" s="140"/>
      <c r="E2479" s="140"/>
    </row>
    <row r="2480" spans="1:5">
      <c r="A2480" s="140"/>
      <c r="B2480" s="192"/>
      <c r="C2480" s="140"/>
      <c r="D2480" s="140"/>
      <c r="E2480" s="140"/>
    </row>
    <row r="2481" spans="1:5">
      <c r="A2481" s="140"/>
      <c r="B2481" s="192"/>
      <c r="C2481" s="140"/>
      <c r="D2481" s="140"/>
      <c r="E2481" s="140"/>
    </row>
    <row r="2482" spans="1:5">
      <c r="A2482" s="140"/>
      <c r="B2482" s="192"/>
      <c r="C2482" s="140"/>
      <c r="D2482" s="140"/>
      <c r="E2482" s="140"/>
    </row>
    <row r="2483" spans="1:5">
      <c r="A2483" s="140"/>
      <c r="B2483" s="192"/>
      <c r="C2483" s="140"/>
      <c r="D2483" s="140"/>
      <c r="E2483" s="140"/>
    </row>
    <row r="2484" spans="1:5">
      <c r="A2484" s="140"/>
      <c r="B2484" s="192"/>
      <c r="C2484" s="140"/>
      <c r="D2484" s="140"/>
      <c r="E2484" s="140"/>
    </row>
    <row r="2485" spans="1:5">
      <c r="A2485" s="140"/>
      <c r="B2485" s="192"/>
      <c r="C2485" s="140"/>
      <c r="D2485" s="140"/>
      <c r="E2485" s="140"/>
    </row>
    <row r="2486" spans="1:5">
      <c r="A2486" s="140"/>
      <c r="B2486" s="192"/>
      <c r="C2486" s="140"/>
      <c r="D2486" s="140"/>
      <c r="E2486" s="140"/>
    </row>
    <row r="2487" spans="1:5">
      <c r="A2487" s="140"/>
      <c r="B2487" s="192"/>
      <c r="C2487" s="140"/>
      <c r="D2487" s="140"/>
      <c r="E2487" s="140"/>
    </row>
    <row r="2488" spans="1:5">
      <c r="A2488" s="140"/>
      <c r="B2488" s="192"/>
      <c r="C2488" s="140"/>
      <c r="D2488" s="140"/>
      <c r="E2488" s="140"/>
    </row>
    <row r="2489" spans="1:5">
      <c r="A2489" s="140"/>
      <c r="B2489" s="192"/>
      <c r="C2489" s="140"/>
      <c r="D2489" s="140"/>
      <c r="E2489" s="140"/>
    </row>
    <row r="2490" spans="1:5">
      <c r="A2490" s="140"/>
      <c r="B2490" s="192"/>
      <c r="C2490" s="140"/>
      <c r="D2490" s="140"/>
      <c r="E2490" s="140"/>
    </row>
    <row r="2491" spans="1:5">
      <c r="A2491" s="140"/>
      <c r="B2491" s="192"/>
      <c r="C2491" s="140"/>
      <c r="D2491" s="140"/>
      <c r="E2491" s="140"/>
    </row>
    <row r="2492" spans="1:5">
      <c r="A2492" s="140"/>
      <c r="B2492" s="192"/>
      <c r="C2492" s="140"/>
      <c r="D2492" s="140"/>
      <c r="E2492" s="140"/>
    </row>
    <row r="2493" spans="1:5">
      <c r="A2493" s="140"/>
      <c r="B2493" s="192"/>
      <c r="C2493" s="140"/>
      <c r="D2493" s="140"/>
      <c r="E2493" s="140"/>
    </row>
    <row r="2494" spans="1:5">
      <c r="A2494" s="140"/>
      <c r="B2494" s="192"/>
      <c r="C2494" s="140"/>
      <c r="D2494" s="140"/>
      <c r="E2494" s="140"/>
    </row>
    <row r="2495" spans="1:5">
      <c r="A2495" s="140"/>
      <c r="B2495" s="192"/>
      <c r="C2495" s="140"/>
      <c r="D2495" s="140"/>
      <c r="E2495" s="140"/>
    </row>
    <row r="2496" spans="1:5">
      <c r="A2496" s="140"/>
      <c r="B2496" s="192"/>
      <c r="C2496" s="140"/>
      <c r="D2496" s="140"/>
      <c r="E2496" s="140"/>
    </row>
    <row r="2497" spans="1:5">
      <c r="A2497" s="140"/>
      <c r="B2497" s="192"/>
      <c r="C2497" s="140"/>
      <c r="D2497" s="140"/>
      <c r="E2497" s="140"/>
    </row>
    <row r="2498" spans="1:5">
      <c r="A2498" s="140"/>
      <c r="B2498" s="192"/>
      <c r="C2498" s="140"/>
      <c r="D2498" s="140"/>
      <c r="E2498" s="140"/>
    </row>
    <row r="2499" spans="1:5">
      <c r="A2499" s="140"/>
      <c r="B2499" s="192"/>
      <c r="C2499" s="140"/>
      <c r="D2499" s="140"/>
      <c r="E2499" s="140"/>
    </row>
    <row r="2500" spans="1:5">
      <c r="A2500" s="140"/>
      <c r="B2500" s="192"/>
      <c r="C2500" s="140"/>
      <c r="D2500" s="140"/>
      <c r="E2500" s="140"/>
    </row>
    <row r="2501" spans="1:5">
      <c r="A2501" s="140"/>
      <c r="B2501" s="192"/>
      <c r="C2501" s="140"/>
      <c r="D2501" s="140"/>
      <c r="E2501" s="140"/>
    </row>
    <row r="2502" spans="1:5">
      <c r="A2502" s="140"/>
      <c r="B2502" s="192"/>
      <c r="C2502" s="140"/>
      <c r="D2502" s="140"/>
      <c r="E2502" s="140"/>
    </row>
    <row r="2503" spans="1:5">
      <c r="A2503" s="140"/>
      <c r="B2503" s="192"/>
      <c r="C2503" s="140"/>
      <c r="D2503" s="140"/>
      <c r="E2503" s="140"/>
    </row>
    <row r="2504" spans="1:5">
      <c r="A2504" s="140"/>
      <c r="B2504" s="192"/>
      <c r="C2504" s="140"/>
      <c r="D2504" s="140"/>
      <c r="E2504" s="140"/>
    </row>
    <row r="2505" spans="1:5">
      <c r="A2505" s="140"/>
      <c r="B2505" s="192"/>
      <c r="C2505" s="140"/>
      <c r="D2505" s="140"/>
      <c r="E2505" s="140"/>
    </row>
    <row r="2506" spans="1:5">
      <c r="A2506" s="140"/>
      <c r="B2506" s="192"/>
      <c r="C2506" s="140"/>
      <c r="D2506" s="140"/>
      <c r="E2506" s="140"/>
    </row>
    <row r="2507" spans="1:5">
      <c r="A2507" s="140"/>
      <c r="B2507" s="192"/>
      <c r="C2507" s="140"/>
      <c r="D2507" s="140"/>
      <c r="E2507" s="140"/>
    </row>
    <row r="2508" spans="1:5">
      <c r="A2508" s="140"/>
      <c r="B2508" s="192"/>
      <c r="C2508" s="140"/>
      <c r="D2508" s="140"/>
      <c r="E2508" s="140"/>
    </row>
    <row r="2509" spans="1:5">
      <c r="A2509" s="140"/>
      <c r="B2509" s="192"/>
      <c r="C2509" s="140"/>
      <c r="D2509" s="140"/>
      <c r="E2509" s="140"/>
    </row>
    <row r="2510" spans="1:5">
      <c r="A2510" s="140"/>
      <c r="B2510" s="192"/>
      <c r="C2510" s="140"/>
      <c r="D2510" s="140"/>
      <c r="E2510" s="140"/>
    </row>
    <row r="2511" spans="1:5">
      <c r="A2511" s="140"/>
      <c r="B2511" s="192"/>
      <c r="C2511" s="140"/>
      <c r="D2511" s="140"/>
      <c r="E2511" s="140"/>
    </row>
    <row r="2512" spans="1:5">
      <c r="A2512" s="140"/>
      <c r="B2512" s="192"/>
      <c r="C2512" s="140"/>
      <c r="D2512" s="140"/>
      <c r="E2512" s="140"/>
    </row>
    <row r="2513" spans="1:5">
      <c r="A2513" s="140"/>
      <c r="B2513" s="192"/>
      <c r="C2513" s="140"/>
      <c r="D2513" s="140"/>
      <c r="E2513" s="140"/>
    </row>
    <row r="2514" spans="1:5">
      <c r="A2514" s="140"/>
      <c r="B2514" s="192"/>
      <c r="C2514" s="140"/>
      <c r="D2514" s="140"/>
      <c r="E2514" s="140"/>
    </row>
    <row r="2515" spans="1:5">
      <c r="A2515" s="140"/>
      <c r="B2515" s="192"/>
      <c r="C2515" s="140"/>
      <c r="D2515" s="140"/>
      <c r="E2515" s="140"/>
    </row>
    <row r="2516" spans="1:5">
      <c r="A2516" s="140"/>
      <c r="B2516" s="192"/>
      <c r="C2516" s="140"/>
      <c r="D2516" s="140"/>
      <c r="E2516" s="140"/>
    </row>
    <row r="2517" spans="1:5">
      <c r="A2517" s="140"/>
      <c r="B2517" s="192"/>
      <c r="C2517" s="140"/>
      <c r="D2517" s="140"/>
      <c r="E2517" s="140"/>
    </row>
    <row r="2518" spans="1:5">
      <c r="A2518" s="140"/>
      <c r="B2518" s="192"/>
      <c r="C2518" s="140"/>
      <c r="D2518" s="140"/>
      <c r="E2518" s="140"/>
    </row>
    <row r="2519" spans="1:5">
      <c r="A2519" s="140"/>
      <c r="B2519" s="192"/>
      <c r="C2519" s="140"/>
      <c r="D2519" s="140"/>
      <c r="E2519" s="140"/>
    </row>
    <row r="2520" spans="1:5">
      <c r="A2520" s="140"/>
      <c r="B2520" s="192"/>
      <c r="C2520" s="140"/>
      <c r="D2520" s="140"/>
      <c r="E2520" s="140"/>
    </row>
    <row r="2521" spans="1:5">
      <c r="A2521" s="140"/>
      <c r="B2521" s="192"/>
      <c r="C2521" s="140"/>
      <c r="D2521" s="140"/>
      <c r="E2521" s="140"/>
    </row>
    <row r="2522" spans="1:5">
      <c r="A2522" s="140"/>
      <c r="B2522" s="192"/>
      <c r="C2522" s="140"/>
      <c r="D2522" s="140"/>
      <c r="E2522" s="140"/>
    </row>
    <row r="2523" spans="1:5">
      <c r="A2523" s="140"/>
      <c r="B2523" s="192"/>
      <c r="C2523" s="140"/>
      <c r="D2523" s="140"/>
      <c r="E2523" s="140"/>
    </row>
    <row r="2524" spans="1:5">
      <c r="A2524" s="140"/>
      <c r="B2524" s="192"/>
      <c r="C2524" s="140"/>
      <c r="D2524" s="140"/>
      <c r="E2524" s="140"/>
    </row>
    <row r="2525" spans="1:5">
      <c r="A2525" s="140"/>
      <c r="B2525" s="192"/>
      <c r="C2525" s="140"/>
      <c r="D2525" s="140"/>
      <c r="E2525" s="140"/>
    </row>
    <row r="2526" spans="1:5">
      <c r="A2526" s="140"/>
      <c r="B2526" s="192"/>
      <c r="C2526" s="140"/>
      <c r="D2526" s="140"/>
      <c r="E2526" s="140"/>
    </row>
    <row r="2527" spans="1:5">
      <c r="A2527" s="140"/>
      <c r="B2527" s="192"/>
      <c r="C2527" s="140"/>
      <c r="D2527" s="140"/>
      <c r="E2527" s="140"/>
    </row>
    <row r="2528" spans="1:5">
      <c r="A2528" s="140"/>
      <c r="B2528" s="192"/>
      <c r="C2528" s="140"/>
      <c r="D2528" s="140"/>
      <c r="E2528" s="140"/>
    </row>
    <row r="2529" spans="1:5">
      <c r="A2529" s="140"/>
      <c r="B2529" s="192"/>
      <c r="C2529" s="140"/>
      <c r="D2529" s="140"/>
      <c r="E2529" s="140"/>
    </row>
    <row r="2530" spans="1:5">
      <c r="A2530" s="140"/>
      <c r="B2530" s="192"/>
      <c r="C2530" s="140"/>
      <c r="D2530" s="140"/>
      <c r="E2530" s="140"/>
    </row>
    <row r="2531" spans="1:5">
      <c r="A2531" s="140"/>
      <c r="B2531" s="192"/>
      <c r="C2531" s="140"/>
      <c r="D2531" s="140"/>
      <c r="E2531" s="140"/>
    </row>
    <row r="2532" spans="1:5">
      <c r="A2532" s="140"/>
      <c r="B2532" s="192"/>
      <c r="C2532" s="140"/>
      <c r="D2532" s="140"/>
      <c r="E2532" s="140"/>
    </row>
    <row r="2533" spans="1:5">
      <c r="A2533" s="140"/>
      <c r="B2533" s="192"/>
      <c r="C2533" s="140"/>
      <c r="D2533" s="140"/>
      <c r="E2533" s="140"/>
    </row>
    <row r="2534" spans="1:5">
      <c r="A2534" s="140"/>
      <c r="B2534" s="192"/>
      <c r="C2534" s="140"/>
      <c r="D2534" s="140"/>
      <c r="E2534" s="140"/>
    </row>
    <row r="2535" spans="1:5">
      <c r="A2535" s="140"/>
      <c r="B2535" s="192"/>
      <c r="C2535" s="140"/>
      <c r="D2535" s="140"/>
      <c r="E2535" s="140"/>
    </row>
    <row r="2536" spans="1:5">
      <c r="A2536" s="140"/>
      <c r="B2536" s="192"/>
      <c r="C2536" s="140"/>
      <c r="D2536" s="140"/>
      <c r="E2536" s="140"/>
    </row>
    <row r="2537" spans="1:5">
      <c r="A2537" s="140"/>
      <c r="B2537" s="192"/>
      <c r="C2537" s="140"/>
      <c r="D2537" s="140"/>
      <c r="E2537" s="140"/>
    </row>
    <row r="2538" spans="1:5">
      <c r="A2538" s="140"/>
      <c r="B2538" s="192"/>
      <c r="C2538" s="140"/>
      <c r="D2538" s="140"/>
      <c r="E2538" s="140"/>
    </row>
    <row r="2539" spans="1:5">
      <c r="A2539" s="140"/>
      <c r="B2539" s="192"/>
      <c r="C2539" s="140"/>
      <c r="D2539" s="140"/>
      <c r="E2539" s="140"/>
    </row>
    <row r="2540" spans="1:5">
      <c r="A2540" s="140"/>
      <c r="B2540" s="192"/>
      <c r="C2540" s="140"/>
      <c r="D2540" s="140"/>
      <c r="E2540" s="140"/>
    </row>
    <row r="2541" spans="1:5">
      <c r="A2541" s="140"/>
      <c r="B2541" s="192"/>
      <c r="C2541" s="140"/>
      <c r="D2541" s="140"/>
      <c r="E2541" s="140"/>
    </row>
    <row r="2542" spans="1:5">
      <c r="A2542" s="140"/>
      <c r="B2542" s="192"/>
      <c r="C2542" s="140"/>
      <c r="D2542" s="140"/>
      <c r="E2542" s="140"/>
    </row>
    <row r="2543" spans="1:5">
      <c r="A2543" s="140"/>
      <c r="B2543" s="192"/>
      <c r="C2543" s="140"/>
      <c r="D2543" s="140"/>
      <c r="E2543" s="140"/>
    </row>
    <row r="2544" spans="1:5">
      <c r="A2544" s="140"/>
      <c r="B2544" s="192"/>
      <c r="C2544" s="140"/>
      <c r="D2544" s="140"/>
      <c r="E2544" s="140"/>
    </row>
    <row r="2545" spans="1:5">
      <c r="A2545" s="140"/>
      <c r="B2545" s="192"/>
      <c r="C2545" s="140"/>
      <c r="D2545" s="140"/>
      <c r="E2545" s="140"/>
    </row>
    <row r="2546" spans="1:5">
      <c r="A2546" s="140"/>
      <c r="B2546" s="192"/>
      <c r="C2546" s="140"/>
      <c r="D2546" s="140"/>
      <c r="E2546" s="140"/>
    </row>
    <row r="2547" spans="1:5">
      <c r="A2547" s="140"/>
      <c r="B2547" s="192"/>
      <c r="C2547" s="140"/>
      <c r="D2547" s="140"/>
      <c r="E2547" s="140"/>
    </row>
    <row r="2548" spans="1:5">
      <c r="A2548" s="140"/>
      <c r="B2548" s="192"/>
      <c r="C2548" s="140"/>
      <c r="D2548" s="140"/>
      <c r="E2548" s="140"/>
    </row>
    <row r="2549" spans="1:5">
      <c r="A2549" s="140"/>
      <c r="B2549" s="192"/>
      <c r="C2549" s="140"/>
      <c r="D2549" s="140"/>
      <c r="E2549" s="140"/>
    </row>
    <row r="2550" spans="1:5">
      <c r="A2550" s="140"/>
      <c r="B2550" s="192"/>
      <c r="C2550" s="140"/>
      <c r="D2550" s="140"/>
      <c r="E2550" s="140"/>
    </row>
    <row r="2551" spans="1:5">
      <c r="A2551" s="140"/>
      <c r="B2551" s="192"/>
      <c r="C2551" s="140"/>
      <c r="D2551" s="140"/>
      <c r="E2551" s="140"/>
    </row>
    <row r="2552" spans="1:5">
      <c r="A2552" s="140"/>
      <c r="B2552" s="192"/>
      <c r="C2552" s="140"/>
      <c r="D2552" s="140"/>
      <c r="E2552" s="140"/>
    </row>
    <row r="2553" spans="1:5">
      <c r="A2553" s="140"/>
      <c r="B2553" s="192"/>
      <c r="C2553" s="140"/>
      <c r="D2553" s="140"/>
      <c r="E2553" s="140"/>
    </row>
    <row r="2554" spans="1:5">
      <c r="A2554" s="140"/>
      <c r="B2554" s="192"/>
      <c r="C2554" s="140"/>
      <c r="D2554" s="140"/>
      <c r="E2554" s="140"/>
    </row>
    <row r="2555" spans="1:5">
      <c r="A2555" s="140"/>
      <c r="B2555" s="192"/>
      <c r="C2555" s="140"/>
      <c r="D2555" s="140"/>
      <c r="E2555" s="140"/>
    </row>
    <row r="2556" spans="1:5">
      <c r="A2556" s="140"/>
      <c r="B2556" s="192"/>
      <c r="C2556" s="140"/>
      <c r="D2556" s="140"/>
      <c r="E2556" s="140"/>
    </row>
    <row r="2557" spans="1:5">
      <c r="A2557" s="140"/>
      <c r="B2557" s="192"/>
      <c r="C2557" s="140"/>
      <c r="D2557" s="140"/>
      <c r="E2557" s="140"/>
    </row>
    <row r="2558" spans="1:5">
      <c r="A2558" s="140"/>
      <c r="B2558" s="192"/>
      <c r="C2558" s="140"/>
      <c r="D2558" s="140"/>
      <c r="E2558" s="140"/>
    </row>
    <row r="2559" spans="1:5">
      <c r="A2559" s="140"/>
      <c r="B2559" s="192"/>
      <c r="C2559" s="140"/>
      <c r="D2559" s="140"/>
      <c r="E2559" s="140"/>
    </row>
    <row r="2560" spans="1:5">
      <c r="A2560" s="140"/>
      <c r="B2560" s="192"/>
      <c r="C2560" s="140"/>
      <c r="D2560" s="140"/>
      <c r="E2560" s="140"/>
    </row>
    <row r="2561" spans="1:5">
      <c r="A2561" s="140"/>
      <c r="B2561" s="192"/>
      <c r="C2561" s="140"/>
      <c r="D2561" s="140"/>
      <c r="E2561" s="140"/>
    </row>
    <row r="2562" spans="1:5">
      <c r="A2562" s="140"/>
      <c r="B2562" s="192"/>
      <c r="C2562" s="140"/>
      <c r="D2562" s="140"/>
      <c r="E2562" s="140"/>
    </row>
    <row r="2563" spans="1:5">
      <c r="A2563" s="140"/>
      <c r="B2563" s="192"/>
      <c r="C2563" s="140"/>
      <c r="D2563" s="140"/>
      <c r="E2563" s="140"/>
    </row>
    <row r="2564" spans="1:5">
      <c r="A2564" s="140"/>
      <c r="B2564" s="192"/>
      <c r="C2564" s="140"/>
      <c r="D2564" s="140"/>
      <c r="E2564" s="140"/>
    </row>
    <row r="2565" spans="1:5">
      <c r="A2565" s="140"/>
      <c r="B2565" s="192"/>
      <c r="C2565" s="140"/>
      <c r="D2565" s="140"/>
      <c r="E2565" s="140"/>
    </row>
    <row r="2566" spans="1:5">
      <c r="A2566" s="140"/>
      <c r="B2566" s="192"/>
      <c r="C2566" s="140"/>
      <c r="D2566" s="140"/>
      <c r="E2566" s="140"/>
    </row>
    <row r="2567" spans="1:5">
      <c r="A2567" s="140"/>
      <c r="B2567" s="192"/>
      <c r="C2567" s="140"/>
      <c r="D2567" s="140"/>
      <c r="E2567" s="140"/>
    </row>
    <row r="2568" spans="1:5">
      <c r="A2568" s="140"/>
      <c r="B2568" s="192"/>
      <c r="C2568" s="140"/>
      <c r="D2568" s="140"/>
      <c r="E2568" s="140"/>
    </row>
    <row r="2569" spans="1:5">
      <c r="A2569" s="140"/>
      <c r="B2569" s="192"/>
      <c r="C2569" s="140"/>
      <c r="D2569" s="140"/>
      <c r="E2569" s="140"/>
    </row>
    <row r="2570" spans="1:5">
      <c r="A2570" s="140"/>
      <c r="B2570" s="192"/>
      <c r="C2570" s="140"/>
      <c r="D2570" s="140"/>
      <c r="E2570" s="140"/>
    </row>
    <row r="2571" spans="1:5">
      <c r="A2571" s="140"/>
      <c r="B2571" s="192"/>
      <c r="C2571" s="140"/>
      <c r="D2571" s="140"/>
      <c r="E2571" s="140"/>
    </row>
    <row r="2572" spans="1:5">
      <c r="A2572" s="140"/>
      <c r="B2572" s="192"/>
      <c r="C2572" s="140"/>
      <c r="D2572" s="140"/>
      <c r="E2572" s="140"/>
    </row>
    <row r="2573" spans="1:5">
      <c r="A2573" s="140"/>
      <c r="B2573" s="192"/>
      <c r="C2573" s="140"/>
      <c r="D2573" s="140"/>
      <c r="E2573" s="140"/>
    </row>
    <row r="2574" spans="1:5">
      <c r="A2574" s="140"/>
      <c r="B2574" s="192"/>
      <c r="C2574" s="140"/>
      <c r="D2574" s="140"/>
      <c r="E2574" s="140"/>
    </row>
    <row r="2575" spans="1:5">
      <c r="A2575" s="140"/>
      <c r="B2575" s="192"/>
      <c r="C2575" s="140"/>
      <c r="D2575" s="140"/>
      <c r="E2575" s="140"/>
    </row>
    <row r="2576" spans="1:5">
      <c r="A2576" s="140"/>
      <c r="B2576" s="192"/>
      <c r="C2576" s="140"/>
      <c r="D2576" s="140"/>
      <c r="E2576" s="140"/>
    </row>
    <row r="2577" spans="1:5">
      <c r="A2577" s="140"/>
      <c r="B2577" s="192"/>
      <c r="C2577" s="140"/>
      <c r="D2577" s="140"/>
      <c r="E2577" s="140"/>
    </row>
    <row r="2578" spans="1:5">
      <c r="A2578" s="140"/>
      <c r="B2578" s="192"/>
      <c r="C2578" s="140"/>
      <c r="D2578" s="140"/>
      <c r="E2578" s="140"/>
    </row>
    <row r="2579" spans="1:5">
      <c r="A2579" s="140"/>
      <c r="B2579" s="192"/>
      <c r="C2579" s="140"/>
      <c r="D2579" s="140"/>
      <c r="E2579" s="140"/>
    </row>
    <row r="2580" spans="1:5">
      <c r="A2580" s="140"/>
      <c r="B2580" s="192"/>
      <c r="C2580" s="140"/>
      <c r="D2580" s="140"/>
      <c r="E2580" s="140"/>
    </row>
    <row r="2581" spans="1:5">
      <c r="A2581" s="140"/>
      <c r="B2581" s="192"/>
      <c r="C2581" s="140"/>
      <c r="D2581" s="140"/>
      <c r="E2581" s="140"/>
    </row>
    <row r="2582" spans="1:5">
      <c r="A2582" s="140"/>
      <c r="B2582" s="192"/>
      <c r="C2582" s="140"/>
      <c r="D2582" s="140"/>
      <c r="E2582" s="140"/>
    </row>
    <row r="2583" spans="1:5">
      <c r="A2583" s="140"/>
      <c r="B2583" s="192"/>
      <c r="C2583" s="140"/>
      <c r="D2583" s="140"/>
      <c r="E2583" s="140"/>
    </row>
    <row r="2584" spans="1:5">
      <c r="A2584" s="140"/>
      <c r="B2584" s="192"/>
      <c r="C2584" s="140"/>
      <c r="D2584" s="140"/>
      <c r="E2584" s="140"/>
    </row>
    <row r="2585" spans="1:5">
      <c r="A2585" s="140"/>
      <c r="B2585" s="192"/>
      <c r="C2585" s="140"/>
      <c r="D2585" s="140"/>
      <c r="E2585" s="140"/>
    </row>
    <row r="2586" spans="1:5">
      <c r="A2586" s="140"/>
      <c r="B2586" s="192"/>
      <c r="C2586" s="140"/>
      <c r="D2586" s="140"/>
      <c r="E2586" s="140"/>
    </row>
    <row r="2587" spans="1:5">
      <c r="A2587" s="140"/>
      <c r="B2587" s="192"/>
      <c r="C2587" s="140"/>
      <c r="D2587" s="140"/>
      <c r="E2587" s="140"/>
    </row>
    <row r="2588" spans="1:5">
      <c r="A2588" s="140"/>
      <c r="B2588" s="192"/>
      <c r="C2588" s="140"/>
      <c r="D2588" s="140"/>
      <c r="E2588" s="140"/>
    </row>
    <row r="2589" spans="1:5">
      <c r="A2589" s="140"/>
      <c r="B2589" s="192"/>
      <c r="C2589" s="140"/>
      <c r="D2589" s="140"/>
      <c r="E2589" s="140"/>
    </row>
    <row r="2590" spans="1:5">
      <c r="A2590" s="140"/>
      <c r="B2590" s="192"/>
      <c r="C2590" s="140"/>
      <c r="D2590" s="140"/>
      <c r="E2590" s="140"/>
    </row>
    <row r="2591" spans="1:5">
      <c r="A2591" s="140"/>
      <c r="B2591" s="192"/>
      <c r="C2591" s="140"/>
      <c r="D2591" s="140"/>
      <c r="E2591" s="140"/>
    </row>
    <row r="2592" spans="1:5">
      <c r="A2592" s="140"/>
      <c r="B2592" s="192"/>
      <c r="C2592" s="140"/>
      <c r="D2592" s="140"/>
      <c r="E2592" s="140"/>
    </row>
    <row r="2593" spans="1:5">
      <c r="A2593" s="140"/>
      <c r="B2593" s="192"/>
      <c r="C2593" s="140"/>
      <c r="D2593" s="140"/>
      <c r="E2593" s="140"/>
    </row>
    <row r="2594" spans="1:5">
      <c r="A2594" s="140"/>
      <c r="B2594" s="192"/>
      <c r="C2594" s="140"/>
      <c r="D2594" s="140"/>
      <c r="E2594" s="140"/>
    </row>
    <row r="2595" spans="1:5">
      <c r="A2595" s="140"/>
      <c r="B2595" s="192"/>
      <c r="C2595" s="140"/>
      <c r="D2595" s="140"/>
      <c r="E2595" s="140"/>
    </row>
    <row r="2596" spans="1:5">
      <c r="A2596" s="140"/>
      <c r="B2596" s="192"/>
      <c r="C2596" s="140"/>
      <c r="D2596" s="140"/>
      <c r="E2596" s="140"/>
    </row>
    <row r="2597" spans="1:5">
      <c r="A2597" s="140"/>
      <c r="B2597" s="192"/>
      <c r="C2597" s="140"/>
      <c r="D2597" s="140"/>
      <c r="E2597" s="140"/>
    </row>
    <row r="2598" spans="1:5">
      <c r="A2598" s="140"/>
      <c r="B2598" s="192"/>
      <c r="C2598" s="140"/>
      <c r="D2598" s="140"/>
      <c r="E2598" s="140"/>
    </row>
    <row r="2599" spans="1:5">
      <c r="A2599" s="140"/>
      <c r="B2599" s="192"/>
      <c r="C2599" s="140"/>
      <c r="D2599" s="140"/>
      <c r="E2599" s="140"/>
    </row>
    <row r="2600" spans="1:5">
      <c r="A2600" s="140"/>
      <c r="B2600" s="192"/>
      <c r="C2600" s="140"/>
      <c r="D2600" s="140"/>
      <c r="E2600" s="140"/>
    </row>
    <row r="2601" spans="1:5">
      <c r="A2601" s="140"/>
      <c r="B2601" s="192"/>
      <c r="C2601" s="140"/>
      <c r="D2601" s="140"/>
      <c r="E2601" s="140"/>
    </row>
    <row r="2602" spans="1:5">
      <c r="A2602" s="140"/>
      <c r="B2602" s="192"/>
      <c r="C2602" s="140"/>
      <c r="D2602" s="140"/>
      <c r="E2602" s="140"/>
    </row>
    <row r="2603" spans="1:5">
      <c r="A2603" s="140"/>
      <c r="B2603" s="192"/>
      <c r="C2603" s="140"/>
      <c r="D2603" s="140"/>
      <c r="E2603" s="140"/>
    </row>
    <row r="2604" spans="1:5">
      <c r="A2604" s="140"/>
      <c r="B2604" s="192"/>
      <c r="C2604" s="140"/>
      <c r="D2604" s="140"/>
      <c r="E2604" s="140"/>
    </row>
    <row r="2605" spans="1:5">
      <c r="A2605" s="140"/>
      <c r="B2605" s="192"/>
      <c r="C2605" s="140"/>
      <c r="D2605" s="140"/>
      <c r="E2605" s="140"/>
    </row>
    <row r="2606" spans="1:5">
      <c r="A2606" s="140"/>
      <c r="B2606" s="192"/>
      <c r="C2606" s="140"/>
      <c r="D2606" s="140"/>
      <c r="E2606" s="140"/>
    </row>
    <row r="2607" spans="1:5">
      <c r="A2607" s="140"/>
      <c r="B2607" s="192"/>
      <c r="C2607" s="140"/>
      <c r="D2607" s="140"/>
      <c r="E2607" s="140"/>
    </row>
    <row r="2608" spans="1:5">
      <c r="A2608" s="140"/>
      <c r="B2608" s="192"/>
      <c r="C2608" s="140"/>
      <c r="D2608" s="140"/>
      <c r="E2608" s="140"/>
    </row>
    <row r="2609" spans="1:5">
      <c r="A2609" s="140"/>
      <c r="B2609" s="192"/>
      <c r="C2609" s="140"/>
      <c r="D2609" s="140"/>
      <c r="E2609" s="140"/>
    </row>
    <row r="2610" spans="1:5">
      <c r="A2610" s="140"/>
      <c r="B2610" s="192"/>
      <c r="C2610" s="140"/>
      <c r="D2610" s="140"/>
      <c r="E2610" s="140"/>
    </row>
    <row r="2611" spans="1:5">
      <c r="A2611" s="140"/>
      <c r="B2611" s="192"/>
      <c r="C2611" s="140"/>
      <c r="D2611" s="140"/>
      <c r="E2611" s="140"/>
    </row>
    <row r="2612" spans="1:5">
      <c r="A2612" s="140"/>
      <c r="B2612" s="192"/>
      <c r="C2612" s="140"/>
      <c r="D2612" s="140"/>
      <c r="E2612" s="140"/>
    </row>
    <row r="2613" spans="1:5">
      <c r="A2613" s="140"/>
      <c r="B2613" s="192"/>
      <c r="C2613" s="140"/>
      <c r="D2613" s="140"/>
      <c r="E2613" s="140"/>
    </row>
    <row r="2614" spans="1:5">
      <c r="A2614" s="140"/>
      <c r="B2614" s="192"/>
      <c r="C2614" s="140"/>
      <c r="D2614" s="140"/>
      <c r="E2614" s="140"/>
    </row>
    <row r="2615" spans="1:5">
      <c r="A2615" s="140"/>
      <c r="B2615" s="192"/>
      <c r="C2615" s="140"/>
      <c r="D2615" s="140"/>
      <c r="E2615" s="140"/>
    </row>
    <row r="2616" spans="1:5">
      <c r="A2616" s="140"/>
      <c r="B2616" s="192"/>
      <c r="C2616" s="140"/>
      <c r="D2616" s="140"/>
      <c r="E2616" s="140"/>
    </row>
    <row r="2617" spans="1:5">
      <c r="A2617" s="140"/>
      <c r="B2617" s="192"/>
      <c r="C2617" s="140"/>
      <c r="D2617" s="140"/>
      <c r="E2617" s="140"/>
    </row>
    <row r="2618" spans="1:5">
      <c r="A2618" s="140"/>
      <c r="B2618" s="192"/>
      <c r="C2618" s="140"/>
      <c r="D2618" s="140"/>
      <c r="E2618" s="140"/>
    </row>
    <row r="2619" spans="1:5">
      <c r="A2619" s="140"/>
      <c r="B2619" s="192"/>
      <c r="C2619" s="140"/>
      <c r="D2619" s="140"/>
      <c r="E2619" s="140"/>
    </row>
    <row r="2620" spans="1:5">
      <c r="A2620" s="140"/>
      <c r="B2620" s="192"/>
      <c r="C2620" s="140"/>
      <c r="D2620" s="140"/>
      <c r="E2620" s="140"/>
    </row>
    <row r="2621" spans="1:5">
      <c r="A2621" s="140"/>
      <c r="B2621" s="192"/>
      <c r="C2621" s="140"/>
      <c r="D2621" s="140"/>
      <c r="E2621" s="140"/>
    </row>
    <row r="2622" spans="1:5">
      <c r="A2622" s="140"/>
      <c r="B2622" s="192"/>
      <c r="C2622" s="140"/>
      <c r="D2622" s="140"/>
      <c r="E2622" s="140"/>
    </row>
    <row r="2623" spans="1:5">
      <c r="A2623" s="140"/>
      <c r="B2623" s="192"/>
      <c r="C2623" s="140"/>
      <c r="D2623" s="140"/>
      <c r="E2623" s="140"/>
    </row>
    <row r="2624" spans="1:5">
      <c r="A2624" s="140"/>
      <c r="B2624" s="192"/>
      <c r="C2624" s="140"/>
      <c r="D2624" s="140"/>
      <c r="E2624" s="140"/>
    </row>
    <row r="2625" spans="1:5">
      <c r="A2625" s="140"/>
      <c r="B2625" s="192"/>
      <c r="C2625" s="140"/>
      <c r="D2625" s="140"/>
      <c r="E2625" s="140"/>
    </row>
    <row r="2626" spans="1:5">
      <c r="A2626" s="140"/>
      <c r="B2626" s="192"/>
      <c r="C2626" s="140"/>
      <c r="D2626" s="140"/>
      <c r="E2626" s="140"/>
    </row>
    <row r="2627" spans="1:5">
      <c r="A2627" s="140"/>
      <c r="B2627" s="192"/>
      <c r="C2627" s="140"/>
      <c r="D2627" s="140"/>
      <c r="E2627" s="140"/>
    </row>
    <row r="2628" spans="1:5">
      <c r="A2628" s="140"/>
      <c r="B2628" s="192"/>
      <c r="C2628" s="140"/>
      <c r="D2628" s="140"/>
      <c r="E2628" s="140"/>
    </row>
    <row r="2629" spans="1:5">
      <c r="A2629" s="140"/>
      <c r="B2629" s="192"/>
      <c r="C2629" s="140"/>
      <c r="D2629" s="140"/>
      <c r="E2629" s="140"/>
    </row>
    <row r="2630" spans="1:5">
      <c r="A2630" s="140"/>
      <c r="B2630" s="192"/>
      <c r="C2630" s="140"/>
      <c r="D2630" s="140"/>
      <c r="E2630" s="140"/>
    </row>
    <row r="2631" spans="1:5">
      <c r="A2631" s="140"/>
      <c r="B2631" s="192"/>
      <c r="C2631" s="140"/>
      <c r="D2631" s="140"/>
      <c r="E2631" s="140"/>
    </row>
    <row r="2632" spans="1:5">
      <c r="A2632" s="140"/>
      <c r="B2632" s="192"/>
      <c r="C2632" s="140"/>
      <c r="D2632" s="140"/>
      <c r="E2632" s="140"/>
    </row>
    <row r="2633" spans="1:5">
      <c r="A2633" s="140"/>
      <c r="B2633" s="192"/>
      <c r="C2633" s="140"/>
      <c r="D2633" s="140"/>
      <c r="E2633" s="140"/>
    </row>
    <row r="2634" spans="1:5">
      <c r="A2634" s="140"/>
      <c r="B2634" s="192"/>
      <c r="C2634" s="140"/>
      <c r="D2634" s="140"/>
      <c r="E2634" s="140"/>
    </row>
    <row r="2635" spans="1:5">
      <c r="A2635" s="140"/>
      <c r="B2635" s="192"/>
      <c r="C2635" s="140"/>
      <c r="D2635" s="140"/>
      <c r="E2635" s="140"/>
    </row>
    <row r="2636" spans="1:5">
      <c r="A2636" s="140"/>
      <c r="B2636" s="192"/>
      <c r="C2636" s="140"/>
      <c r="D2636" s="140"/>
      <c r="E2636" s="140"/>
    </row>
    <row r="2637" spans="1:5">
      <c r="A2637" s="140"/>
      <c r="B2637" s="192"/>
      <c r="C2637" s="140"/>
      <c r="D2637" s="140"/>
      <c r="E2637" s="140"/>
    </row>
    <row r="2638" spans="1:5">
      <c r="A2638" s="140"/>
      <c r="B2638" s="192"/>
      <c r="C2638" s="140"/>
      <c r="D2638" s="140"/>
      <c r="E2638" s="140"/>
    </row>
    <row r="2639" spans="1:5">
      <c r="A2639" s="140"/>
      <c r="B2639" s="192"/>
      <c r="C2639" s="140"/>
      <c r="D2639" s="140"/>
      <c r="E2639" s="140"/>
    </row>
    <row r="2640" spans="1:5">
      <c r="A2640" s="140"/>
      <c r="B2640" s="192"/>
      <c r="C2640" s="140"/>
      <c r="D2640" s="140"/>
      <c r="E2640" s="140"/>
    </row>
    <row r="2641" spans="1:5">
      <c r="A2641" s="140"/>
      <c r="B2641" s="192"/>
      <c r="C2641" s="140"/>
      <c r="D2641" s="140"/>
      <c r="E2641" s="140"/>
    </row>
    <row r="2642" spans="1:5">
      <c r="A2642" s="140"/>
      <c r="B2642" s="192"/>
      <c r="C2642" s="140"/>
      <c r="D2642" s="140"/>
      <c r="E2642" s="140"/>
    </row>
    <row r="2643" spans="1:5">
      <c r="A2643" s="140"/>
      <c r="B2643" s="192"/>
      <c r="C2643" s="140"/>
      <c r="D2643" s="140"/>
      <c r="E2643" s="140"/>
    </row>
    <row r="2644" spans="1:5">
      <c r="A2644" s="140"/>
      <c r="B2644" s="192"/>
      <c r="C2644" s="140"/>
      <c r="D2644" s="140"/>
      <c r="E2644" s="140"/>
    </row>
    <row r="2645" spans="1:5">
      <c r="A2645" s="140"/>
      <c r="B2645" s="192"/>
      <c r="C2645" s="140"/>
      <c r="D2645" s="140"/>
      <c r="E2645" s="140"/>
    </row>
    <row r="2646" spans="1:5">
      <c r="A2646" s="140"/>
      <c r="B2646" s="192"/>
      <c r="C2646" s="140"/>
      <c r="D2646" s="140"/>
      <c r="E2646" s="140"/>
    </row>
    <row r="2647" spans="1:5">
      <c r="A2647" s="140"/>
      <c r="B2647" s="192"/>
      <c r="C2647" s="140"/>
      <c r="D2647" s="140"/>
      <c r="E2647" s="140"/>
    </row>
    <row r="2648" spans="1:5">
      <c r="A2648" s="140"/>
      <c r="B2648" s="192"/>
      <c r="C2648" s="140"/>
      <c r="D2648" s="140"/>
      <c r="E2648" s="140"/>
    </row>
    <row r="2649" spans="1:5">
      <c r="A2649" s="140"/>
      <c r="B2649" s="192"/>
      <c r="C2649" s="140"/>
      <c r="D2649" s="140"/>
      <c r="E2649" s="140"/>
    </row>
    <row r="2650" spans="1:5">
      <c r="A2650" s="140"/>
      <c r="B2650" s="192"/>
      <c r="C2650" s="140"/>
      <c r="D2650" s="140"/>
      <c r="E2650" s="140"/>
    </row>
    <row r="2651" spans="1:5">
      <c r="A2651" s="140"/>
      <c r="B2651" s="192"/>
      <c r="C2651" s="140"/>
      <c r="D2651" s="140"/>
      <c r="E2651" s="140"/>
    </row>
    <row r="2652" spans="1:5">
      <c r="A2652" s="140"/>
      <c r="B2652" s="192"/>
      <c r="C2652" s="140"/>
      <c r="D2652" s="140"/>
      <c r="E2652" s="140"/>
    </row>
    <row r="2653" spans="1:5">
      <c r="A2653" s="140"/>
      <c r="B2653" s="192"/>
      <c r="C2653" s="140"/>
      <c r="D2653" s="140"/>
      <c r="E2653" s="140"/>
    </row>
    <row r="2654" spans="1:5">
      <c r="A2654" s="140"/>
      <c r="B2654" s="192"/>
      <c r="C2654" s="140"/>
      <c r="D2654" s="140"/>
      <c r="E2654" s="140"/>
    </row>
    <row r="2655" spans="1:5">
      <c r="A2655" s="140"/>
      <c r="B2655" s="192"/>
      <c r="C2655" s="140"/>
      <c r="D2655" s="140"/>
      <c r="E2655" s="140"/>
    </row>
    <row r="2656" spans="1:5">
      <c r="A2656" s="140"/>
      <c r="B2656" s="192"/>
      <c r="C2656" s="140"/>
      <c r="D2656" s="140"/>
      <c r="E2656" s="140"/>
    </row>
    <row r="2657" spans="1:5">
      <c r="A2657" s="140"/>
      <c r="B2657" s="192"/>
      <c r="C2657" s="140"/>
      <c r="D2657" s="140"/>
      <c r="E2657" s="140"/>
    </row>
    <row r="2658" spans="1:5">
      <c r="A2658" s="140"/>
      <c r="B2658" s="192"/>
      <c r="C2658" s="140"/>
      <c r="D2658" s="140"/>
      <c r="E2658" s="140"/>
    </row>
    <row r="2659" spans="1:5">
      <c r="A2659" s="140"/>
      <c r="B2659" s="192"/>
      <c r="C2659" s="140"/>
      <c r="D2659" s="140"/>
      <c r="E2659" s="140"/>
    </row>
    <row r="2660" spans="1:5">
      <c r="A2660" s="140"/>
      <c r="B2660" s="192"/>
      <c r="C2660" s="140"/>
      <c r="D2660" s="140"/>
      <c r="E2660" s="140"/>
    </row>
    <row r="2661" spans="1:5">
      <c r="A2661" s="140"/>
      <c r="B2661" s="192"/>
      <c r="C2661" s="140"/>
      <c r="D2661" s="140"/>
      <c r="E2661" s="140"/>
    </row>
    <row r="2662" spans="1:5">
      <c r="A2662" s="140"/>
      <c r="B2662" s="192"/>
      <c r="C2662" s="140"/>
      <c r="D2662" s="140"/>
      <c r="E2662" s="140"/>
    </row>
    <row r="2663" spans="1:5">
      <c r="A2663" s="140"/>
      <c r="B2663" s="192"/>
      <c r="C2663" s="140"/>
      <c r="D2663" s="140"/>
      <c r="E2663" s="140"/>
    </row>
    <row r="2664" spans="1:5">
      <c r="A2664" s="140"/>
      <c r="B2664" s="192"/>
      <c r="C2664" s="140"/>
      <c r="D2664" s="140"/>
      <c r="E2664" s="140"/>
    </row>
    <row r="2665" spans="1:5">
      <c r="A2665" s="140"/>
      <c r="B2665" s="192"/>
      <c r="C2665" s="140"/>
      <c r="D2665" s="140"/>
      <c r="E2665" s="140"/>
    </row>
    <row r="2666" spans="1:5">
      <c r="A2666" s="140"/>
      <c r="B2666" s="192"/>
      <c r="C2666" s="140"/>
      <c r="D2666" s="140"/>
      <c r="E2666" s="140"/>
    </row>
    <row r="2667" spans="1:5">
      <c r="A2667" s="140"/>
      <c r="B2667" s="192"/>
      <c r="C2667" s="140"/>
      <c r="D2667" s="140"/>
      <c r="E2667" s="140"/>
    </row>
    <row r="2668" spans="1:5">
      <c r="A2668" s="140"/>
      <c r="B2668" s="192"/>
      <c r="C2668" s="140"/>
      <c r="D2668" s="140"/>
      <c r="E2668" s="140"/>
    </row>
    <row r="2669" spans="1:5">
      <c r="A2669" s="140"/>
      <c r="B2669" s="192"/>
      <c r="C2669" s="140"/>
      <c r="D2669" s="140"/>
      <c r="E2669" s="140"/>
    </row>
    <row r="2670" spans="1:5">
      <c r="A2670" s="140"/>
      <c r="B2670" s="192"/>
      <c r="C2670" s="140"/>
      <c r="D2670" s="140"/>
      <c r="E2670" s="140"/>
    </row>
    <row r="2671" spans="1:5">
      <c r="A2671" s="140"/>
      <c r="B2671" s="192"/>
      <c r="C2671" s="140"/>
      <c r="D2671" s="140"/>
      <c r="E2671" s="140"/>
    </row>
    <row r="2672" spans="1:5">
      <c r="A2672" s="140"/>
      <c r="B2672" s="192"/>
      <c r="C2672" s="140"/>
      <c r="D2672" s="140"/>
      <c r="E2672" s="140"/>
    </row>
    <row r="2673" spans="1:5">
      <c r="A2673" s="140"/>
      <c r="B2673" s="192"/>
      <c r="C2673" s="140"/>
      <c r="D2673" s="140"/>
      <c r="E2673" s="140"/>
    </row>
    <row r="2674" spans="1:5">
      <c r="A2674" s="140"/>
      <c r="B2674" s="192"/>
      <c r="C2674" s="140"/>
      <c r="D2674" s="140"/>
      <c r="E2674" s="140"/>
    </row>
    <row r="2675" spans="1:5">
      <c r="A2675" s="140"/>
      <c r="B2675" s="192"/>
      <c r="C2675" s="140"/>
      <c r="D2675" s="140"/>
      <c r="E2675" s="140"/>
    </row>
    <row r="2676" spans="1:5">
      <c r="A2676" s="140"/>
      <c r="B2676" s="192"/>
      <c r="C2676" s="140"/>
      <c r="D2676" s="140"/>
      <c r="E2676" s="140"/>
    </row>
    <row r="2677" spans="1:5">
      <c r="A2677" s="140"/>
      <c r="B2677" s="192"/>
      <c r="C2677" s="140"/>
      <c r="D2677" s="140"/>
      <c r="E2677" s="140"/>
    </row>
    <row r="2678" spans="1:5">
      <c r="A2678" s="140"/>
      <c r="B2678" s="192"/>
      <c r="C2678" s="140"/>
      <c r="D2678" s="140"/>
      <c r="E2678" s="140"/>
    </row>
    <row r="2679" spans="1:5">
      <c r="A2679" s="140"/>
      <c r="B2679" s="192"/>
      <c r="C2679" s="140"/>
      <c r="D2679" s="140"/>
      <c r="E2679" s="140"/>
    </row>
    <row r="2680" spans="1:5">
      <c r="A2680" s="140"/>
      <c r="B2680" s="192"/>
      <c r="C2680" s="140"/>
      <c r="D2680" s="140"/>
      <c r="E2680" s="140"/>
    </row>
    <row r="2681" spans="1:5">
      <c r="A2681" s="140"/>
      <c r="B2681" s="192"/>
      <c r="C2681" s="140"/>
      <c r="D2681" s="140"/>
      <c r="E2681" s="140"/>
    </row>
    <row r="2682" spans="1:5">
      <c r="A2682" s="140"/>
      <c r="B2682" s="192"/>
      <c r="C2682" s="140"/>
      <c r="D2682" s="140"/>
      <c r="E2682" s="140"/>
    </row>
    <row r="2683" spans="1:5">
      <c r="A2683" s="140"/>
      <c r="B2683" s="192"/>
      <c r="C2683" s="140"/>
      <c r="D2683" s="140"/>
      <c r="E2683" s="140"/>
    </row>
    <row r="2684" spans="1:5">
      <c r="A2684" s="140"/>
      <c r="B2684" s="192"/>
      <c r="C2684" s="140"/>
      <c r="D2684" s="140"/>
      <c r="E2684" s="140"/>
    </row>
    <row r="2685" spans="1:5">
      <c r="A2685" s="140"/>
      <c r="B2685" s="192"/>
      <c r="C2685" s="140"/>
      <c r="D2685" s="140"/>
      <c r="E2685" s="140"/>
    </row>
    <row r="2686" spans="1:5">
      <c r="A2686" s="140"/>
      <c r="B2686" s="192"/>
      <c r="C2686" s="140"/>
      <c r="D2686" s="140"/>
      <c r="E2686" s="140"/>
    </row>
    <row r="2687" spans="1:5">
      <c r="A2687" s="140"/>
      <c r="B2687" s="192"/>
      <c r="C2687" s="140"/>
      <c r="D2687" s="140"/>
      <c r="E2687" s="140"/>
    </row>
    <row r="2688" spans="1:5">
      <c r="A2688" s="140"/>
      <c r="B2688" s="192"/>
      <c r="C2688" s="140"/>
      <c r="D2688" s="140"/>
      <c r="E2688" s="140"/>
    </row>
    <row r="2689" spans="1:5">
      <c r="A2689" s="140"/>
      <c r="B2689" s="192"/>
      <c r="C2689" s="140"/>
      <c r="D2689" s="140"/>
      <c r="E2689" s="140"/>
    </row>
    <row r="2690" spans="1:5">
      <c r="A2690" s="140"/>
      <c r="B2690" s="192"/>
      <c r="C2690" s="140"/>
      <c r="D2690" s="140"/>
      <c r="E2690" s="140"/>
    </row>
    <row r="2691" spans="1:5">
      <c r="A2691" s="140"/>
      <c r="B2691" s="192"/>
      <c r="C2691" s="140"/>
      <c r="D2691" s="140"/>
      <c r="E2691" s="140"/>
    </row>
    <row r="2692" spans="1:5">
      <c r="A2692" s="140"/>
      <c r="B2692" s="192"/>
      <c r="C2692" s="140"/>
      <c r="D2692" s="140"/>
      <c r="E2692" s="140"/>
    </row>
    <row r="2693" spans="1:5">
      <c r="A2693" s="140"/>
      <c r="B2693" s="192"/>
      <c r="C2693" s="140"/>
      <c r="D2693" s="140"/>
      <c r="E2693" s="140"/>
    </row>
    <row r="2694" spans="1:5">
      <c r="A2694" s="140"/>
      <c r="B2694" s="192"/>
      <c r="C2694" s="140"/>
      <c r="D2694" s="140"/>
      <c r="E2694" s="140"/>
    </row>
    <row r="2695" spans="1:5">
      <c r="A2695" s="140"/>
      <c r="B2695" s="192"/>
      <c r="C2695" s="140"/>
      <c r="D2695" s="140"/>
      <c r="E2695" s="140"/>
    </row>
    <row r="2696" spans="1:5">
      <c r="A2696" s="140"/>
      <c r="B2696" s="192"/>
      <c r="C2696" s="140"/>
      <c r="D2696" s="140"/>
      <c r="E2696" s="140"/>
    </row>
    <row r="2697" spans="1:5">
      <c r="A2697" s="140"/>
      <c r="B2697" s="192"/>
      <c r="C2697" s="140"/>
      <c r="D2697" s="140"/>
      <c r="E2697" s="140"/>
    </row>
    <row r="2698" spans="1:5">
      <c r="A2698" s="140"/>
      <c r="B2698" s="192"/>
      <c r="C2698" s="140"/>
      <c r="D2698" s="140"/>
      <c r="E2698" s="140"/>
    </row>
    <row r="2699" spans="1:5">
      <c r="A2699" s="140"/>
      <c r="B2699" s="192"/>
      <c r="C2699" s="140"/>
      <c r="D2699" s="140"/>
      <c r="E2699" s="140"/>
    </row>
    <row r="2700" spans="1:5">
      <c r="A2700" s="140"/>
      <c r="B2700" s="192"/>
      <c r="C2700" s="140"/>
      <c r="D2700" s="140"/>
      <c r="E2700" s="140"/>
    </row>
    <row r="2701" spans="1:5">
      <c r="A2701" s="140"/>
      <c r="B2701" s="192"/>
      <c r="C2701" s="140"/>
      <c r="D2701" s="140"/>
      <c r="E2701" s="140"/>
    </row>
    <row r="2702" spans="1:5">
      <c r="A2702" s="140"/>
      <c r="B2702" s="192"/>
      <c r="C2702" s="140"/>
      <c r="D2702" s="140"/>
      <c r="E2702" s="140"/>
    </row>
    <row r="2703" spans="1:5">
      <c r="A2703" s="140"/>
      <c r="B2703" s="192"/>
      <c r="C2703" s="140"/>
      <c r="D2703" s="140"/>
      <c r="E2703" s="140"/>
    </row>
    <row r="2704" spans="1:5">
      <c r="A2704" s="140"/>
      <c r="B2704" s="192"/>
      <c r="C2704" s="140"/>
      <c r="D2704" s="140"/>
      <c r="E2704" s="140"/>
    </row>
    <row r="2705" spans="1:5">
      <c r="A2705" s="140"/>
      <c r="B2705" s="192"/>
      <c r="C2705" s="140"/>
      <c r="D2705" s="140"/>
      <c r="E2705" s="140"/>
    </row>
    <row r="2706" spans="1:5">
      <c r="A2706" s="140"/>
      <c r="B2706" s="192"/>
      <c r="C2706" s="140"/>
      <c r="D2706" s="140"/>
      <c r="E2706" s="140"/>
    </row>
    <row r="2707" spans="1:5">
      <c r="A2707" s="140"/>
      <c r="B2707" s="192"/>
      <c r="C2707" s="140"/>
      <c r="D2707" s="140"/>
      <c r="E2707" s="140"/>
    </row>
    <row r="2708" spans="1:5">
      <c r="A2708" s="140"/>
      <c r="B2708" s="192"/>
      <c r="C2708" s="140"/>
      <c r="D2708" s="140"/>
      <c r="E2708" s="140"/>
    </row>
    <row r="2709" spans="1:5">
      <c r="A2709" s="140"/>
      <c r="B2709" s="192"/>
      <c r="C2709" s="140"/>
      <c r="D2709" s="140"/>
      <c r="E2709" s="140"/>
    </row>
    <row r="2710" spans="1:5">
      <c r="A2710" s="140"/>
      <c r="B2710" s="192"/>
      <c r="C2710" s="140"/>
      <c r="D2710" s="140"/>
      <c r="E2710" s="140"/>
    </row>
    <row r="2711" spans="1:5">
      <c r="A2711" s="140"/>
      <c r="B2711" s="192"/>
      <c r="C2711" s="140"/>
      <c r="D2711" s="140"/>
      <c r="E2711" s="140"/>
    </row>
    <row r="2712" spans="1:5">
      <c r="A2712" s="140"/>
      <c r="B2712" s="192"/>
      <c r="C2712" s="140"/>
      <c r="D2712" s="140"/>
      <c r="E2712" s="140"/>
    </row>
    <row r="2713" spans="1:5">
      <c r="A2713" s="140"/>
      <c r="B2713" s="192"/>
      <c r="C2713" s="140"/>
      <c r="D2713" s="140"/>
      <c r="E2713" s="140"/>
    </row>
    <row r="2714" spans="1:5">
      <c r="A2714" s="140"/>
      <c r="B2714" s="192"/>
      <c r="C2714" s="140"/>
      <c r="D2714" s="140"/>
      <c r="E2714" s="140"/>
    </row>
    <row r="2715" spans="1:5">
      <c r="A2715" s="140"/>
      <c r="B2715" s="192"/>
      <c r="C2715" s="140"/>
      <c r="D2715" s="140"/>
      <c r="E2715" s="140"/>
    </row>
    <row r="2716" spans="1:5">
      <c r="A2716" s="140"/>
      <c r="B2716" s="192"/>
      <c r="C2716" s="140"/>
      <c r="D2716" s="140"/>
      <c r="E2716" s="140"/>
    </row>
    <row r="2717" spans="1:5">
      <c r="A2717" s="140"/>
      <c r="B2717" s="192"/>
      <c r="C2717" s="140"/>
      <c r="D2717" s="140"/>
      <c r="E2717" s="140"/>
    </row>
    <row r="2718" spans="1:5">
      <c r="A2718" s="140"/>
      <c r="B2718" s="192"/>
      <c r="C2718" s="140"/>
      <c r="D2718" s="140"/>
      <c r="E2718" s="140"/>
    </row>
    <row r="2719" spans="1:5">
      <c r="A2719" s="140"/>
      <c r="B2719" s="192"/>
      <c r="C2719" s="140"/>
      <c r="D2719" s="140"/>
      <c r="E2719" s="140"/>
    </row>
    <row r="2720" spans="1:5">
      <c r="A2720" s="140"/>
      <c r="B2720" s="192"/>
      <c r="C2720" s="140"/>
      <c r="D2720" s="140"/>
      <c r="E2720" s="140"/>
    </row>
    <row r="2721" spans="1:5">
      <c r="A2721" s="140"/>
      <c r="B2721" s="192"/>
      <c r="C2721" s="140"/>
      <c r="D2721" s="140"/>
      <c r="E2721" s="140"/>
    </row>
    <row r="2722" spans="1:5">
      <c r="A2722" s="140"/>
      <c r="B2722" s="192"/>
      <c r="C2722" s="140"/>
      <c r="D2722" s="140"/>
      <c r="E2722" s="140"/>
    </row>
    <row r="2723" spans="1:5">
      <c r="A2723" s="140"/>
      <c r="B2723" s="192"/>
      <c r="C2723" s="140"/>
      <c r="D2723" s="140"/>
      <c r="E2723" s="140"/>
    </row>
    <row r="2724" spans="1:5">
      <c r="A2724" s="140"/>
      <c r="B2724" s="192"/>
      <c r="C2724" s="140"/>
      <c r="D2724" s="140"/>
      <c r="E2724" s="140"/>
    </row>
    <row r="2725" spans="1:5">
      <c r="A2725" s="140"/>
      <c r="B2725" s="192"/>
      <c r="C2725" s="140"/>
      <c r="D2725" s="140"/>
      <c r="E2725" s="140"/>
    </row>
    <row r="2726" spans="1:5">
      <c r="A2726" s="140"/>
      <c r="B2726" s="192"/>
      <c r="C2726" s="140"/>
      <c r="D2726" s="140"/>
      <c r="E2726" s="140"/>
    </row>
    <row r="2727" spans="1:5">
      <c r="A2727" s="140"/>
      <c r="B2727" s="192"/>
      <c r="C2727" s="140"/>
      <c r="D2727" s="140"/>
      <c r="E2727" s="140"/>
    </row>
    <row r="2728" spans="1:5">
      <c r="A2728" s="140"/>
      <c r="B2728" s="192"/>
      <c r="C2728" s="140"/>
      <c r="D2728" s="140"/>
      <c r="E2728" s="140"/>
    </row>
    <row r="2729" spans="1:5">
      <c r="A2729" s="140"/>
      <c r="B2729" s="192"/>
      <c r="C2729" s="140"/>
      <c r="D2729" s="140"/>
      <c r="E2729" s="140"/>
    </row>
    <row r="2730" spans="1:5">
      <c r="A2730" s="140"/>
      <c r="B2730" s="192"/>
      <c r="C2730" s="140"/>
      <c r="D2730" s="140"/>
      <c r="E2730" s="140"/>
    </row>
    <row r="2731" spans="1:5">
      <c r="A2731" s="140"/>
      <c r="B2731" s="192"/>
      <c r="C2731" s="140"/>
      <c r="D2731" s="140"/>
      <c r="E2731" s="140"/>
    </row>
    <row r="2732" spans="1:5">
      <c r="A2732" s="140"/>
      <c r="B2732" s="192"/>
      <c r="C2732" s="140"/>
      <c r="D2732" s="140"/>
      <c r="E2732" s="140"/>
    </row>
    <row r="2733" spans="1:5">
      <c r="A2733" s="140"/>
      <c r="B2733" s="192"/>
      <c r="C2733" s="140"/>
      <c r="D2733" s="140"/>
      <c r="E2733" s="140"/>
    </row>
    <row r="2734" spans="1:5">
      <c r="A2734" s="140"/>
      <c r="B2734" s="192"/>
      <c r="C2734" s="140"/>
      <c r="D2734" s="140"/>
      <c r="E2734" s="140"/>
    </row>
    <row r="2735" spans="1:5">
      <c r="A2735" s="140"/>
      <c r="B2735" s="192"/>
      <c r="C2735" s="140"/>
      <c r="D2735" s="140"/>
      <c r="E2735" s="140"/>
    </row>
    <row r="2736" spans="1:5">
      <c r="A2736" s="140"/>
      <c r="B2736" s="192"/>
      <c r="C2736" s="140"/>
      <c r="D2736" s="140"/>
      <c r="E2736" s="140"/>
    </row>
    <row r="2737" spans="1:5">
      <c r="A2737" s="140"/>
      <c r="B2737" s="192"/>
      <c r="C2737" s="140"/>
      <c r="D2737" s="140"/>
      <c r="E2737" s="140"/>
    </row>
    <row r="2738" spans="1:5">
      <c r="A2738" s="140"/>
      <c r="B2738" s="192"/>
      <c r="C2738" s="140"/>
      <c r="D2738" s="140"/>
      <c r="E2738" s="140"/>
    </row>
    <row r="2739" spans="1:5">
      <c r="A2739" s="140"/>
      <c r="B2739" s="192"/>
      <c r="C2739" s="140"/>
      <c r="D2739" s="140"/>
      <c r="E2739" s="140"/>
    </row>
    <row r="2740" spans="1:5">
      <c r="A2740" s="140"/>
      <c r="B2740" s="192"/>
      <c r="C2740" s="140"/>
      <c r="D2740" s="140"/>
      <c r="E2740" s="140"/>
    </row>
    <row r="2741" spans="1:5">
      <c r="A2741" s="140"/>
      <c r="B2741" s="192"/>
      <c r="C2741" s="140"/>
      <c r="D2741" s="140"/>
      <c r="E2741" s="140"/>
    </row>
    <row r="2742" spans="1:5">
      <c r="A2742" s="140"/>
      <c r="B2742" s="192"/>
      <c r="C2742" s="140"/>
      <c r="D2742" s="140"/>
      <c r="E2742" s="140"/>
    </row>
    <row r="2743" spans="1:5">
      <c r="A2743" s="140"/>
      <c r="B2743" s="192"/>
      <c r="C2743" s="140"/>
      <c r="D2743" s="140"/>
      <c r="E2743" s="140"/>
    </row>
    <row r="2744" spans="1:5">
      <c r="A2744" s="140"/>
      <c r="B2744" s="192"/>
      <c r="C2744" s="140"/>
      <c r="D2744" s="140"/>
      <c r="E2744" s="140"/>
    </row>
    <row r="2745" spans="1:5">
      <c r="A2745" s="140"/>
      <c r="B2745" s="192"/>
      <c r="C2745" s="140"/>
      <c r="D2745" s="140"/>
      <c r="E2745" s="140"/>
    </row>
    <row r="2746" spans="1:5">
      <c r="A2746" s="140"/>
      <c r="B2746" s="192"/>
      <c r="C2746" s="140"/>
      <c r="D2746" s="140"/>
      <c r="E2746" s="140"/>
    </row>
    <row r="2747" spans="1:5">
      <c r="A2747" s="140"/>
      <c r="B2747" s="192"/>
      <c r="C2747" s="140"/>
      <c r="D2747" s="140"/>
      <c r="E2747" s="140"/>
    </row>
    <row r="2748" spans="1:5">
      <c r="A2748" s="140"/>
      <c r="B2748" s="192"/>
      <c r="C2748" s="140"/>
      <c r="D2748" s="140"/>
      <c r="E2748" s="140"/>
    </row>
    <row r="2749" spans="1:5">
      <c r="A2749" s="140"/>
      <c r="B2749" s="192"/>
      <c r="C2749" s="140"/>
      <c r="D2749" s="140"/>
      <c r="E2749" s="140"/>
    </row>
    <row r="2750" spans="1:5">
      <c r="A2750" s="140"/>
      <c r="B2750" s="192"/>
      <c r="C2750" s="140"/>
      <c r="D2750" s="140"/>
      <c r="E2750" s="140"/>
    </row>
    <row r="2751" spans="1:5">
      <c r="A2751" s="140"/>
      <c r="B2751" s="192"/>
      <c r="C2751" s="140"/>
      <c r="D2751" s="140"/>
      <c r="E2751" s="140"/>
    </row>
    <row r="2752" spans="1:5">
      <c r="A2752" s="140"/>
      <c r="B2752" s="192"/>
      <c r="C2752" s="140"/>
      <c r="D2752" s="140"/>
      <c r="E2752" s="140"/>
    </row>
    <row r="2753" spans="1:5">
      <c r="A2753" s="140"/>
      <c r="B2753" s="192"/>
      <c r="C2753" s="140"/>
      <c r="D2753" s="140"/>
      <c r="E2753" s="140"/>
    </row>
    <row r="2754" spans="1:5">
      <c r="A2754" s="140"/>
      <c r="B2754" s="192"/>
      <c r="C2754" s="140"/>
      <c r="D2754" s="140"/>
      <c r="E2754" s="140"/>
    </row>
    <row r="2755" spans="1:5">
      <c r="A2755" s="140"/>
      <c r="B2755" s="192"/>
      <c r="C2755" s="140"/>
      <c r="D2755" s="140"/>
      <c r="E2755" s="140"/>
    </row>
    <row r="2756" spans="1:5">
      <c r="A2756" s="140"/>
      <c r="B2756" s="192"/>
      <c r="C2756" s="140"/>
      <c r="D2756" s="140"/>
      <c r="E2756" s="140"/>
    </row>
    <row r="2757" spans="1:5">
      <c r="A2757" s="140"/>
      <c r="B2757" s="192"/>
      <c r="C2757" s="140"/>
      <c r="D2757" s="140"/>
      <c r="E2757" s="140"/>
    </row>
    <row r="2758" spans="1:5">
      <c r="A2758" s="140"/>
      <c r="B2758" s="192"/>
      <c r="C2758" s="140"/>
      <c r="D2758" s="140"/>
      <c r="E2758" s="140"/>
    </row>
    <row r="2759" spans="1:5">
      <c r="A2759" s="140"/>
      <c r="B2759" s="192"/>
      <c r="C2759" s="140"/>
      <c r="D2759" s="140"/>
      <c r="E2759" s="140"/>
    </row>
    <row r="2760" spans="1:5">
      <c r="A2760" s="140"/>
      <c r="B2760" s="192"/>
      <c r="C2760" s="140"/>
      <c r="D2760" s="140"/>
      <c r="E2760" s="140"/>
    </row>
    <row r="2761" spans="1:5">
      <c r="A2761" s="140"/>
      <c r="B2761" s="192"/>
      <c r="C2761" s="140"/>
      <c r="D2761" s="140"/>
      <c r="E2761" s="140"/>
    </row>
    <row r="2762" spans="1:5">
      <c r="A2762" s="140"/>
      <c r="B2762" s="192"/>
      <c r="C2762" s="140"/>
      <c r="D2762" s="140"/>
      <c r="E2762" s="140"/>
    </row>
    <row r="2763" spans="1:5">
      <c r="A2763" s="140"/>
      <c r="B2763" s="192"/>
      <c r="C2763" s="140"/>
      <c r="D2763" s="140"/>
      <c r="E2763" s="140"/>
    </row>
    <row r="2764" spans="1:5">
      <c r="A2764" s="140"/>
      <c r="B2764" s="192"/>
      <c r="C2764" s="140"/>
      <c r="D2764" s="140"/>
      <c r="E2764" s="140"/>
    </row>
    <row r="2765" spans="1:5">
      <c r="A2765" s="140"/>
      <c r="B2765" s="192"/>
      <c r="C2765" s="140"/>
      <c r="D2765" s="140"/>
      <c r="E2765" s="140"/>
    </row>
    <row r="2766" spans="1:5">
      <c r="A2766" s="140"/>
      <c r="B2766" s="192"/>
      <c r="C2766" s="140"/>
      <c r="D2766" s="140"/>
      <c r="E2766" s="140"/>
    </row>
    <row r="2767" spans="1:5">
      <c r="A2767" s="140"/>
      <c r="B2767" s="192"/>
      <c r="C2767" s="140"/>
      <c r="D2767" s="140"/>
      <c r="E2767" s="140"/>
    </row>
    <row r="2768" spans="1:5">
      <c r="A2768" s="140"/>
      <c r="B2768" s="192"/>
      <c r="C2768" s="140"/>
      <c r="D2768" s="140"/>
      <c r="E2768" s="140"/>
    </row>
    <row r="2769" spans="1:5">
      <c r="A2769" s="140"/>
      <c r="B2769" s="192"/>
      <c r="C2769" s="140"/>
      <c r="D2769" s="140"/>
      <c r="E2769" s="140"/>
    </row>
    <row r="2770" spans="1:5">
      <c r="A2770" s="140"/>
      <c r="B2770" s="192"/>
      <c r="C2770" s="140"/>
      <c r="D2770" s="140"/>
      <c r="E2770" s="140"/>
    </row>
    <row r="2771" spans="1:5">
      <c r="A2771" s="140"/>
      <c r="B2771" s="192"/>
      <c r="C2771" s="140"/>
      <c r="D2771" s="140"/>
      <c r="E2771" s="140"/>
    </row>
    <row r="2772" spans="1:5">
      <c r="A2772" s="140"/>
      <c r="B2772" s="192"/>
      <c r="C2772" s="140"/>
      <c r="D2772" s="140"/>
      <c r="E2772" s="140"/>
    </row>
    <row r="2773" spans="1:5">
      <c r="A2773" s="140"/>
      <c r="B2773" s="192"/>
      <c r="C2773" s="140"/>
      <c r="D2773" s="140"/>
      <c r="E2773" s="140"/>
    </row>
    <row r="2774" spans="1:5">
      <c r="A2774" s="140"/>
      <c r="B2774" s="192"/>
      <c r="C2774" s="140"/>
      <c r="D2774" s="140"/>
      <c r="E2774" s="140"/>
    </row>
    <row r="2775" spans="1:5">
      <c r="A2775" s="140"/>
      <c r="B2775" s="192"/>
      <c r="C2775" s="140"/>
      <c r="D2775" s="140"/>
      <c r="E2775" s="140"/>
    </row>
    <row r="2776" spans="1:5">
      <c r="A2776" s="140"/>
      <c r="B2776" s="192"/>
      <c r="C2776" s="140"/>
      <c r="D2776" s="140"/>
      <c r="E2776" s="140"/>
    </row>
    <row r="2777" spans="1:5">
      <c r="A2777" s="140"/>
      <c r="B2777" s="192"/>
      <c r="C2777" s="140"/>
      <c r="D2777" s="140"/>
      <c r="E2777" s="140"/>
    </row>
    <row r="2778" spans="1:5">
      <c r="A2778" s="140"/>
      <c r="B2778" s="192"/>
      <c r="C2778" s="140"/>
      <c r="D2778" s="140"/>
      <c r="E2778" s="140"/>
    </row>
    <row r="2779" spans="1:5">
      <c r="A2779" s="140"/>
      <c r="B2779" s="192"/>
      <c r="C2779" s="140"/>
      <c r="D2779" s="140"/>
      <c r="E2779" s="140"/>
    </row>
    <row r="2780" spans="1:5">
      <c r="A2780" s="140"/>
      <c r="B2780" s="192"/>
      <c r="C2780" s="140"/>
      <c r="D2780" s="140"/>
      <c r="E2780" s="140"/>
    </row>
    <row r="2781" spans="1:5">
      <c r="A2781" s="140"/>
      <c r="B2781" s="192"/>
      <c r="C2781" s="140"/>
      <c r="D2781" s="140"/>
      <c r="E2781" s="140"/>
    </row>
    <row r="2782" spans="1:5">
      <c r="A2782" s="140"/>
      <c r="B2782" s="192"/>
      <c r="C2782" s="140"/>
      <c r="D2782" s="140"/>
      <c r="E2782" s="140"/>
    </row>
    <row r="2783" spans="1:5">
      <c r="A2783" s="140"/>
      <c r="B2783" s="192"/>
      <c r="C2783" s="140"/>
      <c r="D2783" s="140"/>
      <c r="E2783" s="140"/>
    </row>
    <row r="2784" spans="1:5">
      <c r="A2784" s="140"/>
      <c r="B2784" s="192"/>
      <c r="C2784" s="140"/>
      <c r="D2784" s="140"/>
      <c r="E2784" s="140"/>
    </row>
    <row r="2785" spans="1:5">
      <c r="A2785" s="140"/>
      <c r="B2785" s="192"/>
      <c r="C2785" s="140"/>
      <c r="D2785" s="140"/>
      <c r="E2785" s="140"/>
    </row>
    <row r="2786" spans="1:5">
      <c r="A2786" s="140"/>
      <c r="B2786" s="192"/>
      <c r="C2786" s="140"/>
      <c r="D2786" s="140"/>
      <c r="E2786" s="140"/>
    </row>
    <row r="2787" spans="1:5">
      <c r="A2787" s="140"/>
      <c r="B2787" s="192"/>
      <c r="C2787" s="140"/>
      <c r="D2787" s="140"/>
      <c r="E2787" s="140"/>
    </row>
    <row r="2788" spans="1:5">
      <c r="A2788" s="140"/>
      <c r="B2788" s="192"/>
      <c r="C2788" s="140"/>
      <c r="D2788" s="140"/>
      <c r="E2788" s="140"/>
    </row>
    <row r="2789" spans="1:5">
      <c r="A2789" s="140"/>
      <c r="B2789" s="192"/>
      <c r="C2789" s="140"/>
      <c r="D2789" s="140"/>
      <c r="E2789" s="140"/>
    </row>
    <row r="2790" spans="1:5">
      <c r="A2790" s="140"/>
      <c r="B2790" s="192"/>
      <c r="C2790" s="140"/>
      <c r="D2790" s="140"/>
      <c r="E2790" s="140"/>
    </row>
    <row r="2791" spans="1:5">
      <c r="A2791" s="140"/>
      <c r="B2791" s="192"/>
      <c r="C2791" s="140"/>
      <c r="D2791" s="140"/>
      <c r="E2791" s="140"/>
    </row>
    <row r="2792" spans="1:5">
      <c r="A2792" s="140"/>
      <c r="B2792" s="192"/>
      <c r="C2792" s="140"/>
      <c r="D2792" s="140"/>
      <c r="E2792" s="140"/>
    </row>
    <row r="2793" spans="1:5">
      <c r="A2793" s="140"/>
      <c r="B2793" s="192"/>
      <c r="C2793" s="140"/>
      <c r="D2793" s="140"/>
      <c r="E2793" s="140"/>
    </row>
    <row r="2794" spans="1:5">
      <c r="A2794" s="140"/>
      <c r="B2794" s="192"/>
      <c r="C2794" s="140"/>
      <c r="D2794" s="140"/>
      <c r="E2794" s="140"/>
    </row>
    <row r="2795" spans="1:5">
      <c r="A2795" s="140"/>
      <c r="B2795" s="192"/>
      <c r="C2795" s="140"/>
      <c r="D2795" s="140"/>
      <c r="E2795" s="140"/>
    </row>
    <row r="2796" spans="1:5">
      <c r="A2796" s="140"/>
      <c r="B2796" s="192"/>
      <c r="C2796" s="140"/>
      <c r="D2796" s="140"/>
      <c r="E2796" s="140"/>
    </row>
    <row r="2797" spans="1:5">
      <c r="A2797" s="140"/>
      <c r="B2797" s="192"/>
      <c r="C2797" s="140"/>
      <c r="D2797" s="140"/>
      <c r="E2797" s="140"/>
    </row>
    <row r="2798" spans="1:5">
      <c r="A2798" s="140"/>
      <c r="B2798" s="192"/>
      <c r="C2798" s="140"/>
      <c r="D2798" s="140"/>
      <c r="E2798" s="140"/>
    </row>
    <row r="2799" spans="1:5">
      <c r="A2799" s="140"/>
      <c r="B2799" s="192"/>
      <c r="C2799" s="140"/>
      <c r="D2799" s="140"/>
      <c r="E2799" s="140"/>
    </row>
    <row r="2800" spans="1:5">
      <c r="A2800" s="140"/>
      <c r="B2800" s="192"/>
      <c r="C2800" s="140"/>
      <c r="D2800" s="140"/>
      <c r="E2800" s="140"/>
    </row>
    <row r="2801" spans="1:5">
      <c r="A2801" s="140"/>
      <c r="B2801" s="192"/>
      <c r="C2801" s="140"/>
      <c r="D2801" s="140"/>
      <c r="E2801" s="140"/>
    </row>
    <row r="2802" spans="1:5">
      <c r="A2802" s="140"/>
      <c r="B2802" s="192"/>
      <c r="C2802" s="140"/>
      <c r="D2802" s="140"/>
      <c r="E2802" s="140"/>
    </row>
    <row r="2803" spans="1:5">
      <c r="A2803" s="140"/>
      <c r="B2803" s="192"/>
      <c r="C2803" s="140"/>
      <c r="D2803" s="140"/>
      <c r="E2803" s="140"/>
    </row>
    <row r="2804" spans="1:5">
      <c r="A2804" s="140"/>
      <c r="B2804" s="192"/>
      <c r="C2804" s="140"/>
      <c r="D2804" s="140"/>
      <c r="E2804" s="140"/>
    </row>
    <row r="2805" spans="1:5">
      <c r="A2805" s="140"/>
      <c r="B2805" s="192"/>
      <c r="C2805" s="140"/>
      <c r="D2805" s="140"/>
      <c r="E2805" s="140"/>
    </row>
    <row r="2806" spans="1:5">
      <c r="A2806" s="140"/>
      <c r="B2806" s="192"/>
      <c r="C2806" s="140"/>
      <c r="D2806" s="140"/>
      <c r="E2806" s="140"/>
    </row>
    <row r="2807" spans="1:5">
      <c r="A2807" s="140"/>
      <c r="B2807" s="192"/>
      <c r="C2807" s="140"/>
      <c r="D2807" s="140"/>
      <c r="E2807" s="140"/>
    </row>
    <row r="2808" spans="1:5">
      <c r="A2808" s="140"/>
      <c r="B2808" s="192"/>
      <c r="C2808" s="140"/>
      <c r="D2808" s="140"/>
      <c r="E2808" s="140"/>
    </row>
    <row r="2809" spans="1:5">
      <c r="A2809" s="140"/>
      <c r="B2809" s="192"/>
      <c r="C2809" s="140"/>
      <c r="D2809" s="140"/>
      <c r="E2809" s="140"/>
    </row>
    <row r="2810" spans="1:5">
      <c r="A2810" s="140"/>
      <c r="B2810" s="192"/>
      <c r="C2810" s="140"/>
      <c r="D2810" s="140"/>
      <c r="E2810" s="140"/>
    </row>
    <row r="2811" spans="1:5">
      <c r="A2811" s="140"/>
      <c r="B2811" s="192"/>
      <c r="C2811" s="140"/>
      <c r="D2811" s="140"/>
      <c r="E2811" s="140"/>
    </row>
    <row r="2812" spans="1:5">
      <c r="A2812" s="140"/>
      <c r="B2812" s="192"/>
      <c r="C2812" s="140"/>
      <c r="D2812" s="140"/>
      <c r="E2812" s="140"/>
    </row>
    <row r="2813" spans="1:5">
      <c r="A2813" s="140"/>
      <c r="B2813" s="192"/>
      <c r="C2813" s="140"/>
      <c r="D2813" s="140"/>
      <c r="E2813" s="140"/>
    </row>
    <row r="2814" spans="1:5">
      <c r="A2814" s="140"/>
      <c r="B2814" s="192"/>
      <c r="C2814" s="140"/>
      <c r="D2814" s="140"/>
      <c r="E2814" s="140"/>
    </row>
    <row r="2815" spans="1:5">
      <c r="A2815" s="140"/>
      <c r="B2815" s="192"/>
      <c r="C2815" s="140"/>
      <c r="D2815" s="140"/>
      <c r="E2815" s="140"/>
    </row>
    <row r="2816" spans="1:5">
      <c r="A2816" s="140"/>
      <c r="B2816" s="192"/>
      <c r="C2816" s="140"/>
      <c r="D2816" s="140"/>
      <c r="E2816" s="140"/>
    </row>
    <row r="2817" spans="1:5">
      <c r="A2817" s="140"/>
      <c r="B2817" s="192"/>
      <c r="C2817" s="140"/>
      <c r="D2817" s="140"/>
      <c r="E2817" s="140"/>
    </row>
    <row r="2818" spans="1:5">
      <c r="A2818" s="140"/>
      <c r="B2818" s="192"/>
      <c r="C2818" s="140"/>
      <c r="D2818" s="140"/>
      <c r="E2818" s="140"/>
    </row>
    <row r="2819" spans="1:5">
      <c r="A2819" s="140"/>
      <c r="B2819" s="192"/>
      <c r="C2819" s="140"/>
      <c r="D2819" s="140"/>
      <c r="E2819" s="140"/>
    </row>
    <row r="2820" spans="1:5">
      <c r="A2820" s="140"/>
      <c r="B2820" s="192"/>
      <c r="C2820" s="140"/>
      <c r="D2820" s="140"/>
      <c r="E2820" s="140"/>
    </row>
    <row r="2821" spans="1:5">
      <c r="A2821" s="140"/>
      <c r="B2821" s="192"/>
      <c r="C2821" s="140"/>
      <c r="D2821" s="140"/>
      <c r="E2821" s="140"/>
    </row>
    <row r="2822" spans="1:5">
      <c r="A2822" s="140"/>
      <c r="B2822" s="192"/>
      <c r="C2822" s="140"/>
      <c r="D2822" s="140"/>
      <c r="E2822" s="140"/>
    </row>
    <row r="2823" spans="1:5">
      <c r="A2823" s="140"/>
      <c r="B2823" s="192"/>
      <c r="C2823" s="140"/>
      <c r="D2823" s="140"/>
      <c r="E2823" s="140"/>
    </row>
    <row r="2824" spans="1:5">
      <c r="A2824" s="140"/>
      <c r="B2824" s="192"/>
      <c r="C2824" s="140"/>
      <c r="D2824" s="140"/>
      <c r="E2824" s="140"/>
    </row>
    <row r="2825" spans="1:5">
      <c r="A2825" s="140"/>
      <c r="B2825" s="192"/>
      <c r="C2825" s="140"/>
      <c r="D2825" s="140"/>
      <c r="E2825" s="140"/>
    </row>
    <row r="2826" spans="1:5">
      <c r="A2826" s="140"/>
      <c r="B2826" s="192"/>
      <c r="C2826" s="140"/>
      <c r="D2826" s="140"/>
      <c r="E2826" s="140"/>
    </row>
    <row r="2827" spans="1:5">
      <c r="A2827" s="140"/>
      <c r="B2827" s="192"/>
      <c r="C2827" s="140"/>
      <c r="D2827" s="140"/>
      <c r="E2827" s="140"/>
    </row>
    <row r="2828" spans="1:5">
      <c r="A2828" s="140"/>
      <c r="B2828" s="192"/>
      <c r="C2828" s="140"/>
      <c r="D2828" s="140"/>
      <c r="E2828" s="140"/>
    </row>
    <row r="2829" spans="1:5">
      <c r="A2829" s="140"/>
      <c r="B2829" s="192"/>
      <c r="C2829" s="140"/>
      <c r="D2829" s="140"/>
      <c r="E2829" s="140"/>
    </row>
    <row r="2830" spans="1:5">
      <c r="A2830" s="140"/>
      <c r="B2830" s="192"/>
      <c r="C2830" s="140"/>
      <c r="D2830" s="140"/>
      <c r="E2830" s="140"/>
    </row>
    <row r="2831" spans="1:5">
      <c r="A2831" s="140"/>
      <c r="B2831" s="192"/>
      <c r="C2831" s="140"/>
      <c r="D2831" s="140"/>
      <c r="E2831" s="140"/>
    </row>
    <row r="2832" spans="1:5">
      <c r="A2832" s="140"/>
      <c r="B2832" s="192"/>
      <c r="C2832" s="140"/>
      <c r="D2832" s="140"/>
      <c r="E2832" s="140"/>
    </row>
    <row r="2833" spans="1:5">
      <c r="A2833" s="140"/>
      <c r="B2833" s="192"/>
      <c r="C2833" s="140"/>
      <c r="D2833" s="140"/>
      <c r="E2833" s="140"/>
    </row>
    <row r="2834" spans="1:5">
      <c r="A2834" s="140"/>
      <c r="B2834" s="192"/>
      <c r="C2834" s="140"/>
      <c r="D2834" s="140"/>
      <c r="E2834" s="140"/>
    </row>
    <row r="2835" spans="1:5">
      <c r="A2835" s="140"/>
      <c r="B2835" s="192"/>
      <c r="C2835" s="140"/>
      <c r="D2835" s="140"/>
      <c r="E2835" s="140"/>
    </row>
    <row r="2836" spans="1:5">
      <c r="A2836" s="140"/>
      <c r="B2836" s="192"/>
      <c r="C2836" s="140"/>
      <c r="D2836" s="140"/>
      <c r="E2836" s="140"/>
    </row>
    <row r="2837" spans="1:5">
      <c r="A2837" s="140"/>
      <c r="B2837" s="192"/>
      <c r="C2837" s="140"/>
      <c r="D2837" s="140"/>
      <c r="E2837" s="140"/>
    </row>
    <row r="2838" spans="1:5">
      <c r="A2838" s="140"/>
      <c r="B2838" s="192"/>
      <c r="C2838" s="140"/>
      <c r="D2838" s="140"/>
      <c r="E2838" s="140"/>
    </row>
    <row r="2839" spans="1:5">
      <c r="A2839" s="140"/>
      <c r="B2839" s="192"/>
      <c r="C2839" s="140"/>
      <c r="D2839" s="140"/>
      <c r="E2839" s="140"/>
    </row>
    <row r="2840" spans="1:5">
      <c r="A2840" s="140"/>
      <c r="B2840" s="192"/>
      <c r="C2840" s="140"/>
      <c r="D2840" s="140"/>
      <c r="E2840" s="140"/>
    </row>
    <row r="2841" spans="1:5">
      <c r="A2841" s="140"/>
      <c r="B2841" s="192"/>
      <c r="C2841" s="140"/>
      <c r="D2841" s="140"/>
      <c r="E2841" s="140"/>
    </row>
    <row r="2842" spans="1:5">
      <c r="A2842" s="140"/>
      <c r="B2842" s="192"/>
      <c r="C2842" s="140"/>
      <c r="D2842" s="140"/>
      <c r="E2842" s="140"/>
    </row>
    <row r="2843" spans="1:5">
      <c r="A2843" s="140"/>
      <c r="B2843" s="192"/>
      <c r="C2843" s="140"/>
      <c r="D2843" s="140"/>
      <c r="E2843" s="140"/>
    </row>
    <row r="2844" spans="1:5">
      <c r="A2844" s="140"/>
      <c r="B2844" s="192"/>
      <c r="C2844" s="140"/>
      <c r="D2844" s="140"/>
      <c r="E2844" s="140"/>
    </row>
    <row r="2845" spans="1:5">
      <c r="A2845" s="140"/>
      <c r="B2845" s="192"/>
      <c r="C2845" s="140"/>
      <c r="D2845" s="140"/>
      <c r="E2845" s="140"/>
    </row>
    <row r="2846" spans="1:5">
      <c r="A2846" s="140"/>
      <c r="B2846" s="192"/>
      <c r="C2846" s="140"/>
      <c r="D2846" s="140"/>
      <c r="E2846" s="140"/>
    </row>
    <row r="2847" spans="1:5">
      <c r="A2847" s="140"/>
      <c r="B2847" s="192"/>
      <c r="C2847" s="140"/>
      <c r="D2847" s="140"/>
      <c r="E2847" s="140"/>
    </row>
    <row r="2848" spans="1:5">
      <c r="A2848" s="140"/>
      <c r="B2848" s="192"/>
      <c r="C2848" s="140"/>
      <c r="D2848" s="140"/>
      <c r="E2848" s="140"/>
    </row>
    <row r="2849" spans="1:5">
      <c r="A2849" s="140"/>
      <c r="B2849" s="192"/>
      <c r="C2849" s="140"/>
      <c r="D2849" s="140"/>
      <c r="E2849" s="140"/>
    </row>
    <row r="2850" spans="1:5">
      <c r="A2850" s="140"/>
      <c r="B2850" s="192"/>
      <c r="C2850" s="140"/>
      <c r="D2850" s="140"/>
      <c r="E2850" s="140"/>
    </row>
    <row r="2851" spans="1:5">
      <c r="A2851" s="140"/>
      <c r="B2851" s="192"/>
      <c r="C2851" s="140"/>
      <c r="D2851" s="140"/>
      <c r="E2851" s="140"/>
    </row>
    <row r="2852" spans="1:5">
      <c r="A2852" s="140"/>
      <c r="B2852" s="192"/>
      <c r="C2852" s="140"/>
      <c r="D2852" s="140"/>
      <c r="E2852" s="140"/>
    </row>
    <row r="2853" spans="1:5">
      <c r="A2853" s="140"/>
      <c r="B2853" s="192"/>
      <c r="C2853" s="140"/>
      <c r="D2853" s="140"/>
      <c r="E2853" s="140"/>
    </row>
    <row r="2854" spans="1:5">
      <c r="A2854" s="140"/>
      <c r="B2854" s="192"/>
      <c r="C2854" s="140"/>
      <c r="D2854" s="140"/>
      <c r="E2854" s="140"/>
    </row>
    <row r="2855" spans="1:5">
      <c r="A2855" s="140"/>
      <c r="B2855" s="192"/>
      <c r="C2855" s="140"/>
      <c r="D2855" s="140"/>
      <c r="E2855" s="140"/>
    </row>
    <row r="2856" spans="1:5">
      <c r="A2856" s="140"/>
      <c r="B2856" s="192"/>
      <c r="C2856" s="140"/>
      <c r="D2856" s="140"/>
      <c r="E2856" s="140"/>
    </row>
    <row r="2857" spans="1:5">
      <c r="A2857" s="140"/>
      <c r="B2857" s="192"/>
      <c r="C2857" s="140"/>
      <c r="D2857" s="140"/>
      <c r="E2857" s="140"/>
    </row>
    <row r="2858" spans="1:5">
      <c r="A2858" s="140"/>
      <c r="B2858" s="192"/>
      <c r="C2858" s="140"/>
      <c r="D2858" s="140"/>
      <c r="E2858" s="140"/>
    </row>
    <row r="2859" spans="1:5">
      <c r="A2859" s="140"/>
      <c r="B2859" s="192"/>
      <c r="C2859" s="140"/>
      <c r="D2859" s="140"/>
      <c r="E2859" s="140"/>
    </row>
    <row r="2860" spans="1:5">
      <c r="A2860" s="140"/>
      <c r="B2860" s="192"/>
      <c r="C2860" s="140"/>
      <c r="D2860" s="140"/>
      <c r="E2860" s="140"/>
    </row>
    <row r="2861" spans="1:5">
      <c r="A2861" s="140"/>
      <c r="B2861" s="192"/>
      <c r="C2861" s="140"/>
      <c r="D2861" s="140"/>
      <c r="E2861" s="140"/>
    </row>
    <row r="2862" spans="1:5">
      <c r="A2862" s="140"/>
      <c r="B2862" s="192"/>
      <c r="C2862" s="140"/>
      <c r="D2862" s="140"/>
      <c r="E2862" s="140"/>
    </row>
    <row r="2863" spans="1:5">
      <c r="A2863" s="140"/>
      <c r="B2863" s="192"/>
      <c r="C2863" s="140"/>
      <c r="D2863" s="140"/>
      <c r="E2863" s="140"/>
    </row>
    <row r="2864" spans="1:5">
      <c r="A2864" s="140"/>
      <c r="B2864" s="192"/>
      <c r="C2864" s="140"/>
      <c r="D2864" s="140"/>
      <c r="E2864" s="140"/>
    </row>
    <row r="2865" spans="1:5">
      <c r="A2865" s="140"/>
      <c r="B2865" s="192"/>
      <c r="C2865" s="140"/>
      <c r="D2865" s="140"/>
      <c r="E2865" s="140"/>
    </row>
    <row r="2866" spans="1:5">
      <c r="A2866" s="140"/>
      <c r="B2866" s="192"/>
      <c r="C2866" s="140"/>
      <c r="D2866" s="140"/>
      <c r="E2866" s="140"/>
    </row>
    <row r="2867" spans="1:5">
      <c r="A2867" s="140"/>
      <c r="B2867" s="192"/>
      <c r="C2867" s="140"/>
      <c r="D2867" s="140"/>
      <c r="E2867" s="140"/>
    </row>
    <row r="2868" spans="1:5">
      <c r="A2868" s="140"/>
      <c r="B2868" s="192"/>
      <c r="C2868" s="140"/>
      <c r="D2868" s="140"/>
      <c r="E2868" s="140"/>
    </row>
    <row r="2869" spans="1:5">
      <c r="A2869" s="140"/>
      <c r="B2869" s="192"/>
      <c r="C2869" s="140"/>
      <c r="D2869" s="140"/>
      <c r="E2869" s="140"/>
    </row>
    <row r="2870" spans="1:5">
      <c r="A2870" s="140"/>
      <c r="B2870" s="192"/>
      <c r="C2870" s="140"/>
      <c r="D2870" s="140"/>
      <c r="E2870" s="140"/>
    </row>
    <row r="2871" spans="1:5">
      <c r="A2871" s="140"/>
      <c r="B2871" s="192"/>
      <c r="C2871" s="140"/>
      <c r="D2871" s="140"/>
      <c r="E2871" s="140"/>
    </row>
    <row r="2872" spans="1:5">
      <c r="A2872" s="140"/>
      <c r="B2872" s="192"/>
      <c r="C2872" s="140"/>
      <c r="D2872" s="140"/>
      <c r="E2872" s="140"/>
    </row>
    <row r="2873" spans="1:5">
      <c r="A2873" s="140"/>
      <c r="B2873" s="192"/>
      <c r="C2873" s="140"/>
      <c r="D2873" s="140"/>
      <c r="E2873" s="140"/>
    </row>
    <row r="2874" spans="1:5">
      <c r="A2874" s="140"/>
      <c r="B2874" s="192"/>
      <c r="C2874" s="140"/>
      <c r="D2874" s="140"/>
      <c r="E2874" s="140"/>
    </row>
    <row r="2875" spans="1:5">
      <c r="A2875" s="140"/>
      <c r="B2875" s="192"/>
      <c r="C2875" s="140"/>
      <c r="D2875" s="140"/>
      <c r="E2875" s="140"/>
    </row>
    <row r="2876" spans="1:5">
      <c r="A2876" s="140"/>
      <c r="B2876" s="192"/>
      <c r="C2876" s="140"/>
      <c r="D2876" s="140"/>
      <c r="E2876" s="140"/>
    </row>
    <row r="2877" spans="1:5">
      <c r="A2877" s="140"/>
      <c r="B2877" s="192"/>
      <c r="C2877" s="140"/>
      <c r="D2877" s="140"/>
      <c r="E2877" s="140"/>
    </row>
    <row r="2878" spans="1:5">
      <c r="A2878" s="140"/>
      <c r="B2878" s="192"/>
      <c r="C2878" s="140"/>
      <c r="D2878" s="140"/>
      <c r="E2878" s="140"/>
    </row>
    <row r="2879" spans="1:5">
      <c r="A2879" s="140"/>
      <c r="B2879" s="192"/>
      <c r="C2879" s="140"/>
      <c r="D2879" s="140"/>
      <c r="E2879" s="140"/>
    </row>
    <row r="2880" spans="1:5">
      <c r="A2880" s="140"/>
      <c r="B2880" s="192"/>
      <c r="C2880" s="140"/>
      <c r="D2880" s="140"/>
      <c r="E2880" s="140"/>
    </row>
    <row r="2881" spans="1:5">
      <c r="A2881" s="140"/>
      <c r="B2881" s="192"/>
      <c r="C2881" s="140"/>
      <c r="D2881" s="140"/>
      <c r="E2881" s="140"/>
    </row>
    <row r="2882" spans="1:5">
      <c r="A2882" s="140"/>
      <c r="B2882" s="192"/>
      <c r="C2882" s="140"/>
      <c r="D2882" s="140"/>
      <c r="E2882" s="140"/>
    </row>
    <row r="2883" spans="1:5">
      <c r="A2883" s="140"/>
      <c r="B2883" s="192"/>
      <c r="C2883" s="140"/>
      <c r="D2883" s="140"/>
      <c r="E2883" s="140"/>
    </row>
    <row r="2884" spans="1:5">
      <c r="A2884" s="140"/>
      <c r="B2884" s="192"/>
      <c r="C2884" s="140"/>
      <c r="D2884" s="140"/>
      <c r="E2884" s="140"/>
    </row>
    <row r="2885" spans="1:5">
      <c r="A2885" s="140"/>
      <c r="B2885" s="192"/>
      <c r="C2885" s="140"/>
      <c r="D2885" s="140"/>
      <c r="E2885" s="140"/>
    </row>
    <row r="2886" spans="1:5">
      <c r="A2886" s="140"/>
      <c r="B2886" s="192"/>
      <c r="C2886" s="140"/>
      <c r="D2886" s="140"/>
      <c r="E2886" s="140"/>
    </row>
    <row r="2887" spans="1:5">
      <c r="A2887" s="140"/>
      <c r="B2887" s="192"/>
      <c r="C2887" s="140"/>
      <c r="D2887" s="140"/>
      <c r="E2887" s="140"/>
    </row>
    <row r="2888" spans="1:5">
      <c r="A2888" s="140"/>
      <c r="B2888" s="192"/>
      <c r="C2888" s="140"/>
      <c r="D2888" s="140"/>
      <c r="E2888" s="140"/>
    </row>
    <row r="2889" spans="1:5">
      <c r="A2889" s="140"/>
      <c r="B2889" s="192"/>
      <c r="C2889" s="140"/>
      <c r="D2889" s="140"/>
      <c r="E2889" s="140"/>
    </row>
    <row r="2890" spans="1:5">
      <c r="A2890" s="140"/>
      <c r="B2890" s="192"/>
      <c r="C2890" s="140"/>
      <c r="D2890" s="140"/>
      <c r="E2890" s="140"/>
    </row>
    <row r="2891" spans="1:5">
      <c r="A2891" s="140"/>
      <c r="B2891" s="192"/>
      <c r="C2891" s="140"/>
      <c r="D2891" s="140"/>
      <c r="E2891" s="140"/>
    </row>
    <row r="2892" spans="1:5">
      <c r="A2892" s="140"/>
      <c r="B2892" s="192"/>
      <c r="C2892" s="140"/>
      <c r="D2892" s="140"/>
      <c r="E2892" s="140"/>
    </row>
    <row r="2893" spans="1:5">
      <c r="A2893" s="140"/>
      <c r="B2893" s="192"/>
      <c r="C2893" s="140"/>
      <c r="D2893" s="140"/>
      <c r="E2893" s="140"/>
    </row>
    <row r="2894" spans="1:5">
      <c r="A2894" s="140"/>
      <c r="B2894" s="192"/>
      <c r="C2894" s="140"/>
      <c r="D2894" s="140"/>
      <c r="E2894" s="140"/>
    </row>
    <row r="2895" spans="1:5">
      <c r="A2895" s="140"/>
      <c r="B2895" s="192"/>
      <c r="C2895" s="140"/>
      <c r="D2895" s="140"/>
      <c r="E2895" s="140"/>
    </row>
    <row r="2896" spans="1:5">
      <c r="A2896" s="140"/>
      <c r="B2896" s="192"/>
      <c r="C2896" s="140"/>
      <c r="D2896" s="140"/>
      <c r="E2896" s="140"/>
    </row>
    <row r="2897" spans="1:5">
      <c r="A2897" s="140"/>
      <c r="B2897" s="192"/>
      <c r="C2897" s="140"/>
      <c r="D2897" s="140"/>
      <c r="E2897" s="140"/>
    </row>
    <row r="2898" spans="1:5">
      <c r="A2898" s="140"/>
      <c r="B2898" s="192"/>
      <c r="C2898" s="140"/>
      <c r="D2898" s="140"/>
      <c r="E2898" s="140"/>
    </row>
    <row r="2899" spans="1:5">
      <c r="A2899" s="140"/>
      <c r="B2899" s="192"/>
      <c r="C2899" s="140"/>
      <c r="D2899" s="140"/>
      <c r="E2899" s="140"/>
    </row>
    <row r="2900" spans="1:5">
      <c r="A2900" s="140"/>
      <c r="B2900" s="192"/>
      <c r="C2900" s="140"/>
      <c r="D2900" s="140"/>
      <c r="E2900" s="140"/>
    </row>
    <row r="2901" spans="1:5">
      <c r="A2901" s="140"/>
      <c r="B2901" s="192"/>
      <c r="C2901" s="140"/>
      <c r="D2901" s="140"/>
      <c r="E2901" s="140"/>
    </row>
    <row r="2902" spans="1:5">
      <c r="A2902" s="140"/>
      <c r="B2902" s="192"/>
      <c r="C2902" s="140"/>
      <c r="D2902" s="140"/>
      <c r="E2902" s="140"/>
    </row>
    <row r="2903" spans="1:5">
      <c r="A2903" s="140"/>
      <c r="B2903" s="192"/>
      <c r="C2903" s="140"/>
      <c r="D2903" s="140"/>
      <c r="E2903" s="140"/>
    </row>
    <row r="2904" spans="1:5">
      <c r="A2904" s="140"/>
      <c r="B2904" s="192"/>
      <c r="C2904" s="140"/>
      <c r="D2904" s="140"/>
      <c r="E2904" s="140"/>
    </row>
    <row r="2905" spans="1:5">
      <c r="A2905" s="140"/>
      <c r="B2905" s="192"/>
      <c r="C2905" s="140"/>
      <c r="D2905" s="140"/>
      <c r="E2905" s="140"/>
    </row>
    <row r="2906" spans="1:5">
      <c r="A2906" s="140"/>
      <c r="B2906" s="192"/>
      <c r="C2906" s="140"/>
      <c r="D2906" s="140"/>
      <c r="E2906" s="140"/>
    </row>
    <row r="2907" spans="1:5">
      <c r="A2907" s="140"/>
      <c r="B2907" s="192"/>
      <c r="C2907" s="140"/>
      <c r="D2907" s="140"/>
      <c r="E2907" s="140"/>
    </row>
    <row r="2908" spans="1:5">
      <c r="A2908" s="140"/>
      <c r="B2908" s="192"/>
      <c r="C2908" s="140"/>
      <c r="D2908" s="140"/>
      <c r="E2908" s="140"/>
    </row>
    <row r="2909" spans="1:5">
      <c r="A2909" s="140"/>
      <c r="B2909" s="192"/>
      <c r="C2909" s="140"/>
      <c r="D2909" s="140"/>
      <c r="E2909" s="140"/>
    </row>
    <row r="2910" spans="1:5">
      <c r="A2910" s="140"/>
      <c r="B2910" s="192"/>
      <c r="C2910" s="140"/>
      <c r="D2910" s="140"/>
      <c r="E2910" s="140"/>
    </row>
    <row r="2911" spans="1:5">
      <c r="A2911" s="140"/>
      <c r="B2911" s="192"/>
      <c r="C2911" s="140"/>
      <c r="D2911" s="140"/>
      <c r="E2911" s="140"/>
    </row>
    <row r="2912" spans="1:5">
      <c r="A2912" s="140"/>
      <c r="B2912" s="192"/>
      <c r="C2912" s="140"/>
      <c r="D2912" s="140"/>
      <c r="E2912" s="140"/>
    </row>
    <row r="2913" spans="1:5">
      <c r="A2913" s="140"/>
      <c r="B2913" s="192"/>
      <c r="C2913" s="140"/>
      <c r="D2913" s="140"/>
      <c r="E2913" s="140"/>
    </row>
    <row r="2914" spans="1:5">
      <c r="A2914" s="140"/>
      <c r="B2914" s="192"/>
      <c r="C2914" s="140"/>
      <c r="D2914" s="140"/>
      <c r="E2914" s="140"/>
    </row>
    <row r="2915" spans="1:5">
      <c r="A2915" s="140"/>
      <c r="B2915" s="192"/>
      <c r="C2915" s="140"/>
      <c r="D2915" s="140"/>
      <c r="E2915" s="140"/>
    </row>
    <row r="2916" spans="1:5">
      <c r="A2916" s="140"/>
      <c r="B2916" s="192"/>
      <c r="C2916" s="140"/>
      <c r="D2916" s="140"/>
      <c r="E2916" s="140"/>
    </row>
    <row r="2917" spans="1:5">
      <c r="A2917" s="140"/>
      <c r="B2917" s="192"/>
      <c r="C2917" s="140"/>
      <c r="D2917" s="140"/>
      <c r="E2917" s="140"/>
    </row>
    <row r="2918" spans="1:5">
      <c r="A2918" s="140"/>
      <c r="B2918" s="192"/>
      <c r="C2918" s="140"/>
      <c r="D2918" s="140"/>
      <c r="E2918" s="140"/>
    </row>
    <row r="2919" spans="1:5">
      <c r="A2919" s="140"/>
      <c r="B2919" s="192"/>
      <c r="C2919" s="140"/>
      <c r="D2919" s="140"/>
      <c r="E2919" s="140"/>
    </row>
    <row r="2920" spans="1:5">
      <c r="A2920" s="140"/>
      <c r="B2920" s="192"/>
      <c r="C2920" s="140"/>
      <c r="D2920" s="140"/>
      <c r="E2920" s="140"/>
    </row>
    <row r="2921" spans="1:5">
      <c r="A2921" s="140"/>
      <c r="B2921" s="192"/>
      <c r="C2921" s="140"/>
      <c r="D2921" s="140"/>
      <c r="E2921" s="140"/>
    </row>
    <row r="2922" spans="1:5">
      <c r="A2922" s="140"/>
      <c r="B2922" s="192"/>
      <c r="C2922" s="140"/>
      <c r="D2922" s="140"/>
      <c r="E2922" s="140"/>
    </row>
    <row r="2923" spans="1:5">
      <c r="A2923" s="140"/>
      <c r="B2923" s="192"/>
      <c r="C2923" s="140"/>
      <c r="D2923" s="140"/>
      <c r="E2923" s="140"/>
    </row>
    <row r="2924" spans="1:5">
      <c r="A2924" s="140"/>
      <c r="B2924" s="192"/>
      <c r="C2924" s="140"/>
      <c r="D2924" s="140"/>
      <c r="E2924" s="140"/>
    </row>
    <row r="2925" spans="1:5">
      <c r="A2925" s="140"/>
      <c r="B2925" s="192"/>
      <c r="C2925" s="140"/>
      <c r="D2925" s="140"/>
      <c r="E2925" s="140"/>
    </row>
    <row r="2926" spans="1:5">
      <c r="A2926" s="140"/>
      <c r="B2926" s="192"/>
      <c r="C2926" s="140"/>
      <c r="D2926" s="140"/>
      <c r="E2926" s="140"/>
    </row>
    <row r="2927" spans="1:5">
      <c r="A2927" s="140"/>
      <c r="B2927" s="192"/>
      <c r="C2927" s="140"/>
      <c r="D2927" s="140"/>
      <c r="E2927" s="140"/>
    </row>
    <row r="2928" spans="1:5">
      <c r="A2928" s="140"/>
      <c r="B2928" s="192"/>
      <c r="C2928" s="140"/>
      <c r="D2928" s="140"/>
      <c r="E2928" s="140"/>
    </row>
    <row r="2929" spans="1:5">
      <c r="A2929" s="140"/>
      <c r="B2929" s="192"/>
      <c r="C2929" s="140"/>
      <c r="D2929" s="140"/>
      <c r="E2929" s="140"/>
    </row>
    <row r="2930" spans="1:5">
      <c r="A2930" s="140"/>
      <c r="B2930" s="192"/>
      <c r="C2930" s="140"/>
      <c r="D2930" s="140"/>
      <c r="E2930" s="140"/>
    </row>
    <row r="2931" spans="1:5">
      <c r="A2931" s="140"/>
      <c r="B2931" s="192"/>
      <c r="C2931" s="140"/>
      <c r="D2931" s="140"/>
      <c r="E2931" s="140"/>
    </row>
    <row r="2932" spans="1:5">
      <c r="A2932" s="140"/>
      <c r="B2932" s="192"/>
      <c r="C2932" s="140"/>
      <c r="D2932" s="140"/>
      <c r="E2932" s="140"/>
    </row>
    <row r="2933" spans="1:5">
      <c r="A2933" s="140"/>
      <c r="B2933" s="192"/>
      <c r="C2933" s="140"/>
      <c r="D2933" s="140"/>
      <c r="E2933" s="140"/>
    </row>
    <row r="2934" spans="1:5">
      <c r="A2934" s="140"/>
      <c r="B2934" s="192"/>
      <c r="C2934" s="140"/>
      <c r="D2934" s="140"/>
      <c r="E2934" s="140"/>
    </row>
    <row r="2935" spans="1:5">
      <c r="A2935" s="140"/>
      <c r="B2935" s="192"/>
      <c r="C2935" s="140"/>
      <c r="D2935" s="140"/>
      <c r="E2935" s="140"/>
    </row>
    <row r="2936" spans="1:5">
      <c r="A2936" s="140"/>
      <c r="B2936" s="192"/>
      <c r="C2936" s="140"/>
      <c r="D2936" s="140"/>
      <c r="E2936" s="140"/>
    </row>
    <row r="2937" spans="1:5">
      <c r="A2937" s="140"/>
      <c r="B2937" s="192"/>
      <c r="C2937" s="140"/>
      <c r="D2937" s="140"/>
      <c r="E2937" s="140"/>
    </row>
    <row r="2938" spans="1:5">
      <c r="A2938" s="140"/>
      <c r="B2938" s="192"/>
      <c r="C2938" s="140"/>
      <c r="D2938" s="140"/>
      <c r="E2938" s="140"/>
    </row>
    <row r="2939" spans="1:5">
      <c r="A2939" s="140"/>
      <c r="B2939" s="192"/>
      <c r="C2939" s="140"/>
      <c r="D2939" s="140"/>
      <c r="E2939" s="140"/>
    </row>
    <row r="2940" spans="1:5">
      <c r="A2940" s="140"/>
      <c r="B2940" s="192"/>
      <c r="C2940" s="140"/>
      <c r="D2940" s="140"/>
      <c r="E2940" s="140"/>
    </row>
    <row r="2941" spans="1:5">
      <c r="A2941" s="140"/>
      <c r="B2941" s="192"/>
      <c r="C2941" s="140"/>
      <c r="D2941" s="140"/>
      <c r="E2941" s="140"/>
    </row>
    <row r="2942" spans="1:5">
      <c r="A2942" s="140"/>
      <c r="B2942" s="192"/>
      <c r="C2942" s="140"/>
      <c r="D2942" s="140"/>
      <c r="E2942" s="140"/>
    </row>
    <row r="2943" spans="1:5">
      <c r="A2943" s="140"/>
      <c r="B2943" s="192"/>
      <c r="C2943" s="140"/>
      <c r="D2943" s="140"/>
      <c r="E2943" s="140"/>
    </row>
    <row r="2944" spans="1:5">
      <c r="A2944" s="140"/>
      <c r="B2944" s="192"/>
      <c r="C2944" s="140"/>
      <c r="D2944" s="140"/>
      <c r="E2944" s="140"/>
    </row>
    <row r="2945" spans="1:5">
      <c r="A2945" s="140"/>
      <c r="B2945" s="192"/>
      <c r="C2945" s="140"/>
      <c r="D2945" s="140"/>
      <c r="E2945" s="140"/>
    </row>
    <row r="2946" spans="1:5">
      <c r="A2946" s="140"/>
      <c r="B2946" s="192"/>
      <c r="C2946" s="140"/>
      <c r="D2946" s="140"/>
      <c r="E2946" s="140"/>
    </row>
    <row r="2947" spans="1:5">
      <c r="A2947" s="140"/>
      <c r="B2947" s="192"/>
      <c r="C2947" s="140"/>
      <c r="D2947" s="140"/>
      <c r="E2947" s="140"/>
    </row>
    <row r="2948" spans="1:5">
      <c r="A2948" s="140"/>
      <c r="B2948" s="192"/>
      <c r="C2948" s="140"/>
      <c r="D2948" s="140"/>
      <c r="E2948" s="140"/>
    </row>
    <row r="2949" spans="1:5">
      <c r="A2949" s="140"/>
      <c r="B2949" s="192"/>
      <c r="C2949" s="140"/>
      <c r="D2949" s="140"/>
      <c r="E2949" s="140"/>
    </row>
    <row r="2950" spans="1:5">
      <c r="A2950" s="140"/>
      <c r="B2950" s="192"/>
      <c r="C2950" s="140"/>
      <c r="D2950" s="140"/>
      <c r="E2950" s="140"/>
    </row>
    <row r="2951" spans="1:5">
      <c r="A2951" s="140"/>
      <c r="B2951" s="192"/>
      <c r="C2951" s="140"/>
      <c r="D2951" s="140"/>
      <c r="E2951" s="140"/>
    </row>
    <row r="2952" spans="1:5">
      <c r="A2952" s="140"/>
      <c r="B2952" s="192"/>
      <c r="C2952" s="140"/>
      <c r="D2952" s="140"/>
      <c r="E2952" s="140"/>
    </row>
    <row r="2953" spans="1:5">
      <c r="A2953" s="140"/>
      <c r="B2953" s="192"/>
      <c r="C2953" s="140"/>
      <c r="D2953" s="140"/>
      <c r="E2953" s="140"/>
    </row>
    <row r="2954" spans="1:5">
      <c r="A2954" s="140"/>
      <c r="B2954" s="192"/>
      <c r="C2954" s="140"/>
      <c r="D2954" s="140"/>
      <c r="E2954" s="140"/>
    </row>
    <row r="2955" spans="1:5">
      <c r="A2955" s="140"/>
      <c r="B2955" s="192"/>
      <c r="C2955" s="140"/>
      <c r="D2955" s="140"/>
      <c r="E2955" s="140"/>
    </row>
    <row r="2956" spans="1:5">
      <c r="A2956" s="140"/>
      <c r="B2956" s="192"/>
      <c r="C2956" s="140"/>
      <c r="D2956" s="140"/>
      <c r="E2956" s="140"/>
    </row>
    <row r="2957" spans="1:5">
      <c r="A2957" s="140"/>
      <c r="B2957" s="192"/>
      <c r="C2957" s="140"/>
      <c r="D2957" s="140"/>
      <c r="E2957" s="140"/>
    </row>
    <row r="2958" spans="1:5">
      <c r="A2958" s="140"/>
      <c r="B2958" s="192"/>
      <c r="C2958" s="140"/>
      <c r="D2958" s="140"/>
      <c r="E2958" s="140"/>
    </row>
    <row r="2959" spans="1:5">
      <c r="A2959" s="140"/>
      <c r="B2959" s="192"/>
      <c r="C2959" s="140"/>
      <c r="D2959" s="140"/>
      <c r="E2959" s="140"/>
    </row>
    <row r="2960" spans="1:5">
      <c r="A2960" s="140"/>
      <c r="B2960" s="192"/>
      <c r="C2960" s="140"/>
      <c r="D2960" s="140"/>
      <c r="E2960" s="140"/>
    </row>
    <row r="2961" spans="1:5">
      <c r="A2961" s="140"/>
      <c r="B2961" s="192"/>
      <c r="C2961" s="140"/>
      <c r="D2961" s="140"/>
      <c r="E2961" s="140"/>
    </row>
    <row r="2962" spans="1:5">
      <c r="A2962" s="140"/>
      <c r="B2962" s="192"/>
      <c r="C2962" s="140"/>
      <c r="D2962" s="140"/>
      <c r="E2962" s="140"/>
    </row>
    <row r="2963" spans="1:5">
      <c r="A2963" s="140"/>
      <c r="B2963" s="192"/>
      <c r="C2963" s="140"/>
      <c r="D2963" s="140"/>
      <c r="E2963" s="140"/>
    </row>
    <row r="2964" spans="1:5">
      <c r="A2964" s="140"/>
      <c r="B2964" s="192"/>
      <c r="C2964" s="140"/>
      <c r="D2964" s="140"/>
      <c r="E2964" s="140"/>
    </row>
    <row r="2965" spans="1:5">
      <c r="A2965" s="140"/>
      <c r="B2965" s="192"/>
      <c r="C2965" s="140"/>
      <c r="D2965" s="140"/>
      <c r="E2965" s="140"/>
    </row>
    <row r="2966" spans="1:5">
      <c r="A2966" s="140"/>
      <c r="B2966" s="192"/>
      <c r="C2966" s="140"/>
      <c r="D2966" s="140"/>
      <c r="E2966" s="140"/>
    </row>
    <row r="2967" spans="1:5">
      <c r="A2967" s="140"/>
      <c r="B2967" s="192"/>
      <c r="C2967" s="140"/>
      <c r="D2967" s="140"/>
      <c r="E2967" s="140"/>
    </row>
    <row r="2968" spans="1:5">
      <c r="A2968" s="140"/>
      <c r="B2968" s="192"/>
      <c r="C2968" s="140"/>
      <c r="D2968" s="140"/>
      <c r="E2968" s="140"/>
    </row>
    <row r="2969" spans="1:5">
      <c r="A2969" s="140"/>
      <c r="B2969" s="192"/>
      <c r="C2969" s="140"/>
      <c r="D2969" s="140"/>
      <c r="E2969" s="140"/>
    </row>
    <row r="2970" spans="1:5">
      <c r="A2970" s="140"/>
      <c r="B2970" s="192"/>
      <c r="C2970" s="140"/>
      <c r="D2970" s="140"/>
      <c r="E2970" s="140"/>
    </row>
    <row r="2971" spans="1:5">
      <c r="A2971" s="140"/>
      <c r="B2971" s="192"/>
      <c r="C2971" s="140"/>
      <c r="D2971" s="140"/>
      <c r="E2971" s="140"/>
    </row>
    <row r="2972" spans="1:5">
      <c r="A2972" s="140"/>
      <c r="B2972" s="192"/>
      <c r="C2972" s="140"/>
      <c r="D2972" s="140"/>
      <c r="E2972" s="140"/>
    </row>
    <row r="2973" spans="1:5">
      <c r="A2973" s="140"/>
      <c r="B2973" s="192"/>
      <c r="C2973" s="140"/>
      <c r="D2973" s="140"/>
      <c r="E2973" s="140"/>
    </row>
    <row r="2974" spans="1:5">
      <c r="A2974" s="140"/>
      <c r="B2974" s="192"/>
      <c r="C2974" s="140"/>
      <c r="D2974" s="140"/>
      <c r="E2974" s="140"/>
    </row>
    <row r="2975" spans="1:5">
      <c r="A2975" s="140"/>
      <c r="B2975" s="192"/>
      <c r="C2975" s="140"/>
      <c r="D2975" s="140"/>
      <c r="E2975" s="140"/>
    </row>
    <row r="2976" spans="1:5">
      <c r="A2976" s="140"/>
      <c r="B2976" s="192"/>
      <c r="C2976" s="140"/>
      <c r="D2976" s="140"/>
      <c r="E2976" s="140"/>
    </row>
    <row r="2977" spans="1:5">
      <c r="A2977" s="140"/>
      <c r="B2977" s="192"/>
      <c r="C2977" s="140"/>
      <c r="D2977" s="140"/>
      <c r="E2977" s="140"/>
    </row>
    <row r="2978" spans="1:5">
      <c r="A2978" s="140"/>
      <c r="B2978" s="192"/>
      <c r="C2978" s="140"/>
      <c r="D2978" s="140"/>
      <c r="E2978" s="140"/>
    </row>
    <row r="2979" spans="1:5">
      <c r="A2979" s="140"/>
      <c r="B2979" s="192"/>
      <c r="C2979" s="140"/>
      <c r="D2979" s="140"/>
      <c r="E2979" s="140"/>
    </row>
    <row r="2980" spans="1:5">
      <c r="A2980" s="140"/>
      <c r="B2980" s="192"/>
      <c r="C2980" s="140"/>
      <c r="D2980" s="140"/>
      <c r="E2980" s="140"/>
    </row>
    <row r="2981" spans="1:5">
      <c r="A2981" s="140"/>
      <c r="B2981" s="192"/>
      <c r="C2981" s="140"/>
      <c r="D2981" s="140"/>
      <c r="E2981" s="140"/>
    </row>
    <row r="2982" spans="1:5">
      <c r="A2982" s="140"/>
      <c r="B2982" s="192"/>
      <c r="C2982" s="140"/>
      <c r="D2982" s="140"/>
      <c r="E2982" s="140"/>
    </row>
    <row r="2983" spans="1:5">
      <c r="A2983" s="140"/>
      <c r="B2983" s="192"/>
      <c r="C2983" s="140"/>
      <c r="D2983" s="140"/>
      <c r="E2983" s="140"/>
    </row>
    <row r="2984" spans="1:5">
      <c r="A2984" s="140"/>
      <c r="B2984" s="192"/>
      <c r="C2984" s="140"/>
      <c r="D2984" s="140"/>
      <c r="E2984" s="140"/>
    </row>
    <row r="2985" spans="1:5">
      <c r="A2985" s="140"/>
      <c r="B2985" s="192"/>
      <c r="C2985" s="140"/>
      <c r="D2985" s="140"/>
      <c r="E2985" s="140"/>
    </row>
    <row r="2986" spans="1:5">
      <c r="A2986" s="140"/>
      <c r="B2986" s="192"/>
      <c r="C2986" s="140"/>
      <c r="D2986" s="140"/>
      <c r="E2986" s="140"/>
    </row>
    <row r="2987" spans="1:5">
      <c r="A2987" s="140"/>
      <c r="B2987" s="192"/>
      <c r="C2987" s="140"/>
      <c r="D2987" s="140"/>
      <c r="E2987" s="140"/>
    </row>
    <row r="2988" spans="1:5">
      <c r="A2988" s="140"/>
      <c r="B2988" s="192"/>
      <c r="C2988" s="140"/>
      <c r="D2988" s="140"/>
      <c r="E2988" s="140"/>
    </row>
    <row r="2989" spans="1:5">
      <c r="A2989" s="140"/>
      <c r="B2989" s="192"/>
      <c r="C2989" s="140"/>
      <c r="D2989" s="140"/>
      <c r="E2989" s="140"/>
    </row>
    <row r="2990" spans="1:5">
      <c r="A2990" s="140"/>
      <c r="B2990" s="192"/>
      <c r="C2990" s="140"/>
      <c r="D2990" s="140"/>
      <c r="E2990" s="140"/>
    </row>
    <row r="2991" spans="1:5">
      <c r="A2991" s="140"/>
      <c r="B2991" s="192"/>
      <c r="C2991" s="140"/>
      <c r="D2991" s="140"/>
      <c r="E2991" s="140"/>
    </row>
    <row r="2992" spans="1:5">
      <c r="A2992" s="140"/>
      <c r="B2992" s="192"/>
      <c r="C2992" s="140"/>
      <c r="D2992" s="140"/>
      <c r="E2992" s="140"/>
    </row>
    <row r="2993" spans="1:5">
      <c r="A2993" s="140"/>
      <c r="B2993" s="192"/>
      <c r="C2993" s="140"/>
      <c r="D2993" s="140"/>
      <c r="E2993" s="140"/>
    </row>
    <row r="2994" spans="1:5">
      <c r="A2994" s="140"/>
      <c r="B2994" s="192"/>
      <c r="C2994" s="140"/>
      <c r="D2994" s="140"/>
      <c r="E2994" s="140"/>
    </row>
    <row r="2995" spans="1:5">
      <c r="A2995" s="140"/>
      <c r="B2995" s="192"/>
      <c r="C2995" s="140"/>
      <c r="D2995" s="140"/>
      <c r="E2995" s="140"/>
    </row>
    <row r="2996" spans="1:5">
      <c r="A2996" s="140"/>
      <c r="B2996" s="192"/>
      <c r="C2996" s="140"/>
      <c r="D2996" s="140"/>
      <c r="E2996" s="140"/>
    </row>
    <row r="2997" spans="1:5">
      <c r="A2997" s="140"/>
      <c r="B2997" s="192"/>
      <c r="C2997" s="140"/>
      <c r="D2997" s="140"/>
      <c r="E2997" s="140"/>
    </row>
    <row r="2998" spans="1:5">
      <c r="A2998" s="140"/>
      <c r="B2998" s="192"/>
      <c r="C2998" s="140"/>
      <c r="D2998" s="140"/>
      <c r="E2998" s="140"/>
    </row>
    <row r="2999" spans="1:5">
      <c r="A2999" s="140"/>
      <c r="B2999" s="192"/>
      <c r="C2999" s="140"/>
      <c r="D2999" s="140"/>
      <c r="E2999" s="140"/>
    </row>
    <row r="3000" spans="1:5">
      <c r="A3000" s="140"/>
      <c r="B3000" s="192"/>
      <c r="C3000" s="140"/>
      <c r="D3000" s="140"/>
      <c r="E3000" s="140"/>
    </row>
    <row r="3001" spans="1:5">
      <c r="A3001" s="140"/>
      <c r="B3001" s="192"/>
      <c r="C3001" s="140"/>
      <c r="D3001" s="140"/>
      <c r="E3001" s="140"/>
    </row>
    <row r="3002" spans="1:5">
      <c r="A3002" s="140"/>
      <c r="B3002" s="192"/>
      <c r="C3002" s="140"/>
      <c r="D3002" s="140"/>
      <c r="E3002" s="140"/>
    </row>
    <row r="3003" spans="1:5">
      <c r="A3003" s="140"/>
      <c r="B3003" s="192"/>
      <c r="C3003" s="140"/>
      <c r="D3003" s="140"/>
      <c r="E3003" s="140"/>
    </row>
    <row r="3004" spans="1:5">
      <c r="A3004" s="140"/>
      <c r="B3004" s="192"/>
      <c r="C3004" s="140"/>
      <c r="D3004" s="140"/>
      <c r="E3004" s="140"/>
    </row>
    <row r="3005" spans="1:5">
      <c r="A3005" s="140"/>
      <c r="B3005" s="192"/>
      <c r="C3005" s="140"/>
      <c r="D3005" s="140"/>
      <c r="E3005" s="140"/>
    </row>
    <row r="3006" spans="1:5">
      <c r="A3006" s="140"/>
      <c r="B3006" s="192"/>
      <c r="C3006" s="140"/>
      <c r="D3006" s="140"/>
      <c r="E3006" s="140"/>
    </row>
    <row r="3007" spans="1:5">
      <c r="A3007" s="140"/>
      <c r="B3007" s="192"/>
      <c r="C3007" s="140"/>
      <c r="D3007" s="140"/>
      <c r="E3007" s="140"/>
    </row>
    <row r="3008" spans="1:5">
      <c r="A3008" s="140"/>
      <c r="B3008" s="192"/>
      <c r="C3008" s="140"/>
      <c r="D3008" s="140"/>
      <c r="E3008" s="140"/>
    </row>
    <row r="3009" spans="1:5">
      <c r="A3009" s="140"/>
      <c r="B3009" s="192"/>
      <c r="C3009" s="140"/>
      <c r="D3009" s="140"/>
      <c r="E3009" s="140"/>
    </row>
    <row r="3010" spans="1:5">
      <c r="A3010" s="140"/>
      <c r="B3010" s="192"/>
      <c r="C3010" s="140"/>
      <c r="D3010" s="140"/>
      <c r="E3010" s="140"/>
    </row>
    <row r="3011" spans="1:5">
      <c r="A3011" s="140"/>
      <c r="B3011" s="192"/>
      <c r="C3011" s="140"/>
      <c r="D3011" s="140"/>
      <c r="E3011" s="140"/>
    </row>
    <row r="3012" spans="1:5">
      <c r="A3012" s="140"/>
      <c r="B3012" s="192"/>
      <c r="C3012" s="140"/>
      <c r="D3012" s="140"/>
      <c r="E3012" s="140"/>
    </row>
    <row r="3013" spans="1:5">
      <c r="A3013" s="140"/>
      <c r="B3013" s="192"/>
      <c r="C3013" s="140"/>
      <c r="D3013" s="140"/>
      <c r="E3013" s="140"/>
    </row>
    <row r="3014" spans="1:5">
      <c r="A3014" s="140"/>
      <c r="B3014" s="192"/>
      <c r="C3014" s="140"/>
      <c r="D3014" s="140"/>
      <c r="E3014" s="140"/>
    </row>
    <row r="3015" spans="1:5">
      <c r="A3015" s="140"/>
      <c r="B3015" s="192"/>
      <c r="C3015" s="140"/>
      <c r="D3015" s="140"/>
      <c r="E3015" s="140"/>
    </row>
    <row r="3016" spans="1:5">
      <c r="A3016" s="140"/>
      <c r="B3016" s="192"/>
      <c r="C3016" s="140"/>
      <c r="D3016" s="140"/>
      <c r="E3016" s="140"/>
    </row>
    <row r="3017" spans="1:5">
      <c r="A3017" s="140"/>
      <c r="B3017" s="192"/>
      <c r="C3017" s="140"/>
      <c r="D3017" s="140"/>
      <c r="E3017" s="140"/>
    </row>
    <row r="3018" spans="1:5">
      <c r="A3018" s="140"/>
      <c r="B3018" s="192"/>
      <c r="C3018" s="140"/>
      <c r="D3018" s="140"/>
      <c r="E3018" s="140"/>
    </row>
    <row r="3019" spans="1:5">
      <c r="A3019" s="140"/>
      <c r="B3019" s="192"/>
      <c r="C3019" s="140"/>
      <c r="D3019" s="140"/>
      <c r="E3019" s="140"/>
    </row>
    <row r="3020" spans="1:5">
      <c r="A3020" s="140"/>
      <c r="B3020" s="192"/>
      <c r="C3020" s="140"/>
      <c r="D3020" s="140"/>
      <c r="E3020" s="140"/>
    </row>
    <row r="3021" spans="1:5">
      <c r="A3021" s="140"/>
      <c r="B3021" s="192"/>
      <c r="C3021" s="140"/>
      <c r="D3021" s="140"/>
      <c r="E3021" s="140"/>
    </row>
    <row r="3022" spans="1:5">
      <c r="A3022" s="140"/>
      <c r="B3022" s="192"/>
      <c r="C3022" s="140"/>
      <c r="D3022" s="140"/>
      <c r="E3022" s="140"/>
    </row>
    <row r="3023" spans="1:5">
      <c r="A3023" s="140"/>
      <c r="B3023" s="192"/>
      <c r="C3023" s="140"/>
      <c r="D3023" s="140"/>
      <c r="E3023" s="140"/>
    </row>
    <row r="3024" spans="1:5">
      <c r="A3024" s="140"/>
      <c r="B3024" s="192"/>
      <c r="C3024" s="140"/>
      <c r="D3024" s="140"/>
      <c r="E3024" s="140"/>
    </row>
    <row r="3025" spans="1:5">
      <c r="A3025" s="140"/>
      <c r="B3025" s="192"/>
      <c r="C3025" s="140"/>
      <c r="D3025" s="140"/>
      <c r="E3025" s="140"/>
    </row>
    <row r="3026" spans="1:5">
      <c r="A3026" s="140"/>
      <c r="B3026" s="192"/>
      <c r="C3026" s="140"/>
      <c r="D3026" s="140"/>
      <c r="E3026" s="140"/>
    </row>
    <row r="3027" spans="1:5">
      <c r="A3027" s="140"/>
      <c r="B3027" s="192"/>
      <c r="C3027" s="140"/>
      <c r="D3027" s="140"/>
      <c r="E3027" s="140"/>
    </row>
    <row r="3028" spans="1:5">
      <c r="A3028" s="140"/>
      <c r="B3028" s="192"/>
      <c r="C3028" s="140"/>
      <c r="D3028" s="140"/>
      <c r="E3028" s="140"/>
    </row>
    <row r="3029" spans="1:5">
      <c r="A3029" s="140"/>
      <c r="B3029" s="192"/>
      <c r="C3029" s="140"/>
      <c r="D3029" s="140"/>
      <c r="E3029" s="140"/>
    </row>
    <row r="3030" spans="1:5">
      <c r="A3030" s="140"/>
      <c r="B3030" s="192"/>
      <c r="C3030" s="140"/>
      <c r="D3030" s="140"/>
      <c r="E3030" s="140"/>
    </row>
    <row r="3031" spans="1:5">
      <c r="A3031" s="140"/>
      <c r="B3031" s="192"/>
      <c r="C3031" s="140"/>
      <c r="D3031" s="140"/>
      <c r="E3031" s="140"/>
    </row>
    <row r="3032" spans="1:5">
      <c r="A3032" s="140"/>
      <c r="B3032" s="192"/>
      <c r="C3032" s="140"/>
      <c r="D3032" s="140"/>
      <c r="E3032" s="140"/>
    </row>
    <row r="3033" spans="1:5">
      <c r="A3033" s="140"/>
      <c r="B3033" s="192"/>
      <c r="C3033" s="140"/>
      <c r="D3033" s="140"/>
      <c r="E3033" s="140"/>
    </row>
    <row r="3034" spans="1:5">
      <c r="A3034" s="140"/>
      <c r="B3034" s="192"/>
      <c r="C3034" s="140"/>
      <c r="D3034" s="140"/>
      <c r="E3034" s="140"/>
    </row>
    <row r="3035" spans="1:5">
      <c r="A3035" s="140"/>
      <c r="B3035" s="192"/>
      <c r="C3035" s="140"/>
      <c r="D3035" s="140"/>
      <c r="E3035" s="140"/>
    </row>
    <row r="3036" spans="1:5">
      <c r="A3036" s="140"/>
      <c r="B3036" s="192"/>
      <c r="C3036" s="140"/>
      <c r="D3036" s="140"/>
      <c r="E3036" s="140"/>
    </row>
    <row r="3037" spans="1:5">
      <c r="A3037" s="140"/>
      <c r="B3037" s="192"/>
      <c r="C3037" s="140"/>
      <c r="D3037" s="140"/>
      <c r="E3037" s="140"/>
    </row>
    <row r="3038" spans="1:5">
      <c r="A3038" s="140"/>
      <c r="B3038" s="192"/>
      <c r="C3038" s="140"/>
      <c r="D3038" s="140"/>
      <c r="E3038" s="140"/>
    </row>
    <row r="3039" spans="1:5">
      <c r="A3039" s="140"/>
      <c r="B3039" s="192"/>
      <c r="C3039" s="140"/>
      <c r="D3039" s="140"/>
      <c r="E3039" s="140"/>
    </row>
    <row r="3040" spans="1:5">
      <c r="A3040" s="140"/>
      <c r="B3040" s="192"/>
      <c r="C3040" s="140"/>
      <c r="D3040" s="140"/>
      <c r="E3040" s="140"/>
    </row>
    <row r="3041" spans="1:5">
      <c r="A3041" s="140"/>
      <c r="B3041" s="192"/>
      <c r="C3041" s="140"/>
      <c r="D3041" s="140"/>
      <c r="E3041" s="140"/>
    </row>
    <row r="3042" spans="1:5">
      <c r="A3042" s="140"/>
      <c r="B3042" s="192"/>
      <c r="C3042" s="140"/>
      <c r="D3042" s="140"/>
      <c r="E3042" s="140"/>
    </row>
    <row r="3043" spans="1:5">
      <c r="A3043" s="140"/>
      <c r="B3043" s="192"/>
      <c r="C3043" s="140"/>
      <c r="D3043" s="140"/>
      <c r="E3043" s="140"/>
    </row>
    <row r="3044" spans="1:5">
      <c r="A3044" s="140"/>
      <c r="B3044" s="192"/>
      <c r="C3044" s="140"/>
      <c r="D3044" s="140"/>
      <c r="E3044" s="140"/>
    </row>
    <row r="3045" spans="1:5">
      <c r="A3045" s="140"/>
      <c r="B3045" s="192"/>
      <c r="C3045" s="140"/>
      <c r="D3045" s="140"/>
      <c r="E3045" s="140"/>
    </row>
    <row r="3046" spans="1:5">
      <c r="A3046" s="140"/>
      <c r="B3046" s="192"/>
      <c r="C3046" s="140"/>
      <c r="D3046" s="140"/>
      <c r="E3046" s="140"/>
    </row>
    <row r="3047" spans="1:5">
      <c r="A3047" s="140"/>
      <c r="B3047" s="192"/>
      <c r="C3047" s="140"/>
      <c r="D3047" s="140"/>
      <c r="E3047" s="140"/>
    </row>
    <row r="3048" spans="1:5">
      <c r="A3048" s="140"/>
      <c r="B3048" s="192"/>
      <c r="C3048" s="140"/>
      <c r="D3048" s="140"/>
      <c r="E3048" s="140"/>
    </row>
    <row r="3049" spans="1:5">
      <c r="A3049" s="140"/>
      <c r="B3049" s="192"/>
      <c r="C3049" s="140"/>
      <c r="D3049" s="140"/>
      <c r="E3049" s="140"/>
    </row>
    <row r="3050" spans="1:5">
      <c r="A3050" s="140"/>
      <c r="B3050" s="192"/>
      <c r="C3050" s="140"/>
      <c r="D3050" s="140"/>
      <c r="E3050" s="140"/>
    </row>
    <row r="3051" spans="1:5">
      <c r="A3051" s="140"/>
      <c r="B3051" s="192"/>
      <c r="C3051" s="140"/>
      <c r="D3051" s="140"/>
      <c r="E3051" s="140"/>
    </row>
    <row r="3052" spans="1:5">
      <c r="A3052" s="140"/>
      <c r="B3052" s="192"/>
      <c r="C3052" s="140"/>
      <c r="D3052" s="140"/>
      <c r="E3052" s="140"/>
    </row>
    <row r="3053" spans="1:5">
      <c r="A3053" s="140"/>
      <c r="B3053" s="192"/>
      <c r="C3053" s="140"/>
      <c r="D3053" s="140"/>
      <c r="E3053" s="140"/>
    </row>
    <row r="3054" spans="1:5">
      <c r="A3054" s="140"/>
      <c r="B3054" s="192"/>
      <c r="C3054" s="140"/>
      <c r="D3054" s="140"/>
      <c r="E3054" s="140"/>
    </row>
    <row r="3055" spans="1:5">
      <c r="A3055" s="140"/>
      <c r="B3055" s="192"/>
      <c r="C3055" s="140"/>
      <c r="D3055" s="140"/>
      <c r="E3055" s="140"/>
    </row>
    <row r="3056" spans="1:5">
      <c r="A3056" s="140"/>
      <c r="B3056" s="192"/>
      <c r="C3056" s="140"/>
      <c r="D3056" s="140"/>
      <c r="E3056" s="140"/>
    </row>
    <row r="3057" spans="1:5">
      <c r="A3057" s="140"/>
      <c r="B3057" s="192"/>
      <c r="C3057" s="140"/>
      <c r="D3057" s="140"/>
      <c r="E3057" s="140"/>
    </row>
    <row r="3058" spans="1:5">
      <c r="A3058" s="140"/>
      <c r="B3058" s="192"/>
      <c r="C3058" s="140"/>
      <c r="D3058" s="140"/>
      <c r="E3058" s="140"/>
    </row>
    <row r="3059" spans="1:5">
      <c r="A3059" s="140"/>
      <c r="B3059" s="192"/>
      <c r="C3059" s="140"/>
      <c r="D3059" s="140"/>
      <c r="E3059" s="140"/>
    </row>
    <row r="3060" spans="1:5">
      <c r="A3060" s="140"/>
      <c r="B3060" s="192"/>
      <c r="C3060" s="140"/>
      <c r="D3060" s="140"/>
      <c r="E3060" s="140"/>
    </row>
    <row r="3061" spans="1:5">
      <c r="A3061" s="140"/>
      <c r="B3061" s="192"/>
      <c r="C3061" s="140"/>
      <c r="D3061" s="140"/>
      <c r="E3061" s="140"/>
    </row>
    <row r="3062" spans="1:5">
      <c r="A3062" s="140"/>
      <c r="B3062" s="192"/>
      <c r="C3062" s="140"/>
      <c r="D3062" s="140"/>
      <c r="E3062" s="140"/>
    </row>
    <row r="3063" spans="1:5">
      <c r="A3063" s="140"/>
      <c r="B3063" s="192"/>
      <c r="C3063" s="140"/>
      <c r="D3063" s="140"/>
      <c r="E3063" s="140"/>
    </row>
    <row r="3064" spans="1:5">
      <c r="A3064" s="140"/>
      <c r="B3064" s="192"/>
      <c r="C3064" s="140"/>
      <c r="D3064" s="140"/>
      <c r="E3064" s="140"/>
    </row>
    <row r="3065" spans="1:5">
      <c r="A3065" s="140"/>
      <c r="B3065" s="192"/>
      <c r="C3065" s="140"/>
      <c r="D3065" s="140"/>
      <c r="E3065" s="140"/>
    </row>
    <row r="3066" spans="1:5">
      <c r="A3066" s="140"/>
      <c r="B3066" s="192"/>
      <c r="C3066" s="140"/>
      <c r="D3066" s="140"/>
      <c r="E3066" s="140"/>
    </row>
    <row r="3067" spans="1:5">
      <c r="A3067" s="140"/>
      <c r="B3067" s="192"/>
      <c r="C3067" s="140"/>
      <c r="D3067" s="140"/>
      <c r="E3067" s="140"/>
    </row>
    <row r="3068" spans="1:5">
      <c r="A3068" s="140"/>
      <c r="B3068" s="192"/>
      <c r="C3068" s="140"/>
      <c r="D3068" s="140"/>
      <c r="E3068" s="140"/>
    </row>
    <row r="3069" spans="1:5">
      <c r="A3069" s="140"/>
      <c r="B3069" s="192"/>
      <c r="C3069" s="140"/>
      <c r="D3069" s="140"/>
      <c r="E3069" s="140"/>
    </row>
    <row r="3070" spans="1:5">
      <c r="A3070" s="140"/>
      <c r="B3070" s="192"/>
      <c r="C3070" s="140"/>
      <c r="D3070" s="140"/>
      <c r="E3070" s="140"/>
    </row>
    <row r="3071" spans="1:5">
      <c r="A3071" s="140"/>
      <c r="B3071" s="192"/>
      <c r="C3071" s="140"/>
      <c r="D3071" s="140"/>
      <c r="E3071" s="140"/>
    </row>
    <row r="3072" spans="1:5">
      <c r="A3072" s="140"/>
      <c r="B3072" s="192"/>
      <c r="C3072" s="140"/>
      <c r="D3072" s="140"/>
      <c r="E3072" s="140"/>
    </row>
    <row r="3073" spans="1:5">
      <c r="A3073" s="140"/>
      <c r="B3073" s="192"/>
      <c r="C3073" s="140"/>
      <c r="D3073" s="140"/>
      <c r="E3073" s="140"/>
    </row>
    <row r="3074" spans="1:5">
      <c r="A3074" s="140"/>
      <c r="B3074" s="192"/>
      <c r="C3074" s="140"/>
      <c r="D3074" s="140"/>
      <c r="E3074" s="140"/>
    </row>
    <row r="3075" spans="1:5">
      <c r="A3075" s="140"/>
      <c r="B3075" s="192"/>
      <c r="C3075" s="140"/>
      <c r="D3075" s="140"/>
      <c r="E3075" s="140"/>
    </row>
    <row r="3076" spans="1:5">
      <c r="A3076" s="140"/>
      <c r="B3076" s="192"/>
      <c r="C3076" s="140"/>
      <c r="D3076" s="140"/>
      <c r="E3076" s="140"/>
    </row>
    <row r="3077" spans="1:5">
      <c r="A3077" s="140"/>
      <c r="B3077" s="192"/>
      <c r="C3077" s="140"/>
      <c r="D3077" s="140"/>
      <c r="E3077" s="140"/>
    </row>
    <row r="3078" spans="1:5">
      <c r="A3078" s="140"/>
      <c r="B3078" s="192"/>
      <c r="C3078" s="140"/>
      <c r="D3078" s="140"/>
      <c r="E3078" s="140"/>
    </row>
    <row r="3079" spans="1:5">
      <c r="A3079" s="140"/>
      <c r="B3079" s="192"/>
      <c r="C3079" s="140"/>
      <c r="D3079" s="140"/>
      <c r="E3079" s="140"/>
    </row>
    <row r="3080" spans="1:5">
      <c r="A3080" s="140"/>
      <c r="B3080" s="192"/>
      <c r="C3080" s="140"/>
      <c r="D3080" s="140"/>
      <c r="E3080" s="140"/>
    </row>
    <row r="3081" spans="1:5">
      <c r="A3081" s="140"/>
      <c r="B3081" s="192"/>
      <c r="C3081" s="140"/>
      <c r="D3081" s="140"/>
      <c r="E3081" s="140"/>
    </row>
    <row r="3082" spans="1:5">
      <c r="A3082" s="140"/>
      <c r="B3082" s="192"/>
      <c r="C3082" s="140"/>
      <c r="D3082" s="140"/>
      <c r="E3082" s="140"/>
    </row>
    <row r="3083" spans="1:5">
      <c r="A3083" s="140"/>
      <c r="B3083" s="192"/>
      <c r="C3083" s="140"/>
      <c r="D3083" s="140"/>
      <c r="E3083" s="140"/>
    </row>
    <row r="3084" spans="1:5">
      <c r="A3084" s="140"/>
      <c r="B3084" s="192"/>
      <c r="C3084" s="140"/>
      <c r="D3084" s="140"/>
      <c r="E3084" s="140"/>
    </row>
    <row r="3085" spans="1:5">
      <c r="A3085" s="140"/>
      <c r="B3085" s="192"/>
      <c r="C3085" s="140"/>
      <c r="D3085" s="140"/>
      <c r="E3085" s="140"/>
    </row>
    <row r="3086" spans="1:5">
      <c r="A3086" s="140"/>
      <c r="B3086" s="192"/>
      <c r="C3086" s="140"/>
      <c r="D3086" s="140"/>
      <c r="E3086" s="140"/>
    </row>
    <row r="3087" spans="1:5">
      <c r="A3087" s="140"/>
      <c r="B3087" s="192"/>
      <c r="C3087" s="140"/>
      <c r="D3087" s="140"/>
      <c r="E3087" s="140"/>
    </row>
    <row r="3088" spans="1:5">
      <c r="A3088" s="140"/>
      <c r="B3088" s="192"/>
      <c r="C3088" s="140"/>
      <c r="D3088" s="140"/>
      <c r="E3088" s="140"/>
    </row>
    <row r="3089" spans="1:5">
      <c r="A3089" s="140"/>
      <c r="B3089" s="192"/>
      <c r="C3089" s="140"/>
      <c r="D3089" s="140"/>
      <c r="E3089" s="140"/>
    </row>
    <row r="3090" spans="1:5">
      <c r="A3090" s="140"/>
      <c r="B3090" s="192"/>
      <c r="C3090" s="140"/>
      <c r="D3090" s="140"/>
      <c r="E3090" s="140"/>
    </row>
    <row r="3091" spans="1:5">
      <c r="A3091" s="140"/>
      <c r="B3091" s="192"/>
      <c r="C3091" s="140"/>
      <c r="D3091" s="140"/>
      <c r="E3091" s="140"/>
    </row>
    <row r="3092" spans="1:5">
      <c r="A3092" s="140"/>
      <c r="B3092" s="192"/>
      <c r="C3092" s="140"/>
      <c r="D3092" s="140"/>
      <c r="E3092" s="140"/>
    </row>
    <row r="3093" spans="1:5">
      <c r="A3093" s="140"/>
      <c r="B3093" s="192"/>
      <c r="C3093" s="140"/>
      <c r="D3093" s="140"/>
      <c r="E3093" s="140"/>
    </row>
    <row r="3094" spans="1:5">
      <c r="A3094" s="140"/>
      <c r="B3094" s="192"/>
      <c r="C3094" s="140"/>
      <c r="D3094" s="140"/>
      <c r="E3094" s="140"/>
    </row>
    <row r="3095" spans="1:5">
      <c r="A3095" s="140"/>
      <c r="B3095" s="192"/>
      <c r="C3095" s="140"/>
      <c r="D3095" s="140"/>
      <c r="E3095" s="140"/>
    </row>
    <row r="3096" spans="1:5">
      <c r="A3096" s="140"/>
      <c r="B3096" s="192"/>
      <c r="C3096" s="140"/>
      <c r="D3096" s="140"/>
      <c r="E3096" s="140"/>
    </row>
    <row r="3097" spans="1:5">
      <c r="A3097" s="140"/>
      <c r="B3097" s="192"/>
      <c r="C3097" s="140"/>
      <c r="D3097" s="140"/>
      <c r="E3097" s="140"/>
    </row>
    <row r="3098" spans="1:5">
      <c r="A3098" s="140"/>
      <c r="B3098" s="192"/>
      <c r="C3098" s="140"/>
      <c r="D3098" s="140"/>
      <c r="E3098" s="140"/>
    </row>
    <row r="3099" spans="1:5">
      <c r="A3099" s="140"/>
      <c r="B3099" s="192"/>
      <c r="C3099" s="140"/>
      <c r="D3099" s="140"/>
      <c r="E3099" s="140"/>
    </row>
    <row r="3100" spans="1:5">
      <c r="A3100" s="140"/>
      <c r="B3100" s="192"/>
      <c r="C3100" s="140"/>
      <c r="D3100" s="140"/>
      <c r="E3100" s="140"/>
    </row>
    <row r="3101" spans="1:5">
      <c r="A3101" s="140"/>
      <c r="B3101" s="192"/>
      <c r="C3101" s="140"/>
      <c r="D3101" s="140"/>
      <c r="E3101" s="140"/>
    </row>
    <row r="3102" spans="1:5">
      <c r="A3102" s="140"/>
      <c r="B3102" s="192"/>
      <c r="C3102" s="140"/>
      <c r="D3102" s="140"/>
      <c r="E3102" s="140"/>
    </row>
    <row r="3103" spans="1:5">
      <c r="A3103" s="140"/>
      <c r="B3103" s="192"/>
      <c r="C3103" s="140"/>
      <c r="D3103" s="140"/>
      <c r="E3103" s="140"/>
    </row>
    <row r="3104" spans="1:5">
      <c r="A3104" s="140"/>
      <c r="B3104" s="192"/>
      <c r="C3104" s="140"/>
      <c r="D3104" s="140"/>
      <c r="E3104" s="140"/>
    </row>
    <row r="3105" spans="1:5">
      <c r="A3105" s="140"/>
      <c r="B3105" s="192"/>
      <c r="C3105" s="140"/>
      <c r="D3105" s="140"/>
      <c r="E3105" s="140"/>
    </row>
    <row r="3106" spans="1:5">
      <c r="A3106" s="140"/>
      <c r="B3106" s="192"/>
      <c r="C3106" s="140"/>
      <c r="D3106" s="140"/>
      <c r="E3106" s="140"/>
    </row>
    <row r="3107" spans="1:5">
      <c r="A3107" s="140"/>
      <c r="B3107" s="192"/>
      <c r="C3107" s="140"/>
      <c r="D3107" s="140"/>
      <c r="E3107" s="140"/>
    </row>
    <row r="3108" spans="1:5">
      <c r="A3108" s="140"/>
      <c r="B3108" s="192"/>
      <c r="C3108" s="140"/>
      <c r="D3108" s="140"/>
      <c r="E3108" s="140"/>
    </row>
    <row r="3109" spans="1:5">
      <c r="A3109" s="140"/>
      <c r="B3109" s="192"/>
      <c r="C3109" s="140"/>
      <c r="D3109" s="140"/>
      <c r="E3109" s="140"/>
    </row>
    <row r="3110" spans="1:5">
      <c r="A3110" s="140"/>
      <c r="B3110" s="192"/>
      <c r="C3110" s="140"/>
      <c r="D3110" s="140"/>
      <c r="E3110" s="140"/>
    </row>
    <row r="3111" spans="1:5">
      <c r="A3111" s="140"/>
      <c r="B3111" s="192"/>
      <c r="C3111" s="140"/>
      <c r="D3111" s="140"/>
      <c r="E3111" s="140"/>
    </row>
    <row r="3112" spans="1:5">
      <c r="A3112" s="140"/>
      <c r="B3112" s="192"/>
      <c r="C3112" s="140"/>
      <c r="D3112" s="140"/>
      <c r="E3112" s="140"/>
    </row>
    <row r="3113" spans="1:5">
      <c r="A3113" s="140"/>
      <c r="B3113" s="192"/>
      <c r="C3113" s="140"/>
      <c r="D3113" s="140"/>
      <c r="E3113" s="140"/>
    </row>
    <row r="3114" spans="1:5">
      <c r="A3114" s="140"/>
      <c r="B3114" s="192"/>
      <c r="C3114" s="140"/>
      <c r="D3114" s="140"/>
      <c r="E3114" s="140"/>
    </row>
    <row r="3115" spans="1:5">
      <c r="A3115" s="140"/>
      <c r="B3115" s="192"/>
      <c r="C3115" s="140"/>
      <c r="D3115" s="140"/>
      <c r="E3115" s="140"/>
    </row>
    <row r="3116" spans="1:5">
      <c r="A3116" s="140"/>
      <c r="B3116" s="192"/>
      <c r="C3116" s="140"/>
      <c r="D3116" s="140"/>
      <c r="E3116" s="140"/>
    </row>
    <row r="3117" spans="1:5">
      <c r="A3117" s="140"/>
      <c r="B3117" s="192"/>
      <c r="C3117" s="140"/>
      <c r="D3117" s="140"/>
      <c r="E3117" s="140"/>
    </row>
    <row r="3118" spans="1:5">
      <c r="A3118" s="140"/>
      <c r="B3118" s="192"/>
      <c r="C3118" s="140"/>
      <c r="D3118" s="140"/>
      <c r="E3118" s="140"/>
    </row>
    <row r="3119" spans="1:5">
      <c r="A3119" s="140"/>
      <c r="B3119" s="192"/>
      <c r="C3119" s="140"/>
      <c r="D3119" s="140"/>
      <c r="E3119" s="140"/>
    </row>
    <row r="3120" spans="1:5">
      <c r="A3120" s="140"/>
      <c r="B3120" s="192"/>
      <c r="C3120" s="140"/>
      <c r="D3120" s="140"/>
      <c r="E3120" s="140"/>
    </row>
    <row r="3121" spans="1:5">
      <c r="A3121" s="140"/>
      <c r="B3121" s="192"/>
      <c r="C3121" s="140"/>
      <c r="D3121" s="140"/>
      <c r="E3121" s="140"/>
    </row>
    <row r="3122" spans="1:5">
      <c r="A3122" s="140"/>
      <c r="B3122" s="192"/>
      <c r="C3122" s="140"/>
      <c r="D3122" s="140"/>
      <c r="E3122" s="140"/>
    </row>
    <row r="3123" spans="1:5">
      <c r="A3123" s="140"/>
      <c r="B3123" s="192"/>
      <c r="C3123" s="140"/>
      <c r="D3123" s="140"/>
      <c r="E3123" s="140"/>
    </row>
    <row r="3124" spans="1:5">
      <c r="A3124" s="140"/>
      <c r="B3124" s="192"/>
      <c r="C3124" s="140"/>
      <c r="D3124" s="140"/>
      <c r="E3124" s="140"/>
    </row>
    <row r="3125" spans="1:5">
      <c r="A3125" s="140"/>
      <c r="B3125" s="192"/>
      <c r="C3125" s="140"/>
      <c r="D3125" s="140"/>
      <c r="E3125" s="140"/>
    </row>
    <row r="3126" spans="1:5">
      <c r="A3126" s="140"/>
      <c r="B3126" s="192"/>
      <c r="C3126" s="140"/>
      <c r="D3126" s="140"/>
      <c r="E3126" s="140"/>
    </row>
    <row r="3127" spans="1:5">
      <c r="A3127" s="140"/>
      <c r="B3127" s="192"/>
      <c r="C3127" s="140"/>
      <c r="D3127" s="140"/>
      <c r="E3127" s="140"/>
    </row>
    <row r="3128" spans="1:5">
      <c r="A3128" s="140"/>
      <c r="B3128" s="192"/>
      <c r="C3128" s="140"/>
      <c r="D3128" s="140"/>
      <c r="E3128" s="140"/>
    </row>
    <row r="3129" spans="1:5">
      <c r="A3129" s="140"/>
      <c r="B3129" s="192"/>
      <c r="C3129" s="140"/>
      <c r="D3129" s="140"/>
      <c r="E3129" s="140"/>
    </row>
    <row r="3130" spans="1:5">
      <c r="A3130" s="140"/>
      <c r="B3130" s="192"/>
      <c r="C3130" s="140"/>
      <c r="D3130" s="140"/>
      <c r="E3130" s="140"/>
    </row>
    <row r="3131" spans="1:5">
      <c r="A3131" s="140"/>
      <c r="B3131" s="192"/>
      <c r="C3131" s="140"/>
      <c r="D3131" s="140"/>
      <c r="E3131" s="140"/>
    </row>
    <row r="3132" spans="1:5">
      <c r="A3132" s="140"/>
      <c r="B3132" s="192"/>
      <c r="C3132" s="140"/>
      <c r="D3132" s="140"/>
      <c r="E3132" s="140"/>
    </row>
    <row r="3133" spans="1:5">
      <c r="A3133" s="140"/>
      <c r="B3133" s="192"/>
      <c r="C3133" s="140"/>
      <c r="D3133" s="140"/>
      <c r="E3133" s="140"/>
    </row>
    <row r="3134" spans="1:5">
      <c r="A3134" s="140"/>
      <c r="B3134" s="192"/>
      <c r="C3134" s="140"/>
      <c r="D3134" s="140"/>
      <c r="E3134" s="140"/>
    </row>
    <row r="3135" spans="1:5">
      <c r="A3135" s="140"/>
      <c r="B3135" s="192"/>
      <c r="C3135" s="140"/>
      <c r="D3135" s="140"/>
      <c r="E3135" s="140"/>
    </row>
    <row r="3136" spans="1:5">
      <c r="A3136" s="140"/>
      <c r="B3136" s="192"/>
      <c r="C3136" s="140"/>
      <c r="D3136" s="140"/>
      <c r="E3136" s="140"/>
    </row>
    <row r="3137" spans="1:5">
      <c r="A3137" s="140"/>
      <c r="B3137" s="192"/>
      <c r="C3137" s="140"/>
      <c r="D3137" s="140"/>
      <c r="E3137" s="140"/>
    </row>
    <row r="3138" spans="1:5">
      <c r="A3138" s="140"/>
      <c r="B3138" s="192"/>
      <c r="C3138" s="140"/>
      <c r="D3138" s="140"/>
      <c r="E3138" s="140"/>
    </row>
    <row r="3139" spans="1:5">
      <c r="A3139" s="140"/>
      <c r="B3139" s="192"/>
      <c r="C3139" s="140"/>
      <c r="D3139" s="140"/>
      <c r="E3139" s="140"/>
    </row>
    <row r="3140" spans="1:5">
      <c r="A3140" s="140"/>
      <c r="B3140" s="192"/>
      <c r="C3140" s="140"/>
      <c r="D3140" s="140"/>
      <c r="E3140" s="140"/>
    </row>
    <row r="3141" spans="1:5">
      <c r="A3141" s="140"/>
      <c r="B3141" s="192"/>
      <c r="C3141" s="140"/>
      <c r="D3141" s="140"/>
      <c r="E3141" s="140"/>
    </row>
    <row r="3142" spans="1:5">
      <c r="A3142" s="140"/>
      <c r="B3142" s="192"/>
      <c r="C3142" s="140"/>
      <c r="D3142" s="140"/>
      <c r="E3142" s="140"/>
    </row>
    <row r="3143" spans="1:5">
      <c r="A3143" s="140"/>
      <c r="B3143" s="192"/>
      <c r="C3143" s="140"/>
      <c r="D3143" s="140"/>
      <c r="E3143" s="140"/>
    </row>
    <row r="3144" spans="1:5">
      <c r="A3144" s="140"/>
      <c r="B3144" s="192"/>
      <c r="C3144" s="140"/>
      <c r="D3144" s="140"/>
      <c r="E3144" s="140"/>
    </row>
    <row r="3145" spans="1:5">
      <c r="A3145" s="140"/>
      <c r="B3145" s="192"/>
      <c r="C3145" s="140"/>
      <c r="D3145" s="140"/>
      <c r="E3145" s="140"/>
    </row>
    <row r="3146" spans="1:5">
      <c r="A3146" s="140"/>
      <c r="B3146" s="192"/>
      <c r="C3146" s="140"/>
      <c r="D3146" s="140"/>
      <c r="E3146" s="140"/>
    </row>
    <row r="3147" spans="1:5">
      <c r="A3147" s="140"/>
      <c r="B3147" s="192"/>
      <c r="C3147" s="140"/>
      <c r="D3147" s="140"/>
      <c r="E3147" s="140"/>
    </row>
    <row r="3148" spans="1:5">
      <c r="A3148" s="140"/>
      <c r="B3148" s="192"/>
      <c r="C3148" s="140"/>
      <c r="D3148" s="140"/>
      <c r="E3148" s="140"/>
    </row>
    <row r="3149" spans="1:5">
      <c r="A3149" s="140"/>
      <c r="B3149" s="192"/>
      <c r="C3149" s="140"/>
      <c r="D3149" s="140"/>
      <c r="E3149" s="140"/>
    </row>
    <row r="3150" spans="1:5">
      <c r="A3150" s="140"/>
      <c r="B3150" s="192"/>
      <c r="C3150" s="140"/>
      <c r="D3150" s="140"/>
      <c r="E3150" s="140"/>
    </row>
    <row r="3151" spans="1:5">
      <c r="A3151" s="140"/>
      <c r="B3151" s="192"/>
      <c r="C3151" s="140"/>
      <c r="D3151" s="140"/>
      <c r="E3151" s="140"/>
    </row>
    <row r="3152" spans="1:5">
      <c r="A3152" s="140"/>
      <c r="B3152" s="192"/>
      <c r="C3152" s="140"/>
      <c r="D3152" s="140"/>
      <c r="E3152" s="140"/>
    </row>
    <row r="3153" spans="1:5">
      <c r="A3153" s="140"/>
      <c r="B3153" s="192"/>
      <c r="C3153" s="140"/>
      <c r="D3153" s="140"/>
      <c r="E3153" s="140"/>
    </row>
    <row r="3154" spans="1:5">
      <c r="A3154" s="140"/>
      <c r="B3154" s="192"/>
      <c r="C3154" s="140"/>
      <c r="D3154" s="140"/>
      <c r="E3154" s="140"/>
    </row>
    <row r="3155" spans="1:5">
      <c r="A3155" s="140"/>
      <c r="B3155" s="192"/>
      <c r="C3155" s="140"/>
      <c r="D3155" s="140"/>
      <c r="E3155" s="140"/>
    </row>
    <row r="3156" spans="1:5">
      <c r="A3156" s="140"/>
      <c r="B3156" s="192"/>
      <c r="C3156" s="140"/>
      <c r="D3156" s="140"/>
      <c r="E3156" s="140"/>
    </row>
    <row r="3157" spans="1:5">
      <c r="A3157" s="140"/>
      <c r="B3157" s="192"/>
      <c r="C3157" s="140"/>
      <c r="D3157" s="140"/>
      <c r="E3157" s="140"/>
    </row>
    <row r="3158" spans="1:5">
      <c r="A3158" s="140"/>
      <c r="B3158" s="192"/>
      <c r="C3158" s="140"/>
      <c r="D3158" s="140"/>
      <c r="E3158" s="140"/>
    </row>
    <row r="3159" spans="1:5">
      <c r="A3159" s="140"/>
      <c r="B3159" s="192"/>
      <c r="C3159" s="140"/>
      <c r="D3159" s="140"/>
      <c r="E3159" s="140"/>
    </row>
    <row r="3160" spans="1:5">
      <c r="A3160" s="140"/>
      <c r="B3160" s="192"/>
      <c r="C3160" s="140"/>
      <c r="D3160" s="140"/>
      <c r="E3160" s="140"/>
    </row>
    <row r="3161" spans="1:5">
      <c r="A3161" s="140"/>
      <c r="B3161" s="192"/>
      <c r="C3161" s="140"/>
      <c r="D3161" s="140"/>
      <c r="E3161" s="140"/>
    </row>
    <row r="3162" spans="1:5">
      <c r="A3162" s="140"/>
      <c r="B3162" s="192"/>
      <c r="C3162" s="140"/>
      <c r="D3162" s="140"/>
      <c r="E3162" s="140"/>
    </row>
    <row r="3163" spans="1:5">
      <c r="A3163" s="140"/>
      <c r="B3163" s="192"/>
      <c r="C3163" s="140"/>
      <c r="D3163" s="140"/>
      <c r="E3163" s="140"/>
    </row>
    <row r="3164" spans="1:5">
      <c r="A3164" s="140"/>
      <c r="B3164" s="192"/>
      <c r="C3164" s="140"/>
      <c r="D3164" s="140"/>
      <c r="E3164" s="140"/>
    </row>
    <row r="3165" spans="1:5">
      <c r="A3165" s="140"/>
      <c r="B3165" s="192"/>
      <c r="C3165" s="140"/>
      <c r="D3165" s="140"/>
      <c r="E3165" s="140"/>
    </row>
    <row r="3166" spans="1:5">
      <c r="A3166" s="140"/>
      <c r="B3166" s="192"/>
      <c r="C3166" s="140"/>
      <c r="D3166" s="140"/>
      <c r="E3166" s="140"/>
    </row>
    <row r="3167" spans="1:5">
      <c r="A3167" s="140"/>
      <c r="B3167" s="192"/>
      <c r="C3167" s="140"/>
      <c r="D3167" s="140"/>
      <c r="E3167" s="140"/>
    </row>
    <row r="3168" spans="1:5">
      <c r="A3168" s="140"/>
      <c r="B3168" s="192"/>
      <c r="C3168" s="140"/>
      <c r="D3168" s="140"/>
      <c r="E3168" s="140"/>
    </row>
    <row r="3169" spans="1:5">
      <c r="A3169" s="140"/>
      <c r="B3169" s="192"/>
      <c r="C3169" s="140"/>
      <c r="D3169" s="140"/>
      <c r="E3169" s="140"/>
    </row>
    <row r="3170" spans="1:5">
      <c r="A3170" s="140"/>
      <c r="B3170" s="192"/>
      <c r="C3170" s="140"/>
      <c r="D3170" s="140"/>
      <c r="E3170" s="140"/>
    </row>
    <row r="3171" spans="1:5">
      <c r="A3171" s="140"/>
      <c r="B3171" s="192"/>
      <c r="C3171" s="140"/>
      <c r="D3171" s="140"/>
      <c r="E3171" s="140"/>
    </row>
    <row r="3172" spans="1:5">
      <c r="A3172" s="140"/>
      <c r="B3172" s="192"/>
      <c r="C3172" s="140"/>
      <c r="D3172" s="140"/>
      <c r="E3172" s="140"/>
    </row>
    <row r="3173" spans="1:5">
      <c r="A3173" s="140"/>
      <c r="B3173" s="192"/>
      <c r="C3173" s="140"/>
      <c r="D3173" s="140"/>
      <c r="E3173" s="140"/>
    </row>
    <row r="3174" spans="1:5">
      <c r="A3174" s="140"/>
      <c r="B3174" s="192"/>
      <c r="C3174" s="140"/>
      <c r="D3174" s="140"/>
      <c r="E3174" s="140"/>
    </row>
    <row r="3175" spans="1:5">
      <c r="A3175" s="140"/>
      <c r="B3175" s="192"/>
      <c r="C3175" s="140"/>
      <c r="D3175" s="140"/>
      <c r="E3175" s="140"/>
    </row>
    <row r="3176" spans="1:5">
      <c r="A3176" s="140"/>
      <c r="B3176" s="192"/>
      <c r="C3176" s="140"/>
      <c r="D3176" s="140"/>
      <c r="E3176" s="140"/>
    </row>
    <row r="3177" spans="1:5">
      <c r="A3177" s="140"/>
      <c r="B3177" s="192"/>
      <c r="C3177" s="140"/>
      <c r="D3177" s="140"/>
      <c r="E3177" s="140"/>
    </row>
    <row r="3178" spans="1:5">
      <c r="A3178" s="140"/>
      <c r="B3178" s="192"/>
      <c r="C3178" s="140"/>
      <c r="D3178" s="140"/>
      <c r="E3178" s="140"/>
    </row>
    <row r="3179" spans="1:5">
      <c r="A3179" s="140"/>
      <c r="B3179" s="192"/>
      <c r="C3179" s="140"/>
      <c r="D3179" s="140"/>
      <c r="E3179" s="140"/>
    </row>
    <row r="3180" spans="1:5">
      <c r="A3180" s="140"/>
      <c r="B3180" s="192"/>
      <c r="C3180" s="140"/>
      <c r="D3180" s="140"/>
      <c r="E3180" s="140"/>
    </row>
    <row r="3181" spans="1:5">
      <c r="A3181" s="140"/>
      <c r="B3181" s="192"/>
      <c r="C3181" s="140"/>
      <c r="D3181" s="140"/>
      <c r="E3181" s="140"/>
    </row>
    <row r="3182" spans="1:5">
      <c r="A3182" s="140"/>
      <c r="B3182" s="192"/>
      <c r="C3182" s="140"/>
      <c r="D3182" s="140"/>
      <c r="E3182" s="140"/>
    </row>
    <row r="3183" spans="1:5">
      <c r="A3183" s="140"/>
      <c r="B3183" s="192"/>
      <c r="C3183" s="140"/>
      <c r="D3183" s="140"/>
      <c r="E3183" s="140"/>
    </row>
    <row r="3184" spans="1:5">
      <c r="A3184" s="140"/>
      <c r="B3184" s="192"/>
      <c r="C3184" s="140"/>
      <c r="D3184" s="140"/>
      <c r="E3184" s="140"/>
    </row>
    <row r="3185" spans="1:5">
      <c r="A3185" s="140"/>
      <c r="B3185" s="192"/>
      <c r="C3185" s="140"/>
      <c r="D3185" s="140"/>
      <c r="E3185" s="140"/>
    </row>
    <row r="3186" spans="1:5">
      <c r="A3186" s="140"/>
      <c r="B3186" s="192"/>
      <c r="C3186" s="140"/>
      <c r="D3186" s="140"/>
      <c r="E3186" s="140"/>
    </row>
    <row r="3187" spans="1:5">
      <c r="A3187" s="140"/>
      <c r="B3187" s="192"/>
      <c r="C3187" s="140"/>
      <c r="D3187" s="140"/>
      <c r="E3187" s="140"/>
    </row>
    <row r="3188" spans="1:5">
      <c r="A3188" s="140"/>
      <c r="B3188" s="192"/>
      <c r="C3188" s="140"/>
      <c r="D3188" s="140"/>
      <c r="E3188" s="140"/>
    </row>
    <row r="3189" spans="1:5">
      <c r="A3189" s="140"/>
      <c r="B3189" s="192"/>
      <c r="C3189" s="140"/>
      <c r="D3189" s="140"/>
      <c r="E3189" s="140"/>
    </row>
    <row r="3190" spans="1:5">
      <c r="A3190" s="140"/>
      <c r="B3190" s="192"/>
      <c r="C3190" s="140"/>
      <c r="D3190" s="140"/>
      <c r="E3190" s="140"/>
    </row>
    <row r="3191" spans="1:5">
      <c r="A3191" s="140"/>
      <c r="B3191" s="192"/>
      <c r="C3191" s="140"/>
      <c r="D3191" s="140"/>
      <c r="E3191" s="140"/>
    </row>
    <row r="3192" spans="1:5">
      <c r="A3192" s="140"/>
      <c r="B3192" s="192"/>
      <c r="C3192" s="140"/>
      <c r="D3192" s="140"/>
      <c r="E3192" s="140"/>
    </row>
    <row r="3193" spans="1:5">
      <c r="A3193" s="140"/>
      <c r="B3193" s="192"/>
      <c r="C3193" s="140"/>
      <c r="D3193" s="140"/>
      <c r="E3193" s="140"/>
    </row>
    <row r="3194" spans="1:5">
      <c r="A3194" s="140"/>
      <c r="B3194" s="192"/>
      <c r="C3194" s="140"/>
      <c r="D3194" s="140"/>
      <c r="E3194" s="140"/>
    </row>
    <row r="3195" spans="1:5">
      <c r="A3195" s="140"/>
      <c r="B3195" s="192"/>
      <c r="C3195" s="140"/>
      <c r="D3195" s="140"/>
      <c r="E3195" s="140"/>
    </row>
    <row r="3196" spans="1:5">
      <c r="A3196" s="140"/>
      <c r="B3196" s="192"/>
      <c r="C3196" s="140"/>
      <c r="D3196" s="140"/>
      <c r="E3196" s="140"/>
    </row>
    <row r="3197" spans="1:5">
      <c r="A3197" s="140"/>
      <c r="B3197" s="192"/>
      <c r="C3197" s="140"/>
      <c r="D3197" s="140"/>
      <c r="E3197" s="140"/>
    </row>
    <row r="3198" spans="1:5">
      <c r="A3198" s="140"/>
      <c r="B3198" s="192"/>
      <c r="C3198" s="140"/>
      <c r="D3198" s="140"/>
      <c r="E3198" s="140"/>
    </row>
    <row r="3199" spans="1:5">
      <c r="A3199" s="140"/>
      <c r="B3199" s="192"/>
      <c r="C3199" s="140"/>
      <c r="D3199" s="140"/>
      <c r="E3199" s="140"/>
    </row>
    <row r="3200" spans="1:5">
      <c r="A3200" s="140"/>
      <c r="B3200" s="192"/>
      <c r="C3200" s="140"/>
      <c r="D3200" s="140"/>
      <c r="E3200" s="140"/>
    </row>
    <row r="3201" spans="1:5">
      <c r="A3201" s="140"/>
      <c r="B3201" s="192"/>
      <c r="C3201" s="140"/>
      <c r="D3201" s="140"/>
      <c r="E3201" s="140"/>
    </row>
    <row r="3202" spans="1:5">
      <c r="A3202" s="140"/>
      <c r="B3202" s="192"/>
      <c r="C3202" s="140"/>
      <c r="D3202" s="140"/>
      <c r="E3202" s="140"/>
    </row>
    <row r="3203" spans="1:5">
      <c r="A3203" s="140"/>
      <c r="B3203" s="192"/>
      <c r="C3203" s="140"/>
      <c r="D3203" s="140"/>
      <c r="E3203" s="140"/>
    </row>
    <row r="3204" spans="1:5">
      <c r="A3204" s="140"/>
      <c r="B3204" s="192"/>
      <c r="C3204" s="140"/>
      <c r="D3204" s="140"/>
      <c r="E3204" s="140"/>
    </row>
    <row r="3205" spans="1:5">
      <c r="A3205" s="140"/>
      <c r="B3205" s="192"/>
      <c r="C3205" s="140"/>
      <c r="D3205" s="140"/>
      <c r="E3205" s="140"/>
    </row>
    <row r="3206" spans="1:5">
      <c r="A3206" s="140"/>
      <c r="B3206" s="192"/>
      <c r="C3206" s="140"/>
      <c r="D3206" s="140"/>
      <c r="E3206" s="140"/>
    </row>
    <row r="3207" spans="1:5">
      <c r="A3207" s="140"/>
      <c r="B3207" s="192"/>
      <c r="C3207" s="140"/>
      <c r="D3207" s="140"/>
      <c r="E3207" s="140"/>
    </row>
    <row r="3208" spans="1:5">
      <c r="A3208" s="140"/>
      <c r="B3208" s="192"/>
      <c r="C3208" s="140"/>
      <c r="D3208" s="140"/>
      <c r="E3208" s="140"/>
    </row>
    <row r="3209" spans="1:5">
      <c r="A3209" s="140"/>
      <c r="B3209" s="192"/>
      <c r="C3209" s="140"/>
      <c r="D3209" s="140"/>
      <c r="E3209" s="140"/>
    </row>
    <row r="3210" spans="1:5">
      <c r="A3210" s="140"/>
      <c r="B3210" s="192"/>
      <c r="C3210" s="140"/>
      <c r="D3210" s="140"/>
      <c r="E3210" s="140"/>
    </row>
    <row r="3211" spans="1:5">
      <c r="A3211" s="140"/>
      <c r="B3211" s="192"/>
      <c r="C3211" s="140"/>
      <c r="D3211" s="140"/>
      <c r="E3211" s="140"/>
    </row>
    <row r="3212" spans="1:5">
      <c r="A3212" s="140"/>
      <c r="B3212" s="192"/>
      <c r="C3212" s="140"/>
      <c r="D3212" s="140"/>
      <c r="E3212" s="140"/>
    </row>
    <row r="3213" spans="1:5">
      <c r="A3213" s="140"/>
      <c r="B3213" s="192"/>
      <c r="C3213" s="140"/>
      <c r="D3213" s="140"/>
      <c r="E3213" s="140"/>
    </row>
    <row r="3214" spans="1:5">
      <c r="A3214" s="140"/>
      <c r="B3214" s="192"/>
      <c r="C3214" s="140"/>
      <c r="D3214" s="140"/>
      <c r="E3214" s="140"/>
    </row>
    <row r="3215" spans="1:5">
      <c r="A3215" s="140"/>
      <c r="B3215" s="192"/>
      <c r="C3215" s="140"/>
      <c r="D3215" s="140"/>
      <c r="E3215" s="140"/>
    </row>
    <row r="3216" spans="1:5">
      <c r="A3216" s="140"/>
      <c r="B3216" s="192"/>
      <c r="C3216" s="140"/>
      <c r="D3216" s="140"/>
      <c r="E3216" s="140"/>
    </row>
    <row r="3217" spans="1:5">
      <c r="A3217" s="140"/>
      <c r="B3217" s="192"/>
      <c r="C3217" s="140"/>
      <c r="D3217" s="140"/>
      <c r="E3217" s="140"/>
    </row>
    <row r="3218" spans="1:5">
      <c r="A3218" s="140"/>
      <c r="B3218" s="192"/>
      <c r="C3218" s="140"/>
      <c r="D3218" s="140"/>
      <c r="E3218" s="140"/>
    </row>
    <row r="3219" spans="1:5">
      <c r="A3219" s="140"/>
      <c r="B3219" s="192"/>
      <c r="C3219" s="140"/>
      <c r="D3219" s="140"/>
      <c r="E3219" s="140"/>
    </row>
    <row r="3220" spans="1:5">
      <c r="A3220" s="140"/>
      <c r="B3220" s="192"/>
      <c r="C3220" s="140"/>
      <c r="D3220" s="140"/>
      <c r="E3220" s="140"/>
    </row>
    <row r="3221" spans="1:5">
      <c r="A3221" s="140"/>
      <c r="B3221" s="192"/>
      <c r="C3221" s="140"/>
      <c r="D3221" s="140"/>
      <c r="E3221" s="140"/>
    </row>
    <row r="3222" spans="1:5">
      <c r="A3222" s="140"/>
      <c r="B3222" s="192"/>
      <c r="C3222" s="140"/>
      <c r="D3222" s="140"/>
      <c r="E3222" s="140"/>
    </row>
    <row r="3223" spans="1:5">
      <c r="A3223" s="140"/>
      <c r="B3223" s="192"/>
      <c r="C3223" s="140"/>
      <c r="D3223" s="140"/>
      <c r="E3223" s="140"/>
    </row>
    <row r="3224" spans="1:5">
      <c r="A3224" s="140"/>
      <c r="B3224" s="192"/>
      <c r="C3224" s="140"/>
      <c r="D3224" s="140"/>
      <c r="E3224" s="140"/>
    </row>
    <row r="3225" spans="1:5">
      <c r="A3225" s="140"/>
      <c r="B3225" s="192"/>
      <c r="C3225" s="140"/>
      <c r="D3225" s="140"/>
      <c r="E3225" s="140"/>
    </row>
    <row r="3226" spans="1:5">
      <c r="A3226" s="140"/>
      <c r="B3226" s="192"/>
      <c r="C3226" s="140"/>
      <c r="D3226" s="140"/>
      <c r="E3226" s="140"/>
    </row>
    <row r="3227" spans="1:5">
      <c r="A3227" s="140"/>
      <c r="B3227" s="192"/>
      <c r="C3227" s="140"/>
      <c r="D3227" s="140"/>
      <c r="E3227" s="140"/>
    </row>
    <row r="3228" spans="1:5">
      <c r="A3228" s="140"/>
      <c r="B3228" s="192"/>
      <c r="C3228" s="140"/>
      <c r="D3228" s="140"/>
      <c r="E3228" s="140"/>
    </row>
    <row r="3229" spans="1:5">
      <c r="A3229" s="140"/>
      <c r="B3229" s="192"/>
      <c r="C3229" s="140"/>
      <c r="D3229" s="140"/>
      <c r="E3229" s="140"/>
    </row>
    <row r="3230" spans="1:5">
      <c r="A3230" s="140"/>
      <c r="B3230" s="192"/>
      <c r="C3230" s="140"/>
      <c r="D3230" s="140"/>
      <c r="E3230" s="140"/>
    </row>
    <row r="3231" spans="1:5">
      <c r="A3231" s="140"/>
      <c r="B3231" s="192"/>
      <c r="C3231" s="140"/>
      <c r="D3231" s="140"/>
      <c r="E3231" s="140"/>
    </row>
    <row r="3232" spans="1:5">
      <c r="A3232" s="140"/>
      <c r="B3232" s="192"/>
      <c r="C3232" s="140"/>
      <c r="D3232" s="140"/>
      <c r="E3232" s="140"/>
    </row>
    <row r="3233" spans="1:5">
      <c r="A3233" s="140"/>
      <c r="B3233" s="192"/>
      <c r="C3233" s="140"/>
      <c r="D3233" s="140"/>
      <c r="E3233" s="140"/>
    </row>
    <row r="3234" spans="1:5">
      <c r="A3234" s="140"/>
      <c r="B3234" s="192"/>
      <c r="C3234" s="140"/>
      <c r="D3234" s="140"/>
      <c r="E3234" s="140"/>
    </row>
    <row r="3235" spans="1:5">
      <c r="A3235" s="140"/>
      <c r="B3235" s="192"/>
      <c r="C3235" s="140"/>
      <c r="D3235" s="140"/>
      <c r="E3235" s="140"/>
    </row>
    <row r="3236" spans="1:5">
      <c r="A3236" s="140"/>
      <c r="B3236" s="192"/>
      <c r="C3236" s="140"/>
      <c r="D3236" s="140"/>
      <c r="E3236" s="140"/>
    </row>
    <row r="3237" spans="1:5">
      <c r="A3237" s="140"/>
      <c r="B3237" s="192"/>
      <c r="C3237" s="140"/>
      <c r="D3237" s="140"/>
      <c r="E3237" s="140"/>
    </row>
    <row r="3238" spans="1:5">
      <c r="A3238" s="140"/>
      <c r="B3238" s="192"/>
      <c r="C3238" s="140"/>
      <c r="D3238" s="140"/>
      <c r="E3238" s="140"/>
    </row>
    <row r="3239" spans="1:5">
      <c r="A3239" s="140"/>
      <c r="B3239" s="192"/>
      <c r="C3239" s="140"/>
      <c r="D3239" s="140"/>
      <c r="E3239" s="140"/>
    </row>
    <row r="3240" spans="1:5">
      <c r="A3240" s="140"/>
      <c r="B3240" s="192"/>
      <c r="C3240" s="140"/>
      <c r="D3240" s="140"/>
      <c r="E3240" s="140"/>
    </row>
    <row r="3241" spans="1:5">
      <c r="A3241" s="140"/>
      <c r="B3241" s="192"/>
      <c r="C3241" s="140"/>
      <c r="D3241" s="140"/>
      <c r="E3241" s="140"/>
    </row>
    <row r="3242" spans="1:5">
      <c r="A3242" s="140"/>
      <c r="B3242" s="192"/>
      <c r="C3242" s="140"/>
      <c r="D3242" s="140"/>
      <c r="E3242" s="140"/>
    </row>
    <row r="3243" spans="1:5">
      <c r="A3243" s="140"/>
      <c r="B3243" s="192"/>
      <c r="C3243" s="140"/>
      <c r="D3243" s="140"/>
      <c r="E3243" s="140"/>
    </row>
    <row r="3244" spans="1:5">
      <c r="A3244" s="140"/>
      <c r="B3244" s="192"/>
      <c r="C3244" s="140"/>
      <c r="D3244" s="140"/>
      <c r="E3244" s="140"/>
    </row>
    <row r="3245" spans="1:5">
      <c r="A3245" s="140"/>
      <c r="B3245" s="192"/>
      <c r="C3245" s="140"/>
      <c r="D3245" s="140"/>
      <c r="E3245" s="140"/>
    </row>
    <row r="3246" spans="1:5">
      <c r="A3246" s="140"/>
      <c r="B3246" s="192"/>
      <c r="C3246" s="140"/>
      <c r="D3246" s="140"/>
      <c r="E3246" s="140"/>
    </row>
    <row r="3247" spans="1:5">
      <c r="A3247" s="140"/>
      <c r="B3247" s="192"/>
      <c r="C3247" s="140"/>
      <c r="D3247" s="140"/>
      <c r="E3247" s="140"/>
    </row>
    <row r="3248" spans="1:5">
      <c r="A3248" s="140"/>
      <c r="B3248" s="192"/>
      <c r="C3248" s="140"/>
      <c r="D3248" s="140"/>
      <c r="E3248" s="140"/>
    </row>
    <row r="3249" spans="1:5">
      <c r="A3249" s="140"/>
      <c r="B3249" s="192"/>
      <c r="C3249" s="140"/>
      <c r="D3249" s="140"/>
      <c r="E3249" s="140"/>
    </row>
    <row r="3250" spans="1:5">
      <c r="A3250" s="140"/>
      <c r="B3250" s="192"/>
      <c r="C3250" s="140"/>
      <c r="D3250" s="140"/>
      <c r="E3250" s="140"/>
    </row>
    <row r="3251" spans="1:5">
      <c r="A3251" s="140"/>
      <c r="B3251" s="192"/>
      <c r="C3251" s="140"/>
      <c r="D3251" s="140"/>
      <c r="E3251" s="140"/>
    </row>
    <row r="3252" spans="1:5">
      <c r="A3252" s="140"/>
      <c r="B3252" s="192"/>
      <c r="C3252" s="140"/>
      <c r="D3252" s="140"/>
      <c r="E3252" s="140"/>
    </row>
    <row r="3253" spans="1:5">
      <c r="A3253" s="140"/>
      <c r="B3253" s="192"/>
      <c r="C3253" s="140"/>
      <c r="D3253" s="140"/>
      <c r="E3253" s="140"/>
    </row>
    <row r="3254" spans="1:5">
      <c r="A3254" s="140"/>
      <c r="B3254" s="192"/>
      <c r="C3254" s="140"/>
      <c r="D3254" s="140"/>
      <c r="E3254" s="140"/>
    </row>
    <row r="3255" spans="1:5">
      <c r="A3255" s="140"/>
      <c r="B3255" s="192"/>
      <c r="C3255" s="140"/>
      <c r="D3255" s="140"/>
      <c r="E3255" s="140"/>
    </row>
    <row r="3256" spans="1:5">
      <c r="A3256" s="140"/>
      <c r="B3256" s="192"/>
      <c r="C3256" s="140"/>
      <c r="D3256" s="140"/>
      <c r="E3256" s="140"/>
    </row>
    <row r="3257" spans="1:5">
      <c r="A3257" s="140"/>
      <c r="B3257" s="192"/>
      <c r="C3257" s="140"/>
      <c r="D3257" s="140"/>
      <c r="E3257" s="140"/>
    </row>
    <row r="3258" spans="1:5">
      <c r="A3258" s="140"/>
      <c r="B3258" s="192"/>
      <c r="C3258" s="140"/>
      <c r="D3258" s="140"/>
      <c r="E3258" s="140"/>
    </row>
    <row r="3259" spans="1:5">
      <c r="A3259" s="140"/>
      <c r="B3259" s="192"/>
      <c r="C3259" s="140"/>
      <c r="D3259" s="140"/>
      <c r="E3259" s="140"/>
    </row>
    <row r="3260" spans="1:5">
      <c r="A3260" s="140"/>
      <c r="B3260" s="192"/>
      <c r="C3260" s="140"/>
      <c r="D3260" s="140"/>
      <c r="E3260" s="140"/>
    </row>
    <row r="3261" spans="1:5">
      <c r="A3261" s="140"/>
      <c r="B3261" s="192"/>
      <c r="C3261" s="140"/>
      <c r="D3261" s="140"/>
      <c r="E3261" s="140"/>
    </row>
    <row r="3262" spans="1:5">
      <c r="A3262" s="140"/>
      <c r="B3262" s="192"/>
      <c r="C3262" s="140"/>
      <c r="D3262" s="140"/>
      <c r="E3262" s="140"/>
    </row>
    <row r="3263" spans="1:5">
      <c r="A3263" s="140"/>
      <c r="B3263" s="192"/>
      <c r="C3263" s="140"/>
      <c r="D3263" s="140"/>
      <c r="E3263" s="140"/>
    </row>
    <row r="3264" spans="1:5">
      <c r="A3264" s="140"/>
      <c r="B3264" s="192"/>
      <c r="C3264" s="140"/>
      <c r="D3264" s="140"/>
      <c r="E3264" s="140"/>
    </row>
    <row r="3265" spans="1:5">
      <c r="A3265" s="140"/>
      <c r="B3265" s="192"/>
      <c r="C3265" s="140"/>
      <c r="D3265" s="140"/>
      <c r="E3265" s="140"/>
    </row>
    <row r="3266" spans="1:5">
      <c r="A3266" s="140"/>
      <c r="B3266" s="192"/>
      <c r="C3266" s="140"/>
      <c r="D3266" s="140"/>
      <c r="E3266" s="140"/>
    </row>
    <row r="3267" spans="1:5">
      <c r="A3267" s="140"/>
      <c r="B3267" s="192"/>
      <c r="C3267" s="140"/>
      <c r="D3267" s="140"/>
      <c r="E3267" s="140"/>
    </row>
    <row r="3268" spans="1:5">
      <c r="A3268" s="140"/>
      <c r="B3268" s="192"/>
      <c r="C3268" s="140"/>
      <c r="D3268" s="140"/>
      <c r="E3268" s="140"/>
    </row>
    <row r="3269" spans="1:5">
      <c r="A3269" s="140"/>
      <c r="B3269" s="192"/>
      <c r="C3269" s="140"/>
      <c r="D3269" s="140"/>
      <c r="E3269" s="140"/>
    </row>
    <row r="3270" spans="1:5">
      <c r="A3270" s="140"/>
      <c r="B3270" s="192"/>
      <c r="C3270" s="140"/>
      <c r="D3270" s="140"/>
      <c r="E3270" s="140"/>
    </row>
    <row r="3271" spans="1:5">
      <c r="A3271" s="140"/>
      <c r="B3271" s="192"/>
      <c r="C3271" s="140"/>
      <c r="D3271" s="140"/>
      <c r="E3271" s="140"/>
    </row>
    <row r="3272" spans="1:5">
      <c r="A3272" s="140"/>
      <c r="B3272" s="192"/>
      <c r="C3272" s="140"/>
      <c r="D3272" s="140"/>
      <c r="E3272" s="140"/>
    </row>
    <row r="3273" spans="1:5">
      <c r="A3273" s="140"/>
      <c r="B3273" s="192"/>
      <c r="C3273" s="140"/>
      <c r="D3273" s="140"/>
      <c r="E3273" s="140"/>
    </row>
    <row r="3274" spans="1:5">
      <c r="A3274" s="140"/>
      <c r="B3274" s="192"/>
      <c r="C3274" s="140"/>
      <c r="D3274" s="140"/>
      <c r="E3274" s="140"/>
    </row>
    <row r="3275" spans="1:5">
      <c r="A3275" s="140"/>
      <c r="B3275" s="192"/>
      <c r="C3275" s="140"/>
      <c r="D3275" s="140"/>
      <c r="E3275" s="140"/>
    </row>
    <row r="3276" spans="1:5">
      <c r="A3276" s="140"/>
      <c r="B3276" s="192"/>
      <c r="C3276" s="140"/>
      <c r="D3276" s="140"/>
      <c r="E3276" s="140"/>
    </row>
    <row r="3277" spans="1:5">
      <c r="A3277" s="140"/>
      <c r="B3277" s="192"/>
      <c r="C3277" s="140"/>
      <c r="D3277" s="140"/>
      <c r="E3277" s="140"/>
    </row>
    <row r="3278" spans="1:5">
      <c r="A3278" s="140"/>
      <c r="B3278" s="192"/>
      <c r="C3278" s="140"/>
      <c r="D3278" s="140"/>
      <c r="E3278" s="140"/>
    </row>
    <row r="3279" spans="1:5">
      <c r="A3279" s="140"/>
      <c r="B3279" s="192"/>
      <c r="C3279" s="140"/>
      <c r="D3279" s="140"/>
      <c r="E3279" s="140"/>
    </row>
    <row r="3280" spans="1:5">
      <c r="A3280" s="140"/>
      <c r="B3280" s="192"/>
      <c r="C3280" s="140"/>
      <c r="D3280" s="140"/>
      <c r="E3280" s="140"/>
    </row>
    <row r="3281" spans="1:5">
      <c r="A3281" s="140"/>
      <c r="B3281" s="192"/>
      <c r="C3281" s="140"/>
      <c r="D3281" s="140"/>
      <c r="E3281" s="140"/>
    </row>
    <row r="3282" spans="1:5">
      <c r="A3282" s="140"/>
      <c r="B3282" s="192"/>
      <c r="C3282" s="140"/>
      <c r="D3282" s="140"/>
      <c r="E3282" s="140"/>
    </row>
    <row r="3283" spans="1:5">
      <c r="A3283" s="140"/>
      <c r="B3283" s="192"/>
      <c r="C3283" s="140"/>
      <c r="D3283" s="140"/>
      <c r="E3283" s="140"/>
    </row>
    <row r="3284" spans="1:5">
      <c r="A3284" s="140"/>
      <c r="B3284" s="192"/>
      <c r="C3284" s="140"/>
      <c r="D3284" s="140"/>
      <c r="E3284" s="140"/>
    </row>
    <row r="3285" spans="1:5">
      <c r="A3285" s="140"/>
      <c r="B3285" s="192"/>
      <c r="C3285" s="140"/>
      <c r="D3285" s="140"/>
      <c r="E3285" s="140"/>
    </row>
    <row r="3286" spans="1:5">
      <c r="A3286" s="140"/>
      <c r="B3286" s="192"/>
      <c r="C3286" s="140"/>
      <c r="D3286" s="140"/>
      <c r="E3286" s="140"/>
    </row>
    <row r="3287" spans="1:5">
      <c r="A3287" s="140"/>
      <c r="B3287" s="192"/>
      <c r="C3287" s="140"/>
      <c r="D3287" s="140"/>
      <c r="E3287" s="140"/>
    </row>
    <row r="3288" spans="1:5">
      <c r="A3288" s="140"/>
      <c r="B3288" s="192"/>
      <c r="C3288" s="140"/>
      <c r="D3288" s="140"/>
      <c r="E3288" s="140"/>
    </row>
    <row r="3289" spans="1:5">
      <c r="A3289" s="140"/>
      <c r="B3289" s="192"/>
      <c r="C3289" s="140"/>
      <c r="D3289" s="140"/>
      <c r="E3289" s="140"/>
    </row>
    <row r="3290" spans="1:5">
      <c r="A3290" s="140"/>
      <c r="B3290" s="192"/>
      <c r="C3290" s="140"/>
      <c r="D3290" s="140"/>
      <c r="E3290" s="140"/>
    </row>
    <row r="3291" spans="1:5">
      <c r="A3291" s="140"/>
      <c r="B3291" s="192"/>
      <c r="C3291" s="140"/>
      <c r="D3291" s="140"/>
      <c r="E3291" s="140"/>
    </row>
    <row r="3292" spans="1:5">
      <c r="A3292" s="140"/>
      <c r="B3292" s="192"/>
      <c r="C3292" s="140"/>
      <c r="D3292" s="140"/>
      <c r="E3292" s="140"/>
    </row>
    <row r="3293" spans="1:5">
      <c r="A3293" s="140"/>
      <c r="B3293" s="192"/>
      <c r="C3293" s="140"/>
      <c r="D3293" s="140"/>
      <c r="E3293" s="140"/>
    </row>
    <row r="3294" spans="1:5">
      <c r="A3294" s="140"/>
      <c r="B3294" s="192"/>
      <c r="C3294" s="140"/>
      <c r="D3294" s="140"/>
      <c r="E3294" s="140"/>
    </row>
    <row r="3295" spans="1:5">
      <c r="A3295" s="140"/>
      <c r="B3295" s="192"/>
      <c r="C3295" s="140"/>
      <c r="D3295" s="140"/>
      <c r="E3295" s="140"/>
    </row>
    <row r="3296" spans="1:5">
      <c r="A3296" s="140"/>
      <c r="B3296" s="192"/>
      <c r="C3296" s="140"/>
      <c r="D3296" s="140"/>
      <c r="E3296" s="140"/>
    </row>
    <row r="3297" spans="1:5">
      <c r="A3297" s="140"/>
      <c r="B3297" s="192"/>
      <c r="C3297" s="140"/>
      <c r="D3297" s="140"/>
      <c r="E3297" s="140"/>
    </row>
    <row r="3298" spans="1:5">
      <c r="A3298" s="140"/>
      <c r="B3298" s="192"/>
      <c r="C3298" s="140"/>
      <c r="D3298" s="140"/>
      <c r="E3298" s="140"/>
    </row>
    <row r="3299" spans="1:5">
      <c r="A3299" s="140"/>
      <c r="B3299" s="192"/>
      <c r="C3299" s="140"/>
      <c r="D3299" s="140"/>
      <c r="E3299" s="140"/>
    </row>
    <row r="3300" spans="1:5">
      <c r="A3300" s="140"/>
      <c r="B3300" s="192"/>
      <c r="C3300" s="140"/>
      <c r="D3300" s="140"/>
      <c r="E3300" s="140"/>
    </row>
    <row r="3301" spans="1:5">
      <c r="A3301" s="140"/>
      <c r="B3301" s="192"/>
      <c r="C3301" s="140"/>
      <c r="D3301" s="140"/>
      <c r="E3301" s="140"/>
    </row>
    <row r="3302" spans="1:5">
      <c r="A3302" s="140"/>
      <c r="B3302" s="192"/>
      <c r="C3302" s="140"/>
      <c r="D3302" s="140"/>
      <c r="E3302" s="140"/>
    </row>
    <row r="3303" spans="1:5">
      <c r="A3303" s="140"/>
      <c r="B3303" s="192"/>
      <c r="C3303" s="140"/>
      <c r="D3303" s="140"/>
      <c r="E3303" s="140"/>
    </row>
    <row r="3304" spans="1:5">
      <c r="A3304" s="140"/>
      <c r="B3304" s="192"/>
      <c r="C3304" s="140"/>
      <c r="D3304" s="140"/>
      <c r="E3304" s="140"/>
    </row>
    <row r="3305" spans="1:5">
      <c r="A3305" s="140"/>
      <c r="B3305" s="192"/>
      <c r="C3305" s="140"/>
      <c r="D3305" s="140"/>
      <c r="E3305" s="140"/>
    </row>
    <row r="3306" spans="1:5">
      <c r="A3306" s="140"/>
      <c r="B3306" s="192"/>
      <c r="C3306" s="140"/>
      <c r="D3306" s="140"/>
      <c r="E3306" s="140"/>
    </row>
    <row r="3307" spans="1:5">
      <c r="A3307" s="140"/>
      <c r="B3307" s="192"/>
      <c r="C3307" s="140"/>
      <c r="D3307" s="140"/>
      <c r="E3307" s="140"/>
    </row>
    <row r="3308" spans="1:5">
      <c r="A3308" s="140"/>
      <c r="B3308" s="192"/>
      <c r="C3308" s="140"/>
      <c r="D3308" s="140"/>
      <c r="E3308" s="140"/>
    </row>
    <row r="3309" spans="1:5">
      <c r="A3309" s="140"/>
      <c r="B3309" s="192"/>
      <c r="C3309" s="140"/>
      <c r="D3309" s="140"/>
      <c r="E3309" s="140"/>
    </row>
    <row r="3310" spans="1:5">
      <c r="A3310" s="140"/>
      <c r="B3310" s="192"/>
      <c r="C3310" s="140"/>
      <c r="D3310" s="140"/>
      <c r="E3310" s="140"/>
    </row>
    <row r="3311" spans="1:5">
      <c r="A3311" s="140"/>
      <c r="B3311" s="192"/>
      <c r="C3311" s="140"/>
      <c r="D3311" s="140"/>
      <c r="E3311" s="140"/>
    </row>
    <row r="3312" spans="1:5">
      <c r="A3312" s="140"/>
      <c r="B3312" s="192"/>
      <c r="C3312" s="140"/>
      <c r="D3312" s="140"/>
      <c r="E3312" s="140"/>
    </row>
    <row r="3313" spans="1:5">
      <c r="A3313" s="140"/>
      <c r="B3313" s="192"/>
      <c r="C3313" s="140"/>
      <c r="D3313" s="140"/>
      <c r="E3313" s="140"/>
    </row>
    <row r="3314" spans="1:5">
      <c r="A3314" s="140"/>
      <c r="B3314" s="192"/>
      <c r="C3314" s="140"/>
      <c r="D3314" s="140"/>
      <c r="E3314" s="140"/>
    </row>
    <row r="3315" spans="1:5">
      <c r="A3315" s="140"/>
      <c r="B3315" s="192"/>
      <c r="C3315" s="140"/>
      <c r="D3315" s="140"/>
      <c r="E3315" s="140"/>
    </row>
    <row r="3316" spans="1:5">
      <c r="A3316" s="140"/>
      <c r="B3316" s="192"/>
      <c r="C3316" s="140"/>
      <c r="D3316" s="140"/>
      <c r="E3316" s="140"/>
    </row>
    <row r="3317" spans="1:5">
      <c r="A3317" s="140"/>
      <c r="B3317" s="192"/>
      <c r="C3317" s="140"/>
      <c r="D3317" s="140"/>
      <c r="E3317" s="140"/>
    </row>
    <row r="3318" spans="1:5">
      <c r="A3318" s="140"/>
      <c r="B3318" s="192"/>
      <c r="C3318" s="140"/>
      <c r="D3318" s="140"/>
      <c r="E3318" s="140"/>
    </row>
    <row r="3319" spans="1:5">
      <c r="A3319" s="140"/>
      <c r="B3319" s="192"/>
      <c r="C3319" s="140"/>
      <c r="D3319" s="140"/>
      <c r="E3319" s="140"/>
    </row>
    <row r="3320" spans="1:5">
      <c r="A3320" s="140"/>
      <c r="B3320" s="192"/>
      <c r="C3320" s="140"/>
      <c r="D3320" s="140"/>
      <c r="E3320" s="140"/>
    </row>
    <row r="3321" spans="1:5">
      <c r="A3321" s="140"/>
      <c r="B3321" s="192"/>
      <c r="C3321" s="140"/>
      <c r="D3321" s="140"/>
      <c r="E3321" s="140"/>
    </row>
    <row r="3322" spans="1:5">
      <c r="A3322" s="140"/>
      <c r="B3322" s="192"/>
      <c r="C3322" s="140"/>
      <c r="D3322" s="140"/>
      <c r="E3322" s="140"/>
    </row>
    <row r="3323" spans="1:5">
      <c r="A3323" s="140"/>
      <c r="B3323" s="192"/>
      <c r="C3323" s="140"/>
      <c r="D3323" s="140"/>
      <c r="E3323" s="140"/>
    </row>
    <row r="3324" spans="1:5">
      <c r="A3324" s="140"/>
      <c r="B3324" s="192"/>
      <c r="C3324" s="140"/>
      <c r="D3324" s="140"/>
      <c r="E3324" s="140"/>
    </row>
    <row r="3325" spans="1:5">
      <c r="A3325" s="140"/>
      <c r="B3325" s="192"/>
      <c r="C3325" s="140"/>
      <c r="D3325" s="140"/>
      <c r="E3325" s="140"/>
    </row>
    <row r="3326" spans="1:5">
      <c r="A3326" s="140"/>
      <c r="B3326" s="192"/>
      <c r="C3326" s="140"/>
      <c r="D3326" s="140"/>
      <c r="E3326" s="140"/>
    </row>
    <row r="3327" spans="1:5">
      <c r="A3327" s="140"/>
      <c r="B3327" s="192"/>
      <c r="C3327" s="140"/>
      <c r="D3327" s="140"/>
      <c r="E3327" s="140"/>
    </row>
    <row r="3328" spans="1:5">
      <c r="A3328" s="140"/>
      <c r="B3328" s="192"/>
      <c r="C3328" s="140"/>
      <c r="D3328" s="140"/>
      <c r="E3328" s="140"/>
    </row>
    <row r="3329" spans="1:5">
      <c r="A3329" s="140"/>
      <c r="B3329" s="192"/>
      <c r="C3329" s="140"/>
      <c r="D3329" s="140"/>
      <c r="E3329" s="140"/>
    </row>
    <row r="3330" spans="1:5">
      <c r="A3330" s="140"/>
      <c r="B3330" s="192"/>
      <c r="C3330" s="140"/>
      <c r="D3330" s="140"/>
      <c r="E3330" s="140"/>
    </row>
    <row r="3331" spans="1:5">
      <c r="A3331" s="140"/>
      <c r="B3331" s="192"/>
      <c r="C3331" s="140"/>
      <c r="D3331" s="140"/>
      <c r="E3331" s="140"/>
    </row>
    <row r="3332" spans="1:5">
      <c r="A3332" s="140"/>
      <c r="B3332" s="192"/>
      <c r="C3332" s="140"/>
      <c r="D3332" s="140"/>
      <c r="E3332" s="140"/>
    </row>
    <row r="3333" spans="1:5">
      <c r="A3333" s="140"/>
      <c r="B3333" s="192"/>
      <c r="C3333" s="140"/>
      <c r="D3333" s="140"/>
      <c r="E3333" s="140"/>
    </row>
    <row r="3334" spans="1:5">
      <c r="A3334" s="140"/>
      <c r="B3334" s="192"/>
      <c r="C3334" s="140"/>
      <c r="D3334" s="140"/>
      <c r="E3334" s="140"/>
    </row>
    <row r="3335" spans="1:5">
      <c r="A3335" s="140"/>
      <c r="B3335" s="192"/>
      <c r="C3335" s="140"/>
      <c r="D3335" s="140"/>
      <c r="E3335" s="140"/>
    </row>
    <row r="3336" spans="1:5">
      <c r="A3336" s="140"/>
      <c r="B3336" s="192"/>
      <c r="C3336" s="140"/>
      <c r="D3336" s="140"/>
      <c r="E3336" s="140"/>
    </row>
    <row r="3337" spans="1:5">
      <c r="A3337" s="140"/>
      <c r="B3337" s="192"/>
      <c r="C3337" s="140"/>
      <c r="D3337" s="140"/>
      <c r="E3337" s="140"/>
    </row>
    <row r="3338" spans="1:5">
      <c r="A3338" s="140"/>
      <c r="B3338" s="192"/>
      <c r="C3338" s="140"/>
      <c r="D3338" s="140"/>
      <c r="E3338" s="140"/>
    </row>
    <row r="3339" spans="1:5">
      <c r="A3339" s="140"/>
      <c r="B3339" s="192"/>
      <c r="C3339" s="140"/>
      <c r="D3339" s="140"/>
      <c r="E3339" s="140"/>
    </row>
    <row r="3340" spans="1:5">
      <c r="A3340" s="140"/>
      <c r="B3340" s="192"/>
      <c r="C3340" s="140"/>
      <c r="D3340" s="140"/>
      <c r="E3340" s="140"/>
    </row>
    <row r="3341" spans="1:5">
      <c r="A3341" s="140"/>
      <c r="B3341" s="192"/>
      <c r="C3341" s="140"/>
      <c r="D3341" s="140"/>
      <c r="E3341" s="140"/>
    </row>
    <row r="3342" spans="1:5">
      <c r="A3342" s="140"/>
      <c r="B3342" s="192"/>
      <c r="C3342" s="140"/>
      <c r="D3342" s="140"/>
      <c r="E3342" s="140"/>
    </row>
    <row r="3343" spans="1:5">
      <c r="A3343" s="140"/>
      <c r="B3343" s="192"/>
      <c r="C3343" s="140"/>
      <c r="D3343" s="140"/>
      <c r="E3343" s="140"/>
    </row>
    <row r="3344" spans="1:5">
      <c r="A3344" s="140"/>
      <c r="B3344" s="192"/>
      <c r="C3344" s="140"/>
      <c r="D3344" s="140"/>
      <c r="E3344" s="140"/>
    </row>
    <row r="3345" spans="1:5">
      <c r="A3345" s="140"/>
      <c r="B3345" s="192"/>
      <c r="C3345" s="140"/>
      <c r="D3345" s="140"/>
      <c r="E3345" s="140"/>
    </row>
    <row r="3346" spans="1:5">
      <c r="A3346" s="140"/>
      <c r="B3346" s="192"/>
      <c r="C3346" s="140"/>
      <c r="D3346" s="140"/>
      <c r="E3346" s="140"/>
    </row>
    <row r="3347" spans="1:5">
      <c r="A3347" s="140"/>
      <c r="B3347" s="192"/>
      <c r="C3347" s="140"/>
      <c r="D3347" s="140"/>
      <c r="E3347" s="140"/>
    </row>
    <row r="3348" spans="1:5">
      <c r="A3348" s="140"/>
      <c r="B3348" s="192"/>
      <c r="C3348" s="140"/>
      <c r="D3348" s="140"/>
      <c r="E3348" s="140"/>
    </row>
    <row r="3349" spans="1:5">
      <c r="A3349" s="140"/>
      <c r="B3349" s="192"/>
      <c r="C3349" s="140"/>
      <c r="D3349" s="140"/>
      <c r="E3349" s="140"/>
    </row>
    <row r="3350" spans="1:5">
      <c r="A3350" s="140"/>
      <c r="B3350" s="192"/>
      <c r="C3350" s="140"/>
      <c r="D3350" s="140"/>
      <c r="E3350" s="140"/>
    </row>
    <row r="3351" spans="1:5">
      <c r="A3351" s="140"/>
      <c r="B3351" s="192"/>
      <c r="C3351" s="140"/>
      <c r="D3351" s="140"/>
      <c r="E3351" s="140"/>
    </row>
    <row r="3352" spans="1:5">
      <c r="A3352" s="140"/>
      <c r="B3352" s="192"/>
      <c r="C3352" s="140"/>
      <c r="D3352" s="140"/>
      <c r="E3352" s="140"/>
    </row>
    <row r="3353" spans="1:5">
      <c r="A3353" s="140"/>
      <c r="B3353" s="192"/>
      <c r="C3353" s="140"/>
      <c r="D3353" s="140"/>
      <c r="E3353" s="140"/>
    </row>
    <row r="3354" spans="1:5">
      <c r="A3354" s="140"/>
      <c r="B3354" s="192"/>
      <c r="C3354" s="140"/>
      <c r="D3354" s="140"/>
      <c r="E3354" s="140"/>
    </row>
    <row r="3355" spans="1:5">
      <c r="A3355" s="140"/>
      <c r="B3355" s="192"/>
      <c r="C3355" s="140"/>
      <c r="D3355" s="140"/>
      <c r="E3355" s="140"/>
    </row>
    <row r="3356" spans="1:5">
      <c r="A3356" s="140"/>
      <c r="B3356" s="192"/>
      <c r="C3356" s="140"/>
      <c r="D3356" s="140"/>
      <c r="E3356" s="140"/>
    </row>
    <row r="3357" spans="1:5">
      <c r="A3357" s="140"/>
      <c r="B3357" s="192"/>
      <c r="C3357" s="140"/>
      <c r="D3357" s="140"/>
      <c r="E3357" s="140"/>
    </row>
    <row r="3358" spans="1:5">
      <c r="A3358" s="140"/>
      <c r="B3358" s="192"/>
      <c r="C3358" s="140"/>
      <c r="D3358" s="140"/>
      <c r="E3358" s="140"/>
    </row>
    <row r="3359" spans="1:5">
      <c r="A3359" s="140"/>
      <c r="B3359" s="192"/>
      <c r="C3359" s="140"/>
      <c r="D3359" s="140"/>
      <c r="E3359" s="140"/>
    </row>
    <row r="3360" spans="1:5">
      <c r="A3360" s="140"/>
      <c r="B3360" s="192"/>
      <c r="C3360" s="140"/>
      <c r="D3360" s="140"/>
      <c r="E3360" s="140"/>
    </row>
    <row r="3361" spans="1:5">
      <c r="A3361" s="140"/>
      <c r="B3361" s="192"/>
      <c r="C3361" s="140"/>
      <c r="D3361" s="140"/>
      <c r="E3361" s="140"/>
    </row>
    <row r="3362" spans="1:5">
      <c r="A3362" s="140"/>
      <c r="B3362" s="192"/>
      <c r="C3362" s="140"/>
      <c r="D3362" s="140"/>
      <c r="E3362" s="140"/>
    </row>
    <row r="3363" spans="1:5">
      <c r="A3363" s="140"/>
      <c r="B3363" s="192"/>
      <c r="C3363" s="140"/>
      <c r="D3363" s="140"/>
      <c r="E3363" s="140"/>
    </row>
    <row r="3364" spans="1:5">
      <c r="A3364" s="140"/>
      <c r="B3364" s="192"/>
      <c r="C3364" s="140"/>
      <c r="D3364" s="140"/>
      <c r="E3364" s="140"/>
    </row>
    <row r="3365" spans="1:5">
      <c r="A3365" s="140"/>
      <c r="B3365" s="192"/>
      <c r="C3365" s="140"/>
      <c r="D3365" s="140"/>
      <c r="E3365" s="140"/>
    </row>
    <row r="3366" spans="1:5">
      <c r="A3366" s="140"/>
      <c r="B3366" s="192"/>
      <c r="C3366" s="140"/>
      <c r="D3366" s="140"/>
      <c r="E3366" s="140"/>
    </row>
    <row r="3367" spans="1:5">
      <c r="A3367" s="140"/>
      <c r="B3367" s="192"/>
      <c r="C3367" s="140"/>
      <c r="D3367" s="140"/>
      <c r="E3367" s="140"/>
    </row>
    <row r="3368" spans="1:5">
      <c r="A3368" s="140"/>
      <c r="B3368" s="192"/>
      <c r="C3368" s="140"/>
      <c r="D3368" s="140"/>
      <c r="E3368" s="140"/>
    </row>
    <row r="3369" spans="1:5">
      <c r="A3369" s="140"/>
      <c r="B3369" s="192"/>
      <c r="C3369" s="140"/>
      <c r="D3369" s="140"/>
      <c r="E3369" s="140"/>
    </row>
    <row r="3370" spans="1:5">
      <c r="A3370" s="140"/>
      <c r="B3370" s="192"/>
      <c r="C3370" s="140"/>
      <c r="D3370" s="140"/>
      <c r="E3370" s="140"/>
    </row>
    <row r="3371" spans="1:5">
      <c r="A3371" s="140"/>
      <c r="B3371" s="192"/>
      <c r="C3371" s="140"/>
      <c r="D3371" s="140"/>
      <c r="E3371" s="140"/>
    </row>
    <row r="3372" spans="1:5">
      <c r="A3372" s="140"/>
      <c r="B3372" s="192"/>
      <c r="C3372" s="140"/>
      <c r="D3372" s="140"/>
      <c r="E3372" s="140"/>
    </row>
    <row r="3373" spans="1:5">
      <c r="A3373" s="140"/>
      <c r="B3373" s="192"/>
      <c r="C3373" s="140"/>
      <c r="D3373" s="140"/>
      <c r="E3373" s="140"/>
    </row>
    <row r="3374" spans="1:5">
      <c r="A3374" s="140"/>
      <c r="B3374" s="192"/>
      <c r="C3374" s="140"/>
      <c r="D3374" s="140"/>
      <c r="E3374" s="140"/>
    </row>
    <row r="3375" spans="1:5">
      <c r="A3375" s="140"/>
      <c r="B3375" s="192"/>
      <c r="C3375" s="140"/>
      <c r="D3375" s="140"/>
      <c r="E3375" s="140"/>
    </row>
    <row r="3376" spans="1:5">
      <c r="A3376" s="140"/>
      <c r="B3376" s="192"/>
      <c r="C3376" s="140"/>
      <c r="D3376" s="140"/>
      <c r="E3376" s="140"/>
    </row>
    <row r="3377" spans="1:5">
      <c r="A3377" s="140"/>
      <c r="B3377" s="192"/>
      <c r="C3377" s="140"/>
      <c r="D3377" s="140"/>
      <c r="E3377" s="140"/>
    </row>
    <row r="3378" spans="1:5">
      <c r="A3378" s="140"/>
      <c r="B3378" s="192"/>
      <c r="C3378" s="140"/>
      <c r="D3378" s="140"/>
      <c r="E3378" s="140"/>
    </row>
    <row r="3379" spans="1:5">
      <c r="A3379" s="140"/>
      <c r="B3379" s="192"/>
      <c r="C3379" s="140"/>
      <c r="D3379" s="140"/>
      <c r="E3379" s="140"/>
    </row>
    <row r="3380" spans="1:5">
      <c r="A3380" s="140"/>
      <c r="B3380" s="192"/>
      <c r="C3380" s="140"/>
      <c r="D3380" s="140"/>
      <c r="E3380" s="140"/>
    </row>
    <row r="3381" spans="1:5">
      <c r="A3381" s="140"/>
      <c r="B3381" s="192"/>
      <c r="C3381" s="140"/>
      <c r="D3381" s="140"/>
      <c r="E3381" s="140"/>
    </row>
    <row r="3382" spans="1:5">
      <c r="A3382" s="140"/>
      <c r="B3382" s="192"/>
      <c r="C3382" s="140"/>
      <c r="D3382" s="140"/>
      <c r="E3382" s="140"/>
    </row>
    <row r="3383" spans="1:5">
      <c r="A3383" s="140"/>
      <c r="B3383" s="192"/>
      <c r="C3383" s="140"/>
      <c r="D3383" s="140"/>
      <c r="E3383" s="140"/>
    </row>
    <row r="3384" spans="1:5">
      <c r="A3384" s="140"/>
      <c r="B3384" s="192"/>
      <c r="C3384" s="140"/>
      <c r="D3384" s="140"/>
      <c r="E3384" s="140"/>
    </row>
    <row r="3385" spans="1:5">
      <c r="A3385" s="140"/>
      <c r="B3385" s="192"/>
      <c r="C3385" s="140"/>
      <c r="D3385" s="140"/>
      <c r="E3385" s="140"/>
    </row>
    <row r="3386" spans="1:5">
      <c r="A3386" s="140"/>
      <c r="B3386" s="192"/>
      <c r="C3386" s="140"/>
      <c r="D3386" s="140"/>
      <c r="E3386" s="140"/>
    </row>
    <row r="3387" spans="1:5">
      <c r="A3387" s="140"/>
      <c r="B3387" s="192"/>
      <c r="C3387" s="140"/>
      <c r="D3387" s="140"/>
      <c r="E3387" s="140"/>
    </row>
    <row r="3388" spans="1:5">
      <c r="A3388" s="140"/>
      <c r="B3388" s="192"/>
      <c r="C3388" s="140"/>
      <c r="D3388" s="140"/>
      <c r="E3388" s="140"/>
    </row>
    <row r="3389" spans="1:5">
      <c r="A3389" s="140"/>
      <c r="B3389" s="192"/>
      <c r="C3389" s="140"/>
      <c r="D3389" s="140"/>
      <c r="E3389" s="140"/>
    </row>
    <row r="3390" spans="1:5">
      <c r="A3390" s="140"/>
      <c r="B3390" s="192"/>
      <c r="C3390" s="140"/>
      <c r="D3390" s="140"/>
      <c r="E3390" s="140"/>
    </row>
    <row r="3391" spans="1:5">
      <c r="A3391" s="140"/>
      <c r="B3391" s="192"/>
      <c r="C3391" s="140"/>
      <c r="D3391" s="140"/>
      <c r="E3391" s="140"/>
    </row>
    <row r="3392" spans="1:5">
      <c r="A3392" s="140"/>
      <c r="B3392" s="192"/>
      <c r="C3392" s="140"/>
      <c r="D3392" s="140"/>
      <c r="E3392" s="140"/>
    </row>
    <row r="3393" spans="1:5">
      <c r="A3393" s="140"/>
      <c r="B3393" s="192"/>
      <c r="C3393" s="140"/>
      <c r="D3393" s="140"/>
      <c r="E3393" s="140"/>
    </row>
    <row r="3394" spans="1:5">
      <c r="A3394" s="140"/>
      <c r="B3394" s="192"/>
      <c r="C3394" s="140"/>
      <c r="D3394" s="140"/>
      <c r="E3394" s="140"/>
    </row>
    <row r="3395" spans="1:5">
      <c r="A3395" s="140"/>
      <c r="B3395" s="192"/>
      <c r="C3395" s="140"/>
      <c r="D3395" s="140"/>
      <c r="E3395" s="140"/>
    </row>
    <row r="3396" spans="1:5">
      <c r="A3396" s="140"/>
      <c r="B3396" s="192"/>
      <c r="C3396" s="140"/>
      <c r="D3396" s="140"/>
      <c r="E3396" s="140"/>
    </row>
    <row r="3397" spans="1:5">
      <c r="A3397" s="140"/>
      <c r="B3397" s="192"/>
      <c r="C3397" s="140"/>
      <c r="D3397" s="140"/>
      <c r="E3397" s="140"/>
    </row>
    <row r="3398" spans="1:5">
      <c r="A3398" s="140"/>
      <c r="B3398" s="192"/>
      <c r="C3398" s="140"/>
      <c r="D3398" s="140"/>
      <c r="E3398" s="140"/>
    </row>
    <row r="3399" spans="1:5">
      <c r="A3399" s="140"/>
      <c r="B3399" s="192"/>
      <c r="C3399" s="140"/>
      <c r="D3399" s="140"/>
      <c r="E3399" s="140"/>
    </row>
    <row r="3400" spans="1:5">
      <c r="A3400" s="140"/>
      <c r="B3400" s="192"/>
      <c r="C3400" s="140"/>
      <c r="D3400" s="140"/>
      <c r="E3400" s="140"/>
    </row>
    <row r="3401" spans="1:5">
      <c r="A3401" s="140"/>
      <c r="B3401" s="192"/>
      <c r="C3401" s="140"/>
      <c r="D3401" s="140"/>
      <c r="E3401" s="140"/>
    </row>
    <row r="3402" spans="1:5">
      <c r="A3402" s="140"/>
      <c r="B3402" s="192"/>
      <c r="C3402" s="140"/>
      <c r="D3402" s="140"/>
      <c r="E3402" s="140"/>
    </row>
    <row r="3403" spans="1:5">
      <c r="A3403" s="140"/>
      <c r="B3403" s="192"/>
      <c r="C3403" s="140"/>
      <c r="D3403" s="140"/>
      <c r="E3403" s="140"/>
    </row>
    <row r="3404" spans="1:5">
      <c r="A3404" s="140"/>
      <c r="B3404" s="192"/>
      <c r="C3404" s="140"/>
      <c r="D3404" s="140"/>
      <c r="E3404" s="140"/>
    </row>
    <row r="3405" spans="1:5">
      <c r="A3405" s="140"/>
      <c r="B3405" s="192"/>
      <c r="C3405" s="140"/>
      <c r="D3405" s="140"/>
      <c r="E3405" s="140"/>
    </row>
    <row r="3406" spans="1:5">
      <c r="A3406" s="140"/>
      <c r="B3406" s="192"/>
      <c r="C3406" s="140"/>
      <c r="D3406" s="140"/>
      <c r="E3406" s="140"/>
    </row>
    <row r="3407" spans="1:5">
      <c r="A3407" s="140"/>
      <c r="B3407" s="192"/>
      <c r="C3407" s="140"/>
      <c r="D3407" s="140"/>
      <c r="E3407" s="140"/>
    </row>
    <row r="3408" spans="1:5">
      <c r="A3408" s="140"/>
      <c r="B3408" s="192"/>
      <c r="C3408" s="140"/>
      <c r="D3408" s="140"/>
      <c r="E3408" s="140"/>
    </row>
    <row r="3409" spans="1:5">
      <c r="A3409" s="140"/>
      <c r="B3409" s="192"/>
      <c r="C3409" s="140"/>
      <c r="D3409" s="140"/>
      <c r="E3409" s="140"/>
    </row>
    <row r="3410" spans="1:5">
      <c r="A3410" s="140"/>
      <c r="B3410" s="192"/>
      <c r="C3410" s="140"/>
      <c r="D3410" s="140"/>
      <c r="E3410" s="140"/>
    </row>
    <row r="3411" spans="1:5">
      <c r="A3411" s="140"/>
      <c r="B3411" s="192"/>
      <c r="C3411" s="140"/>
      <c r="D3411" s="140"/>
      <c r="E3411" s="140"/>
    </row>
    <row r="3412" spans="1:5">
      <c r="A3412" s="140"/>
      <c r="B3412" s="192"/>
      <c r="C3412" s="140"/>
      <c r="D3412" s="140"/>
      <c r="E3412" s="140"/>
    </row>
    <row r="3413" spans="1:5">
      <c r="A3413" s="140"/>
      <c r="B3413" s="192"/>
      <c r="C3413" s="140"/>
      <c r="D3413" s="140"/>
      <c r="E3413" s="140"/>
    </row>
    <row r="3414" spans="1:5">
      <c r="A3414" s="140"/>
      <c r="B3414" s="192"/>
      <c r="C3414" s="140"/>
      <c r="D3414" s="140"/>
      <c r="E3414" s="140"/>
    </row>
    <row r="3415" spans="1:5">
      <c r="A3415" s="140"/>
      <c r="B3415" s="192"/>
      <c r="C3415" s="140"/>
      <c r="D3415" s="140"/>
      <c r="E3415" s="140"/>
    </row>
    <row r="3416" spans="1:5">
      <c r="A3416" s="140"/>
      <c r="B3416" s="192"/>
      <c r="C3416" s="140"/>
      <c r="D3416" s="140"/>
      <c r="E3416" s="140"/>
    </row>
    <row r="3417" spans="1:5">
      <c r="A3417" s="140"/>
      <c r="B3417" s="192"/>
      <c r="C3417" s="140"/>
      <c r="D3417" s="140"/>
      <c r="E3417" s="140"/>
    </row>
    <row r="3418" spans="1:5">
      <c r="A3418" s="140"/>
      <c r="B3418" s="192"/>
      <c r="C3418" s="140"/>
      <c r="D3418" s="140"/>
      <c r="E3418" s="140"/>
    </row>
    <row r="3419" spans="1:5">
      <c r="A3419" s="140"/>
      <c r="B3419" s="192"/>
      <c r="C3419" s="140"/>
      <c r="D3419" s="140"/>
      <c r="E3419" s="140"/>
    </row>
    <row r="3420" spans="1:5">
      <c r="A3420" s="140"/>
      <c r="B3420" s="192"/>
      <c r="C3420" s="140"/>
      <c r="D3420" s="140"/>
      <c r="E3420" s="140"/>
    </row>
    <row r="3421" spans="1:5">
      <c r="A3421" s="140"/>
      <c r="B3421" s="192"/>
      <c r="C3421" s="140"/>
      <c r="D3421" s="140"/>
      <c r="E3421" s="140"/>
    </row>
    <row r="3422" spans="1:5">
      <c r="A3422" s="140"/>
      <c r="B3422" s="192"/>
      <c r="C3422" s="140"/>
      <c r="D3422" s="140"/>
      <c r="E3422" s="140"/>
    </row>
    <row r="3423" spans="1:5">
      <c r="A3423" s="140"/>
      <c r="B3423" s="192"/>
      <c r="C3423" s="140"/>
      <c r="D3423" s="140"/>
      <c r="E3423" s="140"/>
    </row>
    <row r="3424" spans="1:5">
      <c r="A3424" s="140"/>
      <c r="B3424" s="192"/>
      <c r="C3424" s="140"/>
      <c r="D3424" s="140"/>
      <c r="E3424" s="140"/>
    </row>
    <row r="3425" spans="1:5">
      <c r="A3425" s="140"/>
      <c r="B3425" s="192"/>
      <c r="C3425" s="140"/>
      <c r="D3425" s="140"/>
      <c r="E3425" s="140"/>
    </row>
    <row r="3426" spans="1:5">
      <c r="A3426" s="140"/>
      <c r="B3426" s="192"/>
      <c r="C3426" s="140"/>
      <c r="D3426" s="140"/>
      <c r="E3426" s="140"/>
    </row>
    <row r="3427" spans="1:5">
      <c r="A3427" s="140"/>
      <c r="B3427" s="192"/>
      <c r="C3427" s="140"/>
      <c r="D3427" s="140"/>
      <c r="E3427" s="140"/>
    </row>
    <row r="3428" spans="1:5">
      <c r="A3428" s="140"/>
      <c r="B3428" s="192"/>
      <c r="C3428" s="140"/>
      <c r="D3428" s="140"/>
      <c r="E3428" s="140"/>
    </row>
    <row r="3429" spans="1:5">
      <c r="A3429" s="140"/>
      <c r="B3429" s="192"/>
      <c r="C3429" s="140"/>
      <c r="D3429" s="140"/>
      <c r="E3429" s="140"/>
    </row>
    <row r="3430" spans="1:5">
      <c r="A3430" s="140"/>
      <c r="B3430" s="192"/>
      <c r="C3430" s="140"/>
      <c r="D3430" s="140"/>
      <c r="E3430" s="140"/>
    </row>
    <row r="3431" spans="1:5">
      <c r="A3431" s="140"/>
      <c r="B3431" s="192"/>
      <c r="C3431" s="140"/>
      <c r="D3431" s="140"/>
      <c r="E3431" s="140"/>
    </row>
    <row r="3432" spans="1:5">
      <c r="A3432" s="140"/>
      <c r="B3432" s="192"/>
      <c r="C3432" s="140"/>
      <c r="D3432" s="140"/>
      <c r="E3432" s="140"/>
    </row>
    <row r="3433" spans="1:5">
      <c r="A3433" s="140"/>
      <c r="B3433" s="192"/>
      <c r="C3433" s="140"/>
      <c r="D3433" s="140"/>
      <c r="E3433" s="140"/>
    </row>
    <row r="3434" spans="1:5">
      <c r="A3434" s="140"/>
      <c r="B3434" s="192"/>
      <c r="C3434" s="140"/>
      <c r="D3434" s="140"/>
      <c r="E3434" s="140"/>
    </row>
    <row r="3435" spans="1:5">
      <c r="A3435" s="140"/>
      <c r="B3435" s="192"/>
      <c r="C3435" s="140"/>
      <c r="D3435" s="140"/>
      <c r="E3435" s="140"/>
    </row>
    <row r="3436" spans="1:5">
      <c r="A3436" s="140"/>
      <c r="B3436" s="192"/>
      <c r="C3436" s="140"/>
      <c r="D3436" s="140"/>
      <c r="E3436" s="140"/>
    </row>
    <row r="3437" spans="1:5">
      <c r="A3437" s="140"/>
      <c r="B3437" s="192"/>
      <c r="C3437" s="140"/>
      <c r="D3437" s="140"/>
      <c r="E3437" s="140"/>
    </row>
    <row r="3438" spans="1:5">
      <c r="A3438" s="140"/>
      <c r="B3438" s="192"/>
      <c r="C3438" s="140"/>
      <c r="D3438" s="140"/>
      <c r="E3438" s="140"/>
    </row>
    <row r="3439" spans="1:5">
      <c r="A3439" s="140"/>
      <c r="B3439" s="192"/>
      <c r="C3439" s="140"/>
      <c r="D3439" s="140"/>
      <c r="E3439" s="140"/>
    </row>
    <row r="3440" spans="1:5">
      <c r="A3440" s="140"/>
      <c r="B3440" s="192"/>
      <c r="C3440" s="140"/>
      <c r="D3440" s="140"/>
      <c r="E3440" s="140"/>
    </row>
    <row r="3441" spans="1:5">
      <c r="A3441" s="140"/>
      <c r="B3441" s="192"/>
      <c r="C3441" s="140"/>
      <c r="D3441" s="140"/>
      <c r="E3441" s="140"/>
    </row>
    <row r="3442" spans="1:5">
      <c r="A3442" s="140"/>
      <c r="B3442" s="192"/>
      <c r="C3442" s="140"/>
      <c r="D3442" s="140"/>
      <c r="E3442" s="140"/>
    </row>
    <row r="3443" spans="1:5">
      <c r="A3443" s="140"/>
      <c r="B3443" s="192"/>
      <c r="C3443" s="140"/>
      <c r="D3443" s="140"/>
      <c r="E3443" s="140"/>
    </row>
    <row r="3444" spans="1:5">
      <c r="A3444" s="140"/>
      <c r="B3444" s="192"/>
      <c r="C3444" s="140"/>
      <c r="D3444" s="140"/>
      <c r="E3444" s="140"/>
    </row>
    <row r="3445" spans="1:5">
      <c r="A3445" s="140"/>
      <c r="B3445" s="192"/>
      <c r="C3445" s="140"/>
      <c r="D3445" s="140"/>
      <c r="E3445" s="140"/>
    </row>
    <row r="3446" spans="1:5">
      <c r="A3446" s="140"/>
      <c r="B3446" s="192"/>
      <c r="C3446" s="140"/>
      <c r="D3446" s="140"/>
      <c r="E3446" s="140"/>
    </row>
    <row r="3447" spans="1:5">
      <c r="A3447" s="140"/>
      <c r="B3447" s="192"/>
      <c r="C3447" s="140"/>
      <c r="D3447" s="140"/>
      <c r="E3447" s="140"/>
    </row>
    <row r="3448" spans="1:5">
      <c r="A3448" s="140"/>
      <c r="B3448" s="192"/>
      <c r="C3448" s="140"/>
      <c r="D3448" s="140"/>
      <c r="E3448" s="140"/>
    </row>
    <row r="3449" spans="1:5">
      <c r="A3449" s="140"/>
      <c r="B3449" s="192"/>
      <c r="C3449" s="140"/>
      <c r="D3449" s="140"/>
      <c r="E3449" s="140"/>
    </row>
    <row r="3450" spans="1:5">
      <c r="A3450" s="140"/>
      <c r="B3450" s="192"/>
      <c r="C3450" s="140"/>
      <c r="D3450" s="140"/>
      <c r="E3450" s="140"/>
    </row>
    <row r="3451" spans="1:5">
      <c r="A3451" s="140"/>
      <c r="B3451" s="192"/>
      <c r="C3451" s="140"/>
      <c r="D3451" s="140"/>
      <c r="E3451" s="140"/>
    </row>
    <row r="3452" spans="1:5">
      <c r="A3452" s="140"/>
      <c r="B3452" s="192"/>
      <c r="C3452" s="140"/>
      <c r="D3452" s="140"/>
      <c r="E3452" s="140"/>
    </row>
    <row r="3453" spans="1:5">
      <c r="A3453" s="140"/>
      <c r="B3453" s="192"/>
      <c r="C3453" s="140"/>
      <c r="D3453" s="140"/>
      <c r="E3453" s="140"/>
    </row>
    <row r="3454" spans="1:5">
      <c r="A3454" s="140"/>
      <c r="B3454" s="192"/>
      <c r="C3454" s="140"/>
      <c r="D3454" s="140"/>
      <c r="E3454" s="140"/>
    </row>
    <row r="3455" spans="1:5">
      <c r="A3455" s="140"/>
      <c r="B3455" s="192"/>
      <c r="C3455" s="140"/>
      <c r="D3455" s="140"/>
      <c r="E3455" s="140"/>
    </row>
    <row r="3456" spans="1:5">
      <c r="A3456" s="140"/>
      <c r="B3456" s="192"/>
      <c r="C3456" s="140"/>
      <c r="D3456" s="140"/>
      <c r="E3456" s="140"/>
    </row>
    <row r="3457" spans="1:5">
      <c r="A3457" s="140"/>
      <c r="B3457" s="192"/>
      <c r="C3457" s="140"/>
      <c r="D3457" s="140"/>
      <c r="E3457" s="140"/>
    </row>
    <row r="3458" spans="1:5">
      <c r="A3458" s="140"/>
      <c r="B3458" s="192"/>
      <c r="C3458" s="140"/>
      <c r="D3458" s="140"/>
      <c r="E3458" s="140"/>
    </row>
    <row r="3459" spans="1:5">
      <c r="A3459" s="140"/>
      <c r="B3459" s="192"/>
      <c r="C3459" s="140"/>
      <c r="D3459" s="140"/>
      <c r="E3459" s="140"/>
    </row>
    <row r="3460" spans="1:5">
      <c r="A3460" s="140"/>
      <c r="B3460" s="192"/>
      <c r="C3460" s="140"/>
      <c r="D3460" s="140"/>
      <c r="E3460" s="140"/>
    </row>
    <row r="3461" spans="1:5">
      <c r="A3461" s="140"/>
      <c r="B3461" s="192"/>
      <c r="C3461" s="140"/>
      <c r="D3461" s="140"/>
      <c r="E3461" s="140"/>
    </row>
    <row r="3462" spans="1:5">
      <c r="A3462" s="140"/>
      <c r="B3462" s="192"/>
      <c r="C3462" s="140"/>
      <c r="D3462" s="140"/>
      <c r="E3462" s="140"/>
    </row>
    <row r="3463" spans="1:5">
      <c r="A3463" s="140"/>
      <c r="B3463" s="192"/>
      <c r="C3463" s="140"/>
      <c r="D3463" s="140"/>
      <c r="E3463" s="140"/>
    </row>
    <row r="3464" spans="1:5">
      <c r="A3464" s="140"/>
      <c r="B3464" s="192"/>
      <c r="C3464" s="140"/>
      <c r="D3464" s="140"/>
      <c r="E3464" s="140"/>
    </row>
    <row r="3465" spans="1:5">
      <c r="A3465" s="140"/>
      <c r="B3465" s="192"/>
      <c r="C3465" s="140"/>
      <c r="D3465" s="140"/>
      <c r="E3465" s="140"/>
    </row>
    <row r="3466" spans="1:5">
      <c r="A3466" s="140"/>
      <c r="B3466" s="192"/>
      <c r="C3466" s="140"/>
      <c r="D3466" s="140"/>
      <c r="E3466" s="140"/>
    </row>
    <row r="3467" spans="1:5">
      <c r="A3467" s="140"/>
      <c r="B3467" s="192"/>
      <c r="C3467" s="140"/>
      <c r="D3467" s="140"/>
      <c r="E3467" s="140"/>
    </row>
    <row r="3468" spans="1:5">
      <c r="A3468" s="140"/>
      <c r="B3468" s="192"/>
      <c r="C3468" s="140"/>
      <c r="D3468" s="140"/>
      <c r="E3468" s="140"/>
    </row>
    <row r="3469" spans="1:5">
      <c r="A3469" s="140"/>
      <c r="B3469" s="192"/>
      <c r="C3469" s="140"/>
      <c r="D3469" s="140"/>
      <c r="E3469" s="140"/>
    </row>
    <row r="3470" spans="1:5">
      <c r="A3470" s="140"/>
      <c r="B3470" s="192"/>
      <c r="C3470" s="140"/>
      <c r="D3470" s="140"/>
      <c r="E3470" s="140"/>
    </row>
    <row r="3471" spans="1:5">
      <c r="A3471" s="140"/>
      <c r="B3471" s="192"/>
      <c r="C3471" s="140"/>
      <c r="D3471" s="140"/>
      <c r="E3471" s="140"/>
    </row>
    <row r="3472" spans="1:5">
      <c r="A3472" s="140"/>
      <c r="B3472" s="192"/>
      <c r="C3472" s="140"/>
      <c r="D3472" s="140"/>
      <c r="E3472" s="140"/>
    </row>
    <row r="3473" spans="1:5">
      <c r="A3473" s="140"/>
      <c r="B3473" s="192"/>
      <c r="C3473" s="140"/>
      <c r="D3473" s="140"/>
      <c r="E3473" s="140"/>
    </row>
    <row r="3474" spans="1:5">
      <c r="A3474" s="140"/>
      <c r="B3474" s="192"/>
      <c r="C3474" s="140"/>
      <c r="D3474" s="140"/>
      <c r="E3474" s="140"/>
    </row>
    <row r="3475" spans="1:5">
      <c r="A3475" s="140"/>
      <c r="B3475" s="192"/>
      <c r="C3475" s="140"/>
      <c r="D3475" s="140"/>
      <c r="E3475" s="140"/>
    </row>
    <row r="3476" spans="1:5">
      <c r="A3476" s="140"/>
      <c r="B3476" s="192"/>
      <c r="C3476" s="140"/>
      <c r="D3476" s="140"/>
      <c r="E3476" s="140"/>
    </row>
    <row r="3477" spans="1:5">
      <c r="A3477" s="140"/>
      <c r="B3477" s="192"/>
      <c r="C3477" s="140"/>
      <c r="D3477" s="140"/>
      <c r="E3477" s="140"/>
    </row>
    <row r="3478" spans="1:5">
      <c r="A3478" s="140"/>
      <c r="B3478" s="192"/>
      <c r="C3478" s="140"/>
      <c r="D3478" s="140"/>
      <c r="E3478" s="140"/>
    </row>
    <row r="3479" spans="1:5">
      <c r="A3479" s="140"/>
      <c r="B3479" s="192"/>
      <c r="C3479" s="140"/>
      <c r="D3479" s="140"/>
      <c r="E3479" s="140"/>
    </row>
    <row r="3480" spans="1:5">
      <c r="A3480" s="140"/>
      <c r="B3480" s="192"/>
      <c r="C3480" s="140"/>
      <c r="D3480" s="140"/>
      <c r="E3480" s="140"/>
    </row>
    <row r="3481" spans="1:5">
      <c r="A3481" s="140"/>
      <c r="B3481" s="192"/>
      <c r="C3481" s="140"/>
      <c r="D3481" s="140"/>
      <c r="E3481" s="140"/>
    </row>
    <row r="3482" spans="1:5">
      <c r="A3482" s="140"/>
      <c r="B3482" s="192"/>
      <c r="C3482" s="140"/>
      <c r="D3482" s="140"/>
      <c r="E3482" s="140"/>
    </row>
    <row r="3483" spans="1:5">
      <c r="A3483" s="140"/>
      <c r="B3483" s="192"/>
      <c r="C3483" s="140"/>
      <c r="D3483" s="140"/>
      <c r="E3483" s="140"/>
    </row>
    <row r="3484" spans="1:5">
      <c r="A3484" s="140"/>
      <c r="B3484" s="192"/>
      <c r="C3484" s="140"/>
      <c r="D3484" s="140"/>
      <c r="E3484" s="140"/>
    </row>
    <row r="3485" spans="1:5">
      <c r="A3485" s="140"/>
      <c r="B3485" s="192"/>
      <c r="C3485" s="140"/>
      <c r="D3485" s="140"/>
      <c r="E3485" s="140"/>
    </row>
    <row r="3486" spans="1:5">
      <c r="A3486" s="140"/>
      <c r="B3486" s="192"/>
      <c r="C3486" s="140"/>
      <c r="D3486" s="140"/>
      <c r="E3486" s="140"/>
    </row>
    <row r="3487" spans="1:5">
      <c r="A3487" s="140"/>
      <c r="B3487" s="192"/>
      <c r="C3487" s="140"/>
      <c r="D3487" s="140"/>
      <c r="E3487" s="140"/>
    </row>
    <row r="3488" spans="1:5">
      <c r="A3488" s="140"/>
      <c r="B3488" s="192"/>
      <c r="C3488" s="140"/>
      <c r="D3488" s="140"/>
      <c r="E3488" s="140"/>
    </row>
    <row r="3489" spans="1:5">
      <c r="A3489" s="140"/>
      <c r="B3489" s="192"/>
      <c r="C3489" s="140"/>
      <c r="D3489" s="140"/>
      <c r="E3489" s="140"/>
    </row>
    <row r="3490" spans="1:5">
      <c r="A3490" s="140"/>
      <c r="B3490" s="192"/>
      <c r="C3490" s="140"/>
      <c r="D3490" s="140"/>
      <c r="E3490" s="140"/>
    </row>
    <row r="3491" spans="1:5">
      <c r="A3491" s="140"/>
      <c r="B3491" s="192"/>
      <c r="C3491" s="140"/>
      <c r="D3491" s="140"/>
      <c r="E3491" s="140"/>
    </row>
    <row r="3492" spans="1:5">
      <c r="A3492" s="140"/>
      <c r="B3492" s="192"/>
      <c r="C3492" s="140"/>
      <c r="D3492" s="140"/>
      <c r="E3492" s="140"/>
    </row>
    <row r="3493" spans="1:5">
      <c r="A3493" s="140"/>
      <c r="B3493" s="192"/>
      <c r="C3493" s="140"/>
      <c r="D3493" s="140"/>
      <c r="E3493" s="140"/>
    </row>
    <row r="3494" spans="1:5">
      <c r="A3494" s="140"/>
      <c r="B3494" s="192"/>
      <c r="C3494" s="140"/>
      <c r="D3494" s="140"/>
      <c r="E3494" s="140"/>
    </row>
    <row r="3495" spans="1:5">
      <c r="A3495" s="140"/>
      <c r="B3495" s="192"/>
      <c r="C3495" s="140"/>
      <c r="D3495" s="140"/>
      <c r="E3495" s="140"/>
    </row>
    <row r="3496" spans="1:5">
      <c r="A3496" s="140"/>
      <c r="B3496" s="192"/>
      <c r="C3496" s="140"/>
      <c r="D3496" s="140"/>
      <c r="E3496" s="140"/>
    </row>
    <row r="3497" spans="1:5">
      <c r="A3497" s="140"/>
      <c r="B3497" s="192"/>
      <c r="C3497" s="140"/>
      <c r="D3497" s="140"/>
      <c r="E3497" s="140"/>
    </row>
    <row r="3498" spans="1:5">
      <c r="A3498" s="140"/>
      <c r="B3498" s="192"/>
      <c r="C3498" s="140"/>
      <c r="D3498" s="140"/>
      <c r="E3498" s="140"/>
    </row>
    <row r="3499" spans="1:5">
      <c r="A3499" s="140"/>
      <c r="B3499" s="192"/>
      <c r="C3499" s="140"/>
      <c r="D3499" s="140"/>
      <c r="E3499" s="140"/>
    </row>
    <row r="3500" spans="1:5">
      <c r="A3500" s="140"/>
      <c r="B3500" s="192"/>
      <c r="C3500" s="140"/>
      <c r="D3500" s="140"/>
      <c r="E3500" s="140"/>
    </row>
    <row r="3501" spans="1:5">
      <c r="A3501" s="140"/>
      <c r="B3501" s="192"/>
      <c r="C3501" s="140"/>
      <c r="D3501" s="140"/>
      <c r="E3501" s="140"/>
    </row>
    <row r="3502" spans="1:5">
      <c r="A3502" s="140"/>
      <c r="B3502" s="192"/>
      <c r="C3502" s="140"/>
      <c r="D3502" s="140"/>
      <c r="E3502" s="140"/>
    </row>
    <row r="3503" spans="1:5">
      <c r="A3503" s="140"/>
      <c r="B3503" s="192"/>
      <c r="C3503" s="140"/>
      <c r="D3503" s="140"/>
      <c r="E3503" s="140"/>
    </row>
    <row r="3504" spans="1:5">
      <c r="A3504" s="140"/>
      <c r="B3504" s="192"/>
      <c r="C3504" s="140"/>
      <c r="D3504" s="140"/>
      <c r="E3504" s="140"/>
    </row>
    <row r="3505" spans="1:5">
      <c r="A3505" s="140"/>
      <c r="B3505" s="192"/>
      <c r="C3505" s="140"/>
      <c r="D3505" s="140"/>
      <c r="E3505" s="140"/>
    </row>
    <row r="3506" spans="1:5">
      <c r="A3506" s="140"/>
      <c r="B3506" s="192"/>
      <c r="C3506" s="140"/>
      <c r="D3506" s="140"/>
      <c r="E3506" s="140"/>
    </row>
    <row r="3507" spans="1:5">
      <c r="A3507" s="140"/>
      <c r="B3507" s="192"/>
      <c r="C3507" s="140"/>
      <c r="D3507" s="140"/>
      <c r="E3507" s="140"/>
    </row>
    <row r="3508" spans="1:5">
      <c r="A3508" s="140"/>
      <c r="B3508" s="192"/>
      <c r="C3508" s="140"/>
      <c r="D3508" s="140"/>
      <c r="E3508" s="140"/>
    </row>
    <row r="3509" spans="1:5">
      <c r="A3509" s="140"/>
      <c r="B3509" s="192"/>
      <c r="C3509" s="140"/>
      <c r="D3509" s="140"/>
      <c r="E3509" s="140"/>
    </row>
    <row r="3510" spans="1:5">
      <c r="A3510" s="140"/>
      <c r="B3510" s="192"/>
      <c r="C3510" s="140"/>
      <c r="D3510" s="140"/>
      <c r="E3510" s="140"/>
    </row>
    <row r="3511" spans="1:5">
      <c r="A3511" s="140"/>
      <c r="B3511" s="192"/>
      <c r="C3511" s="140"/>
      <c r="D3511" s="140"/>
      <c r="E3511" s="140"/>
    </row>
    <row r="3512" spans="1:5">
      <c r="A3512" s="140"/>
      <c r="B3512" s="192"/>
      <c r="C3512" s="140"/>
      <c r="D3512" s="140"/>
      <c r="E3512" s="140"/>
    </row>
    <row r="3513" spans="1:5">
      <c r="A3513" s="140"/>
      <c r="B3513" s="192"/>
      <c r="C3513" s="140"/>
      <c r="D3513" s="140"/>
      <c r="E3513" s="140"/>
    </row>
    <row r="3514" spans="1:5">
      <c r="A3514" s="140"/>
      <c r="B3514" s="192"/>
      <c r="C3514" s="140"/>
      <c r="D3514" s="140"/>
      <c r="E3514" s="140"/>
    </row>
    <row r="3515" spans="1:5">
      <c r="A3515" s="140"/>
      <c r="B3515" s="192"/>
      <c r="C3515" s="140"/>
      <c r="D3515" s="140"/>
      <c r="E3515" s="140"/>
    </row>
    <row r="3516" spans="1:5">
      <c r="A3516" s="140"/>
      <c r="B3516" s="192"/>
      <c r="C3516" s="140"/>
      <c r="D3516" s="140"/>
      <c r="E3516" s="140"/>
    </row>
    <row r="3517" spans="1:5">
      <c r="A3517" s="140"/>
      <c r="B3517" s="192"/>
      <c r="C3517" s="140"/>
      <c r="D3517" s="140"/>
      <c r="E3517" s="140"/>
    </row>
    <row r="3518" spans="1:5">
      <c r="A3518" s="140"/>
      <c r="B3518" s="192"/>
      <c r="C3518" s="140"/>
      <c r="D3518" s="140"/>
      <c r="E3518" s="140"/>
    </row>
    <row r="3519" spans="1:5">
      <c r="A3519" s="140"/>
      <c r="B3519" s="192"/>
      <c r="C3519" s="140"/>
      <c r="D3519" s="140"/>
      <c r="E3519" s="140"/>
    </row>
    <row r="3520" spans="1:5">
      <c r="A3520" s="140"/>
      <c r="B3520" s="192"/>
      <c r="C3520" s="140"/>
      <c r="D3520" s="140"/>
      <c r="E3520" s="140"/>
    </row>
    <row r="3521" spans="1:5">
      <c r="A3521" s="140"/>
      <c r="B3521" s="192"/>
      <c r="C3521" s="140"/>
      <c r="D3521" s="140"/>
      <c r="E3521" s="140"/>
    </row>
    <row r="3522" spans="1:5">
      <c r="A3522" s="140"/>
      <c r="B3522" s="192"/>
      <c r="C3522" s="140"/>
      <c r="D3522" s="140"/>
      <c r="E3522" s="140"/>
    </row>
    <row r="3523" spans="1:5">
      <c r="A3523" s="140"/>
      <c r="B3523" s="192"/>
      <c r="C3523" s="140"/>
      <c r="D3523" s="140"/>
      <c r="E3523" s="140"/>
    </row>
    <row r="3524" spans="1:5">
      <c r="A3524" s="140"/>
      <c r="B3524" s="192"/>
      <c r="C3524" s="140"/>
      <c r="D3524" s="140"/>
      <c r="E3524" s="140"/>
    </row>
    <row r="3525" spans="1:5">
      <c r="A3525" s="140"/>
      <c r="B3525" s="192"/>
      <c r="C3525" s="140"/>
      <c r="D3525" s="140"/>
      <c r="E3525" s="140"/>
    </row>
    <row r="3526" spans="1:5">
      <c r="A3526" s="140"/>
      <c r="B3526" s="192"/>
      <c r="C3526" s="140"/>
      <c r="D3526" s="140"/>
      <c r="E3526" s="140"/>
    </row>
    <row r="3527" spans="1:5">
      <c r="A3527" s="140"/>
      <c r="B3527" s="192"/>
      <c r="C3527" s="140"/>
      <c r="D3527" s="140"/>
      <c r="E3527" s="140"/>
    </row>
    <row r="3528" spans="1:5">
      <c r="A3528" s="140"/>
      <c r="B3528" s="192"/>
      <c r="C3528" s="140"/>
      <c r="D3528" s="140"/>
      <c r="E3528" s="140"/>
    </row>
    <row r="3529" spans="1:5">
      <c r="A3529" s="140"/>
      <c r="B3529" s="192"/>
      <c r="C3529" s="140"/>
      <c r="D3529" s="140"/>
      <c r="E3529" s="140"/>
    </row>
    <row r="3530" spans="1:5">
      <c r="A3530" s="140"/>
      <c r="B3530" s="192"/>
      <c r="C3530" s="140"/>
      <c r="D3530" s="140"/>
      <c r="E3530" s="140"/>
    </row>
    <row r="3531" spans="1:5">
      <c r="A3531" s="140"/>
      <c r="B3531" s="192"/>
      <c r="C3531" s="140"/>
      <c r="D3531" s="140"/>
      <c r="E3531" s="140"/>
    </row>
    <row r="3532" spans="1:5">
      <c r="A3532" s="140"/>
      <c r="B3532" s="192"/>
      <c r="C3532" s="140"/>
      <c r="D3532" s="140"/>
      <c r="E3532" s="140"/>
    </row>
    <row r="3533" spans="1:5">
      <c r="A3533" s="140"/>
      <c r="B3533" s="192"/>
      <c r="C3533" s="140"/>
      <c r="D3533" s="140"/>
      <c r="E3533" s="140"/>
    </row>
    <row r="3534" spans="1:5">
      <c r="A3534" s="140"/>
      <c r="B3534" s="192"/>
      <c r="C3534" s="140"/>
      <c r="D3534" s="140"/>
      <c r="E3534" s="140"/>
    </row>
    <row r="3535" spans="1:5">
      <c r="A3535" s="140"/>
      <c r="B3535" s="192"/>
      <c r="C3535" s="140"/>
      <c r="D3535" s="140"/>
      <c r="E3535" s="140"/>
    </row>
    <row r="3536" spans="1:5">
      <c r="A3536" s="140"/>
      <c r="B3536" s="192"/>
      <c r="C3536" s="140"/>
      <c r="D3536" s="140"/>
      <c r="E3536" s="140"/>
    </row>
    <row r="3537" spans="1:5">
      <c r="A3537" s="140"/>
      <c r="B3537" s="192"/>
      <c r="C3537" s="140"/>
      <c r="D3537" s="140"/>
      <c r="E3537" s="140"/>
    </row>
    <row r="3538" spans="1:5">
      <c r="A3538" s="140"/>
      <c r="B3538" s="192"/>
      <c r="C3538" s="140"/>
      <c r="D3538" s="140"/>
      <c r="E3538" s="140"/>
    </row>
    <row r="3539" spans="1:5">
      <c r="A3539" s="140"/>
      <c r="B3539" s="192"/>
      <c r="C3539" s="140"/>
      <c r="D3539" s="140"/>
      <c r="E3539" s="140"/>
    </row>
    <row r="3540" spans="1:5">
      <c r="A3540" s="140"/>
      <c r="B3540" s="192"/>
      <c r="C3540" s="140"/>
      <c r="D3540" s="140"/>
      <c r="E3540" s="140"/>
    </row>
    <row r="3541" spans="1:5">
      <c r="A3541" s="140"/>
      <c r="B3541" s="192"/>
      <c r="C3541" s="140"/>
      <c r="D3541" s="140"/>
      <c r="E3541" s="140"/>
    </row>
    <row r="3542" spans="1:5">
      <c r="A3542" s="140"/>
      <c r="B3542" s="192"/>
      <c r="C3542" s="140"/>
      <c r="D3542" s="140"/>
      <c r="E3542" s="140"/>
    </row>
    <row r="3543" spans="1:5">
      <c r="A3543" s="140"/>
      <c r="B3543" s="192"/>
      <c r="C3543" s="140"/>
      <c r="D3543" s="140"/>
      <c r="E3543" s="140"/>
    </row>
    <row r="3544" spans="1:5">
      <c r="A3544" s="140"/>
      <c r="B3544" s="192"/>
      <c r="C3544" s="140"/>
      <c r="D3544" s="140"/>
      <c r="E3544" s="140"/>
    </row>
    <row r="3545" spans="1:5">
      <c r="A3545" s="140"/>
      <c r="B3545" s="192"/>
      <c r="C3545" s="140"/>
      <c r="D3545" s="140"/>
      <c r="E3545" s="140"/>
    </row>
    <row r="3546" spans="1:5">
      <c r="A3546" s="140"/>
      <c r="B3546" s="192"/>
      <c r="C3546" s="140"/>
      <c r="D3546" s="140"/>
      <c r="E3546" s="140"/>
    </row>
    <row r="3547" spans="1:5">
      <c r="A3547" s="140"/>
      <c r="B3547" s="192"/>
      <c r="C3547" s="140"/>
      <c r="D3547" s="140"/>
      <c r="E3547" s="140"/>
    </row>
    <row r="3548" spans="1:5">
      <c r="A3548" s="140"/>
      <c r="B3548" s="192"/>
      <c r="C3548" s="140"/>
      <c r="D3548" s="140"/>
      <c r="E3548" s="140"/>
    </row>
    <row r="3549" spans="1:5">
      <c r="A3549" s="140"/>
      <c r="B3549" s="192"/>
      <c r="C3549" s="140"/>
      <c r="D3549" s="140"/>
      <c r="E3549" s="140"/>
    </row>
    <row r="3550" spans="1:5">
      <c r="A3550" s="140"/>
      <c r="B3550" s="192"/>
      <c r="C3550" s="140"/>
      <c r="D3550" s="140"/>
      <c r="E3550" s="140"/>
    </row>
    <row r="3551" spans="1:5">
      <c r="A3551" s="140"/>
      <c r="B3551" s="192"/>
      <c r="C3551" s="140"/>
      <c r="D3551" s="140"/>
      <c r="E3551" s="140"/>
    </row>
    <row r="3552" spans="1:5">
      <c r="A3552" s="140"/>
      <c r="B3552" s="192"/>
      <c r="C3552" s="140"/>
      <c r="D3552" s="140"/>
      <c r="E3552" s="140"/>
    </row>
    <row r="3553" spans="1:5">
      <c r="A3553" s="140"/>
      <c r="B3553" s="192"/>
      <c r="C3553" s="140"/>
      <c r="D3553" s="140"/>
      <c r="E3553" s="140"/>
    </row>
    <row r="3554" spans="1:5">
      <c r="A3554" s="140"/>
      <c r="B3554" s="192"/>
      <c r="C3554" s="140"/>
      <c r="D3554" s="140"/>
      <c r="E3554" s="140"/>
    </row>
    <row r="3555" spans="1:5">
      <c r="A3555" s="140"/>
      <c r="B3555" s="192"/>
      <c r="C3555" s="140"/>
      <c r="D3555" s="140"/>
      <c r="E3555" s="140"/>
    </row>
    <row r="3556" spans="1:5">
      <c r="A3556" s="140"/>
      <c r="B3556" s="192"/>
      <c r="C3556" s="140"/>
      <c r="D3556" s="140"/>
      <c r="E3556" s="140"/>
    </row>
    <row r="3557" spans="1:5">
      <c r="A3557" s="140"/>
      <c r="B3557" s="192"/>
      <c r="C3557" s="140"/>
      <c r="D3557" s="140"/>
      <c r="E3557" s="140"/>
    </row>
    <row r="3558" spans="1:5">
      <c r="A3558" s="140"/>
      <c r="B3558" s="192"/>
      <c r="C3558" s="140"/>
      <c r="D3558" s="140"/>
      <c r="E3558" s="140"/>
    </row>
    <row r="3559" spans="1:5">
      <c r="A3559" s="140"/>
      <c r="B3559" s="192"/>
      <c r="C3559" s="140"/>
      <c r="D3559" s="140"/>
      <c r="E3559" s="140"/>
    </row>
    <row r="3560" spans="1:5">
      <c r="A3560" s="140"/>
      <c r="B3560" s="192"/>
      <c r="C3560" s="140"/>
      <c r="D3560" s="140"/>
      <c r="E3560" s="140"/>
    </row>
    <row r="3561" spans="1:5">
      <c r="A3561" s="140"/>
      <c r="B3561" s="192"/>
      <c r="C3561" s="140"/>
      <c r="D3561" s="140"/>
      <c r="E3561" s="140"/>
    </row>
    <row r="3562" spans="1:5">
      <c r="A3562" s="140"/>
      <c r="B3562" s="192"/>
      <c r="C3562" s="140"/>
      <c r="D3562" s="140"/>
      <c r="E3562" s="140"/>
    </row>
    <row r="3563" spans="1:5">
      <c r="A3563" s="140"/>
      <c r="B3563" s="192"/>
      <c r="C3563" s="140"/>
      <c r="D3563" s="140"/>
      <c r="E3563" s="140"/>
    </row>
    <row r="3564" spans="1:5">
      <c r="A3564" s="140"/>
      <c r="B3564" s="192"/>
      <c r="C3564" s="140"/>
      <c r="D3564" s="140"/>
      <c r="E3564" s="140"/>
    </row>
    <row r="3565" spans="1:5">
      <c r="A3565" s="140"/>
      <c r="B3565" s="192"/>
      <c r="C3565" s="140"/>
      <c r="D3565" s="140"/>
      <c r="E3565" s="140"/>
    </row>
    <row r="3566" spans="1:5">
      <c r="A3566" s="140"/>
      <c r="B3566" s="192"/>
      <c r="C3566" s="140"/>
      <c r="D3566" s="140"/>
      <c r="E3566" s="140"/>
    </row>
    <row r="3567" spans="1:5">
      <c r="A3567" s="140"/>
      <c r="B3567" s="192"/>
      <c r="C3567" s="140"/>
      <c r="D3567" s="140"/>
      <c r="E3567" s="140"/>
    </row>
    <row r="3568" spans="1:5">
      <c r="A3568" s="140"/>
      <c r="B3568" s="192"/>
      <c r="C3568" s="140"/>
      <c r="D3568" s="140"/>
      <c r="E3568" s="140"/>
    </row>
    <row r="3569" spans="1:5">
      <c r="A3569" s="140"/>
      <c r="B3569" s="192"/>
      <c r="C3569" s="140"/>
      <c r="D3569" s="140"/>
      <c r="E3569" s="140"/>
    </row>
    <row r="3570" spans="1:5">
      <c r="A3570" s="140"/>
      <c r="B3570" s="192"/>
      <c r="C3570" s="140"/>
      <c r="D3570" s="140"/>
      <c r="E3570" s="140"/>
    </row>
    <row r="3571" spans="1:5">
      <c r="A3571" s="140"/>
      <c r="B3571" s="192"/>
      <c r="C3571" s="140"/>
      <c r="D3571" s="140"/>
      <c r="E3571" s="140"/>
    </row>
    <row r="3572" spans="1:5">
      <c r="A3572" s="140"/>
      <c r="B3572" s="192"/>
      <c r="C3572" s="140"/>
      <c r="D3572" s="140"/>
      <c r="E3572" s="140"/>
    </row>
    <row r="3573" spans="1:5">
      <c r="A3573" s="140"/>
      <c r="B3573" s="192"/>
      <c r="C3573" s="140"/>
      <c r="D3573" s="140"/>
      <c r="E3573" s="140"/>
    </row>
    <row r="3574" spans="1:5">
      <c r="A3574" s="140"/>
      <c r="B3574" s="192"/>
      <c r="C3574" s="140"/>
      <c r="D3574" s="140"/>
      <c r="E3574" s="140"/>
    </row>
    <row r="3575" spans="1:5">
      <c r="A3575" s="140"/>
      <c r="B3575" s="192"/>
      <c r="C3575" s="140"/>
      <c r="D3575" s="140"/>
      <c r="E3575" s="140"/>
    </row>
    <row r="3576" spans="1:5">
      <c r="A3576" s="140"/>
      <c r="B3576" s="192"/>
      <c r="C3576" s="140"/>
      <c r="D3576" s="140"/>
      <c r="E3576" s="140"/>
    </row>
    <row r="3577" spans="1:5">
      <c r="A3577" s="140"/>
      <c r="B3577" s="192"/>
      <c r="C3577" s="140"/>
      <c r="D3577" s="140"/>
      <c r="E3577" s="140"/>
    </row>
    <row r="3578" spans="1:5">
      <c r="A3578" s="140"/>
      <c r="B3578" s="192"/>
      <c r="C3578" s="140"/>
      <c r="D3578" s="140"/>
      <c r="E3578" s="140"/>
    </row>
    <row r="3579" spans="1:5">
      <c r="A3579" s="140"/>
      <c r="B3579" s="192"/>
      <c r="C3579" s="140"/>
      <c r="D3579" s="140"/>
      <c r="E3579" s="140"/>
    </row>
    <row r="3580" spans="1:5">
      <c r="A3580" s="140"/>
      <c r="B3580" s="192"/>
      <c r="C3580" s="140"/>
      <c r="D3580" s="140"/>
      <c r="E3580" s="140"/>
    </row>
    <row r="3581" spans="1:5">
      <c r="A3581" s="140"/>
      <c r="B3581" s="192"/>
      <c r="C3581" s="140"/>
      <c r="D3581" s="140"/>
      <c r="E3581" s="140"/>
    </row>
    <row r="3582" spans="1:5">
      <c r="A3582" s="140"/>
      <c r="B3582" s="192"/>
      <c r="C3582" s="140"/>
      <c r="D3582" s="140"/>
      <c r="E3582" s="140"/>
    </row>
    <row r="3583" spans="1:5">
      <c r="A3583" s="140"/>
      <c r="B3583" s="192"/>
      <c r="C3583" s="140"/>
      <c r="D3583" s="140"/>
      <c r="E3583" s="140"/>
    </row>
    <row r="3584" spans="1:5">
      <c r="A3584" s="140"/>
      <c r="B3584" s="192"/>
      <c r="C3584" s="140"/>
      <c r="D3584" s="140"/>
      <c r="E3584" s="140"/>
    </row>
    <row r="3585" spans="1:5">
      <c r="A3585" s="140"/>
      <c r="B3585" s="192"/>
      <c r="C3585" s="140"/>
      <c r="D3585" s="140"/>
      <c r="E3585" s="140"/>
    </row>
    <row r="3586" spans="1:5">
      <c r="A3586" s="140"/>
      <c r="B3586" s="192"/>
      <c r="C3586" s="140"/>
      <c r="D3586" s="140"/>
      <c r="E3586" s="140"/>
    </row>
    <row r="3587" spans="1:5">
      <c r="A3587" s="140"/>
      <c r="B3587" s="192"/>
      <c r="C3587" s="140"/>
      <c r="D3587" s="140"/>
      <c r="E3587" s="140"/>
    </row>
    <row r="3588" spans="1:5">
      <c r="A3588" s="140"/>
      <c r="B3588" s="192"/>
      <c r="C3588" s="140"/>
      <c r="D3588" s="140"/>
      <c r="E3588" s="140"/>
    </row>
    <row r="3589" spans="1:5">
      <c r="A3589" s="140"/>
      <c r="B3589" s="192"/>
      <c r="C3589" s="140"/>
      <c r="D3589" s="140"/>
      <c r="E3589" s="140"/>
    </row>
    <row r="3590" spans="1:5">
      <c r="A3590" s="140"/>
      <c r="B3590" s="192"/>
      <c r="C3590" s="140"/>
      <c r="D3590" s="140"/>
      <c r="E3590" s="140"/>
    </row>
    <row r="3591" spans="1:5">
      <c r="A3591" s="140"/>
      <c r="B3591" s="192"/>
      <c r="C3591" s="140"/>
      <c r="D3591" s="140"/>
      <c r="E3591" s="140"/>
    </row>
    <row r="3592" spans="1:5">
      <c r="A3592" s="140"/>
      <c r="B3592" s="192"/>
      <c r="C3592" s="140"/>
      <c r="D3592" s="140"/>
      <c r="E3592" s="140"/>
    </row>
    <row r="3593" spans="1:5">
      <c r="A3593" s="140"/>
      <c r="B3593" s="192"/>
      <c r="C3593" s="140"/>
      <c r="D3593" s="140"/>
      <c r="E3593" s="140"/>
    </row>
    <row r="3594" spans="1:5">
      <c r="A3594" s="140"/>
      <c r="B3594" s="192"/>
      <c r="C3594" s="140"/>
      <c r="D3594" s="140"/>
      <c r="E3594" s="140"/>
    </row>
    <row r="3595" spans="1:5">
      <c r="A3595" s="140"/>
      <c r="B3595" s="192"/>
      <c r="C3595" s="140"/>
      <c r="D3595" s="140"/>
      <c r="E3595" s="140"/>
    </row>
    <row r="3596" spans="1:5">
      <c r="A3596" s="140"/>
      <c r="B3596" s="192"/>
      <c r="C3596" s="140"/>
      <c r="D3596" s="140"/>
      <c r="E3596" s="140"/>
    </row>
    <row r="3597" spans="1:5">
      <c r="A3597" s="140"/>
      <c r="B3597" s="192"/>
      <c r="C3597" s="140"/>
      <c r="D3597" s="140"/>
      <c r="E3597" s="140"/>
    </row>
    <row r="3598" spans="1:5">
      <c r="A3598" s="140"/>
      <c r="B3598" s="192"/>
      <c r="C3598" s="140"/>
      <c r="D3598" s="140"/>
      <c r="E3598" s="140"/>
    </row>
    <row r="3599" spans="1:5">
      <c r="A3599" s="140"/>
      <c r="B3599" s="192"/>
      <c r="C3599" s="140"/>
      <c r="D3599" s="140"/>
      <c r="E3599" s="140"/>
    </row>
    <row r="3600" spans="1:5">
      <c r="A3600" s="140"/>
      <c r="B3600" s="192"/>
      <c r="C3600" s="140"/>
      <c r="D3600" s="140"/>
      <c r="E3600" s="140"/>
    </row>
    <row r="3601" spans="1:5">
      <c r="A3601" s="140"/>
      <c r="B3601" s="192"/>
      <c r="C3601" s="140"/>
      <c r="D3601" s="140"/>
      <c r="E3601" s="140"/>
    </row>
    <row r="3602" spans="1:5">
      <c r="A3602" s="140"/>
      <c r="B3602" s="192"/>
      <c r="C3602" s="140"/>
      <c r="D3602" s="140"/>
      <c r="E3602" s="140"/>
    </row>
    <row r="3603" spans="1:5">
      <c r="A3603" s="140"/>
      <c r="B3603" s="192"/>
      <c r="C3603" s="140"/>
      <c r="D3603" s="140"/>
      <c r="E3603" s="140"/>
    </row>
    <row r="3604" spans="1:5">
      <c r="A3604" s="140"/>
      <c r="B3604" s="192"/>
      <c r="C3604" s="140"/>
      <c r="D3604" s="140"/>
      <c r="E3604" s="140"/>
    </row>
    <row r="3605" spans="1:5">
      <c r="A3605" s="140"/>
      <c r="B3605" s="192"/>
      <c r="C3605" s="140"/>
      <c r="D3605" s="140"/>
      <c r="E3605" s="140"/>
    </row>
    <row r="3606" spans="1:5">
      <c r="A3606" s="140"/>
      <c r="B3606" s="192"/>
      <c r="C3606" s="140"/>
      <c r="D3606" s="140"/>
      <c r="E3606" s="140"/>
    </row>
    <row r="3607" spans="1:5">
      <c r="A3607" s="140"/>
      <c r="B3607" s="192"/>
      <c r="C3607" s="140"/>
      <c r="D3607" s="140"/>
      <c r="E3607" s="140"/>
    </row>
    <row r="3608" spans="1:5">
      <c r="A3608" s="140"/>
      <c r="B3608" s="192"/>
      <c r="C3608" s="140"/>
      <c r="D3608" s="140"/>
      <c r="E3608" s="140"/>
    </row>
    <row r="3609" spans="1:5">
      <c r="A3609" s="140"/>
      <c r="B3609" s="192"/>
      <c r="C3609" s="140"/>
      <c r="D3609" s="140"/>
      <c r="E3609" s="140"/>
    </row>
    <row r="3610" spans="1:5">
      <c r="A3610" s="140"/>
      <c r="B3610" s="192"/>
      <c r="C3610" s="140"/>
      <c r="D3610" s="140"/>
      <c r="E3610" s="140"/>
    </row>
    <row r="3611" spans="1:5">
      <c r="A3611" s="140"/>
      <c r="B3611" s="192"/>
      <c r="C3611" s="140"/>
      <c r="D3611" s="140"/>
      <c r="E3611" s="140"/>
    </row>
    <row r="3612" spans="1:5">
      <c r="A3612" s="140"/>
      <c r="B3612" s="192"/>
      <c r="C3612" s="140"/>
      <c r="D3612" s="140"/>
      <c r="E3612" s="140"/>
    </row>
    <row r="3613" spans="1:5">
      <c r="A3613" s="140"/>
      <c r="B3613" s="192"/>
      <c r="C3613" s="140"/>
      <c r="D3613" s="140"/>
      <c r="E3613" s="140"/>
    </row>
    <row r="3614" spans="1:5">
      <c r="A3614" s="140"/>
      <c r="B3614" s="192"/>
      <c r="C3614" s="140"/>
      <c r="D3614" s="140"/>
      <c r="E3614" s="140"/>
    </row>
    <row r="3615" spans="1:5">
      <c r="A3615" s="140"/>
      <c r="B3615" s="192"/>
      <c r="C3615" s="140"/>
      <c r="D3615" s="140"/>
      <c r="E3615" s="140"/>
    </row>
    <row r="3616" spans="1:5">
      <c r="A3616" s="140"/>
      <c r="B3616" s="192"/>
      <c r="C3616" s="140"/>
      <c r="D3616" s="140"/>
      <c r="E3616" s="140"/>
    </row>
    <row r="3617" spans="1:5">
      <c r="A3617" s="140"/>
      <c r="B3617" s="192"/>
      <c r="C3617" s="140"/>
      <c r="D3617" s="140"/>
      <c r="E3617" s="140"/>
    </row>
    <row r="3618" spans="1:5">
      <c r="A3618" s="140"/>
      <c r="B3618" s="192"/>
      <c r="C3618" s="140"/>
      <c r="D3618" s="140"/>
      <c r="E3618" s="140"/>
    </row>
    <row r="3619" spans="1:5">
      <c r="A3619" s="140"/>
      <c r="B3619" s="192"/>
      <c r="C3619" s="140"/>
      <c r="D3619" s="140"/>
      <c r="E3619" s="140"/>
    </row>
    <row r="3620" spans="1:5">
      <c r="A3620" s="140"/>
      <c r="B3620" s="192"/>
      <c r="C3620" s="140"/>
      <c r="D3620" s="140"/>
      <c r="E3620" s="140"/>
    </row>
    <row r="3621" spans="1:5">
      <c r="A3621" s="140"/>
      <c r="B3621" s="192"/>
      <c r="C3621" s="140"/>
      <c r="D3621" s="140"/>
      <c r="E3621" s="140"/>
    </row>
    <row r="3622" spans="1:5">
      <c r="A3622" s="140"/>
      <c r="B3622" s="192"/>
      <c r="C3622" s="140"/>
      <c r="D3622" s="140"/>
      <c r="E3622" s="140"/>
    </row>
    <row r="3623" spans="1:5">
      <c r="A3623" s="140"/>
      <c r="B3623" s="192"/>
      <c r="C3623" s="140"/>
      <c r="D3623" s="140"/>
      <c r="E3623" s="140"/>
    </row>
    <row r="3624" spans="1:5">
      <c r="A3624" s="140"/>
      <c r="B3624" s="192"/>
      <c r="C3624" s="140"/>
      <c r="D3624" s="140"/>
      <c r="E3624" s="140"/>
    </row>
    <row r="3625" spans="1:5">
      <c r="A3625" s="140"/>
      <c r="B3625" s="192"/>
      <c r="C3625" s="140"/>
      <c r="D3625" s="140"/>
      <c r="E3625" s="140"/>
    </row>
    <row r="3626" spans="1:5">
      <c r="A3626" s="140"/>
      <c r="B3626" s="192"/>
      <c r="C3626" s="140"/>
      <c r="D3626" s="140"/>
      <c r="E3626" s="140"/>
    </row>
    <row r="3627" spans="1:5">
      <c r="A3627" s="140"/>
      <c r="B3627" s="192"/>
      <c r="C3627" s="140"/>
      <c r="D3627" s="140"/>
      <c r="E3627" s="140"/>
    </row>
    <row r="3628" spans="1:5">
      <c r="A3628" s="140"/>
      <c r="B3628" s="192"/>
      <c r="C3628" s="140"/>
      <c r="D3628" s="140"/>
      <c r="E3628" s="140"/>
    </row>
    <row r="3629" spans="1:5">
      <c r="A3629" s="140"/>
      <c r="B3629" s="192"/>
      <c r="C3629" s="140"/>
      <c r="D3629" s="140"/>
      <c r="E3629" s="140"/>
    </row>
    <row r="3630" spans="1:5">
      <c r="A3630" s="140"/>
      <c r="B3630" s="192"/>
      <c r="C3630" s="140"/>
      <c r="D3630" s="140"/>
      <c r="E3630" s="140"/>
    </row>
    <row r="3631" spans="1:5">
      <c r="A3631" s="140"/>
      <c r="B3631" s="192"/>
      <c r="C3631" s="140"/>
      <c r="D3631" s="140"/>
      <c r="E3631" s="140"/>
    </row>
    <row r="3632" spans="1:5">
      <c r="A3632" s="140"/>
      <c r="B3632" s="192"/>
      <c r="C3632" s="140"/>
      <c r="D3632" s="140"/>
      <c r="E3632" s="140"/>
    </row>
    <row r="3633" spans="1:5">
      <c r="A3633" s="140"/>
      <c r="B3633" s="192"/>
      <c r="C3633" s="140"/>
      <c r="D3633" s="140"/>
      <c r="E3633" s="140"/>
    </row>
    <row r="3634" spans="1:5">
      <c r="A3634" s="140"/>
      <c r="B3634" s="192"/>
      <c r="C3634" s="140"/>
      <c r="D3634" s="140"/>
      <c r="E3634" s="140"/>
    </row>
    <row r="3635" spans="1:5">
      <c r="A3635" s="140"/>
      <c r="B3635" s="192"/>
      <c r="C3635" s="140"/>
      <c r="D3635" s="140"/>
      <c r="E3635" s="140"/>
    </row>
    <row r="3636" spans="1:5">
      <c r="A3636" s="140"/>
      <c r="B3636" s="192"/>
      <c r="C3636" s="140"/>
      <c r="D3636" s="140"/>
      <c r="E3636" s="140"/>
    </row>
    <row r="3637" spans="1:5">
      <c r="A3637" s="140"/>
      <c r="B3637" s="192"/>
      <c r="C3637" s="140"/>
      <c r="D3637" s="140"/>
      <c r="E3637" s="140"/>
    </row>
    <row r="3638" spans="1:5">
      <c r="A3638" s="140"/>
      <c r="B3638" s="192"/>
      <c r="C3638" s="140"/>
      <c r="D3638" s="140"/>
      <c r="E3638" s="140"/>
    </row>
    <row r="3639" spans="1:5">
      <c r="A3639" s="140"/>
      <c r="B3639" s="192"/>
      <c r="C3639" s="140"/>
      <c r="D3639" s="140"/>
      <c r="E3639" s="140"/>
    </row>
    <row r="3640" spans="1:5">
      <c r="A3640" s="140"/>
      <c r="B3640" s="192"/>
      <c r="C3640" s="140"/>
      <c r="D3640" s="140"/>
      <c r="E3640" s="140"/>
    </row>
    <row r="3641" spans="1:5">
      <c r="A3641" s="140"/>
      <c r="B3641" s="192"/>
      <c r="C3641" s="140"/>
      <c r="D3641" s="140"/>
      <c r="E3641" s="140"/>
    </row>
    <row r="3642" spans="1:5">
      <c r="A3642" s="140"/>
      <c r="B3642" s="192"/>
      <c r="C3642" s="140"/>
      <c r="D3642" s="140"/>
      <c r="E3642" s="140"/>
    </row>
    <row r="3643" spans="1:5">
      <c r="A3643" s="140"/>
      <c r="B3643" s="192"/>
      <c r="C3643" s="140"/>
      <c r="D3643" s="140"/>
      <c r="E3643" s="140"/>
    </row>
    <row r="3644" spans="1:5">
      <c r="A3644" s="140"/>
      <c r="B3644" s="192"/>
      <c r="C3644" s="140"/>
      <c r="D3644" s="140"/>
      <c r="E3644" s="140"/>
    </row>
    <row r="3645" spans="1:5">
      <c r="A3645" s="140"/>
      <c r="B3645" s="192"/>
      <c r="C3645" s="140"/>
      <c r="D3645" s="140"/>
      <c r="E3645" s="140"/>
    </row>
    <row r="3646" spans="1:5">
      <c r="A3646" s="140"/>
      <c r="B3646" s="192"/>
      <c r="C3646" s="140"/>
      <c r="D3646" s="140"/>
      <c r="E3646" s="140"/>
    </row>
    <row r="3647" spans="1:5">
      <c r="A3647" s="140"/>
      <c r="B3647" s="192"/>
      <c r="C3647" s="140"/>
      <c r="D3647" s="140"/>
      <c r="E3647" s="140"/>
    </row>
    <row r="3648" spans="1:5">
      <c r="A3648" s="140"/>
      <c r="B3648" s="192"/>
      <c r="C3648" s="140"/>
      <c r="D3648" s="140"/>
      <c r="E3648" s="140"/>
    </row>
    <row r="3649" spans="1:5">
      <c r="A3649" s="140"/>
      <c r="B3649" s="192"/>
      <c r="C3649" s="140"/>
      <c r="D3649" s="140"/>
      <c r="E3649" s="140"/>
    </row>
    <row r="3650" spans="1:5">
      <c r="A3650" s="140"/>
      <c r="B3650" s="192"/>
      <c r="C3650" s="140"/>
      <c r="D3650" s="140"/>
      <c r="E3650" s="140"/>
    </row>
    <row r="3651" spans="1:5">
      <c r="A3651" s="140"/>
      <c r="B3651" s="192"/>
      <c r="C3651" s="140"/>
      <c r="D3651" s="140"/>
      <c r="E3651" s="140"/>
    </row>
    <row r="3652" spans="1:5">
      <c r="A3652" s="140"/>
      <c r="B3652" s="192"/>
      <c r="C3652" s="140"/>
      <c r="D3652" s="140"/>
      <c r="E3652" s="140"/>
    </row>
    <row r="3653" spans="1:5">
      <c r="A3653" s="140"/>
      <c r="B3653" s="192"/>
      <c r="C3653" s="140"/>
      <c r="D3653" s="140"/>
      <c r="E3653" s="140"/>
    </row>
    <row r="3654" spans="1:5">
      <c r="A3654" s="140"/>
      <c r="B3654" s="192"/>
      <c r="C3654" s="140"/>
      <c r="D3654" s="140"/>
      <c r="E3654" s="140"/>
    </row>
    <row r="3655" spans="1:5">
      <c r="A3655" s="140"/>
      <c r="B3655" s="192"/>
      <c r="C3655" s="140"/>
      <c r="D3655" s="140"/>
      <c r="E3655" s="140"/>
    </row>
    <row r="3656" spans="1:5">
      <c r="A3656" s="140"/>
      <c r="B3656" s="192"/>
      <c r="C3656" s="140"/>
      <c r="D3656" s="140"/>
      <c r="E3656" s="140"/>
    </row>
    <row r="3657" spans="1:5">
      <c r="A3657" s="140"/>
      <c r="B3657" s="192"/>
      <c r="C3657" s="140"/>
      <c r="D3657" s="140"/>
      <c r="E3657" s="140"/>
    </row>
    <row r="3658" spans="1:5">
      <c r="A3658" s="140"/>
      <c r="B3658" s="192"/>
      <c r="C3658" s="140"/>
      <c r="D3658" s="140"/>
      <c r="E3658" s="140"/>
    </row>
    <row r="3659" spans="1:5">
      <c r="A3659" s="140"/>
      <c r="B3659" s="192"/>
      <c r="C3659" s="140"/>
      <c r="D3659" s="140"/>
      <c r="E3659" s="140"/>
    </row>
    <row r="3660" spans="1:5">
      <c r="A3660" s="140"/>
      <c r="B3660" s="192"/>
      <c r="C3660" s="140"/>
      <c r="D3660" s="140"/>
      <c r="E3660" s="140"/>
    </row>
    <row r="3661" spans="1:5">
      <c r="A3661" s="140"/>
      <c r="B3661" s="192"/>
      <c r="C3661" s="140"/>
      <c r="D3661" s="140"/>
      <c r="E3661" s="140"/>
    </row>
    <row r="3662" spans="1:5">
      <c r="A3662" s="140"/>
      <c r="B3662" s="192"/>
      <c r="C3662" s="140"/>
      <c r="D3662" s="140"/>
      <c r="E3662" s="140"/>
    </row>
    <row r="3663" spans="1:5">
      <c r="A3663" s="140"/>
      <c r="B3663" s="192"/>
      <c r="C3663" s="140"/>
      <c r="D3663" s="140"/>
      <c r="E3663" s="140"/>
    </row>
    <row r="3664" spans="1:5">
      <c r="A3664" s="140"/>
      <c r="B3664" s="192"/>
      <c r="C3664" s="140"/>
      <c r="D3664" s="140"/>
      <c r="E3664" s="140"/>
    </row>
    <row r="3665" spans="1:5">
      <c r="A3665" s="140"/>
      <c r="B3665" s="192"/>
      <c r="C3665" s="140"/>
      <c r="D3665" s="140"/>
      <c r="E3665" s="140"/>
    </row>
    <row r="3666" spans="1:5">
      <c r="A3666" s="140"/>
      <c r="B3666" s="192"/>
      <c r="C3666" s="140"/>
      <c r="D3666" s="140"/>
      <c r="E3666" s="140"/>
    </row>
    <row r="3667" spans="1:5">
      <c r="A3667" s="140"/>
      <c r="B3667" s="192"/>
      <c r="C3667" s="140"/>
      <c r="D3667" s="140"/>
      <c r="E3667" s="140"/>
    </row>
    <row r="3668" spans="1:5">
      <c r="A3668" s="140"/>
      <c r="B3668" s="192"/>
      <c r="C3668" s="140"/>
      <c r="D3668" s="140"/>
      <c r="E3668" s="140"/>
    </row>
    <row r="3669" spans="1:5">
      <c r="A3669" s="140"/>
      <c r="B3669" s="192"/>
      <c r="C3669" s="140"/>
      <c r="D3669" s="140"/>
      <c r="E3669" s="140"/>
    </row>
    <row r="3670" spans="1:5">
      <c r="A3670" s="140"/>
      <c r="B3670" s="192"/>
      <c r="C3670" s="140"/>
      <c r="D3670" s="140"/>
      <c r="E3670" s="140"/>
    </row>
    <row r="3671" spans="1:5">
      <c r="A3671" s="140"/>
      <c r="B3671" s="192"/>
      <c r="C3671" s="140"/>
      <c r="D3671" s="140"/>
      <c r="E3671" s="140"/>
    </row>
    <row r="3672" spans="1:5">
      <c r="A3672" s="140"/>
      <c r="B3672" s="192"/>
      <c r="C3672" s="140"/>
      <c r="D3672" s="140"/>
      <c r="E3672" s="140"/>
    </row>
    <row r="3673" spans="1:5">
      <c r="A3673" s="140"/>
      <c r="B3673" s="192"/>
      <c r="C3673" s="140"/>
      <c r="D3673" s="140"/>
      <c r="E3673" s="140"/>
    </row>
    <row r="3674" spans="1:5">
      <c r="A3674" s="140"/>
      <c r="B3674" s="192"/>
      <c r="C3674" s="140"/>
      <c r="D3674" s="140"/>
      <c r="E3674" s="140"/>
    </row>
    <row r="3675" spans="1:5">
      <c r="A3675" s="140"/>
      <c r="B3675" s="192"/>
      <c r="C3675" s="140"/>
      <c r="D3675" s="140"/>
      <c r="E3675" s="140"/>
    </row>
    <row r="3676" spans="1:5">
      <c r="A3676" s="140"/>
      <c r="B3676" s="192"/>
      <c r="C3676" s="140"/>
      <c r="D3676" s="140"/>
      <c r="E3676" s="140"/>
    </row>
    <row r="3677" spans="1:5">
      <c r="A3677" s="140"/>
      <c r="B3677" s="192"/>
      <c r="C3677" s="140"/>
      <c r="D3677" s="140"/>
      <c r="E3677" s="140"/>
    </row>
    <row r="3678" spans="1:5">
      <c r="A3678" s="140"/>
      <c r="B3678" s="192"/>
      <c r="C3678" s="140"/>
      <c r="D3678" s="140"/>
      <c r="E3678" s="140"/>
    </row>
    <row r="3679" spans="1:5">
      <c r="A3679" s="140"/>
      <c r="B3679" s="192"/>
      <c r="C3679" s="140"/>
      <c r="D3679" s="140"/>
      <c r="E3679" s="140"/>
    </row>
    <row r="3680" spans="1:5">
      <c r="A3680" s="140"/>
      <c r="B3680" s="192"/>
      <c r="C3680" s="140"/>
      <c r="D3680" s="140"/>
      <c r="E3680" s="140"/>
    </row>
    <row r="3681" spans="1:5">
      <c r="A3681" s="140"/>
      <c r="B3681" s="192"/>
      <c r="C3681" s="140"/>
      <c r="D3681" s="140"/>
      <c r="E3681" s="140"/>
    </row>
    <row r="3682" spans="1:5">
      <c r="A3682" s="140"/>
      <c r="B3682" s="192"/>
      <c r="C3682" s="140"/>
      <c r="D3682" s="140"/>
      <c r="E3682" s="140"/>
    </row>
    <row r="3683" spans="1:5">
      <c r="A3683" s="140"/>
      <c r="B3683" s="192"/>
      <c r="C3683" s="140"/>
      <c r="D3683" s="140"/>
      <c r="E3683" s="140"/>
    </row>
    <row r="3684" spans="1:5">
      <c r="A3684" s="140"/>
      <c r="B3684" s="192"/>
      <c r="C3684" s="140"/>
      <c r="D3684" s="140"/>
      <c r="E3684" s="140"/>
    </row>
    <row r="3685" spans="1:5">
      <c r="A3685" s="140"/>
      <c r="B3685" s="192"/>
      <c r="C3685" s="140"/>
      <c r="D3685" s="140"/>
      <c r="E3685" s="140"/>
    </row>
    <row r="3686" spans="1:5">
      <c r="A3686" s="140"/>
      <c r="B3686" s="192"/>
      <c r="C3686" s="140"/>
      <c r="D3686" s="140"/>
      <c r="E3686" s="140"/>
    </row>
    <row r="3687" spans="1:5">
      <c r="A3687" s="140"/>
      <c r="B3687" s="192"/>
      <c r="C3687" s="140"/>
      <c r="D3687" s="140"/>
      <c r="E3687" s="140"/>
    </row>
    <row r="3688" spans="1:5">
      <c r="A3688" s="140"/>
      <c r="B3688" s="192"/>
      <c r="C3688" s="140"/>
      <c r="D3688" s="140"/>
      <c r="E3688" s="140"/>
    </row>
    <row r="3689" spans="1:5">
      <c r="A3689" s="140"/>
      <c r="B3689" s="192"/>
      <c r="C3689" s="140"/>
      <c r="D3689" s="140"/>
      <c r="E3689" s="140"/>
    </row>
    <row r="3690" spans="1:5">
      <c r="A3690" s="140"/>
      <c r="B3690" s="192"/>
      <c r="C3690" s="140"/>
      <c r="D3690" s="140"/>
      <c r="E3690" s="140"/>
    </row>
    <row r="3691" spans="1:5">
      <c r="A3691" s="140"/>
      <c r="B3691" s="192"/>
      <c r="C3691" s="140"/>
      <c r="D3691" s="140"/>
      <c r="E3691" s="140"/>
    </row>
    <row r="3692" spans="1:5">
      <c r="A3692" s="140"/>
      <c r="B3692" s="192"/>
      <c r="C3692" s="140"/>
      <c r="D3692" s="140"/>
      <c r="E3692" s="140"/>
    </row>
    <row r="3693" spans="1:5">
      <c r="A3693" s="140"/>
      <c r="B3693" s="192"/>
      <c r="C3693" s="140"/>
      <c r="D3693" s="140"/>
      <c r="E3693" s="140"/>
    </row>
    <row r="3694" spans="1:5">
      <c r="A3694" s="140"/>
      <c r="B3694" s="192"/>
      <c r="C3694" s="140"/>
      <c r="D3694" s="140"/>
      <c r="E3694" s="140"/>
    </row>
    <row r="3695" spans="1:5">
      <c r="A3695" s="140"/>
      <c r="B3695" s="192"/>
      <c r="C3695" s="140"/>
      <c r="D3695" s="140"/>
      <c r="E3695" s="140"/>
    </row>
    <row r="3696" spans="1:5">
      <c r="A3696" s="140"/>
      <c r="B3696" s="192"/>
      <c r="C3696" s="140"/>
      <c r="D3696" s="140"/>
      <c r="E3696" s="140"/>
    </row>
    <row r="3697" spans="1:5">
      <c r="A3697" s="140"/>
      <c r="B3697" s="192"/>
      <c r="C3697" s="140"/>
      <c r="D3697" s="140"/>
      <c r="E3697" s="140"/>
    </row>
    <row r="3698" spans="1:5">
      <c r="A3698" s="140"/>
      <c r="B3698" s="192"/>
      <c r="C3698" s="140"/>
      <c r="D3698" s="140"/>
      <c r="E3698" s="140"/>
    </row>
    <row r="3699" spans="1:5">
      <c r="A3699" s="140"/>
      <c r="B3699" s="192"/>
      <c r="C3699" s="140"/>
      <c r="D3699" s="140"/>
      <c r="E3699" s="140"/>
    </row>
    <row r="3700" spans="1:5">
      <c r="A3700" s="140"/>
      <c r="B3700" s="192"/>
      <c r="C3700" s="140"/>
      <c r="D3700" s="140"/>
      <c r="E3700" s="140"/>
    </row>
    <row r="3701" spans="1:5">
      <c r="A3701" s="140"/>
      <c r="B3701" s="192"/>
      <c r="C3701" s="140"/>
      <c r="D3701" s="140"/>
      <c r="E3701" s="140"/>
    </row>
    <row r="3702" spans="1:5">
      <c r="A3702" s="140"/>
      <c r="B3702" s="192"/>
      <c r="C3702" s="140"/>
      <c r="D3702" s="140"/>
      <c r="E3702" s="140"/>
    </row>
    <row r="3703" spans="1:5">
      <c r="A3703" s="140"/>
      <c r="B3703" s="192"/>
      <c r="C3703" s="140"/>
      <c r="D3703" s="140"/>
      <c r="E3703" s="140"/>
    </row>
    <row r="3704" spans="1:5">
      <c r="A3704" s="140"/>
      <c r="B3704" s="192"/>
      <c r="C3704" s="140"/>
      <c r="D3704" s="140"/>
      <c r="E3704" s="140"/>
    </row>
    <row r="3705" spans="1:5">
      <c r="A3705" s="140"/>
      <c r="B3705" s="192"/>
      <c r="C3705" s="140"/>
      <c r="D3705" s="140"/>
      <c r="E3705" s="140"/>
    </row>
    <row r="3706" spans="1:5">
      <c r="A3706" s="140"/>
      <c r="B3706" s="192"/>
      <c r="C3706" s="140"/>
      <c r="D3706" s="140"/>
      <c r="E3706" s="140"/>
    </row>
    <row r="3707" spans="1:5">
      <c r="A3707" s="140"/>
      <c r="B3707" s="192"/>
      <c r="C3707" s="140"/>
      <c r="D3707" s="140"/>
      <c r="E3707" s="140"/>
    </row>
    <row r="3708" spans="1:5">
      <c r="A3708" s="140"/>
      <c r="B3708" s="192"/>
      <c r="C3708" s="140"/>
      <c r="D3708" s="140"/>
      <c r="E3708" s="140"/>
    </row>
    <row r="3709" spans="1:5">
      <c r="A3709" s="140"/>
      <c r="B3709" s="192"/>
      <c r="C3709" s="140"/>
      <c r="D3709" s="140"/>
      <c r="E3709" s="140"/>
    </row>
    <row r="3710" spans="1:5">
      <c r="A3710" s="140"/>
      <c r="B3710" s="192"/>
      <c r="C3710" s="140"/>
      <c r="D3710" s="140"/>
      <c r="E3710" s="140"/>
    </row>
    <row r="3711" spans="1:5">
      <c r="A3711" s="140"/>
      <c r="B3711" s="192"/>
      <c r="C3711" s="140"/>
      <c r="D3711" s="140"/>
      <c r="E3711" s="140"/>
    </row>
    <row r="3712" spans="1:5">
      <c r="A3712" s="140"/>
      <c r="B3712" s="192"/>
      <c r="C3712" s="140"/>
      <c r="D3712" s="140"/>
      <c r="E3712" s="140"/>
    </row>
    <row r="3713" spans="1:5">
      <c r="A3713" s="140"/>
      <c r="B3713" s="192"/>
      <c r="C3713" s="140"/>
      <c r="D3713" s="140"/>
      <c r="E3713" s="140"/>
    </row>
    <row r="3714" spans="1:5">
      <c r="A3714" s="140"/>
      <c r="B3714" s="192"/>
      <c r="C3714" s="140"/>
      <c r="D3714" s="140"/>
      <c r="E3714" s="140"/>
    </row>
    <row r="3715" spans="1:5">
      <c r="A3715" s="140"/>
      <c r="B3715" s="192"/>
      <c r="C3715" s="140"/>
      <c r="D3715" s="140"/>
      <c r="E3715" s="140"/>
    </row>
    <row r="3716" spans="1:5">
      <c r="A3716" s="140"/>
      <c r="B3716" s="192"/>
      <c r="C3716" s="140"/>
      <c r="D3716" s="140"/>
      <c r="E3716" s="140"/>
    </row>
    <row r="3717" spans="1:5">
      <c r="A3717" s="140"/>
      <c r="B3717" s="192"/>
      <c r="C3717" s="140"/>
      <c r="D3717" s="140"/>
      <c r="E3717" s="140"/>
    </row>
    <row r="3718" spans="1:5">
      <c r="A3718" s="140"/>
      <c r="B3718" s="192"/>
      <c r="C3718" s="140"/>
      <c r="D3718" s="140"/>
      <c r="E3718" s="140"/>
    </row>
    <row r="3719" spans="1:5">
      <c r="A3719" s="140"/>
      <c r="B3719" s="192"/>
      <c r="C3719" s="140"/>
      <c r="D3719" s="140"/>
      <c r="E3719" s="140"/>
    </row>
    <row r="3720" spans="1:5">
      <c r="A3720" s="140"/>
      <c r="B3720" s="192"/>
      <c r="C3720" s="140"/>
      <c r="D3720" s="140"/>
      <c r="E3720" s="140"/>
    </row>
    <row r="3721" spans="1:5">
      <c r="A3721" s="140"/>
      <c r="B3721" s="192"/>
      <c r="C3721" s="140"/>
      <c r="D3721" s="140"/>
      <c r="E3721" s="140"/>
    </row>
    <row r="3722" spans="1:5">
      <c r="A3722" s="140"/>
      <c r="B3722" s="192"/>
      <c r="C3722" s="140"/>
      <c r="D3722" s="140"/>
      <c r="E3722" s="140"/>
    </row>
    <row r="3723" spans="1:5">
      <c r="A3723" s="140"/>
      <c r="B3723" s="192"/>
      <c r="C3723" s="140"/>
      <c r="D3723" s="140"/>
      <c r="E3723" s="140"/>
    </row>
    <row r="3724" spans="1:5">
      <c r="A3724" s="140"/>
      <c r="B3724" s="192"/>
      <c r="C3724" s="140"/>
      <c r="D3724" s="140"/>
      <c r="E3724" s="140"/>
    </row>
    <row r="3725" spans="1:5">
      <c r="A3725" s="140"/>
      <c r="B3725" s="192"/>
      <c r="C3725" s="140"/>
      <c r="D3725" s="140"/>
      <c r="E3725" s="140"/>
    </row>
    <row r="3726" spans="1:5">
      <c r="A3726" s="140"/>
      <c r="B3726" s="192"/>
      <c r="C3726" s="140"/>
      <c r="D3726" s="140"/>
      <c r="E3726" s="140"/>
    </row>
    <row r="3727" spans="1:5">
      <c r="A3727" s="140"/>
      <c r="B3727" s="192"/>
      <c r="C3727" s="140"/>
      <c r="D3727" s="140"/>
      <c r="E3727" s="140"/>
    </row>
    <row r="3728" spans="1:5">
      <c r="A3728" s="140"/>
      <c r="B3728" s="192"/>
      <c r="C3728" s="140"/>
      <c r="D3728" s="140"/>
      <c r="E3728" s="140"/>
    </row>
    <row r="3729" spans="1:5">
      <c r="A3729" s="140"/>
      <c r="B3729" s="192"/>
      <c r="C3729" s="140"/>
      <c r="D3729" s="140"/>
      <c r="E3729" s="140"/>
    </row>
    <row r="3730" spans="1:5">
      <c r="A3730" s="140"/>
      <c r="B3730" s="192"/>
      <c r="C3730" s="140"/>
      <c r="D3730" s="140"/>
      <c r="E3730" s="140"/>
    </row>
    <row r="3731" spans="1:5">
      <c r="A3731" s="140"/>
      <c r="B3731" s="192"/>
      <c r="C3731" s="140"/>
      <c r="D3731" s="140"/>
      <c r="E3731" s="140"/>
    </row>
    <row r="3732" spans="1:5">
      <c r="A3732" s="140"/>
      <c r="B3732" s="192"/>
      <c r="C3732" s="140"/>
      <c r="D3732" s="140"/>
      <c r="E3732" s="140"/>
    </row>
    <row r="3733" spans="1:5">
      <c r="A3733" s="140"/>
      <c r="B3733" s="192"/>
      <c r="C3733" s="140"/>
      <c r="D3733" s="140"/>
      <c r="E3733" s="140"/>
    </row>
    <row r="3734" spans="1:5">
      <c r="A3734" s="140"/>
      <c r="B3734" s="192"/>
      <c r="C3734" s="140"/>
      <c r="D3734" s="140"/>
      <c r="E3734" s="140"/>
    </row>
    <row r="3735" spans="1:5">
      <c r="A3735" s="140"/>
      <c r="B3735" s="192"/>
      <c r="C3735" s="140"/>
      <c r="D3735" s="140"/>
      <c r="E3735" s="140"/>
    </row>
    <row r="3736" spans="1:5">
      <c r="A3736" s="140"/>
      <c r="B3736" s="192"/>
      <c r="C3736" s="140"/>
      <c r="D3736" s="140"/>
      <c r="E3736" s="140"/>
    </row>
    <row r="3737" spans="1:5">
      <c r="A3737" s="140"/>
      <c r="B3737" s="192"/>
      <c r="C3737" s="140"/>
      <c r="D3737" s="140"/>
      <c r="E3737" s="140"/>
    </row>
    <row r="3738" spans="1:5">
      <c r="A3738" s="140"/>
      <c r="B3738" s="192"/>
      <c r="C3738" s="140"/>
      <c r="D3738" s="140"/>
      <c r="E3738" s="140"/>
    </row>
    <row r="3739" spans="1:5">
      <c r="A3739" s="140"/>
      <c r="B3739" s="192"/>
      <c r="C3739" s="140"/>
      <c r="D3739" s="140"/>
      <c r="E3739" s="140"/>
    </row>
    <row r="3740" spans="1:5">
      <c r="A3740" s="140"/>
      <c r="B3740" s="192"/>
      <c r="C3740" s="140"/>
      <c r="D3740" s="140"/>
      <c r="E3740" s="140"/>
    </row>
    <row r="3741" spans="1:5">
      <c r="A3741" s="140"/>
      <c r="B3741" s="192"/>
      <c r="C3741" s="140"/>
      <c r="D3741" s="140"/>
      <c r="E3741" s="140"/>
    </row>
    <row r="3742" spans="1:5">
      <c r="A3742" s="140"/>
      <c r="B3742" s="192"/>
      <c r="C3742" s="140"/>
      <c r="D3742" s="140"/>
      <c r="E3742" s="140"/>
    </row>
    <row r="3743" spans="1:5">
      <c r="A3743" s="140"/>
      <c r="B3743" s="192"/>
      <c r="C3743" s="140"/>
      <c r="D3743" s="140"/>
      <c r="E3743" s="140"/>
    </row>
    <row r="3744" spans="1:5">
      <c r="A3744" s="140"/>
      <c r="B3744" s="192"/>
      <c r="C3744" s="140"/>
      <c r="D3744" s="140"/>
      <c r="E3744" s="140"/>
    </row>
    <row r="3745" spans="1:5">
      <c r="A3745" s="140"/>
      <c r="B3745" s="192"/>
      <c r="C3745" s="140"/>
      <c r="D3745" s="140"/>
      <c r="E3745" s="140"/>
    </row>
    <row r="3746" spans="1:5">
      <c r="A3746" s="140"/>
      <c r="B3746" s="192"/>
      <c r="C3746" s="140"/>
      <c r="D3746" s="140"/>
      <c r="E3746" s="140"/>
    </row>
    <row r="3747" spans="1:5">
      <c r="A3747" s="140"/>
      <c r="B3747" s="192"/>
      <c r="C3747" s="140"/>
      <c r="D3747" s="140"/>
      <c r="E3747" s="140"/>
    </row>
    <row r="3748" spans="1:5">
      <c r="A3748" s="140"/>
      <c r="B3748" s="192"/>
      <c r="C3748" s="140"/>
      <c r="D3748" s="140"/>
      <c r="E3748" s="140"/>
    </row>
    <row r="3749" spans="1:5">
      <c r="A3749" s="140"/>
      <c r="B3749" s="192"/>
      <c r="C3749" s="140"/>
      <c r="D3749" s="140"/>
      <c r="E3749" s="140"/>
    </row>
    <row r="3750" spans="1:5">
      <c r="A3750" s="140"/>
      <c r="B3750" s="192"/>
      <c r="C3750" s="140"/>
      <c r="D3750" s="140"/>
      <c r="E3750" s="140"/>
    </row>
    <row r="3751" spans="1:5">
      <c r="A3751" s="140"/>
      <c r="B3751" s="192"/>
      <c r="C3751" s="140"/>
      <c r="D3751" s="140"/>
      <c r="E3751" s="140"/>
    </row>
    <row r="3752" spans="1:5">
      <c r="A3752" s="140"/>
      <c r="B3752" s="192"/>
      <c r="C3752" s="140"/>
      <c r="D3752" s="140"/>
      <c r="E3752" s="140"/>
    </row>
    <row r="3753" spans="1:5">
      <c r="A3753" s="140"/>
      <c r="B3753" s="192"/>
      <c r="C3753" s="140"/>
      <c r="D3753" s="140"/>
      <c r="E3753" s="140"/>
    </row>
    <row r="3754" spans="1:5">
      <c r="A3754" s="140"/>
      <c r="B3754" s="192"/>
      <c r="C3754" s="140"/>
      <c r="D3754" s="140"/>
      <c r="E3754" s="140"/>
    </row>
    <row r="3755" spans="1:5">
      <c r="A3755" s="140"/>
      <c r="B3755" s="192"/>
      <c r="C3755" s="140"/>
      <c r="D3755" s="140"/>
      <c r="E3755" s="140"/>
    </row>
    <row r="3756" spans="1:5">
      <c r="A3756" s="140"/>
      <c r="B3756" s="192"/>
      <c r="C3756" s="140"/>
      <c r="D3756" s="140"/>
      <c r="E3756" s="140"/>
    </row>
    <row r="3757" spans="1:5">
      <c r="A3757" s="140"/>
      <c r="B3757" s="192"/>
      <c r="C3757" s="140"/>
      <c r="D3757" s="140"/>
      <c r="E3757" s="140"/>
    </row>
    <row r="3758" spans="1:5">
      <c r="A3758" s="140"/>
      <c r="B3758" s="192"/>
      <c r="C3758" s="140"/>
      <c r="D3758" s="140"/>
      <c r="E3758" s="140"/>
    </row>
    <row r="3759" spans="1:5">
      <c r="A3759" s="140"/>
      <c r="B3759" s="192"/>
      <c r="C3759" s="140"/>
      <c r="D3759" s="140"/>
      <c r="E3759" s="140"/>
    </row>
    <row r="3760" spans="1:5">
      <c r="A3760" s="140"/>
      <c r="B3760" s="192"/>
      <c r="C3760" s="140"/>
      <c r="D3760" s="140"/>
      <c r="E3760" s="140"/>
    </row>
    <row r="3761" spans="1:5">
      <c r="A3761" s="140"/>
      <c r="B3761" s="192"/>
      <c r="C3761" s="140"/>
      <c r="D3761" s="140"/>
      <c r="E3761" s="140"/>
    </row>
    <row r="3762" spans="1:5">
      <c r="A3762" s="140"/>
      <c r="B3762" s="192"/>
      <c r="C3762" s="140"/>
      <c r="D3762" s="140"/>
      <c r="E3762" s="140"/>
    </row>
    <row r="3763" spans="1:5">
      <c r="A3763" s="140"/>
      <c r="B3763" s="192"/>
      <c r="C3763" s="140"/>
      <c r="D3763" s="140"/>
      <c r="E3763" s="140"/>
    </row>
    <row r="3764" spans="1:5">
      <c r="A3764" s="140"/>
      <c r="B3764" s="192"/>
      <c r="C3764" s="140"/>
      <c r="D3764" s="140"/>
      <c r="E3764" s="140"/>
    </row>
    <row r="3765" spans="1:5">
      <c r="A3765" s="140"/>
      <c r="B3765" s="192"/>
      <c r="C3765" s="140"/>
      <c r="D3765" s="140"/>
      <c r="E3765" s="140"/>
    </row>
    <row r="3766" spans="1:5">
      <c r="A3766" s="140"/>
      <c r="B3766" s="192"/>
      <c r="C3766" s="140"/>
      <c r="D3766" s="140"/>
      <c r="E3766" s="140"/>
    </row>
    <row r="3767" spans="1:5">
      <c r="A3767" s="140"/>
      <c r="B3767" s="192"/>
      <c r="C3767" s="140"/>
      <c r="D3767" s="140"/>
      <c r="E3767" s="140"/>
    </row>
    <row r="3768" spans="1:5">
      <c r="A3768" s="140"/>
      <c r="B3768" s="192"/>
      <c r="C3768" s="140"/>
      <c r="D3768" s="140"/>
      <c r="E3768" s="140"/>
    </row>
    <row r="3769" spans="1:5">
      <c r="A3769" s="140"/>
      <c r="B3769" s="192"/>
      <c r="C3769" s="140"/>
      <c r="D3769" s="140"/>
      <c r="E3769" s="140"/>
    </row>
    <row r="3770" spans="1:5">
      <c r="A3770" s="140"/>
      <c r="B3770" s="192"/>
      <c r="C3770" s="140"/>
      <c r="D3770" s="140"/>
      <c r="E3770" s="140"/>
    </row>
    <row r="3771" spans="1:5">
      <c r="A3771" s="140"/>
      <c r="B3771" s="192"/>
      <c r="C3771" s="140"/>
      <c r="D3771" s="140"/>
      <c r="E3771" s="140"/>
    </row>
    <row r="3772" spans="1:5">
      <c r="A3772" s="140"/>
      <c r="B3772" s="192"/>
      <c r="C3772" s="140"/>
      <c r="D3772" s="140"/>
      <c r="E3772" s="140"/>
    </row>
    <row r="3773" spans="1:5">
      <c r="A3773" s="140"/>
      <c r="B3773" s="192"/>
      <c r="C3773" s="140"/>
      <c r="D3773" s="140"/>
      <c r="E3773" s="140"/>
    </row>
    <row r="3774" spans="1:5">
      <c r="A3774" s="140"/>
      <c r="B3774" s="192"/>
      <c r="C3774" s="140"/>
      <c r="D3774" s="140"/>
      <c r="E3774" s="140"/>
    </row>
    <row r="3775" spans="1:5">
      <c r="A3775" s="140"/>
      <c r="B3775" s="192"/>
      <c r="C3775" s="140"/>
      <c r="D3775" s="140"/>
      <c r="E3775" s="140"/>
    </row>
    <row r="3776" spans="1:5">
      <c r="A3776" s="140"/>
      <c r="B3776" s="192"/>
      <c r="C3776" s="140"/>
      <c r="D3776" s="140"/>
      <c r="E3776" s="140"/>
    </row>
    <row r="3777" spans="1:5">
      <c r="A3777" s="140"/>
      <c r="B3777" s="192"/>
      <c r="C3777" s="140"/>
      <c r="D3777" s="140"/>
      <c r="E3777" s="140"/>
    </row>
    <row r="3778" spans="1:5">
      <c r="A3778" s="140"/>
      <c r="B3778" s="192"/>
      <c r="C3778" s="140"/>
      <c r="D3778" s="140"/>
      <c r="E3778" s="140"/>
    </row>
    <row r="3779" spans="1:5">
      <c r="A3779" s="140"/>
      <c r="B3779" s="192"/>
      <c r="C3779" s="140"/>
      <c r="D3779" s="140"/>
      <c r="E3779" s="140"/>
    </row>
    <row r="3780" spans="1:5">
      <c r="A3780" s="140"/>
      <c r="B3780" s="192"/>
      <c r="C3780" s="140"/>
      <c r="D3780" s="140"/>
      <c r="E3780" s="140"/>
    </row>
    <row r="3781" spans="1:5">
      <c r="A3781" s="140"/>
      <c r="B3781" s="192"/>
      <c r="C3781" s="140"/>
      <c r="D3781" s="140"/>
      <c r="E3781" s="140"/>
    </row>
    <row r="3782" spans="1:5">
      <c r="A3782" s="140"/>
      <c r="B3782" s="192"/>
      <c r="C3782" s="140"/>
      <c r="D3782" s="140"/>
      <c r="E3782" s="140"/>
    </row>
    <row r="3783" spans="1:5">
      <c r="A3783" s="140"/>
      <c r="B3783" s="192"/>
      <c r="C3783" s="140"/>
      <c r="D3783" s="140"/>
      <c r="E3783" s="140"/>
    </row>
    <row r="3784" spans="1:5">
      <c r="A3784" s="140"/>
      <c r="B3784" s="192"/>
      <c r="C3784" s="140"/>
      <c r="D3784" s="140"/>
      <c r="E3784" s="140"/>
    </row>
    <row r="3785" spans="1:5">
      <c r="A3785" s="140"/>
      <c r="B3785" s="192"/>
      <c r="C3785" s="140"/>
      <c r="D3785" s="140"/>
      <c r="E3785" s="140"/>
    </row>
    <row r="3786" spans="1:5">
      <c r="A3786" s="140"/>
      <c r="B3786" s="192"/>
      <c r="C3786" s="140"/>
      <c r="D3786" s="140"/>
      <c r="E3786" s="140"/>
    </row>
    <row r="3787" spans="1:5">
      <c r="A3787" s="140"/>
      <c r="B3787" s="192"/>
      <c r="C3787" s="140"/>
      <c r="D3787" s="140"/>
      <c r="E3787" s="140"/>
    </row>
    <row r="3788" spans="1:5">
      <c r="A3788" s="140"/>
      <c r="B3788" s="192"/>
      <c r="C3788" s="140"/>
      <c r="D3788" s="140"/>
      <c r="E3788" s="140"/>
    </row>
    <row r="3789" spans="1:5">
      <c r="A3789" s="140"/>
      <c r="B3789" s="192"/>
      <c r="C3789" s="140"/>
      <c r="D3789" s="140"/>
      <c r="E3789" s="140"/>
    </row>
    <row r="3790" spans="1:5">
      <c r="A3790" s="140"/>
      <c r="B3790" s="192"/>
      <c r="C3790" s="140"/>
      <c r="D3790" s="140"/>
      <c r="E3790" s="140"/>
    </row>
    <row r="3791" spans="1:5">
      <c r="A3791" s="140"/>
      <c r="B3791" s="192"/>
      <c r="C3791" s="140"/>
      <c r="D3791" s="140"/>
      <c r="E3791" s="140"/>
    </row>
    <row r="3792" spans="1:5">
      <c r="A3792" s="140"/>
      <c r="B3792" s="192"/>
      <c r="C3792" s="140"/>
      <c r="D3792" s="140"/>
      <c r="E3792" s="140"/>
    </row>
    <row r="3793" spans="1:5">
      <c r="A3793" s="140"/>
      <c r="B3793" s="192"/>
      <c r="C3793" s="140"/>
      <c r="D3793" s="140"/>
      <c r="E3793" s="140"/>
    </row>
    <row r="3794" spans="1:5">
      <c r="A3794" s="140"/>
      <c r="B3794" s="192"/>
      <c r="C3794" s="140"/>
      <c r="D3794" s="140"/>
      <c r="E3794" s="140"/>
    </row>
    <row r="3795" spans="1:5">
      <c r="A3795" s="140"/>
      <c r="B3795" s="192"/>
      <c r="C3795" s="140"/>
      <c r="D3795" s="140"/>
      <c r="E3795" s="140"/>
    </row>
    <row r="3796" spans="1:5">
      <c r="A3796" s="140"/>
      <c r="B3796" s="192"/>
      <c r="C3796" s="140"/>
      <c r="D3796" s="140"/>
      <c r="E3796" s="140"/>
    </row>
    <row r="3797" spans="1:5">
      <c r="A3797" s="140"/>
      <c r="B3797" s="192"/>
      <c r="C3797" s="140"/>
      <c r="D3797" s="140"/>
      <c r="E3797" s="140"/>
    </row>
    <row r="3798" spans="1:5">
      <c r="A3798" s="140"/>
      <c r="B3798" s="192"/>
      <c r="C3798" s="140"/>
      <c r="D3798" s="140"/>
      <c r="E3798" s="140"/>
    </row>
    <row r="3799" spans="1:5">
      <c r="A3799" s="140"/>
      <c r="B3799" s="192"/>
      <c r="C3799" s="140"/>
      <c r="D3799" s="140"/>
      <c r="E3799" s="140"/>
    </row>
    <row r="3800" spans="1:5">
      <c r="A3800" s="140"/>
      <c r="B3800" s="192"/>
      <c r="C3800" s="140"/>
      <c r="D3800" s="140"/>
      <c r="E3800" s="140"/>
    </row>
    <row r="3801" spans="1:5">
      <c r="A3801" s="140"/>
      <c r="B3801" s="192"/>
      <c r="C3801" s="140"/>
      <c r="D3801" s="140"/>
      <c r="E3801" s="140"/>
    </row>
    <row r="3802" spans="1:5">
      <c r="A3802" s="140"/>
      <c r="B3802" s="192"/>
      <c r="C3802" s="140"/>
      <c r="D3802" s="140"/>
      <c r="E3802" s="140"/>
    </row>
    <row r="3803" spans="1:5">
      <c r="A3803" s="140"/>
      <c r="B3803" s="192"/>
      <c r="C3803" s="140"/>
      <c r="D3803" s="140"/>
      <c r="E3803" s="140"/>
    </row>
    <row r="3804" spans="1:5">
      <c r="A3804" s="140"/>
      <c r="B3804" s="192"/>
      <c r="C3804" s="140"/>
      <c r="D3804" s="140"/>
      <c r="E3804" s="140"/>
    </row>
    <row r="3805" spans="1:5">
      <c r="A3805" s="140"/>
      <c r="B3805" s="192"/>
      <c r="C3805" s="140"/>
      <c r="D3805" s="140"/>
      <c r="E3805" s="140"/>
    </row>
    <row r="3806" spans="1:5">
      <c r="A3806" s="140"/>
      <c r="B3806" s="192"/>
      <c r="C3806" s="140"/>
      <c r="D3806" s="140"/>
      <c r="E3806" s="140"/>
    </row>
    <row r="3807" spans="1:5">
      <c r="A3807" s="140"/>
      <c r="B3807" s="192"/>
      <c r="C3807" s="140"/>
      <c r="D3807" s="140"/>
      <c r="E3807" s="140"/>
    </row>
    <row r="3808" spans="1:5">
      <c r="A3808" s="140"/>
      <c r="B3808" s="192"/>
      <c r="C3808" s="140"/>
      <c r="D3808" s="140"/>
      <c r="E3808" s="140"/>
    </row>
    <row r="3809" spans="1:5">
      <c r="A3809" s="140"/>
      <c r="B3809" s="192"/>
      <c r="C3809" s="140"/>
      <c r="D3809" s="140"/>
      <c r="E3809" s="140"/>
    </row>
    <row r="3810" spans="1:5">
      <c r="A3810" s="140"/>
      <c r="B3810" s="192"/>
      <c r="C3810" s="140"/>
      <c r="D3810" s="140"/>
      <c r="E3810" s="140"/>
    </row>
    <row r="3811" spans="1:5">
      <c r="A3811" s="140"/>
      <c r="B3811" s="192"/>
      <c r="C3811" s="140"/>
      <c r="D3811" s="140"/>
      <c r="E3811" s="140"/>
    </row>
    <row r="3812" spans="1:5">
      <c r="A3812" s="140"/>
      <c r="B3812" s="192"/>
      <c r="C3812" s="140"/>
      <c r="D3812" s="140"/>
      <c r="E3812" s="140"/>
    </row>
    <row r="3813" spans="1:5">
      <c r="A3813" s="140"/>
      <c r="B3813" s="192"/>
      <c r="C3813" s="140"/>
      <c r="D3813" s="140"/>
      <c r="E3813" s="140"/>
    </row>
    <row r="3814" spans="1:5">
      <c r="A3814" s="140"/>
      <c r="B3814" s="192"/>
      <c r="C3814" s="140"/>
      <c r="D3814" s="140"/>
      <c r="E3814" s="140"/>
    </row>
    <row r="3815" spans="1:5">
      <c r="A3815" s="140"/>
      <c r="B3815" s="192"/>
      <c r="C3815" s="140"/>
      <c r="D3815" s="140"/>
      <c r="E3815" s="140"/>
    </row>
    <row r="3816" spans="1:5">
      <c r="A3816" s="140"/>
      <c r="B3816" s="192"/>
      <c r="C3816" s="140"/>
      <c r="D3816" s="140"/>
      <c r="E3816" s="140"/>
    </row>
    <row r="3817" spans="1:5">
      <c r="A3817" s="140"/>
      <c r="B3817" s="192"/>
      <c r="C3817" s="140"/>
      <c r="D3817" s="140"/>
      <c r="E3817" s="140"/>
    </row>
    <row r="3818" spans="1:5">
      <c r="A3818" s="140"/>
      <c r="B3818" s="192"/>
      <c r="C3818" s="140"/>
      <c r="D3818" s="140"/>
      <c r="E3818" s="140"/>
    </row>
    <row r="3819" spans="1:5">
      <c r="A3819" s="140"/>
      <c r="B3819" s="192"/>
      <c r="C3819" s="140"/>
      <c r="D3819" s="140"/>
      <c r="E3819" s="140"/>
    </row>
    <row r="3820" spans="1:5">
      <c r="A3820" s="140"/>
      <c r="B3820" s="192"/>
      <c r="C3820" s="140"/>
      <c r="D3820" s="140"/>
      <c r="E3820" s="140"/>
    </row>
    <row r="3821" spans="1:5">
      <c r="A3821" s="140"/>
      <c r="B3821" s="192"/>
      <c r="C3821" s="140"/>
      <c r="D3821" s="140"/>
      <c r="E3821" s="140"/>
    </row>
    <row r="3822" spans="1:5">
      <c r="A3822" s="140"/>
      <c r="B3822" s="192"/>
      <c r="C3822" s="140"/>
      <c r="D3822" s="140"/>
      <c r="E3822" s="140"/>
    </row>
    <row r="3823" spans="1:5">
      <c r="A3823" s="140"/>
      <c r="B3823" s="192"/>
      <c r="C3823" s="140"/>
      <c r="D3823" s="140"/>
      <c r="E3823" s="140"/>
    </row>
    <row r="3824" spans="1:5">
      <c r="A3824" s="140"/>
      <c r="B3824" s="192"/>
      <c r="C3824" s="140"/>
      <c r="D3824" s="140"/>
      <c r="E3824" s="140"/>
    </row>
    <row r="3825" spans="1:5">
      <c r="A3825" s="140"/>
      <c r="B3825" s="192"/>
      <c r="C3825" s="140"/>
      <c r="D3825" s="140"/>
      <c r="E3825" s="140"/>
    </row>
    <row r="3826" spans="1:5">
      <c r="A3826" s="140"/>
      <c r="B3826" s="192"/>
      <c r="C3826" s="140"/>
      <c r="D3826" s="140"/>
      <c r="E3826" s="140"/>
    </row>
    <row r="3827" spans="1:5">
      <c r="A3827" s="140"/>
      <c r="B3827" s="192"/>
      <c r="C3827" s="140"/>
      <c r="D3827" s="140"/>
      <c r="E3827" s="140"/>
    </row>
    <row r="3828" spans="1:5">
      <c r="A3828" s="140"/>
      <c r="B3828" s="192"/>
      <c r="C3828" s="140"/>
      <c r="D3828" s="140"/>
      <c r="E3828" s="140"/>
    </row>
    <row r="3829" spans="1:5">
      <c r="A3829" s="140"/>
      <c r="B3829" s="192"/>
      <c r="C3829" s="140"/>
      <c r="D3829" s="140"/>
      <c r="E3829" s="140"/>
    </row>
    <row r="3830" spans="1:5">
      <c r="A3830" s="140"/>
      <c r="B3830" s="192"/>
      <c r="C3830" s="140"/>
      <c r="D3830" s="140"/>
      <c r="E3830" s="140"/>
    </row>
    <row r="3831" spans="1:5">
      <c r="A3831" s="140"/>
      <c r="B3831" s="192"/>
      <c r="C3831" s="140"/>
      <c r="D3831" s="140"/>
      <c r="E3831" s="140"/>
    </row>
    <row r="3832" spans="1:5">
      <c r="A3832" s="140"/>
      <c r="B3832" s="192"/>
      <c r="C3832" s="140"/>
      <c r="D3832" s="140"/>
      <c r="E3832" s="140"/>
    </row>
    <row r="3833" spans="1:5">
      <c r="A3833" s="140"/>
      <c r="B3833" s="192"/>
      <c r="C3833" s="140"/>
      <c r="D3833" s="140"/>
      <c r="E3833" s="140"/>
    </row>
    <row r="3834" spans="1:5">
      <c r="A3834" s="140"/>
      <c r="B3834" s="192"/>
      <c r="C3834" s="140"/>
      <c r="D3834" s="140"/>
      <c r="E3834" s="140"/>
    </row>
    <row r="3835" spans="1:5">
      <c r="A3835" s="140"/>
      <c r="B3835" s="192"/>
      <c r="C3835" s="140"/>
      <c r="D3835" s="140"/>
      <c r="E3835" s="140"/>
    </row>
    <row r="3836" spans="1:5">
      <c r="A3836" s="140"/>
      <c r="B3836" s="192"/>
      <c r="C3836" s="140"/>
      <c r="D3836" s="140"/>
      <c r="E3836" s="140"/>
    </row>
    <row r="3837" spans="1:5">
      <c r="A3837" s="140"/>
      <c r="B3837" s="192"/>
      <c r="C3837" s="140"/>
      <c r="D3837" s="140"/>
      <c r="E3837" s="140"/>
    </row>
    <row r="3838" spans="1:5">
      <c r="A3838" s="140"/>
      <c r="B3838" s="192"/>
      <c r="C3838" s="140"/>
      <c r="D3838" s="140"/>
      <c r="E3838" s="140"/>
    </row>
    <row r="3839" spans="1:5">
      <c r="A3839" s="140"/>
      <c r="B3839" s="192"/>
      <c r="C3839" s="140"/>
      <c r="D3839" s="140"/>
      <c r="E3839" s="140"/>
    </row>
    <row r="3840" spans="1:5">
      <c r="A3840" s="140"/>
      <c r="B3840" s="192"/>
      <c r="C3840" s="140"/>
      <c r="D3840" s="140"/>
      <c r="E3840" s="140"/>
    </row>
    <row r="3841" spans="1:5">
      <c r="A3841" s="140"/>
      <c r="B3841" s="192"/>
      <c r="C3841" s="140"/>
      <c r="D3841" s="140"/>
      <c r="E3841" s="140"/>
    </row>
    <row r="3842" spans="1:5">
      <c r="A3842" s="140"/>
      <c r="B3842" s="192"/>
      <c r="C3842" s="140"/>
      <c r="D3842" s="140"/>
      <c r="E3842" s="140"/>
    </row>
    <row r="3843" spans="1:5">
      <c r="A3843" s="140"/>
      <c r="B3843" s="192"/>
      <c r="C3843" s="140"/>
      <c r="D3843" s="140"/>
      <c r="E3843" s="140"/>
    </row>
    <row r="3844" spans="1:5">
      <c r="A3844" s="140"/>
      <c r="B3844" s="192"/>
      <c r="C3844" s="140"/>
      <c r="D3844" s="140"/>
      <c r="E3844" s="140"/>
    </row>
    <row r="3845" spans="1:5">
      <c r="A3845" s="140"/>
      <c r="B3845" s="192"/>
      <c r="C3845" s="140"/>
      <c r="D3845" s="140"/>
      <c r="E3845" s="140"/>
    </row>
    <row r="3846" spans="1:5">
      <c r="A3846" s="140"/>
      <c r="B3846" s="192"/>
      <c r="C3846" s="140"/>
      <c r="D3846" s="140"/>
      <c r="E3846" s="140"/>
    </row>
    <row r="3847" spans="1:5">
      <c r="A3847" s="140"/>
      <c r="B3847" s="192"/>
      <c r="C3847" s="140"/>
      <c r="D3847" s="140"/>
      <c r="E3847" s="140"/>
    </row>
    <row r="3848" spans="1:5">
      <c r="A3848" s="140"/>
      <c r="B3848" s="192"/>
      <c r="C3848" s="140"/>
      <c r="D3848" s="140"/>
      <c r="E3848" s="140"/>
    </row>
    <row r="3849" spans="1:5">
      <c r="A3849" s="140"/>
      <c r="B3849" s="192"/>
      <c r="C3849" s="140"/>
      <c r="D3849" s="140"/>
      <c r="E3849" s="140"/>
    </row>
    <row r="3850" spans="1:5">
      <c r="A3850" s="140"/>
      <c r="B3850" s="192"/>
      <c r="C3850" s="140"/>
      <c r="D3850" s="140"/>
      <c r="E3850" s="140"/>
    </row>
    <row r="3851" spans="1:5">
      <c r="A3851" s="140"/>
      <c r="B3851" s="192"/>
      <c r="C3851" s="140"/>
      <c r="D3851" s="140"/>
      <c r="E3851" s="140"/>
    </row>
    <row r="3852" spans="1:5">
      <c r="A3852" s="140"/>
      <c r="B3852" s="192"/>
      <c r="C3852" s="140"/>
      <c r="D3852" s="140"/>
      <c r="E3852" s="140"/>
    </row>
    <row r="3853" spans="1:5">
      <c r="A3853" s="140"/>
      <c r="B3853" s="192"/>
      <c r="C3853" s="140"/>
      <c r="D3853" s="140"/>
      <c r="E3853" s="140"/>
    </row>
    <row r="3854" spans="1:5">
      <c r="A3854" s="140"/>
      <c r="B3854" s="192"/>
      <c r="C3854" s="140"/>
      <c r="D3854" s="140"/>
      <c r="E3854" s="140"/>
    </row>
    <row r="3855" spans="1:5">
      <c r="A3855" s="140"/>
      <c r="B3855" s="192"/>
      <c r="C3855" s="140"/>
      <c r="D3855" s="140"/>
      <c r="E3855" s="140"/>
    </row>
    <row r="3856" spans="1:5">
      <c r="A3856" s="140"/>
      <c r="B3856" s="192"/>
      <c r="C3856" s="140"/>
      <c r="D3856" s="140"/>
      <c r="E3856" s="140"/>
    </row>
    <row r="3857" spans="1:5">
      <c r="A3857" s="140"/>
      <c r="B3857" s="192"/>
      <c r="C3857" s="140"/>
      <c r="D3857" s="140"/>
      <c r="E3857" s="140"/>
    </row>
    <row r="3858" spans="1:5">
      <c r="A3858" s="140"/>
      <c r="B3858" s="192"/>
      <c r="C3858" s="140"/>
      <c r="D3858" s="140"/>
      <c r="E3858" s="140"/>
    </row>
    <row r="3859" spans="1:5">
      <c r="A3859" s="140"/>
      <c r="B3859" s="192"/>
      <c r="C3859" s="140"/>
      <c r="D3859" s="140"/>
      <c r="E3859" s="140"/>
    </row>
    <row r="3860" spans="1:5">
      <c r="A3860" s="140"/>
      <c r="B3860" s="192"/>
      <c r="C3860" s="140"/>
      <c r="D3860" s="140"/>
      <c r="E3860" s="140"/>
    </row>
    <row r="3861" spans="1:5">
      <c r="A3861" s="140"/>
      <c r="B3861" s="192"/>
      <c r="C3861" s="140"/>
      <c r="D3861" s="140"/>
      <c r="E3861" s="140"/>
    </row>
    <row r="3862" spans="1:5">
      <c r="A3862" s="140"/>
      <c r="B3862" s="192"/>
      <c r="C3862" s="140"/>
      <c r="D3862" s="140"/>
      <c r="E3862" s="140"/>
    </row>
    <row r="3863" spans="1:5">
      <c r="A3863" s="140"/>
      <c r="B3863" s="192"/>
      <c r="C3863" s="140"/>
      <c r="D3863" s="140"/>
      <c r="E3863" s="140"/>
    </row>
    <row r="3864" spans="1:5">
      <c r="A3864" s="140"/>
      <c r="B3864" s="192"/>
      <c r="C3864" s="140"/>
      <c r="D3864" s="140"/>
      <c r="E3864" s="140"/>
    </row>
    <row r="3865" spans="1:5">
      <c r="A3865" s="140"/>
      <c r="B3865" s="192"/>
      <c r="C3865" s="140"/>
      <c r="D3865" s="140"/>
      <c r="E3865" s="140"/>
    </row>
    <row r="3866" spans="1:5">
      <c r="A3866" s="140"/>
      <c r="B3866" s="192"/>
      <c r="C3866" s="140"/>
      <c r="D3866" s="140"/>
      <c r="E3866" s="140"/>
    </row>
    <row r="3867" spans="1:5">
      <c r="A3867" s="140"/>
      <c r="B3867" s="192"/>
      <c r="C3867" s="140"/>
      <c r="D3867" s="140"/>
      <c r="E3867" s="140"/>
    </row>
    <row r="3868" spans="1:5">
      <c r="A3868" s="140"/>
      <c r="B3868" s="192"/>
      <c r="C3868" s="140"/>
      <c r="D3868" s="140"/>
      <c r="E3868" s="140"/>
    </row>
    <row r="3869" spans="1:5">
      <c r="A3869" s="140"/>
      <c r="B3869" s="192"/>
      <c r="C3869" s="140"/>
      <c r="D3869" s="140"/>
      <c r="E3869" s="140"/>
    </row>
    <row r="3870" spans="1:5">
      <c r="A3870" s="140"/>
      <c r="B3870" s="192"/>
      <c r="C3870" s="140"/>
      <c r="D3870" s="140"/>
      <c r="E3870" s="140"/>
    </row>
    <row r="3871" spans="1:5">
      <c r="A3871" s="140"/>
      <c r="B3871" s="192"/>
      <c r="C3871" s="140"/>
      <c r="D3871" s="140"/>
      <c r="E3871" s="140"/>
    </row>
    <row r="3872" spans="1:5">
      <c r="A3872" s="140"/>
      <c r="B3872" s="192"/>
      <c r="C3872" s="140"/>
      <c r="D3872" s="140"/>
      <c r="E3872" s="140"/>
    </row>
    <row r="3873" spans="1:5">
      <c r="A3873" s="140"/>
      <c r="B3873" s="192"/>
      <c r="C3873" s="140"/>
      <c r="D3873" s="140"/>
      <c r="E3873" s="140"/>
    </row>
    <row r="3874" spans="1:5">
      <c r="A3874" s="140"/>
      <c r="B3874" s="192"/>
      <c r="C3874" s="140"/>
      <c r="D3874" s="140"/>
      <c r="E3874" s="140"/>
    </row>
    <row r="3875" spans="1:5">
      <c r="A3875" s="140"/>
      <c r="B3875" s="192"/>
      <c r="C3875" s="140"/>
      <c r="D3875" s="140"/>
      <c r="E3875" s="140"/>
    </row>
    <row r="3876" spans="1:5">
      <c r="A3876" s="140"/>
      <c r="B3876" s="192"/>
      <c r="C3876" s="140"/>
      <c r="D3876" s="140"/>
      <c r="E3876" s="140"/>
    </row>
    <row r="3877" spans="1:5">
      <c r="A3877" s="140"/>
      <c r="B3877" s="192"/>
      <c r="C3877" s="140"/>
      <c r="D3877" s="140"/>
      <c r="E3877" s="140"/>
    </row>
    <row r="3878" spans="1:5">
      <c r="A3878" s="140"/>
      <c r="B3878" s="192"/>
      <c r="C3878" s="140"/>
      <c r="D3878" s="140"/>
      <c r="E3878" s="140"/>
    </row>
    <row r="3879" spans="1:5">
      <c r="A3879" s="140"/>
      <c r="B3879" s="192"/>
      <c r="C3879" s="140"/>
      <c r="D3879" s="140"/>
      <c r="E3879" s="140"/>
    </row>
    <row r="3880" spans="1:5">
      <c r="A3880" s="140"/>
      <c r="B3880" s="192"/>
      <c r="C3880" s="140"/>
      <c r="D3880" s="140"/>
      <c r="E3880" s="140"/>
    </row>
    <row r="3881" spans="1:5">
      <c r="A3881" s="140"/>
      <c r="B3881" s="192"/>
      <c r="C3881" s="140"/>
      <c r="D3881" s="140"/>
      <c r="E3881" s="140"/>
    </row>
    <row r="3882" spans="1:5">
      <c r="A3882" s="140"/>
      <c r="B3882" s="192"/>
      <c r="C3882" s="140"/>
      <c r="D3882" s="140"/>
      <c r="E3882" s="140"/>
    </row>
    <row r="3883" spans="1:5">
      <c r="A3883" s="140"/>
      <c r="B3883" s="192"/>
      <c r="C3883" s="140"/>
      <c r="D3883" s="140"/>
      <c r="E3883" s="140"/>
    </row>
    <row r="3884" spans="1:5">
      <c r="A3884" s="140"/>
      <c r="B3884" s="192"/>
      <c r="C3884" s="140"/>
      <c r="D3884" s="140"/>
      <c r="E3884" s="140"/>
    </row>
    <row r="3885" spans="1:5">
      <c r="A3885" s="140"/>
      <c r="B3885" s="192"/>
      <c r="C3885" s="140"/>
      <c r="D3885" s="140"/>
      <c r="E3885" s="140"/>
    </row>
    <row r="3886" spans="1:5">
      <c r="A3886" s="140"/>
      <c r="B3886" s="192"/>
      <c r="C3886" s="140"/>
      <c r="D3886" s="140"/>
      <c r="E3886" s="140"/>
    </row>
    <row r="3887" spans="1:5">
      <c r="A3887" s="140"/>
      <c r="B3887" s="192"/>
      <c r="C3887" s="140"/>
      <c r="D3887" s="140"/>
      <c r="E3887" s="140"/>
    </row>
    <row r="3888" spans="1:5">
      <c r="A3888" s="140"/>
      <c r="B3888" s="192"/>
      <c r="C3888" s="140"/>
      <c r="D3888" s="140"/>
      <c r="E3888" s="140"/>
    </row>
    <row r="3889" spans="1:5">
      <c r="A3889" s="140"/>
      <c r="B3889" s="192"/>
      <c r="C3889" s="140"/>
      <c r="D3889" s="140"/>
      <c r="E3889" s="140"/>
    </row>
    <row r="3890" spans="1:5">
      <c r="A3890" s="140"/>
      <c r="B3890" s="192"/>
      <c r="C3890" s="140"/>
      <c r="D3890" s="140"/>
      <c r="E3890" s="140"/>
    </row>
    <row r="3891" spans="1:5">
      <c r="A3891" s="140"/>
      <c r="B3891" s="192"/>
      <c r="C3891" s="140"/>
      <c r="D3891" s="140"/>
      <c r="E3891" s="140"/>
    </row>
    <row r="3892" spans="1:5">
      <c r="A3892" s="140"/>
      <c r="B3892" s="192"/>
      <c r="C3892" s="140"/>
      <c r="D3892" s="140"/>
      <c r="E3892" s="140"/>
    </row>
    <row r="3893" spans="1:5">
      <c r="A3893" s="140"/>
      <c r="B3893" s="192"/>
      <c r="C3893" s="140"/>
      <c r="D3893" s="140"/>
      <c r="E3893" s="140"/>
    </row>
    <row r="3894" spans="1:5">
      <c r="A3894" s="140"/>
      <c r="B3894" s="192"/>
      <c r="C3894" s="140"/>
      <c r="D3894" s="140"/>
      <c r="E3894" s="140"/>
    </row>
    <row r="3895" spans="1:5">
      <c r="A3895" s="140"/>
      <c r="B3895" s="192"/>
      <c r="C3895" s="140"/>
      <c r="D3895" s="140"/>
      <c r="E3895" s="140"/>
    </row>
    <row r="3896" spans="1:5">
      <c r="A3896" s="140"/>
      <c r="B3896" s="192"/>
      <c r="C3896" s="140"/>
      <c r="D3896" s="140"/>
      <c r="E3896" s="140"/>
    </row>
    <row r="3897" spans="1:5">
      <c r="A3897" s="140"/>
      <c r="B3897" s="192"/>
      <c r="C3897" s="140"/>
      <c r="D3897" s="140"/>
      <c r="E3897" s="140"/>
    </row>
    <row r="3898" spans="1:5">
      <c r="A3898" s="140"/>
      <c r="B3898" s="192"/>
      <c r="C3898" s="140"/>
      <c r="D3898" s="140"/>
      <c r="E3898" s="140"/>
    </row>
    <row r="3899" spans="1:5">
      <c r="A3899" s="140"/>
      <c r="B3899" s="192"/>
      <c r="C3899" s="140"/>
      <c r="D3899" s="140"/>
      <c r="E3899" s="140"/>
    </row>
    <row r="3900" spans="1:5">
      <c r="A3900" s="140"/>
      <c r="B3900" s="192"/>
      <c r="C3900" s="140"/>
      <c r="D3900" s="140"/>
      <c r="E3900" s="140"/>
    </row>
    <row r="3901" spans="1:5">
      <c r="A3901" s="140"/>
      <c r="B3901" s="192"/>
      <c r="C3901" s="140"/>
      <c r="D3901" s="140"/>
      <c r="E3901" s="140"/>
    </row>
    <row r="3902" spans="1:5">
      <c r="A3902" s="140"/>
      <c r="B3902" s="192"/>
      <c r="C3902" s="140"/>
      <c r="D3902" s="140"/>
      <c r="E3902" s="140"/>
    </row>
    <row r="3903" spans="1:5">
      <c r="A3903" s="140"/>
      <c r="B3903" s="192"/>
      <c r="C3903" s="140"/>
      <c r="D3903" s="140"/>
      <c r="E3903" s="140"/>
    </row>
    <row r="3904" spans="1:5">
      <c r="A3904" s="140"/>
      <c r="B3904" s="192"/>
      <c r="C3904" s="140"/>
      <c r="D3904" s="140"/>
      <c r="E3904" s="140"/>
    </row>
    <row r="3905" spans="1:5">
      <c r="A3905" s="140"/>
      <c r="B3905" s="192"/>
      <c r="C3905" s="140"/>
      <c r="D3905" s="140"/>
      <c r="E3905" s="140"/>
    </row>
    <row r="3906" spans="1:5">
      <c r="A3906" s="140"/>
      <c r="B3906" s="192"/>
      <c r="C3906" s="140"/>
      <c r="D3906" s="140"/>
      <c r="E3906" s="140"/>
    </row>
    <row r="3907" spans="1:5">
      <c r="A3907" s="140"/>
      <c r="B3907" s="192"/>
      <c r="C3907" s="140"/>
      <c r="D3907" s="140"/>
      <c r="E3907" s="140"/>
    </row>
    <row r="3908" spans="1:5">
      <c r="A3908" s="140"/>
      <c r="B3908" s="192"/>
      <c r="C3908" s="140"/>
      <c r="D3908" s="140"/>
      <c r="E3908" s="140"/>
    </row>
    <row r="3909" spans="1:5">
      <c r="A3909" s="140"/>
      <c r="B3909" s="192"/>
      <c r="C3909" s="140"/>
      <c r="D3909" s="140"/>
      <c r="E3909" s="140"/>
    </row>
    <row r="3910" spans="1:5">
      <c r="A3910" s="140"/>
      <c r="B3910" s="192"/>
      <c r="C3910" s="140"/>
      <c r="D3910" s="140"/>
      <c r="E3910" s="140"/>
    </row>
    <row r="3911" spans="1:5">
      <c r="A3911" s="140"/>
      <c r="B3911" s="192"/>
      <c r="C3911" s="140"/>
      <c r="D3911" s="140"/>
      <c r="E3911" s="140"/>
    </row>
    <row r="3912" spans="1:5">
      <c r="A3912" s="140"/>
      <c r="B3912" s="192"/>
      <c r="C3912" s="140"/>
      <c r="D3912" s="140"/>
      <c r="E3912" s="140"/>
    </row>
    <row r="3913" spans="1:5">
      <c r="A3913" s="140"/>
      <c r="B3913" s="192"/>
      <c r="C3913" s="140"/>
      <c r="D3913" s="140"/>
      <c r="E3913" s="140"/>
    </row>
    <row r="3914" spans="1:5">
      <c r="A3914" s="140"/>
      <c r="B3914" s="192"/>
      <c r="C3914" s="140"/>
      <c r="D3914" s="140"/>
      <c r="E3914" s="140"/>
    </row>
    <row r="3915" spans="1:5">
      <c r="A3915" s="140"/>
      <c r="B3915" s="192"/>
      <c r="C3915" s="140"/>
      <c r="D3915" s="140"/>
      <c r="E3915" s="140"/>
    </row>
    <row r="3916" spans="1:5">
      <c r="A3916" s="140"/>
      <c r="B3916" s="192"/>
      <c r="C3916" s="140"/>
      <c r="D3916" s="140"/>
      <c r="E3916" s="140"/>
    </row>
    <row r="3917" spans="1:5">
      <c r="A3917" s="140"/>
      <c r="B3917" s="192"/>
      <c r="C3917" s="140"/>
      <c r="D3917" s="140"/>
      <c r="E3917" s="140"/>
    </row>
    <row r="3918" spans="1:5">
      <c r="A3918" s="140"/>
      <c r="B3918" s="192"/>
      <c r="C3918" s="140"/>
      <c r="D3918" s="140"/>
      <c r="E3918" s="140"/>
    </row>
    <row r="3919" spans="1:5">
      <c r="A3919" s="140"/>
      <c r="B3919" s="192"/>
      <c r="C3919" s="140"/>
      <c r="D3919" s="140"/>
      <c r="E3919" s="140"/>
    </row>
    <row r="3920" spans="1:5">
      <c r="A3920" s="140"/>
      <c r="B3920" s="192"/>
      <c r="C3920" s="140"/>
      <c r="D3920" s="140"/>
      <c r="E3920" s="140"/>
    </row>
    <row r="3921" spans="1:5">
      <c r="A3921" s="140"/>
      <c r="B3921" s="192"/>
      <c r="C3921" s="140"/>
      <c r="D3921" s="140"/>
      <c r="E3921" s="140"/>
    </row>
    <row r="3922" spans="1:5">
      <c r="A3922" s="140"/>
      <c r="B3922" s="192"/>
      <c r="C3922" s="140"/>
      <c r="D3922" s="140"/>
      <c r="E3922" s="140"/>
    </row>
    <row r="3923" spans="1:5">
      <c r="A3923" s="140"/>
      <c r="B3923" s="192"/>
      <c r="C3923" s="140"/>
      <c r="D3923" s="140"/>
      <c r="E3923" s="140"/>
    </row>
    <row r="3924" spans="1:5">
      <c r="A3924" s="140"/>
      <c r="B3924" s="192"/>
      <c r="C3924" s="140"/>
      <c r="D3924" s="140"/>
      <c r="E3924" s="140"/>
    </row>
    <row r="3925" spans="1:5">
      <c r="A3925" s="140"/>
      <c r="B3925" s="192"/>
      <c r="C3925" s="140"/>
      <c r="D3925" s="140"/>
      <c r="E3925" s="140"/>
    </row>
    <row r="3926" spans="1:5">
      <c r="A3926" s="140"/>
      <c r="B3926" s="192"/>
      <c r="C3926" s="140"/>
      <c r="D3926" s="140"/>
      <c r="E3926" s="140"/>
    </row>
    <row r="3927" spans="1:5">
      <c r="A3927" s="140"/>
      <c r="B3927" s="192"/>
      <c r="C3927" s="140"/>
      <c r="D3927" s="140"/>
      <c r="E3927" s="140"/>
    </row>
    <row r="3928" spans="1:5">
      <c r="A3928" s="140"/>
      <c r="B3928" s="192"/>
      <c r="C3928" s="140"/>
      <c r="D3928" s="140"/>
      <c r="E3928" s="140"/>
    </row>
    <row r="3929" spans="1:5">
      <c r="A3929" s="140"/>
      <c r="B3929" s="192"/>
      <c r="C3929" s="140"/>
      <c r="D3929" s="140"/>
      <c r="E3929" s="140"/>
    </row>
    <row r="3930" spans="1:5">
      <c r="A3930" s="140"/>
      <c r="B3930" s="192"/>
      <c r="C3930" s="140"/>
      <c r="D3930" s="140"/>
      <c r="E3930" s="140"/>
    </row>
    <row r="3931" spans="1:5">
      <c r="A3931" s="140"/>
      <c r="B3931" s="192"/>
      <c r="C3931" s="140"/>
      <c r="D3931" s="140"/>
      <c r="E3931" s="140"/>
    </row>
    <row r="3932" spans="1:5">
      <c r="A3932" s="140"/>
      <c r="B3932" s="192"/>
      <c r="C3932" s="140"/>
      <c r="D3932" s="140"/>
      <c r="E3932" s="140"/>
    </row>
    <row r="3933" spans="1:5">
      <c r="A3933" s="140"/>
      <c r="B3933" s="192"/>
      <c r="C3933" s="140"/>
      <c r="D3933" s="140"/>
      <c r="E3933" s="140"/>
    </row>
    <row r="3934" spans="1:5">
      <c r="A3934" s="140"/>
      <c r="B3934" s="192"/>
      <c r="C3934" s="140"/>
      <c r="D3934" s="140"/>
      <c r="E3934" s="140"/>
    </row>
    <row r="3935" spans="1:5">
      <c r="A3935" s="140"/>
      <c r="B3935" s="192"/>
      <c r="C3935" s="140"/>
      <c r="D3935" s="140"/>
      <c r="E3935" s="140"/>
    </row>
    <row r="3936" spans="1:5">
      <c r="A3936" s="140"/>
      <c r="B3936" s="192"/>
      <c r="C3936" s="140"/>
      <c r="D3936" s="140"/>
      <c r="E3936" s="140"/>
    </row>
    <row r="3937" spans="1:5">
      <c r="A3937" s="140"/>
      <c r="B3937" s="192"/>
      <c r="C3937" s="140"/>
      <c r="D3937" s="140"/>
      <c r="E3937" s="140"/>
    </row>
    <row r="3938" spans="1:5">
      <c r="A3938" s="140"/>
      <c r="B3938" s="192"/>
      <c r="C3938" s="140"/>
      <c r="D3938" s="140"/>
      <c r="E3938" s="140"/>
    </row>
    <row r="3939" spans="1:5">
      <c r="A3939" s="140"/>
      <c r="B3939" s="192"/>
      <c r="C3939" s="140"/>
      <c r="D3939" s="140"/>
      <c r="E3939" s="140"/>
    </row>
    <row r="3940" spans="1:5">
      <c r="A3940" s="140"/>
      <c r="B3940" s="192"/>
      <c r="C3940" s="140"/>
      <c r="D3940" s="140"/>
      <c r="E3940" s="140"/>
    </row>
    <row r="3941" spans="1:5">
      <c r="A3941" s="140"/>
      <c r="B3941" s="192"/>
      <c r="C3941" s="140"/>
      <c r="D3941" s="140"/>
      <c r="E3941" s="140"/>
    </row>
    <row r="3942" spans="1:5">
      <c r="A3942" s="140"/>
      <c r="B3942" s="192"/>
      <c r="C3942" s="140"/>
      <c r="D3942" s="140"/>
      <c r="E3942" s="140"/>
    </row>
    <row r="3943" spans="1:5">
      <c r="A3943" s="140"/>
      <c r="B3943" s="192"/>
      <c r="C3943" s="140"/>
      <c r="D3943" s="140"/>
      <c r="E3943" s="140"/>
    </row>
    <row r="3944" spans="1:5">
      <c r="A3944" s="140"/>
      <c r="B3944" s="192"/>
      <c r="C3944" s="140"/>
      <c r="D3944" s="140"/>
      <c r="E3944" s="140"/>
    </row>
    <row r="3945" spans="1:5">
      <c r="A3945" s="140"/>
      <c r="B3945" s="192"/>
      <c r="C3945" s="140"/>
      <c r="D3945" s="140"/>
      <c r="E3945" s="140"/>
    </row>
    <row r="3946" spans="1:5">
      <c r="A3946" s="140"/>
      <c r="B3946" s="192"/>
      <c r="C3946" s="140"/>
      <c r="D3946" s="140"/>
      <c r="E3946" s="140"/>
    </row>
    <row r="3947" spans="1:5">
      <c r="A3947" s="140"/>
      <c r="B3947" s="192"/>
      <c r="C3947" s="140"/>
      <c r="D3947" s="140"/>
      <c r="E3947" s="140"/>
    </row>
    <row r="3948" spans="1:5">
      <c r="A3948" s="140"/>
      <c r="B3948" s="192"/>
      <c r="C3948" s="140"/>
      <c r="D3948" s="140"/>
      <c r="E3948" s="140"/>
    </row>
    <row r="3949" spans="1:5">
      <c r="A3949" s="140"/>
      <c r="B3949" s="192"/>
      <c r="C3949" s="140"/>
      <c r="D3949" s="140"/>
      <c r="E3949" s="140"/>
    </row>
    <row r="3950" spans="1:5">
      <c r="A3950" s="140"/>
      <c r="B3950" s="192"/>
      <c r="C3950" s="140"/>
      <c r="D3950" s="140"/>
      <c r="E3950" s="140"/>
    </row>
    <row r="3951" spans="1:5">
      <c r="A3951" s="140"/>
      <c r="B3951" s="192"/>
      <c r="C3951" s="140"/>
      <c r="D3951" s="140"/>
      <c r="E3951" s="140"/>
    </row>
    <row r="3952" spans="1:5">
      <c r="A3952" s="140"/>
      <c r="B3952" s="192"/>
      <c r="C3952" s="140"/>
      <c r="D3952" s="140"/>
      <c r="E3952" s="140"/>
    </row>
    <row r="3953" spans="1:5">
      <c r="A3953" s="140"/>
      <c r="B3953" s="192"/>
      <c r="C3953" s="140"/>
      <c r="D3953" s="140"/>
      <c r="E3953" s="140"/>
    </row>
    <row r="3954" spans="1:5">
      <c r="A3954" s="140"/>
      <c r="B3954" s="192"/>
      <c r="C3954" s="140"/>
      <c r="D3954" s="140"/>
      <c r="E3954" s="140"/>
    </row>
    <row r="3955" spans="1:5">
      <c r="A3955" s="140"/>
      <c r="B3955" s="192"/>
      <c r="C3955" s="140"/>
      <c r="D3955" s="140"/>
      <c r="E3955" s="140"/>
    </row>
    <row r="3956" spans="1:5">
      <c r="A3956" s="140"/>
      <c r="B3956" s="192"/>
      <c r="C3956" s="140"/>
      <c r="D3956" s="140"/>
      <c r="E3956" s="140"/>
    </row>
    <row r="3957" spans="1:5">
      <c r="A3957" s="140"/>
      <c r="B3957" s="192"/>
      <c r="C3957" s="140"/>
      <c r="D3957" s="140"/>
      <c r="E3957" s="140"/>
    </row>
    <row r="3958" spans="1:5">
      <c r="A3958" s="140"/>
      <c r="B3958" s="192"/>
      <c r="C3958" s="140"/>
      <c r="D3958" s="140"/>
      <c r="E3958" s="140"/>
    </row>
    <row r="3959" spans="1:5">
      <c r="A3959" s="140"/>
      <c r="B3959" s="192"/>
      <c r="C3959" s="140"/>
      <c r="D3959" s="140"/>
      <c r="E3959" s="140"/>
    </row>
    <row r="3960" spans="1:5">
      <c r="A3960" s="140"/>
      <c r="B3960" s="192"/>
      <c r="C3960" s="140"/>
      <c r="D3960" s="140"/>
      <c r="E3960" s="140"/>
    </row>
    <row r="3961" spans="1:5">
      <c r="A3961" s="140"/>
      <c r="B3961" s="192"/>
      <c r="C3961" s="140"/>
      <c r="D3961" s="140"/>
      <c r="E3961" s="140"/>
    </row>
    <row r="3962" spans="1:5">
      <c r="A3962" s="140"/>
      <c r="B3962" s="192"/>
      <c r="C3962" s="140"/>
      <c r="D3962" s="140"/>
      <c r="E3962" s="140"/>
    </row>
    <row r="3963" spans="1:5">
      <c r="A3963" s="140"/>
      <c r="B3963" s="192"/>
      <c r="C3963" s="140"/>
      <c r="D3963" s="140"/>
      <c r="E3963" s="140"/>
    </row>
    <row r="3964" spans="1:5">
      <c r="A3964" s="140"/>
      <c r="B3964" s="192"/>
      <c r="C3964" s="140"/>
      <c r="D3964" s="140"/>
      <c r="E3964" s="140"/>
    </row>
    <row r="3965" spans="1:5">
      <c r="A3965" s="140"/>
      <c r="B3965" s="192"/>
      <c r="C3965" s="140"/>
      <c r="D3965" s="140"/>
      <c r="E3965" s="140"/>
    </row>
    <row r="3966" spans="1:5">
      <c r="A3966" s="140"/>
      <c r="B3966" s="192"/>
      <c r="C3966" s="140"/>
      <c r="D3966" s="140"/>
      <c r="E3966" s="140"/>
    </row>
    <row r="3967" spans="1:5">
      <c r="A3967" s="140"/>
      <c r="B3967" s="192"/>
      <c r="C3967" s="140"/>
      <c r="D3967" s="140"/>
      <c r="E3967" s="140"/>
    </row>
    <row r="3968" spans="1:5">
      <c r="A3968" s="140"/>
      <c r="B3968" s="192"/>
      <c r="C3968" s="140"/>
      <c r="D3968" s="140"/>
      <c r="E3968" s="140"/>
    </row>
    <row r="3969" spans="1:5">
      <c r="A3969" s="140"/>
      <c r="B3969" s="192"/>
      <c r="C3969" s="140"/>
      <c r="D3969" s="140"/>
      <c r="E3969" s="140"/>
    </row>
    <row r="3970" spans="1:5">
      <c r="A3970" s="140"/>
      <c r="B3970" s="192"/>
      <c r="C3970" s="140"/>
      <c r="D3970" s="140"/>
      <c r="E3970" s="140"/>
    </row>
    <row r="3971" spans="1:5">
      <c r="A3971" s="140"/>
      <c r="B3971" s="192"/>
      <c r="C3971" s="140"/>
      <c r="D3971" s="140"/>
      <c r="E3971" s="140"/>
    </row>
    <row r="3972" spans="1:5">
      <c r="A3972" s="140"/>
      <c r="B3972" s="192"/>
      <c r="C3972" s="140"/>
      <c r="D3972" s="140"/>
      <c r="E3972" s="140"/>
    </row>
    <row r="3973" spans="1:5">
      <c r="A3973" s="140"/>
      <c r="B3973" s="192"/>
      <c r="C3973" s="140"/>
      <c r="D3973" s="140"/>
      <c r="E3973" s="140"/>
    </row>
    <row r="3974" spans="1:5">
      <c r="A3974" s="140"/>
      <c r="B3974" s="192"/>
      <c r="C3974" s="140"/>
      <c r="D3974" s="140"/>
      <c r="E3974" s="140"/>
    </row>
    <row r="3975" spans="1:5">
      <c r="A3975" s="140"/>
      <c r="B3975" s="192"/>
      <c r="C3975" s="140"/>
      <c r="D3975" s="140"/>
      <c r="E3975" s="140"/>
    </row>
    <row r="3976" spans="1:5">
      <c r="A3976" s="140"/>
      <c r="B3976" s="192"/>
      <c r="C3976" s="140"/>
      <c r="D3976" s="140"/>
      <c r="E3976" s="140"/>
    </row>
    <row r="3977" spans="1:5">
      <c r="A3977" s="140"/>
      <c r="B3977" s="192"/>
      <c r="C3977" s="140"/>
      <c r="D3977" s="140"/>
      <c r="E3977" s="140"/>
    </row>
    <row r="3978" spans="1:5">
      <c r="A3978" s="140"/>
      <c r="B3978" s="192"/>
      <c r="C3978" s="140"/>
      <c r="D3978" s="140"/>
      <c r="E3978" s="140"/>
    </row>
    <row r="3979" spans="1:5">
      <c r="A3979" s="140"/>
      <c r="B3979" s="192"/>
      <c r="C3979" s="140"/>
      <c r="D3979" s="140"/>
      <c r="E3979" s="140"/>
    </row>
    <row r="3980" spans="1:5">
      <c r="A3980" s="140"/>
      <c r="B3980" s="192"/>
      <c r="C3980" s="140"/>
      <c r="D3980" s="140"/>
      <c r="E3980" s="140"/>
    </row>
    <row r="3981" spans="1:5">
      <c r="A3981" s="140"/>
      <c r="B3981" s="192"/>
      <c r="C3981" s="140"/>
      <c r="D3981" s="140"/>
      <c r="E3981" s="140"/>
    </row>
    <row r="3982" spans="1:5">
      <c r="A3982" s="140"/>
      <c r="B3982" s="192"/>
      <c r="C3982" s="140"/>
      <c r="D3982" s="140"/>
      <c r="E3982" s="140"/>
    </row>
    <row r="3983" spans="1:5">
      <c r="A3983" s="140"/>
      <c r="B3983" s="192"/>
      <c r="C3983" s="140"/>
      <c r="D3983" s="140"/>
      <c r="E3983" s="140"/>
    </row>
    <row r="3984" spans="1:5">
      <c r="A3984" s="140"/>
      <c r="B3984" s="192"/>
      <c r="C3984" s="140"/>
      <c r="D3984" s="140"/>
      <c r="E3984" s="140"/>
    </row>
    <row r="3985" spans="1:5">
      <c r="A3985" s="140"/>
      <c r="B3985" s="192"/>
      <c r="C3985" s="140"/>
      <c r="D3985" s="140"/>
      <c r="E3985" s="140"/>
    </row>
    <row r="3986" spans="1:5">
      <c r="A3986" s="140"/>
      <c r="B3986" s="192"/>
      <c r="C3986" s="140"/>
      <c r="D3986" s="140"/>
      <c r="E3986" s="140"/>
    </row>
    <row r="3987" spans="1:5">
      <c r="A3987" s="140"/>
      <c r="B3987" s="192"/>
      <c r="C3987" s="140"/>
      <c r="D3987" s="140"/>
      <c r="E3987" s="140"/>
    </row>
    <row r="3988" spans="1:5">
      <c r="A3988" s="140"/>
      <c r="B3988" s="192"/>
      <c r="C3988" s="140"/>
      <c r="D3988" s="140"/>
      <c r="E3988" s="140"/>
    </row>
    <row r="3989" spans="1:5">
      <c r="A3989" s="140"/>
      <c r="B3989" s="192"/>
      <c r="C3989" s="140"/>
      <c r="D3989" s="140"/>
      <c r="E3989" s="140"/>
    </row>
    <row r="3990" spans="1:5">
      <c r="A3990" s="140"/>
      <c r="B3990" s="192"/>
      <c r="C3990" s="140"/>
      <c r="D3990" s="140"/>
      <c r="E3990" s="140"/>
    </row>
    <row r="3991" spans="1:5">
      <c r="A3991" s="140"/>
      <c r="B3991" s="192"/>
      <c r="C3991" s="140"/>
      <c r="D3991" s="140"/>
      <c r="E3991" s="140"/>
    </row>
    <row r="3992" spans="1:5">
      <c r="A3992" s="140"/>
      <c r="B3992" s="192"/>
      <c r="C3992" s="140"/>
      <c r="D3992" s="140"/>
      <c r="E3992" s="140"/>
    </row>
    <row r="3993" spans="1:5">
      <c r="A3993" s="140"/>
      <c r="B3993" s="192"/>
      <c r="C3993" s="140"/>
      <c r="D3993" s="140"/>
      <c r="E3993" s="140"/>
    </row>
    <row r="3994" spans="1:5">
      <c r="A3994" s="140"/>
      <c r="B3994" s="192"/>
      <c r="C3994" s="140"/>
      <c r="D3994" s="140"/>
      <c r="E3994" s="140"/>
    </row>
    <row r="3995" spans="1:5">
      <c r="A3995" s="140"/>
      <c r="B3995" s="192"/>
      <c r="C3995" s="140"/>
      <c r="D3995" s="140"/>
      <c r="E3995" s="140"/>
    </row>
    <row r="3996" spans="1:5">
      <c r="A3996" s="140"/>
      <c r="B3996" s="192"/>
      <c r="C3996" s="140"/>
      <c r="D3996" s="140"/>
      <c r="E3996" s="140"/>
    </row>
    <row r="3997" spans="1:5">
      <c r="A3997" s="140"/>
      <c r="B3997" s="192"/>
      <c r="C3997" s="140"/>
      <c r="D3997" s="140"/>
      <c r="E3997" s="140"/>
    </row>
    <row r="3998" spans="1:5">
      <c r="A3998" s="140"/>
      <c r="B3998" s="192"/>
      <c r="C3998" s="140"/>
      <c r="D3998" s="140"/>
      <c r="E3998" s="140"/>
    </row>
    <row r="3999" spans="1:5">
      <c r="A3999" s="140"/>
      <c r="B3999" s="192"/>
      <c r="C3999" s="140"/>
      <c r="D3999" s="140"/>
      <c r="E3999" s="140"/>
    </row>
    <row r="4000" spans="1:5">
      <c r="A4000" s="140"/>
      <c r="B4000" s="192"/>
      <c r="C4000" s="140"/>
      <c r="D4000" s="140"/>
      <c r="E4000" s="140"/>
    </row>
    <row r="4001" spans="1:5">
      <c r="A4001" s="140"/>
      <c r="B4001" s="192"/>
      <c r="C4001" s="140"/>
      <c r="D4001" s="140"/>
      <c r="E4001" s="140"/>
    </row>
    <row r="4002" spans="1:5">
      <c r="A4002" s="140"/>
      <c r="B4002" s="192"/>
      <c r="C4002" s="140"/>
      <c r="D4002" s="140"/>
      <c r="E4002" s="140"/>
    </row>
    <row r="4003" spans="1:5">
      <c r="A4003" s="140"/>
      <c r="B4003" s="192"/>
      <c r="C4003" s="140"/>
      <c r="D4003" s="140"/>
      <c r="E4003" s="140"/>
    </row>
    <row r="4004" spans="1:5">
      <c r="A4004" s="140"/>
      <c r="B4004" s="192"/>
      <c r="C4004" s="140"/>
      <c r="D4004" s="140"/>
      <c r="E4004" s="140"/>
    </row>
    <row r="4005" spans="1:5">
      <c r="A4005" s="140"/>
      <c r="B4005" s="192"/>
      <c r="C4005" s="140"/>
      <c r="D4005" s="140"/>
      <c r="E4005" s="140"/>
    </row>
    <row r="4006" spans="1:5">
      <c r="A4006" s="140"/>
      <c r="B4006" s="192"/>
      <c r="C4006" s="140"/>
      <c r="D4006" s="140"/>
      <c r="E4006" s="140"/>
    </row>
    <row r="4007" spans="1:5">
      <c r="A4007" s="140"/>
      <c r="B4007" s="192"/>
      <c r="C4007" s="140"/>
      <c r="D4007" s="140"/>
      <c r="E4007" s="140"/>
    </row>
    <row r="4008" spans="1:5">
      <c r="A4008" s="140"/>
      <c r="B4008" s="192"/>
      <c r="C4008" s="140"/>
      <c r="D4008" s="140"/>
      <c r="E4008" s="140"/>
    </row>
    <row r="4009" spans="1:5">
      <c r="A4009" s="140"/>
      <c r="B4009" s="192"/>
      <c r="C4009" s="140"/>
      <c r="D4009" s="140"/>
      <c r="E4009" s="140"/>
    </row>
    <row r="4010" spans="1:5">
      <c r="A4010" s="140"/>
      <c r="B4010" s="192"/>
      <c r="C4010" s="140"/>
      <c r="D4010" s="140"/>
      <c r="E4010" s="140"/>
    </row>
    <row r="4011" spans="1:5">
      <c r="A4011" s="140"/>
      <c r="B4011" s="192"/>
      <c r="C4011" s="140"/>
      <c r="D4011" s="140"/>
      <c r="E4011" s="140"/>
    </row>
    <row r="4012" spans="1:5">
      <c r="A4012" s="140"/>
      <c r="B4012" s="192"/>
      <c r="C4012" s="140"/>
      <c r="D4012" s="140"/>
      <c r="E4012" s="140"/>
    </row>
    <row r="4013" spans="1:5">
      <c r="A4013" s="140"/>
      <c r="B4013" s="192"/>
      <c r="C4013" s="140"/>
      <c r="D4013" s="140"/>
      <c r="E4013" s="140"/>
    </row>
    <row r="4014" spans="1:5">
      <c r="A4014" s="140"/>
      <c r="B4014" s="192"/>
      <c r="C4014" s="140"/>
      <c r="D4014" s="140"/>
      <c r="E4014" s="140"/>
    </row>
    <row r="4015" spans="1:5">
      <c r="A4015" s="140"/>
      <c r="B4015" s="192"/>
      <c r="C4015" s="140"/>
      <c r="D4015" s="140"/>
      <c r="E4015" s="140"/>
    </row>
    <row r="4016" spans="1:5">
      <c r="A4016" s="140"/>
      <c r="B4016" s="192"/>
      <c r="C4016" s="140"/>
      <c r="D4016" s="140"/>
      <c r="E4016" s="140"/>
    </row>
    <row r="4017" spans="1:5">
      <c r="A4017" s="140"/>
      <c r="B4017" s="192"/>
      <c r="C4017" s="140"/>
      <c r="D4017" s="140"/>
      <c r="E4017" s="140"/>
    </row>
    <row r="4018" spans="1:5">
      <c r="A4018" s="140"/>
      <c r="B4018" s="192"/>
      <c r="C4018" s="140"/>
      <c r="D4018" s="140"/>
      <c r="E4018" s="140"/>
    </row>
    <row r="4019" spans="1:5">
      <c r="A4019" s="140"/>
      <c r="B4019" s="192"/>
      <c r="C4019" s="140"/>
      <c r="D4019" s="140"/>
      <c r="E4019" s="140"/>
    </row>
    <row r="4020" spans="1:5">
      <c r="A4020" s="140"/>
      <c r="B4020" s="192"/>
      <c r="C4020" s="140"/>
      <c r="D4020" s="140"/>
      <c r="E4020" s="140"/>
    </row>
    <row r="4021" spans="1:5">
      <c r="A4021" s="140"/>
      <c r="B4021" s="192"/>
      <c r="C4021" s="140"/>
      <c r="D4021" s="140"/>
      <c r="E4021" s="140"/>
    </row>
    <row r="4022" spans="1:5">
      <c r="A4022" s="140"/>
      <c r="B4022" s="192"/>
      <c r="C4022" s="140"/>
      <c r="D4022" s="140"/>
      <c r="E4022" s="140"/>
    </row>
    <row r="4023" spans="1:5">
      <c r="A4023" s="140"/>
      <c r="B4023" s="192"/>
      <c r="C4023" s="140"/>
      <c r="D4023" s="140"/>
      <c r="E4023" s="140"/>
    </row>
    <row r="4024" spans="1:5">
      <c r="A4024" s="140"/>
      <c r="B4024" s="192"/>
      <c r="C4024" s="140"/>
      <c r="D4024" s="140"/>
      <c r="E4024" s="140"/>
    </row>
    <row r="4025" spans="1:5">
      <c r="A4025" s="140"/>
      <c r="B4025" s="192"/>
      <c r="C4025" s="140"/>
      <c r="D4025" s="140"/>
      <c r="E4025" s="140"/>
    </row>
    <row r="4026" spans="1:5">
      <c r="A4026" s="140"/>
      <c r="B4026" s="192"/>
      <c r="C4026" s="140"/>
      <c r="D4026" s="140"/>
      <c r="E4026" s="140"/>
    </row>
    <row r="4027" spans="1:5">
      <c r="A4027" s="140"/>
      <c r="B4027" s="192"/>
      <c r="C4027" s="140"/>
      <c r="D4027" s="140"/>
      <c r="E4027" s="140"/>
    </row>
    <row r="4028" spans="1:5">
      <c r="A4028" s="140"/>
      <c r="B4028" s="192"/>
      <c r="C4028" s="140"/>
      <c r="D4028" s="140"/>
      <c r="E4028" s="140"/>
    </row>
    <row r="4029" spans="1:5">
      <c r="A4029" s="140"/>
      <c r="B4029" s="192"/>
      <c r="C4029" s="140"/>
      <c r="D4029" s="140"/>
      <c r="E4029" s="140"/>
    </row>
    <row r="4030" spans="1:5">
      <c r="A4030" s="140"/>
      <c r="B4030" s="192"/>
      <c r="C4030" s="140"/>
      <c r="D4030" s="140"/>
      <c r="E4030" s="140"/>
    </row>
    <row r="4031" spans="1:5">
      <c r="A4031" s="140"/>
      <c r="B4031" s="192"/>
      <c r="C4031" s="140"/>
      <c r="D4031" s="140"/>
      <c r="E4031" s="140"/>
    </row>
    <row r="4032" spans="1:5">
      <c r="A4032" s="140"/>
      <c r="B4032" s="192"/>
      <c r="C4032" s="140"/>
      <c r="D4032" s="140"/>
      <c r="E4032" s="140"/>
    </row>
    <row r="4033" spans="1:5">
      <c r="A4033" s="140"/>
      <c r="B4033" s="192"/>
      <c r="C4033" s="140"/>
      <c r="D4033" s="140"/>
      <c r="E4033" s="140"/>
    </row>
    <row r="4034" spans="1:5">
      <c r="A4034" s="140"/>
      <c r="B4034" s="192"/>
      <c r="C4034" s="140"/>
      <c r="D4034" s="140"/>
      <c r="E4034" s="140"/>
    </row>
    <row r="4035" spans="1:5">
      <c r="A4035" s="140"/>
      <c r="B4035" s="192"/>
      <c r="C4035" s="140"/>
      <c r="D4035" s="140"/>
      <c r="E4035" s="140"/>
    </row>
    <row r="4036" spans="1:5">
      <c r="A4036" s="140"/>
      <c r="B4036" s="192"/>
      <c r="C4036" s="140"/>
      <c r="D4036" s="140"/>
      <c r="E4036" s="140"/>
    </row>
    <row r="4037" spans="1:5">
      <c r="A4037" s="140"/>
      <c r="B4037" s="192"/>
      <c r="C4037" s="140"/>
      <c r="D4037" s="140"/>
      <c r="E4037" s="140"/>
    </row>
    <row r="4038" spans="1:5">
      <c r="A4038" s="140"/>
      <c r="B4038" s="192"/>
      <c r="C4038" s="140"/>
      <c r="D4038" s="140"/>
      <c r="E4038" s="140"/>
    </row>
    <row r="4039" spans="1:5">
      <c r="A4039" s="140"/>
      <c r="B4039" s="192"/>
      <c r="C4039" s="140"/>
      <c r="D4039" s="140"/>
      <c r="E4039" s="140"/>
    </row>
    <row r="4040" spans="1:5">
      <c r="A4040" s="140"/>
      <c r="B4040" s="192"/>
      <c r="C4040" s="140"/>
      <c r="D4040" s="140"/>
      <c r="E4040" s="140"/>
    </row>
    <row r="4041" spans="1:5">
      <c r="A4041" s="140"/>
      <c r="B4041" s="192"/>
      <c r="C4041" s="140"/>
      <c r="D4041" s="140"/>
      <c r="E4041" s="140"/>
    </row>
    <row r="4042" spans="1:5">
      <c r="A4042" s="140"/>
      <c r="B4042" s="192"/>
      <c r="C4042" s="140"/>
      <c r="D4042" s="140"/>
      <c r="E4042" s="140"/>
    </row>
    <row r="4043" spans="1:5">
      <c r="A4043" s="140"/>
      <c r="B4043" s="192"/>
      <c r="C4043" s="140"/>
      <c r="D4043" s="140"/>
      <c r="E4043" s="140"/>
    </row>
    <row r="4044" spans="1:5">
      <c r="A4044" s="140"/>
      <c r="B4044" s="192"/>
      <c r="C4044" s="140"/>
      <c r="D4044" s="140"/>
      <c r="E4044" s="140"/>
    </row>
    <row r="4045" spans="1:5">
      <c r="A4045" s="140"/>
      <c r="B4045" s="192"/>
      <c r="C4045" s="140"/>
      <c r="D4045" s="140"/>
      <c r="E4045" s="140"/>
    </row>
    <row r="4046" spans="1:5">
      <c r="A4046" s="140"/>
      <c r="B4046" s="192"/>
      <c r="C4046" s="140"/>
      <c r="D4046" s="140"/>
      <c r="E4046" s="140"/>
    </row>
    <row r="4047" spans="1:5">
      <c r="A4047" s="140"/>
      <c r="B4047" s="192"/>
      <c r="C4047" s="140"/>
      <c r="D4047" s="140"/>
      <c r="E4047" s="140"/>
    </row>
    <row r="4048" spans="1:5">
      <c r="A4048" s="140"/>
      <c r="B4048" s="192"/>
      <c r="C4048" s="140"/>
      <c r="D4048" s="140"/>
      <c r="E4048" s="140"/>
    </row>
    <row r="4049" spans="1:5">
      <c r="A4049" s="140"/>
      <c r="B4049" s="192"/>
      <c r="C4049" s="140"/>
      <c r="D4049" s="140"/>
      <c r="E4049" s="140"/>
    </row>
    <row r="4050" spans="1:5">
      <c r="A4050" s="140"/>
      <c r="B4050" s="192"/>
      <c r="C4050" s="140"/>
      <c r="D4050" s="140"/>
      <c r="E4050" s="140"/>
    </row>
    <row r="4051" spans="1:5">
      <c r="A4051" s="140"/>
      <c r="B4051" s="192"/>
      <c r="C4051" s="140"/>
      <c r="D4051" s="140"/>
      <c r="E4051" s="140"/>
    </row>
    <row r="4052" spans="1:5">
      <c r="A4052" s="140"/>
      <c r="B4052" s="192"/>
      <c r="C4052" s="140"/>
      <c r="D4052" s="140"/>
      <c r="E4052" s="140"/>
    </row>
    <row r="4053" spans="1:5">
      <c r="A4053" s="140"/>
      <c r="B4053" s="192"/>
      <c r="C4053" s="140"/>
      <c r="D4053" s="140"/>
      <c r="E4053" s="140"/>
    </row>
    <row r="4054" spans="1:5">
      <c r="A4054" s="140"/>
      <c r="B4054" s="192"/>
      <c r="C4054" s="140"/>
      <c r="D4054" s="140"/>
      <c r="E4054" s="140"/>
    </row>
    <row r="4055" spans="1:5">
      <c r="A4055" s="140"/>
      <c r="B4055" s="192"/>
      <c r="C4055" s="140"/>
      <c r="D4055" s="140"/>
      <c r="E4055" s="140"/>
    </row>
    <row r="4056" spans="1:5">
      <c r="A4056" s="140"/>
      <c r="B4056" s="192"/>
      <c r="C4056" s="140"/>
      <c r="D4056" s="140"/>
      <c r="E4056" s="140"/>
    </row>
    <row r="4057" spans="1:5">
      <c r="A4057" s="140"/>
      <c r="B4057" s="192"/>
      <c r="C4057" s="140"/>
      <c r="D4057" s="140"/>
      <c r="E4057" s="140"/>
    </row>
    <row r="4058" spans="1:5">
      <c r="A4058" s="140"/>
      <c r="B4058" s="192"/>
      <c r="C4058" s="140"/>
      <c r="D4058" s="140"/>
      <c r="E4058" s="140"/>
    </row>
    <row r="4059" spans="1:5">
      <c r="A4059" s="140"/>
      <c r="B4059" s="192"/>
      <c r="C4059" s="140"/>
      <c r="D4059" s="140"/>
      <c r="E4059" s="140"/>
    </row>
    <row r="4060" spans="1:5">
      <c r="A4060" s="140"/>
      <c r="B4060" s="192"/>
      <c r="C4060" s="140"/>
      <c r="D4060" s="140"/>
      <c r="E4060" s="140"/>
    </row>
    <row r="4061" spans="1:5">
      <c r="A4061" s="140"/>
      <c r="B4061" s="192"/>
      <c r="C4061" s="140"/>
      <c r="D4061" s="140"/>
      <c r="E4061" s="140"/>
    </row>
    <row r="4062" spans="1:5">
      <c r="A4062" s="140"/>
      <c r="B4062" s="192"/>
      <c r="C4062" s="140"/>
      <c r="D4062" s="140"/>
      <c r="E4062" s="140"/>
    </row>
    <row r="4063" spans="1:5">
      <c r="A4063" s="140"/>
      <c r="B4063" s="192"/>
      <c r="C4063" s="140"/>
      <c r="D4063" s="140"/>
      <c r="E4063" s="140"/>
    </row>
    <row r="4064" spans="1:5">
      <c r="A4064" s="140"/>
      <c r="B4064" s="192"/>
      <c r="C4064" s="140"/>
      <c r="D4064" s="140"/>
      <c r="E4064" s="140"/>
    </row>
    <row r="4065" spans="1:5">
      <c r="A4065" s="140"/>
      <c r="B4065" s="192"/>
      <c r="C4065" s="140"/>
      <c r="D4065" s="140"/>
      <c r="E4065" s="140"/>
    </row>
    <row r="4066" spans="1:5">
      <c r="A4066" s="140"/>
      <c r="B4066" s="192"/>
      <c r="C4066" s="140"/>
      <c r="D4066" s="140"/>
      <c r="E4066" s="140"/>
    </row>
    <row r="4067" spans="1:5">
      <c r="A4067" s="140"/>
      <c r="B4067" s="192"/>
      <c r="C4067" s="140"/>
      <c r="D4067" s="140"/>
      <c r="E4067" s="140"/>
    </row>
    <row r="4068" spans="1:5">
      <c r="A4068" s="140"/>
      <c r="B4068" s="192"/>
      <c r="C4068" s="140"/>
      <c r="D4068" s="140"/>
      <c r="E4068" s="140"/>
    </row>
    <row r="4069" spans="1:5">
      <c r="A4069" s="140"/>
      <c r="B4069" s="192"/>
      <c r="C4069" s="140"/>
      <c r="D4069" s="140"/>
      <c r="E4069" s="140"/>
    </row>
    <row r="4070" spans="1:5">
      <c r="A4070" s="140"/>
      <c r="B4070" s="192"/>
      <c r="C4070" s="140"/>
      <c r="D4070" s="140"/>
      <c r="E4070" s="140"/>
    </row>
    <row r="4071" spans="1:5">
      <c r="A4071" s="140"/>
      <c r="B4071" s="192"/>
      <c r="C4071" s="140"/>
      <c r="D4071" s="140"/>
      <c r="E4071" s="140"/>
    </row>
    <row r="4072" spans="1:5">
      <c r="A4072" s="140"/>
      <c r="B4072" s="192"/>
      <c r="C4072" s="140"/>
      <c r="D4072" s="140"/>
      <c r="E4072" s="140"/>
    </row>
    <row r="4073" spans="1:5">
      <c r="A4073" s="140"/>
      <c r="B4073" s="192"/>
      <c r="C4073" s="140"/>
      <c r="D4073" s="140"/>
      <c r="E4073" s="140"/>
    </row>
    <row r="4074" spans="1:5">
      <c r="A4074" s="140"/>
      <c r="B4074" s="192"/>
      <c r="C4074" s="140"/>
      <c r="D4074" s="140"/>
      <c r="E4074" s="140"/>
    </row>
    <row r="4075" spans="1:5">
      <c r="A4075" s="140"/>
      <c r="B4075" s="192"/>
      <c r="C4075" s="140"/>
      <c r="D4075" s="140"/>
      <c r="E4075" s="140"/>
    </row>
    <row r="4076" spans="1:5">
      <c r="A4076" s="140"/>
      <c r="B4076" s="192"/>
      <c r="C4076" s="140"/>
      <c r="D4076" s="140"/>
      <c r="E4076" s="140"/>
    </row>
    <row r="4077" spans="1:5">
      <c r="A4077" s="140"/>
      <c r="B4077" s="192"/>
      <c r="C4077" s="140"/>
      <c r="D4077" s="140"/>
      <c r="E4077" s="140"/>
    </row>
    <row r="4078" spans="1:5">
      <c r="A4078" s="140"/>
      <c r="B4078" s="192"/>
      <c r="C4078" s="140"/>
      <c r="D4078" s="140"/>
      <c r="E4078" s="140"/>
    </row>
    <row r="4079" spans="1:5">
      <c r="A4079" s="140"/>
      <c r="B4079" s="192"/>
      <c r="C4079" s="140"/>
      <c r="D4079" s="140"/>
      <c r="E4079" s="140"/>
    </row>
    <row r="4080" spans="1:5">
      <c r="A4080" s="140"/>
      <c r="B4080" s="192"/>
      <c r="C4080" s="140"/>
      <c r="D4080" s="140"/>
      <c r="E4080" s="140"/>
    </row>
    <row r="4081" spans="1:5">
      <c r="A4081" s="140"/>
      <c r="B4081" s="192"/>
      <c r="C4081" s="140"/>
      <c r="D4081" s="140"/>
      <c r="E4081" s="140"/>
    </row>
    <row r="4082" spans="1:5">
      <c r="A4082" s="140"/>
      <c r="B4082" s="192"/>
      <c r="C4082" s="140"/>
      <c r="D4082" s="140"/>
      <c r="E4082" s="140"/>
    </row>
    <row r="4083" spans="1:5">
      <c r="A4083" s="140"/>
      <c r="B4083" s="192"/>
      <c r="C4083" s="140"/>
      <c r="D4083" s="140"/>
      <c r="E4083" s="140"/>
    </row>
    <row r="4084" spans="1:5">
      <c r="A4084" s="140"/>
      <c r="B4084" s="192"/>
      <c r="C4084" s="140"/>
      <c r="D4084" s="140"/>
      <c r="E4084" s="140"/>
    </row>
    <row r="4085" spans="1:5">
      <c r="A4085" s="140"/>
      <c r="B4085" s="192"/>
      <c r="C4085" s="140"/>
      <c r="D4085" s="140"/>
      <c r="E4085" s="140"/>
    </row>
    <row r="4086" spans="1:5">
      <c r="A4086" s="140"/>
      <c r="B4086" s="192"/>
      <c r="C4086" s="140"/>
      <c r="D4086" s="140"/>
      <c r="E4086" s="140"/>
    </row>
    <row r="4087" spans="1:5">
      <c r="A4087" s="140"/>
      <c r="B4087" s="192"/>
      <c r="C4087" s="140"/>
      <c r="D4087" s="140"/>
      <c r="E4087" s="140"/>
    </row>
    <row r="4088" spans="1:5">
      <c r="A4088" s="140"/>
      <c r="B4088" s="192"/>
      <c r="C4088" s="140"/>
      <c r="D4088" s="140"/>
      <c r="E4088" s="140"/>
    </row>
    <row r="4089" spans="1:5">
      <c r="A4089" s="140"/>
      <c r="B4089" s="192"/>
      <c r="C4089" s="140"/>
      <c r="D4089" s="140"/>
      <c r="E4089" s="140"/>
    </row>
    <row r="4090" spans="1:5">
      <c r="A4090" s="140"/>
      <c r="B4090" s="192"/>
      <c r="C4090" s="140"/>
      <c r="D4090" s="140"/>
      <c r="E4090" s="140"/>
    </row>
    <row r="4091" spans="1:5">
      <c r="A4091" s="140"/>
      <c r="B4091" s="192"/>
      <c r="C4091" s="140"/>
      <c r="D4091" s="140"/>
      <c r="E4091" s="140"/>
    </row>
    <row r="4092" spans="1:5">
      <c r="A4092" s="140"/>
      <c r="B4092" s="192"/>
      <c r="C4092" s="140"/>
      <c r="D4092" s="140"/>
      <c r="E4092" s="140"/>
    </row>
    <row r="4093" spans="1:5">
      <c r="A4093" s="140"/>
      <c r="B4093" s="192"/>
      <c r="C4093" s="140"/>
      <c r="D4093" s="140"/>
      <c r="E4093" s="140"/>
    </row>
    <row r="4094" spans="1:5">
      <c r="A4094" s="140"/>
      <c r="B4094" s="192"/>
      <c r="C4094" s="140"/>
      <c r="D4094" s="140"/>
      <c r="E4094" s="140"/>
    </row>
    <row r="4095" spans="1:5">
      <c r="A4095" s="140"/>
      <c r="B4095" s="192"/>
      <c r="C4095" s="140"/>
      <c r="D4095" s="140"/>
      <c r="E4095" s="140"/>
    </row>
    <row r="4096" spans="1:5">
      <c r="A4096" s="140"/>
      <c r="B4096" s="192"/>
      <c r="C4096" s="140"/>
      <c r="D4096" s="140"/>
      <c r="E4096" s="140"/>
    </row>
    <row r="4097" spans="1:5">
      <c r="A4097" s="140"/>
      <c r="B4097" s="192"/>
      <c r="C4097" s="140"/>
      <c r="D4097" s="140"/>
      <c r="E4097" s="140"/>
    </row>
    <row r="4098" spans="1:5">
      <c r="A4098" s="140"/>
      <c r="B4098" s="192"/>
      <c r="C4098" s="140"/>
      <c r="D4098" s="140"/>
      <c r="E4098" s="140"/>
    </row>
    <row r="4099" spans="1:5">
      <c r="A4099" s="140"/>
      <c r="B4099" s="192"/>
      <c r="C4099" s="140"/>
      <c r="D4099" s="140"/>
      <c r="E4099" s="140"/>
    </row>
    <row r="4100" spans="1:5">
      <c r="A4100" s="140"/>
      <c r="B4100" s="192"/>
      <c r="C4100" s="140"/>
      <c r="D4100" s="140"/>
      <c r="E4100" s="140"/>
    </row>
    <row r="4101" spans="1:5">
      <c r="A4101" s="140"/>
      <c r="B4101" s="192"/>
      <c r="C4101" s="140"/>
      <c r="D4101" s="140"/>
      <c r="E4101" s="140"/>
    </row>
    <row r="4102" spans="1:5">
      <c r="A4102" s="140"/>
      <c r="B4102" s="192"/>
      <c r="C4102" s="140"/>
      <c r="D4102" s="140"/>
      <c r="E4102" s="140"/>
    </row>
    <row r="4103" spans="1:5">
      <c r="A4103" s="140"/>
      <c r="B4103" s="192"/>
      <c r="C4103" s="140"/>
      <c r="D4103" s="140"/>
      <c r="E4103" s="140"/>
    </row>
    <row r="4104" spans="1:5">
      <c r="A4104" s="140"/>
      <c r="B4104" s="192"/>
      <c r="C4104" s="140"/>
      <c r="D4104" s="140"/>
      <c r="E4104" s="140"/>
    </row>
    <row r="4105" spans="1:5">
      <c r="A4105" s="140"/>
      <c r="B4105" s="192"/>
      <c r="C4105" s="140"/>
      <c r="D4105" s="140"/>
      <c r="E4105" s="140"/>
    </row>
    <row r="4106" spans="1:5">
      <c r="A4106" s="140"/>
      <c r="B4106" s="192"/>
      <c r="C4106" s="140"/>
      <c r="D4106" s="140"/>
      <c r="E4106" s="140"/>
    </row>
    <row r="4107" spans="1:5">
      <c r="A4107" s="140"/>
      <c r="B4107" s="192"/>
      <c r="C4107" s="140"/>
      <c r="D4107" s="140"/>
      <c r="E4107" s="140"/>
    </row>
    <row r="4108" spans="1:5">
      <c r="A4108" s="140"/>
      <c r="B4108" s="192"/>
      <c r="C4108" s="140"/>
      <c r="D4108" s="140"/>
      <c r="E4108" s="140"/>
    </row>
    <row r="4109" spans="1:5">
      <c r="A4109" s="140"/>
      <c r="B4109" s="192"/>
      <c r="C4109" s="140"/>
      <c r="D4109" s="140"/>
      <c r="E4109" s="140"/>
    </row>
    <row r="4110" spans="1:5">
      <c r="A4110" s="140"/>
      <c r="B4110" s="192"/>
      <c r="C4110" s="140"/>
      <c r="D4110" s="140"/>
      <c r="E4110" s="140"/>
    </row>
    <row r="4111" spans="1:5">
      <c r="A4111" s="140"/>
      <c r="B4111" s="192"/>
      <c r="C4111" s="140"/>
      <c r="D4111" s="140"/>
      <c r="E4111" s="140"/>
    </row>
    <row r="4112" spans="1:5">
      <c r="A4112" s="140"/>
      <c r="B4112" s="192"/>
      <c r="C4112" s="140"/>
      <c r="D4112" s="140"/>
      <c r="E4112" s="140"/>
    </row>
    <row r="4113" spans="1:5">
      <c r="A4113" s="140"/>
      <c r="B4113" s="192"/>
      <c r="C4113" s="140"/>
      <c r="D4113" s="140"/>
      <c r="E4113" s="140"/>
    </row>
    <row r="4114" spans="1:5">
      <c r="A4114" s="140"/>
      <c r="B4114" s="192"/>
      <c r="C4114" s="140"/>
      <c r="D4114" s="140"/>
      <c r="E4114" s="140"/>
    </row>
    <row r="4115" spans="1:5">
      <c r="A4115" s="140"/>
      <c r="B4115" s="192"/>
      <c r="C4115" s="140"/>
      <c r="D4115" s="140"/>
      <c r="E4115" s="140"/>
    </row>
    <row r="4116" spans="1:5">
      <c r="A4116" s="140"/>
      <c r="B4116" s="192"/>
      <c r="C4116" s="140"/>
      <c r="D4116" s="140"/>
      <c r="E4116" s="140"/>
    </row>
    <row r="4117" spans="1:5">
      <c r="A4117" s="140"/>
      <c r="B4117" s="192"/>
      <c r="C4117" s="140"/>
      <c r="D4117" s="140"/>
      <c r="E4117" s="140"/>
    </row>
    <row r="4118" spans="1:5">
      <c r="A4118" s="140"/>
      <c r="B4118" s="192"/>
      <c r="C4118" s="140"/>
      <c r="D4118" s="140"/>
      <c r="E4118" s="140"/>
    </row>
    <row r="4119" spans="1:5">
      <c r="A4119" s="140"/>
      <c r="B4119" s="192"/>
      <c r="C4119" s="140"/>
      <c r="D4119" s="140"/>
      <c r="E4119" s="140"/>
    </row>
    <row r="4120" spans="1:5">
      <c r="A4120" s="140"/>
      <c r="B4120" s="192"/>
      <c r="C4120" s="140"/>
      <c r="D4120" s="140"/>
      <c r="E4120" s="140"/>
    </row>
    <row r="4121" spans="1:5">
      <c r="A4121" s="140"/>
      <c r="B4121" s="192"/>
      <c r="C4121" s="140"/>
      <c r="D4121" s="140"/>
      <c r="E4121" s="140"/>
    </row>
    <row r="4122" spans="1:5">
      <c r="A4122" s="140"/>
      <c r="B4122" s="192"/>
      <c r="C4122" s="140"/>
      <c r="D4122" s="140"/>
      <c r="E4122" s="140"/>
    </row>
    <row r="4123" spans="1:5">
      <c r="A4123" s="140"/>
      <c r="B4123" s="192"/>
      <c r="C4123" s="140"/>
      <c r="D4123" s="140"/>
      <c r="E4123" s="140"/>
    </row>
    <row r="4124" spans="1:5">
      <c r="A4124" s="140"/>
      <c r="B4124" s="192"/>
      <c r="C4124" s="140"/>
      <c r="D4124" s="140"/>
      <c r="E4124" s="140"/>
    </row>
    <row r="4125" spans="1:5">
      <c r="A4125" s="140"/>
      <c r="B4125" s="192"/>
      <c r="C4125" s="140"/>
      <c r="D4125" s="140"/>
      <c r="E4125" s="140"/>
    </row>
    <row r="4126" spans="1:5">
      <c r="A4126" s="140"/>
      <c r="B4126" s="192"/>
      <c r="C4126" s="140"/>
      <c r="D4126" s="140"/>
      <c r="E4126" s="140"/>
    </row>
    <row r="4127" spans="1:5">
      <c r="A4127" s="140"/>
      <c r="B4127" s="192"/>
      <c r="C4127" s="140"/>
      <c r="D4127" s="140"/>
      <c r="E4127" s="140"/>
    </row>
    <row r="4128" spans="1:5">
      <c r="A4128" s="140"/>
      <c r="B4128" s="192"/>
      <c r="C4128" s="140"/>
      <c r="D4128" s="140"/>
      <c r="E4128" s="140"/>
    </row>
    <row r="4129" spans="1:5">
      <c r="A4129" s="140"/>
      <c r="B4129" s="192"/>
      <c r="C4129" s="140"/>
      <c r="D4129" s="140"/>
      <c r="E4129" s="140"/>
    </row>
    <row r="4130" spans="1:5">
      <c r="A4130" s="140"/>
      <c r="B4130" s="192"/>
      <c r="C4130" s="140"/>
      <c r="D4130" s="140"/>
      <c r="E4130" s="140"/>
    </row>
    <row r="4131" spans="1:5">
      <c r="A4131" s="140"/>
      <c r="B4131" s="192"/>
      <c r="C4131" s="140"/>
      <c r="D4131" s="140"/>
      <c r="E4131" s="140"/>
    </row>
    <row r="4132" spans="1:5">
      <c r="A4132" s="140"/>
      <c r="B4132" s="192"/>
      <c r="C4132" s="140"/>
      <c r="D4132" s="140"/>
      <c r="E4132" s="140"/>
    </row>
    <row r="4133" spans="1:5">
      <c r="A4133" s="140"/>
      <c r="B4133" s="192"/>
      <c r="C4133" s="140"/>
      <c r="D4133" s="140"/>
      <c r="E4133" s="140"/>
    </row>
    <row r="4134" spans="1:5">
      <c r="A4134" s="140"/>
      <c r="B4134" s="192"/>
      <c r="C4134" s="140"/>
      <c r="D4134" s="140"/>
      <c r="E4134" s="140"/>
    </row>
    <row r="4135" spans="1:5">
      <c r="A4135" s="140"/>
      <c r="B4135" s="192"/>
      <c r="C4135" s="140"/>
      <c r="D4135" s="140"/>
      <c r="E4135" s="140"/>
    </row>
    <row r="4136" spans="1:5">
      <c r="A4136" s="140"/>
      <c r="B4136" s="192"/>
      <c r="C4136" s="140"/>
      <c r="D4136" s="140"/>
      <c r="E4136" s="140"/>
    </row>
    <row r="4137" spans="1:5">
      <c r="A4137" s="140"/>
      <c r="B4137" s="192"/>
      <c r="C4137" s="140"/>
      <c r="D4137" s="140"/>
      <c r="E4137" s="140"/>
    </row>
    <row r="4138" spans="1:5">
      <c r="A4138" s="140"/>
      <c r="B4138" s="192"/>
      <c r="C4138" s="140"/>
      <c r="D4138" s="140"/>
      <c r="E4138" s="140"/>
    </row>
    <row r="4139" spans="1:5">
      <c r="A4139" s="140"/>
      <c r="B4139" s="192"/>
      <c r="C4139" s="140"/>
      <c r="D4139" s="140"/>
      <c r="E4139" s="140"/>
    </row>
    <row r="4140" spans="1:5">
      <c r="A4140" s="140"/>
      <c r="B4140" s="192"/>
      <c r="C4140" s="140"/>
      <c r="D4140" s="140"/>
      <c r="E4140" s="140"/>
    </row>
    <row r="4141" spans="1:5">
      <c r="A4141" s="140"/>
      <c r="B4141" s="192"/>
      <c r="C4141" s="140"/>
      <c r="D4141" s="140"/>
      <c r="E4141" s="140"/>
    </row>
    <row r="4142" spans="1:5">
      <c r="A4142" s="140"/>
      <c r="B4142" s="192"/>
      <c r="C4142" s="140"/>
      <c r="D4142" s="140"/>
      <c r="E4142" s="140"/>
    </row>
    <row r="4143" spans="1:5">
      <c r="A4143" s="140"/>
      <c r="B4143" s="192"/>
      <c r="C4143" s="140"/>
      <c r="D4143" s="140"/>
      <c r="E4143" s="140"/>
    </row>
    <row r="4144" spans="1:5">
      <c r="A4144" s="140"/>
      <c r="B4144" s="192"/>
      <c r="C4144" s="140"/>
      <c r="D4144" s="140"/>
      <c r="E4144" s="140"/>
    </row>
    <row r="4145" spans="1:5">
      <c r="A4145" s="140"/>
      <c r="B4145" s="192"/>
      <c r="C4145" s="140"/>
      <c r="D4145" s="140"/>
      <c r="E4145" s="140"/>
    </row>
    <row r="4146" spans="1:5">
      <c r="A4146" s="140"/>
      <c r="B4146" s="192"/>
      <c r="C4146" s="140"/>
      <c r="D4146" s="140"/>
      <c r="E4146" s="140"/>
    </row>
    <row r="4147" spans="1:5">
      <c r="A4147" s="140"/>
      <c r="B4147" s="192"/>
      <c r="C4147" s="140"/>
      <c r="D4147" s="140"/>
      <c r="E4147" s="140"/>
    </row>
    <row r="4148" spans="1:5">
      <c r="A4148" s="140"/>
      <c r="B4148" s="192"/>
      <c r="C4148" s="140"/>
      <c r="D4148" s="140"/>
      <c r="E4148" s="140"/>
    </row>
    <row r="4149" spans="1:5">
      <c r="A4149" s="140"/>
      <c r="B4149" s="192"/>
      <c r="C4149" s="140"/>
      <c r="D4149" s="140"/>
      <c r="E4149" s="140"/>
    </row>
    <row r="4150" spans="1:5">
      <c r="A4150" s="140"/>
      <c r="B4150" s="192"/>
      <c r="C4150" s="140"/>
      <c r="D4150" s="140"/>
      <c r="E4150" s="140"/>
    </row>
    <row r="4151" spans="1:5">
      <c r="A4151" s="140"/>
      <c r="B4151" s="192"/>
      <c r="C4151" s="140"/>
      <c r="D4151" s="140"/>
      <c r="E4151" s="140"/>
    </row>
    <row r="4152" spans="1:5">
      <c r="A4152" s="140"/>
      <c r="B4152" s="192"/>
      <c r="C4152" s="140"/>
      <c r="D4152" s="140"/>
      <c r="E4152" s="140"/>
    </row>
    <row r="4153" spans="1:5">
      <c r="A4153" s="140"/>
      <c r="B4153" s="192"/>
      <c r="C4153" s="140"/>
      <c r="D4153" s="140"/>
      <c r="E4153" s="140"/>
    </row>
    <row r="4154" spans="1:5">
      <c r="A4154" s="140"/>
      <c r="B4154" s="192"/>
      <c r="C4154" s="140"/>
      <c r="D4154" s="140"/>
      <c r="E4154" s="140"/>
    </row>
    <row r="4155" spans="1:5">
      <c r="A4155" s="140"/>
      <c r="B4155" s="192"/>
      <c r="C4155" s="140"/>
      <c r="D4155" s="140"/>
      <c r="E4155" s="140"/>
    </row>
    <row r="4156" spans="1:5">
      <c r="A4156" s="140"/>
      <c r="B4156" s="192"/>
      <c r="C4156" s="140"/>
      <c r="D4156" s="140"/>
      <c r="E4156" s="140"/>
    </row>
    <row r="4157" spans="1:5">
      <c r="A4157" s="140"/>
      <c r="B4157" s="192"/>
      <c r="C4157" s="140"/>
      <c r="D4157" s="140"/>
      <c r="E4157" s="140"/>
    </row>
    <row r="4158" spans="1:5">
      <c r="A4158" s="140"/>
      <c r="B4158" s="192"/>
      <c r="C4158" s="140"/>
      <c r="D4158" s="140"/>
      <c r="E4158" s="140"/>
    </row>
    <row r="4159" spans="1:5">
      <c r="A4159" s="140"/>
      <c r="B4159" s="192"/>
      <c r="C4159" s="140"/>
      <c r="D4159" s="140"/>
      <c r="E4159" s="140"/>
    </row>
    <row r="4160" spans="1:5">
      <c r="A4160" s="140"/>
      <c r="B4160" s="192"/>
      <c r="C4160" s="140"/>
      <c r="D4160" s="140"/>
      <c r="E4160" s="140"/>
    </row>
    <row r="4161" spans="1:5">
      <c r="A4161" s="140"/>
      <c r="B4161" s="192"/>
      <c r="C4161" s="140"/>
      <c r="D4161" s="140"/>
      <c r="E4161" s="140"/>
    </row>
    <row r="4162" spans="1:5">
      <c r="A4162" s="140"/>
      <c r="B4162" s="192"/>
      <c r="C4162" s="140"/>
      <c r="D4162" s="140"/>
      <c r="E4162" s="140"/>
    </row>
    <row r="4163" spans="1:5">
      <c r="A4163" s="140"/>
      <c r="B4163" s="192"/>
      <c r="C4163" s="140"/>
      <c r="D4163" s="140"/>
      <c r="E4163" s="140"/>
    </row>
    <row r="4164" spans="1:5">
      <c r="A4164" s="140"/>
      <c r="B4164" s="192"/>
      <c r="C4164" s="140"/>
      <c r="D4164" s="140"/>
      <c r="E4164" s="140"/>
    </row>
    <row r="4165" spans="1:5">
      <c r="A4165" s="140"/>
      <c r="B4165" s="192"/>
      <c r="C4165" s="140"/>
      <c r="D4165" s="140"/>
      <c r="E4165" s="140"/>
    </row>
    <row r="4166" spans="1:5">
      <c r="A4166" s="140"/>
      <c r="B4166" s="192"/>
      <c r="C4166" s="140"/>
      <c r="D4166" s="140"/>
      <c r="E4166" s="140"/>
    </row>
    <row r="4167" spans="1:5">
      <c r="A4167" s="140"/>
      <c r="B4167" s="192"/>
      <c r="C4167" s="140"/>
      <c r="D4167" s="140"/>
      <c r="E4167" s="140"/>
    </row>
    <row r="4168" spans="1:5">
      <c r="A4168" s="140"/>
      <c r="B4168" s="192"/>
      <c r="C4168" s="140"/>
      <c r="D4168" s="140"/>
      <c r="E4168" s="140"/>
    </row>
    <row r="4169" spans="1:5">
      <c r="A4169" s="140"/>
      <c r="B4169" s="192"/>
      <c r="C4169" s="140"/>
      <c r="D4169" s="140"/>
      <c r="E4169" s="140"/>
    </row>
    <row r="4170" spans="1:5">
      <c r="A4170" s="140"/>
      <c r="B4170" s="192"/>
      <c r="C4170" s="140"/>
      <c r="D4170" s="140"/>
      <c r="E4170" s="140"/>
    </row>
    <row r="4171" spans="1:5">
      <c r="A4171" s="140"/>
      <c r="B4171" s="192"/>
      <c r="C4171" s="140"/>
      <c r="D4171" s="140"/>
      <c r="E4171" s="140"/>
    </row>
    <row r="4172" spans="1:5">
      <c r="A4172" s="140"/>
      <c r="B4172" s="192"/>
      <c r="C4172" s="140"/>
      <c r="D4172" s="140"/>
      <c r="E4172" s="140"/>
    </row>
    <row r="4173" spans="1:5">
      <c r="A4173" s="140"/>
      <c r="B4173" s="192"/>
      <c r="C4173" s="140"/>
      <c r="D4173" s="140"/>
      <c r="E4173" s="140"/>
    </row>
    <row r="4174" spans="1:5">
      <c r="A4174" s="140"/>
      <c r="B4174" s="192"/>
      <c r="C4174" s="140"/>
      <c r="D4174" s="140"/>
      <c r="E4174" s="140"/>
    </row>
    <row r="4175" spans="1:5">
      <c r="A4175" s="140"/>
      <c r="B4175" s="192"/>
      <c r="C4175" s="140"/>
      <c r="D4175" s="140"/>
      <c r="E4175" s="140"/>
    </row>
    <row r="4176" spans="1:5">
      <c r="A4176" s="140"/>
      <c r="B4176" s="192"/>
      <c r="C4176" s="140"/>
      <c r="D4176" s="140"/>
      <c r="E4176" s="140"/>
    </row>
    <row r="4177" spans="1:5">
      <c r="A4177" s="140"/>
      <c r="B4177" s="192"/>
      <c r="C4177" s="140"/>
      <c r="D4177" s="140"/>
      <c r="E4177" s="140"/>
    </row>
    <row r="4178" spans="1:5">
      <c r="A4178" s="140"/>
      <c r="B4178" s="192"/>
      <c r="C4178" s="140"/>
      <c r="D4178" s="140"/>
      <c r="E4178" s="140"/>
    </row>
    <row r="4179" spans="1:5">
      <c r="A4179" s="140"/>
      <c r="B4179" s="192"/>
      <c r="C4179" s="140"/>
      <c r="D4179" s="140"/>
      <c r="E4179" s="140"/>
    </row>
    <row r="4180" spans="1:5">
      <c r="A4180" s="140"/>
      <c r="B4180" s="192"/>
      <c r="C4180" s="140"/>
      <c r="D4180" s="140"/>
      <c r="E4180" s="140"/>
    </row>
    <row r="4181" spans="1:5">
      <c r="A4181" s="140"/>
      <c r="B4181" s="192"/>
      <c r="C4181" s="140"/>
      <c r="D4181" s="140"/>
      <c r="E4181" s="140"/>
    </row>
    <row r="4182" spans="1:5">
      <c r="A4182" s="140"/>
      <c r="B4182" s="192"/>
      <c r="C4182" s="140"/>
      <c r="D4182" s="140"/>
      <c r="E4182" s="140"/>
    </row>
    <row r="4183" spans="1:5">
      <c r="A4183" s="140"/>
      <c r="B4183" s="192"/>
      <c r="C4183" s="140"/>
      <c r="D4183" s="140"/>
      <c r="E4183" s="140"/>
    </row>
    <row r="4184" spans="1:5">
      <c r="A4184" s="140"/>
      <c r="B4184" s="192"/>
      <c r="C4184" s="140"/>
      <c r="D4184" s="140"/>
      <c r="E4184" s="140"/>
    </row>
    <row r="4185" spans="1:5">
      <c r="A4185" s="140"/>
      <c r="B4185" s="192"/>
      <c r="C4185" s="140"/>
      <c r="D4185" s="140"/>
      <c r="E4185" s="140"/>
    </row>
    <row r="4186" spans="1:5">
      <c r="A4186" s="140"/>
      <c r="B4186" s="192"/>
      <c r="C4186" s="140"/>
      <c r="D4186" s="140"/>
      <c r="E4186" s="140"/>
    </row>
    <row r="4187" spans="1:5">
      <c r="A4187" s="140"/>
      <c r="B4187" s="192"/>
      <c r="C4187" s="140"/>
      <c r="D4187" s="140"/>
      <c r="E4187" s="140"/>
    </row>
    <row r="4188" spans="1:5">
      <c r="A4188" s="140"/>
      <c r="B4188" s="192"/>
      <c r="C4188" s="140"/>
      <c r="D4188" s="140"/>
      <c r="E4188" s="140"/>
    </row>
    <row r="4189" spans="1:5">
      <c r="A4189" s="140"/>
      <c r="B4189" s="192"/>
      <c r="C4189" s="140"/>
      <c r="D4189" s="140"/>
      <c r="E4189" s="140"/>
    </row>
    <row r="4190" spans="1:5">
      <c r="A4190" s="140"/>
      <c r="B4190" s="192"/>
      <c r="C4190" s="140"/>
      <c r="D4190" s="140"/>
      <c r="E4190" s="140"/>
    </row>
    <row r="4191" spans="1:5">
      <c r="A4191" s="140"/>
      <c r="B4191" s="192"/>
      <c r="C4191" s="140"/>
      <c r="D4191" s="140"/>
      <c r="E4191" s="140"/>
    </row>
    <row r="4192" spans="1:5">
      <c r="A4192" s="140"/>
      <c r="B4192" s="192"/>
      <c r="C4192" s="140"/>
      <c r="D4192" s="140"/>
      <c r="E4192" s="140"/>
    </row>
    <row r="4193" spans="1:5">
      <c r="A4193" s="140"/>
      <c r="B4193" s="192"/>
      <c r="C4193" s="140"/>
      <c r="D4193" s="140"/>
      <c r="E4193" s="140"/>
    </row>
    <row r="4194" spans="1:5">
      <c r="A4194" s="140"/>
      <c r="B4194" s="192"/>
      <c r="C4194" s="140"/>
      <c r="D4194" s="140"/>
      <c r="E4194" s="140"/>
    </row>
    <row r="4195" spans="1:5">
      <c r="A4195" s="140"/>
      <c r="B4195" s="192"/>
      <c r="C4195" s="140"/>
      <c r="D4195" s="140"/>
      <c r="E4195" s="140"/>
    </row>
    <row r="4196" spans="1:5">
      <c r="A4196" s="140"/>
      <c r="B4196" s="192"/>
      <c r="C4196" s="140"/>
      <c r="D4196" s="140"/>
      <c r="E4196" s="140"/>
    </row>
    <row r="4197" spans="1:5">
      <c r="A4197" s="140"/>
      <c r="B4197" s="192"/>
      <c r="C4197" s="140"/>
      <c r="D4197" s="140"/>
      <c r="E4197" s="140"/>
    </row>
    <row r="4198" spans="1:5">
      <c r="A4198" s="140"/>
      <c r="B4198" s="192"/>
      <c r="C4198" s="140"/>
      <c r="D4198" s="140"/>
      <c r="E4198" s="140"/>
    </row>
    <row r="4199" spans="1:5">
      <c r="A4199" s="140"/>
      <c r="B4199" s="192"/>
      <c r="C4199" s="140"/>
      <c r="D4199" s="140"/>
      <c r="E4199" s="140"/>
    </row>
    <row r="4200" spans="1:5">
      <c r="A4200" s="140"/>
      <c r="B4200" s="192"/>
      <c r="C4200" s="140"/>
      <c r="D4200" s="140"/>
      <c r="E4200" s="140"/>
    </row>
    <row r="4201" spans="1:5">
      <c r="A4201" s="140"/>
      <c r="B4201" s="192"/>
      <c r="C4201" s="140"/>
      <c r="D4201" s="140"/>
      <c r="E4201" s="140"/>
    </row>
    <row r="4202" spans="1:5">
      <c r="A4202" s="140"/>
      <c r="B4202" s="192"/>
      <c r="C4202" s="140"/>
      <c r="D4202" s="140"/>
      <c r="E4202" s="140"/>
    </row>
    <row r="4203" spans="1:5">
      <c r="A4203" s="140"/>
      <c r="B4203" s="192"/>
      <c r="C4203" s="140"/>
      <c r="D4203" s="140"/>
      <c r="E4203" s="140"/>
    </row>
    <row r="4204" spans="1:5">
      <c r="A4204" s="140"/>
      <c r="B4204" s="192"/>
      <c r="C4204" s="140"/>
      <c r="D4204" s="140"/>
      <c r="E4204" s="140"/>
    </row>
    <row r="4205" spans="1:5">
      <c r="A4205" s="140"/>
      <c r="B4205" s="192"/>
      <c r="C4205" s="140"/>
      <c r="D4205" s="140"/>
      <c r="E4205" s="140"/>
    </row>
    <row r="4206" spans="1:5">
      <c r="A4206" s="140"/>
      <c r="B4206" s="192"/>
      <c r="C4206" s="140"/>
      <c r="D4206" s="140"/>
      <c r="E4206" s="140"/>
    </row>
    <row r="4207" spans="1:5">
      <c r="A4207" s="140"/>
      <c r="B4207" s="192"/>
      <c r="C4207" s="140"/>
      <c r="D4207" s="140"/>
      <c r="E4207" s="140"/>
    </row>
    <row r="4208" spans="1:5">
      <c r="A4208" s="140"/>
      <c r="B4208" s="192"/>
      <c r="C4208" s="140"/>
      <c r="D4208" s="140"/>
      <c r="E4208" s="140"/>
    </row>
    <row r="4209" spans="1:5">
      <c r="A4209" s="140"/>
      <c r="B4209" s="192"/>
      <c r="C4209" s="140"/>
      <c r="D4209" s="140"/>
      <c r="E4209" s="140"/>
    </row>
    <row r="4210" spans="1:5">
      <c r="A4210" s="140"/>
      <c r="B4210" s="192"/>
      <c r="C4210" s="140"/>
      <c r="D4210" s="140"/>
      <c r="E4210" s="140"/>
    </row>
    <row r="4211" spans="1:5">
      <c r="A4211" s="140"/>
      <c r="B4211" s="192"/>
      <c r="C4211" s="140"/>
      <c r="D4211" s="140"/>
      <c r="E4211" s="140"/>
    </row>
    <row r="4212" spans="1:5">
      <c r="A4212" s="140"/>
      <c r="B4212" s="192"/>
      <c r="C4212" s="140"/>
      <c r="D4212" s="140"/>
      <c r="E4212" s="140"/>
    </row>
    <row r="4213" spans="1:5">
      <c r="A4213" s="140"/>
      <c r="B4213" s="192"/>
      <c r="C4213" s="140"/>
      <c r="D4213" s="140"/>
      <c r="E4213" s="140"/>
    </row>
    <row r="4214" spans="1:5">
      <c r="A4214" s="140"/>
      <c r="B4214" s="192"/>
      <c r="C4214" s="140"/>
      <c r="D4214" s="140"/>
      <c r="E4214" s="140"/>
    </row>
    <row r="4215" spans="1:5">
      <c r="A4215" s="140"/>
      <c r="B4215" s="192"/>
      <c r="C4215" s="140"/>
      <c r="D4215" s="140"/>
      <c r="E4215" s="140"/>
    </row>
    <row r="4216" spans="1:5">
      <c r="A4216" s="140"/>
      <c r="B4216" s="192"/>
      <c r="C4216" s="140"/>
      <c r="D4216" s="140"/>
      <c r="E4216" s="140"/>
    </row>
    <row r="4217" spans="1:5">
      <c r="A4217" s="140"/>
      <c r="B4217" s="192"/>
      <c r="C4217" s="140"/>
      <c r="D4217" s="140"/>
      <c r="E4217" s="140"/>
    </row>
    <row r="4218" spans="1:5">
      <c r="A4218" s="140"/>
      <c r="B4218" s="192"/>
      <c r="C4218" s="140"/>
      <c r="D4218" s="140"/>
      <c r="E4218" s="140"/>
    </row>
    <row r="4219" spans="1:5">
      <c r="A4219" s="140"/>
      <c r="B4219" s="192"/>
      <c r="C4219" s="140"/>
      <c r="D4219" s="140"/>
      <c r="E4219" s="140"/>
    </row>
    <row r="4220" spans="1:5">
      <c r="A4220" s="140"/>
      <c r="B4220" s="192"/>
      <c r="C4220" s="140"/>
      <c r="D4220" s="140"/>
      <c r="E4220" s="140"/>
    </row>
    <row r="4221" spans="1:5">
      <c r="A4221" s="140"/>
      <c r="B4221" s="192"/>
      <c r="C4221" s="140"/>
      <c r="D4221" s="140"/>
      <c r="E4221" s="140"/>
    </row>
    <row r="4222" spans="1:5">
      <c r="A4222" s="140"/>
      <c r="B4222" s="192"/>
      <c r="C4222" s="140"/>
      <c r="D4222" s="140"/>
      <c r="E4222" s="140"/>
    </row>
    <row r="4223" spans="1:5">
      <c r="A4223" s="140"/>
      <c r="B4223" s="192"/>
      <c r="C4223" s="140"/>
      <c r="D4223" s="140"/>
      <c r="E4223" s="140"/>
    </row>
    <row r="4224" spans="1:5">
      <c r="A4224" s="140"/>
      <c r="B4224" s="192"/>
      <c r="C4224" s="140"/>
      <c r="D4224" s="140"/>
      <c r="E4224" s="140"/>
    </row>
    <row r="4225" spans="1:5">
      <c r="A4225" s="140"/>
      <c r="B4225" s="192"/>
      <c r="C4225" s="140"/>
      <c r="D4225" s="140"/>
      <c r="E4225" s="140"/>
    </row>
    <row r="4226" spans="1:5">
      <c r="A4226" s="140"/>
      <c r="B4226" s="192"/>
      <c r="C4226" s="140"/>
      <c r="D4226" s="140"/>
      <c r="E4226" s="140"/>
    </row>
    <row r="4227" spans="1:5">
      <c r="A4227" s="140"/>
      <c r="B4227" s="192"/>
      <c r="C4227" s="140"/>
      <c r="D4227" s="140"/>
      <c r="E4227" s="140"/>
    </row>
    <row r="4228" spans="1:5">
      <c r="A4228" s="140"/>
      <c r="B4228" s="192"/>
      <c r="C4228" s="140"/>
      <c r="D4228" s="140"/>
      <c r="E4228" s="140"/>
    </row>
    <row r="4229" spans="1:5">
      <c r="A4229" s="140"/>
      <c r="B4229" s="192"/>
      <c r="C4229" s="140"/>
      <c r="D4229" s="140"/>
      <c r="E4229" s="140"/>
    </row>
    <row r="4230" spans="1:5">
      <c r="A4230" s="140"/>
      <c r="B4230" s="192"/>
      <c r="C4230" s="140"/>
      <c r="D4230" s="140"/>
      <c r="E4230" s="140"/>
    </row>
    <row r="4231" spans="1:5">
      <c r="A4231" s="140"/>
      <c r="B4231" s="192"/>
      <c r="C4231" s="140"/>
      <c r="D4231" s="140"/>
      <c r="E4231" s="140"/>
    </row>
    <row r="4232" spans="1:5">
      <c r="A4232" s="140"/>
      <c r="B4232" s="192"/>
      <c r="C4232" s="140"/>
      <c r="D4232" s="140"/>
      <c r="E4232" s="140"/>
    </row>
    <row r="4233" spans="1:5">
      <c r="A4233" s="140"/>
      <c r="B4233" s="192"/>
      <c r="C4233" s="140"/>
      <c r="D4233" s="140"/>
      <c r="E4233" s="140"/>
    </row>
    <row r="4234" spans="1:5">
      <c r="A4234" s="140"/>
      <c r="B4234" s="192"/>
      <c r="C4234" s="140"/>
      <c r="D4234" s="140"/>
      <c r="E4234" s="140"/>
    </row>
    <row r="4235" spans="1:5">
      <c r="A4235" s="140"/>
      <c r="B4235" s="192"/>
      <c r="C4235" s="140"/>
      <c r="D4235" s="140"/>
      <c r="E4235" s="140"/>
    </row>
    <row r="4236" spans="1:5">
      <c r="A4236" s="140"/>
      <c r="B4236" s="192"/>
      <c r="C4236" s="140"/>
      <c r="D4236" s="140"/>
      <c r="E4236" s="140"/>
    </row>
    <row r="4237" spans="1:5">
      <c r="A4237" s="140"/>
      <c r="B4237" s="192"/>
      <c r="C4237" s="140"/>
      <c r="D4237" s="140"/>
      <c r="E4237" s="140"/>
    </row>
    <row r="4238" spans="1:5">
      <c r="A4238" s="140"/>
      <c r="B4238" s="192"/>
      <c r="C4238" s="140"/>
      <c r="D4238" s="140"/>
      <c r="E4238" s="140"/>
    </row>
    <row r="4239" spans="1:5">
      <c r="A4239" s="140"/>
      <c r="B4239" s="192"/>
      <c r="C4239" s="140"/>
      <c r="D4239" s="140"/>
      <c r="E4239" s="140"/>
    </row>
    <row r="4240" spans="1:5">
      <c r="A4240" s="140"/>
      <c r="B4240" s="192"/>
      <c r="C4240" s="140"/>
      <c r="D4240" s="140"/>
      <c r="E4240" s="140"/>
    </row>
    <row r="4241" spans="1:5">
      <c r="A4241" s="140"/>
      <c r="B4241" s="192"/>
      <c r="C4241" s="140"/>
      <c r="D4241" s="140"/>
      <c r="E4241" s="140"/>
    </row>
    <row r="4242" spans="1:5">
      <c r="A4242" s="140"/>
      <c r="B4242" s="192"/>
      <c r="C4242" s="140"/>
      <c r="D4242" s="140"/>
      <c r="E4242" s="140"/>
    </row>
    <row r="4243" spans="1:5">
      <c r="A4243" s="140"/>
      <c r="B4243" s="192"/>
      <c r="C4243" s="140"/>
      <c r="D4243" s="140"/>
      <c r="E4243" s="140"/>
    </row>
    <row r="4244" spans="1:5">
      <c r="A4244" s="140"/>
      <c r="B4244" s="192"/>
      <c r="C4244" s="140"/>
      <c r="D4244" s="140"/>
      <c r="E4244" s="140"/>
    </row>
    <row r="4245" spans="1:5">
      <c r="A4245" s="140"/>
      <c r="B4245" s="192"/>
      <c r="C4245" s="140"/>
      <c r="D4245" s="140"/>
      <c r="E4245" s="140"/>
    </row>
    <row r="4246" spans="1:5">
      <c r="A4246" s="140"/>
      <c r="B4246" s="192"/>
      <c r="C4246" s="140"/>
      <c r="D4246" s="140"/>
      <c r="E4246" s="140"/>
    </row>
    <row r="4247" spans="1:5">
      <c r="A4247" s="140"/>
      <c r="B4247" s="192"/>
      <c r="C4247" s="140"/>
      <c r="D4247" s="140"/>
      <c r="E4247" s="140"/>
    </row>
    <row r="4248" spans="1:5">
      <c r="A4248" s="140"/>
      <c r="B4248" s="192"/>
      <c r="C4248" s="140"/>
      <c r="D4248" s="140"/>
      <c r="E4248" s="140"/>
    </row>
    <row r="4249" spans="1:5">
      <c r="A4249" s="140"/>
      <c r="B4249" s="192"/>
      <c r="C4249" s="140"/>
      <c r="D4249" s="140"/>
      <c r="E4249" s="140"/>
    </row>
    <row r="4250" spans="1:5">
      <c r="A4250" s="140"/>
      <c r="B4250" s="192"/>
      <c r="C4250" s="140"/>
      <c r="D4250" s="140"/>
      <c r="E4250" s="140"/>
    </row>
    <row r="4251" spans="1:5">
      <c r="A4251" s="140"/>
      <c r="B4251" s="192"/>
      <c r="C4251" s="140"/>
      <c r="D4251" s="140"/>
      <c r="E4251" s="140"/>
    </row>
    <row r="4252" spans="1:5">
      <c r="A4252" s="140"/>
      <c r="B4252" s="192"/>
      <c r="C4252" s="140"/>
      <c r="D4252" s="140"/>
      <c r="E4252" s="140"/>
    </row>
    <row r="4253" spans="1:5">
      <c r="A4253" s="140"/>
      <c r="B4253" s="192"/>
      <c r="C4253" s="140"/>
      <c r="D4253" s="140"/>
      <c r="E4253" s="140"/>
    </row>
    <row r="4254" spans="1:5">
      <c r="A4254" s="140"/>
      <c r="B4254" s="192"/>
      <c r="C4254" s="140"/>
      <c r="D4254" s="140"/>
      <c r="E4254" s="140"/>
    </row>
    <row r="4255" spans="1:5">
      <c r="A4255" s="140"/>
      <c r="B4255" s="192"/>
      <c r="C4255" s="140"/>
      <c r="D4255" s="140"/>
      <c r="E4255" s="140"/>
    </row>
    <row r="4256" spans="1:5">
      <c r="A4256" s="140"/>
      <c r="B4256" s="192"/>
      <c r="C4256" s="140"/>
      <c r="D4256" s="140"/>
      <c r="E4256" s="140"/>
    </row>
    <row r="4257" spans="1:5">
      <c r="A4257" s="140"/>
      <c r="B4257" s="192"/>
      <c r="C4257" s="140"/>
      <c r="D4257" s="140"/>
      <c r="E4257" s="140"/>
    </row>
    <row r="4258" spans="1:5">
      <c r="A4258" s="140"/>
      <c r="B4258" s="192"/>
      <c r="C4258" s="140"/>
      <c r="D4258" s="140"/>
      <c r="E4258" s="140"/>
    </row>
    <row r="4259" spans="1:5">
      <c r="A4259" s="140"/>
      <c r="B4259" s="192"/>
      <c r="C4259" s="140"/>
      <c r="D4259" s="140"/>
      <c r="E4259" s="140"/>
    </row>
    <row r="4260" spans="1:5">
      <c r="A4260" s="140"/>
      <c r="B4260" s="192"/>
      <c r="C4260" s="140"/>
      <c r="D4260" s="140"/>
      <c r="E4260" s="140"/>
    </row>
    <row r="4261" spans="1:5">
      <c r="A4261" s="140"/>
      <c r="B4261" s="192"/>
      <c r="C4261" s="140"/>
      <c r="D4261" s="140"/>
      <c r="E4261" s="140"/>
    </row>
    <row r="4262" spans="1:5">
      <c r="A4262" s="140"/>
      <c r="B4262" s="192"/>
      <c r="C4262" s="140"/>
      <c r="D4262" s="140"/>
      <c r="E4262" s="140"/>
    </row>
    <row r="4263" spans="1:5">
      <c r="A4263" s="140"/>
      <c r="B4263" s="192"/>
      <c r="C4263" s="140"/>
      <c r="D4263" s="140"/>
      <c r="E4263" s="140"/>
    </row>
    <row r="4264" spans="1:5">
      <c r="A4264" s="140"/>
      <c r="B4264" s="192"/>
      <c r="C4264" s="140"/>
      <c r="D4264" s="140"/>
      <c r="E4264" s="140"/>
    </row>
    <row r="4265" spans="1:5">
      <c r="A4265" s="140"/>
      <c r="B4265" s="192"/>
      <c r="C4265" s="140"/>
      <c r="D4265" s="140"/>
      <c r="E4265" s="140"/>
    </row>
    <row r="4266" spans="1:5">
      <c r="A4266" s="140"/>
      <c r="B4266" s="192"/>
      <c r="C4266" s="140"/>
      <c r="D4266" s="140"/>
      <c r="E4266" s="140"/>
    </row>
    <row r="4267" spans="1:5">
      <c r="A4267" s="140"/>
      <c r="B4267" s="192"/>
      <c r="C4267" s="140"/>
      <c r="D4267" s="140"/>
      <c r="E4267" s="140"/>
    </row>
    <row r="4268" spans="1:5">
      <c r="A4268" s="140"/>
      <c r="B4268" s="192"/>
      <c r="C4268" s="140"/>
      <c r="D4268" s="140"/>
      <c r="E4268" s="140"/>
    </row>
    <row r="4269" spans="1:5">
      <c r="A4269" s="140"/>
      <c r="B4269" s="192"/>
      <c r="C4269" s="140"/>
      <c r="D4269" s="140"/>
      <c r="E4269" s="140"/>
    </row>
    <row r="4270" spans="1:5">
      <c r="A4270" s="140"/>
      <c r="B4270" s="192"/>
      <c r="C4270" s="140"/>
      <c r="D4270" s="140"/>
      <c r="E4270" s="140"/>
    </row>
    <row r="4271" spans="1:5">
      <c r="A4271" s="140"/>
      <c r="B4271" s="192"/>
      <c r="C4271" s="140"/>
      <c r="D4271" s="140"/>
      <c r="E4271" s="140"/>
    </row>
    <row r="4272" spans="1:5">
      <c r="A4272" s="140"/>
      <c r="B4272" s="192"/>
      <c r="C4272" s="140"/>
      <c r="D4272" s="140"/>
      <c r="E4272" s="140"/>
    </row>
    <row r="4273" spans="1:5">
      <c r="A4273" s="140"/>
      <c r="B4273" s="192"/>
      <c r="C4273" s="140"/>
      <c r="D4273" s="140"/>
      <c r="E4273" s="140"/>
    </row>
    <row r="4274" spans="1:5">
      <c r="A4274" s="140"/>
      <c r="B4274" s="192"/>
      <c r="C4274" s="140"/>
      <c r="D4274" s="140"/>
      <c r="E4274" s="140"/>
    </row>
    <row r="4275" spans="1:5">
      <c r="A4275" s="140"/>
      <c r="B4275" s="192"/>
      <c r="C4275" s="140"/>
      <c r="D4275" s="140"/>
      <c r="E4275" s="140"/>
    </row>
    <row r="4276" spans="1:5">
      <c r="A4276" s="140"/>
      <c r="B4276" s="192"/>
      <c r="C4276" s="140"/>
      <c r="D4276" s="140"/>
      <c r="E4276" s="140"/>
    </row>
    <row r="4277" spans="1:5">
      <c r="A4277" s="140"/>
      <c r="B4277" s="192"/>
      <c r="C4277" s="140"/>
      <c r="D4277" s="140"/>
      <c r="E4277" s="140"/>
    </row>
    <row r="4278" spans="1:5">
      <c r="A4278" s="140"/>
      <c r="B4278" s="192"/>
      <c r="C4278" s="140"/>
      <c r="D4278" s="140"/>
      <c r="E4278" s="140"/>
    </row>
    <row r="4279" spans="1:5">
      <c r="A4279" s="140"/>
      <c r="B4279" s="192"/>
      <c r="C4279" s="140"/>
      <c r="D4279" s="140"/>
      <c r="E4279" s="140"/>
    </row>
    <row r="4280" spans="1:5">
      <c r="A4280" s="140"/>
      <c r="B4280" s="192"/>
      <c r="C4280" s="140"/>
      <c r="D4280" s="140"/>
      <c r="E4280" s="140"/>
    </row>
    <row r="4281" spans="1:5">
      <c r="A4281" s="140"/>
      <c r="B4281" s="192"/>
      <c r="C4281" s="140"/>
      <c r="D4281" s="140"/>
      <c r="E4281" s="140"/>
    </row>
    <row r="4282" spans="1:5">
      <c r="A4282" s="140"/>
      <c r="B4282" s="192"/>
      <c r="C4282" s="140"/>
      <c r="D4282" s="140"/>
      <c r="E4282" s="140"/>
    </row>
    <row r="4283" spans="1:5">
      <c r="A4283" s="140"/>
      <c r="B4283" s="192"/>
      <c r="C4283" s="140"/>
      <c r="D4283" s="140"/>
      <c r="E4283" s="140"/>
    </row>
    <row r="4284" spans="1:5">
      <c r="A4284" s="140"/>
      <c r="B4284" s="192"/>
      <c r="C4284" s="140"/>
      <c r="D4284" s="140"/>
      <c r="E4284" s="140"/>
    </row>
    <row r="4285" spans="1:5">
      <c r="A4285" s="140"/>
      <c r="B4285" s="192"/>
      <c r="C4285" s="140"/>
      <c r="D4285" s="140"/>
      <c r="E4285" s="140"/>
    </row>
    <row r="4286" spans="1:5">
      <c r="A4286" s="140"/>
      <c r="B4286" s="192"/>
      <c r="C4286" s="140"/>
      <c r="D4286" s="140"/>
      <c r="E4286" s="140"/>
    </row>
    <row r="4287" spans="1:5">
      <c r="A4287" s="140"/>
      <c r="B4287" s="192"/>
      <c r="C4287" s="140"/>
      <c r="D4287" s="140"/>
      <c r="E4287" s="140"/>
    </row>
    <row r="4288" spans="1:5">
      <c r="A4288" s="140"/>
      <c r="B4288" s="192"/>
      <c r="C4288" s="140"/>
      <c r="D4288" s="140"/>
      <c r="E4288" s="140"/>
    </row>
    <row r="4289" spans="1:5">
      <c r="A4289" s="140"/>
      <c r="B4289" s="192"/>
      <c r="C4289" s="140"/>
      <c r="D4289" s="140"/>
      <c r="E4289" s="140"/>
    </row>
    <row r="4290" spans="1:5">
      <c r="A4290" s="140"/>
      <c r="B4290" s="192"/>
      <c r="C4290" s="140"/>
      <c r="D4290" s="140"/>
      <c r="E4290" s="140"/>
    </row>
    <row r="4291" spans="1:5">
      <c r="A4291" s="140"/>
      <c r="B4291" s="192"/>
      <c r="C4291" s="140"/>
      <c r="D4291" s="140"/>
      <c r="E4291" s="140"/>
    </row>
    <row r="4292" spans="1:5">
      <c r="A4292" s="140"/>
      <c r="B4292" s="192"/>
      <c r="C4292" s="140"/>
      <c r="D4292" s="140"/>
      <c r="E4292" s="140"/>
    </row>
    <row r="4293" spans="1:5">
      <c r="A4293" s="140"/>
      <c r="B4293" s="192"/>
      <c r="C4293" s="140"/>
      <c r="D4293" s="140"/>
      <c r="E4293" s="140"/>
    </row>
    <row r="4294" spans="1:5">
      <c r="A4294" s="140"/>
      <c r="B4294" s="192"/>
      <c r="C4294" s="140"/>
      <c r="D4294" s="140"/>
      <c r="E4294" s="140"/>
    </row>
    <row r="4295" spans="1:5">
      <c r="A4295" s="140"/>
      <c r="B4295" s="192"/>
      <c r="C4295" s="140"/>
      <c r="D4295" s="140"/>
      <c r="E4295" s="140"/>
    </row>
    <row r="4296" spans="1:5">
      <c r="A4296" s="140"/>
      <c r="B4296" s="192"/>
      <c r="C4296" s="140"/>
      <c r="D4296" s="140"/>
      <c r="E4296" s="140"/>
    </row>
    <row r="4297" spans="1:5">
      <c r="A4297" s="140"/>
      <c r="B4297" s="192"/>
      <c r="C4297" s="140"/>
      <c r="D4297" s="140"/>
      <c r="E4297" s="140"/>
    </row>
    <row r="4298" spans="1:5">
      <c r="A4298" s="140"/>
      <c r="B4298" s="192"/>
      <c r="C4298" s="140"/>
      <c r="D4298" s="140"/>
      <c r="E4298" s="140"/>
    </row>
    <row r="4299" spans="1:5">
      <c r="A4299" s="140"/>
      <c r="B4299" s="192"/>
      <c r="C4299" s="140"/>
      <c r="D4299" s="140"/>
      <c r="E4299" s="140"/>
    </row>
    <row r="4300" spans="1:5">
      <c r="A4300" s="140"/>
      <c r="B4300" s="192"/>
      <c r="C4300" s="140"/>
      <c r="D4300" s="140"/>
      <c r="E4300" s="140"/>
    </row>
    <row r="4301" spans="1:5">
      <c r="A4301" s="140"/>
      <c r="B4301" s="192"/>
      <c r="C4301" s="140"/>
      <c r="D4301" s="140"/>
      <c r="E4301" s="140"/>
    </row>
    <row r="4302" spans="1:5">
      <c r="A4302" s="140"/>
      <c r="B4302" s="192"/>
      <c r="C4302" s="140"/>
      <c r="D4302" s="140"/>
      <c r="E4302" s="140"/>
    </row>
    <row r="4303" spans="1:5">
      <c r="A4303" s="140"/>
      <c r="B4303" s="192"/>
      <c r="C4303" s="140"/>
      <c r="D4303" s="140"/>
      <c r="E4303" s="140"/>
    </row>
    <row r="4304" spans="1:5">
      <c r="A4304" s="140"/>
      <c r="B4304" s="192"/>
      <c r="C4304" s="140"/>
      <c r="D4304" s="140"/>
      <c r="E4304" s="140"/>
    </row>
    <row r="4305" spans="1:5">
      <c r="A4305" s="140"/>
      <c r="B4305" s="192"/>
      <c r="C4305" s="140"/>
      <c r="D4305" s="140"/>
      <c r="E4305" s="140"/>
    </row>
    <row r="4306" spans="1:5">
      <c r="A4306" s="140"/>
      <c r="B4306" s="192"/>
      <c r="C4306" s="140"/>
      <c r="D4306" s="140"/>
      <c r="E4306" s="140"/>
    </row>
    <row r="4307" spans="1:5">
      <c r="A4307" s="140"/>
      <c r="B4307" s="192"/>
      <c r="C4307" s="140"/>
      <c r="D4307" s="140"/>
      <c r="E4307" s="140"/>
    </row>
    <row r="4308" spans="1:5">
      <c r="A4308" s="140"/>
      <c r="B4308" s="192"/>
      <c r="C4308" s="140"/>
      <c r="D4308" s="140"/>
      <c r="E4308" s="140"/>
    </row>
    <row r="4309" spans="1:5">
      <c r="A4309" s="140"/>
      <c r="B4309" s="192"/>
      <c r="C4309" s="140"/>
      <c r="D4309" s="140"/>
      <c r="E4309" s="140"/>
    </row>
    <row r="4310" spans="1:5">
      <c r="A4310" s="140"/>
      <c r="B4310" s="192"/>
      <c r="C4310" s="140"/>
      <c r="D4310" s="140"/>
      <c r="E4310" s="140"/>
    </row>
    <row r="4311" spans="1:5">
      <c r="A4311" s="140"/>
      <c r="B4311" s="192"/>
      <c r="C4311" s="140"/>
      <c r="D4311" s="140"/>
      <c r="E4311" s="140"/>
    </row>
    <row r="4312" spans="1:5">
      <c r="A4312" s="140"/>
      <c r="B4312" s="192"/>
      <c r="C4312" s="140"/>
      <c r="D4312" s="140"/>
      <c r="E4312" s="140"/>
    </row>
    <row r="4313" spans="1:5">
      <c r="A4313" s="140"/>
      <c r="B4313" s="192"/>
      <c r="C4313" s="140"/>
      <c r="D4313" s="140"/>
      <c r="E4313" s="140"/>
    </row>
    <row r="4314" spans="1:5">
      <c r="A4314" s="140"/>
      <c r="B4314" s="192"/>
      <c r="C4314" s="140"/>
      <c r="D4314" s="140"/>
      <c r="E4314" s="140"/>
    </row>
    <row r="4315" spans="1:5">
      <c r="A4315" s="140"/>
      <c r="B4315" s="192"/>
      <c r="C4315" s="140"/>
      <c r="D4315" s="140"/>
      <c r="E4315" s="140"/>
    </row>
    <row r="4316" spans="1:5">
      <c r="A4316" s="140"/>
      <c r="B4316" s="192"/>
      <c r="C4316" s="140"/>
      <c r="D4316" s="140"/>
      <c r="E4316" s="140"/>
    </row>
    <row r="4317" spans="1:5">
      <c r="A4317" s="140"/>
      <c r="B4317" s="192"/>
      <c r="C4317" s="140"/>
      <c r="D4317" s="140"/>
      <c r="E4317" s="140"/>
    </row>
    <row r="4318" spans="1:5">
      <c r="A4318" s="140"/>
      <c r="B4318" s="192"/>
      <c r="C4318" s="140"/>
      <c r="D4318" s="140"/>
      <c r="E4318" s="140"/>
    </row>
    <row r="4319" spans="1:5">
      <c r="A4319" s="140"/>
      <c r="B4319" s="192"/>
      <c r="C4319" s="140"/>
      <c r="D4319" s="140"/>
      <c r="E4319" s="140"/>
    </row>
    <row r="4320" spans="1:5">
      <c r="A4320" s="140"/>
      <c r="B4320" s="192"/>
      <c r="C4320" s="140"/>
      <c r="D4320" s="140"/>
      <c r="E4320" s="140"/>
    </row>
    <row r="4321" spans="1:5">
      <c r="A4321" s="140"/>
      <c r="B4321" s="192"/>
      <c r="C4321" s="140"/>
      <c r="D4321" s="140"/>
      <c r="E4321" s="140"/>
    </row>
    <row r="4322" spans="1:5">
      <c r="A4322" s="140"/>
      <c r="B4322" s="192"/>
      <c r="C4322" s="140"/>
      <c r="D4322" s="140"/>
      <c r="E4322" s="140"/>
    </row>
    <row r="4323" spans="1:5">
      <c r="A4323" s="140"/>
      <c r="B4323" s="192"/>
      <c r="C4323" s="140"/>
      <c r="D4323" s="140"/>
      <c r="E4323" s="140"/>
    </row>
    <row r="4324" spans="1:5">
      <c r="A4324" s="140"/>
      <c r="B4324" s="192"/>
      <c r="C4324" s="140"/>
      <c r="D4324" s="140"/>
      <c r="E4324" s="140"/>
    </row>
    <row r="4325" spans="1:5">
      <c r="A4325" s="140"/>
      <c r="B4325" s="192"/>
      <c r="C4325" s="140"/>
      <c r="D4325" s="140"/>
      <c r="E4325" s="140"/>
    </row>
    <row r="4326" spans="1:5">
      <c r="A4326" s="140"/>
      <c r="B4326" s="192"/>
      <c r="C4326" s="140"/>
      <c r="D4326" s="140"/>
      <c r="E4326" s="140"/>
    </row>
    <row r="4327" spans="1:5">
      <c r="A4327" s="140"/>
      <c r="B4327" s="192"/>
      <c r="C4327" s="140"/>
      <c r="D4327" s="140"/>
      <c r="E4327" s="140"/>
    </row>
    <row r="4328" spans="1:5">
      <c r="A4328" s="140"/>
      <c r="B4328" s="192"/>
      <c r="C4328" s="140"/>
      <c r="D4328" s="140"/>
      <c r="E4328" s="140"/>
    </row>
    <row r="4329" spans="1:5">
      <c r="A4329" s="140"/>
      <c r="B4329" s="192"/>
      <c r="C4329" s="140"/>
      <c r="D4329" s="140"/>
      <c r="E4329" s="140"/>
    </row>
    <row r="4330" spans="1:5">
      <c r="A4330" s="140"/>
      <c r="B4330" s="192"/>
      <c r="C4330" s="140"/>
      <c r="D4330" s="140"/>
      <c r="E4330" s="140"/>
    </row>
    <row r="4331" spans="1:5">
      <c r="A4331" s="140"/>
      <c r="B4331" s="192"/>
      <c r="C4331" s="140"/>
      <c r="D4331" s="140"/>
      <c r="E4331" s="140"/>
    </row>
    <row r="4332" spans="1:5">
      <c r="A4332" s="140"/>
      <c r="B4332" s="192"/>
      <c r="C4332" s="140"/>
      <c r="D4332" s="140"/>
      <c r="E4332" s="140"/>
    </row>
    <row r="4333" spans="1:5">
      <c r="A4333" s="140"/>
      <c r="B4333" s="192"/>
      <c r="C4333" s="140"/>
      <c r="D4333" s="140"/>
      <c r="E4333" s="140"/>
    </row>
    <row r="4334" spans="1:5">
      <c r="A4334" s="140"/>
      <c r="B4334" s="192"/>
      <c r="C4334" s="140"/>
      <c r="D4334" s="140"/>
      <c r="E4334" s="140"/>
    </row>
    <row r="4335" spans="1:5">
      <c r="A4335" s="140"/>
      <c r="B4335" s="192"/>
      <c r="C4335" s="140"/>
      <c r="D4335" s="140"/>
      <c r="E4335" s="140"/>
    </row>
    <row r="4336" spans="1:5">
      <c r="A4336" s="140"/>
      <c r="B4336" s="192"/>
      <c r="C4336" s="140"/>
      <c r="D4336" s="140"/>
      <c r="E4336" s="140"/>
    </row>
    <row r="4337" spans="1:5">
      <c r="A4337" s="140"/>
      <c r="B4337" s="192"/>
      <c r="C4337" s="140"/>
      <c r="D4337" s="140"/>
      <c r="E4337" s="140"/>
    </row>
    <row r="4338" spans="1:5">
      <c r="A4338" s="140"/>
      <c r="B4338" s="192"/>
      <c r="C4338" s="140"/>
      <c r="D4338" s="140"/>
      <c r="E4338" s="140"/>
    </row>
    <row r="4339" spans="1:5">
      <c r="A4339" s="140"/>
      <c r="B4339" s="192"/>
      <c r="C4339" s="140"/>
      <c r="D4339" s="140"/>
      <c r="E4339" s="140"/>
    </row>
    <row r="4340" spans="1:5">
      <c r="A4340" s="140"/>
      <c r="B4340" s="192"/>
      <c r="C4340" s="140"/>
      <c r="D4340" s="140"/>
      <c r="E4340" s="140"/>
    </row>
    <row r="4341" spans="1:5">
      <c r="A4341" s="140"/>
      <c r="B4341" s="192"/>
      <c r="C4341" s="140"/>
      <c r="D4341" s="140"/>
      <c r="E4341" s="140"/>
    </row>
    <row r="4342" spans="1:5">
      <c r="A4342" s="140"/>
      <c r="B4342" s="192"/>
      <c r="C4342" s="140"/>
      <c r="D4342" s="140"/>
      <c r="E4342" s="140"/>
    </row>
    <row r="4343" spans="1:5">
      <c r="A4343" s="140"/>
      <c r="B4343" s="192"/>
      <c r="C4343" s="140"/>
      <c r="D4343" s="140"/>
      <c r="E4343" s="140"/>
    </row>
    <row r="4344" spans="1:5">
      <c r="A4344" s="140"/>
      <c r="B4344" s="192"/>
      <c r="C4344" s="140"/>
      <c r="D4344" s="140"/>
      <c r="E4344" s="140"/>
    </row>
    <row r="4345" spans="1:5">
      <c r="A4345" s="140"/>
      <c r="B4345" s="192"/>
      <c r="C4345" s="140"/>
      <c r="D4345" s="140"/>
      <c r="E4345" s="140"/>
    </row>
    <row r="4346" spans="1:5">
      <c r="A4346" s="140"/>
      <c r="B4346" s="192"/>
      <c r="C4346" s="140"/>
      <c r="D4346" s="140"/>
      <c r="E4346" s="140"/>
    </row>
    <row r="4347" spans="1:5">
      <c r="A4347" s="140"/>
      <c r="B4347" s="192"/>
      <c r="C4347" s="140"/>
      <c r="D4347" s="140"/>
      <c r="E4347" s="140"/>
    </row>
    <row r="4348" spans="1:5">
      <c r="A4348" s="140"/>
      <c r="B4348" s="192"/>
      <c r="C4348" s="140"/>
      <c r="D4348" s="140"/>
      <c r="E4348" s="140"/>
    </row>
    <row r="4349" spans="1:5">
      <c r="A4349" s="140"/>
      <c r="B4349" s="192"/>
      <c r="C4349" s="140"/>
      <c r="D4349" s="140"/>
      <c r="E4349" s="140"/>
    </row>
    <row r="4350" spans="1:5">
      <c r="A4350" s="140"/>
      <c r="B4350" s="192"/>
      <c r="C4350" s="140"/>
      <c r="D4350" s="140"/>
      <c r="E4350" s="140"/>
    </row>
    <row r="4351" spans="1:5">
      <c r="A4351" s="140"/>
      <c r="B4351" s="192"/>
      <c r="C4351" s="140"/>
      <c r="D4351" s="140"/>
      <c r="E4351" s="140"/>
    </row>
    <row r="4352" spans="1:5">
      <c r="A4352" s="140"/>
      <c r="B4352" s="192"/>
      <c r="C4352" s="140"/>
      <c r="D4352" s="140"/>
      <c r="E4352" s="140"/>
    </row>
    <row r="4353" spans="1:5">
      <c r="A4353" s="140"/>
      <c r="B4353" s="192"/>
      <c r="C4353" s="140"/>
      <c r="D4353" s="140"/>
      <c r="E4353" s="140"/>
    </row>
    <row r="4354" spans="1:5">
      <c r="A4354" s="140"/>
      <c r="B4354" s="192"/>
      <c r="C4354" s="140"/>
      <c r="D4354" s="140"/>
      <c r="E4354" s="140"/>
    </row>
    <row r="4355" spans="1:5">
      <c r="A4355" s="140"/>
      <c r="B4355" s="192"/>
      <c r="C4355" s="140"/>
      <c r="D4355" s="140"/>
      <c r="E4355" s="140"/>
    </row>
    <row r="4356" spans="1:5">
      <c r="A4356" s="140"/>
      <c r="B4356" s="192"/>
      <c r="C4356" s="140"/>
      <c r="D4356" s="140"/>
      <c r="E4356" s="140"/>
    </row>
    <row r="4357" spans="1:5">
      <c r="A4357" s="140"/>
      <c r="B4357" s="192"/>
      <c r="C4357" s="140"/>
      <c r="D4357" s="140"/>
      <c r="E4357" s="140"/>
    </row>
    <row r="4358" spans="1:5">
      <c r="A4358" s="140"/>
      <c r="B4358" s="192"/>
      <c r="C4358" s="140"/>
      <c r="D4358" s="140"/>
      <c r="E4358" s="140"/>
    </row>
    <row r="4359" spans="1:5">
      <c r="A4359" s="140"/>
      <c r="B4359" s="192"/>
      <c r="C4359" s="140"/>
      <c r="D4359" s="140"/>
      <c r="E4359" s="140"/>
    </row>
    <row r="4360" spans="1:5">
      <c r="A4360" s="140"/>
      <c r="B4360" s="192"/>
      <c r="C4360" s="140"/>
      <c r="D4360" s="140"/>
      <c r="E4360" s="140"/>
    </row>
    <row r="4361" spans="1:5">
      <c r="A4361" s="140"/>
      <c r="B4361" s="192"/>
      <c r="C4361" s="140"/>
      <c r="D4361" s="140"/>
      <c r="E4361" s="140"/>
    </row>
    <row r="4362" spans="1:5">
      <c r="A4362" s="140"/>
      <c r="B4362" s="192"/>
      <c r="C4362" s="140"/>
      <c r="D4362" s="140"/>
      <c r="E4362" s="140"/>
    </row>
    <row r="4363" spans="1:5">
      <c r="A4363" s="140"/>
      <c r="B4363" s="192"/>
      <c r="C4363" s="140"/>
      <c r="D4363" s="140"/>
      <c r="E4363" s="140"/>
    </row>
    <row r="4364" spans="1:5">
      <c r="A4364" s="140"/>
      <c r="B4364" s="192"/>
      <c r="C4364" s="140"/>
      <c r="D4364" s="140"/>
      <c r="E4364" s="140"/>
    </row>
    <row r="4365" spans="1:5">
      <c r="A4365" s="140"/>
      <c r="B4365" s="192"/>
      <c r="C4365" s="140"/>
      <c r="D4365" s="140"/>
      <c r="E4365" s="140"/>
    </row>
    <row r="4366" spans="1:5">
      <c r="A4366" s="140"/>
      <c r="B4366" s="192"/>
      <c r="C4366" s="140"/>
      <c r="D4366" s="140"/>
      <c r="E4366" s="140"/>
    </row>
    <row r="4367" spans="1:5">
      <c r="A4367" s="140"/>
      <c r="B4367" s="192"/>
      <c r="C4367" s="140"/>
      <c r="D4367" s="140"/>
      <c r="E4367" s="140"/>
    </row>
    <row r="4368" spans="1:5">
      <c r="A4368" s="140"/>
      <c r="B4368" s="192"/>
      <c r="C4368" s="140"/>
      <c r="D4368" s="140"/>
      <c r="E4368" s="140"/>
    </row>
    <row r="4369" spans="1:5">
      <c r="A4369" s="140"/>
      <c r="B4369" s="192"/>
      <c r="C4369" s="140"/>
      <c r="D4369" s="140"/>
      <c r="E4369" s="140"/>
    </row>
    <row r="4370" spans="1:5">
      <c r="A4370" s="140"/>
      <c r="B4370" s="192"/>
      <c r="C4370" s="140"/>
      <c r="D4370" s="140"/>
      <c r="E4370" s="140"/>
    </row>
    <row r="4371" spans="1:5">
      <c r="A4371" s="140"/>
      <c r="B4371" s="192"/>
      <c r="C4371" s="140"/>
      <c r="D4371" s="140"/>
      <c r="E4371" s="140"/>
    </row>
    <row r="4372" spans="1:5">
      <c r="A4372" s="140"/>
      <c r="B4372" s="192"/>
      <c r="C4372" s="140"/>
      <c r="D4372" s="140"/>
      <c r="E4372" s="140"/>
    </row>
    <row r="4373" spans="1:5">
      <c r="A4373" s="140"/>
      <c r="B4373" s="192"/>
      <c r="C4373" s="140"/>
      <c r="D4373" s="140"/>
      <c r="E4373" s="140"/>
    </row>
    <row r="4374" spans="1:5">
      <c r="A4374" s="140"/>
      <c r="B4374" s="192"/>
      <c r="C4374" s="140"/>
      <c r="D4374" s="140"/>
      <c r="E4374" s="140"/>
    </row>
    <row r="4375" spans="1:5">
      <c r="A4375" s="140"/>
      <c r="B4375" s="192"/>
      <c r="C4375" s="140"/>
      <c r="D4375" s="140"/>
      <c r="E4375" s="140"/>
    </row>
    <row r="4376" spans="1:5">
      <c r="A4376" s="140"/>
      <c r="B4376" s="192"/>
      <c r="C4376" s="140"/>
      <c r="D4376" s="140"/>
      <c r="E4376" s="140"/>
    </row>
    <row r="4377" spans="1:5">
      <c r="A4377" s="140"/>
      <c r="B4377" s="192"/>
      <c r="C4377" s="140"/>
      <c r="D4377" s="140"/>
      <c r="E4377" s="140"/>
    </row>
    <row r="4378" spans="1:5">
      <c r="A4378" s="140"/>
      <c r="B4378" s="192"/>
      <c r="C4378" s="140"/>
      <c r="D4378" s="140"/>
      <c r="E4378" s="140"/>
    </row>
    <row r="4379" spans="1:5">
      <c r="A4379" s="140"/>
      <c r="B4379" s="192"/>
      <c r="C4379" s="140"/>
      <c r="D4379" s="140"/>
      <c r="E4379" s="140"/>
    </row>
    <row r="4380" spans="1:5">
      <c r="A4380" s="140"/>
      <c r="B4380" s="192"/>
      <c r="C4380" s="140"/>
      <c r="D4380" s="140"/>
      <c r="E4380" s="140"/>
    </row>
    <row r="4381" spans="1:5">
      <c r="A4381" s="140"/>
      <c r="B4381" s="192"/>
      <c r="C4381" s="140"/>
      <c r="D4381" s="140"/>
      <c r="E4381" s="140"/>
    </row>
    <row r="4382" spans="1:5">
      <c r="A4382" s="140"/>
      <c r="B4382" s="192"/>
      <c r="C4382" s="140"/>
      <c r="D4382" s="140"/>
      <c r="E4382" s="140"/>
    </row>
    <row r="4383" spans="1:5">
      <c r="A4383" s="140"/>
      <c r="B4383" s="192"/>
      <c r="C4383" s="140"/>
      <c r="D4383" s="140"/>
      <c r="E4383" s="140"/>
    </row>
    <row r="4384" spans="1:5">
      <c r="A4384" s="140"/>
      <c r="B4384" s="192"/>
      <c r="C4384" s="140"/>
      <c r="D4384" s="140"/>
      <c r="E4384" s="140"/>
    </row>
    <row r="4385" spans="1:5">
      <c r="A4385" s="140"/>
      <c r="B4385" s="192"/>
      <c r="C4385" s="140"/>
      <c r="D4385" s="140"/>
      <c r="E4385" s="140"/>
    </row>
    <row r="4386" spans="1:5">
      <c r="A4386" s="140"/>
      <c r="B4386" s="192"/>
      <c r="C4386" s="140"/>
      <c r="D4386" s="140"/>
      <c r="E4386" s="140"/>
    </row>
    <row r="4387" spans="1:5">
      <c r="A4387" s="140"/>
      <c r="B4387" s="192"/>
      <c r="C4387" s="140"/>
      <c r="D4387" s="140"/>
      <c r="E4387" s="140"/>
    </row>
    <row r="4388" spans="1:5">
      <c r="A4388" s="140"/>
      <c r="B4388" s="192"/>
      <c r="C4388" s="140"/>
      <c r="D4388" s="140"/>
      <c r="E4388" s="140"/>
    </row>
    <row r="4389" spans="1:5">
      <c r="A4389" s="140"/>
      <c r="B4389" s="192"/>
      <c r="C4389" s="140"/>
      <c r="D4389" s="140"/>
      <c r="E4389" s="140"/>
    </row>
    <row r="4390" spans="1:5">
      <c r="A4390" s="140"/>
      <c r="B4390" s="192"/>
      <c r="C4390" s="140"/>
      <c r="D4390" s="140"/>
      <c r="E4390" s="140"/>
    </row>
    <row r="4391" spans="1:5">
      <c r="A4391" s="140"/>
      <c r="B4391" s="192"/>
      <c r="C4391" s="140"/>
      <c r="D4391" s="140"/>
      <c r="E4391" s="140"/>
    </row>
    <row r="4392" spans="1:5">
      <c r="A4392" s="140"/>
      <c r="B4392" s="192"/>
      <c r="C4392" s="140"/>
      <c r="D4392" s="140"/>
      <c r="E4392" s="140"/>
    </row>
    <row r="4393" spans="1:5">
      <c r="A4393" s="140"/>
      <c r="B4393" s="192"/>
      <c r="C4393" s="140"/>
      <c r="D4393" s="140"/>
      <c r="E4393" s="140"/>
    </row>
    <row r="4394" spans="1:5">
      <c r="A4394" s="140"/>
      <c r="B4394" s="192"/>
      <c r="C4394" s="140"/>
      <c r="D4394" s="140"/>
      <c r="E4394" s="140"/>
    </row>
    <row r="4395" spans="1:5">
      <c r="A4395" s="140"/>
      <c r="B4395" s="192"/>
      <c r="C4395" s="140"/>
      <c r="D4395" s="140"/>
      <c r="E4395" s="140"/>
    </row>
    <row r="4396" spans="1:5">
      <c r="A4396" s="140"/>
      <c r="B4396" s="192"/>
      <c r="C4396" s="140"/>
      <c r="D4396" s="140"/>
      <c r="E4396" s="140"/>
    </row>
    <row r="4397" spans="1:5">
      <c r="A4397" s="140"/>
      <c r="B4397" s="192"/>
      <c r="C4397" s="140"/>
      <c r="D4397" s="140"/>
      <c r="E4397" s="140"/>
    </row>
    <row r="4398" spans="1:5">
      <c r="A4398" s="140"/>
      <c r="B4398" s="192"/>
      <c r="C4398" s="140"/>
      <c r="D4398" s="140"/>
      <c r="E4398" s="140"/>
    </row>
    <row r="4399" spans="1:5">
      <c r="A4399" s="140"/>
      <c r="B4399" s="192"/>
      <c r="C4399" s="140"/>
      <c r="D4399" s="140"/>
      <c r="E4399" s="140"/>
    </row>
    <row r="4400" spans="1:5">
      <c r="A4400" s="140"/>
      <c r="B4400" s="192"/>
      <c r="C4400" s="140"/>
      <c r="D4400" s="140"/>
      <c r="E4400" s="140"/>
    </row>
    <row r="4401" spans="1:5">
      <c r="A4401" s="140"/>
      <c r="B4401" s="192"/>
      <c r="C4401" s="140"/>
      <c r="D4401" s="140"/>
      <c r="E4401" s="140"/>
    </row>
    <row r="4402" spans="1:5">
      <c r="A4402" s="140"/>
      <c r="B4402" s="192"/>
      <c r="C4402" s="140"/>
      <c r="D4402" s="140"/>
      <c r="E4402" s="140"/>
    </row>
    <row r="4403" spans="1:5">
      <c r="A4403" s="140"/>
      <c r="B4403" s="192"/>
      <c r="C4403" s="140"/>
      <c r="D4403" s="140"/>
      <c r="E4403" s="140"/>
    </row>
    <row r="4404" spans="1:5">
      <c r="A4404" s="140"/>
      <c r="B4404" s="192"/>
      <c r="C4404" s="140"/>
      <c r="D4404" s="140"/>
      <c r="E4404" s="140"/>
    </row>
    <row r="4405" spans="1:5">
      <c r="A4405" s="140"/>
      <c r="B4405" s="192"/>
      <c r="C4405" s="140"/>
      <c r="D4405" s="140"/>
      <c r="E4405" s="140"/>
    </row>
    <row r="4406" spans="1:5">
      <c r="A4406" s="140"/>
      <c r="B4406" s="192"/>
      <c r="C4406" s="140"/>
      <c r="D4406" s="140"/>
      <c r="E4406" s="140"/>
    </row>
    <row r="4407" spans="1:5">
      <c r="A4407" s="140"/>
      <c r="B4407" s="192"/>
      <c r="C4407" s="140"/>
      <c r="D4407" s="140"/>
      <c r="E4407" s="140"/>
    </row>
    <row r="4408" spans="1:5">
      <c r="A4408" s="140"/>
      <c r="B4408" s="192"/>
      <c r="C4408" s="140"/>
      <c r="D4408" s="140"/>
      <c r="E4408" s="140"/>
    </row>
    <row r="4409" spans="1:5">
      <c r="A4409" s="140"/>
      <c r="B4409" s="192"/>
      <c r="C4409" s="140"/>
      <c r="D4409" s="140"/>
      <c r="E4409" s="140"/>
    </row>
    <row r="4410" spans="1:5">
      <c r="A4410" s="140"/>
      <c r="B4410" s="192"/>
      <c r="C4410" s="140"/>
      <c r="D4410" s="140"/>
      <c r="E4410" s="140"/>
    </row>
    <row r="4411" spans="1:5">
      <c r="A4411" s="140"/>
      <c r="B4411" s="192"/>
      <c r="C4411" s="140"/>
      <c r="D4411" s="140"/>
      <c r="E4411" s="140"/>
    </row>
    <row r="4412" spans="1:5">
      <c r="A4412" s="140"/>
      <c r="B4412" s="192"/>
      <c r="C4412" s="140"/>
      <c r="D4412" s="140"/>
      <c r="E4412" s="140"/>
    </row>
    <row r="4413" spans="1:5">
      <c r="A4413" s="140"/>
      <c r="B4413" s="192"/>
      <c r="C4413" s="140"/>
      <c r="D4413" s="140"/>
      <c r="E4413" s="140"/>
    </row>
    <row r="4414" spans="1:5">
      <c r="A4414" s="140"/>
      <c r="B4414" s="192"/>
      <c r="C4414" s="140"/>
      <c r="D4414" s="140"/>
      <c r="E4414" s="140"/>
    </row>
    <row r="4415" spans="1:5">
      <c r="A4415" s="140"/>
      <c r="B4415" s="192"/>
      <c r="C4415" s="140"/>
      <c r="D4415" s="140"/>
      <c r="E4415" s="140"/>
    </row>
    <row r="4416" spans="1:5">
      <c r="A4416" s="140"/>
      <c r="B4416" s="192"/>
      <c r="C4416" s="140"/>
      <c r="D4416" s="140"/>
      <c r="E4416" s="140"/>
    </row>
    <row r="4417" spans="1:5">
      <c r="A4417" s="140"/>
      <c r="B4417" s="192"/>
      <c r="C4417" s="140"/>
      <c r="D4417" s="140"/>
      <c r="E4417" s="140"/>
    </row>
    <row r="4418" spans="1:5">
      <c r="A4418" s="140"/>
      <c r="B4418" s="192"/>
      <c r="C4418" s="140"/>
      <c r="D4418" s="140"/>
      <c r="E4418" s="140"/>
    </row>
    <row r="4419" spans="1:5">
      <c r="A4419" s="140"/>
      <c r="B4419" s="192"/>
      <c r="C4419" s="140"/>
      <c r="D4419" s="140"/>
      <c r="E4419" s="140"/>
    </row>
    <row r="4420" spans="1:5">
      <c r="A4420" s="140"/>
      <c r="B4420" s="192"/>
      <c r="C4420" s="140"/>
      <c r="D4420" s="140"/>
      <c r="E4420" s="140"/>
    </row>
    <row r="4421" spans="1:5">
      <c r="A4421" s="140"/>
      <c r="B4421" s="192"/>
      <c r="C4421" s="140"/>
      <c r="D4421" s="140"/>
      <c r="E4421" s="140"/>
    </row>
    <row r="4422" spans="1:5">
      <c r="A4422" s="140"/>
      <c r="B4422" s="192"/>
      <c r="C4422" s="140"/>
      <c r="D4422" s="140"/>
      <c r="E4422" s="140"/>
    </row>
    <row r="4423" spans="1:5">
      <c r="A4423" s="140"/>
      <c r="B4423" s="192"/>
      <c r="C4423" s="140"/>
      <c r="D4423" s="140"/>
      <c r="E4423" s="140"/>
    </row>
    <row r="4424" spans="1:5">
      <c r="A4424" s="140"/>
      <c r="B4424" s="192"/>
      <c r="C4424" s="140"/>
      <c r="D4424" s="140"/>
      <c r="E4424" s="140"/>
    </row>
    <row r="4425" spans="1:5">
      <c r="A4425" s="140"/>
      <c r="B4425" s="192"/>
      <c r="C4425" s="140"/>
      <c r="D4425" s="140"/>
      <c r="E4425" s="140"/>
    </row>
    <row r="4426" spans="1:5">
      <c r="A4426" s="140"/>
      <c r="B4426" s="192"/>
      <c r="C4426" s="140"/>
      <c r="D4426" s="140"/>
      <c r="E4426" s="140"/>
    </row>
    <row r="4427" spans="1:5">
      <c r="A4427" s="140"/>
      <c r="B4427" s="192"/>
      <c r="C4427" s="140"/>
      <c r="D4427" s="140"/>
      <c r="E4427" s="140"/>
    </row>
    <row r="4428" spans="1:5">
      <c r="A4428" s="140"/>
      <c r="B4428" s="192"/>
      <c r="C4428" s="140"/>
      <c r="D4428" s="140"/>
      <c r="E4428" s="140"/>
    </row>
    <row r="4429" spans="1:5">
      <c r="A4429" s="140"/>
      <c r="B4429" s="192"/>
      <c r="C4429" s="140"/>
      <c r="D4429" s="140"/>
      <c r="E4429" s="140"/>
    </row>
    <row r="4430" spans="1:5">
      <c r="A4430" s="140"/>
      <c r="B4430" s="192"/>
      <c r="C4430" s="140"/>
      <c r="D4430" s="140"/>
      <c r="E4430" s="140"/>
    </row>
    <row r="4431" spans="1:5">
      <c r="A4431" s="140"/>
      <c r="B4431" s="192"/>
      <c r="C4431" s="140"/>
      <c r="D4431" s="140"/>
      <c r="E4431" s="140"/>
    </row>
    <row r="4432" spans="1:5">
      <c r="A4432" s="140"/>
      <c r="B4432" s="192"/>
      <c r="C4432" s="140"/>
      <c r="D4432" s="140"/>
      <c r="E4432" s="140"/>
    </row>
    <row r="4433" spans="1:5">
      <c r="A4433" s="140"/>
      <c r="B4433" s="192"/>
      <c r="C4433" s="140"/>
      <c r="D4433" s="140"/>
      <c r="E4433" s="140"/>
    </row>
    <row r="4434" spans="1:5">
      <c r="A4434" s="140"/>
      <c r="B4434" s="192"/>
      <c r="C4434" s="140"/>
      <c r="D4434" s="140"/>
      <c r="E4434" s="140"/>
    </row>
    <row r="4435" spans="1:5">
      <c r="A4435" s="140"/>
      <c r="B4435" s="192"/>
      <c r="C4435" s="140"/>
      <c r="D4435" s="140"/>
      <c r="E4435" s="140"/>
    </row>
    <row r="4436" spans="1:5">
      <c r="A4436" s="140"/>
      <c r="B4436" s="192"/>
      <c r="C4436" s="140"/>
      <c r="D4436" s="140"/>
      <c r="E4436" s="140"/>
    </row>
    <row r="4437" spans="1:5">
      <c r="A4437" s="140"/>
      <c r="B4437" s="192"/>
      <c r="C4437" s="140"/>
      <c r="D4437" s="140"/>
      <c r="E4437" s="140"/>
    </row>
    <row r="4438" spans="1:5">
      <c r="A4438" s="140"/>
      <c r="B4438" s="192"/>
      <c r="C4438" s="140"/>
      <c r="D4438" s="140"/>
      <c r="E4438" s="140"/>
    </row>
    <row r="4439" spans="1:5">
      <c r="A4439" s="140"/>
      <c r="B4439" s="192"/>
      <c r="C4439" s="140"/>
      <c r="D4439" s="140"/>
      <c r="E4439" s="140"/>
    </row>
    <row r="4440" spans="1:5">
      <c r="A4440" s="140"/>
      <c r="B4440" s="192"/>
      <c r="C4440" s="140"/>
      <c r="D4440" s="140"/>
      <c r="E4440" s="140"/>
    </row>
    <row r="4441" spans="1:5">
      <c r="A4441" s="140"/>
      <c r="B4441" s="192"/>
      <c r="C4441" s="140"/>
      <c r="D4441" s="140"/>
      <c r="E4441" s="140"/>
    </row>
    <row r="4442" spans="1:5">
      <c r="A4442" s="140"/>
      <c r="B4442" s="192"/>
      <c r="C4442" s="140"/>
      <c r="D4442" s="140"/>
      <c r="E4442" s="140"/>
    </row>
    <row r="4443" spans="1:5">
      <c r="A4443" s="140"/>
      <c r="B4443" s="192"/>
      <c r="C4443" s="140"/>
      <c r="D4443" s="140"/>
      <c r="E4443" s="140"/>
    </row>
    <row r="4444" spans="1:5">
      <c r="A4444" s="140"/>
      <c r="B4444" s="192"/>
      <c r="C4444" s="140"/>
      <c r="D4444" s="140"/>
      <c r="E4444" s="140"/>
    </row>
    <row r="4445" spans="1:5">
      <c r="A4445" s="140"/>
      <c r="B4445" s="192"/>
      <c r="C4445" s="140"/>
      <c r="D4445" s="140"/>
      <c r="E4445" s="140"/>
    </row>
    <row r="4446" spans="1:5">
      <c r="A4446" s="140"/>
      <c r="B4446" s="192"/>
      <c r="C4446" s="140"/>
      <c r="D4446" s="140"/>
      <c r="E4446" s="140"/>
    </row>
    <row r="4447" spans="1:5">
      <c r="A4447" s="140"/>
      <c r="B4447" s="192"/>
      <c r="C4447" s="140"/>
      <c r="D4447" s="140"/>
      <c r="E4447" s="140"/>
    </row>
    <row r="4448" spans="1:5">
      <c r="A4448" s="140"/>
      <c r="B4448" s="192"/>
      <c r="C4448" s="140"/>
      <c r="D4448" s="140"/>
      <c r="E4448" s="140"/>
    </row>
    <row r="4449" spans="1:5">
      <c r="A4449" s="140"/>
      <c r="B4449" s="192"/>
      <c r="C4449" s="140"/>
      <c r="D4449" s="140"/>
      <c r="E4449" s="140"/>
    </row>
    <row r="4450" spans="1:5">
      <c r="A4450" s="140"/>
      <c r="B4450" s="192"/>
      <c r="C4450" s="140"/>
      <c r="D4450" s="140"/>
      <c r="E4450" s="140"/>
    </row>
    <row r="4451" spans="1:5">
      <c r="A4451" s="140"/>
      <c r="B4451" s="192"/>
      <c r="C4451" s="140"/>
      <c r="D4451" s="140"/>
      <c r="E4451" s="140"/>
    </row>
    <row r="4452" spans="1:5">
      <c r="A4452" s="140"/>
      <c r="B4452" s="192"/>
      <c r="C4452" s="140"/>
      <c r="D4452" s="140"/>
      <c r="E4452" s="140"/>
    </row>
    <row r="4453" spans="1:5">
      <c r="A4453" s="140"/>
      <c r="B4453" s="192"/>
      <c r="C4453" s="140"/>
      <c r="D4453" s="140"/>
      <c r="E4453" s="140"/>
    </row>
    <row r="4454" spans="1:5">
      <c r="A4454" s="140"/>
      <c r="B4454" s="192"/>
      <c r="C4454" s="140"/>
      <c r="D4454" s="140"/>
      <c r="E4454" s="140"/>
    </row>
    <row r="4455" spans="1:5">
      <c r="A4455" s="140"/>
      <c r="B4455" s="192"/>
      <c r="C4455" s="140"/>
      <c r="D4455" s="140"/>
      <c r="E4455" s="140"/>
    </row>
    <row r="4456" spans="1:5">
      <c r="A4456" s="140"/>
      <c r="B4456" s="192"/>
      <c r="C4456" s="140"/>
      <c r="D4456" s="140"/>
      <c r="E4456" s="140"/>
    </row>
    <row r="4457" spans="1:5">
      <c r="A4457" s="140"/>
      <c r="B4457" s="192"/>
      <c r="C4457" s="140"/>
      <c r="D4457" s="140"/>
      <c r="E4457" s="140"/>
    </row>
    <row r="4458" spans="1:5">
      <c r="A4458" s="140"/>
      <c r="B4458" s="192"/>
      <c r="C4458" s="140"/>
      <c r="D4458" s="140"/>
      <c r="E4458" s="140"/>
    </row>
    <row r="4459" spans="1:5">
      <c r="A4459" s="140"/>
      <c r="B4459" s="192"/>
      <c r="C4459" s="140"/>
      <c r="D4459" s="140"/>
      <c r="E4459" s="140"/>
    </row>
    <row r="4460" spans="1:5">
      <c r="A4460" s="140"/>
      <c r="B4460" s="192"/>
      <c r="C4460" s="140"/>
      <c r="D4460" s="140"/>
      <c r="E4460" s="140"/>
    </row>
    <row r="4461" spans="1:5">
      <c r="A4461" s="140"/>
      <c r="B4461" s="192"/>
      <c r="C4461" s="140"/>
      <c r="D4461" s="140"/>
      <c r="E4461" s="140"/>
    </row>
    <row r="4462" spans="1:5">
      <c r="A4462" s="140"/>
      <c r="B4462" s="192"/>
      <c r="C4462" s="140"/>
      <c r="D4462" s="140"/>
      <c r="E4462" s="140"/>
    </row>
    <row r="4463" spans="1:5">
      <c r="A4463" s="140"/>
      <c r="B4463" s="192"/>
      <c r="C4463" s="140"/>
      <c r="D4463" s="140"/>
      <c r="E4463" s="140"/>
    </row>
    <row r="4464" spans="1:5">
      <c r="A4464" s="140"/>
      <c r="B4464" s="192"/>
      <c r="C4464" s="140"/>
      <c r="D4464" s="140"/>
      <c r="E4464" s="140"/>
    </row>
    <row r="4465" spans="1:5">
      <c r="A4465" s="140"/>
      <c r="B4465" s="192"/>
      <c r="C4465" s="140"/>
      <c r="D4465" s="140"/>
      <c r="E4465" s="140"/>
    </row>
    <row r="4466" spans="1:5">
      <c r="A4466" s="140"/>
      <c r="B4466" s="192"/>
      <c r="C4466" s="140"/>
      <c r="D4466" s="140"/>
      <c r="E4466" s="140"/>
    </row>
    <row r="4467" spans="1:5">
      <c r="A4467" s="140"/>
      <c r="B4467" s="192"/>
      <c r="C4467" s="140"/>
      <c r="D4467" s="140"/>
      <c r="E4467" s="140"/>
    </row>
    <row r="4468" spans="1:5">
      <c r="A4468" s="140"/>
      <c r="B4468" s="192"/>
      <c r="C4468" s="140"/>
      <c r="D4468" s="140"/>
      <c r="E4468" s="140"/>
    </row>
    <row r="4469" spans="1:5">
      <c r="A4469" s="140"/>
      <c r="B4469" s="192"/>
      <c r="C4469" s="140"/>
      <c r="D4469" s="140"/>
      <c r="E4469" s="140"/>
    </row>
    <row r="4470" spans="1:5">
      <c r="A4470" s="140"/>
      <c r="B4470" s="192"/>
      <c r="C4470" s="140"/>
      <c r="D4470" s="140"/>
      <c r="E4470" s="140"/>
    </row>
    <row r="4471" spans="1:5">
      <c r="A4471" s="140"/>
      <c r="B4471" s="192"/>
      <c r="C4471" s="140"/>
      <c r="D4471" s="140"/>
      <c r="E4471" s="140"/>
    </row>
    <row r="4472" spans="1:5">
      <c r="A4472" s="140"/>
      <c r="B4472" s="192"/>
      <c r="C4472" s="140"/>
      <c r="D4472" s="140"/>
      <c r="E4472" s="140"/>
    </row>
    <row r="4473" spans="1:5">
      <c r="A4473" s="140"/>
      <c r="B4473" s="192"/>
      <c r="C4473" s="140"/>
      <c r="D4473" s="140"/>
      <c r="E4473" s="140"/>
    </row>
    <row r="4474" spans="1:5">
      <c r="A4474" s="140"/>
      <c r="B4474" s="192"/>
      <c r="C4474" s="140"/>
      <c r="D4474" s="140"/>
      <c r="E4474" s="140"/>
    </row>
    <row r="4475" spans="1:5">
      <c r="A4475" s="140"/>
      <c r="B4475" s="192"/>
      <c r="C4475" s="140"/>
      <c r="D4475" s="140"/>
      <c r="E4475" s="140"/>
    </row>
    <row r="4476" spans="1:5">
      <c r="A4476" s="140"/>
      <c r="B4476" s="192"/>
      <c r="C4476" s="140"/>
      <c r="D4476" s="140"/>
      <c r="E4476" s="140"/>
    </row>
    <row r="4477" spans="1:5">
      <c r="A4477" s="140"/>
      <c r="B4477" s="192"/>
      <c r="C4477" s="140"/>
      <c r="D4477" s="140"/>
      <c r="E4477" s="140"/>
    </row>
    <row r="4478" spans="1:5">
      <c r="A4478" s="140"/>
      <c r="B4478" s="192"/>
      <c r="C4478" s="140"/>
      <c r="D4478" s="140"/>
      <c r="E4478" s="140"/>
    </row>
    <row r="4479" spans="1:5">
      <c r="A4479" s="140"/>
      <c r="B4479" s="192"/>
      <c r="C4479" s="140"/>
      <c r="D4479" s="140"/>
      <c r="E4479" s="140"/>
    </row>
    <row r="4480" spans="1:5">
      <c r="A4480" s="140"/>
      <c r="B4480" s="192"/>
      <c r="C4480" s="140"/>
      <c r="D4480" s="140"/>
      <c r="E4480" s="140"/>
    </row>
    <row r="4481" spans="1:5">
      <c r="A4481" s="140"/>
      <c r="B4481" s="192"/>
      <c r="C4481" s="140"/>
      <c r="D4481" s="140"/>
      <c r="E4481" s="140"/>
    </row>
    <row r="4482" spans="1:5">
      <c r="A4482" s="140"/>
      <c r="B4482" s="192"/>
      <c r="C4482" s="140"/>
      <c r="D4482" s="140"/>
      <c r="E4482" s="140"/>
    </row>
    <row r="4483" spans="1:5">
      <c r="A4483" s="140"/>
      <c r="B4483" s="192"/>
      <c r="C4483" s="140"/>
      <c r="D4483" s="140"/>
      <c r="E4483" s="140"/>
    </row>
    <row r="4484" spans="1:5">
      <c r="A4484" s="140"/>
      <c r="B4484" s="192"/>
      <c r="C4484" s="140"/>
      <c r="D4484" s="140"/>
      <c r="E4484" s="140"/>
    </row>
    <row r="4485" spans="1:5">
      <c r="A4485" s="140"/>
      <c r="B4485" s="192"/>
      <c r="C4485" s="140"/>
      <c r="D4485" s="140"/>
      <c r="E4485" s="140"/>
    </row>
    <row r="4486" spans="1:5">
      <c r="A4486" s="140"/>
      <c r="B4486" s="192"/>
      <c r="C4486" s="140"/>
      <c r="D4486" s="140"/>
      <c r="E4486" s="140"/>
    </row>
    <row r="4487" spans="1:5">
      <c r="A4487" s="140"/>
      <c r="B4487" s="192"/>
      <c r="C4487" s="140"/>
      <c r="D4487" s="140"/>
      <c r="E4487" s="140"/>
    </row>
    <row r="4488" spans="1:5">
      <c r="A4488" s="140"/>
      <c r="B4488" s="192"/>
      <c r="C4488" s="140"/>
      <c r="D4488" s="140"/>
      <c r="E4488" s="140"/>
    </row>
    <row r="4489" spans="1:5">
      <c r="A4489" s="140"/>
      <c r="B4489" s="192"/>
      <c r="C4489" s="140"/>
      <c r="D4489" s="140"/>
      <c r="E4489" s="140"/>
    </row>
    <row r="4490" spans="1:5">
      <c r="A4490" s="140"/>
      <c r="B4490" s="192"/>
      <c r="C4490" s="140"/>
      <c r="D4490" s="140"/>
      <c r="E4490" s="140"/>
    </row>
    <row r="4491" spans="1:5">
      <c r="A4491" s="140"/>
      <c r="B4491" s="192"/>
      <c r="C4491" s="140"/>
      <c r="D4491" s="140"/>
      <c r="E4491" s="140"/>
    </row>
    <row r="4492" spans="1:5">
      <c r="A4492" s="140"/>
      <c r="B4492" s="192"/>
      <c r="C4492" s="140"/>
      <c r="D4492" s="140"/>
      <c r="E4492" s="140"/>
    </row>
    <row r="4493" spans="1:5">
      <c r="A4493" s="140"/>
      <c r="B4493" s="192"/>
      <c r="C4493" s="140"/>
      <c r="D4493" s="140"/>
      <c r="E4493" s="140"/>
    </row>
    <row r="4494" spans="1:5">
      <c r="A4494" s="140"/>
      <c r="B4494" s="192"/>
      <c r="C4494" s="140"/>
      <c r="D4494" s="140"/>
      <c r="E4494" s="140"/>
    </row>
    <row r="4495" spans="1:5">
      <c r="A4495" s="140"/>
      <c r="B4495" s="192"/>
      <c r="C4495" s="140"/>
      <c r="D4495" s="140"/>
      <c r="E4495" s="140"/>
    </row>
    <row r="4496" spans="1:5">
      <c r="A4496" s="140"/>
      <c r="B4496" s="192"/>
      <c r="C4496" s="140"/>
      <c r="D4496" s="140"/>
      <c r="E4496" s="140"/>
    </row>
    <row r="4497" spans="1:5">
      <c r="A4497" s="140"/>
      <c r="B4497" s="192"/>
      <c r="C4497" s="140"/>
      <c r="D4497" s="140"/>
      <c r="E4497" s="140"/>
    </row>
    <row r="4498" spans="1:5">
      <c r="A4498" s="140"/>
      <c r="B4498" s="192"/>
      <c r="C4498" s="140"/>
      <c r="D4498" s="140"/>
      <c r="E4498" s="140"/>
    </row>
    <row r="4499" spans="1:5">
      <c r="A4499" s="140"/>
      <c r="B4499" s="192"/>
      <c r="C4499" s="140"/>
      <c r="D4499" s="140"/>
      <c r="E4499" s="140"/>
    </row>
    <row r="4500" spans="1:5">
      <c r="A4500" s="140"/>
      <c r="B4500" s="192"/>
      <c r="C4500" s="140"/>
      <c r="D4500" s="140"/>
      <c r="E4500" s="140"/>
    </row>
    <row r="4501" spans="1:5">
      <c r="A4501" s="140"/>
      <c r="B4501" s="192"/>
      <c r="C4501" s="140"/>
      <c r="D4501" s="140"/>
      <c r="E4501" s="140"/>
    </row>
    <row r="4502" spans="1:5">
      <c r="A4502" s="140"/>
      <c r="B4502" s="192"/>
      <c r="C4502" s="140"/>
      <c r="D4502" s="140"/>
      <c r="E4502" s="140"/>
    </row>
    <row r="4503" spans="1:5">
      <c r="A4503" s="140"/>
      <c r="B4503" s="192"/>
      <c r="C4503" s="140"/>
      <c r="D4503" s="140"/>
      <c r="E4503" s="140"/>
    </row>
    <row r="4504" spans="1:5">
      <c r="A4504" s="140"/>
      <c r="B4504" s="192"/>
      <c r="C4504" s="140"/>
      <c r="D4504" s="140"/>
      <c r="E4504" s="140"/>
    </row>
    <row r="4505" spans="1:5">
      <c r="A4505" s="140"/>
      <c r="B4505" s="192"/>
      <c r="C4505" s="140"/>
      <c r="D4505" s="140"/>
      <c r="E4505" s="140"/>
    </row>
    <row r="4506" spans="1:5">
      <c r="A4506" s="140"/>
      <c r="B4506" s="192"/>
      <c r="C4506" s="140"/>
      <c r="D4506" s="140"/>
      <c r="E4506" s="140"/>
    </row>
    <row r="4507" spans="1:5">
      <c r="A4507" s="140"/>
      <c r="B4507" s="192"/>
      <c r="C4507" s="140"/>
      <c r="D4507" s="140"/>
      <c r="E4507" s="140"/>
    </row>
    <row r="4508" spans="1:5">
      <c r="A4508" s="140"/>
      <c r="B4508" s="192"/>
      <c r="C4508" s="140"/>
      <c r="D4508" s="140"/>
      <c r="E4508" s="140"/>
    </row>
    <row r="4509" spans="1:5">
      <c r="A4509" s="140"/>
      <c r="B4509" s="192"/>
      <c r="C4509" s="140"/>
      <c r="D4509" s="140"/>
      <c r="E4509" s="140"/>
    </row>
    <row r="4510" spans="1:5">
      <c r="A4510" s="140"/>
      <c r="B4510" s="192"/>
      <c r="C4510" s="140"/>
      <c r="D4510" s="140"/>
      <c r="E4510" s="140"/>
    </row>
    <row r="4511" spans="1:5">
      <c r="A4511" s="140"/>
      <c r="B4511" s="192"/>
      <c r="C4511" s="140"/>
      <c r="D4511" s="140"/>
      <c r="E4511" s="140"/>
    </row>
    <row r="4512" spans="1:5">
      <c r="A4512" s="140"/>
      <c r="B4512" s="192"/>
      <c r="C4512" s="140"/>
      <c r="D4512" s="140"/>
      <c r="E4512" s="140"/>
    </row>
    <row r="4513" spans="1:5">
      <c r="A4513" s="140"/>
      <c r="B4513" s="192"/>
      <c r="C4513" s="140"/>
      <c r="D4513" s="140"/>
      <c r="E4513" s="140"/>
    </row>
    <row r="4514" spans="1:5">
      <c r="A4514" s="140"/>
      <c r="B4514" s="192"/>
      <c r="C4514" s="140"/>
      <c r="D4514" s="140"/>
      <c r="E4514" s="140"/>
    </row>
    <row r="4515" spans="1:5">
      <c r="A4515" s="140"/>
      <c r="B4515" s="192"/>
      <c r="C4515" s="140"/>
      <c r="D4515" s="140"/>
      <c r="E4515" s="140"/>
    </row>
    <row r="4516" spans="1:5">
      <c r="A4516" s="140"/>
      <c r="B4516" s="192"/>
      <c r="C4516" s="140"/>
      <c r="D4516" s="140"/>
      <c r="E4516" s="140"/>
    </row>
    <row r="4517" spans="1:5">
      <c r="A4517" s="140"/>
      <c r="B4517" s="192"/>
      <c r="C4517" s="140"/>
      <c r="D4517" s="140"/>
      <c r="E4517" s="140"/>
    </row>
    <row r="4518" spans="1:5">
      <c r="A4518" s="140"/>
      <c r="B4518" s="192"/>
      <c r="C4518" s="140"/>
      <c r="D4518" s="140"/>
      <c r="E4518" s="140"/>
    </row>
    <row r="4519" spans="1:5">
      <c r="A4519" s="140"/>
      <c r="B4519" s="192"/>
      <c r="C4519" s="140"/>
      <c r="D4519" s="140"/>
      <c r="E4519" s="140"/>
    </row>
    <row r="4520" spans="1:5">
      <c r="A4520" s="140"/>
      <c r="B4520" s="192"/>
      <c r="C4520" s="140"/>
      <c r="D4520" s="140"/>
      <c r="E4520" s="140"/>
    </row>
    <row r="4521" spans="1:5">
      <c r="A4521" s="140"/>
      <c r="B4521" s="192"/>
      <c r="C4521" s="140"/>
      <c r="D4521" s="140"/>
      <c r="E4521" s="140"/>
    </row>
    <row r="4522" spans="1:5">
      <c r="A4522" s="140"/>
      <c r="B4522" s="192"/>
      <c r="C4522" s="140"/>
      <c r="D4522" s="140"/>
      <c r="E4522" s="140"/>
    </row>
    <row r="4523" spans="1:5">
      <c r="A4523" s="140"/>
      <c r="B4523" s="192"/>
      <c r="C4523" s="140"/>
      <c r="D4523" s="140"/>
      <c r="E4523" s="140"/>
    </row>
    <row r="4524" spans="1:5">
      <c r="A4524" s="140"/>
      <c r="B4524" s="192"/>
      <c r="C4524" s="140"/>
      <c r="D4524" s="140"/>
      <c r="E4524" s="140"/>
    </row>
    <row r="4525" spans="1:5">
      <c r="A4525" s="140"/>
      <c r="B4525" s="192"/>
      <c r="C4525" s="140"/>
      <c r="D4525" s="140"/>
      <c r="E4525" s="140"/>
    </row>
    <row r="4526" spans="1:5">
      <c r="A4526" s="140"/>
      <c r="B4526" s="192"/>
      <c r="C4526" s="140"/>
      <c r="D4526" s="140"/>
      <c r="E4526" s="140"/>
    </row>
    <row r="4527" spans="1:5">
      <c r="A4527" s="140"/>
      <c r="B4527" s="192"/>
      <c r="C4527" s="140"/>
      <c r="D4527" s="140"/>
      <c r="E4527" s="140"/>
    </row>
    <row r="4528" spans="1:5">
      <c r="A4528" s="140"/>
      <c r="B4528" s="192"/>
      <c r="C4528" s="140"/>
      <c r="D4528" s="140"/>
      <c r="E4528" s="140"/>
    </row>
    <row r="4529" spans="1:5">
      <c r="A4529" s="140"/>
      <c r="B4529" s="192"/>
      <c r="C4529" s="140"/>
      <c r="D4529" s="140"/>
      <c r="E4529" s="140"/>
    </row>
    <row r="4530" spans="1:5">
      <c r="A4530" s="140"/>
      <c r="B4530" s="192"/>
      <c r="C4530" s="140"/>
      <c r="D4530" s="140"/>
      <c r="E4530" s="140"/>
    </row>
    <row r="4531" spans="1:5">
      <c r="A4531" s="140"/>
      <c r="B4531" s="192"/>
      <c r="C4531" s="140"/>
      <c r="D4531" s="140"/>
      <c r="E4531" s="140"/>
    </row>
    <row r="4532" spans="1:5">
      <c r="A4532" s="140"/>
      <c r="B4532" s="192"/>
      <c r="C4532" s="140"/>
      <c r="D4532" s="140"/>
      <c r="E4532" s="140"/>
    </row>
    <row r="4533" spans="1:5">
      <c r="A4533" s="140"/>
      <c r="B4533" s="192"/>
      <c r="C4533" s="140"/>
      <c r="D4533" s="140"/>
      <c r="E4533" s="140"/>
    </row>
    <row r="4534" spans="1:5">
      <c r="A4534" s="140"/>
      <c r="B4534" s="192"/>
      <c r="C4534" s="140"/>
      <c r="D4534" s="140"/>
      <c r="E4534" s="140"/>
    </row>
    <row r="4535" spans="1:5">
      <c r="A4535" s="140"/>
      <c r="B4535" s="192"/>
      <c r="C4535" s="140"/>
      <c r="D4535" s="140"/>
      <c r="E4535" s="140"/>
    </row>
    <row r="4536" spans="1:5">
      <c r="A4536" s="140"/>
      <c r="B4536" s="192"/>
      <c r="C4536" s="140"/>
      <c r="D4536" s="140"/>
      <c r="E4536" s="140"/>
    </row>
    <row r="4537" spans="1:5">
      <c r="A4537" s="140"/>
      <c r="B4537" s="192"/>
      <c r="C4537" s="140"/>
      <c r="D4537" s="140"/>
      <c r="E4537" s="140"/>
    </row>
    <row r="4538" spans="1:5">
      <c r="A4538" s="140"/>
      <c r="B4538" s="192"/>
      <c r="C4538" s="140"/>
      <c r="D4538" s="140"/>
      <c r="E4538" s="140"/>
    </row>
    <row r="4539" spans="1:5">
      <c r="A4539" s="140"/>
      <c r="B4539" s="192"/>
      <c r="C4539" s="140"/>
      <c r="D4539" s="140"/>
      <c r="E4539" s="140"/>
    </row>
    <row r="4540" spans="1:5">
      <c r="A4540" s="140"/>
      <c r="B4540" s="192"/>
      <c r="C4540" s="140"/>
      <c r="D4540" s="140"/>
      <c r="E4540" s="140"/>
    </row>
    <row r="4541" spans="1:5">
      <c r="A4541" s="140"/>
      <c r="B4541" s="192"/>
      <c r="C4541" s="140"/>
      <c r="D4541" s="140"/>
      <c r="E4541" s="140"/>
    </row>
    <row r="4542" spans="1:5">
      <c r="A4542" s="140"/>
      <c r="B4542" s="192"/>
      <c r="C4542" s="140"/>
      <c r="D4542" s="140"/>
      <c r="E4542" s="140"/>
    </row>
    <row r="4543" spans="1:5">
      <c r="A4543" s="140"/>
      <c r="B4543" s="192"/>
      <c r="C4543" s="140"/>
      <c r="D4543" s="140"/>
      <c r="E4543" s="140"/>
    </row>
    <row r="4544" spans="1:5">
      <c r="A4544" s="140"/>
      <c r="B4544" s="192"/>
      <c r="C4544" s="140"/>
      <c r="D4544" s="140"/>
      <c r="E4544" s="140"/>
    </row>
    <row r="4545" spans="1:5">
      <c r="A4545" s="140"/>
      <c r="B4545" s="192"/>
      <c r="C4545" s="140"/>
      <c r="D4545" s="140"/>
      <c r="E4545" s="140"/>
    </row>
    <row r="4546" spans="1:5">
      <c r="A4546" s="140"/>
      <c r="B4546" s="192"/>
      <c r="C4546" s="140"/>
      <c r="D4546" s="140"/>
      <c r="E4546" s="140"/>
    </row>
    <row r="4547" spans="1:5">
      <c r="A4547" s="140"/>
      <c r="B4547" s="192"/>
      <c r="C4547" s="140"/>
      <c r="D4547" s="140"/>
      <c r="E4547" s="140"/>
    </row>
    <row r="4548" spans="1:5">
      <c r="A4548" s="140"/>
      <c r="B4548" s="192"/>
      <c r="C4548" s="140"/>
      <c r="D4548" s="140"/>
      <c r="E4548" s="140"/>
    </row>
    <row r="4549" spans="1:5">
      <c r="A4549" s="140"/>
      <c r="B4549" s="192"/>
      <c r="C4549" s="140"/>
      <c r="D4549" s="140"/>
      <c r="E4549" s="140"/>
    </row>
    <row r="4550" spans="1:5">
      <c r="A4550" s="140"/>
      <c r="B4550" s="192"/>
      <c r="C4550" s="140"/>
      <c r="D4550" s="140"/>
      <c r="E4550" s="140"/>
    </row>
    <row r="4551" spans="1:5">
      <c r="A4551" s="140"/>
      <c r="B4551" s="192"/>
      <c r="C4551" s="140"/>
      <c r="D4551" s="140"/>
      <c r="E4551" s="140"/>
    </row>
    <row r="4552" spans="1:5">
      <c r="A4552" s="140"/>
      <c r="B4552" s="192"/>
      <c r="C4552" s="140"/>
      <c r="D4552" s="140"/>
      <c r="E4552" s="140"/>
    </row>
    <row r="4553" spans="1:5">
      <c r="A4553" s="140"/>
      <c r="B4553" s="192"/>
      <c r="C4553" s="140"/>
      <c r="D4553" s="140"/>
      <c r="E4553" s="140"/>
    </row>
    <row r="4554" spans="1:5">
      <c r="A4554" s="140"/>
      <c r="B4554" s="192"/>
      <c r="C4554" s="140"/>
      <c r="D4554" s="140"/>
      <c r="E4554" s="140"/>
    </row>
    <row r="4555" spans="1:5">
      <c r="A4555" s="140"/>
      <c r="B4555" s="192"/>
      <c r="C4555" s="140"/>
      <c r="D4555" s="140"/>
      <c r="E4555" s="140"/>
    </row>
    <row r="4556" spans="1:5">
      <c r="A4556" s="140"/>
      <c r="B4556" s="192"/>
      <c r="C4556" s="140"/>
      <c r="D4556" s="140"/>
      <c r="E4556" s="140"/>
    </row>
    <row r="4557" spans="1:5">
      <c r="A4557" s="140"/>
      <c r="B4557" s="192"/>
      <c r="C4557" s="140"/>
      <c r="D4557" s="140"/>
      <c r="E4557" s="140"/>
    </row>
    <row r="4558" spans="1:5">
      <c r="A4558" s="140"/>
      <c r="B4558" s="192"/>
      <c r="C4558" s="140"/>
      <c r="D4558" s="140"/>
      <c r="E4558" s="140"/>
    </row>
    <row r="4559" spans="1:5">
      <c r="A4559" s="140"/>
      <c r="B4559" s="192"/>
      <c r="C4559" s="140"/>
      <c r="D4559" s="140"/>
      <c r="E4559" s="140"/>
    </row>
    <row r="4560" spans="1:5">
      <c r="A4560" s="140"/>
      <c r="B4560" s="192"/>
      <c r="C4560" s="140"/>
      <c r="D4560" s="140"/>
      <c r="E4560" s="140"/>
    </row>
    <row r="4561" spans="1:5">
      <c r="A4561" s="140"/>
      <c r="B4561" s="192"/>
      <c r="C4561" s="140"/>
      <c r="D4561" s="140"/>
      <c r="E4561" s="140"/>
    </row>
    <row r="4562" spans="1:5">
      <c r="A4562" s="140"/>
      <c r="B4562" s="192"/>
      <c r="C4562" s="140"/>
      <c r="D4562" s="140"/>
      <c r="E4562" s="140"/>
    </row>
    <row r="4563" spans="1:5">
      <c r="A4563" s="140"/>
      <c r="B4563" s="192"/>
      <c r="C4563" s="140"/>
      <c r="D4563" s="140"/>
      <c r="E4563" s="140"/>
    </row>
    <row r="4564" spans="1:5">
      <c r="A4564" s="140"/>
      <c r="B4564" s="192"/>
      <c r="C4564" s="140"/>
      <c r="D4564" s="140"/>
      <c r="E4564" s="140"/>
    </row>
    <row r="4565" spans="1:5">
      <c r="A4565" s="140"/>
      <c r="B4565" s="192"/>
      <c r="C4565" s="140"/>
      <c r="D4565" s="140"/>
      <c r="E4565" s="140"/>
    </row>
    <row r="4566" spans="1:5">
      <c r="A4566" s="140"/>
      <c r="B4566" s="192"/>
      <c r="C4566" s="140"/>
      <c r="D4566" s="140"/>
      <c r="E4566" s="140"/>
    </row>
    <row r="4567" spans="1:5">
      <c r="A4567" s="140"/>
      <c r="B4567" s="192"/>
      <c r="C4567" s="140"/>
      <c r="D4567" s="140"/>
      <c r="E4567" s="140"/>
    </row>
    <row r="4568" spans="1:5">
      <c r="A4568" s="140"/>
      <c r="B4568" s="192"/>
      <c r="C4568" s="140"/>
      <c r="D4568" s="140"/>
      <c r="E4568" s="140"/>
    </row>
    <row r="4569" spans="1:5">
      <c r="A4569" s="140"/>
      <c r="B4569" s="192"/>
      <c r="C4569" s="140"/>
      <c r="D4569" s="140"/>
      <c r="E4569" s="140"/>
    </row>
    <row r="4570" spans="1:5">
      <c r="A4570" s="140"/>
      <c r="B4570" s="192"/>
      <c r="C4570" s="140"/>
      <c r="D4570" s="140"/>
      <c r="E4570" s="140"/>
    </row>
    <row r="4571" spans="1:5">
      <c r="A4571" s="140"/>
      <c r="B4571" s="192"/>
      <c r="C4571" s="140"/>
      <c r="D4571" s="140"/>
      <c r="E4571" s="140"/>
    </row>
    <row r="4572" spans="1:5">
      <c r="A4572" s="140"/>
      <c r="B4572" s="192"/>
      <c r="C4572" s="140"/>
      <c r="D4572" s="140"/>
      <c r="E4572" s="140"/>
    </row>
    <row r="4573" spans="1:5">
      <c r="A4573" s="140"/>
      <c r="B4573" s="192"/>
      <c r="C4573" s="140"/>
      <c r="D4573" s="140"/>
      <c r="E4573" s="140"/>
    </row>
    <row r="4574" spans="1:5">
      <c r="A4574" s="140"/>
      <c r="B4574" s="192"/>
      <c r="C4574" s="140"/>
      <c r="D4574" s="140"/>
      <c r="E4574" s="140"/>
    </row>
    <row r="4575" spans="1:5">
      <c r="A4575" s="140"/>
      <c r="B4575" s="192"/>
      <c r="C4575" s="140"/>
      <c r="D4575" s="140"/>
      <c r="E4575" s="140"/>
    </row>
    <row r="4576" spans="1:5">
      <c r="A4576" s="140"/>
      <c r="B4576" s="192"/>
      <c r="C4576" s="140"/>
      <c r="D4576" s="140"/>
      <c r="E4576" s="140"/>
    </row>
    <row r="4577" spans="1:5">
      <c r="A4577" s="140"/>
      <c r="B4577" s="192"/>
      <c r="C4577" s="140"/>
      <c r="D4577" s="140"/>
      <c r="E4577" s="140"/>
    </row>
    <row r="4578" spans="1:5">
      <c r="A4578" s="140"/>
      <c r="B4578" s="192"/>
      <c r="C4578" s="140"/>
      <c r="D4578" s="140"/>
      <c r="E4578" s="140"/>
    </row>
    <row r="4579" spans="1:5">
      <c r="A4579" s="140"/>
      <c r="B4579" s="192"/>
      <c r="C4579" s="140"/>
      <c r="D4579" s="140"/>
      <c r="E4579" s="140"/>
    </row>
    <row r="4580" spans="1:5">
      <c r="A4580" s="140"/>
      <c r="B4580" s="192"/>
      <c r="C4580" s="140"/>
      <c r="D4580" s="140"/>
      <c r="E4580" s="140"/>
    </row>
    <row r="4581" spans="1:5">
      <c r="A4581" s="140"/>
      <c r="B4581" s="192"/>
      <c r="C4581" s="140"/>
      <c r="D4581" s="140"/>
      <c r="E4581" s="140"/>
    </row>
    <row r="4582" spans="1:5">
      <c r="A4582" s="140"/>
      <c r="B4582" s="192"/>
      <c r="C4582" s="140"/>
      <c r="D4582" s="140"/>
      <c r="E4582" s="140"/>
    </row>
    <row r="4583" spans="1:5">
      <c r="A4583" s="140"/>
      <c r="B4583" s="192"/>
      <c r="C4583" s="140"/>
      <c r="D4583" s="140"/>
      <c r="E4583" s="140"/>
    </row>
    <row r="4584" spans="1:5">
      <c r="A4584" s="140"/>
      <c r="B4584" s="192"/>
      <c r="C4584" s="140"/>
      <c r="D4584" s="140"/>
      <c r="E4584" s="140"/>
    </row>
    <row r="4585" spans="1:5">
      <c r="A4585" s="140"/>
      <c r="B4585" s="192"/>
      <c r="C4585" s="140"/>
      <c r="D4585" s="140"/>
      <c r="E4585" s="140"/>
    </row>
    <row r="4586" spans="1:5">
      <c r="A4586" s="140"/>
      <c r="B4586" s="192"/>
      <c r="C4586" s="140"/>
      <c r="D4586" s="140"/>
      <c r="E4586" s="140"/>
    </row>
    <row r="4587" spans="1:5">
      <c r="A4587" s="140"/>
      <c r="B4587" s="192"/>
      <c r="C4587" s="140"/>
      <c r="D4587" s="140"/>
      <c r="E4587" s="140"/>
    </row>
    <row r="4588" spans="1:5">
      <c r="A4588" s="140"/>
      <c r="B4588" s="192"/>
      <c r="C4588" s="140"/>
      <c r="D4588" s="140"/>
      <c r="E4588" s="140"/>
    </row>
    <row r="4589" spans="1:5">
      <c r="A4589" s="140"/>
      <c r="B4589" s="192"/>
      <c r="C4589" s="140"/>
      <c r="D4589" s="140"/>
      <c r="E4589" s="140"/>
    </row>
    <row r="4590" spans="1:5">
      <c r="A4590" s="140"/>
      <c r="B4590" s="192"/>
      <c r="C4590" s="140"/>
      <c r="D4590" s="140"/>
      <c r="E4590" s="140"/>
    </row>
    <row r="4591" spans="1:5">
      <c r="A4591" s="140"/>
      <c r="B4591" s="192"/>
      <c r="C4591" s="140"/>
      <c r="D4591" s="140"/>
      <c r="E4591" s="140"/>
    </row>
    <row r="4592" spans="1:5">
      <c r="A4592" s="140"/>
      <c r="B4592" s="192"/>
      <c r="C4592" s="140"/>
      <c r="D4592" s="140"/>
      <c r="E4592" s="140"/>
    </row>
    <row r="4593" spans="1:5">
      <c r="A4593" s="140"/>
      <c r="B4593" s="192"/>
      <c r="C4593" s="140"/>
      <c r="D4593" s="140"/>
      <c r="E4593" s="140"/>
    </row>
    <row r="4594" spans="1:5">
      <c r="A4594" s="140"/>
      <c r="B4594" s="192"/>
      <c r="C4594" s="140"/>
      <c r="D4594" s="140"/>
      <c r="E4594" s="140"/>
    </row>
    <row r="4595" spans="1:5">
      <c r="A4595" s="140"/>
      <c r="B4595" s="192"/>
      <c r="C4595" s="140"/>
      <c r="D4595" s="140"/>
      <c r="E4595" s="140"/>
    </row>
    <row r="4596" spans="1:5">
      <c r="A4596" s="140"/>
      <c r="B4596" s="192"/>
      <c r="C4596" s="140"/>
      <c r="D4596" s="140"/>
      <c r="E4596" s="140"/>
    </row>
    <row r="4597" spans="1:5">
      <c r="A4597" s="140"/>
      <c r="B4597" s="192"/>
      <c r="C4597" s="140"/>
      <c r="D4597" s="140"/>
      <c r="E4597" s="140"/>
    </row>
    <row r="4598" spans="1:5">
      <c r="A4598" s="140"/>
      <c r="B4598" s="192"/>
      <c r="C4598" s="140"/>
      <c r="D4598" s="140"/>
      <c r="E4598" s="140"/>
    </row>
    <row r="4599" spans="1:5">
      <c r="A4599" s="140"/>
      <c r="B4599" s="192"/>
      <c r="C4599" s="140"/>
      <c r="D4599" s="140"/>
      <c r="E4599" s="140"/>
    </row>
    <row r="4600" spans="1:5">
      <c r="A4600" s="140"/>
      <c r="B4600" s="192"/>
      <c r="C4600" s="140"/>
      <c r="D4600" s="140"/>
      <c r="E4600" s="140"/>
    </row>
    <row r="4601" spans="1:5">
      <c r="A4601" s="140"/>
      <c r="B4601" s="192"/>
      <c r="C4601" s="140"/>
      <c r="D4601" s="140"/>
      <c r="E4601" s="140"/>
    </row>
    <row r="4602" spans="1:5">
      <c r="A4602" s="140"/>
      <c r="B4602" s="192"/>
      <c r="C4602" s="140"/>
      <c r="D4602" s="140"/>
      <c r="E4602" s="140"/>
    </row>
    <row r="4603" spans="1:5">
      <c r="A4603" s="140"/>
      <c r="B4603" s="192"/>
      <c r="C4603" s="140"/>
      <c r="D4603" s="140"/>
      <c r="E4603" s="140"/>
    </row>
    <row r="4604" spans="1:5">
      <c r="A4604" s="140"/>
      <c r="B4604" s="192"/>
      <c r="C4604" s="140"/>
      <c r="D4604" s="140"/>
      <c r="E4604" s="140"/>
    </row>
    <row r="4605" spans="1:5">
      <c r="A4605" s="140"/>
      <c r="B4605" s="192"/>
      <c r="C4605" s="140"/>
      <c r="D4605" s="140"/>
      <c r="E4605" s="140"/>
    </row>
    <row r="4606" spans="1:5">
      <c r="A4606" s="140"/>
      <c r="B4606" s="192"/>
      <c r="C4606" s="140"/>
      <c r="D4606" s="140"/>
      <c r="E4606" s="140"/>
    </row>
    <row r="4607" spans="1:5">
      <c r="A4607" s="140"/>
      <c r="B4607" s="192"/>
      <c r="C4607" s="140"/>
      <c r="D4607" s="140"/>
      <c r="E4607" s="140"/>
    </row>
    <row r="4608" spans="1:5">
      <c r="A4608" s="140"/>
      <c r="B4608" s="192"/>
      <c r="C4608" s="140"/>
      <c r="D4608" s="140"/>
      <c r="E4608" s="140"/>
    </row>
    <row r="4609" spans="1:5">
      <c r="A4609" s="140"/>
      <c r="B4609" s="192"/>
      <c r="C4609" s="140"/>
      <c r="D4609" s="140"/>
      <c r="E4609" s="140"/>
    </row>
    <row r="4610" spans="1:5">
      <c r="A4610" s="140"/>
      <c r="B4610" s="192"/>
      <c r="C4610" s="140"/>
      <c r="D4610" s="140"/>
      <c r="E4610" s="140"/>
    </row>
    <row r="4611" spans="1:5">
      <c r="A4611" s="140"/>
      <c r="B4611" s="192"/>
      <c r="C4611" s="140"/>
      <c r="D4611" s="140"/>
      <c r="E4611" s="140"/>
    </row>
    <row r="4612" spans="1:5">
      <c r="A4612" s="140"/>
      <c r="B4612" s="192"/>
      <c r="C4612" s="140"/>
      <c r="D4612" s="140"/>
      <c r="E4612" s="140"/>
    </row>
    <row r="4613" spans="1:5">
      <c r="A4613" s="140"/>
      <c r="B4613" s="192"/>
      <c r="C4613" s="140"/>
      <c r="D4613" s="140"/>
      <c r="E4613" s="140"/>
    </row>
    <row r="4614" spans="1:5">
      <c r="A4614" s="140"/>
      <c r="B4614" s="192"/>
      <c r="C4614" s="140"/>
      <c r="D4614" s="140"/>
      <c r="E4614" s="140"/>
    </row>
    <row r="4615" spans="1:5">
      <c r="A4615" s="140"/>
      <c r="B4615" s="192"/>
      <c r="C4615" s="140"/>
      <c r="D4615" s="140"/>
      <c r="E4615" s="140"/>
    </row>
    <row r="4616" spans="1:5">
      <c r="A4616" s="140"/>
      <c r="B4616" s="192"/>
      <c r="C4616" s="140"/>
      <c r="D4616" s="140"/>
      <c r="E4616" s="140"/>
    </row>
    <row r="4617" spans="1:5">
      <c r="A4617" s="140"/>
      <c r="B4617" s="192"/>
      <c r="C4617" s="140"/>
      <c r="D4617" s="140"/>
      <c r="E4617" s="140"/>
    </row>
    <row r="4618" spans="1:5">
      <c r="A4618" s="140"/>
      <c r="B4618" s="192"/>
      <c r="C4618" s="140"/>
      <c r="D4618" s="140"/>
      <c r="E4618" s="140"/>
    </row>
    <row r="4619" spans="1:5">
      <c r="A4619" s="140"/>
      <c r="B4619" s="192"/>
      <c r="C4619" s="140"/>
      <c r="D4619" s="140"/>
      <c r="E4619" s="140"/>
    </row>
    <row r="4620" spans="1:5">
      <c r="A4620" s="140"/>
      <c r="B4620" s="192"/>
      <c r="C4620" s="140"/>
      <c r="D4620" s="140"/>
      <c r="E4620" s="140"/>
    </row>
    <row r="4621" spans="1:5">
      <c r="A4621" s="140"/>
      <c r="B4621" s="192"/>
      <c r="C4621" s="140"/>
      <c r="D4621" s="140"/>
      <c r="E4621" s="140"/>
    </row>
    <row r="4622" spans="1:5">
      <c r="A4622" s="140"/>
      <c r="B4622" s="192"/>
      <c r="C4622" s="140"/>
      <c r="D4622" s="140"/>
      <c r="E4622" s="140"/>
    </row>
    <row r="4623" spans="1:5">
      <c r="A4623" s="140"/>
      <c r="B4623" s="192"/>
      <c r="C4623" s="140"/>
      <c r="D4623" s="140"/>
      <c r="E4623" s="140"/>
    </row>
    <row r="4624" spans="1:5">
      <c r="A4624" s="140"/>
      <c r="B4624" s="192"/>
      <c r="C4624" s="140"/>
      <c r="D4624" s="140"/>
      <c r="E4624" s="140"/>
    </row>
    <row r="4625" spans="1:5">
      <c r="A4625" s="140"/>
      <c r="B4625" s="192"/>
      <c r="C4625" s="140"/>
      <c r="D4625" s="140"/>
      <c r="E4625" s="140"/>
    </row>
    <row r="4626" spans="1:5">
      <c r="A4626" s="140"/>
      <c r="B4626" s="192"/>
      <c r="C4626" s="140"/>
      <c r="D4626" s="140"/>
      <c r="E4626" s="140"/>
    </row>
    <row r="4627" spans="1:5">
      <c r="A4627" s="140"/>
      <c r="B4627" s="192"/>
      <c r="C4627" s="140"/>
      <c r="D4627" s="140"/>
      <c r="E4627" s="140"/>
    </row>
    <row r="4628" spans="1:5">
      <c r="A4628" s="140"/>
      <c r="B4628" s="192"/>
      <c r="C4628" s="140"/>
      <c r="D4628" s="140"/>
      <c r="E4628" s="140"/>
    </row>
    <row r="4629" spans="1:5">
      <c r="A4629" s="140"/>
      <c r="B4629" s="192"/>
      <c r="C4629" s="140"/>
      <c r="D4629" s="140"/>
      <c r="E4629" s="140"/>
    </row>
    <row r="4630" spans="1:5">
      <c r="A4630" s="140"/>
      <c r="B4630" s="192"/>
      <c r="C4630" s="140"/>
      <c r="D4630" s="140"/>
      <c r="E4630" s="140"/>
    </row>
    <row r="4631" spans="1:5">
      <c r="A4631" s="140"/>
      <c r="B4631" s="192"/>
      <c r="C4631" s="140"/>
      <c r="D4631" s="140"/>
      <c r="E4631" s="140"/>
    </row>
    <row r="4632" spans="1:5">
      <c r="A4632" s="140"/>
      <c r="B4632" s="192"/>
      <c r="C4632" s="140"/>
      <c r="D4632" s="140"/>
      <c r="E4632" s="140"/>
    </row>
    <row r="4633" spans="1:5">
      <c r="A4633" s="140"/>
      <c r="B4633" s="192"/>
      <c r="C4633" s="140"/>
      <c r="D4633" s="140"/>
      <c r="E4633" s="140"/>
    </row>
    <row r="4634" spans="1:5">
      <c r="A4634" s="140"/>
      <c r="B4634" s="192"/>
      <c r="C4634" s="140"/>
      <c r="D4634" s="140"/>
      <c r="E4634" s="140"/>
    </row>
    <row r="4635" spans="1:5">
      <c r="A4635" s="140"/>
      <c r="B4635" s="192"/>
      <c r="C4635" s="140"/>
      <c r="D4635" s="140"/>
      <c r="E4635" s="140"/>
    </row>
    <row r="4636" spans="1:5">
      <c r="A4636" s="140"/>
      <c r="B4636" s="192"/>
      <c r="C4636" s="140"/>
      <c r="D4636" s="140"/>
      <c r="E4636" s="140"/>
    </row>
    <row r="4637" spans="1:5">
      <c r="A4637" s="140"/>
      <c r="B4637" s="192"/>
      <c r="C4637" s="140"/>
      <c r="D4637" s="140"/>
      <c r="E4637" s="140"/>
    </row>
    <row r="4638" spans="1:5">
      <c r="A4638" s="140"/>
      <c r="B4638" s="192"/>
      <c r="C4638" s="140"/>
      <c r="D4638" s="140"/>
      <c r="E4638" s="140"/>
    </row>
    <row r="4639" spans="1:5">
      <c r="A4639" s="140"/>
      <c r="B4639" s="192"/>
      <c r="C4639" s="140"/>
      <c r="D4639" s="140"/>
      <c r="E4639" s="140"/>
    </row>
    <row r="4640" spans="1:5">
      <c r="A4640" s="140"/>
      <c r="B4640" s="192"/>
      <c r="C4640" s="140"/>
      <c r="D4640" s="140"/>
      <c r="E4640" s="140"/>
    </row>
    <row r="4641" spans="1:5">
      <c r="A4641" s="140"/>
      <c r="B4641" s="192"/>
      <c r="C4641" s="140"/>
      <c r="D4641" s="140"/>
      <c r="E4641" s="140"/>
    </row>
    <row r="4642" spans="1:5">
      <c r="A4642" s="140"/>
      <c r="B4642" s="192"/>
      <c r="C4642" s="140"/>
      <c r="D4642" s="140"/>
      <c r="E4642" s="140"/>
    </row>
    <row r="4643" spans="1:5">
      <c r="A4643" s="140"/>
      <c r="B4643" s="192"/>
      <c r="C4643" s="140"/>
      <c r="D4643" s="140"/>
      <c r="E4643" s="140"/>
    </row>
    <row r="4644" spans="1:5">
      <c r="A4644" s="140"/>
      <c r="B4644" s="192"/>
      <c r="C4644" s="140"/>
      <c r="D4644" s="140"/>
      <c r="E4644" s="140"/>
    </row>
    <row r="4645" spans="1:5">
      <c r="A4645" s="140"/>
      <c r="B4645" s="192"/>
      <c r="C4645" s="140"/>
      <c r="D4645" s="140"/>
      <c r="E4645" s="140"/>
    </row>
    <row r="4646" spans="1:5">
      <c r="A4646" s="140"/>
      <c r="B4646" s="192"/>
      <c r="C4646" s="140"/>
      <c r="D4646" s="140"/>
      <c r="E4646" s="140"/>
    </row>
    <row r="4647" spans="1:5">
      <c r="A4647" s="140"/>
      <c r="B4647" s="192"/>
      <c r="C4647" s="140"/>
      <c r="D4647" s="140"/>
      <c r="E4647" s="140"/>
    </row>
    <row r="4648" spans="1:5">
      <c r="A4648" s="140"/>
      <c r="B4648" s="192"/>
      <c r="C4648" s="140"/>
      <c r="D4648" s="140"/>
      <c r="E4648" s="140"/>
    </row>
    <row r="4649" spans="1:5">
      <c r="A4649" s="140"/>
      <c r="B4649" s="192"/>
      <c r="C4649" s="140"/>
      <c r="D4649" s="140"/>
      <c r="E4649" s="140"/>
    </row>
    <row r="4650" spans="1:5">
      <c r="A4650" s="140"/>
      <c r="B4650" s="192"/>
      <c r="C4650" s="140"/>
      <c r="D4650" s="140"/>
      <c r="E4650" s="140"/>
    </row>
    <row r="4651" spans="1:5">
      <c r="A4651" s="140"/>
      <c r="B4651" s="192"/>
      <c r="C4651" s="140"/>
      <c r="D4651" s="140"/>
      <c r="E4651" s="140"/>
    </row>
    <row r="4652" spans="1:5">
      <c r="A4652" s="140"/>
      <c r="B4652" s="192"/>
      <c r="C4652" s="140"/>
      <c r="D4652" s="140"/>
      <c r="E4652" s="140"/>
    </row>
    <row r="4653" spans="1:5">
      <c r="A4653" s="140"/>
      <c r="B4653" s="192"/>
      <c r="C4653" s="140"/>
      <c r="D4653" s="140"/>
      <c r="E4653" s="140"/>
    </row>
    <row r="4654" spans="1:5">
      <c r="A4654" s="140"/>
      <c r="B4654" s="192"/>
      <c r="C4654" s="140"/>
      <c r="D4654" s="140"/>
      <c r="E4654" s="140"/>
    </row>
    <row r="4655" spans="1:5">
      <c r="A4655" s="140"/>
      <c r="B4655" s="192"/>
      <c r="C4655" s="140"/>
      <c r="D4655" s="140"/>
      <c r="E4655" s="140"/>
    </row>
    <row r="4656" spans="1:5">
      <c r="A4656" s="140"/>
      <c r="B4656" s="192"/>
      <c r="C4656" s="140"/>
      <c r="D4656" s="140"/>
      <c r="E4656" s="140"/>
    </row>
    <row r="4657" spans="1:5">
      <c r="A4657" s="140"/>
      <c r="B4657" s="192"/>
      <c r="C4657" s="140"/>
      <c r="D4657" s="140"/>
      <c r="E4657" s="140"/>
    </row>
    <row r="4658" spans="1:5">
      <c r="A4658" s="140"/>
      <c r="B4658" s="192"/>
      <c r="C4658" s="140"/>
      <c r="D4658" s="140"/>
      <c r="E4658" s="140"/>
    </row>
    <row r="4659" spans="1:5">
      <c r="A4659" s="140"/>
      <c r="B4659" s="192"/>
      <c r="C4659" s="140"/>
      <c r="D4659" s="140"/>
      <c r="E4659" s="140"/>
    </row>
    <row r="4660" spans="1:5">
      <c r="A4660" s="140"/>
      <c r="B4660" s="192"/>
      <c r="C4660" s="140"/>
      <c r="D4660" s="140"/>
      <c r="E4660" s="140"/>
    </row>
    <row r="4661" spans="1:5">
      <c r="A4661" s="140"/>
      <c r="B4661" s="192"/>
      <c r="C4661" s="140"/>
      <c r="D4661" s="140"/>
      <c r="E4661" s="140"/>
    </row>
    <row r="4662" spans="1:5">
      <c r="A4662" s="140"/>
      <c r="B4662" s="192"/>
      <c r="C4662" s="140"/>
      <c r="D4662" s="140"/>
      <c r="E4662" s="140"/>
    </row>
    <row r="4663" spans="1:5">
      <c r="A4663" s="140"/>
      <c r="B4663" s="192"/>
      <c r="C4663" s="140"/>
      <c r="D4663" s="140"/>
      <c r="E4663" s="140"/>
    </row>
    <row r="4664" spans="1:5">
      <c r="A4664" s="140"/>
      <c r="B4664" s="192"/>
      <c r="C4664" s="140"/>
      <c r="D4664" s="140"/>
      <c r="E4664" s="140"/>
    </row>
    <row r="4665" spans="1:5">
      <c r="A4665" s="140"/>
      <c r="B4665" s="192"/>
      <c r="C4665" s="140"/>
      <c r="D4665" s="140"/>
      <c r="E4665" s="140"/>
    </row>
    <row r="4666" spans="1:5">
      <c r="A4666" s="140"/>
      <c r="B4666" s="192"/>
      <c r="C4666" s="140"/>
      <c r="D4666" s="140"/>
      <c r="E4666" s="140"/>
    </row>
    <row r="4667" spans="1:5">
      <c r="A4667" s="140"/>
      <c r="B4667" s="192"/>
      <c r="C4667" s="140"/>
      <c r="D4667" s="140"/>
      <c r="E4667" s="140"/>
    </row>
    <row r="4668" spans="1:5">
      <c r="A4668" s="140"/>
      <c r="B4668" s="192"/>
      <c r="C4668" s="140"/>
      <c r="D4668" s="140"/>
      <c r="E4668" s="140"/>
    </row>
    <row r="4669" spans="1:5">
      <c r="A4669" s="140"/>
      <c r="B4669" s="192"/>
      <c r="C4669" s="140"/>
      <c r="D4669" s="140"/>
      <c r="E4669" s="140"/>
    </row>
    <row r="4670" spans="1:5">
      <c r="A4670" s="140"/>
      <c r="B4670" s="192"/>
      <c r="C4670" s="140"/>
      <c r="D4670" s="140"/>
      <c r="E4670" s="140"/>
    </row>
    <row r="4671" spans="1:5">
      <c r="A4671" s="140"/>
      <c r="B4671" s="192"/>
      <c r="C4671" s="140"/>
      <c r="D4671" s="140"/>
      <c r="E4671" s="140"/>
    </row>
    <row r="4672" spans="1:5">
      <c r="A4672" s="140"/>
      <c r="B4672" s="192"/>
      <c r="C4672" s="140"/>
      <c r="D4672" s="140"/>
      <c r="E4672" s="140"/>
    </row>
    <row r="4673" spans="1:5">
      <c r="A4673" s="140"/>
      <c r="B4673" s="192"/>
      <c r="C4673" s="140"/>
      <c r="D4673" s="140"/>
      <c r="E4673" s="140"/>
    </row>
    <row r="4674" spans="1:5">
      <c r="A4674" s="140"/>
      <c r="B4674" s="192"/>
      <c r="C4674" s="140"/>
      <c r="D4674" s="140"/>
      <c r="E4674" s="140"/>
    </row>
    <row r="4675" spans="1:5">
      <c r="A4675" s="140"/>
      <c r="B4675" s="192"/>
      <c r="C4675" s="140"/>
      <c r="D4675" s="140"/>
      <c r="E4675" s="140"/>
    </row>
    <row r="4676" spans="1:5">
      <c r="A4676" s="140"/>
      <c r="B4676" s="192"/>
      <c r="C4676" s="140"/>
      <c r="D4676" s="140"/>
      <c r="E4676" s="140"/>
    </row>
    <row r="4677" spans="1:5">
      <c r="A4677" s="140"/>
      <c r="B4677" s="192"/>
      <c r="C4677" s="140"/>
      <c r="D4677" s="140"/>
      <c r="E4677" s="140"/>
    </row>
    <row r="4678" spans="1:5">
      <c r="A4678" s="140"/>
      <c r="B4678" s="192"/>
      <c r="C4678" s="140"/>
      <c r="D4678" s="140"/>
      <c r="E4678" s="140"/>
    </row>
    <row r="4679" spans="1:5">
      <c r="A4679" s="140"/>
      <c r="B4679" s="192"/>
      <c r="C4679" s="140"/>
      <c r="D4679" s="140"/>
      <c r="E4679" s="140"/>
    </row>
    <row r="4680" spans="1:5">
      <c r="A4680" s="140"/>
      <c r="B4680" s="192"/>
      <c r="C4680" s="140"/>
      <c r="D4680" s="140"/>
      <c r="E4680" s="140"/>
    </row>
    <row r="4681" spans="1:5">
      <c r="A4681" s="140"/>
      <c r="B4681" s="192"/>
      <c r="C4681" s="140"/>
      <c r="D4681" s="140"/>
      <c r="E4681" s="140"/>
    </row>
    <row r="4682" spans="1:5">
      <c r="A4682" s="140"/>
      <c r="B4682" s="192"/>
      <c r="C4682" s="140"/>
      <c r="D4682" s="140"/>
      <c r="E4682" s="140"/>
    </row>
    <row r="4683" spans="1:5">
      <c r="A4683" s="140"/>
      <c r="B4683" s="192"/>
      <c r="C4683" s="140"/>
      <c r="D4683" s="140"/>
      <c r="E4683" s="140"/>
    </row>
    <row r="4684" spans="1:5">
      <c r="A4684" s="140"/>
      <c r="B4684" s="192"/>
      <c r="C4684" s="140"/>
      <c r="D4684" s="140"/>
      <c r="E4684" s="140"/>
    </row>
    <row r="4685" spans="1:5">
      <c r="A4685" s="140"/>
      <c r="B4685" s="192"/>
      <c r="C4685" s="140"/>
      <c r="D4685" s="140"/>
      <c r="E4685" s="140"/>
    </row>
    <row r="4686" spans="1:5">
      <c r="A4686" s="140"/>
      <c r="B4686" s="192"/>
      <c r="C4686" s="140"/>
      <c r="D4686" s="140"/>
      <c r="E4686" s="140"/>
    </row>
    <row r="4687" spans="1:5">
      <c r="A4687" s="140"/>
      <c r="B4687" s="192"/>
      <c r="C4687" s="140"/>
      <c r="D4687" s="140"/>
      <c r="E4687" s="140"/>
    </row>
    <row r="4688" spans="1:5">
      <c r="A4688" s="140"/>
      <c r="B4688" s="192"/>
      <c r="C4688" s="140"/>
      <c r="D4688" s="140"/>
      <c r="E4688" s="140"/>
    </row>
    <row r="4689" spans="1:5">
      <c r="A4689" s="140"/>
      <c r="B4689" s="192"/>
      <c r="C4689" s="140"/>
      <c r="D4689" s="140"/>
      <c r="E4689" s="140"/>
    </row>
    <row r="4690" spans="1:5">
      <c r="A4690" s="140"/>
      <c r="B4690" s="192"/>
      <c r="C4690" s="140"/>
      <c r="D4690" s="140"/>
      <c r="E4690" s="140"/>
    </row>
    <row r="4691" spans="1:5">
      <c r="A4691" s="140"/>
      <c r="B4691" s="192"/>
      <c r="C4691" s="140"/>
      <c r="D4691" s="140"/>
      <c r="E4691" s="140"/>
    </row>
    <row r="4692" spans="1:5">
      <c r="A4692" s="140"/>
      <c r="B4692" s="192"/>
      <c r="C4692" s="140"/>
      <c r="D4692" s="140"/>
      <c r="E4692" s="140"/>
    </row>
    <row r="4693" spans="1:5">
      <c r="A4693" s="140"/>
      <c r="B4693" s="192"/>
      <c r="C4693" s="140"/>
      <c r="D4693" s="140"/>
      <c r="E4693" s="140"/>
    </row>
    <row r="4694" spans="1:5">
      <c r="A4694" s="140"/>
      <c r="B4694" s="192"/>
      <c r="C4694" s="140"/>
      <c r="D4694" s="140"/>
      <c r="E4694" s="140"/>
    </row>
    <row r="4695" spans="1:5">
      <c r="A4695" s="140"/>
      <c r="B4695" s="192"/>
      <c r="C4695" s="140"/>
      <c r="D4695" s="140"/>
      <c r="E4695" s="140"/>
    </row>
    <row r="4696" spans="1:5">
      <c r="A4696" s="140"/>
      <c r="B4696" s="192"/>
      <c r="C4696" s="140"/>
      <c r="D4696" s="140"/>
      <c r="E4696" s="140"/>
    </row>
    <row r="4697" spans="1:5">
      <c r="A4697" s="140"/>
      <c r="B4697" s="192"/>
      <c r="C4697" s="140"/>
      <c r="D4697" s="140"/>
      <c r="E4697" s="140"/>
    </row>
    <row r="4698" spans="1:5">
      <c r="A4698" s="140"/>
      <c r="B4698" s="192"/>
      <c r="C4698" s="140"/>
      <c r="D4698" s="140"/>
      <c r="E4698" s="140"/>
    </row>
    <row r="4699" spans="1:5">
      <c r="A4699" s="140"/>
      <c r="B4699" s="192"/>
      <c r="C4699" s="140"/>
      <c r="D4699" s="140"/>
      <c r="E4699" s="140"/>
    </row>
    <row r="4700" spans="1:5">
      <c r="A4700" s="140"/>
      <c r="B4700" s="192"/>
      <c r="C4700" s="140"/>
      <c r="D4700" s="140"/>
      <c r="E4700" s="140"/>
    </row>
    <row r="4701" spans="1:5">
      <c r="A4701" s="140"/>
      <c r="B4701" s="192"/>
      <c r="C4701" s="140"/>
      <c r="D4701" s="140"/>
      <c r="E4701" s="140"/>
    </row>
    <row r="4702" spans="1:5">
      <c r="A4702" s="140"/>
      <c r="B4702" s="192"/>
      <c r="C4702" s="140"/>
      <c r="D4702" s="140"/>
      <c r="E4702" s="140"/>
    </row>
    <row r="4703" spans="1:5">
      <c r="A4703" s="140"/>
      <c r="B4703" s="192"/>
      <c r="C4703" s="140"/>
      <c r="D4703" s="140"/>
      <c r="E4703" s="140"/>
    </row>
    <row r="4704" spans="1:5">
      <c r="A4704" s="140"/>
      <c r="B4704" s="192"/>
      <c r="C4704" s="140"/>
      <c r="D4704" s="140"/>
      <c r="E4704" s="140"/>
    </row>
    <row r="4705" spans="1:5">
      <c r="A4705" s="140"/>
      <c r="B4705" s="192"/>
      <c r="C4705" s="140"/>
      <c r="D4705" s="140"/>
      <c r="E4705" s="140"/>
    </row>
    <row r="4706" spans="1:5">
      <c r="A4706" s="140"/>
      <c r="B4706" s="192"/>
      <c r="C4706" s="140"/>
      <c r="D4706" s="140"/>
      <c r="E4706" s="140"/>
    </row>
    <row r="4707" spans="1:5">
      <c r="A4707" s="140"/>
      <c r="B4707" s="192"/>
      <c r="C4707" s="140"/>
      <c r="D4707" s="140"/>
      <c r="E4707" s="140"/>
    </row>
    <row r="4708" spans="1:5">
      <c r="A4708" s="140"/>
      <c r="B4708" s="192"/>
      <c r="C4708" s="140"/>
      <c r="D4708" s="140"/>
      <c r="E4708" s="140"/>
    </row>
    <row r="4709" spans="1:5">
      <c r="A4709" s="140"/>
      <c r="B4709" s="192"/>
      <c r="C4709" s="140"/>
      <c r="D4709" s="140"/>
      <c r="E4709" s="140"/>
    </row>
    <row r="4710" spans="1:5">
      <c r="A4710" s="140"/>
      <c r="B4710" s="192"/>
      <c r="C4710" s="140"/>
      <c r="D4710" s="140"/>
      <c r="E4710" s="140"/>
    </row>
    <row r="4711" spans="1:5">
      <c r="A4711" s="140"/>
      <c r="B4711" s="192"/>
      <c r="C4711" s="140"/>
      <c r="D4711" s="140"/>
      <c r="E4711" s="140"/>
    </row>
    <row r="4712" spans="1:5">
      <c r="A4712" s="140"/>
      <c r="B4712" s="192"/>
      <c r="C4712" s="140"/>
      <c r="D4712" s="140"/>
      <c r="E4712" s="140"/>
    </row>
    <row r="4713" spans="1:5">
      <c r="A4713" s="140"/>
      <c r="B4713" s="192"/>
      <c r="C4713" s="140"/>
      <c r="D4713" s="140"/>
      <c r="E4713" s="140"/>
    </row>
    <row r="4714" spans="1:5">
      <c r="A4714" s="140"/>
      <c r="B4714" s="192"/>
      <c r="C4714" s="140"/>
      <c r="D4714" s="140"/>
      <c r="E4714" s="140"/>
    </row>
    <row r="4715" spans="1:5">
      <c r="A4715" s="140"/>
      <c r="B4715" s="192"/>
      <c r="C4715" s="140"/>
      <c r="D4715" s="140"/>
      <c r="E4715" s="140"/>
    </row>
    <row r="4716" spans="1:5">
      <c r="A4716" s="140"/>
      <c r="B4716" s="192"/>
      <c r="C4716" s="140"/>
      <c r="D4716" s="140"/>
      <c r="E4716" s="140"/>
    </row>
    <row r="4717" spans="1:5">
      <c r="A4717" s="140"/>
      <c r="B4717" s="192"/>
      <c r="C4717" s="140"/>
      <c r="D4717" s="140"/>
      <c r="E4717" s="140"/>
    </row>
    <row r="4718" spans="1:5">
      <c r="A4718" s="140"/>
      <c r="B4718" s="192"/>
      <c r="C4718" s="140"/>
      <c r="D4718" s="140"/>
      <c r="E4718" s="140"/>
    </row>
    <row r="4719" spans="1:5">
      <c r="A4719" s="140"/>
      <c r="B4719" s="192"/>
      <c r="C4719" s="140"/>
      <c r="D4719" s="140"/>
      <c r="E4719" s="140"/>
    </row>
    <row r="4720" spans="1:5">
      <c r="A4720" s="140"/>
      <c r="B4720" s="192"/>
      <c r="C4720" s="140"/>
      <c r="D4720" s="140"/>
      <c r="E4720" s="140"/>
    </row>
    <row r="4721" spans="1:5">
      <c r="A4721" s="140"/>
      <c r="B4721" s="192"/>
      <c r="C4721" s="140"/>
      <c r="D4721" s="140"/>
      <c r="E4721" s="140"/>
    </row>
    <row r="4722" spans="1:5">
      <c r="A4722" s="140"/>
      <c r="B4722" s="192"/>
      <c r="C4722" s="140"/>
      <c r="D4722" s="140"/>
      <c r="E4722" s="140"/>
    </row>
    <row r="4723" spans="1:5">
      <c r="A4723" s="140"/>
      <c r="B4723" s="192"/>
      <c r="C4723" s="140"/>
      <c r="D4723" s="140"/>
      <c r="E4723" s="140"/>
    </row>
    <row r="4724" spans="1:5">
      <c r="A4724" s="140"/>
      <c r="B4724" s="192"/>
      <c r="C4724" s="140"/>
      <c r="D4724" s="140"/>
      <c r="E4724" s="140"/>
    </row>
    <row r="4725" spans="1:5">
      <c r="A4725" s="140"/>
      <c r="B4725" s="192"/>
      <c r="C4725" s="140"/>
      <c r="D4725" s="140"/>
      <c r="E4725" s="140"/>
    </row>
    <row r="4726" spans="1:5">
      <c r="A4726" s="140"/>
      <c r="B4726" s="192"/>
      <c r="C4726" s="140"/>
      <c r="D4726" s="140"/>
      <c r="E4726" s="140"/>
    </row>
    <row r="4727" spans="1:5">
      <c r="A4727" s="140"/>
      <c r="B4727" s="192"/>
      <c r="C4727" s="140"/>
      <c r="D4727" s="140"/>
      <c r="E4727" s="140"/>
    </row>
    <row r="4728" spans="1:5">
      <c r="A4728" s="140"/>
      <c r="B4728" s="192"/>
      <c r="C4728" s="140"/>
      <c r="D4728" s="140"/>
      <c r="E4728" s="140"/>
    </row>
    <row r="4729" spans="1:5">
      <c r="A4729" s="140"/>
      <c r="B4729" s="192"/>
      <c r="C4729" s="140"/>
      <c r="D4729" s="140"/>
      <c r="E4729" s="140"/>
    </row>
    <row r="4730" spans="1:5">
      <c r="A4730" s="140"/>
      <c r="B4730" s="192"/>
      <c r="C4730" s="140"/>
      <c r="D4730" s="140"/>
      <c r="E4730" s="140"/>
    </row>
    <row r="4731" spans="1:5">
      <c r="A4731" s="140"/>
      <c r="B4731" s="192"/>
      <c r="C4731" s="140"/>
      <c r="D4731" s="140"/>
      <c r="E4731" s="140"/>
    </row>
    <row r="4732" spans="1:5">
      <c r="A4732" s="140"/>
      <c r="B4732" s="192"/>
      <c r="C4732" s="140"/>
      <c r="D4732" s="140"/>
      <c r="E4732" s="140"/>
    </row>
    <row r="4733" spans="1:5">
      <c r="A4733" s="140"/>
      <c r="B4733" s="192"/>
      <c r="C4733" s="140"/>
      <c r="D4733" s="140"/>
      <c r="E4733" s="140"/>
    </row>
    <row r="4734" spans="1:5">
      <c r="A4734" s="140"/>
      <c r="B4734" s="192"/>
      <c r="C4734" s="140"/>
      <c r="D4734" s="140"/>
      <c r="E4734" s="140"/>
    </row>
    <row r="4735" spans="1:5">
      <c r="A4735" s="140"/>
      <c r="B4735" s="192"/>
      <c r="C4735" s="140"/>
      <c r="D4735" s="140"/>
      <c r="E4735" s="140"/>
    </row>
    <row r="4736" spans="1:5">
      <c r="A4736" s="140"/>
      <c r="B4736" s="192"/>
      <c r="C4736" s="140"/>
      <c r="D4736" s="140"/>
      <c r="E4736" s="140"/>
    </row>
    <row r="4737" spans="1:5">
      <c r="A4737" s="140"/>
      <c r="B4737" s="192"/>
      <c r="C4737" s="140"/>
      <c r="D4737" s="140"/>
      <c r="E4737" s="140"/>
    </row>
    <row r="4738" spans="1:5">
      <c r="A4738" s="140"/>
      <c r="B4738" s="192"/>
      <c r="C4738" s="140"/>
      <c r="D4738" s="140"/>
      <c r="E4738" s="140"/>
    </row>
    <row r="4739" spans="1:5">
      <c r="A4739" s="140"/>
      <c r="B4739" s="192"/>
      <c r="C4739" s="140"/>
      <c r="D4739" s="140"/>
      <c r="E4739" s="140"/>
    </row>
    <row r="4740" spans="1:5">
      <c r="A4740" s="140"/>
      <c r="B4740" s="192"/>
      <c r="C4740" s="140"/>
      <c r="D4740" s="140"/>
      <c r="E4740" s="140"/>
    </row>
    <row r="4741" spans="1:5">
      <c r="A4741" s="140"/>
      <c r="B4741" s="192"/>
      <c r="C4741" s="140"/>
      <c r="D4741" s="140"/>
      <c r="E4741" s="140"/>
    </row>
    <row r="4742" spans="1:5">
      <c r="A4742" s="140"/>
      <c r="B4742" s="192"/>
      <c r="C4742" s="140"/>
      <c r="D4742" s="140"/>
      <c r="E4742" s="140"/>
    </row>
    <row r="4743" spans="1:5">
      <c r="A4743" s="140"/>
      <c r="B4743" s="192"/>
      <c r="C4743" s="140"/>
      <c r="D4743" s="140"/>
      <c r="E4743" s="140"/>
    </row>
    <row r="4744" spans="1:5">
      <c r="A4744" s="140"/>
      <c r="B4744" s="192"/>
      <c r="C4744" s="140"/>
      <c r="D4744" s="140"/>
      <c r="E4744" s="140"/>
    </row>
    <row r="4745" spans="1:5">
      <c r="A4745" s="140"/>
      <c r="B4745" s="192"/>
      <c r="C4745" s="140"/>
      <c r="D4745" s="140"/>
      <c r="E4745" s="140"/>
    </row>
    <row r="4746" spans="1:5">
      <c r="A4746" s="140"/>
      <c r="B4746" s="192"/>
      <c r="C4746" s="140"/>
      <c r="D4746" s="140"/>
      <c r="E4746" s="140"/>
    </row>
    <row r="4747" spans="1:5">
      <c r="A4747" s="140"/>
      <c r="B4747" s="192"/>
      <c r="C4747" s="140"/>
      <c r="D4747" s="140"/>
      <c r="E4747" s="140"/>
    </row>
    <row r="4748" spans="1:5">
      <c r="A4748" s="140"/>
      <c r="B4748" s="192"/>
      <c r="C4748" s="140"/>
      <c r="D4748" s="140"/>
      <c r="E4748" s="140"/>
    </row>
    <row r="4749" spans="1:5">
      <c r="A4749" s="140"/>
      <c r="B4749" s="192"/>
      <c r="C4749" s="140"/>
      <c r="D4749" s="140"/>
      <c r="E4749" s="140"/>
    </row>
    <row r="4750" spans="1:5">
      <c r="A4750" s="140"/>
      <c r="B4750" s="192"/>
      <c r="C4750" s="140"/>
      <c r="D4750" s="140"/>
      <c r="E4750" s="140"/>
    </row>
    <row r="4751" spans="1:5">
      <c r="A4751" s="140"/>
      <c r="B4751" s="192"/>
      <c r="C4751" s="140"/>
      <c r="D4751" s="140"/>
      <c r="E4751" s="140"/>
    </row>
    <row r="4752" spans="1:5">
      <c r="A4752" s="140"/>
      <c r="B4752" s="192"/>
      <c r="C4752" s="140"/>
      <c r="D4752" s="140"/>
      <c r="E4752" s="140"/>
    </row>
    <row r="4753" spans="1:5">
      <c r="A4753" s="140"/>
      <c r="B4753" s="192"/>
      <c r="C4753" s="140"/>
      <c r="D4753" s="140"/>
      <c r="E4753" s="140"/>
    </row>
    <row r="4754" spans="1:5">
      <c r="A4754" s="140"/>
      <c r="B4754" s="192"/>
      <c r="C4754" s="140"/>
      <c r="D4754" s="140"/>
      <c r="E4754" s="140"/>
    </row>
    <row r="4755" spans="1:5">
      <c r="A4755" s="140"/>
      <c r="B4755" s="192"/>
      <c r="C4755" s="140"/>
      <c r="D4755" s="140"/>
      <c r="E4755" s="140"/>
    </row>
    <row r="4756" spans="1:5">
      <c r="A4756" s="140"/>
      <c r="B4756" s="192"/>
      <c r="C4756" s="140"/>
      <c r="D4756" s="140"/>
      <c r="E4756" s="140"/>
    </row>
    <row r="4757" spans="1:5">
      <c r="A4757" s="140"/>
      <c r="B4757" s="192"/>
      <c r="C4757" s="140"/>
      <c r="D4757" s="140"/>
      <c r="E4757" s="140"/>
    </row>
    <row r="4758" spans="1:5">
      <c r="A4758" s="140"/>
      <c r="B4758" s="192"/>
      <c r="C4758" s="140"/>
      <c r="D4758" s="140"/>
      <c r="E4758" s="140"/>
    </row>
    <row r="4759" spans="1:5">
      <c r="A4759" s="140"/>
      <c r="B4759" s="192"/>
      <c r="C4759" s="140"/>
      <c r="D4759" s="140"/>
      <c r="E4759" s="140"/>
    </row>
    <row r="4760" spans="1:5">
      <c r="A4760" s="140"/>
      <c r="B4760" s="192"/>
      <c r="C4760" s="140"/>
      <c r="D4760" s="140"/>
      <c r="E4760" s="140"/>
    </row>
    <row r="4761" spans="1:5">
      <c r="A4761" s="140"/>
      <c r="B4761" s="192"/>
      <c r="C4761" s="140"/>
      <c r="D4761" s="140"/>
      <c r="E4761" s="140"/>
    </row>
    <row r="4762" spans="1:5">
      <c r="A4762" s="140"/>
      <c r="B4762" s="192"/>
      <c r="C4762" s="140"/>
      <c r="D4762" s="140"/>
      <c r="E4762" s="140"/>
    </row>
    <row r="4763" spans="1:5">
      <c r="A4763" s="140"/>
      <c r="B4763" s="192"/>
      <c r="C4763" s="140"/>
      <c r="D4763" s="140"/>
      <c r="E4763" s="140"/>
    </row>
    <row r="4764" spans="1:5">
      <c r="A4764" s="140"/>
      <c r="B4764" s="192"/>
      <c r="C4764" s="140"/>
      <c r="D4764" s="140"/>
      <c r="E4764" s="140"/>
    </row>
    <row r="4765" spans="1:5">
      <c r="A4765" s="140"/>
      <c r="B4765" s="192"/>
      <c r="C4765" s="140"/>
      <c r="D4765" s="140"/>
      <c r="E4765" s="140"/>
    </row>
    <row r="4766" spans="1:5">
      <c r="A4766" s="140"/>
      <c r="B4766" s="192"/>
      <c r="C4766" s="140"/>
      <c r="D4766" s="140"/>
      <c r="E4766" s="140"/>
    </row>
    <row r="4767" spans="1:5">
      <c r="A4767" s="140"/>
      <c r="B4767" s="192"/>
      <c r="C4767" s="140"/>
      <c r="D4767" s="140"/>
      <c r="E4767" s="140"/>
    </row>
    <row r="4768" spans="1:5">
      <c r="A4768" s="140"/>
      <c r="B4768" s="192"/>
      <c r="C4768" s="140"/>
      <c r="D4768" s="140"/>
      <c r="E4768" s="140"/>
    </row>
    <row r="4769" spans="1:5">
      <c r="A4769" s="140"/>
      <c r="B4769" s="192"/>
      <c r="C4769" s="140"/>
      <c r="D4769" s="140"/>
      <c r="E4769" s="140"/>
    </row>
    <row r="4770" spans="1:5">
      <c r="A4770" s="140"/>
      <c r="B4770" s="192"/>
      <c r="C4770" s="140"/>
      <c r="D4770" s="140"/>
      <c r="E4770" s="140"/>
    </row>
    <row r="4771" spans="1:5">
      <c r="A4771" s="140"/>
      <c r="B4771" s="192"/>
      <c r="C4771" s="140"/>
      <c r="D4771" s="140"/>
      <c r="E4771" s="140"/>
    </row>
    <row r="4772" spans="1:5">
      <c r="A4772" s="140"/>
      <c r="B4772" s="192"/>
      <c r="C4772" s="140"/>
      <c r="D4772" s="140"/>
      <c r="E4772" s="140"/>
    </row>
    <row r="4773" spans="1:5">
      <c r="A4773" s="140"/>
      <c r="B4773" s="192"/>
      <c r="C4773" s="140"/>
      <c r="D4773" s="140"/>
      <c r="E4773" s="140"/>
    </row>
    <row r="4774" spans="1:5">
      <c r="A4774" s="140"/>
      <c r="B4774" s="192"/>
      <c r="C4774" s="140"/>
      <c r="D4774" s="140"/>
      <c r="E4774" s="140"/>
    </row>
    <row r="4775" spans="1:5">
      <c r="A4775" s="140"/>
      <c r="B4775" s="192"/>
      <c r="C4775" s="140"/>
      <c r="D4775" s="140"/>
      <c r="E4775" s="140"/>
    </row>
    <row r="4776" spans="1:5">
      <c r="A4776" s="140"/>
      <c r="B4776" s="192"/>
      <c r="C4776" s="140"/>
      <c r="D4776" s="140"/>
      <c r="E4776" s="140"/>
    </row>
    <row r="4777" spans="1:5">
      <c r="A4777" s="140"/>
      <c r="B4777" s="192"/>
      <c r="C4777" s="140"/>
      <c r="D4777" s="140"/>
      <c r="E4777" s="140"/>
    </row>
    <row r="4778" spans="1:5">
      <c r="A4778" s="140"/>
      <c r="B4778" s="192"/>
      <c r="C4778" s="140"/>
      <c r="D4778" s="140"/>
      <c r="E4778" s="140"/>
    </row>
    <row r="4779" spans="1:5">
      <c r="A4779" s="140"/>
      <c r="B4779" s="192"/>
      <c r="C4779" s="140"/>
      <c r="D4779" s="140"/>
      <c r="E4779" s="140"/>
    </row>
    <row r="4780" spans="1:5">
      <c r="A4780" s="140"/>
      <c r="B4780" s="192"/>
      <c r="C4780" s="140"/>
      <c r="D4780" s="140"/>
      <c r="E4780" s="140"/>
    </row>
    <row r="4781" spans="1:5">
      <c r="A4781" s="140"/>
      <c r="B4781" s="192"/>
      <c r="C4781" s="140"/>
      <c r="D4781" s="140"/>
      <c r="E4781" s="140"/>
    </row>
    <row r="4782" spans="1:5">
      <c r="A4782" s="140"/>
      <c r="B4782" s="192"/>
      <c r="C4782" s="140"/>
      <c r="D4782" s="140"/>
      <c r="E4782" s="140"/>
    </row>
    <row r="4783" spans="1:5">
      <c r="A4783" s="140"/>
      <c r="B4783" s="192"/>
      <c r="C4783" s="140"/>
      <c r="D4783" s="140"/>
      <c r="E4783" s="140"/>
    </row>
    <row r="4784" spans="1:5">
      <c r="A4784" s="140"/>
      <c r="B4784" s="192"/>
      <c r="C4784" s="140"/>
      <c r="D4784" s="140"/>
      <c r="E4784" s="140"/>
    </row>
    <row r="4785" spans="1:5">
      <c r="A4785" s="140"/>
      <c r="B4785" s="192"/>
      <c r="C4785" s="140"/>
      <c r="D4785" s="140"/>
      <c r="E4785" s="140"/>
    </row>
    <row r="4786" spans="1:5">
      <c r="A4786" s="140"/>
      <c r="B4786" s="192"/>
      <c r="C4786" s="140"/>
      <c r="D4786" s="140"/>
      <c r="E4786" s="140"/>
    </row>
    <row r="4787" spans="1:5">
      <c r="A4787" s="140"/>
      <c r="B4787" s="192"/>
      <c r="C4787" s="140"/>
      <c r="D4787" s="140"/>
      <c r="E4787" s="140"/>
    </row>
    <row r="4788" spans="1:5">
      <c r="A4788" s="140"/>
      <c r="B4788" s="192"/>
      <c r="C4788" s="140"/>
      <c r="D4788" s="140"/>
      <c r="E4788" s="140"/>
    </row>
    <row r="4789" spans="1:5">
      <c r="A4789" s="140"/>
      <c r="B4789" s="192"/>
      <c r="C4789" s="140"/>
      <c r="D4789" s="140"/>
      <c r="E4789" s="140"/>
    </row>
    <row r="4790" spans="1:5">
      <c r="A4790" s="140"/>
      <c r="B4790" s="192"/>
      <c r="C4790" s="140"/>
      <c r="D4790" s="140"/>
      <c r="E4790" s="140"/>
    </row>
    <row r="4791" spans="1:5">
      <c r="A4791" s="140"/>
      <c r="B4791" s="192"/>
      <c r="C4791" s="140"/>
      <c r="D4791" s="140"/>
      <c r="E4791" s="140"/>
    </row>
    <row r="4792" spans="1:5">
      <c r="A4792" s="140"/>
      <c r="B4792" s="192"/>
      <c r="C4792" s="140"/>
      <c r="D4792" s="140"/>
      <c r="E4792" s="140"/>
    </row>
    <row r="4793" spans="1:5">
      <c r="A4793" s="140"/>
      <c r="B4793" s="192"/>
      <c r="C4793" s="140"/>
      <c r="D4793" s="140"/>
      <c r="E4793" s="140"/>
    </row>
    <row r="4794" spans="1:5">
      <c r="A4794" s="140"/>
      <c r="B4794" s="192"/>
      <c r="C4794" s="140"/>
      <c r="D4794" s="140"/>
      <c r="E4794" s="140"/>
    </row>
    <row r="4795" spans="1:5">
      <c r="A4795" s="140"/>
      <c r="B4795" s="192"/>
      <c r="C4795" s="140"/>
      <c r="D4795" s="140"/>
      <c r="E4795" s="140"/>
    </row>
    <row r="4796" spans="1:5">
      <c r="A4796" s="140"/>
      <c r="B4796" s="192"/>
      <c r="C4796" s="140"/>
      <c r="D4796" s="140"/>
      <c r="E4796" s="140"/>
    </row>
    <row r="4797" spans="1:5">
      <c r="A4797" s="140"/>
      <c r="B4797" s="192"/>
      <c r="C4797" s="140"/>
      <c r="D4797" s="140"/>
      <c r="E4797" s="140"/>
    </row>
    <row r="4798" spans="1:5">
      <c r="A4798" s="140"/>
      <c r="B4798" s="192"/>
      <c r="C4798" s="140"/>
      <c r="D4798" s="140"/>
      <c r="E4798" s="140"/>
    </row>
    <row r="4799" spans="1:5">
      <c r="A4799" s="140"/>
      <c r="B4799" s="192"/>
      <c r="C4799" s="140"/>
      <c r="D4799" s="140"/>
      <c r="E4799" s="140"/>
    </row>
    <row r="4800" spans="1:5">
      <c r="A4800" s="140"/>
      <c r="B4800" s="192"/>
      <c r="C4800" s="140"/>
      <c r="D4800" s="140"/>
      <c r="E4800" s="140"/>
    </row>
    <row r="4801" spans="1:5">
      <c r="A4801" s="140"/>
      <c r="B4801" s="192"/>
      <c r="C4801" s="140"/>
      <c r="D4801" s="140"/>
      <c r="E4801" s="140"/>
    </row>
    <row r="4802" spans="1:5">
      <c r="A4802" s="140"/>
      <c r="B4802" s="192"/>
      <c r="C4802" s="140"/>
      <c r="D4802" s="140"/>
      <c r="E4802" s="140"/>
    </row>
    <row r="4803" spans="1:5">
      <c r="A4803" s="140"/>
      <c r="B4803" s="192"/>
      <c r="C4803" s="140"/>
      <c r="D4803" s="140"/>
      <c r="E4803" s="140"/>
    </row>
    <row r="4804" spans="1:5">
      <c r="A4804" s="140"/>
      <c r="B4804" s="192"/>
      <c r="C4804" s="140"/>
      <c r="D4804" s="140"/>
      <c r="E4804" s="140"/>
    </row>
    <row r="4805" spans="1:5">
      <c r="A4805" s="140"/>
      <c r="B4805" s="192"/>
      <c r="C4805" s="140"/>
      <c r="D4805" s="140"/>
      <c r="E4805" s="140"/>
    </row>
    <row r="4806" spans="1:5">
      <c r="A4806" s="140"/>
      <c r="B4806" s="192"/>
      <c r="C4806" s="140"/>
      <c r="D4806" s="140"/>
      <c r="E4806" s="140"/>
    </row>
    <row r="4807" spans="1:5">
      <c r="A4807" s="140"/>
      <c r="B4807" s="192"/>
      <c r="C4807" s="140"/>
      <c r="D4807" s="140"/>
      <c r="E4807" s="140"/>
    </row>
    <row r="4808" spans="1:5">
      <c r="A4808" s="140"/>
      <c r="B4808" s="192"/>
      <c r="C4808" s="140"/>
      <c r="D4808" s="140"/>
      <c r="E4808" s="140"/>
    </row>
    <row r="4809" spans="1:5">
      <c r="A4809" s="140"/>
      <c r="B4809" s="192"/>
      <c r="C4809" s="140"/>
      <c r="D4809" s="140"/>
      <c r="E4809" s="140"/>
    </row>
    <row r="4810" spans="1:5">
      <c r="A4810" s="140"/>
      <c r="B4810" s="192"/>
      <c r="C4810" s="140"/>
      <c r="D4810" s="140"/>
      <c r="E4810" s="140"/>
    </row>
    <row r="4811" spans="1:5">
      <c r="A4811" s="140"/>
      <c r="B4811" s="192"/>
      <c r="C4811" s="140"/>
      <c r="D4811" s="140"/>
      <c r="E4811" s="140"/>
    </row>
    <row r="4812" spans="1:5">
      <c r="A4812" s="140"/>
      <c r="B4812" s="192"/>
      <c r="C4812" s="140"/>
      <c r="D4812" s="140"/>
      <c r="E4812" s="140"/>
    </row>
    <row r="4813" spans="1:5">
      <c r="A4813" s="140"/>
      <c r="B4813" s="192"/>
      <c r="C4813" s="140"/>
      <c r="D4813" s="140"/>
      <c r="E4813" s="140"/>
    </row>
    <row r="4814" spans="1:5">
      <c r="A4814" s="140"/>
      <c r="B4814" s="192"/>
      <c r="C4814" s="140"/>
      <c r="D4814" s="140"/>
      <c r="E4814" s="140"/>
    </row>
    <row r="4815" spans="1:5">
      <c r="A4815" s="140"/>
      <c r="B4815" s="192"/>
      <c r="C4815" s="140"/>
      <c r="D4815" s="140"/>
      <c r="E4815" s="140"/>
    </row>
    <row r="4816" spans="1:5">
      <c r="A4816" s="140"/>
      <c r="B4816" s="192"/>
      <c r="C4816" s="140"/>
      <c r="D4816" s="140"/>
      <c r="E4816" s="140"/>
    </row>
    <row r="4817" spans="1:5">
      <c r="A4817" s="140"/>
      <c r="B4817" s="192"/>
      <c r="C4817" s="140"/>
      <c r="D4817" s="140"/>
      <c r="E4817" s="140"/>
    </row>
    <row r="4818" spans="1:5">
      <c r="A4818" s="140"/>
      <c r="B4818" s="192"/>
      <c r="C4818" s="140"/>
      <c r="D4818" s="140"/>
      <c r="E4818" s="140"/>
    </row>
    <row r="4819" spans="1:5">
      <c r="A4819" s="140"/>
      <c r="B4819" s="192"/>
      <c r="C4819" s="140"/>
      <c r="D4819" s="140"/>
      <c r="E4819" s="140"/>
    </row>
    <row r="4820" spans="1:5">
      <c r="A4820" s="140"/>
      <c r="B4820" s="192"/>
      <c r="C4820" s="140"/>
      <c r="D4820" s="140"/>
      <c r="E4820" s="140"/>
    </row>
    <row r="4821" spans="1:5">
      <c r="A4821" s="140"/>
      <c r="B4821" s="192"/>
      <c r="C4821" s="140"/>
      <c r="D4821" s="140"/>
      <c r="E4821" s="140"/>
    </row>
    <row r="4822" spans="1:5">
      <c r="A4822" s="140"/>
      <c r="B4822" s="192"/>
      <c r="C4822" s="140"/>
      <c r="D4822" s="140"/>
      <c r="E4822" s="140"/>
    </row>
    <row r="4823" spans="1:5">
      <c r="A4823" s="140"/>
      <c r="B4823" s="192"/>
      <c r="C4823" s="140"/>
      <c r="D4823" s="140"/>
      <c r="E4823" s="140"/>
    </row>
    <row r="4824" spans="1:5">
      <c r="A4824" s="140"/>
      <c r="B4824" s="192"/>
      <c r="C4824" s="140"/>
      <c r="D4824" s="140"/>
      <c r="E4824" s="140"/>
    </row>
    <row r="4825" spans="1:5">
      <c r="A4825" s="140"/>
      <c r="B4825" s="192"/>
      <c r="C4825" s="140"/>
      <c r="D4825" s="140"/>
      <c r="E4825" s="140"/>
    </row>
    <row r="4826" spans="1:5">
      <c r="A4826" s="140"/>
      <c r="B4826" s="192"/>
      <c r="C4826" s="140"/>
      <c r="D4826" s="140"/>
      <c r="E4826" s="140"/>
    </row>
    <row r="4827" spans="1:5">
      <c r="A4827" s="140"/>
      <c r="B4827" s="192"/>
      <c r="C4827" s="140"/>
      <c r="D4827" s="140"/>
      <c r="E4827" s="140"/>
    </row>
    <row r="4828" spans="1:5">
      <c r="A4828" s="140"/>
      <c r="B4828" s="192"/>
      <c r="C4828" s="140"/>
      <c r="D4828" s="140"/>
      <c r="E4828" s="140"/>
    </row>
    <row r="4829" spans="1:5">
      <c r="A4829" s="140"/>
      <c r="B4829" s="192"/>
      <c r="C4829" s="140"/>
      <c r="D4829" s="140"/>
      <c r="E4829" s="140"/>
    </row>
    <row r="4830" spans="1:5">
      <c r="A4830" s="140"/>
      <c r="B4830" s="192"/>
      <c r="C4830" s="140"/>
      <c r="D4830" s="140"/>
      <c r="E4830" s="140"/>
    </row>
    <row r="4831" spans="1:5">
      <c r="A4831" s="140"/>
      <c r="B4831" s="192"/>
      <c r="C4831" s="140"/>
      <c r="D4831" s="140"/>
      <c r="E4831" s="140"/>
    </row>
    <row r="4832" spans="1:5">
      <c r="A4832" s="140"/>
      <c r="B4832" s="192"/>
      <c r="C4832" s="140"/>
      <c r="D4832" s="140"/>
      <c r="E4832" s="140"/>
    </row>
    <row r="4833" spans="1:5">
      <c r="A4833" s="140"/>
      <c r="B4833" s="192"/>
      <c r="C4833" s="140"/>
      <c r="D4833" s="140"/>
      <c r="E4833" s="140"/>
    </row>
    <row r="4834" spans="1:5">
      <c r="A4834" s="140"/>
      <c r="B4834" s="192"/>
      <c r="C4834" s="140"/>
      <c r="D4834" s="140"/>
      <c r="E4834" s="140"/>
    </row>
    <row r="4835" spans="1:5">
      <c r="A4835" s="140"/>
      <c r="B4835" s="192"/>
      <c r="C4835" s="140"/>
      <c r="D4835" s="140"/>
      <c r="E4835" s="140"/>
    </row>
    <row r="4836" spans="1:5">
      <c r="A4836" s="140"/>
      <c r="B4836" s="192"/>
      <c r="C4836" s="140"/>
      <c r="D4836" s="140"/>
      <c r="E4836" s="140"/>
    </row>
    <row r="4837" spans="1:5">
      <c r="A4837" s="140"/>
      <c r="B4837" s="192"/>
      <c r="C4837" s="140"/>
      <c r="D4837" s="140"/>
      <c r="E4837" s="140"/>
    </row>
    <row r="4838" spans="1:5">
      <c r="A4838" s="140"/>
      <c r="B4838" s="192"/>
      <c r="C4838" s="140"/>
      <c r="D4838" s="140"/>
      <c r="E4838" s="140"/>
    </row>
    <row r="4839" spans="1:5">
      <c r="A4839" s="140"/>
      <c r="B4839" s="192"/>
      <c r="C4839" s="140"/>
      <c r="D4839" s="140"/>
      <c r="E4839" s="140"/>
    </row>
    <row r="4840" spans="1:5">
      <c r="A4840" s="140"/>
      <c r="B4840" s="192"/>
      <c r="C4840" s="140"/>
      <c r="D4840" s="140"/>
      <c r="E4840" s="140"/>
    </row>
    <row r="4841" spans="1:5">
      <c r="A4841" s="140"/>
      <c r="B4841" s="192"/>
      <c r="C4841" s="140"/>
      <c r="D4841" s="140"/>
      <c r="E4841" s="140"/>
    </row>
    <row r="4842" spans="1:5">
      <c r="A4842" s="140"/>
      <c r="B4842" s="192"/>
      <c r="C4842" s="140"/>
      <c r="D4842" s="140"/>
      <c r="E4842" s="140"/>
    </row>
    <row r="4843" spans="1:5">
      <c r="A4843" s="140"/>
      <c r="B4843" s="192"/>
      <c r="C4843" s="140"/>
      <c r="D4843" s="140"/>
      <c r="E4843" s="140"/>
    </row>
    <row r="4844" spans="1:5">
      <c r="A4844" s="140"/>
      <c r="B4844" s="192"/>
      <c r="C4844" s="140"/>
      <c r="D4844" s="140"/>
      <c r="E4844" s="140"/>
    </row>
    <row r="4845" spans="1:5">
      <c r="A4845" s="140"/>
      <c r="B4845" s="192"/>
      <c r="C4845" s="140"/>
      <c r="D4845" s="140"/>
      <c r="E4845" s="140"/>
    </row>
    <row r="4846" spans="1:5">
      <c r="A4846" s="140"/>
      <c r="B4846" s="192"/>
      <c r="C4846" s="140"/>
      <c r="D4846" s="140"/>
      <c r="E4846" s="140"/>
    </row>
    <row r="4847" spans="1:5">
      <c r="A4847" s="140"/>
      <c r="B4847" s="192"/>
      <c r="C4847" s="140"/>
      <c r="D4847" s="140"/>
      <c r="E4847" s="140"/>
    </row>
    <row r="4848" spans="1:5">
      <c r="A4848" s="140"/>
      <c r="B4848" s="192"/>
      <c r="C4848" s="140"/>
      <c r="D4848" s="140"/>
      <c r="E4848" s="140"/>
    </row>
    <row r="4849" spans="1:5">
      <c r="A4849" s="140"/>
      <c r="B4849" s="192"/>
      <c r="C4849" s="140"/>
      <c r="D4849" s="140"/>
      <c r="E4849" s="140"/>
    </row>
    <row r="4850" spans="1:5">
      <c r="A4850" s="140"/>
      <c r="B4850" s="192"/>
      <c r="C4850" s="140"/>
      <c r="D4850" s="140"/>
      <c r="E4850" s="140"/>
    </row>
    <row r="4851" spans="1:5">
      <c r="A4851" s="140"/>
      <c r="B4851" s="192"/>
      <c r="C4851" s="140"/>
      <c r="D4851" s="140"/>
      <c r="E4851" s="140"/>
    </row>
    <row r="4852" spans="1:5">
      <c r="A4852" s="140"/>
      <c r="B4852" s="192"/>
      <c r="C4852" s="140"/>
      <c r="D4852" s="140"/>
      <c r="E4852" s="140"/>
    </row>
    <row r="4853" spans="1:5">
      <c r="A4853" s="140"/>
      <c r="B4853" s="192"/>
      <c r="C4853" s="140"/>
      <c r="D4853" s="140"/>
      <c r="E4853" s="140"/>
    </row>
    <row r="4854" spans="1:5">
      <c r="A4854" s="140"/>
      <c r="B4854" s="192"/>
      <c r="C4854" s="140"/>
      <c r="D4854" s="140"/>
      <c r="E4854" s="140"/>
    </row>
    <row r="4855" spans="1:5">
      <c r="A4855" s="140"/>
      <c r="B4855" s="192"/>
      <c r="C4855" s="140"/>
      <c r="D4855" s="140"/>
      <c r="E4855" s="140"/>
    </row>
    <row r="4856" spans="1:5">
      <c r="A4856" s="140"/>
      <c r="B4856" s="192"/>
      <c r="C4856" s="140"/>
      <c r="D4856" s="140"/>
      <c r="E4856" s="140"/>
    </row>
    <row r="4857" spans="1:5">
      <c r="A4857" s="140"/>
      <c r="B4857" s="192"/>
      <c r="C4857" s="140"/>
      <c r="D4857" s="140"/>
      <c r="E4857" s="140"/>
    </row>
    <row r="4858" spans="1:5">
      <c r="A4858" s="140"/>
      <c r="B4858" s="192"/>
      <c r="C4858" s="140"/>
      <c r="D4858" s="140"/>
      <c r="E4858" s="140"/>
    </row>
    <row r="4859" spans="1:5">
      <c r="A4859" s="140"/>
      <c r="B4859" s="192"/>
      <c r="C4859" s="140"/>
      <c r="D4859" s="140"/>
      <c r="E4859" s="140"/>
    </row>
    <row r="4860" spans="1:5">
      <c r="A4860" s="140"/>
      <c r="B4860" s="192"/>
      <c r="C4860" s="140"/>
      <c r="D4860" s="140"/>
      <c r="E4860" s="140"/>
    </row>
    <row r="4861" spans="1:5">
      <c r="A4861" s="140"/>
      <c r="B4861" s="192"/>
      <c r="C4861" s="140"/>
      <c r="D4861" s="140"/>
      <c r="E4861" s="140"/>
    </row>
    <row r="4862" spans="1:5">
      <c r="A4862" s="140"/>
      <c r="B4862" s="192"/>
      <c r="C4862" s="140"/>
      <c r="D4862" s="140"/>
      <c r="E4862" s="140"/>
    </row>
    <row r="4863" spans="1:5">
      <c r="A4863" s="140"/>
      <c r="B4863" s="192"/>
      <c r="C4863" s="140"/>
      <c r="D4863" s="140"/>
      <c r="E4863" s="140"/>
    </row>
    <row r="4864" spans="1:5">
      <c r="A4864" s="140"/>
      <c r="B4864" s="192"/>
      <c r="C4864" s="140"/>
      <c r="D4864" s="140"/>
      <c r="E4864" s="140"/>
    </row>
    <row r="4865" spans="1:5">
      <c r="A4865" s="140"/>
      <c r="B4865" s="192"/>
      <c r="C4865" s="140"/>
      <c r="D4865" s="140"/>
      <c r="E4865" s="140"/>
    </row>
    <row r="4866" spans="1:5">
      <c r="A4866" s="140"/>
      <c r="B4866" s="192"/>
      <c r="C4866" s="140"/>
      <c r="D4866" s="140"/>
      <c r="E4866" s="140"/>
    </row>
    <row r="4867" spans="1:5">
      <c r="A4867" s="140"/>
      <c r="B4867" s="192"/>
      <c r="C4867" s="140"/>
      <c r="D4867" s="140"/>
      <c r="E4867" s="140"/>
    </row>
    <row r="4868" spans="1:5">
      <c r="A4868" s="140"/>
      <c r="B4868" s="192"/>
      <c r="C4868" s="140"/>
      <c r="D4868" s="140"/>
      <c r="E4868" s="140"/>
    </row>
    <row r="4869" spans="1:5">
      <c r="A4869" s="140"/>
      <c r="B4869" s="192"/>
      <c r="C4869" s="140"/>
      <c r="D4869" s="140"/>
      <c r="E4869" s="140"/>
    </row>
    <row r="4870" spans="1:5">
      <c r="A4870" s="140"/>
      <c r="B4870" s="192"/>
      <c r="C4870" s="140"/>
      <c r="D4870" s="140"/>
      <c r="E4870" s="140"/>
    </row>
    <row r="4871" spans="1:5">
      <c r="A4871" s="140"/>
      <c r="B4871" s="192"/>
      <c r="C4871" s="140"/>
      <c r="D4871" s="140"/>
      <c r="E4871" s="140"/>
    </row>
    <row r="4872" spans="1:5">
      <c r="A4872" s="140"/>
      <c r="B4872" s="192"/>
      <c r="C4872" s="140"/>
      <c r="D4872" s="140"/>
      <c r="E4872" s="140"/>
    </row>
    <row r="4873" spans="1:5">
      <c r="A4873" s="140"/>
      <c r="B4873" s="192"/>
      <c r="C4873" s="140"/>
      <c r="D4873" s="140"/>
      <c r="E4873" s="140"/>
    </row>
    <row r="4874" spans="1:5">
      <c r="A4874" s="140"/>
      <c r="B4874" s="192"/>
      <c r="C4874" s="140"/>
      <c r="D4874" s="140"/>
      <c r="E4874" s="140"/>
    </row>
    <row r="4875" spans="1:5">
      <c r="A4875" s="140"/>
      <c r="B4875" s="192"/>
      <c r="C4875" s="140"/>
      <c r="D4875" s="140"/>
      <c r="E4875" s="140"/>
    </row>
    <row r="4876" spans="1:5">
      <c r="A4876" s="140"/>
      <c r="B4876" s="192"/>
      <c r="C4876" s="140"/>
      <c r="D4876" s="140"/>
      <c r="E4876" s="140"/>
    </row>
    <row r="4877" spans="1:5">
      <c r="A4877" s="140"/>
      <c r="B4877" s="192"/>
      <c r="C4877" s="140"/>
      <c r="D4877" s="140"/>
      <c r="E4877" s="140"/>
    </row>
    <row r="4878" spans="1:5">
      <c r="A4878" s="140"/>
      <c r="B4878" s="192"/>
      <c r="C4878" s="140"/>
      <c r="D4878" s="140"/>
      <c r="E4878" s="140"/>
    </row>
    <row r="4879" spans="1:5">
      <c r="A4879" s="140"/>
      <c r="B4879" s="192"/>
      <c r="C4879" s="140"/>
      <c r="D4879" s="140"/>
      <c r="E4879" s="140"/>
    </row>
    <row r="4880" spans="1:5">
      <c r="A4880" s="140"/>
      <c r="B4880" s="192"/>
      <c r="C4880" s="140"/>
      <c r="D4880" s="140"/>
      <c r="E4880" s="140"/>
    </row>
    <row r="4881" spans="1:5">
      <c r="A4881" s="140"/>
      <c r="B4881" s="192"/>
      <c r="C4881" s="140"/>
      <c r="D4881" s="140"/>
      <c r="E4881" s="140"/>
    </row>
    <row r="4882" spans="1:5">
      <c r="A4882" s="140"/>
      <c r="B4882" s="192"/>
      <c r="C4882" s="140"/>
      <c r="D4882" s="140"/>
      <c r="E4882" s="140"/>
    </row>
    <row r="4883" spans="1:5">
      <c r="A4883" s="140"/>
      <c r="B4883" s="192"/>
      <c r="C4883" s="140"/>
      <c r="D4883" s="140"/>
      <c r="E4883" s="140"/>
    </row>
    <row r="4884" spans="1:5">
      <c r="A4884" s="140"/>
      <c r="B4884" s="192"/>
      <c r="C4884" s="140"/>
      <c r="D4884" s="140"/>
      <c r="E4884" s="140"/>
    </row>
    <row r="4885" spans="1:5">
      <c r="A4885" s="140"/>
      <c r="B4885" s="192"/>
      <c r="C4885" s="140"/>
      <c r="D4885" s="140"/>
      <c r="E4885" s="140"/>
    </row>
    <row r="4886" spans="1:5">
      <c r="A4886" s="140"/>
      <c r="B4886" s="192"/>
      <c r="C4886" s="140"/>
      <c r="D4886" s="140"/>
      <c r="E4886" s="140"/>
    </row>
    <row r="4887" spans="1:5">
      <c r="A4887" s="140"/>
      <c r="B4887" s="192"/>
      <c r="C4887" s="140"/>
      <c r="D4887" s="140"/>
      <c r="E4887" s="140"/>
    </row>
    <row r="4888" spans="1:5">
      <c r="A4888" s="140"/>
      <c r="B4888" s="192"/>
      <c r="C4888" s="140"/>
      <c r="D4888" s="140"/>
      <c r="E4888" s="140"/>
    </row>
    <row r="4889" spans="1:5">
      <c r="A4889" s="140"/>
      <c r="B4889" s="192"/>
      <c r="C4889" s="140"/>
      <c r="D4889" s="140"/>
      <c r="E4889" s="140"/>
    </row>
    <row r="4890" spans="1:5">
      <c r="A4890" s="140"/>
      <c r="B4890" s="192"/>
      <c r="C4890" s="140"/>
      <c r="D4890" s="140"/>
      <c r="E4890" s="140"/>
    </row>
    <row r="4891" spans="1:5">
      <c r="A4891" s="140"/>
      <c r="B4891" s="192"/>
      <c r="C4891" s="140"/>
      <c r="D4891" s="140"/>
      <c r="E4891" s="140"/>
    </row>
    <row r="4892" spans="1:5">
      <c r="A4892" s="140"/>
      <c r="B4892" s="192"/>
      <c r="C4892" s="140"/>
      <c r="D4892" s="140"/>
      <c r="E4892" s="140"/>
    </row>
    <row r="4893" spans="1:5">
      <c r="A4893" s="140"/>
      <c r="B4893" s="192"/>
      <c r="C4893" s="140"/>
      <c r="D4893" s="140"/>
      <c r="E4893" s="140"/>
    </row>
    <row r="4894" spans="1:5">
      <c r="A4894" s="140"/>
      <c r="B4894" s="192"/>
      <c r="C4894" s="140"/>
      <c r="D4894" s="140"/>
      <c r="E4894" s="140"/>
    </row>
    <row r="4895" spans="1:5">
      <c r="A4895" s="140"/>
      <c r="B4895" s="192"/>
      <c r="C4895" s="140"/>
      <c r="D4895" s="140"/>
      <c r="E4895" s="140"/>
    </row>
    <row r="4896" spans="1:5">
      <c r="A4896" s="140"/>
      <c r="B4896" s="192"/>
      <c r="C4896" s="140"/>
      <c r="D4896" s="140"/>
      <c r="E4896" s="140"/>
    </row>
    <row r="4897" spans="1:5">
      <c r="A4897" s="140"/>
      <c r="B4897" s="192"/>
      <c r="C4897" s="140"/>
      <c r="D4897" s="140"/>
      <c r="E4897" s="140"/>
    </row>
    <row r="4898" spans="1:5">
      <c r="A4898" s="140"/>
      <c r="B4898" s="192"/>
      <c r="C4898" s="140"/>
      <c r="D4898" s="140"/>
      <c r="E4898" s="140"/>
    </row>
    <row r="4899" spans="1:5">
      <c r="A4899" s="140"/>
      <c r="B4899" s="192"/>
      <c r="C4899" s="140"/>
      <c r="D4899" s="140"/>
      <c r="E4899" s="140"/>
    </row>
    <row r="4900" spans="1:5">
      <c r="A4900" s="140"/>
      <c r="B4900" s="192"/>
      <c r="C4900" s="140"/>
      <c r="D4900" s="140"/>
      <c r="E4900" s="140"/>
    </row>
    <row r="4901" spans="1:5">
      <c r="A4901" s="140"/>
      <c r="B4901" s="192"/>
      <c r="C4901" s="140"/>
      <c r="D4901" s="140"/>
      <c r="E4901" s="140"/>
    </row>
    <row r="4902" spans="1:5">
      <c r="A4902" s="140"/>
      <c r="B4902" s="192"/>
      <c r="C4902" s="140"/>
      <c r="D4902" s="140"/>
      <c r="E4902" s="140"/>
    </row>
    <row r="4903" spans="1:5">
      <c r="A4903" s="140"/>
      <c r="B4903" s="192"/>
      <c r="C4903" s="140"/>
      <c r="D4903" s="140"/>
      <c r="E4903" s="140"/>
    </row>
    <row r="4904" spans="1:5">
      <c r="A4904" s="140"/>
      <c r="B4904" s="192"/>
      <c r="C4904" s="140"/>
      <c r="D4904" s="140"/>
      <c r="E4904" s="140"/>
    </row>
    <row r="4905" spans="1:5">
      <c r="A4905" s="140"/>
      <c r="B4905" s="192"/>
      <c r="C4905" s="140"/>
      <c r="D4905" s="140"/>
      <c r="E4905" s="140"/>
    </row>
    <row r="4906" spans="1:5">
      <c r="A4906" s="140"/>
      <c r="B4906" s="192"/>
      <c r="C4906" s="140"/>
      <c r="D4906" s="140"/>
      <c r="E4906" s="140"/>
    </row>
    <row r="4907" spans="1:5">
      <c r="A4907" s="140"/>
      <c r="B4907" s="192"/>
      <c r="C4907" s="140"/>
      <c r="D4907" s="140"/>
      <c r="E4907" s="140"/>
    </row>
    <row r="4908" spans="1:5">
      <c r="A4908" s="140"/>
      <c r="B4908" s="192"/>
      <c r="C4908" s="140"/>
      <c r="D4908" s="140"/>
      <c r="E4908" s="140"/>
    </row>
    <row r="4909" spans="1:5">
      <c r="A4909" s="140"/>
      <c r="B4909" s="192"/>
      <c r="C4909" s="140"/>
      <c r="D4909" s="140"/>
      <c r="E4909" s="140"/>
    </row>
    <row r="4910" spans="1:5">
      <c r="A4910" s="140"/>
      <c r="B4910" s="192"/>
      <c r="C4910" s="140"/>
      <c r="D4910" s="140"/>
      <c r="E4910" s="140"/>
    </row>
    <row r="4911" spans="1:5">
      <c r="A4911" s="140"/>
      <c r="B4911" s="192"/>
      <c r="C4911" s="140"/>
      <c r="D4911" s="140"/>
      <c r="E4911" s="140"/>
    </row>
    <row r="4912" spans="1:5">
      <c r="A4912" s="140"/>
      <c r="B4912" s="192"/>
      <c r="C4912" s="140"/>
      <c r="D4912" s="140"/>
      <c r="E4912" s="140"/>
    </row>
    <row r="4913" spans="1:5">
      <c r="A4913" s="140"/>
      <c r="B4913" s="192"/>
      <c r="C4913" s="140"/>
      <c r="D4913" s="140"/>
      <c r="E4913" s="140"/>
    </row>
    <row r="4914" spans="1:5">
      <c r="A4914" s="140"/>
      <c r="B4914" s="192"/>
      <c r="C4914" s="140"/>
      <c r="D4914" s="140"/>
      <c r="E4914" s="140"/>
    </row>
    <row r="4915" spans="1:5">
      <c r="A4915" s="140"/>
      <c r="B4915" s="192"/>
      <c r="C4915" s="140"/>
      <c r="D4915" s="140"/>
      <c r="E4915" s="140"/>
    </row>
    <row r="4916" spans="1:5">
      <c r="A4916" s="140"/>
      <c r="B4916" s="192"/>
      <c r="C4916" s="140"/>
      <c r="D4916" s="140"/>
      <c r="E4916" s="140"/>
    </row>
    <row r="4917" spans="1:5">
      <c r="A4917" s="140"/>
      <c r="B4917" s="192"/>
      <c r="C4917" s="140"/>
      <c r="D4917" s="140"/>
      <c r="E4917" s="140"/>
    </row>
    <row r="4918" spans="1:5">
      <c r="A4918" s="140"/>
      <c r="B4918" s="192"/>
      <c r="C4918" s="140"/>
      <c r="D4918" s="140"/>
      <c r="E4918" s="140"/>
    </row>
    <row r="4919" spans="1:5">
      <c r="A4919" s="140"/>
      <c r="B4919" s="192"/>
      <c r="C4919" s="140"/>
      <c r="D4919" s="140"/>
      <c r="E4919" s="140"/>
    </row>
    <row r="4920" spans="1:5">
      <c r="A4920" s="140"/>
      <c r="B4920" s="192"/>
      <c r="C4920" s="140"/>
      <c r="D4920" s="140"/>
      <c r="E4920" s="140"/>
    </row>
    <row r="4921" spans="1:5">
      <c r="A4921" s="140"/>
      <c r="B4921" s="192"/>
      <c r="C4921" s="140"/>
      <c r="D4921" s="140"/>
      <c r="E4921" s="140"/>
    </row>
    <row r="4922" spans="1:5">
      <c r="A4922" s="140"/>
      <c r="B4922" s="192"/>
      <c r="C4922" s="140"/>
      <c r="D4922" s="140"/>
      <c r="E4922" s="140"/>
    </row>
    <row r="4923" spans="1:5">
      <c r="A4923" s="140"/>
      <c r="B4923" s="192"/>
      <c r="C4923" s="140"/>
      <c r="D4923" s="140"/>
      <c r="E4923" s="140"/>
    </row>
    <row r="4924" spans="1:5">
      <c r="A4924" s="140"/>
      <c r="B4924" s="192"/>
      <c r="C4924" s="140"/>
      <c r="D4924" s="140"/>
      <c r="E4924" s="140"/>
    </row>
    <row r="4925" spans="1:5">
      <c r="A4925" s="140"/>
      <c r="B4925" s="192"/>
      <c r="C4925" s="140"/>
      <c r="D4925" s="140"/>
      <c r="E4925" s="140"/>
    </row>
    <row r="4926" spans="1:5">
      <c r="A4926" s="140"/>
      <c r="B4926" s="192"/>
      <c r="C4926" s="140"/>
      <c r="D4926" s="140"/>
      <c r="E4926" s="140"/>
    </row>
    <row r="4927" spans="1:5">
      <c r="A4927" s="140"/>
      <c r="B4927" s="192"/>
      <c r="C4927" s="140"/>
      <c r="D4927" s="140"/>
      <c r="E4927" s="140"/>
    </row>
    <row r="4928" spans="1:5">
      <c r="A4928" s="140"/>
      <c r="B4928" s="192"/>
      <c r="C4928" s="140"/>
      <c r="D4928" s="140"/>
      <c r="E4928" s="140"/>
    </row>
    <row r="4929" spans="1:5">
      <c r="A4929" s="140"/>
      <c r="B4929" s="192"/>
      <c r="C4929" s="140"/>
      <c r="D4929" s="140"/>
      <c r="E4929" s="140"/>
    </row>
    <row r="4930" spans="1:5">
      <c r="A4930" s="140"/>
      <c r="B4930" s="192"/>
      <c r="C4930" s="140"/>
      <c r="D4930" s="140"/>
      <c r="E4930" s="140"/>
    </row>
    <row r="4931" spans="1:5">
      <c r="A4931" s="140"/>
      <c r="B4931" s="192"/>
      <c r="C4931" s="140"/>
      <c r="D4931" s="140"/>
      <c r="E4931" s="140"/>
    </row>
    <row r="4932" spans="1:5">
      <c r="A4932" s="140"/>
      <c r="B4932" s="192"/>
      <c r="C4932" s="140"/>
      <c r="D4932" s="140"/>
      <c r="E4932" s="140"/>
    </row>
    <row r="4933" spans="1:5">
      <c r="A4933" s="140"/>
      <c r="B4933" s="192"/>
      <c r="C4933" s="140"/>
      <c r="D4933" s="140"/>
      <c r="E4933" s="140"/>
    </row>
    <row r="4934" spans="1:5">
      <c r="A4934" s="140"/>
      <c r="B4934" s="192"/>
      <c r="C4934" s="140"/>
      <c r="D4934" s="140"/>
      <c r="E4934" s="140"/>
    </row>
    <row r="4935" spans="1:5">
      <c r="A4935" s="140"/>
      <c r="B4935" s="192"/>
      <c r="C4935" s="140"/>
      <c r="D4935" s="140"/>
      <c r="E4935" s="140"/>
    </row>
    <row r="4936" spans="1:5">
      <c r="A4936" s="140"/>
      <c r="B4936" s="192"/>
      <c r="C4936" s="140"/>
      <c r="D4936" s="140"/>
      <c r="E4936" s="140"/>
    </row>
    <row r="4937" spans="1:5">
      <c r="A4937" s="140"/>
      <c r="B4937" s="192"/>
      <c r="C4937" s="140"/>
      <c r="D4937" s="140"/>
      <c r="E4937" s="140"/>
    </row>
    <row r="4938" spans="1:5">
      <c r="A4938" s="140"/>
      <c r="B4938" s="192"/>
      <c r="C4938" s="140"/>
      <c r="D4938" s="140"/>
      <c r="E4938" s="140"/>
    </row>
    <row r="4939" spans="1:5">
      <c r="A4939" s="140"/>
      <c r="B4939" s="192"/>
      <c r="C4939" s="140"/>
      <c r="D4939" s="140"/>
      <c r="E4939" s="140"/>
    </row>
    <row r="4940" spans="1:5">
      <c r="A4940" s="140"/>
      <c r="B4940" s="192"/>
      <c r="C4940" s="140"/>
      <c r="D4940" s="140"/>
      <c r="E4940" s="140"/>
    </row>
    <row r="4941" spans="1:5">
      <c r="A4941" s="140"/>
      <c r="B4941" s="192"/>
      <c r="C4941" s="140"/>
      <c r="D4941" s="140"/>
      <c r="E4941" s="140"/>
    </row>
    <row r="4942" spans="1:5">
      <c r="A4942" s="140"/>
      <c r="B4942" s="192"/>
      <c r="C4942" s="140"/>
      <c r="D4942" s="140"/>
      <c r="E4942" s="140"/>
    </row>
    <row r="4943" spans="1:5">
      <c r="A4943" s="140"/>
      <c r="B4943" s="192"/>
      <c r="C4943" s="140"/>
      <c r="D4943" s="140"/>
      <c r="E4943" s="140"/>
    </row>
    <row r="4944" spans="1:5">
      <c r="A4944" s="140"/>
      <c r="B4944" s="192"/>
      <c r="C4944" s="140"/>
      <c r="D4944" s="140"/>
      <c r="E4944" s="140"/>
    </row>
    <row r="4945" spans="1:5">
      <c r="A4945" s="140"/>
      <c r="B4945" s="192"/>
      <c r="C4945" s="140"/>
      <c r="D4945" s="140"/>
      <c r="E4945" s="140"/>
    </row>
    <row r="4946" spans="1:5">
      <c r="A4946" s="140"/>
      <c r="B4946" s="192"/>
      <c r="C4946" s="140"/>
      <c r="D4946" s="140"/>
      <c r="E4946" s="140"/>
    </row>
    <row r="4947" spans="1:5">
      <c r="A4947" s="140"/>
      <c r="B4947" s="192"/>
      <c r="C4947" s="140"/>
      <c r="D4947" s="140"/>
      <c r="E4947" s="140"/>
    </row>
    <row r="4948" spans="1:5">
      <c r="A4948" s="140"/>
      <c r="B4948" s="192"/>
      <c r="C4948" s="140"/>
      <c r="D4948" s="140"/>
      <c r="E4948" s="140"/>
    </row>
    <row r="4949" spans="1:5">
      <c r="A4949" s="140"/>
      <c r="B4949" s="192"/>
      <c r="C4949" s="140"/>
      <c r="D4949" s="140"/>
      <c r="E4949" s="140"/>
    </row>
    <row r="4950" spans="1:5">
      <c r="A4950" s="140"/>
      <c r="B4950" s="192"/>
      <c r="C4950" s="140"/>
      <c r="D4950" s="140"/>
      <c r="E4950" s="140"/>
    </row>
    <row r="4951" spans="1:5">
      <c r="A4951" s="140"/>
      <c r="B4951" s="192"/>
      <c r="C4951" s="140"/>
      <c r="D4951" s="140"/>
      <c r="E4951" s="140"/>
    </row>
    <row r="4952" spans="1:5">
      <c r="A4952" s="140"/>
      <c r="B4952" s="192"/>
      <c r="C4952" s="140"/>
      <c r="D4952" s="140"/>
      <c r="E4952" s="140"/>
    </row>
    <row r="4953" spans="1:5">
      <c r="A4953" s="140"/>
      <c r="B4953" s="192"/>
      <c r="C4953" s="140"/>
      <c r="D4953" s="140"/>
      <c r="E4953" s="140"/>
    </row>
    <row r="4954" spans="1:5">
      <c r="A4954" s="140"/>
      <c r="B4954" s="192"/>
      <c r="C4954" s="140"/>
      <c r="D4954" s="140"/>
      <c r="E4954" s="140"/>
    </row>
    <row r="4955" spans="1:5">
      <c r="A4955" s="140"/>
      <c r="B4955" s="192"/>
      <c r="C4955" s="140"/>
      <c r="D4955" s="140"/>
      <c r="E4955" s="140"/>
    </row>
    <row r="4956" spans="1:5">
      <c r="A4956" s="140"/>
      <c r="B4956" s="192"/>
      <c r="C4956" s="140"/>
      <c r="D4956" s="140"/>
      <c r="E4956" s="140"/>
    </row>
    <row r="4957" spans="1:5">
      <c r="A4957" s="140"/>
      <c r="B4957" s="192"/>
      <c r="C4957" s="140"/>
      <c r="D4957" s="140"/>
      <c r="E4957" s="140"/>
    </row>
    <row r="4958" spans="1:5">
      <c r="A4958" s="140"/>
      <c r="B4958" s="192"/>
      <c r="C4958" s="140"/>
      <c r="D4958" s="140"/>
      <c r="E4958" s="140"/>
    </row>
    <row r="4959" spans="1:5">
      <c r="A4959" s="140"/>
      <c r="B4959" s="192"/>
      <c r="C4959" s="140"/>
      <c r="D4959" s="140"/>
      <c r="E4959" s="140"/>
    </row>
    <row r="4960" spans="1:5">
      <c r="A4960" s="140"/>
      <c r="B4960" s="192"/>
      <c r="C4960" s="140"/>
      <c r="D4960" s="140"/>
      <c r="E4960" s="140"/>
    </row>
    <row r="4961" spans="1:5">
      <c r="A4961" s="140"/>
      <c r="B4961" s="192"/>
      <c r="C4961" s="140"/>
      <c r="D4961" s="140"/>
      <c r="E4961" s="140"/>
    </row>
    <row r="4962" spans="1:5">
      <c r="A4962" s="140"/>
      <c r="B4962" s="192"/>
      <c r="C4962" s="140"/>
      <c r="D4962" s="140"/>
      <c r="E4962" s="140"/>
    </row>
    <row r="4963" spans="1:5">
      <c r="A4963" s="140"/>
      <c r="B4963" s="192"/>
      <c r="C4963" s="140"/>
      <c r="D4963" s="140"/>
      <c r="E4963" s="140"/>
    </row>
    <row r="4964" spans="1:5">
      <c r="A4964" s="140"/>
      <c r="B4964" s="192"/>
      <c r="C4964" s="140"/>
      <c r="D4964" s="140"/>
      <c r="E4964" s="140"/>
    </row>
    <row r="4965" spans="1:5">
      <c r="A4965" s="140"/>
      <c r="B4965" s="192"/>
      <c r="C4965" s="140"/>
      <c r="D4965" s="140"/>
      <c r="E4965" s="140"/>
    </row>
    <row r="4966" spans="1:5">
      <c r="A4966" s="140"/>
      <c r="B4966" s="192"/>
      <c r="C4966" s="140"/>
      <c r="D4966" s="140"/>
      <c r="E4966" s="140"/>
    </row>
    <row r="4967" spans="1:5">
      <c r="A4967" s="140"/>
      <c r="B4967" s="192"/>
      <c r="C4967" s="140"/>
      <c r="D4967" s="140"/>
      <c r="E4967" s="140"/>
    </row>
    <row r="4968" spans="1:5">
      <c r="A4968" s="140"/>
      <c r="B4968" s="192"/>
      <c r="C4968" s="140"/>
      <c r="D4968" s="140"/>
      <c r="E4968" s="140"/>
    </row>
    <row r="4969" spans="1:5">
      <c r="A4969" s="140"/>
      <c r="B4969" s="192"/>
      <c r="C4969" s="140"/>
      <c r="D4969" s="140"/>
      <c r="E4969" s="140"/>
    </row>
    <row r="4970" spans="1:5">
      <c r="A4970" s="140"/>
      <c r="B4970" s="192"/>
      <c r="C4970" s="140"/>
      <c r="D4970" s="140"/>
      <c r="E4970" s="140"/>
    </row>
    <row r="4971" spans="1:5">
      <c r="A4971" s="140"/>
      <c r="B4971" s="192"/>
      <c r="C4971" s="140"/>
      <c r="D4971" s="140"/>
      <c r="E4971" s="140"/>
    </row>
    <row r="4972" spans="1:5">
      <c r="A4972" s="140"/>
      <c r="B4972" s="192"/>
      <c r="C4972" s="140"/>
      <c r="D4972" s="140"/>
      <c r="E4972" s="140"/>
    </row>
    <row r="4973" spans="1:5">
      <c r="A4973" s="140"/>
      <c r="B4973" s="192"/>
      <c r="C4973" s="140"/>
      <c r="D4973" s="140"/>
      <c r="E4973" s="140"/>
    </row>
    <row r="4974" spans="1:5">
      <c r="A4974" s="140"/>
      <c r="B4974" s="192"/>
      <c r="C4974" s="140"/>
      <c r="D4974" s="140"/>
      <c r="E4974" s="140"/>
    </row>
    <row r="4975" spans="1:5">
      <c r="A4975" s="140"/>
      <c r="B4975" s="192"/>
      <c r="C4975" s="140"/>
      <c r="D4975" s="140"/>
      <c r="E4975" s="140"/>
    </row>
    <row r="4976" spans="1:5">
      <c r="A4976" s="140"/>
      <c r="B4976" s="192"/>
      <c r="C4976" s="140"/>
      <c r="D4976" s="140"/>
      <c r="E4976" s="140"/>
    </row>
    <row r="4977" spans="1:5">
      <c r="A4977" s="140"/>
      <c r="B4977" s="192"/>
      <c r="C4977" s="140"/>
      <c r="D4977" s="140"/>
      <c r="E4977" s="140"/>
    </row>
    <row r="4978" spans="1:5">
      <c r="A4978" s="140"/>
      <c r="B4978" s="192"/>
      <c r="C4978" s="140"/>
      <c r="D4978" s="140"/>
      <c r="E4978" s="140"/>
    </row>
    <row r="4979" spans="1:5">
      <c r="A4979" s="140"/>
      <c r="B4979" s="192"/>
      <c r="C4979" s="140"/>
      <c r="D4979" s="140"/>
      <c r="E4979" s="140"/>
    </row>
    <row r="4980" spans="1:5">
      <c r="A4980" s="140"/>
      <c r="B4980" s="192"/>
      <c r="C4980" s="140"/>
      <c r="D4980" s="140"/>
      <c r="E4980" s="140"/>
    </row>
    <row r="4981" spans="1:5">
      <c r="A4981" s="140"/>
      <c r="B4981" s="192"/>
      <c r="C4981" s="140"/>
      <c r="D4981" s="140"/>
      <c r="E4981" s="140"/>
    </row>
    <row r="4982" spans="1:5">
      <c r="A4982" s="140"/>
      <c r="B4982" s="192"/>
      <c r="C4982" s="140"/>
      <c r="D4982" s="140"/>
      <c r="E4982" s="140"/>
    </row>
    <row r="4983" spans="1:5">
      <c r="A4983" s="140"/>
      <c r="B4983" s="192"/>
      <c r="C4983" s="140"/>
      <c r="D4983" s="140"/>
      <c r="E4983" s="140"/>
    </row>
    <row r="4984" spans="1:5">
      <c r="A4984" s="140"/>
      <c r="B4984" s="192"/>
      <c r="C4984" s="140"/>
      <c r="D4984" s="140"/>
      <c r="E4984" s="140"/>
    </row>
    <row r="4985" spans="1:5">
      <c r="A4985" s="140"/>
      <c r="B4985" s="192"/>
      <c r="C4985" s="140"/>
      <c r="D4985" s="140"/>
      <c r="E4985" s="140"/>
    </row>
    <row r="4986" spans="1:5">
      <c r="A4986" s="140"/>
      <c r="B4986" s="192"/>
      <c r="C4986" s="140"/>
      <c r="D4986" s="140"/>
      <c r="E4986" s="140"/>
    </row>
    <row r="4987" spans="1:5">
      <c r="A4987" s="140"/>
      <c r="B4987" s="192"/>
      <c r="C4987" s="140"/>
      <c r="D4987" s="140"/>
      <c r="E4987" s="140"/>
    </row>
    <row r="4988" spans="1:5">
      <c r="A4988" s="140"/>
      <c r="B4988" s="192"/>
      <c r="C4988" s="140"/>
      <c r="D4988" s="140"/>
      <c r="E4988" s="140"/>
    </row>
    <row r="4989" spans="1:5">
      <c r="A4989" s="140"/>
      <c r="B4989" s="192"/>
      <c r="C4989" s="140"/>
      <c r="D4989" s="140"/>
      <c r="E4989" s="140"/>
    </row>
    <row r="4990" spans="1:5">
      <c r="A4990" s="140"/>
      <c r="B4990" s="192"/>
      <c r="C4990" s="140"/>
      <c r="D4990" s="140"/>
      <c r="E4990" s="140"/>
    </row>
    <row r="4991" spans="1:5">
      <c r="A4991" s="140"/>
      <c r="B4991" s="192"/>
      <c r="C4991" s="140"/>
      <c r="D4991" s="140"/>
      <c r="E4991" s="140"/>
    </row>
    <row r="4992" spans="1:5">
      <c r="A4992" s="140"/>
      <c r="B4992" s="192"/>
      <c r="C4992" s="140"/>
      <c r="D4992" s="140"/>
      <c r="E4992" s="140"/>
    </row>
    <row r="4993" spans="1:5">
      <c r="A4993" s="140"/>
      <c r="B4993" s="192"/>
      <c r="C4993" s="140"/>
      <c r="D4993" s="140"/>
      <c r="E4993" s="140"/>
    </row>
    <row r="4994" spans="1:5">
      <c r="A4994" s="140"/>
      <c r="B4994" s="192"/>
      <c r="C4994" s="140"/>
      <c r="D4994" s="140"/>
      <c r="E4994" s="140"/>
    </row>
    <row r="4995" spans="1:5">
      <c r="A4995" s="140"/>
      <c r="B4995" s="192"/>
      <c r="C4995" s="140"/>
      <c r="D4995" s="140"/>
      <c r="E4995" s="140"/>
    </row>
    <row r="4996" spans="1:5">
      <c r="A4996" s="140"/>
      <c r="B4996" s="192"/>
      <c r="C4996" s="140"/>
      <c r="D4996" s="140"/>
      <c r="E4996" s="140"/>
    </row>
    <row r="4997" spans="1:5">
      <c r="A4997" s="140"/>
      <c r="B4997" s="192"/>
      <c r="C4997" s="140"/>
      <c r="D4997" s="140"/>
      <c r="E4997" s="140"/>
    </row>
    <row r="4998" spans="1:5">
      <c r="A4998" s="140"/>
      <c r="B4998" s="192"/>
      <c r="C4998" s="140"/>
      <c r="D4998" s="140"/>
      <c r="E4998" s="140"/>
    </row>
    <row r="4999" spans="1:5">
      <c r="A4999" s="140"/>
      <c r="B4999" s="192"/>
      <c r="C4999" s="140"/>
      <c r="D4999" s="140"/>
      <c r="E4999" s="140"/>
    </row>
    <row r="5000" spans="1:5">
      <c r="A5000" s="140"/>
      <c r="B5000" s="192"/>
      <c r="C5000" s="140"/>
      <c r="D5000" s="140"/>
      <c r="E5000" s="140"/>
    </row>
    <row r="5001" spans="1:5">
      <c r="A5001" s="140"/>
      <c r="B5001" s="192"/>
      <c r="C5001" s="140"/>
      <c r="D5001" s="140"/>
      <c r="E5001" s="140"/>
    </row>
    <row r="5002" spans="1:5">
      <c r="A5002" s="140"/>
      <c r="B5002" s="192"/>
      <c r="C5002" s="140"/>
      <c r="D5002" s="140"/>
      <c r="E5002" s="140"/>
    </row>
    <row r="5003" spans="1:5">
      <c r="A5003" s="140"/>
      <c r="B5003" s="192"/>
      <c r="C5003" s="140"/>
      <c r="D5003" s="140"/>
      <c r="E5003" s="140"/>
    </row>
    <row r="5004" spans="1:5">
      <c r="A5004" s="140"/>
      <c r="B5004" s="192"/>
      <c r="C5004" s="140"/>
      <c r="D5004" s="140"/>
      <c r="E5004" s="140"/>
    </row>
    <row r="5005" spans="1:5">
      <c r="A5005" s="140"/>
      <c r="B5005" s="192"/>
      <c r="C5005" s="140"/>
      <c r="D5005" s="140"/>
      <c r="E5005" s="140"/>
    </row>
    <row r="5006" spans="1:5">
      <c r="A5006" s="140"/>
      <c r="B5006" s="192"/>
      <c r="C5006" s="140"/>
      <c r="D5006" s="140"/>
      <c r="E5006" s="140"/>
    </row>
    <row r="5007" spans="1:5">
      <c r="A5007" s="140"/>
      <c r="B5007" s="192"/>
      <c r="C5007" s="140"/>
      <c r="D5007" s="140"/>
      <c r="E5007" s="140"/>
    </row>
    <row r="5008" spans="1:5">
      <c r="A5008" s="140"/>
      <c r="B5008" s="192"/>
      <c r="C5008" s="140"/>
      <c r="D5008" s="140"/>
      <c r="E5008" s="140"/>
    </row>
    <row r="5009" spans="1:5">
      <c r="A5009" s="140"/>
      <c r="B5009" s="192"/>
      <c r="C5009" s="140"/>
      <c r="D5009" s="140"/>
      <c r="E5009" s="140"/>
    </row>
    <row r="5010" spans="1:5">
      <c r="A5010" s="140"/>
      <c r="B5010" s="192"/>
      <c r="C5010" s="140"/>
      <c r="D5010" s="140"/>
      <c r="E5010" s="140"/>
    </row>
    <row r="5011" spans="1:5">
      <c r="A5011" s="140"/>
      <c r="B5011" s="192"/>
      <c r="C5011" s="140"/>
      <c r="D5011" s="140"/>
      <c r="E5011" s="140"/>
    </row>
    <row r="5012" spans="1:5">
      <c r="A5012" s="140"/>
      <c r="B5012" s="192"/>
      <c r="C5012" s="140"/>
      <c r="D5012" s="140"/>
      <c r="E5012" s="140"/>
    </row>
    <row r="5013" spans="1:5">
      <c r="A5013" s="140"/>
      <c r="B5013" s="192"/>
      <c r="C5013" s="140"/>
      <c r="D5013" s="140"/>
      <c r="E5013" s="140"/>
    </row>
    <row r="5014" spans="1:5">
      <c r="A5014" s="140"/>
      <c r="B5014" s="192"/>
      <c r="C5014" s="140"/>
      <c r="D5014" s="140"/>
      <c r="E5014" s="140"/>
    </row>
    <row r="5015" spans="1:5">
      <c r="A5015" s="140"/>
      <c r="B5015" s="192"/>
      <c r="C5015" s="140"/>
      <c r="D5015" s="140"/>
      <c r="E5015" s="140"/>
    </row>
    <row r="5016" spans="1:5">
      <c r="A5016" s="140"/>
      <c r="B5016" s="192"/>
      <c r="C5016" s="140"/>
      <c r="D5016" s="140"/>
      <c r="E5016" s="140"/>
    </row>
    <row r="5017" spans="1:5">
      <c r="A5017" s="140"/>
      <c r="B5017" s="192"/>
      <c r="C5017" s="140"/>
      <c r="D5017" s="140"/>
      <c r="E5017" s="140"/>
    </row>
    <row r="5018" spans="1:5">
      <c r="A5018" s="140"/>
      <c r="B5018" s="192"/>
      <c r="C5018" s="140"/>
      <c r="D5018" s="140"/>
      <c r="E5018" s="140"/>
    </row>
    <row r="5019" spans="1:5">
      <c r="A5019" s="140"/>
      <c r="B5019" s="192"/>
      <c r="C5019" s="140"/>
      <c r="D5019" s="140"/>
      <c r="E5019" s="140"/>
    </row>
    <row r="5020" spans="1:5">
      <c r="A5020" s="140"/>
      <c r="B5020" s="192"/>
      <c r="C5020" s="140"/>
      <c r="D5020" s="140"/>
      <c r="E5020" s="140"/>
    </row>
    <row r="5021" spans="1:5">
      <c r="A5021" s="140"/>
      <c r="B5021" s="192"/>
      <c r="C5021" s="140"/>
      <c r="D5021" s="140"/>
      <c r="E5021" s="140"/>
    </row>
    <row r="5022" spans="1:5">
      <c r="A5022" s="140"/>
      <c r="B5022" s="192"/>
      <c r="C5022" s="140"/>
      <c r="D5022" s="140"/>
      <c r="E5022" s="140"/>
    </row>
    <row r="5023" spans="1:5">
      <c r="A5023" s="140"/>
      <c r="B5023" s="192"/>
      <c r="C5023" s="140"/>
      <c r="D5023" s="140"/>
      <c r="E5023" s="140"/>
    </row>
    <row r="5024" spans="1:5">
      <c r="A5024" s="140"/>
      <c r="B5024" s="192"/>
      <c r="C5024" s="140"/>
      <c r="D5024" s="140"/>
      <c r="E5024" s="140"/>
    </row>
    <row r="5025" spans="1:5">
      <c r="A5025" s="140"/>
      <c r="B5025" s="192"/>
      <c r="C5025" s="140"/>
      <c r="D5025" s="140"/>
      <c r="E5025" s="140"/>
    </row>
    <row r="5026" spans="1:5">
      <c r="A5026" s="140"/>
      <c r="B5026" s="192"/>
      <c r="C5026" s="140"/>
      <c r="D5026" s="140"/>
      <c r="E5026" s="140"/>
    </row>
    <row r="5027" spans="1:5">
      <c r="A5027" s="140"/>
      <c r="B5027" s="192"/>
      <c r="C5027" s="140"/>
      <c r="D5027" s="140"/>
      <c r="E5027" s="140"/>
    </row>
    <row r="5028" spans="1:5">
      <c r="A5028" s="140"/>
      <c r="B5028" s="192"/>
      <c r="C5028" s="140"/>
      <c r="D5028" s="140"/>
      <c r="E5028" s="140"/>
    </row>
    <row r="5029" spans="1:5">
      <c r="A5029" s="140"/>
      <c r="B5029" s="192"/>
      <c r="C5029" s="140"/>
      <c r="D5029" s="140"/>
      <c r="E5029" s="140"/>
    </row>
    <row r="5030" spans="1:5">
      <c r="A5030" s="140"/>
      <c r="B5030" s="192"/>
      <c r="C5030" s="140"/>
      <c r="D5030" s="140"/>
      <c r="E5030" s="140"/>
    </row>
    <row r="5031" spans="1:5">
      <c r="A5031" s="140"/>
      <c r="B5031" s="192"/>
      <c r="C5031" s="140"/>
      <c r="D5031" s="140"/>
      <c r="E5031" s="140"/>
    </row>
    <row r="5032" spans="1:5">
      <c r="A5032" s="140"/>
      <c r="B5032" s="192"/>
      <c r="C5032" s="140"/>
      <c r="D5032" s="140"/>
      <c r="E5032" s="140"/>
    </row>
    <row r="5033" spans="1:5">
      <c r="A5033" s="140"/>
      <c r="B5033" s="192"/>
      <c r="C5033" s="140"/>
      <c r="D5033" s="140"/>
      <c r="E5033" s="140"/>
    </row>
    <row r="5034" spans="1:5">
      <c r="A5034" s="140"/>
      <c r="B5034" s="192"/>
      <c r="C5034" s="140"/>
      <c r="D5034" s="140"/>
      <c r="E5034" s="140"/>
    </row>
    <row r="5035" spans="1:5">
      <c r="A5035" s="140"/>
      <c r="B5035" s="192"/>
      <c r="C5035" s="140"/>
      <c r="D5035" s="140"/>
      <c r="E5035" s="140"/>
    </row>
    <row r="5036" spans="1:5">
      <c r="A5036" s="140"/>
      <c r="B5036" s="192"/>
      <c r="C5036" s="140"/>
      <c r="D5036" s="140"/>
      <c r="E5036" s="140"/>
    </row>
    <row r="5037" spans="1:5">
      <c r="A5037" s="140"/>
      <c r="B5037" s="192"/>
      <c r="C5037" s="140"/>
      <c r="D5037" s="140"/>
      <c r="E5037" s="140"/>
    </row>
    <row r="5038" spans="1:5">
      <c r="A5038" s="140"/>
      <c r="B5038" s="192"/>
      <c r="C5038" s="140"/>
      <c r="D5038" s="140"/>
      <c r="E5038" s="140"/>
    </row>
    <row r="5039" spans="1:5">
      <c r="A5039" s="140"/>
      <c r="B5039" s="192"/>
      <c r="C5039" s="140"/>
      <c r="D5039" s="140"/>
      <c r="E5039" s="140"/>
    </row>
    <row r="5040" spans="1:5">
      <c r="A5040" s="140"/>
      <c r="B5040" s="192"/>
      <c r="C5040" s="140"/>
      <c r="D5040" s="140"/>
      <c r="E5040" s="140"/>
    </row>
    <row r="5041" spans="1:5">
      <c r="A5041" s="140"/>
      <c r="B5041" s="192"/>
      <c r="C5041" s="140"/>
      <c r="D5041" s="140"/>
      <c r="E5041" s="140"/>
    </row>
    <row r="5042" spans="1:5">
      <c r="A5042" s="140"/>
      <c r="B5042" s="192"/>
      <c r="C5042" s="140"/>
      <c r="D5042" s="140"/>
      <c r="E5042" s="140"/>
    </row>
    <row r="5043" spans="1:5">
      <c r="A5043" s="140"/>
      <c r="B5043" s="192"/>
      <c r="C5043" s="140"/>
      <c r="D5043" s="140"/>
      <c r="E5043" s="140"/>
    </row>
    <row r="5044" spans="1:5">
      <c r="A5044" s="140"/>
      <c r="B5044" s="192"/>
      <c r="C5044" s="140"/>
      <c r="D5044" s="140"/>
      <c r="E5044" s="140"/>
    </row>
    <row r="5045" spans="1:5">
      <c r="A5045" s="140"/>
      <c r="B5045" s="192"/>
      <c r="C5045" s="140"/>
      <c r="D5045" s="140"/>
      <c r="E5045" s="140"/>
    </row>
    <row r="5046" spans="1:5">
      <c r="A5046" s="140"/>
      <c r="B5046" s="192"/>
      <c r="C5046" s="140"/>
      <c r="D5046" s="140"/>
      <c r="E5046" s="140"/>
    </row>
    <row r="5047" spans="1:5">
      <c r="A5047" s="140"/>
      <c r="B5047" s="192"/>
      <c r="C5047" s="140"/>
      <c r="D5047" s="140"/>
      <c r="E5047" s="140"/>
    </row>
    <row r="5048" spans="1:5">
      <c r="A5048" s="140"/>
      <c r="B5048" s="192"/>
      <c r="C5048" s="140"/>
      <c r="D5048" s="140"/>
      <c r="E5048" s="140"/>
    </row>
    <row r="5049" spans="1:5">
      <c r="A5049" s="140"/>
      <c r="B5049" s="192"/>
      <c r="C5049" s="140"/>
      <c r="D5049" s="140"/>
      <c r="E5049" s="140"/>
    </row>
    <row r="5050" spans="1:5">
      <c r="A5050" s="140"/>
      <c r="B5050" s="192"/>
      <c r="C5050" s="140"/>
      <c r="D5050" s="140"/>
      <c r="E5050" s="140"/>
    </row>
    <row r="5051" spans="1:5">
      <c r="A5051" s="140"/>
      <c r="B5051" s="192"/>
      <c r="C5051" s="140"/>
      <c r="D5051" s="140"/>
      <c r="E5051" s="140"/>
    </row>
    <row r="5052" spans="1:5">
      <c r="A5052" s="140"/>
      <c r="B5052" s="192"/>
      <c r="C5052" s="140"/>
      <c r="D5052" s="140"/>
      <c r="E5052" s="140"/>
    </row>
    <row r="5053" spans="1:5">
      <c r="A5053" s="140"/>
      <c r="B5053" s="192"/>
      <c r="C5053" s="140"/>
      <c r="D5053" s="140"/>
      <c r="E5053" s="140"/>
    </row>
    <row r="5054" spans="1:5">
      <c r="A5054" s="140"/>
      <c r="B5054" s="192"/>
      <c r="C5054" s="140"/>
      <c r="D5054" s="140"/>
      <c r="E5054" s="140"/>
    </row>
    <row r="5055" spans="1:5">
      <c r="A5055" s="140"/>
      <c r="B5055" s="192"/>
      <c r="C5055" s="140"/>
      <c r="D5055" s="140"/>
      <c r="E5055" s="140"/>
    </row>
    <row r="5056" spans="1:5">
      <c r="A5056" s="140"/>
      <c r="B5056" s="192"/>
      <c r="C5056" s="140"/>
      <c r="D5056" s="140"/>
      <c r="E5056" s="140"/>
    </row>
    <row r="5057" spans="1:5">
      <c r="A5057" s="140"/>
      <c r="B5057" s="192"/>
      <c r="C5057" s="140"/>
      <c r="D5057" s="140"/>
      <c r="E5057" s="140"/>
    </row>
    <row r="5058" spans="1:5">
      <c r="A5058" s="140"/>
      <c r="B5058" s="192"/>
      <c r="C5058" s="140"/>
      <c r="D5058" s="140"/>
      <c r="E5058" s="140"/>
    </row>
    <row r="5059" spans="1:5">
      <c r="A5059" s="140"/>
      <c r="B5059" s="192"/>
      <c r="C5059" s="140"/>
      <c r="D5059" s="140"/>
      <c r="E5059" s="140"/>
    </row>
    <row r="5060" spans="1:5">
      <c r="A5060" s="140"/>
      <c r="B5060" s="192"/>
      <c r="C5060" s="140"/>
      <c r="D5060" s="140"/>
      <c r="E5060" s="140"/>
    </row>
    <row r="5061" spans="1:5">
      <c r="A5061" s="140"/>
      <c r="B5061" s="192"/>
      <c r="C5061" s="140"/>
      <c r="D5061" s="140"/>
      <c r="E5061" s="140"/>
    </row>
    <row r="5062" spans="1:5">
      <c r="A5062" s="140"/>
      <c r="B5062" s="192"/>
      <c r="C5062" s="140"/>
      <c r="D5062" s="140"/>
      <c r="E5062" s="140"/>
    </row>
    <row r="5063" spans="1:5">
      <c r="A5063" s="140"/>
      <c r="B5063" s="192"/>
      <c r="C5063" s="140"/>
      <c r="D5063" s="140"/>
      <c r="E5063" s="140"/>
    </row>
    <row r="5064" spans="1:5">
      <c r="A5064" s="140"/>
      <c r="B5064" s="192"/>
      <c r="C5064" s="140"/>
      <c r="D5064" s="140"/>
      <c r="E5064" s="140"/>
    </row>
    <row r="5065" spans="1:5">
      <c r="A5065" s="140"/>
      <c r="B5065" s="192"/>
      <c r="C5065" s="140"/>
      <c r="D5065" s="140"/>
      <c r="E5065" s="140"/>
    </row>
    <row r="5066" spans="1:5">
      <c r="A5066" s="140"/>
      <c r="B5066" s="192"/>
      <c r="C5066" s="140"/>
      <c r="D5066" s="140"/>
      <c r="E5066" s="140"/>
    </row>
    <row r="5067" spans="1:5">
      <c r="A5067" s="140"/>
      <c r="B5067" s="192"/>
      <c r="C5067" s="140"/>
      <c r="D5067" s="140"/>
      <c r="E5067" s="140"/>
    </row>
    <row r="5068" spans="1:5">
      <c r="A5068" s="140"/>
      <c r="B5068" s="192"/>
      <c r="C5068" s="140"/>
      <c r="D5068" s="140"/>
      <c r="E5068" s="140"/>
    </row>
    <row r="5069" spans="1:5">
      <c r="A5069" s="140"/>
      <c r="B5069" s="192"/>
      <c r="C5069" s="140"/>
      <c r="D5069" s="140"/>
      <c r="E5069" s="140"/>
    </row>
    <row r="5070" spans="1:5">
      <c r="A5070" s="140"/>
      <c r="B5070" s="192"/>
      <c r="C5070" s="140"/>
      <c r="D5070" s="140"/>
      <c r="E5070" s="140"/>
    </row>
    <row r="5071" spans="1:5">
      <c r="A5071" s="140"/>
      <c r="B5071" s="192"/>
      <c r="C5071" s="140"/>
      <c r="D5071" s="140"/>
      <c r="E5071" s="140"/>
    </row>
    <row r="5072" spans="1:5">
      <c r="A5072" s="140"/>
      <c r="B5072" s="192"/>
      <c r="C5072" s="140"/>
      <c r="D5072" s="140"/>
      <c r="E5072" s="140"/>
    </row>
    <row r="5073" spans="1:5">
      <c r="A5073" s="140"/>
      <c r="B5073" s="192"/>
      <c r="C5073" s="140"/>
      <c r="D5073" s="140"/>
      <c r="E5073" s="140"/>
    </row>
    <row r="5074" spans="1:5">
      <c r="A5074" s="140"/>
      <c r="B5074" s="192"/>
      <c r="C5074" s="140"/>
      <c r="D5074" s="140"/>
      <c r="E5074" s="140"/>
    </row>
    <row r="5075" spans="1:5">
      <c r="A5075" s="140"/>
      <c r="B5075" s="192"/>
      <c r="C5075" s="140"/>
      <c r="D5075" s="140"/>
      <c r="E5075" s="140"/>
    </row>
    <row r="5076" spans="1:5">
      <c r="A5076" s="140"/>
      <c r="B5076" s="192"/>
      <c r="C5076" s="140"/>
      <c r="D5076" s="140"/>
      <c r="E5076" s="140"/>
    </row>
    <row r="5077" spans="1:5">
      <c r="A5077" s="140"/>
      <c r="B5077" s="192"/>
      <c r="C5077" s="140"/>
      <c r="D5077" s="140"/>
      <c r="E5077" s="140"/>
    </row>
    <row r="5078" spans="1:5">
      <c r="A5078" s="140"/>
      <c r="B5078" s="192"/>
      <c r="C5078" s="140"/>
      <c r="D5078" s="140"/>
      <c r="E5078" s="140"/>
    </row>
    <row r="5079" spans="1:5">
      <c r="A5079" s="140"/>
      <c r="B5079" s="192"/>
      <c r="C5079" s="140"/>
      <c r="D5079" s="140"/>
      <c r="E5079" s="140"/>
    </row>
    <row r="5080" spans="1:5">
      <c r="A5080" s="140"/>
      <c r="B5080" s="192"/>
      <c r="C5080" s="140"/>
      <c r="D5080" s="140"/>
      <c r="E5080" s="140"/>
    </row>
    <row r="5081" spans="1:5">
      <c r="A5081" s="140"/>
      <c r="B5081" s="192"/>
      <c r="C5081" s="140"/>
      <c r="D5081" s="140"/>
      <c r="E5081" s="140"/>
    </row>
    <row r="5082" spans="1:5">
      <c r="A5082" s="140"/>
      <c r="B5082" s="192"/>
      <c r="C5082" s="140"/>
      <c r="D5082" s="140"/>
      <c r="E5082" s="140"/>
    </row>
    <row r="5083" spans="1:5">
      <c r="A5083" s="140"/>
      <c r="B5083" s="192"/>
      <c r="C5083" s="140"/>
      <c r="D5083" s="140"/>
      <c r="E5083" s="140"/>
    </row>
    <row r="5084" spans="1:5">
      <c r="A5084" s="140"/>
      <c r="B5084" s="192"/>
      <c r="C5084" s="140"/>
      <c r="D5084" s="140"/>
      <c r="E5084" s="140"/>
    </row>
    <row r="5085" spans="1:5">
      <c r="A5085" s="140"/>
      <c r="B5085" s="192"/>
      <c r="C5085" s="140"/>
      <c r="D5085" s="140"/>
      <c r="E5085" s="140"/>
    </row>
    <row r="5086" spans="1:5">
      <c r="A5086" s="140"/>
      <c r="B5086" s="192"/>
      <c r="C5086" s="140"/>
      <c r="D5086" s="140"/>
      <c r="E5086" s="140"/>
    </row>
    <row r="5087" spans="1:5">
      <c r="A5087" s="140"/>
      <c r="B5087" s="192"/>
      <c r="C5087" s="140"/>
      <c r="D5087" s="140"/>
      <c r="E5087" s="140"/>
    </row>
    <row r="5088" spans="1:5">
      <c r="A5088" s="140"/>
      <c r="B5088" s="192"/>
      <c r="C5088" s="140"/>
      <c r="D5088" s="140"/>
      <c r="E5088" s="140"/>
    </row>
    <row r="5089" spans="1:5">
      <c r="A5089" s="140"/>
      <c r="B5089" s="192"/>
      <c r="C5089" s="140"/>
      <c r="D5089" s="140"/>
      <c r="E5089" s="140"/>
    </row>
    <row r="5090" spans="1:5">
      <c r="A5090" s="140"/>
      <c r="B5090" s="192"/>
      <c r="C5090" s="140"/>
      <c r="D5090" s="140"/>
      <c r="E5090" s="140"/>
    </row>
    <row r="5091" spans="1:5">
      <c r="A5091" s="140"/>
      <c r="B5091" s="192"/>
      <c r="C5091" s="140"/>
      <c r="D5091" s="140"/>
      <c r="E5091" s="140"/>
    </row>
    <row r="5092" spans="1:5">
      <c r="A5092" s="140"/>
      <c r="B5092" s="192"/>
      <c r="C5092" s="140"/>
      <c r="D5092" s="140"/>
      <c r="E5092" s="140"/>
    </row>
    <row r="5093" spans="1:5">
      <c r="A5093" s="140"/>
      <c r="B5093" s="192"/>
      <c r="C5093" s="140"/>
      <c r="D5093" s="140"/>
      <c r="E5093" s="140"/>
    </row>
    <row r="5094" spans="1:5">
      <c r="A5094" s="140"/>
      <c r="B5094" s="192"/>
      <c r="C5094" s="140"/>
      <c r="D5094" s="140"/>
      <c r="E5094" s="140"/>
    </row>
    <row r="5095" spans="1:5">
      <c r="A5095" s="140"/>
      <c r="B5095" s="192"/>
      <c r="C5095" s="140"/>
      <c r="D5095" s="140"/>
      <c r="E5095" s="140"/>
    </row>
    <row r="5096" spans="1:5">
      <c r="A5096" s="140"/>
      <c r="B5096" s="192"/>
      <c r="C5096" s="140"/>
      <c r="D5096" s="140"/>
      <c r="E5096" s="140"/>
    </row>
    <row r="5097" spans="1:5">
      <c r="A5097" s="140"/>
      <c r="B5097" s="192"/>
      <c r="C5097" s="140"/>
      <c r="D5097" s="140"/>
      <c r="E5097" s="140"/>
    </row>
    <row r="5098" spans="1:5">
      <c r="A5098" s="140"/>
      <c r="B5098" s="192"/>
      <c r="C5098" s="140"/>
      <c r="D5098" s="140"/>
      <c r="E5098" s="140"/>
    </row>
    <row r="5099" spans="1:5">
      <c r="A5099" s="140"/>
      <c r="B5099" s="192"/>
      <c r="C5099" s="140"/>
      <c r="D5099" s="140"/>
      <c r="E5099" s="140"/>
    </row>
    <row r="5100" spans="1:5">
      <c r="A5100" s="140"/>
      <c r="B5100" s="192"/>
      <c r="C5100" s="140"/>
      <c r="D5100" s="140"/>
      <c r="E5100" s="140"/>
    </row>
    <row r="5101" spans="1:5">
      <c r="A5101" s="140"/>
      <c r="B5101" s="192"/>
      <c r="C5101" s="140"/>
      <c r="D5101" s="140"/>
      <c r="E5101" s="140"/>
    </row>
    <row r="5102" spans="1:5">
      <c r="A5102" s="140"/>
      <c r="B5102" s="192"/>
      <c r="C5102" s="140"/>
      <c r="D5102" s="140"/>
      <c r="E5102" s="140"/>
    </row>
    <row r="5103" spans="1:5">
      <c r="A5103" s="140"/>
      <c r="B5103" s="192"/>
      <c r="C5103" s="140"/>
      <c r="D5103" s="140"/>
      <c r="E5103" s="140"/>
    </row>
    <row r="5104" spans="1:5">
      <c r="A5104" s="140"/>
      <c r="B5104" s="192"/>
      <c r="C5104" s="140"/>
      <c r="D5104" s="140"/>
      <c r="E5104" s="140"/>
    </row>
    <row r="5105" spans="1:5">
      <c r="A5105" s="140"/>
      <c r="B5105" s="192"/>
      <c r="C5105" s="140"/>
      <c r="D5105" s="140"/>
      <c r="E5105" s="140"/>
    </row>
    <row r="5106" spans="1:5">
      <c r="A5106" s="140"/>
      <c r="B5106" s="192"/>
      <c r="C5106" s="140"/>
      <c r="D5106" s="140"/>
      <c r="E5106" s="140"/>
    </row>
    <row r="5107" spans="1:5">
      <c r="A5107" s="140"/>
      <c r="B5107" s="192"/>
      <c r="C5107" s="140"/>
      <c r="D5107" s="140"/>
      <c r="E5107" s="140"/>
    </row>
    <row r="5108" spans="1:5">
      <c r="A5108" s="140"/>
      <c r="B5108" s="192"/>
      <c r="C5108" s="140"/>
      <c r="D5108" s="140"/>
      <c r="E5108" s="140"/>
    </row>
    <row r="5109" spans="1:5">
      <c r="A5109" s="140"/>
      <c r="B5109" s="192"/>
      <c r="C5109" s="140"/>
      <c r="D5109" s="140"/>
      <c r="E5109" s="140"/>
    </row>
    <row r="5110" spans="1:5">
      <c r="A5110" s="140"/>
      <c r="B5110" s="192"/>
      <c r="C5110" s="140"/>
      <c r="D5110" s="140"/>
      <c r="E5110" s="140"/>
    </row>
    <row r="5111" spans="1:5">
      <c r="A5111" s="140"/>
      <c r="B5111" s="192"/>
      <c r="C5111" s="140"/>
      <c r="D5111" s="140"/>
      <c r="E5111" s="140"/>
    </row>
    <row r="5112" spans="1:5">
      <c r="A5112" s="140"/>
      <c r="B5112" s="192"/>
      <c r="C5112" s="140"/>
      <c r="D5112" s="140"/>
      <c r="E5112" s="140"/>
    </row>
    <row r="5113" spans="1:5">
      <c r="A5113" s="140"/>
      <c r="B5113" s="192"/>
      <c r="C5113" s="140"/>
      <c r="D5113" s="140"/>
      <c r="E5113" s="140"/>
    </row>
    <row r="5114" spans="1:5">
      <c r="A5114" s="140"/>
      <c r="B5114" s="192"/>
      <c r="C5114" s="140"/>
      <c r="D5114" s="140"/>
      <c r="E5114" s="140"/>
    </row>
    <row r="5115" spans="1:5">
      <c r="A5115" s="140"/>
      <c r="B5115" s="192"/>
      <c r="C5115" s="140"/>
      <c r="D5115" s="140"/>
      <c r="E5115" s="140"/>
    </row>
    <row r="5116" spans="1:5">
      <c r="A5116" s="140"/>
      <c r="B5116" s="192"/>
      <c r="C5116" s="140"/>
      <c r="D5116" s="140"/>
      <c r="E5116" s="140"/>
    </row>
    <row r="5117" spans="1:5">
      <c r="A5117" s="140"/>
      <c r="B5117" s="192"/>
      <c r="C5117" s="140"/>
      <c r="D5117" s="140"/>
      <c r="E5117" s="140"/>
    </row>
    <row r="5118" spans="1:5">
      <c r="A5118" s="140"/>
      <c r="B5118" s="192"/>
      <c r="C5118" s="140"/>
      <c r="D5118" s="140"/>
      <c r="E5118" s="140"/>
    </row>
    <row r="5119" spans="1:5">
      <c r="A5119" s="140"/>
      <c r="B5119" s="192"/>
      <c r="C5119" s="140"/>
      <c r="D5119" s="140"/>
      <c r="E5119" s="140"/>
    </row>
    <row r="5120" spans="1:5">
      <c r="A5120" s="140"/>
      <c r="B5120" s="192"/>
      <c r="C5120" s="140"/>
      <c r="D5120" s="140"/>
      <c r="E5120" s="140"/>
    </row>
    <row r="5121" spans="1:5">
      <c r="A5121" s="140"/>
      <c r="B5121" s="192"/>
      <c r="C5121" s="140"/>
      <c r="D5121" s="140"/>
      <c r="E5121" s="140"/>
    </row>
    <row r="5122" spans="1:5">
      <c r="A5122" s="140"/>
      <c r="B5122" s="192"/>
      <c r="C5122" s="140"/>
      <c r="D5122" s="140"/>
      <c r="E5122" s="140"/>
    </row>
    <row r="5123" spans="1:5">
      <c r="A5123" s="140"/>
      <c r="B5123" s="192"/>
      <c r="C5123" s="140"/>
      <c r="D5123" s="140"/>
      <c r="E5123" s="140"/>
    </row>
    <row r="5124" spans="1:5">
      <c r="A5124" s="140"/>
      <c r="B5124" s="192"/>
      <c r="C5124" s="140"/>
      <c r="D5124" s="140"/>
      <c r="E5124" s="140"/>
    </row>
    <row r="5125" spans="1:5">
      <c r="A5125" s="140"/>
      <c r="B5125" s="192"/>
      <c r="C5125" s="140"/>
      <c r="D5125" s="140"/>
      <c r="E5125" s="140"/>
    </row>
    <row r="5126" spans="1:5">
      <c r="A5126" s="140"/>
      <c r="B5126" s="192"/>
      <c r="C5126" s="140"/>
      <c r="D5126" s="140"/>
      <c r="E5126" s="140"/>
    </row>
    <row r="5127" spans="1:5">
      <c r="A5127" s="140"/>
      <c r="B5127" s="192"/>
      <c r="C5127" s="140"/>
      <c r="D5127" s="140"/>
      <c r="E5127" s="140"/>
    </row>
    <row r="5128" spans="1:5">
      <c r="A5128" s="140"/>
      <c r="B5128" s="192"/>
      <c r="C5128" s="140"/>
      <c r="D5128" s="140"/>
      <c r="E5128" s="140"/>
    </row>
    <row r="5129" spans="1:5">
      <c r="A5129" s="140"/>
      <c r="B5129" s="192"/>
      <c r="C5129" s="140"/>
      <c r="D5129" s="140"/>
      <c r="E5129" s="140"/>
    </row>
    <row r="5130" spans="1:5">
      <c r="A5130" s="140"/>
      <c r="B5130" s="192"/>
      <c r="C5130" s="140"/>
      <c r="D5130" s="140"/>
      <c r="E5130" s="140"/>
    </row>
    <row r="5131" spans="1:5">
      <c r="A5131" s="140"/>
      <c r="B5131" s="192"/>
      <c r="C5131" s="140"/>
      <c r="D5131" s="140"/>
      <c r="E5131" s="140"/>
    </row>
    <row r="5132" spans="1:5">
      <c r="A5132" s="140"/>
      <c r="B5132" s="192"/>
      <c r="C5132" s="140"/>
      <c r="D5132" s="140"/>
      <c r="E5132" s="140"/>
    </row>
    <row r="5133" spans="1:5">
      <c r="A5133" s="140"/>
      <c r="B5133" s="192"/>
      <c r="C5133" s="140"/>
      <c r="D5133" s="140"/>
      <c r="E5133" s="140"/>
    </row>
    <row r="5134" spans="1:5">
      <c r="A5134" s="140"/>
      <c r="B5134" s="192"/>
      <c r="C5134" s="140"/>
      <c r="D5134" s="140"/>
      <c r="E5134" s="140"/>
    </row>
    <row r="5135" spans="1:5">
      <c r="A5135" s="140"/>
      <c r="B5135" s="192"/>
      <c r="C5135" s="140"/>
      <c r="D5135" s="140"/>
      <c r="E5135" s="140"/>
    </row>
    <row r="5136" spans="1:5">
      <c r="A5136" s="140"/>
      <c r="B5136" s="192"/>
      <c r="C5136" s="140"/>
      <c r="D5136" s="140"/>
      <c r="E5136" s="140"/>
    </row>
    <row r="5137" spans="1:5">
      <c r="A5137" s="140"/>
      <c r="B5137" s="192"/>
      <c r="C5137" s="140"/>
      <c r="D5137" s="140"/>
      <c r="E5137" s="140"/>
    </row>
    <row r="5138" spans="1:5">
      <c r="A5138" s="140"/>
      <c r="B5138" s="192"/>
      <c r="C5138" s="140"/>
      <c r="D5138" s="140"/>
      <c r="E5138" s="140"/>
    </row>
    <row r="5139" spans="1:5">
      <c r="A5139" s="140"/>
      <c r="B5139" s="192"/>
      <c r="C5139" s="140"/>
      <c r="D5139" s="140"/>
      <c r="E5139" s="140"/>
    </row>
    <row r="5140" spans="1:5">
      <c r="A5140" s="140"/>
      <c r="B5140" s="192"/>
      <c r="C5140" s="140"/>
      <c r="D5140" s="140"/>
      <c r="E5140" s="140"/>
    </row>
    <row r="5141" spans="1:5">
      <c r="A5141" s="140"/>
      <c r="B5141" s="192"/>
      <c r="C5141" s="140"/>
      <c r="D5141" s="140"/>
      <c r="E5141" s="140"/>
    </row>
    <row r="5142" spans="1:5">
      <c r="A5142" s="140"/>
      <c r="B5142" s="192"/>
      <c r="C5142" s="140"/>
      <c r="D5142" s="140"/>
      <c r="E5142" s="140"/>
    </row>
    <row r="5143" spans="1:5">
      <c r="A5143" s="140"/>
      <c r="B5143" s="192"/>
      <c r="C5143" s="140"/>
      <c r="D5143" s="140"/>
      <c r="E5143" s="140"/>
    </row>
    <row r="5144" spans="1:5">
      <c r="A5144" s="140"/>
      <c r="B5144" s="192"/>
      <c r="C5144" s="140"/>
      <c r="D5144" s="140"/>
      <c r="E5144" s="140"/>
    </row>
    <row r="5145" spans="1:5">
      <c r="A5145" s="140"/>
      <c r="B5145" s="192"/>
      <c r="C5145" s="140"/>
      <c r="D5145" s="140"/>
      <c r="E5145" s="140"/>
    </row>
    <row r="5146" spans="1:5">
      <c r="A5146" s="140"/>
      <c r="B5146" s="192"/>
      <c r="C5146" s="140"/>
      <c r="D5146" s="140"/>
      <c r="E5146" s="140"/>
    </row>
    <row r="5147" spans="1:5">
      <c r="A5147" s="140"/>
      <c r="B5147" s="192"/>
      <c r="C5147" s="140"/>
      <c r="D5147" s="140"/>
      <c r="E5147" s="140"/>
    </row>
    <row r="5148" spans="1:5">
      <c r="A5148" s="140"/>
      <c r="B5148" s="192"/>
      <c r="C5148" s="140"/>
      <c r="D5148" s="140"/>
      <c r="E5148" s="140"/>
    </row>
    <row r="5149" spans="1:5">
      <c r="A5149" s="140"/>
      <c r="B5149" s="192"/>
      <c r="C5149" s="140"/>
      <c r="D5149" s="140"/>
      <c r="E5149" s="140"/>
    </row>
    <row r="5150" spans="1:5">
      <c r="A5150" s="140"/>
      <c r="B5150" s="192"/>
      <c r="C5150" s="140"/>
      <c r="D5150" s="140"/>
      <c r="E5150" s="140"/>
    </row>
    <row r="5151" spans="1:5">
      <c r="A5151" s="140"/>
      <c r="B5151" s="192"/>
      <c r="C5151" s="140"/>
      <c r="D5151" s="140"/>
      <c r="E5151" s="140"/>
    </row>
    <row r="5152" spans="1:5">
      <c r="A5152" s="140"/>
      <c r="B5152" s="192"/>
      <c r="C5152" s="140"/>
      <c r="D5152" s="140"/>
      <c r="E5152" s="140"/>
    </row>
    <row r="5153" spans="1:5">
      <c r="A5153" s="140"/>
      <c r="B5153" s="192"/>
      <c r="C5153" s="140"/>
      <c r="D5153" s="140"/>
      <c r="E5153" s="140"/>
    </row>
    <row r="5154" spans="1:5">
      <c r="A5154" s="140"/>
      <c r="B5154" s="192"/>
      <c r="C5154" s="140"/>
      <c r="D5154" s="140"/>
      <c r="E5154" s="140"/>
    </row>
    <row r="5155" spans="1:5">
      <c r="A5155" s="140"/>
      <c r="B5155" s="192"/>
      <c r="C5155" s="140"/>
      <c r="D5155" s="140"/>
      <c r="E5155" s="140"/>
    </row>
    <row r="5156" spans="1:5">
      <c r="A5156" s="140"/>
      <c r="B5156" s="192"/>
      <c r="C5156" s="140"/>
      <c r="D5156" s="140"/>
      <c r="E5156" s="140"/>
    </row>
    <row r="5157" spans="1:5">
      <c r="A5157" s="140"/>
      <c r="B5157" s="192"/>
      <c r="C5157" s="140"/>
      <c r="D5157" s="140"/>
      <c r="E5157" s="140"/>
    </row>
    <row r="5158" spans="1:5">
      <c r="A5158" s="140"/>
      <c r="B5158" s="192"/>
      <c r="C5158" s="140"/>
      <c r="D5158" s="140"/>
      <c r="E5158" s="140"/>
    </row>
    <row r="5159" spans="1:5">
      <c r="A5159" s="140"/>
      <c r="B5159" s="192"/>
      <c r="C5159" s="140"/>
      <c r="D5159" s="140"/>
      <c r="E5159" s="140"/>
    </row>
    <row r="5160" spans="1:5">
      <c r="A5160" s="140"/>
      <c r="B5160" s="192"/>
      <c r="C5160" s="140"/>
      <c r="D5160" s="140"/>
      <c r="E5160" s="140"/>
    </row>
    <row r="5161" spans="1:5">
      <c r="A5161" s="140"/>
      <c r="B5161" s="192"/>
      <c r="C5161" s="140"/>
      <c r="D5161" s="140"/>
      <c r="E5161" s="140"/>
    </row>
    <row r="5162" spans="1:5">
      <c r="A5162" s="140"/>
      <c r="B5162" s="192"/>
      <c r="C5162" s="140"/>
      <c r="D5162" s="140"/>
      <c r="E5162" s="140"/>
    </row>
    <row r="5163" spans="1:5">
      <c r="A5163" s="140"/>
      <c r="B5163" s="192"/>
      <c r="C5163" s="140"/>
      <c r="D5163" s="140"/>
      <c r="E5163" s="140"/>
    </row>
    <row r="5164" spans="1:5">
      <c r="A5164" s="140"/>
      <c r="B5164" s="192"/>
      <c r="C5164" s="140"/>
      <c r="D5164" s="140"/>
      <c r="E5164" s="140"/>
    </row>
    <row r="5165" spans="1:5">
      <c r="A5165" s="140"/>
      <c r="B5165" s="192"/>
      <c r="C5165" s="140"/>
      <c r="D5165" s="140"/>
      <c r="E5165" s="140"/>
    </row>
    <row r="5166" spans="1:5">
      <c r="A5166" s="140"/>
      <c r="B5166" s="192"/>
      <c r="C5166" s="140"/>
      <c r="D5166" s="140"/>
      <c r="E5166" s="140"/>
    </row>
    <row r="5167" spans="1:5">
      <c r="A5167" s="140"/>
      <c r="B5167" s="192"/>
      <c r="C5167" s="140"/>
      <c r="D5167" s="140"/>
      <c r="E5167" s="140"/>
    </row>
    <row r="5168" spans="1:5">
      <c r="A5168" s="140"/>
      <c r="B5168" s="192"/>
      <c r="C5168" s="140"/>
      <c r="D5168" s="140"/>
      <c r="E5168" s="140"/>
    </row>
    <row r="5169" spans="1:5">
      <c r="A5169" s="140"/>
      <c r="B5169" s="192"/>
      <c r="C5169" s="140"/>
      <c r="D5169" s="140"/>
      <c r="E5169" s="140"/>
    </row>
    <row r="5170" spans="1:5">
      <c r="A5170" s="140"/>
      <c r="B5170" s="192"/>
      <c r="C5170" s="140"/>
      <c r="D5170" s="140"/>
      <c r="E5170" s="140"/>
    </row>
    <row r="5171" spans="1:5">
      <c r="A5171" s="140"/>
      <c r="B5171" s="192"/>
      <c r="C5171" s="140"/>
      <c r="D5171" s="140"/>
      <c r="E5171" s="140"/>
    </row>
    <row r="5172" spans="1:5">
      <c r="A5172" s="140"/>
      <c r="B5172" s="192"/>
      <c r="C5172" s="140"/>
      <c r="D5172" s="140"/>
      <c r="E5172" s="140"/>
    </row>
    <row r="5173" spans="1:5">
      <c r="A5173" s="140"/>
      <c r="B5173" s="192"/>
      <c r="C5173" s="140"/>
      <c r="D5173" s="140"/>
      <c r="E5173" s="140"/>
    </row>
    <row r="5174" spans="1:5">
      <c r="A5174" s="140"/>
      <c r="B5174" s="192"/>
      <c r="C5174" s="140"/>
      <c r="D5174" s="140"/>
      <c r="E5174" s="140"/>
    </row>
    <row r="5175" spans="1:5">
      <c r="A5175" s="140"/>
      <c r="B5175" s="192"/>
      <c r="C5175" s="140"/>
      <c r="D5175" s="140"/>
      <c r="E5175" s="140"/>
    </row>
    <row r="5176" spans="1:5">
      <c r="A5176" s="140"/>
      <c r="B5176" s="192"/>
      <c r="C5176" s="140"/>
      <c r="D5176" s="140"/>
      <c r="E5176" s="140"/>
    </row>
    <row r="5177" spans="1:5">
      <c r="A5177" s="140"/>
      <c r="B5177" s="192"/>
      <c r="C5177" s="140"/>
      <c r="D5177" s="140"/>
      <c r="E5177" s="140"/>
    </row>
    <row r="5178" spans="1:5">
      <c r="A5178" s="140"/>
      <c r="B5178" s="192"/>
      <c r="C5178" s="140"/>
      <c r="D5178" s="140"/>
      <c r="E5178" s="140"/>
    </row>
    <row r="5179" spans="1:5">
      <c r="A5179" s="140"/>
      <c r="B5179" s="192"/>
      <c r="C5179" s="140"/>
      <c r="D5179" s="140"/>
      <c r="E5179" s="140"/>
    </row>
    <row r="5180" spans="1:5">
      <c r="A5180" s="140"/>
      <c r="B5180" s="192"/>
      <c r="C5180" s="140"/>
      <c r="D5180" s="140"/>
      <c r="E5180" s="140"/>
    </row>
    <row r="5181" spans="1:5">
      <c r="A5181" s="140"/>
      <c r="B5181" s="192"/>
      <c r="C5181" s="140"/>
      <c r="D5181" s="140"/>
      <c r="E5181" s="140"/>
    </row>
    <row r="5182" spans="1:5">
      <c r="A5182" s="140"/>
      <c r="B5182" s="192"/>
      <c r="C5182" s="140"/>
      <c r="D5182" s="140"/>
      <c r="E5182" s="140"/>
    </row>
    <row r="5183" spans="1:5">
      <c r="A5183" s="140"/>
      <c r="B5183" s="192"/>
      <c r="C5183" s="140"/>
      <c r="D5183" s="140"/>
      <c r="E5183" s="140"/>
    </row>
    <row r="5184" spans="1:5">
      <c r="A5184" s="140"/>
      <c r="B5184" s="192"/>
      <c r="C5184" s="140"/>
      <c r="D5184" s="140"/>
      <c r="E5184" s="140"/>
    </row>
    <row r="5185" spans="1:5">
      <c r="A5185" s="140"/>
      <c r="B5185" s="192"/>
      <c r="C5185" s="140"/>
      <c r="D5185" s="140"/>
      <c r="E5185" s="140"/>
    </row>
    <row r="5186" spans="1:5">
      <c r="A5186" s="140"/>
      <c r="B5186" s="192"/>
      <c r="C5186" s="140"/>
      <c r="D5186" s="140"/>
      <c r="E5186" s="140"/>
    </row>
    <row r="5187" spans="1:5">
      <c r="A5187" s="140"/>
      <c r="B5187" s="192"/>
      <c r="C5187" s="140"/>
      <c r="D5187" s="140"/>
      <c r="E5187" s="140"/>
    </row>
    <row r="5188" spans="1:5">
      <c r="A5188" s="140"/>
      <c r="B5188" s="192"/>
      <c r="C5188" s="140"/>
      <c r="D5188" s="140"/>
      <c r="E5188" s="140"/>
    </row>
    <row r="5189" spans="1:5">
      <c r="A5189" s="140"/>
      <c r="B5189" s="192"/>
      <c r="C5189" s="140"/>
      <c r="D5189" s="140"/>
      <c r="E5189" s="140"/>
    </row>
    <row r="5190" spans="1:5">
      <c r="A5190" s="140"/>
      <c r="B5190" s="192"/>
      <c r="C5190" s="140"/>
      <c r="D5190" s="140"/>
      <c r="E5190" s="140"/>
    </row>
    <row r="5191" spans="1:5">
      <c r="A5191" s="140"/>
      <c r="B5191" s="192"/>
      <c r="C5191" s="140"/>
      <c r="D5191" s="140"/>
      <c r="E5191" s="140"/>
    </row>
    <row r="5192" spans="1:5">
      <c r="A5192" s="140"/>
      <c r="B5192" s="192"/>
      <c r="C5192" s="140"/>
      <c r="D5192" s="140"/>
      <c r="E5192" s="140"/>
    </row>
    <row r="5193" spans="1:5">
      <c r="A5193" s="140"/>
      <c r="B5193" s="192"/>
      <c r="C5193" s="140"/>
      <c r="D5193" s="140"/>
      <c r="E5193" s="140"/>
    </row>
    <row r="5194" spans="1:5">
      <c r="A5194" s="140"/>
      <c r="B5194" s="192"/>
      <c r="C5194" s="140"/>
      <c r="D5194" s="140"/>
      <c r="E5194" s="140"/>
    </row>
    <row r="5195" spans="1:5">
      <c r="A5195" s="140"/>
      <c r="B5195" s="192"/>
      <c r="C5195" s="140"/>
      <c r="D5195" s="140"/>
      <c r="E5195" s="140"/>
    </row>
    <row r="5196" spans="1:5">
      <c r="A5196" s="140"/>
      <c r="B5196" s="192"/>
      <c r="C5196" s="140"/>
      <c r="D5196" s="140"/>
      <c r="E5196" s="140"/>
    </row>
    <row r="5197" spans="1:5">
      <c r="A5197" s="140"/>
      <c r="B5197" s="192"/>
      <c r="C5197" s="140"/>
      <c r="D5197" s="140"/>
      <c r="E5197" s="140"/>
    </row>
    <row r="5198" spans="1:5">
      <c r="A5198" s="140"/>
      <c r="B5198" s="192"/>
      <c r="C5198" s="140"/>
      <c r="D5198" s="140"/>
      <c r="E5198" s="140"/>
    </row>
    <row r="5199" spans="1:5">
      <c r="A5199" s="140"/>
      <c r="B5199" s="192"/>
      <c r="C5199" s="140"/>
      <c r="D5199" s="140"/>
      <c r="E5199" s="140"/>
    </row>
    <row r="5200" spans="1:5">
      <c r="A5200" s="140"/>
      <c r="B5200" s="192"/>
      <c r="C5200" s="140"/>
      <c r="D5200" s="140"/>
      <c r="E5200" s="140"/>
    </row>
    <row r="5201" spans="1:5">
      <c r="A5201" s="140"/>
      <c r="B5201" s="192"/>
      <c r="C5201" s="140"/>
      <c r="D5201" s="140"/>
      <c r="E5201" s="140"/>
    </row>
    <row r="5202" spans="1:5">
      <c r="A5202" s="140"/>
      <c r="B5202" s="192"/>
      <c r="C5202" s="140"/>
      <c r="D5202" s="140"/>
      <c r="E5202" s="140"/>
    </row>
    <row r="5203" spans="1:5">
      <c r="A5203" s="140"/>
      <c r="B5203" s="192"/>
      <c r="C5203" s="140"/>
      <c r="D5203" s="140"/>
      <c r="E5203" s="140"/>
    </row>
    <row r="5204" spans="1:5">
      <c r="A5204" s="140"/>
      <c r="B5204" s="192"/>
      <c r="C5204" s="140"/>
      <c r="D5204" s="140"/>
      <c r="E5204" s="140"/>
    </row>
    <row r="5205" spans="1:5">
      <c r="A5205" s="140"/>
      <c r="B5205" s="192"/>
      <c r="C5205" s="140"/>
      <c r="D5205" s="140"/>
      <c r="E5205" s="140"/>
    </row>
    <row r="5206" spans="1:5">
      <c r="A5206" s="140"/>
      <c r="B5206" s="192"/>
      <c r="C5206" s="140"/>
      <c r="D5206" s="140"/>
      <c r="E5206" s="140"/>
    </row>
    <row r="5207" spans="1:5">
      <c r="A5207" s="140"/>
      <c r="B5207" s="192"/>
      <c r="C5207" s="140"/>
      <c r="D5207" s="140"/>
      <c r="E5207" s="140"/>
    </row>
    <row r="5208" spans="1:5">
      <c r="A5208" s="140"/>
      <c r="B5208" s="192"/>
      <c r="C5208" s="140"/>
      <c r="D5208" s="140"/>
      <c r="E5208" s="140"/>
    </row>
    <row r="5209" spans="1:5">
      <c r="A5209" s="140"/>
      <c r="B5209" s="192"/>
      <c r="C5209" s="140"/>
      <c r="D5209" s="140"/>
      <c r="E5209" s="140"/>
    </row>
    <row r="5210" spans="1:5">
      <c r="A5210" s="140"/>
      <c r="B5210" s="192"/>
      <c r="C5210" s="140"/>
      <c r="D5210" s="140"/>
      <c r="E5210" s="140"/>
    </row>
    <row r="5211" spans="1:5">
      <c r="A5211" s="140"/>
      <c r="B5211" s="192"/>
      <c r="C5211" s="140"/>
      <c r="D5211" s="140"/>
      <c r="E5211" s="140"/>
    </row>
    <row r="5212" spans="1:5">
      <c r="A5212" s="140"/>
      <c r="B5212" s="192"/>
      <c r="C5212" s="140"/>
      <c r="D5212" s="140"/>
      <c r="E5212" s="140"/>
    </row>
    <row r="5213" spans="1:5">
      <c r="A5213" s="140"/>
      <c r="B5213" s="192"/>
      <c r="C5213" s="140"/>
      <c r="D5213" s="140"/>
      <c r="E5213" s="140"/>
    </row>
    <row r="5214" spans="1:5">
      <c r="A5214" s="140"/>
      <c r="B5214" s="192"/>
      <c r="C5214" s="140"/>
      <c r="D5214" s="140"/>
      <c r="E5214" s="140"/>
    </row>
    <row r="5215" spans="1:5">
      <c r="A5215" s="140"/>
      <c r="B5215" s="192"/>
      <c r="C5215" s="140"/>
      <c r="D5215" s="140"/>
      <c r="E5215" s="140"/>
    </row>
    <row r="5216" spans="1:5">
      <c r="A5216" s="140"/>
      <c r="B5216" s="192"/>
      <c r="C5216" s="140"/>
      <c r="D5216" s="140"/>
      <c r="E5216" s="140"/>
    </row>
    <row r="5217" spans="1:5">
      <c r="A5217" s="140"/>
      <c r="B5217" s="192"/>
      <c r="C5217" s="140"/>
      <c r="D5217" s="140"/>
      <c r="E5217" s="140"/>
    </row>
    <row r="5218" spans="1:5">
      <c r="A5218" s="140"/>
      <c r="B5218" s="192"/>
      <c r="C5218" s="140"/>
      <c r="D5218" s="140"/>
      <c r="E5218" s="140"/>
    </row>
    <row r="5219" spans="1:5">
      <c r="A5219" s="140"/>
      <c r="B5219" s="192"/>
      <c r="C5219" s="140"/>
      <c r="D5219" s="140"/>
      <c r="E5219" s="140"/>
    </row>
    <row r="5220" spans="1:5">
      <c r="A5220" s="140"/>
      <c r="B5220" s="192"/>
      <c r="C5220" s="140"/>
      <c r="D5220" s="140"/>
      <c r="E5220" s="140"/>
    </row>
    <row r="5221" spans="1:5">
      <c r="A5221" s="140"/>
      <c r="B5221" s="192"/>
      <c r="C5221" s="140"/>
      <c r="D5221" s="140"/>
      <c r="E5221" s="140"/>
    </row>
    <row r="5222" spans="1:5">
      <c r="A5222" s="140"/>
      <c r="B5222" s="192"/>
      <c r="C5222" s="140"/>
      <c r="D5222" s="140"/>
      <c r="E5222" s="140"/>
    </row>
    <row r="5223" spans="1:5">
      <c r="A5223" s="140"/>
      <c r="B5223" s="192"/>
      <c r="C5223" s="140"/>
      <c r="D5223" s="140"/>
      <c r="E5223" s="140"/>
    </row>
    <row r="5224" spans="1:5">
      <c r="A5224" s="140"/>
      <c r="B5224" s="192"/>
      <c r="C5224" s="140"/>
      <c r="D5224" s="140"/>
      <c r="E5224" s="140"/>
    </row>
    <row r="5225" spans="1:5">
      <c r="A5225" s="140"/>
      <c r="B5225" s="192"/>
      <c r="C5225" s="140"/>
      <c r="D5225" s="140"/>
      <c r="E5225" s="140"/>
    </row>
    <row r="5226" spans="1:5">
      <c r="A5226" s="140"/>
      <c r="B5226" s="192"/>
      <c r="C5226" s="140"/>
      <c r="D5226" s="140"/>
      <c r="E5226" s="140"/>
    </row>
    <row r="5227" spans="1:5">
      <c r="A5227" s="140"/>
      <c r="B5227" s="192"/>
      <c r="C5227" s="140"/>
      <c r="D5227" s="140"/>
      <c r="E5227" s="140"/>
    </row>
    <row r="5228" spans="1:5">
      <c r="A5228" s="140"/>
      <c r="B5228" s="192"/>
      <c r="C5228" s="140"/>
      <c r="D5228" s="140"/>
      <c r="E5228" s="140"/>
    </row>
    <row r="5229" spans="1:5">
      <c r="A5229" s="140"/>
      <c r="B5229" s="192"/>
      <c r="C5229" s="140"/>
      <c r="D5229" s="140"/>
      <c r="E5229" s="140"/>
    </row>
    <row r="5230" spans="1:5">
      <c r="A5230" s="140"/>
      <c r="B5230" s="192"/>
      <c r="C5230" s="140"/>
      <c r="D5230" s="140"/>
      <c r="E5230" s="140"/>
    </row>
    <row r="5231" spans="1:5">
      <c r="A5231" s="140"/>
      <c r="B5231" s="192"/>
      <c r="C5231" s="140"/>
      <c r="D5231" s="140"/>
      <c r="E5231" s="140"/>
    </row>
    <row r="5232" spans="1:5">
      <c r="A5232" s="140"/>
      <c r="B5232" s="192"/>
      <c r="C5232" s="140"/>
      <c r="D5232" s="140"/>
      <c r="E5232" s="140"/>
    </row>
    <row r="5233" spans="1:5">
      <c r="A5233" s="140"/>
      <c r="B5233" s="192"/>
      <c r="C5233" s="140"/>
      <c r="D5233" s="140"/>
      <c r="E5233" s="140"/>
    </row>
    <row r="5234" spans="1:5">
      <c r="A5234" s="140"/>
      <c r="B5234" s="192"/>
      <c r="C5234" s="140"/>
      <c r="D5234" s="140"/>
      <c r="E5234" s="140"/>
    </row>
    <row r="5235" spans="1:5">
      <c r="A5235" s="140"/>
      <c r="B5235" s="192"/>
      <c r="C5235" s="140"/>
      <c r="D5235" s="140"/>
      <c r="E5235" s="140"/>
    </row>
    <row r="5236" spans="1:5">
      <c r="A5236" s="140"/>
      <c r="B5236" s="192"/>
      <c r="C5236" s="140"/>
      <c r="D5236" s="140"/>
      <c r="E5236" s="140"/>
    </row>
    <row r="5237" spans="1:5">
      <c r="A5237" s="140"/>
      <c r="B5237" s="192"/>
      <c r="C5237" s="140"/>
      <c r="D5237" s="140"/>
      <c r="E5237" s="140"/>
    </row>
    <row r="5238" spans="1:5">
      <c r="A5238" s="140"/>
      <c r="B5238" s="192"/>
      <c r="C5238" s="140"/>
      <c r="D5238" s="140"/>
      <c r="E5238" s="140"/>
    </row>
    <row r="5239" spans="1:5">
      <c r="A5239" s="140"/>
      <c r="B5239" s="192"/>
      <c r="C5239" s="140"/>
      <c r="D5239" s="140"/>
      <c r="E5239" s="140"/>
    </row>
    <row r="5240" spans="1:5">
      <c r="A5240" s="140"/>
      <c r="B5240" s="192"/>
      <c r="C5240" s="140"/>
      <c r="D5240" s="140"/>
      <c r="E5240" s="140"/>
    </row>
    <row r="5241" spans="1:5">
      <c r="A5241" s="140"/>
      <c r="B5241" s="192"/>
      <c r="C5241" s="140"/>
      <c r="D5241" s="140"/>
      <c r="E5241" s="140"/>
    </row>
    <row r="5242" spans="1:5">
      <c r="A5242" s="140"/>
      <c r="B5242" s="192"/>
      <c r="C5242" s="140"/>
      <c r="D5242" s="140"/>
      <c r="E5242" s="140"/>
    </row>
    <row r="5243" spans="1:5">
      <c r="A5243" s="140"/>
      <c r="B5243" s="192"/>
      <c r="C5243" s="140"/>
      <c r="D5243" s="140"/>
      <c r="E5243" s="140"/>
    </row>
    <row r="5244" spans="1:5">
      <c r="A5244" s="140"/>
      <c r="B5244" s="192"/>
      <c r="C5244" s="140"/>
      <c r="D5244" s="140"/>
      <c r="E5244" s="140"/>
    </row>
    <row r="5245" spans="1:5">
      <c r="A5245" s="140"/>
      <c r="B5245" s="192"/>
      <c r="C5245" s="140"/>
      <c r="D5245" s="140"/>
      <c r="E5245" s="140"/>
    </row>
    <row r="5246" spans="1:5">
      <c r="A5246" s="140"/>
      <c r="B5246" s="192"/>
      <c r="C5246" s="140"/>
      <c r="D5246" s="140"/>
      <c r="E5246" s="140"/>
    </row>
    <row r="5247" spans="1:5">
      <c r="A5247" s="140"/>
      <c r="B5247" s="192"/>
      <c r="C5247" s="140"/>
      <c r="D5247" s="140"/>
      <c r="E5247" s="140"/>
    </row>
    <row r="5248" spans="1:5">
      <c r="A5248" s="140"/>
      <c r="B5248" s="192"/>
      <c r="C5248" s="140"/>
      <c r="D5248" s="140"/>
      <c r="E5248" s="140"/>
    </row>
    <row r="5249" spans="1:5">
      <c r="A5249" s="140"/>
      <c r="B5249" s="192"/>
      <c r="C5249" s="140"/>
      <c r="D5249" s="140"/>
      <c r="E5249" s="140"/>
    </row>
    <row r="5250" spans="1:5">
      <c r="A5250" s="140"/>
      <c r="B5250" s="192"/>
      <c r="C5250" s="140"/>
      <c r="D5250" s="140"/>
      <c r="E5250" s="140"/>
    </row>
    <row r="5251" spans="1:5">
      <c r="A5251" s="140"/>
      <c r="B5251" s="192"/>
      <c r="C5251" s="140"/>
      <c r="D5251" s="140"/>
      <c r="E5251" s="140"/>
    </row>
    <row r="5252" spans="1:5">
      <c r="A5252" s="140"/>
      <c r="B5252" s="192"/>
      <c r="C5252" s="140"/>
      <c r="D5252" s="140"/>
      <c r="E5252" s="140"/>
    </row>
    <row r="5253" spans="1:5">
      <c r="A5253" s="140"/>
      <c r="B5253" s="192"/>
      <c r="C5253" s="140"/>
      <c r="D5253" s="140"/>
      <c r="E5253" s="140"/>
    </row>
    <row r="5254" spans="1:5">
      <c r="A5254" s="140"/>
      <c r="B5254" s="192"/>
      <c r="C5254" s="140"/>
      <c r="D5254" s="140"/>
      <c r="E5254" s="140"/>
    </row>
    <row r="5255" spans="1:5">
      <c r="A5255" s="140"/>
      <c r="B5255" s="192"/>
      <c r="C5255" s="140"/>
      <c r="D5255" s="140"/>
      <c r="E5255" s="140"/>
    </row>
    <row r="5256" spans="1:5">
      <c r="A5256" s="140"/>
      <c r="B5256" s="192"/>
      <c r="C5256" s="140"/>
      <c r="D5256" s="140"/>
      <c r="E5256" s="140"/>
    </row>
    <row r="5257" spans="1:5">
      <c r="A5257" s="140"/>
      <c r="B5257" s="192"/>
      <c r="C5257" s="140"/>
      <c r="D5257" s="140"/>
      <c r="E5257" s="140"/>
    </row>
    <row r="5258" spans="1:5">
      <c r="A5258" s="140"/>
      <c r="B5258" s="192"/>
      <c r="C5258" s="140"/>
      <c r="D5258" s="140"/>
      <c r="E5258" s="140"/>
    </row>
    <row r="5259" spans="1:5">
      <c r="A5259" s="140"/>
      <c r="B5259" s="192"/>
      <c r="C5259" s="140"/>
      <c r="D5259" s="140"/>
      <c r="E5259" s="140"/>
    </row>
    <row r="5260" spans="1:5">
      <c r="A5260" s="140"/>
      <c r="B5260" s="192"/>
      <c r="C5260" s="140"/>
      <c r="D5260" s="140"/>
      <c r="E5260" s="140"/>
    </row>
    <row r="5261" spans="1:5">
      <c r="A5261" s="140"/>
      <c r="B5261" s="192"/>
      <c r="C5261" s="140"/>
      <c r="D5261" s="140"/>
      <c r="E5261" s="140"/>
    </row>
    <row r="5262" spans="1:5">
      <c r="A5262" s="140"/>
      <c r="B5262" s="192"/>
      <c r="C5262" s="140"/>
      <c r="D5262" s="140"/>
      <c r="E5262" s="140"/>
    </row>
    <row r="5263" spans="1:5">
      <c r="A5263" s="140"/>
      <c r="B5263" s="192"/>
      <c r="C5263" s="140"/>
      <c r="D5263" s="140"/>
      <c r="E5263" s="140"/>
    </row>
    <row r="5264" spans="1:5">
      <c r="A5264" s="140"/>
      <c r="B5264" s="192"/>
      <c r="C5264" s="140"/>
      <c r="D5264" s="140"/>
      <c r="E5264" s="140"/>
    </row>
    <row r="5265" spans="1:5">
      <c r="A5265" s="140"/>
      <c r="B5265" s="192"/>
      <c r="C5265" s="140"/>
      <c r="D5265" s="140"/>
      <c r="E5265" s="140"/>
    </row>
    <row r="5266" spans="1:5">
      <c r="A5266" s="140"/>
      <c r="B5266" s="192"/>
      <c r="C5266" s="140"/>
      <c r="D5266" s="140"/>
      <c r="E5266" s="140"/>
    </row>
    <row r="5267" spans="1:5">
      <c r="A5267" s="140"/>
      <c r="B5267" s="192"/>
      <c r="C5267" s="140"/>
      <c r="D5267" s="140"/>
      <c r="E5267" s="140"/>
    </row>
    <row r="5268" spans="1:5">
      <c r="A5268" s="140"/>
      <c r="B5268" s="192"/>
      <c r="C5268" s="140"/>
      <c r="D5268" s="140"/>
      <c r="E5268" s="140"/>
    </row>
    <row r="5269" spans="1:5">
      <c r="A5269" s="140"/>
      <c r="B5269" s="192"/>
      <c r="C5269" s="140"/>
      <c r="D5269" s="140"/>
      <c r="E5269" s="140"/>
    </row>
    <row r="5270" spans="1:5">
      <c r="A5270" s="140"/>
      <c r="B5270" s="192"/>
      <c r="C5270" s="140"/>
      <c r="D5270" s="140"/>
      <c r="E5270" s="140"/>
    </row>
    <row r="5271" spans="1:5">
      <c r="A5271" s="140"/>
      <c r="B5271" s="192"/>
      <c r="C5271" s="140"/>
      <c r="D5271" s="140"/>
      <c r="E5271" s="140"/>
    </row>
    <row r="5272" spans="1:5">
      <c r="A5272" s="140"/>
      <c r="B5272" s="192"/>
      <c r="C5272" s="140"/>
      <c r="D5272" s="140"/>
      <c r="E5272" s="140"/>
    </row>
    <row r="5273" spans="1:5">
      <c r="A5273" s="140"/>
      <c r="B5273" s="192"/>
      <c r="C5273" s="140"/>
      <c r="D5273" s="140"/>
      <c r="E5273" s="140"/>
    </row>
    <row r="5274" spans="1:5">
      <c r="A5274" s="140"/>
      <c r="B5274" s="192"/>
      <c r="C5274" s="140"/>
      <c r="D5274" s="140"/>
      <c r="E5274" s="140"/>
    </row>
    <row r="5275" spans="1:5">
      <c r="A5275" s="140"/>
      <c r="B5275" s="192"/>
      <c r="C5275" s="140"/>
      <c r="D5275" s="140"/>
      <c r="E5275" s="140"/>
    </row>
    <row r="5276" spans="1:5">
      <c r="A5276" s="140"/>
      <c r="B5276" s="192"/>
      <c r="C5276" s="140"/>
      <c r="D5276" s="140"/>
      <c r="E5276" s="140"/>
    </row>
    <row r="5277" spans="1:5">
      <c r="A5277" s="140"/>
      <c r="B5277" s="192"/>
      <c r="C5277" s="140"/>
      <c r="D5277" s="140"/>
      <c r="E5277" s="140"/>
    </row>
    <row r="5278" spans="1:5">
      <c r="A5278" s="140"/>
      <c r="B5278" s="192"/>
      <c r="C5278" s="140"/>
      <c r="D5278" s="140"/>
      <c r="E5278" s="140"/>
    </row>
    <row r="5279" spans="1:5">
      <c r="A5279" s="140"/>
      <c r="B5279" s="192"/>
      <c r="C5279" s="140"/>
      <c r="D5279" s="140"/>
      <c r="E5279" s="140"/>
    </row>
    <row r="5280" spans="1:5">
      <c r="A5280" s="140"/>
      <c r="B5280" s="192"/>
      <c r="C5280" s="140"/>
      <c r="D5280" s="140"/>
      <c r="E5280" s="140"/>
    </row>
    <row r="5281" spans="1:5">
      <c r="A5281" s="140"/>
      <c r="B5281" s="192"/>
      <c r="C5281" s="140"/>
      <c r="D5281" s="140"/>
      <c r="E5281" s="140"/>
    </row>
    <row r="5282" spans="1:5">
      <c r="A5282" s="140"/>
      <c r="B5282" s="192"/>
      <c r="C5282" s="140"/>
      <c r="D5282" s="140"/>
      <c r="E5282" s="140"/>
    </row>
    <row r="5283" spans="1:5">
      <c r="A5283" s="140"/>
      <c r="B5283" s="192"/>
      <c r="C5283" s="140"/>
      <c r="D5283" s="140"/>
      <c r="E5283" s="140"/>
    </row>
    <row r="5284" spans="1:5">
      <c r="A5284" s="140"/>
      <c r="B5284" s="192"/>
      <c r="C5284" s="140"/>
      <c r="D5284" s="140"/>
      <c r="E5284" s="140"/>
    </row>
    <row r="5285" spans="1:5">
      <c r="A5285" s="140"/>
      <c r="B5285" s="192"/>
      <c r="C5285" s="140"/>
      <c r="D5285" s="140"/>
      <c r="E5285" s="140"/>
    </row>
    <row r="5286" spans="1:5">
      <c r="A5286" s="140"/>
      <c r="B5286" s="192"/>
      <c r="C5286" s="140"/>
      <c r="D5286" s="140"/>
      <c r="E5286" s="140"/>
    </row>
    <row r="5287" spans="1:5">
      <c r="A5287" s="140"/>
      <c r="B5287" s="192"/>
      <c r="C5287" s="140"/>
      <c r="D5287" s="140"/>
      <c r="E5287" s="140"/>
    </row>
    <row r="5288" spans="1:5">
      <c r="A5288" s="140"/>
      <c r="B5288" s="192"/>
      <c r="C5288" s="140"/>
      <c r="D5288" s="140"/>
      <c r="E5288" s="140"/>
    </row>
    <row r="5289" spans="1:5">
      <c r="A5289" s="140"/>
      <c r="B5289" s="192"/>
      <c r="C5289" s="140"/>
      <c r="D5289" s="140"/>
      <c r="E5289" s="140"/>
    </row>
    <row r="5290" spans="1:5">
      <c r="A5290" s="140"/>
      <c r="B5290" s="192"/>
      <c r="C5290" s="140"/>
      <c r="D5290" s="140"/>
      <c r="E5290" s="140"/>
    </row>
    <row r="5291" spans="1:5">
      <c r="A5291" s="140"/>
      <c r="B5291" s="192"/>
      <c r="C5291" s="140"/>
      <c r="D5291" s="140"/>
      <c r="E5291" s="140"/>
    </row>
    <row r="5292" spans="1:5">
      <c r="A5292" s="140"/>
      <c r="B5292" s="192"/>
      <c r="C5292" s="140"/>
      <c r="D5292" s="140"/>
      <c r="E5292" s="140"/>
    </row>
    <row r="5293" spans="1:5">
      <c r="A5293" s="140"/>
      <c r="B5293" s="192"/>
      <c r="C5293" s="140"/>
      <c r="D5293" s="140"/>
      <c r="E5293" s="140"/>
    </row>
    <row r="5294" spans="1:5">
      <c r="A5294" s="140"/>
      <c r="B5294" s="192"/>
      <c r="C5294" s="140"/>
      <c r="D5294" s="140"/>
      <c r="E5294" s="140"/>
    </row>
    <row r="5295" spans="1:5">
      <c r="A5295" s="140"/>
      <c r="B5295" s="192"/>
      <c r="C5295" s="140"/>
      <c r="D5295" s="140"/>
      <c r="E5295" s="140"/>
    </row>
    <row r="5296" spans="1:5">
      <c r="A5296" s="140"/>
      <c r="B5296" s="192"/>
      <c r="C5296" s="140"/>
      <c r="D5296" s="140"/>
      <c r="E5296" s="140"/>
    </row>
    <row r="5297" spans="1:5">
      <c r="A5297" s="140"/>
      <c r="B5297" s="192"/>
      <c r="C5297" s="140"/>
      <c r="D5297" s="140"/>
      <c r="E5297" s="140"/>
    </row>
    <row r="5298" spans="1:5">
      <c r="A5298" s="140"/>
      <c r="B5298" s="192"/>
      <c r="C5298" s="140"/>
      <c r="D5298" s="140"/>
      <c r="E5298" s="140"/>
    </row>
    <row r="5299" spans="1:5">
      <c r="A5299" s="140"/>
      <c r="B5299" s="192"/>
      <c r="C5299" s="140"/>
      <c r="D5299" s="140"/>
      <c r="E5299" s="140"/>
    </row>
    <row r="5300" spans="1:5">
      <c r="A5300" s="140"/>
      <c r="B5300" s="192"/>
      <c r="C5300" s="140"/>
      <c r="D5300" s="140"/>
      <c r="E5300" s="140"/>
    </row>
    <row r="5301" spans="1:5">
      <c r="A5301" s="140"/>
      <c r="B5301" s="192"/>
      <c r="C5301" s="140"/>
      <c r="D5301" s="140"/>
      <c r="E5301" s="140"/>
    </row>
    <row r="5302" spans="1:5">
      <c r="A5302" s="140"/>
      <c r="B5302" s="192"/>
      <c r="C5302" s="140"/>
      <c r="D5302" s="140"/>
      <c r="E5302" s="140"/>
    </row>
    <row r="5303" spans="1:5">
      <c r="A5303" s="140"/>
      <c r="B5303" s="192"/>
      <c r="C5303" s="140"/>
      <c r="D5303" s="140"/>
      <c r="E5303" s="140"/>
    </row>
    <row r="5304" spans="1:5">
      <c r="A5304" s="140"/>
      <c r="B5304" s="192"/>
      <c r="C5304" s="140"/>
      <c r="D5304" s="140"/>
      <c r="E5304" s="140"/>
    </row>
    <row r="5305" spans="1:5">
      <c r="A5305" s="140"/>
      <c r="B5305" s="192"/>
      <c r="C5305" s="140"/>
      <c r="D5305" s="140"/>
      <c r="E5305" s="140"/>
    </row>
    <row r="5306" spans="1:5">
      <c r="A5306" s="140"/>
      <c r="B5306" s="192"/>
      <c r="C5306" s="140"/>
      <c r="D5306" s="140"/>
      <c r="E5306" s="140"/>
    </row>
    <row r="5307" spans="1:5">
      <c r="A5307" s="140"/>
      <c r="B5307" s="192"/>
      <c r="C5307" s="140"/>
      <c r="D5307" s="140"/>
      <c r="E5307" s="140"/>
    </row>
    <row r="5308" spans="1:5">
      <c r="A5308" s="140"/>
      <c r="B5308" s="192"/>
      <c r="C5308" s="140"/>
      <c r="D5308" s="140"/>
      <c r="E5308" s="140"/>
    </row>
    <row r="5309" spans="1:5">
      <c r="A5309" s="140"/>
      <c r="B5309" s="192"/>
      <c r="C5309" s="140"/>
      <c r="D5309" s="140"/>
      <c r="E5309" s="140"/>
    </row>
    <row r="5310" spans="1:5">
      <c r="A5310" s="140"/>
      <c r="B5310" s="192"/>
      <c r="C5310" s="140"/>
      <c r="D5310" s="140"/>
      <c r="E5310" s="140"/>
    </row>
    <row r="5311" spans="1:5">
      <c r="A5311" s="140"/>
      <c r="B5311" s="192"/>
      <c r="C5311" s="140"/>
      <c r="D5311" s="140"/>
      <c r="E5311" s="140"/>
    </row>
    <row r="5312" spans="1:5">
      <c r="A5312" s="140"/>
      <c r="B5312" s="192"/>
      <c r="C5312" s="140"/>
      <c r="D5312" s="140"/>
      <c r="E5312" s="140"/>
    </row>
    <row r="5313" spans="1:5">
      <c r="A5313" s="140"/>
      <c r="B5313" s="192"/>
      <c r="C5313" s="140"/>
      <c r="D5313" s="140"/>
      <c r="E5313" s="140"/>
    </row>
    <row r="5314" spans="1:5">
      <c r="A5314" s="140"/>
      <c r="B5314" s="192"/>
      <c r="C5314" s="140"/>
      <c r="D5314" s="140"/>
      <c r="E5314" s="140"/>
    </row>
    <row r="5315" spans="1:5">
      <c r="A5315" s="140"/>
      <c r="B5315" s="192"/>
      <c r="C5315" s="140"/>
      <c r="D5315" s="140"/>
      <c r="E5315" s="140"/>
    </row>
    <row r="5316" spans="1:5">
      <c r="A5316" s="140"/>
      <c r="B5316" s="192"/>
      <c r="C5316" s="140"/>
      <c r="D5316" s="140"/>
      <c r="E5316" s="140"/>
    </row>
    <row r="5317" spans="1:5">
      <c r="A5317" s="140"/>
      <c r="B5317" s="192"/>
      <c r="C5317" s="140"/>
      <c r="D5317" s="140"/>
      <c r="E5317" s="140"/>
    </row>
    <row r="5318" spans="1:5">
      <c r="A5318" s="140"/>
      <c r="B5318" s="192"/>
      <c r="C5318" s="140"/>
      <c r="D5318" s="140"/>
      <c r="E5318" s="140"/>
    </row>
    <row r="5319" spans="1:5">
      <c r="A5319" s="140"/>
      <c r="B5319" s="192"/>
      <c r="C5319" s="140"/>
      <c r="D5319" s="140"/>
      <c r="E5319" s="140"/>
    </row>
    <row r="5320" spans="1:5">
      <c r="A5320" s="140"/>
      <c r="B5320" s="192"/>
      <c r="C5320" s="140"/>
      <c r="D5320" s="140"/>
      <c r="E5320" s="140"/>
    </row>
    <row r="5321" spans="1:5">
      <c r="A5321" s="140"/>
      <c r="B5321" s="192"/>
      <c r="C5321" s="140"/>
      <c r="D5321" s="140"/>
      <c r="E5321" s="140"/>
    </row>
    <row r="5322" spans="1:5">
      <c r="A5322" s="140"/>
      <c r="B5322" s="192"/>
      <c r="C5322" s="140"/>
      <c r="D5322" s="140"/>
      <c r="E5322" s="140"/>
    </row>
    <row r="5323" spans="1:5">
      <c r="A5323" s="140"/>
      <c r="B5323" s="192"/>
      <c r="C5323" s="140"/>
      <c r="D5323" s="140"/>
      <c r="E5323" s="140"/>
    </row>
    <row r="5324" spans="1:5">
      <c r="A5324" s="140"/>
      <c r="B5324" s="192"/>
      <c r="C5324" s="140"/>
      <c r="D5324" s="140"/>
      <c r="E5324" s="140"/>
    </row>
    <row r="5325" spans="1:5">
      <c r="A5325" s="140"/>
      <c r="B5325" s="192"/>
      <c r="C5325" s="140"/>
      <c r="D5325" s="140"/>
      <c r="E5325" s="140"/>
    </row>
    <row r="5326" spans="1:5">
      <c r="A5326" s="140"/>
      <c r="B5326" s="192"/>
      <c r="C5326" s="140"/>
      <c r="D5326" s="140"/>
      <c r="E5326" s="140"/>
    </row>
    <row r="5327" spans="1:5">
      <c r="A5327" s="140"/>
      <c r="B5327" s="192"/>
      <c r="C5327" s="140"/>
      <c r="D5327" s="140"/>
      <c r="E5327" s="140"/>
    </row>
    <row r="5328" spans="1:5">
      <c r="A5328" s="140"/>
      <c r="B5328" s="192"/>
      <c r="C5328" s="140"/>
      <c r="D5328" s="140"/>
      <c r="E5328" s="140"/>
    </row>
    <row r="5329" spans="1:5">
      <c r="A5329" s="140"/>
      <c r="B5329" s="192"/>
      <c r="C5329" s="140"/>
      <c r="D5329" s="140"/>
      <c r="E5329" s="140"/>
    </row>
    <row r="5330" spans="1:5">
      <c r="A5330" s="140"/>
      <c r="B5330" s="192"/>
      <c r="C5330" s="140"/>
      <c r="D5330" s="140"/>
      <c r="E5330" s="140"/>
    </row>
    <row r="5331" spans="1:5">
      <c r="A5331" s="140"/>
      <c r="B5331" s="192"/>
      <c r="C5331" s="140"/>
      <c r="D5331" s="140"/>
      <c r="E5331" s="140"/>
    </row>
    <row r="5332" spans="1:5">
      <c r="A5332" s="140"/>
      <c r="B5332" s="192"/>
      <c r="C5332" s="140"/>
      <c r="D5332" s="140"/>
      <c r="E5332" s="140"/>
    </row>
    <row r="5333" spans="1:5">
      <c r="A5333" s="140"/>
      <c r="B5333" s="192"/>
      <c r="C5333" s="140"/>
      <c r="D5333" s="140"/>
      <c r="E5333" s="140"/>
    </row>
    <row r="5334" spans="1:5">
      <c r="A5334" s="140"/>
      <c r="B5334" s="192"/>
      <c r="C5334" s="140"/>
      <c r="D5334" s="140"/>
      <c r="E5334" s="140"/>
    </row>
    <row r="5335" spans="1:5">
      <c r="A5335" s="140"/>
      <c r="B5335" s="192"/>
      <c r="C5335" s="140"/>
      <c r="D5335" s="140"/>
      <c r="E5335" s="140"/>
    </row>
    <row r="5336" spans="1:5">
      <c r="A5336" s="140"/>
      <c r="B5336" s="192"/>
      <c r="C5336" s="140"/>
      <c r="D5336" s="140"/>
      <c r="E5336" s="140"/>
    </row>
    <row r="5337" spans="1:5">
      <c r="A5337" s="140"/>
      <c r="B5337" s="192"/>
      <c r="C5337" s="140"/>
      <c r="D5337" s="140"/>
      <c r="E5337" s="140"/>
    </row>
    <row r="5338" spans="1:5">
      <c r="A5338" s="140"/>
      <c r="B5338" s="192"/>
      <c r="C5338" s="140"/>
      <c r="D5338" s="140"/>
      <c r="E5338" s="140"/>
    </row>
    <row r="5339" spans="1:5">
      <c r="A5339" s="140"/>
      <c r="B5339" s="192"/>
      <c r="C5339" s="140"/>
      <c r="D5339" s="140"/>
      <c r="E5339" s="140"/>
    </row>
    <row r="5340" spans="1:5">
      <c r="A5340" s="140"/>
      <c r="B5340" s="192"/>
      <c r="C5340" s="140"/>
      <c r="D5340" s="140"/>
      <c r="E5340" s="140"/>
    </row>
    <row r="5341" spans="1:5">
      <c r="A5341" s="140"/>
      <c r="B5341" s="192"/>
      <c r="C5341" s="140"/>
      <c r="D5341" s="140"/>
      <c r="E5341" s="140"/>
    </row>
    <row r="5342" spans="1:5">
      <c r="A5342" s="140"/>
      <c r="B5342" s="192"/>
      <c r="C5342" s="140"/>
      <c r="D5342" s="140"/>
      <c r="E5342" s="140"/>
    </row>
    <row r="5343" spans="1:5">
      <c r="A5343" s="140"/>
      <c r="B5343" s="192"/>
      <c r="C5343" s="140"/>
      <c r="D5343" s="140"/>
      <c r="E5343" s="140"/>
    </row>
    <row r="5344" spans="1:5">
      <c r="A5344" s="140"/>
      <c r="B5344" s="192"/>
      <c r="C5344" s="140"/>
      <c r="D5344" s="140"/>
      <c r="E5344" s="140"/>
    </row>
    <row r="5345" spans="1:5">
      <c r="A5345" s="140"/>
      <c r="B5345" s="192"/>
      <c r="C5345" s="140"/>
      <c r="D5345" s="140"/>
      <c r="E5345" s="140"/>
    </row>
    <row r="5346" spans="1:5">
      <c r="A5346" s="140"/>
      <c r="B5346" s="192"/>
      <c r="C5346" s="140"/>
      <c r="D5346" s="140"/>
      <c r="E5346" s="140"/>
    </row>
    <row r="5347" spans="1:5">
      <c r="A5347" s="140"/>
      <c r="B5347" s="192"/>
      <c r="C5347" s="140"/>
      <c r="D5347" s="140"/>
      <c r="E5347" s="140"/>
    </row>
    <row r="5348" spans="1:5">
      <c r="A5348" s="140"/>
      <c r="B5348" s="192"/>
      <c r="C5348" s="140"/>
      <c r="D5348" s="140"/>
      <c r="E5348" s="140"/>
    </row>
    <row r="5349" spans="1:5">
      <c r="A5349" s="140"/>
      <c r="B5349" s="192"/>
      <c r="C5349" s="140"/>
      <c r="D5349" s="140"/>
      <c r="E5349" s="140"/>
    </row>
    <row r="5350" spans="1:5">
      <c r="A5350" s="140"/>
      <c r="B5350" s="192"/>
      <c r="C5350" s="140"/>
      <c r="D5350" s="140"/>
      <c r="E5350" s="140"/>
    </row>
    <row r="5351" spans="1:5">
      <c r="A5351" s="140"/>
      <c r="B5351" s="192"/>
      <c r="C5351" s="140"/>
      <c r="D5351" s="140"/>
      <c r="E5351" s="140"/>
    </row>
    <row r="5352" spans="1:5">
      <c r="A5352" s="140"/>
      <c r="B5352" s="192"/>
      <c r="C5352" s="140"/>
      <c r="D5352" s="140"/>
      <c r="E5352" s="140"/>
    </row>
    <row r="5353" spans="1:5">
      <c r="A5353" s="140"/>
      <c r="B5353" s="192"/>
      <c r="C5353" s="140"/>
      <c r="D5353" s="140"/>
      <c r="E5353" s="140"/>
    </row>
    <row r="5354" spans="1:5">
      <c r="A5354" s="140"/>
      <c r="B5354" s="192"/>
      <c r="C5354" s="140"/>
      <c r="D5354" s="140"/>
      <c r="E5354" s="140"/>
    </row>
    <row r="5355" spans="1:5">
      <c r="A5355" s="140"/>
      <c r="B5355" s="192"/>
      <c r="C5355" s="140"/>
      <c r="D5355" s="140"/>
      <c r="E5355" s="140"/>
    </row>
    <row r="5356" spans="1:5">
      <c r="A5356" s="140"/>
      <c r="B5356" s="192"/>
      <c r="C5356" s="140"/>
      <c r="D5356" s="140"/>
      <c r="E5356" s="140"/>
    </row>
    <row r="5357" spans="1:5">
      <c r="A5357" s="140"/>
      <c r="B5357" s="192"/>
      <c r="C5357" s="140"/>
      <c r="D5357" s="140"/>
      <c r="E5357" s="140"/>
    </row>
    <row r="5358" spans="1:5">
      <c r="A5358" s="140"/>
      <c r="B5358" s="192"/>
      <c r="C5358" s="140"/>
      <c r="D5358" s="140"/>
      <c r="E5358" s="140"/>
    </row>
    <row r="5359" spans="1:5">
      <c r="A5359" s="140"/>
      <c r="B5359" s="192"/>
      <c r="C5359" s="140"/>
      <c r="D5359" s="140"/>
      <c r="E5359" s="140"/>
    </row>
    <row r="5360" spans="1:5">
      <c r="A5360" s="140"/>
      <c r="B5360" s="192"/>
      <c r="C5360" s="140"/>
      <c r="D5360" s="140"/>
      <c r="E5360" s="140"/>
    </row>
    <row r="5361" spans="1:5">
      <c r="A5361" s="140"/>
      <c r="B5361" s="192"/>
      <c r="C5361" s="140"/>
      <c r="D5361" s="140"/>
      <c r="E5361" s="140"/>
    </row>
    <row r="5362" spans="1:5">
      <c r="A5362" s="140"/>
      <c r="B5362" s="192"/>
      <c r="C5362" s="140"/>
      <c r="D5362" s="140"/>
      <c r="E5362" s="140"/>
    </row>
    <row r="5363" spans="1:5">
      <c r="A5363" s="140"/>
      <c r="B5363" s="192"/>
      <c r="C5363" s="140"/>
      <c r="D5363" s="140"/>
      <c r="E5363" s="140"/>
    </row>
    <row r="5364" spans="1:5">
      <c r="A5364" s="140"/>
      <c r="B5364" s="192"/>
      <c r="C5364" s="140"/>
      <c r="D5364" s="140"/>
      <c r="E5364" s="140"/>
    </row>
    <row r="5365" spans="1:5">
      <c r="A5365" s="140"/>
      <c r="B5365" s="192"/>
      <c r="C5365" s="140"/>
      <c r="D5365" s="140"/>
      <c r="E5365" s="140"/>
    </row>
    <row r="5366" spans="1:5">
      <c r="A5366" s="140"/>
      <c r="B5366" s="192"/>
      <c r="C5366" s="140"/>
      <c r="D5366" s="140"/>
      <c r="E5366" s="140"/>
    </row>
    <row r="5367" spans="1:5">
      <c r="A5367" s="140"/>
      <c r="B5367" s="192"/>
      <c r="C5367" s="140"/>
      <c r="D5367" s="140"/>
      <c r="E5367" s="140"/>
    </row>
    <row r="5368" spans="1:5">
      <c r="A5368" s="140"/>
      <c r="B5368" s="192"/>
      <c r="C5368" s="140"/>
      <c r="D5368" s="140"/>
      <c r="E5368" s="140"/>
    </row>
    <row r="5369" spans="1:5">
      <c r="A5369" s="140"/>
      <c r="B5369" s="192"/>
      <c r="C5369" s="140"/>
      <c r="D5369" s="140"/>
      <c r="E5369" s="140"/>
    </row>
    <row r="5370" spans="1:5">
      <c r="A5370" s="140"/>
      <c r="B5370" s="192"/>
      <c r="C5370" s="140"/>
      <c r="D5370" s="140"/>
      <c r="E5370" s="140"/>
    </row>
    <row r="5371" spans="1:5">
      <c r="A5371" s="140"/>
      <c r="B5371" s="192"/>
      <c r="C5371" s="140"/>
      <c r="D5371" s="140"/>
      <c r="E5371" s="140"/>
    </row>
    <row r="5372" spans="1:5">
      <c r="A5372" s="140"/>
      <c r="B5372" s="192"/>
      <c r="C5372" s="140"/>
      <c r="D5372" s="140"/>
      <c r="E5372" s="140"/>
    </row>
    <row r="5373" spans="1:5">
      <c r="A5373" s="140"/>
      <c r="B5373" s="192"/>
      <c r="C5373" s="140"/>
      <c r="D5373" s="140"/>
      <c r="E5373" s="140"/>
    </row>
    <row r="5374" spans="1:5">
      <c r="A5374" s="140"/>
      <c r="B5374" s="192"/>
      <c r="C5374" s="140"/>
      <c r="D5374" s="140"/>
      <c r="E5374" s="140"/>
    </row>
    <row r="5375" spans="1:5">
      <c r="A5375" s="140"/>
      <c r="B5375" s="192"/>
      <c r="C5375" s="140"/>
      <c r="D5375" s="140"/>
      <c r="E5375" s="140"/>
    </row>
    <row r="5376" spans="1:5">
      <c r="A5376" s="140"/>
      <c r="B5376" s="192"/>
      <c r="C5376" s="140"/>
      <c r="D5376" s="140"/>
      <c r="E5376" s="140"/>
    </row>
    <row r="5377" spans="1:5">
      <c r="A5377" s="140"/>
      <c r="B5377" s="192"/>
      <c r="C5377" s="140"/>
      <c r="D5377" s="140"/>
      <c r="E5377" s="140"/>
    </row>
    <row r="5378" spans="1:5">
      <c r="A5378" s="140"/>
      <c r="B5378" s="192"/>
      <c r="C5378" s="140"/>
      <c r="D5378" s="140"/>
      <c r="E5378" s="140"/>
    </row>
    <row r="5379" spans="1:5">
      <c r="A5379" s="140"/>
      <c r="B5379" s="192"/>
      <c r="C5379" s="140"/>
      <c r="D5379" s="140"/>
      <c r="E5379" s="140"/>
    </row>
    <row r="5380" spans="1:5">
      <c r="A5380" s="140"/>
      <c r="B5380" s="192"/>
      <c r="C5380" s="140"/>
      <c r="D5380" s="140"/>
      <c r="E5380" s="140"/>
    </row>
    <row r="5381" spans="1:5">
      <c r="A5381" s="140"/>
      <c r="B5381" s="192"/>
      <c r="C5381" s="140"/>
      <c r="D5381" s="140"/>
      <c r="E5381" s="140"/>
    </row>
    <row r="5382" spans="1:5">
      <c r="A5382" s="140"/>
      <c r="B5382" s="192"/>
      <c r="C5382" s="140"/>
      <c r="D5382" s="140"/>
      <c r="E5382" s="140"/>
    </row>
    <row r="5383" spans="1:5">
      <c r="A5383" s="140"/>
      <c r="B5383" s="192"/>
      <c r="C5383" s="140"/>
      <c r="D5383" s="140"/>
      <c r="E5383" s="140"/>
    </row>
    <row r="5384" spans="1:5">
      <c r="A5384" s="140"/>
      <c r="B5384" s="192"/>
      <c r="C5384" s="140"/>
      <c r="D5384" s="140"/>
      <c r="E5384" s="140"/>
    </row>
    <row r="5385" spans="1:5">
      <c r="A5385" s="140"/>
      <c r="B5385" s="192"/>
      <c r="C5385" s="140"/>
      <c r="D5385" s="140"/>
      <c r="E5385" s="140"/>
    </row>
    <row r="5386" spans="1:5">
      <c r="A5386" s="140"/>
      <c r="B5386" s="192"/>
      <c r="C5386" s="140"/>
      <c r="D5386" s="140"/>
      <c r="E5386" s="140"/>
    </row>
    <row r="5387" spans="1:5">
      <c r="A5387" s="140"/>
      <c r="B5387" s="192"/>
      <c r="C5387" s="140"/>
      <c r="D5387" s="140"/>
      <c r="E5387" s="140"/>
    </row>
    <row r="5388" spans="1:5">
      <c r="A5388" s="140"/>
      <c r="B5388" s="192"/>
      <c r="C5388" s="140"/>
      <c r="D5388" s="140"/>
      <c r="E5388" s="140"/>
    </row>
    <row r="5389" spans="1:5">
      <c r="A5389" s="140"/>
      <c r="B5389" s="192"/>
      <c r="C5389" s="140"/>
      <c r="D5389" s="140"/>
      <c r="E5389" s="140"/>
    </row>
    <row r="5390" spans="1:5">
      <c r="A5390" s="140"/>
      <c r="B5390" s="192"/>
      <c r="C5390" s="140"/>
      <c r="D5390" s="140"/>
      <c r="E5390" s="140"/>
    </row>
    <row r="5391" spans="1:5">
      <c r="A5391" s="140"/>
      <c r="B5391" s="192"/>
      <c r="C5391" s="140"/>
      <c r="D5391" s="140"/>
      <c r="E5391" s="140"/>
    </row>
    <row r="5392" spans="1:5">
      <c r="A5392" s="140"/>
      <c r="B5392" s="192"/>
      <c r="C5392" s="140"/>
      <c r="D5392" s="140"/>
      <c r="E5392" s="140"/>
    </row>
    <row r="5393" spans="1:5">
      <c r="A5393" s="140"/>
      <c r="B5393" s="192"/>
      <c r="C5393" s="140"/>
      <c r="D5393" s="140"/>
      <c r="E5393" s="140"/>
    </row>
    <row r="5394" spans="1:5">
      <c r="A5394" s="140"/>
      <c r="B5394" s="192"/>
      <c r="C5394" s="140"/>
      <c r="D5394" s="140"/>
      <c r="E5394" s="140"/>
    </row>
    <row r="5395" spans="1:5">
      <c r="A5395" s="140"/>
      <c r="B5395" s="192"/>
      <c r="C5395" s="140"/>
      <c r="D5395" s="140"/>
      <c r="E5395" s="140"/>
    </row>
    <row r="5396" spans="1:5">
      <c r="A5396" s="140"/>
      <c r="B5396" s="192"/>
      <c r="C5396" s="140"/>
      <c r="D5396" s="140"/>
      <c r="E5396" s="140"/>
    </row>
    <row r="5397" spans="1:5">
      <c r="A5397" s="140"/>
      <c r="B5397" s="192"/>
      <c r="C5397" s="140"/>
      <c r="D5397" s="140"/>
      <c r="E5397" s="140"/>
    </row>
    <row r="5398" spans="1:5">
      <c r="A5398" s="140"/>
      <c r="B5398" s="192"/>
      <c r="C5398" s="140"/>
      <c r="D5398" s="140"/>
      <c r="E5398" s="140"/>
    </row>
    <row r="5399" spans="1:5">
      <c r="A5399" s="140"/>
      <c r="B5399" s="192"/>
      <c r="C5399" s="140"/>
      <c r="D5399" s="140"/>
      <c r="E5399" s="140"/>
    </row>
    <row r="5400" spans="1:5">
      <c r="A5400" s="140"/>
      <c r="B5400" s="192"/>
      <c r="C5400" s="140"/>
      <c r="D5400" s="140"/>
      <c r="E5400" s="140"/>
    </row>
    <row r="5401" spans="1:5">
      <c r="A5401" s="140"/>
      <c r="B5401" s="192"/>
      <c r="C5401" s="140"/>
      <c r="D5401" s="140"/>
      <c r="E5401" s="140"/>
    </row>
    <row r="5402" spans="1:5">
      <c r="A5402" s="140"/>
      <c r="B5402" s="192"/>
      <c r="C5402" s="140"/>
      <c r="D5402" s="140"/>
      <c r="E5402" s="140"/>
    </row>
    <row r="5403" spans="1:5">
      <c r="A5403" s="140"/>
      <c r="B5403" s="192"/>
      <c r="C5403" s="140"/>
      <c r="D5403" s="140"/>
      <c r="E5403" s="140"/>
    </row>
    <row r="5404" spans="1:5">
      <c r="A5404" s="140"/>
      <c r="B5404" s="192"/>
      <c r="C5404" s="140"/>
      <c r="D5404" s="140"/>
      <c r="E5404" s="140"/>
    </row>
    <row r="5405" spans="1:5">
      <c r="A5405" s="140"/>
      <c r="B5405" s="192"/>
      <c r="C5405" s="140"/>
      <c r="D5405" s="140"/>
      <c r="E5405" s="140"/>
    </row>
    <row r="5406" spans="1:5">
      <c r="A5406" s="140"/>
      <c r="B5406" s="192"/>
      <c r="C5406" s="140"/>
      <c r="D5406" s="140"/>
      <c r="E5406" s="140"/>
    </row>
    <row r="5407" spans="1:5">
      <c r="A5407" s="140"/>
      <c r="B5407" s="192"/>
      <c r="C5407" s="140"/>
      <c r="D5407" s="140"/>
      <c r="E5407" s="140"/>
    </row>
    <row r="5408" spans="1:5">
      <c r="A5408" s="140"/>
      <c r="B5408" s="192"/>
      <c r="C5408" s="140"/>
      <c r="D5408" s="140"/>
      <c r="E5408" s="140"/>
    </row>
    <row r="5409" spans="1:5">
      <c r="A5409" s="140"/>
      <c r="B5409" s="192"/>
      <c r="C5409" s="140"/>
      <c r="D5409" s="140"/>
      <c r="E5409" s="140"/>
    </row>
    <row r="5410" spans="1:5">
      <c r="A5410" s="140"/>
      <c r="B5410" s="192"/>
      <c r="C5410" s="140"/>
      <c r="D5410" s="140"/>
      <c r="E5410" s="140"/>
    </row>
    <row r="5411" spans="1:5">
      <c r="A5411" s="140"/>
      <c r="B5411" s="192"/>
      <c r="C5411" s="140"/>
      <c r="D5411" s="140"/>
      <c r="E5411" s="140"/>
    </row>
    <row r="5412" spans="1:5">
      <c r="A5412" s="140"/>
      <c r="B5412" s="192"/>
      <c r="C5412" s="140"/>
      <c r="D5412" s="140"/>
      <c r="E5412" s="140"/>
    </row>
    <row r="5413" spans="1:5">
      <c r="A5413" s="140"/>
      <c r="B5413" s="192"/>
      <c r="C5413" s="140"/>
      <c r="D5413" s="140"/>
      <c r="E5413" s="140"/>
    </row>
    <row r="5414" spans="1:5">
      <c r="A5414" s="140"/>
      <c r="B5414" s="192"/>
      <c r="C5414" s="140"/>
      <c r="D5414" s="140"/>
      <c r="E5414" s="140"/>
    </row>
    <row r="5415" spans="1:5">
      <c r="A5415" s="140"/>
      <c r="B5415" s="192"/>
      <c r="C5415" s="140"/>
      <c r="D5415" s="140"/>
      <c r="E5415" s="140"/>
    </row>
    <row r="5416" spans="1:5">
      <c r="A5416" s="140"/>
      <c r="B5416" s="192"/>
      <c r="C5416" s="140"/>
      <c r="D5416" s="140"/>
      <c r="E5416" s="140"/>
    </row>
    <row r="5417" spans="1:5">
      <c r="A5417" s="140"/>
      <c r="B5417" s="192"/>
      <c r="C5417" s="140"/>
      <c r="D5417" s="140"/>
      <c r="E5417" s="140"/>
    </row>
    <row r="5418" spans="1:5">
      <c r="A5418" s="140"/>
      <c r="B5418" s="192"/>
      <c r="C5418" s="140"/>
      <c r="D5418" s="140"/>
      <c r="E5418" s="140"/>
    </row>
    <row r="5419" spans="1:5">
      <c r="A5419" s="140"/>
      <c r="B5419" s="192"/>
      <c r="C5419" s="140"/>
      <c r="D5419" s="140"/>
      <c r="E5419" s="140"/>
    </row>
    <row r="5420" spans="1:5">
      <c r="A5420" s="140"/>
      <c r="B5420" s="192"/>
      <c r="C5420" s="140"/>
      <c r="D5420" s="140"/>
      <c r="E5420" s="140"/>
    </row>
    <row r="5421" spans="1:5">
      <c r="A5421" s="140"/>
      <c r="B5421" s="192"/>
      <c r="C5421" s="140"/>
      <c r="D5421" s="140"/>
      <c r="E5421" s="140"/>
    </row>
    <row r="5422" spans="1:5">
      <c r="A5422" s="140"/>
      <c r="B5422" s="192"/>
      <c r="C5422" s="140"/>
      <c r="D5422" s="140"/>
      <c r="E5422" s="140"/>
    </row>
    <row r="5423" spans="1:5">
      <c r="A5423" s="140"/>
      <c r="B5423" s="192"/>
      <c r="C5423" s="140"/>
      <c r="D5423" s="140"/>
      <c r="E5423" s="140"/>
    </row>
    <row r="5424" spans="1:5">
      <c r="A5424" s="140"/>
      <c r="B5424" s="192"/>
      <c r="C5424" s="140"/>
      <c r="D5424" s="140"/>
      <c r="E5424" s="140"/>
    </row>
    <row r="5425" spans="1:5">
      <c r="A5425" s="140"/>
      <c r="B5425" s="192"/>
      <c r="C5425" s="140"/>
      <c r="D5425" s="140"/>
      <c r="E5425" s="140"/>
    </row>
    <row r="5426" spans="1:5">
      <c r="A5426" s="140"/>
      <c r="B5426" s="192"/>
      <c r="C5426" s="140"/>
      <c r="D5426" s="140"/>
      <c r="E5426" s="140"/>
    </row>
    <row r="5427" spans="1:5">
      <c r="A5427" s="140"/>
      <c r="B5427" s="192"/>
      <c r="C5427" s="140"/>
      <c r="D5427" s="140"/>
      <c r="E5427" s="140"/>
    </row>
    <row r="5428" spans="1:5">
      <c r="A5428" s="140"/>
      <c r="B5428" s="192"/>
      <c r="C5428" s="140"/>
      <c r="D5428" s="140"/>
      <c r="E5428" s="140"/>
    </row>
    <row r="5429" spans="1:5">
      <c r="A5429" s="140"/>
      <c r="B5429" s="192"/>
      <c r="C5429" s="140"/>
      <c r="D5429" s="140"/>
      <c r="E5429" s="140"/>
    </row>
    <row r="5430" spans="1:5">
      <c r="A5430" s="140"/>
      <c r="B5430" s="192"/>
      <c r="C5430" s="140"/>
      <c r="D5430" s="140"/>
      <c r="E5430" s="140"/>
    </row>
    <row r="5431" spans="1:5">
      <c r="A5431" s="140"/>
      <c r="B5431" s="192"/>
      <c r="C5431" s="140"/>
      <c r="D5431" s="140"/>
      <c r="E5431" s="140"/>
    </row>
    <row r="5432" spans="1:5">
      <c r="A5432" s="140"/>
      <c r="B5432" s="192"/>
      <c r="C5432" s="140"/>
      <c r="D5432" s="140"/>
      <c r="E5432" s="140"/>
    </row>
    <row r="5433" spans="1:5">
      <c r="A5433" s="140"/>
      <c r="B5433" s="192"/>
      <c r="C5433" s="140"/>
      <c r="D5433" s="140"/>
      <c r="E5433" s="140"/>
    </row>
    <row r="5434" spans="1:5">
      <c r="A5434" s="140"/>
      <c r="B5434" s="192"/>
      <c r="C5434" s="140"/>
      <c r="D5434" s="140"/>
      <c r="E5434" s="140"/>
    </row>
    <row r="5435" spans="1:5">
      <c r="A5435" s="140"/>
      <c r="B5435" s="192"/>
      <c r="C5435" s="140"/>
      <c r="D5435" s="140"/>
      <c r="E5435" s="140"/>
    </row>
    <row r="5436" spans="1:5">
      <c r="A5436" s="140"/>
      <c r="B5436" s="192"/>
      <c r="C5436" s="140"/>
      <c r="D5436" s="140"/>
      <c r="E5436" s="140"/>
    </row>
    <row r="5437" spans="1:5">
      <c r="A5437" s="140"/>
      <c r="B5437" s="192"/>
      <c r="C5437" s="140"/>
      <c r="D5437" s="140"/>
      <c r="E5437" s="140"/>
    </row>
    <row r="5438" spans="1:5">
      <c r="A5438" s="140"/>
      <c r="B5438" s="192"/>
      <c r="C5438" s="140"/>
      <c r="D5438" s="140"/>
      <c r="E5438" s="140"/>
    </row>
    <row r="5439" spans="1:5">
      <c r="A5439" s="140"/>
      <c r="B5439" s="192"/>
      <c r="C5439" s="140"/>
      <c r="D5439" s="140"/>
      <c r="E5439" s="140"/>
    </row>
    <row r="5440" spans="1:5">
      <c r="A5440" s="140"/>
      <c r="B5440" s="192"/>
      <c r="C5440" s="140"/>
      <c r="D5440" s="140"/>
      <c r="E5440" s="140"/>
    </row>
    <row r="5441" spans="1:5">
      <c r="A5441" s="140"/>
      <c r="B5441" s="192"/>
      <c r="C5441" s="140"/>
      <c r="D5441" s="140"/>
      <c r="E5441" s="140"/>
    </row>
    <row r="5442" spans="1:5">
      <c r="A5442" s="140"/>
      <c r="B5442" s="192"/>
      <c r="C5442" s="140"/>
      <c r="D5442" s="140"/>
      <c r="E5442" s="140"/>
    </row>
    <row r="5443" spans="1:5">
      <c r="A5443" s="140"/>
      <c r="B5443" s="192"/>
      <c r="C5443" s="140"/>
      <c r="D5443" s="140"/>
      <c r="E5443" s="140"/>
    </row>
    <row r="5444" spans="1:5">
      <c r="A5444" s="140"/>
      <c r="B5444" s="192"/>
      <c r="C5444" s="140"/>
      <c r="D5444" s="140"/>
      <c r="E5444" s="140"/>
    </row>
    <row r="5445" spans="1:5">
      <c r="A5445" s="140"/>
      <c r="B5445" s="192"/>
      <c r="C5445" s="140"/>
      <c r="D5445" s="140"/>
      <c r="E5445" s="140"/>
    </row>
    <row r="5446" spans="1:5">
      <c r="A5446" s="140"/>
      <c r="B5446" s="192"/>
      <c r="C5446" s="140"/>
      <c r="D5446" s="140"/>
      <c r="E5446" s="140"/>
    </row>
    <row r="5447" spans="1:5">
      <c r="A5447" s="140"/>
      <c r="B5447" s="192"/>
      <c r="C5447" s="140"/>
      <c r="D5447" s="140"/>
      <c r="E5447" s="140"/>
    </row>
    <row r="5448" spans="1:5">
      <c r="A5448" s="140"/>
      <c r="B5448" s="192"/>
      <c r="C5448" s="140"/>
      <c r="D5448" s="140"/>
      <c r="E5448" s="140"/>
    </row>
    <row r="5449" spans="1:5">
      <c r="A5449" s="140"/>
      <c r="B5449" s="192"/>
      <c r="C5449" s="140"/>
      <c r="D5449" s="140"/>
      <c r="E5449" s="140"/>
    </row>
    <row r="5450" spans="1:5">
      <c r="A5450" s="140"/>
      <c r="B5450" s="192"/>
      <c r="C5450" s="140"/>
      <c r="D5450" s="140"/>
      <c r="E5450" s="140"/>
    </row>
    <row r="5451" spans="1:5">
      <c r="A5451" s="140"/>
      <c r="B5451" s="192"/>
      <c r="C5451" s="140"/>
      <c r="D5451" s="140"/>
      <c r="E5451" s="140"/>
    </row>
    <row r="5452" spans="1:5">
      <c r="A5452" s="140"/>
      <c r="B5452" s="192"/>
      <c r="C5452" s="140"/>
      <c r="D5452" s="140"/>
      <c r="E5452" s="140"/>
    </row>
    <row r="5453" spans="1:5">
      <c r="A5453" s="140"/>
      <c r="B5453" s="192"/>
      <c r="C5453" s="140"/>
      <c r="D5453" s="140"/>
      <c r="E5453" s="140"/>
    </row>
    <row r="5454" spans="1:5">
      <c r="A5454" s="140"/>
      <c r="B5454" s="192"/>
      <c r="C5454" s="140"/>
      <c r="D5454" s="140"/>
      <c r="E5454" s="140"/>
    </row>
    <row r="5455" spans="1:5">
      <c r="A5455" s="140"/>
      <c r="B5455" s="192"/>
      <c r="C5455" s="140"/>
      <c r="D5455" s="140"/>
      <c r="E5455" s="140"/>
    </row>
    <row r="5456" spans="1:5">
      <c r="A5456" s="140"/>
      <c r="B5456" s="192"/>
      <c r="C5456" s="140"/>
      <c r="D5456" s="140"/>
      <c r="E5456" s="140"/>
    </row>
    <row r="5457" spans="1:5">
      <c r="A5457" s="140"/>
      <c r="B5457" s="192"/>
      <c r="C5457" s="140"/>
      <c r="D5457" s="140"/>
      <c r="E5457" s="140"/>
    </row>
    <row r="5458" spans="1:5">
      <c r="A5458" s="140"/>
      <c r="B5458" s="192"/>
      <c r="C5458" s="140"/>
      <c r="D5458" s="140"/>
      <c r="E5458" s="140"/>
    </row>
    <row r="5459" spans="1:5">
      <c r="A5459" s="140"/>
      <c r="B5459" s="192"/>
      <c r="C5459" s="140"/>
      <c r="D5459" s="140"/>
      <c r="E5459" s="140"/>
    </row>
    <row r="5460" spans="1:5">
      <c r="A5460" s="140"/>
      <c r="B5460" s="192"/>
      <c r="C5460" s="140"/>
      <c r="D5460" s="140"/>
      <c r="E5460" s="140"/>
    </row>
    <row r="5461" spans="1:5">
      <c r="A5461" s="140"/>
      <c r="B5461" s="192"/>
      <c r="C5461" s="140"/>
      <c r="D5461" s="140"/>
      <c r="E5461" s="140"/>
    </row>
    <row r="5462" spans="1:5">
      <c r="A5462" s="140"/>
      <c r="B5462" s="192"/>
      <c r="C5462" s="140"/>
      <c r="D5462" s="140"/>
      <c r="E5462" s="140"/>
    </row>
    <row r="5463" spans="1:5">
      <c r="A5463" s="140"/>
      <c r="B5463" s="192"/>
      <c r="C5463" s="140"/>
      <c r="D5463" s="140"/>
      <c r="E5463" s="140"/>
    </row>
    <row r="5464" spans="1:5">
      <c r="A5464" s="140"/>
      <c r="B5464" s="192"/>
      <c r="C5464" s="140"/>
      <c r="D5464" s="140"/>
      <c r="E5464" s="140"/>
    </row>
    <row r="5465" spans="1:5">
      <c r="A5465" s="140"/>
      <c r="B5465" s="192"/>
      <c r="C5465" s="140"/>
      <c r="D5465" s="140"/>
      <c r="E5465" s="140"/>
    </row>
    <row r="5466" spans="1:5">
      <c r="A5466" s="140"/>
      <c r="B5466" s="192"/>
      <c r="C5466" s="140"/>
      <c r="D5466" s="140"/>
      <c r="E5466" s="140"/>
    </row>
    <row r="5467" spans="1:5">
      <c r="A5467" s="140"/>
      <c r="B5467" s="192"/>
      <c r="C5467" s="140"/>
      <c r="D5467" s="140"/>
      <c r="E5467" s="140"/>
    </row>
    <row r="5468" spans="1:5">
      <c r="A5468" s="140"/>
      <c r="B5468" s="192"/>
      <c r="C5468" s="140"/>
      <c r="D5468" s="140"/>
      <c r="E5468" s="140"/>
    </row>
    <row r="5469" spans="1:5">
      <c r="A5469" s="140"/>
      <c r="B5469" s="192"/>
      <c r="C5469" s="140"/>
      <c r="D5469" s="140"/>
      <c r="E5469" s="140"/>
    </row>
    <row r="5470" spans="1:5">
      <c r="A5470" s="140"/>
      <c r="B5470" s="192"/>
      <c r="C5470" s="140"/>
      <c r="D5470" s="140"/>
      <c r="E5470" s="140"/>
    </row>
    <row r="5471" spans="1:5">
      <c r="A5471" s="140"/>
      <c r="B5471" s="192"/>
      <c r="C5471" s="140"/>
      <c r="D5471" s="140"/>
      <c r="E5471" s="140"/>
    </row>
    <row r="5472" spans="1:5">
      <c r="A5472" s="140"/>
      <c r="B5472" s="192"/>
      <c r="C5472" s="140"/>
      <c r="D5472" s="140"/>
      <c r="E5472" s="140"/>
    </row>
    <row r="5473" spans="1:5">
      <c r="A5473" s="140"/>
      <c r="B5473" s="192"/>
      <c r="C5473" s="140"/>
      <c r="D5473" s="140"/>
      <c r="E5473" s="140"/>
    </row>
    <row r="5474" spans="1:5">
      <c r="A5474" s="140"/>
      <c r="B5474" s="192"/>
      <c r="C5474" s="140"/>
      <c r="D5474" s="140"/>
      <c r="E5474" s="140"/>
    </row>
    <row r="5475" spans="1:5">
      <c r="A5475" s="140"/>
      <c r="B5475" s="192"/>
      <c r="C5475" s="140"/>
      <c r="D5475" s="140"/>
      <c r="E5475" s="140"/>
    </row>
    <row r="5476" spans="1:5">
      <c r="A5476" s="140"/>
      <c r="B5476" s="192"/>
      <c r="C5476" s="140"/>
      <c r="D5476" s="140"/>
      <c r="E5476" s="140"/>
    </row>
    <row r="5477" spans="1:5">
      <c r="A5477" s="140"/>
      <c r="B5477" s="192"/>
      <c r="C5477" s="140"/>
      <c r="D5477" s="140"/>
      <c r="E5477" s="140"/>
    </row>
    <row r="5478" spans="1:5">
      <c r="A5478" s="140"/>
      <c r="B5478" s="192"/>
      <c r="C5478" s="140"/>
      <c r="D5478" s="140"/>
      <c r="E5478" s="140"/>
    </row>
    <row r="5479" spans="1:5">
      <c r="A5479" s="140"/>
      <c r="B5479" s="192"/>
      <c r="C5479" s="140"/>
      <c r="D5479" s="140"/>
      <c r="E5479" s="140"/>
    </row>
    <row r="5480" spans="1:5">
      <c r="A5480" s="140"/>
      <c r="B5480" s="192"/>
      <c r="C5480" s="140"/>
      <c r="D5480" s="140"/>
      <c r="E5480" s="140"/>
    </row>
    <row r="5481" spans="1:5">
      <c r="A5481" s="140"/>
      <c r="B5481" s="192"/>
      <c r="C5481" s="140"/>
      <c r="D5481" s="140"/>
      <c r="E5481" s="140"/>
    </row>
    <row r="5482" spans="1:5">
      <c r="A5482" s="140"/>
      <c r="B5482" s="192"/>
      <c r="C5482" s="140"/>
      <c r="D5482" s="140"/>
      <c r="E5482" s="140"/>
    </row>
    <row r="5483" spans="1:5">
      <c r="A5483" s="140"/>
      <c r="B5483" s="192"/>
      <c r="C5483" s="140"/>
      <c r="D5483" s="140"/>
      <c r="E5483" s="140"/>
    </row>
    <row r="5484" spans="1:5">
      <c r="A5484" s="140"/>
      <c r="B5484" s="192"/>
      <c r="C5484" s="140"/>
      <c r="D5484" s="140"/>
      <c r="E5484" s="140"/>
    </row>
    <row r="5485" spans="1:5">
      <c r="A5485" s="140"/>
      <c r="B5485" s="192"/>
      <c r="C5485" s="140"/>
      <c r="D5485" s="140"/>
      <c r="E5485" s="140"/>
    </row>
    <row r="5486" spans="1:5">
      <c r="A5486" s="140"/>
      <c r="B5486" s="192"/>
      <c r="C5486" s="140"/>
      <c r="D5486" s="140"/>
      <c r="E5486" s="140"/>
    </row>
    <row r="5487" spans="1:5">
      <c r="A5487" s="140"/>
      <c r="B5487" s="192"/>
      <c r="C5487" s="140"/>
      <c r="D5487" s="140"/>
      <c r="E5487" s="140"/>
    </row>
    <row r="5488" spans="1:5">
      <c r="A5488" s="140"/>
      <c r="B5488" s="192"/>
      <c r="C5488" s="140"/>
      <c r="D5488" s="140"/>
      <c r="E5488" s="140"/>
    </row>
    <row r="5489" spans="1:5">
      <c r="A5489" s="140"/>
      <c r="B5489" s="192"/>
      <c r="C5489" s="140"/>
      <c r="D5489" s="140"/>
      <c r="E5489" s="140"/>
    </row>
    <row r="5490" spans="1:5">
      <c r="A5490" s="140"/>
      <c r="B5490" s="192"/>
      <c r="C5490" s="140"/>
      <c r="D5490" s="140"/>
      <c r="E5490" s="140"/>
    </row>
    <row r="5491" spans="1:5">
      <c r="A5491" s="140"/>
      <c r="B5491" s="192"/>
      <c r="C5491" s="140"/>
      <c r="D5491" s="140"/>
      <c r="E5491" s="140"/>
    </row>
    <row r="5492" spans="1:5">
      <c r="A5492" s="140"/>
      <c r="B5492" s="192"/>
      <c r="C5492" s="140"/>
      <c r="D5492" s="140"/>
      <c r="E5492" s="140"/>
    </row>
    <row r="5493" spans="1:5">
      <c r="A5493" s="140"/>
      <c r="B5493" s="192"/>
      <c r="C5493" s="140"/>
      <c r="D5493" s="140"/>
      <c r="E5493" s="140"/>
    </row>
    <row r="5494" spans="1:5">
      <c r="A5494" s="140"/>
      <c r="B5494" s="192"/>
      <c r="C5494" s="140"/>
      <c r="D5494" s="140"/>
      <c r="E5494" s="140"/>
    </row>
    <row r="5495" spans="1:5">
      <c r="A5495" s="140"/>
      <c r="B5495" s="192"/>
      <c r="C5495" s="140"/>
      <c r="D5495" s="140"/>
      <c r="E5495" s="140"/>
    </row>
    <row r="5496" spans="1:5">
      <c r="A5496" s="140"/>
      <c r="B5496" s="192"/>
      <c r="C5496" s="140"/>
      <c r="D5496" s="140"/>
      <c r="E5496" s="140"/>
    </row>
    <row r="5497" spans="1:5">
      <c r="A5497" s="140"/>
      <c r="B5497" s="192"/>
      <c r="C5497" s="140"/>
      <c r="D5497" s="140"/>
      <c r="E5497" s="140"/>
    </row>
    <row r="5498" spans="1:5">
      <c r="A5498" s="140"/>
      <c r="B5498" s="192"/>
      <c r="C5498" s="140"/>
      <c r="D5498" s="140"/>
      <c r="E5498" s="140"/>
    </row>
    <row r="5499" spans="1:5">
      <c r="A5499" s="140"/>
      <c r="B5499" s="192"/>
      <c r="C5499" s="140"/>
      <c r="D5499" s="140"/>
      <c r="E5499" s="140"/>
    </row>
    <row r="5500" spans="1:5">
      <c r="A5500" s="140"/>
      <c r="B5500" s="192"/>
      <c r="C5500" s="140"/>
      <c r="D5500" s="140"/>
      <c r="E5500" s="140"/>
    </row>
    <row r="5501" spans="1:5">
      <c r="A5501" s="140"/>
      <c r="B5501" s="192"/>
      <c r="C5501" s="140"/>
      <c r="D5501" s="140"/>
      <c r="E5501" s="140"/>
    </row>
    <row r="5502" spans="1:5">
      <c r="A5502" s="140"/>
      <c r="B5502" s="192"/>
      <c r="C5502" s="140"/>
      <c r="D5502" s="140"/>
      <c r="E5502" s="140"/>
    </row>
    <row r="5503" spans="1:5">
      <c r="A5503" s="140"/>
      <c r="B5503" s="192"/>
      <c r="C5503" s="140"/>
      <c r="D5503" s="140"/>
      <c r="E5503" s="140"/>
    </row>
    <row r="5504" spans="1:5">
      <c r="A5504" s="140"/>
      <c r="B5504" s="192"/>
      <c r="C5504" s="140"/>
      <c r="D5504" s="140"/>
      <c r="E5504" s="140"/>
    </row>
    <row r="5505" spans="1:5">
      <c r="A5505" s="140"/>
      <c r="B5505" s="192"/>
      <c r="C5505" s="140"/>
      <c r="D5505" s="140"/>
      <c r="E5505" s="140"/>
    </row>
    <row r="5506" spans="1:5">
      <c r="A5506" s="140"/>
      <c r="B5506" s="192"/>
      <c r="C5506" s="140"/>
      <c r="D5506" s="140"/>
      <c r="E5506" s="140"/>
    </row>
    <row r="5507" spans="1:5">
      <c r="A5507" s="140"/>
      <c r="B5507" s="192"/>
      <c r="C5507" s="140"/>
      <c r="D5507" s="140"/>
      <c r="E5507" s="140"/>
    </row>
    <row r="5508" spans="1:5">
      <c r="A5508" s="140"/>
      <c r="B5508" s="192"/>
      <c r="C5508" s="140"/>
      <c r="D5508" s="140"/>
      <c r="E5508" s="140"/>
    </row>
    <row r="5509" spans="1:5">
      <c r="A5509" s="140"/>
      <c r="B5509" s="192"/>
      <c r="C5509" s="140"/>
      <c r="D5509" s="140"/>
      <c r="E5509" s="140"/>
    </row>
    <row r="5510" spans="1:5">
      <c r="A5510" s="140"/>
      <c r="B5510" s="192"/>
      <c r="C5510" s="140"/>
      <c r="D5510" s="140"/>
      <c r="E5510" s="140"/>
    </row>
    <row r="5511" spans="1:5">
      <c r="A5511" s="140"/>
      <c r="B5511" s="192"/>
      <c r="C5511" s="140"/>
      <c r="D5511" s="140"/>
      <c r="E5511" s="140"/>
    </row>
    <row r="5512" spans="1:5">
      <c r="A5512" s="140"/>
      <c r="B5512" s="192"/>
      <c r="C5512" s="140"/>
      <c r="D5512" s="140"/>
      <c r="E5512" s="140"/>
    </row>
    <row r="5513" spans="1:5">
      <c r="A5513" s="140"/>
      <c r="B5513" s="192"/>
      <c r="C5513" s="140"/>
      <c r="D5513" s="140"/>
      <c r="E5513" s="140"/>
    </row>
    <row r="5514" spans="1:5">
      <c r="A5514" s="140"/>
      <c r="B5514" s="192"/>
      <c r="C5514" s="140"/>
      <c r="D5514" s="140"/>
      <c r="E5514" s="140"/>
    </row>
    <row r="5515" spans="1:5">
      <c r="A5515" s="140"/>
      <c r="B5515" s="192"/>
      <c r="C5515" s="140"/>
      <c r="D5515" s="140"/>
      <c r="E5515" s="140"/>
    </row>
    <row r="5516" spans="1:5">
      <c r="A5516" s="140"/>
      <c r="B5516" s="192"/>
      <c r="C5516" s="140"/>
      <c r="D5516" s="140"/>
      <c r="E5516" s="140"/>
    </row>
    <row r="5517" spans="1:5">
      <c r="A5517" s="140"/>
      <c r="B5517" s="192"/>
      <c r="C5517" s="140"/>
      <c r="D5517" s="140"/>
      <c r="E5517" s="140"/>
    </row>
    <row r="5518" spans="1:5">
      <c r="A5518" s="140"/>
      <c r="B5518" s="192"/>
      <c r="C5518" s="140"/>
      <c r="D5518" s="140"/>
      <c r="E5518" s="140"/>
    </row>
    <row r="5519" spans="1:5">
      <c r="A5519" s="140"/>
      <c r="B5519" s="192"/>
      <c r="C5519" s="140"/>
      <c r="D5519" s="140"/>
      <c r="E5519" s="140"/>
    </row>
    <row r="5520" spans="1:5">
      <c r="A5520" s="140"/>
      <c r="B5520" s="192"/>
      <c r="C5520" s="140"/>
      <c r="D5520" s="140"/>
      <c r="E5520" s="140"/>
    </row>
    <row r="5521" spans="1:5">
      <c r="A5521" s="140"/>
      <c r="B5521" s="192"/>
      <c r="C5521" s="140"/>
      <c r="D5521" s="140"/>
      <c r="E5521" s="140"/>
    </row>
    <row r="5522" spans="1:5">
      <c r="A5522" s="140"/>
      <c r="B5522" s="192"/>
      <c r="C5522" s="140"/>
      <c r="D5522" s="140"/>
      <c r="E5522" s="140"/>
    </row>
    <row r="5523" spans="1:5">
      <c r="A5523" s="140"/>
      <c r="B5523" s="192"/>
      <c r="C5523" s="140"/>
      <c r="D5523" s="140"/>
      <c r="E5523" s="140"/>
    </row>
    <row r="5524" spans="1:5">
      <c r="A5524" s="140"/>
      <c r="B5524" s="192"/>
      <c r="C5524" s="140"/>
      <c r="D5524" s="140"/>
      <c r="E5524" s="140"/>
    </row>
    <row r="5525" spans="1:5">
      <c r="A5525" s="140"/>
      <c r="B5525" s="192"/>
      <c r="C5525" s="140"/>
      <c r="D5525" s="140"/>
      <c r="E5525" s="140"/>
    </row>
    <row r="5526" spans="1:5">
      <c r="A5526" s="140"/>
      <c r="B5526" s="192"/>
      <c r="C5526" s="140"/>
      <c r="D5526" s="140"/>
      <c r="E5526" s="140"/>
    </row>
    <row r="5527" spans="1:5">
      <c r="A5527" s="140"/>
      <c r="B5527" s="192"/>
      <c r="C5527" s="140"/>
      <c r="D5527" s="140"/>
      <c r="E5527" s="140"/>
    </row>
    <row r="5528" spans="1:5">
      <c r="A5528" s="140"/>
      <c r="B5528" s="192"/>
      <c r="C5528" s="140"/>
      <c r="D5528" s="140"/>
      <c r="E5528" s="140"/>
    </row>
    <row r="5529" spans="1:5">
      <c r="A5529" s="140"/>
      <c r="B5529" s="192"/>
      <c r="C5529" s="140"/>
      <c r="D5529" s="140"/>
      <c r="E5529" s="140"/>
    </row>
    <row r="5530" spans="1:5">
      <c r="A5530" s="140"/>
      <c r="B5530" s="192"/>
      <c r="C5530" s="140"/>
      <c r="D5530" s="140"/>
      <c r="E5530" s="140"/>
    </row>
    <row r="5531" spans="1:5">
      <c r="A5531" s="140"/>
      <c r="B5531" s="192"/>
      <c r="C5531" s="140"/>
      <c r="D5531" s="140"/>
      <c r="E5531" s="140"/>
    </row>
    <row r="5532" spans="1:5">
      <c r="A5532" s="140"/>
      <c r="B5532" s="192"/>
      <c r="C5532" s="140"/>
      <c r="D5532" s="140"/>
      <c r="E5532" s="140"/>
    </row>
    <row r="5533" spans="1:5">
      <c r="A5533" s="140"/>
      <c r="B5533" s="192"/>
      <c r="C5533" s="140"/>
      <c r="D5533" s="140"/>
      <c r="E5533" s="140"/>
    </row>
    <row r="5534" spans="1:5">
      <c r="A5534" s="140"/>
      <c r="B5534" s="192"/>
      <c r="C5534" s="140"/>
      <c r="D5534" s="140"/>
      <c r="E5534" s="140"/>
    </row>
    <row r="5535" spans="1:5">
      <c r="A5535" s="140"/>
      <c r="B5535" s="192"/>
      <c r="C5535" s="140"/>
      <c r="D5535" s="140"/>
      <c r="E5535" s="140"/>
    </row>
    <row r="5536" spans="1:5">
      <c r="A5536" s="140"/>
      <c r="B5536" s="192"/>
      <c r="C5536" s="140"/>
      <c r="D5536" s="140"/>
      <c r="E5536" s="140"/>
    </row>
    <row r="5537" spans="1:5">
      <c r="A5537" s="140"/>
      <c r="B5537" s="192"/>
      <c r="C5537" s="140"/>
      <c r="D5537" s="140"/>
      <c r="E5537" s="140"/>
    </row>
    <row r="5538" spans="1:5">
      <c r="A5538" s="140"/>
      <c r="B5538" s="192"/>
      <c r="C5538" s="140"/>
      <c r="D5538" s="140"/>
      <c r="E5538" s="140"/>
    </row>
    <row r="5539" spans="1:5">
      <c r="A5539" s="140"/>
      <c r="B5539" s="192"/>
      <c r="C5539" s="140"/>
      <c r="D5539" s="140"/>
      <c r="E5539" s="140"/>
    </row>
    <row r="5540" spans="1:5">
      <c r="A5540" s="140"/>
      <c r="B5540" s="192"/>
      <c r="C5540" s="140"/>
      <c r="D5540" s="140"/>
      <c r="E5540" s="140"/>
    </row>
    <row r="5541" spans="1:5">
      <c r="A5541" s="140"/>
      <c r="B5541" s="192"/>
      <c r="C5541" s="140"/>
      <c r="D5541" s="140"/>
      <c r="E5541" s="140"/>
    </row>
    <row r="5542" spans="1:5">
      <c r="A5542" s="140"/>
      <c r="B5542" s="192"/>
      <c r="C5542" s="140"/>
      <c r="D5542" s="140"/>
      <c r="E5542" s="140"/>
    </row>
    <row r="5543" spans="1:5">
      <c r="A5543" s="140"/>
      <c r="B5543" s="192"/>
      <c r="C5543" s="140"/>
      <c r="D5543" s="140"/>
      <c r="E5543" s="140"/>
    </row>
    <row r="5544" spans="1:5">
      <c r="A5544" s="140"/>
      <c r="B5544" s="192"/>
      <c r="C5544" s="140"/>
      <c r="D5544" s="140"/>
      <c r="E5544" s="140"/>
    </row>
    <row r="5545" spans="1:5">
      <c r="A5545" s="140"/>
      <c r="B5545" s="192"/>
      <c r="C5545" s="140"/>
      <c r="D5545" s="140"/>
      <c r="E5545" s="140"/>
    </row>
    <row r="5546" spans="1:5">
      <c r="A5546" s="140"/>
      <c r="B5546" s="192"/>
      <c r="C5546" s="140"/>
      <c r="D5546" s="140"/>
      <c r="E5546" s="140"/>
    </row>
    <row r="5547" spans="1:5">
      <c r="A5547" s="140"/>
      <c r="B5547" s="192"/>
      <c r="C5547" s="140"/>
      <c r="D5547" s="140"/>
      <c r="E5547" s="140"/>
    </row>
    <row r="5548" spans="1:5">
      <c r="A5548" s="140"/>
      <c r="B5548" s="192"/>
      <c r="C5548" s="140"/>
      <c r="D5548" s="140"/>
      <c r="E5548" s="140"/>
    </row>
    <row r="5549" spans="1:5">
      <c r="A5549" s="140"/>
      <c r="B5549" s="192"/>
      <c r="C5549" s="140"/>
      <c r="D5549" s="140"/>
      <c r="E5549" s="140"/>
    </row>
    <row r="5550" spans="1:5">
      <c r="A5550" s="140"/>
      <c r="B5550" s="192"/>
      <c r="C5550" s="140"/>
      <c r="D5550" s="140"/>
      <c r="E5550" s="140"/>
    </row>
    <row r="5551" spans="1:5">
      <c r="A5551" s="140"/>
      <c r="B5551" s="192"/>
      <c r="C5551" s="140"/>
      <c r="D5551" s="140"/>
      <c r="E5551" s="140"/>
    </row>
    <row r="5552" spans="1:5">
      <c r="A5552" s="140"/>
      <c r="B5552" s="192"/>
      <c r="C5552" s="140"/>
      <c r="D5552" s="140"/>
      <c r="E5552" s="140"/>
    </row>
    <row r="5553" spans="1:5">
      <c r="A5553" s="140"/>
      <c r="B5553" s="192"/>
      <c r="C5553" s="140"/>
      <c r="D5553" s="140"/>
      <c r="E5553" s="140"/>
    </row>
    <row r="5554" spans="1:5">
      <c r="A5554" s="140"/>
      <c r="B5554" s="192"/>
      <c r="C5554" s="140"/>
      <c r="D5554" s="140"/>
      <c r="E5554" s="140"/>
    </row>
    <row r="5555" spans="1:5">
      <c r="A5555" s="140"/>
      <c r="B5555" s="192"/>
      <c r="C5555" s="140"/>
      <c r="D5555" s="140"/>
      <c r="E5555" s="140"/>
    </row>
    <row r="5556" spans="1:5">
      <c r="A5556" s="140"/>
      <c r="B5556" s="192"/>
      <c r="C5556" s="140"/>
      <c r="D5556" s="140"/>
      <c r="E5556" s="140"/>
    </row>
    <row r="5557" spans="1:5">
      <c r="A5557" s="140"/>
      <c r="B5557" s="192"/>
      <c r="C5557" s="140"/>
      <c r="D5557" s="140"/>
      <c r="E5557" s="140"/>
    </row>
    <row r="5558" spans="1:5">
      <c r="A5558" s="140"/>
      <c r="B5558" s="192"/>
      <c r="C5558" s="140"/>
      <c r="D5558" s="140"/>
      <c r="E5558" s="140"/>
    </row>
    <row r="5559" spans="1:5">
      <c r="A5559" s="140"/>
      <c r="B5559" s="192"/>
      <c r="C5559" s="140"/>
      <c r="D5559" s="140"/>
      <c r="E5559" s="140"/>
    </row>
    <row r="5560" spans="1:5">
      <c r="A5560" s="140"/>
      <c r="B5560" s="192"/>
      <c r="C5560" s="140"/>
      <c r="D5560" s="140"/>
      <c r="E5560" s="140"/>
    </row>
    <row r="5561" spans="1:5">
      <c r="A5561" s="140"/>
      <c r="B5561" s="192"/>
      <c r="C5561" s="140"/>
      <c r="D5561" s="140"/>
      <c r="E5561" s="140"/>
    </row>
    <row r="5562" spans="1:5">
      <c r="A5562" s="140"/>
      <c r="B5562" s="192"/>
      <c r="C5562" s="140"/>
      <c r="D5562" s="140"/>
      <c r="E5562" s="140"/>
    </row>
    <row r="5563" spans="1:5">
      <c r="A5563" s="140"/>
      <c r="B5563" s="192"/>
      <c r="C5563" s="140"/>
      <c r="D5563" s="140"/>
      <c r="E5563" s="140"/>
    </row>
    <row r="5564" spans="1:5">
      <c r="A5564" s="140"/>
      <c r="B5564" s="192"/>
      <c r="C5564" s="140"/>
      <c r="D5564" s="140"/>
      <c r="E5564" s="140"/>
    </row>
    <row r="5565" spans="1:5">
      <c r="A5565" s="140"/>
      <c r="B5565" s="192"/>
      <c r="C5565" s="140"/>
      <c r="D5565" s="140"/>
      <c r="E5565" s="140"/>
    </row>
    <row r="5566" spans="1:5">
      <c r="A5566" s="140"/>
      <c r="B5566" s="192"/>
      <c r="C5566" s="140"/>
      <c r="D5566" s="140"/>
      <c r="E5566" s="140"/>
    </row>
    <row r="5567" spans="1:5">
      <c r="A5567" s="140"/>
      <c r="B5567" s="192"/>
      <c r="C5567" s="140"/>
      <c r="D5567" s="140"/>
      <c r="E5567" s="140"/>
    </row>
    <row r="5568" spans="1:5">
      <c r="A5568" s="140"/>
      <c r="B5568" s="192"/>
      <c r="C5568" s="140"/>
      <c r="D5568" s="140"/>
      <c r="E5568" s="140"/>
    </row>
    <row r="5569" spans="1:5">
      <c r="A5569" s="140"/>
      <c r="B5569" s="192"/>
      <c r="C5569" s="140"/>
      <c r="D5569" s="140"/>
      <c r="E5569" s="140"/>
    </row>
    <row r="5570" spans="1:5">
      <c r="A5570" s="140"/>
      <c r="B5570" s="192"/>
      <c r="C5570" s="140"/>
      <c r="D5570" s="140"/>
      <c r="E5570" s="140"/>
    </row>
    <row r="5571" spans="1:5">
      <c r="A5571" s="140"/>
      <c r="B5571" s="192"/>
      <c r="C5571" s="140"/>
      <c r="D5571" s="140"/>
      <c r="E5571" s="140"/>
    </row>
    <row r="5572" spans="1:5">
      <c r="A5572" s="140"/>
      <c r="B5572" s="192"/>
      <c r="C5572" s="140"/>
      <c r="D5572" s="140"/>
      <c r="E5572" s="140"/>
    </row>
    <row r="5573" spans="1:5">
      <c r="A5573" s="140"/>
      <c r="B5573" s="192"/>
      <c r="C5573" s="140"/>
      <c r="D5573" s="140"/>
      <c r="E5573" s="140"/>
    </row>
    <row r="5574" spans="1:5">
      <c r="A5574" s="140"/>
      <c r="B5574" s="192"/>
      <c r="C5574" s="140"/>
      <c r="D5574" s="140"/>
      <c r="E5574" s="140"/>
    </row>
    <row r="5575" spans="1:5">
      <c r="A5575" s="140"/>
      <c r="B5575" s="192"/>
      <c r="C5575" s="140"/>
      <c r="D5575" s="140"/>
      <c r="E5575" s="140"/>
    </row>
    <row r="5576" spans="1:5">
      <c r="A5576" s="140"/>
      <c r="B5576" s="192"/>
      <c r="C5576" s="140"/>
      <c r="D5576" s="140"/>
      <c r="E5576" s="140"/>
    </row>
    <row r="5577" spans="1:5">
      <c r="A5577" s="140"/>
      <c r="B5577" s="192"/>
      <c r="C5577" s="140"/>
      <c r="D5577" s="140"/>
      <c r="E5577" s="140"/>
    </row>
    <row r="5578" spans="1:5">
      <c r="A5578" s="140"/>
      <c r="B5578" s="192"/>
      <c r="C5578" s="140"/>
      <c r="D5578" s="140"/>
      <c r="E5578" s="140"/>
    </row>
    <row r="5579" spans="1:5">
      <c r="A5579" s="140"/>
      <c r="B5579" s="192"/>
      <c r="C5579" s="140"/>
      <c r="D5579" s="140"/>
      <c r="E5579" s="140"/>
    </row>
    <row r="5580" spans="1:5">
      <c r="A5580" s="140"/>
      <c r="B5580" s="192"/>
      <c r="C5580" s="140"/>
      <c r="D5580" s="140"/>
      <c r="E5580" s="140"/>
    </row>
    <row r="5581" spans="1:5">
      <c r="A5581" s="140"/>
      <c r="B5581" s="192"/>
      <c r="C5581" s="140"/>
      <c r="D5581" s="140"/>
      <c r="E5581" s="140"/>
    </row>
    <row r="5582" spans="1:5">
      <c r="A5582" s="140"/>
      <c r="B5582" s="192"/>
      <c r="C5582" s="140"/>
      <c r="D5582" s="140"/>
      <c r="E5582" s="140"/>
    </row>
    <row r="5583" spans="1:5">
      <c r="A5583" s="140"/>
      <c r="B5583" s="192"/>
      <c r="C5583" s="140"/>
      <c r="D5583" s="140"/>
      <c r="E5583" s="140"/>
    </row>
    <row r="5584" spans="1:5">
      <c r="A5584" s="140"/>
      <c r="B5584" s="192"/>
      <c r="C5584" s="140"/>
      <c r="D5584" s="140"/>
      <c r="E5584" s="140"/>
    </row>
    <row r="5585" spans="1:5">
      <c r="A5585" s="140"/>
      <c r="B5585" s="192"/>
      <c r="C5585" s="140"/>
      <c r="D5585" s="140"/>
      <c r="E5585" s="140"/>
    </row>
    <row r="5586" spans="1:5">
      <c r="A5586" s="140"/>
      <c r="B5586" s="192"/>
      <c r="C5586" s="140"/>
      <c r="D5586" s="140"/>
      <c r="E5586" s="140"/>
    </row>
    <row r="5587" spans="1:5">
      <c r="A5587" s="140"/>
      <c r="B5587" s="192"/>
      <c r="C5587" s="140"/>
      <c r="D5587" s="140"/>
      <c r="E5587" s="140"/>
    </row>
    <row r="5588" spans="1:5">
      <c r="A5588" s="140"/>
      <c r="B5588" s="192"/>
      <c r="C5588" s="140"/>
      <c r="D5588" s="140"/>
      <c r="E5588" s="140"/>
    </row>
    <row r="5589" spans="1:5">
      <c r="A5589" s="140"/>
      <c r="B5589" s="192"/>
      <c r="C5589" s="140"/>
      <c r="D5589" s="140"/>
      <c r="E5589" s="140"/>
    </row>
    <row r="5590" spans="1:5">
      <c r="A5590" s="140"/>
      <c r="B5590" s="192"/>
      <c r="C5590" s="140"/>
      <c r="D5590" s="140"/>
      <c r="E5590" s="140"/>
    </row>
    <row r="5591" spans="1:5">
      <c r="A5591" s="140"/>
      <c r="B5591" s="192"/>
      <c r="C5591" s="140"/>
      <c r="D5591" s="140"/>
      <c r="E5591" s="140"/>
    </row>
    <row r="5592" spans="1:5">
      <c r="A5592" s="140"/>
      <c r="B5592" s="192"/>
      <c r="C5592" s="140"/>
      <c r="D5592" s="140"/>
      <c r="E5592" s="140"/>
    </row>
    <row r="5593" spans="1:5">
      <c r="A5593" s="140"/>
      <c r="B5593" s="192"/>
      <c r="C5593" s="140"/>
      <c r="D5593" s="140"/>
      <c r="E5593" s="140"/>
    </row>
    <row r="5594" spans="1:5">
      <c r="A5594" s="140"/>
      <c r="B5594" s="192"/>
      <c r="C5594" s="140"/>
      <c r="D5594" s="140"/>
      <c r="E5594" s="140"/>
    </row>
    <row r="5595" spans="1:5">
      <c r="A5595" s="140"/>
      <c r="B5595" s="192"/>
      <c r="C5595" s="140"/>
      <c r="D5595" s="140"/>
      <c r="E5595" s="140"/>
    </row>
    <row r="5596" spans="1:5">
      <c r="A5596" s="140"/>
      <c r="B5596" s="192"/>
      <c r="C5596" s="140"/>
      <c r="D5596" s="140"/>
      <c r="E5596" s="140"/>
    </row>
    <row r="5597" spans="1:5">
      <c r="A5597" s="140"/>
      <c r="B5597" s="192"/>
      <c r="C5597" s="140"/>
      <c r="D5597" s="140"/>
      <c r="E5597" s="140"/>
    </row>
    <row r="5598" spans="1:5">
      <c r="A5598" s="140"/>
      <c r="B5598" s="192"/>
      <c r="C5598" s="140"/>
      <c r="D5598" s="140"/>
      <c r="E5598" s="140"/>
    </row>
    <row r="5599" spans="1:5">
      <c r="A5599" s="140"/>
      <c r="B5599" s="192"/>
      <c r="C5599" s="140"/>
      <c r="D5599" s="140"/>
      <c r="E5599" s="140"/>
    </row>
    <row r="5600" spans="1:5">
      <c r="A5600" s="140"/>
      <c r="B5600" s="192"/>
      <c r="C5600" s="140"/>
      <c r="D5600" s="140"/>
      <c r="E5600" s="140"/>
    </row>
    <row r="5601" spans="1:5">
      <c r="A5601" s="140"/>
      <c r="B5601" s="192"/>
      <c r="C5601" s="140"/>
      <c r="D5601" s="140"/>
      <c r="E5601" s="140"/>
    </row>
    <row r="5602" spans="1:5">
      <c r="A5602" s="140"/>
      <c r="B5602" s="192"/>
      <c r="C5602" s="140"/>
      <c r="D5602" s="140"/>
      <c r="E5602" s="140"/>
    </row>
    <row r="5603" spans="1:5">
      <c r="A5603" s="140"/>
      <c r="B5603" s="192"/>
      <c r="C5603" s="140"/>
      <c r="D5603" s="140"/>
      <c r="E5603" s="140"/>
    </row>
    <row r="5604" spans="1:5">
      <c r="A5604" s="140"/>
      <c r="B5604" s="192"/>
      <c r="C5604" s="140"/>
      <c r="D5604" s="140"/>
      <c r="E5604" s="140"/>
    </row>
    <row r="5605" spans="1:5">
      <c r="A5605" s="140"/>
      <c r="B5605" s="192"/>
      <c r="C5605" s="140"/>
      <c r="D5605" s="140"/>
      <c r="E5605" s="140"/>
    </row>
    <row r="5606" spans="1:5">
      <c r="A5606" s="140"/>
      <c r="B5606" s="192"/>
      <c r="C5606" s="140"/>
      <c r="D5606" s="140"/>
      <c r="E5606" s="140"/>
    </row>
    <row r="5607" spans="1:5">
      <c r="A5607" s="140"/>
      <c r="B5607" s="192"/>
      <c r="C5607" s="140"/>
      <c r="D5607" s="140"/>
      <c r="E5607" s="140"/>
    </row>
    <row r="5608" spans="1:5">
      <c r="A5608" s="140"/>
      <c r="B5608" s="192"/>
      <c r="C5608" s="140"/>
      <c r="D5608" s="140"/>
      <c r="E5608" s="140"/>
    </row>
    <row r="5609" spans="1:5">
      <c r="A5609" s="140"/>
      <c r="B5609" s="192"/>
      <c r="C5609" s="140"/>
      <c r="D5609" s="140"/>
      <c r="E5609" s="140"/>
    </row>
    <row r="5610" spans="1:5">
      <c r="A5610" s="140"/>
      <c r="B5610" s="192"/>
      <c r="C5610" s="140"/>
      <c r="D5610" s="140"/>
      <c r="E5610" s="140"/>
    </row>
    <row r="5611" spans="1:5">
      <c r="A5611" s="140"/>
      <c r="B5611" s="192"/>
      <c r="C5611" s="140"/>
      <c r="D5611" s="140"/>
      <c r="E5611" s="140"/>
    </row>
    <row r="5612" spans="1:5">
      <c r="A5612" s="140"/>
      <c r="B5612" s="192"/>
      <c r="C5612" s="140"/>
      <c r="D5612" s="140"/>
      <c r="E5612" s="140"/>
    </row>
    <row r="5613" spans="1:5">
      <c r="A5613" s="140"/>
      <c r="B5613" s="192"/>
      <c r="C5613" s="140"/>
      <c r="D5613" s="140"/>
      <c r="E5613" s="140"/>
    </row>
    <row r="5614" spans="1:5">
      <c r="A5614" s="140"/>
      <c r="B5614" s="192"/>
      <c r="C5614" s="140"/>
      <c r="D5614" s="140"/>
      <c r="E5614" s="140"/>
    </row>
    <row r="5615" spans="1:5">
      <c r="A5615" s="140"/>
      <c r="B5615" s="192"/>
      <c r="C5615" s="140"/>
      <c r="D5615" s="140"/>
      <c r="E5615" s="140"/>
    </row>
    <row r="5616" spans="1:5">
      <c r="A5616" s="140"/>
      <c r="B5616" s="192"/>
      <c r="C5616" s="140"/>
      <c r="D5616" s="140"/>
      <c r="E5616" s="140"/>
    </row>
    <row r="5617" spans="1:5">
      <c r="A5617" s="140"/>
      <c r="B5617" s="192"/>
      <c r="C5617" s="140"/>
      <c r="D5617" s="140"/>
      <c r="E5617" s="140"/>
    </row>
    <row r="5618" spans="1:5">
      <c r="A5618" s="140"/>
      <c r="B5618" s="192"/>
      <c r="C5618" s="140"/>
      <c r="D5618" s="140"/>
      <c r="E5618" s="140"/>
    </row>
    <row r="5619" spans="1:5">
      <c r="A5619" s="140"/>
      <c r="B5619" s="192"/>
      <c r="C5619" s="140"/>
      <c r="D5619" s="140"/>
      <c r="E5619" s="140"/>
    </row>
    <row r="5620" spans="1:5">
      <c r="A5620" s="140"/>
      <c r="B5620" s="192"/>
      <c r="C5620" s="140"/>
      <c r="D5620" s="140"/>
      <c r="E5620" s="140"/>
    </row>
    <row r="5621" spans="1:5">
      <c r="A5621" s="140"/>
      <c r="B5621" s="192"/>
      <c r="C5621" s="140"/>
      <c r="D5621" s="140"/>
      <c r="E5621" s="140"/>
    </row>
    <row r="5622" spans="1:5">
      <c r="A5622" s="140"/>
      <c r="B5622" s="192"/>
      <c r="C5622" s="140"/>
      <c r="D5622" s="140"/>
      <c r="E5622" s="140"/>
    </row>
    <row r="5623" spans="1:5">
      <c r="A5623" s="140"/>
      <c r="B5623" s="192"/>
      <c r="C5623" s="140"/>
      <c r="D5623" s="140"/>
      <c r="E5623" s="140"/>
    </row>
    <row r="5624" spans="1:5">
      <c r="A5624" s="140"/>
      <c r="B5624" s="192"/>
      <c r="C5624" s="140"/>
      <c r="D5624" s="140"/>
      <c r="E5624" s="140"/>
    </row>
    <row r="5625" spans="1:5">
      <c r="A5625" s="140"/>
      <c r="B5625" s="192"/>
      <c r="C5625" s="140"/>
      <c r="D5625" s="140"/>
      <c r="E5625" s="140"/>
    </row>
    <row r="5626" spans="1:5">
      <c r="A5626" s="140"/>
      <c r="B5626" s="192"/>
      <c r="C5626" s="140"/>
      <c r="D5626" s="140"/>
      <c r="E5626" s="140"/>
    </row>
    <row r="5627" spans="1:5">
      <c r="A5627" s="140"/>
      <c r="B5627" s="192"/>
      <c r="C5627" s="140"/>
      <c r="D5627" s="140"/>
      <c r="E5627" s="140"/>
    </row>
    <row r="5628" spans="1:5">
      <c r="A5628" s="140"/>
      <c r="B5628" s="192"/>
      <c r="C5628" s="140"/>
      <c r="D5628" s="140"/>
      <c r="E5628" s="140"/>
    </row>
    <row r="5629" spans="1:5">
      <c r="A5629" s="140"/>
      <c r="B5629" s="192"/>
      <c r="C5629" s="140"/>
      <c r="D5629" s="140"/>
      <c r="E5629" s="140"/>
    </row>
    <row r="5630" spans="1:5">
      <c r="A5630" s="140"/>
      <c r="B5630" s="192"/>
      <c r="C5630" s="140"/>
      <c r="D5630" s="140"/>
      <c r="E5630" s="140"/>
    </row>
    <row r="5631" spans="1:5">
      <c r="A5631" s="140"/>
      <c r="B5631" s="192"/>
      <c r="C5631" s="140"/>
      <c r="D5631" s="140"/>
      <c r="E5631" s="140"/>
    </row>
    <row r="5632" spans="1:5">
      <c r="A5632" s="140"/>
      <c r="B5632" s="192"/>
      <c r="C5632" s="140"/>
      <c r="D5632" s="140"/>
      <c r="E5632" s="140"/>
    </row>
    <row r="5633" spans="1:5">
      <c r="A5633" s="140"/>
      <c r="B5633" s="192"/>
      <c r="C5633" s="140"/>
      <c r="D5633" s="140"/>
      <c r="E5633" s="140"/>
    </row>
    <row r="5634" spans="1:5">
      <c r="A5634" s="140"/>
      <c r="B5634" s="192"/>
      <c r="C5634" s="140"/>
      <c r="D5634" s="140"/>
      <c r="E5634" s="140"/>
    </row>
    <row r="5635" spans="1:5">
      <c r="A5635" s="140"/>
      <c r="B5635" s="192"/>
      <c r="C5635" s="140"/>
      <c r="D5635" s="140"/>
      <c r="E5635" s="140"/>
    </row>
    <row r="5636" spans="1:5">
      <c r="A5636" s="140"/>
      <c r="B5636" s="192"/>
      <c r="C5636" s="140"/>
      <c r="D5636" s="140"/>
      <c r="E5636" s="140"/>
    </row>
    <row r="5637" spans="1:5">
      <c r="A5637" s="140"/>
      <c r="B5637" s="192"/>
      <c r="C5637" s="140"/>
      <c r="D5637" s="140"/>
      <c r="E5637" s="140"/>
    </row>
    <row r="5638" spans="1:5">
      <c r="A5638" s="140"/>
      <c r="B5638" s="192"/>
      <c r="C5638" s="140"/>
      <c r="D5638" s="140"/>
      <c r="E5638" s="140"/>
    </row>
    <row r="5639" spans="1:5">
      <c r="A5639" s="140"/>
      <c r="B5639" s="192"/>
      <c r="C5639" s="140"/>
      <c r="D5639" s="140"/>
      <c r="E5639" s="140"/>
    </row>
    <row r="5640" spans="1:5">
      <c r="A5640" s="140"/>
      <c r="B5640" s="192"/>
      <c r="C5640" s="140"/>
      <c r="D5640" s="140"/>
      <c r="E5640" s="140"/>
    </row>
    <row r="5641" spans="1:5">
      <c r="A5641" s="140"/>
      <c r="B5641" s="192"/>
      <c r="C5641" s="140"/>
      <c r="D5641" s="140"/>
      <c r="E5641" s="140"/>
    </row>
    <row r="5642" spans="1:5">
      <c r="A5642" s="140"/>
      <c r="B5642" s="192"/>
      <c r="C5642" s="140"/>
      <c r="D5642" s="140"/>
      <c r="E5642" s="140"/>
    </row>
    <row r="5643" spans="1:5">
      <c r="A5643" s="140"/>
      <c r="B5643" s="192"/>
      <c r="C5643" s="140"/>
      <c r="D5643" s="140"/>
      <c r="E5643" s="140"/>
    </row>
    <row r="5644" spans="1:5">
      <c r="A5644" s="140"/>
      <c r="B5644" s="192"/>
      <c r="C5644" s="140"/>
      <c r="D5644" s="140"/>
      <c r="E5644" s="140"/>
    </row>
    <row r="5645" spans="1:5">
      <c r="A5645" s="140"/>
      <c r="B5645" s="192"/>
      <c r="C5645" s="140"/>
      <c r="D5645" s="140"/>
      <c r="E5645" s="140"/>
    </row>
    <row r="5646" spans="1:5">
      <c r="A5646" s="140"/>
      <c r="B5646" s="192"/>
      <c r="C5646" s="140"/>
      <c r="D5646" s="140"/>
      <c r="E5646" s="140"/>
    </row>
    <row r="5647" spans="1:5">
      <c r="A5647" s="140"/>
      <c r="B5647" s="192"/>
      <c r="C5647" s="140"/>
      <c r="D5647" s="140"/>
      <c r="E5647" s="140"/>
    </row>
    <row r="5648" spans="1:5">
      <c r="A5648" s="140"/>
      <c r="B5648" s="192"/>
      <c r="C5648" s="140"/>
      <c r="D5648" s="140"/>
      <c r="E5648" s="140"/>
    </row>
    <row r="5649" spans="1:5">
      <c r="A5649" s="140"/>
      <c r="B5649" s="192"/>
      <c r="C5649" s="140"/>
      <c r="D5649" s="140"/>
      <c r="E5649" s="140"/>
    </row>
    <row r="5650" spans="1:5">
      <c r="A5650" s="140"/>
      <c r="B5650" s="192"/>
      <c r="C5650" s="140"/>
      <c r="D5650" s="140"/>
      <c r="E5650" s="140"/>
    </row>
    <row r="5651" spans="1:5">
      <c r="A5651" s="140"/>
      <c r="B5651" s="192"/>
      <c r="C5651" s="140"/>
      <c r="D5651" s="140"/>
      <c r="E5651" s="140"/>
    </row>
    <row r="5652" spans="1:5">
      <c r="A5652" s="140"/>
      <c r="B5652" s="192"/>
      <c r="C5652" s="140"/>
      <c r="D5652" s="140"/>
      <c r="E5652" s="140"/>
    </row>
    <row r="5653" spans="1:5">
      <c r="A5653" s="140"/>
      <c r="B5653" s="192"/>
      <c r="C5653" s="140"/>
      <c r="D5653" s="140"/>
      <c r="E5653" s="140"/>
    </row>
    <row r="5654" spans="1:5">
      <c r="A5654" s="140"/>
      <c r="B5654" s="192"/>
      <c r="C5654" s="140"/>
      <c r="D5654" s="140"/>
      <c r="E5654" s="140"/>
    </row>
    <row r="5655" spans="1:5">
      <c r="A5655" s="140"/>
      <c r="B5655" s="192"/>
      <c r="C5655" s="140"/>
      <c r="D5655" s="140"/>
      <c r="E5655" s="140"/>
    </row>
    <row r="5656" spans="1:5">
      <c r="A5656" s="140"/>
      <c r="B5656" s="192"/>
      <c r="C5656" s="140"/>
      <c r="D5656" s="140"/>
      <c r="E5656" s="140"/>
    </row>
    <row r="5657" spans="1:5">
      <c r="A5657" s="140"/>
      <c r="B5657" s="192"/>
      <c r="C5657" s="140"/>
      <c r="D5657" s="140"/>
      <c r="E5657" s="140"/>
    </row>
    <row r="5658" spans="1:5">
      <c r="A5658" s="140"/>
      <c r="B5658" s="192"/>
      <c r="C5658" s="140"/>
      <c r="D5658" s="140"/>
      <c r="E5658" s="140"/>
    </row>
    <row r="5659" spans="1:5">
      <c r="A5659" s="140"/>
      <c r="B5659" s="192"/>
      <c r="C5659" s="140"/>
      <c r="D5659" s="140"/>
      <c r="E5659" s="140"/>
    </row>
    <row r="5660" spans="1:5">
      <c r="A5660" s="140"/>
      <c r="B5660" s="192"/>
      <c r="C5660" s="140"/>
      <c r="D5660" s="140"/>
      <c r="E5660" s="140"/>
    </row>
    <row r="5661" spans="1:5">
      <c r="A5661" s="140"/>
      <c r="B5661" s="192"/>
      <c r="C5661" s="140"/>
      <c r="D5661" s="140"/>
      <c r="E5661" s="140"/>
    </row>
    <row r="5662" spans="1:5">
      <c r="A5662" s="140"/>
      <c r="B5662" s="192"/>
      <c r="C5662" s="140"/>
      <c r="D5662" s="140"/>
      <c r="E5662" s="140"/>
    </row>
    <row r="5663" spans="1:5">
      <c r="A5663" s="140"/>
      <c r="B5663" s="192"/>
      <c r="C5663" s="140"/>
      <c r="D5663" s="140"/>
      <c r="E5663" s="140"/>
    </row>
    <row r="5664" spans="1:5">
      <c r="A5664" s="140"/>
      <c r="B5664" s="192"/>
      <c r="C5664" s="140"/>
      <c r="D5664" s="140"/>
      <c r="E5664" s="140"/>
    </row>
    <row r="5665" spans="1:5">
      <c r="A5665" s="140"/>
      <c r="B5665" s="192"/>
      <c r="C5665" s="140"/>
      <c r="D5665" s="140"/>
      <c r="E5665" s="140"/>
    </row>
    <row r="5666" spans="1:5">
      <c r="A5666" s="140"/>
      <c r="B5666" s="192"/>
      <c r="C5666" s="140"/>
      <c r="D5666" s="140"/>
      <c r="E5666" s="140"/>
    </row>
    <row r="5667" spans="1:5">
      <c r="A5667" s="140"/>
      <c r="B5667" s="192"/>
      <c r="C5667" s="140"/>
      <c r="D5667" s="140"/>
      <c r="E5667" s="140"/>
    </row>
    <row r="5668" spans="1:5">
      <c r="A5668" s="140"/>
      <c r="B5668" s="192"/>
      <c r="C5668" s="140"/>
      <c r="D5668" s="140"/>
      <c r="E5668" s="140"/>
    </row>
    <row r="5669" spans="1:5">
      <c r="A5669" s="140"/>
      <c r="B5669" s="192"/>
      <c r="C5669" s="140"/>
      <c r="D5669" s="140"/>
      <c r="E5669" s="140"/>
    </row>
    <row r="5670" spans="1:5">
      <c r="A5670" s="140"/>
      <c r="B5670" s="192"/>
      <c r="C5670" s="140"/>
      <c r="D5670" s="140"/>
      <c r="E5670" s="140"/>
    </row>
    <row r="5671" spans="1:5">
      <c r="A5671" s="140"/>
      <c r="B5671" s="192"/>
      <c r="C5671" s="140"/>
      <c r="D5671" s="140"/>
      <c r="E5671" s="140"/>
    </row>
    <row r="5672" spans="1:5">
      <c r="A5672" s="140"/>
      <c r="B5672" s="192"/>
      <c r="C5672" s="140"/>
      <c r="D5672" s="140"/>
      <c r="E5672" s="140"/>
    </row>
    <row r="5673" spans="1:5">
      <c r="A5673" s="140"/>
      <c r="B5673" s="192"/>
      <c r="C5673" s="140"/>
      <c r="D5673" s="140"/>
      <c r="E5673" s="140"/>
    </row>
    <row r="5674" spans="1:5">
      <c r="A5674" s="140"/>
      <c r="B5674" s="192"/>
      <c r="C5674" s="140"/>
      <c r="D5674" s="140"/>
      <c r="E5674" s="140"/>
    </row>
    <row r="5675" spans="1:5">
      <c r="A5675" s="140"/>
      <c r="B5675" s="192"/>
      <c r="C5675" s="140"/>
      <c r="D5675" s="140"/>
      <c r="E5675" s="140"/>
    </row>
    <row r="5676" spans="1:5">
      <c r="A5676" s="140"/>
      <c r="B5676" s="192"/>
      <c r="C5676" s="140"/>
      <c r="D5676" s="140"/>
      <c r="E5676" s="140"/>
    </row>
    <row r="5677" spans="1:5">
      <c r="A5677" s="140"/>
      <c r="B5677" s="192"/>
      <c r="C5677" s="140"/>
      <c r="D5677" s="140"/>
      <c r="E5677" s="140"/>
    </row>
    <row r="5678" spans="1:5">
      <c r="A5678" s="140"/>
      <c r="B5678" s="192"/>
      <c r="C5678" s="140"/>
      <c r="D5678" s="140"/>
      <c r="E5678" s="140"/>
    </row>
    <row r="5679" spans="1:5">
      <c r="A5679" s="140"/>
      <c r="B5679" s="192"/>
      <c r="C5679" s="140"/>
      <c r="D5679" s="140"/>
      <c r="E5679" s="140"/>
    </row>
    <row r="5680" spans="1:5">
      <c r="A5680" s="140"/>
      <c r="B5680" s="192"/>
      <c r="C5680" s="140"/>
      <c r="D5680" s="140"/>
      <c r="E5680" s="140"/>
    </row>
    <row r="5681" spans="1:5">
      <c r="A5681" s="140"/>
      <c r="B5681" s="192"/>
      <c r="C5681" s="140"/>
      <c r="D5681" s="140"/>
      <c r="E5681" s="140"/>
    </row>
    <row r="5682" spans="1:5">
      <c r="A5682" s="140"/>
      <c r="B5682" s="192"/>
      <c r="C5682" s="140"/>
      <c r="D5682" s="140"/>
      <c r="E5682" s="140"/>
    </row>
    <row r="5683" spans="1:5">
      <c r="A5683" s="140"/>
      <c r="B5683" s="192"/>
      <c r="C5683" s="140"/>
      <c r="D5683" s="140"/>
      <c r="E5683" s="140"/>
    </row>
    <row r="5684" spans="1:5">
      <c r="A5684" s="140"/>
      <c r="B5684" s="192"/>
      <c r="C5684" s="140"/>
      <c r="D5684" s="140"/>
      <c r="E5684" s="140"/>
    </row>
    <row r="5685" spans="1:5">
      <c r="A5685" s="140"/>
      <c r="B5685" s="192"/>
      <c r="C5685" s="140"/>
      <c r="D5685" s="140"/>
      <c r="E5685" s="140"/>
    </row>
    <row r="5686" spans="1:5">
      <c r="A5686" s="140"/>
      <c r="B5686" s="192"/>
      <c r="C5686" s="140"/>
      <c r="D5686" s="140"/>
      <c r="E5686" s="140"/>
    </row>
    <row r="5687" spans="1:5">
      <c r="A5687" s="140"/>
      <c r="B5687" s="192"/>
      <c r="C5687" s="140"/>
      <c r="D5687" s="140"/>
      <c r="E5687" s="140"/>
    </row>
    <row r="5688" spans="1:5">
      <c r="A5688" s="140"/>
      <c r="B5688" s="192"/>
      <c r="C5688" s="140"/>
      <c r="D5688" s="140"/>
      <c r="E5688" s="140"/>
    </row>
    <row r="5689" spans="1:5">
      <c r="A5689" s="140"/>
      <c r="B5689" s="192"/>
      <c r="C5689" s="140"/>
      <c r="D5689" s="140"/>
      <c r="E5689" s="140"/>
    </row>
    <row r="5690" spans="1:5">
      <c r="A5690" s="140"/>
      <c r="B5690" s="192"/>
      <c r="C5690" s="140"/>
      <c r="D5690" s="140"/>
      <c r="E5690" s="140"/>
    </row>
    <row r="5691" spans="1:5">
      <c r="A5691" s="140"/>
      <c r="B5691" s="192"/>
      <c r="C5691" s="140"/>
      <c r="D5691" s="140"/>
      <c r="E5691" s="140"/>
    </row>
    <row r="5692" spans="1:5">
      <c r="A5692" s="140"/>
      <c r="B5692" s="192"/>
      <c r="C5692" s="140"/>
      <c r="D5692" s="140"/>
      <c r="E5692" s="140"/>
    </row>
    <row r="5693" spans="1:5">
      <c r="A5693" s="140"/>
      <c r="B5693" s="192"/>
      <c r="C5693" s="140"/>
      <c r="D5693" s="140"/>
      <c r="E5693" s="140"/>
    </row>
    <row r="5694" spans="1:5">
      <c r="A5694" s="140"/>
      <c r="B5694" s="192"/>
      <c r="C5694" s="140"/>
      <c r="D5694" s="140"/>
      <c r="E5694" s="140"/>
    </row>
    <row r="5695" spans="1:5">
      <c r="A5695" s="140"/>
      <c r="B5695" s="192"/>
      <c r="C5695" s="140"/>
      <c r="D5695" s="140"/>
      <c r="E5695" s="140"/>
    </row>
    <row r="5696" spans="1:5">
      <c r="A5696" s="140"/>
      <c r="B5696" s="192"/>
      <c r="C5696" s="140"/>
      <c r="D5696" s="140"/>
      <c r="E5696" s="140"/>
    </row>
    <row r="5697" spans="1:5">
      <c r="A5697" s="140"/>
      <c r="B5697" s="192"/>
      <c r="C5697" s="140"/>
      <c r="D5697" s="140"/>
      <c r="E5697" s="140"/>
    </row>
    <row r="5698" spans="1:5">
      <c r="A5698" s="140"/>
      <c r="B5698" s="192"/>
      <c r="C5698" s="140"/>
      <c r="D5698" s="140"/>
      <c r="E5698" s="140"/>
    </row>
    <row r="5699" spans="1:5">
      <c r="A5699" s="140"/>
      <c r="B5699" s="192"/>
      <c r="C5699" s="140"/>
      <c r="D5699" s="140"/>
      <c r="E5699" s="140"/>
    </row>
    <row r="5700" spans="1:5">
      <c r="A5700" s="140"/>
      <c r="B5700" s="192"/>
      <c r="C5700" s="140"/>
      <c r="D5700" s="140"/>
      <c r="E5700" s="140"/>
    </row>
    <row r="5701" spans="1:5">
      <c r="A5701" s="140"/>
      <c r="B5701" s="192"/>
      <c r="C5701" s="140"/>
      <c r="D5701" s="140"/>
      <c r="E5701" s="140"/>
    </row>
    <row r="5702" spans="1:5">
      <c r="A5702" s="140"/>
      <c r="B5702" s="192"/>
      <c r="C5702" s="140"/>
      <c r="D5702" s="140"/>
      <c r="E5702" s="140"/>
    </row>
    <row r="5703" spans="1:5">
      <c r="A5703" s="140"/>
      <c r="B5703" s="192"/>
      <c r="C5703" s="140"/>
      <c r="D5703" s="140"/>
      <c r="E5703" s="140"/>
    </row>
    <row r="5704" spans="1:5">
      <c r="A5704" s="140"/>
      <c r="B5704" s="192"/>
      <c r="C5704" s="140"/>
      <c r="D5704" s="140"/>
      <c r="E5704" s="140"/>
    </row>
    <row r="5705" spans="1:5">
      <c r="A5705" s="140"/>
      <c r="B5705" s="192"/>
      <c r="C5705" s="140"/>
      <c r="D5705" s="140"/>
      <c r="E5705" s="140"/>
    </row>
    <row r="5706" spans="1:5">
      <c r="A5706" s="140"/>
      <c r="B5706" s="192"/>
      <c r="C5706" s="140"/>
      <c r="D5706" s="140"/>
      <c r="E5706" s="140"/>
    </row>
    <row r="5707" spans="1:5">
      <c r="A5707" s="140"/>
      <c r="B5707" s="192"/>
      <c r="C5707" s="140"/>
      <c r="D5707" s="140"/>
      <c r="E5707" s="140"/>
    </row>
    <row r="5708" spans="1:5">
      <c r="A5708" s="140"/>
      <c r="B5708" s="192"/>
      <c r="C5708" s="140"/>
      <c r="D5708" s="140"/>
      <c r="E5708" s="140"/>
    </row>
    <row r="5709" spans="1:5">
      <c r="A5709" s="140"/>
      <c r="B5709" s="192"/>
      <c r="C5709" s="140"/>
      <c r="D5709" s="140"/>
      <c r="E5709" s="140"/>
    </row>
    <row r="5710" spans="1:5">
      <c r="A5710" s="140"/>
      <c r="B5710" s="192"/>
      <c r="C5710" s="140"/>
      <c r="D5710" s="140"/>
      <c r="E5710" s="140"/>
    </row>
    <row r="5711" spans="1:5">
      <c r="A5711" s="140"/>
      <c r="B5711" s="192"/>
      <c r="C5711" s="140"/>
      <c r="D5711" s="140"/>
      <c r="E5711" s="140"/>
    </row>
    <row r="5712" spans="1:5">
      <c r="A5712" s="140"/>
      <c r="B5712" s="192"/>
      <c r="C5712" s="140"/>
      <c r="D5712" s="140"/>
      <c r="E5712" s="140"/>
    </row>
    <row r="5713" spans="1:5">
      <c r="A5713" s="140"/>
      <c r="B5713" s="192"/>
      <c r="C5713" s="140"/>
      <c r="D5713" s="140"/>
      <c r="E5713" s="140"/>
    </row>
    <row r="5714" spans="1:5">
      <c r="A5714" s="140"/>
      <c r="B5714" s="192"/>
      <c r="C5714" s="140"/>
      <c r="D5714" s="140"/>
      <c r="E5714" s="140"/>
    </row>
    <row r="5715" spans="1:5">
      <c r="A5715" s="140"/>
      <c r="B5715" s="192"/>
      <c r="C5715" s="140"/>
      <c r="D5715" s="140"/>
      <c r="E5715" s="140"/>
    </row>
    <row r="5716" spans="1:5">
      <c r="A5716" s="140"/>
      <c r="B5716" s="192"/>
      <c r="C5716" s="140"/>
      <c r="D5716" s="140"/>
      <c r="E5716" s="140"/>
    </row>
    <row r="5717" spans="1:5">
      <c r="A5717" s="140"/>
      <c r="B5717" s="192"/>
      <c r="C5717" s="140"/>
      <c r="D5717" s="140"/>
      <c r="E5717" s="140"/>
    </row>
    <row r="5718" spans="1:5">
      <c r="A5718" s="140"/>
      <c r="B5718" s="192"/>
      <c r="C5718" s="140"/>
      <c r="D5718" s="140"/>
      <c r="E5718" s="140"/>
    </row>
    <row r="5719" spans="1:5">
      <c r="A5719" s="140"/>
      <c r="B5719" s="192"/>
      <c r="C5719" s="140"/>
      <c r="D5719" s="140"/>
      <c r="E5719" s="140"/>
    </row>
    <row r="5720" spans="1:5">
      <c r="A5720" s="140"/>
      <c r="B5720" s="192"/>
      <c r="C5720" s="140"/>
      <c r="D5720" s="140"/>
      <c r="E5720" s="140"/>
    </row>
    <row r="5721" spans="1:5">
      <c r="A5721" s="140"/>
      <c r="B5721" s="192"/>
      <c r="C5721" s="140"/>
      <c r="D5721" s="140"/>
      <c r="E5721" s="140"/>
    </row>
    <row r="5722" spans="1:5">
      <c r="A5722" s="140"/>
      <c r="B5722" s="192"/>
      <c r="C5722" s="140"/>
      <c r="D5722" s="140"/>
      <c r="E5722" s="140"/>
    </row>
    <row r="5723" spans="1:5">
      <c r="A5723" s="140"/>
      <c r="B5723" s="192"/>
      <c r="C5723" s="140"/>
      <c r="D5723" s="140"/>
      <c r="E5723" s="140"/>
    </row>
    <row r="5724" spans="1:5">
      <c r="A5724" s="140"/>
      <c r="B5724" s="192"/>
      <c r="C5724" s="140"/>
      <c r="D5724" s="140"/>
      <c r="E5724" s="140"/>
    </row>
    <row r="5725" spans="1:5">
      <c r="A5725" s="140"/>
      <c r="B5725" s="192"/>
      <c r="C5725" s="140"/>
      <c r="D5725" s="140"/>
      <c r="E5725" s="140"/>
    </row>
    <row r="5726" spans="1:5">
      <c r="A5726" s="140"/>
      <c r="B5726" s="192"/>
      <c r="C5726" s="140"/>
      <c r="D5726" s="140"/>
      <c r="E5726" s="140"/>
    </row>
    <row r="5727" spans="1:5">
      <c r="A5727" s="140"/>
      <c r="B5727" s="192"/>
      <c r="C5727" s="140"/>
      <c r="D5727" s="140"/>
      <c r="E5727" s="140"/>
    </row>
    <row r="5728" spans="1:5">
      <c r="A5728" s="140"/>
      <c r="B5728" s="192"/>
      <c r="C5728" s="140"/>
      <c r="D5728" s="140"/>
      <c r="E5728" s="140"/>
    </row>
    <row r="5729" spans="1:5">
      <c r="A5729" s="140"/>
      <c r="B5729" s="192"/>
      <c r="C5729" s="140"/>
      <c r="D5729" s="140"/>
      <c r="E5729" s="140"/>
    </row>
    <row r="5730" spans="1:5">
      <c r="A5730" s="140"/>
      <c r="B5730" s="192"/>
      <c r="C5730" s="140"/>
      <c r="D5730" s="140"/>
      <c r="E5730" s="140"/>
    </row>
    <row r="5731" spans="1:5">
      <c r="A5731" s="140"/>
      <c r="B5731" s="192"/>
      <c r="C5731" s="140"/>
      <c r="D5731" s="140"/>
      <c r="E5731" s="140"/>
    </row>
    <row r="5732" spans="1:5">
      <c r="A5732" s="140"/>
      <c r="B5732" s="192"/>
      <c r="C5732" s="140"/>
      <c r="D5732" s="140"/>
      <c r="E5732" s="140"/>
    </row>
    <row r="5733" spans="1:5">
      <c r="A5733" s="140"/>
      <c r="B5733" s="192"/>
      <c r="C5733" s="140"/>
      <c r="D5733" s="140"/>
      <c r="E5733" s="140"/>
    </row>
    <row r="5734" spans="1:5">
      <c r="A5734" s="140"/>
      <c r="B5734" s="192"/>
      <c r="C5734" s="140"/>
      <c r="D5734" s="140"/>
      <c r="E5734" s="140"/>
    </row>
    <row r="5735" spans="1:5">
      <c r="A5735" s="140"/>
      <c r="B5735" s="192"/>
      <c r="C5735" s="140"/>
      <c r="D5735" s="140"/>
      <c r="E5735" s="140"/>
    </row>
    <row r="5736" spans="1:5">
      <c r="A5736" s="140"/>
      <c r="B5736" s="192"/>
      <c r="C5736" s="140"/>
      <c r="D5736" s="140"/>
      <c r="E5736" s="140"/>
    </row>
    <row r="5737" spans="1:5">
      <c r="A5737" s="140"/>
      <c r="B5737" s="192"/>
      <c r="C5737" s="140"/>
      <c r="D5737" s="140"/>
      <c r="E5737" s="140"/>
    </row>
    <row r="5738" spans="1:5">
      <c r="A5738" s="140"/>
      <c r="B5738" s="192"/>
      <c r="C5738" s="140"/>
      <c r="D5738" s="140"/>
      <c r="E5738" s="140"/>
    </row>
    <row r="5739" spans="1:5">
      <c r="A5739" s="140"/>
      <c r="B5739" s="192"/>
      <c r="C5739" s="140"/>
      <c r="D5739" s="140"/>
      <c r="E5739" s="140"/>
    </row>
    <row r="5740" spans="1:5">
      <c r="A5740" s="140"/>
      <c r="B5740" s="192"/>
      <c r="C5740" s="140"/>
      <c r="D5740" s="140"/>
      <c r="E5740" s="140"/>
    </row>
    <row r="5741" spans="1:5">
      <c r="A5741" s="140"/>
      <c r="B5741" s="192"/>
      <c r="C5741" s="140"/>
      <c r="D5741" s="140"/>
      <c r="E5741" s="140"/>
    </row>
    <row r="5742" spans="1:5">
      <c r="A5742" s="140"/>
      <c r="B5742" s="192"/>
      <c r="C5742" s="140"/>
      <c r="D5742" s="140"/>
      <c r="E5742" s="140"/>
    </row>
    <row r="5743" spans="1:5">
      <c r="A5743" s="140"/>
      <c r="B5743" s="192"/>
      <c r="C5743" s="140"/>
      <c r="D5743" s="140"/>
      <c r="E5743" s="140"/>
    </row>
    <row r="5744" spans="1:5">
      <c r="A5744" s="140"/>
      <c r="B5744" s="192"/>
      <c r="C5744" s="140"/>
      <c r="D5744" s="140"/>
      <c r="E5744" s="140"/>
    </row>
    <row r="5745" spans="1:5">
      <c r="A5745" s="140"/>
      <c r="B5745" s="192"/>
      <c r="C5745" s="140"/>
      <c r="D5745" s="140"/>
      <c r="E5745" s="140"/>
    </row>
    <row r="5746" spans="1:5">
      <c r="A5746" s="140"/>
      <c r="B5746" s="192"/>
      <c r="C5746" s="140"/>
      <c r="D5746" s="140"/>
      <c r="E5746" s="140"/>
    </row>
    <row r="5747" spans="1:5">
      <c r="A5747" s="140"/>
      <c r="B5747" s="192"/>
      <c r="C5747" s="140"/>
      <c r="D5747" s="140"/>
      <c r="E5747" s="140"/>
    </row>
    <row r="5748" spans="1:5">
      <c r="A5748" s="140"/>
      <c r="B5748" s="192"/>
      <c r="C5748" s="140"/>
      <c r="D5748" s="140"/>
      <c r="E5748" s="140"/>
    </row>
    <row r="5749" spans="1:5">
      <c r="A5749" s="140"/>
      <c r="B5749" s="192"/>
      <c r="C5749" s="140"/>
      <c r="D5749" s="140"/>
      <c r="E5749" s="140"/>
    </row>
    <row r="5750" spans="1:5">
      <c r="A5750" s="140"/>
      <c r="B5750" s="192"/>
      <c r="C5750" s="140"/>
      <c r="D5750" s="140"/>
      <c r="E5750" s="140"/>
    </row>
    <row r="5751" spans="1:5">
      <c r="A5751" s="140"/>
      <c r="B5751" s="192"/>
      <c r="C5751" s="140"/>
      <c r="D5751" s="140"/>
      <c r="E5751" s="140"/>
    </row>
    <row r="5752" spans="1:5">
      <c r="A5752" s="140"/>
      <c r="B5752" s="192"/>
      <c r="C5752" s="140"/>
      <c r="D5752" s="140"/>
      <c r="E5752" s="140"/>
    </row>
    <row r="5753" spans="1:5">
      <c r="A5753" s="140"/>
      <c r="B5753" s="192"/>
      <c r="C5753" s="140"/>
      <c r="D5753" s="140"/>
      <c r="E5753" s="140"/>
    </row>
    <row r="5754" spans="1:5">
      <c r="A5754" s="140"/>
      <c r="B5754" s="192"/>
      <c r="C5754" s="140"/>
      <c r="D5754" s="140"/>
      <c r="E5754" s="140"/>
    </row>
    <row r="5755" spans="1:5">
      <c r="A5755" s="140"/>
      <c r="B5755" s="192"/>
      <c r="C5755" s="140"/>
      <c r="D5755" s="140"/>
      <c r="E5755" s="140"/>
    </row>
    <row r="5756" spans="1:5">
      <c r="A5756" s="140"/>
      <c r="B5756" s="192"/>
      <c r="C5756" s="140"/>
      <c r="D5756" s="140"/>
      <c r="E5756" s="140"/>
    </row>
    <row r="5757" spans="1:5">
      <c r="A5757" s="140"/>
      <c r="B5757" s="192"/>
      <c r="C5757" s="140"/>
      <c r="D5757" s="140"/>
      <c r="E5757" s="140"/>
    </row>
    <row r="5758" spans="1:5">
      <c r="A5758" s="140"/>
      <c r="B5758" s="192"/>
      <c r="C5758" s="140"/>
      <c r="D5758" s="140"/>
      <c r="E5758" s="140"/>
    </row>
    <row r="5759" spans="1:5">
      <c r="A5759" s="140"/>
      <c r="B5759" s="192"/>
      <c r="C5759" s="140"/>
      <c r="D5759" s="140"/>
      <c r="E5759" s="140"/>
    </row>
    <row r="5760" spans="1:5">
      <c r="A5760" s="140"/>
      <c r="B5760" s="192"/>
      <c r="C5760" s="140"/>
      <c r="D5760" s="140"/>
      <c r="E5760" s="140"/>
    </row>
    <row r="5761" spans="1:5">
      <c r="A5761" s="140"/>
      <c r="B5761" s="192"/>
      <c r="C5761" s="140"/>
      <c r="D5761" s="140"/>
      <c r="E5761" s="140"/>
    </row>
    <row r="5762" spans="1:5">
      <c r="A5762" s="140"/>
      <c r="B5762" s="192"/>
      <c r="C5762" s="140"/>
      <c r="D5762" s="140"/>
      <c r="E5762" s="140"/>
    </row>
    <row r="5763" spans="1:5">
      <c r="A5763" s="140"/>
      <c r="B5763" s="192"/>
      <c r="C5763" s="140"/>
      <c r="D5763" s="140"/>
      <c r="E5763" s="140"/>
    </row>
    <row r="5764" spans="1:5">
      <c r="A5764" s="140"/>
      <c r="B5764" s="192"/>
      <c r="C5764" s="140"/>
      <c r="D5764" s="140"/>
      <c r="E5764" s="140"/>
    </row>
    <row r="5765" spans="1:5">
      <c r="A5765" s="140"/>
      <c r="B5765" s="192"/>
      <c r="C5765" s="140"/>
      <c r="D5765" s="140"/>
      <c r="E5765" s="140"/>
    </row>
    <row r="5766" spans="1:5">
      <c r="A5766" s="140"/>
      <c r="B5766" s="192"/>
      <c r="C5766" s="140"/>
      <c r="D5766" s="140"/>
      <c r="E5766" s="140"/>
    </row>
    <row r="5767" spans="1:5">
      <c r="A5767" s="140"/>
      <c r="B5767" s="192"/>
      <c r="C5767" s="140"/>
      <c r="D5767" s="140"/>
      <c r="E5767" s="140"/>
    </row>
    <row r="5768" spans="1:5">
      <c r="A5768" s="140"/>
      <c r="B5768" s="192"/>
      <c r="C5768" s="140"/>
      <c r="D5768" s="140"/>
      <c r="E5768" s="140"/>
    </row>
    <row r="5769" spans="1:5">
      <c r="A5769" s="140"/>
      <c r="B5769" s="192"/>
      <c r="C5769" s="140"/>
      <c r="D5769" s="140"/>
      <c r="E5769" s="140"/>
    </row>
    <row r="5770" spans="1:5">
      <c r="A5770" s="140"/>
      <c r="B5770" s="192"/>
      <c r="C5770" s="140"/>
      <c r="D5770" s="140"/>
      <c r="E5770" s="140"/>
    </row>
    <row r="5771" spans="1:5">
      <c r="A5771" s="140"/>
      <c r="B5771" s="192"/>
      <c r="C5771" s="140"/>
      <c r="D5771" s="140"/>
      <c r="E5771" s="140"/>
    </row>
    <row r="5772" spans="1:5">
      <c r="A5772" s="140"/>
      <c r="B5772" s="192"/>
      <c r="C5772" s="140"/>
      <c r="D5772" s="140"/>
      <c r="E5772" s="140"/>
    </row>
    <row r="5773" spans="1:5">
      <c r="A5773" s="140"/>
      <c r="B5773" s="192"/>
      <c r="C5773" s="140"/>
      <c r="D5773" s="140"/>
      <c r="E5773" s="140"/>
    </row>
    <row r="5774" spans="1:5">
      <c r="A5774" s="140"/>
      <c r="B5774" s="192"/>
      <c r="C5774" s="140"/>
      <c r="D5774" s="140"/>
      <c r="E5774" s="140"/>
    </row>
    <row r="5775" spans="1:5">
      <c r="A5775" s="140"/>
      <c r="B5775" s="192"/>
      <c r="C5775" s="140"/>
      <c r="D5775" s="140"/>
      <c r="E5775" s="140"/>
    </row>
    <row r="5776" spans="1:5">
      <c r="A5776" s="140"/>
      <c r="B5776" s="192"/>
      <c r="C5776" s="140"/>
      <c r="D5776" s="140"/>
      <c r="E5776" s="140"/>
    </row>
    <row r="5777" spans="1:5">
      <c r="A5777" s="140"/>
      <c r="B5777" s="192"/>
      <c r="C5777" s="140"/>
      <c r="D5777" s="140"/>
      <c r="E5777" s="140"/>
    </row>
    <row r="5778" spans="1:5">
      <c r="A5778" s="140"/>
      <c r="B5778" s="192"/>
      <c r="C5778" s="140"/>
      <c r="D5778" s="140"/>
      <c r="E5778" s="140"/>
    </row>
    <row r="5779" spans="1:5">
      <c r="A5779" s="140"/>
      <c r="B5779" s="192"/>
      <c r="C5779" s="140"/>
      <c r="D5779" s="140"/>
      <c r="E5779" s="140"/>
    </row>
    <row r="5780" spans="1:5">
      <c r="A5780" s="140"/>
      <c r="B5780" s="192"/>
      <c r="C5780" s="140"/>
      <c r="D5780" s="140"/>
      <c r="E5780" s="140"/>
    </row>
    <row r="5781" spans="1:5">
      <c r="A5781" s="140"/>
      <c r="B5781" s="192"/>
      <c r="C5781" s="140"/>
      <c r="D5781" s="140"/>
      <c r="E5781" s="140"/>
    </row>
    <row r="5782" spans="1:5">
      <c r="A5782" s="140"/>
      <c r="B5782" s="192"/>
      <c r="C5782" s="140"/>
      <c r="D5782" s="140"/>
      <c r="E5782" s="140"/>
    </row>
    <row r="5783" spans="1:5">
      <c r="A5783" s="140"/>
      <c r="B5783" s="192"/>
      <c r="C5783" s="140"/>
      <c r="D5783" s="140"/>
      <c r="E5783" s="140"/>
    </row>
    <row r="5784" spans="1:5">
      <c r="A5784" s="140"/>
      <c r="B5784" s="192"/>
      <c r="C5784" s="140"/>
      <c r="D5784" s="140"/>
      <c r="E5784" s="140"/>
    </row>
    <row r="5785" spans="1:5">
      <c r="A5785" s="140"/>
      <c r="B5785" s="192"/>
      <c r="C5785" s="140"/>
      <c r="D5785" s="140"/>
      <c r="E5785" s="140"/>
    </row>
    <row r="5786" spans="1:5">
      <c r="A5786" s="140"/>
      <c r="B5786" s="192"/>
      <c r="C5786" s="140"/>
      <c r="D5786" s="140"/>
      <c r="E5786" s="140"/>
    </row>
    <row r="5787" spans="1:5">
      <c r="A5787" s="140"/>
      <c r="B5787" s="192"/>
      <c r="C5787" s="140"/>
      <c r="D5787" s="140"/>
      <c r="E5787" s="140"/>
    </row>
    <row r="5788" spans="1:5">
      <c r="A5788" s="140"/>
      <c r="B5788" s="192"/>
      <c r="C5788" s="140"/>
      <c r="D5788" s="140"/>
      <c r="E5788" s="140"/>
    </row>
    <row r="5789" spans="1:5">
      <c r="A5789" s="140"/>
      <c r="B5789" s="192"/>
      <c r="C5789" s="140"/>
      <c r="D5789" s="140"/>
      <c r="E5789" s="140"/>
    </row>
    <row r="5790" spans="1:5">
      <c r="A5790" s="140"/>
      <c r="B5790" s="192"/>
      <c r="C5790" s="140"/>
      <c r="D5790" s="140"/>
      <c r="E5790" s="140"/>
    </row>
    <row r="5791" spans="1:5">
      <c r="A5791" s="140"/>
      <c r="B5791" s="192"/>
      <c r="C5791" s="140"/>
      <c r="D5791" s="140"/>
      <c r="E5791" s="140"/>
    </row>
    <row r="5792" spans="1:5">
      <c r="A5792" s="140"/>
      <c r="B5792" s="192"/>
      <c r="C5792" s="140"/>
      <c r="D5792" s="140"/>
      <c r="E5792" s="140"/>
    </row>
    <row r="5793" spans="1:5">
      <c r="A5793" s="140"/>
      <c r="B5793" s="192"/>
      <c r="C5793" s="140"/>
      <c r="D5793" s="140"/>
      <c r="E5793" s="140"/>
    </row>
    <row r="5794" spans="1:5">
      <c r="A5794" s="140"/>
      <c r="B5794" s="192"/>
      <c r="C5794" s="140"/>
      <c r="D5794" s="140"/>
      <c r="E5794" s="140"/>
    </row>
    <row r="5795" spans="1:5">
      <c r="A5795" s="140"/>
      <c r="B5795" s="192"/>
      <c r="C5795" s="140"/>
      <c r="D5795" s="140"/>
      <c r="E5795" s="140"/>
    </row>
    <row r="5796" spans="1:5">
      <c r="A5796" s="140"/>
      <c r="B5796" s="192"/>
      <c r="C5796" s="140"/>
      <c r="D5796" s="140"/>
      <c r="E5796" s="140"/>
    </row>
    <row r="5797" spans="1:5">
      <c r="A5797" s="140"/>
      <c r="B5797" s="192"/>
      <c r="C5797" s="140"/>
      <c r="D5797" s="140"/>
      <c r="E5797" s="140"/>
    </row>
    <row r="5798" spans="1:5">
      <c r="A5798" s="140"/>
      <c r="B5798" s="192"/>
      <c r="C5798" s="140"/>
      <c r="D5798" s="140"/>
      <c r="E5798" s="140"/>
    </row>
    <row r="5799" spans="1:5">
      <c r="A5799" s="140"/>
      <c r="B5799" s="192"/>
      <c r="C5799" s="140"/>
      <c r="D5799" s="140"/>
      <c r="E5799" s="140"/>
    </row>
    <row r="5800" spans="1:5">
      <c r="A5800" s="140"/>
      <c r="B5800" s="192"/>
      <c r="C5800" s="140"/>
      <c r="D5800" s="140"/>
      <c r="E5800" s="140"/>
    </row>
    <row r="5801" spans="1:5">
      <c r="A5801" s="140"/>
      <c r="B5801" s="192"/>
      <c r="C5801" s="140"/>
      <c r="D5801" s="140"/>
      <c r="E5801" s="140"/>
    </row>
    <row r="5802" spans="1:5">
      <c r="A5802" s="140"/>
      <c r="B5802" s="192"/>
      <c r="C5802" s="140"/>
      <c r="D5802" s="140"/>
      <c r="E5802" s="140"/>
    </row>
    <row r="5803" spans="1:5">
      <c r="A5803" s="140"/>
      <c r="B5803" s="192"/>
      <c r="C5803" s="140"/>
      <c r="D5803" s="140"/>
      <c r="E5803" s="140"/>
    </row>
    <row r="5804" spans="1:5">
      <c r="A5804" s="140"/>
      <c r="B5804" s="192"/>
      <c r="C5804" s="140"/>
      <c r="D5804" s="140"/>
      <c r="E5804" s="140"/>
    </row>
    <row r="5805" spans="1:5">
      <c r="A5805" s="140"/>
      <c r="B5805" s="192"/>
      <c r="C5805" s="140"/>
      <c r="D5805" s="140"/>
      <c r="E5805" s="140"/>
    </row>
    <row r="5806" spans="1:5">
      <c r="A5806" s="140"/>
      <c r="B5806" s="192"/>
      <c r="C5806" s="140"/>
      <c r="D5806" s="140"/>
      <c r="E5806" s="140"/>
    </row>
    <row r="5807" spans="1:5">
      <c r="A5807" s="140"/>
      <c r="B5807" s="192"/>
      <c r="C5807" s="140"/>
      <c r="D5807" s="140"/>
      <c r="E5807" s="140"/>
    </row>
    <row r="5808" spans="1:5">
      <c r="A5808" s="140"/>
      <c r="B5808" s="192"/>
      <c r="C5808" s="140"/>
      <c r="D5808" s="140"/>
      <c r="E5808" s="140"/>
    </row>
    <row r="5809" spans="1:5">
      <c r="A5809" s="140"/>
      <c r="B5809" s="192"/>
      <c r="C5809" s="140"/>
      <c r="D5809" s="140"/>
      <c r="E5809" s="140"/>
    </row>
    <row r="5810" spans="1:5">
      <c r="A5810" s="140"/>
      <c r="B5810" s="192"/>
      <c r="C5810" s="140"/>
      <c r="D5810" s="140"/>
      <c r="E5810" s="140"/>
    </row>
    <row r="5811" spans="1:5">
      <c r="A5811" s="140"/>
      <c r="B5811" s="192"/>
      <c r="C5811" s="140"/>
      <c r="D5811" s="140"/>
      <c r="E5811" s="140"/>
    </row>
    <row r="5812" spans="1:5">
      <c r="A5812" s="140"/>
      <c r="B5812" s="192"/>
      <c r="C5812" s="140"/>
      <c r="D5812" s="140"/>
      <c r="E5812" s="140"/>
    </row>
    <row r="5813" spans="1:5">
      <c r="A5813" s="140"/>
      <c r="B5813" s="192"/>
      <c r="C5813" s="140"/>
      <c r="D5813" s="140"/>
      <c r="E5813" s="140"/>
    </row>
    <row r="5814" spans="1:5">
      <c r="A5814" s="140"/>
      <c r="B5814" s="192"/>
      <c r="C5814" s="140"/>
      <c r="D5814" s="140"/>
      <c r="E5814" s="140"/>
    </row>
    <row r="5815" spans="1:5">
      <c r="A5815" s="140"/>
      <c r="B5815" s="192"/>
      <c r="C5815" s="140"/>
      <c r="D5815" s="140"/>
      <c r="E5815" s="140"/>
    </row>
    <row r="5816" spans="1:5">
      <c r="A5816" s="140"/>
      <c r="B5816" s="192"/>
      <c r="C5816" s="140"/>
      <c r="D5816" s="140"/>
      <c r="E5816" s="140"/>
    </row>
    <row r="5817" spans="1:5">
      <c r="A5817" s="140"/>
      <c r="B5817" s="192"/>
      <c r="C5817" s="140"/>
      <c r="D5817" s="140"/>
      <c r="E5817" s="140"/>
    </row>
    <row r="5818" spans="1:5">
      <c r="A5818" s="140"/>
      <c r="B5818" s="192"/>
      <c r="C5818" s="140"/>
      <c r="D5818" s="140"/>
      <c r="E5818" s="140"/>
    </row>
    <row r="5819" spans="1:5">
      <c r="A5819" s="140"/>
      <c r="B5819" s="192"/>
      <c r="C5819" s="140"/>
      <c r="D5819" s="140"/>
      <c r="E5819" s="140"/>
    </row>
    <row r="5820" spans="1:5">
      <c r="A5820" s="140"/>
      <c r="B5820" s="192"/>
      <c r="C5820" s="140"/>
      <c r="D5820" s="140"/>
      <c r="E5820" s="140"/>
    </row>
    <row r="5821" spans="1:5">
      <c r="A5821" s="140"/>
      <c r="B5821" s="192"/>
      <c r="C5821" s="140"/>
      <c r="D5821" s="140"/>
      <c r="E5821" s="140"/>
    </row>
    <row r="5822" spans="1:5">
      <c r="A5822" s="140"/>
      <c r="B5822" s="192"/>
      <c r="C5822" s="140"/>
      <c r="D5822" s="140"/>
      <c r="E5822" s="140"/>
    </row>
    <row r="5823" spans="1:5">
      <c r="A5823" s="140"/>
      <c r="B5823" s="192"/>
      <c r="C5823" s="140"/>
      <c r="D5823" s="140"/>
      <c r="E5823" s="140"/>
    </row>
    <row r="5824" spans="1:5">
      <c r="A5824" s="140"/>
      <c r="B5824" s="192"/>
      <c r="C5824" s="140"/>
      <c r="D5824" s="140"/>
      <c r="E5824" s="140"/>
    </row>
    <row r="5825" spans="1:5">
      <c r="A5825" s="140"/>
      <c r="B5825" s="192"/>
      <c r="C5825" s="140"/>
      <c r="D5825" s="140"/>
      <c r="E5825" s="140"/>
    </row>
    <row r="5826" spans="1:5">
      <c r="A5826" s="140"/>
      <c r="B5826" s="192"/>
      <c r="C5826" s="140"/>
      <c r="D5826" s="140"/>
      <c r="E5826" s="140"/>
    </row>
    <row r="5827" spans="1:5">
      <c r="A5827" s="140"/>
      <c r="B5827" s="192"/>
      <c r="C5827" s="140"/>
      <c r="D5827" s="140"/>
      <c r="E5827" s="140"/>
    </row>
    <row r="5828" spans="1:5">
      <c r="A5828" s="140"/>
      <c r="B5828" s="192"/>
      <c r="C5828" s="140"/>
      <c r="D5828" s="140"/>
      <c r="E5828" s="140"/>
    </row>
    <row r="5829" spans="1:5">
      <c r="A5829" s="140"/>
      <c r="B5829" s="192"/>
      <c r="C5829" s="140"/>
      <c r="D5829" s="140"/>
      <c r="E5829" s="140"/>
    </row>
    <row r="5830" spans="1:5">
      <c r="A5830" s="140"/>
      <c r="B5830" s="192"/>
      <c r="C5830" s="140"/>
      <c r="D5830" s="140"/>
      <c r="E5830" s="140"/>
    </row>
    <row r="5831" spans="1:5">
      <c r="A5831" s="140"/>
      <c r="B5831" s="192"/>
      <c r="C5831" s="140"/>
      <c r="D5831" s="140"/>
      <c r="E5831" s="140"/>
    </row>
    <row r="5832" spans="1:5">
      <c r="A5832" s="140"/>
      <c r="B5832" s="192"/>
      <c r="C5832" s="140"/>
      <c r="D5832" s="140"/>
      <c r="E5832" s="140"/>
    </row>
    <row r="5833" spans="1:5">
      <c r="A5833" s="140"/>
      <c r="B5833" s="192"/>
      <c r="C5833" s="140"/>
      <c r="D5833" s="140"/>
      <c r="E5833" s="140"/>
    </row>
    <row r="5834" spans="1:5">
      <c r="A5834" s="140"/>
      <c r="B5834" s="192"/>
      <c r="C5834" s="140"/>
      <c r="D5834" s="140"/>
      <c r="E5834" s="140"/>
    </row>
    <row r="5835" spans="1:5">
      <c r="A5835" s="140"/>
      <c r="B5835" s="192"/>
      <c r="C5835" s="140"/>
      <c r="D5835" s="140"/>
      <c r="E5835" s="140"/>
    </row>
    <row r="5836" spans="1:5">
      <c r="A5836" s="140"/>
      <c r="B5836" s="192"/>
      <c r="C5836" s="140"/>
      <c r="D5836" s="140"/>
      <c r="E5836" s="140"/>
    </row>
    <row r="5837" spans="1:5">
      <c r="A5837" s="140"/>
      <c r="B5837" s="192"/>
      <c r="C5837" s="140"/>
      <c r="D5837" s="140"/>
      <c r="E5837" s="140"/>
    </row>
    <row r="5838" spans="1:5">
      <c r="A5838" s="140"/>
      <c r="B5838" s="192"/>
      <c r="C5838" s="140"/>
      <c r="D5838" s="140"/>
      <c r="E5838" s="140"/>
    </row>
    <row r="5839" spans="1:5">
      <c r="A5839" s="140"/>
      <c r="B5839" s="192"/>
      <c r="C5839" s="140"/>
      <c r="D5839" s="140"/>
      <c r="E5839" s="140"/>
    </row>
    <row r="5840" spans="1:5">
      <c r="A5840" s="140"/>
      <c r="B5840" s="192"/>
      <c r="C5840" s="140"/>
      <c r="D5840" s="140"/>
      <c r="E5840" s="140"/>
    </row>
    <row r="5841" spans="1:5">
      <c r="A5841" s="140"/>
      <c r="B5841" s="192"/>
      <c r="C5841" s="140"/>
      <c r="D5841" s="140"/>
      <c r="E5841" s="140"/>
    </row>
    <row r="5842" spans="1:5">
      <c r="A5842" s="140"/>
      <c r="B5842" s="192"/>
      <c r="C5842" s="140"/>
      <c r="D5842" s="140"/>
      <c r="E5842" s="140"/>
    </row>
    <row r="5843" spans="1:5">
      <c r="A5843" s="140"/>
      <c r="B5843" s="192"/>
      <c r="C5843" s="140"/>
      <c r="D5843" s="140"/>
      <c r="E5843" s="140"/>
    </row>
    <row r="5844" spans="1:5">
      <c r="A5844" s="140"/>
      <c r="B5844" s="192"/>
      <c r="C5844" s="140"/>
      <c r="D5844" s="140"/>
      <c r="E5844" s="140"/>
    </row>
    <row r="5845" spans="1:5">
      <c r="A5845" s="140"/>
      <c r="B5845" s="192"/>
      <c r="C5845" s="140"/>
      <c r="D5845" s="140"/>
      <c r="E5845" s="140"/>
    </row>
    <row r="5846" spans="1:5">
      <c r="A5846" s="140"/>
      <c r="B5846" s="192"/>
      <c r="C5846" s="140"/>
      <c r="D5846" s="140"/>
      <c r="E5846" s="140"/>
    </row>
    <row r="5847" spans="1:5">
      <c r="A5847" s="140"/>
      <c r="B5847" s="192"/>
      <c r="C5847" s="140"/>
      <c r="D5847" s="140"/>
      <c r="E5847" s="140"/>
    </row>
    <row r="5848" spans="1:5">
      <c r="A5848" s="140"/>
      <c r="B5848" s="192"/>
      <c r="C5848" s="140"/>
      <c r="D5848" s="140"/>
      <c r="E5848" s="140"/>
    </row>
    <row r="5849" spans="1:5">
      <c r="A5849" s="140"/>
      <c r="B5849" s="192"/>
      <c r="C5849" s="140"/>
      <c r="D5849" s="140"/>
      <c r="E5849" s="140"/>
    </row>
    <row r="5850" spans="1:5">
      <c r="A5850" s="140"/>
      <c r="B5850" s="192"/>
      <c r="C5850" s="140"/>
      <c r="D5850" s="140"/>
      <c r="E5850" s="140"/>
    </row>
    <row r="5851" spans="1:5">
      <c r="A5851" s="140"/>
      <c r="B5851" s="192"/>
      <c r="C5851" s="140"/>
      <c r="D5851" s="140"/>
      <c r="E5851" s="140"/>
    </row>
    <row r="5852" spans="1:5">
      <c r="A5852" s="140"/>
      <c r="B5852" s="192"/>
      <c r="C5852" s="140"/>
      <c r="D5852" s="140"/>
      <c r="E5852" s="140"/>
    </row>
    <row r="5853" spans="1:5">
      <c r="A5853" s="140"/>
      <c r="B5853" s="192"/>
      <c r="C5853" s="140"/>
      <c r="D5853" s="140"/>
      <c r="E5853" s="140"/>
    </row>
    <row r="5854" spans="1:5">
      <c r="A5854" s="140"/>
      <c r="B5854" s="192"/>
      <c r="C5854" s="140"/>
      <c r="D5854" s="140"/>
      <c r="E5854" s="140"/>
    </row>
    <row r="5855" spans="1:5">
      <c r="A5855" s="140"/>
      <c r="B5855" s="192"/>
      <c r="C5855" s="140"/>
      <c r="D5855" s="140"/>
      <c r="E5855" s="140"/>
    </row>
    <row r="5856" spans="1:5">
      <c r="A5856" s="140"/>
      <c r="B5856" s="192"/>
      <c r="C5856" s="140"/>
      <c r="D5856" s="140"/>
      <c r="E5856" s="140"/>
    </row>
    <row r="5857" spans="1:5">
      <c r="A5857" s="140"/>
      <c r="B5857" s="192"/>
      <c r="C5857" s="140"/>
      <c r="D5857" s="140"/>
      <c r="E5857" s="140"/>
    </row>
    <row r="5858" spans="1:5">
      <c r="A5858" s="140"/>
      <c r="B5858" s="192"/>
      <c r="C5858" s="140"/>
      <c r="D5858" s="140"/>
      <c r="E5858" s="140"/>
    </row>
    <row r="5859" spans="1:5">
      <c r="A5859" s="140"/>
      <c r="B5859" s="192"/>
      <c r="C5859" s="140"/>
      <c r="D5859" s="140"/>
      <c r="E5859" s="140"/>
    </row>
    <row r="5860" spans="1:5">
      <c r="A5860" s="140"/>
      <c r="B5860" s="192"/>
      <c r="C5860" s="140"/>
      <c r="D5860" s="140"/>
      <c r="E5860" s="140"/>
    </row>
    <row r="5861" spans="1:5">
      <c r="A5861" s="140"/>
      <c r="B5861" s="192"/>
      <c r="C5861" s="140"/>
      <c r="D5861" s="140"/>
      <c r="E5861" s="140"/>
    </row>
    <row r="5862" spans="1:5">
      <c r="A5862" s="140"/>
      <c r="B5862" s="192"/>
      <c r="C5862" s="140"/>
      <c r="D5862" s="140"/>
      <c r="E5862" s="140"/>
    </row>
    <row r="5863" spans="1:5">
      <c r="A5863" s="140"/>
      <c r="B5863" s="192"/>
      <c r="C5863" s="140"/>
      <c r="D5863" s="140"/>
      <c r="E5863" s="140"/>
    </row>
    <row r="5864" spans="1:5">
      <c r="A5864" s="140"/>
      <c r="B5864" s="192"/>
      <c r="C5864" s="140"/>
      <c r="D5864" s="140"/>
      <c r="E5864" s="140"/>
    </row>
    <row r="5865" spans="1:5">
      <c r="A5865" s="140"/>
      <c r="B5865" s="192"/>
      <c r="C5865" s="140"/>
      <c r="D5865" s="140"/>
      <c r="E5865" s="140"/>
    </row>
    <row r="5866" spans="1:5">
      <c r="A5866" s="140"/>
      <c r="B5866" s="192"/>
      <c r="C5866" s="140"/>
      <c r="D5866" s="140"/>
      <c r="E5866" s="140"/>
    </row>
    <row r="5867" spans="1:5">
      <c r="A5867" s="140"/>
      <c r="B5867" s="192"/>
      <c r="C5867" s="140"/>
      <c r="D5867" s="140"/>
      <c r="E5867" s="140"/>
    </row>
    <row r="5868" spans="1:5">
      <c r="A5868" s="140"/>
      <c r="B5868" s="192"/>
      <c r="C5868" s="140"/>
      <c r="D5868" s="140"/>
      <c r="E5868" s="140"/>
    </row>
    <row r="5869" spans="1:5">
      <c r="A5869" s="140"/>
      <c r="B5869" s="192"/>
      <c r="C5869" s="140"/>
      <c r="D5869" s="140"/>
      <c r="E5869" s="140"/>
    </row>
    <row r="5870" spans="1:5">
      <c r="A5870" s="140"/>
      <c r="B5870" s="192"/>
      <c r="C5870" s="140"/>
      <c r="D5870" s="140"/>
      <c r="E5870" s="140"/>
    </row>
    <row r="5871" spans="1:5">
      <c r="A5871" s="140"/>
      <c r="B5871" s="192"/>
      <c r="C5871" s="140"/>
      <c r="D5871" s="140"/>
      <c r="E5871" s="140"/>
    </row>
    <row r="5872" spans="1:5">
      <c r="A5872" s="140"/>
      <c r="B5872" s="192"/>
      <c r="C5872" s="140"/>
      <c r="D5872" s="140"/>
      <c r="E5872" s="140"/>
    </row>
    <row r="5873" spans="1:5">
      <c r="A5873" s="140"/>
      <c r="B5873" s="192"/>
      <c r="C5873" s="140"/>
      <c r="D5873" s="140"/>
      <c r="E5873" s="140"/>
    </row>
    <row r="5874" spans="1:5">
      <c r="A5874" s="140"/>
      <c r="B5874" s="192"/>
      <c r="C5874" s="140"/>
      <c r="D5874" s="140"/>
      <c r="E5874" s="140"/>
    </row>
    <row r="5875" spans="1:5">
      <c r="A5875" s="140"/>
      <c r="B5875" s="192"/>
      <c r="C5875" s="140"/>
      <c r="D5875" s="140"/>
      <c r="E5875" s="140"/>
    </row>
    <row r="5876" spans="1:5">
      <c r="A5876" s="140"/>
      <c r="B5876" s="192"/>
      <c r="C5876" s="140"/>
      <c r="D5876" s="140"/>
      <c r="E5876" s="140"/>
    </row>
    <row r="5877" spans="1:5">
      <c r="A5877" s="140"/>
      <c r="B5877" s="192"/>
      <c r="C5877" s="140"/>
      <c r="D5877" s="140"/>
      <c r="E5877" s="140"/>
    </row>
    <row r="5878" spans="1:5">
      <c r="A5878" s="140"/>
      <c r="B5878" s="192"/>
      <c r="C5878" s="140"/>
      <c r="D5878" s="140"/>
      <c r="E5878" s="140"/>
    </row>
    <row r="5879" spans="1:5">
      <c r="A5879" s="140"/>
      <c r="B5879" s="192"/>
      <c r="C5879" s="140"/>
      <c r="D5879" s="140"/>
      <c r="E5879" s="140"/>
    </row>
    <row r="5880" spans="1:5">
      <c r="A5880" s="140"/>
      <c r="B5880" s="192"/>
      <c r="C5880" s="140"/>
      <c r="D5880" s="140"/>
      <c r="E5880" s="140"/>
    </row>
    <row r="5881" spans="1:5">
      <c r="A5881" s="140"/>
      <c r="B5881" s="192"/>
      <c r="C5881" s="140"/>
      <c r="D5881" s="140"/>
      <c r="E5881" s="140"/>
    </row>
    <row r="5882" spans="1:5">
      <c r="A5882" s="140"/>
      <c r="B5882" s="192"/>
      <c r="C5882" s="140"/>
      <c r="D5882" s="140"/>
      <c r="E5882" s="140"/>
    </row>
    <row r="5883" spans="1:5">
      <c r="A5883" s="140"/>
      <c r="B5883" s="192"/>
      <c r="C5883" s="140"/>
      <c r="D5883" s="140"/>
      <c r="E5883" s="140"/>
    </row>
    <row r="5884" spans="1:5">
      <c r="A5884" s="140"/>
      <c r="B5884" s="192"/>
      <c r="C5884" s="140"/>
      <c r="D5884" s="140"/>
      <c r="E5884" s="140"/>
    </row>
    <row r="5885" spans="1:5">
      <c r="A5885" s="140"/>
      <c r="B5885" s="192"/>
      <c r="C5885" s="140"/>
      <c r="D5885" s="140"/>
      <c r="E5885" s="140"/>
    </row>
    <row r="5886" spans="1:5">
      <c r="A5886" s="140"/>
      <c r="B5886" s="192"/>
      <c r="C5886" s="140"/>
      <c r="D5886" s="140"/>
      <c r="E5886" s="140"/>
    </row>
    <row r="5887" spans="1:5">
      <c r="A5887" s="140"/>
      <c r="B5887" s="192"/>
      <c r="C5887" s="140"/>
      <c r="D5887" s="140"/>
      <c r="E5887" s="140"/>
    </row>
    <row r="5888" spans="1:5">
      <c r="A5888" s="140"/>
      <c r="B5888" s="192"/>
      <c r="C5888" s="140"/>
      <c r="D5888" s="140"/>
      <c r="E5888" s="140"/>
    </row>
    <row r="5889" spans="1:5">
      <c r="A5889" s="140"/>
      <c r="B5889" s="192"/>
      <c r="C5889" s="140"/>
      <c r="D5889" s="140"/>
      <c r="E5889" s="140"/>
    </row>
    <row r="5890" spans="1:5">
      <c r="A5890" s="140"/>
      <c r="B5890" s="192"/>
      <c r="C5890" s="140"/>
      <c r="D5890" s="140"/>
      <c r="E5890" s="140"/>
    </row>
    <row r="5891" spans="1:5">
      <c r="A5891" s="140"/>
      <c r="B5891" s="192"/>
      <c r="C5891" s="140"/>
      <c r="D5891" s="140"/>
      <c r="E5891" s="140"/>
    </row>
    <row r="5892" spans="1:5">
      <c r="A5892" s="140"/>
      <c r="B5892" s="192"/>
      <c r="C5892" s="140"/>
      <c r="D5892" s="140"/>
      <c r="E5892" s="140"/>
    </row>
    <row r="5893" spans="1:5">
      <c r="A5893" s="140"/>
      <c r="B5893" s="192"/>
      <c r="C5893" s="140"/>
      <c r="D5893" s="140"/>
      <c r="E5893" s="140"/>
    </row>
    <row r="5894" spans="1:5">
      <c r="A5894" s="140"/>
      <c r="B5894" s="192"/>
      <c r="C5894" s="140"/>
      <c r="D5894" s="140"/>
      <c r="E5894" s="140"/>
    </row>
    <row r="5895" spans="1:5">
      <c r="A5895" s="140"/>
      <c r="B5895" s="192"/>
      <c r="C5895" s="140"/>
      <c r="D5895" s="140"/>
      <c r="E5895" s="140"/>
    </row>
    <row r="5896" spans="1:5">
      <c r="A5896" s="140"/>
      <c r="B5896" s="192"/>
      <c r="C5896" s="140"/>
      <c r="D5896" s="140"/>
      <c r="E5896" s="140"/>
    </row>
    <row r="5897" spans="1:5">
      <c r="A5897" s="140"/>
      <c r="B5897" s="192"/>
      <c r="C5897" s="140"/>
      <c r="D5897" s="140"/>
      <c r="E5897" s="140"/>
    </row>
    <row r="5898" spans="1:5">
      <c r="A5898" s="140"/>
      <c r="B5898" s="192"/>
      <c r="C5898" s="140"/>
      <c r="D5898" s="140"/>
      <c r="E5898" s="140"/>
    </row>
    <row r="5899" spans="1:5">
      <c r="A5899" s="140"/>
      <c r="B5899" s="192"/>
      <c r="C5899" s="140"/>
      <c r="D5899" s="140"/>
      <c r="E5899" s="140"/>
    </row>
    <row r="5900" spans="1:5">
      <c r="A5900" s="140"/>
      <c r="B5900" s="192"/>
      <c r="C5900" s="140"/>
      <c r="D5900" s="140"/>
      <c r="E5900" s="140"/>
    </row>
    <row r="5901" spans="1:5">
      <c r="A5901" s="140"/>
      <c r="B5901" s="192"/>
      <c r="C5901" s="140"/>
      <c r="D5901" s="140"/>
      <c r="E5901" s="140"/>
    </row>
    <row r="5902" spans="1:5">
      <c r="A5902" s="140"/>
      <c r="B5902" s="192"/>
      <c r="C5902" s="140"/>
      <c r="D5902" s="140"/>
      <c r="E5902" s="140"/>
    </row>
    <row r="5903" spans="1:5">
      <c r="A5903" s="140"/>
      <c r="B5903" s="192"/>
      <c r="C5903" s="140"/>
      <c r="D5903" s="140"/>
      <c r="E5903" s="140"/>
    </row>
    <row r="5904" spans="1:5">
      <c r="A5904" s="140"/>
      <c r="B5904" s="192"/>
      <c r="C5904" s="140"/>
      <c r="D5904" s="140"/>
      <c r="E5904" s="140"/>
    </row>
    <row r="5905" spans="1:5">
      <c r="A5905" s="140"/>
      <c r="B5905" s="192"/>
      <c r="C5905" s="140"/>
      <c r="D5905" s="140"/>
      <c r="E5905" s="140"/>
    </row>
    <row r="5906" spans="1:5">
      <c r="A5906" s="140"/>
      <c r="B5906" s="192"/>
      <c r="C5906" s="140"/>
      <c r="D5906" s="140"/>
      <c r="E5906" s="140"/>
    </row>
    <row r="5907" spans="1:5">
      <c r="A5907" s="140"/>
      <c r="B5907" s="192"/>
      <c r="C5907" s="140"/>
      <c r="D5907" s="140"/>
      <c r="E5907" s="140"/>
    </row>
    <row r="5908" spans="1:5">
      <c r="A5908" s="140"/>
      <c r="B5908" s="192"/>
      <c r="C5908" s="140"/>
      <c r="D5908" s="140"/>
      <c r="E5908" s="140"/>
    </row>
    <row r="5909" spans="1:5">
      <c r="A5909" s="140"/>
      <c r="B5909" s="192"/>
      <c r="C5909" s="140"/>
      <c r="D5909" s="140"/>
      <c r="E5909" s="140"/>
    </row>
    <row r="5910" spans="1:5">
      <c r="A5910" s="140"/>
      <c r="B5910" s="192"/>
      <c r="C5910" s="140"/>
      <c r="D5910" s="140"/>
      <c r="E5910" s="140"/>
    </row>
    <row r="5911" spans="1:5">
      <c r="A5911" s="140"/>
      <c r="B5911" s="192"/>
      <c r="C5911" s="140"/>
      <c r="D5911" s="140"/>
      <c r="E5911" s="140"/>
    </row>
    <row r="5912" spans="1:5">
      <c r="A5912" s="140"/>
      <c r="B5912" s="192"/>
      <c r="C5912" s="140"/>
      <c r="D5912" s="140"/>
      <c r="E5912" s="140"/>
    </row>
    <row r="5913" spans="1:5">
      <c r="A5913" s="140"/>
      <c r="B5913" s="192"/>
      <c r="C5913" s="140"/>
      <c r="D5913" s="140"/>
      <c r="E5913" s="140"/>
    </row>
    <row r="5914" spans="1:5">
      <c r="A5914" s="140"/>
      <c r="B5914" s="192"/>
      <c r="C5914" s="140"/>
      <c r="D5914" s="140"/>
      <c r="E5914" s="140"/>
    </row>
    <row r="5915" spans="1:5">
      <c r="A5915" s="140"/>
      <c r="B5915" s="192"/>
      <c r="C5915" s="140"/>
      <c r="D5915" s="140"/>
      <c r="E5915" s="140"/>
    </row>
    <row r="5916" spans="1:5">
      <c r="A5916" s="140"/>
      <c r="B5916" s="192"/>
      <c r="C5916" s="140"/>
      <c r="D5916" s="140"/>
      <c r="E5916" s="140"/>
    </row>
    <row r="5917" spans="1:5">
      <c r="A5917" s="140"/>
      <c r="B5917" s="192"/>
      <c r="C5917" s="140"/>
      <c r="D5917" s="140"/>
      <c r="E5917" s="140"/>
    </row>
    <row r="5918" spans="1:5">
      <c r="A5918" s="140"/>
      <c r="B5918" s="192"/>
      <c r="C5918" s="140"/>
      <c r="D5918" s="140"/>
      <c r="E5918" s="140"/>
    </row>
    <row r="5919" spans="1:5">
      <c r="A5919" s="140"/>
      <c r="B5919" s="192"/>
      <c r="C5919" s="140"/>
      <c r="D5919" s="140"/>
      <c r="E5919" s="140"/>
    </row>
    <row r="5920" spans="1:5">
      <c r="A5920" s="140"/>
      <c r="B5920" s="192"/>
      <c r="C5920" s="140"/>
      <c r="D5920" s="140"/>
      <c r="E5920" s="140"/>
    </row>
    <row r="5921" spans="1:5">
      <c r="A5921" s="140"/>
      <c r="B5921" s="192"/>
      <c r="C5921" s="140"/>
      <c r="D5921" s="140"/>
      <c r="E5921" s="140"/>
    </row>
    <row r="5922" spans="1:5">
      <c r="A5922" s="140"/>
      <c r="B5922" s="192"/>
      <c r="C5922" s="140"/>
      <c r="D5922" s="140"/>
      <c r="E5922" s="140"/>
    </row>
    <row r="5923" spans="1:5">
      <c r="A5923" s="140"/>
      <c r="B5923" s="192"/>
      <c r="C5923" s="140"/>
      <c r="D5923" s="140"/>
      <c r="E5923" s="140"/>
    </row>
    <row r="5924" spans="1:5">
      <c r="A5924" s="140"/>
      <c r="B5924" s="192"/>
      <c r="C5924" s="140"/>
      <c r="D5924" s="140"/>
      <c r="E5924" s="140"/>
    </row>
    <row r="5925" spans="1:5">
      <c r="A5925" s="140"/>
      <c r="B5925" s="192"/>
      <c r="C5925" s="140"/>
      <c r="D5925" s="140"/>
      <c r="E5925" s="140"/>
    </row>
    <row r="5926" spans="1:5">
      <c r="A5926" s="140"/>
      <c r="B5926" s="192"/>
      <c r="C5926" s="140"/>
      <c r="D5926" s="140"/>
      <c r="E5926" s="140"/>
    </row>
    <row r="5927" spans="1:5">
      <c r="A5927" s="140"/>
      <c r="B5927" s="192"/>
      <c r="C5927" s="140"/>
      <c r="D5927" s="140"/>
      <c r="E5927" s="140"/>
    </row>
    <row r="5928" spans="1:5">
      <c r="A5928" s="140"/>
      <c r="B5928" s="192"/>
      <c r="C5928" s="140"/>
      <c r="D5928" s="140"/>
      <c r="E5928" s="140"/>
    </row>
    <row r="5929" spans="1:5">
      <c r="A5929" s="140"/>
      <c r="B5929" s="192"/>
      <c r="C5929" s="140"/>
      <c r="D5929" s="140"/>
      <c r="E5929" s="140"/>
    </row>
    <row r="5930" spans="1:5">
      <c r="A5930" s="140"/>
      <c r="B5930" s="192"/>
      <c r="C5930" s="140"/>
      <c r="D5930" s="140"/>
      <c r="E5930" s="140"/>
    </row>
    <row r="5931" spans="1:5">
      <c r="A5931" s="140"/>
      <c r="B5931" s="192"/>
      <c r="C5931" s="140"/>
      <c r="D5931" s="140"/>
      <c r="E5931" s="140"/>
    </row>
    <row r="5932" spans="1:5">
      <c r="A5932" s="140"/>
      <c r="B5932" s="192"/>
      <c r="C5932" s="140"/>
      <c r="D5932" s="140"/>
      <c r="E5932" s="140"/>
    </row>
    <row r="5933" spans="1:5">
      <c r="A5933" s="140"/>
      <c r="B5933" s="192"/>
      <c r="C5933" s="140"/>
      <c r="D5933" s="140"/>
      <c r="E5933" s="140"/>
    </row>
    <row r="5934" spans="1:5">
      <c r="A5934" s="140"/>
      <c r="B5934" s="192"/>
      <c r="C5934" s="140"/>
      <c r="D5934" s="140"/>
      <c r="E5934" s="140"/>
    </row>
    <row r="5935" spans="1:5">
      <c r="A5935" s="140"/>
      <c r="B5935" s="192"/>
      <c r="C5935" s="140"/>
      <c r="D5935" s="140"/>
      <c r="E5935" s="140"/>
    </row>
    <row r="5936" spans="1:5">
      <c r="A5936" s="140"/>
      <c r="B5936" s="192"/>
      <c r="C5936" s="140"/>
      <c r="D5936" s="140"/>
      <c r="E5936" s="140"/>
    </row>
    <row r="5937" spans="1:5">
      <c r="A5937" s="140"/>
      <c r="B5937" s="192"/>
      <c r="C5937" s="140"/>
      <c r="D5937" s="140"/>
      <c r="E5937" s="140"/>
    </row>
    <row r="5938" spans="1:5">
      <c r="A5938" s="140"/>
      <c r="B5938" s="192"/>
      <c r="C5938" s="140"/>
      <c r="D5938" s="140"/>
      <c r="E5938" s="140"/>
    </row>
    <row r="5939" spans="1:5">
      <c r="A5939" s="140"/>
      <c r="B5939" s="192"/>
      <c r="C5939" s="140"/>
      <c r="D5939" s="140"/>
      <c r="E5939" s="140"/>
    </row>
    <row r="5940" spans="1:5">
      <c r="A5940" s="140"/>
      <c r="B5940" s="192"/>
      <c r="C5940" s="140"/>
      <c r="D5940" s="140"/>
      <c r="E5940" s="140"/>
    </row>
    <row r="5941" spans="1:5">
      <c r="A5941" s="140"/>
      <c r="B5941" s="192"/>
      <c r="C5941" s="140"/>
      <c r="D5941" s="140"/>
      <c r="E5941" s="140"/>
    </row>
    <row r="5942" spans="1:5">
      <c r="A5942" s="140"/>
      <c r="B5942" s="192"/>
      <c r="C5942" s="140"/>
      <c r="D5942" s="140"/>
      <c r="E5942" s="140"/>
    </row>
    <row r="5943" spans="1:5">
      <c r="A5943" s="140"/>
      <c r="B5943" s="192"/>
      <c r="C5943" s="140"/>
      <c r="D5943" s="140"/>
      <c r="E5943" s="140"/>
    </row>
    <row r="5944" spans="1:5">
      <c r="A5944" s="140"/>
      <c r="B5944" s="192"/>
      <c r="C5944" s="140"/>
      <c r="D5944" s="140"/>
      <c r="E5944" s="140"/>
    </row>
    <row r="5945" spans="1:5">
      <c r="A5945" s="140"/>
      <c r="B5945" s="192"/>
      <c r="C5945" s="140"/>
      <c r="D5945" s="140"/>
      <c r="E5945" s="140"/>
    </row>
    <row r="5946" spans="1:5">
      <c r="A5946" s="140"/>
      <c r="B5946" s="192"/>
      <c r="C5946" s="140"/>
      <c r="D5946" s="140"/>
      <c r="E5946" s="140"/>
    </row>
    <row r="5947" spans="1:5">
      <c r="A5947" s="140"/>
      <c r="B5947" s="192"/>
      <c r="C5947" s="140"/>
      <c r="D5947" s="140"/>
      <c r="E5947" s="140"/>
    </row>
    <row r="5948" spans="1:5">
      <c r="A5948" s="140"/>
      <c r="B5948" s="192"/>
      <c r="C5948" s="140"/>
      <c r="D5948" s="140"/>
      <c r="E5948" s="140"/>
    </row>
    <row r="5949" spans="1:5">
      <c r="A5949" s="140"/>
      <c r="B5949" s="192"/>
      <c r="C5949" s="140"/>
      <c r="D5949" s="140"/>
      <c r="E5949" s="140"/>
    </row>
    <row r="5950" spans="1:5">
      <c r="A5950" s="140"/>
      <c r="B5950" s="192"/>
      <c r="C5950" s="140"/>
      <c r="D5950" s="140"/>
      <c r="E5950" s="140"/>
    </row>
    <row r="5951" spans="1:5">
      <c r="A5951" s="140"/>
      <c r="B5951" s="192"/>
      <c r="C5951" s="140"/>
      <c r="D5951" s="140"/>
      <c r="E5951" s="140"/>
    </row>
    <row r="5952" spans="1:5">
      <c r="A5952" s="140"/>
      <c r="B5952" s="192"/>
      <c r="C5952" s="140"/>
      <c r="D5952" s="140"/>
      <c r="E5952" s="140"/>
    </row>
    <row r="5953" spans="1:5">
      <c r="A5953" s="140"/>
      <c r="B5953" s="192"/>
      <c r="C5953" s="140"/>
      <c r="D5953" s="140"/>
      <c r="E5953" s="140"/>
    </row>
    <row r="5954" spans="1:5">
      <c r="A5954" s="140"/>
      <c r="B5954" s="192"/>
      <c r="C5954" s="140"/>
      <c r="D5954" s="140"/>
      <c r="E5954" s="140"/>
    </row>
    <row r="5955" spans="1:5">
      <c r="A5955" s="140"/>
      <c r="B5955" s="192"/>
      <c r="C5955" s="140"/>
      <c r="D5955" s="140"/>
      <c r="E5955" s="140"/>
    </row>
    <row r="5956" spans="1:5">
      <c r="A5956" s="140"/>
      <c r="B5956" s="192"/>
      <c r="C5956" s="140"/>
      <c r="D5956" s="140"/>
      <c r="E5956" s="140"/>
    </row>
    <row r="5957" spans="1:5">
      <c r="A5957" s="140"/>
      <c r="B5957" s="192"/>
      <c r="C5957" s="140"/>
      <c r="D5957" s="140"/>
      <c r="E5957" s="140"/>
    </row>
    <row r="5958" spans="1:5">
      <c r="A5958" s="140"/>
      <c r="B5958" s="192"/>
      <c r="C5958" s="140"/>
      <c r="D5958" s="140"/>
      <c r="E5958" s="140"/>
    </row>
    <row r="5959" spans="1:5">
      <c r="A5959" s="140"/>
      <c r="B5959" s="192"/>
      <c r="C5959" s="140"/>
      <c r="D5959" s="140"/>
      <c r="E5959" s="140"/>
    </row>
    <row r="5960" spans="1:5">
      <c r="A5960" s="140"/>
      <c r="B5960" s="192"/>
      <c r="C5960" s="140"/>
      <c r="D5960" s="140"/>
      <c r="E5960" s="140"/>
    </row>
    <row r="5961" spans="1:5">
      <c r="A5961" s="140"/>
      <c r="B5961" s="192"/>
      <c r="C5961" s="140"/>
      <c r="D5961" s="140"/>
      <c r="E5961" s="140"/>
    </row>
    <row r="5962" spans="1:5">
      <c r="A5962" s="140"/>
      <c r="B5962" s="192"/>
      <c r="C5962" s="140"/>
      <c r="D5962" s="140"/>
      <c r="E5962" s="140"/>
    </row>
    <row r="5963" spans="1:5">
      <c r="A5963" s="140"/>
      <c r="B5963" s="192"/>
      <c r="C5963" s="140"/>
      <c r="D5963" s="140"/>
      <c r="E5963" s="140"/>
    </row>
    <row r="5964" spans="1:5">
      <c r="A5964" s="140"/>
      <c r="B5964" s="192"/>
      <c r="C5964" s="140"/>
      <c r="D5964" s="140"/>
      <c r="E5964" s="140"/>
    </row>
    <row r="5965" spans="1:5">
      <c r="A5965" s="140"/>
      <c r="B5965" s="192"/>
      <c r="C5965" s="140"/>
      <c r="D5965" s="140"/>
      <c r="E5965" s="140"/>
    </row>
    <row r="5966" spans="1:5">
      <c r="A5966" s="140"/>
      <c r="B5966" s="192"/>
      <c r="C5966" s="140"/>
      <c r="D5966" s="140"/>
      <c r="E5966" s="140"/>
    </row>
    <row r="5967" spans="1:5">
      <c r="A5967" s="140"/>
      <c r="B5967" s="192"/>
      <c r="C5967" s="140"/>
      <c r="D5967" s="140"/>
      <c r="E5967" s="140"/>
    </row>
    <row r="5968" spans="1:5">
      <c r="A5968" s="140"/>
      <c r="B5968" s="192"/>
      <c r="C5968" s="140"/>
      <c r="D5968" s="140"/>
      <c r="E5968" s="140"/>
    </row>
    <row r="5969" spans="1:5">
      <c r="A5969" s="140"/>
      <c r="B5969" s="192"/>
      <c r="C5969" s="140"/>
      <c r="D5969" s="140"/>
      <c r="E5969" s="140"/>
    </row>
    <row r="5970" spans="1:5">
      <c r="A5970" s="140"/>
      <c r="B5970" s="192"/>
      <c r="C5970" s="140"/>
      <c r="D5970" s="140"/>
      <c r="E5970" s="140"/>
    </row>
    <row r="5971" spans="1:5">
      <c r="A5971" s="140"/>
      <c r="B5971" s="192"/>
      <c r="C5971" s="140"/>
      <c r="D5971" s="140"/>
      <c r="E5971" s="140"/>
    </row>
    <row r="5972" spans="1:5">
      <c r="A5972" s="140"/>
      <c r="B5972" s="192"/>
      <c r="C5972" s="140"/>
      <c r="D5972" s="140"/>
      <c r="E5972" s="140"/>
    </row>
    <row r="5973" spans="1:5">
      <c r="A5973" s="140"/>
      <c r="B5973" s="192"/>
      <c r="C5973" s="140"/>
      <c r="D5973" s="140"/>
      <c r="E5973" s="140"/>
    </row>
    <row r="5974" spans="1:5">
      <c r="A5974" s="140"/>
      <c r="B5974" s="192"/>
      <c r="C5974" s="140"/>
      <c r="D5974" s="140"/>
      <c r="E5974" s="140"/>
    </row>
    <row r="5975" spans="1:5">
      <c r="A5975" s="140"/>
      <c r="B5975" s="192"/>
      <c r="C5975" s="140"/>
      <c r="D5975" s="140"/>
      <c r="E5975" s="140"/>
    </row>
    <row r="5976" spans="1:5">
      <c r="A5976" s="140"/>
      <c r="B5976" s="192"/>
      <c r="C5976" s="140"/>
      <c r="D5976" s="140"/>
      <c r="E5976" s="140"/>
    </row>
    <row r="5977" spans="1:5">
      <c r="A5977" s="140"/>
      <c r="B5977" s="192"/>
      <c r="C5977" s="140"/>
      <c r="D5977" s="140"/>
      <c r="E5977" s="140"/>
    </row>
    <row r="5978" spans="1:5">
      <c r="A5978" s="140"/>
      <c r="B5978" s="192"/>
      <c r="C5978" s="140"/>
      <c r="D5978" s="140"/>
      <c r="E5978" s="140"/>
    </row>
    <row r="5979" spans="1:5">
      <c r="A5979" s="140"/>
      <c r="B5979" s="192"/>
      <c r="C5979" s="140"/>
      <c r="D5979" s="140"/>
      <c r="E5979" s="140"/>
    </row>
    <row r="5980" spans="1:5">
      <c r="A5980" s="140"/>
      <c r="B5980" s="192"/>
      <c r="C5980" s="140"/>
      <c r="D5980" s="140"/>
      <c r="E5980" s="140"/>
    </row>
    <row r="5981" spans="1:5">
      <c r="A5981" s="140"/>
      <c r="B5981" s="192"/>
      <c r="C5981" s="140"/>
      <c r="D5981" s="140"/>
      <c r="E5981" s="140"/>
    </row>
    <row r="5982" spans="1:5">
      <c r="A5982" s="140"/>
      <c r="B5982" s="192"/>
      <c r="C5982" s="140"/>
      <c r="D5982" s="140"/>
      <c r="E5982" s="140"/>
    </row>
    <row r="5983" spans="1:5">
      <c r="A5983" s="140"/>
      <c r="B5983" s="192"/>
      <c r="C5983" s="140"/>
      <c r="D5983" s="140"/>
      <c r="E5983" s="140"/>
    </row>
    <row r="5984" spans="1:5">
      <c r="A5984" s="140"/>
      <c r="B5984" s="192"/>
      <c r="C5984" s="140"/>
      <c r="D5984" s="140"/>
      <c r="E5984" s="140"/>
    </row>
    <row r="5985" spans="1:5">
      <c r="A5985" s="140"/>
      <c r="B5985" s="192"/>
      <c r="C5985" s="140"/>
      <c r="D5985" s="140"/>
      <c r="E5985" s="140"/>
    </row>
    <row r="5986" spans="1:5">
      <c r="A5986" s="140"/>
      <c r="B5986" s="192"/>
      <c r="C5986" s="140"/>
      <c r="D5986" s="140"/>
      <c r="E5986" s="140"/>
    </row>
    <row r="5987" spans="1:5">
      <c r="A5987" s="140"/>
      <c r="B5987" s="192"/>
      <c r="C5987" s="140"/>
      <c r="D5987" s="140"/>
      <c r="E5987" s="140"/>
    </row>
    <row r="5988" spans="1:5">
      <c r="A5988" s="140"/>
      <c r="B5988" s="192"/>
      <c r="C5988" s="140"/>
      <c r="D5988" s="140"/>
      <c r="E5988" s="140"/>
    </row>
    <row r="5989" spans="1:5">
      <c r="A5989" s="140"/>
      <c r="B5989" s="192"/>
      <c r="C5989" s="140"/>
      <c r="D5989" s="140"/>
      <c r="E5989" s="140"/>
    </row>
    <row r="5990" spans="1:5">
      <c r="A5990" s="140"/>
      <c r="B5990" s="192"/>
      <c r="C5990" s="140"/>
      <c r="D5990" s="140"/>
      <c r="E5990" s="140"/>
    </row>
    <row r="5991" spans="1:5">
      <c r="A5991" s="140"/>
      <c r="B5991" s="192"/>
      <c r="C5991" s="140"/>
      <c r="D5991" s="140"/>
      <c r="E5991" s="140"/>
    </row>
    <row r="5992" spans="1:5">
      <c r="A5992" s="140"/>
      <c r="B5992" s="192"/>
      <c r="C5992" s="140"/>
      <c r="D5992" s="140"/>
      <c r="E5992" s="140"/>
    </row>
    <row r="5993" spans="1:5">
      <c r="A5993" s="140"/>
      <c r="B5993" s="192"/>
      <c r="C5993" s="140"/>
      <c r="D5993" s="140"/>
      <c r="E5993" s="140"/>
    </row>
    <row r="5994" spans="1:5">
      <c r="A5994" s="140"/>
      <c r="B5994" s="192"/>
      <c r="C5994" s="140"/>
      <c r="D5994" s="140"/>
      <c r="E5994" s="140"/>
    </row>
    <row r="5995" spans="1:5">
      <c r="A5995" s="140"/>
      <c r="B5995" s="192"/>
      <c r="C5995" s="140"/>
      <c r="D5995" s="140"/>
      <c r="E5995" s="140"/>
    </row>
    <row r="5996" spans="1:5">
      <c r="A5996" s="140"/>
      <c r="B5996" s="192"/>
      <c r="C5996" s="140"/>
      <c r="D5996" s="140"/>
      <c r="E5996" s="140"/>
    </row>
    <row r="5997" spans="1:5">
      <c r="A5997" s="140"/>
      <c r="B5997" s="192"/>
      <c r="C5997" s="140"/>
      <c r="D5997" s="140"/>
      <c r="E5997" s="140"/>
    </row>
    <row r="5998" spans="1:5">
      <c r="A5998" s="140"/>
      <c r="B5998" s="192"/>
      <c r="C5998" s="140"/>
      <c r="D5998" s="140"/>
      <c r="E5998" s="140"/>
    </row>
    <row r="5999" spans="1:5">
      <c r="A5999" s="140"/>
      <c r="B5999" s="192"/>
      <c r="C5999" s="140"/>
      <c r="D5999" s="140"/>
      <c r="E5999" s="140"/>
    </row>
    <row r="6000" spans="1:5">
      <c r="A6000" s="140"/>
      <c r="B6000" s="192"/>
      <c r="C6000" s="140"/>
      <c r="D6000" s="140"/>
      <c r="E6000" s="140"/>
    </row>
    <row r="6001" spans="1:5">
      <c r="A6001" s="140"/>
      <c r="B6001" s="192"/>
      <c r="C6001" s="140"/>
      <c r="D6001" s="140"/>
      <c r="E6001" s="140"/>
    </row>
    <row r="6002" spans="1:5">
      <c r="A6002" s="140"/>
      <c r="B6002" s="192"/>
      <c r="C6002" s="140"/>
      <c r="D6002" s="140"/>
      <c r="E6002" s="140"/>
    </row>
    <row r="6003" spans="1:5">
      <c r="A6003" s="140"/>
      <c r="B6003" s="192"/>
      <c r="C6003" s="140"/>
      <c r="D6003" s="140"/>
      <c r="E6003" s="140"/>
    </row>
    <row r="6004" spans="1:5">
      <c r="A6004" s="140"/>
      <c r="B6004" s="192"/>
      <c r="C6004" s="140"/>
      <c r="D6004" s="140"/>
      <c r="E6004" s="140"/>
    </row>
    <row r="6005" spans="1:5">
      <c r="A6005" s="140"/>
      <c r="B6005" s="192"/>
      <c r="C6005" s="140"/>
      <c r="D6005" s="140"/>
      <c r="E6005" s="140"/>
    </row>
    <row r="6006" spans="1:5">
      <c r="A6006" s="140"/>
      <c r="B6006" s="192"/>
      <c r="C6006" s="140"/>
      <c r="D6006" s="140"/>
      <c r="E6006" s="140"/>
    </row>
    <row r="6007" spans="1:5">
      <c r="A6007" s="140"/>
      <c r="B6007" s="192"/>
      <c r="C6007" s="140"/>
      <c r="D6007" s="140"/>
      <c r="E6007" s="140"/>
    </row>
    <row r="6008" spans="1:5">
      <c r="A6008" s="140"/>
      <c r="B6008" s="192"/>
      <c r="C6008" s="140"/>
      <c r="D6008" s="140"/>
      <c r="E6008" s="140"/>
    </row>
    <row r="6009" spans="1:5">
      <c r="A6009" s="140"/>
      <c r="B6009" s="192"/>
      <c r="C6009" s="140"/>
      <c r="D6009" s="140"/>
      <c r="E6009" s="140"/>
    </row>
    <row r="6010" spans="1:5">
      <c r="A6010" s="140"/>
      <c r="B6010" s="192"/>
      <c r="C6010" s="140"/>
      <c r="D6010" s="140"/>
      <c r="E6010" s="140"/>
    </row>
    <row r="6011" spans="1:5">
      <c r="A6011" s="140"/>
      <c r="B6011" s="192"/>
      <c r="C6011" s="140"/>
      <c r="D6011" s="140"/>
      <c r="E6011" s="140"/>
    </row>
    <row r="6012" spans="1:5">
      <c r="A6012" s="140"/>
      <c r="B6012" s="192"/>
      <c r="C6012" s="140"/>
      <c r="D6012" s="140"/>
      <c r="E6012" s="140"/>
    </row>
    <row r="6013" spans="1:5">
      <c r="A6013" s="140"/>
      <c r="B6013" s="192"/>
      <c r="C6013" s="140"/>
      <c r="D6013" s="140"/>
      <c r="E6013" s="140"/>
    </row>
    <row r="6014" spans="1:5">
      <c r="A6014" s="140"/>
      <c r="B6014" s="192"/>
      <c r="C6014" s="140"/>
      <c r="D6014" s="140"/>
      <c r="E6014" s="140"/>
    </row>
    <row r="6015" spans="1:5">
      <c r="A6015" s="140"/>
      <c r="B6015" s="192"/>
      <c r="C6015" s="140"/>
      <c r="D6015" s="140"/>
      <c r="E6015" s="140"/>
    </row>
    <row r="6016" spans="1:5">
      <c r="A6016" s="140"/>
      <c r="B6016" s="192"/>
      <c r="C6016" s="140"/>
      <c r="D6016" s="140"/>
      <c r="E6016" s="140"/>
    </row>
    <row r="6017" spans="1:5">
      <c r="A6017" s="140"/>
      <c r="B6017" s="192"/>
      <c r="C6017" s="140"/>
      <c r="D6017" s="140"/>
      <c r="E6017" s="140"/>
    </row>
    <row r="6018" spans="1:5">
      <c r="A6018" s="140"/>
      <c r="B6018" s="192"/>
      <c r="C6018" s="140"/>
      <c r="D6018" s="140"/>
      <c r="E6018" s="140"/>
    </row>
    <row r="6019" spans="1:5">
      <c r="A6019" s="140"/>
      <c r="B6019" s="192"/>
      <c r="C6019" s="140"/>
      <c r="D6019" s="140"/>
      <c r="E6019" s="140"/>
    </row>
    <row r="6020" spans="1:5">
      <c r="A6020" s="140"/>
      <c r="B6020" s="192"/>
      <c r="C6020" s="140"/>
      <c r="D6020" s="140"/>
      <c r="E6020" s="140"/>
    </row>
    <row r="6021" spans="1:5">
      <c r="A6021" s="140"/>
      <c r="B6021" s="192"/>
      <c r="C6021" s="140"/>
      <c r="D6021" s="140"/>
      <c r="E6021" s="140"/>
    </row>
    <row r="6022" spans="1:5">
      <c r="A6022" s="140"/>
      <c r="B6022" s="192"/>
      <c r="C6022" s="140"/>
      <c r="D6022" s="140"/>
      <c r="E6022" s="140"/>
    </row>
    <row r="6023" spans="1:5">
      <c r="A6023" s="140"/>
      <c r="B6023" s="192"/>
      <c r="C6023" s="140"/>
      <c r="D6023" s="140"/>
      <c r="E6023" s="140"/>
    </row>
    <row r="6024" spans="1:5">
      <c r="A6024" s="140"/>
      <c r="B6024" s="192"/>
      <c r="C6024" s="140"/>
      <c r="D6024" s="140"/>
      <c r="E6024" s="140"/>
    </row>
    <row r="6025" spans="1:5">
      <c r="A6025" s="140"/>
      <c r="B6025" s="192"/>
      <c r="C6025" s="140"/>
      <c r="D6025" s="140"/>
      <c r="E6025" s="140"/>
    </row>
    <row r="6026" spans="1:5">
      <c r="A6026" s="140"/>
      <c r="B6026" s="192"/>
      <c r="C6026" s="140"/>
      <c r="D6026" s="140"/>
      <c r="E6026" s="140"/>
    </row>
    <row r="6027" spans="1:5">
      <c r="A6027" s="140"/>
      <c r="B6027" s="192"/>
      <c r="C6027" s="140"/>
      <c r="D6027" s="140"/>
      <c r="E6027" s="140"/>
    </row>
    <row r="6028" spans="1:5">
      <c r="A6028" s="140"/>
      <c r="B6028" s="192"/>
      <c r="C6028" s="140"/>
      <c r="D6028" s="140"/>
      <c r="E6028" s="140"/>
    </row>
    <row r="6029" spans="1:5">
      <c r="A6029" s="140"/>
      <c r="B6029" s="192"/>
      <c r="C6029" s="140"/>
      <c r="D6029" s="140"/>
      <c r="E6029" s="140"/>
    </row>
    <row r="6030" spans="1:5">
      <c r="A6030" s="140"/>
      <c r="B6030" s="192"/>
      <c r="C6030" s="140"/>
      <c r="D6030" s="140"/>
      <c r="E6030" s="140"/>
    </row>
    <row r="6031" spans="1:5">
      <c r="A6031" s="140"/>
      <c r="B6031" s="192"/>
      <c r="C6031" s="140"/>
      <c r="D6031" s="140"/>
      <c r="E6031" s="140"/>
    </row>
    <row r="6032" spans="1:5">
      <c r="A6032" s="140"/>
      <c r="B6032" s="192"/>
      <c r="C6032" s="140"/>
      <c r="D6032" s="140"/>
      <c r="E6032" s="140"/>
    </row>
    <row r="6033" spans="1:5">
      <c r="A6033" s="140"/>
      <c r="B6033" s="192"/>
      <c r="C6033" s="140"/>
      <c r="D6033" s="140"/>
      <c r="E6033" s="140"/>
    </row>
    <row r="6034" spans="1:5">
      <c r="A6034" s="140"/>
      <c r="B6034" s="192"/>
      <c r="C6034" s="140"/>
      <c r="D6034" s="140"/>
      <c r="E6034" s="140"/>
    </row>
    <row r="6035" spans="1:5">
      <c r="A6035" s="140"/>
      <c r="B6035" s="192"/>
      <c r="C6035" s="140"/>
      <c r="D6035" s="140"/>
      <c r="E6035" s="140"/>
    </row>
    <row r="6036" spans="1:5">
      <c r="A6036" s="140"/>
      <c r="B6036" s="192"/>
      <c r="C6036" s="140"/>
      <c r="D6036" s="140"/>
      <c r="E6036" s="140"/>
    </row>
    <row r="6037" spans="1:5">
      <c r="A6037" s="140"/>
      <c r="B6037" s="192"/>
      <c r="C6037" s="140"/>
      <c r="D6037" s="140"/>
      <c r="E6037" s="140"/>
    </row>
    <row r="6038" spans="1:5">
      <c r="A6038" s="140"/>
      <c r="B6038" s="192"/>
      <c r="C6038" s="140"/>
      <c r="D6038" s="140"/>
      <c r="E6038" s="140"/>
    </row>
    <row r="6039" spans="1:5">
      <c r="A6039" s="140"/>
      <c r="B6039" s="192"/>
      <c r="C6039" s="140"/>
      <c r="D6039" s="140"/>
      <c r="E6039" s="140"/>
    </row>
    <row r="6040" spans="1:5">
      <c r="A6040" s="140"/>
      <c r="B6040" s="192"/>
      <c r="C6040" s="140"/>
      <c r="D6040" s="140"/>
      <c r="E6040" s="140"/>
    </row>
    <row r="6041" spans="1:5">
      <c r="A6041" s="140"/>
      <c r="B6041" s="192"/>
      <c r="C6041" s="140"/>
      <c r="D6041" s="140"/>
      <c r="E6041" s="140"/>
    </row>
    <row r="6042" spans="1:5">
      <c r="A6042" s="140"/>
      <c r="B6042" s="192"/>
      <c r="C6042" s="140"/>
      <c r="D6042" s="140"/>
      <c r="E6042" s="140"/>
    </row>
    <row r="6043" spans="1:5">
      <c r="A6043" s="140"/>
      <c r="B6043" s="192"/>
      <c r="C6043" s="140"/>
      <c r="D6043" s="140"/>
      <c r="E6043" s="140"/>
    </row>
    <row r="6044" spans="1:5">
      <c r="A6044" s="140"/>
      <c r="B6044" s="192"/>
      <c r="C6044" s="140"/>
      <c r="D6044" s="140"/>
      <c r="E6044" s="140"/>
    </row>
    <row r="6045" spans="1:5">
      <c r="A6045" s="140"/>
      <c r="B6045" s="192"/>
      <c r="C6045" s="140"/>
      <c r="D6045" s="140"/>
      <c r="E6045" s="140"/>
    </row>
    <row r="6046" spans="1:5">
      <c r="A6046" s="140"/>
      <c r="B6046" s="192"/>
      <c r="C6046" s="140"/>
      <c r="D6046" s="140"/>
      <c r="E6046" s="140"/>
    </row>
    <row r="6047" spans="1:5">
      <c r="A6047" s="140"/>
      <c r="B6047" s="192"/>
      <c r="C6047" s="140"/>
      <c r="D6047" s="140"/>
      <c r="E6047" s="140"/>
    </row>
    <row r="6048" spans="1:5">
      <c r="A6048" s="140"/>
      <c r="B6048" s="192"/>
      <c r="C6048" s="140"/>
      <c r="D6048" s="140"/>
      <c r="E6048" s="140"/>
    </row>
    <row r="6049" spans="1:5">
      <c r="A6049" s="140"/>
      <c r="B6049" s="192"/>
      <c r="C6049" s="140"/>
      <c r="D6049" s="140"/>
      <c r="E6049" s="140"/>
    </row>
    <row r="6050" spans="1:5">
      <c r="A6050" s="140"/>
      <c r="B6050" s="192"/>
      <c r="C6050" s="140"/>
      <c r="D6050" s="140"/>
      <c r="E6050" s="140"/>
    </row>
    <row r="6051" spans="1:5">
      <c r="A6051" s="140"/>
      <c r="B6051" s="192"/>
      <c r="C6051" s="140"/>
      <c r="D6051" s="140"/>
      <c r="E6051" s="140"/>
    </row>
    <row r="6052" spans="1:5">
      <c r="A6052" s="140"/>
      <c r="B6052" s="192"/>
      <c r="C6052" s="140"/>
      <c r="D6052" s="140"/>
      <c r="E6052" s="140"/>
    </row>
    <row r="6053" spans="1:5">
      <c r="A6053" s="140"/>
      <c r="B6053" s="192"/>
      <c r="C6053" s="140"/>
      <c r="D6053" s="140"/>
      <c r="E6053" s="140"/>
    </row>
    <row r="6054" spans="1:5">
      <c r="A6054" s="140"/>
      <c r="B6054" s="192"/>
      <c r="C6054" s="140"/>
      <c r="D6054" s="140"/>
      <c r="E6054" s="140"/>
    </row>
    <row r="6055" spans="1:5">
      <c r="A6055" s="140"/>
      <c r="B6055" s="192"/>
      <c r="C6055" s="140"/>
      <c r="D6055" s="140"/>
      <c r="E6055" s="140"/>
    </row>
    <row r="6056" spans="1:5">
      <c r="A6056" s="140"/>
      <c r="B6056" s="192"/>
      <c r="C6056" s="140"/>
      <c r="D6056" s="140"/>
      <c r="E6056" s="140"/>
    </row>
    <row r="6057" spans="1:5">
      <c r="A6057" s="140"/>
      <c r="B6057" s="192"/>
      <c r="C6057" s="140"/>
      <c r="D6057" s="140"/>
      <c r="E6057" s="140"/>
    </row>
    <row r="6058" spans="1:5">
      <c r="A6058" s="140"/>
      <c r="B6058" s="192"/>
      <c r="C6058" s="140"/>
      <c r="D6058" s="140"/>
      <c r="E6058" s="140"/>
    </row>
    <row r="6059" spans="1:5">
      <c r="A6059" s="140"/>
      <c r="B6059" s="192"/>
      <c r="C6059" s="140"/>
      <c r="D6059" s="140"/>
      <c r="E6059" s="140"/>
    </row>
    <row r="6060" spans="1:5">
      <c r="A6060" s="140"/>
      <c r="B6060" s="192"/>
      <c r="C6060" s="140"/>
      <c r="D6060" s="140"/>
      <c r="E6060" s="140"/>
    </row>
    <row r="6061" spans="1:5">
      <c r="A6061" s="140"/>
      <c r="B6061" s="192"/>
      <c r="C6061" s="140"/>
      <c r="D6061" s="140"/>
      <c r="E6061" s="140"/>
    </row>
    <row r="6062" spans="1:5">
      <c r="A6062" s="140"/>
      <c r="B6062" s="192"/>
      <c r="C6062" s="140"/>
      <c r="D6062" s="140"/>
      <c r="E6062" s="140"/>
    </row>
    <row r="6063" spans="1:5">
      <c r="A6063" s="140"/>
      <c r="B6063" s="192"/>
      <c r="C6063" s="140"/>
      <c r="D6063" s="140"/>
      <c r="E6063" s="140"/>
    </row>
    <row r="6064" spans="1:5">
      <c r="A6064" s="140"/>
      <c r="B6064" s="192"/>
      <c r="C6064" s="140"/>
      <c r="D6064" s="140"/>
      <c r="E6064" s="140"/>
    </row>
    <row r="6065" spans="1:5">
      <c r="A6065" s="140"/>
      <c r="B6065" s="192"/>
      <c r="C6065" s="140"/>
      <c r="D6065" s="140"/>
      <c r="E6065" s="140"/>
    </row>
    <row r="6066" spans="1:5">
      <c r="A6066" s="140"/>
      <c r="B6066" s="192"/>
      <c r="C6066" s="140"/>
      <c r="D6066" s="140"/>
      <c r="E6066" s="140"/>
    </row>
    <row r="6067" spans="1:5">
      <c r="A6067" s="140"/>
      <c r="B6067" s="192"/>
      <c r="C6067" s="140"/>
      <c r="D6067" s="140"/>
      <c r="E6067" s="140"/>
    </row>
    <row r="6068" spans="1:5">
      <c r="A6068" s="140"/>
      <c r="B6068" s="192"/>
      <c r="C6068" s="140"/>
      <c r="D6068" s="140"/>
      <c r="E6068" s="140"/>
    </row>
    <row r="6069" spans="1:5">
      <c r="A6069" s="140"/>
      <c r="B6069" s="192"/>
      <c r="C6069" s="140"/>
      <c r="D6069" s="140"/>
      <c r="E6069" s="140"/>
    </row>
    <row r="6070" spans="1:5">
      <c r="A6070" s="140"/>
      <c r="B6070" s="192"/>
      <c r="C6070" s="140"/>
      <c r="D6070" s="140"/>
      <c r="E6070" s="140"/>
    </row>
    <row r="6071" spans="1:5">
      <c r="A6071" s="140"/>
      <c r="B6071" s="192"/>
      <c r="C6071" s="140"/>
      <c r="D6071" s="140"/>
      <c r="E6071" s="140"/>
    </row>
    <row r="6072" spans="1:5">
      <c r="A6072" s="140"/>
      <c r="B6072" s="192"/>
      <c r="C6072" s="140"/>
      <c r="D6072" s="140"/>
      <c r="E6072" s="140"/>
    </row>
    <row r="6073" spans="1:5">
      <c r="A6073" s="140"/>
      <c r="B6073" s="192"/>
      <c r="C6073" s="140"/>
      <c r="D6073" s="140"/>
      <c r="E6073" s="140"/>
    </row>
    <row r="6074" spans="1:5">
      <c r="A6074" s="140"/>
      <c r="B6074" s="192"/>
      <c r="C6074" s="140"/>
      <c r="D6074" s="140"/>
      <c r="E6074" s="140"/>
    </row>
    <row r="6075" spans="1:5">
      <c r="A6075" s="140"/>
      <c r="B6075" s="192"/>
      <c r="C6075" s="140"/>
      <c r="D6075" s="140"/>
      <c r="E6075" s="140"/>
    </row>
    <row r="6076" spans="1:5">
      <c r="A6076" s="140"/>
      <c r="B6076" s="192"/>
      <c r="C6076" s="140"/>
      <c r="D6076" s="140"/>
      <c r="E6076" s="140"/>
    </row>
    <row r="6077" spans="1:5">
      <c r="A6077" s="140"/>
      <c r="B6077" s="192"/>
      <c r="C6077" s="140"/>
      <c r="D6077" s="140"/>
      <c r="E6077" s="140"/>
    </row>
    <row r="6078" spans="1:5">
      <c r="A6078" s="140"/>
      <c r="B6078" s="192"/>
      <c r="C6078" s="140"/>
      <c r="D6078" s="140"/>
      <c r="E6078" s="140"/>
    </row>
    <row r="6079" spans="1:5">
      <c r="A6079" s="140"/>
      <c r="B6079" s="192"/>
      <c r="C6079" s="140"/>
      <c r="D6079" s="140"/>
      <c r="E6079" s="140"/>
    </row>
    <row r="6080" spans="1:5">
      <c r="A6080" s="140"/>
      <c r="B6080" s="192"/>
      <c r="C6080" s="140"/>
      <c r="D6080" s="140"/>
      <c r="E6080" s="140"/>
    </row>
    <row r="6081" spans="1:5">
      <c r="A6081" s="140"/>
      <c r="B6081" s="192"/>
      <c r="C6081" s="140"/>
      <c r="D6081" s="140"/>
      <c r="E6081" s="140"/>
    </row>
    <row r="6082" spans="1:5">
      <c r="A6082" s="140"/>
      <c r="B6082" s="192"/>
      <c r="C6082" s="140"/>
      <c r="D6082" s="140"/>
      <c r="E6082" s="140"/>
    </row>
    <row r="6083" spans="1:5">
      <c r="A6083" s="140"/>
      <c r="B6083" s="192"/>
      <c r="C6083" s="140"/>
      <c r="D6083" s="140"/>
      <c r="E6083" s="140"/>
    </row>
    <row r="6084" spans="1:5">
      <c r="A6084" s="140"/>
      <c r="B6084" s="192"/>
      <c r="C6084" s="140"/>
      <c r="D6084" s="140"/>
      <c r="E6084" s="140"/>
    </row>
    <row r="6085" spans="1:5">
      <c r="A6085" s="140"/>
      <c r="B6085" s="192"/>
      <c r="C6085" s="140"/>
      <c r="D6085" s="140"/>
      <c r="E6085" s="140"/>
    </row>
    <row r="6086" spans="1:5">
      <c r="A6086" s="140"/>
      <c r="B6086" s="192"/>
      <c r="C6086" s="140"/>
      <c r="D6086" s="140"/>
      <c r="E6086" s="140"/>
    </row>
    <row r="6087" spans="1:5">
      <c r="A6087" s="140"/>
      <c r="B6087" s="192"/>
      <c r="C6087" s="140"/>
      <c r="D6087" s="140"/>
      <c r="E6087" s="140"/>
    </row>
    <row r="6088" spans="1:5">
      <c r="A6088" s="140"/>
      <c r="B6088" s="192"/>
      <c r="C6088" s="140"/>
      <c r="D6088" s="140"/>
      <c r="E6088" s="140"/>
    </row>
    <row r="6089" spans="1:5">
      <c r="A6089" s="140"/>
      <c r="B6089" s="192"/>
      <c r="C6089" s="140"/>
      <c r="D6089" s="140"/>
      <c r="E6089" s="140"/>
    </row>
    <row r="6090" spans="1:5">
      <c r="A6090" s="140"/>
      <c r="B6090" s="192"/>
      <c r="C6090" s="140"/>
      <c r="D6090" s="140"/>
      <c r="E6090" s="140"/>
    </row>
    <row r="6091" spans="1:5">
      <c r="A6091" s="140"/>
      <c r="B6091" s="192"/>
      <c r="C6091" s="140"/>
      <c r="D6091" s="140"/>
      <c r="E6091" s="140"/>
    </row>
    <row r="6092" spans="1:5">
      <c r="A6092" s="140"/>
      <c r="B6092" s="192"/>
      <c r="C6092" s="140"/>
      <c r="D6092" s="140"/>
      <c r="E6092" s="140"/>
    </row>
    <row r="6093" spans="1:5">
      <c r="A6093" s="140"/>
      <c r="B6093" s="192"/>
      <c r="C6093" s="140"/>
      <c r="D6093" s="140"/>
      <c r="E6093" s="140"/>
    </row>
    <row r="6094" spans="1:5">
      <c r="A6094" s="140"/>
      <c r="B6094" s="192"/>
      <c r="C6094" s="140"/>
      <c r="D6094" s="140"/>
      <c r="E6094" s="140"/>
    </row>
    <row r="6095" spans="1:5">
      <c r="A6095" s="140"/>
      <c r="B6095" s="192"/>
      <c r="C6095" s="140"/>
      <c r="D6095" s="140"/>
      <c r="E6095" s="140"/>
    </row>
    <row r="6096" spans="1:5">
      <c r="A6096" s="140"/>
      <c r="B6096" s="192"/>
      <c r="C6096" s="140"/>
      <c r="D6096" s="140"/>
      <c r="E6096" s="140"/>
    </row>
    <row r="6097" spans="1:5">
      <c r="A6097" s="140"/>
      <c r="B6097" s="192"/>
      <c r="C6097" s="140"/>
      <c r="D6097" s="140"/>
      <c r="E6097" s="140"/>
    </row>
    <row r="6098" spans="1:5">
      <c r="A6098" s="140"/>
      <c r="B6098" s="192"/>
      <c r="C6098" s="140"/>
      <c r="D6098" s="140"/>
      <c r="E6098" s="140"/>
    </row>
    <row r="6099" spans="1:5">
      <c r="A6099" s="140"/>
      <c r="B6099" s="192"/>
      <c r="C6099" s="140"/>
      <c r="D6099" s="140"/>
      <c r="E6099" s="140"/>
    </row>
    <row r="6100" spans="1:5">
      <c r="A6100" s="140"/>
      <c r="B6100" s="192"/>
      <c r="C6100" s="140"/>
      <c r="D6100" s="140"/>
      <c r="E6100" s="140"/>
    </row>
    <row r="6101" spans="1:5">
      <c r="A6101" s="140"/>
      <c r="B6101" s="192"/>
      <c r="C6101" s="140"/>
      <c r="D6101" s="140"/>
      <c r="E6101" s="140"/>
    </row>
    <row r="6102" spans="1:5">
      <c r="A6102" s="140"/>
      <c r="B6102" s="192"/>
      <c r="C6102" s="140"/>
      <c r="D6102" s="140"/>
      <c r="E6102" s="140"/>
    </row>
    <row r="6103" spans="1:5">
      <c r="A6103" s="140"/>
      <c r="B6103" s="192"/>
      <c r="C6103" s="140"/>
      <c r="D6103" s="140"/>
      <c r="E6103" s="140"/>
    </row>
    <row r="6104" spans="1:5">
      <c r="A6104" s="140"/>
      <c r="B6104" s="192"/>
      <c r="C6104" s="140"/>
      <c r="D6104" s="140"/>
      <c r="E6104" s="140"/>
    </row>
    <row r="6105" spans="1:5">
      <c r="A6105" s="140"/>
      <c r="B6105" s="192"/>
      <c r="C6105" s="140"/>
      <c r="D6105" s="140"/>
      <c r="E6105" s="140"/>
    </row>
    <row r="6106" spans="1:5">
      <c r="A6106" s="140"/>
      <c r="B6106" s="192"/>
      <c r="C6106" s="140"/>
      <c r="D6106" s="140"/>
      <c r="E6106" s="140"/>
    </row>
    <row r="6107" spans="1:5">
      <c r="A6107" s="140"/>
      <c r="B6107" s="192"/>
      <c r="C6107" s="140"/>
      <c r="D6107" s="140"/>
      <c r="E6107" s="140"/>
    </row>
    <row r="6108" spans="1:5">
      <c r="A6108" s="140"/>
      <c r="B6108" s="192"/>
      <c r="C6108" s="140"/>
      <c r="D6108" s="140"/>
      <c r="E6108" s="140"/>
    </row>
    <row r="6109" spans="1:5">
      <c r="A6109" s="140"/>
      <c r="B6109" s="192"/>
      <c r="C6109" s="140"/>
      <c r="D6109" s="140"/>
      <c r="E6109" s="140"/>
    </row>
    <row r="6110" spans="1:5">
      <c r="A6110" s="140"/>
      <c r="B6110" s="192"/>
      <c r="C6110" s="140"/>
      <c r="D6110" s="140"/>
      <c r="E6110" s="140"/>
    </row>
    <row r="6111" spans="1:5">
      <c r="A6111" s="140"/>
      <c r="B6111" s="192"/>
      <c r="C6111" s="140"/>
      <c r="D6111" s="140"/>
      <c r="E6111" s="140"/>
    </row>
    <row r="6112" spans="1:5">
      <c r="A6112" s="140"/>
      <c r="B6112" s="192"/>
      <c r="C6112" s="140"/>
      <c r="D6112" s="140"/>
      <c r="E6112" s="140"/>
    </row>
    <row r="6113" spans="1:5">
      <c r="A6113" s="140"/>
      <c r="B6113" s="192"/>
      <c r="C6113" s="140"/>
      <c r="D6113" s="140"/>
      <c r="E6113" s="140"/>
    </row>
    <row r="6114" spans="1:5">
      <c r="A6114" s="140"/>
      <c r="B6114" s="192"/>
      <c r="C6114" s="140"/>
      <c r="D6114" s="140"/>
      <c r="E6114" s="140"/>
    </row>
    <row r="6115" spans="1:5">
      <c r="A6115" s="140"/>
      <c r="B6115" s="192"/>
      <c r="C6115" s="140"/>
      <c r="D6115" s="140"/>
      <c r="E6115" s="140"/>
    </row>
    <row r="6116" spans="1:5">
      <c r="A6116" s="140"/>
      <c r="B6116" s="192"/>
      <c r="C6116" s="140"/>
      <c r="D6116" s="140"/>
      <c r="E6116" s="140"/>
    </row>
    <row r="6117" spans="1:5">
      <c r="A6117" s="140"/>
      <c r="B6117" s="192"/>
      <c r="C6117" s="140"/>
      <c r="D6117" s="140"/>
      <c r="E6117" s="140"/>
    </row>
    <row r="6118" spans="1:5">
      <c r="A6118" s="140"/>
      <c r="B6118" s="192"/>
      <c r="C6118" s="140"/>
      <c r="D6118" s="140"/>
      <c r="E6118" s="140"/>
    </row>
    <row r="6119" spans="1:5">
      <c r="A6119" s="140"/>
      <c r="B6119" s="192"/>
      <c r="C6119" s="140"/>
      <c r="D6119" s="140"/>
      <c r="E6119" s="140"/>
    </row>
    <row r="6120" spans="1:5">
      <c r="A6120" s="140"/>
      <c r="B6120" s="192"/>
      <c r="C6120" s="140"/>
      <c r="D6120" s="140"/>
      <c r="E6120" s="140"/>
    </row>
    <row r="6121" spans="1:5">
      <c r="A6121" s="140"/>
      <c r="B6121" s="192"/>
      <c r="C6121" s="140"/>
      <c r="D6121" s="140"/>
      <c r="E6121" s="140"/>
    </row>
    <row r="6122" spans="1:5">
      <c r="A6122" s="140"/>
      <c r="B6122" s="192"/>
      <c r="C6122" s="140"/>
      <c r="D6122" s="140"/>
      <c r="E6122" s="140"/>
    </row>
    <row r="6123" spans="1:5">
      <c r="A6123" s="140"/>
      <c r="B6123" s="192"/>
      <c r="C6123" s="140"/>
      <c r="D6123" s="140"/>
      <c r="E6123" s="140"/>
    </row>
    <row r="6124" spans="1:5">
      <c r="A6124" s="140"/>
      <c r="B6124" s="192"/>
      <c r="C6124" s="140"/>
      <c r="D6124" s="140"/>
      <c r="E6124" s="140"/>
    </row>
    <row r="6125" spans="1:5">
      <c r="A6125" s="140"/>
      <c r="B6125" s="192"/>
      <c r="C6125" s="140"/>
      <c r="D6125" s="140"/>
      <c r="E6125" s="140"/>
    </row>
    <row r="6126" spans="1:5">
      <c r="A6126" s="140"/>
      <c r="B6126" s="192"/>
      <c r="C6126" s="140"/>
      <c r="D6126" s="140"/>
      <c r="E6126" s="140"/>
    </row>
    <row r="6127" spans="1:5">
      <c r="A6127" s="140"/>
      <c r="B6127" s="192"/>
      <c r="C6127" s="140"/>
      <c r="D6127" s="140"/>
      <c r="E6127" s="140"/>
    </row>
    <row r="6128" spans="1:5">
      <c r="A6128" s="140"/>
      <c r="B6128" s="192"/>
      <c r="C6128" s="140"/>
      <c r="D6128" s="140"/>
      <c r="E6128" s="140"/>
    </row>
    <row r="6129" spans="1:5">
      <c r="A6129" s="140"/>
      <c r="B6129" s="192"/>
      <c r="C6129" s="140"/>
      <c r="D6129" s="140"/>
      <c r="E6129" s="140"/>
    </row>
    <row r="6130" spans="1:5">
      <c r="A6130" s="140"/>
      <c r="B6130" s="192"/>
      <c r="C6130" s="140"/>
      <c r="D6130" s="140"/>
      <c r="E6130" s="140"/>
    </row>
    <row r="6131" spans="1:5">
      <c r="A6131" s="140"/>
      <c r="B6131" s="192"/>
      <c r="C6131" s="140"/>
      <c r="D6131" s="140"/>
      <c r="E6131" s="140"/>
    </row>
    <row r="6132" spans="1:5">
      <c r="A6132" s="140"/>
      <c r="B6132" s="192"/>
      <c r="C6132" s="140"/>
      <c r="D6132" s="140"/>
      <c r="E6132" s="140"/>
    </row>
    <row r="6133" spans="1:5">
      <c r="A6133" s="140"/>
      <c r="B6133" s="192"/>
      <c r="C6133" s="140"/>
      <c r="D6133" s="140"/>
      <c r="E6133" s="140"/>
    </row>
    <row r="6134" spans="1:5">
      <c r="A6134" s="140"/>
      <c r="B6134" s="192"/>
      <c r="C6134" s="140"/>
      <c r="D6134" s="140"/>
      <c r="E6134" s="140"/>
    </row>
    <row r="6135" spans="1:5">
      <c r="A6135" s="140"/>
      <c r="B6135" s="192"/>
      <c r="C6135" s="140"/>
      <c r="D6135" s="140"/>
      <c r="E6135" s="140"/>
    </row>
    <row r="6136" spans="1:5">
      <c r="A6136" s="140"/>
      <c r="B6136" s="192"/>
      <c r="C6136" s="140"/>
      <c r="D6136" s="140"/>
      <c r="E6136" s="140"/>
    </row>
    <row r="6137" spans="1:5">
      <c r="A6137" s="140"/>
      <c r="B6137" s="192"/>
      <c r="C6137" s="140"/>
      <c r="D6137" s="140"/>
      <c r="E6137" s="140"/>
    </row>
    <row r="6138" spans="1:5">
      <c r="A6138" s="140"/>
      <c r="B6138" s="192"/>
      <c r="C6138" s="140"/>
      <c r="D6138" s="140"/>
      <c r="E6138" s="140"/>
    </row>
    <row r="6139" spans="1:5">
      <c r="A6139" s="140"/>
      <c r="B6139" s="192"/>
      <c r="C6139" s="140"/>
      <c r="D6139" s="140"/>
      <c r="E6139" s="140"/>
    </row>
    <row r="6140" spans="1:5">
      <c r="A6140" s="140"/>
      <c r="B6140" s="192"/>
      <c r="C6140" s="140"/>
      <c r="D6140" s="140"/>
      <c r="E6140" s="140"/>
    </row>
    <row r="6141" spans="1:5">
      <c r="A6141" s="140"/>
      <c r="B6141" s="192"/>
      <c r="C6141" s="140"/>
      <c r="D6141" s="140"/>
      <c r="E6141" s="140"/>
    </row>
    <row r="6142" spans="1:5">
      <c r="A6142" s="140"/>
      <c r="B6142" s="192"/>
      <c r="C6142" s="140"/>
      <c r="D6142" s="140"/>
      <c r="E6142" s="140"/>
    </row>
    <row r="6143" spans="1:5">
      <c r="A6143" s="140"/>
      <c r="B6143" s="192"/>
      <c r="C6143" s="140"/>
      <c r="D6143" s="140"/>
      <c r="E6143" s="140"/>
    </row>
    <row r="6144" spans="1:5">
      <c r="A6144" s="140"/>
      <c r="B6144" s="192"/>
      <c r="C6144" s="140"/>
      <c r="D6144" s="140"/>
      <c r="E6144" s="140"/>
    </row>
    <row r="6145" spans="1:5">
      <c r="A6145" s="140"/>
      <c r="B6145" s="192"/>
      <c r="C6145" s="140"/>
      <c r="D6145" s="140"/>
      <c r="E6145" s="140"/>
    </row>
    <row r="6146" spans="1:5">
      <c r="A6146" s="140"/>
      <c r="B6146" s="192"/>
      <c r="C6146" s="140"/>
      <c r="D6146" s="140"/>
      <c r="E6146" s="140"/>
    </row>
    <row r="6147" spans="1:5">
      <c r="A6147" s="140"/>
      <c r="B6147" s="192"/>
      <c r="C6147" s="140"/>
      <c r="D6147" s="140"/>
      <c r="E6147" s="140"/>
    </row>
    <row r="6148" spans="1:5">
      <c r="A6148" s="140"/>
      <c r="B6148" s="192"/>
      <c r="C6148" s="140"/>
      <c r="D6148" s="140"/>
      <c r="E6148" s="140"/>
    </row>
    <row r="6149" spans="1:5">
      <c r="A6149" s="140"/>
      <c r="B6149" s="192"/>
      <c r="C6149" s="140"/>
      <c r="D6149" s="140"/>
      <c r="E6149" s="140"/>
    </row>
    <row r="6150" spans="1:5">
      <c r="A6150" s="140"/>
      <c r="B6150" s="192"/>
      <c r="C6150" s="140"/>
      <c r="D6150" s="140"/>
      <c r="E6150" s="140"/>
    </row>
    <row r="6151" spans="1:5">
      <c r="A6151" s="140"/>
      <c r="B6151" s="192"/>
      <c r="C6151" s="140"/>
      <c r="D6151" s="140"/>
      <c r="E6151" s="140"/>
    </row>
    <row r="6152" spans="1:5">
      <c r="A6152" s="140"/>
      <c r="B6152" s="192"/>
      <c r="C6152" s="140"/>
      <c r="D6152" s="140"/>
      <c r="E6152" s="140"/>
    </row>
    <row r="6153" spans="1:5">
      <c r="A6153" s="140"/>
      <c r="B6153" s="192"/>
      <c r="C6153" s="140"/>
      <c r="D6153" s="140"/>
      <c r="E6153" s="140"/>
    </row>
    <row r="6154" spans="1:5">
      <c r="A6154" s="140"/>
      <c r="B6154" s="192"/>
      <c r="C6154" s="140"/>
      <c r="D6154" s="140"/>
      <c r="E6154" s="140"/>
    </row>
    <row r="6155" spans="1:5">
      <c r="A6155" s="140"/>
      <c r="B6155" s="192"/>
      <c r="C6155" s="140"/>
      <c r="D6155" s="140"/>
      <c r="E6155" s="140"/>
    </row>
    <row r="6156" spans="1:5">
      <c r="A6156" s="140"/>
      <c r="B6156" s="192"/>
      <c r="C6156" s="140"/>
      <c r="D6156" s="140"/>
      <c r="E6156" s="140"/>
    </row>
    <row r="6157" spans="1:5">
      <c r="A6157" s="140"/>
      <c r="B6157" s="192"/>
      <c r="C6157" s="140"/>
      <c r="D6157" s="140"/>
      <c r="E6157" s="140"/>
    </row>
    <row r="6158" spans="1:5">
      <c r="A6158" s="140"/>
      <c r="B6158" s="192"/>
      <c r="C6158" s="140"/>
      <c r="D6158" s="140"/>
      <c r="E6158" s="140"/>
    </row>
    <row r="6159" spans="1:5">
      <c r="A6159" s="140"/>
      <c r="B6159" s="192"/>
      <c r="C6159" s="140"/>
      <c r="D6159" s="140"/>
      <c r="E6159" s="140"/>
    </row>
    <row r="6160" spans="1:5">
      <c r="A6160" s="140"/>
      <c r="B6160" s="192"/>
      <c r="C6160" s="140"/>
      <c r="D6160" s="140"/>
      <c r="E6160" s="140"/>
    </row>
    <row r="6161" spans="1:5">
      <c r="A6161" s="140"/>
      <c r="B6161" s="192"/>
      <c r="C6161" s="140"/>
      <c r="D6161" s="140"/>
      <c r="E6161" s="140"/>
    </row>
    <row r="6162" spans="1:5">
      <c r="A6162" s="140"/>
      <c r="B6162" s="192"/>
      <c r="C6162" s="140"/>
      <c r="D6162" s="140"/>
      <c r="E6162" s="140"/>
    </row>
    <row r="6163" spans="1:5">
      <c r="A6163" s="140"/>
      <c r="B6163" s="192"/>
      <c r="C6163" s="140"/>
      <c r="D6163" s="140"/>
      <c r="E6163" s="140"/>
    </row>
    <row r="6164" spans="1:5">
      <c r="A6164" s="140"/>
      <c r="B6164" s="192"/>
      <c r="C6164" s="140"/>
      <c r="D6164" s="140"/>
      <c r="E6164" s="140"/>
    </row>
    <row r="6165" spans="1:5">
      <c r="A6165" s="140"/>
      <c r="B6165" s="192"/>
      <c r="C6165" s="140"/>
      <c r="D6165" s="140"/>
      <c r="E6165" s="140"/>
    </row>
    <row r="6166" spans="1:5">
      <c r="A6166" s="140"/>
      <c r="B6166" s="192"/>
      <c r="C6166" s="140"/>
      <c r="D6166" s="140"/>
      <c r="E6166" s="140"/>
    </row>
    <row r="6167" spans="1:5">
      <c r="A6167" s="140"/>
      <c r="B6167" s="192"/>
      <c r="C6167" s="140"/>
      <c r="D6167" s="140"/>
      <c r="E6167" s="140"/>
    </row>
    <row r="6168" spans="1:5">
      <c r="A6168" s="140"/>
      <c r="B6168" s="192"/>
      <c r="C6168" s="140"/>
      <c r="D6168" s="140"/>
      <c r="E6168" s="140"/>
    </row>
    <row r="6169" spans="1:5">
      <c r="A6169" s="140"/>
      <c r="B6169" s="192"/>
      <c r="C6169" s="140"/>
      <c r="D6169" s="140"/>
      <c r="E6169" s="140"/>
    </row>
    <row r="6170" spans="1:5">
      <c r="A6170" s="140"/>
      <c r="B6170" s="192"/>
      <c r="C6170" s="140"/>
      <c r="D6170" s="140"/>
      <c r="E6170" s="140"/>
    </row>
    <row r="6171" spans="1:5">
      <c r="A6171" s="140"/>
      <c r="B6171" s="192"/>
      <c r="C6171" s="140"/>
      <c r="D6171" s="140"/>
      <c r="E6171" s="140"/>
    </row>
    <row r="6172" spans="1:5">
      <c r="A6172" s="140"/>
      <c r="B6172" s="192"/>
      <c r="C6172" s="140"/>
      <c r="D6172" s="140"/>
      <c r="E6172" s="140"/>
    </row>
    <row r="6173" spans="1:5">
      <c r="A6173" s="140"/>
      <c r="B6173" s="192"/>
      <c r="C6173" s="140"/>
      <c r="D6173" s="140"/>
      <c r="E6173" s="140"/>
    </row>
    <row r="6174" spans="1:5">
      <c r="A6174" s="140"/>
      <c r="B6174" s="192"/>
      <c r="C6174" s="140"/>
      <c r="D6174" s="140"/>
      <c r="E6174" s="140"/>
    </row>
    <row r="6175" spans="1:5">
      <c r="A6175" s="140"/>
      <c r="B6175" s="192"/>
      <c r="C6175" s="140"/>
      <c r="D6175" s="140"/>
      <c r="E6175" s="140"/>
    </row>
    <row r="6176" spans="1:5">
      <c r="A6176" s="140"/>
      <c r="B6176" s="192"/>
      <c r="C6176" s="140"/>
      <c r="D6176" s="140"/>
      <c r="E6176" s="140"/>
    </row>
    <row r="6177" spans="1:5">
      <c r="A6177" s="140"/>
      <c r="B6177" s="192"/>
      <c r="C6177" s="140"/>
      <c r="D6177" s="140"/>
      <c r="E6177" s="140"/>
    </row>
    <row r="6178" spans="1:5">
      <c r="A6178" s="140"/>
      <c r="B6178" s="192"/>
      <c r="C6178" s="140"/>
      <c r="D6178" s="140"/>
      <c r="E6178" s="140"/>
    </row>
    <row r="6179" spans="1:5">
      <c r="A6179" s="140"/>
      <c r="B6179" s="192"/>
      <c r="C6179" s="140"/>
      <c r="D6179" s="140"/>
      <c r="E6179" s="140"/>
    </row>
    <row r="6180" spans="1:5">
      <c r="A6180" s="140"/>
      <c r="B6180" s="192"/>
      <c r="C6180" s="140"/>
      <c r="D6180" s="140"/>
      <c r="E6180" s="140"/>
    </row>
    <row r="6181" spans="1:5">
      <c r="A6181" s="140"/>
      <c r="B6181" s="192"/>
      <c r="C6181" s="140"/>
      <c r="D6181" s="140"/>
      <c r="E6181" s="140"/>
    </row>
    <row r="6182" spans="1:5">
      <c r="A6182" s="140"/>
      <c r="B6182" s="192"/>
      <c r="C6182" s="140"/>
      <c r="D6182" s="140"/>
      <c r="E6182" s="140"/>
    </row>
    <row r="6183" spans="1:5">
      <c r="A6183" s="140"/>
      <c r="B6183" s="192"/>
      <c r="C6183" s="140"/>
      <c r="D6183" s="140"/>
      <c r="E6183" s="140"/>
    </row>
    <row r="6184" spans="1:5">
      <c r="A6184" s="140"/>
      <c r="B6184" s="192"/>
      <c r="C6184" s="140"/>
      <c r="D6184" s="140"/>
      <c r="E6184" s="140"/>
    </row>
    <row r="6185" spans="1:5">
      <c r="A6185" s="140"/>
      <c r="B6185" s="192"/>
      <c r="C6185" s="140"/>
      <c r="D6185" s="140"/>
      <c r="E6185" s="140"/>
    </row>
    <row r="6186" spans="1:5">
      <c r="A6186" s="140"/>
      <c r="B6186" s="192"/>
      <c r="C6186" s="140"/>
      <c r="D6186" s="140"/>
      <c r="E6186" s="140"/>
    </row>
    <row r="6187" spans="1:5">
      <c r="A6187" s="140"/>
      <c r="B6187" s="192"/>
      <c r="C6187" s="140"/>
      <c r="D6187" s="140"/>
      <c r="E6187" s="140"/>
    </row>
    <row r="6188" spans="1:5">
      <c r="A6188" s="140"/>
      <c r="B6188" s="192"/>
      <c r="C6188" s="140"/>
      <c r="D6188" s="140"/>
      <c r="E6188" s="140"/>
    </row>
    <row r="6189" spans="1:5">
      <c r="A6189" s="140"/>
      <c r="B6189" s="192"/>
      <c r="C6189" s="140"/>
      <c r="D6189" s="140"/>
      <c r="E6189" s="140"/>
    </row>
    <row r="6190" spans="1:5">
      <c r="A6190" s="140"/>
      <c r="B6190" s="192"/>
      <c r="C6190" s="140"/>
      <c r="D6190" s="140"/>
      <c r="E6190" s="140"/>
    </row>
    <row r="6191" spans="1:5">
      <c r="A6191" s="140"/>
      <c r="B6191" s="192"/>
      <c r="C6191" s="140"/>
      <c r="D6191" s="140"/>
      <c r="E6191" s="140"/>
    </row>
    <row r="6192" spans="1:5">
      <c r="A6192" s="140"/>
      <c r="B6192" s="192"/>
      <c r="C6192" s="140"/>
      <c r="D6192" s="140"/>
      <c r="E6192" s="140"/>
    </row>
    <row r="6193" spans="1:5">
      <c r="A6193" s="140"/>
      <c r="B6193" s="192"/>
      <c r="C6193" s="140"/>
      <c r="D6193" s="140"/>
      <c r="E6193" s="140"/>
    </row>
    <row r="6194" spans="1:5">
      <c r="A6194" s="140"/>
      <c r="B6194" s="192"/>
      <c r="C6194" s="140"/>
      <c r="D6194" s="140"/>
      <c r="E6194" s="140"/>
    </row>
    <row r="6195" spans="1:5">
      <c r="A6195" s="140"/>
      <c r="B6195" s="192"/>
      <c r="C6195" s="140"/>
      <c r="D6195" s="140"/>
      <c r="E6195" s="140"/>
    </row>
    <row r="6196" spans="1:5">
      <c r="A6196" s="140"/>
      <c r="B6196" s="192"/>
      <c r="C6196" s="140"/>
      <c r="D6196" s="140"/>
      <c r="E6196" s="140"/>
    </row>
    <row r="6197" spans="1:5">
      <c r="A6197" s="140"/>
      <c r="B6197" s="192"/>
      <c r="C6197" s="140"/>
      <c r="D6197" s="140"/>
      <c r="E6197" s="140"/>
    </row>
    <row r="6198" spans="1:5">
      <c r="A6198" s="140"/>
      <c r="B6198" s="192"/>
      <c r="C6198" s="140"/>
      <c r="D6198" s="140"/>
      <c r="E6198" s="140"/>
    </row>
    <row r="6199" spans="1:5">
      <c r="A6199" s="140"/>
      <c r="B6199" s="192"/>
      <c r="C6199" s="140"/>
      <c r="D6199" s="140"/>
      <c r="E6199" s="140"/>
    </row>
    <row r="6200" spans="1:5">
      <c r="A6200" s="140"/>
      <c r="B6200" s="192"/>
      <c r="C6200" s="140"/>
      <c r="D6200" s="140"/>
      <c r="E6200" s="140"/>
    </row>
    <row r="6201" spans="1:5">
      <c r="A6201" s="140"/>
      <c r="B6201" s="192"/>
      <c r="C6201" s="140"/>
      <c r="D6201" s="140"/>
      <c r="E6201" s="140"/>
    </row>
    <row r="6202" spans="1:5">
      <c r="A6202" s="140"/>
      <c r="B6202" s="192"/>
      <c r="C6202" s="140"/>
      <c r="D6202" s="140"/>
      <c r="E6202" s="140"/>
    </row>
    <row r="6203" spans="1:5">
      <c r="A6203" s="140"/>
      <c r="B6203" s="192"/>
      <c r="C6203" s="140"/>
      <c r="D6203" s="140"/>
      <c r="E6203" s="140"/>
    </row>
    <row r="6204" spans="1:5">
      <c r="A6204" s="140"/>
      <c r="B6204" s="192"/>
      <c r="C6204" s="140"/>
      <c r="D6204" s="140"/>
      <c r="E6204" s="140"/>
    </row>
    <row r="6205" spans="1:5">
      <c r="A6205" s="140"/>
      <c r="B6205" s="192"/>
      <c r="C6205" s="140"/>
      <c r="D6205" s="140"/>
      <c r="E6205" s="140"/>
    </row>
    <row r="6206" spans="1:5">
      <c r="A6206" s="140"/>
      <c r="B6206" s="192"/>
      <c r="C6206" s="140"/>
      <c r="D6206" s="140"/>
      <c r="E6206" s="140"/>
    </row>
    <row r="6207" spans="1:5">
      <c r="A6207" s="140"/>
      <c r="B6207" s="192"/>
      <c r="C6207" s="140"/>
      <c r="D6207" s="140"/>
      <c r="E6207" s="140"/>
    </row>
    <row r="6208" spans="1:5">
      <c r="A6208" s="140"/>
      <c r="B6208" s="192"/>
      <c r="C6208" s="140"/>
      <c r="D6208" s="140"/>
      <c r="E6208" s="140"/>
    </row>
    <row r="6209" spans="1:5">
      <c r="A6209" s="140"/>
      <c r="B6209" s="192"/>
      <c r="C6209" s="140"/>
      <c r="D6209" s="140"/>
      <c r="E6209" s="140"/>
    </row>
    <row r="6210" spans="1:5">
      <c r="A6210" s="140"/>
      <c r="B6210" s="192"/>
      <c r="C6210" s="140"/>
      <c r="D6210" s="140"/>
      <c r="E6210" s="140"/>
    </row>
    <row r="6211" spans="1:5">
      <c r="A6211" s="140"/>
      <c r="B6211" s="192"/>
      <c r="C6211" s="140"/>
      <c r="D6211" s="140"/>
      <c r="E6211" s="140"/>
    </row>
    <row r="6212" spans="1:5">
      <c r="A6212" s="140"/>
      <c r="B6212" s="192"/>
      <c r="C6212" s="140"/>
      <c r="D6212" s="140"/>
      <c r="E6212" s="140"/>
    </row>
    <row r="6213" spans="1:5">
      <c r="A6213" s="140"/>
      <c r="B6213" s="192"/>
      <c r="C6213" s="140"/>
      <c r="D6213" s="140"/>
      <c r="E6213" s="140"/>
    </row>
    <row r="6214" spans="1:5">
      <c r="A6214" s="140"/>
      <c r="B6214" s="192"/>
      <c r="C6214" s="140"/>
      <c r="D6214" s="140"/>
      <c r="E6214" s="140"/>
    </row>
    <row r="6215" spans="1:5">
      <c r="A6215" s="140"/>
      <c r="B6215" s="192"/>
      <c r="C6215" s="140"/>
      <c r="D6215" s="140"/>
      <c r="E6215" s="140"/>
    </row>
    <row r="6216" spans="1:5">
      <c r="A6216" s="140"/>
      <c r="B6216" s="192"/>
      <c r="C6216" s="140"/>
      <c r="D6216" s="140"/>
      <c r="E6216" s="140"/>
    </row>
    <row r="6217" spans="1:5">
      <c r="A6217" s="140"/>
      <c r="B6217" s="192"/>
      <c r="C6217" s="140"/>
      <c r="D6217" s="140"/>
      <c r="E6217" s="140"/>
    </row>
    <row r="6218" spans="1:5">
      <c r="A6218" s="140"/>
      <c r="B6218" s="192"/>
      <c r="C6218" s="140"/>
      <c r="D6218" s="140"/>
      <c r="E6218" s="140"/>
    </row>
    <row r="6219" spans="1:5">
      <c r="A6219" s="140"/>
      <c r="B6219" s="192"/>
      <c r="C6219" s="140"/>
      <c r="D6219" s="140"/>
      <c r="E6219" s="140"/>
    </row>
    <row r="6220" spans="1:5">
      <c r="A6220" s="140"/>
      <c r="B6220" s="192"/>
      <c r="C6220" s="140"/>
      <c r="D6220" s="140"/>
      <c r="E6220" s="140"/>
    </row>
    <row r="6221" spans="1:5">
      <c r="A6221" s="140"/>
      <c r="B6221" s="192"/>
      <c r="C6221" s="140"/>
      <c r="D6221" s="140"/>
      <c r="E6221" s="140"/>
    </row>
    <row r="6222" spans="1:5">
      <c r="A6222" s="140"/>
      <c r="B6222" s="192"/>
      <c r="C6222" s="140"/>
      <c r="D6222" s="140"/>
      <c r="E6222" s="140"/>
    </row>
    <row r="6223" spans="1:5">
      <c r="A6223" s="140"/>
      <c r="B6223" s="192"/>
      <c r="C6223" s="140"/>
      <c r="D6223" s="140"/>
      <c r="E6223" s="140"/>
    </row>
    <row r="6224" spans="1:5">
      <c r="A6224" s="140"/>
      <c r="B6224" s="192"/>
      <c r="C6224" s="140"/>
      <c r="D6224" s="140"/>
      <c r="E6224" s="140"/>
    </row>
    <row r="6225" spans="1:5">
      <c r="A6225" s="140"/>
      <c r="B6225" s="192"/>
      <c r="C6225" s="140"/>
      <c r="D6225" s="140"/>
      <c r="E6225" s="140"/>
    </row>
    <row r="6226" spans="1:5">
      <c r="A6226" s="140"/>
      <c r="B6226" s="192"/>
      <c r="C6226" s="140"/>
      <c r="D6226" s="140"/>
      <c r="E6226" s="140"/>
    </row>
    <row r="6227" spans="1:5">
      <c r="A6227" s="140"/>
      <c r="B6227" s="192"/>
      <c r="C6227" s="140"/>
      <c r="D6227" s="140"/>
      <c r="E6227" s="140"/>
    </row>
    <row r="6228" spans="1:5">
      <c r="A6228" s="140"/>
      <c r="B6228" s="192"/>
      <c r="C6228" s="140"/>
      <c r="D6228" s="140"/>
      <c r="E6228" s="140"/>
    </row>
    <row r="6229" spans="1:5">
      <c r="A6229" s="140"/>
      <c r="B6229" s="192"/>
      <c r="C6229" s="140"/>
      <c r="D6229" s="140"/>
      <c r="E6229" s="140"/>
    </row>
    <row r="6230" spans="1:5">
      <c r="A6230" s="140"/>
      <c r="B6230" s="192"/>
      <c r="C6230" s="140"/>
      <c r="D6230" s="140"/>
      <c r="E6230" s="140"/>
    </row>
    <row r="6231" spans="1:5">
      <c r="A6231" s="140"/>
      <c r="B6231" s="192"/>
      <c r="C6231" s="140"/>
      <c r="D6231" s="140"/>
      <c r="E6231" s="140"/>
    </row>
    <row r="6232" spans="1:5">
      <c r="A6232" s="140"/>
      <c r="B6232" s="192"/>
      <c r="C6232" s="140"/>
      <c r="D6232" s="140"/>
      <c r="E6232" s="140"/>
    </row>
    <row r="6233" spans="1:5">
      <c r="A6233" s="140"/>
      <c r="B6233" s="192"/>
      <c r="C6233" s="140"/>
      <c r="D6233" s="140"/>
      <c r="E6233" s="140"/>
    </row>
    <row r="6234" spans="1:5">
      <c r="A6234" s="140"/>
      <c r="B6234" s="192"/>
      <c r="C6234" s="140"/>
      <c r="D6234" s="140"/>
      <c r="E6234" s="140"/>
    </row>
    <row r="6235" spans="1:5">
      <c r="A6235" s="140"/>
      <c r="B6235" s="192"/>
      <c r="C6235" s="140"/>
      <c r="D6235" s="140"/>
      <c r="E6235" s="140"/>
    </row>
    <row r="6236" spans="1:5">
      <c r="A6236" s="140"/>
      <c r="B6236" s="192"/>
      <c r="C6236" s="140"/>
      <c r="D6236" s="140"/>
      <c r="E6236" s="140"/>
    </row>
    <row r="6237" spans="1:5">
      <c r="A6237" s="140"/>
      <c r="B6237" s="192"/>
      <c r="C6237" s="140"/>
      <c r="D6237" s="140"/>
      <c r="E6237" s="140"/>
    </row>
    <row r="6238" spans="1:5">
      <c r="A6238" s="140"/>
      <c r="B6238" s="192"/>
      <c r="C6238" s="140"/>
      <c r="D6238" s="140"/>
      <c r="E6238" s="140"/>
    </row>
    <row r="6239" spans="1:5">
      <c r="A6239" s="140"/>
      <c r="B6239" s="192"/>
      <c r="C6239" s="140"/>
      <c r="D6239" s="140"/>
      <c r="E6239" s="140"/>
    </row>
    <row r="6240" spans="1:5">
      <c r="A6240" s="140"/>
      <c r="B6240" s="192"/>
      <c r="C6240" s="140"/>
      <c r="D6240" s="140"/>
      <c r="E6240" s="140"/>
    </row>
    <row r="6241" spans="1:5">
      <c r="A6241" s="140"/>
      <c r="B6241" s="192"/>
      <c r="C6241" s="140"/>
      <c r="D6241" s="140"/>
      <c r="E6241" s="140"/>
    </row>
    <row r="6242" spans="1:5">
      <c r="A6242" s="140"/>
      <c r="B6242" s="192"/>
      <c r="C6242" s="140"/>
      <c r="D6242" s="140"/>
      <c r="E6242" s="140"/>
    </row>
    <row r="6243" spans="1:5">
      <c r="A6243" s="140"/>
      <c r="B6243" s="192"/>
      <c r="C6243" s="140"/>
      <c r="D6243" s="140"/>
      <c r="E6243" s="140"/>
    </row>
    <row r="6244" spans="1:5">
      <c r="A6244" s="140"/>
      <c r="B6244" s="192"/>
      <c r="C6244" s="140"/>
      <c r="D6244" s="140"/>
      <c r="E6244" s="140"/>
    </row>
    <row r="6245" spans="1:5">
      <c r="A6245" s="140"/>
      <c r="B6245" s="192"/>
      <c r="C6245" s="140"/>
      <c r="D6245" s="140"/>
      <c r="E6245" s="140"/>
    </row>
    <row r="6246" spans="1:5">
      <c r="A6246" s="140"/>
      <c r="B6246" s="192"/>
      <c r="C6246" s="140"/>
      <c r="D6246" s="140"/>
      <c r="E6246" s="140"/>
    </row>
    <row r="6247" spans="1:5">
      <c r="A6247" s="140"/>
      <c r="B6247" s="192"/>
      <c r="C6247" s="140"/>
      <c r="D6247" s="140"/>
      <c r="E6247" s="140"/>
    </row>
    <row r="6248" spans="1:5">
      <c r="A6248" s="140"/>
      <c r="B6248" s="192"/>
      <c r="C6248" s="140"/>
      <c r="D6248" s="140"/>
      <c r="E6248" s="140"/>
    </row>
    <row r="6249" spans="1:5">
      <c r="A6249" s="140"/>
      <c r="B6249" s="192"/>
      <c r="C6249" s="140"/>
      <c r="D6249" s="140"/>
      <c r="E6249" s="140"/>
    </row>
    <row r="6250" spans="1:5">
      <c r="A6250" s="140"/>
      <c r="B6250" s="192"/>
      <c r="C6250" s="140"/>
      <c r="D6250" s="140"/>
      <c r="E6250" s="140"/>
    </row>
    <row r="6251" spans="1:5">
      <c r="A6251" s="140"/>
      <c r="B6251" s="192"/>
      <c r="C6251" s="140"/>
      <c r="D6251" s="140"/>
      <c r="E6251" s="140"/>
    </row>
    <row r="6252" spans="1:5">
      <c r="A6252" s="140"/>
      <c r="B6252" s="192"/>
      <c r="C6252" s="140"/>
      <c r="D6252" s="140"/>
      <c r="E6252" s="140"/>
    </row>
    <row r="6253" spans="1:5">
      <c r="A6253" s="140"/>
      <c r="B6253" s="192"/>
      <c r="C6253" s="140"/>
      <c r="D6253" s="140"/>
      <c r="E6253" s="140"/>
    </row>
    <row r="6254" spans="1:5">
      <c r="A6254" s="140"/>
      <c r="B6254" s="192"/>
      <c r="C6254" s="140"/>
      <c r="D6254" s="140"/>
      <c r="E6254" s="140"/>
    </row>
    <row r="6255" spans="1:5">
      <c r="A6255" s="140"/>
      <c r="B6255" s="192"/>
      <c r="C6255" s="140"/>
      <c r="D6255" s="140"/>
      <c r="E6255" s="140"/>
    </row>
    <row r="6256" spans="1:5">
      <c r="A6256" s="140"/>
      <c r="B6256" s="192"/>
      <c r="C6256" s="140"/>
      <c r="D6256" s="140"/>
      <c r="E6256" s="140"/>
    </row>
    <row r="6257" spans="1:5">
      <c r="A6257" s="140"/>
      <c r="B6257" s="192"/>
      <c r="C6257" s="140"/>
      <c r="D6257" s="140"/>
      <c r="E6257" s="140"/>
    </row>
    <row r="6258" spans="1:5">
      <c r="A6258" s="140"/>
      <c r="B6258" s="192"/>
      <c r="C6258" s="140"/>
      <c r="D6258" s="140"/>
      <c r="E6258" s="140"/>
    </row>
    <row r="6259" spans="1:5">
      <c r="A6259" s="140"/>
      <c r="B6259" s="192"/>
      <c r="C6259" s="140"/>
      <c r="D6259" s="140"/>
      <c r="E6259" s="140"/>
    </row>
    <row r="6260" spans="1:5">
      <c r="A6260" s="140"/>
      <c r="B6260" s="192"/>
      <c r="C6260" s="140"/>
      <c r="D6260" s="140"/>
      <c r="E6260" s="140"/>
    </row>
    <row r="6261" spans="1:5">
      <c r="A6261" s="140"/>
      <c r="B6261" s="192"/>
      <c r="C6261" s="140"/>
      <c r="D6261" s="140"/>
      <c r="E6261" s="140"/>
    </row>
    <row r="6262" spans="1:5">
      <c r="A6262" s="140"/>
      <c r="B6262" s="192"/>
      <c r="C6262" s="140"/>
      <c r="D6262" s="140"/>
      <c r="E6262" s="140"/>
    </row>
    <row r="6263" spans="1:5">
      <c r="A6263" s="140"/>
      <c r="B6263" s="192"/>
      <c r="C6263" s="140"/>
      <c r="D6263" s="140"/>
      <c r="E6263" s="140"/>
    </row>
    <row r="6264" spans="1:5">
      <c r="A6264" s="140"/>
      <c r="B6264" s="192"/>
      <c r="C6264" s="140"/>
      <c r="D6264" s="140"/>
      <c r="E6264" s="140"/>
    </row>
    <row r="6265" spans="1:5">
      <c r="A6265" s="140"/>
      <c r="B6265" s="192"/>
      <c r="C6265" s="140"/>
      <c r="D6265" s="140"/>
      <c r="E6265" s="140"/>
    </row>
    <row r="6266" spans="1:5">
      <c r="A6266" s="140"/>
      <c r="B6266" s="192"/>
      <c r="C6266" s="140"/>
      <c r="D6266" s="140"/>
      <c r="E6266" s="140"/>
    </row>
    <row r="6267" spans="1:5">
      <c r="A6267" s="140"/>
      <c r="B6267" s="192"/>
      <c r="C6267" s="140"/>
      <c r="D6267" s="140"/>
      <c r="E6267" s="140"/>
    </row>
    <row r="6268" spans="1:5">
      <c r="A6268" s="140"/>
      <c r="B6268" s="192"/>
      <c r="C6268" s="140"/>
      <c r="D6268" s="140"/>
      <c r="E6268" s="140"/>
    </row>
    <row r="6269" spans="1:5">
      <c r="A6269" s="140"/>
      <c r="B6269" s="192"/>
      <c r="C6269" s="140"/>
      <c r="D6269" s="140"/>
      <c r="E6269" s="140"/>
    </row>
    <row r="6270" spans="1:5">
      <c r="A6270" s="140"/>
      <c r="B6270" s="192"/>
      <c r="C6270" s="140"/>
      <c r="D6270" s="140"/>
      <c r="E6270" s="140"/>
    </row>
    <row r="6271" spans="1:5">
      <c r="A6271" s="140"/>
      <c r="B6271" s="192"/>
      <c r="C6271" s="140"/>
      <c r="D6271" s="140"/>
      <c r="E6271" s="140"/>
    </row>
    <row r="6272" spans="1:5">
      <c r="A6272" s="140"/>
      <c r="B6272" s="192"/>
      <c r="C6272" s="140"/>
      <c r="D6272" s="140"/>
      <c r="E6272" s="140"/>
    </row>
    <row r="6273" spans="1:5">
      <c r="A6273" s="140"/>
      <c r="B6273" s="192"/>
      <c r="C6273" s="140"/>
      <c r="D6273" s="140"/>
      <c r="E6273" s="140"/>
    </row>
    <row r="6274" spans="1:5">
      <c r="A6274" s="140"/>
      <c r="B6274" s="192"/>
      <c r="C6274" s="140"/>
      <c r="D6274" s="140"/>
      <c r="E6274" s="140"/>
    </row>
    <row r="6275" spans="1:5">
      <c r="A6275" s="140"/>
      <c r="B6275" s="192"/>
      <c r="C6275" s="140"/>
      <c r="D6275" s="140"/>
      <c r="E6275" s="140"/>
    </row>
    <row r="6276" spans="1:5">
      <c r="A6276" s="140"/>
      <c r="B6276" s="192"/>
      <c r="C6276" s="140"/>
      <c r="D6276" s="140"/>
      <c r="E6276" s="140"/>
    </row>
    <row r="6277" spans="1:5">
      <c r="A6277" s="140"/>
      <c r="B6277" s="192"/>
      <c r="C6277" s="140"/>
      <c r="D6277" s="140"/>
      <c r="E6277" s="140"/>
    </row>
    <row r="6278" spans="1:5">
      <c r="A6278" s="140"/>
      <c r="B6278" s="192"/>
      <c r="C6278" s="140"/>
      <c r="D6278" s="140"/>
      <c r="E6278" s="140"/>
    </row>
    <row r="6279" spans="1:5">
      <c r="A6279" s="140"/>
      <c r="B6279" s="192"/>
      <c r="C6279" s="140"/>
      <c r="D6279" s="140"/>
      <c r="E6279" s="140"/>
    </row>
    <row r="6280" spans="1:5">
      <c r="A6280" s="140"/>
      <c r="B6280" s="192"/>
      <c r="C6280" s="140"/>
      <c r="D6280" s="140"/>
      <c r="E6280" s="140"/>
    </row>
    <row r="6281" spans="1:5">
      <c r="A6281" s="140"/>
      <c r="B6281" s="192"/>
      <c r="C6281" s="140"/>
      <c r="D6281" s="140"/>
      <c r="E6281" s="140"/>
    </row>
    <row r="6282" spans="1:5">
      <c r="A6282" s="140"/>
      <c r="B6282" s="192"/>
      <c r="C6282" s="140"/>
      <c r="D6282" s="140"/>
      <c r="E6282" s="140"/>
    </row>
    <row r="6283" spans="1:5">
      <c r="A6283" s="140"/>
      <c r="B6283" s="192"/>
      <c r="C6283" s="140"/>
      <c r="D6283" s="140"/>
      <c r="E6283" s="140"/>
    </row>
    <row r="6284" spans="1:5">
      <c r="A6284" s="140"/>
      <c r="B6284" s="192"/>
      <c r="C6284" s="140"/>
      <c r="D6284" s="140"/>
      <c r="E6284" s="140"/>
    </row>
    <row r="6285" spans="1:5">
      <c r="A6285" s="140"/>
      <c r="B6285" s="192"/>
      <c r="C6285" s="140"/>
      <c r="D6285" s="140"/>
      <c r="E6285" s="140"/>
    </row>
    <row r="6286" spans="1:5">
      <c r="A6286" s="140"/>
      <c r="B6286" s="192"/>
      <c r="C6286" s="140"/>
      <c r="D6286" s="140"/>
      <c r="E6286" s="140"/>
    </row>
    <row r="6287" spans="1:5">
      <c r="A6287" s="140"/>
      <c r="B6287" s="192"/>
      <c r="C6287" s="140"/>
      <c r="D6287" s="140"/>
      <c r="E6287" s="140"/>
    </row>
    <row r="6288" spans="1:5">
      <c r="A6288" s="140"/>
      <c r="B6288" s="192"/>
      <c r="C6288" s="140"/>
      <c r="D6288" s="140"/>
      <c r="E6288" s="140"/>
    </row>
    <row r="6289" spans="1:5">
      <c r="A6289" s="140"/>
      <c r="B6289" s="192"/>
      <c r="C6289" s="140"/>
      <c r="D6289" s="140"/>
      <c r="E6289" s="140"/>
    </row>
    <row r="6290" spans="1:5">
      <c r="A6290" s="140"/>
      <c r="B6290" s="192"/>
      <c r="C6290" s="140"/>
      <c r="D6290" s="140"/>
      <c r="E6290" s="140"/>
    </row>
    <row r="6291" spans="1:5">
      <c r="A6291" s="140"/>
      <c r="B6291" s="192"/>
      <c r="C6291" s="140"/>
      <c r="D6291" s="140"/>
      <c r="E6291" s="140"/>
    </row>
    <row r="6292" spans="1:5">
      <c r="A6292" s="140"/>
      <c r="B6292" s="192"/>
      <c r="C6292" s="140"/>
      <c r="D6292" s="140"/>
      <c r="E6292" s="140"/>
    </row>
    <row r="6293" spans="1:5">
      <c r="A6293" s="140"/>
      <c r="B6293" s="192"/>
      <c r="C6293" s="140"/>
      <c r="D6293" s="140"/>
      <c r="E6293" s="140"/>
    </row>
    <row r="6294" spans="1:5">
      <c r="A6294" s="140"/>
      <c r="B6294" s="192"/>
      <c r="C6294" s="140"/>
      <c r="D6294" s="140"/>
      <c r="E6294" s="140"/>
    </row>
    <row r="6295" spans="1:5">
      <c r="A6295" s="140"/>
      <c r="B6295" s="192"/>
      <c r="C6295" s="140"/>
      <c r="D6295" s="140"/>
      <c r="E6295" s="140"/>
    </row>
    <row r="6296" spans="1:5">
      <c r="A6296" s="140"/>
      <c r="B6296" s="192"/>
      <c r="C6296" s="140"/>
      <c r="D6296" s="140"/>
      <c r="E6296" s="140"/>
    </row>
    <row r="6297" spans="1:5">
      <c r="A6297" s="140"/>
      <c r="B6297" s="192"/>
      <c r="C6297" s="140"/>
      <c r="D6297" s="140"/>
      <c r="E6297" s="140"/>
    </row>
    <row r="6298" spans="1:5">
      <c r="A6298" s="140"/>
      <c r="B6298" s="192"/>
      <c r="C6298" s="140"/>
      <c r="D6298" s="140"/>
      <c r="E6298" s="140"/>
    </row>
    <row r="6299" spans="1:5">
      <c r="A6299" s="140"/>
      <c r="B6299" s="192"/>
      <c r="C6299" s="140"/>
      <c r="D6299" s="140"/>
      <c r="E6299" s="140"/>
    </row>
    <row r="6300" spans="1:5">
      <c r="A6300" s="140"/>
      <c r="B6300" s="192"/>
      <c r="C6300" s="140"/>
      <c r="D6300" s="140"/>
      <c r="E6300" s="140"/>
    </row>
    <row r="6301" spans="1:5">
      <c r="A6301" s="140"/>
      <c r="B6301" s="192"/>
      <c r="C6301" s="140"/>
      <c r="D6301" s="140"/>
      <c r="E6301" s="140"/>
    </row>
    <row r="6302" spans="1:5">
      <c r="A6302" s="140"/>
      <c r="B6302" s="192"/>
      <c r="C6302" s="140"/>
      <c r="D6302" s="140"/>
      <c r="E6302" s="140"/>
    </row>
    <row r="6303" spans="1:5">
      <c r="A6303" s="140"/>
      <c r="B6303" s="192"/>
      <c r="C6303" s="140"/>
      <c r="D6303" s="140"/>
      <c r="E6303" s="140"/>
    </row>
    <row r="6304" spans="1:5">
      <c r="A6304" s="140"/>
      <c r="B6304" s="192"/>
      <c r="C6304" s="140"/>
      <c r="D6304" s="140"/>
      <c r="E6304" s="140"/>
    </row>
    <row r="6305" spans="1:5">
      <c r="A6305" s="140"/>
      <c r="B6305" s="192"/>
      <c r="C6305" s="140"/>
      <c r="D6305" s="140"/>
      <c r="E6305" s="140"/>
    </row>
    <row r="6306" spans="1:5">
      <c r="A6306" s="140"/>
      <c r="B6306" s="192"/>
      <c r="C6306" s="140"/>
      <c r="D6306" s="140"/>
      <c r="E6306" s="140"/>
    </row>
    <row r="6307" spans="1:5">
      <c r="A6307" s="140"/>
      <c r="B6307" s="192"/>
      <c r="C6307" s="140"/>
      <c r="D6307" s="140"/>
      <c r="E6307" s="140"/>
    </row>
    <row r="6308" spans="1:5">
      <c r="A6308" s="140"/>
      <c r="B6308" s="192"/>
      <c r="C6308" s="140"/>
      <c r="D6308" s="140"/>
      <c r="E6308" s="140"/>
    </row>
    <row r="6309" spans="1:5">
      <c r="A6309" s="140"/>
      <c r="B6309" s="192"/>
      <c r="C6309" s="140"/>
      <c r="D6309" s="140"/>
      <c r="E6309" s="140"/>
    </row>
    <row r="6310" spans="1:5">
      <c r="A6310" s="140"/>
      <c r="B6310" s="192"/>
      <c r="C6310" s="140"/>
      <c r="D6310" s="140"/>
      <c r="E6310" s="140"/>
    </row>
    <row r="6311" spans="1:5">
      <c r="A6311" s="140"/>
      <c r="B6311" s="192"/>
      <c r="C6311" s="140"/>
      <c r="D6311" s="140"/>
      <c r="E6311" s="140"/>
    </row>
    <row r="6312" spans="1:5">
      <c r="A6312" s="140"/>
      <c r="B6312" s="192"/>
      <c r="C6312" s="140"/>
      <c r="D6312" s="140"/>
      <c r="E6312" s="140"/>
    </row>
    <row r="6313" spans="1:5">
      <c r="A6313" s="140"/>
      <c r="B6313" s="192"/>
      <c r="C6313" s="140"/>
      <c r="D6313" s="140"/>
      <c r="E6313" s="140"/>
    </row>
    <row r="6314" spans="1:5">
      <c r="A6314" s="140"/>
      <c r="B6314" s="192"/>
      <c r="C6314" s="140"/>
      <c r="D6314" s="140"/>
      <c r="E6314" s="140"/>
    </row>
    <row r="6315" spans="1:5">
      <c r="A6315" s="140"/>
      <c r="B6315" s="192"/>
      <c r="C6315" s="140"/>
      <c r="D6315" s="140"/>
      <c r="E6315" s="140"/>
    </row>
    <row r="6316" spans="1:5">
      <c r="A6316" s="140"/>
      <c r="B6316" s="192"/>
      <c r="C6316" s="140"/>
      <c r="D6316" s="140"/>
      <c r="E6316" s="140"/>
    </row>
    <row r="6317" spans="1:5">
      <c r="A6317" s="140"/>
      <c r="B6317" s="192"/>
      <c r="C6317" s="140"/>
      <c r="D6317" s="140"/>
      <c r="E6317" s="140"/>
    </row>
    <row r="6318" spans="1:5">
      <c r="A6318" s="140"/>
      <c r="B6318" s="192"/>
      <c r="C6318" s="140"/>
      <c r="D6318" s="140"/>
      <c r="E6318" s="140"/>
    </row>
    <row r="6319" spans="1:5">
      <c r="A6319" s="140"/>
      <c r="B6319" s="192"/>
      <c r="C6319" s="140"/>
      <c r="D6319" s="140"/>
      <c r="E6319" s="140"/>
    </row>
    <row r="6320" spans="1:5">
      <c r="A6320" s="140"/>
      <c r="B6320" s="192"/>
      <c r="C6320" s="140"/>
      <c r="D6320" s="140"/>
      <c r="E6320" s="140"/>
    </row>
    <row r="6321" spans="1:5">
      <c r="A6321" s="140"/>
      <c r="B6321" s="192"/>
      <c r="C6321" s="140"/>
      <c r="D6321" s="140"/>
      <c r="E6321" s="140"/>
    </row>
    <row r="6322" spans="1:5">
      <c r="A6322" s="140"/>
      <c r="B6322" s="192"/>
      <c r="C6322" s="140"/>
      <c r="D6322" s="140"/>
      <c r="E6322" s="140"/>
    </row>
    <row r="6323" spans="1:5">
      <c r="A6323" s="140"/>
      <c r="B6323" s="192"/>
      <c r="C6323" s="140"/>
      <c r="D6323" s="140"/>
      <c r="E6323" s="140"/>
    </row>
    <row r="6324" spans="1:5">
      <c r="A6324" s="140"/>
      <c r="B6324" s="192"/>
      <c r="C6324" s="140"/>
      <c r="D6324" s="140"/>
      <c r="E6324" s="140"/>
    </row>
    <row r="6325" spans="1:5">
      <c r="A6325" s="140"/>
      <c r="B6325" s="192"/>
      <c r="C6325" s="140"/>
      <c r="D6325" s="140"/>
      <c r="E6325" s="140"/>
    </row>
    <row r="6326" spans="1:5">
      <c r="A6326" s="140"/>
      <c r="B6326" s="192"/>
      <c r="C6326" s="140"/>
      <c r="D6326" s="140"/>
      <c r="E6326" s="140"/>
    </row>
    <row r="6327" spans="1:5">
      <c r="A6327" s="140"/>
      <c r="B6327" s="192"/>
      <c r="C6327" s="140"/>
      <c r="D6327" s="140"/>
      <c r="E6327" s="140"/>
    </row>
    <row r="6328" spans="1:5">
      <c r="A6328" s="140"/>
      <c r="B6328" s="192"/>
      <c r="C6328" s="140"/>
      <c r="D6328" s="140"/>
      <c r="E6328" s="140"/>
    </row>
    <row r="6329" spans="1:5">
      <c r="A6329" s="140"/>
      <c r="B6329" s="192"/>
      <c r="C6329" s="140"/>
      <c r="D6329" s="140"/>
      <c r="E6329" s="140"/>
    </row>
    <row r="6330" spans="1:5">
      <c r="A6330" s="140"/>
      <c r="B6330" s="192"/>
      <c r="C6330" s="140"/>
      <c r="D6330" s="140"/>
      <c r="E6330" s="140"/>
    </row>
    <row r="6331" spans="1:5">
      <c r="A6331" s="140"/>
      <c r="B6331" s="192"/>
      <c r="C6331" s="140"/>
      <c r="D6331" s="140"/>
      <c r="E6331" s="140"/>
    </row>
    <row r="6332" spans="1:5">
      <c r="A6332" s="140"/>
      <c r="B6332" s="192"/>
      <c r="C6332" s="140"/>
      <c r="D6332" s="140"/>
      <c r="E6332" s="140"/>
    </row>
    <row r="6333" spans="1:5">
      <c r="A6333" s="140"/>
      <c r="B6333" s="192"/>
      <c r="C6333" s="140"/>
      <c r="D6333" s="140"/>
      <c r="E6333" s="140"/>
    </row>
    <row r="6334" spans="1:5">
      <c r="A6334" s="140"/>
      <c r="B6334" s="192"/>
      <c r="C6334" s="140"/>
      <c r="D6334" s="140"/>
      <c r="E6334" s="140"/>
    </row>
    <row r="6335" spans="1:5">
      <c r="A6335" s="140"/>
      <c r="B6335" s="192"/>
      <c r="C6335" s="140"/>
      <c r="D6335" s="140"/>
      <c r="E6335" s="140"/>
    </row>
    <row r="6336" spans="1:5">
      <c r="A6336" s="140"/>
      <c r="B6336" s="192"/>
      <c r="C6336" s="140"/>
      <c r="D6336" s="140"/>
      <c r="E6336" s="140"/>
    </row>
    <row r="6337" spans="1:5">
      <c r="A6337" s="140"/>
      <c r="B6337" s="192"/>
      <c r="C6337" s="140"/>
      <c r="D6337" s="140"/>
      <c r="E6337" s="140"/>
    </row>
    <row r="6338" spans="1:5">
      <c r="A6338" s="140"/>
      <c r="B6338" s="192"/>
      <c r="C6338" s="140"/>
      <c r="D6338" s="140"/>
      <c r="E6338" s="140"/>
    </row>
    <row r="6339" spans="1:5">
      <c r="A6339" s="140"/>
      <c r="B6339" s="192"/>
      <c r="C6339" s="140"/>
      <c r="D6339" s="140"/>
      <c r="E6339" s="140"/>
    </row>
    <row r="6340" spans="1:5">
      <c r="A6340" s="140"/>
      <c r="B6340" s="192"/>
      <c r="C6340" s="140"/>
      <c r="D6340" s="140"/>
      <c r="E6340" s="140"/>
    </row>
    <row r="6341" spans="1:5">
      <c r="A6341" s="140"/>
      <c r="B6341" s="192"/>
      <c r="C6341" s="140"/>
      <c r="D6341" s="140"/>
      <c r="E6341" s="140"/>
    </row>
    <row r="6342" spans="1:5">
      <c r="A6342" s="140"/>
      <c r="B6342" s="192"/>
      <c r="C6342" s="140"/>
      <c r="D6342" s="140"/>
      <c r="E6342" s="140"/>
    </row>
    <row r="6343" spans="1:5">
      <c r="A6343" s="140"/>
      <c r="B6343" s="192"/>
      <c r="C6343" s="140"/>
      <c r="D6343" s="140"/>
      <c r="E6343" s="140"/>
    </row>
    <row r="6344" spans="1:5">
      <c r="A6344" s="140"/>
      <c r="B6344" s="192"/>
      <c r="C6344" s="140"/>
      <c r="D6344" s="140"/>
      <c r="E6344" s="140"/>
    </row>
    <row r="6345" spans="1:5">
      <c r="A6345" s="140"/>
      <c r="B6345" s="192"/>
      <c r="C6345" s="140"/>
      <c r="D6345" s="140"/>
      <c r="E6345" s="140"/>
    </row>
    <row r="6346" spans="1:5">
      <c r="A6346" s="140"/>
      <c r="B6346" s="192"/>
      <c r="C6346" s="140"/>
      <c r="D6346" s="140"/>
      <c r="E6346" s="140"/>
    </row>
    <row r="6347" spans="1:5">
      <c r="A6347" s="140"/>
      <c r="B6347" s="192"/>
      <c r="C6347" s="140"/>
      <c r="D6347" s="140"/>
      <c r="E6347" s="140"/>
    </row>
    <row r="6348" spans="1:5">
      <c r="A6348" s="140"/>
      <c r="B6348" s="192"/>
      <c r="C6348" s="140"/>
      <c r="D6348" s="140"/>
      <c r="E6348" s="140"/>
    </row>
    <row r="6349" spans="1:5">
      <c r="A6349" s="140"/>
      <c r="B6349" s="192"/>
      <c r="C6349" s="140"/>
      <c r="D6349" s="140"/>
      <c r="E6349" s="140"/>
    </row>
    <row r="6350" spans="1:5">
      <c r="A6350" s="140"/>
      <c r="B6350" s="192"/>
      <c r="C6350" s="140"/>
      <c r="D6350" s="140"/>
      <c r="E6350" s="140"/>
    </row>
    <row r="6351" spans="1:5">
      <c r="A6351" s="140"/>
      <c r="B6351" s="192"/>
      <c r="C6351" s="140"/>
      <c r="D6351" s="140"/>
      <c r="E6351" s="140"/>
    </row>
    <row r="6352" spans="1:5">
      <c r="A6352" s="140"/>
      <c r="B6352" s="192"/>
      <c r="C6352" s="140"/>
      <c r="D6352" s="140"/>
      <c r="E6352" s="140"/>
    </row>
    <row r="6353" spans="1:5">
      <c r="A6353" s="140"/>
      <c r="B6353" s="192"/>
      <c r="C6353" s="140"/>
      <c r="D6353" s="140"/>
      <c r="E6353" s="140"/>
    </row>
    <row r="6354" spans="1:5">
      <c r="A6354" s="140"/>
      <c r="B6354" s="192"/>
      <c r="C6354" s="140"/>
      <c r="D6354" s="140"/>
      <c r="E6354" s="140"/>
    </row>
    <row r="6355" spans="1:5">
      <c r="A6355" s="140"/>
      <c r="B6355" s="192"/>
      <c r="C6355" s="140"/>
      <c r="D6355" s="140"/>
      <c r="E6355" s="140"/>
    </row>
    <row r="6356" spans="1:5">
      <c r="A6356" s="140"/>
      <c r="B6356" s="192"/>
      <c r="C6356" s="140"/>
      <c r="D6356" s="140"/>
      <c r="E6356" s="140"/>
    </row>
    <row r="6357" spans="1:5">
      <c r="A6357" s="140"/>
      <c r="B6357" s="192"/>
      <c r="C6357" s="140"/>
      <c r="D6357" s="140"/>
      <c r="E6357" s="140"/>
    </row>
    <row r="6358" spans="1:5">
      <c r="A6358" s="140"/>
      <c r="B6358" s="192"/>
      <c r="C6358" s="140"/>
      <c r="D6358" s="140"/>
      <c r="E6358" s="140"/>
    </row>
    <row r="6359" spans="1:5">
      <c r="A6359" s="140"/>
      <c r="B6359" s="192"/>
      <c r="C6359" s="140"/>
      <c r="D6359" s="140"/>
      <c r="E6359" s="140"/>
    </row>
    <row r="6360" spans="1:5">
      <c r="A6360" s="140"/>
      <c r="B6360" s="192"/>
      <c r="C6360" s="140"/>
      <c r="D6360" s="140"/>
      <c r="E6360" s="140"/>
    </row>
    <row r="6361" spans="1:5">
      <c r="A6361" s="140"/>
      <c r="B6361" s="192"/>
      <c r="C6361" s="140"/>
      <c r="D6361" s="140"/>
      <c r="E6361" s="140"/>
    </row>
    <row r="6362" spans="1:5">
      <c r="A6362" s="140"/>
      <c r="B6362" s="192"/>
      <c r="C6362" s="140"/>
      <c r="D6362" s="140"/>
      <c r="E6362" s="140"/>
    </row>
    <row r="6363" spans="1:5">
      <c r="A6363" s="140"/>
      <c r="B6363" s="192"/>
      <c r="C6363" s="140"/>
      <c r="D6363" s="140"/>
      <c r="E6363" s="140"/>
    </row>
    <row r="6364" spans="1:5">
      <c r="A6364" s="140"/>
      <c r="B6364" s="192"/>
      <c r="C6364" s="140"/>
      <c r="D6364" s="140"/>
      <c r="E6364" s="140"/>
    </row>
    <row r="6365" spans="1:5">
      <c r="A6365" s="140"/>
      <c r="B6365" s="192"/>
      <c r="C6365" s="140"/>
      <c r="D6365" s="140"/>
      <c r="E6365" s="140"/>
    </row>
    <row r="6366" spans="1:5">
      <c r="A6366" s="140"/>
      <c r="B6366" s="192"/>
      <c r="C6366" s="140"/>
      <c r="D6366" s="140"/>
      <c r="E6366" s="140"/>
    </row>
    <row r="6367" spans="1:5">
      <c r="A6367" s="140"/>
      <c r="B6367" s="192"/>
      <c r="C6367" s="140"/>
      <c r="D6367" s="140"/>
      <c r="E6367" s="140"/>
    </row>
    <row r="6368" spans="1:5">
      <c r="A6368" s="140"/>
      <c r="B6368" s="192"/>
      <c r="C6368" s="140"/>
      <c r="D6368" s="140"/>
      <c r="E6368" s="140"/>
    </row>
    <row r="6369" spans="1:5">
      <c r="A6369" s="140"/>
      <c r="B6369" s="192"/>
      <c r="C6369" s="140"/>
      <c r="D6369" s="140"/>
      <c r="E6369" s="140"/>
    </row>
    <row r="6370" spans="1:5">
      <c r="A6370" s="140"/>
      <c r="B6370" s="192"/>
      <c r="C6370" s="140"/>
      <c r="D6370" s="140"/>
      <c r="E6370" s="140"/>
    </row>
    <row r="6371" spans="1:5">
      <c r="A6371" s="140"/>
      <c r="B6371" s="192"/>
      <c r="C6371" s="140"/>
      <c r="D6371" s="140"/>
      <c r="E6371" s="140"/>
    </row>
    <row r="6372" spans="1:5">
      <c r="A6372" s="140"/>
      <c r="B6372" s="192"/>
      <c r="C6372" s="140"/>
      <c r="D6372" s="140"/>
      <c r="E6372" s="140"/>
    </row>
    <row r="6373" spans="1:5">
      <c r="A6373" s="140"/>
      <c r="B6373" s="192"/>
      <c r="C6373" s="140"/>
      <c r="D6373" s="140"/>
      <c r="E6373" s="140"/>
    </row>
    <row r="6374" spans="1:5">
      <c r="A6374" s="140"/>
      <c r="B6374" s="192"/>
      <c r="C6374" s="140"/>
      <c r="D6374" s="140"/>
      <c r="E6374" s="140"/>
    </row>
    <row r="6375" spans="1:5">
      <c r="A6375" s="140"/>
      <c r="B6375" s="192"/>
      <c r="C6375" s="140"/>
      <c r="D6375" s="140"/>
      <c r="E6375" s="140"/>
    </row>
    <row r="6376" spans="1:5">
      <c r="A6376" s="140"/>
      <c r="B6376" s="192"/>
      <c r="C6376" s="140"/>
      <c r="D6376" s="140"/>
      <c r="E6376" s="140"/>
    </row>
    <row r="6377" spans="1:5">
      <c r="A6377" s="140"/>
      <c r="B6377" s="192"/>
      <c r="C6377" s="140"/>
      <c r="D6377" s="140"/>
      <c r="E6377" s="140"/>
    </row>
    <row r="6378" spans="1:5">
      <c r="A6378" s="140"/>
      <c r="B6378" s="192"/>
      <c r="C6378" s="140"/>
      <c r="D6378" s="140"/>
      <c r="E6378" s="140"/>
    </row>
    <row r="6379" spans="1:5">
      <c r="A6379" s="140"/>
      <c r="B6379" s="192"/>
      <c r="C6379" s="140"/>
      <c r="D6379" s="140"/>
      <c r="E6379" s="140"/>
    </row>
    <row r="6380" spans="1:5">
      <c r="A6380" s="140"/>
      <c r="B6380" s="192"/>
      <c r="C6380" s="140"/>
      <c r="D6380" s="140"/>
      <c r="E6380" s="140"/>
    </row>
    <row r="6381" spans="1:5">
      <c r="A6381" s="140"/>
      <c r="B6381" s="192"/>
      <c r="C6381" s="140"/>
      <c r="D6381" s="140"/>
      <c r="E6381" s="140"/>
    </row>
    <row r="6382" spans="1:5">
      <c r="A6382" s="140"/>
      <c r="B6382" s="192"/>
      <c r="C6382" s="140"/>
      <c r="D6382" s="140"/>
      <c r="E6382" s="140"/>
    </row>
    <row r="6383" spans="1:5">
      <c r="A6383" s="140"/>
      <c r="B6383" s="192"/>
      <c r="C6383" s="140"/>
      <c r="D6383" s="140"/>
      <c r="E6383" s="140"/>
    </row>
    <row r="6384" spans="1:5">
      <c r="A6384" s="140"/>
      <c r="B6384" s="192"/>
      <c r="C6384" s="140"/>
      <c r="D6384" s="140"/>
      <c r="E6384" s="140"/>
    </row>
    <row r="6385" spans="1:5">
      <c r="A6385" s="140"/>
      <c r="B6385" s="192"/>
      <c r="C6385" s="140"/>
      <c r="D6385" s="140"/>
      <c r="E6385" s="140"/>
    </row>
    <row r="6386" spans="1:5">
      <c r="A6386" s="140"/>
      <c r="B6386" s="192"/>
      <c r="C6386" s="140"/>
      <c r="D6386" s="140"/>
      <c r="E6386" s="140"/>
    </row>
    <row r="6387" spans="1:5">
      <c r="A6387" s="140"/>
      <c r="B6387" s="192"/>
      <c r="C6387" s="140"/>
      <c r="D6387" s="140"/>
      <c r="E6387" s="140"/>
    </row>
    <row r="6388" spans="1:5">
      <c r="A6388" s="140"/>
      <c r="B6388" s="192"/>
      <c r="C6388" s="140"/>
      <c r="D6388" s="140"/>
      <c r="E6388" s="140"/>
    </row>
    <row r="6389" spans="1:5">
      <c r="A6389" s="140"/>
      <c r="B6389" s="192"/>
      <c r="C6389" s="140"/>
      <c r="D6389" s="140"/>
      <c r="E6389" s="140"/>
    </row>
    <row r="6390" spans="1:5">
      <c r="A6390" s="140"/>
      <c r="B6390" s="192"/>
      <c r="C6390" s="140"/>
      <c r="D6390" s="140"/>
      <c r="E6390" s="140"/>
    </row>
    <row r="6391" spans="1:5">
      <c r="A6391" s="140"/>
      <c r="B6391" s="192"/>
      <c r="C6391" s="140"/>
      <c r="D6391" s="140"/>
      <c r="E6391" s="140"/>
    </row>
    <row r="6392" spans="1:5">
      <c r="A6392" s="140"/>
      <c r="B6392" s="192"/>
      <c r="C6392" s="140"/>
      <c r="D6392" s="140"/>
      <c r="E6392" s="140"/>
    </row>
    <row r="6393" spans="1:5">
      <c r="A6393" s="140"/>
      <c r="B6393" s="192"/>
      <c r="C6393" s="140"/>
      <c r="D6393" s="140"/>
      <c r="E6393" s="140"/>
    </row>
    <row r="6394" spans="1:5">
      <c r="A6394" s="140"/>
      <c r="B6394" s="192"/>
      <c r="C6394" s="140"/>
      <c r="D6394" s="140"/>
      <c r="E6394" s="140"/>
    </row>
    <row r="6395" spans="1:5">
      <c r="A6395" s="140"/>
      <c r="B6395" s="192"/>
      <c r="C6395" s="140"/>
      <c r="D6395" s="140"/>
      <c r="E6395" s="140"/>
    </row>
    <row r="6396" spans="1:5">
      <c r="A6396" s="140"/>
      <c r="B6396" s="192"/>
      <c r="C6396" s="140"/>
      <c r="D6396" s="140"/>
      <c r="E6396" s="140"/>
    </row>
    <row r="6397" spans="1:5">
      <c r="A6397" s="140"/>
      <c r="B6397" s="192"/>
      <c r="C6397" s="140"/>
      <c r="D6397" s="140"/>
      <c r="E6397" s="140"/>
    </row>
    <row r="6398" spans="1:5">
      <c r="A6398" s="140"/>
      <c r="B6398" s="192"/>
      <c r="C6398" s="140"/>
      <c r="D6398" s="140"/>
      <c r="E6398" s="140"/>
    </row>
    <row r="6399" spans="1:5">
      <c r="A6399" s="140"/>
      <c r="B6399" s="192"/>
      <c r="C6399" s="140"/>
      <c r="D6399" s="140"/>
      <c r="E6399" s="140"/>
    </row>
    <row r="6400" spans="1:5">
      <c r="A6400" s="140"/>
      <c r="B6400" s="192"/>
      <c r="C6400" s="140"/>
      <c r="D6400" s="140"/>
      <c r="E6400" s="140"/>
    </row>
    <row r="6401" spans="1:5">
      <c r="A6401" s="140"/>
      <c r="B6401" s="192"/>
      <c r="C6401" s="140"/>
      <c r="D6401" s="140"/>
      <c r="E6401" s="140"/>
    </row>
    <row r="6402" spans="1:5">
      <c r="A6402" s="140"/>
      <c r="B6402" s="192"/>
      <c r="C6402" s="140"/>
      <c r="D6402" s="140"/>
      <c r="E6402" s="140"/>
    </row>
    <row r="6403" spans="1:5">
      <c r="A6403" s="140"/>
      <c r="B6403" s="192"/>
      <c r="C6403" s="140"/>
      <c r="D6403" s="140"/>
      <c r="E6403" s="140"/>
    </row>
    <row r="6404" spans="1:5">
      <c r="A6404" s="140"/>
      <c r="B6404" s="192"/>
      <c r="C6404" s="140"/>
      <c r="D6404" s="140"/>
      <c r="E6404" s="140"/>
    </row>
    <row r="6405" spans="1:5">
      <c r="A6405" s="140"/>
      <c r="B6405" s="192"/>
      <c r="C6405" s="140"/>
      <c r="D6405" s="140"/>
      <c r="E6405" s="140"/>
    </row>
    <row r="6406" spans="1:5">
      <c r="A6406" s="140"/>
      <c r="B6406" s="192"/>
      <c r="C6406" s="140"/>
      <c r="D6406" s="140"/>
      <c r="E6406" s="140"/>
    </row>
    <row r="6407" spans="1:5">
      <c r="A6407" s="140"/>
      <c r="B6407" s="192"/>
      <c r="C6407" s="140"/>
      <c r="D6407" s="140"/>
      <c r="E6407" s="140"/>
    </row>
    <row r="6408" spans="1:5">
      <c r="A6408" s="140"/>
      <c r="B6408" s="192"/>
      <c r="C6408" s="140"/>
      <c r="D6408" s="140"/>
      <c r="E6408" s="140"/>
    </row>
    <row r="6409" spans="1:5">
      <c r="A6409" s="140"/>
      <c r="B6409" s="192"/>
      <c r="C6409" s="140"/>
      <c r="D6409" s="140"/>
      <c r="E6409" s="140"/>
    </row>
    <row r="6410" spans="1:5">
      <c r="A6410" s="140"/>
      <c r="B6410" s="192"/>
      <c r="C6410" s="140"/>
      <c r="D6410" s="140"/>
      <c r="E6410" s="140"/>
    </row>
    <row r="6411" spans="1:5">
      <c r="A6411" s="140"/>
      <c r="B6411" s="192"/>
      <c r="C6411" s="140"/>
      <c r="D6411" s="140"/>
      <c r="E6411" s="140"/>
    </row>
    <row r="6412" spans="1:5">
      <c r="A6412" s="140"/>
      <c r="B6412" s="192"/>
      <c r="C6412" s="140"/>
      <c r="D6412" s="140"/>
      <c r="E6412" s="140"/>
    </row>
    <row r="6413" spans="1:5">
      <c r="A6413" s="140"/>
      <c r="B6413" s="192"/>
      <c r="C6413" s="140"/>
      <c r="D6413" s="140"/>
      <c r="E6413" s="140"/>
    </row>
    <row r="6414" spans="1:5">
      <c r="A6414" s="140"/>
      <c r="B6414" s="192"/>
      <c r="C6414" s="140"/>
      <c r="D6414" s="140"/>
      <c r="E6414" s="140"/>
    </row>
    <row r="6415" spans="1:5">
      <c r="A6415" s="140"/>
      <c r="B6415" s="192"/>
      <c r="C6415" s="140"/>
      <c r="D6415" s="140"/>
      <c r="E6415" s="140"/>
    </row>
    <row r="6416" spans="1:5">
      <c r="A6416" s="140"/>
      <c r="B6416" s="192"/>
      <c r="C6416" s="140"/>
      <c r="D6416" s="140"/>
      <c r="E6416" s="140"/>
    </row>
    <row r="6417" spans="1:5">
      <c r="A6417" s="140"/>
      <c r="B6417" s="192"/>
      <c r="C6417" s="140"/>
      <c r="D6417" s="140"/>
      <c r="E6417" s="140"/>
    </row>
    <row r="6418" spans="1:5">
      <c r="A6418" s="140"/>
      <c r="B6418" s="192"/>
      <c r="C6418" s="140"/>
      <c r="D6418" s="140"/>
      <c r="E6418" s="140"/>
    </row>
    <row r="6419" spans="1:5">
      <c r="A6419" s="140"/>
      <c r="B6419" s="192"/>
      <c r="C6419" s="140"/>
      <c r="D6419" s="140"/>
      <c r="E6419" s="140"/>
    </row>
    <row r="6420" spans="1:5">
      <c r="A6420" s="140"/>
      <c r="B6420" s="192"/>
      <c r="C6420" s="140"/>
      <c r="D6420" s="140"/>
      <c r="E6420" s="140"/>
    </row>
    <row r="6421" spans="1:5">
      <c r="A6421" s="140"/>
      <c r="B6421" s="192"/>
      <c r="C6421" s="140"/>
      <c r="D6421" s="140"/>
      <c r="E6421" s="140"/>
    </row>
    <row r="6422" spans="1:5">
      <c r="A6422" s="140"/>
      <c r="B6422" s="192"/>
      <c r="C6422" s="140"/>
      <c r="D6422" s="140"/>
      <c r="E6422" s="140"/>
    </row>
    <row r="6423" spans="1:5">
      <c r="A6423" s="140"/>
      <c r="B6423" s="192"/>
      <c r="C6423" s="140"/>
      <c r="D6423" s="140"/>
      <c r="E6423" s="140"/>
    </row>
    <row r="6424" spans="1:5">
      <c r="A6424" s="140"/>
      <c r="B6424" s="192"/>
      <c r="C6424" s="140"/>
      <c r="D6424" s="140"/>
      <c r="E6424" s="140"/>
    </row>
    <row r="6425" spans="1:5">
      <c r="A6425" s="140"/>
      <c r="B6425" s="192"/>
      <c r="C6425" s="140"/>
      <c r="D6425" s="140"/>
      <c r="E6425" s="140"/>
    </row>
    <row r="6426" spans="1:5">
      <c r="A6426" s="140"/>
      <c r="B6426" s="192"/>
      <c r="C6426" s="140"/>
      <c r="D6426" s="140"/>
      <c r="E6426" s="140"/>
    </row>
    <row r="6427" spans="1:5">
      <c r="A6427" s="140"/>
      <c r="B6427" s="192"/>
      <c r="C6427" s="140"/>
      <c r="D6427" s="140"/>
      <c r="E6427" s="140"/>
    </row>
    <row r="6428" spans="1:5">
      <c r="A6428" s="140"/>
      <c r="B6428" s="192"/>
      <c r="C6428" s="140"/>
      <c r="D6428" s="140"/>
      <c r="E6428" s="140"/>
    </row>
    <row r="6429" spans="1:5">
      <c r="A6429" s="140"/>
      <c r="B6429" s="192"/>
      <c r="C6429" s="140"/>
      <c r="D6429" s="140"/>
      <c r="E6429" s="140"/>
    </row>
    <row r="6430" spans="1:5">
      <c r="A6430" s="140"/>
      <c r="B6430" s="192"/>
      <c r="C6430" s="140"/>
      <c r="D6430" s="140"/>
      <c r="E6430" s="140"/>
    </row>
    <row r="6431" spans="1:5">
      <c r="A6431" s="140"/>
      <c r="B6431" s="192"/>
      <c r="C6431" s="140"/>
      <c r="D6431" s="140"/>
      <c r="E6431" s="140"/>
    </row>
    <row r="6432" spans="1:5">
      <c r="A6432" s="140"/>
      <c r="B6432" s="192"/>
      <c r="C6432" s="140"/>
      <c r="D6432" s="140"/>
      <c r="E6432" s="140"/>
    </row>
    <row r="6433" spans="1:5">
      <c r="A6433" s="140"/>
      <c r="B6433" s="192"/>
      <c r="C6433" s="140"/>
      <c r="D6433" s="140"/>
      <c r="E6433" s="140"/>
    </row>
    <row r="6434" spans="1:5">
      <c r="A6434" s="140"/>
      <c r="B6434" s="192"/>
      <c r="C6434" s="140"/>
      <c r="D6434" s="140"/>
      <c r="E6434" s="140"/>
    </row>
    <row r="6435" spans="1:5">
      <c r="A6435" s="140"/>
      <c r="B6435" s="192"/>
      <c r="C6435" s="140"/>
      <c r="D6435" s="140"/>
      <c r="E6435" s="140"/>
    </row>
    <row r="6436" spans="1:5">
      <c r="A6436" s="140"/>
      <c r="B6436" s="192"/>
      <c r="C6436" s="140"/>
      <c r="D6436" s="140"/>
      <c r="E6436" s="140"/>
    </row>
    <row r="6437" spans="1:5">
      <c r="A6437" s="140"/>
      <c r="B6437" s="192"/>
      <c r="C6437" s="140"/>
      <c r="D6437" s="140"/>
      <c r="E6437" s="140"/>
    </row>
    <row r="6438" spans="1:5">
      <c r="A6438" s="140"/>
      <c r="B6438" s="192"/>
      <c r="C6438" s="140"/>
      <c r="D6438" s="140"/>
      <c r="E6438" s="140"/>
    </row>
    <row r="6439" spans="1:5">
      <c r="A6439" s="140"/>
      <c r="B6439" s="192"/>
      <c r="C6439" s="140"/>
      <c r="D6439" s="140"/>
      <c r="E6439" s="140"/>
    </row>
    <row r="6440" spans="1:5">
      <c r="A6440" s="140"/>
      <c r="B6440" s="192"/>
      <c r="C6440" s="140"/>
      <c r="D6440" s="140"/>
      <c r="E6440" s="140"/>
    </row>
    <row r="6441" spans="1:5">
      <c r="A6441" s="140"/>
      <c r="B6441" s="192"/>
      <c r="C6441" s="140"/>
      <c r="D6441" s="140"/>
      <c r="E6441" s="140"/>
    </row>
    <row r="6442" spans="1:5">
      <c r="A6442" s="140"/>
      <c r="B6442" s="192"/>
      <c r="C6442" s="140"/>
      <c r="D6442" s="140"/>
      <c r="E6442" s="140"/>
    </row>
    <row r="6443" spans="1:5">
      <c r="A6443" s="140"/>
      <c r="B6443" s="192"/>
      <c r="C6443" s="140"/>
      <c r="D6443" s="140"/>
      <c r="E6443" s="140"/>
    </row>
    <row r="6444" spans="1:5">
      <c r="A6444" s="140"/>
      <c r="B6444" s="192"/>
      <c r="C6444" s="140"/>
      <c r="D6444" s="140"/>
      <c r="E6444" s="140"/>
    </row>
    <row r="6445" spans="1:5">
      <c r="A6445" s="140"/>
      <c r="B6445" s="192"/>
      <c r="C6445" s="140"/>
      <c r="D6445" s="140"/>
      <c r="E6445" s="140"/>
    </row>
    <row r="6446" spans="1:5">
      <c r="A6446" s="140"/>
      <c r="B6446" s="192"/>
      <c r="C6446" s="140"/>
      <c r="D6446" s="140"/>
      <c r="E6446" s="140"/>
    </row>
    <row r="6447" spans="1:5">
      <c r="A6447" s="140"/>
      <c r="B6447" s="192"/>
      <c r="C6447" s="140"/>
      <c r="D6447" s="140"/>
      <c r="E6447" s="140"/>
    </row>
    <row r="6448" spans="1:5">
      <c r="A6448" s="140"/>
      <c r="B6448" s="192"/>
      <c r="C6448" s="140"/>
      <c r="D6448" s="140"/>
      <c r="E6448" s="140"/>
    </row>
    <row r="6449" spans="1:5">
      <c r="A6449" s="140"/>
      <c r="B6449" s="192"/>
      <c r="C6449" s="140"/>
      <c r="D6449" s="140"/>
      <c r="E6449" s="140"/>
    </row>
    <row r="6450" spans="1:5">
      <c r="A6450" s="140"/>
      <c r="B6450" s="192"/>
      <c r="C6450" s="140"/>
      <c r="D6450" s="140"/>
      <c r="E6450" s="140"/>
    </row>
    <row r="6451" spans="1:5">
      <c r="A6451" s="140"/>
      <c r="B6451" s="192"/>
      <c r="C6451" s="140"/>
      <c r="D6451" s="140"/>
      <c r="E6451" s="140"/>
    </row>
    <row r="6452" spans="1:5">
      <c r="A6452" s="140"/>
      <c r="B6452" s="192"/>
      <c r="C6452" s="140"/>
      <c r="D6452" s="140"/>
      <c r="E6452" s="140"/>
    </row>
    <row r="6453" spans="1:5">
      <c r="A6453" s="140"/>
      <c r="B6453" s="192"/>
      <c r="C6453" s="140"/>
      <c r="D6453" s="140"/>
      <c r="E6453" s="140"/>
    </row>
    <row r="6454" spans="1:5">
      <c r="A6454" s="140"/>
      <c r="B6454" s="192"/>
      <c r="C6454" s="140"/>
      <c r="D6454" s="140"/>
      <c r="E6454" s="140"/>
    </row>
    <row r="6455" spans="1:5">
      <c r="A6455" s="140"/>
      <c r="B6455" s="192"/>
      <c r="C6455" s="140"/>
      <c r="D6455" s="140"/>
      <c r="E6455" s="140"/>
    </row>
    <row r="6456" spans="1:5">
      <c r="A6456" s="140"/>
      <c r="B6456" s="192"/>
      <c r="C6456" s="140"/>
      <c r="D6456" s="140"/>
      <c r="E6456" s="140"/>
    </row>
    <row r="6457" spans="1:5">
      <c r="A6457" s="140"/>
      <c r="B6457" s="192"/>
      <c r="C6457" s="140"/>
      <c r="D6457" s="140"/>
      <c r="E6457" s="140"/>
    </row>
    <row r="6458" spans="1:5">
      <c r="A6458" s="140"/>
      <c r="B6458" s="192"/>
      <c r="C6458" s="140"/>
      <c r="D6458" s="140"/>
      <c r="E6458" s="140"/>
    </row>
    <row r="6459" spans="1:5">
      <c r="A6459" s="140"/>
      <c r="B6459" s="192"/>
      <c r="C6459" s="140"/>
      <c r="D6459" s="140"/>
      <c r="E6459" s="140"/>
    </row>
    <row r="6460" spans="1:5">
      <c r="A6460" s="140"/>
      <c r="B6460" s="192"/>
      <c r="C6460" s="140"/>
      <c r="D6460" s="140"/>
      <c r="E6460" s="140"/>
    </row>
    <row r="6461" spans="1:5">
      <c r="A6461" s="140"/>
      <c r="B6461" s="192"/>
      <c r="C6461" s="140"/>
      <c r="D6461" s="140"/>
      <c r="E6461" s="140"/>
    </row>
    <row r="6462" spans="1:5">
      <c r="A6462" s="140"/>
      <c r="B6462" s="192"/>
      <c r="C6462" s="140"/>
      <c r="D6462" s="140"/>
      <c r="E6462" s="140"/>
    </row>
    <row r="6463" spans="1:5">
      <c r="A6463" s="140"/>
      <c r="B6463" s="192"/>
      <c r="C6463" s="140"/>
      <c r="D6463" s="140"/>
      <c r="E6463" s="140"/>
    </row>
    <row r="6464" spans="1:5">
      <c r="A6464" s="140"/>
      <c r="B6464" s="192"/>
      <c r="C6464" s="140"/>
      <c r="D6464" s="140"/>
      <c r="E6464" s="140"/>
    </row>
    <row r="6465" spans="1:5">
      <c r="A6465" s="140"/>
      <c r="B6465" s="192"/>
      <c r="C6465" s="140"/>
      <c r="D6465" s="140"/>
      <c r="E6465" s="140"/>
    </row>
    <row r="6466" spans="1:5">
      <c r="A6466" s="140"/>
      <c r="B6466" s="192"/>
      <c r="C6466" s="140"/>
      <c r="D6466" s="140"/>
      <c r="E6466" s="140"/>
    </row>
    <row r="6467" spans="1:5">
      <c r="A6467" s="140"/>
      <c r="B6467" s="192"/>
      <c r="C6467" s="140"/>
      <c r="D6467" s="140"/>
      <c r="E6467" s="140"/>
    </row>
    <row r="6468" spans="1:5">
      <c r="A6468" s="140"/>
      <c r="B6468" s="192"/>
      <c r="C6468" s="140"/>
      <c r="D6468" s="140"/>
      <c r="E6468" s="140"/>
    </row>
    <row r="6469" spans="1:5">
      <c r="A6469" s="140"/>
      <c r="B6469" s="192"/>
      <c r="C6469" s="140"/>
      <c r="D6469" s="140"/>
      <c r="E6469" s="140"/>
    </row>
    <row r="6470" spans="1:5">
      <c r="A6470" s="140"/>
      <c r="B6470" s="192"/>
      <c r="C6470" s="140"/>
      <c r="D6470" s="140"/>
      <c r="E6470" s="140"/>
    </row>
    <row r="6471" spans="1:5">
      <c r="A6471" s="140"/>
      <c r="B6471" s="192"/>
      <c r="C6471" s="140"/>
      <c r="D6471" s="140"/>
      <c r="E6471" s="140"/>
    </row>
    <row r="6472" spans="1:5">
      <c r="A6472" s="140"/>
      <c r="B6472" s="192"/>
      <c r="C6472" s="140"/>
      <c r="D6472" s="140"/>
      <c r="E6472" s="140"/>
    </row>
    <row r="6473" spans="1:5">
      <c r="A6473" s="140"/>
      <c r="B6473" s="192"/>
      <c r="C6473" s="140"/>
      <c r="D6473" s="140"/>
      <c r="E6473" s="140"/>
    </row>
    <row r="6474" spans="1:5">
      <c r="A6474" s="140"/>
      <c r="B6474" s="192"/>
      <c r="C6474" s="140"/>
      <c r="D6474" s="140"/>
      <c r="E6474" s="140"/>
    </row>
    <row r="6475" spans="1:5">
      <c r="A6475" s="140"/>
      <c r="B6475" s="192"/>
      <c r="C6475" s="140"/>
      <c r="D6475" s="140"/>
      <c r="E6475" s="140"/>
    </row>
    <row r="6476" spans="1:5">
      <c r="A6476" s="140"/>
      <c r="B6476" s="192"/>
      <c r="C6476" s="140"/>
      <c r="D6476" s="140"/>
      <c r="E6476" s="140"/>
    </row>
    <row r="6477" spans="1:5">
      <c r="A6477" s="140"/>
      <c r="B6477" s="192"/>
      <c r="C6477" s="140"/>
      <c r="D6477" s="140"/>
      <c r="E6477" s="140"/>
    </row>
    <row r="6478" spans="1:5">
      <c r="A6478" s="140"/>
      <c r="B6478" s="192"/>
      <c r="C6478" s="140"/>
      <c r="D6478" s="140"/>
      <c r="E6478" s="140"/>
    </row>
    <row r="6479" spans="1:5">
      <c r="A6479" s="140"/>
      <c r="B6479" s="192"/>
      <c r="C6479" s="140"/>
      <c r="D6479" s="140"/>
      <c r="E6479" s="140"/>
    </row>
    <row r="6480" spans="1:5">
      <c r="A6480" s="140"/>
      <c r="B6480" s="192"/>
      <c r="C6480" s="140"/>
      <c r="D6480" s="140"/>
      <c r="E6480" s="140"/>
    </row>
    <row r="6481" spans="1:5">
      <c r="A6481" s="140"/>
      <c r="B6481" s="192"/>
      <c r="C6481" s="140"/>
      <c r="D6481" s="140"/>
      <c r="E6481" s="140"/>
    </row>
    <row r="6482" spans="1:5">
      <c r="A6482" s="140"/>
      <c r="B6482" s="192"/>
      <c r="C6482" s="140"/>
      <c r="D6482" s="140"/>
      <c r="E6482" s="140"/>
    </row>
    <row r="6483" spans="1:5">
      <c r="A6483" s="140"/>
      <c r="B6483" s="192"/>
      <c r="C6483" s="140"/>
      <c r="D6483" s="140"/>
      <c r="E6483" s="140"/>
    </row>
    <row r="6484" spans="1:5">
      <c r="A6484" s="140"/>
      <c r="B6484" s="192"/>
      <c r="C6484" s="140"/>
      <c r="D6484" s="140"/>
      <c r="E6484" s="140"/>
    </row>
    <row r="6485" spans="1:5">
      <c r="A6485" s="140"/>
      <c r="B6485" s="192"/>
      <c r="C6485" s="140"/>
      <c r="D6485" s="140"/>
      <c r="E6485" s="140"/>
    </row>
    <row r="6486" spans="1:5">
      <c r="A6486" s="140"/>
      <c r="B6486" s="192"/>
      <c r="C6486" s="140"/>
      <c r="D6486" s="140"/>
      <c r="E6486" s="140"/>
    </row>
    <row r="6487" spans="1:5">
      <c r="A6487" s="140"/>
      <c r="B6487" s="192"/>
      <c r="C6487" s="140"/>
      <c r="D6487" s="140"/>
      <c r="E6487" s="140"/>
    </row>
    <row r="6488" spans="1:5">
      <c r="A6488" s="140"/>
      <c r="B6488" s="192"/>
      <c r="C6488" s="140"/>
      <c r="D6488" s="140"/>
      <c r="E6488" s="140"/>
    </row>
    <row r="6489" spans="1:5">
      <c r="A6489" s="140"/>
      <c r="B6489" s="192"/>
      <c r="C6489" s="140"/>
      <c r="D6489" s="140"/>
      <c r="E6489" s="140"/>
    </row>
    <row r="6490" spans="1:5">
      <c r="A6490" s="140"/>
      <c r="B6490" s="192"/>
      <c r="C6490" s="140"/>
      <c r="D6490" s="140"/>
      <c r="E6490" s="140"/>
    </row>
    <row r="6491" spans="1:5">
      <c r="A6491" s="140"/>
      <c r="B6491" s="192"/>
      <c r="C6491" s="140"/>
      <c r="D6491" s="140"/>
      <c r="E6491" s="140"/>
    </row>
    <row r="6492" spans="1:5">
      <c r="A6492" s="140"/>
      <c r="B6492" s="192"/>
      <c r="C6492" s="140"/>
      <c r="D6492" s="140"/>
      <c r="E6492" s="140"/>
    </row>
    <row r="6493" spans="1:5">
      <c r="A6493" s="140"/>
      <c r="B6493" s="192"/>
      <c r="C6493" s="140"/>
      <c r="D6493" s="140"/>
      <c r="E6493" s="140"/>
    </row>
    <row r="6494" spans="1:5">
      <c r="A6494" s="140"/>
      <c r="B6494" s="192"/>
      <c r="C6494" s="140"/>
      <c r="D6494" s="140"/>
      <c r="E6494" s="140"/>
    </row>
    <row r="6495" spans="1:5">
      <c r="A6495" s="140"/>
      <c r="B6495" s="192"/>
      <c r="C6495" s="140"/>
      <c r="D6495" s="140"/>
      <c r="E6495" s="140"/>
    </row>
    <row r="6496" spans="1:5">
      <c r="A6496" s="140"/>
      <c r="B6496" s="192"/>
      <c r="C6496" s="140"/>
      <c r="D6496" s="140"/>
      <c r="E6496" s="140"/>
    </row>
    <row r="6497" spans="1:5">
      <c r="A6497" s="140"/>
      <c r="B6497" s="192"/>
      <c r="C6497" s="140"/>
      <c r="D6497" s="140"/>
      <c r="E6497" s="140"/>
    </row>
    <row r="6498" spans="1:5">
      <c r="A6498" s="140"/>
      <c r="B6498" s="192"/>
      <c r="C6498" s="140"/>
      <c r="D6498" s="140"/>
      <c r="E6498" s="140"/>
    </row>
    <row r="6499" spans="1:5">
      <c r="A6499" s="140"/>
      <c r="B6499" s="192"/>
      <c r="C6499" s="140"/>
      <c r="D6499" s="140"/>
      <c r="E6499" s="140"/>
    </row>
    <row r="6500" spans="1:5">
      <c r="A6500" s="140"/>
      <c r="B6500" s="192"/>
      <c r="C6500" s="140"/>
      <c r="D6500" s="140"/>
      <c r="E6500" s="140"/>
    </row>
    <row r="6501" spans="1:5">
      <c r="A6501" s="140"/>
      <c r="B6501" s="192"/>
      <c r="C6501" s="140"/>
      <c r="D6501" s="140"/>
      <c r="E6501" s="140"/>
    </row>
    <row r="6502" spans="1:5">
      <c r="A6502" s="140"/>
      <c r="B6502" s="192"/>
      <c r="C6502" s="140"/>
      <c r="D6502" s="140"/>
      <c r="E6502" s="140"/>
    </row>
    <row r="6503" spans="1:5">
      <c r="A6503" s="140"/>
      <c r="B6503" s="192"/>
      <c r="C6503" s="140"/>
      <c r="D6503" s="140"/>
      <c r="E6503" s="140"/>
    </row>
    <row r="6504" spans="1:5">
      <c r="A6504" s="140"/>
      <c r="B6504" s="192"/>
      <c r="C6504" s="140"/>
      <c r="D6504" s="140"/>
      <c r="E6504" s="140"/>
    </row>
    <row r="6505" spans="1:5">
      <c r="A6505" s="140"/>
      <c r="B6505" s="192"/>
      <c r="C6505" s="140"/>
      <c r="D6505" s="140"/>
      <c r="E6505" s="140"/>
    </row>
    <row r="6506" spans="1:5">
      <c r="A6506" s="140"/>
      <c r="B6506" s="192"/>
      <c r="C6506" s="140"/>
      <c r="D6506" s="140"/>
      <c r="E6506" s="140"/>
    </row>
    <row r="6507" spans="1:5">
      <c r="A6507" s="140"/>
      <c r="B6507" s="192"/>
      <c r="C6507" s="140"/>
      <c r="D6507" s="140"/>
      <c r="E6507" s="140"/>
    </row>
    <row r="6508" spans="1:5">
      <c r="A6508" s="140"/>
      <c r="B6508" s="192"/>
      <c r="C6508" s="140"/>
      <c r="D6508" s="140"/>
      <c r="E6508" s="140"/>
    </row>
    <row r="6509" spans="1:5">
      <c r="A6509" s="140"/>
      <c r="B6509" s="192"/>
      <c r="C6509" s="140"/>
      <c r="D6509" s="140"/>
      <c r="E6509" s="140"/>
    </row>
    <row r="6510" spans="1:5">
      <c r="A6510" s="140"/>
      <c r="B6510" s="192"/>
      <c r="C6510" s="140"/>
      <c r="D6510" s="140"/>
      <c r="E6510" s="140"/>
    </row>
    <row r="6511" spans="1:5">
      <c r="A6511" s="140"/>
      <c r="B6511" s="192"/>
      <c r="C6511" s="140"/>
      <c r="D6511" s="140"/>
      <c r="E6511" s="140"/>
    </row>
    <row r="6512" spans="1:5">
      <c r="A6512" s="140"/>
      <c r="B6512" s="192"/>
      <c r="C6512" s="140"/>
      <c r="D6512" s="140"/>
      <c r="E6512" s="140"/>
    </row>
    <row r="6513" spans="1:5">
      <c r="A6513" s="140"/>
      <c r="B6513" s="192"/>
      <c r="C6513" s="140"/>
      <c r="D6513" s="140"/>
      <c r="E6513" s="140"/>
    </row>
    <row r="6514" spans="1:5">
      <c r="A6514" s="140"/>
      <c r="B6514" s="192"/>
      <c r="C6514" s="140"/>
      <c r="D6514" s="140"/>
      <c r="E6514" s="140"/>
    </row>
    <row r="6515" spans="1:5">
      <c r="A6515" s="140"/>
      <c r="B6515" s="192"/>
      <c r="C6515" s="140"/>
      <c r="D6515" s="140"/>
      <c r="E6515" s="140"/>
    </row>
    <row r="6516" spans="1:5">
      <c r="A6516" s="140"/>
      <c r="B6516" s="192"/>
      <c r="C6516" s="140"/>
      <c r="D6516" s="140"/>
      <c r="E6516" s="140"/>
    </row>
    <row r="6517" spans="1:5">
      <c r="A6517" s="140"/>
      <c r="B6517" s="192"/>
      <c r="C6517" s="140"/>
      <c r="D6517" s="140"/>
      <c r="E6517" s="140"/>
    </row>
    <row r="6518" spans="1:5">
      <c r="A6518" s="140"/>
      <c r="B6518" s="192"/>
      <c r="C6518" s="140"/>
      <c r="D6518" s="140"/>
      <c r="E6518" s="140"/>
    </row>
    <row r="6519" spans="1:5">
      <c r="A6519" s="140"/>
      <c r="B6519" s="192"/>
      <c r="C6519" s="140"/>
      <c r="D6519" s="140"/>
      <c r="E6519" s="140"/>
    </row>
    <row r="6520" spans="1:5">
      <c r="A6520" s="140"/>
      <c r="B6520" s="192"/>
      <c r="C6520" s="140"/>
      <c r="D6520" s="140"/>
      <c r="E6520" s="140"/>
    </row>
    <row r="6521" spans="1:5">
      <c r="A6521" s="140"/>
      <c r="B6521" s="192"/>
      <c r="C6521" s="140"/>
      <c r="D6521" s="140"/>
      <c r="E6521" s="140"/>
    </row>
    <row r="6522" spans="1:5">
      <c r="A6522" s="140"/>
      <c r="B6522" s="192"/>
      <c r="C6522" s="140"/>
      <c r="D6522" s="140"/>
      <c r="E6522" s="140"/>
    </row>
    <row r="6523" spans="1:5">
      <c r="A6523" s="140"/>
      <c r="B6523" s="192"/>
      <c r="C6523" s="140"/>
      <c r="D6523" s="140"/>
      <c r="E6523" s="140"/>
    </row>
    <row r="6524" spans="1:5">
      <c r="A6524" s="140"/>
      <c r="B6524" s="192"/>
      <c r="C6524" s="140"/>
      <c r="D6524" s="140"/>
      <c r="E6524" s="140"/>
    </row>
    <row r="6525" spans="1:5">
      <c r="A6525" s="140"/>
      <c r="B6525" s="192"/>
      <c r="C6525" s="140"/>
      <c r="D6525" s="140"/>
      <c r="E6525" s="140"/>
    </row>
    <row r="6526" spans="1:5">
      <c r="A6526" s="140"/>
      <c r="B6526" s="192"/>
      <c r="C6526" s="140"/>
      <c r="D6526" s="140"/>
      <c r="E6526" s="140"/>
    </row>
    <row r="6527" spans="1:5">
      <c r="A6527" s="140"/>
      <c r="B6527" s="192"/>
      <c r="C6527" s="140"/>
      <c r="D6527" s="140"/>
      <c r="E6527" s="140"/>
    </row>
    <row r="6528" spans="1:5">
      <c r="A6528" s="140"/>
      <c r="B6528" s="192"/>
      <c r="C6528" s="140"/>
      <c r="D6528" s="140"/>
      <c r="E6528" s="140"/>
    </row>
    <row r="6529" spans="1:5">
      <c r="A6529" s="140"/>
      <c r="B6529" s="192"/>
      <c r="C6529" s="140"/>
      <c r="D6529" s="140"/>
      <c r="E6529" s="140"/>
    </row>
    <row r="6530" spans="1:5">
      <c r="A6530" s="140"/>
      <c r="B6530" s="192"/>
      <c r="C6530" s="140"/>
      <c r="D6530" s="140"/>
      <c r="E6530" s="140"/>
    </row>
    <row r="6531" spans="1:5">
      <c r="A6531" s="140"/>
      <c r="B6531" s="192"/>
      <c r="C6531" s="140"/>
      <c r="D6531" s="140"/>
      <c r="E6531" s="140"/>
    </row>
    <row r="6532" spans="1:5">
      <c r="A6532" s="140"/>
      <c r="B6532" s="192"/>
      <c r="C6532" s="140"/>
      <c r="D6532" s="140"/>
      <c r="E6532" s="140"/>
    </row>
    <row r="6533" spans="1:5">
      <c r="A6533" s="140"/>
      <c r="B6533" s="192"/>
      <c r="C6533" s="140"/>
      <c r="D6533" s="140"/>
      <c r="E6533" s="140"/>
    </row>
    <row r="6534" spans="1:5">
      <c r="A6534" s="140"/>
      <c r="B6534" s="192"/>
      <c r="C6534" s="140"/>
      <c r="D6534" s="140"/>
      <c r="E6534" s="140"/>
    </row>
    <row r="6535" spans="1:5">
      <c r="A6535" s="140"/>
      <c r="B6535" s="192"/>
      <c r="C6535" s="140"/>
      <c r="D6535" s="140"/>
      <c r="E6535" s="140"/>
    </row>
    <row r="6536" spans="1:5">
      <c r="A6536" s="140"/>
      <c r="B6536" s="192"/>
      <c r="C6536" s="140"/>
      <c r="D6536" s="140"/>
      <c r="E6536" s="140"/>
    </row>
    <row r="6537" spans="1:5">
      <c r="A6537" s="140"/>
      <c r="B6537" s="192"/>
      <c r="C6537" s="140"/>
      <c r="D6537" s="140"/>
      <c r="E6537" s="140"/>
    </row>
    <row r="6538" spans="1:5">
      <c r="A6538" s="140"/>
      <c r="B6538" s="192"/>
      <c r="C6538" s="140"/>
      <c r="D6538" s="140"/>
      <c r="E6538" s="140"/>
    </row>
    <row r="6539" spans="1:5">
      <c r="A6539" s="140"/>
      <c r="B6539" s="192"/>
      <c r="C6539" s="140"/>
      <c r="D6539" s="140"/>
      <c r="E6539" s="140"/>
    </row>
    <row r="6540" spans="1:5">
      <c r="A6540" s="140"/>
      <c r="B6540" s="192"/>
      <c r="C6540" s="140"/>
      <c r="D6540" s="140"/>
      <c r="E6540" s="140"/>
    </row>
    <row r="6541" spans="1:5">
      <c r="A6541" s="140"/>
      <c r="B6541" s="192"/>
      <c r="C6541" s="140"/>
      <c r="D6541" s="140"/>
      <c r="E6541" s="140"/>
    </row>
    <row r="6542" spans="1:5">
      <c r="A6542" s="140"/>
      <c r="B6542" s="192"/>
      <c r="C6542" s="140"/>
      <c r="D6542" s="140"/>
      <c r="E6542" s="140"/>
    </row>
    <row r="6543" spans="1:5">
      <c r="A6543" s="140"/>
      <c r="B6543" s="192"/>
      <c r="C6543" s="140"/>
      <c r="D6543" s="140"/>
      <c r="E6543" s="140"/>
    </row>
    <row r="6544" spans="1:5">
      <c r="A6544" s="140"/>
      <c r="B6544" s="192"/>
      <c r="C6544" s="140"/>
      <c r="D6544" s="140"/>
      <c r="E6544" s="140"/>
    </row>
    <row r="6545" spans="1:5">
      <c r="A6545" s="140"/>
      <c r="B6545" s="192"/>
      <c r="C6545" s="140"/>
      <c r="D6545" s="140"/>
      <c r="E6545" s="140"/>
    </row>
    <row r="6546" spans="1:5">
      <c r="A6546" s="140"/>
      <c r="B6546" s="192"/>
      <c r="C6546" s="140"/>
      <c r="D6546" s="140"/>
      <c r="E6546" s="140"/>
    </row>
    <row r="6547" spans="1:5">
      <c r="A6547" s="140"/>
      <c r="B6547" s="192"/>
      <c r="C6547" s="140"/>
      <c r="D6547" s="140"/>
      <c r="E6547" s="140"/>
    </row>
    <row r="6548" spans="1:5">
      <c r="A6548" s="140"/>
      <c r="B6548" s="192"/>
      <c r="C6548" s="140"/>
      <c r="D6548" s="140"/>
      <c r="E6548" s="140"/>
    </row>
    <row r="6549" spans="1:5">
      <c r="A6549" s="140"/>
      <c r="B6549" s="192"/>
      <c r="C6549" s="140"/>
      <c r="D6549" s="140"/>
      <c r="E6549" s="140"/>
    </row>
    <row r="6550" spans="1:5">
      <c r="A6550" s="140"/>
      <c r="B6550" s="192"/>
      <c r="C6550" s="140"/>
      <c r="D6550" s="140"/>
      <c r="E6550" s="140"/>
    </row>
    <row r="6551" spans="1:5">
      <c r="A6551" s="140"/>
      <c r="B6551" s="192"/>
      <c r="C6551" s="140"/>
      <c r="D6551" s="140"/>
      <c r="E6551" s="140"/>
    </row>
    <row r="6552" spans="1:5">
      <c r="A6552" s="140"/>
      <c r="B6552" s="192"/>
      <c r="C6552" s="140"/>
      <c r="D6552" s="140"/>
      <c r="E6552" s="140"/>
    </row>
    <row r="6553" spans="1:5">
      <c r="A6553" s="140"/>
      <c r="B6553" s="192"/>
      <c r="C6553" s="140"/>
      <c r="D6553" s="140"/>
      <c r="E6553" s="140"/>
    </row>
    <row r="6554" spans="1:5">
      <c r="A6554" s="140"/>
      <c r="B6554" s="192"/>
      <c r="C6554" s="140"/>
      <c r="D6554" s="140"/>
      <c r="E6554" s="140"/>
    </row>
    <row r="6555" spans="1:5">
      <c r="A6555" s="140"/>
      <c r="B6555" s="192"/>
      <c r="C6555" s="140"/>
      <c r="D6555" s="140"/>
      <c r="E6555" s="140"/>
    </row>
    <row r="6556" spans="1:5">
      <c r="A6556" s="140"/>
      <c r="B6556" s="192"/>
      <c r="C6556" s="140"/>
      <c r="D6556" s="140"/>
      <c r="E6556" s="140"/>
    </row>
    <row r="6557" spans="1:5">
      <c r="A6557" s="140"/>
      <c r="B6557" s="192"/>
      <c r="C6557" s="140"/>
      <c r="D6557" s="140"/>
      <c r="E6557" s="140"/>
    </row>
    <row r="6558" spans="1:5">
      <c r="A6558" s="140"/>
      <c r="B6558" s="192"/>
      <c r="C6558" s="140"/>
      <c r="D6558" s="140"/>
      <c r="E6558" s="140"/>
    </row>
    <row r="6559" spans="1:5">
      <c r="A6559" s="140"/>
      <c r="B6559" s="192"/>
      <c r="C6559" s="140"/>
      <c r="D6559" s="140"/>
      <c r="E6559" s="140"/>
    </row>
    <row r="6560" spans="1:5">
      <c r="A6560" s="140"/>
      <c r="B6560" s="192"/>
      <c r="C6560" s="140"/>
      <c r="D6560" s="140"/>
      <c r="E6560" s="140"/>
    </row>
    <row r="6561" spans="1:5">
      <c r="A6561" s="140"/>
      <c r="B6561" s="192"/>
      <c r="C6561" s="140"/>
      <c r="D6561" s="140"/>
      <c r="E6561" s="140"/>
    </row>
    <row r="6562" spans="1:5">
      <c r="A6562" s="140"/>
      <c r="B6562" s="192"/>
      <c r="C6562" s="140"/>
      <c r="D6562" s="140"/>
      <c r="E6562" s="140"/>
    </row>
    <row r="6563" spans="1:5">
      <c r="A6563" s="140"/>
      <c r="B6563" s="192"/>
      <c r="C6563" s="140"/>
      <c r="D6563" s="140"/>
      <c r="E6563" s="140"/>
    </row>
    <row r="6564" spans="1:5">
      <c r="A6564" s="140"/>
      <c r="B6564" s="192"/>
      <c r="C6564" s="140"/>
      <c r="D6564" s="140"/>
      <c r="E6564" s="140"/>
    </row>
    <row r="6565" spans="1:5">
      <c r="A6565" s="140"/>
      <c r="B6565" s="192"/>
      <c r="C6565" s="140"/>
      <c r="D6565" s="140"/>
      <c r="E6565" s="140"/>
    </row>
    <row r="6566" spans="1:5">
      <c r="A6566" s="140"/>
      <c r="B6566" s="192"/>
      <c r="C6566" s="140"/>
      <c r="D6566" s="140"/>
      <c r="E6566" s="140"/>
    </row>
    <row r="6567" spans="1:5">
      <c r="A6567" s="140"/>
      <c r="B6567" s="192"/>
      <c r="C6567" s="140"/>
      <c r="D6567" s="140"/>
      <c r="E6567" s="140"/>
    </row>
    <row r="6568" spans="1:5">
      <c r="A6568" s="140"/>
      <c r="B6568" s="192"/>
      <c r="C6568" s="140"/>
      <c r="D6568" s="140"/>
      <c r="E6568" s="140"/>
    </row>
    <row r="6569" spans="1:5">
      <c r="A6569" s="140"/>
      <c r="B6569" s="192"/>
      <c r="C6569" s="140"/>
      <c r="D6569" s="140"/>
      <c r="E6569" s="140"/>
    </row>
    <row r="6570" spans="1:5">
      <c r="A6570" s="140"/>
      <c r="B6570" s="192"/>
      <c r="C6570" s="140"/>
      <c r="D6570" s="140"/>
      <c r="E6570" s="140"/>
    </row>
    <row r="6571" spans="1:5">
      <c r="A6571" s="140"/>
      <c r="B6571" s="192"/>
      <c r="C6571" s="140"/>
      <c r="D6571" s="140"/>
      <c r="E6571" s="140"/>
    </row>
    <row r="6572" spans="1:5">
      <c r="A6572" s="140"/>
      <c r="B6572" s="192"/>
      <c r="C6572" s="140"/>
      <c r="D6572" s="140"/>
      <c r="E6572" s="140"/>
    </row>
    <row r="6573" spans="1:5">
      <c r="A6573" s="140"/>
      <c r="B6573" s="192"/>
      <c r="C6573" s="140"/>
      <c r="D6573" s="140"/>
      <c r="E6573" s="140"/>
    </row>
    <row r="6574" spans="1:5">
      <c r="A6574" s="140"/>
      <c r="B6574" s="192"/>
      <c r="C6574" s="140"/>
      <c r="D6574" s="140"/>
      <c r="E6574" s="140"/>
    </row>
    <row r="6575" spans="1:5">
      <c r="A6575" s="140"/>
      <c r="B6575" s="192"/>
      <c r="C6575" s="140"/>
      <c r="D6575" s="140"/>
      <c r="E6575" s="140"/>
    </row>
    <row r="6576" spans="1:5">
      <c r="A6576" s="140"/>
      <c r="B6576" s="192"/>
      <c r="C6576" s="140"/>
      <c r="D6576" s="140"/>
      <c r="E6576" s="140"/>
    </row>
    <row r="6577" spans="1:5">
      <c r="A6577" s="140"/>
      <c r="B6577" s="192"/>
      <c r="C6577" s="140"/>
      <c r="D6577" s="140"/>
      <c r="E6577" s="140"/>
    </row>
    <row r="6578" spans="1:5">
      <c r="A6578" s="140"/>
      <c r="B6578" s="192"/>
      <c r="C6578" s="140"/>
      <c r="D6578" s="140"/>
      <c r="E6578" s="140"/>
    </row>
    <row r="6579" spans="1:5">
      <c r="A6579" s="140"/>
      <c r="B6579" s="192"/>
      <c r="C6579" s="140"/>
      <c r="D6579" s="140"/>
      <c r="E6579" s="140"/>
    </row>
    <row r="6580" spans="1:5">
      <c r="A6580" s="140"/>
      <c r="B6580" s="192"/>
      <c r="C6580" s="140"/>
      <c r="D6580" s="140"/>
      <c r="E6580" s="140"/>
    </row>
    <row r="6581" spans="1:5">
      <c r="A6581" s="140"/>
      <c r="B6581" s="192"/>
      <c r="C6581" s="140"/>
      <c r="D6581" s="140"/>
      <c r="E6581" s="140"/>
    </row>
    <row r="6582" spans="1:5">
      <c r="A6582" s="140"/>
      <c r="B6582" s="192"/>
      <c r="C6582" s="140"/>
      <c r="D6582" s="140"/>
      <c r="E6582" s="140"/>
    </row>
    <row r="6583" spans="1:5">
      <c r="A6583" s="140"/>
      <c r="B6583" s="192"/>
      <c r="C6583" s="140"/>
      <c r="D6583" s="140"/>
      <c r="E6583" s="140"/>
    </row>
    <row r="6584" spans="1:5">
      <c r="A6584" s="140"/>
      <c r="B6584" s="192"/>
      <c r="C6584" s="140"/>
      <c r="D6584" s="140"/>
      <c r="E6584" s="140"/>
    </row>
    <row r="6585" spans="1:5">
      <c r="A6585" s="140"/>
      <c r="B6585" s="192"/>
      <c r="C6585" s="140"/>
      <c r="D6585" s="140"/>
      <c r="E6585" s="140"/>
    </row>
    <row r="6586" spans="1:5">
      <c r="A6586" s="140"/>
      <c r="B6586" s="192"/>
      <c r="C6586" s="140"/>
      <c r="D6586" s="140"/>
      <c r="E6586" s="140"/>
    </row>
    <row r="6587" spans="1:5">
      <c r="A6587" s="140"/>
      <c r="B6587" s="192"/>
      <c r="C6587" s="140"/>
      <c r="D6587" s="140"/>
      <c r="E6587" s="140"/>
    </row>
    <row r="6588" spans="1:5">
      <c r="A6588" s="140"/>
      <c r="B6588" s="192"/>
      <c r="C6588" s="140"/>
      <c r="D6588" s="140"/>
      <c r="E6588" s="140"/>
    </row>
    <row r="6589" spans="1:5">
      <c r="A6589" s="140"/>
      <c r="B6589" s="192"/>
      <c r="C6589" s="140"/>
      <c r="D6589" s="140"/>
      <c r="E6589" s="140"/>
    </row>
    <row r="6590" spans="1:5">
      <c r="A6590" s="140"/>
      <c r="B6590" s="192"/>
      <c r="C6590" s="140"/>
      <c r="D6590" s="140"/>
      <c r="E6590" s="140"/>
    </row>
    <row r="6591" spans="1:5">
      <c r="A6591" s="140"/>
      <c r="B6591" s="192"/>
      <c r="C6591" s="140"/>
      <c r="D6591" s="140"/>
      <c r="E6591" s="140"/>
    </row>
    <row r="6592" spans="1:5">
      <c r="A6592" s="140"/>
      <c r="B6592" s="192"/>
      <c r="C6592" s="140"/>
      <c r="D6592" s="140"/>
      <c r="E6592" s="140"/>
    </row>
    <row r="6593" spans="1:5">
      <c r="A6593" s="140"/>
      <c r="B6593" s="192"/>
      <c r="C6593" s="140"/>
      <c r="D6593" s="140"/>
      <c r="E6593" s="140"/>
    </row>
    <row r="6594" spans="1:5">
      <c r="A6594" s="140"/>
      <c r="B6594" s="192"/>
      <c r="C6594" s="140"/>
      <c r="D6594" s="140"/>
      <c r="E6594" s="140"/>
    </row>
    <row r="6595" spans="1:5">
      <c r="A6595" s="140"/>
      <c r="B6595" s="192"/>
      <c r="C6595" s="140"/>
      <c r="D6595" s="140"/>
      <c r="E6595" s="140"/>
    </row>
    <row r="6596" spans="1:5">
      <c r="A6596" s="140"/>
      <c r="B6596" s="192"/>
      <c r="C6596" s="140"/>
      <c r="D6596" s="140"/>
      <c r="E6596" s="140"/>
    </row>
    <row r="6597" spans="1:5">
      <c r="A6597" s="140"/>
      <c r="B6597" s="192"/>
      <c r="C6597" s="140"/>
      <c r="D6597" s="140"/>
      <c r="E6597" s="140"/>
    </row>
    <row r="6598" spans="1:5">
      <c r="A6598" s="140"/>
      <c r="B6598" s="192"/>
      <c r="C6598" s="140"/>
      <c r="D6598" s="140"/>
      <c r="E6598" s="140"/>
    </row>
    <row r="6599" spans="1:5">
      <c r="A6599" s="140"/>
      <c r="B6599" s="192"/>
      <c r="C6599" s="140"/>
      <c r="D6599" s="140"/>
      <c r="E6599" s="140"/>
    </row>
    <row r="6600" spans="1:5">
      <c r="A6600" s="140"/>
      <c r="B6600" s="192"/>
      <c r="C6600" s="140"/>
      <c r="D6600" s="140"/>
      <c r="E6600" s="140"/>
    </row>
    <row r="6601" spans="1:5">
      <c r="A6601" s="140"/>
      <c r="B6601" s="192"/>
      <c r="C6601" s="140"/>
      <c r="D6601" s="140"/>
      <c r="E6601" s="140"/>
    </row>
    <row r="6602" spans="1:5">
      <c r="A6602" s="140"/>
      <c r="B6602" s="192"/>
      <c r="C6602" s="140"/>
      <c r="D6602" s="140"/>
      <c r="E6602" s="140"/>
    </row>
    <row r="6603" spans="1:5">
      <c r="A6603" s="140"/>
      <c r="B6603" s="192"/>
      <c r="C6603" s="140"/>
      <c r="D6603" s="140"/>
      <c r="E6603" s="140"/>
    </row>
    <row r="6604" spans="1:5">
      <c r="A6604" s="140"/>
      <c r="B6604" s="192"/>
      <c r="C6604" s="140"/>
      <c r="D6604" s="140"/>
      <c r="E6604" s="140"/>
    </row>
    <row r="6605" spans="1:5">
      <c r="A6605" s="140"/>
      <c r="B6605" s="192"/>
      <c r="C6605" s="140"/>
      <c r="D6605" s="140"/>
      <c r="E6605" s="140"/>
    </row>
    <row r="6606" spans="1:5">
      <c r="A6606" s="140"/>
      <c r="B6606" s="192"/>
      <c r="C6606" s="140"/>
      <c r="D6606" s="140"/>
      <c r="E6606" s="140"/>
    </row>
    <row r="6607" spans="1:5">
      <c r="A6607" s="140"/>
      <c r="B6607" s="192"/>
      <c r="C6607" s="140"/>
      <c r="D6607" s="140"/>
      <c r="E6607" s="140"/>
    </row>
    <row r="6608" spans="1:5">
      <c r="A6608" s="140"/>
      <c r="B6608" s="192"/>
      <c r="C6608" s="140"/>
      <c r="D6608" s="140"/>
      <c r="E6608" s="140"/>
    </row>
    <row r="6609" spans="1:5">
      <c r="A6609" s="140"/>
      <c r="B6609" s="192"/>
      <c r="C6609" s="140"/>
      <c r="D6609" s="140"/>
      <c r="E6609" s="140"/>
    </row>
    <row r="6610" spans="1:5">
      <c r="A6610" s="140"/>
      <c r="B6610" s="192"/>
      <c r="C6610" s="140"/>
      <c r="D6610" s="140"/>
      <c r="E6610" s="140"/>
    </row>
    <row r="6611" spans="1:5">
      <c r="A6611" s="140"/>
      <c r="B6611" s="192"/>
      <c r="C6611" s="140"/>
      <c r="D6611" s="140"/>
      <c r="E6611" s="140"/>
    </row>
    <row r="6612" spans="1:5">
      <c r="A6612" s="140"/>
      <c r="B6612" s="192"/>
      <c r="C6612" s="140"/>
      <c r="D6612" s="140"/>
      <c r="E6612" s="140"/>
    </row>
    <row r="6613" spans="1:5">
      <c r="A6613" s="140"/>
      <c r="B6613" s="192"/>
      <c r="C6613" s="140"/>
      <c r="D6613" s="140"/>
      <c r="E6613" s="140"/>
    </row>
    <row r="6614" spans="1:5">
      <c r="A6614" s="140"/>
      <c r="B6614" s="192"/>
      <c r="C6614" s="140"/>
      <c r="D6614" s="140"/>
      <c r="E6614" s="140"/>
    </row>
    <row r="6615" spans="1:5">
      <c r="A6615" s="140"/>
      <c r="B6615" s="192"/>
      <c r="C6615" s="140"/>
      <c r="D6615" s="140"/>
      <c r="E6615" s="140"/>
    </row>
    <row r="6616" spans="1:5">
      <c r="A6616" s="140"/>
      <c r="B6616" s="192"/>
      <c r="C6616" s="140"/>
      <c r="D6616" s="140"/>
      <c r="E6616" s="140"/>
    </row>
    <row r="6617" spans="1:5">
      <c r="A6617" s="140"/>
      <c r="B6617" s="192"/>
      <c r="C6617" s="140"/>
      <c r="D6617" s="140"/>
      <c r="E6617" s="140"/>
    </row>
    <row r="6618" spans="1:5">
      <c r="A6618" s="140"/>
      <c r="B6618" s="192"/>
      <c r="C6618" s="140"/>
      <c r="D6618" s="140"/>
      <c r="E6618" s="140"/>
    </row>
    <row r="6619" spans="1:5">
      <c r="A6619" s="140"/>
      <c r="B6619" s="192"/>
      <c r="C6619" s="140"/>
      <c r="D6619" s="140"/>
      <c r="E6619" s="140"/>
    </row>
    <row r="6620" spans="1:5">
      <c r="A6620" s="140"/>
      <c r="B6620" s="192"/>
      <c r="C6620" s="140"/>
      <c r="D6620" s="140"/>
      <c r="E6620" s="140"/>
    </row>
    <row r="6621" spans="1:5">
      <c r="A6621" s="140"/>
      <c r="B6621" s="192"/>
      <c r="C6621" s="140"/>
      <c r="D6621" s="140"/>
      <c r="E6621" s="140"/>
    </row>
    <row r="6622" spans="1:5">
      <c r="A6622" s="140"/>
      <c r="B6622" s="192"/>
      <c r="C6622" s="140"/>
      <c r="D6622" s="140"/>
      <c r="E6622" s="140"/>
    </row>
    <row r="6623" spans="1:5">
      <c r="A6623" s="140"/>
      <c r="B6623" s="192"/>
      <c r="C6623" s="140"/>
      <c r="D6623" s="140"/>
      <c r="E6623" s="140"/>
    </row>
    <row r="6624" spans="1:5">
      <c r="A6624" s="140"/>
      <c r="B6624" s="192"/>
      <c r="C6624" s="140"/>
      <c r="D6624" s="140"/>
      <c r="E6624" s="140"/>
    </row>
    <row r="6625" spans="1:5">
      <c r="A6625" s="140"/>
      <c r="B6625" s="192"/>
      <c r="C6625" s="140"/>
      <c r="D6625" s="140"/>
      <c r="E6625" s="140"/>
    </row>
    <row r="6626" spans="1:5">
      <c r="A6626" s="140"/>
      <c r="B6626" s="192"/>
      <c r="C6626" s="140"/>
      <c r="D6626" s="140"/>
      <c r="E6626" s="140"/>
    </row>
    <row r="6627" spans="1:5">
      <c r="A6627" s="140"/>
      <c r="B6627" s="192"/>
      <c r="C6627" s="140"/>
      <c r="D6627" s="140"/>
      <c r="E6627" s="140"/>
    </row>
    <row r="6628" spans="1:5">
      <c r="A6628" s="140"/>
      <c r="B6628" s="192"/>
      <c r="C6628" s="140"/>
      <c r="D6628" s="140"/>
      <c r="E6628" s="140"/>
    </row>
    <row r="6629" spans="1:5">
      <c r="A6629" s="140"/>
      <c r="B6629" s="192"/>
      <c r="C6629" s="140"/>
      <c r="D6629" s="140"/>
      <c r="E6629" s="140"/>
    </row>
    <row r="6630" spans="1:5">
      <c r="A6630" s="140"/>
      <c r="B6630" s="192"/>
      <c r="C6630" s="140"/>
      <c r="D6630" s="140"/>
      <c r="E6630" s="140"/>
    </row>
    <row r="6631" spans="1:5">
      <c r="A6631" s="140"/>
      <c r="B6631" s="192"/>
      <c r="C6631" s="140"/>
      <c r="D6631" s="140"/>
      <c r="E6631" s="140"/>
    </row>
    <row r="6632" spans="1:5">
      <c r="A6632" s="140"/>
      <c r="B6632" s="192"/>
      <c r="C6632" s="140"/>
      <c r="D6632" s="140"/>
      <c r="E6632" s="140"/>
    </row>
    <row r="6633" spans="1:5">
      <c r="A6633" s="140"/>
      <c r="B6633" s="192"/>
      <c r="C6633" s="140"/>
      <c r="D6633" s="140"/>
      <c r="E6633" s="140"/>
    </row>
    <row r="6634" spans="1:5">
      <c r="A6634" s="140"/>
      <c r="B6634" s="192"/>
      <c r="C6634" s="140"/>
      <c r="D6634" s="140"/>
      <c r="E6634" s="140"/>
    </row>
    <row r="6635" spans="1:5">
      <c r="A6635" s="140"/>
      <c r="B6635" s="192"/>
      <c r="C6635" s="140"/>
      <c r="D6635" s="140"/>
      <c r="E6635" s="140"/>
    </row>
    <row r="6636" spans="1:5">
      <c r="A6636" s="140"/>
      <c r="B6636" s="192"/>
      <c r="C6636" s="140"/>
      <c r="D6636" s="140"/>
      <c r="E6636" s="140"/>
    </row>
    <row r="6637" spans="1:5">
      <c r="A6637" s="140"/>
      <c r="B6637" s="192"/>
      <c r="C6637" s="140"/>
      <c r="D6637" s="140"/>
      <c r="E6637" s="140"/>
    </row>
    <row r="6638" spans="1:5">
      <c r="A6638" s="140"/>
      <c r="B6638" s="192"/>
      <c r="C6638" s="140"/>
      <c r="D6638" s="140"/>
      <c r="E6638" s="140"/>
    </row>
    <row r="6639" spans="1:5">
      <c r="A6639" s="140"/>
      <c r="B6639" s="192"/>
      <c r="C6639" s="140"/>
      <c r="D6639" s="140"/>
      <c r="E6639" s="140"/>
    </row>
    <row r="6640" spans="1:5">
      <c r="A6640" s="140"/>
      <c r="B6640" s="192"/>
      <c r="C6640" s="140"/>
      <c r="D6640" s="140"/>
      <c r="E6640" s="140"/>
    </row>
    <row r="6641" spans="1:5">
      <c r="A6641" s="140"/>
      <c r="B6641" s="192"/>
      <c r="C6641" s="140"/>
      <c r="D6641" s="140"/>
      <c r="E6641" s="140"/>
    </row>
    <row r="6642" spans="1:5">
      <c r="A6642" s="140"/>
      <c r="B6642" s="192"/>
      <c r="C6642" s="140"/>
      <c r="D6642" s="140"/>
      <c r="E6642" s="140"/>
    </row>
    <row r="6643" spans="1:5">
      <c r="A6643" s="140"/>
      <c r="B6643" s="192"/>
      <c r="C6643" s="140"/>
      <c r="D6643" s="140"/>
      <c r="E6643" s="140"/>
    </row>
    <row r="6644" spans="1:5">
      <c r="A6644" s="140"/>
      <c r="B6644" s="192"/>
      <c r="C6644" s="140"/>
      <c r="D6644" s="140"/>
      <c r="E6644" s="140"/>
    </row>
    <row r="6645" spans="1:5">
      <c r="A6645" s="140"/>
      <c r="B6645" s="192"/>
      <c r="C6645" s="140"/>
      <c r="D6645" s="140"/>
      <c r="E6645" s="140"/>
    </row>
    <row r="6646" spans="1:5">
      <c r="A6646" s="140"/>
      <c r="B6646" s="192"/>
      <c r="C6646" s="140"/>
      <c r="D6646" s="140"/>
      <c r="E6646" s="140"/>
    </row>
    <row r="6647" spans="1:5">
      <c r="A6647" s="140"/>
      <c r="B6647" s="192"/>
      <c r="C6647" s="140"/>
      <c r="D6647" s="140"/>
      <c r="E6647" s="140"/>
    </row>
    <row r="6648" spans="1:5">
      <c r="A6648" s="140"/>
      <c r="B6648" s="192"/>
      <c r="C6648" s="140"/>
      <c r="D6648" s="140"/>
      <c r="E6648" s="140"/>
    </row>
    <row r="6649" spans="1:5">
      <c r="A6649" s="140"/>
      <c r="B6649" s="192"/>
      <c r="C6649" s="140"/>
      <c r="D6649" s="140"/>
      <c r="E6649" s="140"/>
    </row>
    <row r="6650" spans="1:5">
      <c r="A6650" s="140"/>
      <c r="B6650" s="192"/>
      <c r="C6650" s="140"/>
      <c r="D6650" s="140"/>
      <c r="E6650" s="140"/>
    </row>
    <row r="6651" spans="1:5">
      <c r="A6651" s="140"/>
      <c r="B6651" s="192"/>
      <c r="C6651" s="140"/>
      <c r="D6651" s="140"/>
      <c r="E6651" s="140"/>
    </row>
    <row r="6652" spans="1:5">
      <c r="A6652" s="140"/>
      <c r="B6652" s="192"/>
      <c r="C6652" s="140"/>
      <c r="D6652" s="140"/>
      <c r="E6652" s="140"/>
    </row>
    <row r="6653" spans="1:5">
      <c r="A6653" s="140"/>
      <c r="B6653" s="192"/>
      <c r="C6653" s="140"/>
      <c r="D6653" s="140"/>
      <c r="E6653" s="140"/>
    </row>
    <row r="6654" spans="1:5">
      <c r="A6654" s="140"/>
      <c r="B6654" s="192"/>
      <c r="C6654" s="140"/>
      <c r="D6654" s="140"/>
      <c r="E6654" s="140"/>
    </row>
    <row r="6655" spans="1:5">
      <c r="A6655" s="140"/>
      <c r="B6655" s="192"/>
      <c r="C6655" s="140"/>
      <c r="D6655" s="140"/>
      <c r="E6655" s="140"/>
    </row>
    <row r="6656" spans="1:5">
      <c r="A6656" s="140"/>
      <c r="B6656" s="192"/>
      <c r="C6656" s="140"/>
      <c r="D6656" s="140"/>
      <c r="E6656" s="140"/>
    </row>
    <row r="6657" spans="1:5">
      <c r="A6657" s="140"/>
      <c r="B6657" s="192"/>
      <c r="C6657" s="140"/>
      <c r="D6657" s="140"/>
      <c r="E6657" s="140"/>
    </row>
    <row r="6658" spans="1:5">
      <c r="A6658" s="140"/>
      <c r="B6658" s="192"/>
      <c r="C6658" s="140"/>
      <c r="D6658" s="140"/>
      <c r="E6658" s="140"/>
    </row>
    <row r="6659" spans="1:5">
      <c r="A6659" s="140"/>
      <c r="B6659" s="192"/>
      <c r="C6659" s="140"/>
      <c r="D6659" s="140"/>
      <c r="E6659" s="140"/>
    </row>
    <row r="6660" spans="1:5">
      <c r="A6660" s="140"/>
      <c r="B6660" s="192"/>
      <c r="C6660" s="140"/>
      <c r="D6660" s="140"/>
      <c r="E6660" s="140"/>
    </row>
    <row r="6661" spans="1:5">
      <c r="A6661" s="140"/>
      <c r="B6661" s="192"/>
      <c r="C6661" s="140"/>
      <c r="D6661" s="140"/>
      <c r="E6661" s="140"/>
    </row>
    <row r="6662" spans="1:5">
      <c r="A6662" s="140"/>
      <c r="B6662" s="192"/>
      <c r="C6662" s="140"/>
      <c r="D6662" s="140"/>
      <c r="E6662" s="140"/>
    </row>
    <row r="6663" spans="1:5">
      <c r="A6663" s="140"/>
      <c r="B6663" s="192"/>
      <c r="C6663" s="140"/>
      <c r="D6663" s="140"/>
      <c r="E6663" s="140"/>
    </row>
    <row r="6664" spans="1:5">
      <c r="A6664" s="140"/>
      <c r="B6664" s="192"/>
      <c r="C6664" s="140"/>
      <c r="D6664" s="140"/>
      <c r="E6664" s="140"/>
    </row>
    <row r="6665" spans="1:5">
      <c r="A6665" s="140"/>
      <c r="B6665" s="192"/>
      <c r="C6665" s="140"/>
      <c r="D6665" s="140"/>
      <c r="E6665" s="140"/>
    </row>
    <row r="6666" spans="1:5">
      <c r="A6666" s="140"/>
      <c r="B6666" s="192"/>
      <c r="C6666" s="140"/>
      <c r="D6666" s="140"/>
      <c r="E6666" s="140"/>
    </row>
    <row r="6667" spans="1:5">
      <c r="A6667" s="140"/>
      <c r="B6667" s="192"/>
      <c r="C6667" s="140"/>
      <c r="D6667" s="140"/>
      <c r="E6667" s="140"/>
    </row>
    <row r="6668" spans="1:5">
      <c r="A6668" s="140"/>
      <c r="B6668" s="192"/>
      <c r="C6668" s="140"/>
      <c r="D6668" s="140"/>
      <c r="E6668" s="140"/>
    </row>
    <row r="6669" spans="1:5">
      <c r="A6669" s="140"/>
      <c r="B6669" s="192"/>
      <c r="C6669" s="140"/>
      <c r="D6669" s="140"/>
      <c r="E6669" s="140"/>
    </row>
    <row r="6670" spans="1:5">
      <c r="A6670" s="140"/>
      <c r="B6670" s="192"/>
      <c r="C6670" s="140"/>
      <c r="D6670" s="140"/>
      <c r="E6670" s="140"/>
    </row>
    <row r="6671" spans="1:5">
      <c r="A6671" s="140"/>
      <c r="B6671" s="192"/>
      <c r="C6671" s="140"/>
      <c r="D6671" s="140"/>
      <c r="E6671" s="140"/>
    </row>
    <row r="6672" spans="1:5">
      <c r="A6672" s="140"/>
      <c r="B6672" s="192"/>
      <c r="C6672" s="140"/>
      <c r="D6672" s="140"/>
      <c r="E6672" s="140"/>
    </row>
    <row r="6673" spans="1:5">
      <c r="A6673" s="140"/>
      <c r="B6673" s="192"/>
      <c r="C6673" s="140"/>
      <c r="D6673" s="140"/>
      <c r="E6673" s="140"/>
    </row>
    <row r="6674" spans="1:5">
      <c r="A6674" s="140"/>
      <c r="B6674" s="192"/>
      <c r="C6674" s="140"/>
      <c r="D6674" s="140"/>
      <c r="E6674" s="140"/>
    </row>
    <row r="6675" spans="1:5">
      <c r="A6675" s="140"/>
      <c r="B6675" s="192"/>
      <c r="C6675" s="140"/>
      <c r="D6675" s="140"/>
      <c r="E6675" s="140"/>
    </row>
    <row r="6676" spans="1:5">
      <c r="A6676" s="140"/>
      <c r="B6676" s="192"/>
      <c r="C6676" s="140"/>
      <c r="D6676" s="140"/>
      <c r="E6676" s="140"/>
    </row>
    <row r="6677" spans="1:5">
      <c r="A6677" s="140"/>
      <c r="B6677" s="192"/>
      <c r="C6677" s="140"/>
      <c r="D6677" s="140"/>
      <c r="E6677" s="140"/>
    </row>
    <row r="6678" spans="1:5">
      <c r="A6678" s="140"/>
      <c r="B6678" s="192"/>
      <c r="C6678" s="140"/>
      <c r="D6678" s="140"/>
      <c r="E6678" s="140"/>
    </row>
    <row r="6679" spans="1:5">
      <c r="A6679" s="140"/>
      <c r="B6679" s="192"/>
      <c r="C6679" s="140"/>
      <c r="D6679" s="140"/>
      <c r="E6679" s="140"/>
    </row>
    <row r="6680" spans="1:5">
      <c r="A6680" s="140"/>
      <c r="B6680" s="192"/>
      <c r="C6680" s="140"/>
      <c r="D6680" s="140"/>
      <c r="E6680" s="140"/>
    </row>
    <row r="6681" spans="1:5">
      <c r="A6681" s="140"/>
      <c r="B6681" s="192"/>
      <c r="C6681" s="140"/>
      <c r="D6681" s="140"/>
      <c r="E6681" s="140"/>
    </row>
    <row r="6682" spans="1:5">
      <c r="A6682" s="140"/>
      <c r="B6682" s="192"/>
      <c r="C6682" s="140"/>
      <c r="D6682" s="140"/>
      <c r="E6682" s="140"/>
    </row>
    <row r="6683" spans="1:5">
      <c r="A6683" s="140"/>
      <c r="B6683" s="192"/>
      <c r="C6683" s="140"/>
      <c r="D6683" s="140"/>
      <c r="E6683" s="140"/>
    </row>
    <row r="6684" spans="1:5">
      <c r="A6684" s="140"/>
      <c r="B6684" s="192"/>
      <c r="C6684" s="140"/>
      <c r="D6684" s="140"/>
      <c r="E6684" s="140"/>
    </row>
    <row r="6685" spans="1:5">
      <c r="A6685" s="140"/>
      <c r="B6685" s="192"/>
      <c r="C6685" s="140"/>
      <c r="D6685" s="140"/>
      <c r="E6685" s="140"/>
    </row>
    <row r="6686" spans="1:5">
      <c r="A6686" s="140"/>
      <c r="B6686" s="192"/>
      <c r="C6686" s="140"/>
      <c r="D6686" s="140"/>
      <c r="E6686" s="140"/>
    </row>
    <row r="6687" spans="1:5">
      <c r="A6687" s="140"/>
      <c r="B6687" s="192"/>
      <c r="C6687" s="140"/>
      <c r="D6687" s="140"/>
      <c r="E6687" s="140"/>
    </row>
    <row r="6688" spans="1:5">
      <c r="A6688" s="140"/>
      <c r="B6688" s="192"/>
      <c r="C6688" s="140"/>
      <c r="D6688" s="140"/>
      <c r="E6688" s="140"/>
    </row>
    <row r="6689" spans="1:5">
      <c r="A6689" s="140"/>
      <c r="B6689" s="192"/>
      <c r="C6689" s="140"/>
      <c r="D6689" s="140"/>
      <c r="E6689" s="140"/>
    </row>
    <row r="6690" spans="1:5">
      <c r="A6690" s="140"/>
      <c r="B6690" s="192"/>
      <c r="C6690" s="140"/>
      <c r="D6690" s="140"/>
      <c r="E6690" s="140"/>
    </row>
    <row r="6691" spans="1:5">
      <c r="A6691" s="140"/>
      <c r="B6691" s="192"/>
      <c r="C6691" s="140"/>
      <c r="D6691" s="140"/>
      <c r="E6691" s="140"/>
    </row>
    <row r="6692" spans="1:5">
      <c r="A6692" s="140"/>
      <c r="B6692" s="192"/>
      <c r="C6692" s="140"/>
      <c r="D6692" s="140"/>
      <c r="E6692" s="140"/>
    </row>
    <row r="6693" spans="1:5">
      <c r="A6693" s="140"/>
      <c r="B6693" s="192"/>
      <c r="C6693" s="140"/>
      <c r="D6693" s="140"/>
      <c r="E6693" s="140"/>
    </row>
    <row r="6694" spans="1:5">
      <c r="A6694" s="140"/>
      <c r="B6694" s="192"/>
      <c r="C6694" s="140"/>
      <c r="D6694" s="140"/>
      <c r="E6694" s="140"/>
    </row>
    <row r="6695" spans="1:5">
      <c r="A6695" s="140"/>
      <c r="B6695" s="192"/>
      <c r="C6695" s="140"/>
      <c r="D6695" s="140"/>
      <c r="E6695" s="140"/>
    </row>
    <row r="6696" spans="1:5">
      <c r="A6696" s="140"/>
      <c r="B6696" s="192"/>
      <c r="C6696" s="140"/>
      <c r="D6696" s="140"/>
      <c r="E6696" s="140"/>
    </row>
    <row r="6697" spans="1:5">
      <c r="A6697" s="140"/>
      <c r="B6697" s="192"/>
      <c r="C6697" s="140"/>
      <c r="D6697" s="140"/>
      <c r="E6697" s="140"/>
    </row>
    <row r="6698" spans="1:5">
      <c r="A6698" s="140"/>
      <c r="B6698" s="192"/>
      <c r="C6698" s="140"/>
      <c r="D6698" s="140"/>
      <c r="E6698" s="140"/>
    </row>
    <row r="6699" spans="1:5">
      <c r="A6699" s="140"/>
      <c r="B6699" s="192"/>
      <c r="C6699" s="140"/>
      <c r="D6699" s="140"/>
      <c r="E6699" s="140"/>
    </row>
    <row r="6700" spans="1:5">
      <c r="A6700" s="140"/>
      <c r="B6700" s="192"/>
      <c r="C6700" s="140"/>
      <c r="D6700" s="140"/>
      <c r="E6700" s="140"/>
    </row>
    <row r="6701" spans="1:5">
      <c r="A6701" s="140"/>
      <c r="B6701" s="192"/>
      <c r="C6701" s="140"/>
      <c r="D6701" s="140"/>
      <c r="E6701" s="140"/>
    </row>
    <row r="6702" spans="1:5">
      <c r="A6702" s="140"/>
      <c r="B6702" s="192"/>
      <c r="C6702" s="140"/>
      <c r="D6702" s="140"/>
      <c r="E6702" s="140"/>
    </row>
    <row r="6703" spans="1:5">
      <c r="A6703" s="140"/>
      <c r="B6703" s="192"/>
      <c r="C6703" s="140"/>
      <c r="D6703" s="140"/>
      <c r="E6703" s="140"/>
    </row>
    <row r="6704" spans="1:5">
      <c r="A6704" s="140"/>
      <c r="B6704" s="192"/>
      <c r="C6704" s="140"/>
      <c r="D6704" s="140"/>
      <c r="E6704" s="140"/>
    </row>
    <row r="6705" spans="1:5">
      <c r="A6705" s="140"/>
      <c r="B6705" s="192"/>
      <c r="C6705" s="140"/>
      <c r="D6705" s="140"/>
      <c r="E6705" s="140"/>
    </row>
    <row r="6706" spans="1:5">
      <c r="A6706" s="140"/>
      <c r="B6706" s="192"/>
      <c r="C6706" s="140"/>
      <c r="D6706" s="140"/>
      <c r="E6706" s="140"/>
    </row>
    <row r="6707" spans="1:5">
      <c r="A6707" s="140"/>
      <c r="B6707" s="192"/>
      <c r="C6707" s="140"/>
      <c r="D6707" s="140"/>
      <c r="E6707" s="140"/>
    </row>
    <row r="6708" spans="1:5">
      <c r="A6708" s="140"/>
      <c r="B6708" s="192"/>
      <c r="C6708" s="140"/>
      <c r="D6708" s="140"/>
      <c r="E6708" s="140"/>
    </row>
    <row r="6709" spans="1:5">
      <c r="A6709" s="140"/>
      <c r="B6709" s="192"/>
      <c r="C6709" s="140"/>
      <c r="D6709" s="140"/>
      <c r="E6709" s="140"/>
    </row>
    <row r="6710" spans="1:5">
      <c r="A6710" s="140"/>
      <c r="B6710" s="192"/>
      <c r="C6710" s="140"/>
      <c r="D6710" s="140"/>
      <c r="E6710" s="140"/>
    </row>
    <row r="6711" spans="1:5">
      <c r="A6711" s="140"/>
      <c r="B6711" s="192"/>
      <c r="C6711" s="140"/>
      <c r="D6711" s="140"/>
      <c r="E6711" s="140"/>
    </row>
    <row r="6712" spans="1:5">
      <c r="A6712" s="140"/>
      <c r="B6712" s="192"/>
      <c r="C6712" s="140"/>
      <c r="D6712" s="140"/>
      <c r="E6712" s="140"/>
    </row>
    <row r="6713" spans="1:5">
      <c r="A6713" s="140"/>
      <c r="B6713" s="192"/>
      <c r="C6713" s="140"/>
      <c r="D6713" s="140"/>
      <c r="E6713" s="140"/>
    </row>
    <row r="6714" spans="1:5">
      <c r="A6714" s="140"/>
      <c r="B6714" s="192"/>
      <c r="C6714" s="140"/>
      <c r="D6714" s="140"/>
      <c r="E6714" s="140"/>
    </row>
    <row r="6715" spans="1:5">
      <c r="A6715" s="140"/>
      <c r="B6715" s="192"/>
      <c r="C6715" s="140"/>
      <c r="D6715" s="140"/>
      <c r="E6715" s="140"/>
    </row>
    <row r="6716" spans="1:5">
      <c r="A6716" s="140"/>
      <c r="B6716" s="192"/>
      <c r="C6716" s="140"/>
      <c r="D6716" s="140"/>
      <c r="E6716" s="140"/>
    </row>
    <row r="6717" spans="1:5">
      <c r="A6717" s="140"/>
      <c r="B6717" s="192"/>
      <c r="C6717" s="140"/>
      <c r="D6717" s="140"/>
      <c r="E6717" s="140"/>
    </row>
    <row r="6718" spans="1:5">
      <c r="A6718" s="140"/>
      <c r="B6718" s="192"/>
      <c r="C6718" s="140"/>
      <c r="D6718" s="140"/>
      <c r="E6718" s="140"/>
    </row>
    <row r="6719" spans="1:5">
      <c r="A6719" s="140"/>
      <c r="B6719" s="192"/>
      <c r="C6719" s="140"/>
      <c r="D6719" s="140"/>
      <c r="E6719" s="140"/>
    </row>
    <row r="6720" spans="1:5">
      <c r="A6720" s="140"/>
      <c r="B6720" s="192"/>
      <c r="C6720" s="140"/>
      <c r="D6720" s="140"/>
      <c r="E6720" s="140"/>
    </row>
    <row r="6721" spans="1:5">
      <c r="A6721" s="140"/>
      <c r="B6721" s="192"/>
      <c r="C6721" s="140"/>
      <c r="D6721" s="140"/>
      <c r="E6721" s="140"/>
    </row>
    <row r="6722" spans="1:5">
      <c r="A6722" s="140"/>
      <c r="B6722" s="192"/>
      <c r="C6722" s="140"/>
      <c r="D6722" s="140"/>
      <c r="E6722" s="140"/>
    </row>
    <row r="6723" spans="1:5">
      <c r="A6723" s="140"/>
      <c r="B6723" s="192"/>
      <c r="C6723" s="140"/>
      <c r="D6723" s="140"/>
      <c r="E6723" s="140"/>
    </row>
    <row r="6724" spans="1:5">
      <c r="A6724" s="140"/>
      <c r="B6724" s="192"/>
      <c r="C6724" s="140"/>
      <c r="D6724" s="140"/>
      <c r="E6724" s="140"/>
    </row>
    <row r="6725" spans="1:5">
      <c r="A6725" s="140"/>
      <c r="B6725" s="192"/>
      <c r="C6725" s="140"/>
      <c r="D6725" s="140"/>
      <c r="E6725" s="140"/>
    </row>
    <row r="6726" spans="1:5">
      <c r="A6726" s="140"/>
      <c r="B6726" s="192"/>
      <c r="C6726" s="140"/>
      <c r="D6726" s="140"/>
      <c r="E6726" s="140"/>
    </row>
    <row r="6727" spans="1:5">
      <c r="A6727" s="140"/>
      <c r="B6727" s="192"/>
      <c r="C6727" s="140"/>
      <c r="D6727" s="140"/>
      <c r="E6727" s="140"/>
    </row>
    <row r="6728" spans="1:5">
      <c r="A6728" s="140"/>
      <c r="B6728" s="192"/>
      <c r="C6728" s="140"/>
      <c r="D6728" s="140"/>
      <c r="E6728" s="140"/>
    </row>
    <row r="6729" spans="1:5">
      <c r="A6729" s="140"/>
      <c r="B6729" s="192"/>
      <c r="C6729" s="140"/>
      <c r="D6729" s="140"/>
      <c r="E6729" s="140"/>
    </row>
    <row r="6730" spans="1:5">
      <c r="A6730" s="140"/>
      <c r="B6730" s="192"/>
      <c r="C6730" s="140"/>
      <c r="D6730" s="140"/>
      <c r="E6730" s="140"/>
    </row>
    <row r="6731" spans="1:5">
      <c r="A6731" s="140"/>
      <c r="B6731" s="192"/>
      <c r="C6731" s="140"/>
      <c r="D6731" s="140"/>
      <c r="E6731" s="140"/>
    </row>
    <row r="6732" spans="1:5">
      <c r="A6732" s="140"/>
      <c r="B6732" s="192"/>
      <c r="C6732" s="140"/>
      <c r="D6732" s="140"/>
      <c r="E6732" s="140"/>
    </row>
    <row r="6733" spans="1:5">
      <c r="A6733" s="140"/>
      <c r="B6733" s="192"/>
      <c r="C6733" s="140"/>
      <c r="D6733" s="140"/>
      <c r="E6733" s="140"/>
    </row>
    <row r="6734" spans="1:5">
      <c r="A6734" s="140"/>
      <c r="B6734" s="192"/>
      <c r="C6734" s="140"/>
      <c r="D6734" s="140"/>
      <c r="E6734" s="140"/>
    </row>
    <row r="6735" spans="1:5">
      <c r="A6735" s="140"/>
      <c r="B6735" s="192"/>
      <c r="C6735" s="140"/>
      <c r="D6735" s="140"/>
      <c r="E6735" s="140"/>
    </row>
    <row r="6736" spans="1:5">
      <c r="A6736" s="140"/>
      <c r="B6736" s="192"/>
      <c r="C6736" s="140"/>
      <c r="D6736" s="140"/>
      <c r="E6736" s="140"/>
    </row>
    <row r="6737" spans="1:5">
      <c r="A6737" s="140"/>
      <c r="B6737" s="192"/>
      <c r="C6737" s="140"/>
      <c r="D6737" s="140"/>
      <c r="E6737" s="140"/>
    </row>
    <row r="6738" spans="1:5">
      <c r="A6738" s="140"/>
      <c r="B6738" s="192"/>
      <c r="C6738" s="140"/>
      <c r="D6738" s="140"/>
      <c r="E6738" s="140"/>
    </row>
    <row r="6739" spans="1:5">
      <c r="A6739" s="140"/>
      <c r="B6739" s="192"/>
      <c r="C6739" s="140"/>
      <c r="D6739" s="140"/>
      <c r="E6739" s="140"/>
    </row>
    <row r="6740" spans="1:5">
      <c r="A6740" s="140"/>
      <c r="B6740" s="192"/>
      <c r="C6740" s="140"/>
      <c r="D6740" s="140"/>
      <c r="E6740" s="140"/>
    </row>
    <row r="6741" spans="1:5">
      <c r="A6741" s="140"/>
      <c r="B6741" s="192"/>
      <c r="C6741" s="140"/>
      <c r="D6741" s="140"/>
      <c r="E6741" s="140"/>
    </row>
    <row r="6742" spans="1:5">
      <c r="A6742" s="140"/>
      <c r="B6742" s="192"/>
      <c r="C6742" s="140"/>
      <c r="D6742" s="140"/>
      <c r="E6742" s="140"/>
    </row>
    <row r="6743" spans="1:5">
      <c r="A6743" s="140"/>
      <c r="B6743" s="192"/>
      <c r="C6743" s="140"/>
      <c r="D6743" s="140"/>
      <c r="E6743" s="140"/>
    </row>
    <row r="6744" spans="1:5">
      <c r="A6744" s="140"/>
      <c r="B6744" s="192"/>
      <c r="C6744" s="140"/>
      <c r="D6744" s="140"/>
      <c r="E6744" s="140"/>
    </row>
    <row r="6745" spans="1:5">
      <c r="A6745" s="140"/>
      <c r="B6745" s="192"/>
      <c r="C6745" s="140"/>
      <c r="D6745" s="140"/>
      <c r="E6745" s="140"/>
    </row>
    <row r="6746" spans="1:5">
      <c r="A6746" s="140"/>
      <c r="B6746" s="192"/>
      <c r="C6746" s="140"/>
      <c r="D6746" s="140"/>
      <c r="E6746" s="140"/>
    </row>
    <row r="6747" spans="1:5">
      <c r="A6747" s="140"/>
      <c r="B6747" s="192"/>
      <c r="C6747" s="140"/>
      <c r="D6747" s="140"/>
      <c r="E6747" s="140"/>
    </row>
    <row r="6748" spans="1:5">
      <c r="A6748" s="140"/>
      <c r="B6748" s="192"/>
      <c r="C6748" s="140"/>
      <c r="D6748" s="140"/>
      <c r="E6748" s="140"/>
    </row>
    <row r="6749" spans="1:5">
      <c r="A6749" s="140"/>
      <c r="B6749" s="192"/>
      <c r="C6749" s="140"/>
      <c r="D6749" s="140"/>
      <c r="E6749" s="140"/>
    </row>
    <row r="6750" spans="1:5">
      <c r="A6750" s="140"/>
      <c r="B6750" s="192"/>
      <c r="C6750" s="140"/>
      <c r="D6750" s="140"/>
      <c r="E6750" s="140"/>
    </row>
    <row r="6751" spans="1:5">
      <c r="A6751" s="140"/>
      <c r="B6751" s="192"/>
      <c r="C6751" s="140"/>
      <c r="D6751" s="140"/>
      <c r="E6751" s="140"/>
    </row>
    <row r="6752" spans="1:5">
      <c r="A6752" s="140"/>
      <c r="B6752" s="192"/>
      <c r="C6752" s="140"/>
      <c r="D6752" s="140"/>
      <c r="E6752" s="140"/>
    </row>
    <row r="6753" spans="1:5">
      <c r="A6753" s="140"/>
      <c r="B6753" s="192"/>
      <c r="C6753" s="140"/>
      <c r="D6753" s="140"/>
      <c r="E6753" s="140"/>
    </row>
    <row r="6754" spans="1:5">
      <c r="A6754" s="140"/>
      <c r="B6754" s="192"/>
      <c r="C6754" s="140"/>
      <c r="D6754" s="140"/>
      <c r="E6754" s="140"/>
    </row>
    <row r="6755" spans="1:5">
      <c r="A6755" s="140"/>
      <c r="B6755" s="192"/>
      <c r="C6755" s="140"/>
      <c r="D6755" s="140"/>
      <c r="E6755" s="140"/>
    </row>
    <row r="6756" spans="1:5">
      <c r="A6756" s="140"/>
      <c r="B6756" s="192"/>
      <c r="C6756" s="140"/>
      <c r="D6756" s="140"/>
      <c r="E6756" s="140"/>
    </row>
    <row r="6757" spans="1:5">
      <c r="A6757" s="140"/>
      <c r="B6757" s="192"/>
      <c r="C6757" s="140"/>
      <c r="D6757" s="140"/>
      <c r="E6757" s="140"/>
    </row>
    <row r="6758" spans="1:5">
      <c r="A6758" s="140"/>
      <c r="B6758" s="192"/>
      <c r="C6758" s="140"/>
      <c r="D6758" s="140"/>
      <c r="E6758" s="140"/>
    </row>
    <row r="6759" spans="1:5">
      <c r="A6759" s="140"/>
      <c r="B6759" s="192"/>
      <c r="C6759" s="140"/>
      <c r="D6759" s="140"/>
      <c r="E6759" s="140"/>
    </row>
    <row r="6760" spans="1:5">
      <c r="A6760" s="140"/>
      <c r="B6760" s="192"/>
      <c r="C6760" s="140"/>
      <c r="D6760" s="140"/>
      <c r="E6760" s="140"/>
    </row>
    <row r="6761" spans="1:5">
      <c r="A6761" s="140"/>
      <c r="B6761" s="192"/>
      <c r="C6761" s="140"/>
      <c r="D6761" s="140"/>
      <c r="E6761" s="140"/>
    </row>
    <row r="6762" spans="1:5">
      <c r="A6762" s="140"/>
      <c r="B6762" s="192"/>
      <c r="C6762" s="140"/>
      <c r="D6762" s="140"/>
      <c r="E6762" s="140"/>
    </row>
    <row r="6763" spans="1:5">
      <c r="A6763" s="140"/>
      <c r="B6763" s="192"/>
      <c r="C6763" s="140"/>
      <c r="D6763" s="140"/>
      <c r="E6763" s="140"/>
    </row>
    <row r="6764" spans="1:5">
      <c r="A6764" s="140"/>
      <c r="B6764" s="192"/>
      <c r="C6764" s="140"/>
      <c r="D6764" s="140"/>
      <c r="E6764" s="140"/>
    </row>
    <row r="6765" spans="1:5">
      <c r="A6765" s="140"/>
      <c r="B6765" s="192"/>
      <c r="C6765" s="140"/>
      <c r="D6765" s="140"/>
      <c r="E6765" s="140"/>
    </row>
    <row r="6766" spans="1:5">
      <c r="A6766" s="140"/>
      <c r="B6766" s="192"/>
      <c r="C6766" s="140"/>
      <c r="D6766" s="140"/>
      <c r="E6766" s="140"/>
    </row>
    <row r="6767" spans="1:5">
      <c r="A6767" s="140"/>
      <c r="B6767" s="192"/>
      <c r="C6767" s="140"/>
      <c r="D6767" s="140"/>
      <c r="E6767" s="140"/>
    </row>
    <row r="6768" spans="1:5">
      <c r="A6768" s="140"/>
      <c r="B6768" s="192"/>
      <c r="C6768" s="140"/>
      <c r="D6768" s="140"/>
      <c r="E6768" s="140"/>
    </row>
    <row r="6769" spans="1:5">
      <c r="A6769" s="140"/>
      <c r="B6769" s="192"/>
      <c r="C6769" s="140"/>
      <c r="D6769" s="140"/>
      <c r="E6769" s="140"/>
    </row>
    <row r="6770" spans="1:5">
      <c r="A6770" s="140"/>
      <c r="B6770" s="192"/>
      <c r="C6770" s="140"/>
      <c r="D6770" s="140"/>
      <c r="E6770" s="140"/>
    </row>
    <row r="6771" spans="1:5">
      <c r="A6771" s="140"/>
      <c r="B6771" s="192"/>
      <c r="C6771" s="140"/>
      <c r="D6771" s="140"/>
      <c r="E6771" s="140"/>
    </row>
    <row r="6772" spans="1:5">
      <c r="A6772" s="140"/>
      <c r="B6772" s="192"/>
      <c r="C6772" s="140"/>
      <c r="D6772" s="140"/>
      <c r="E6772" s="140"/>
    </row>
    <row r="6773" spans="1:5">
      <c r="A6773" s="140"/>
      <c r="B6773" s="192"/>
      <c r="C6773" s="140"/>
      <c r="D6773" s="140"/>
      <c r="E6773" s="140"/>
    </row>
    <row r="6774" spans="1:5">
      <c r="A6774" s="140"/>
      <c r="B6774" s="192"/>
      <c r="C6774" s="140"/>
      <c r="D6774" s="140"/>
      <c r="E6774" s="140"/>
    </row>
    <row r="6775" spans="1:5">
      <c r="A6775" s="140"/>
      <c r="B6775" s="192"/>
      <c r="C6775" s="140"/>
      <c r="D6775" s="140"/>
      <c r="E6775" s="140"/>
    </row>
    <row r="6776" spans="1:5">
      <c r="A6776" s="140"/>
      <c r="B6776" s="192"/>
      <c r="C6776" s="140"/>
      <c r="D6776" s="140"/>
      <c r="E6776" s="140"/>
    </row>
    <row r="6777" spans="1:5">
      <c r="A6777" s="140"/>
      <c r="B6777" s="192"/>
      <c r="C6777" s="140"/>
      <c r="D6777" s="140"/>
      <c r="E6777" s="140"/>
    </row>
    <row r="6778" spans="1:5">
      <c r="A6778" s="140"/>
      <c r="B6778" s="192"/>
      <c r="C6778" s="140"/>
      <c r="D6778" s="140"/>
      <c r="E6778" s="140"/>
    </row>
    <row r="6779" spans="1:5">
      <c r="A6779" s="140"/>
      <c r="B6779" s="192"/>
      <c r="C6779" s="140"/>
      <c r="D6779" s="140"/>
      <c r="E6779" s="140"/>
    </row>
    <row r="6780" spans="1:5">
      <c r="A6780" s="140"/>
      <c r="B6780" s="192"/>
      <c r="C6780" s="140"/>
      <c r="D6780" s="140"/>
      <c r="E6780" s="140"/>
    </row>
    <row r="6781" spans="1:5">
      <c r="A6781" s="140"/>
      <c r="B6781" s="192"/>
      <c r="C6781" s="140"/>
      <c r="D6781" s="140"/>
      <c r="E6781" s="140"/>
    </row>
    <row r="6782" spans="1:5">
      <c r="A6782" s="140"/>
      <c r="B6782" s="192"/>
      <c r="C6782" s="140"/>
      <c r="D6782" s="140"/>
      <c r="E6782" s="140"/>
    </row>
    <row r="6783" spans="1:5">
      <c r="A6783" s="140"/>
      <c r="B6783" s="192"/>
      <c r="C6783" s="140"/>
      <c r="D6783" s="140"/>
      <c r="E6783" s="140"/>
    </row>
    <row r="6784" spans="1:5">
      <c r="A6784" s="140"/>
      <c r="B6784" s="192"/>
      <c r="C6784" s="140"/>
      <c r="D6784" s="140"/>
      <c r="E6784" s="140"/>
    </row>
    <row r="6785" spans="1:5">
      <c r="A6785" s="140"/>
      <c r="B6785" s="192"/>
      <c r="C6785" s="140"/>
      <c r="D6785" s="140"/>
      <c r="E6785" s="140"/>
    </row>
    <row r="6786" spans="1:5">
      <c r="A6786" s="140"/>
      <c r="B6786" s="192"/>
      <c r="C6786" s="140"/>
      <c r="D6786" s="140"/>
      <c r="E6786" s="140"/>
    </row>
    <row r="6787" spans="1:5">
      <c r="A6787" s="140"/>
      <c r="B6787" s="192"/>
      <c r="C6787" s="140"/>
      <c r="D6787" s="140"/>
      <c r="E6787" s="140"/>
    </row>
    <row r="6788" spans="1:5">
      <c r="A6788" s="140"/>
      <c r="B6788" s="192"/>
      <c r="C6788" s="140"/>
      <c r="D6788" s="140"/>
      <c r="E6788" s="140"/>
    </row>
    <row r="6789" spans="1:5">
      <c r="A6789" s="140"/>
      <c r="B6789" s="192"/>
      <c r="C6789" s="140"/>
      <c r="D6789" s="140"/>
      <c r="E6789" s="140"/>
    </row>
    <row r="6790" spans="1:5">
      <c r="A6790" s="140"/>
      <c r="B6790" s="192"/>
      <c r="C6790" s="140"/>
      <c r="D6790" s="140"/>
      <c r="E6790" s="140"/>
    </row>
    <row r="6791" spans="1:5">
      <c r="A6791" s="140"/>
      <c r="B6791" s="192"/>
      <c r="C6791" s="140"/>
      <c r="D6791" s="140"/>
      <c r="E6791" s="140"/>
    </row>
    <row r="6792" spans="1:5">
      <c r="A6792" s="140"/>
      <c r="B6792" s="192"/>
      <c r="C6792" s="140"/>
      <c r="D6792" s="140"/>
      <c r="E6792" s="140"/>
    </row>
    <row r="6793" spans="1:5">
      <c r="A6793" s="140"/>
      <c r="B6793" s="192"/>
      <c r="C6793" s="140"/>
      <c r="D6793" s="140"/>
      <c r="E6793" s="140"/>
    </row>
    <row r="6794" spans="1:5">
      <c r="A6794" s="140"/>
      <c r="B6794" s="192"/>
      <c r="C6794" s="140"/>
      <c r="D6794" s="140"/>
      <c r="E6794" s="140"/>
    </row>
    <row r="6795" spans="1:5">
      <c r="A6795" s="140"/>
      <c r="B6795" s="192"/>
      <c r="C6795" s="140"/>
      <c r="D6795" s="140"/>
      <c r="E6795" s="140"/>
    </row>
    <row r="6796" spans="1:5">
      <c r="A6796" s="140"/>
      <c r="B6796" s="192"/>
      <c r="C6796" s="140"/>
      <c r="D6796" s="140"/>
      <c r="E6796" s="140"/>
    </row>
    <row r="6797" spans="1:5">
      <c r="A6797" s="140"/>
      <c r="B6797" s="192"/>
      <c r="C6797" s="140"/>
      <c r="D6797" s="140"/>
      <c r="E6797" s="140"/>
    </row>
    <row r="6798" spans="1:5">
      <c r="A6798" s="140"/>
      <c r="B6798" s="192"/>
      <c r="C6798" s="140"/>
      <c r="D6798" s="140"/>
      <c r="E6798" s="140"/>
    </row>
    <row r="6799" spans="1:5">
      <c r="A6799" s="140"/>
      <c r="B6799" s="192"/>
      <c r="C6799" s="140"/>
      <c r="D6799" s="140"/>
      <c r="E6799" s="140"/>
    </row>
    <row r="6800" spans="1:5">
      <c r="A6800" s="140"/>
      <c r="B6800" s="192"/>
      <c r="C6800" s="140"/>
      <c r="D6800" s="140"/>
      <c r="E6800" s="140"/>
    </row>
    <row r="6801" spans="1:5">
      <c r="A6801" s="140"/>
      <c r="B6801" s="192"/>
      <c r="C6801" s="140"/>
      <c r="D6801" s="140"/>
      <c r="E6801" s="140"/>
    </row>
    <row r="6802" spans="1:5">
      <c r="A6802" s="140"/>
      <c r="B6802" s="192"/>
      <c r="C6802" s="140"/>
      <c r="D6802" s="140"/>
      <c r="E6802" s="140"/>
    </row>
    <row r="6803" spans="1:5">
      <c r="A6803" s="140"/>
      <c r="B6803" s="192"/>
      <c r="C6803" s="140"/>
      <c r="D6803" s="140"/>
      <c r="E6803" s="140"/>
    </row>
    <row r="6804" spans="1:5">
      <c r="A6804" s="140"/>
      <c r="B6804" s="192"/>
      <c r="C6804" s="140"/>
      <c r="D6804" s="140"/>
      <c r="E6804" s="140"/>
    </row>
    <row r="6805" spans="1:5">
      <c r="A6805" s="140"/>
      <c r="B6805" s="192"/>
      <c r="C6805" s="140"/>
      <c r="D6805" s="140"/>
      <c r="E6805" s="140"/>
    </row>
    <row r="6806" spans="1:5">
      <c r="A6806" s="140"/>
      <c r="B6806" s="192"/>
      <c r="C6806" s="140"/>
      <c r="D6806" s="140"/>
      <c r="E6806" s="140"/>
    </row>
    <row r="6807" spans="1:5">
      <c r="A6807" s="140"/>
      <c r="B6807" s="192"/>
      <c r="C6807" s="140"/>
      <c r="D6807" s="140"/>
      <c r="E6807" s="140"/>
    </row>
    <row r="6808" spans="1:5">
      <c r="A6808" s="140"/>
      <c r="B6808" s="192"/>
      <c r="C6808" s="140"/>
      <c r="D6808" s="140"/>
      <c r="E6808" s="140"/>
    </row>
    <row r="6809" spans="1:5">
      <c r="A6809" s="140"/>
      <c r="B6809" s="192"/>
      <c r="C6809" s="140"/>
      <c r="D6809" s="140"/>
      <c r="E6809" s="140"/>
    </row>
    <row r="6810" spans="1:5">
      <c r="A6810" s="140"/>
      <c r="B6810" s="192"/>
      <c r="C6810" s="140"/>
      <c r="D6810" s="140"/>
      <c r="E6810" s="140"/>
    </row>
    <row r="6811" spans="1:5">
      <c r="A6811" s="140"/>
      <c r="B6811" s="192"/>
      <c r="C6811" s="140"/>
      <c r="D6811" s="140"/>
      <c r="E6811" s="140"/>
    </row>
    <row r="6812" spans="1:5">
      <c r="A6812" s="140"/>
      <c r="B6812" s="192"/>
      <c r="C6812" s="140"/>
      <c r="D6812" s="140"/>
      <c r="E6812" s="140"/>
    </row>
    <row r="6813" spans="1:5">
      <c r="A6813" s="140"/>
      <c r="B6813" s="192"/>
      <c r="C6813" s="140"/>
      <c r="D6813" s="140"/>
      <c r="E6813" s="140"/>
    </row>
    <row r="6814" spans="1:5">
      <c r="A6814" s="140"/>
      <c r="B6814" s="192"/>
      <c r="C6814" s="140"/>
      <c r="D6814" s="140"/>
      <c r="E6814" s="140"/>
    </row>
    <row r="6815" spans="1:5">
      <c r="A6815" s="140"/>
      <c r="B6815" s="192"/>
      <c r="C6815" s="140"/>
      <c r="D6815" s="140"/>
      <c r="E6815" s="140"/>
    </row>
    <row r="6816" spans="1:5">
      <c r="A6816" s="140"/>
      <c r="B6816" s="192"/>
      <c r="C6816" s="140"/>
      <c r="D6816" s="140"/>
      <c r="E6816" s="140"/>
    </row>
    <row r="6817" spans="1:5">
      <c r="A6817" s="140"/>
      <c r="B6817" s="192"/>
      <c r="C6817" s="140"/>
      <c r="D6817" s="140"/>
      <c r="E6817" s="140"/>
    </row>
    <row r="6818" spans="1:5">
      <c r="A6818" s="140"/>
      <c r="B6818" s="192"/>
      <c r="C6818" s="140"/>
      <c r="D6818" s="140"/>
      <c r="E6818" s="140"/>
    </row>
    <row r="6819" spans="1:5">
      <c r="A6819" s="140"/>
      <c r="B6819" s="192"/>
      <c r="C6819" s="140"/>
      <c r="D6819" s="140"/>
      <c r="E6819" s="140"/>
    </row>
    <row r="6820" spans="1:5">
      <c r="A6820" s="140"/>
      <c r="B6820" s="192"/>
      <c r="C6820" s="140"/>
      <c r="D6820" s="140"/>
      <c r="E6820" s="140"/>
    </row>
    <row r="6821" spans="1:5">
      <c r="A6821" s="140"/>
      <c r="B6821" s="192"/>
      <c r="C6821" s="140"/>
      <c r="D6821" s="140"/>
      <c r="E6821" s="140"/>
    </row>
    <row r="6822" spans="1:5">
      <c r="A6822" s="140"/>
      <c r="B6822" s="192"/>
      <c r="C6822" s="140"/>
      <c r="D6822" s="140"/>
      <c r="E6822" s="140"/>
    </row>
    <row r="6823" spans="1:5">
      <c r="A6823" s="140"/>
      <c r="B6823" s="192"/>
      <c r="C6823" s="140"/>
      <c r="D6823" s="140"/>
      <c r="E6823" s="140"/>
    </row>
    <row r="6824" spans="1:5">
      <c r="A6824" s="140"/>
      <c r="B6824" s="192"/>
      <c r="C6824" s="140"/>
      <c r="D6824" s="140"/>
      <c r="E6824" s="140"/>
    </row>
    <row r="6825" spans="1:5">
      <c r="A6825" s="140"/>
      <c r="B6825" s="192"/>
      <c r="C6825" s="140"/>
      <c r="D6825" s="140"/>
      <c r="E6825" s="140"/>
    </row>
    <row r="6826" spans="1:5">
      <c r="A6826" s="140"/>
      <c r="B6826" s="192"/>
      <c r="C6826" s="140"/>
      <c r="D6826" s="140"/>
      <c r="E6826" s="140"/>
    </row>
    <row r="6827" spans="1:5">
      <c r="A6827" s="140"/>
      <c r="B6827" s="192"/>
      <c r="C6827" s="140"/>
      <c r="D6827" s="140"/>
      <c r="E6827" s="140"/>
    </row>
    <row r="6828" spans="1:5">
      <c r="A6828" s="140"/>
      <c r="B6828" s="192"/>
      <c r="C6828" s="140"/>
      <c r="D6828" s="140"/>
      <c r="E6828" s="140"/>
    </row>
    <row r="6829" spans="1:5">
      <c r="A6829" s="140"/>
      <c r="B6829" s="192"/>
      <c r="C6829" s="140"/>
      <c r="D6829" s="140"/>
      <c r="E6829" s="140"/>
    </row>
    <row r="6830" spans="1:5">
      <c r="A6830" s="140"/>
      <c r="B6830" s="192"/>
      <c r="C6830" s="140"/>
      <c r="D6830" s="140"/>
      <c r="E6830" s="140"/>
    </row>
    <row r="6831" spans="1:5">
      <c r="A6831" s="140"/>
      <c r="B6831" s="192"/>
      <c r="C6831" s="140"/>
      <c r="D6831" s="140"/>
      <c r="E6831" s="140"/>
    </row>
    <row r="6832" spans="1:5">
      <c r="A6832" s="140"/>
      <c r="B6832" s="192"/>
      <c r="C6832" s="140"/>
      <c r="D6832" s="140"/>
      <c r="E6832" s="140"/>
    </row>
    <row r="6833" spans="1:5">
      <c r="A6833" s="140"/>
      <c r="B6833" s="192"/>
      <c r="C6833" s="140"/>
      <c r="D6833" s="140"/>
      <c r="E6833" s="140"/>
    </row>
    <row r="6834" spans="1:5">
      <c r="A6834" s="140"/>
      <c r="B6834" s="192"/>
      <c r="C6834" s="140"/>
      <c r="D6834" s="140"/>
      <c r="E6834" s="140"/>
    </row>
    <row r="6835" spans="1:5">
      <c r="A6835" s="140"/>
      <c r="B6835" s="192"/>
      <c r="C6835" s="140"/>
      <c r="D6835" s="140"/>
      <c r="E6835" s="140"/>
    </row>
    <row r="6836" spans="1:5">
      <c r="A6836" s="140"/>
      <c r="B6836" s="192"/>
      <c r="C6836" s="140"/>
      <c r="D6836" s="140"/>
      <c r="E6836" s="140"/>
    </row>
    <row r="6837" spans="1:5">
      <c r="A6837" s="140"/>
      <c r="B6837" s="192"/>
      <c r="C6837" s="140"/>
      <c r="D6837" s="140"/>
      <c r="E6837" s="140"/>
    </row>
    <row r="6838" spans="1:5">
      <c r="A6838" s="140"/>
      <c r="B6838" s="192"/>
      <c r="C6838" s="140"/>
      <c r="D6838" s="140"/>
      <c r="E6838" s="140"/>
    </row>
    <row r="6839" spans="1:5">
      <c r="A6839" s="140"/>
      <c r="B6839" s="192"/>
      <c r="C6839" s="140"/>
      <c r="D6839" s="140"/>
      <c r="E6839" s="140"/>
    </row>
    <row r="6840" spans="1:5">
      <c r="A6840" s="140"/>
      <c r="B6840" s="192"/>
      <c r="C6840" s="140"/>
      <c r="D6840" s="140"/>
      <c r="E6840" s="140"/>
    </row>
    <row r="6841" spans="1:5">
      <c r="A6841" s="140"/>
      <c r="B6841" s="192"/>
      <c r="C6841" s="140"/>
      <c r="D6841" s="140"/>
      <c r="E6841" s="140"/>
    </row>
    <row r="6842" spans="1:5">
      <c r="A6842" s="140"/>
      <c r="B6842" s="192"/>
      <c r="C6842" s="140"/>
      <c r="D6842" s="140"/>
      <c r="E6842" s="140"/>
    </row>
    <row r="6843" spans="1:5">
      <c r="A6843" s="140"/>
      <c r="B6843" s="192"/>
      <c r="C6843" s="140"/>
      <c r="D6843" s="140"/>
      <c r="E6843" s="140"/>
    </row>
    <row r="6844" spans="1:5">
      <c r="A6844" s="140"/>
      <c r="B6844" s="192"/>
      <c r="C6844" s="140"/>
      <c r="D6844" s="140"/>
      <c r="E6844" s="140"/>
    </row>
    <row r="6845" spans="1:5">
      <c r="A6845" s="140"/>
      <c r="B6845" s="192"/>
      <c r="C6845" s="140"/>
      <c r="D6845" s="140"/>
      <c r="E6845" s="140"/>
    </row>
    <row r="6846" spans="1:5">
      <c r="A6846" s="140"/>
      <c r="B6846" s="192"/>
      <c r="C6846" s="140"/>
      <c r="D6846" s="140"/>
      <c r="E6846" s="140"/>
    </row>
    <row r="6847" spans="1:5">
      <c r="A6847" s="140"/>
      <c r="B6847" s="192"/>
      <c r="C6847" s="140"/>
      <c r="D6847" s="140"/>
      <c r="E6847" s="140"/>
    </row>
    <row r="6848" spans="1:5">
      <c r="A6848" s="140"/>
      <c r="B6848" s="192"/>
      <c r="C6848" s="140"/>
      <c r="D6848" s="140"/>
      <c r="E6848" s="140"/>
    </row>
    <row r="6849" spans="1:5">
      <c r="A6849" s="140"/>
      <c r="B6849" s="192"/>
      <c r="C6849" s="140"/>
      <c r="D6849" s="140"/>
      <c r="E6849" s="140"/>
    </row>
    <row r="6850" spans="1:5">
      <c r="A6850" s="140"/>
      <c r="B6850" s="192"/>
      <c r="C6850" s="140"/>
      <c r="D6850" s="140"/>
      <c r="E6850" s="140"/>
    </row>
    <row r="6851" spans="1:5">
      <c r="A6851" s="140"/>
      <c r="B6851" s="192"/>
      <c r="C6851" s="140"/>
      <c r="D6851" s="140"/>
      <c r="E6851" s="140"/>
    </row>
    <row r="6852" spans="1:5">
      <c r="A6852" s="140"/>
      <c r="B6852" s="192"/>
      <c r="C6852" s="140"/>
      <c r="D6852" s="140"/>
      <c r="E6852" s="140"/>
    </row>
    <row r="6853" spans="1:5">
      <c r="A6853" s="140"/>
      <c r="B6853" s="192"/>
      <c r="C6853" s="140"/>
      <c r="D6853" s="140"/>
      <c r="E6853" s="140"/>
    </row>
    <row r="6854" spans="1:5">
      <c r="A6854" s="140"/>
      <c r="B6854" s="192"/>
      <c r="C6854" s="140"/>
      <c r="D6854" s="140"/>
      <c r="E6854" s="140"/>
    </row>
    <row r="6855" spans="1:5">
      <c r="A6855" s="140"/>
      <c r="B6855" s="192"/>
      <c r="C6855" s="140"/>
      <c r="D6855" s="140"/>
      <c r="E6855" s="140"/>
    </row>
    <row r="6856" spans="1:5">
      <c r="A6856" s="140"/>
      <c r="B6856" s="192"/>
      <c r="C6856" s="140"/>
      <c r="D6856" s="140"/>
      <c r="E6856" s="140"/>
    </row>
    <row r="6857" spans="1:5">
      <c r="A6857" s="140"/>
      <c r="B6857" s="192"/>
      <c r="C6857" s="140"/>
      <c r="D6857" s="140"/>
      <c r="E6857" s="140"/>
    </row>
    <row r="6858" spans="1:5">
      <c r="A6858" s="140"/>
      <c r="B6858" s="192"/>
      <c r="C6858" s="140"/>
      <c r="D6858" s="140"/>
      <c r="E6858" s="140"/>
    </row>
    <row r="6859" spans="1:5">
      <c r="A6859" s="140"/>
      <c r="B6859" s="192"/>
      <c r="C6859" s="140"/>
      <c r="D6859" s="140"/>
      <c r="E6859" s="140"/>
    </row>
    <row r="6860" spans="1:5">
      <c r="A6860" s="140"/>
      <c r="B6860" s="192"/>
      <c r="C6860" s="140"/>
      <c r="D6860" s="140"/>
      <c r="E6860" s="140"/>
    </row>
    <row r="6861" spans="1:5">
      <c r="A6861" s="140"/>
      <c r="B6861" s="192"/>
      <c r="C6861" s="140"/>
      <c r="D6861" s="140"/>
      <c r="E6861" s="140"/>
    </row>
    <row r="6862" spans="1:5">
      <c r="A6862" s="140"/>
      <c r="B6862" s="192"/>
      <c r="C6862" s="140"/>
      <c r="D6862" s="140"/>
      <c r="E6862" s="140"/>
    </row>
    <row r="6863" spans="1:5">
      <c r="A6863" s="140"/>
      <c r="B6863" s="192"/>
      <c r="C6863" s="140"/>
      <c r="D6863" s="140"/>
      <c r="E6863" s="140"/>
    </row>
    <row r="6864" spans="1:5">
      <c r="A6864" s="140"/>
      <c r="B6864" s="192"/>
      <c r="C6864" s="140"/>
      <c r="D6864" s="140"/>
      <c r="E6864" s="140"/>
    </row>
    <row r="6865" spans="1:5">
      <c r="A6865" s="140"/>
      <c r="B6865" s="192"/>
      <c r="C6865" s="140"/>
      <c r="D6865" s="140"/>
      <c r="E6865" s="140"/>
    </row>
    <row r="6866" spans="1:5">
      <c r="A6866" s="140"/>
      <c r="B6866" s="192"/>
      <c r="C6866" s="140"/>
      <c r="D6866" s="140"/>
      <c r="E6866" s="140"/>
    </row>
    <row r="6867" spans="1:5">
      <c r="A6867" s="140"/>
      <c r="B6867" s="192"/>
      <c r="C6867" s="140"/>
      <c r="D6867" s="140"/>
      <c r="E6867" s="140"/>
    </row>
    <row r="6868" spans="1:5">
      <c r="A6868" s="140"/>
      <c r="B6868" s="192"/>
      <c r="C6868" s="140"/>
      <c r="D6868" s="140"/>
      <c r="E6868" s="140"/>
    </row>
    <row r="6869" spans="1:5">
      <c r="A6869" s="140"/>
      <c r="B6869" s="192"/>
      <c r="C6869" s="140"/>
      <c r="D6869" s="140"/>
      <c r="E6869" s="140"/>
    </row>
    <row r="6870" spans="1:5">
      <c r="A6870" s="140"/>
      <c r="B6870" s="192"/>
      <c r="C6870" s="140"/>
      <c r="D6870" s="140"/>
      <c r="E6870" s="140"/>
    </row>
    <row r="6871" spans="1:5">
      <c r="A6871" s="140"/>
      <c r="B6871" s="192"/>
      <c r="C6871" s="140"/>
      <c r="D6871" s="140"/>
      <c r="E6871" s="140"/>
    </row>
    <row r="6872" spans="1:5">
      <c r="A6872" s="140"/>
      <c r="B6872" s="192"/>
      <c r="C6872" s="140"/>
      <c r="D6872" s="140"/>
      <c r="E6872" s="140"/>
    </row>
    <row r="6873" spans="1:5">
      <c r="A6873" s="140"/>
      <c r="B6873" s="192"/>
      <c r="C6873" s="140"/>
      <c r="D6873" s="140"/>
      <c r="E6873" s="140"/>
    </row>
    <row r="6874" spans="1:5">
      <c r="A6874" s="140"/>
      <c r="B6874" s="192"/>
      <c r="C6874" s="140"/>
      <c r="D6874" s="140"/>
      <c r="E6874" s="140"/>
    </row>
    <row r="6875" spans="1:5">
      <c r="A6875" s="140"/>
      <c r="B6875" s="192"/>
      <c r="C6875" s="140"/>
      <c r="D6875" s="140"/>
      <c r="E6875" s="140"/>
    </row>
    <row r="6876" spans="1:5">
      <c r="A6876" s="140"/>
      <c r="B6876" s="192"/>
      <c r="C6876" s="140"/>
      <c r="D6876" s="140"/>
      <c r="E6876" s="140"/>
    </row>
    <row r="6877" spans="1:5">
      <c r="A6877" s="140"/>
      <c r="B6877" s="192"/>
      <c r="C6877" s="140"/>
      <c r="D6877" s="140"/>
      <c r="E6877" s="140"/>
    </row>
    <row r="6878" spans="1:5">
      <c r="A6878" s="140"/>
      <c r="B6878" s="192"/>
      <c r="C6878" s="140"/>
      <c r="D6878" s="140"/>
      <c r="E6878" s="140"/>
    </row>
    <row r="6879" spans="1:5">
      <c r="A6879" s="140"/>
      <c r="B6879" s="192"/>
      <c r="C6879" s="140"/>
      <c r="D6879" s="140"/>
      <c r="E6879" s="140"/>
    </row>
    <row r="6880" spans="1:5">
      <c r="A6880" s="140"/>
      <c r="B6880" s="192"/>
      <c r="C6880" s="140"/>
      <c r="D6880" s="140"/>
      <c r="E6880" s="140"/>
    </row>
    <row r="6881" spans="1:5">
      <c r="A6881" s="140"/>
      <c r="B6881" s="192"/>
      <c r="C6881" s="140"/>
      <c r="D6881" s="140"/>
      <c r="E6881" s="140"/>
    </row>
    <row r="6882" spans="1:5">
      <c r="A6882" s="140"/>
      <c r="B6882" s="192"/>
      <c r="C6882" s="140"/>
      <c r="D6882" s="140"/>
      <c r="E6882" s="140"/>
    </row>
    <row r="6883" spans="1:5">
      <c r="A6883" s="140"/>
      <c r="B6883" s="192"/>
      <c r="C6883" s="140"/>
      <c r="D6883" s="140"/>
      <c r="E6883" s="140"/>
    </row>
    <row r="6884" spans="1:5">
      <c r="A6884" s="140"/>
      <c r="B6884" s="192"/>
      <c r="C6884" s="140"/>
      <c r="D6884" s="140"/>
      <c r="E6884" s="140"/>
    </row>
    <row r="6885" spans="1:5">
      <c r="A6885" s="140"/>
      <c r="B6885" s="192"/>
      <c r="C6885" s="140"/>
      <c r="D6885" s="140"/>
      <c r="E6885" s="140"/>
    </row>
    <row r="6886" spans="1:5">
      <c r="A6886" s="140"/>
      <c r="B6886" s="192"/>
      <c r="C6886" s="140"/>
      <c r="D6886" s="140"/>
      <c r="E6886" s="140"/>
    </row>
    <row r="6887" spans="1:5">
      <c r="A6887" s="140"/>
      <c r="B6887" s="192"/>
      <c r="C6887" s="140"/>
      <c r="D6887" s="140"/>
      <c r="E6887" s="140"/>
    </row>
    <row r="6888" spans="1:5">
      <c r="A6888" s="140"/>
      <c r="B6888" s="192"/>
      <c r="C6888" s="140"/>
      <c r="D6888" s="140"/>
      <c r="E6888" s="140"/>
    </row>
    <row r="6889" spans="1:5">
      <c r="A6889" s="140"/>
      <c r="B6889" s="192"/>
      <c r="C6889" s="140"/>
      <c r="D6889" s="140"/>
      <c r="E6889" s="140"/>
    </row>
    <row r="6890" spans="1:5">
      <c r="A6890" s="140"/>
      <c r="B6890" s="192"/>
      <c r="C6890" s="140"/>
      <c r="D6890" s="140"/>
      <c r="E6890" s="140"/>
    </row>
    <row r="6891" spans="1:5">
      <c r="A6891" s="140"/>
      <c r="B6891" s="192"/>
      <c r="C6891" s="140"/>
      <c r="D6891" s="140"/>
      <c r="E6891" s="140"/>
    </row>
    <row r="6892" spans="1:5">
      <c r="A6892" s="140"/>
      <c r="B6892" s="192"/>
      <c r="C6892" s="140"/>
      <c r="D6892" s="140"/>
      <c r="E6892" s="140"/>
    </row>
    <row r="6893" spans="1:5">
      <c r="A6893" s="140"/>
      <c r="B6893" s="192"/>
      <c r="C6893" s="140"/>
      <c r="D6893" s="140"/>
      <c r="E6893" s="140"/>
    </row>
    <row r="6894" spans="1:5">
      <c r="A6894" s="140"/>
      <c r="B6894" s="192"/>
      <c r="C6894" s="140"/>
      <c r="D6894" s="140"/>
      <c r="E6894" s="140"/>
    </row>
    <row r="6895" spans="1:5">
      <c r="A6895" s="140"/>
      <c r="B6895" s="192"/>
      <c r="C6895" s="140"/>
      <c r="D6895" s="140"/>
      <c r="E6895" s="140"/>
    </row>
    <row r="6896" spans="1:5">
      <c r="A6896" s="140"/>
      <c r="B6896" s="192"/>
      <c r="C6896" s="140"/>
      <c r="D6896" s="140"/>
      <c r="E6896" s="140"/>
    </row>
    <row r="6897" spans="1:5">
      <c r="A6897" s="140"/>
      <c r="B6897" s="192"/>
      <c r="C6897" s="140"/>
      <c r="D6897" s="140"/>
      <c r="E6897" s="140"/>
    </row>
    <row r="6898" spans="1:5">
      <c r="A6898" s="140"/>
      <c r="B6898" s="192"/>
      <c r="C6898" s="140"/>
      <c r="D6898" s="140"/>
      <c r="E6898" s="140"/>
    </row>
    <row r="6899" spans="1:5">
      <c r="A6899" s="140"/>
      <c r="B6899" s="192"/>
      <c r="C6899" s="140"/>
      <c r="D6899" s="140"/>
      <c r="E6899" s="140"/>
    </row>
    <row r="6900" spans="1:5">
      <c r="A6900" s="140"/>
      <c r="B6900" s="192"/>
      <c r="C6900" s="140"/>
      <c r="D6900" s="140"/>
      <c r="E6900" s="140"/>
    </row>
    <row r="6901" spans="1:5">
      <c r="A6901" s="140"/>
      <c r="B6901" s="192"/>
      <c r="C6901" s="140"/>
      <c r="D6901" s="140"/>
      <c r="E6901" s="140"/>
    </row>
    <row r="6902" spans="1:5">
      <c r="A6902" s="140"/>
      <c r="B6902" s="192"/>
      <c r="C6902" s="140"/>
      <c r="D6902" s="140"/>
      <c r="E6902" s="140"/>
    </row>
    <row r="6903" spans="1:5">
      <c r="A6903" s="140"/>
      <c r="B6903" s="192"/>
      <c r="C6903" s="140"/>
      <c r="D6903" s="140"/>
      <c r="E6903" s="140"/>
    </row>
    <row r="6904" spans="1:5">
      <c r="A6904" s="140"/>
      <c r="B6904" s="192"/>
      <c r="C6904" s="140"/>
      <c r="D6904" s="140"/>
      <c r="E6904" s="140"/>
    </row>
    <row r="6905" spans="1:5">
      <c r="A6905" s="140"/>
      <c r="B6905" s="192"/>
      <c r="C6905" s="140"/>
      <c r="D6905" s="140"/>
      <c r="E6905" s="140"/>
    </row>
    <row r="6906" spans="1:5">
      <c r="A6906" s="140"/>
      <c r="B6906" s="192"/>
      <c r="C6906" s="140"/>
      <c r="D6906" s="140"/>
      <c r="E6906" s="140"/>
    </row>
    <row r="6907" spans="1:5">
      <c r="A6907" s="140"/>
      <c r="B6907" s="192"/>
      <c r="C6907" s="140"/>
      <c r="D6907" s="140"/>
      <c r="E6907" s="140"/>
    </row>
    <row r="6908" spans="1:5">
      <c r="A6908" s="140"/>
      <c r="B6908" s="192"/>
      <c r="C6908" s="140"/>
      <c r="D6908" s="140"/>
      <c r="E6908" s="140"/>
    </row>
    <row r="6909" spans="1:5">
      <c r="A6909" s="140"/>
      <c r="B6909" s="192"/>
      <c r="C6909" s="140"/>
      <c r="D6909" s="140"/>
      <c r="E6909" s="140"/>
    </row>
    <row r="6910" spans="1:5">
      <c r="A6910" s="140"/>
      <c r="B6910" s="192"/>
      <c r="C6910" s="140"/>
      <c r="D6910" s="140"/>
      <c r="E6910" s="140"/>
    </row>
    <row r="6911" spans="1:5">
      <c r="A6911" s="140"/>
      <c r="B6911" s="192"/>
      <c r="C6911" s="140"/>
      <c r="D6911" s="140"/>
      <c r="E6911" s="140"/>
    </row>
    <row r="6912" spans="1:5">
      <c r="A6912" s="140"/>
      <c r="B6912" s="192"/>
      <c r="C6912" s="140"/>
      <c r="D6912" s="140"/>
      <c r="E6912" s="140"/>
    </row>
    <row r="6913" spans="1:5">
      <c r="A6913" s="140"/>
      <c r="B6913" s="192"/>
      <c r="C6913" s="140"/>
      <c r="D6913" s="140"/>
      <c r="E6913" s="140"/>
    </row>
    <row r="6914" spans="1:5">
      <c r="A6914" s="140"/>
      <c r="B6914" s="192"/>
      <c r="C6914" s="140"/>
      <c r="D6914" s="140"/>
      <c r="E6914" s="140"/>
    </row>
    <row r="6915" spans="1:5">
      <c r="A6915" s="140"/>
      <c r="B6915" s="192"/>
      <c r="C6915" s="140"/>
      <c r="D6915" s="140"/>
      <c r="E6915" s="140"/>
    </row>
    <row r="6916" spans="1:5">
      <c r="A6916" s="140"/>
      <c r="B6916" s="192"/>
      <c r="C6916" s="140"/>
      <c r="D6916" s="140"/>
      <c r="E6916" s="140"/>
    </row>
    <row r="6917" spans="1:5">
      <c r="A6917" s="140"/>
      <c r="B6917" s="192"/>
      <c r="C6917" s="140"/>
      <c r="D6917" s="140"/>
      <c r="E6917" s="140"/>
    </row>
    <row r="6918" spans="1:5">
      <c r="A6918" s="140"/>
      <c r="B6918" s="192"/>
      <c r="C6918" s="140"/>
      <c r="D6918" s="140"/>
      <c r="E6918" s="140"/>
    </row>
    <row r="6919" spans="1:5">
      <c r="A6919" s="140"/>
      <c r="B6919" s="192"/>
      <c r="C6919" s="140"/>
      <c r="D6919" s="140"/>
      <c r="E6919" s="140"/>
    </row>
    <row r="6920" spans="1:5">
      <c r="A6920" s="140"/>
      <c r="B6920" s="192"/>
      <c r="C6920" s="140"/>
      <c r="D6920" s="140"/>
      <c r="E6920" s="140"/>
    </row>
    <row r="6921" spans="1:5">
      <c r="A6921" s="140"/>
      <c r="B6921" s="192"/>
      <c r="C6921" s="140"/>
      <c r="D6921" s="140"/>
      <c r="E6921" s="140"/>
    </row>
    <row r="6922" spans="1:5">
      <c r="A6922" s="140"/>
      <c r="B6922" s="192"/>
      <c r="C6922" s="140"/>
      <c r="D6922" s="140"/>
      <c r="E6922" s="140"/>
    </row>
    <row r="6923" spans="1:5">
      <c r="A6923" s="140"/>
      <c r="B6923" s="192"/>
      <c r="C6923" s="140"/>
      <c r="D6923" s="140"/>
      <c r="E6923" s="140"/>
    </row>
    <row r="6924" spans="1:5">
      <c r="A6924" s="140"/>
      <c r="B6924" s="192"/>
      <c r="C6924" s="140"/>
      <c r="D6924" s="140"/>
      <c r="E6924" s="140"/>
    </row>
    <row r="6925" spans="1:5">
      <c r="A6925" s="140"/>
      <c r="B6925" s="192"/>
      <c r="C6925" s="140"/>
      <c r="D6925" s="140"/>
      <c r="E6925" s="140"/>
    </row>
    <row r="6926" spans="1:5">
      <c r="A6926" s="140"/>
      <c r="B6926" s="192"/>
      <c r="C6926" s="140"/>
      <c r="D6926" s="140"/>
      <c r="E6926" s="140"/>
    </row>
    <row r="6927" spans="1:5">
      <c r="A6927" s="140"/>
      <c r="B6927" s="192"/>
      <c r="C6927" s="140"/>
      <c r="D6927" s="140"/>
      <c r="E6927" s="140"/>
    </row>
    <row r="6928" spans="1:5">
      <c r="A6928" s="140"/>
      <c r="B6928" s="192"/>
      <c r="C6928" s="140"/>
      <c r="D6928" s="140"/>
      <c r="E6928" s="140"/>
    </row>
    <row r="6929" spans="1:5">
      <c r="A6929" s="140"/>
      <c r="B6929" s="192"/>
      <c r="C6929" s="140"/>
      <c r="D6929" s="140"/>
      <c r="E6929" s="140"/>
    </row>
    <row r="6930" spans="1:5">
      <c r="A6930" s="140"/>
      <c r="B6930" s="192"/>
      <c r="C6930" s="140"/>
      <c r="D6930" s="140"/>
      <c r="E6930" s="140"/>
    </row>
    <row r="6931" spans="1:5">
      <c r="A6931" s="140"/>
      <c r="B6931" s="192"/>
      <c r="C6931" s="140"/>
      <c r="D6931" s="140"/>
      <c r="E6931" s="140"/>
    </row>
    <row r="6932" spans="1:5">
      <c r="A6932" s="140"/>
      <c r="B6932" s="192"/>
      <c r="C6932" s="140"/>
      <c r="D6932" s="140"/>
      <c r="E6932" s="140"/>
    </row>
    <row r="6933" spans="1:5">
      <c r="A6933" s="140"/>
      <c r="B6933" s="192"/>
      <c r="C6933" s="140"/>
      <c r="D6933" s="140"/>
      <c r="E6933" s="140"/>
    </row>
    <row r="6934" spans="1:5">
      <c r="A6934" s="140"/>
      <c r="B6934" s="192"/>
      <c r="C6934" s="140"/>
      <c r="D6934" s="140"/>
      <c r="E6934" s="140"/>
    </row>
    <row r="6935" spans="1:5">
      <c r="A6935" s="140"/>
      <c r="B6935" s="192"/>
      <c r="C6935" s="140"/>
      <c r="D6935" s="140"/>
      <c r="E6935" s="140"/>
    </row>
    <row r="6936" spans="1:5">
      <c r="A6936" s="140"/>
      <c r="B6936" s="192"/>
      <c r="C6936" s="140"/>
      <c r="D6936" s="140"/>
      <c r="E6936" s="140"/>
    </row>
    <row r="6937" spans="1:5">
      <c r="A6937" s="140"/>
      <c r="B6937" s="192"/>
      <c r="C6937" s="140"/>
      <c r="D6937" s="140"/>
      <c r="E6937" s="140"/>
    </row>
    <row r="6938" spans="1:5">
      <c r="A6938" s="140"/>
      <c r="B6938" s="192"/>
      <c r="C6938" s="140"/>
      <c r="D6938" s="140"/>
      <c r="E6938" s="140"/>
    </row>
    <row r="6939" spans="1:5">
      <c r="A6939" s="140"/>
      <c r="B6939" s="192"/>
      <c r="C6939" s="140"/>
      <c r="D6939" s="140"/>
      <c r="E6939" s="140"/>
    </row>
    <row r="6940" spans="1:5">
      <c r="A6940" s="140"/>
      <c r="B6940" s="192"/>
      <c r="C6940" s="140"/>
      <c r="D6940" s="140"/>
      <c r="E6940" s="140"/>
    </row>
    <row r="6941" spans="1:5">
      <c r="A6941" s="140"/>
      <c r="B6941" s="192"/>
      <c r="C6941" s="140"/>
      <c r="D6941" s="140"/>
      <c r="E6941" s="140"/>
    </row>
    <row r="6942" spans="1:5">
      <c r="A6942" s="140"/>
      <c r="B6942" s="192"/>
      <c r="C6942" s="140"/>
      <c r="D6942" s="140"/>
      <c r="E6942" s="140"/>
    </row>
    <row r="6943" spans="1:5">
      <c r="A6943" s="140"/>
      <c r="B6943" s="192"/>
      <c r="C6943" s="140"/>
      <c r="D6943" s="140"/>
      <c r="E6943" s="140"/>
    </row>
    <row r="6944" spans="1:5">
      <c r="A6944" s="140"/>
      <c r="B6944" s="192"/>
      <c r="C6944" s="140"/>
      <c r="D6944" s="140"/>
      <c r="E6944" s="140"/>
    </row>
    <row r="6945" spans="1:5">
      <c r="A6945" s="140"/>
      <c r="B6945" s="192"/>
      <c r="C6945" s="140"/>
      <c r="D6945" s="140"/>
      <c r="E6945" s="140"/>
    </row>
    <row r="6946" spans="1:5">
      <c r="A6946" s="140"/>
      <c r="B6946" s="192"/>
      <c r="C6946" s="140"/>
      <c r="D6946" s="140"/>
      <c r="E6946" s="140"/>
    </row>
    <row r="6947" spans="1:5">
      <c r="A6947" s="140"/>
      <c r="B6947" s="192"/>
      <c r="C6947" s="140"/>
      <c r="D6947" s="140"/>
      <c r="E6947" s="140"/>
    </row>
    <row r="6948" spans="1:5">
      <c r="A6948" s="140"/>
      <c r="B6948" s="192"/>
      <c r="C6948" s="140"/>
      <c r="D6948" s="140"/>
      <c r="E6948" s="140"/>
    </row>
    <row r="6949" spans="1:5">
      <c r="A6949" s="140"/>
      <c r="B6949" s="192"/>
      <c r="C6949" s="140"/>
      <c r="D6949" s="140"/>
      <c r="E6949" s="140"/>
    </row>
    <row r="6950" spans="1:5">
      <c r="A6950" s="140"/>
      <c r="B6950" s="192"/>
      <c r="C6950" s="140"/>
      <c r="D6950" s="140"/>
      <c r="E6950" s="140"/>
    </row>
    <row r="6951" spans="1:5">
      <c r="A6951" s="140"/>
      <c r="B6951" s="192"/>
      <c r="C6951" s="140"/>
      <c r="D6951" s="140"/>
      <c r="E6951" s="140"/>
    </row>
    <row r="6952" spans="1:5">
      <c r="A6952" s="140"/>
      <c r="B6952" s="192"/>
      <c r="C6952" s="140"/>
      <c r="D6952" s="140"/>
      <c r="E6952" s="140"/>
    </row>
    <row r="6953" spans="1:5">
      <c r="A6953" s="140"/>
      <c r="B6953" s="192"/>
      <c r="C6953" s="140"/>
      <c r="D6953" s="140"/>
      <c r="E6953" s="140"/>
    </row>
    <row r="6954" spans="1:5">
      <c r="A6954" s="140"/>
      <c r="B6954" s="192"/>
      <c r="C6954" s="140"/>
      <c r="D6954" s="140"/>
      <c r="E6954" s="140"/>
    </row>
    <row r="6955" spans="1:5">
      <c r="A6955" s="140"/>
      <c r="B6955" s="192"/>
      <c r="C6955" s="140"/>
      <c r="D6955" s="140"/>
      <c r="E6955" s="140"/>
    </row>
    <row r="6956" spans="1:5">
      <c r="A6956" s="140"/>
      <c r="B6956" s="192"/>
      <c r="C6956" s="140"/>
      <c r="D6956" s="140"/>
      <c r="E6956" s="140"/>
    </row>
    <row r="6957" spans="1:5">
      <c r="A6957" s="140"/>
      <c r="B6957" s="192"/>
      <c r="C6957" s="140"/>
      <c r="D6957" s="140"/>
      <c r="E6957" s="140"/>
    </row>
    <row r="6958" spans="1:5">
      <c r="A6958" s="140"/>
      <c r="B6958" s="192"/>
      <c r="C6958" s="140"/>
      <c r="D6958" s="140"/>
      <c r="E6958" s="140"/>
    </row>
    <row r="6959" spans="1:5">
      <c r="A6959" s="140"/>
      <c r="B6959" s="192"/>
      <c r="C6959" s="140"/>
      <c r="D6959" s="140"/>
      <c r="E6959" s="140"/>
    </row>
    <row r="6960" spans="1:5">
      <c r="A6960" s="140"/>
      <c r="B6960" s="192"/>
      <c r="C6960" s="140"/>
      <c r="D6960" s="140"/>
      <c r="E6960" s="140"/>
    </row>
    <row r="6961" spans="1:5">
      <c r="A6961" s="140"/>
      <c r="B6961" s="192"/>
      <c r="C6961" s="140"/>
      <c r="D6961" s="140"/>
      <c r="E6961" s="140"/>
    </row>
    <row r="6962" spans="1:5">
      <c r="A6962" s="140"/>
      <c r="B6962" s="192"/>
      <c r="C6962" s="140"/>
      <c r="D6962" s="140"/>
      <c r="E6962" s="140"/>
    </row>
    <row r="6963" spans="1:5">
      <c r="A6963" s="140"/>
      <c r="B6963" s="192"/>
      <c r="C6963" s="140"/>
      <c r="D6963" s="140"/>
      <c r="E6963" s="140"/>
    </row>
    <row r="6964" spans="1:5">
      <c r="A6964" s="140"/>
      <c r="B6964" s="192"/>
      <c r="C6964" s="140"/>
      <c r="D6964" s="140"/>
      <c r="E6964" s="140"/>
    </row>
    <row r="6965" spans="1:5">
      <c r="A6965" s="140"/>
      <c r="B6965" s="192"/>
      <c r="C6965" s="140"/>
      <c r="D6965" s="140"/>
      <c r="E6965" s="140"/>
    </row>
    <row r="6966" spans="1:5">
      <c r="A6966" s="140"/>
      <c r="B6966" s="192"/>
      <c r="C6966" s="140"/>
      <c r="D6966" s="140"/>
      <c r="E6966" s="140"/>
    </row>
    <row r="6967" spans="1:5">
      <c r="A6967" s="140"/>
      <c r="B6967" s="192"/>
      <c r="C6967" s="140"/>
      <c r="D6967" s="140"/>
      <c r="E6967" s="140"/>
    </row>
    <row r="6968" spans="1:5">
      <c r="A6968" s="140"/>
      <c r="B6968" s="192"/>
      <c r="C6968" s="140"/>
      <c r="D6968" s="140"/>
      <c r="E6968" s="140"/>
    </row>
    <row r="6969" spans="1:5">
      <c r="A6969" s="140"/>
      <c r="B6969" s="192"/>
      <c r="C6969" s="140"/>
      <c r="D6969" s="140"/>
      <c r="E6969" s="140"/>
    </row>
    <row r="6970" spans="1:5">
      <c r="A6970" s="140"/>
      <c r="B6970" s="192"/>
      <c r="C6970" s="140"/>
      <c r="D6970" s="140"/>
      <c r="E6970" s="140"/>
    </row>
    <row r="6971" spans="1:5">
      <c r="A6971" s="140"/>
      <c r="B6971" s="192"/>
      <c r="C6971" s="140"/>
      <c r="D6971" s="140"/>
      <c r="E6971" s="140"/>
    </row>
    <row r="6972" spans="1:5">
      <c r="A6972" s="140"/>
      <c r="B6972" s="192"/>
      <c r="C6972" s="140"/>
      <c r="D6972" s="140"/>
      <c r="E6972" s="140"/>
    </row>
    <row r="6973" spans="1:5">
      <c r="A6973" s="140"/>
      <c r="B6973" s="192"/>
      <c r="C6973" s="140"/>
      <c r="D6973" s="140"/>
      <c r="E6973" s="140"/>
    </row>
    <row r="6974" spans="1:5">
      <c r="A6974" s="140"/>
      <c r="B6974" s="192"/>
      <c r="C6974" s="140"/>
      <c r="D6974" s="140"/>
      <c r="E6974" s="140"/>
    </row>
    <row r="6975" spans="1:5">
      <c r="A6975" s="140"/>
      <c r="B6975" s="192"/>
      <c r="C6975" s="140"/>
      <c r="D6975" s="140"/>
      <c r="E6975" s="140"/>
    </row>
    <row r="6976" spans="1:5">
      <c r="A6976" s="140"/>
      <c r="B6976" s="192"/>
      <c r="C6976" s="140"/>
      <c r="D6976" s="140"/>
      <c r="E6976" s="140"/>
    </row>
    <row r="6977" spans="1:5">
      <c r="A6977" s="140"/>
      <c r="B6977" s="192"/>
      <c r="C6977" s="140"/>
      <c r="D6977" s="140"/>
      <c r="E6977" s="140"/>
    </row>
    <row r="6978" spans="1:5">
      <c r="A6978" s="140"/>
      <c r="B6978" s="192"/>
      <c r="C6978" s="140"/>
      <c r="D6978" s="140"/>
      <c r="E6978" s="140"/>
    </row>
    <row r="6979" spans="1:5">
      <c r="A6979" s="140"/>
      <c r="B6979" s="192"/>
      <c r="C6979" s="140"/>
      <c r="D6979" s="140"/>
      <c r="E6979" s="140"/>
    </row>
    <row r="6980" spans="1:5">
      <c r="A6980" s="140"/>
      <c r="B6980" s="192"/>
      <c r="C6980" s="140"/>
      <c r="D6980" s="140"/>
      <c r="E6980" s="140"/>
    </row>
    <row r="6981" spans="1:5">
      <c r="A6981" s="140"/>
      <c r="B6981" s="192"/>
      <c r="C6981" s="140"/>
      <c r="D6981" s="140"/>
      <c r="E6981" s="140"/>
    </row>
    <row r="6982" spans="1:5">
      <c r="A6982" s="140"/>
      <c r="B6982" s="192"/>
      <c r="C6982" s="140"/>
      <c r="D6982" s="140"/>
      <c r="E6982" s="140"/>
    </row>
    <row r="6983" spans="1:5">
      <c r="A6983" s="140"/>
      <c r="B6983" s="192"/>
      <c r="C6983" s="140"/>
      <c r="D6983" s="140"/>
      <c r="E6983" s="140"/>
    </row>
    <row r="6984" spans="1:5">
      <c r="A6984" s="140"/>
      <c r="B6984" s="192"/>
      <c r="C6984" s="140"/>
      <c r="D6984" s="140"/>
      <c r="E6984" s="140"/>
    </row>
    <row r="6985" spans="1:5">
      <c r="A6985" s="140"/>
      <c r="B6985" s="192"/>
      <c r="C6985" s="140"/>
      <c r="D6985" s="140"/>
      <c r="E6985" s="140"/>
    </row>
    <row r="6986" spans="1:5">
      <c r="A6986" s="140"/>
      <c r="B6986" s="192"/>
      <c r="C6986" s="140"/>
      <c r="D6986" s="140"/>
      <c r="E6986" s="140"/>
    </row>
    <row r="6987" spans="1:5">
      <c r="A6987" s="140"/>
      <c r="B6987" s="192"/>
      <c r="C6987" s="140"/>
      <c r="D6987" s="140"/>
      <c r="E6987" s="140"/>
    </row>
    <row r="6988" spans="1:5">
      <c r="A6988" s="140"/>
      <c r="B6988" s="192"/>
      <c r="C6988" s="140"/>
      <c r="D6988" s="140"/>
      <c r="E6988" s="140"/>
    </row>
    <row r="6989" spans="1:5">
      <c r="A6989" s="140"/>
      <c r="B6989" s="192"/>
      <c r="C6989" s="140"/>
      <c r="D6989" s="140"/>
      <c r="E6989" s="140"/>
    </row>
    <row r="6990" spans="1:5">
      <c r="A6990" s="140"/>
      <c r="B6990" s="192"/>
      <c r="C6990" s="140"/>
      <c r="D6990" s="140"/>
      <c r="E6990" s="140"/>
    </row>
    <row r="6991" spans="1:5">
      <c r="A6991" s="140"/>
      <c r="B6991" s="192"/>
      <c r="C6991" s="140"/>
      <c r="D6991" s="140"/>
      <c r="E6991" s="140"/>
    </row>
    <row r="6992" spans="1:5">
      <c r="A6992" s="140"/>
      <c r="B6992" s="192"/>
      <c r="C6992" s="140"/>
      <c r="D6992" s="140"/>
      <c r="E6992" s="140"/>
    </row>
    <row r="6993" spans="1:5">
      <c r="A6993" s="140"/>
      <c r="B6993" s="192"/>
      <c r="C6993" s="140"/>
      <c r="D6993" s="140"/>
      <c r="E6993" s="140"/>
    </row>
    <row r="6994" spans="1:5">
      <c r="A6994" s="140"/>
      <c r="B6994" s="192"/>
      <c r="C6994" s="140"/>
      <c r="D6994" s="140"/>
      <c r="E6994" s="140"/>
    </row>
    <row r="6995" spans="1:5">
      <c r="A6995" s="140"/>
      <c r="B6995" s="192"/>
      <c r="C6995" s="140"/>
      <c r="D6995" s="140"/>
      <c r="E6995" s="140"/>
    </row>
    <row r="6996" spans="1:5">
      <c r="A6996" s="140"/>
      <c r="B6996" s="192"/>
      <c r="C6996" s="140"/>
      <c r="D6996" s="140"/>
      <c r="E6996" s="140"/>
    </row>
    <row r="6997" spans="1:5">
      <c r="A6997" s="140"/>
      <c r="B6997" s="192"/>
      <c r="C6997" s="140"/>
      <c r="D6997" s="140"/>
      <c r="E6997" s="140"/>
    </row>
    <row r="6998" spans="1:5">
      <c r="A6998" s="140"/>
      <c r="B6998" s="192"/>
      <c r="C6998" s="140"/>
      <c r="D6998" s="140"/>
      <c r="E6998" s="140"/>
    </row>
    <row r="6999" spans="1:5">
      <c r="A6999" s="140"/>
      <c r="B6999" s="192"/>
      <c r="C6999" s="140"/>
      <c r="D6999" s="140"/>
      <c r="E6999" s="140"/>
    </row>
    <row r="7000" spans="1:5">
      <c r="A7000" s="140"/>
      <c r="B7000" s="192"/>
      <c r="C7000" s="140"/>
      <c r="D7000" s="140"/>
      <c r="E7000" s="140"/>
    </row>
    <row r="7001" spans="1:5">
      <c r="A7001" s="140"/>
      <c r="B7001" s="192"/>
      <c r="C7001" s="140"/>
      <c r="D7001" s="140"/>
      <c r="E7001" s="140"/>
    </row>
    <row r="7002" spans="1:5">
      <c r="A7002" s="140"/>
      <c r="B7002" s="192"/>
      <c r="C7002" s="140"/>
      <c r="D7002" s="140"/>
      <c r="E7002" s="140"/>
    </row>
    <row r="7003" spans="1:5">
      <c r="A7003" s="140"/>
      <c r="B7003" s="192"/>
      <c r="C7003" s="140"/>
      <c r="D7003" s="140"/>
      <c r="E7003" s="140"/>
    </row>
    <row r="7004" spans="1:5">
      <c r="A7004" s="140"/>
      <c r="B7004" s="192"/>
      <c r="C7004" s="140"/>
      <c r="D7004" s="140"/>
      <c r="E7004" s="140"/>
    </row>
    <row r="7005" spans="1:5">
      <c r="A7005" s="140"/>
      <c r="B7005" s="192"/>
      <c r="C7005" s="140"/>
      <c r="D7005" s="140"/>
      <c r="E7005" s="140"/>
    </row>
    <row r="7006" spans="1:5">
      <c r="A7006" s="140"/>
      <c r="B7006" s="192"/>
      <c r="C7006" s="140"/>
      <c r="D7006" s="140"/>
      <c r="E7006" s="140"/>
    </row>
    <row r="7007" spans="1:5">
      <c r="A7007" s="140"/>
      <c r="B7007" s="192"/>
      <c r="C7007" s="140"/>
      <c r="D7007" s="140"/>
      <c r="E7007" s="140"/>
    </row>
    <row r="7008" spans="1:5">
      <c r="A7008" s="140"/>
      <c r="B7008" s="192"/>
      <c r="C7008" s="140"/>
      <c r="D7008" s="140"/>
      <c r="E7008" s="140"/>
    </row>
    <row r="7009" spans="1:5">
      <c r="A7009" s="140"/>
      <c r="B7009" s="192"/>
      <c r="C7009" s="140"/>
      <c r="D7009" s="140"/>
      <c r="E7009" s="140"/>
    </row>
    <row r="7010" spans="1:5">
      <c r="A7010" s="140"/>
      <c r="B7010" s="192"/>
      <c r="C7010" s="140"/>
      <c r="D7010" s="140"/>
      <c r="E7010" s="140"/>
    </row>
    <row r="7011" spans="1:5">
      <c r="A7011" s="140"/>
      <c r="B7011" s="192"/>
      <c r="C7011" s="140"/>
      <c r="D7011" s="140"/>
      <c r="E7011" s="140"/>
    </row>
    <row r="7012" spans="1:5">
      <c r="A7012" s="140"/>
      <c r="B7012" s="192"/>
      <c r="C7012" s="140"/>
      <c r="D7012" s="140"/>
      <c r="E7012" s="140"/>
    </row>
    <row r="7013" spans="1:5">
      <c r="A7013" s="140"/>
      <c r="B7013" s="192"/>
      <c r="C7013" s="140"/>
      <c r="D7013" s="140"/>
      <c r="E7013" s="140"/>
    </row>
    <row r="7014" spans="1:5">
      <c r="A7014" s="140"/>
      <c r="B7014" s="192"/>
      <c r="C7014" s="140"/>
      <c r="D7014" s="140"/>
      <c r="E7014" s="140"/>
    </row>
    <row r="7015" spans="1:5">
      <c r="A7015" s="140"/>
      <c r="B7015" s="192"/>
      <c r="C7015" s="140"/>
      <c r="D7015" s="140"/>
      <c r="E7015" s="140"/>
    </row>
    <row r="7016" spans="1:5">
      <c r="A7016" s="140"/>
      <c r="B7016" s="192"/>
      <c r="C7016" s="140"/>
      <c r="D7016" s="140"/>
      <c r="E7016" s="140"/>
    </row>
    <row r="7017" spans="1:5">
      <c r="A7017" s="140"/>
      <c r="B7017" s="192"/>
      <c r="C7017" s="140"/>
      <c r="D7017" s="140"/>
      <c r="E7017" s="140"/>
    </row>
    <row r="7018" spans="1:5">
      <c r="A7018" s="140"/>
      <c r="B7018" s="192"/>
      <c r="C7018" s="140"/>
      <c r="D7018" s="140"/>
      <c r="E7018" s="140"/>
    </row>
    <row r="7019" spans="1:5">
      <c r="A7019" s="140"/>
      <c r="B7019" s="192"/>
      <c r="C7019" s="140"/>
      <c r="D7019" s="140"/>
      <c r="E7019" s="140"/>
    </row>
    <row r="7020" spans="1:5">
      <c r="A7020" s="140"/>
      <c r="B7020" s="192"/>
      <c r="C7020" s="140"/>
      <c r="D7020" s="140"/>
      <c r="E7020" s="140"/>
    </row>
    <row r="7021" spans="1:5">
      <c r="A7021" s="140"/>
      <c r="B7021" s="192"/>
      <c r="C7021" s="140"/>
      <c r="D7021" s="140"/>
      <c r="E7021" s="140"/>
    </row>
    <row r="7022" spans="1:5">
      <c r="A7022" s="140"/>
      <c r="B7022" s="192"/>
      <c r="C7022" s="140"/>
      <c r="D7022" s="140"/>
      <c r="E7022" s="140"/>
    </row>
    <row r="7023" spans="1:5">
      <c r="A7023" s="140"/>
      <c r="B7023" s="192"/>
      <c r="C7023" s="140"/>
      <c r="D7023" s="140"/>
      <c r="E7023" s="140"/>
    </row>
    <row r="7024" spans="1:5">
      <c r="A7024" s="140"/>
      <c r="B7024" s="192"/>
      <c r="C7024" s="140"/>
      <c r="D7024" s="140"/>
      <c r="E7024" s="140"/>
    </row>
    <row r="7025" spans="1:5">
      <c r="A7025" s="140"/>
      <c r="B7025" s="192"/>
      <c r="C7025" s="140"/>
      <c r="D7025" s="140"/>
      <c r="E7025" s="140"/>
    </row>
    <row r="7026" spans="1:5">
      <c r="A7026" s="140"/>
      <c r="B7026" s="192"/>
      <c r="C7026" s="140"/>
      <c r="D7026" s="140"/>
      <c r="E7026" s="140"/>
    </row>
    <row r="7027" spans="1:5">
      <c r="A7027" s="140"/>
      <c r="B7027" s="192"/>
      <c r="C7027" s="140"/>
      <c r="D7027" s="140"/>
      <c r="E7027" s="140"/>
    </row>
    <row r="7028" spans="1:5">
      <c r="A7028" s="140"/>
      <c r="B7028" s="192"/>
      <c r="C7028" s="140"/>
      <c r="D7028" s="140"/>
      <c r="E7028" s="140"/>
    </row>
    <row r="7029" spans="1:5">
      <c r="A7029" s="140"/>
      <c r="B7029" s="192"/>
      <c r="C7029" s="140"/>
      <c r="D7029" s="140"/>
      <c r="E7029" s="140"/>
    </row>
    <row r="7030" spans="1:5">
      <c r="A7030" s="140"/>
      <c r="B7030" s="192"/>
      <c r="C7030" s="140"/>
      <c r="D7030" s="140"/>
      <c r="E7030" s="140"/>
    </row>
    <row r="7031" spans="1:5">
      <c r="A7031" s="140"/>
      <c r="B7031" s="192"/>
      <c r="C7031" s="140"/>
      <c r="D7031" s="140"/>
      <c r="E7031" s="140"/>
    </row>
    <row r="7032" spans="1:5">
      <c r="A7032" s="140"/>
      <c r="B7032" s="192"/>
      <c r="C7032" s="140"/>
      <c r="D7032" s="140"/>
      <c r="E7032" s="140"/>
    </row>
    <row r="7033" spans="1:5">
      <c r="A7033" s="140"/>
      <c r="B7033" s="192"/>
      <c r="C7033" s="140"/>
      <c r="D7033" s="140"/>
      <c r="E7033" s="140"/>
    </row>
    <row r="7034" spans="1:5">
      <c r="A7034" s="140"/>
      <c r="B7034" s="192"/>
      <c r="C7034" s="140"/>
      <c r="D7034" s="140"/>
      <c r="E7034" s="140"/>
    </row>
    <row r="7035" spans="1:5">
      <c r="A7035" s="140"/>
      <c r="B7035" s="192"/>
      <c r="C7035" s="140"/>
      <c r="D7035" s="140"/>
      <c r="E7035" s="140"/>
    </row>
    <row r="7036" spans="1:5">
      <c r="A7036" s="140"/>
      <c r="B7036" s="192"/>
      <c r="C7036" s="140"/>
      <c r="D7036" s="140"/>
      <c r="E7036" s="140"/>
    </row>
    <row r="7037" spans="1:5">
      <c r="A7037" s="140"/>
      <c r="B7037" s="192"/>
      <c r="C7037" s="140"/>
      <c r="D7037" s="140"/>
      <c r="E7037" s="140"/>
    </row>
    <row r="7038" spans="1:5">
      <c r="A7038" s="140"/>
      <c r="B7038" s="192"/>
      <c r="C7038" s="140"/>
      <c r="D7038" s="140"/>
      <c r="E7038" s="140"/>
    </row>
    <row r="7039" spans="1:5">
      <c r="A7039" s="140"/>
      <c r="B7039" s="192"/>
      <c r="C7039" s="140"/>
      <c r="D7039" s="140"/>
      <c r="E7039" s="140"/>
    </row>
    <row r="7040" spans="1:5">
      <c r="A7040" s="140"/>
      <c r="B7040" s="192"/>
      <c r="C7040" s="140"/>
      <c r="D7040" s="140"/>
      <c r="E7040" s="140"/>
    </row>
    <row r="7041" spans="1:5">
      <c r="A7041" s="140"/>
      <c r="B7041" s="192"/>
      <c r="C7041" s="140"/>
      <c r="D7041" s="140"/>
      <c r="E7041" s="140"/>
    </row>
    <row r="7042" spans="1:5">
      <c r="A7042" s="140"/>
      <c r="B7042" s="192"/>
      <c r="C7042" s="140"/>
      <c r="D7042" s="140"/>
      <c r="E7042" s="140"/>
    </row>
    <row r="7043" spans="1:5">
      <c r="A7043" s="140"/>
      <c r="B7043" s="192"/>
      <c r="C7043" s="140"/>
      <c r="D7043" s="140"/>
      <c r="E7043" s="140"/>
    </row>
    <row r="7044" spans="1:5">
      <c r="A7044" s="140"/>
      <c r="B7044" s="192"/>
      <c r="C7044" s="140"/>
      <c r="D7044" s="140"/>
      <c r="E7044" s="140"/>
    </row>
    <row r="7045" spans="1:5">
      <c r="A7045" s="140"/>
      <c r="B7045" s="192"/>
      <c r="C7045" s="140"/>
      <c r="D7045" s="140"/>
      <c r="E7045" s="140"/>
    </row>
    <row r="7046" spans="1:5">
      <c r="A7046" s="140"/>
      <c r="B7046" s="192"/>
      <c r="C7046" s="140"/>
      <c r="D7046" s="140"/>
      <c r="E7046" s="140"/>
    </row>
    <row r="7047" spans="1:5">
      <c r="A7047" s="140"/>
      <c r="B7047" s="192"/>
      <c r="C7047" s="140"/>
      <c r="D7047" s="140"/>
      <c r="E7047" s="140"/>
    </row>
    <row r="7048" spans="1:5">
      <c r="A7048" s="140"/>
      <c r="B7048" s="192"/>
      <c r="C7048" s="140"/>
      <c r="D7048" s="140"/>
      <c r="E7048" s="140"/>
    </row>
    <row r="7049" spans="1:5">
      <c r="A7049" s="140"/>
      <c r="B7049" s="192"/>
      <c r="C7049" s="140"/>
      <c r="D7049" s="140"/>
      <c r="E7049" s="140"/>
    </row>
    <row r="7050" spans="1:5">
      <c r="A7050" s="140"/>
      <c r="B7050" s="192"/>
      <c r="C7050" s="140"/>
      <c r="D7050" s="140"/>
      <c r="E7050" s="140"/>
    </row>
    <row r="7051" spans="1:5">
      <c r="A7051" s="140"/>
      <c r="B7051" s="192"/>
      <c r="C7051" s="140"/>
      <c r="D7051" s="140"/>
      <c r="E7051" s="140"/>
    </row>
    <row r="7052" spans="1:5">
      <c r="A7052" s="140"/>
      <c r="B7052" s="192"/>
      <c r="C7052" s="140"/>
      <c r="D7052" s="140"/>
      <c r="E7052" s="140"/>
    </row>
    <row r="7053" spans="1:5">
      <c r="A7053" s="140"/>
      <c r="B7053" s="192"/>
      <c r="C7053" s="140"/>
      <c r="D7053" s="140"/>
      <c r="E7053" s="140"/>
    </row>
    <row r="7054" spans="1:5">
      <c r="A7054" s="140"/>
      <c r="B7054" s="192"/>
      <c r="C7054" s="140"/>
      <c r="D7054" s="140"/>
      <c r="E7054" s="140"/>
    </row>
    <row r="7055" spans="1:5">
      <c r="A7055" s="140"/>
      <c r="B7055" s="192"/>
      <c r="C7055" s="140"/>
      <c r="D7055" s="140"/>
      <c r="E7055" s="140"/>
    </row>
    <row r="7056" spans="1:5">
      <c r="A7056" s="140"/>
      <c r="B7056" s="192"/>
      <c r="C7056" s="140"/>
      <c r="D7056" s="140"/>
      <c r="E7056" s="140"/>
    </row>
    <row r="7057" spans="1:5">
      <c r="A7057" s="140"/>
      <c r="B7057" s="192"/>
      <c r="C7057" s="140"/>
      <c r="D7057" s="140"/>
      <c r="E7057" s="140"/>
    </row>
    <row r="7058" spans="1:5">
      <c r="A7058" s="140"/>
      <c r="B7058" s="192"/>
      <c r="C7058" s="140"/>
      <c r="D7058" s="140"/>
      <c r="E7058" s="140"/>
    </row>
    <row r="7059" spans="1:5">
      <c r="A7059" s="140"/>
      <c r="B7059" s="192"/>
      <c r="C7059" s="140"/>
      <c r="D7059" s="140"/>
      <c r="E7059" s="140"/>
    </row>
    <row r="7060" spans="1:5">
      <c r="A7060" s="140"/>
      <c r="B7060" s="192"/>
      <c r="C7060" s="140"/>
      <c r="D7060" s="140"/>
      <c r="E7060" s="140"/>
    </row>
    <row r="7061" spans="1:5">
      <c r="A7061" s="140"/>
      <c r="B7061" s="192"/>
      <c r="C7061" s="140"/>
      <c r="D7061" s="140"/>
      <c r="E7061" s="140"/>
    </row>
    <row r="7062" spans="1:5">
      <c r="A7062" s="140"/>
      <c r="B7062" s="192"/>
      <c r="C7062" s="140"/>
      <c r="D7062" s="140"/>
      <c r="E7062" s="140"/>
    </row>
    <row r="7063" spans="1:5">
      <c r="A7063" s="140"/>
      <c r="B7063" s="192"/>
      <c r="C7063" s="140"/>
      <c r="D7063" s="140"/>
      <c r="E7063" s="140"/>
    </row>
    <row r="7064" spans="1:5">
      <c r="A7064" s="140"/>
      <c r="B7064" s="192"/>
      <c r="C7064" s="140"/>
      <c r="D7064" s="140"/>
      <c r="E7064" s="140"/>
    </row>
    <row r="7065" spans="1:5">
      <c r="A7065" s="140"/>
      <c r="B7065" s="192"/>
      <c r="C7065" s="140"/>
      <c r="D7065" s="140"/>
      <c r="E7065" s="140"/>
    </row>
    <row r="7066" spans="1:5">
      <c r="A7066" s="140"/>
      <c r="B7066" s="192"/>
      <c r="C7066" s="140"/>
      <c r="D7066" s="140"/>
      <c r="E7066" s="140"/>
    </row>
    <row r="7067" spans="1:5">
      <c r="A7067" s="140"/>
      <c r="B7067" s="192"/>
      <c r="C7067" s="140"/>
      <c r="D7067" s="140"/>
      <c r="E7067" s="140"/>
    </row>
    <row r="7068" spans="1:5">
      <c r="A7068" s="140"/>
      <c r="B7068" s="192"/>
      <c r="C7068" s="140"/>
      <c r="D7068" s="140"/>
      <c r="E7068" s="140"/>
    </row>
    <row r="7069" spans="1:5">
      <c r="A7069" s="140"/>
      <c r="B7069" s="192"/>
      <c r="C7069" s="140"/>
      <c r="D7069" s="140"/>
      <c r="E7069" s="140"/>
    </row>
    <row r="7070" spans="1:5">
      <c r="A7070" s="140"/>
      <c r="B7070" s="192"/>
      <c r="C7070" s="140"/>
      <c r="D7070" s="140"/>
      <c r="E7070" s="140"/>
    </row>
    <row r="7071" spans="1:5">
      <c r="A7071" s="140"/>
      <c r="B7071" s="192"/>
      <c r="C7071" s="140"/>
      <c r="D7071" s="140"/>
      <c r="E7071" s="140"/>
    </row>
    <row r="7072" spans="1:5">
      <c r="A7072" s="140"/>
      <c r="B7072" s="192"/>
      <c r="C7072" s="140"/>
      <c r="D7072" s="140"/>
      <c r="E7072" s="140"/>
    </row>
    <row r="7073" spans="1:5">
      <c r="A7073" s="140"/>
      <c r="B7073" s="192"/>
      <c r="C7073" s="140"/>
      <c r="D7073" s="140"/>
      <c r="E7073" s="140"/>
    </row>
    <row r="7074" spans="1:5">
      <c r="A7074" s="140"/>
      <c r="B7074" s="192"/>
      <c r="C7074" s="140"/>
      <c r="D7074" s="140"/>
      <c r="E7074" s="140"/>
    </row>
    <row r="7075" spans="1:5">
      <c r="A7075" s="140"/>
      <c r="B7075" s="192"/>
      <c r="C7075" s="140"/>
      <c r="D7075" s="140"/>
      <c r="E7075" s="140"/>
    </row>
    <row r="7076" spans="1:5">
      <c r="A7076" s="140"/>
      <c r="B7076" s="192"/>
      <c r="C7076" s="140"/>
      <c r="D7076" s="140"/>
      <c r="E7076" s="140"/>
    </row>
    <row r="7077" spans="1:5">
      <c r="A7077" s="140"/>
      <c r="B7077" s="192"/>
      <c r="C7077" s="140"/>
      <c r="D7077" s="140"/>
      <c r="E7077" s="140"/>
    </row>
    <row r="7078" spans="1:5">
      <c r="A7078" s="140"/>
      <c r="B7078" s="192"/>
      <c r="C7078" s="140"/>
      <c r="D7078" s="140"/>
      <c r="E7078" s="140"/>
    </row>
    <row r="7079" spans="1:5">
      <c r="A7079" s="140"/>
      <c r="B7079" s="192"/>
      <c r="C7079" s="140"/>
      <c r="D7079" s="140"/>
      <c r="E7079" s="140"/>
    </row>
    <row r="7080" spans="1:5">
      <c r="A7080" s="140"/>
      <c r="B7080" s="192"/>
      <c r="C7080" s="140"/>
      <c r="D7080" s="140"/>
      <c r="E7080" s="140"/>
    </row>
    <row r="7081" spans="1:5">
      <c r="A7081" s="140"/>
      <c r="B7081" s="192"/>
      <c r="C7081" s="140"/>
      <c r="D7081" s="140"/>
      <c r="E7081" s="140"/>
    </row>
    <row r="7082" spans="1:5">
      <c r="A7082" s="140"/>
      <c r="B7082" s="192"/>
      <c r="C7082" s="140"/>
      <c r="D7082" s="140"/>
      <c r="E7082" s="140"/>
    </row>
    <row r="7083" spans="1:5">
      <c r="A7083" s="140"/>
      <c r="B7083" s="192"/>
      <c r="C7083" s="140"/>
      <c r="D7083" s="140"/>
      <c r="E7083" s="140"/>
    </row>
    <row r="7084" spans="1:5">
      <c r="A7084" s="140"/>
      <c r="B7084" s="192"/>
      <c r="C7084" s="140"/>
      <c r="D7084" s="140"/>
      <c r="E7084" s="140"/>
    </row>
    <row r="7085" spans="1:5">
      <c r="A7085" s="140"/>
      <c r="B7085" s="192"/>
      <c r="C7085" s="140"/>
      <c r="D7085" s="140"/>
      <c r="E7085" s="140"/>
    </row>
    <row r="7086" spans="1:5">
      <c r="A7086" s="140"/>
      <c r="B7086" s="192"/>
      <c r="C7086" s="140"/>
      <c r="D7086" s="140"/>
      <c r="E7086" s="140"/>
    </row>
    <row r="7087" spans="1:5">
      <c r="A7087" s="140"/>
      <c r="B7087" s="192"/>
      <c r="C7087" s="140"/>
      <c r="D7087" s="140"/>
      <c r="E7087" s="140"/>
    </row>
    <row r="7088" spans="1:5">
      <c r="A7088" s="140"/>
      <c r="B7088" s="192"/>
      <c r="C7088" s="140"/>
      <c r="D7088" s="140"/>
      <c r="E7088" s="140"/>
    </row>
    <row r="7089" spans="1:5">
      <c r="A7089" s="140"/>
      <c r="B7089" s="192"/>
      <c r="C7089" s="140"/>
      <c r="D7089" s="140"/>
      <c r="E7089" s="140"/>
    </row>
    <row r="7090" spans="1:5">
      <c r="A7090" s="140"/>
      <c r="B7090" s="192"/>
      <c r="C7090" s="140"/>
      <c r="D7090" s="140"/>
      <c r="E7090" s="140"/>
    </row>
    <row r="7091" spans="1:5">
      <c r="A7091" s="140"/>
      <c r="B7091" s="192"/>
      <c r="C7091" s="140"/>
      <c r="D7091" s="140"/>
      <c r="E7091" s="140"/>
    </row>
    <row r="7092" spans="1:5">
      <c r="A7092" s="140"/>
      <c r="B7092" s="192"/>
      <c r="C7092" s="140"/>
      <c r="D7092" s="140"/>
      <c r="E7092" s="140"/>
    </row>
    <row r="7093" spans="1:5">
      <c r="A7093" s="140"/>
      <c r="B7093" s="192"/>
      <c r="C7093" s="140"/>
      <c r="D7093" s="140"/>
      <c r="E7093" s="140"/>
    </row>
    <row r="7094" spans="1:5">
      <c r="A7094" s="140"/>
      <c r="B7094" s="192"/>
      <c r="C7094" s="140"/>
      <c r="D7094" s="140"/>
      <c r="E7094" s="140"/>
    </row>
    <row r="7095" spans="1:5">
      <c r="A7095" s="140"/>
      <c r="B7095" s="192"/>
      <c r="C7095" s="140"/>
      <c r="D7095" s="140"/>
      <c r="E7095" s="140"/>
    </row>
    <row r="7096" spans="1:5">
      <c r="A7096" s="140"/>
      <c r="B7096" s="192"/>
      <c r="C7096" s="140"/>
      <c r="D7096" s="140"/>
      <c r="E7096" s="140"/>
    </row>
    <row r="7097" spans="1:5">
      <c r="A7097" s="140"/>
      <c r="B7097" s="192"/>
      <c r="C7097" s="140"/>
      <c r="D7097" s="140"/>
      <c r="E7097" s="140"/>
    </row>
    <row r="7098" spans="1:5">
      <c r="A7098" s="140"/>
      <c r="B7098" s="192"/>
      <c r="C7098" s="140"/>
      <c r="D7098" s="140"/>
      <c r="E7098" s="140"/>
    </row>
    <row r="7099" spans="1:5">
      <c r="A7099" s="140"/>
      <c r="B7099" s="192"/>
      <c r="C7099" s="140"/>
      <c r="D7099" s="140"/>
      <c r="E7099" s="140"/>
    </row>
    <row r="7100" spans="1:5">
      <c r="A7100" s="140"/>
      <c r="B7100" s="192"/>
      <c r="C7100" s="140"/>
      <c r="D7100" s="140"/>
      <c r="E7100" s="140"/>
    </row>
    <row r="7101" spans="1:5">
      <c r="A7101" s="140"/>
      <c r="B7101" s="192"/>
      <c r="C7101" s="140"/>
      <c r="D7101" s="140"/>
      <c r="E7101" s="140"/>
    </row>
    <row r="7102" spans="1:5">
      <c r="A7102" s="140"/>
      <c r="B7102" s="192"/>
      <c r="C7102" s="140"/>
      <c r="D7102" s="140"/>
      <c r="E7102" s="140"/>
    </row>
    <row r="7103" spans="1:5">
      <c r="A7103" s="140"/>
      <c r="B7103" s="192"/>
      <c r="C7103" s="140"/>
      <c r="D7103" s="140"/>
      <c r="E7103" s="140"/>
    </row>
    <row r="7104" spans="1:5">
      <c r="A7104" s="140"/>
      <c r="B7104" s="192"/>
      <c r="C7104" s="140"/>
      <c r="D7104" s="140"/>
      <c r="E7104" s="140"/>
    </row>
    <row r="7105" spans="1:5">
      <c r="A7105" s="140"/>
      <c r="B7105" s="192"/>
      <c r="C7105" s="140"/>
      <c r="D7105" s="140"/>
      <c r="E7105" s="140"/>
    </row>
    <row r="7106" spans="1:5">
      <c r="A7106" s="140"/>
      <c r="B7106" s="192"/>
      <c r="C7106" s="140"/>
      <c r="D7106" s="140"/>
      <c r="E7106" s="140"/>
    </row>
    <row r="7107" spans="1:5">
      <c r="A7107" s="140"/>
      <c r="B7107" s="192"/>
      <c r="C7107" s="140"/>
      <c r="D7107" s="140"/>
      <c r="E7107" s="140"/>
    </row>
    <row r="7108" spans="1:5">
      <c r="A7108" s="140"/>
      <c r="B7108" s="192"/>
      <c r="C7108" s="140"/>
      <c r="D7108" s="140"/>
      <c r="E7108" s="140"/>
    </row>
    <row r="7109" spans="1:5">
      <c r="A7109" s="140"/>
      <c r="B7109" s="192"/>
      <c r="C7109" s="140"/>
      <c r="D7109" s="140"/>
      <c r="E7109" s="140"/>
    </row>
    <row r="7110" spans="1:5">
      <c r="A7110" s="140"/>
      <c r="B7110" s="192"/>
      <c r="C7110" s="140"/>
      <c r="D7110" s="140"/>
      <c r="E7110" s="140"/>
    </row>
    <row r="7111" spans="1:5">
      <c r="A7111" s="140"/>
      <c r="B7111" s="192"/>
      <c r="C7111" s="140"/>
      <c r="D7111" s="140"/>
      <c r="E7111" s="140"/>
    </row>
    <row r="7112" spans="1:5">
      <c r="A7112" s="140"/>
      <c r="B7112" s="192"/>
      <c r="C7112" s="140"/>
      <c r="D7112" s="140"/>
      <c r="E7112" s="140"/>
    </row>
    <row r="7113" spans="1:5">
      <c r="A7113" s="140"/>
      <c r="B7113" s="192"/>
      <c r="C7113" s="140"/>
      <c r="D7113" s="140"/>
      <c r="E7113" s="140"/>
    </row>
    <row r="7114" spans="1:5">
      <c r="A7114" s="140"/>
      <c r="B7114" s="192"/>
      <c r="C7114" s="140"/>
      <c r="D7114" s="140"/>
      <c r="E7114" s="140"/>
    </row>
    <row r="7115" spans="1:5">
      <c r="A7115" s="140"/>
      <c r="B7115" s="192"/>
      <c r="C7115" s="140"/>
      <c r="D7115" s="140"/>
      <c r="E7115" s="140"/>
    </row>
    <row r="7116" spans="1:5">
      <c r="A7116" s="140"/>
      <c r="B7116" s="192"/>
      <c r="C7116" s="140"/>
      <c r="D7116" s="140"/>
      <c r="E7116" s="140"/>
    </row>
    <row r="7117" spans="1:5">
      <c r="A7117" s="140"/>
      <c r="B7117" s="192"/>
      <c r="C7117" s="140"/>
      <c r="D7117" s="140"/>
      <c r="E7117" s="140"/>
    </row>
    <row r="7118" spans="1:5">
      <c r="A7118" s="140"/>
      <c r="B7118" s="192"/>
      <c r="C7118" s="140"/>
      <c r="D7118" s="140"/>
      <c r="E7118" s="140"/>
    </row>
    <row r="7119" spans="1:5">
      <c r="A7119" s="140"/>
      <c r="B7119" s="192"/>
      <c r="C7119" s="140"/>
      <c r="D7119" s="140"/>
      <c r="E7119" s="140"/>
    </row>
    <row r="7120" spans="1:5">
      <c r="A7120" s="140"/>
      <c r="B7120" s="192"/>
      <c r="C7120" s="140"/>
      <c r="D7120" s="140"/>
      <c r="E7120" s="140"/>
    </row>
    <row r="7121" spans="1:5">
      <c r="A7121" s="140"/>
      <c r="B7121" s="192"/>
      <c r="C7121" s="140"/>
      <c r="D7121" s="140"/>
      <c r="E7121" s="140"/>
    </row>
    <row r="7122" spans="1:5">
      <c r="A7122" s="140"/>
      <c r="B7122" s="192"/>
      <c r="C7122" s="140"/>
      <c r="D7122" s="140"/>
      <c r="E7122" s="140"/>
    </row>
    <row r="7123" spans="1:5">
      <c r="A7123" s="140"/>
      <c r="B7123" s="192"/>
      <c r="C7123" s="140"/>
      <c r="D7123" s="140"/>
      <c r="E7123" s="140"/>
    </row>
    <row r="7124" spans="1:5">
      <c r="A7124" s="140"/>
      <c r="B7124" s="192"/>
      <c r="C7124" s="140"/>
      <c r="D7124" s="140"/>
      <c r="E7124" s="140"/>
    </row>
    <row r="7125" spans="1:5">
      <c r="A7125" s="140"/>
      <c r="B7125" s="192"/>
      <c r="C7125" s="140"/>
      <c r="D7125" s="140"/>
      <c r="E7125" s="140"/>
    </row>
    <row r="7126" spans="1:5">
      <c r="A7126" s="140"/>
      <c r="B7126" s="192"/>
      <c r="C7126" s="140"/>
      <c r="D7126" s="140"/>
      <c r="E7126" s="140"/>
    </row>
    <row r="7127" spans="1:5">
      <c r="A7127" s="140"/>
      <c r="B7127" s="192"/>
      <c r="C7127" s="140"/>
      <c r="D7127" s="140"/>
      <c r="E7127" s="140"/>
    </row>
    <row r="7128" spans="1:5">
      <c r="A7128" s="140"/>
      <c r="B7128" s="192"/>
      <c r="C7128" s="140"/>
      <c r="D7128" s="140"/>
      <c r="E7128" s="140"/>
    </row>
    <row r="7129" spans="1:5">
      <c r="A7129" s="140"/>
      <c r="B7129" s="192"/>
      <c r="C7129" s="140"/>
      <c r="D7129" s="140"/>
      <c r="E7129" s="140"/>
    </row>
    <row r="7130" spans="1:5">
      <c r="A7130" s="140"/>
      <c r="B7130" s="192"/>
      <c r="C7130" s="140"/>
      <c r="D7130" s="140"/>
      <c r="E7130" s="140"/>
    </row>
    <row r="7131" spans="1:5">
      <c r="A7131" s="140"/>
      <c r="B7131" s="192"/>
      <c r="C7131" s="140"/>
      <c r="D7131" s="140"/>
      <c r="E7131" s="140"/>
    </row>
    <row r="7132" spans="1:5">
      <c r="A7132" s="140"/>
      <c r="B7132" s="192"/>
      <c r="C7132" s="140"/>
      <c r="D7132" s="140"/>
      <c r="E7132" s="140"/>
    </row>
    <row r="7133" spans="1:5">
      <c r="A7133" s="140"/>
      <c r="B7133" s="192"/>
      <c r="C7133" s="140"/>
      <c r="D7133" s="140"/>
      <c r="E7133" s="140"/>
    </row>
    <row r="7134" spans="1:5">
      <c r="A7134" s="140"/>
      <c r="B7134" s="192"/>
      <c r="C7134" s="140"/>
      <c r="D7134" s="140"/>
      <c r="E7134" s="140"/>
    </row>
    <row r="7135" spans="1:5">
      <c r="A7135" s="140"/>
      <c r="B7135" s="192"/>
      <c r="C7135" s="140"/>
      <c r="D7135" s="140"/>
      <c r="E7135" s="140"/>
    </row>
    <row r="7136" spans="1:5">
      <c r="A7136" s="140"/>
      <c r="B7136" s="192"/>
      <c r="C7136" s="140"/>
      <c r="D7136" s="140"/>
      <c r="E7136" s="140"/>
    </row>
    <row r="7137" spans="1:5">
      <c r="A7137" s="140"/>
      <c r="B7137" s="192"/>
      <c r="C7137" s="140"/>
      <c r="D7137" s="140"/>
      <c r="E7137" s="140"/>
    </row>
    <row r="7138" spans="1:5">
      <c r="A7138" s="140"/>
      <c r="B7138" s="192"/>
      <c r="C7138" s="140"/>
      <c r="D7138" s="140"/>
      <c r="E7138" s="140"/>
    </row>
    <row r="7139" spans="1:5">
      <c r="A7139" s="140"/>
      <c r="B7139" s="192"/>
      <c r="C7139" s="140"/>
      <c r="D7139" s="140"/>
      <c r="E7139" s="140"/>
    </row>
    <row r="7140" spans="1:5">
      <c r="A7140" s="140"/>
      <c r="B7140" s="192"/>
      <c r="C7140" s="140"/>
      <c r="D7140" s="140"/>
      <c r="E7140" s="140"/>
    </row>
    <row r="7141" spans="1:5">
      <c r="A7141" s="140"/>
      <c r="B7141" s="192"/>
      <c r="C7141" s="140"/>
      <c r="D7141" s="140"/>
      <c r="E7141" s="140"/>
    </row>
    <row r="7142" spans="1:5">
      <c r="A7142" s="140"/>
      <c r="B7142" s="192"/>
      <c r="C7142" s="140"/>
      <c r="D7142" s="140"/>
      <c r="E7142" s="140"/>
    </row>
    <row r="7143" spans="1:5">
      <c r="A7143" s="140"/>
      <c r="B7143" s="192"/>
      <c r="C7143" s="140"/>
      <c r="D7143" s="140"/>
      <c r="E7143" s="140"/>
    </row>
    <row r="7144" spans="1:5">
      <c r="A7144" s="140"/>
      <c r="B7144" s="192"/>
      <c r="C7144" s="140"/>
      <c r="D7144" s="140"/>
      <c r="E7144" s="140"/>
    </row>
    <row r="7145" spans="1:5">
      <c r="A7145" s="140"/>
      <c r="B7145" s="192"/>
      <c r="C7145" s="140"/>
      <c r="D7145" s="140"/>
      <c r="E7145" s="140"/>
    </row>
    <row r="7146" spans="1:5">
      <c r="A7146" s="140"/>
      <c r="B7146" s="192"/>
      <c r="C7146" s="140"/>
      <c r="D7146" s="140"/>
      <c r="E7146" s="140"/>
    </row>
    <row r="7147" spans="1:5">
      <c r="A7147" s="140"/>
      <c r="B7147" s="192"/>
      <c r="C7147" s="140"/>
      <c r="D7147" s="140"/>
      <c r="E7147" s="140"/>
    </row>
    <row r="7148" spans="1:5">
      <c r="A7148" s="140"/>
      <c r="B7148" s="192"/>
      <c r="C7148" s="140"/>
      <c r="D7148" s="140"/>
      <c r="E7148" s="140"/>
    </row>
    <row r="7149" spans="1:5">
      <c r="A7149" s="140"/>
      <c r="B7149" s="192"/>
      <c r="C7149" s="140"/>
      <c r="D7149" s="140"/>
      <c r="E7149" s="140"/>
    </row>
    <row r="7150" spans="1:5">
      <c r="A7150" s="140"/>
      <c r="B7150" s="192"/>
      <c r="C7150" s="140"/>
      <c r="D7150" s="140"/>
      <c r="E7150" s="140"/>
    </row>
    <row r="7151" spans="1:5">
      <c r="A7151" s="140"/>
      <c r="B7151" s="192"/>
      <c r="C7151" s="140"/>
      <c r="D7151" s="140"/>
      <c r="E7151" s="140"/>
    </row>
    <row r="7152" spans="1:5">
      <c r="A7152" s="140"/>
      <c r="B7152" s="192"/>
      <c r="C7152" s="140"/>
      <c r="D7152" s="140"/>
      <c r="E7152" s="140"/>
    </row>
    <row r="7153" spans="1:5">
      <c r="A7153" s="140"/>
      <c r="B7153" s="192"/>
      <c r="C7153" s="140"/>
      <c r="D7153" s="140"/>
      <c r="E7153" s="140"/>
    </row>
    <row r="7154" spans="1:5">
      <c r="A7154" s="140"/>
      <c r="B7154" s="192"/>
      <c r="C7154" s="140"/>
      <c r="D7154" s="140"/>
      <c r="E7154" s="140"/>
    </row>
    <row r="7155" spans="1:5">
      <c r="A7155" s="140"/>
      <c r="B7155" s="192"/>
      <c r="C7155" s="140"/>
      <c r="D7155" s="140"/>
      <c r="E7155" s="140"/>
    </row>
    <row r="7156" spans="1:5">
      <c r="A7156" s="140"/>
      <c r="B7156" s="192"/>
      <c r="C7156" s="140"/>
      <c r="D7156" s="140"/>
      <c r="E7156" s="140"/>
    </row>
    <row r="7157" spans="1:5">
      <c r="A7157" s="140"/>
      <c r="B7157" s="192"/>
      <c r="C7157" s="140"/>
      <c r="D7157" s="140"/>
      <c r="E7157" s="140"/>
    </row>
    <row r="7158" spans="1:5">
      <c r="A7158" s="140"/>
      <c r="B7158" s="192"/>
      <c r="C7158" s="140"/>
      <c r="D7158" s="140"/>
      <c r="E7158" s="140"/>
    </row>
    <row r="7159" spans="1:5">
      <c r="A7159" s="140"/>
      <c r="B7159" s="192"/>
      <c r="C7159" s="140"/>
      <c r="D7159" s="140"/>
      <c r="E7159" s="140"/>
    </row>
    <row r="7160" spans="1:5">
      <c r="A7160" s="140"/>
      <c r="B7160" s="192"/>
      <c r="C7160" s="140"/>
      <c r="D7160" s="140"/>
      <c r="E7160" s="140"/>
    </row>
    <row r="7161" spans="1:5">
      <c r="A7161" s="140"/>
      <c r="B7161" s="192"/>
      <c r="C7161" s="140"/>
      <c r="D7161" s="140"/>
      <c r="E7161" s="140"/>
    </row>
    <row r="7162" spans="1:5">
      <c r="A7162" s="140"/>
      <c r="B7162" s="192"/>
      <c r="C7162" s="140"/>
      <c r="D7162" s="140"/>
      <c r="E7162" s="140"/>
    </row>
    <row r="7163" spans="1:5">
      <c r="A7163" s="140"/>
      <c r="B7163" s="192"/>
      <c r="C7163" s="140"/>
      <c r="D7163" s="140"/>
      <c r="E7163" s="140"/>
    </row>
    <row r="7164" spans="1:5">
      <c r="A7164" s="140"/>
      <c r="B7164" s="192"/>
      <c r="C7164" s="140"/>
      <c r="D7164" s="140"/>
      <c r="E7164" s="140"/>
    </row>
    <row r="7165" spans="1:5">
      <c r="A7165" s="140"/>
      <c r="B7165" s="192"/>
      <c r="C7165" s="140"/>
      <c r="D7165" s="140"/>
      <c r="E7165" s="140"/>
    </row>
    <row r="7166" spans="1:5">
      <c r="A7166" s="140"/>
      <c r="B7166" s="192"/>
      <c r="C7166" s="140"/>
      <c r="D7166" s="140"/>
      <c r="E7166" s="140"/>
    </row>
    <row r="7167" spans="1:5">
      <c r="A7167" s="140"/>
      <c r="B7167" s="192"/>
      <c r="C7167" s="140"/>
      <c r="D7167" s="140"/>
      <c r="E7167" s="140"/>
    </row>
    <row r="7168" spans="1:5">
      <c r="A7168" s="140"/>
      <c r="B7168" s="192"/>
      <c r="C7168" s="140"/>
      <c r="D7168" s="140"/>
      <c r="E7168" s="140"/>
    </row>
    <row r="7169" spans="1:5">
      <c r="A7169" s="140"/>
      <c r="B7169" s="192"/>
      <c r="C7169" s="140"/>
      <c r="D7169" s="140"/>
      <c r="E7169" s="140"/>
    </row>
    <row r="7170" spans="1:5">
      <c r="A7170" s="140"/>
      <c r="B7170" s="192"/>
      <c r="C7170" s="140"/>
      <c r="D7170" s="140"/>
      <c r="E7170" s="140"/>
    </row>
    <row r="7171" spans="1:5">
      <c r="A7171" s="140"/>
      <c r="B7171" s="192"/>
      <c r="C7171" s="140"/>
      <c r="D7171" s="140"/>
      <c r="E7171" s="140"/>
    </row>
    <row r="7172" spans="1:5">
      <c r="A7172" s="140"/>
      <c r="B7172" s="192"/>
      <c r="C7172" s="140"/>
      <c r="D7172" s="140"/>
      <c r="E7172" s="140"/>
    </row>
    <row r="7173" spans="1:5">
      <c r="A7173" s="140"/>
      <c r="B7173" s="192"/>
      <c r="C7173" s="140"/>
      <c r="D7173" s="140"/>
      <c r="E7173" s="140"/>
    </row>
    <row r="7174" spans="1:5">
      <c r="A7174" s="140"/>
      <c r="B7174" s="192"/>
      <c r="C7174" s="140"/>
      <c r="D7174" s="140"/>
      <c r="E7174" s="140"/>
    </row>
    <row r="7175" spans="1:5">
      <c r="A7175" s="140"/>
      <c r="B7175" s="192"/>
      <c r="C7175" s="140"/>
      <c r="D7175" s="140"/>
      <c r="E7175" s="140"/>
    </row>
    <row r="7176" spans="1:5">
      <c r="A7176" s="140"/>
      <c r="B7176" s="192"/>
      <c r="C7176" s="140"/>
      <c r="D7176" s="140"/>
      <c r="E7176" s="140"/>
    </row>
    <row r="7177" spans="1:5">
      <c r="A7177" s="140"/>
      <c r="B7177" s="192"/>
      <c r="C7177" s="140"/>
      <c r="D7177" s="140"/>
      <c r="E7177" s="140"/>
    </row>
    <row r="7178" spans="1:5">
      <c r="A7178" s="140"/>
      <c r="B7178" s="192"/>
      <c r="C7178" s="140"/>
      <c r="D7178" s="140"/>
      <c r="E7178" s="140"/>
    </row>
    <row r="7179" spans="1:5">
      <c r="A7179" s="140"/>
      <c r="B7179" s="192"/>
      <c r="C7179" s="140"/>
      <c r="D7179" s="140"/>
      <c r="E7179" s="140"/>
    </row>
    <row r="7180" spans="1:5">
      <c r="A7180" s="140"/>
      <c r="B7180" s="192"/>
      <c r="C7180" s="140"/>
      <c r="D7180" s="140"/>
      <c r="E7180" s="140"/>
    </row>
    <row r="7181" spans="1:5">
      <c r="A7181" s="140"/>
      <c r="B7181" s="192"/>
      <c r="C7181" s="140"/>
      <c r="D7181" s="140"/>
      <c r="E7181" s="140"/>
    </row>
    <row r="7182" spans="1:5">
      <c r="A7182" s="140"/>
      <c r="B7182" s="192"/>
      <c r="C7182" s="140"/>
      <c r="D7182" s="140"/>
      <c r="E7182" s="140"/>
    </row>
    <row r="7183" spans="1:5">
      <c r="A7183" s="140"/>
      <c r="B7183" s="192"/>
      <c r="C7183" s="140"/>
      <c r="D7183" s="140"/>
      <c r="E7183" s="140"/>
    </row>
    <row r="7184" spans="1:5">
      <c r="A7184" s="140"/>
      <c r="B7184" s="192"/>
      <c r="C7184" s="140"/>
      <c r="D7184" s="140"/>
      <c r="E7184" s="140"/>
    </row>
    <row r="7185" spans="1:5">
      <c r="A7185" s="140"/>
      <c r="B7185" s="192"/>
      <c r="C7185" s="140"/>
      <c r="D7185" s="140"/>
      <c r="E7185" s="140"/>
    </row>
    <row r="7186" spans="1:5">
      <c r="A7186" s="140"/>
      <c r="B7186" s="192"/>
      <c r="C7186" s="140"/>
      <c r="D7186" s="140"/>
      <c r="E7186" s="140"/>
    </row>
    <row r="7187" spans="1:5">
      <c r="A7187" s="140"/>
      <c r="B7187" s="192"/>
      <c r="C7187" s="140"/>
      <c r="D7187" s="140"/>
      <c r="E7187" s="140"/>
    </row>
    <row r="7188" spans="1:5">
      <c r="A7188" s="140"/>
      <c r="B7188" s="192"/>
      <c r="C7188" s="140"/>
      <c r="D7188" s="140"/>
      <c r="E7188" s="140"/>
    </row>
    <row r="7189" spans="1:5">
      <c r="A7189" s="140"/>
      <c r="B7189" s="192"/>
      <c r="C7189" s="140"/>
      <c r="D7189" s="140"/>
      <c r="E7189" s="140"/>
    </row>
    <row r="7190" spans="1:5">
      <c r="A7190" s="140"/>
      <c r="B7190" s="192"/>
      <c r="C7190" s="140"/>
      <c r="D7190" s="140"/>
      <c r="E7190" s="140"/>
    </row>
    <row r="7191" spans="1:5">
      <c r="A7191" s="140"/>
      <c r="B7191" s="192"/>
      <c r="C7191" s="140"/>
      <c r="D7191" s="140"/>
      <c r="E7191" s="140"/>
    </row>
    <row r="7192" spans="1:5">
      <c r="A7192" s="140"/>
      <c r="B7192" s="192"/>
      <c r="C7192" s="140"/>
      <c r="D7192" s="140"/>
      <c r="E7192" s="140"/>
    </row>
    <row r="7193" spans="1:5">
      <c r="A7193" s="140"/>
      <c r="B7193" s="192"/>
      <c r="C7193" s="140"/>
      <c r="D7193" s="140"/>
      <c r="E7193" s="140"/>
    </row>
    <row r="7194" spans="1:5">
      <c r="A7194" s="140"/>
      <c r="B7194" s="192"/>
      <c r="C7194" s="140"/>
      <c r="D7194" s="140"/>
      <c r="E7194" s="140"/>
    </row>
    <row r="7195" spans="1:5">
      <c r="A7195" s="140"/>
      <c r="B7195" s="192"/>
      <c r="C7195" s="140"/>
      <c r="D7195" s="140"/>
      <c r="E7195" s="140"/>
    </row>
    <row r="7196" spans="1:5">
      <c r="A7196" s="140"/>
      <c r="B7196" s="192"/>
      <c r="C7196" s="140"/>
      <c r="D7196" s="140"/>
      <c r="E7196" s="140"/>
    </row>
    <row r="7197" spans="1:5">
      <c r="A7197" s="140"/>
      <c r="B7197" s="192"/>
      <c r="C7197" s="140"/>
      <c r="D7197" s="140"/>
      <c r="E7197" s="140"/>
    </row>
    <row r="7198" spans="1:5">
      <c r="A7198" s="140"/>
      <c r="B7198" s="192"/>
      <c r="C7198" s="140"/>
      <c r="D7198" s="140"/>
      <c r="E7198" s="140"/>
    </row>
    <row r="7199" spans="1:5">
      <c r="A7199" s="140"/>
      <c r="B7199" s="192"/>
      <c r="C7199" s="140"/>
      <c r="D7199" s="140"/>
      <c r="E7199" s="140"/>
    </row>
    <row r="7200" spans="1:5">
      <c r="A7200" s="140"/>
      <c r="B7200" s="192"/>
      <c r="C7200" s="140"/>
      <c r="D7200" s="140"/>
      <c r="E7200" s="140"/>
    </row>
    <row r="7201" spans="1:5">
      <c r="A7201" s="140"/>
      <c r="B7201" s="192"/>
      <c r="C7201" s="140"/>
      <c r="D7201" s="140"/>
      <c r="E7201" s="140"/>
    </row>
    <row r="7202" spans="1:5">
      <c r="A7202" s="140"/>
      <c r="B7202" s="192"/>
      <c r="C7202" s="140"/>
      <c r="D7202" s="140"/>
      <c r="E7202" s="140"/>
    </row>
    <row r="7203" spans="1:5">
      <c r="A7203" s="140"/>
      <c r="B7203" s="192"/>
      <c r="C7203" s="140"/>
      <c r="D7203" s="140"/>
      <c r="E7203" s="140"/>
    </row>
    <row r="7204" spans="1:5">
      <c r="A7204" s="140"/>
      <c r="B7204" s="192"/>
      <c r="C7204" s="140"/>
      <c r="D7204" s="140"/>
      <c r="E7204" s="140"/>
    </row>
    <row r="7205" spans="1:5">
      <c r="A7205" s="140"/>
      <c r="B7205" s="192"/>
      <c r="C7205" s="140"/>
      <c r="D7205" s="140"/>
      <c r="E7205" s="140"/>
    </row>
    <row r="7206" spans="1:5">
      <c r="A7206" s="140"/>
      <c r="B7206" s="192"/>
      <c r="C7206" s="140"/>
      <c r="D7206" s="140"/>
      <c r="E7206" s="140"/>
    </row>
    <row r="7207" spans="1:5">
      <c r="A7207" s="140"/>
      <c r="B7207" s="192"/>
      <c r="C7207" s="140"/>
      <c r="D7207" s="140"/>
      <c r="E7207" s="140"/>
    </row>
    <row r="7208" spans="1:5">
      <c r="A7208" s="140"/>
      <c r="B7208" s="192"/>
      <c r="C7208" s="140"/>
      <c r="D7208" s="140"/>
      <c r="E7208" s="140"/>
    </row>
    <row r="7209" spans="1:5">
      <c r="A7209" s="140"/>
      <c r="B7209" s="192"/>
      <c r="C7209" s="140"/>
      <c r="D7209" s="140"/>
      <c r="E7209" s="140"/>
    </row>
    <row r="7210" spans="1:5">
      <c r="A7210" s="140"/>
      <c r="B7210" s="192"/>
      <c r="C7210" s="140"/>
      <c r="D7210" s="140"/>
      <c r="E7210" s="140"/>
    </row>
    <row r="7211" spans="1:5">
      <c r="A7211" s="140"/>
      <c r="B7211" s="192"/>
      <c r="C7211" s="140"/>
      <c r="D7211" s="140"/>
      <c r="E7211" s="140"/>
    </row>
    <row r="7212" spans="1:5">
      <c r="A7212" s="140"/>
      <c r="B7212" s="192"/>
      <c r="C7212" s="140"/>
      <c r="D7212" s="140"/>
      <c r="E7212" s="140"/>
    </row>
    <row r="7213" spans="1:5">
      <c r="A7213" s="140"/>
      <c r="B7213" s="192"/>
      <c r="C7213" s="140"/>
      <c r="D7213" s="140"/>
      <c r="E7213" s="140"/>
    </row>
    <row r="7214" spans="1:5">
      <c r="A7214" s="140"/>
      <c r="B7214" s="192"/>
      <c r="C7214" s="140"/>
      <c r="D7214" s="140"/>
      <c r="E7214" s="140"/>
    </row>
    <row r="7215" spans="1:5">
      <c r="A7215" s="140"/>
      <c r="B7215" s="192"/>
      <c r="C7215" s="140"/>
      <c r="D7215" s="140"/>
      <c r="E7215" s="140"/>
    </row>
    <row r="7216" spans="1:5">
      <c r="A7216" s="140"/>
      <c r="B7216" s="192"/>
      <c r="C7216" s="140"/>
      <c r="D7216" s="140"/>
      <c r="E7216" s="140"/>
    </row>
    <row r="7217" spans="1:5">
      <c r="A7217" s="140"/>
      <c r="B7217" s="192"/>
      <c r="C7217" s="140"/>
      <c r="D7217" s="140"/>
      <c r="E7217" s="140"/>
    </row>
    <row r="7218" spans="1:5">
      <c r="A7218" s="140"/>
      <c r="B7218" s="192"/>
      <c r="C7218" s="140"/>
      <c r="D7218" s="140"/>
      <c r="E7218" s="140"/>
    </row>
    <row r="7219" spans="1:5">
      <c r="A7219" s="140"/>
      <c r="B7219" s="192"/>
      <c r="C7219" s="140"/>
      <c r="D7219" s="140"/>
      <c r="E7219" s="140"/>
    </row>
    <row r="7220" spans="1:5">
      <c r="A7220" s="140"/>
      <c r="B7220" s="192"/>
      <c r="C7220" s="140"/>
      <c r="D7220" s="140"/>
      <c r="E7220" s="140"/>
    </row>
    <row r="7221" spans="1:5">
      <c r="A7221" s="140"/>
      <c r="B7221" s="192"/>
      <c r="C7221" s="140"/>
      <c r="D7221" s="140"/>
      <c r="E7221" s="140"/>
    </row>
    <row r="7222" spans="1:5">
      <c r="A7222" s="140"/>
      <c r="B7222" s="192"/>
      <c r="C7222" s="140"/>
      <c r="D7222" s="140"/>
      <c r="E7222" s="140"/>
    </row>
    <row r="7223" spans="1:5">
      <c r="A7223" s="140"/>
      <c r="B7223" s="192"/>
      <c r="C7223" s="140"/>
      <c r="D7223" s="140"/>
      <c r="E7223" s="140"/>
    </row>
    <row r="7224" spans="1:5">
      <c r="A7224" s="140"/>
      <c r="B7224" s="192"/>
      <c r="C7224" s="140"/>
      <c r="D7224" s="140"/>
      <c r="E7224" s="140"/>
    </row>
    <row r="7225" spans="1:5">
      <c r="A7225" s="140"/>
      <c r="B7225" s="192"/>
      <c r="C7225" s="140"/>
      <c r="D7225" s="140"/>
      <c r="E7225" s="140"/>
    </row>
    <row r="7226" spans="1:5">
      <c r="A7226" s="140"/>
      <c r="B7226" s="192"/>
      <c r="C7226" s="140"/>
      <c r="D7226" s="140"/>
      <c r="E7226" s="140"/>
    </row>
    <row r="7227" spans="1:5">
      <c r="A7227" s="140"/>
      <c r="B7227" s="192"/>
      <c r="C7227" s="140"/>
      <c r="D7227" s="140"/>
      <c r="E7227" s="140"/>
    </row>
    <row r="7228" spans="1:5">
      <c r="A7228" s="140"/>
      <c r="B7228" s="192"/>
      <c r="C7228" s="140"/>
      <c r="D7228" s="140"/>
      <c r="E7228" s="140"/>
    </row>
    <row r="7229" spans="1:5">
      <c r="A7229" s="140"/>
      <c r="B7229" s="192"/>
      <c r="C7229" s="140"/>
      <c r="D7229" s="140"/>
      <c r="E7229" s="140"/>
    </row>
    <row r="7230" spans="1:5">
      <c r="A7230" s="140"/>
      <c r="B7230" s="192"/>
      <c r="C7230" s="140"/>
      <c r="D7230" s="140"/>
      <c r="E7230" s="140"/>
    </row>
    <row r="7231" spans="1:5">
      <c r="A7231" s="140"/>
      <c r="B7231" s="192"/>
      <c r="C7231" s="140"/>
      <c r="D7231" s="140"/>
      <c r="E7231" s="140"/>
    </row>
    <row r="7232" spans="1:5">
      <c r="A7232" s="140"/>
      <c r="B7232" s="192"/>
      <c r="C7232" s="140"/>
      <c r="D7232" s="140"/>
      <c r="E7232" s="140"/>
    </row>
    <row r="7233" spans="1:5">
      <c r="A7233" s="140"/>
      <c r="B7233" s="192"/>
      <c r="C7233" s="140"/>
      <c r="D7233" s="140"/>
      <c r="E7233" s="140"/>
    </row>
    <row r="7234" spans="1:5">
      <c r="A7234" s="140"/>
      <c r="B7234" s="192"/>
      <c r="C7234" s="140"/>
      <c r="D7234" s="140"/>
      <c r="E7234" s="140"/>
    </row>
    <row r="7235" spans="1:5">
      <c r="A7235" s="140"/>
      <c r="B7235" s="192"/>
      <c r="C7235" s="140"/>
      <c r="D7235" s="140"/>
      <c r="E7235" s="140"/>
    </row>
    <row r="7236" spans="1:5">
      <c r="A7236" s="140"/>
      <c r="B7236" s="192"/>
      <c r="C7236" s="140"/>
      <c r="D7236" s="140"/>
      <c r="E7236" s="140"/>
    </row>
    <row r="7237" spans="1:5">
      <c r="A7237" s="140"/>
      <c r="B7237" s="192"/>
      <c r="C7237" s="140"/>
      <c r="D7237" s="140"/>
      <c r="E7237" s="140"/>
    </row>
    <row r="7238" spans="1:5">
      <c r="A7238" s="140"/>
      <c r="B7238" s="192"/>
      <c r="C7238" s="140"/>
      <c r="D7238" s="140"/>
      <c r="E7238" s="140"/>
    </row>
    <row r="7239" spans="1:5">
      <c r="A7239" s="140"/>
      <c r="B7239" s="192"/>
      <c r="C7239" s="140"/>
      <c r="D7239" s="140"/>
      <c r="E7239" s="140"/>
    </row>
    <row r="7240" spans="1:5">
      <c r="A7240" s="140"/>
      <c r="B7240" s="192"/>
      <c r="C7240" s="140"/>
      <c r="D7240" s="140"/>
      <c r="E7240" s="140"/>
    </row>
    <row r="7241" spans="1:5">
      <c r="A7241" s="140"/>
      <c r="B7241" s="192"/>
      <c r="C7241" s="140"/>
      <c r="D7241" s="140"/>
      <c r="E7241" s="140"/>
    </row>
    <row r="7242" spans="1:5">
      <c r="A7242" s="140"/>
      <c r="B7242" s="192"/>
      <c r="C7242" s="140"/>
      <c r="D7242" s="140"/>
      <c r="E7242" s="140"/>
    </row>
    <row r="7243" spans="1:5">
      <c r="A7243" s="140"/>
      <c r="B7243" s="192"/>
      <c r="C7243" s="140"/>
      <c r="D7243" s="140"/>
      <c r="E7243" s="140"/>
    </row>
    <row r="7244" spans="1:5">
      <c r="A7244" s="140"/>
      <c r="B7244" s="192"/>
      <c r="C7244" s="140"/>
      <c r="D7244" s="140"/>
      <c r="E7244" s="140"/>
    </row>
    <row r="7245" spans="1:5">
      <c r="A7245" s="140"/>
      <c r="B7245" s="192"/>
      <c r="C7245" s="140"/>
      <c r="D7245" s="140"/>
      <c r="E7245" s="140"/>
    </row>
    <row r="7246" spans="1:5">
      <c r="A7246" s="140"/>
      <c r="B7246" s="192"/>
      <c r="C7246" s="140"/>
      <c r="D7246" s="140"/>
      <c r="E7246" s="140"/>
    </row>
    <row r="7247" spans="1:5">
      <c r="A7247" s="140"/>
      <c r="B7247" s="192"/>
      <c r="C7247" s="140"/>
      <c r="D7247" s="140"/>
      <c r="E7247" s="140"/>
    </row>
    <row r="7248" spans="1:5">
      <c r="A7248" s="140"/>
      <c r="B7248" s="192"/>
      <c r="C7248" s="140"/>
      <c r="D7248" s="140"/>
      <c r="E7248" s="140"/>
    </row>
    <row r="7249" spans="1:5">
      <c r="A7249" s="140"/>
      <c r="B7249" s="192"/>
      <c r="C7249" s="140"/>
      <c r="D7249" s="140"/>
      <c r="E7249" s="140"/>
    </row>
    <row r="7250" spans="1:5">
      <c r="A7250" s="140"/>
      <c r="B7250" s="192"/>
      <c r="C7250" s="140"/>
      <c r="D7250" s="140"/>
      <c r="E7250" s="140"/>
    </row>
    <row r="7251" spans="1:5">
      <c r="A7251" s="140"/>
      <c r="B7251" s="192"/>
      <c r="C7251" s="140"/>
      <c r="D7251" s="140"/>
      <c r="E7251" s="140"/>
    </row>
    <row r="7252" spans="1:5">
      <c r="A7252" s="140"/>
      <c r="B7252" s="192"/>
      <c r="C7252" s="140"/>
      <c r="D7252" s="140"/>
      <c r="E7252" s="140"/>
    </row>
    <row r="7253" spans="1:5">
      <c r="A7253" s="140"/>
      <c r="B7253" s="192"/>
      <c r="C7253" s="140"/>
      <c r="D7253" s="140"/>
      <c r="E7253" s="140"/>
    </row>
    <row r="7254" spans="1:5">
      <c r="A7254" s="140"/>
      <c r="B7254" s="192"/>
      <c r="C7254" s="140"/>
      <c r="D7254" s="140"/>
      <c r="E7254" s="140"/>
    </row>
    <row r="7255" spans="1:5">
      <c r="A7255" s="140"/>
      <c r="B7255" s="192"/>
      <c r="C7255" s="140"/>
      <c r="D7255" s="140"/>
      <c r="E7255" s="140"/>
    </row>
    <row r="7256" spans="1:5">
      <c r="A7256" s="140"/>
      <c r="B7256" s="192"/>
      <c r="C7256" s="140"/>
      <c r="D7256" s="140"/>
      <c r="E7256" s="140"/>
    </row>
    <row r="7257" spans="1:5">
      <c r="A7257" s="140"/>
      <c r="B7257" s="192"/>
      <c r="C7257" s="140"/>
      <c r="D7257" s="140"/>
      <c r="E7257" s="140"/>
    </row>
    <row r="7258" spans="1:5">
      <c r="A7258" s="140"/>
      <c r="B7258" s="192"/>
      <c r="C7258" s="140"/>
      <c r="D7258" s="140"/>
      <c r="E7258" s="140"/>
    </row>
    <row r="7259" spans="1:5">
      <c r="A7259" s="140"/>
      <c r="B7259" s="192"/>
      <c r="C7259" s="140"/>
      <c r="D7259" s="140"/>
      <c r="E7259" s="140"/>
    </row>
    <row r="7260" spans="1:5">
      <c r="A7260" s="140"/>
      <c r="B7260" s="192"/>
      <c r="C7260" s="140"/>
      <c r="D7260" s="140"/>
      <c r="E7260" s="140"/>
    </row>
    <row r="7261" spans="1:5">
      <c r="A7261" s="140"/>
      <c r="B7261" s="192"/>
      <c r="C7261" s="140"/>
      <c r="D7261" s="140"/>
      <c r="E7261" s="140"/>
    </row>
    <row r="7262" spans="1:5">
      <c r="A7262" s="140"/>
      <c r="B7262" s="192"/>
      <c r="C7262" s="140"/>
      <c r="D7262" s="140"/>
      <c r="E7262" s="140"/>
    </row>
    <row r="7263" spans="1:5">
      <c r="A7263" s="140"/>
      <c r="B7263" s="192"/>
      <c r="C7263" s="140"/>
      <c r="D7263" s="140"/>
      <c r="E7263" s="140"/>
    </row>
    <row r="7264" spans="1:5">
      <c r="A7264" s="140"/>
      <c r="B7264" s="192"/>
      <c r="C7264" s="140"/>
      <c r="D7264" s="140"/>
      <c r="E7264" s="140"/>
    </row>
    <row r="7265" spans="1:5">
      <c r="A7265" s="140"/>
      <c r="B7265" s="192"/>
      <c r="C7265" s="140"/>
      <c r="D7265" s="140"/>
      <c r="E7265" s="140"/>
    </row>
    <row r="7266" spans="1:5">
      <c r="A7266" s="140"/>
      <c r="B7266" s="192"/>
      <c r="C7266" s="140"/>
      <c r="D7266" s="140"/>
      <c r="E7266" s="140"/>
    </row>
    <row r="7267" spans="1:5">
      <c r="A7267" s="140"/>
      <c r="B7267" s="192"/>
      <c r="C7267" s="140"/>
      <c r="D7267" s="140"/>
      <c r="E7267" s="140"/>
    </row>
    <row r="7268" spans="1:5">
      <c r="A7268" s="140"/>
      <c r="B7268" s="192"/>
      <c r="C7268" s="140"/>
      <c r="D7268" s="140"/>
      <c r="E7268" s="140"/>
    </row>
    <row r="7269" spans="1:5">
      <c r="A7269" s="140"/>
      <c r="B7269" s="192"/>
      <c r="C7269" s="140"/>
      <c r="D7269" s="140"/>
      <c r="E7269" s="140"/>
    </row>
    <row r="7270" spans="1:5">
      <c r="A7270" s="140"/>
      <c r="B7270" s="192"/>
      <c r="C7270" s="140"/>
      <c r="D7270" s="140"/>
      <c r="E7270" s="140"/>
    </row>
    <row r="7271" spans="1:5">
      <c r="A7271" s="140"/>
      <c r="B7271" s="192"/>
      <c r="C7271" s="140"/>
      <c r="D7271" s="140"/>
      <c r="E7271" s="140"/>
    </row>
    <row r="7272" spans="1:5">
      <c r="A7272" s="140"/>
      <c r="B7272" s="192"/>
      <c r="C7272" s="140"/>
      <c r="D7272" s="140"/>
      <c r="E7272" s="140"/>
    </row>
    <row r="7273" spans="1:5">
      <c r="A7273" s="140"/>
      <c r="B7273" s="192"/>
      <c r="C7273" s="140"/>
      <c r="D7273" s="140"/>
      <c r="E7273" s="140"/>
    </row>
    <row r="7274" spans="1:5">
      <c r="A7274" s="140"/>
      <c r="B7274" s="192"/>
      <c r="C7274" s="140"/>
      <c r="D7274" s="140"/>
      <c r="E7274" s="140"/>
    </row>
    <row r="7275" spans="1:5">
      <c r="A7275" s="140"/>
      <c r="B7275" s="192"/>
      <c r="C7275" s="140"/>
      <c r="D7275" s="140"/>
      <c r="E7275" s="140"/>
    </row>
    <row r="7276" spans="1:5">
      <c r="A7276" s="140"/>
      <c r="B7276" s="192"/>
      <c r="C7276" s="140"/>
      <c r="D7276" s="140"/>
      <c r="E7276" s="140"/>
    </row>
    <row r="7277" spans="1:5">
      <c r="A7277" s="140"/>
      <c r="B7277" s="192"/>
      <c r="C7277" s="140"/>
      <c r="D7277" s="140"/>
      <c r="E7277" s="140"/>
    </row>
    <row r="7278" spans="1:5">
      <c r="A7278" s="140"/>
      <c r="B7278" s="192"/>
      <c r="C7278" s="140"/>
      <c r="D7278" s="140"/>
      <c r="E7278" s="140"/>
    </row>
    <row r="7279" spans="1:5">
      <c r="A7279" s="140"/>
      <c r="B7279" s="192"/>
      <c r="C7279" s="140"/>
      <c r="D7279" s="140"/>
      <c r="E7279" s="140"/>
    </row>
    <row r="7280" spans="1:5">
      <c r="A7280" s="140"/>
      <c r="B7280" s="192"/>
      <c r="C7280" s="140"/>
      <c r="D7280" s="140"/>
      <c r="E7280" s="140"/>
    </row>
    <row r="7281" spans="1:5">
      <c r="A7281" s="140"/>
      <c r="B7281" s="192"/>
      <c r="C7281" s="140"/>
      <c r="D7281" s="140"/>
      <c r="E7281" s="140"/>
    </row>
    <row r="7282" spans="1:5">
      <c r="A7282" s="140"/>
      <c r="B7282" s="192"/>
      <c r="C7282" s="140"/>
      <c r="D7282" s="140"/>
      <c r="E7282" s="140"/>
    </row>
    <row r="7283" spans="1:5">
      <c r="A7283" s="140"/>
      <c r="B7283" s="192"/>
      <c r="C7283" s="140"/>
      <c r="D7283" s="140"/>
      <c r="E7283" s="140"/>
    </row>
    <row r="7284" spans="1:5">
      <c r="A7284" s="140"/>
      <c r="B7284" s="192"/>
      <c r="C7284" s="140"/>
      <c r="D7284" s="140"/>
      <c r="E7284" s="140"/>
    </row>
    <row r="7285" spans="1:5">
      <c r="A7285" s="140"/>
      <c r="B7285" s="192"/>
      <c r="C7285" s="140"/>
      <c r="D7285" s="140"/>
      <c r="E7285" s="140"/>
    </row>
    <row r="7286" spans="1:5">
      <c r="A7286" s="140"/>
      <c r="B7286" s="192"/>
      <c r="C7286" s="140"/>
      <c r="D7286" s="140"/>
      <c r="E7286" s="140"/>
    </row>
    <row r="7287" spans="1:5">
      <c r="A7287" s="140"/>
      <c r="B7287" s="192"/>
      <c r="C7287" s="140"/>
      <c r="D7287" s="140"/>
      <c r="E7287" s="140"/>
    </row>
    <row r="7288" spans="1:5">
      <c r="A7288" s="140"/>
      <c r="B7288" s="192"/>
      <c r="C7288" s="140"/>
      <c r="D7288" s="140"/>
      <c r="E7288" s="140"/>
    </row>
    <row r="7289" spans="1:5">
      <c r="A7289" s="140"/>
      <c r="B7289" s="192"/>
      <c r="C7289" s="140"/>
      <c r="D7289" s="140"/>
      <c r="E7289" s="140"/>
    </row>
    <row r="7290" spans="1:5">
      <c r="A7290" s="140"/>
      <c r="B7290" s="192"/>
      <c r="C7290" s="140"/>
      <c r="D7290" s="140"/>
      <c r="E7290" s="140"/>
    </row>
    <row r="7291" spans="1:5">
      <c r="A7291" s="140"/>
      <c r="B7291" s="192"/>
      <c r="C7291" s="140"/>
      <c r="D7291" s="140"/>
      <c r="E7291" s="140"/>
    </row>
    <row r="7292" spans="1:5">
      <c r="A7292" s="140"/>
      <c r="B7292" s="192"/>
      <c r="C7292" s="140"/>
      <c r="D7292" s="140"/>
      <c r="E7292" s="140"/>
    </row>
    <row r="7293" spans="1:5">
      <c r="A7293" s="140"/>
      <c r="B7293" s="192"/>
      <c r="C7293" s="140"/>
      <c r="D7293" s="140"/>
      <c r="E7293" s="140"/>
    </row>
    <row r="7294" spans="1:5">
      <c r="A7294" s="140"/>
      <c r="B7294" s="192"/>
      <c r="C7294" s="140"/>
      <c r="D7294" s="140"/>
      <c r="E7294" s="140"/>
    </row>
    <row r="7295" spans="1:5">
      <c r="A7295" s="140"/>
      <c r="B7295" s="192"/>
      <c r="C7295" s="140"/>
      <c r="D7295" s="140"/>
      <c r="E7295" s="140"/>
    </row>
    <row r="7296" spans="1:5">
      <c r="A7296" s="140"/>
      <c r="B7296" s="192"/>
      <c r="C7296" s="140"/>
      <c r="D7296" s="140"/>
      <c r="E7296" s="140"/>
    </row>
    <row r="7297" spans="1:5">
      <c r="A7297" s="140"/>
      <c r="B7297" s="192"/>
      <c r="C7297" s="140"/>
      <c r="D7297" s="140"/>
      <c r="E7297" s="140"/>
    </row>
    <row r="7298" spans="1:5">
      <c r="A7298" s="140"/>
      <c r="B7298" s="192"/>
      <c r="C7298" s="140"/>
      <c r="D7298" s="140"/>
      <c r="E7298" s="140"/>
    </row>
    <row r="7299" spans="1:5">
      <c r="A7299" s="140"/>
      <c r="B7299" s="192"/>
      <c r="C7299" s="140"/>
      <c r="D7299" s="140"/>
      <c r="E7299" s="140"/>
    </row>
    <row r="7300" spans="1:5">
      <c r="A7300" s="140"/>
      <c r="B7300" s="192"/>
      <c r="C7300" s="140"/>
      <c r="D7300" s="140"/>
      <c r="E7300" s="140"/>
    </row>
    <row r="7301" spans="1:5">
      <c r="A7301" s="140"/>
      <c r="B7301" s="192"/>
      <c r="C7301" s="140"/>
      <c r="D7301" s="140"/>
      <c r="E7301" s="140"/>
    </row>
    <row r="7302" spans="1:5">
      <c r="A7302" s="140"/>
      <c r="B7302" s="192"/>
      <c r="C7302" s="140"/>
      <c r="D7302" s="140"/>
      <c r="E7302" s="140"/>
    </row>
    <row r="7303" spans="1:5">
      <c r="A7303" s="140"/>
      <c r="B7303" s="192"/>
      <c r="C7303" s="140"/>
      <c r="D7303" s="140"/>
      <c r="E7303" s="140"/>
    </row>
    <row r="7304" spans="1:5">
      <c r="A7304" s="140"/>
      <c r="B7304" s="192"/>
      <c r="C7304" s="140"/>
      <c r="D7304" s="140"/>
      <c r="E7304" s="140"/>
    </row>
    <row r="7305" spans="1:5">
      <c r="A7305" s="140"/>
      <c r="B7305" s="192"/>
      <c r="C7305" s="140"/>
      <c r="D7305" s="140"/>
      <c r="E7305" s="140"/>
    </row>
    <row r="7306" spans="1:5">
      <c r="A7306" s="140"/>
      <c r="B7306" s="192"/>
      <c r="C7306" s="140"/>
      <c r="D7306" s="140"/>
      <c r="E7306" s="140"/>
    </row>
    <row r="7307" spans="1:5">
      <c r="A7307" s="140"/>
      <c r="B7307" s="192"/>
      <c r="C7307" s="140"/>
      <c r="D7307" s="140"/>
      <c r="E7307" s="140"/>
    </row>
    <row r="7308" spans="1:5">
      <c r="A7308" s="140"/>
      <c r="B7308" s="192"/>
      <c r="C7308" s="140"/>
      <c r="D7308" s="140"/>
      <c r="E7308" s="140"/>
    </row>
    <row r="7309" spans="1:5">
      <c r="A7309" s="140"/>
      <c r="B7309" s="192"/>
      <c r="C7309" s="140"/>
      <c r="D7309" s="140"/>
      <c r="E7309" s="140"/>
    </row>
    <row r="7310" spans="1:5">
      <c r="A7310" s="140"/>
      <c r="B7310" s="192"/>
      <c r="C7310" s="140"/>
      <c r="D7310" s="140"/>
      <c r="E7310" s="140"/>
    </row>
    <row r="7311" spans="1:5">
      <c r="A7311" s="140"/>
      <c r="B7311" s="192"/>
      <c r="C7311" s="140"/>
      <c r="D7311" s="140"/>
      <c r="E7311" s="140"/>
    </row>
    <row r="7312" spans="1:5">
      <c r="A7312" s="140"/>
      <c r="B7312" s="192"/>
      <c r="C7312" s="140"/>
      <c r="D7312" s="140"/>
      <c r="E7312" s="140"/>
    </row>
    <row r="7313" spans="1:5">
      <c r="A7313" s="140"/>
      <c r="B7313" s="192"/>
      <c r="C7313" s="140"/>
      <c r="D7313" s="140"/>
      <c r="E7313" s="140"/>
    </row>
    <row r="7314" spans="1:5">
      <c r="A7314" s="140"/>
      <c r="B7314" s="192"/>
      <c r="C7314" s="140"/>
      <c r="D7314" s="140"/>
      <c r="E7314" s="140"/>
    </row>
    <row r="7315" spans="1:5">
      <c r="A7315" s="140"/>
      <c r="B7315" s="192"/>
      <c r="C7315" s="140"/>
      <c r="D7315" s="140"/>
      <c r="E7315" s="140"/>
    </row>
    <row r="7316" spans="1:5">
      <c r="A7316" s="140"/>
      <c r="B7316" s="192"/>
      <c r="C7316" s="140"/>
      <c r="D7316" s="140"/>
      <c r="E7316" s="140"/>
    </row>
    <row r="7317" spans="1:5">
      <c r="A7317" s="140"/>
      <c r="B7317" s="192"/>
      <c r="C7317" s="140"/>
      <c r="D7317" s="140"/>
      <c r="E7317" s="140"/>
    </row>
    <row r="7318" spans="1:5">
      <c r="A7318" s="140"/>
      <c r="B7318" s="192"/>
      <c r="C7318" s="140"/>
      <c r="D7318" s="140"/>
      <c r="E7318" s="140"/>
    </row>
    <row r="7319" spans="1:5">
      <c r="A7319" s="140"/>
      <c r="B7319" s="192"/>
      <c r="C7319" s="140"/>
      <c r="D7319" s="140"/>
      <c r="E7319" s="140"/>
    </row>
    <row r="7320" spans="1:5">
      <c r="A7320" s="140"/>
      <c r="B7320" s="192"/>
      <c r="C7320" s="140"/>
      <c r="D7320" s="140"/>
      <c r="E7320" s="140"/>
    </row>
    <row r="7321" spans="1:5">
      <c r="A7321" s="140"/>
      <c r="B7321" s="192"/>
      <c r="C7321" s="140"/>
      <c r="D7321" s="140"/>
      <c r="E7321" s="140"/>
    </row>
    <row r="7322" spans="1:5">
      <c r="A7322" s="140"/>
      <c r="B7322" s="192"/>
      <c r="C7322" s="140"/>
      <c r="D7322" s="140"/>
      <c r="E7322" s="140"/>
    </row>
    <row r="7323" spans="1:5">
      <c r="A7323" s="140"/>
      <c r="B7323" s="192"/>
      <c r="C7323" s="140"/>
      <c r="D7323" s="140"/>
      <c r="E7323" s="140"/>
    </row>
    <row r="7324" spans="1:5">
      <c r="A7324" s="140"/>
      <c r="B7324" s="192"/>
      <c r="C7324" s="140"/>
      <c r="D7324" s="140"/>
      <c r="E7324" s="140"/>
    </row>
    <row r="7325" spans="1:5">
      <c r="A7325" s="140"/>
      <c r="B7325" s="192"/>
      <c r="C7325" s="140"/>
      <c r="D7325" s="140"/>
      <c r="E7325" s="140"/>
    </row>
    <row r="7326" spans="1:5">
      <c r="A7326" s="140"/>
      <c r="B7326" s="192"/>
      <c r="C7326" s="140"/>
      <c r="D7326" s="140"/>
      <c r="E7326" s="140"/>
    </row>
    <row r="7327" spans="1:5">
      <c r="A7327" s="140"/>
      <c r="B7327" s="192"/>
      <c r="C7327" s="140"/>
      <c r="D7327" s="140"/>
      <c r="E7327" s="140"/>
    </row>
    <row r="7328" spans="1:5">
      <c r="A7328" s="140"/>
      <c r="B7328" s="192"/>
      <c r="C7328" s="140"/>
      <c r="D7328" s="140"/>
      <c r="E7328" s="140"/>
    </row>
    <row r="7329" spans="1:5">
      <c r="A7329" s="140"/>
      <c r="B7329" s="192"/>
      <c r="C7329" s="140"/>
      <c r="D7329" s="140"/>
      <c r="E7329" s="140"/>
    </row>
    <row r="7330" spans="1:5">
      <c r="A7330" s="140"/>
      <c r="B7330" s="192"/>
      <c r="C7330" s="140"/>
      <c r="D7330" s="140"/>
      <c r="E7330" s="140"/>
    </row>
    <row r="7331" spans="1:5">
      <c r="A7331" s="140"/>
      <c r="B7331" s="192"/>
      <c r="C7331" s="140"/>
      <c r="D7331" s="140"/>
      <c r="E7331" s="140"/>
    </row>
    <row r="7332" spans="1:5">
      <c r="A7332" s="140"/>
      <c r="B7332" s="192"/>
      <c r="C7332" s="140"/>
      <c r="D7332" s="140"/>
      <c r="E7332" s="140"/>
    </row>
    <row r="7333" spans="1:5">
      <c r="A7333" s="140"/>
      <c r="B7333" s="192"/>
      <c r="C7333" s="140"/>
      <c r="D7333" s="140"/>
      <c r="E7333" s="140"/>
    </row>
    <row r="7334" spans="1:5">
      <c r="A7334" s="140"/>
      <c r="B7334" s="192"/>
      <c r="C7334" s="140"/>
      <c r="D7334" s="140"/>
      <c r="E7334" s="140"/>
    </row>
    <row r="7335" spans="1:5">
      <c r="A7335" s="140"/>
      <c r="B7335" s="192"/>
      <c r="C7335" s="140"/>
      <c r="D7335" s="140"/>
      <c r="E7335" s="140"/>
    </row>
    <row r="7336" spans="1:5">
      <c r="A7336" s="140"/>
      <c r="B7336" s="192"/>
      <c r="C7336" s="140"/>
      <c r="D7336" s="140"/>
      <c r="E7336" s="140"/>
    </row>
    <row r="7337" spans="1:5">
      <c r="A7337" s="140"/>
      <c r="B7337" s="192"/>
      <c r="C7337" s="140"/>
      <c r="D7337" s="140"/>
      <c r="E7337" s="140"/>
    </row>
    <row r="7338" spans="1:5">
      <c r="A7338" s="140"/>
      <c r="B7338" s="192"/>
      <c r="C7338" s="140"/>
      <c r="D7338" s="140"/>
      <c r="E7338" s="140"/>
    </row>
    <row r="7339" spans="1:5">
      <c r="A7339" s="140"/>
      <c r="B7339" s="192"/>
      <c r="C7339" s="140"/>
      <c r="D7339" s="140"/>
      <c r="E7339" s="140"/>
    </row>
    <row r="7340" spans="1:5">
      <c r="A7340" s="140"/>
      <c r="B7340" s="192"/>
      <c r="C7340" s="140"/>
      <c r="D7340" s="140"/>
      <c r="E7340" s="140"/>
    </row>
    <row r="7341" spans="1:5">
      <c r="A7341" s="140"/>
      <c r="B7341" s="192"/>
      <c r="C7341" s="140"/>
      <c r="D7341" s="140"/>
      <c r="E7341" s="140"/>
    </row>
    <row r="7342" spans="1:5">
      <c r="A7342" s="140"/>
      <c r="B7342" s="192"/>
      <c r="C7342" s="140"/>
      <c r="D7342" s="140"/>
      <c r="E7342" s="140"/>
    </row>
    <row r="7343" spans="1:5">
      <c r="A7343" s="140"/>
      <c r="B7343" s="192"/>
      <c r="C7343" s="140"/>
      <c r="D7343" s="140"/>
      <c r="E7343" s="140"/>
    </row>
    <row r="7344" spans="1:5">
      <c r="A7344" s="140"/>
      <c r="B7344" s="192"/>
      <c r="C7344" s="140"/>
      <c r="D7344" s="140"/>
      <c r="E7344" s="140"/>
    </row>
    <row r="7345" spans="1:5">
      <c r="A7345" s="140"/>
      <c r="B7345" s="192"/>
      <c r="C7345" s="140"/>
      <c r="D7345" s="140"/>
      <c r="E7345" s="140"/>
    </row>
    <row r="7346" spans="1:5">
      <c r="A7346" s="140"/>
      <c r="B7346" s="192"/>
      <c r="C7346" s="140"/>
      <c r="D7346" s="140"/>
      <c r="E7346" s="140"/>
    </row>
    <row r="7347" spans="1:5">
      <c r="A7347" s="140"/>
      <c r="B7347" s="192"/>
      <c r="C7347" s="140"/>
      <c r="D7347" s="140"/>
      <c r="E7347" s="140"/>
    </row>
    <row r="7348" spans="1:5">
      <c r="A7348" s="140"/>
      <c r="B7348" s="192"/>
      <c r="C7348" s="140"/>
      <c r="D7348" s="140"/>
      <c r="E7348" s="140"/>
    </row>
    <row r="7349" spans="1:5">
      <c r="A7349" s="140"/>
      <c r="B7349" s="192"/>
      <c r="C7349" s="140"/>
      <c r="D7349" s="140"/>
      <c r="E7349" s="140"/>
    </row>
    <row r="7350" spans="1:5">
      <c r="A7350" s="140"/>
      <c r="B7350" s="192"/>
      <c r="C7350" s="140"/>
      <c r="D7350" s="140"/>
      <c r="E7350" s="140"/>
    </row>
    <row r="7351" spans="1:5">
      <c r="A7351" s="140"/>
      <c r="B7351" s="192"/>
      <c r="C7351" s="140"/>
      <c r="D7351" s="140"/>
      <c r="E7351" s="140"/>
    </row>
    <row r="7352" spans="1:5">
      <c r="A7352" s="140"/>
      <c r="B7352" s="192"/>
      <c r="C7352" s="140"/>
      <c r="D7352" s="140"/>
      <c r="E7352" s="140"/>
    </row>
    <row r="7353" spans="1:5">
      <c r="A7353" s="140"/>
      <c r="B7353" s="192"/>
      <c r="C7353" s="140"/>
      <c r="D7353" s="140"/>
      <c r="E7353" s="140"/>
    </row>
    <row r="7354" spans="1:5">
      <c r="A7354" s="140"/>
      <c r="B7354" s="192"/>
      <c r="C7354" s="140"/>
      <c r="D7354" s="140"/>
      <c r="E7354" s="140"/>
    </row>
    <row r="7355" spans="1:5">
      <c r="A7355" s="140"/>
      <c r="B7355" s="192"/>
      <c r="C7355" s="140"/>
      <c r="D7355" s="140"/>
      <c r="E7355" s="140"/>
    </row>
    <row r="7356" spans="1:5">
      <c r="A7356" s="140"/>
      <c r="B7356" s="192"/>
      <c r="C7356" s="140"/>
      <c r="D7356" s="140"/>
      <c r="E7356" s="140"/>
    </row>
    <row r="7357" spans="1:5">
      <c r="A7357" s="140"/>
      <c r="B7357" s="192"/>
      <c r="C7357" s="140"/>
      <c r="D7357" s="140"/>
      <c r="E7357" s="140"/>
    </row>
    <row r="7358" spans="1:5">
      <c r="A7358" s="140"/>
      <c r="B7358" s="192"/>
      <c r="C7358" s="140"/>
      <c r="D7358" s="140"/>
      <c r="E7358" s="140"/>
    </row>
    <row r="7359" spans="1:5">
      <c r="A7359" s="140"/>
      <c r="B7359" s="192"/>
      <c r="C7359" s="140"/>
      <c r="D7359" s="140"/>
      <c r="E7359" s="140"/>
    </row>
    <row r="7360" spans="1:5">
      <c r="A7360" s="140"/>
      <c r="B7360" s="192"/>
      <c r="C7360" s="140"/>
      <c r="D7360" s="140"/>
      <c r="E7360" s="140"/>
    </row>
    <row r="7361" spans="1:5">
      <c r="A7361" s="140"/>
      <c r="B7361" s="192"/>
      <c r="C7361" s="140"/>
      <c r="D7361" s="140"/>
      <c r="E7361" s="140"/>
    </row>
    <row r="7362" spans="1:5">
      <c r="A7362" s="140"/>
      <c r="B7362" s="192"/>
      <c r="C7362" s="140"/>
      <c r="D7362" s="140"/>
      <c r="E7362" s="140"/>
    </row>
    <row r="7363" spans="1:5">
      <c r="A7363" s="140"/>
      <c r="B7363" s="192"/>
      <c r="C7363" s="140"/>
      <c r="D7363" s="140"/>
      <c r="E7363" s="140"/>
    </row>
    <row r="7364" spans="1:5">
      <c r="A7364" s="140"/>
      <c r="B7364" s="192"/>
      <c r="C7364" s="140"/>
      <c r="D7364" s="140"/>
      <c r="E7364" s="140"/>
    </row>
    <row r="7365" spans="1:5">
      <c r="A7365" s="140"/>
      <c r="B7365" s="192"/>
      <c r="C7365" s="140"/>
      <c r="D7365" s="140"/>
      <c r="E7365" s="140"/>
    </row>
    <row r="7366" spans="1:5">
      <c r="A7366" s="140"/>
      <c r="B7366" s="192"/>
      <c r="C7366" s="140"/>
      <c r="D7366" s="140"/>
      <c r="E7366" s="140"/>
    </row>
    <row r="7367" spans="1:5">
      <c r="A7367" s="140"/>
      <c r="B7367" s="192"/>
      <c r="C7367" s="140"/>
      <c r="D7367" s="140"/>
      <c r="E7367" s="140"/>
    </row>
    <row r="7368" spans="1:5">
      <c r="A7368" s="140"/>
      <c r="B7368" s="192"/>
      <c r="C7368" s="140"/>
      <c r="D7368" s="140"/>
      <c r="E7368" s="140"/>
    </row>
    <row r="7369" spans="1:5">
      <c r="A7369" s="140"/>
      <c r="B7369" s="192"/>
      <c r="C7369" s="140"/>
      <c r="D7369" s="140"/>
      <c r="E7369" s="140"/>
    </row>
    <row r="7370" spans="1:5">
      <c r="A7370" s="140"/>
      <c r="B7370" s="192"/>
      <c r="C7370" s="140"/>
      <c r="D7370" s="140"/>
      <c r="E7370" s="140"/>
    </row>
    <row r="7371" spans="1:5">
      <c r="A7371" s="140"/>
      <c r="B7371" s="192"/>
      <c r="C7371" s="140"/>
      <c r="D7371" s="140"/>
      <c r="E7371" s="140"/>
    </row>
    <row r="7372" spans="1:5">
      <c r="A7372" s="140"/>
      <c r="B7372" s="192"/>
      <c r="C7372" s="140"/>
      <c r="D7372" s="140"/>
      <c r="E7372" s="140"/>
    </row>
    <row r="7373" spans="1:5">
      <c r="A7373" s="140"/>
      <c r="B7373" s="192"/>
      <c r="C7373" s="140"/>
      <c r="D7373" s="140"/>
      <c r="E7373" s="140"/>
    </row>
    <row r="7374" spans="1:5">
      <c r="A7374" s="140"/>
      <c r="B7374" s="192"/>
      <c r="C7374" s="140"/>
      <c r="D7374" s="140"/>
      <c r="E7374" s="140"/>
    </row>
    <row r="7375" spans="1:5">
      <c r="A7375" s="140"/>
      <c r="B7375" s="192"/>
      <c r="C7375" s="140"/>
      <c r="D7375" s="140"/>
      <c r="E7375" s="140"/>
    </row>
    <row r="7376" spans="1:5">
      <c r="A7376" s="140"/>
      <c r="B7376" s="192"/>
      <c r="C7376" s="140"/>
      <c r="D7376" s="140"/>
      <c r="E7376" s="140"/>
    </row>
    <row r="7377" spans="1:5">
      <c r="A7377" s="140"/>
      <c r="B7377" s="192"/>
      <c r="C7377" s="140"/>
      <c r="D7377" s="140"/>
      <c r="E7377" s="140"/>
    </row>
    <row r="7378" spans="1:5">
      <c r="A7378" s="140"/>
      <c r="B7378" s="192"/>
      <c r="C7378" s="140"/>
      <c r="D7378" s="140"/>
      <c r="E7378" s="140"/>
    </row>
    <row r="7379" spans="1:5">
      <c r="A7379" s="140"/>
      <c r="B7379" s="192"/>
      <c r="C7379" s="140"/>
      <c r="D7379" s="140"/>
      <c r="E7379" s="140"/>
    </row>
    <row r="7380" spans="1:5">
      <c r="A7380" s="140"/>
      <c r="B7380" s="192"/>
      <c r="C7380" s="140"/>
      <c r="D7380" s="140"/>
      <c r="E7380" s="140"/>
    </row>
    <row r="7381" spans="1:5">
      <c r="A7381" s="140"/>
      <c r="B7381" s="192"/>
      <c r="C7381" s="140"/>
      <c r="D7381" s="140"/>
      <c r="E7381" s="140"/>
    </row>
    <row r="7382" spans="1:5">
      <c r="A7382" s="140"/>
      <c r="B7382" s="192"/>
      <c r="C7382" s="140"/>
      <c r="D7382" s="140"/>
      <c r="E7382" s="140"/>
    </row>
    <row r="7383" spans="1:5">
      <c r="A7383" s="140"/>
      <c r="B7383" s="192"/>
      <c r="C7383" s="140"/>
      <c r="D7383" s="140"/>
      <c r="E7383" s="140"/>
    </row>
    <row r="7384" spans="1:5">
      <c r="A7384" s="140"/>
      <c r="B7384" s="192"/>
      <c r="C7384" s="140"/>
      <c r="D7384" s="140"/>
      <c r="E7384" s="140"/>
    </row>
    <row r="7385" spans="1:5">
      <c r="A7385" s="140"/>
      <c r="B7385" s="192"/>
      <c r="C7385" s="140"/>
      <c r="D7385" s="140"/>
      <c r="E7385" s="140"/>
    </row>
    <row r="7386" spans="1:5">
      <c r="A7386" s="140"/>
      <c r="B7386" s="192"/>
      <c r="C7386" s="140"/>
      <c r="D7386" s="140"/>
      <c r="E7386" s="140"/>
    </row>
    <row r="7387" spans="1:5">
      <c r="A7387" s="140"/>
      <c r="B7387" s="192"/>
      <c r="C7387" s="140"/>
      <c r="D7387" s="140"/>
      <c r="E7387" s="140"/>
    </row>
    <row r="7388" spans="1:5">
      <c r="A7388" s="140"/>
      <c r="B7388" s="192"/>
      <c r="C7388" s="140"/>
      <c r="D7388" s="140"/>
      <c r="E7388" s="140"/>
    </row>
    <row r="7389" spans="1:5">
      <c r="A7389" s="140"/>
      <c r="B7389" s="192"/>
      <c r="C7389" s="140"/>
      <c r="D7389" s="140"/>
      <c r="E7389" s="140"/>
    </row>
    <row r="7390" spans="1:5">
      <c r="A7390" s="140"/>
      <c r="B7390" s="192"/>
      <c r="C7390" s="140"/>
      <c r="D7390" s="140"/>
      <c r="E7390" s="140"/>
    </row>
    <row r="7391" spans="1:5">
      <c r="A7391" s="140"/>
      <c r="B7391" s="192"/>
      <c r="C7391" s="140"/>
      <c r="D7391" s="140"/>
      <c r="E7391" s="140"/>
    </row>
    <row r="7392" spans="1:5">
      <c r="A7392" s="140"/>
      <c r="B7392" s="192"/>
      <c r="C7392" s="140"/>
      <c r="D7392" s="140"/>
      <c r="E7392" s="140"/>
    </row>
    <row r="7393" spans="1:5">
      <c r="A7393" s="140"/>
      <c r="B7393" s="192"/>
      <c r="C7393" s="140"/>
      <c r="D7393" s="140"/>
      <c r="E7393" s="140"/>
    </row>
    <row r="7394" spans="1:5">
      <c r="A7394" s="140"/>
      <c r="B7394" s="192"/>
      <c r="C7394" s="140"/>
      <c r="D7394" s="140"/>
      <c r="E7394" s="140"/>
    </row>
    <row r="7395" spans="1:5">
      <c r="A7395" s="140"/>
      <c r="B7395" s="192"/>
      <c r="C7395" s="140"/>
      <c r="D7395" s="140"/>
      <c r="E7395" s="140"/>
    </row>
    <row r="7396" spans="1:5">
      <c r="A7396" s="140"/>
      <c r="B7396" s="192"/>
      <c r="C7396" s="140"/>
      <c r="D7396" s="140"/>
      <c r="E7396" s="140"/>
    </row>
    <row r="7397" spans="1:5">
      <c r="A7397" s="140"/>
      <c r="B7397" s="192"/>
      <c r="C7397" s="140"/>
      <c r="D7397" s="140"/>
      <c r="E7397" s="140"/>
    </row>
    <row r="7398" spans="1:5">
      <c r="A7398" s="140"/>
      <c r="B7398" s="192"/>
      <c r="C7398" s="140"/>
      <c r="D7398" s="140"/>
      <c r="E7398" s="140"/>
    </row>
    <row r="7399" spans="1:5">
      <c r="A7399" s="140"/>
      <c r="B7399" s="192"/>
      <c r="C7399" s="140"/>
      <c r="D7399" s="140"/>
      <c r="E7399" s="140"/>
    </row>
    <row r="7400" spans="1:5">
      <c r="A7400" s="140"/>
      <c r="B7400" s="192"/>
      <c r="C7400" s="140"/>
      <c r="D7400" s="140"/>
      <c r="E7400" s="140"/>
    </row>
    <row r="7401" spans="1:5">
      <c r="A7401" s="140"/>
      <c r="B7401" s="192"/>
      <c r="C7401" s="140"/>
      <c r="D7401" s="140"/>
      <c r="E7401" s="140"/>
    </row>
    <row r="7402" spans="1:5">
      <c r="A7402" s="140"/>
      <c r="B7402" s="192"/>
      <c r="C7402" s="140"/>
      <c r="D7402" s="140"/>
      <c r="E7402" s="140"/>
    </row>
    <row r="7403" spans="1:5">
      <c r="A7403" s="140"/>
      <c r="B7403" s="192"/>
      <c r="C7403" s="140"/>
      <c r="D7403" s="140"/>
      <c r="E7403" s="140"/>
    </row>
    <row r="7404" spans="1:5">
      <c r="A7404" s="140"/>
      <c r="B7404" s="192"/>
      <c r="C7404" s="140"/>
      <c r="D7404" s="140"/>
      <c r="E7404" s="140"/>
    </row>
    <row r="7405" spans="1:5">
      <c r="A7405" s="140"/>
      <c r="B7405" s="192"/>
      <c r="C7405" s="140"/>
      <c r="D7405" s="140"/>
      <c r="E7405" s="140"/>
    </row>
    <row r="7406" spans="1:5">
      <c r="A7406" s="140"/>
      <c r="B7406" s="192"/>
      <c r="C7406" s="140"/>
      <c r="D7406" s="140"/>
      <c r="E7406" s="140"/>
    </row>
    <row r="7407" spans="1:5">
      <c r="A7407" s="140"/>
      <c r="B7407" s="192"/>
      <c r="C7407" s="140"/>
      <c r="D7407" s="140"/>
      <c r="E7407" s="140"/>
    </row>
    <row r="7408" spans="1:5">
      <c r="A7408" s="140"/>
      <c r="B7408" s="192"/>
      <c r="C7408" s="140"/>
      <c r="D7408" s="140"/>
      <c r="E7408" s="140"/>
    </row>
    <row r="7409" spans="1:5">
      <c r="A7409" s="140"/>
      <c r="B7409" s="192"/>
      <c r="C7409" s="140"/>
      <c r="D7409" s="140"/>
      <c r="E7409" s="140"/>
    </row>
    <row r="7410" spans="1:5">
      <c r="A7410" s="140"/>
      <c r="B7410" s="192"/>
      <c r="C7410" s="140"/>
      <c r="D7410" s="140"/>
      <c r="E7410" s="140"/>
    </row>
    <row r="7411" spans="1:5">
      <c r="A7411" s="140"/>
      <c r="B7411" s="192"/>
      <c r="C7411" s="140"/>
      <c r="D7411" s="140"/>
      <c r="E7411" s="140"/>
    </row>
    <row r="7412" spans="1:5">
      <c r="A7412" s="140"/>
      <c r="B7412" s="192"/>
      <c r="C7412" s="140"/>
      <c r="D7412" s="140"/>
      <c r="E7412" s="140"/>
    </row>
    <row r="7413" spans="1:5">
      <c r="A7413" s="140"/>
      <c r="B7413" s="192"/>
      <c r="C7413" s="140"/>
      <c r="D7413" s="140"/>
      <c r="E7413" s="140"/>
    </row>
    <row r="7414" spans="1:5">
      <c r="A7414" s="140"/>
      <c r="B7414" s="192"/>
      <c r="C7414" s="140"/>
      <c r="D7414" s="140"/>
      <c r="E7414" s="140"/>
    </row>
    <row r="7415" spans="1:5">
      <c r="A7415" s="140"/>
      <c r="B7415" s="192"/>
      <c r="C7415" s="140"/>
      <c r="D7415" s="140"/>
      <c r="E7415" s="140"/>
    </row>
    <row r="7416" spans="1:5">
      <c r="A7416" s="140"/>
      <c r="B7416" s="192"/>
      <c r="C7416" s="140"/>
      <c r="D7416" s="140"/>
      <c r="E7416" s="140"/>
    </row>
    <row r="7417" spans="1:5">
      <c r="A7417" s="140"/>
      <c r="B7417" s="192"/>
      <c r="C7417" s="140"/>
      <c r="D7417" s="140"/>
      <c r="E7417" s="140"/>
    </row>
    <row r="7418" spans="1:5">
      <c r="A7418" s="140"/>
      <c r="B7418" s="192"/>
      <c r="C7418" s="140"/>
      <c r="D7418" s="140"/>
      <c r="E7418" s="140"/>
    </row>
    <row r="7419" spans="1:5">
      <c r="A7419" s="140"/>
      <c r="B7419" s="192"/>
      <c r="C7419" s="140"/>
      <c r="D7419" s="140"/>
      <c r="E7419" s="140"/>
    </row>
    <row r="7420" spans="1:5">
      <c r="A7420" s="140"/>
      <c r="B7420" s="192"/>
      <c r="C7420" s="140"/>
      <c r="D7420" s="140"/>
      <c r="E7420" s="140"/>
    </row>
    <row r="7421" spans="1:5">
      <c r="A7421" s="140"/>
      <c r="B7421" s="192"/>
      <c r="C7421" s="140"/>
      <c r="D7421" s="140"/>
      <c r="E7421" s="140"/>
    </row>
    <row r="7422" spans="1:5">
      <c r="A7422" s="140"/>
      <c r="B7422" s="192"/>
      <c r="C7422" s="140"/>
      <c r="D7422" s="140"/>
      <c r="E7422" s="140"/>
    </row>
    <row r="7423" spans="1:5">
      <c r="A7423" s="140"/>
      <c r="B7423" s="192"/>
      <c r="C7423" s="140"/>
      <c r="D7423" s="140"/>
      <c r="E7423" s="140"/>
    </row>
    <row r="7424" spans="1:5">
      <c r="A7424" s="140"/>
      <c r="B7424" s="192"/>
      <c r="C7424" s="140"/>
      <c r="D7424" s="140"/>
      <c r="E7424" s="140"/>
    </row>
    <row r="7425" spans="1:5">
      <c r="A7425" s="140"/>
      <c r="B7425" s="192"/>
      <c r="C7425" s="140"/>
      <c r="D7425" s="140"/>
      <c r="E7425" s="140"/>
    </row>
    <row r="7426" spans="1:5">
      <c r="A7426" s="140"/>
      <c r="B7426" s="192"/>
      <c r="C7426" s="140"/>
      <c r="D7426" s="140"/>
      <c r="E7426" s="140"/>
    </row>
    <row r="7427" spans="1:5">
      <c r="A7427" s="140"/>
      <c r="B7427" s="192"/>
      <c r="C7427" s="140"/>
      <c r="D7427" s="140"/>
      <c r="E7427" s="140"/>
    </row>
    <row r="7428" spans="1:5">
      <c r="A7428" s="140"/>
      <c r="B7428" s="192"/>
      <c r="C7428" s="140"/>
      <c r="D7428" s="140"/>
      <c r="E7428" s="140"/>
    </row>
    <row r="7429" spans="1:5">
      <c r="A7429" s="140"/>
      <c r="B7429" s="192"/>
      <c r="C7429" s="140"/>
      <c r="D7429" s="140"/>
      <c r="E7429" s="140"/>
    </row>
    <row r="7430" spans="1:5">
      <c r="A7430" s="140"/>
      <c r="B7430" s="192"/>
      <c r="C7430" s="140"/>
      <c r="D7430" s="140"/>
      <c r="E7430" s="140"/>
    </row>
    <row r="7431" spans="1:5">
      <c r="A7431" s="140"/>
      <c r="B7431" s="192"/>
      <c r="C7431" s="140"/>
      <c r="D7431" s="140"/>
      <c r="E7431" s="140"/>
    </row>
    <row r="7432" spans="1:5">
      <c r="A7432" s="140"/>
      <c r="B7432" s="192"/>
      <c r="C7432" s="140"/>
      <c r="D7432" s="140"/>
      <c r="E7432" s="140"/>
    </row>
    <row r="7433" spans="1:5">
      <c r="A7433" s="140"/>
      <c r="B7433" s="192"/>
      <c r="C7433" s="140"/>
      <c r="D7433" s="140"/>
      <c r="E7433" s="140"/>
    </row>
    <row r="7434" spans="1:5">
      <c r="A7434" s="140"/>
      <c r="B7434" s="192"/>
      <c r="C7434" s="140"/>
      <c r="D7434" s="140"/>
      <c r="E7434" s="140"/>
    </row>
    <row r="7435" spans="1:5">
      <c r="A7435" s="140"/>
      <c r="B7435" s="192"/>
      <c r="C7435" s="140"/>
      <c r="D7435" s="140"/>
      <c r="E7435" s="140"/>
    </row>
    <row r="7436" spans="1:5">
      <c r="A7436" s="140"/>
      <c r="B7436" s="192"/>
      <c r="C7436" s="140"/>
      <c r="D7436" s="140"/>
      <c r="E7436" s="140"/>
    </row>
    <row r="7437" spans="1:5">
      <c r="A7437" s="140"/>
      <c r="B7437" s="192"/>
      <c r="C7437" s="140"/>
      <c r="D7437" s="140"/>
      <c r="E7437" s="140"/>
    </row>
    <row r="7438" spans="1:5">
      <c r="A7438" s="140"/>
      <c r="B7438" s="192"/>
      <c r="C7438" s="140"/>
      <c r="D7438" s="140"/>
      <c r="E7438" s="140"/>
    </row>
    <row r="7439" spans="1:5">
      <c r="A7439" s="140"/>
      <c r="B7439" s="192"/>
      <c r="C7439" s="140"/>
      <c r="D7439" s="140"/>
      <c r="E7439" s="140"/>
    </row>
    <row r="7440" spans="1:5">
      <c r="A7440" s="140"/>
      <c r="B7440" s="192"/>
      <c r="C7440" s="140"/>
      <c r="D7440" s="140"/>
      <c r="E7440" s="140"/>
    </row>
    <row r="7441" spans="1:5">
      <c r="A7441" s="140"/>
      <c r="B7441" s="192"/>
      <c r="C7441" s="140"/>
      <c r="D7441" s="140"/>
      <c r="E7441" s="140"/>
    </row>
    <row r="7442" spans="1:5">
      <c r="A7442" s="140"/>
      <c r="B7442" s="192"/>
      <c r="C7442" s="140"/>
      <c r="D7442" s="140"/>
      <c r="E7442" s="140"/>
    </row>
    <row r="7443" spans="1:5">
      <c r="A7443" s="140"/>
      <c r="B7443" s="192"/>
      <c r="C7443" s="140"/>
      <c r="D7443" s="140"/>
      <c r="E7443" s="140"/>
    </row>
    <row r="7444" spans="1:5">
      <c r="A7444" s="140"/>
      <c r="B7444" s="192"/>
      <c r="C7444" s="140"/>
      <c r="D7444" s="140"/>
      <c r="E7444" s="140"/>
    </row>
    <row r="7445" spans="1:5">
      <c r="A7445" s="140"/>
      <c r="B7445" s="192"/>
      <c r="C7445" s="140"/>
      <c r="D7445" s="140"/>
      <c r="E7445" s="140"/>
    </row>
    <row r="7446" spans="1:5">
      <c r="A7446" s="140"/>
      <c r="B7446" s="192"/>
      <c r="C7446" s="140"/>
      <c r="D7446" s="140"/>
      <c r="E7446" s="140"/>
    </row>
    <row r="7447" spans="1:5">
      <c r="A7447" s="140"/>
      <c r="B7447" s="192"/>
      <c r="C7447" s="140"/>
      <c r="D7447" s="140"/>
      <c r="E7447" s="140"/>
    </row>
    <row r="7448" spans="1:5">
      <c r="A7448" s="140"/>
      <c r="B7448" s="192"/>
      <c r="C7448" s="140"/>
      <c r="D7448" s="140"/>
      <c r="E7448" s="140"/>
    </row>
    <row r="7449" spans="1:5">
      <c r="A7449" s="140"/>
      <c r="B7449" s="192"/>
      <c r="C7449" s="140"/>
      <c r="D7449" s="140"/>
      <c r="E7449" s="140"/>
    </row>
    <row r="7450" spans="1:5">
      <c r="A7450" s="140"/>
      <c r="B7450" s="192"/>
      <c r="C7450" s="140"/>
      <c r="D7450" s="140"/>
      <c r="E7450" s="140"/>
    </row>
    <row r="7451" spans="1:5">
      <c r="A7451" s="140"/>
      <c r="B7451" s="192"/>
      <c r="C7451" s="140"/>
      <c r="D7451" s="140"/>
      <c r="E7451" s="140"/>
    </row>
    <row r="7452" spans="1:5">
      <c r="A7452" s="140"/>
      <c r="B7452" s="192"/>
      <c r="C7452" s="140"/>
      <c r="D7452" s="140"/>
      <c r="E7452" s="140"/>
    </row>
    <row r="7453" spans="1:5">
      <c r="A7453" s="140"/>
      <c r="B7453" s="192"/>
      <c r="C7453" s="140"/>
      <c r="D7453" s="140"/>
      <c r="E7453" s="140"/>
    </row>
    <row r="7454" spans="1:5">
      <c r="A7454" s="140"/>
      <c r="B7454" s="192"/>
      <c r="C7454" s="140"/>
      <c r="D7454" s="140"/>
      <c r="E7454" s="140"/>
    </row>
    <row r="7455" spans="1:5">
      <c r="A7455" s="140"/>
      <c r="B7455" s="192"/>
      <c r="C7455" s="140"/>
      <c r="D7455" s="140"/>
      <c r="E7455" s="140"/>
    </row>
    <row r="7456" spans="1:5">
      <c r="A7456" s="140"/>
      <c r="B7456" s="192"/>
      <c r="C7456" s="140"/>
      <c r="D7456" s="140"/>
      <c r="E7456" s="140"/>
    </row>
    <row r="7457" spans="1:5">
      <c r="A7457" s="140"/>
      <c r="B7457" s="192"/>
      <c r="C7457" s="140"/>
      <c r="D7457" s="140"/>
      <c r="E7457" s="140"/>
    </row>
    <row r="7458" spans="1:5">
      <c r="A7458" s="140"/>
      <c r="B7458" s="192"/>
      <c r="C7458" s="140"/>
      <c r="D7458" s="140"/>
      <c r="E7458" s="140"/>
    </row>
    <row r="7459" spans="1:5">
      <c r="A7459" s="140"/>
      <c r="B7459" s="192"/>
      <c r="C7459" s="140"/>
      <c r="D7459" s="140"/>
      <c r="E7459" s="140"/>
    </row>
    <row r="7460" spans="1:5">
      <c r="A7460" s="140"/>
      <c r="B7460" s="192"/>
      <c r="C7460" s="140"/>
      <c r="D7460" s="140"/>
      <c r="E7460" s="140"/>
    </row>
    <row r="7461" spans="1:5">
      <c r="A7461" s="140"/>
      <c r="B7461" s="192"/>
      <c r="C7461" s="140"/>
      <c r="D7461" s="140"/>
      <c r="E7461" s="140"/>
    </row>
    <row r="7462" spans="1:5">
      <c r="A7462" s="140"/>
      <c r="B7462" s="192"/>
      <c r="C7462" s="140"/>
      <c r="D7462" s="140"/>
      <c r="E7462" s="140"/>
    </row>
    <row r="7463" spans="1:5">
      <c r="A7463" s="140"/>
      <c r="B7463" s="192"/>
      <c r="C7463" s="140"/>
      <c r="D7463" s="140"/>
      <c r="E7463" s="140"/>
    </row>
    <row r="7464" spans="1:5">
      <c r="A7464" s="140"/>
      <c r="B7464" s="192"/>
      <c r="C7464" s="140"/>
      <c r="D7464" s="140"/>
      <c r="E7464" s="140"/>
    </row>
    <row r="7465" spans="1:5">
      <c r="A7465" s="140"/>
      <c r="B7465" s="192"/>
      <c r="C7465" s="140"/>
      <c r="D7465" s="140"/>
      <c r="E7465" s="140"/>
    </row>
    <row r="7466" spans="1:5">
      <c r="A7466" s="140"/>
      <c r="B7466" s="192"/>
      <c r="C7466" s="140"/>
      <c r="D7466" s="140"/>
      <c r="E7466" s="140"/>
    </row>
    <row r="7467" spans="1:5">
      <c r="A7467" s="140"/>
      <c r="B7467" s="192"/>
      <c r="C7467" s="140"/>
      <c r="D7467" s="140"/>
      <c r="E7467" s="140"/>
    </row>
    <row r="7468" spans="1:5">
      <c r="A7468" s="140"/>
      <c r="B7468" s="192"/>
      <c r="C7468" s="140"/>
      <c r="D7468" s="140"/>
      <c r="E7468" s="140"/>
    </row>
    <row r="7469" spans="1:5">
      <c r="A7469" s="140"/>
      <c r="B7469" s="192"/>
      <c r="C7469" s="140"/>
      <c r="D7469" s="140"/>
      <c r="E7469" s="140"/>
    </row>
    <row r="7470" spans="1:5">
      <c r="A7470" s="140"/>
      <c r="B7470" s="192"/>
      <c r="C7470" s="140"/>
      <c r="D7470" s="140"/>
      <c r="E7470" s="140"/>
    </row>
    <row r="7471" spans="1:5">
      <c r="A7471" s="140"/>
      <c r="B7471" s="192"/>
      <c r="C7471" s="140"/>
      <c r="D7471" s="140"/>
      <c r="E7471" s="140"/>
    </row>
    <row r="7472" spans="1:5">
      <c r="A7472" s="140"/>
      <c r="B7472" s="192"/>
      <c r="C7472" s="140"/>
      <c r="D7472" s="140"/>
      <c r="E7472" s="140"/>
    </row>
    <row r="7473" spans="1:5">
      <c r="A7473" s="140"/>
      <c r="B7473" s="192"/>
      <c r="C7473" s="140"/>
      <c r="D7473" s="140"/>
      <c r="E7473" s="140"/>
    </row>
    <row r="7474" spans="1:5">
      <c r="A7474" s="140"/>
      <c r="B7474" s="192"/>
      <c r="C7474" s="140"/>
      <c r="D7474" s="140"/>
      <c r="E7474" s="140"/>
    </row>
    <row r="7475" spans="1:5">
      <c r="A7475" s="140"/>
      <c r="B7475" s="192"/>
      <c r="C7475" s="140"/>
      <c r="D7475" s="140"/>
      <c r="E7475" s="140"/>
    </row>
    <row r="7476" spans="1:5">
      <c r="A7476" s="140"/>
      <c r="B7476" s="192"/>
      <c r="C7476" s="140"/>
      <c r="D7476" s="140"/>
      <c r="E7476" s="140"/>
    </row>
    <row r="7477" spans="1:5">
      <c r="A7477" s="140"/>
      <c r="B7477" s="192"/>
      <c r="C7477" s="140"/>
      <c r="D7477" s="140"/>
      <c r="E7477" s="140"/>
    </row>
    <row r="7478" spans="1:5">
      <c r="A7478" s="140"/>
      <c r="B7478" s="192"/>
      <c r="C7478" s="140"/>
      <c r="D7478" s="140"/>
      <c r="E7478" s="140"/>
    </row>
    <row r="7479" spans="1:5">
      <c r="A7479" s="140"/>
      <c r="B7479" s="192"/>
      <c r="C7479" s="140"/>
      <c r="D7479" s="140"/>
      <c r="E7479" s="140"/>
    </row>
    <row r="7480" spans="1:5">
      <c r="A7480" s="140"/>
      <c r="B7480" s="192"/>
      <c r="C7480" s="140"/>
      <c r="D7480" s="140"/>
      <c r="E7480" s="140"/>
    </row>
    <row r="7481" spans="1:5">
      <c r="A7481" s="140"/>
      <c r="B7481" s="192"/>
      <c r="C7481" s="140"/>
      <c r="D7481" s="140"/>
      <c r="E7481" s="140"/>
    </row>
    <row r="7482" spans="1:5">
      <c r="A7482" s="140"/>
      <c r="B7482" s="192"/>
      <c r="C7482" s="140"/>
      <c r="D7482" s="140"/>
      <c r="E7482" s="140"/>
    </row>
    <row r="7483" spans="1:5">
      <c r="A7483" s="140"/>
      <c r="B7483" s="192"/>
      <c r="C7483" s="140"/>
      <c r="D7483" s="140"/>
      <c r="E7483" s="140"/>
    </row>
    <row r="7484" spans="1:5">
      <c r="A7484" s="140"/>
      <c r="B7484" s="192"/>
      <c r="C7484" s="140"/>
      <c r="D7484" s="140"/>
      <c r="E7484" s="140"/>
    </row>
    <row r="7485" spans="1:5">
      <c r="A7485" s="140"/>
      <c r="B7485" s="192"/>
      <c r="C7485" s="140"/>
      <c r="D7485" s="140"/>
      <c r="E7485" s="140"/>
    </row>
    <row r="7486" spans="1:5">
      <c r="A7486" s="140"/>
      <c r="B7486" s="192"/>
      <c r="C7486" s="140"/>
      <c r="D7486" s="140"/>
      <c r="E7486" s="140"/>
    </row>
    <row r="7487" spans="1:5">
      <c r="A7487" s="140"/>
      <c r="B7487" s="192"/>
      <c r="C7487" s="140"/>
      <c r="D7487" s="140"/>
      <c r="E7487" s="140"/>
    </row>
    <row r="7488" spans="1:5">
      <c r="A7488" s="140"/>
      <c r="B7488" s="192"/>
      <c r="C7488" s="140"/>
      <c r="D7488" s="140"/>
      <c r="E7488" s="140"/>
    </row>
    <row r="7489" spans="1:5">
      <c r="A7489" s="140"/>
      <c r="B7489" s="192"/>
      <c r="C7489" s="140"/>
      <c r="D7489" s="140"/>
      <c r="E7489" s="140"/>
    </row>
    <row r="7490" spans="1:5">
      <c r="A7490" s="140"/>
      <c r="B7490" s="192"/>
      <c r="C7490" s="140"/>
      <c r="D7490" s="140"/>
      <c r="E7490" s="140"/>
    </row>
    <row r="7491" spans="1:5">
      <c r="A7491" s="140"/>
      <c r="B7491" s="192"/>
      <c r="C7491" s="140"/>
      <c r="D7491" s="140"/>
      <c r="E7491" s="140"/>
    </row>
    <row r="7492" spans="1:5">
      <c r="A7492" s="140"/>
      <c r="B7492" s="192"/>
      <c r="C7492" s="140"/>
      <c r="D7492" s="140"/>
      <c r="E7492" s="140"/>
    </row>
    <row r="7493" spans="1:5">
      <c r="A7493" s="140"/>
      <c r="B7493" s="192"/>
      <c r="C7493" s="140"/>
      <c r="D7493" s="140"/>
      <c r="E7493" s="140"/>
    </row>
    <row r="7494" spans="1:5">
      <c r="A7494" s="140"/>
      <c r="B7494" s="192"/>
      <c r="C7494" s="140"/>
      <c r="D7494" s="140"/>
      <c r="E7494" s="140"/>
    </row>
    <row r="7495" spans="1:5">
      <c r="A7495" s="140"/>
      <c r="B7495" s="192"/>
      <c r="C7495" s="140"/>
      <c r="D7495" s="140"/>
      <c r="E7495" s="140"/>
    </row>
    <row r="7496" spans="1:5">
      <c r="A7496" s="140"/>
      <c r="B7496" s="192"/>
      <c r="C7496" s="140"/>
      <c r="D7496" s="140"/>
      <c r="E7496" s="140"/>
    </row>
    <row r="7497" spans="1:5">
      <c r="A7497" s="140"/>
      <c r="B7497" s="192"/>
      <c r="C7497" s="140"/>
      <c r="D7497" s="140"/>
      <c r="E7497" s="140"/>
    </row>
    <row r="7498" spans="1:5">
      <c r="A7498" s="140"/>
      <c r="B7498" s="192"/>
      <c r="C7498" s="140"/>
      <c r="D7498" s="140"/>
      <c r="E7498" s="140"/>
    </row>
    <row r="7499" spans="1:5">
      <c r="A7499" s="140"/>
      <c r="B7499" s="192"/>
      <c r="C7499" s="140"/>
      <c r="D7499" s="140"/>
      <c r="E7499" s="140"/>
    </row>
    <row r="7500" spans="1:5">
      <c r="A7500" s="140"/>
      <c r="B7500" s="192"/>
      <c r="C7500" s="140"/>
      <c r="D7500" s="140"/>
      <c r="E7500" s="140"/>
    </row>
    <row r="7501" spans="1:5">
      <c r="A7501" s="140"/>
      <c r="B7501" s="192"/>
      <c r="C7501" s="140"/>
      <c r="D7501" s="140"/>
      <c r="E7501" s="140"/>
    </row>
    <row r="7502" spans="1:5">
      <c r="A7502" s="140"/>
      <c r="B7502" s="192"/>
      <c r="C7502" s="140"/>
      <c r="D7502" s="140"/>
      <c r="E7502" s="140"/>
    </row>
    <row r="7503" spans="1:5">
      <c r="A7503" s="140"/>
      <c r="B7503" s="192"/>
      <c r="C7503" s="140"/>
      <c r="D7503" s="140"/>
      <c r="E7503" s="140"/>
    </row>
    <row r="7504" spans="1:5">
      <c r="A7504" s="140"/>
      <c r="B7504" s="192"/>
      <c r="C7504" s="140"/>
      <c r="D7504" s="140"/>
      <c r="E7504" s="140"/>
    </row>
    <row r="7505" spans="1:5">
      <c r="A7505" s="140"/>
      <c r="B7505" s="192"/>
      <c r="C7505" s="140"/>
      <c r="D7505" s="140"/>
      <c r="E7505" s="140"/>
    </row>
    <row r="7506" spans="1:5">
      <c r="A7506" s="140"/>
      <c r="B7506" s="192"/>
      <c r="C7506" s="140"/>
      <c r="D7506" s="140"/>
      <c r="E7506" s="140"/>
    </row>
    <row r="7507" spans="1:5">
      <c r="A7507" s="140"/>
      <c r="B7507" s="192"/>
      <c r="C7507" s="140"/>
      <c r="D7507" s="140"/>
      <c r="E7507" s="140"/>
    </row>
    <row r="7508" spans="1:5">
      <c r="A7508" s="140"/>
      <c r="B7508" s="192"/>
      <c r="C7508" s="140"/>
      <c r="D7508" s="140"/>
      <c r="E7508" s="140"/>
    </row>
    <row r="7509" spans="1:5">
      <c r="A7509" s="140"/>
      <c r="B7509" s="192"/>
      <c r="C7509" s="140"/>
      <c r="D7509" s="140"/>
      <c r="E7509" s="140"/>
    </row>
    <row r="7510" spans="1:5">
      <c r="A7510" s="140"/>
      <c r="B7510" s="192"/>
      <c r="C7510" s="140"/>
      <c r="D7510" s="140"/>
      <c r="E7510" s="140"/>
    </row>
    <row r="7511" spans="1:5">
      <c r="A7511" s="140"/>
      <c r="B7511" s="192"/>
      <c r="C7511" s="140"/>
      <c r="D7511" s="140"/>
      <c r="E7511" s="140"/>
    </row>
    <row r="7512" spans="1:5">
      <c r="A7512" s="140"/>
      <c r="B7512" s="192"/>
      <c r="C7512" s="140"/>
      <c r="D7512" s="140"/>
      <c r="E7512" s="140"/>
    </row>
    <row r="7513" spans="1:5">
      <c r="A7513" s="140"/>
      <c r="B7513" s="192"/>
      <c r="C7513" s="140"/>
      <c r="D7513" s="140"/>
      <c r="E7513" s="140"/>
    </row>
    <row r="7514" spans="1:5">
      <c r="A7514" s="140"/>
      <c r="B7514" s="192"/>
      <c r="C7514" s="140"/>
      <c r="D7514" s="140"/>
      <c r="E7514" s="140"/>
    </row>
    <row r="7515" spans="1:5">
      <c r="A7515" s="140"/>
      <c r="B7515" s="192"/>
      <c r="C7515" s="140"/>
      <c r="D7515" s="140"/>
      <c r="E7515" s="140"/>
    </row>
    <row r="7516" spans="1:5">
      <c r="A7516" s="140"/>
      <c r="B7516" s="192"/>
      <c r="C7516" s="140"/>
      <c r="D7516" s="140"/>
      <c r="E7516" s="140"/>
    </row>
    <row r="7517" spans="1:5">
      <c r="A7517" s="140"/>
      <c r="B7517" s="192"/>
      <c r="C7517" s="140"/>
      <c r="D7517" s="140"/>
      <c r="E7517" s="140"/>
    </row>
    <row r="7518" spans="1:5">
      <c r="A7518" s="140"/>
      <c r="B7518" s="192"/>
      <c r="C7518" s="140"/>
      <c r="D7518" s="140"/>
      <c r="E7518" s="140"/>
    </row>
    <row r="7519" spans="1:5">
      <c r="A7519" s="140"/>
      <c r="B7519" s="192"/>
      <c r="C7519" s="140"/>
      <c r="D7519" s="140"/>
      <c r="E7519" s="140"/>
    </row>
    <row r="7520" spans="1:5">
      <c r="A7520" s="140"/>
      <c r="B7520" s="192"/>
      <c r="C7520" s="140"/>
      <c r="D7520" s="140"/>
      <c r="E7520" s="140"/>
    </row>
    <row r="7521" spans="1:5">
      <c r="A7521" s="140"/>
      <c r="B7521" s="192"/>
      <c r="C7521" s="140"/>
      <c r="D7521" s="140"/>
      <c r="E7521" s="140"/>
    </row>
    <row r="7522" spans="1:5">
      <c r="A7522" s="140"/>
      <c r="B7522" s="192"/>
      <c r="C7522" s="140"/>
      <c r="D7522" s="140"/>
      <c r="E7522" s="140"/>
    </row>
    <row r="7523" spans="1:5">
      <c r="A7523" s="140"/>
      <c r="B7523" s="192"/>
      <c r="C7523" s="140"/>
      <c r="D7523" s="140"/>
      <c r="E7523" s="140"/>
    </row>
    <row r="7524" spans="1:5">
      <c r="A7524" s="140"/>
      <c r="B7524" s="192"/>
      <c r="C7524" s="140"/>
      <c r="D7524" s="140"/>
      <c r="E7524" s="140"/>
    </row>
    <row r="7525" spans="1:5">
      <c r="A7525" s="140"/>
      <c r="B7525" s="192"/>
      <c r="C7525" s="140"/>
      <c r="D7525" s="140"/>
      <c r="E7525" s="140"/>
    </row>
    <row r="7526" spans="1:5">
      <c r="A7526" s="140"/>
      <c r="B7526" s="192"/>
      <c r="C7526" s="140"/>
      <c r="D7526" s="140"/>
      <c r="E7526" s="140"/>
    </row>
    <row r="7527" spans="1:5">
      <c r="A7527" s="140"/>
      <c r="B7527" s="192"/>
      <c r="C7527" s="140"/>
      <c r="D7527" s="140"/>
      <c r="E7527" s="140"/>
    </row>
    <row r="7528" spans="1:5">
      <c r="A7528" s="140"/>
      <c r="B7528" s="192"/>
      <c r="C7528" s="140"/>
      <c r="D7528" s="140"/>
      <c r="E7528" s="140"/>
    </row>
    <row r="7529" spans="1:5">
      <c r="A7529" s="140"/>
      <c r="B7529" s="192"/>
      <c r="C7529" s="140"/>
      <c r="D7529" s="140"/>
      <c r="E7529" s="140"/>
    </row>
    <row r="7530" spans="1:5">
      <c r="A7530" s="140"/>
      <c r="B7530" s="192"/>
      <c r="C7530" s="140"/>
      <c r="D7530" s="140"/>
      <c r="E7530" s="140"/>
    </row>
    <row r="7531" spans="1:5">
      <c r="A7531" s="140"/>
      <c r="B7531" s="192"/>
      <c r="C7531" s="140"/>
      <c r="D7531" s="140"/>
      <c r="E7531" s="140"/>
    </row>
    <row r="7532" spans="1:5">
      <c r="A7532" s="140"/>
      <c r="B7532" s="192"/>
      <c r="C7532" s="140"/>
      <c r="D7532" s="140"/>
      <c r="E7532" s="140"/>
    </row>
    <row r="7533" spans="1:5">
      <c r="A7533" s="140"/>
      <c r="B7533" s="192"/>
      <c r="C7533" s="140"/>
      <c r="D7533" s="140"/>
      <c r="E7533" s="140"/>
    </row>
    <row r="7534" spans="1:5">
      <c r="A7534" s="140"/>
      <c r="B7534" s="192"/>
      <c r="C7534" s="140"/>
      <c r="D7534" s="140"/>
      <c r="E7534" s="140"/>
    </row>
    <row r="7535" spans="1:5">
      <c r="A7535" s="140"/>
      <c r="B7535" s="192"/>
      <c r="C7535" s="140"/>
      <c r="D7535" s="140"/>
      <c r="E7535" s="140"/>
    </row>
    <row r="7536" spans="1:5">
      <c r="A7536" s="140"/>
      <c r="B7536" s="192"/>
      <c r="C7536" s="140"/>
      <c r="D7536" s="140"/>
      <c r="E7536" s="140"/>
    </row>
    <row r="7537" spans="1:5">
      <c r="A7537" s="140"/>
      <c r="B7537" s="192"/>
      <c r="C7537" s="140"/>
      <c r="D7537" s="140"/>
      <c r="E7537" s="140"/>
    </row>
    <row r="7538" spans="1:5">
      <c r="A7538" s="140"/>
      <c r="B7538" s="192"/>
      <c r="C7538" s="140"/>
      <c r="D7538" s="140"/>
      <c r="E7538" s="140"/>
    </row>
    <row r="7539" spans="1:5">
      <c r="A7539" s="140"/>
      <c r="B7539" s="192"/>
      <c r="C7539" s="140"/>
      <c r="D7539" s="140"/>
      <c r="E7539" s="140"/>
    </row>
    <row r="7540" spans="1:5">
      <c r="A7540" s="140"/>
      <c r="B7540" s="192"/>
      <c r="C7540" s="140"/>
      <c r="D7540" s="140"/>
      <c r="E7540" s="140"/>
    </row>
    <row r="7541" spans="1:5">
      <c r="A7541" s="140"/>
      <c r="B7541" s="192"/>
      <c r="C7541" s="140"/>
      <c r="D7541" s="140"/>
      <c r="E7541" s="140"/>
    </row>
    <row r="7542" spans="1:5">
      <c r="A7542" s="140"/>
      <c r="B7542" s="192"/>
      <c r="C7542" s="140"/>
      <c r="D7542" s="140"/>
      <c r="E7542" s="140"/>
    </row>
    <row r="7543" spans="1:5">
      <c r="A7543" s="140"/>
      <c r="B7543" s="192"/>
      <c r="C7543" s="140"/>
      <c r="D7543" s="140"/>
      <c r="E7543" s="140"/>
    </row>
    <row r="7544" spans="1:5">
      <c r="A7544" s="140"/>
      <c r="B7544" s="192"/>
      <c r="C7544" s="140"/>
      <c r="D7544" s="140"/>
      <c r="E7544" s="140"/>
    </row>
    <row r="7545" spans="1:5">
      <c r="A7545" s="140"/>
      <c r="B7545" s="192"/>
      <c r="C7545" s="140"/>
      <c r="D7545" s="140"/>
      <c r="E7545" s="140"/>
    </row>
    <row r="7546" spans="1:5">
      <c r="A7546" s="140"/>
      <c r="B7546" s="192"/>
      <c r="C7546" s="140"/>
      <c r="D7546" s="140"/>
      <c r="E7546" s="140"/>
    </row>
    <row r="7547" spans="1:5">
      <c r="A7547" s="140"/>
      <c r="B7547" s="192"/>
      <c r="C7547" s="140"/>
      <c r="D7547" s="140"/>
      <c r="E7547" s="140"/>
    </row>
    <row r="7548" spans="1:5">
      <c r="A7548" s="140"/>
      <c r="B7548" s="192"/>
      <c r="C7548" s="140"/>
      <c r="D7548" s="140"/>
      <c r="E7548" s="140"/>
    </row>
    <row r="7549" spans="1:5">
      <c r="A7549" s="140"/>
      <c r="B7549" s="192"/>
      <c r="C7549" s="140"/>
      <c r="D7549" s="140"/>
      <c r="E7549" s="140"/>
    </row>
    <row r="7550" spans="1:5">
      <c r="A7550" s="140"/>
      <c r="B7550" s="192"/>
      <c r="C7550" s="140"/>
      <c r="D7550" s="140"/>
      <c r="E7550" s="140"/>
    </row>
    <row r="7551" spans="1:5">
      <c r="A7551" s="140"/>
      <c r="B7551" s="192"/>
      <c r="C7551" s="140"/>
      <c r="D7551" s="140"/>
      <c r="E7551" s="140"/>
    </row>
    <row r="7552" spans="1:5">
      <c r="A7552" s="140"/>
      <c r="B7552" s="192"/>
      <c r="C7552" s="140"/>
      <c r="D7552" s="140"/>
      <c r="E7552" s="140"/>
    </row>
    <row r="7553" spans="1:5">
      <c r="A7553" s="140"/>
      <c r="B7553" s="192"/>
      <c r="C7553" s="140"/>
      <c r="D7553" s="140"/>
      <c r="E7553" s="140"/>
    </row>
    <row r="7554" spans="1:5">
      <c r="A7554" s="140"/>
      <c r="B7554" s="192"/>
      <c r="C7554" s="140"/>
      <c r="D7554" s="140"/>
      <c r="E7554" s="140"/>
    </row>
    <row r="7555" spans="1:5">
      <c r="A7555" s="140"/>
      <c r="B7555" s="192"/>
      <c r="C7555" s="140"/>
      <c r="D7555" s="140"/>
      <c r="E7555" s="140"/>
    </row>
    <row r="7556" spans="1:5">
      <c r="A7556" s="140"/>
      <c r="B7556" s="192"/>
      <c r="C7556" s="140"/>
      <c r="D7556" s="140"/>
      <c r="E7556" s="140"/>
    </row>
    <row r="7557" spans="1:5">
      <c r="A7557" s="140"/>
      <c r="B7557" s="192"/>
      <c r="C7557" s="140"/>
      <c r="D7557" s="140"/>
      <c r="E7557" s="140"/>
    </row>
    <row r="7558" spans="1:5">
      <c r="A7558" s="140"/>
      <c r="B7558" s="192"/>
      <c r="C7558" s="140"/>
      <c r="D7558" s="140"/>
      <c r="E7558" s="140"/>
    </row>
    <row r="7559" spans="1:5">
      <c r="A7559" s="140"/>
      <c r="B7559" s="192"/>
      <c r="C7559" s="140"/>
      <c r="D7559" s="140"/>
      <c r="E7559" s="140"/>
    </row>
    <row r="7560" spans="1:5">
      <c r="A7560" s="140"/>
      <c r="B7560" s="192"/>
      <c r="C7560" s="140"/>
      <c r="D7560" s="140"/>
      <c r="E7560" s="140"/>
    </row>
    <row r="7561" spans="1:5">
      <c r="A7561" s="140"/>
      <c r="B7561" s="192"/>
      <c r="C7561" s="140"/>
      <c r="D7561" s="140"/>
      <c r="E7561" s="140"/>
    </row>
    <row r="7562" spans="1:5">
      <c r="A7562" s="140"/>
      <c r="B7562" s="192"/>
      <c r="C7562" s="140"/>
      <c r="D7562" s="140"/>
      <c r="E7562" s="140"/>
    </row>
    <row r="7563" spans="1:5">
      <c r="A7563" s="140"/>
      <c r="B7563" s="192"/>
      <c r="C7563" s="140"/>
      <c r="D7563" s="140"/>
      <c r="E7563" s="140"/>
    </row>
    <row r="7564" spans="1:5">
      <c r="A7564" s="140"/>
      <c r="B7564" s="192"/>
      <c r="C7564" s="140"/>
      <c r="D7564" s="140"/>
      <c r="E7564" s="140"/>
    </row>
    <row r="7565" spans="1:5">
      <c r="A7565" s="140"/>
      <c r="B7565" s="192"/>
      <c r="C7565" s="140"/>
      <c r="D7565" s="140"/>
      <c r="E7565" s="140"/>
    </row>
    <row r="7566" spans="1:5">
      <c r="A7566" s="140"/>
      <c r="B7566" s="192"/>
      <c r="C7566" s="140"/>
      <c r="D7566" s="140"/>
      <c r="E7566" s="140"/>
    </row>
    <row r="7567" spans="1:5">
      <c r="A7567" s="140"/>
      <c r="B7567" s="192"/>
      <c r="C7567" s="140"/>
      <c r="D7567" s="140"/>
      <c r="E7567" s="140"/>
    </row>
    <row r="7568" spans="1:5">
      <c r="A7568" s="140"/>
      <c r="B7568" s="192"/>
      <c r="C7568" s="140"/>
      <c r="D7568" s="140"/>
      <c r="E7568" s="140"/>
    </row>
    <row r="7569" spans="1:5">
      <c r="A7569" s="140"/>
      <c r="B7569" s="192"/>
      <c r="C7569" s="140"/>
      <c r="D7569" s="140"/>
      <c r="E7569" s="140"/>
    </row>
    <row r="7570" spans="1:5">
      <c r="A7570" s="140"/>
      <c r="B7570" s="192"/>
      <c r="C7570" s="140"/>
      <c r="D7570" s="140"/>
      <c r="E7570" s="140"/>
    </row>
    <row r="7571" spans="1:5">
      <c r="A7571" s="140"/>
      <c r="B7571" s="192"/>
      <c r="C7571" s="140"/>
      <c r="D7571" s="140"/>
      <c r="E7571" s="140"/>
    </row>
    <row r="7572" spans="1:5">
      <c r="A7572" s="140"/>
      <c r="B7572" s="192"/>
      <c r="C7572" s="140"/>
      <c r="D7572" s="140"/>
      <c r="E7572" s="140"/>
    </row>
    <row r="7573" spans="1:5">
      <c r="A7573" s="140"/>
      <c r="B7573" s="192"/>
      <c r="C7573" s="140"/>
      <c r="D7573" s="140"/>
      <c r="E7573" s="140"/>
    </row>
    <row r="7574" spans="1:5">
      <c r="A7574" s="140"/>
      <c r="B7574" s="192"/>
      <c r="C7574" s="140"/>
      <c r="D7574" s="140"/>
      <c r="E7574" s="140"/>
    </row>
    <row r="7575" spans="1:5">
      <c r="A7575" s="140"/>
      <c r="B7575" s="192"/>
      <c r="C7575" s="140"/>
      <c r="D7575" s="140"/>
      <c r="E7575" s="140"/>
    </row>
    <row r="7576" spans="1:5">
      <c r="A7576" s="140"/>
      <c r="B7576" s="192"/>
      <c r="C7576" s="140"/>
      <c r="D7576" s="140"/>
      <c r="E7576" s="140"/>
    </row>
    <row r="7577" spans="1:5">
      <c r="A7577" s="140"/>
      <c r="B7577" s="192"/>
      <c r="C7577" s="140"/>
      <c r="D7577" s="140"/>
      <c r="E7577" s="140"/>
    </row>
    <row r="7578" spans="1:5">
      <c r="A7578" s="140"/>
      <c r="B7578" s="192"/>
      <c r="C7578" s="140"/>
      <c r="D7578" s="140"/>
      <c r="E7578" s="140"/>
    </row>
    <row r="7579" spans="1:5">
      <c r="A7579" s="140"/>
      <c r="B7579" s="192"/>
      <c r="C7579" s="140"/>
      <c r="D7579" s="140"/>
      <c r="E7579" s="140"/>
    </row>
    <row r="7580" spans="1:5">
      <c r="A7580" s="140"/>
      <c r="B7580" s="192"/>
      <c r="C7580" s="140"/>
      <c r="D7580" s="140"/>
      <c r="E7580" s="140"/>
    </row>
    <row r="7581" spans="1:5">
      <c r="A7581" s="140"/>
      <c r="B7581" s="192"/>
      <c r="C7581" s="140"/>
      <c r="D7581" s="140"/>
      <c r="E7581" s="140"/>
    </row>
    <row r="7582" spans="1:5">
      <c r="A7582" s="140"/>
      <c r="B7582" s="192"/>
      <c r="C7582" s="140"/>
      <c r="D7582" s="140"/>
      <c r="E7582" s="140"/>
    </row>
    <row r="7583" spans="1:5">
      <c r="A7583" s="140"/>
      <c r="B7583" s="192"/>
      <c r="C7583" s="140"/>
      <c r="D7583" s="140"/>
      <c r="E7583" s="140"/>
    </row>
    <row r="7584" spans="1:5">
      <c r="A7584" s="140"/>
      <c r="B7584" s="192"/>
      <c r="C7584" s="140"/>
      <c r="D7584" s="140"/>
      <c r="E7584" s="140"/>
    </row>
    <row r="7585" spans="1:5">
      <c r="A7585" s="140"/>
      <c r="B7585" s="192"/>
      <c r="C7585" s="140"/>
      <c r="D7585" s="140"/>
      <c r="E7585" s="140"/>
    </row>
    <row r="7586" spans="1:5">
      <c r="A7586" s="140"/>
      <c r="B7586" s="192"/>
      <c r="C7586" s="140"/>
      <c r="D7586" s="140"/>
      <c r="E7586" s="140"/>
    </row>
    <row r="7587" spans="1:5">
      <c r="A7587" s="140"/>
      <c r="B7587" s="192"/>
      <c r="C7587" s="140"/>
      <c r="D7587" s="140"/>
      <c r="E7587" s="140"/>
    </row>
    <row r="7588" spans="1:5">
      <c r="A7588" s="140"/>
      <c r="B7588" s="192"/>
      <c r="C7588" s="140"/>
      <c r="D7588" s="140"/>
      <c r="E7588" s="140"/>
    </row>
    <row r="7589" spans="1:5">
      <c r="A7589" s="140"/>
      <c r="B7589" s="192"/>
      <c r="C7589" s="140"/>
      <c r="D7589" s="140"/>
      <c r="E7589" s="140"/>
    </row>
    <row r="7590" spans="1:5">
      <c r="A7590" s="140"/>
      <c r="B7590" s="192"/>
      <c r="C7590" s="140"/>
      <c r="D7590" s="140"/>
      <c r="E7590" s="140"/>
    </row>
    <row r="7591" spans="1:5">
      <c r="A7591" s="140"/>
      <c r="B7591" s="192"/>
      <c r="C7591" s="140"/>
      <c r="D7591" s="140"/>
      <c r="E7591" s="140"/>
    </row>
    <row r="7592" spans="1:5">
      <c r="A7592" s="140"/>
      <c r="B7592" s="192"/>
      <c r="C7592" s="140"/>
      <c r="D7592" s="140"/>
      <c r="E7592" s="140"/>
    </row>
    <row r="7593" spans="1:5">
      <c r="A7593" s="140"/>
      <c r="B7593" s="192"/>
      <c r="C7593" s="140"/>
      <c r="D7593" s="140"/>
      <c r="E7593" s="140"/>
    </row>
    <row r="7594" spans="1:5">
      <c r="A7594" s="140"/>
      <c r="B7594" s="192"/>
      <c r="C7594" s="140"/>
      <c r="D7594" s="140"/>
      <c r="E7594" s="140"/>
    </row>
    <row r="7595" spans="1:5">
      <c r="A7595" s="140"/>
      <c r="B7595" s="192"/>
      <c r="C7595" s="140"/>
      <c r="D7595" s="140"/>
      <c r="E7595" s="140"/>
    </row>
    <row r="7596" spans="1:5">
      <c r="A7596" s="140"/>
      <c r="B7596" s="192"/>
      <c r="C7596" s="140"/>
      <c r="D7596" s="140"/>
      <c r="E7596" s="140"/>
    </row>
    <row r="7597" spans="1:5">
      <c r="A7597" s="140"/>
      <c r="B7597" s="192"/>
      <c r="C7597" s="140"/>
      <c r="D7597" s="140"/>
      <c r="E7597" s="140"/>
    </row>
    <row r="7598" spans="1:5">
      <c r="A7598" s="140"/>
      <c r="B7598" s="192"/>
      <c r="C7598" s="140"/>
      <c r="D7598" s="140"/>
      <c r="E7598" s="140"/>
    </row>
    <row r="7599" spans="1:5">
      <c r="A7599" s="140"/>
      <c r="B7599" s="192"/>
      <c r="C7599" s="140"/>
      <c r="D7599" s="140"/>
      <c r="E7599" s="140"/>
    </row>
    <row r="7600" spans="1:5">
      <c r="A7600" s="140"/>
      <c r="B7600" s="192"/>
      <c r="C7600" s="140"/>
      <c r="D7600" s="140"/>
      <c r="E7600" s="140"/>
    </row>
    <row r="7601" spans="1:5">
      <c r="A7601" s="140"/>
      <c r="B7601" s="192"/>
      <c r="C7601" s="140"/>
      <c r="D7601" s="140"/>
      <c r="E7601" s="140"/>
    </row>
    <row r="7602" spans="1:5">
      <c r="A7602" s="140"/>
      <c r="B7602" s="192"/>
      <c r="C7602" s="140"/>
      <c r="D7602" s="140"/>
      <c r="E7602" s="140"/>
    </row>
    <row r="7603" spans="1:5">
      <c r="A7603" s="140"/>
      <c r="B7603" s="192"/>
      <c r="C7603" s="140"/>
      <c r="D7603" s="140"/>
      <c r="E7603" s="140"/>
    </row>
    <row r="7604" spans="1:5">
      <c r="A7604" s="140"/>
      <c r="B7604" s="192"/>
      <c r="C7604" s="140"/>
      <c r="D7604" s="140"/>
      <c r="E7604" s="140"/>
    </row>
    <row r="7605" spans="1:5">
      <c r="A7605" s="140"/>
      <c r="B7605" s="192"/>
      <c r="C7605" s="140"/>
      <c r="D7605" s="140"/>
      <c r="E7605" s="140"/>
    </row>
    <row r="7606" spans="1:5">
      <c r="A7606" s="140"/>
      <c r="B7606" s="192"/>
      <c r="C7606" s="140"/>
      <c r="D7606" s="140"/>
      <c r="E7606" s="140"/>
    </row>
    <row r="7607" spans="1:5">
      <c r="A7607" s="140"/>
      <c r="B7607" s="192"/>
      <c r="C7607" s="140"/>
      <c r="D7607" s="140"/>
      <c r="E7607" s="140"/>
    </row>
    <row r="7608" spans="1:5">
      <c r="A7608" s="140"/>
      <c r="B7608" s="192"/>
      <c r="C7608" s="140"/>
      <c r="D7608" s="140"/>
      <c r="E7608" s="140"/>
    </row>
    <row r="7609" spans="1:5">
      <c r="A7609" s="140"/>
      <c r="B7609" s="192"/>
      <c r="C7609" s="140"/>
      <c r="D7609" s="140"/>
      <c r="E7609" s="140"/>
    </row>
    <row r="7610" spans="1:5">
      <c r="A7610" s="140"/>
      <c r="B7610" s="192"/>
      <c r="C7610" s="140"/>
      <c r="D7610" s="140"/>
      <c r="E7610" s="140"/>
    </row>
    <row r="7611" spans="1:5">
      <c r="A7611" s="140"/>
      <c r="B7611" s="192"/>
      <c r="C7611" s="140"/>
      <c r="D7611" s="140"/>
      <c r="E7611" s="140"/>
    </row>
    <row r="7612" spans="1:5">
      <c r="A7612" s="140"/>
      <c r="B7612" s="192"/>
      <c r="C7612" s="140"/>
      <c r="D7612" s="140"/>
      <c r="E7612" s="140"/>
    </row>
    <row r="7613" spans="1:5">
      <c r="A7613" s="140"/>
      <c r="B7613" s="192"/>
      <c r="C7613" s="140"/>
      <c r="D7613" s="140"/>
      <c r="E7613" s="140"/>
    </row>
    <row r="7614" spans="1:5">
      <c r="A7614" s="140"/>
      <c r="B7614" s="192"/>
      <c r="C7614" s="140"/>
      <c r="D7614" s="140"/>
      <c r="E7614" s="140"/>
    </row>
    <row r="7615" spans="1:5">
      <c r="A7615" s="140"/>
      <c r="B7615" s="192"/>
      <c r="C7615" s="140"/>
      <c r="D7615" s="140"/>
      <c r="E7615" s="140"/>
    </row>
    <row r="7616" spans="1:5">
      <c r="A7616" s="140"/>
      <c r="B7616" s="192"/>
      <c r="C7616" s="140"/>
      <c r="D7616" s="140"/>
      <c r="E7616" s="140"/>
    </row>
    <row r="7617" spans="1:5">
      <c r="A7617" s="140"/>
      <c r="B7617" s="192"/>
      <c r="C7617" s="140"/>
      <c r="D7617" s="140"/>
      <c r="E7617" s="140"/>
    </row>
    <row r="7618" spans="1:5">
      <c r="A7618" s="140"/>
      <c r="B7618" s="192"/>
      <c r="C7618" s="140"/>
      <c r="D7618" s="140"/>
      <c r="E7618" s="140"/>
    </row>
    <row r="7619" spans="1:5">
      <c r="A7619" s="140"/>
      <c r="B7619" s="192"/>
      <c r="C7619" s="140"/>
      <c r="D7619" s="140"/>
      <c r="E7619" s="140"/>
    </row>
    <row r="7620" spans="1:5">
      <c r="A7620" s="140"/>
      <c r="B7620" s="192"/>
      <c r="C7620" s="140"/>
      <c r="D7620" s="140"/>
      <c r="E7620" s="140"/>
    </row>
    <row r="7621" spans="1:5">
      <c r="A7621" s="140"/>
      <c r="B7621" s="192"/>
      <c r="C7621" s="140"/>
      <c r="D7621" s="140"/>
      <c r="E7621" s="140"/>
    </row>
    <row r="7622" spans="1:5">
      <c r="A7622" s="140"/>
      <c r="B7622" s="192"/>
      <c r="C7622" s="140"/>
      <c r="D7622" s="140"/>
      <c r="E7622" s="140"/>
    </row>
    <row r="7623" spans="1:5">
      <c r="A7623" s="140"/>
      <c r="B7623" s="192"/>
      <c r="C7623" s="140"/>
      <c r="D7623" s="140"/>
      <c r="E7623" s="140"/>
    </row>
    <row r="7624" spans="1:5">
      <c r="A7624" s="140"/>
      <c r="B7624" s="192"/>
      <c r="C7624" s="140"/>
      <c r="D7624" s="140"/>
      <c r="E7624" s="140"/>
    </row>
    <row r="7625" spans="1:5">
      <c r="A7625" s="140"/>
      <c r="B7625" s="192"/>
      <c r="C7625" s="140"/>
      <c r="D7625" s="140"/>
      <c r="E7625" s="140"/>
    </row>
    <row r="7626" spans="1:5">
      <c r="A7626" s="140"/>
      <c r="B7626" s="192"/>
      <c r="C7626" s="140"/>
      <c r="D7626" s="140"/>
      <c r="E7626" s="140"/>
    </row>
    <row r="7627" spans="1:5">
      <c r="A7627" s="140"/>
      <c r="B7627" s="192"/>
      <c r="C7627" s="140"/>
      <c r="D7627" s="140"/>
      <c r="E7627" s="140"/>
    </row>
    <row r="7628" spans="1:5">
      <c r="A7628" s="140"/>
      <c r="B7628" s="192"/>
      <c r="C7628" s="140"/>
      <c r="D7628" s="140"/>
      <c r="E7628" s="140"/>
    </row>
    <row r="7629" spans="1:5">
      <c r="A7629" s="140"/>
      <c r="B7629" s="192"/>
      <c r="C7629" s="140"/>
      <c r="D7629" s="140"/>
      <c r="E7629" s="140"/>
    </row>
    <row r="7630" spans="1:5">
      <c r="A7630" s="140"/>
      <c r="B7630" s="192"/>
      <c r="C7630" s="140"/>
      <c r="D7630" s="140"/>
      <c r="E7630" s="140"/>
    </row>
    <row r="7631" spans="1:5">
      <c r="A7631" s="140"/>
      <c r="B7631" s="192"/>
      <c r="C7631" s="140"/>
      <c r="D7631" s="140"/>
      <c r="E7631" s="140"/>
    </row>
    <row r="7632" spans="1:5">
      <c r="A7632" s="140"/>
      <c r="B7632" s="192"/>
      <c r="C7632" s="140"/>
      <c r="D7632" s="140"/>
      <c r="E7632" s="140"/>
    </row>
    <row r="7633" spans="1:5">
      <c r="A7633" s="140"/>
      <c r="B7633" s="192"/>
      <c r="C7633" s="140"/>
      <c r="D7633" s="140"/>
      <c r="E7633" s="140"/>
    </row>
    <row r="7634" spans="1:5">
      <c r="A7634" s="140"/>
      <c r="B7634" s="192"/>
      <c r="C7634" s="140"/>
      <c r="D7634" s="140"/>
      <c r="E7634" s="140"/>
    </row>
    <row r="7635" spans="1:5">
      <c r="A7635" s="140"/>
      <c r="B7635" s="192"/>
      <c r="C7635" s="140"/>
      <c r="D7635" s="140"/>
      <c r="E7635" s="140"/>
    </row>
    <row r="7636" spans="1:5">
      <c r="A7636" s="140"/>
      <c r="B7636" s="192"/>
      <c r="C7636" s="140"/>
      <c r="D7636" s="140"/>
      <c r="E7636" s="140"/>
    </row>
    <row r="7637" spans="1:5">
      <c r="A7637" s="140"/>
      <c r="B7637" s="192"/>
      <c r="C7637" s="140"/>
      <c r="D7637" s="140"/>
      <c r="E7637" s="140"/>
    </row>
    <row r="7638" spans="1:5">
      <c r="A7638" s="140"/>
      <c r="B7638" s="192"/>
      <c r="C7638" s="140"/>
      <c r="D7638" s="140"/>
      <c r="E7638" s="140"/>
    </row>
    <row r="7639" spans="1:5">
      <c r="A7639" s="140"/>
      <c r="B7639" s="192"/>
      <c r="C7639" s="140"/>
      <c r="D7639" s="140"/>
      <c r="E7639" s="140"/>
    </row>
    <row r="7640" spans="1:5">
      <c r="A7640" s="140"/>
      <c r="B7640" s="192"/>
      <c r="C7640" s="140"/>
      <c r="D7640" s="140"/>
      <c r="E7640" s="140"/>
    </row>
    <row r="7641" spans="1:5">
      <c r="A7641" s="140"/>
      <c r="B7641" s="192"/>
      <c r="C7641" s="140"/>
      <c r="D7641" s="140"/>
      <c r="E7641" s="140"/>
    </row>
    <row r="7642" spans="1:5">
      <c r="A7642" s="140"/>
      <c r="B7642" s="192"/>
      <c r="C7642" s="140"/>
      <c r="D7642" s="140"/>
      <c r="E7642" s="140"/>
    </row>
    <row r="7643" spans="1:5">
      <c r="A7643" s="140"/>
      <c r="B7643" s="192"/>
      <c r="C7643" s="140"/>
      <c r="D7643" s="140"/>
      <c r="E7643" s="140"/>
    </row>
    <row r="7644" spans="1:5">
      <c r="A7644" s="140"/>
      <c r="B7644" s="192"/>
      <c r="C7644" s="140"/>
      <c r="D7644" s="140"/>
      <c r="E7644" s="140"/>
    </row>
    <row r="7645" spans="1:5">
      <c r="A7645" s="140"/>
      <c r="B7645" s="192"/>
      <c r="C7645" s="140"/>
      <c r="D7645" s="140"/>
      <c r="E7645" s="140"/>
    </row>
    <row r="7646" spans="1:5">
      <c r="A7646" s="140"/>
      <c r="B7646" s="192"/>
      <c r="C7646" s="140"/>
      <c r="D7646" s="140"/>
      <c r="E7646" s="140"/>
    </row>
    <row r="7647" spans="1:5">
      <c r="A7647" s="140"/>
      <c r="B7647" s="192"/>
      <c r="C7647" s="140"/>
      <c r="D7647" s="140"/>
      <c r="E7647" s="140"/>
    </row>
    <row r="7648" spans="1:5">
      <c r="A7648" s="140"/>
      <c r="B7648" s="192"/>
      <c r="C7648" s="140"/>
      <c r="D7648" s="140"/>
      <c r="E7648" s="140"/>
    </row>
    <row r="7649" spans="1:5">
      <c r="A7649" s="140"/>
      <c r="B7649" s="192"/>
      <c r="C7649" s="140"/>
      <c r="D7649" s="140"/>
      <c r="E7649" s="140"/>
    </row>
    <row r="7650" spans="1:5">
      <c r="A7650" s="140"/>
      <c r="B7650" s="192"/>
      <c r="C7650" s="140"/>
      <c r="D7650" s="140"/>
      <c r="E7650" s="140"/>
    </row>
    <row r="7651" spans="1:5">
      <c r="A7651" s="140"/>
      <c r="B7651" s="192"/>
      <c r="C7651" s="140"/>
      <c r="D7651" s="140"/>
      <c r="E7651" s="140"/>
    </row>
    <row r="7652" spans="1:5">
      <c r="A7652" s="140"/>
      <c r="B7652" s="192"/>
      <c r="C7652" s="140"/>
      <c r="D7652" s="140"/>
      <c r="E7652" s="140"/>
    </row>
    <row r="7653" spans="1:5">
      <c r="A7653" s="140"/>
      <c r="B7653" s="192"/>
      <c r="C7653" s="140"/>
      <c r="D7653" s="140"/>
      <c r="E7653" s="140"/>
    </row>
    <row r="7654" spans="1:5">
      <c r="A7654" s="140"/>
      <c r="B7654" s="192"/>
      <c r="C7654" s="140"/>
      <c r="D7654" s="140"/>
      <c r="E7654" s="140"/>
    </row>
    <row r="7655" spans="1:5">
      <c r="A7655" s="140"/>
      <c r="B7655" s="192"/>
      <c r="C7655" s="140"/>
      <c r="D7655" s="140"/>
      <c r="E7655" s="140"/>
    </row>
    <row r="7656" spans="1:5">
      <c r="A7656" s="140"/>
      <c r="B7656" s="192"/>
      <c r="C7656" s="140"/>
      <c r="D7656" s="140"/>
      <c r="E7656" s="140"/>
    </row>
    <row r="7657" spans="1:5">
      <c r="A7657" s="140"/>
      <c r="B7657" s="192"/>
      <c r="C7657" s="140"/>
      <c r="D7657" s="140"/>
      <c r="E7657" s="140"/>
    </row>
    <row r="7658" spans="1:5">
      <c r="A7658" s="140"/>
      <c r="B7658" s="192"/>
      <c r="C7658" s="140"/>
      <c r="D7658" s="140"/>
      <c r="E7658" s="140"/>
    </row>
    <row r="7659" spans="1:5">
      <c r="A7659" s="140"/>
      <c r="B7659" s="192"/>
      <c r="C7659" s="140"/>
      <c r="D7659" s="140"/>
      <c r="E7659" s="140"/>
    </row>
    <row r="7660" spans="1:5">
      <c r="A7660" s="140"/>
      <c r="B7660" s="192"/>
      <c r="C7660" s="140"/>
      <c r="D7660" s="140"/>
      <c r="E7660" s="140"/>
    </row>
    <row r="7661" spans="1:5">
      <c r="A7661" s="140"/>
      <c r="B7661" s="192"/>
      <c r="C7661" s="140"/>
      <c r="D7661" s="140"/>
      <c r="E7661" s="140"/>
    </row>
    <row r="7662" spans="1:5">
      <c r="A7662" s="140"/>
      <c r="B7662" s="192"/>
      <c r="C7662" s="140"/>
      <c r="D7662" s="140"/>
      <c r="E7662" s="140"/>
    </row>
    <row r="7663" spans="1:5">
      <c r="A7663" s="140"/>
      <c r="B7663" s="192"/>
      <c r="C7663" s="140"/>
      <c r="D7663" s="140"/>
      <c r="E7663" s="140"/>
    </row>
    <row r="7664" spans="1:5">
      <c r="A7664" s="140"/>
      <c r="B7664" s="192"/>
      <c r="C7664" s="140"/>
      <c r="D7664" s="140"/>
      <c r="E7664" s="140"/>
    </row>
    <row r="7665" spans="1:5">
      <c r="A7665" s="140"/>
      <c r="B7665" s="192"/>
      <c r="C7665" s="140"/>
      <c r="D7665" s="140"/>
      <c r="E7665" s="140"/>
    </row>
    <row r="7666" spans="1:5">
      <c r="A7666" s="140"/>
      <c r="B7666" s="192"/>
      <c r="C7666" s="140"/>
      <c r="D7666" s="140"/>
      <c r="E7666" s="140"/>
    </row>
    <row r="7667" spans="1:5">
      <c r="A7667" s="140"/>
      <c r="B7667" s="192"/>
      <c r="C7667" s="140"/>
      <c r="D7667" s="140"/>
      <c r="E7667" s="140"/>
    </row>
    <row r="7668" spans="1:5">
      <c r="A7668" s="140"/>
      <c r="B7668" s="192"/>
      <c r="C7668" s="140"/>
      <c r="D7668" s="140"/>
      <c r="E7668" s="140"/>
    </row>
    <row r="7669" spans="1:5">
      <c r="A7669" s="140"/>
      <c r="B7669" s="192"/>
      <c r="C7669" s="140"/>
      <c r="D7669" s="140"/>
      <c r="E7669" s="140"/>
    </row>
    <row r="7670" spans="1:5">
      <c r="A7670" s="140"/>
      <c r="B7670" s="192"/>
      <c r="C7670" s="140"/>
      <c r="D7670" s="140"/>
      <c r="E7670" s="140"/>
    </row>
    <row r="7671" spans="1:5">
      <c r="A7671" s="140"/>
      <c r="B7671" s="192"/>
      <c r="C7671" s="140"/>
      <c r="D7671" s="140"/>
      <c r="E7671" s="140"/>
    </row>
    <row r="7672" spans="1:5">
      <c r="A7672" s="140"/>
      <c r="B7672" s="192"/>
      <c r="C7672" s="140"/>
      <c r="D7672" s="140"/>
      <c r="E7672" s="140"/>
    </row>
    <row r="7673" spans="1:5">
      <c r="A7673" s="140"/>
      <c r="B7673" s="192"/>
      <c r="C7673" s="140"/>
      <c r="D7673" s="140"/>
      <c r="E7673" s="140"/>
    </row>
    <row r="7674" spans="1:5">
      <c r="A7674" s="140"/>
      <c r="B7674" s="192"/>
      <c r="C7674" s="140"/>
      <c r="D7674" s="140"/>
      <c r="E7674" s="140"/>
    </row>
    <row r="7675" spans="1:5">
      <c r="A7675" s="140"/>
      <c r="B7675" s="192"/>
      <c r="C7675" s="140"/>
      <c r="D7675" s="140"/>
      <c r="E7675" s="140"/>
    </row>
    <row r="7676" spans="1:5">
      <c r="A7676" s="140"/>
      <c r="B7676" s="192"/>
      <c r="C7676" s="140"/>
      <c r="D7676" s="140"/>
      <c r="E7676" s="140"/>
    </row>
    <row r="7677" spans="1:5">
      <c r="A7677" s="140"/>
      <c r="B7677" s="192"/>
      <c r="C7677" s="140"/>
      <c r="D7677" s="140"/>
      <c r="E7677" s="140"/>
    </row>
    <row r="7678" spans="1:5">
      <c r="A7678" s="140"/>
      <c r="B7678" s="192"/>
      <c r="C7678" s="140"/>
      <c r="D7678" s="140"/>
      <c r="E7678" s="140"/>
    </row>
    <row r="7679" spans="1:5">
      <c r="A7679" s="140"/>
      <c r="B7679" s="192"/>
      <c r="C7679" s="140"/>
      <c r="D7679" s="140"/>
      <c r="E7679" s="140"/>
    </row>
    <row r="7680" spans="1:5">
      <c r="A7680" s="140"/>
      <c r="B7680" s="192"/>
      <c r="C7680" s="140"/>
      <c r="D7680" s="140"/>
      <c r="E7680" s="140"/>
    </row>
    <row r="7681" spans="1:5">
      <c r="A7681" s="140"/>
      <c r="B7681" s="192"/>
      <c r="C7681" s="140"/>
      <c r="D7681" s="140"/>
      <c r="E7681" s="140"/>
    </row>
    <row r="7682" spans="1:5">
      <c r="A7682" s="140"/>
      <c r="B7682" s="192"/>
      <c r="C7682" s="140"/>
      <c r="D7682" s="140"/>
      <c r="E7682" s="140"/>
    </row>
    <row r="7683" spans="1:5">
      <c r="A7683" s="140"/>
      <c r="B7683" s="192"/>
      <c r="C7683" s="140"/>
      <c r="D7683" s="140"/>
      <c r="E7683" s="140"/>
    </row>
    <row r="7684" spans="1:5">
      <c r="A7684" s="140"/>
      <c r="B7684" s="192"/>
      <c r="C7684" s="140"/>
      <c r="D7684" s="140"/>
      <c r="E7684" s="140"/>
    </row>
    <row r="7685" spans="1:5">
      <c r="A7685" s="140"/>
      <c r="B7685" s="192"/>
      <c r="C7685" s="140"/>
      <c r="D7685" s="140"/>
      <c r="E7685" s="140"/>
    </row>
    <row r="7686" spans="1:5">
      <c r="A7686" s="140"/>
      <c r="B7686" s="192"/>
      <c r="C7686" s="140"/>
      <c r="D7686" s="140"/>
      <c r="E7686" s="140"/>
    </row>
    <row r="7687" spans="1:5">
      <c r="A7687" s="140"/>
      <c r="B7687" s="192"/>
      <c r="C7687" s="140"/>
      <c r="D7687" s="140"/>
      <c r="E7687" s="140"/>
    </row>
    <row r="7688" spans="1:5">
      <c r="A7688" s="140"/>
      <c r="B7688" s="192"/>
      <c r="C7688" s="140"/>
      <c r="D7688" s="140"/>
      <c r="E7688" s="140"/>
    </row>
    <row r="7689" spans="1:5">
      <c r="A7689" s="140"/>
      <c r="B7689" s="192"/>
      <c r="C7689" s="140"/>
      <c r="D7689" s="140"/>
      <c r="E7689" s="140"/>
    </row>
    <row r="7690" spans="1:5">
      <c r="A7690" s="140"/>
      <c r="B7690" s="192"/>
      <c r="C7690" s="140"/>
      <c r="D7690" s="140"/>
      <c r="E7690" s="140"/>
    </row>
    <row r="7691" spans="1:5">
      <c r="A7691" s="140"/>
      <c r="B7691" s="192"/>
      <c r="C7691" s="140"/>
      <c r="D7691" s="140"/>
      <c r="E7691" s="140"/>
    </row>
    <row r="7692" spans="1:5">
      <c r="A7692" s="140"/>
      <c r="B7692" s="192"/>
      <c r="C7692" s="140"/>
      <c r="D7692" s="140"/>
      <c r="E7692" s="140"/>
    </row>
    <row r="7693" spans="1:5">
      <c r="A7693" s="140"/>
      <c r="B7693" s="192"/>
      <c r="C7693" s="140"/>
      <c r="D7693" s="140"/>
      <c r="E7693" s="140"/>
    </row>
    <row r="7694" spans="1:5">
      <c r="A7694" s="140"/>
      <c r="B7694" s="192"/>
      <c r="C7694" s="140"/>
      <c r="D7694" s="140"/>
      <c r="E7694" s="140"/>
    </row>
    <row r="7695" spans="1:5">
      <c r="A7695" s="140"/>
      <c r="B7695" s="192"/>
      <c r="C7695" s="140"/>
      <c r="D7695" s="140"/>
      <c r="E7695" s="140"/>
    </row>
    <row r="7696" spans="1:5">
      <c r="A7696" s="140"/>
      <c r="B7696" s="192"/>
      <c r="C7696" s="140"/>
      <c r="D7696" s="140"/>
      <c r="E7696" s="140"/>
    </row>
    <row r="7697" spans="1:5">
      <c r="A7697" s="140"/>
      <c r="B7697" s="192"/>
      <c r="C7697" s="140"/>
      <c r="D7697" s="140"/>
      <c r="E7697" s="140"/>
    </row>
    <row r="7698" spans="1:5">
      <c r="A7698" s="140"/>
      <c r="B7698" s="192"/>
      <c r="C7698" s="140"/>
      <c r="D7698" s="140"/>
      <c r="E7698" s="140"/>
    </row>
    <row r="7699" spans="1:5">
      <c r="A7699" s="140"/>
      <c r="B7699" s="192"/>
      <c r="C7699" s="140"/>
      <c r="D7699" s="140"/>
      <c r="E7699" s="140"/>
    </row>
    <row r="7700" spans="1:5">
      <c r="A7700" s="140"/>
      <c r="B7700" s="192"/>
      <c r="C7700" s="140"/>
      <c r="D7700" s="140"/>
      <c r="E7700" s="140"/>
    </row>
    <row r="7701" spans="1:5">
      <c r="A7701" s="140"/>
      <c r="B7701" s="192"/>
      <c r="C7701" s="140"/>
      <c r="D7701" s="140"/>
      <c r="E7701" s="140"/>
    </row>
    <row r="7702" spans="1:5">
      <c r="A7702" s="140"/>
      <c r="B7702" s="192"/>
      <c r="C7702" s="140"/>
      <c r="D7702" s="140"/>
      <c r="E7702" s="140"/>
    </row>
    <row r="7703" spans="1:5">
      <c r="A7703" s="140"/>
      <c r="B7703" s="192"/>
      <c r="C7703" s="140"/>
      <c r="D7703" s="140"/>
      <c r="E7703" s="140"/>
    </row>
    <row r="7704" spans="1:5">
      <c r="A7704" s="140"/>
      <c r="B7704" s="192"/>
      <c r="C7704" s="140"/>
      <c r="D7704" s="140"/>
      <c r="E7704" s="140"/>
    </row>
    <row r="7705" spans="1:5">
      <c r="A7705" s="140"/>
      <c r="B7705" s="192"/>
      <c r="C7705" s="140"/>
      <c r="D7705" s="140"/>
      <c r="E7705" s="140"/>
    </row>
    <row r="7706" spans="1:5">
      <c r="A7706" s="140"/>
      <c r="B7706" s="192"/>
      <c r="C7706" s="140"/>
      <c r="D7706" s="140"/>
      <c r="E7706" s="140"/>
    </row>
    <row r="7707" spans="1:5">
      <c r="A7707" s="140"/>
      <c r="B7707" s="192"/>
      <c r="C7707" s="140"/>
      <c r="D7707" s="140"/>
      <c r="E7707" s="140"/>
    </row>
    <row r="7708" spans="1:5">
      <c r="A7708" s="140"/>
      <c r="B7708" s="192"/>
      <c r="C7708" s="140"/>
      <c r="D7708" s="140"/>
      <c r="E7708" s="140"/>
    </row>
    <row r="7709" spans="1:5">
      <c r="A7709" s="140"/>
      <c r="B7709" s="192"/>
      <c r="C7709" s="140"/>
      <c r="D7709" s="140"/>
      <c r="E7709" s="140"/>
    </row>
    <row r="7710" spans="1:5">
      <c r="A7710" s="140"/>
      <c r="B7710" s="192"/>
      <c r="C7710" s="140"/>
      <c r="D7710" s="140"/>
      <c r="E7710" s="140"/>
    </row>
    <row r="7711" spans="1:5">
      <c r="A7711" s="140"/>
      <c r="B7711" s="192"/>
      <c r="C7711" s="140"/>
      <c r="D7711" s="140"/>
      <c r="E7711" s="140"/>
    </row>
    <row r="7712" spans="1:5">
      <c r="A7712" s="140"/>
      <c r="B7712" s="192"/>
      <c r="C7712" s="140"/>
      <c r="D7712" s="140"/>
      <c r="E7712" s="140"/>
    </row>
    <row r="7713" spans="1:5">
      <c r="A7713" s="140"/>
      <c r="B7713" s="192"/>
      <c r="C7713" s="140"/>
      <c r="D7713" s="140"/>
      <c r="E7713" s="140"/>
    </row>
    <row r="7714" spans="1:5">
      <c r="A7714" s="140"/>
      <c r="B7714" s="192"/>
      <c r="C7714" s="140"/>
      <c r="D7714" s="140"/>
      <c r="E7714" s="140"/>
    </row>
    <row r="7715" spans="1:5">
      <c r="A7715" s="140"/>
      <c r="B7715" s="192"/>
      <c r="C7715" s="140"/>
      <c r="D7715" s="140"/>
      <c r="E7715" s="140"/>
    </row>
    <row r="7716" spans="1:5">
      <c r="A7716" s="140"/>
      <c r="B7716" s="192"/>
      <c r="C7716" s="140"/>
      <c r="D7716" s="140"/>
      <c r="E7716" s="140"/>
    </row>
    <row r="7717" spans="1:5">
      <c r="A7717" s="140"/>
      <c r="B7717" s="192"/>
      <c r="C7717" s="140"/>
      <c r="D7717" s="140"/>
      <c r="E7717" s="140"/>
    </row>
    <row r="7718" spans="1:5">
      <c r="A7718" s="140"/>
      <c r="B7718" s="192"/>
      <c r="C7718" s="140"/>
      <c r="D7718" s="140"/>
      <c r="E7718" s="140"/>
    </row>
    <row r="7719" spans="1:5">
      <c r="A7719" s="140"/>
      <c r="B7719" s="192"/>
      <c r="C7719" s="140"/>
      <c r="D7719" s="140"/>
      <c r="E7719" s="140"/>
    </row>
    <row r="7720" spans="1:5">
      <c r="A7720" s="140"/>
      <c r="B7720" s="192"/>
      <c r="C7720" s="140"/>
      <c r="D7720" s="140"/>
      <c r="E7720" s="140"/>
    </row>
    <row r="7721" spans="1:5">
      <c r="A7721" s="140"/>
      <c r="B7721" s="192"/>
      <c r="C7721" s="140"/>
      <c r="D7721" s="140"/>
      <c r="E7721" s="140"/>
    </row>
    <row r="7722" spans="1:5">
      <c r="A7722" s="140"/>
      <c r="B7722" s="192"/>
      <c r="C7722" s="140"/>
      <c r="D7722" s="140"/>
      <c r="E7722" s="140"/>
    </row>
    <row r="7723" spans="1:5">
      <c r="A7723" s="140"/>
      <c r="B7723" s="192"/>
      <c r="C7723" s="140"/>
      <c r="D7723" s="140"/>
      <c r="E7723" s="140"/>
    </row>
    <row r="7724" spans="1:5">
      <c r="A7724" s="140"/>
      <c r="B7724" s="192"/>
      <c r="C7724" s="140"/>
      <c r="D7724" s="140"/>
      <c r="E7724" s="140"/>
    </row>
    <row r="7725" spans="1:5">
      <c r="A7725" s="140"/>
      <c r="B7725" s="192"/>
      <c r="C7725" s="140"/>
      <c r="D7725" s="140"/>
      <c r="E7725" s="140"/>
    </row>
    <row r="7726" spans="1:5">
      <c r="A7726" s="140"/>
      <c r="B7726" s="192"/>
      <c r="C7726" s="140"/>
      <c r="D7726" s="140"/>
      <c r="E7726" s="140"/>
    </row>
    <row r="7727" spans="1:5">
      <c r="A7727" s="140"/>
      <c r="B7727" s="192"/>
      <c r="C7727" s="140"/>
      <c r="D7727" s="140"/>
      <c r="E7727" s="140"/>
    </row>
    <row r="7728" spans="1:5">
      <c r="A7728" s="140"/>
      <c r="B7728" s="192"/>
      <c r="C7728" s="140"/>
      <c r="D7728" s="140"/>
      <c r="E7728" s="140"/>
    </row>
    <row r="7729" spans="1:5">
      <c r="A7729" s="140"/>
      <c r="B7729" s="192"/>
      <c r="C7729" s="140"/>
      <c r="D7729" s="140"/>
      <c r="E7729" s="140"/>
    </row>
    <row r="7730" spans="1:5">
      <c r="A7730" s="140"/>
      <c r="B7730" s="192"/>
      <c r="C7730" s="140"/>
      <c r="D7730" s="140"/>
      <c r="E7730" s="140"/>
    </row>
    <row r="7731" spans="1:5">
      <c r="A7731" s="140"/>
      <c r="B7731" s="192"/>
      <c r="C7731" s="140"/>
      <c r="D7731" s="140"/>
      <c r="E7731" s="140"/>
    </row>
    <row r="7732" spans="1:5">
      <c r="A7732" s="140"/>
      <c r="B7732" s="192"/>
      <c r="C7732" s="140"/>
      <c r="D7732" s="140"/>
      <c r="E7732" s="140"/>
    </row>
    <row r="7733" spans="1:5">
      <c r="A7733" s="140"/>
      <c r="B7733" s="192"/>
      <c r="C7733" s="140"/>
      <c r="D7733" s="140"/>
      <c r="E7733" s="140"/>
    </row>
    <row r="7734" spans="1:5">
      <c r="A7734" s="140"/>
      <c r="B7734" s="192"/>
      <c r="C7734" s="140"/>
      <c r="D7734" s="140"/>
      <c r="E7734" s="140"/>
    </row>
    <row r="7735" spans="1:5">
      <c r="A7735" s="140"/>
      <c r="B7735" s="192"/>
      <c r="C7735" s="140"/>
      <c r="D7735" s="140"/>
      <c r="E7735" s="140"/>
    </row>
    <row r="7736" spans="1:5">
      <c r="A7736" s="140"/>
      <c r="B7736" s="192"/>
      <c r="C7736" s="140"/>
      <c r="D7736" s="140"/>
      <c r="E7736" s="140"/>
    </row>
    <row r="7737" spans="1:5">
      <c r="A7737" s="140"/>
      <c r="B7737" s="192"/>
      <c r="C7737" s="140"/>
      <c r="D7737" s="140"/>
      <c r="E7737" s="140"/>
    </row>
    <row r="7738" spans="1:5">
      <c r="A7738" s="140"/>
      <c r="B7738" s="192"/>
      <c r="C7738" s="140"/>
      <c r="D7738" s="140"/>
      <c r="E7738" s="140"/>
    </row>
    <row r="7739" spans="1:5">
      <c r="A7739" s="140"/>
      <c r="B7739" s="192"/>
      <c r="C7739" s="140"/>
      <c r="D7739" s="140"/>
      <c r="E7739" s="140"/>
    </row>
    <row r="7740" spans="1:5">
      <c r="A7740" s="140"/>
      <c r="B7740" s="192"/>
      <c r="C7740" s="140"/>
      <c r="D7740" s="140"/>
      <c r="E7740" s="140"/>
    </row>
    <row r="7741" spans="1:5">
      <c r="A7741" s="140"/>
      <c r="B7741" s="192"/>
      <c r="C7741" s="140"/>
      <c r="D7741" s="140"/>
      <c r="E7741" s="140"/>
    </row>
    <row r="7742" spans="1:5">
      <c r="A7742" s="140"/>
      <c r="B7742" s="192"/>
      <c r="C7742" s="140"/>
      <c r="D7742" s="140"/>
      <c r="E7742" s="140"/>
    </row>
    <row r="7743" spans="1:5">
      <c r="A7743" s="140"/>
      <c r="B7743" s="192"/>
      <c r="C7743" s="140"/>
      <c r="D7743" s="140"/>
      <c r="E7743" s="140"/>
    </row>
    <row r="7744" spans="1:5">
      <c r="A7744" s="140"/>
      <c r="B7744" s="192"/>
      <c r="C7744" s="140"/>
      <c r="D7744" s="140"/>
      <c r="E7744" s="140"/>
    </row>
    <row r="7745" spans="1:5">
      <c r="A7745" s="140"/>
      <c r="B7745" s="192"/>
      <c r="C7745" s="140"/>
      <c r="D7745" s="140"/>
      <c r="E7745" s="140"/>
    </row>
    <row r="7746" spans="1:5">
      <c r="A7746" s="140"/>
      <c r="B7746" s="192"/>
      <c r="C7746" s="140"/>
      <c r="D7746" s="140"/>
      <c r="E7746" s="140"/>
    </row>
    <row r="7747" spans="1:5">
      <c r="A7747" s="140"/>
      <c r="B7747" s="192"/>
      <c r="C7747" s="140"/>
      <c r="D7747" s="140"/>
      <c r="E7747" s="140"/>
    </row>
    <row r="7748" spans="1:5">
      <c r="A7748" s="140"/>
      <c r="B7748" s="192"/>
      <c r="C7748" s="140"/>
      <c r="D7748" s="140"/>
      <c r="E7748" s="140"/>
    </row>
    <row r="7749" spans="1:5">
      <c r="A7749" s="140"/>
      <c r="B7749" s="192"/>
      <c r="C7749" s="140"/>
      <c r="D7749" s="140"/>
      <c r="E7749" s="140"/>
    </row>
    <row r="7750" spans="1:5">
      <c r="A7750" s="140"/>
      <c r="B7750" s="192"/>
      <c r="C7750" s="140"/>
      <c r="D7750" s="140"/>
      <c r="E7750" s="140"/>
    </row>
    <row r="7751" spans="1:5">
      <c r="A7751" s="140"/>
      <c r="B7751" s="192"/>
      <c r="C7751" s="140"/>
      <c r="D7751" s="140"/>
      <c r="E7751" s="140"/>
    </row>
    <row r="7752" spans="1:5">
      <c r="A7752" s="140"/>
      <c r="B7752" s="192"/>
      <c r="C7752" s="140"/>
      <c r="D7752" s="140"/>
      <c r="E7752" s="140"/>
    </row>
    <row r="7753" spans="1:5">
      <c r="A7753" s="140"/>
      <c r="B7753" s="192"/>
      <c r="C7753" s="140"/>
      <c r="D7753" s="140"/>
      <c r="E7753" s="140"/>
    </row>
    <row r="7754" spans="1:5">
      <c r="A7754" s="140"/>
      <c r="B7754" s="192"/>
      <c r="C7754" s="140"/>
      <c r="D7754" s="140"/>
      <c r="E7754" s="140"/>
    </row>
    <row r="7755" spans="1:5">
      <c r="A7755" s="140"/>
      <c r="B7755" s="192"/>
      <c r="C7755" s="140"/>
      <c r="D7755" s="140"/>
      <c r="E7755" s="140"/>
    </row>
    <row r="7756" spans="1:5">
      <c r="A7756" s="140"/>
      <c r="B7756" s="192"/>
      <c r="C7756" s="140"/>
      <c r="D7756" s="140"/>
      <c r="E7756" s="140"/>
    </row>
    <row r="7757" spans="1:5">
      <c r="A7757" s="140"/>
      <c r="B7757" s="192"/>
      <c r="C7757" s="140"/>
      <c r="D7757" s="140"/>
      <c r="E7757" s="140"/>
    </row>
    <row r="7758" spans="1:5">
      <c r="A7758" s="140"/>
      <c r="B7758" s="192"/>
      <c r="C7758" s="140"/>
      <c r="D7758" s="140"/>
      <c r="E7758" s="140"/>
    </row>
    <row r="7759" spans="1:5">
      <c r="A7759" s="140"/>
      <c r="B7759" s="192"/>
      <c r="C7759" s="140"/>
      <c r="D7759" s="140"/>
      <c r="E7759" s="140"/>
    </row>
    <row r="7760" spans="1:5">
      <c r="A7760" s="140"/>
      <c r="B7760" s="192"/>
      <c r="C7760" s="140"/>
      <c r="D7760" s="140"/>
      <c r="E7760" s="140"/>
    </row>
    <row r="7761" spans="1:5">
      <c r="A7761" s="140"/>
      <c r="B7761" s="192"/>
      <c r="C7761" s="140"/>
      <c r="D7761" s="140"/>
      <c r="E7761" s="140"/>
    </row>
    <row r="7762" spans="1:5">
      <c r="A7762" s="140"/>
      <c r="B7762" s="192"/>
      <c r="C7762" s="140"/>
      <c r="D7762" s="140"/>
      <c r="E7762" s="140"/>
    </row>
    <row r="7763" spans="1:5">
      <c r="A7763" s="140"/>
      <c r="B7763" s="192"/>
      <c r="C7763" s="140"/>
      <c r="D7763" s="140"/>
      <c r="E7763" s="140"/>
    </row>
    <row r="7764" spans="1:5">
      <c r="A7764" s="140"/>
      <c r="B7764" s="192"/>
      <c r="C7764" s="140"/>
      <c r="D7764" s="140"/>
      <c r="E7764" s="140"/>
    </row>
    <row r="7765" spans="1:5">
      <c r="A7765" s="140"/>
      <c r="B7765" s="192"/>
      <c r="C7765" s="140"/>
      <c r="D7765" s="140"/>
      <c r="E7765" s="140"/>
    </row>
    <row r="7766" spans="1:5">
      <c r="A7766" s="140"/>
      <c r="B7766" s="192"/>
      <c r="C7766" s="140"/>
      <c r="D7766" s="140"/>
      <c r="E7766" s="140"/>
    </row>
    <row r="7767" spans="1:5">
      <c r="A7767" s="140"/>
      <c r="B7767" s="192"/>
      <c r="C7767" s="140"/>
      <c r="D7767" s="140"/>
      <c r="E7767" s="140"/>
    </row>
    <row r="7768" spans="1:5">
      <c r="A7768" s="140"/>
      <c r="B7768" s="192"/>
      <c r="C7768" s="140"/>
      <c r="D7768" s="140"/>
      <c r="E7768" s="140"/>
    </row>
    <row r="7769" spans="1:5">
      <c r="A7769" s="140"/>
      <c r="B7769" s="192"/>
      <c r="C7769" s="140"/>
      <c r="D7769" s="140"/>
      <c r="E7769" s="140"/>
    </row>
    <row r="7770" spans="1:5">
      <c r="A7770" s="140"/>
      <c r="B7770" s="192"/>
      <c r="C7770" s="140"/>
      <c r="D7770" s="140"/>
      <c r="E7770" s="140"/>
    </row>
    <row r="7771" spans="1:5">
      <c r="A7771" s="140"/>
      <c r="B7771" s="192"/>
      <c r="C7771" s="140"/>
      <c r="D7771" s="140"/>
      <c r="E7771" s="140"/>
    </row>
    <row r="7772" spans="1:5">
      <c r="A7772" s="140"/>
      <c r="B7772" s="192"/>
      <c r="C7772" s="140"/>
      <c r="D7772" s="140"/>
      <c r="E7772" s="140"/>
    </row>
    <row r="7773" spans="1:5">
      <c r="A7773" s="140"/>
      <c r="B7773" s="192"/>
      <c r="C7773" s="140"/>
      <c r="D7773" s="140"/>
      <c r="E7773" s="140"/>
    </row>
    <row r="7774" spans="1:5">
      <c r="A7774" s="140"/>
      <c r="B7774" s="192"/>
      <c r="C7774" s="140"/>
      <c r="D7774" s="140"/>
      <c r="E7774" s="140"/>
    </row>
    <row r="7775" spans="1:5">
      <c r="A7775" s="140"/>
      <c r="B7775" s="192"/>
      <c r="C7775" s="140"/>
      <c r="D7775" s="140"/>
      <c r="E7775" s="140"/>
    </row>
    <row r="7776" spans="1:5">
      <c r="A7776" s="140"/>
      <c r="B7776" s="192"/>
      <c r="C7776" s="140"/>
      <c r="D7776" s="140"/>
      <c r="E7776" s="140"/>
    </row>
    <row r="7777" spans="1:5">
      <c r="A7777" s="140"/>
      <c r="B7777" s="192"/>
      <c r="C7777" s="140"/>
      <c r="D7777" s="140"/>
      <c r="E7777" s="140"/>
    </row>
    <row r="7778" spans="1:5">
      <c r="A7778" s="140"/>
      <c r="B7778" s="192"/>
      <c r="C7778" s="140"/>
      <c r="D7778" s="140"/>
      <c r="E7778" s="140"/>
    </row>
    <row r="7779" spans="1:5">
      <c r="A7779" s="140"/>
      <c r="B7779" s="192"/>
      <c r="C7779" s="140"/>
      <c r="D7779" s="140"/>
      <c r="E7779" s="140"/>
    </row>
    <row r="7780" spans="1:5">
      <c r="A7780" s="140"/>
      <c r="B7780" s="192"/>
      <c r="C7780" s="140"/>
      <c r="D7780" s="140"/>
      <c r="E7780" s="140"/>
    </row>
    <row r="7781" spans="1:5">
      <c r="A7781" s="140"/>
      <c r="B7781" s="192"/>
      <c r="C7781" s="140"/>
      <c r="D7781" s="140"/>
      <c r="E7781" s="140"/>
    </row>
    <row r="7782" spans="1:5">
      <c r="A7782" s="140"/>
      <c r="B7782" s="192"/>
      <c r="C7782" s="140"/>
      <c r="D7782" s="140"/>
      <c r="E7782" s="140"/>
    </row>
    <row r="7783" spans="1:5">
      <c r="A7783" s="140"/>
      <c r="B7783" s="192"/>
      <c r="C7783" s="140"/>
      <c r="D7783" s="140"/>
      <c r="E7783" s="140"/>
    </row>
    <row r="7784" spans="1:5">
      <c r="A7784" s="140"/>
      <c r="B7784" s="192"/>
      <c r="C7784" s="140"/>
      <c r="D7784" s="140"/>
      <c r="E7784" s="140"/>
    </row>
    <row r="7785" spans="1:5">
      <c r="A7785" s="140"/>
      <c r="B7785" s="192"/>
      <c r="C7785" s="140"/>
      <c r="D7785" s="140"/>
      <c r="E7785" s="140"/>
    </row>
    <row r="7786" spans="1:5">
      <c r="A7786" s="140"/>
      <c r="B7786" s="192"/>
      <c r="C7786" s="140"/>
      <c r="D7786" s="140"/>
      <c r="E7786" s="140"/>
    </row>
    <row r="7787" spans="1:5">
      <c r="A7787" s="140"/>
      <c r="B7787" s="192"/>
      <c r="C7787" s="140"/>
      <c r="D7787" s="140"/>
      <c r="E7787" s="140"/>
    </row>
    <row r="7788" spans="1:5">
      <c r="A7788" s="140"/>
      <c r="B7788" s="192"/>
      <c r="C7788" s="140"/>
      <c r="D7788" s="140"/>
      <c r="E7788" s="140"/>
    </row>
    <row r="7789" spans="1:5">
      <c r="A7789" s="140"/>
      <c r="B7789" s="192"/>
      <c r="C7789" s="140"/>
      <c r="D7789" s="140"/>
      <c r="E7789" s="140"/>
    </row>
    <row r="7790" spans="1:5">
      <c r="A7790" s="140"/>
      <c r="B7790" s="192"/>
      <c r="C7790" s="140"/>
      <c r="D7790" s="140"/>
      <c r="E7790" s="140"/>
    </row>
    <row r="7791" spans="1:5">
      <c r="A7791" s="140"/>
      <c r="B7791" s="192"/>
      <c r="C7791" s="140"/>
      <c r="D7791" s="140"/>
      <c r="E7791" s="140"/>
    </row>
    <row r="7792" spans="1:5">
      <c r="A7792" s="140"/>
      <c r="B7792" s="192"/>
      <c r="C7792" s="140"/>
      <c r="D7792" s="140"/>
      <c r="E7792" s="140"/>
    </row>
    <row r="7793" spans="1:5">
      <c r="A7793" s="140"/>
      <c r="B7793" s="192"/>
      <c r="C7793" s="140"/>
      <c r="D7793" s="140"/>
      <c r="E7793" s="140"/>
    </row>
    <row r="7794" spans="1:5">
      <c r="A7794" s="140"/>
      <c r="B7794" s="192"/>
      <c r="C7794" s="140"/>
      <c r="D7794" s="140"/>
      <c r="E7794" s="140"/>
    </row>
    <row r="7795" spans="1:5">
      <c r="A7795" s="140"/>
      <c r="B7795" s="192"/>
      <c r="C7795" s="140"/>
      <c r="D7795" s="140"/>
      <c r="E7795" s="140"/>
    </row>
    <row r="7796" spans="1:5">
      <c r="A7796" s="140"/>
      <c r="B7796" s="192"/>
      <c r="C7796" s="140"/>
      <c r="D7796" s="140"/>
      <c r="E7796" s="140"/>
    </row>
    <row r="7797" spans="1:5">
      <c r="A7797" s="140"/>
      <c r="B7797" s="192"/>
      <c r="C7797" s="140"/>
      <c r="D7797" s="140"/>
      <c r="E7797" s="140"/>
    </row>
    <row r="7798" spans="1:5">
      <c r="A7798" s="140"/>
      <c r="B7798" s="192"/>
      <c r="C7798" s="140"/>
      <c r="D7798" s="140"/>
      <c r="E7798" s="140"/>
    </row>
    <row r="7799" spans="1:5">
      <c r="A7799" s="140"/>
      <c r="B7799" s="192"/>
      <c r="C7799" s="140"/>
      <c r="D7799" s="140"/>
      <c r="E7799" s="140"/>
    </row>
    <row r="7800" spans="1:5">
      <c r="A7800" s="140"/>
      <c r="B7800" s="192"/>
      <c r="C7800" s="140"/>
      <c r="D7800" s="140"/>
      <c r="E7800" s="140"/>
    </row>
    <row r="7801" spans="1:5">
      <c r="A7801" s="140"/>
      <c r="B7801" s="192"/>
      <c r="C7801" s="140"/>
      <c r="D7801" s="140"/>
      <c r="E7801" s="140"/>
    </row>
    <row r="7802" spans="1:5">
      <c r="A7802" s="140"/>
      <c r="B7802" s="192"/>
      <c r="C7802" s="140"/>
      <c r="D7802" s="140"/>
      <c r="E7802" s="140"/>
    </row>
    <row r="7803" spans="1:5">
      <c r="A7803" s="140"/>
      <c r="B7803" s="192"/>
      <c r="C7803" s="140"/>
      <c r="D7803" s="140"/>
      <c r="E7803" s="140"/>
    </row>
    <row r="7804" spans="1:5">
      <c r="A7804" s="140"/>
      <c r="B7804" s="192"/>
      <c r="C7804" s="140"/>
      <c r="D7804" s="140"/>
      <c r="E7804" s="140"/>
    </row>
    <row r="7805" spans="1:5">
      <c r="A7805" s="140"/>
      <c r="B7805" s="192"/>
      <c r="C7805" s="140"/>
      <c r="D7805" s="140"/>
      <c r="E7805" s="140"/>
    </row>
    <row r="7806" spans="1:5">
      <c r="A7806" s="140"/>
      <c r="B7806" s="192"/>
      <c r="C7806" s="140"/>
      <c r="D7806" s="140"/>
      <c r="E7806" s="140"/>
    </row>
    <row r="7807" spans="1:5">
      <c r="A7807" s="140"/>
      <c r="B7807" s="192"/>
      <c r="C7807" s="140"/>
      <c r="D7807" s="140"/>
      <c r="E7807" s="140"/>
    </row>
    <row r="7808" spans="1:5">
      <c r="A7808" s="140"/>
      <c r="B7808" s="192"/>
      <c r="C7808" s="140"/>
      <c r="D7808" s="140"/>
      <c r="E7808" s="140"/>
    </row>
    <row r="7809" spans="1:5">
      <c r="A7809" s="140"/>
      <c r="B7809" s="192"/>
      <c r="C7809" s="140"/>
      <c r="D7809" s="140"/>
      <c r="E7809" s="140"/>
    </row>
    <row r="7810" spans="1:5">
      <c r="A7810" s="140"/>
      <c r="B7810" s="192"/>
      <c r="C7810" s="140"/>
      <c r="D7810" s="140"/>
      <c r="E7810" s="140"/>
    </row>
    <row r="7811" spans="1:5">
      <c r="A7811" s="140"/>
      <c r="B7811" s="192"/>
      <c r="C7811" s="140"/>
      <c r="D7811" s="140"/>
      <c r="E7811" s="140"/>
    </row>
    <row r="7812" spans="1:5">
      <c r="A7812" s="140"/>
      <c r="B7812" s="192"/>
      <c r="C7812" s="140"/>
      <c r="D7812" s="140"/>
      <c r="E7812" s="140"/>
    </row>
    <row r="7813" spans="1:5">
      <c r="A7813" s="140"/>
      <c r="B7813" s="192"/>
      <c r="C7813" s="140"/>
      <c r="D7813" s="140"/>
      <c r="E7813" s="140"/>
    </row>
    <row r="7814" spans="1:5">
      <c r="A7814" s="140"/>
      <c r="B7814" s="192"/>
      <c r="C7814" s="140"/>
      <c r="D7814" s="140"/>
      <c r="E7814" s="140"/>
    </row>
    <row r="7815" spans="1:5">
      <c r="A7815" s="140"/>
      <c r="B7815" s="192"/>
      <c r="C7815" s="140"/>
      <c r="D7815" s="140"/>
      <c r="E7815" s="140"/>
    </row>
    <row r="7816" spans="1:5">
      <c r="A7816" s="140"/>
      <c r="B7816" s="192"/>
      <c r="C7816" s="140"/>
      <c r="D7816" s="140"/>
      <c r="E7816" s="140"/>
    </row>
    <row r="7817" spans="1:5">
      <c r="A7817" s="140"/>
      <c r="B7817" s="192"/>
      <c r="C7817" s="140"/>
      <c r="D7817" s="140"/>
      <c r="E7817" s="140"/>
    </row>
    <row r="7818" spans="1:5">
      <c r="A7818" s="140"/>
      <c r="B7818" s="192"/>
      <c r="C7818" s="140"/>
      <c r="D7818" s="140"/>
      <c r="E7818" s="140"/>
    </row>
    <row r="7819" spans="1:5">
      <c r="A7819" s="140"/>
      <c r="B7819" s="192"/>
      <c r="C7819" s="140"/>
      <c r="D7819" s="140"/>
      <c r="E7819" s="140"/>
    </row>
    <row r="7820" spans="1:5">
      <c r="A7820" s="140"/>
      <c r="B7820" s="192"/>
      <c r="C7820" s="140"/>
      <c r="D7820" s="140"/>
      <c r="E7820" s="140"/>
    </row>
    <row r="7821" spans="1:5">
      <c r="A7821" s="140"/>
      <c r="B7821" s="192"/>
      <c r="C7821" s="140"/>
      <c r="D7821" s="140"/>
      <c r="E7821" s="140"/>
    </row>
    <row r="7822" spans="1:5">
      <c r="A7822" s="140"/>
      <c r="B7822" s="192"/>
      <c r="C7822" s="140"/>
      <c r="D7822" s="140"/>
      <c r="E7822" s="140"/>
    </row>
    <row r="7823" spans="1:5">
      <c r="A7823" s="140"/>
      <c r="B7823" s="192"/>
      <c r="C7823" s="140"/>
      <c r="D7823" s="140"/>
      <c r="E7823" s="140"/>
    </row>
    <row r="7824" spans="1:5">
      <c r="A7824" s="140"/>
      <c r="B7824" s="192"/>
      <c r="C7824" s="140"/>
      <c r="D7824" s="140"/>
      <c r="E7824" s="140"/>
    </row>
    <row r="7825" spans="1:5">
      <c r="A7825" s="140"/>
      <c r="B7825" s="192"/>
      <c r="C7825" s="140"/>
      <c r="D7825" s="140"/>
      <c r="E7825" s="140"/>
    </row>
    <row r="7826" spans="1:5">
      <c r="A7826" s="140"/>
      <c r="B7826" s="192"/>
      <c r="C7826" s="140"/>
      <c r="D7826" s="140"/>
      <c r="E7826" s="140"/>
    </row>
    <row r="7827" spans="1:5">
      <c r="A7827" s="140"/>
      <c r="B7827" s="192"/>
      <c r="C7827" s="140"/>
      <c r="D7827" s="140"/>
      <c r="E7827" s="140"/>
    </row>
    <row r="7828" spans="1:5">
      <c r="A7828" s="140"/>
      <c r="B7828" s="192"/>
      <c r="C7828" s="140"/>
      <c r="D7828" s="140"/>
      <c r="E7828" s="140"/>
    </row>
    <row r="7829" spans="1:5">
      <c r="A7829" s="140"/>
      <c r="B7829" s="192"/>
      <c r="C7829" s="140"/>
      <c r="D7829" s="140"/>
      <c r="E7829" s="140"/>
    </row>
    <row r="7830" spans="1:5">
      <c r="A7830" s="140"/>
      <c r="B7830" s="192"/>
      <c r="C7830" s="140"/>
      <c r="D7830" s="140"/>
      <c r="E7830" s="140"/>
    </row>
    <row r="7831" spans="1:5">
      <c r="A7831" s="140"/>
      <c r="B7831" s="192"/>
      <c r="C7831" s="140"/>
      <c r="D7831" s="140"/>
      <c r="E7831" s="140"/>
    </row>
    <row r="7832" spans="1:5">
      <c r="A7832" s="140"/>
      <c r="B7832" s="192"/>
      <c r="C7832" s="140"/>
      <c r="D7832" s="140"/>
      <c r="E7832" s="140"/>
    </row>
    <row r="7833" spans="1:5">
      <c r="A7833" s="140"/>
      <c r="B7833" s="192"/>
      <c r="C7833" s="140"/>
      <c r="D7833" s="140"/>
      <c r="E7833" s="140"/>
    </row>
    <row r="7834" spans="1:5">
      <c r="A7834" s="140"/>
      <c r="B7834" s="192"/>
      <c r="C7834" s="140"/>
      <c r="D7834" s="140"/>
      <c r="E7834" s="140"/>
    </row>
    <row r="7835" spans="1:5">
      <c r="A7835" s="140"/>
      <c r="B7835" s="192"/>
      <c r="C7835" s="140"/>
      <c r="D7835" s="140"/>
      <c r="E7835" s="140"/>
    </row>
    <row r="7836" spans="1:5">
      <c r="A7836" s="140"/>
      <c r="B7836" s="192"/>
      <c r="C7836" s="140"/>
      <c r="D7836" s="140"/>
      <c r="E7836" s="140"/>
    </row>
    <row r="7837" spans="1:5">
      <c r="A7837" s="140"/>
      <c r="B7837" s="192"/>
      <c r="C7837" s="140"/>
      <c r="D7837" s="140"/>
      <c r="E7837" s="140"/>
    </row>
    <row r="7838" spans="1:5">
      <c r="A7838" s="140"/>
      <c r="B7838" s="192"/>
      <c r="C7838" s="140"/>
      <c r="D7838" s="140"/>
      <c r="E7838" s="140"/>
    </row>
    <row r="7839" spans="1:5">
      <c r="A7839" s="140"/>
      <c r="B7839" s="192"/>
      <c r="C7839" s="140"/>
      <c r="D7839" s="140"/>
      <c r="E7839" s="140"/>
    </row>
    <row r="7840" spans="1:5">
      <c r="A7840" s="140"/>
      <c r="B7840" s="192"/>
      <c r="C7840" s="140"/>
      <c r="D7840" s="140"/>
      <c r="E7840" s="140"/>
    </row>
    <row r="7841" spans="1:5">
      <c r="A7841" s="140"/>
      <c r="B7841" s="192"/>
      <c r="C7841" s="140"/>
      <c r="D7841" s="140"/>
      <c r="E7841" s="140"/>
    </row>
    <row r="7842" spans="1:5">
      <c r="A7842" s="140"/>
      <c r="B7842" s="192"/>
      <c r="C7842" s="140"/>
      <c r="D7842" s="140"/>
      <c r="E7842" s="140"/>
    </row>
    <row r="7843" spans="1:5">
      <c r="A7843" s="140"/>
      <c r="B7843" s="192"/>
      <c r="C7843" s="140"/>
      <c r="D7843" s="140"/>
      <c r="E7843" s="140"/>
    </row>
    <row r="7844" spans="1:5">
      <c r="A7844" s="140"/>
      <c r="B7844" s="192"/>
      <c r="C7844" s="140"/>
      <c r="D7844" s="140"/>
      <c r="E7844" s="140"/>
    </row>
    <row r="7845" spans="1:5">
      <c r="A7845" s="140"/>
      <c r="B7845" s="192"/>
      <c r="C7845" s="140"/>
      <c r="D7845" s="140"/>
      <c r="E7845" s="140"/>
    </row>
    <row r="7846" spans="1:5">
      <c r="A7846" s="140"/>
      <c r="B7846" s="192"/>
      <c r="C7846" s="140"/>
      <c r="D7846" s="140"/>
      <c r="E7846" s="140"/>
    </row>
    <row r="7847" spans="1:5">
      <c r="A7847" s="140"/>
      <c r="B7847" s="192"/>
      <c r="C7847" s="140"/>
      <c r="D7847" s="140"/>
      <c r="E7847" s="140"/>
    </row>
    <row r="7848" spans="1:5">
      <c r="A7848" s="140"/>
      <c r="B7848" s="192"/>
      <c r="C7848" s="140"/>
      <c r="D7848" s="140"/>
      <c r="E7848" s="140"/>
    </row>
    <row r="7849" spans="1:5">
      <c r="A7849" s="140"/>
      <c r="B7849" s="192"/>
      <c r="C7849" s="140"/>
      <c r="D7849" s="140"/>
      <c r="E7849" s="140"/>
    </row>
    <row r="7850" spans="1:5">
      <c r="A7850" s="140"/>
      <c r="B7850" s="192"/>
      <c r="C7850" s="140"/>
      <c r="D7850" s="140"/>
      <c r="E7850" s="140"/>
    </row>
    <row r="7851" spans="1:5">
      <c r="A7851" s="140"/>
      <c r="B7851" s="192"/>
      <c r="C7851" s="140"/>
      <c r="D7851" s="140"/>
      <c r="E7851" s="140"/>
    </row>
    <row r="7852" spans="1:5">
      <c r="A7852" s="140"/>
      <c r="B7852" s="192"/>
      <c r="C7852" s="140"/>
      <c r="D7852" s="140"/>
      <c r="E7852" s="140"/>
    </row>
    <row r="7853" spans="1:5">
      <c r="A7853" s="140"/>
      <c r="B7853" s="192"/>
      <c r="C7853" s="140"/>
      <c r="D7853" s="140"/>
      <c r="E7853" s="140"/>
    </row>
    <row r="7854" spans="1:5">
      <c r="A7854" s="140"/>
      <c r="B7854" s="192"/>
      <c r="C7854" s="140"/>
      <c r="D7854" s="140"/>
      <c r="E7854" s="140"/>
    </row>
    <row r="7855" spans="1:5">
      <c r="A7855" s="140"/>
      <c r="B7855" s="192"/>
      <c r="C7855" s="140"/>
      <c r="D7855" s="140"/>
      <c r="E7855" s="140"/>
    </row>
    <row r="7856" spans="1:5">
      <c r="A7856" s="140"/>
      <c r="B7856" s="192"/>
      <c r="C7856" s="140"/>
      <c r="D7856" s="140"/>
      <c r="E7856" s="140"/>
    </row>
    <row r="7857" spans="1:5">
      <c r="A7857" s="140"/>
      <c r="B7857" s="192"/>
      <c r="C7857" s="140"/>
      <c r="D7857" s="140"/>
      <c r="E7857" s="140"/>
    </row>
    <row r="7858" spans="1:5">
      <c r="A7858" s="140"/>
      <c r="B7858" s="192"/>
      <c r="C7858" s="140"/>
      <c r="D7858" s="140"/>
      <c r="E7858" s="140"/>
    </row>
    <row r="7859" spans="1:5">
      <c r="A7859" s="140"/>
      <c r="B7859" s="192"/>
      <c r="C7859" s="140"/>
      <c r="D7859" s="140"/>
      <c r="E7859" s="140"/>
    </row>
    <row r="7860" spans="1:5">
      <c r="A7860" s="140"/>
      <c r="B7860" s="192"/>
      <c r="C7860" s="140"/>
      <c r="D7860" s="140"/>
      <c r="E7860" s="140"/>
    </row>
    <row r="7861" spans="1:5">
      <c r="A7861" s="140"/>
      <c r="B7861" s="192"/>
      <c r="C7861" s="140"/>
      <c r="D7861" s="140"/>
      <c r="E7861" s="140"/>
    </row>
    <row r="7862" spans="1:5">
      <c r="A7862" s="140"/>
      <c r="B7862" s="192"/>
      <c r="C7862" s="140"/>
      <c r="D7862" s="140"/>
      <c r="E7862" s="140"/>
    </row>
    <row r="7863" spans="1:5">
      <c r="A7863" s="140"/>
      <c r="B7863" s="192"/>
      <c r="C7863" s="140"/>
      <c r="D7863" s="140"/>
      <c r="E7863" s="140"/>
    </row>
    <row r="7864" spans="1:5">
      <c r="A7864" s="140"/>
      <c r="B7864" s="192"/>
      <c r="C7864" s="140"/>
      <c r="D7864" s="140"/>
      <c r="E7864" s="140"/>
    </row>
    <row r="7865" spans="1:5">
      <c r="A7865" s="140"/>
      <c r="B7865" s="192"/>
      <c r="C7865" s="140"/>
      <c r="D7865" s="140"/>
      <c r="E7865" s="140"/>
    </row>
    <row r="7866" spans="1:5">
      <c r="A7866" s="140"/>
      <c r="B7866" s="192"/>
      <c r="C7866" s="140"/>
      <c r="D7866" s="140"/>
      <c r="E7866" s="140"/>
    </row>
    <row r="7867" spans="1:5">
      <c r="A7867" s="140"/>
      <c r="B7867" s="192"/>
      <c r="C7867" s="140"/>
      <c r="D7867" s="140"/>
      <c r="E7867" s="140"/>
    </row>
    <row r="7868" spans="1:5">
      <c r="A7868" s="140"/>
      <c r="B7868" s="192"/>
      <c r="C7868" s="140"/>
      <c r="D7868" s="140"/>
      <c r="E7868" s="140"/>
    </row>
    <row r="7869" spans="1:5">
      <c r="A7869" s="140"/>
      <c r="B7869" s="192"/>
      <c r="C7869" s="140"/>
      <c r="D7869" s="140"/>
      <c r="E7869" s="140"/>
    </row>
    <row r="7870" spans="1:5">
      <c r="A7870" s="140"/>
      <c r="B7870" s="192"/>
      <c r="C7870" s="140"/>
      <c r="D7870" s="140"/>
      <c r="E7870" s="140"/>
    </row>
    <row r="7871" spans="1:5">
      <c r="A7871" s="140"/>
      <c r="B7871" s="192"/>
      <c r="C7871" s="140"/>
      <c r="D7871" s="140"/>
      <c r="E7871" s="140"/>
    </row>
    <row r="7872" spans="1:5">
      <c r="A7872" s="140"/>
      <c r="B7872" s="192"/>
      <c r="C7872" s="140"/>
      <c r="D7872" s="140"/>
      <c r="E7872" s="140"/>
    </row>
    <row r="7873" spans="1:5">
      <c r="A7873" s="140"/>
      <c r="B7873" s="192"/>
      <c r="C7873" s="140"/>
      <c r="D7873" s="140"/>
      <c r="E7873" s="140"/>
    </row>
    <row r="7874" spans="1:5">
      <c r="A7874" s="140"/>
      <c r="B7874" s="192"/>
      <c r="C7874" s="140"/>
      <c r="D7874" s="140"/>
      <c r="E7874" s="140"/>
    </row>
    <row r="7875" spans="1:5">
      <c r="A7875" s="140"/>
      <c r="B7875" s="192"/>
      <c r="C7875" s="140"/>
      <c r="D7875" s="140"/>
      <c r="E7875" s="140"/>
    </row>
    <row r="7876" spans="1:5">
      <c r="A7876" s="140"/>
      <c r="B7876" s="192"/>
      <c r="C7876" s="140"/>
      <c r="D7876" s="140"/>
      <c r="E7876" s="140"/>
    </row>
    <row r="7877" spans="1:5">
      <c r="A7877" s="140"/>
      <c r="B7877" s="192"/>
      <c r="C7877" s="140"/>
      <c r="D7877" s="140"/>
      <c r="E7877" s="140"/>
    </row>
    <row r="7878" spans="1:5">
      <c r="A7878" s="140"/>
      <c r="B7878" s="192"/>
      <c r="C7878" s="140"/>
      <c r="D7878" s="140"/>
      <c r="E7878" s="140"/>
    </row>
    <row r="7879" spans="1:5">
      <c r="A7879" s="140"/>
      <c r="B7879" s="192"/>
      <c r="C7879" s="140"/>
      <c r="D7879" s="140"/>
      <c r="E7879" s="140"/>
    </row>
    <row r="7880" spans="1:5">
      <c r="A7880" s="140"/>
      <c r="B7880" s="192"/>
      <c r="C7880" s="140"/>
      <c r="D7880" s="140"/>
      <c r="E7880" s="140"/>
    </row>
    <row r="7881" spans="1:5">
      <c r="A7881" s="140"/>
      <c r="B7881" s="192"/>
      <c r="C7881" s="140"/>
      <c r="D7881" s="140"/>
      <c r="E7881" s="140"/>
    </row>
    <row r="7882" spans="1:5">
      <c r="A7882" s="140"/>
      <c r="B7882" s="192"/>
      <c r="C7882" s="140"/>
      <c r="D7882" s="140"/>
      <c r="E7882" s="140"/>
    </row>
    <row r="7883" spans="1:5">
      <c r="A7883" s="140"/>
      <c r="B7883" s="192"/>
      <c r="C7883" s="140"/>
      <c r="D7883" s="140"/>
      <c r="E7883" s="140"/>
    </row>
    <row r="7884" spans="1:5">
      <c r="A7884" s="140"/>
      <c r="B7884" s="192"/>
      <c r="C7884" s="140"/>
      <c r="D7884" s="140"/>
      <c r="E7884" s="140"/>
    </row>
    <row r="7885" spans="1:5">
      <c r="A7885" s="140"/>
      <c r="B7885" s="192"/>
      <c r="C7885" s="140"/>
      <c r="D7885" s="140"/>
      <c r="E7885" s="140"/>
    </row>
    <row r="7886" spans="1:5">
      <c r="A7886" s="140"/>
      <c r="B7886" s="192"/>
      <c r="C7886" s="140"/>
      <c r="D7886" s="140"/>
      <c r="E7886" s="140"/>
    </row>
    <row r="7887" spans="1:5">
      <c r="A7887" s="140"/>
      <c r="B7887" s="192"/>
      <c r="C7887" s="140"/>
      <c r="D7887" s="140"/>
      <c r="E7887" s="140"/>
    </row>
    <row r="7888" spans="1:5">
      <c r="A7888" s="140"/>
      <c r="B7888" s="192"/>
      <c r="C7888" s="140"/>
      <c r="D7888" s="140"/>
      <c r="E7888" s="140"/>
    </row>
    <row r="7889" spans="1:5">
      <c r="A7889" s="140"/>
      <c r="B7889" s="192"/>
      <c r="C7889" s="140"/>
      <c r="D7889" s="140"/>
      <c r="E7889" s="140"/>
    </row>
    <row r="7890" spans="1:5">
      <c r="A7890" s="140"/>
      <c r="B7890" s="192"/>
      <c r="C7890" s="140"/>
      <c r="D7890" s="140"/>
      <c r="E7890" s="140"/>
    </row>
    <row r="7891" spans="1:5">
      <c r="A7891" s="140"/>
      <c r="B7891" s="192"/>
      <c r="C7891" s="140"/>
      <c r="D7891" s="140"/>
      <c r="E7891" s="140"/>
    </row>
    <row r="7892" spans="1:5">
      <c r="A7892" s="140"/>
      <c r="B7892" s="192"/>
      <c r="C7892" s="140"/>
      <c r="D7892" s="140"/>
      <c r="E7892" s="140"/>
    </row>
    <row r="7893" spans="1:5">
      <c r="A7893" s="140"/>
      <c r="B7893" s="192"/>
      <c r="C7893" s="140"/>
      <c r="D7893" s="140"/>
      <c r="E7893" s="140"/>
    </row>
    <row r="7894" spans="1:5">
      <c r="A7894" s="140"/>
      <c r="B7894" s="192"/>
      <c r="C7894" s="140"/>
      <c r="D7894" s="140"/>
      <c r="E7894" s="140"/>
    </row>
    <row r="7895" spans="1:5">
      <c r="A7895" s="140"/>
      <c r="B7895" s="192"/>
      <c r="C7895" s="140"/>
      <c r="D7895" s="140"/>
      <c r="E7895" s="140"/>
    </row>
    <row r="7896" spans="1:5">
      <c r="A7896" s="140"/>
      <c r="B7896" s="192"/>
      <c r="C7896" s="140"/>
      <c r="D7896" s="140"/>
      <c r="E7896" s="140"/>
    </row>
    <row r="7897" spans="1:5">
      <c r="A7897" s="140"/>
      <c r="B7897" s="192"/>
      <c r="C7897" s="140"/>
      <c r="D7897" s="140"/>
      <c r="E7897" s="140"/>
    </row>
    <row r="7898" spans="1:5">
      <c r="A7898" s="140"/>
      <c r="B7898" s="192"/>
      <c r="C7898" s="140"/>
      <c r="D7898" s="140"/>
      <c r="E7898" s="140"/>
    </row>
    <row r="7899" spans="1:5">
      <c r="A7899" s="140"/>
      <c r="B7899" s="192"/>
      <c r="C7899" s="140"/>
      <c r="D7899" s="140"/>
      <c r="E7899" s="140"/>
    </row>
    <row r="7900" spans="1:5">
      <c r="A7900" s="140"/>
      <c r="B7900" s="192"/>
      <c r="C7900" s="140"/>
      <c r="D7900" s="140"/>
      <c r="E7900" s="140"/>
    </row>
    <row r="7901" spans="1:5">
      <c r="A7901" s="140"/>
      <c r="B7901" s="192"/>
      <c r="C7901" s="140"/>
      <c r="D7901" s="140"/>
      <c r="E7901" s="140"/>
    </row>
    <row r="7902" spans="1:5">
      <c r="A7902" s="140"/>
      <c r="B7902" s="192"/>
      <c r="C7902" s="140"/>
      <c r="D7902" s="140"/>
      <c r="E7902" s="140"/>
    </row>
    <row r="7903" spans="1:5">
      <c r="A7903" s="140"/>
      <c r="B7903" s="192"/>
      <c r="C7903" s="140"/>
      <c r="D7903" s="140"/>
      <c r="E7903" s="140"/>
    </row>
    <row r="7904" spans="1:5">
      <c r="A7904" s="140"/>
      <c r="B7904" s="192"/>
      <c r="C7904" s="140"/>
      <c r="D7904" s="140"/>
      <c r="E7904" s="140"/>
    </row>
    <row r="7905" spans="1:5">
      <c r="A7905" s="140"/>
      <c r="B7905" s="192"/>
      <c r="C7905" s="140"/>
      <c r="D7905" s="140"/>
      <c r="E7905" s="140"/>
    </row>
    <row r="7906" spans="1:5">
      <c r="A7906" s="140"/>
      <c r="B7906" s="192"/>
      <c r="C7906" s="140"/>
      <c r="D7906" s="140"/>
      <c r="E7906" s="140"/>
    </row>
    <row r="7907" spans="1:5">
      <c r="A7907" s="140"/>
      <c r="B7907" s="192"/>
      <c r="C7907" s="140"/>
      <c r="D7907" s="140"/>
      <c r="E7907" s="140"/>
    </row>
    <row r="7908" spans="1:5">
      <c r="A7908" s="140"/>
      <c r="B7908" s="192"/>
      <c r="C7908" s="140"/>
      <c r="D7908" s="140"/>
      <c r="E7908" s="140"/>
    </row>
    <row r="7909" spans="1:5">
      <c r="A7909" s="140"/>
      <c r="B7909" s="192"/>
      <c r="C7909" s="140"/>
      <c r="D7909" s="140"/>
      <c r="E7909" s="140"/>
    </row>
    <row r="7910" spans="1:5">
      <c r="A7910" s="140"/>
      <c r="B7910" s="192"/>
      <c r="C7910" s="140"/>
      <c r="D7910" s="140"/>
      <c r="E7910" s="140"/>
    </row>
    <row r="7911" spans="1:5">
      <c r="A7911" s="140"/>
      <c r="B7911" s="192"/>
      <c r="C7911" s="140"/>
      <c r="D7911" s="140"/>
      <c r="E7911" s="140"/>
    </row>
    <row r="7912" spans="1:5">
      <c r="A7912" s="140"/>
      <c r="B7912" s="192"/>
      <c r="C7912" s="140"/>
      <c r="D7912" s="140"/>
      <c r="E7912" s="140"/>
    </row>
    <row r="7913" spans="1:5">
      <c r="A7913" s="140"/>
      <c r="B7913" s="192"/>
      <c r="C7913" s="140"/>
      <c r="D7913" s="140"/>
      <c r="E7913" s="140"/>
    </row>
    <row r="7914" spans="1:5">
      <c r="A7914" s="140"/>
      <c r="B7914" s="192"/>
      <c r="C7914" s="140"/>
      <c r="D7914" s="140"/>
      <c r="E7914" s="140"/>
    </row>
    <row r="7915" spans="1:5">
      <c r="A7915" s="140"/>
      <c r="B7915" s="192"/>
      <c r="C7915" s="140"/>
      <c r="D7915" s="140"/>
      <c r="E7915" s="140"/>
    </row>
    <row r="7916" spans="1:5">
      <c r="A7916" s="140"/>
      <c r="B7916" s="192"/>
      <c r="C7916" s="140"/>
      <c r="D7916" s="140"/>
      <c r="E7916" s="140"/>
    </row>
    <row r="7917" spans="1:5">
      <c r="A7917" s="140"/>
      <c r="B7917" s="192"/>
      <c r="C7917" s="140"/>
      <c r="D7917" s="140"/>
      <c r="E7917" s="140"/>
    </row>
    <row r="7918" spans="1:5">
      <c r="A7918" s="140"/>
      <c r="B7918" s="192"/>
      <c r="C7918" s="140"/>
      <c r="D7918" s="140"/>
      <c r="E7918" s="140"/>
    </row>
    <row r="7919" spans="1:5">
      <c r="A7919" s="140"/>
      <c r="B7919" s="192"/>
      <c r="C7919" s="140"/>
      <c r="D7919" s="140"/>
      <c r="E7919" s="140"/>
    </row>
    <row r="7920" spans="1:5">
      <c r="A7920" s="140"/>
      <c r="B7920" s="192"/>
      <c r="C7920" s="140"/>
      <c r="D7920" s="140"/>
      <c r="E7920" s="140"/>
    </row>
    <row r="7921" spans="1:5">
      <c r="A7921" s="140"/>
      <c r="B7921" s="192"/>
      <c r="C7921" s="140"/>
      <c r="D7921" s="140"/>
      <c r="E7921" s="140"/>
    </row>
    <row r="7922" spans="1:5">
      <c r="A7922" s="140"/>
      <c r="B7922" s="192"/>
      <c r="C7922" s="140"/>
      <c r="D7922" s="140"/>
      <c r="E7922" s="140"/>
    </row>
    <row r="7923" spans="1:5">
      <c r="A7923" s="140"/>
      <c r="B7923" s="192"/>
      <c r="C7923" s="140"/>
      <c r="D7923" s="140"/>
      <c r="E7923" s="140"/>
    </row>
    <row r="7924" spans="1:5">
      <c r="A7924" s="140"/>
      <c r="B7924" s="192"/>
      <c r="C7924" s="140"/>
      <c r="D7924" s="140"/>
      <c r="E7924" s="140"/>
    </row>
    <row r="7925" spans="1:5">
      <c r="A7925" s="140"/>
      <c r="B7925" s="192"/>
      <c r="C7925" s="140"/>
      <c r="D7925" s="140"/>
      <c r="E7925" s="140"/>
    </row>
    <row r="7926" spans="1:5">
      <c r="A7926" s="140"/>
      <c r="B7926" s="192"/>
      <c r="C7926" s="140"/>
      <c r="D7926" s="140"/>
      <c r="E7926" s="140"/>
    </row>
    <row r="7927" spans="1:5">
      <c r="A7927" s="140"/>
      <c r="B7927" s="192"/>
      <c r="C7927" s="140"/>
      <c r="D7927" s="140"/>
      <c r="E7927" s="140"/>
    </row>
    <row r="7928" spans="1:5">
      <c r="A7928" s="140"/>
      <c r="B7928" s="192"/>
      <c r="C7928" s="140"/>
      <c r="D7928" s="140"/>
      <c r="E7928" s="140"/>
    </row>
    <row r="7929" spans="1:5">
      <c r="A7929" s="140"/>
      <c r="B7929" s="192"/>
      <c r="C7929" s="140"/>
      <c r="D7929" s="140"/>
      <c r="E7929" s="140"/>
    </row>
    <row r="7930" spans="1:5">
      <c r="A7930" s="140"/>
      <c r="B7930" s="192"/>
      <c r="C7930" s="140"/>
      <c r="D7930" s="140"/>
      <c r="E7930" s="140"/>
    </row>
    <row r="7931" spans="1:5">
      <c r="A7931" s="140"/>
      <c r="B7931" s="192"/>
      <c r="C7931" s="140"/>
      <c r="D7931" s="140"/>
      <c r="E7931" s="140"/>
    </row>
    <row r="7932" spans="1:5">
      <c r="A7932" s="140"/>
      <c r="B7932" s="192"/>
      <c r="C7932" s="140"/>
      <c r="D7932" s="140"/>
      <c r="E7932" s="140"/>
    </row>
    <row r="7933" spans="1:5">
      <c r="A7933" s="140"/>
      <c r="B7933" s="192"/>
      <c r="C7933" s="140"/>
      <c r="D7933" s="140"/>
      <c r="E7933" s="140"/>
    </row>
    <row r="7934" spans="1:5">
      <c r="A7934" s="140"/>
      <c r="B7934" s="192"/>
      <c r="C7934" s="140"/>
      <c r="D7934" s="140"/>
      <c r="E7934" s="140"/>
    </row>
    <row r="7935" spans="1:5">
      <c r="A7935" s="140"/>
      <c r="B7935" s="192"/>
      <c r="C7935" s="140"/>
      <c r="D7935" s="140"/>
      <c r="E7935" s="140"/>
    </row>
    <row r="7936" spans="1:5">
      <c r="A7936" s="140"/>
      <c r="B7936" s="192"/>
      <c r="C7936" s="140"/>
      <c r="D7936" s="140"/>
      <c r="E7936" s="140"/>
    </row>
    <row r="7937" spans="1:5">
      <c r="A7937" s="140"/>
      <c r="B7937" s="192"/>
      <c r="C7937" s="140"/>
      <c r="D7937" s="140"/>
      <c r="E7937" s="140"/>
    </row>
    <row r="7938" spans="1:5">
      <c r="A7938" s="140"/>
      <c r="B7938" s="192"/>
      <c r="C7938" s="140"/>
      <c r="D7938" s="140"/>
      <c r="E7938" s="140"/>
    </row>
    <row r="7939" spans="1:5">
      <c r="A7939" s="140"/>
      <c r="B7939" s="192"/>
      <c r="C7939" s="140"/>
      <c r="D7939" s="140"/>
      <c r="E7939" s="140"/>
    </row>
    <row r="7940" spans="1:5">
      <c r="A7940" s="140"/>
      <c r="B7940" s="192"/>
      <c r="C7940" s="140"/>
      <c r="D7940" s="140"/>
      <c r="E7940" s="140"/>
    </row>
    <row r="7941" spans="1:5">
      <c r="A7941" s="140"/>
      <c r="B7941" s="192"/>
      <c r="C7941" s="140"/>
      <c r="D7941" s="140"/>
      <c r="E7941" s="140"/>
    </row>
    <row r="7942" spans="1:5">
      <c r="A7942" s="140"/>
      <c r="B7942" s="192"/>
      <c r="C7942" s="140"/>
      <c r="D7942" s="140"/>
      <c r="E7942" s="140"/>
    </row>
    <row r="7943" spans="1:5">
      <c r="A7943" s="140"/>
      <c r="B7943" s="192"/>
      <c r="C7943" s="140"/>
      <c r="D7943" s="140"/>
      <c r="E7943" s="140"/>
    </row>
    <row r="7944" spans="1:5">
      <c r="A7944" s="140"/>
      <c r="B7944" s="192"/>
      <c r="C7944" s="140"/>
      <c r="D7944" s="140"/>
      <c r="E7944" s="140"/>
    </row>
    <row r="7945" spans="1:5">
      <c r="A7945" s="140"/>
      <c r="B7945" s="192"/>
      <c r="C7945" s="140"/>
      <c r="D7945" s="140"/>
      <c r="E7945" s="140"/>
    </row>
    <row r="7946" spans="1:5">
      <c r="A7946" s="140"/>
      <c r="B7946" s="192"/>
      <c r="C7946" s="140"/>
      <c r="D7946" s="140"/>
      <c r="E7946" s="140"/>
    </row>
    <row r="7947" spans="1:5">
      <c r="A7947" s="140"/>
      <c r="B7947" s="192"/>
      <c r="C7947" s="140"/>
      <c r="D7947" s="140"/>
      <c r="E7947" s="140"/>
    </row>
    <row r="7948" spans="1:5">
      <c r="A7948" s="140"/>
      <c r="B7948" s="192"/>
      <c r="C7948" s="140"/>
      <c r="D7948" s="140"/>
      <c r="E7948" s="140"/>
    </row>
    <row r="7949" spans="1:5">
      <c r="A7949" s="140"/>
      <c r="B7949" s="192"/>
      <c r="C7949" s="140"/>
      <c r="D7949" s="140"/>
      <c r="E7949" s="140"/>
    </row>
    <row r="7950" spans="1:5">
      <c r="A7950" s="140"/>
      <c r="B7950" s="192"/>
      <c r="C7950" s="140"/>
      <c r="D7950" s="140"/>
      <c r="E7950" s="140"/>
    </row>
    <row r="7951" spans="1:5">
      <c r="A7951" s="140"/>
      <c r="B7951" s="192"/>
      <c r="C7951" s="140"/>
      <c r="D7951" s="140"/>
      <c r="E7951" s="140"/>
    </row>
    <row r="7952" spans="1:5">
      <c r="A7952" s="140"/>
      <c r="B7952" s="192"/>
      <c r="C7952" s="140"/>
      <c r="D7952" s="140"/>
      <c r="E7952" s="140"/>
    </row>
    <row r="7953" spans="1:5">
      <c r="A7953" s="140"/>
      <c r="B7953" s="192"/>
      <c r="C7953" s="140"/>
      <c r="D7953" s="140"/>
      <c r="E7953" s="140"/>
    </row>
    <row r="7954" spans="1:5">
      <c r="A7954" s="140"/>
      <c r="B7954" s="192"/>
      <c r="C7954" s="140"/>
      <c r="D7954" s="140"/>
      <c r="E7954" s="140"/>
    </row>
    <row r="7955" spans="1:5">
      <c r="A7955" s="140"/>
      <c r="B7955" s="192"/>
      <c r="C7955" s="140"/>
      <c r="D7955" s="140"/>
      <c r="E7955" s="140"/>
    </row>
    <row r="7956" spans="1:5">
      <c r="A7956" s="140"/>
      <c r="B7956" s="192"/>
      <c r="C7956" s="140"/>
      <c r="D7956" s="140"/>
      <c r="E7956" s="140"/>
    </row>
    <row r="7957" spans="1:5">
      <c r="A7957" s="140"/>
      <c r="B7957" s="192"/>
      <c r="C7957" s="140"/>
      <c r="D7957" s="140"/>
      <c r="E7957" s="140"/>
    </row>
    <row r="7958" spans="1:5">
      <c r="A7958" s="140"/>
      <c r="B7958" s="192"/>
      <c r="C7958" s="140"/>
      <c r="D7958" s="140"/>
      <c r="E7958" s="140"/>
    </row>
    <row r="7959" spans="1:5">
      <c r="A7959" s="140"/>
      <c r="B7959" s="192"/>
      <c r="C7959" s="140"/>
      <c r="D7959" s="140"/>
      <c r="E7959" s="140"/>
    </row>
    <row r="7960" spans="1:5">
      <c r="A7960" s="140"/>
      <c r="B7960" s="192"/>
      <c r="C7960" s="140"/>
      <c r="D7960" s="140"/>
      <c r="E7960" s="140"/>
    </row>
    <row r="7961" spans="1:5">
      <c r="A7961" s="140"/>
      <c r="B7961" s="192"/>
      <c r="C7961" s="140"/>
      <c r="D7961" s="140"/>
      <c r="E7961" s="140"/>
    </row>
    <row r="7962" spans="1:5">
      <c r="A7962" s="140"/>
      <c r="B7962" s="192"/>
      <c r="C7962" s="140"/>
      <c r="D7962" s="140"/>
      <c r="E7962" s="140"/>
    </row>
    <row r="7963" spans="1:5">
      <c r="A7963" s="140"/>
      <c r="B7963" s="192"/>
      <c r="C7963" s="140"/>
      <c r="D7963" s="140"/>
      <c r="E7963" s="140"/>
    </row>
    <row r="7964" spans="1:5">
      <c r="A7964" s="140"/>
      <c r="B7964" s="192"/>
      <c r="C7964" s="140"/>
      <c r="D7964" s="140"/>
      <c r="E7964" s="140"/>
    </row>
    <row r="7965" spans="1:5">
      <c r="A7965" s="140"/>
      <c r="B7965" s="192"/>
      <c r="C7965" s="140"/>
      <c r="D7965" s="140"/>
      <c r="E7965" s="140"/>
    </row>
    <row r="7966" spans="1:5">
      <c r="A7966" s="140"/>
      <c r="B7966" s="192"/>
      <c r="C7966" s="140"/>
      <c r="D7966" s="140"/>
      <c r="E7966" s="140"/>
    </row>
    <row r="7967" spans="1:5">
      <c r="A7967" s="140"/>
      <c r="B7967" s="192"/>
      <c r="C7967" s="140"/>
      <c r="D7967" s="140"/>
      <c r="E7967" s="140"/>
    </row>
    <row r="7968" spans="1:5">
      <c r="A7968" s="140"/>
      <c r="B7968" s="192"/>
      <c r="C7968" s="140"/>
      <c r="D7968" s="140"/>
      <c r="E7968" s="140"/>
    </row>
    <row r="7969" spans="1:5">
      <c r="A7969" s="140"/>
      <c r="B7969" s="192"/>
      <c r="C7969" s="140"/>
      <c r="D7969" s="140"/>
      <c r="E7969" s="140"/>
    </row>
    <row r="7970" spans="1:5">
      <c r="A7970" s="140"/>
      <c r="B7970" s="192"/>
      <c r="C7970" s="140"/>
      <c r="D7970" s="140"/>
      <c r="E7970" s="140"/>
    </row>
    <row r="7971" spans="1:5">
      <c r="A7971" s="140"/>
      <c r="B7971" s="192"/>
      <c r="C7971" s="140"/>
      <c r="D7971" s="140"/>
      <c r="E7971" s="140"/>
    </row>
    <row r="7972" spans="1:5">
      <c r="A7972" s="140"/>
      <c r="B7972" s="192"/>
      <c r="C7972" s="140"/>
      <c r="D7972" s="140"/>
      <c r="E7972" s="140"/>
    </row>
    <row r="7973" spans="1:5">
      <c r="A7973" s="140"/>
      <c r="B7973" s="192"/>
      <c r="C7973" s="140"/>
      <c r="D7973" s="140"/>
      <c r="E7973" s="140"/>
    </row>
    <row r="7974" spans="1:5">
      <c r="A7974" s="140"/>
      <c r="B7974" s="192"/>
      <c r="C7974" s="140"/>
      <c r="D7974" s="140"/>
      <c r="E7974" s="140"/>
    </row>
    <row r="7975" spans="1:5">
      <c r="A7975" s="140"/>
      <c r="B7975" s="192"/>
      <c r="C7975" s="140"/>
      <c r="D7975" s="140"/>
      <c r="E7975" s="140"/>
    </row>
    <row r="7976" spans="1:5">
      <c r="A7976" s="140"/>
      <c r="B7976" s="192"/>
      <c r="C7976" s="140"/>
      <c r="D7976" s="140"/>
      <c r="E7976" s="140"/>
    </row>
    <row r="7977" spans="1:5">
      <c r="A7977" s="140"/>
      <c r="B7977" s="192"/>
      <c r="C7977" s="140"/>
      <c r="D7977" s="140"/>
      <c r="E7977" s="140"/>
    </row>
    <row r="7978" spans="1:5">
      <c r="A7978" s="140"/>
      <c r="B7978" s="192"/>
      <c r="C7978" s="140"/>
      <c r="D7978" s="140"/>
      <c r="E7978" s="140"/>
    </row>
    <row r="7979" spans="1:5">
      <c r="A7979" s="140"/>
      <c r="B7979" s="192"/>
      <c r="C7979" s="140"/>
      <c r="D7979" s="140"/>
      <c r="E7979" s="140"/>
    </row>
    <row r="7980" spans="1:5">
      <c r="A7980" s="140"/>
      <c r="B7980" s="192"/>
      <c r="C7980" s="140"/>
      <c r="D7980" s="140"/>
      <c r="E7980" s="140"/>
    </row>
    <row r="7981" spans="1:5">
      <c r="A7981" s="140"/>
      <c r="B7981" s="192"/>
      <c r="C7981" s="140"/>
      <c r="D7981" s="140"/>
      <c r="E7981" s="140"/>
    </row>
    <row r="7982" spans="1:5">
      <c r="A7982" s="140"/>
      <c r="B7982" s="192"/>
      <c r="C7982" s="140"/>
      <c r="D7982" s="140"/>
      <c r="E7982" s="140"/>
    </row>
    <row r="7983" spans="1:5">
      <c r="A7983" s="140"/>
      <c r="B7983" s="192"/>
      <c r="C7983" s="140"/>
      <c r="D7983" s="140"/>
      <c r="E7983" s="140"/>
    </row>
    <row r="7984" spans="1:5">
      <c r="A7984" s="140"/>
      <c r="B7984" s="192"/>
      <c r="C7984" s="140"/>
      <c r="D7984" s="140"/>
      <c r="E7984" s="140"/>
    </row>
    <row r="7985" spans="1:5">
      <c r="A7985" s="140"/>
      <c r="B7985" s="192"/>
      <c r="C7985" s="140"/>
      <c r="D7985" s="140"/>
      <c r="E7985" s="140"/>
    </row>
    <row r="7986" spans="1:5">
      <c r="A7986" s="140"/>
      <c r="B7986" s="192"/>
      <c r="C7986" s="140"/>
      <c r="D7986" s="140"/>
      <c r="E7986" s="140"/>
    </row>
    <row r="7987" spans="1:5">
      <c r="A7987" s="140"/>
      <c r="B7987" s="192"/>
      <c r="C7987" s="140"/>
      <c r="D7987" s="140"/>
      <c r="E7987" s="140"/>
    </row>
    <row r="7988" spans="1:5">
      <c r="A7988" s="140"/>
      <c r="B7988" s="192"/>
      <c r="C7988" s="140"/>
      <c r="D7988" s="140"/>
      <c r="E7988" s="140"/>
    </row>
    <row r="7989" spans="1:5">
      <c r="A7989" s="140"/>
      <c r="B7989" s="192"/>
      <c r="C7989" s="140"/>
      <c r="D7989" s="140"/>
      <c r="E7989" s="140"/>
    </row>
    <row r="7990" spans="1:5">
      <c r="A7990" s="140"/>
      <c r="B7990" s="192"/>
      <c r="C7990" s="140"/>
      <c r="D7990" s="140"/>
      <c r="E7990" s="140"/>
    </row>
    <row r="7991" spans="1:5">
      <c r="A7991" s="140"/>
      <c r="B7991" s="192"/>
      <c r="C7991" s="140"/>
      <c r="D7991" s="140"/>
      <c r="E7991" s="140"/>
    </row>
    <row r="7992" spans="1:5">
      <c r="A7992" s="140"/>
      <c r="B7992" s="192"/>
      <c r="C7992" s="140"/>
      <c r="D7992" s="140"/>
      <c r="E7992" s="140"/>
    </row>
    <row r="7993" spans="1:5">
      <c r="A7993" s="140"/>
      <c r="B7993" s="192"/>
      <c r="C7993" s="140"/>
      <c r="D7993" s="140"/>
      <c r="E7993" s="140"/>
    </row>
    <row r="7994" spans="1:5">
      <c r="A7994" s="140"/>
      <c r="B7994" s="192"/>
      <c r="C7994" s="140"/>
      <c r="D7994" s="140"/>
      <c r="E7994" s="140"/>
    </row>
    <row r="7995" spans="1:5">
      <c r="A7995" s="140"/>
      <c r="B7995" s="192"/>
      <c r="C7995" s="140"/>
      <c r="D7995" s="140"/>
      <c r="E7995" s="140"/>
    </row>
    <row r="7996" spans="1:5">
      <c r="A7996" s="140"/>
      <c r="B7996" s="192"/>
      <c r="C7996" s="140"/>
      <c r="D7996" s="140"/>
      <c r="E7996" s="140"/>
    </row>
    <row r="7997" spans="1:5">
      <c r="A7997" s="140"/>
      <c r="B7997" s="192"/>
      <c r="C7997" s="140"/>
      <c r="D7997" s="140"/>
      <c r="E7997" s="140"/>
    </row>
    <row r="7998" spans="1:5">
      <c r="A7998" s="140"/>
      <c r="B7998" s="192"/>
      <c r="C7998" s="140"/>
      <c r="D7998" s="140"/>
      <c r="E7998" s="140"/>
    </row>
    <row r="7999" spans="1:5">
      <c r="A7999" s="140"/>
      <c r="B7999" s="192"/>
      <c r="C7999" s="140"/>
      <c r="D7999" s="140"/>
      <c r="E7999" s="140"/>
    </row>
    <row r="8000" spans="1:5">
      <c r="A8000" s="140"/>
      <c r="B8000" s="192"/>
      <c r="C8000" s="140"/>
      <c r="D8000" s="140"/>
      <c r="E8000" s="140"/>
    </row>
    <row r="8001" spans="1:5">
      <c r="A8001" s="140"/>
      <c r="B8001" s="192"/>
      <c r="C8001" s="140"/>
      <c r="D8001" s="140"/>
      <c r="E8001" s="140"/>
    </row>
    <row r="8002" spans="1:5">
      <c r="A8002" s="140"/>
      <c r="B8002" s="192"/>
      <c r="C8002" s="140"/>
      <c r="D8002" s="140"/>
      <c r="E8002" s="140"/>
    </row>
    <row r="8003" spans="1:5">
      <c r="A8003" s="140"/>
      <c r="B8003" s="192"/>
      <c r="C8003" s="140"/>
      <c r="D8003" s="140"/>
      <c r="E8003" s="140"/>
    </row>
    <row r="8004" spans="1:5">
      <c r="A8004" s="140"/>
      <c r="B8004" s="192"/>
      <c r="C8004" s="140"/>
      <c r="D8004" s="140"/>
      <c r="E8004" s="140"/>
    </row>
    <row r="8005" spans="1:5">
      <c r="A8005" s="140"/>
      <c r="B8005" s="192"/>
      <c r="C8005" s="140"/>
      <c r="D8005" s="140"/>
      <c r="E8005" s="140"/>
    </row>
    <row r="8006" spans="1:5">
      <c r="A8006" s="140"/>
      <c r="B8006" s="192"/>
      <c r="C8006" s="140"/>
      <c r="D8006" s="140"/>
      <c r="E8006" s="140"/>
    </row>
    <row r="8007" spans="1:5">
      <c r="A8007" s="140"/>
      <c r="B8007" s="192"/>
      <c r="C8007" s="140"/>
      <c r="D8007" s="140"/>
      <c r="E8007" s="140"/>
    </row>
    <row r="8008" spans="1:5">
      <c r="A8008" s="140"/>
      <c r="B8008" s="192"/>
      <c r="C8008" s="140"/>
      <c r="D8008" s="140"/>
      <c r="E8008" s="140"/>
    </row>
    <row r="8009" spans="1:5">
      <c r="A8009" s="140"/>
      <c r="B8009" s="192"/>
      <c r="C8009" s="140"/>
      <c r="D8009" s="140"/>
      <c r="E8009" s="140"/>
    </row>
    <row r="8010" spans="1:5">
      <c r="A8010" s="140"/>
      <c r="B8010" s="192"/>
      <c r="C8010" s="140"/>
      <c r="D8010" s="140"/>
      <c r="E8010" s="140"/>
    </row>
    <row r="8011" spans="1:5">
      <c r="A8011" s="140"/>
      <c r="B8011" s="192"/>
      <c r="C8011" s="140"/>
      <c r="D8011" s="140"/>
      <c r="E8011" s="140"/>
    </row>
    <row r="8012" spans="1:5">
      <c r="A8012" s="140"/>
      <c r="B8012" s="192"/>
      <c r="C8012" s="140"/>
      <c r="D8012" s="140"/>
      <c r="E8012" s="140"/>
    </row>
    <row r="8013" spans="1:5">
      <c r="A8013" s="140"/>
      <c r="B8013" s="192"/>
      <c r="C8013" s="140"/>
      <c r="D8013" s="140"/>
      <c r="E8013" s="140"/>
    </row>
    <row r="8014" spans="1:5">
      <c r="A8014" s="140"/>
      <c r="B8014" s="192"/>
      <c r="C8014" s="140"/>
      <c r="D8014" s="140"/>
      <c r="E8014" s="140"/>
    </row>
    <row r="8015" spans="1:5">
      <c r="A8015" s="140"/>
      <c r="B8015" s="192"/>
      <c r="C8015" s="140"/>
      <c r="D8015" s="140"/>
      <c r="E8015" s="140"/>
    </row>
    <row r="8016" spans="1:5">
      <c r="A8016" s="140"/>
      <c r="B8016" s="192"/>
      <c r="C8016" s="140"/>
      <c r="D8016" s="140"/>
      <c r="E8016" s="140"/>
    </row>
    <row r="8017" spans="1:5">
      <c r="A8017" s="140"/>
      <c r="B8017" s="192"/>
      <c r="C8017" s="140"/>
      <c r="D8017" s="140"/>
      <c r="E8017" s="140"/>
    </row>
    <row r="8018" spans="1:5">
      <c r="A8018" s="140"/>
      <c r="B8018" s="192"/>
      <c r="C8018" s="140"/>
      <c r="D8018" s="140"/>
      <c r="E8018" s="140"/>
    </row>
    <row r="8019" spans="1:5">
      <c r="A8019" s="140"/>
      <c r="B8019" s="192"/>
      <c r="C8019" s="140"/>
      <c r="D8019" s="140"/>
      <c r="E8019" s="140"/>
    </row>
    <row r="8020" spans="1:5">
      <c r="A8020" s="140"/>
      <c r="B8020" s="192"/>
      <c r="C8020" s="140"/>
      <c r="D8020" s="140"/>
      <c r="E8020" s="140"/>
    </row>
    <row r="8021" spans="1:5">
      <c r="A8021" s="140"/>
      <c r="B8021" s="192"/>
      <c r="C8021" s="140"/>
      <c r="D8021" s="140"/>
      <c r="E8021" s="140"/>
    </row>
    <row r="8022" spans="1:5">
      <c r="A8022" s="140"/>
      <c r="B8022" s="192"/>
      <c r="C8022" s="140"/>
      <c r="D8022" s="140"/>
      <c r="E8022" s="140"/>
    </row>
    <row r="8023" spans="1:5">
      <c r="A8023" s="140"/>
      <c r="B8023" s="192"/>
      <c r="C8023" s="140"/>
      <c r="D8023" s="140"/>
      <c r="E8023" s="140"/>
    </row>
    <row r="8024" spans="1:5">
      <c r="A8024" s="140"/>
      <c r="B8024" s="192"/>
      <c r="C8024" s="140"/>
      <c r="D8024" s="140"/>
      <c r="E8024" s="140"/>
    </row>
    <row r="8025" spans="1:5">
      <c r="A8025" s="140"/>
      <c r="B8025" s="192"/>
      <c r="C8025" s="140"/>
      <c r="D8025" s="140"/>
      <c r="E8025" s="140"/>
    </row>
    <row r="8026" spans="1:5">
      <c r="A8026" s="140"/>
      <c r="B8026" s="192"/>
      <c r="C8026" s="140"/>
      <c r="D8026" s="140"/>
      <c r="E8026" s="140"/>
    </row>
    <row r="8027" spans="1:5">
      <c r="A8027" s="140"/>
      <c r="B8027" s="192"/>
      <c r="C8027" s="140"/>
      <c r="D8027" s="140"/>
      <c r="E8027" s="140"/>
    </row>
    <row r="8028" spans="1:5">
      <c r="A8028" s="140"/>
      <c r="B8028" s="192"/>
      <c r="C8028" s="140"/>
      <c r="D8028" s="140"/>
      <c r="E8028" s="140"/>
    </row>
    <row r="8029" spans="1:5">
      <c r="A8029" s="140"/>
      <c r="B8029" s="192"/>
      <c r="C8029" s="140"/>
      <c r="D8029" s="140"/>
      <c r="E8029" s="140"/>
    </row>
    <row r="8030" spans="1:5">
      <c r="A8030" s="140"/>
      <c r="B8030" s="192"/>
      <c r="C8030" s="140"/>
      <c r="D8030" s="140"/>
      <c r="E8030" s="140"/>
    </row>
    <row r="8031" spans="1:5">
      <c r="A8031" s="140"/>
      <c r="B8031" s="192"/>
      <c r="C8031" s="140"/>
      <c r="D8031" s="140"/>
      <c r="E8031" s="140"/>
    </row>
    <row r="8032" spans="1:5">
      <c r="A8032" s="140"/>
      <c r="B8032" s="192"/>
      <c r="C8032" s="140"/>
      <c r="D8032" s="140"/>
      <c r="E8032" s="140"/>
    </row>
    <row r="8033" spans="1:5">
      <c r="A8033" s="140"/>
      <c r="B8033" s="192"/>
      <c r="C8033" s="140"/>
      <c r="D8033" s="140"/>
      <c r="E8033" s="140"/>
    </row>
    <row r="8034" spans="1:5">
      <c r="A8034" s="140"/>
      <c r="B8034" s="192"/>
      <c r="C8034" s="140"/>
      <c r="D8034" s="140"/>
      <c r="E8034" s="140"/>
    </row>
    <row r="8035" spans="1:5">
      <c r="A8035" s="140"/>
      <c r="B8035" s="192"/>
      <c r="C8035" s="140"/>
      <c r="D8035" s="140"/>
      <c r="E8035" s="140"/>
    </row>
    <row r="8036" spans="1:5">
      <c r="A8036" s="140"/>
      <c r="B8036" s="192"/>
      <c r="C8036" s="140"/>
      <c r="D8036" s="140"/>
      <c r="E8036" s="140"/>
    </row>
    <row r="8037" spans="1:5">
      <c r="A8037" s="140"/>
      <c r="B8037" s="192"/>
      <c r="C8037" s="140"/>
      <c r="D8037" s="140"/>
      <c r="E8037" s="140"/>
    </row>
    <row r="8038" spans="1:5">
      <c r="A8038" s="140"/>
      <c r="B8038" s="192"/>
      <c r="C8038" s="140"/>
      <c r="D8038" s="140"/>
      <c r="E8038" s="140"/>
    </row>
    <row r="8039" spans="1:5">
      <c r="A8039" s="140"/>
      <c r="B8039" s="192"/>
      <c r="C8039" s="140"/>
      <c r="D8039" s="140"/>
      <c r="E8039" s="140"/>
    </row>
    <row r="8040" spans="1:5">
      <c r="A8040" s="140"/>
      <c r="B8040" s="192"/>
      <c r="C8040" s="140"/>
      <c r="D8040" s="140"/>
      <c r="E8040" s="140"/>
    </row>
    <row r="8041" spans="1:5">
      <c r="A8041" s="140"/>
      <c r="B8041" s="192"/>
      <c r="C8041" s="140"/>
      <c r="D8041" s="140"/>
      <c r="E8041" s="140"/>
    </row>
    <row r="8042" spans="1:5">
      <c r="A8042" s="140"/>
      <c r="B8042" s="192"/>
      <c r="C8042" s="140"/>
      <c r="D8042" s="140"/>
      <c r="E8042" s="140"/>
    </row>
    <row r="8043" spans="1:5">
      <c r="A8043" s="140"/>
      <c r="B8043" s="192"/>
      <c r="C8043" s="140"/>
      <c r="D8043" s="140"/>
      <c r="E8043" s="140"/>
    </row>
    <row r="8044" spans="1:5">
      <c r="A8044" s="140"/>
      <c r="B8044" s="192"/>
      <c r="C8044" s="140"/>
      <c r="D8044" s="140"/>
      <c r="E8044" s="140"/>
    </row>
    <row r="8045" spans="1:5">
      <c r="A8045" s="140"/>
      <c r="B8045" s="192"/>
      <c r="C8045" s="140"/>
      <c r="D8045" s="140"/>
      <c r="E8045" s="140"/>
    </row>
    <row r="8046" spans="1:5">
      <c r="A8046" s="140"/>
      <c r="B8046" s="192"/>
      <c r="C8046" s="140"/>
      <c r="D8046" s="140"/>
      <c r="E8046" s="140"/>
    </row>
    <row r="8047" spans="1:5">
      <c r="A8047" s="140"/>
      <c r="B8047" s="192"/>
      <c r="C8047" s="140"/>
      <c r="D8047" s="140"/>
      <c r="E8047" s="140"/>
    </row>
    <row r="8048" spans="1:5">
      <c r="A8048" s="140"/>
      <c r="B8048" s="192"/>
      <c r="C8048" s="140"/>
      <c r="D8048" s="140"/>
      <c r="E8048" s="140"/>
    </row>
    <row r="8049" spans="1:5">
      <c r="A8049" s="140"/>
      <c r="B8049" s="192"/>
      <c r="C8049" s="140"/>
      <c r="D8049" s="140"/>
      <c r="E8049" s="140"/>
    </row>
    <row r="8050" spans="1:5">
      <c r="A8050" s="140"/>
      <c r="B8050" s="192"/>
      <c r="C8050" s="140"/>
      <c r="D8050" s="140"/>
      <c r="E8050" s="140"/>
    </row>
    <row r="8051" spans="1:5">
      <c r="A8051" s="140"/>
      <c r="B8051" s="192"/>
      <c r="C8051" s="140"/>
      <c r="D8051" s="140"/>
      <c r="E8051" s="140"/>
    </row>
    <row r="8052" spans="1:5">
      <c r="A8052" s="140"/>
      <c r="B8052" s="192"/>
      <c r="C8052" s="140"/>
      <c r="D8052" s="140"/>
      <c r="E8052" s="140"/>
    </row>
    <row r="8053" spans="1:5">
      <c r="A8053" s="140"/>
      <c r="B8053" s="192"/>
      <c r="C8053" s="140"/>
      <c r="D8053" s="140"/>
      <c r="E8053" s="140"/>
    </row>
    <row r="8054" spans="1:5">
      <c r="A8054" s="140"/>
      <c r="B8054" s="192"/>
      <c r="C8054" s="140"/>
      <c r="D8054" s="140"/>
      <c r="E8054" s="140"/>
    </row>
    <row r="8055" spans="1:5">
      <c r="A8055" s="140"/>
      <c r="B8055" s="192"/>
      <c r="C8055" s="140"/>
      <c r="D8055" s="140"/>
      <c r="E8055" s="140"/>
    </row>
    <row r="8056" spans="1:5">
      <c r="A8056" s="140"/>
      <c r="B8056" s="192"/>
      <c r="C8056" s="140"/>
      <c r="D8056" s="140"/>
      <c r="E8056" s="140"/>
    </row>
    <row r="8057" spans="1:5">
      <c r="A8057" s="140"/>
      <c r="B8057" s="192"/>
      <c r="C8057" s="140"/>
      <c r="D8057" s="140"/>
      <c r="E8057" s="140"/>
    </row>
    <row r="8058" spans="1:5">
      <c r="A8058" s="140"/>
      <c r="B8058" s="192"/>
      <c r="C8058" s="140"/>
      <c r="D8058" s="140"/>
      <c r="E8058" s="140"/>
    </row>
    <row r="8059" spans="1:5">
      <c r="A8059" s="140"/>
      <c r="B8059" s="192"/>
      <c r="C8059" s="140"/>
      <c r="D8059" s="140"/>
      <c r="E8059" s="140"/>
    </row>
    <row r="8060" spans="1:5">
      <c r="A8060" s="140"/>
      <c r="B8060" s="192"/>
      <c r="C8060" s="140"/>
      <c r="D8060" s="140"/>
      <c r="E8060" s="140"/>
    </row>
    <row r="8061" spans="1:5">
      <c r="A8061" s="140"/>
      <c r="B8061" s="192"/>
      <c r="C8061" s="140"/>
      <c r="D8061" s="140"/>
      <c r="E8061" s="140"/>
    </row>
    <row r="8062" spans="1:5">
      <c r="A8062" s="140"/>
      <c r="B8062" s="192"/>
      <c r="C8062" s="140"/>
      <c r="D8062" s="140"/>
      <c r="E8062" s="140"/>
    </row>
    <row r="8063" spans="1:5">
      <c r="A8063" s="140"/>
      <c r="B8063" s="192"/>
      <c r="C8063" s="140"/>
      <c r="D8063" s="140"/>
      <c r="E8063" s="140"/>
    </row>
    <row r="8064" spans="1:5">
      <c r="A8064" s="140"/>
      <c r="B8064" s="192"/>
      <c r="C8064" s="140"/>
      <c r="D8064" s="140"/>
      <c r="E8064" s="140"/>
    </row>
    <row r="8065" spans="1:5">
      <c r="A8065" s="140"/>
      <c r="B8065" s="192"/>
      <c r="C8065" s="140"/>
      <c r="D8065" s="140"/>
      <c r="E8065" s="140"/>
    </row>
    <row r="8066" spans="1:5">
      <c r="A8066" s="140"/>
      <c r="B8066" s="192"/>
      <c r="C8066" s="140"/>
      <c r="D8066" s="140"/>
      <c r="E8066" s="140"/>
    </row>
    <row r="8067" spans="1:5">
      <c r="A8067" s="140"/>
      <c r="B8067" s="192"/>
      <c r="C8067" s="140"/>
      <c r="D8067" s="140"/>
      <c r="E8067" s="140"/>
    </row>
    <row r="8068" spans="1:5">
      <c r="A8068" s="140"/>
      <c r="B8068" s="192"/>
      <c r="C8068" s="140"/>
      <c r="D8068" s="140"/>
      <c r="E8068" s="140"/>
    </row>
    <row r="8069" spans="1:5">
      <c r="A8069" s="140"/>
      <c r="B8069" s="192"/>
      <c r="C8069" s="140"/>
      <c r="D8069" s="140"/>
      <c r="E8069" s="140"/>
    </row>
    <row r="8070" spans="1:5">
      <c r="A8070" s="140"/>
      <c r="B8070" s="192"/>
      <c r="C8070" s="140"/>
      <c r="D8070" s="140"/>
      <c r="E8070" s="140"/>
    </row>
    <row r="8071" spans="1:5">
      <c r="A8071" s="140"/>
      <c r="B8071" s="192"/>
      <c r="C8071" s="140"/>
      <c r="D8071" s="140"/>
      <c r="E8071" s="140"/>
    </row>
    <row r="8072" spans="1:5">
      <c r="A8072" s="140"/>
      <c r="B8072" s="192"/>
      <c r="C8072" s="140"/>
      <c r="D8072" s="140"/>
      <c r="E8072" s="140"/>
    </row>
    <row r="8073" spans="1:5">
      <c r="A8073" s="140"/>
      <c r="B8073" s="192"/>
      <c r="C8073" s="140"/>
      <c r="D8073" s="140"/>
      <c r="E8073" s="140"/>
    </row>
    <row r="8074" spans="1:5">
      <c r="A8074" s="140"/>
      <c r="B8074" s="192"/>
      <c r="C8074" s="140"/>
      <c r="D8074" s="140"/>
      <c r="E8074" s="140"/>
    </row>
    <row r="8075" spans="1:5">
      <c r="A8075" s="140"/>
      <c r="B8075" s="192"/>
      <c r="C8075" s="140"/>
      <c r="D8075" s="140"/>
      <c r="E8075" s="140"/>
    </row>
    <row r="8076" spans="1:5">
      <c r="A8076" s="140"/>
      <c r="B8076" s="192"/>
      <c r="C8076" s="140"/>
      <c r="D8076" s="140"/>
      <c r="E8076" s="140"/>
    </row>
    <row r="8077" spans="1:5">
      <c r="A8077" s="140"/>
      <c r="B8077" s="192"/>
      <c r="C8077" s="140"/>
      <c r="D8077" s="140"/>
      <c r="E8077" s="140"/>
    </row>
    <row r="8078" spans="1:5">
      <c r="A8078" s="140"/>
      <c r="B8078" s="192"/>
      <c r="C8078" s="140"/>
      <c r="D8078" s="140"/>
      <c r="E8078" s="140"/>
    </row>
    <row r="8079" spans="1:5">
      <c r="A8079" s="140"/>
      <c r="B8079" s="192"/>
      <c r="C8079" s="140"/>
      <c r="D8079" s="140"/>
      <c r="E8079" s="140"/>
    </row>
    <row r="8080" spans="1:5">
      <c r="A8080" s="140"/>
      <c r="B8080" s="192"/>
      <c r="C8080" s="140"/>
      <c r="D8080" s="140"/>
      <c r="E8080" s="140"/>
    </row>
    <row r="8081" spans="1:5">
      <c r="A8081" s="140"/>
      <c r="B8081" s="192"/>
      <c r="C8081" s="140"/>
      <c r="D8081" s="140"/>
      <c r="E8081" s="140"/>
    </row>
    <row r="8082" spans="1:5">
      <c r="A8082" s="140"/>
      <c r="B8082" s="192"/>
      <c r="C8082" s="140"/>
      <c r="D8082" s="140"/>
      <c r="E8082" s="140"/>
    </row>
    <row r="8083" spans="1:5">
      <c r="A8083" s="140"/>
      <c r="B8083" s="192"/>
      <c r="C8083" s="140"/>
      <c r="D8083" s="140"/>
      <c r="E8083" s="140"/>
    </row>
    <row r="8084" spans="1:5">
      <c r="A8084" s="140"/>
      <c r="B8084" s="192"/>
      <c r="C8084" s="140"/>
      <c r="D8084" s="140"/>
      <c r="E8084" s="140"/>
    </row>
    <row r="8085" spans="1:5">
      <c r="A8085" s="140"/>
      <c r="B8085" s="192"/>
      <c r="C8085" s="140"/>
      <c r="D8085" s="140"/>
      <c r="E8085" s="140"/>
    </row>
    <row r="8086" spans="1:5">
      <c r="A8086" s="140"/>
      <c r="B8086" s="192"/>
      <c r="C8086" s="140"/>
      <c r="D8086" s="140"/>
      <c r="E8086" s="140"/>
    </row>
    <row r="8087" spans="1:5">
      <c r="A8087" s="140"/>
      <c r="B8087" s="192"/>
      <c r="C8087" s="140"/>
      <c r="D8087" s="140"/>
      <c r="E8087" s="140"/>
    </row>
    <row r="8088" spans="1:5">
      <c r="A8088" s="140"/>
      <c r="B8088" s="192"/>
      <c r="C8088" s="140"/>
      <c r="D8088" s="140"/>
      <c r="E8088" s="140"/>
    </row>
    <row r="8089" spans="1:5">
      <c r="A8089" s="140"/>
      <c r="B8089" s="192"/>
      <c r="C8089" s="140"/>
      <c r="D8089" s="140"/>
      <c r="E8089" s="140"/>
    </row>
    <row r="8090" spans="1:5">
      <c r="A8090" s="140"/>
      <c r="B8090" s="192"/>
      <c r="C8090" s="140"/>
      <c r="D8090" s="140"/>
      <c r="E8090" s="140"/>
    </row>
    <row r="8091" spans="1:5">
      <c r="A8091" s="140"/>
      <c r="B8091" s="192"/>
      <c r="C8091" s="140"/>
      <c r="D8091" s="140"/>
      <c r="E8091" s="140"/>
    </row>
    <row r="8092" spans="1:5">
      <c r="A8092" s="140"/>
      <c r="B8092" s="192"/>
      <c r="C8092" s="140"/>
      <c r="D8092" s="140"/>
      <c r="E8092" s="140"/>
    </row>
    <row r="8093" spans="1:5">
      <c r="A8093" s="140"/>
      <c r="B8093" s="192"/>
      <c r="C8093" s="140"/>
      <c r="D8093" s="140"/>
      <c r="E8093" s="140"/>
    </row>
    <row r="8094" spans="1:5">
      <c r="A8094" s="140"/>
      <c r="B8094" s="192"/>
      <c r="C8094" s="140"/>
      <c r="D8094" s="140"/>
      <c r="E8094" s="140"/>
    </row>
    <row r="8095" spans="1:5">
      <c r="A8095" s="140"/>
      <c r="B8095" s="192"/>
      <c r="C8095" s="140"/>
      <c r="D8095" s="140"/>
      <c r="E8095" s="140"/>
    </row>
    <row r="8096" spans="1:5">
      <c r="A8096" s="140"/>
      <c r="B8096" s="192"/>
      <c r="C8096" s="140"/>
      <c r="D8096" s="140"/>
      <c r="E8096" s="140"/>
    </row>
    <row r="8097" spans="1:5">
      <c r="A8097" s="140"/>
      <c r="B8097" s="192"/>
      <c r="C8097" s="140"/>
      <c r="D8097" s="140"/>
      <c r="E8097" s="140"/>
    </row>
    <row r="8098" spans="1:5">
      <c r="A8098" s="140"/>
      <c r="B8098" s="192"/>
      <c r="C8098" s="140"/>
      <c r="D8098" s="140"/>
      <c r="E8098" s="140"/>
    </row>
    <row r="8099" spans="1:5">
      <c r="A8099" s="140"/>
      <c r="B8099" s="192"/>
      <c r="C8099" s="140"/>
      <c r="D8099" s="140"/>
      <c r="E8099" s="140"/>
    </row>
    <row r="8100" spans="1:5">
      <c r="A8100" s="140"/>
      <c r="B8100" s="192"/>
      <c r="C8100" s="140"/>
      <c r="D8100" s="140"/>
      <c r="E8100" s="140"/>
    </row>
    <row r="8101" spans="1:5">
      <c r="A8101" s="140"/>
      <c r="B8101" s="192"/>
      <c r="C8101" s="140"/>
      <c r="D8101" s="140"/>
      <c r="E8101" s="140"/>
    </row>
    <row r="8102" spans="1:5">
      <c r="A8102" s="140"/>
      <c r="B8102" s="192"/>
      <c r="C8102" s="140"/>
      <c r="D8102" s="140"/>
      <c r="E8102" s="140"/>
    </row>
    <row r="8103" spans="1:5">
      <c r="A8103" s="140"/>
      <c r="B8103" s="192"/>
      <c r="C8103" s="140"/>
      <c r="D8103" s="140"/>
      <c r="E8103" s="140"/>
    </row>
    <row r="8104" spans="1:5">
      <c r="A8104" s="140"/>
      <c r="B8104" s="192"/>
      <c r="C8104" s="140"/>
      <c r="D8104" s="140"/>
      <c r="E8104" s="140"/>
    </row>
    <row r="8105" spans="1:5">
      <c r="A8105" s="140"/>
      <c r="B8105" s="192"/>
      <c r="C8105" s="140"/>
      <c r="D8105" s="140"/>
      <c r="E8105" s="140"/>
    </row>
    <row r="8106" spans="1:5">
      <c r="A8106" s="140"/>
      <c r="B8106" s="192"/>
      <c r="C8106" s="140"/>
      <c r="D8106" s="140"/>
      <c r="E8106" s="140"/>
    </row>
    <row r="8107" spans="1:5">
      <c r="A8107" s="140"/>
      <c r="B8107" s="192"/>
      <c r="C8107" s="140"/>
      <c r="D8107" s="140"/>
      <c r="E8107" s="140"/>
    </row>
    <row r="8108" spans="1:5">
      <c r="A8108" s="140"/>
      <c r="B8108" s="192"/>
      <c r="C8108" s="140"/>
      <c r="D8108" s="140"/>
      <c r="E8108" s="140"/>
    </row>
    <row r="8109" spans="1:5">
      <c r="A8109" s="140"/>
      <c r="B8109" s="192"/>
      <c r="C8109" s="140"/>
      <c r="D8109" s="140"/>
      <c r="E8109" s="140"/>
    </row>
    <row r="8110" spans="1:5">
      <c r="A8110" s="140"/>
      <c r="B8110" s="192"/>
      <c r="C8110" s="140"/>
      <c r="D8110" s="140"/>
      <c r="E8110" s="140"/>
    </row>
    <row r="8111" spans="1:5">
      <c r="A8111" s="140"/>
      <c r="B8111" s="192"/>
      <c r="C8111" s="140"/>
      <c r="D8111" s="140"/>
      <c r="E8111" s="140"/>
    </row>
    <row r="8112" spans="1:5">
      <c r="A8112" s="140"/>
      <c r="B8112" s="192"/>
      <c r="C8112" s="140"/>
      <c r="D8112" s="140"/>
      <c r="E8112" s="140"/>
    </row>
    <row r="8113" spans="1:5">
      <c r="A8113" s="140"/>
      <c r="B8113" s="192"/>
      <c r="C8113" s="140"/>
      <c r="D8113" s="140"/>
      <c r="E8113" s="140"/>
    </row>
    <row r="8114" spans="1:5">
      <c r="A8114" s="140"/>
      <c r="B8114" s="192"/>
      <c r="C8114" s="140"/>
      <c r="D8114" s="140"/>
      <c r="E8114" s="140"/>
    </row>
    <row r="8115" spans="1:5">
      <c r="A8115" s="140"/>
      <c r="B8115" s="192"/>
      <c r="C8115" s="140"/>
      <c r="D8115" s="140"/>
      <c r="E8115" s="140"/>
    </row>
    <row r="8116" spans="1:5">
      <c r="A8116" s="140"/>
      <c r="B8116" s="192"/>
      <c r="C8116" s="140"/>
      <c r="D8116" s="140"/>
      <c r="E8116" s="140"/>
    </row>
    <row r="8117" spans="1:5">
      <c r="A8117" s="140"/>
      <c r="B8117" s="192"/>
      <c r="C8117" s="140"/>
      <c r="D8117" s="140"/>
      <c r="E8117" s="140"/>
    </row>
    <row r="8118" spans="1:5">
      <c r="A8118" s="140"/>
      <c r="B8118" s="192"/>
      <c r="C8118" s="140"/>
      <c r="D8118" s="140"/>
      <c r="E8118" s="140"/>
    </row>
    <row r="8119" spans="1:5">
      <c r="A8119" s="140"/>
      <c r="B8119" s="192"/>
      <c r="C8119" s="140"/>
      <c r="D8119" s="140"/>
      <c r="E8119" s="140"/>
    </row>
    <row r="8120" spans="1:5">
      <c r="A8120" s="140"/>
      <c r="B8120" s="192"/>
      <c r="C8120" s="140"/>
      <c r="D8120" s="140"/>
      <c r="E8120" s="140"/>
    </row>
    <row r="8121" spans="1:5">
      <c r="A8121" s="140"/>
      <c r="B8121" s="192"/>
      <c r="C8121" s="140"/>
      <c r="D8121" s="140"/>
      <c r="E8121" s="140"/>
    </row>
    <row r="8122" spans="1:5">
      <c r="A8122" s="140"/>
      <c r="B8122" s="192"/>
      <c r="C8122" s="140"/>
      <c r="D8122" s="140"/>
      <c r="E8122" s="140"/>
    </row>
    <row r="8123" spans="1:5">
      <c r="A8123" s="140"/>
      <c r="B8123" s="192"/>
      <c r="C8123" s="140"/>
      <c r="D8123" s="140"/>
      <c r="E8123" s="140"/>
    </row>
    <row r="8124" spans="1:5">
      <c r="A8124" s="140"/>
      <c r="B8124" s="192"/>
      <c r="C8124" s="140"/>
      <c r="D8124" s="140"/>
      <c r="E8124" s="140"/>
    </row>
    <row r="8125" spans="1:5">
      <c r="A8125" s="140"/>
      <c r="B8125" s="192"/>
      <c r="C8125" s="140"/>
      <c r="D8125" s="140"/>
      <c r="E8125" s="140"/>
    </row>
    <row r="8126" spans="1:5">
      <c r="A8126" s="140"/>
      <c r="B8126" s="192"/>
      <c r="C8126" s="140"/>
      <c r="D8126" s="140"/>
      <c r="E8126" s="140"/>
    </row>
    <row r="8127" spans="1:5">
      <c r="A8127" s="140"/>
      <c r="B8127" s="192"/>
      <c r="C8127" s="140"/>
      <c r="D8127" s="140"/>
      <c r="E8127" s="140"/>
    </row>
    <row r="8128" spans="1:5">
      <c r="A8128" s="140"/>
      <c r="B8128" s="192"/>
      <c r="C8128" s="140"/>
      <c r="D8128" s="140"/>
      <c r="E8128" s="140"/>
    </row>
    <row r="8129" spans="1:5">
      <c r="A8129" s="140"/>
      <c r="B8129" s="192"/>
      <c r="C8129" s="140"/>
      <c r="D8129" s="140"/>
      <c r="E8129" s="140"/>
    </row>
    <row r="8130" spans="1:5">
      <c r="A8130" s="140"/>
      <c r="B8130" s="192"/>
      <c r="C8130" s="140"/>
      <c r="D8130" s="140"/>
      <c r="E8130" s="140"/>
    </row>
    <row r="8131" spans="1:5">
      <c r="A8131" s="140"/>
      <c r="B8131" s="192"/>
      <c r="C8131" s="140"/>
      <c r="D8131" s="140"/>
      <c r="E8131" s="140"/>
    </row>
    <row r="8132" spans="1:5">
      <c r="A8132" s="140"/>
      <c r="B8132" s="192"/>
      <c r="C8132" s="140"/>
      <c r="D8132" s="140"/>
      <c r="E8132" s="140"/>
    </row>
    <row r="8133" spans="1:5">
      <c r="A8133" s="140"/>
      <c r="B8133" s="192"/>
      <c r="C8133" s="140"/>
      <c r="D8133" s="140"/>
      <c r="E8133" s="140"/>
    </row>
    <row r="8134" spans="1:5">
      <c r="A8134" s="140"/>
      <c r="B8134" s="192"/>
      <c r="C8134" s="140"/>
      <c r="D8134" s="140"/>
      <c r="E8134" s="140"/>
    </row>
    <row r="8135" spans="1:5">
      <c r="A8135" s="140"/>
      <c r="B8135" s="192"/>
      <c r="C8135" s="140"/>
      <c r="D8135" s="140"/>
      <c r="E8135" s="140"/>
    </row>
    <row r="8136" spans="1:5">
      <c r="A8136" s="140"/>
      <c r="B8136" s="192"/>
      <c r="C8136" s="140"/>
      <c r="D8136" s="140"/>
      <c r="E8136" s="140"/>
    </row>
    <row r="8137" spans="1:5">
      <c r="A8137" s="140"/>
      <c r="B8137" s="192"/>
      <c r="C8137" s="140"/>
      <c r="D8137" s="140"/>
      <c r="E8137" s="140"/>
    </row>
    <row r="8138" spans="1:5">
      <c r="A8138" s="140"/>
      <c r="B8138" s="192"/>
      <c r="C8138" s="140"/>
      <c r="D8138" s="140"/>
      <c r="E8138" s="140"/>
    </row>
    <row r="8139" spans="1:5">
      <c r="A8139" s="140"/>
      <c r="B8139" s="192"/>
      <c r="C8139" s="140"/>
      <c r="D8139" s="140"/>
      <c r="E8139" s="140"/>
    </row>
    <row r="8140" spans="1:5">
      <c r="A8140" s="140"/>
      <c r="B8140" s="192"/>
      <c r="C8140" s="140"/>
      <c r="D8140" s="140"/>
      <c r="E8140" s="140"/>
    </row>
    <row r="8141" spans="1:5">
      <c r="A8141" s="140"/>
      <c r="B8141" s="192"/>
      <c r="C8141" s="140"/>
      <c r="D8141" s="140"/>
      <c r="E8141" s="140"/>
    </row>
    <row r="8142" spans="1:5">
      <c r="A8142" s="140"/>
      <c r="B8142" s="192"/>
      <c r="C8142" s="140"/>
      <c r="D8142" s="140"/>
      <c r="E8142" s="140"/>
    </row>
    <row r="8143" spans="1:5">
      <c r="A8143" s="140"/>
      <c r="B8143" s="192"/>
      <c r="C8143" s="140"/>
      <c r="D8143" s="140"/>
      <c r="E8143" s="140"/>
    </row>
    <row r="8144" spans="1:5">
      <c r="A8144" s="140"/>
      <c r="B8144" s="192"/>
      <c r="C8144" s="140"/>
      <c r="D8144" s="140"/>
      <c r="E8144" s="140"/>
    </row>
    <row r="8145" spans="1:5">
      <c r="A8145" s="140"/>
      <c r="B8145" s="192"/>
      <c r="C8145" s="140"/>
      <c r="D8145" s="140"/>
      <c r="E8145" s="140"/>
    </row>
    <row r="8146" spans="1:5">
      <c r="A8146" s="140"/>
      <c r="B8146" s="192"/>
      <c r="C8146" s="140"/>
      <c r="D8146" s="140"/>
      <c r="E8146" s="140"/>
    </row>
    <row r="8147" spans="1:5">
      <c r="A8147" s="140"/>
      <c r="B8147" s="192"/>
      <c r="C8147" s="140"/>
      <c r="D8147" s="140"/>
      <c r="E8147" s="140"/>
    </row>
    <row r="8148" spans="1:5">
      <c r="A8148" s="140"/>
      <c r="B8148" s="192"/>
      <c r="C8148" s="140"/>
      <c r="D8148" s="140"/>
      <c r="E8148" s="140"/>
    </row>
    <row r="8149" spans="1:5">
      <c r="A8149" s="140"/>
      <c r="B8149" s="192"/>
      <c r="C8149" s="140"/>
      <c r="D8149" s="140"/>
      <c r="E8149" s="140"/>
    </row>
    <row r="8150" spans="1:5">
      <c r="A8150" s="140"/>
      <c r="B8150" s="192"/>
      <c r="C8150" s="140"/>
      <c r="D8150" s="140"/>
      <c r="E8150" s="140"/>
    </row>
    <row r="8151" spans="1:5">
      <c r="A8151" s="140"/>
      <c r="B8151" s="192"/>
      <c r="C8151" s="140"/>
      <c r="D8151" s="140"/>
      <c r="E8151" s="140"/>
    </row>
    <row r="8152" spans="1:5">
      <c r="A8152" s="140"/>
      <c r="B8152" s="192"/>
      <c r="C8152" s="140"/>
      <c r="D8152" s="140"/>
      <c r="E8152" s="140"/>
    </row>
    <row r="8153" spans="1:5">
      <c r="A8153" s="140"/>
      <c r="B8153" s="192"/>
      <c r="C8153" s="140"/>
      <c r="D8153" s="140"/>
      <c r="E8153" s="140"/>
    </row>
    <row r="8154" spans="1:5">
      <c r="A8154" s="140"/>
      <c r="B8154" s="192"/>
      <c r="C8154" s="140"/>
      <c r="D8154" s="140"/>
      <c r="E8154" s="140"/>
    </row>
    <row r="8155" spans="1:5">
      <c r="A8155" s="140"/>
      <c r="B8155" s="192"/>
      <c r="C8155" s="140"/>
      <c r="D8155" s="140"/>
      <c r="E8155" s="140"/>
    </row>
    <row r="8156" spans="1:5">
      <c r="A8156" s="140"/>
      <c r="B8156" s="192"/>
      <c r="C8156" s="140"/>
      <c r="D8156" s="140"/>
      <c r="E8156" s="140"/>
    </row>
    <row r="8157" spans="1:5">
      <c r="A8157" s="140"/>
      <c r="B8157" s="192"/>
      <c r="C8157" s="140"/>
      <c r="D8157" s="140"/>
      <c r="E8157" s="140"/>
    </row>
    <row r="8158" spans="1:5">
      <c r="A8158" s="140"/>
      <c r="B8158" s="192"/>
      <c r="C8158" s="140"/>
      <c r="D8158" s="140"/>
      <c r="E8158" s="140"/>
    </row>
    <row r="8159" spans="1:5">
      <c r="A8159" s="140"/>
      <c r="B8159" s="192"/>
      <c r="C8159" s="140"/>
      <c r="D8159" s="140"/>
      <c r="E8159" s="140"/>
    </row>
    <row r="8160" spans="1:5">
      <c r="A8160" s="140"/>
      <c r="B8160" s="192"/>
      <c r="C8160" s="140"/>
      <c r="D8160" s="140"/>
      <c r="E8160" s="140"/>
    </row>
    <row r="8161" spans="1:5">
      <c r="A8161" s="140"/>
      <c r="B8161" s="192"/>
      <c r="C8161" s="140"/>
      <c r="D8161" s="140"/>
      <c r="E8161" s="140"/>
    </row>
    <row r="8162" spans="1:5">
      <c r="A8162" s="140"/>
      <c r="B8162" s="192"/>
      <c r="C8162" s="140"/>
      <c r="D8162" s="140"/>
      <c r="E8162" s="140"/>
    </row>
    <row r="8163" spans="1:5">
      <c r="A8163" s="140"/>
      <c r="B8163" s="192"/>
      <c r="C8163" s="140"/>
      <c r="D8163" s="140"/>
      <c r="E8163" s="140"/>
    </row>
    <row r="8164" spans="1:5">
      <c r="A8164" s="140"/>
      <c r="B8164" s="192"/>
      <c r="C8164" s="140"/>
      <c r="D8164" s="140"/>
      <c r="E8164" s="140"/>
    </row>
    <row r="8165" spans="1:5">
      <c r="A8165" s="140"/>
      <c r="B8165" s="192"/>
      <c r="C8165" s="140"/>
      <c r="D8165" s="140"/>
      <c r="E8165" s="140"/>
    </row>
    <row r="8166" spans="1:5">
      <c r="A8166" s="140"/>
      <c r="B8166" s="192"/>
      <c r="C8166" s="140"/>
      <c r="D8166" s="140"/>
      <c r="E8166" s="140"/>
    </row>
    <row r="8167" spans="1:5">
      <c r="A8167" s="140"/>
      <c r="B8167" s="192"/>
      <c r="C8167" s="140"/>
      <c r="D8167" s="140"/>
      <c r="E8167" s="140"/>
    </row>
    <row r="8168" spans="1:5">
      <c r="A8168" s="140"/>
      <c r="B8168" s="192"/>
      <c r="C8168" s="140"/>
      <c r="D8168" s="140"/>
      <c r="E8168" s="140"/>
    </row>
    <row r="8169" spans="1:5">
      <c r="A8169" s="140"/>
      <c r="B8169" s="192"/>
      <c r="C8169" s="140"/>
      <c r="D8169" s="140"/>
      <c r="E8169" s="140"/>
    </row>
    <row r="8170" spans="1:5">
      <c r="A8170" s="140"/>
      <c r="B8170" s="192"/>
      <c r="C8170" s="140"/>
      <c r="D8170" s="140"/>
      <c r="E8170" s="140"/>
    </row>
    <row r="8171" spans="1:5">
      <c r="A8171" s="140"/>
      <c r="B8171" s="192"/>
      <c r="C8171" s="140"/>
      <c r="D8171" s="140"/>
      <c r="E8171" s="140"/>
    </row>
    <row r="8172" spans="1:5">
      <c r="A8172" s="140"/>
      <c r="B8172" s="192"/>
      <c r="C8172" s="140"/>
      <c r="D8172" s="140"/>
      <c r="E8172" s="140"/>
    </row>
    <row r="8173" spans="1:5">
      <c r="A8173" s="140"/>
      <c r="B8173" s="192"/>
      <c r="C8173" s="140"/>
      <c r="D8173" s="140"/>
      <c r="E8173" s="140"/>
    </row>
    <row r="8174" spans="1:5">
      <c r="A8174" s="140"/>
      <c r="B8174" s="192"/>
      <c r="C8174" s="140"/>
      <c r="D8174" s="140"/>
      <c r="E8174" s="140"/>
    </row>
    <row r="8175" spans="1:5">
      <c r="A8175" s="140"/>
      <c r="B8175" s="192"/>
      <c r="C8175" s="140"/>
      <c r="D8175" s="140"/>
      <c r="E8175" s="140"/>
    </row>
    <row r="8176" spans="1:5">
      <c r="A8176" s="140"/>
      <c r="B8176" s="192"/>
      <c r="C8176" s="140"/>
      <c r="D8176" s="140"/>
      <c r="E8176" s="140"/>
    </row>
    <row r="8177" spans="1:5">
      <c r="A8177" s="140"/>
      <c r="B8177" s="192"/>
      <c r="C8177" s="140"/>
      <c r="D8177" s="140"/>
      <c r="E8177" s="140"/>
    </row>
    <row r="8178" spans="1:5">
      <c r="A8178" s="140"/>
      <c r="B8178" s="192"/>
      <c r="C8178" s="140"/>
      <c r="D8178" s="140"/>
      <c r="E8178" s="140"/>
    </row>
    <row r="8179" spans="1:5">
      <c r="A8179" s="140"/>
      <c r="B8179" s="192"/>
      <c r="C8179" s="140"/>
      <c r="D8179" s="140"/>
      <c r="E8179" s="140"/>
    </row>
    <row r="8180" spans="1:5">
      <c r="A8180" s="140"/>
      <c r="B8180" s="192"/>
      <c r="C8180" s="140"/>
      <c r="D8180" s="140"/>
      <c r="E8180" s="140"/>
    </row>
    <row r="8181" spans="1:5">
      <c r="A8181" s="140"/>
      <c r="B8181" s="192"/>
      <c r="C8181" s="140"/>
      <c r="D8181" s="140"/>
      <c r="E8181" s="140"/>
    </row>
    <row r="8182" spans="1:5">
      <c r="A8182" s="140"/>
      <c r="B8182" s="192"/>
      <c r="C8182" s="140"/>
      <c r="D8182" s="140"/>
      <c r="E8182" s="140"/>
    </row>
    <row r="8183" spans="1:5">
      <c r="A8183" s="140"/>
      <c r="B8183" s="192"/>
      <c r="C8183" s="140"/>
      <c r="D8183" s="140"/>
      <c r="E8183" s="140"/>
    </row>
    <row r="8184" spans="1:5">
      <c r="A8184" s="140"/>
      <c r="B8184" s="192"/>
      <c r="C8184" s="140"/>
      <c r="D8184" s="140"/>
      <c r="E8184" s="140"/>
    </row>
    <row r="8185" spans="1:5">
      <c r="A8185" s="140"/>
      <c r="B8185" s="192"/>
      <c r="C8185" s="140"/>
      <c r="D8185" s="140"/>
      <c r="E8185" s="140"/>
    </row>
    <row r="8186" spans="1:5">
      <c r="A8186" s="140"/>
      <c r="B8186" s="192"/>
      <c r="C8186" s="140"/>
      <c r="D8186" s="140"/>
      <c r="E8186" s="140"/>
    </row>
    <row r="8187" spans="1:5">
      <c r="A8187" s="140"/>
      <c r="B8187" s="192"/>
      <c r="C8187" s="140"/>
      <c r="D8187" s="140"/>
      <c r="E8187" s="140"/>
    </row>
    <row r="8188" spans="1:5">
      <c r="A8188" s="140"/>
      <c r="B8188" s="192"/>
      <c r="C8188" s="140"/>
      <c r="D8188" s="140"/>
      <c r="E8188" s="140"/>
    </row>
    <row r="8189" spans="1:5">
      <c r="A8189" s="140"/>
      <c r="B8189" s="192"/>
      <c r="C8189" s="140"/>
      <c r="D8189" s="140"/>
      <c r="E8189" s="140"/>
    </row>
    <row r="8190" spans="1:5">
      <c r="A8190" s="140"/>
      <c r="B8190" s="192"/>
      <c r="C8190" s="140"/>
      <c r="D8190" s="140"/>
      <c r="E8190" s="140"/>
    </row>
    <row r="8191" spans="1:5">
      <c r="A8191" s="140"/>
      <c r="B8191" s="192"/>
      <c r="C8191" s="140"/>
      <c r="D8191" s="140"/>
      <c r="E8191" s="140"/>
    </row>
    <row r="8192" spans="1:5">
      <c r="A8192" s="140"/>
      <c r="B8192" s="192"/>
      <c r="C8192" s="140"/>
      <c r="D8192" s="140"/>
      <c r="E8192" s="140"/>
    </row>
    <row r="8193" spans="1:5">
      <c r="A8193" s="140"/>
      <c r="B8193" s="192"/>
      <c r="C8193" s="140"/>
      <c r="D8193" s="140"/>
      <c r="E8193" s="140"/>
    </row>
    <row r="8194" spans="1:5">
      <c r="A8194" s="140"/>
      <c r="B8194" s="192"/>
      <c r="C8194" s="140"/>
      <c r="D8194" s="140"/>
      <c r="E8194" s="140"/>
    </row>
    <row r="8195" spans="1:5">
      <c r="A8195" s="140"/>
      <c r="B8195" s="192"/>
      <c r="C8195" s="140"/>
      <c r="D8195" s="140"/>
      <c r="E8195" s="140"/>
    </row>
    <row r="8196" spans="1:5">
      <c r="A8196" s="140"/>
      <c r="B8196" s="192"/>
      <c r="C8196" s="140"/>
      <c r="D8196" s="140"/>
      <c r="E8196" s="140"/>
    </row>
    <row r="8197" spans="1:5">
      <c r="A8197" s="140"/>
      <c r="B8197" s="192"/>
      <c r="C8197" s="140"/>
      <c r="D8197" s="140"/>
      <c r="E8197" s="140"/>
    </row>
    <row r="8198" spans="1:5">
      <c r="A8198" s="140"/>
      <c r="B8198" s="192"/>
      <c r="C8198" s="140"/>
      <c r="D8198" s="140"/>
      <c r="E8198" s="140"/>
    </row>
    <row r="8199" spans="1:5">
      <c r="A8199" s="140"/>
      <c r="B8199" s="192"/>
      <c r="C8199" s="140"/>
      <c r="D8199" s="140"/>
      <c r="E8199" s="140"/>
    </row>
    <row r="8200" spans="1:5">
      <c r="A8200" s="140"/>
      <c r="B8200" s="192"/>
      <c r="C8200" s="140"/>
      <c r="D8200" s="140"/>
      <c r="E8200" s="140"/>
    </row>
    <row r="8201" spans="1:5">
      <c r="A8201" s="140"/>
      <c r="B8201" s="192"/>
      <c r="C8201" s="140"/>
      <c r="D8201" s="140"/>
      <c r="E8201" s="140"/>
    </row>
    <row r="8202" spans="1:5">
      <c r="A8202" s="140"/>
      <c r="B8202" s="192"/>
      <c r="C8202" s="140"/>
      <c r="D8202" s="140"/>
      <c r="E8202" s="140"/>
    </row>
    <row r="8203" spans="1:5">
      <c r="A8203" s="140"/>
      <c r="B8203" s="192"/>
      <c r="C8203" s="140"/>
      <c r="D8203" s="140"/>
      <c r="E8203" s="140"/>
    </row>
    <row r="8204" spans="1:5">
      <c r="A8204" s="140"/>
      <c r="B8204" s="192"/>
      <c r="C8204" s="140"/>
      <c r="D8204" s="140"/>
      <c r="E8204" s="140"/>
    </row>
    <row r="8205" spans="1:5">
      <c r="A8205" s="140"/>
      <c r="B8205" s="192"/>
      <c r="C8205" s="140"/>
      <c r="D8205" s="140"/>
      <c r="E8205" s="140"/>
    </row>
    <row r="8206" spans="1:5">
      <c r="A8206" s="140"/>
      <c r="B8206" s="192"/>
      <c r="C8206" s="140"/>
      <c r="D8206" s="140"/>
      <c r="E8206" s="140"/>
    </row>
    <row r="8207" spans="1:5">
      <c r="A8207" s="140"/>
      <c r="B8207" s="192"/>
      <c r="C8207" s="140"/>
      <c r="D8207" s="140"/>
      <c r="E8207" s="140"/>
    </row>
    <row r="8208" spans="1:5">
      <c r="A8208" s="140"/>
      <c r="B8208" s="192"/>
      <c r="C8208" s="140"/>
      <c r="D8208" s="140"/>
      <c r="E8208" s="140"/>
    </row>
    <row r="8209" spans="1:5">
      <c r="A8209" s="140"/>
      <c r="B8209" s="192"/>
      <c r="C8209" s="140"/>
      <c r="D8209" s="140"/>
      <c r="E8209" s="140"/>
    </row>
    <row r="8210" spans="1:5">
      <c r="A8210" s="140"/>
      <c r="B8210" s="192"/>
      <c r="C8210" s="140"/>
      <c r="D8210" s="140"/>
      <c r="E8210" s="140"/>
    </row>
    <row r="8211" spans="1:5">
      <c r="A8211" s="140"/>
      <c r="B8211" s="192"/>
      <c r="C8211" s="140"/>
      <c r="D8211" s="140"/>
      <c r="E8211" s="140"/>
    </row>
    <row r="8212" spans="1:5">
      <c r="A8212" s="140"/>
      <c r="B8212" s="192"/>
      <c r="C8212" s="140"/>
      <c r="D8212" s="140"/>
      <c r="E8212" s="140"/>
    </row>
    <row r="8213" spans="1:5">
      <c r="A8213" s="140"/>
      <c r="B8213" s="192"/>
      <c r="C8213" s="140"/>
      <c r="D8213" s="140"/>
      <c r="E8213" s="140"/>
    </row>
    <row r="8214" spans="1:5">
      <c r="A8214" s="140"/>
      <c r="B8214" s="192"/>
      <c r="C8214" s="140"/>
      <c r="D8214" s="140"/>
      <c r="E8214" s="140"/>
    </row>
    <row r="8215" spans="1:5">
      <c r="A8215" s="140"/>
      <c r="B8215" s="192"/>
      <c r="C8215" s="140"/>
      <c r="D8215" s="140"/>
      <c r="E8215" s="140"/>
    </row>
    <row r="8216" spans="1:5">
      <c r="A8216" s="140"/>
      <c r="B8216" s="192"/>
      <c r="C8216" s="140"/>
      <c r="D8216" s="140"/>
      <c r="E8216" s="140"/>
    </row>
    <row r="8217" spans="1:5">
      <c r="A8217" s="140"/>
      <c r="B8217" s="192"/>
      <c r="C8217" s="140"/>
      <c r="D8217" s="140"/>
      <c r="E8217" s="140"/>
    </row>
    <row r="8218" spans="1:5">
      <c r="A8218" s="140"/>
      <c r="B8218" s="192"/>
      <c r="C8218" s="140"/>
      <c r="D8218" s="140"/>
      <c r="E8218" s="140"/>
    </row>
    <row r="8219" spans="1:5">
      <c r="A8219" s="140"/>
      <c r="B8219" s="192"/>
      <c r="C8219" s="140"/>
      <c r="D8219" s="140"/>
      <c r="E8219" s="140"/>
    </row>
    <row r="8220" spans="1:5">
      <c r="A8220" s="140"/>
      <c r="B8220" s="192"/>
      <c r="C8220" s="140"/>
      <c r="D8220" s="140"/>
      <c r="E8220" s="140"/>
    </row>
    <row r="8221" spans="1:5">
      <c r="A8221" s="140"/>
      <c r="B8221" s="192"/>
      <c r="C8221" s="140"/>
      <c r="D8221" s="140"/>
      <c r="E8221" s="140"/>
    </row>
    <row r="8222" spans="1:5">
      <c r="A8222" s="140"/>
      <c r="B8222" s="192"/>
      <c r="C8222" s="140"/>
      <c r="D8222" s="140"/>
      <c r="E8222" s="140"/>
    </row>
    <row r="8223" spans="1:5">
      <c r="A8223" s="140"/>
      <c r="B8223" s="192"/>
      <c r="C8223" s="140"/>
      <c r="D8223" s="140"/>
      <c r="E8223" s="140"/>
    </row>
    <row r="8224" spans="1:5">
      <c r="A8224" s="140"/>
      <c r="B8224" s="192"/>
      <c r="C8224" s="140"/>
      <c r="D8224" s="140"/>
      <c r="E8224" s="140"/>
    </row>
    <row r="8225" spans="1:5">
      <c r="A8225" s="140"/>
      <c r="B8225" s="192"/>
      <c r="C8225" s="140"/>
      <c r="D8225" s="140"/>
      <c r="E8225" s="140"/>
    </row>
    <row r="8226" spans="1:5">
      <c r="A8226" s="140"/>
      <c r="B8226" s="192"/>
      <c r="C8226" s="140"/>
      <c r="D8226" s="140"/>
      <c r="E8226" s="140"/>
    </row>
    <row r="8227" spans="1:5">
      <c r="A8227" s="140"/>
      <c r="B8227" s="192"/>
      <c r="C8227" s="140"/>
      <c r="D8227" s="140"/>
      <c r="E8227" s="140"/>
    </row>
    <row r="8228" spans="1:5">
      <c r="A8228" s="140"/>
      <c r="B8228" s="192"/>
      <c r="C8228" s="140"/>
      <c r="D8228" s="140"/>
      <c r="E8228" s="140"/>
    </row>
    <row r="8229" spans="1:5">
      <c r="A8229" s="140"/>
      <c r="B8229" s="192"/>
      <c r="C8229" s="140"/>
      <c r="D8229" s="140"/>
      <c r="E8229" s="140"/>
    </row>
    <row r="8230" spans="1:5">
      <c r="A8230" s="140"/>
      <c r="B8230" s="192"/>
      <c r="C8230" s="140"/>
      <c r="D8230" s="140"/>
      <c r="E8230" s="140"/>
    </row>
    <row r="8231" spans="1:5">
      <c r="A8231" s="140"/>
      <c r="B8231" s="192"/>
      <c r="C8231" s="140"/>
      <c r="D8231" s="140"/>
      <c r="E8231" s="140"/>
    </row>
    <row r="8232" spans="1:5">
      <c r="A8232" s="140"/>
      <c r="B8232" s="192"/>
      <c r="C8232" s="140"/>
      <c r="D8232" s="140"/>
      <c r="E8232" s="140"/>
    </row>
    <row r="8233" spans="1:5">
      <c r="A8233" s="140"/>
      <c r="B8233" s="192"/>
      <c r="C8233" s="140"/>
      <c r="D8233" s="140"/>
      <c r="E8233" s="140"/>
    </row>
    <row r="8234" spans="1:5">
      <c r="A8234" s="140"/>
      <c r="B8234" s="192"/>
      <c r="C8234" s="140"/>
      <c r="D8234" s="140"/>
      <c r="E8234" s="140"/>
    </row>
    <row r="8235" spans="1:5">
      <c r="A8235" s="140"/>
      <c r="B8235" s="192"/>
      <c r="C8235" s="140"/>
      <c r="D8235" s="140"/>
      <c r="E8235" s="140"/>
    </row>
    <row r="8236" spans="1:5">
      <c r="A8236" s="140"/>
      <c r="B8236" s="192"/>
      <c r="C8236" s="140"/>
      <c r="D8236" s="140"/>
      <c r="E8236" s="140"/>
    </row>
    <row r="8237" spans="1:5">
      <c r="A8237" s="140"/>
      <c r="B8237" s="192"/>
      <c r="C8237" s="140"/>
      <c r="D8237" s="140"/>
      <c r="E8237" s="140"/>
    </row>
    <row r="8238" spans="1:5">
      <c r="A8238" s="140"/>
      <c r="B8238" s="192"/>
      <c r="C8238" s="140"/>
      <c r="D8238" s="140"/>
      <c r="E8238" s="140"/>
    </row>
    <row r="8239" spans="1:5">
      <c r="A8239" s="140"/>
      <c r="B8239" s="192"/>
      <c r="C8239" s="140"/>
      <c r="D8239" s="140"/>
      <c r="E8239" s="140"/>
    </row>
    <row r="8240" spans="1:5">
      <c r="A8240" s="140"/>
      <c r="B8240" s="192"/>
      <c r="C8240" s="140"/>
      <c r="D8240" s="140"/>
      <c r="E8240" s="140"/>
    </row>
    <row r="8241" spans="1:5">
      <c r="A8241" s="140"/>
      <c r="B8241" s="192"/>
      <c r="C8241" s="140"/>
      <c r="D8241" s="140"/>
      <c r="E8241" s="140"/>
    </row>
    <row r="8242" spans="1:5">
      <c r="A8242" s="140"/>
      <c r="B8242" s="192"/>
      <c r="C8242" s="140"/>
      <c r="D8242" s="140"/>
      <c r="E8242" s="140"/>
    </row>
    <row r="8243" spans="1:5">
      <c r="A8243" s="140"/>
      <c r="B8243" s="192"/>
      <c r="C8243" s="140"/>
      <c r="D8243" s="140"/>
      <c r="E8243" s="140"/>
    </row>
    <row r="8244" spans="1:5">
      <c r="A8244" s="140"/>
      <c r="B8244" s="192"/>
      <c r="C8244" s="140"/>
      <c r="D8244" s="140"/>
      <c r="E8244" s="140"/>
    </row>
    <row r="8245" spans="1:5">
      <c r="A8245" s="140"/>
      <c r="B8245" s="192"/>
      <c r="C8245" s="140"/>
      <c r="D8245" s="140"/>
      <c r="E8245" s="140"/>
    </row>
    <row r="8246" spans="1:5">
      <c r="A8246" s="140"/>
      <c r="B8246" s="192"/>
      <c r="C8246" s="140"/>
      <c r="D8246" s="140"/>
      <c r="E8246" s="140"/>
    </row>
    <row r="8247" spans="1:5">
      <c r="A8247" s="140"/>
      <c r="B8247" s="192"/>
      <c r="C8247" s="140"/>
      <c r="D8247" s="140"/>
      <c r="E8247" s="140"/>
    </row>
    <row r="8248" spans="1:5">
      <c r="A8248" s="140"/>
      <c r="B8248" s="192"/>
      <c r="C8248" s="140"/>
      <c r="D8248" s="140"/>
      <c r="E8248" s="140"/>
    </row>
    <row r="8249" spans="1:5">
      <c r="A8249" s="140"/>
      <c r="B8249" s="192"/>
      <c r="C8249" s="140"/>
      <c r="D8249" s="140"/>
      <c r="E8249" s="140"/>
    </row>
    <row r="8250" spans="1:5">
      <c r="A8250" s="140"/>
      <c r="B8250" s="192"/>
      <c r="C8250" s="140"/>
      <c r="D8250" s="140"/>
      <c r="E8250" s="140"/>
    </row>
    <row r="8251" spans="1:5">
      <c r="A8251" s="140"/>
      <c r="B8251" s="192"/>
      <c r="C8251" s="140"/>
      <c r="D8251" s="140"/>
      <c r="E8251" s="140"/>
    </row>
    <row r="8252" spans="1:5">
      <c r="A8252" s="140"/>
      <c r="B8252" s="192"/>
      <c r="C8252" s="140"/>
      <c r="D8252" s="140"/>
      <c r="E8252" s="140"/>
    </row>
    <row r="8253" spans="1:5">
      <c r="A8253" s="140"/>
      <c r="B8253" s="192"/>
      <c r="C8253" s="140"/>
      <c r="D8253" s="140"/>
      <c r="E8253" s="140"/>
    </row>
    <row r="8254" spans="1:5">
      <c r="A8254" s="140"/>
      <c r="B8254" s="192"/>
      <c r="C8254" s="140"/>
      <c r="D8254" s="140"/>
      <c r="E8254" s="140"/>
    </row>
    <row r="8255" spans="1:5">
      <c r="A8255" s="140"/>
      <c r="B8255" s="192"/>
      <c r="C8255" s="140"/>
      <c r="D8255" s="140"/>
      <c r="E8255" s="140"/>
    </row>
    <row r="8256" spans="1:5">
      <c r="A8256" s="140"/>
      <c r="B8256" s="192"/>
      <c r="C8256" s="140"/>
      <c r="D8256" s="140"/>
      <c r="E8256" s="140"/>
    </row>
    <row r="8257" spans="1:5">
      <c r="A8257" s="140"/>
      <c r="B8257" s="192"/>
      <c r="C8257" s="140"/>
      <c r="D8257" s="140"/>
      <c r="E8257" s="140"/>
    </row>
    <row r="8258" spans="1:5">
      <c r="A8258" s="140"/>
      <c r="B8258" s="192"/>
      <c r="C8258" s="140"/>
      <c r="D8258" s="140"/>
      <c r="E8258" s="140"/>
    </row>
    <row r="8259" spans="1:5">
      <c r="A8259" s="140"/>
      <c r="B8259" s="192"/>
      <c r="C8259" s="140"/>
      <c r="D8259" s="140"/>
      <c r="E8259" s="140"/>
    </row>
    <row r="8260" spans="1:5">
      <c r="A8260" s="140"/>
      <c r="B8260" s="192"/>
      <c r="C8260" s="140"/>
      <c r="D8260" s="140"/>
      <c r="E8260" s="140"/>
    </row>
    <row r="8261" spans="1:5">
      <c r="A8261" s="140"/>
      <c r="B8261" s="192"/>
      <c r="C8261" s="140"/>
      <c r="D8261" s="140"/>
      <c r="E8261" s="140"/>
    </row>
    <row r="8262" spans="1:5">
      <c r="A8262" s="140"/>
      <c r="B8262" s="192"/>
      <c r="C8262" s="140"/>
      <c r="D8262" s="140"/>
      <c r="E8262" s="140"/>
    </row>
    <row r="8263" spans="1:5">
      <c r="A8263" s="140"/>
      <c r="B8263" s="192"/>
      <c r="C8263" s="140"/>
      <c r="D8263" s="140"/>
      <c r="E8263" s="140"/>
    </row>
    <row r="8264" spans="1:5">
      <c r="A8264" s="140"/>
      <c r="B8264" s="192"/>
      <c r="C8264" s="140"/>
      <c r="D8264" s="140"/>
      <c r="E8264" s="140"/>
    </row>
    <row r="8265" spans="1:5">
      <c r="A8265" s="140"/>
      <c r="B8265" s="192"/>
      <c r="C8265" s="140"/>
      <c r="D8265" s="140"/>
      <c r="E8265" s="140"/>
    </row>
    <row r="8266" spans="1:5">
      <c r="A8266" s="140"/>
      <c r="B8266" s="192"/>
      <c r="C8266" s="140"/>
      <c r="D8266" s="140"/>
      <c r="E8266" s="140"/>
    </row>
    <row r="8267" spans="1:5">
      <c r="A8267" s="140"/>
      <c r="B8267" s="192"/>
      <c r="C8267" s="140"/>
      <c r="D8267" s="140"/>
      <c r="E8267" s="140"/>
    </row>
    <row r="8268" spans="1:5">
      <c r="A8268" s="140"/>
      <c r="B8268" s="192"/>
      <c r="C8268" s="140"/>
      <c r="D8268" s="140"/>
      <c r="E8268" s="140"/>
    </row>
    <row r="8269" spans="1:5">
      <c r="A8269" s="140"/>
      <c r="B8269" s="192"/>
      <c r="C8269" s="140"/>
      <c r="D8269" s="140"/>
      <c r="E8269" s="140"/>
    </row>
    <row r="8270" spans="1:5">
      <c r="A8270" s="140"/>
      <c r="B8270" s="192"/>
      <c r="C8270" s="140"/>
      <c r="D8270" s="140"/>
      <c r="E8270" s="140"/>
    </row>
    <row r="8271" spans="1:5">
      <c r="A8271" s="140"/>
      <c r="B8271" s="192"/>
      <c r="C8271" s="140"/>
      <c r="D8271" s="140"/>
      <c r="E8271" s="140"/>
    </row>
    <row r="8272" spans="1:5">
      <c r="A8272" s="140"/>
      <c r="B8272" s="192"/>
      <c r="C8272" s="140"/>
      <c r="D8272" s="140"/>
      <c r="E8272" s="140"/>
    </row>
    <row r="8273" spans="1:5">
      <c r="A8273" s="140"/>
      <c r="B8273" s="192"/>
      <c r="C8273" s="140"/>
      <c r="D8273" s="140"/>
      <c r="E8273" s="140"/>
    </row>
    <row r="8274" spans="1:5">
      <c r="A8274" s="140"/>
      <c r="B8274" s="192"/>
      <c r="C8274" s="140"/>
      <c r="D8274" s="140"/>
      <c r="E8274" s="140"/>
    </row>
    <row r="8275" spans="1:5">
      <c r="A8275" s="140"/>
      <c r="B8275" s="192"/>
      <c r="C8275" s="140"/>
      <c r="D8275" s="140"/>
      <c r="E8275" s="140"/>
    </row>
    <row r="8276" spans="1:5">
      <c r="A8276" s="140"/>
      <c r="B8276" s="192"/>
      <c r="C8276" s="140"/>
      <c r="D8276" s="140"/>
      <c r="E8276" s="140"/>
    </row>
    <row r="8277" spans="1:5">
      <c r="A8277" s="140"/>
      <c r="B8277" s="192"/>
      <c r="C8277" s="140"/>
      <c r="D8277" s="140"/>
      <c r="E8277" s="140"/>
    </row>
    <row r="8278" spans="1:5">
      <c r="A8278" s="140"/>
      <c r="B8278" s="192"/>
      <c r="C8278" s="140"/>
      <c r="D8278" s="140"/>
      <c r="E8278" s="140"/>
    </row>
    <row r="8279" spans="1:5">
      <c r="A8279" s="140"/>
      <c r="B8279" s="192"/>
      <c r="C8279" s="140"/>
      <c r="D8279" s="140"/>
      <c r="E8279" s="140"/>
    </row>
    <row r="8280" spans="1:5">
      <c r="A8280" s="140"/>
      <c r="B8280" s="192"/>
      <c r="C8280" s="140"/>
      <c r="D8280" s="140"/>
      <c r="E8280" s="140"/>
    </row>
    <row r="8281" spans="1:5">
      <c r="A8281" s="140"/>
      <c r="B8281" s="192"/>
      <c r="C8281" s="140"/>
      <c r="D8281" s="140"/>
      <c r="E8281" s="140"/>
    </row>
    <row r="8282" spans="1:5">
      <c r="A8282" s="140"/>
      <c r="B8282" s="192"/>
      <c r="C8282" s="140"/>
      <c r="D8282" s="140"/>
      <c r="E8282" s="140"/>
    </row>
    <row r="8283" spans="1:5">
      <c r="A8283" s="140"/>
      <c r="B8283" s="192"/>
      <c r="C8283" s="140"/>
      <c r="D8283" s="140"/>
      <c r="E8283" s="140"/>
    </row>
    <row r="8284" spans="1:5">
      <c r="A8284" s="140"/>
      <c r="B8284" s="192"/>
      <c r="C8284" s="140"/>
      <c r="D8284" s="140"/>
      <c r="E8284" s="140"/>
    </row>
    <row r="8285" spans="1:5">
      <c r="A8285" s="140"/>
      <c r="B8285" s="192"/>
      <c r="C8285" s="140"/>
      <c r="D8285" s="140"/>
      <c r="E8285" s="140"/>
    </row>
    <row r="8286" spans="1:5">
      <c r="A8286" s="140"/>
      <c r="B8286" s="192"/>
      <c r="C8286" s="140"/>
      <c r="D8286" s="140"/>
      <c r="E8286" s="140"/>
    </row>
    <row r="8287" spans="1:5">
      <c r="A8287" s="140"/>
      <c r="B8287" s="192"/>
      <c r="C8287" s="140"/>
      <c r="D8287" s="140"/>
      <c r="E8287" s="140"/>
    </row>
    <row r="8288" spans="1:5">
      <c r="A8288" s="140"/>
      <c r="B8288" s="192"/>
      <c r="C8288" s="140"/>
      <c r="D8288" s="140"/>
      <c r="E8288" s="140"/>
    </row>
    <row r="8289" spans="1:5">
      <c r="A8289" s="140"/>
      <c r="B8289" s="192"/>
      <c r="C8289" s="140"/>
      <c r="D8289" s="140"/>
      <c r="E8289" s="140"/>
    </row>
    <row r="8290" spans="1:5">
      <c r="A8290" s="140"/>
      <c r="B8290" s="192"/>
      <c r="C8290" s="140"/>
      <c r="D8290" s="140"/>
      <c r="E8290" s="140"/>
    </row>
    <row r="8291" spans="1:5">
      <c r="A8291" s="140"/>
      <c r="B8291" s="192"/>
      <c r="C8291" s="140"/>
      <c r="D8291" s="140"/>
      <c r="E8291" s="140"/>
    </row>
    <row r="8292" spans="1:5">
      <c r="A8292" s="140"/>
      <c r="B8292" s="192"/>
      <c r="C8292" s="140"/>
      <c r="D8292" s="140"/>
      <c r="E8292" s="140"/>
    </row>
    <row r="8293" spans="1:5">
      <c r="A8293" s="140"/>
      <c r="B8293" s="192"/>
      <c r="C8293" s="140"/>
      <c r="D8293" s="140"/>
      <c r="E8293" s="140"/>
    </row>
    <row r="8294" spans="1:5">
      <c r="A8294" s="140"/>
      <c r="B8294" s="192"/>
      <c r="C8294" s="140"/>
      <c r="D8294" s="140"/>
      <c r="E8294" s="140"/>
    </row>
    <row r="8295" spans="1:5">
      <c r="A8295" s="140"/>
      <c r="B8295" s="192"/>
      <c r="C8295" s="140"/>
      <c r="D8295" s="140"/>
      <c r="E8295" s="140"/>
    </row>
    <row r="8296" spans="1:5">
      <c r="A8296" s="140"/>
      <c r="B8296" s="192"/>
      <c r="C8296" s="140"/>
      <c r="D8296" s="140"/>
      <c r="E8296" s="140"/>
    </row>
    <row r="8297" spans="1:5">
      <c r="A8297" s="140"/>
      <c r="B8297" s="192"/>
      <c r="C8297" s="140"/>
      <c r="D8297" s="140"/>
      <c r="E8297" s="140"/>
    </row>
    <row r="8298" spans="1:5">
      <c r="A8298" s="140"/>
      <c r="B8298" s="192"/>
      <c r="C8298" s="140"/>
      <c r="D8298" s="140"/>
      <c r="E8298" s="140"/>
    </row>
    <row r="8299" spans="1:5">
      <c r="A8299" s="140"/>
      <c r="B8299" s="192"/>
      <c r="C8299" s="140"/>
      <c r="D8299" s="140"/>
      <c r="E8299" s="140"/>
    </row>
    <row r="8300" spans="1:5">
      <c r="A8300" s="140"/>
      <c r="B8300" s="192"/>
      <c r="C8300" s="140"/>
      <c r="D8300" s="140"/>
      <c r="E8300" s="140"/>
    </row>
    <row r="8301" spans="1:5">
      <c r="A8301" s="140"/>
      <c r="B8301" s="192"/>
      <c r="C8301" s="140"/>
      <c r="D8301" s="140"/>
      <c r="E8301" s="140"/>
    </row>
    <row r="8302" spans="1:5">
      <c r="A8302" s="140"/>
      <c r="B8302" s="192"/>
      <c r="C8302" s="140"/>
      <c r="D8302" s="140"/>
      <c r="E8302" s="140"/>
    </row>
    <row r="8303" spans="1:5">
      <c r="A8303" s="140"/>
      <c r="B8303" s="192"/>
      <c r="C8303" s="140"/>
      <c r="D8303" s="140"/>
      <c r="E8303" s="140"/>
    </row>
    <row r="8304" spans="1:5">
      <c r="A8304" s="140"/>
      <c r="B8304" s="192"/>
      <c r="C8304" s="140"/>
      <c r="D8304" s="140"/>
      <c r="E8304" s="140"/>
    </row>
    <row r="8305" spans="1:5">
      <c r="A8305" s="140"/>
      <c r="B8305" s="192"/>
      <c r="C8305" s="140"/>
      <c r="D8305" s="140"/>
      <c r="E8305" s="140"/>
    </row>
    <row r="8306" spans="1:5">
      <c r="A8306" s="140"/>
      <c r="B8306" s="192"/>
      <c r="C8306" s="140"/>
      <c r="D8306" s="140"/>
      <c r="E8306" s="140"/>
    </row>
    <row r="8307" spans="1:5">
      <c r="A8307" s="140"/>
      <c r="B8307" s="192"/>
      <c r="C8307" s="140"/>
      <c r="D8307" s="140"/>
      <c r="E8307" s="140"/>
    </row>
    <row r="8308" spans="1:5">
      <c r="A8308" s="140"/>
      <c r="B8308" s="192"/>
      <c r="C8308" s="140"/>
      <c r="D8308" s="140"/>
      <c r="E8308" s="140"/>
    </row>
    <row r="8309" spans="1:5">
      <c r="A8309" s="140"/>
      <c r="B8309" s="192"/>
      <c r="C8309" s="140"/>
      <c r="D8309" s="140"/>
      <c r="E8309" s="140"/>
    </row>
    <row r="8310" spans="1:5">
      <c r="A8310" s="140"/>
      <c r="B8310" s="192"/>
      <c r="C8310" s="140"/>
      <c r="D8310" s="140"/>
      <c r="E8310" s="140"/>
    </row>
    <row r="8311" spans="1:5">
      <c r="A8311" s="140"/>
      <c r="B8311" s="192"/>
      <c r="C8311" s="140"/>
      <c r="D8311" s="140"/>
      <c r="E8311" s="140"/>
    </row>
    <row r="8312" spans="1:5">
      <c r="A8312" s="140"/>
      <c r="B8312" s="192"/>
      <c r="C8312" s="140"/>
      <c r="D8312" s="140"/>
      <c r="E8312" s="140"/>
    </row>
    <row r="8313" spans="1:5">
      <c r="A8313" s="140"/>
      <c r="B8313" s="192"/>
      <c r="C8313" s="140"/>
      <c r="D8313" s="140"/>
      <c r="E8313" s="140"/>
    </row>
    <row r="8314" spans="1:5">
      <c r="A8314" s="140"/>
      <c r="B8314" s="192"/>
      <c r="C8314" s="140"/>
      <c r="D8314" s="140"/>
      <c r="E8314" s="140"/>
    </row>
    <row r="8315" spans="1:5">
      <c r="A8315" s="140"/>
      <c r="B8315" s="192"/>
      <c r="C8315" s="140"/>
      <c r="D8315" s="140"/>
      <c r="E8315" s="140"/>
    </row>
    <row r="8316" spans="1:5">
      <c r="A8316" s="140"/>
      <c r="B8316" s="192"/>
      <c r="C8316" s="140"/>
      <c r="D8316" s="140"/>
      <c r="E8316" s="140"/>
    </row>
    <row r="8317" spans="1:5">
      <c r="A8317" s="140"/>
      <c r="B8317" s="192"/>
      <c r="C8317" s="140"/>
      <c r="D8317" s="140"/>
      <c r="E8317" s="140"/>
    </row>
    <row r="8318" spans="1:5">
      <c r="A8318" s="140"/>
      <c r="B8318" s="192"/>
      <c r="C8318" s="140"/>
      <c r="D8318" s="140"/>
      <c r="E8318" s="140"/>
    </row>
    <row r="8319" spans="1:5">
      <c r="A8319" s="140"/>
      <c r="B8319" s="192"/>
      <c r="C8319" s="140"/>
      <c r="D8319" s="140"/>
      <c r="E8319" s="140"/>
    </row>
    <row r="8320" spans="1:5">
      <c r="A8320" s="140"/>
      <c r="B8320" s="192"/>
      <c r="C8320" s="140"/>
      <c r="D8320" s="140"/>
      <c r="E8320" s="140"/>
    </row>
    <row r="8321" spans="1:5">
      <c r="A8321" s="140"/>
      <c r="B8321" s="192"/>
      <c r="C8321" s="140"/>
      <c r="D8321" s="140"/>
      <c r="E8321" s="140"/>
    </row>
    <row r="8322" spans="1:5">
      <c r="A8322" s="140"/>
      <c r="B8322" s="192"/>
      <c r="C8322" s="140"/>
      <c r="D8322" s="140"/>
      <c r="E8322" s="140"/>
    </row>
    <row r="8323" spans="1:5">
      <c r="A8323" s="140"/>
      <c r="B8323" s="192"/>
      <c r="C8323" s="140"/>
      <c r="D8323" s="140"/>
      <c r="E8323" s="140"/>
    </row>
    <row r="8324" spans="1:5">
      <c r="A8324" s="140"/>
      <c r="B8324" s="192"/>
      <c r="C8324" s="140"/>
      <c r="D8324" s="140"/>
      <c r="E8324" s="140"/>
    </row>
    <row r="8325" spans="1:5">
      <c r="A8325" s="140"/>
      <c r="B8325" s="192"/>
      <c r="C8325" s="140"/>
      <c r="D8325" s="140"/>
      <c r="E8325" s="140"/>
    </row>
    <row r="8326" spans="1:5">
      <c r="A8326" s="140"/>
      <c r="B8326" s="192"/>
      <c r="C8326" s="140"/>
      <c r="D8326" s="140"/>
      <c r="E8326" s="140"/>
    </row>
    <row r="8327" spans="1:5">
      <c r="A8327" s="140"/>
      <c r="B8327" s="192"/>
      <c r="C8327" s="140"/>
      <c r="D8327" s="140"/>
      <c r="E8327" s="140"/>
    </row>
    <row r="8328" spans="1:5">
      <c r="A8328" s="140"/>
      <c r="B8328" s="192"/>
      <c r="C8328" s="140"/>
      <c r="D8328" s="140"/>
      <c r="E8328" s="140"/>
    </row>
    <row r="8329" spans="1:5">
      <c r="A8329" s="140"/>
      <c r="B8329" s="192"/>
      <c r="C8329" s="140"/>
      <c r="D8329" s="140"/>
      <c r="E8329" s="140"/>
    </row>
    <row r="8330" spans="1:5">
      <c r="A8330" s="140"/>
      <c r="B8330" s="192"/>
      <c r="C8330" s="140"/>
      <c r="D8330" s="140"/>
      <c r="E8330" s="140"/>
    </row>
    <row r="8331" spans="1:5">
      <c r="A8331" s="140"/>
      <c r="B8331" s="192"/>
      <c r="C8331" s="140"/>
      <c r="D8331" s="140"/>
      <c r="E8331" s="140"/>
    </row>
    <row r="8332" spans="1:5">
      <c r="A8332" s="140"/>
      <c r="B8332" s="192"/>
      <c r="C8332" s="140"/>
      <c r="D8332" s="140"/>
      <c r="E8332" s="140"/>
    </row>
    <row r="8333" spans="1:5">
      <c r="A8333" s="140"/>
      <c r="B8333" s="192"/>
      <c r="C8333" s="140"/>
      <c r="D8333" s="140"/>
      <c r="E8333" s="140"/>
    </row>
    <row r="8334" spans="1:5">
      <c r="A8334" s="140"/>
      <c r="B8334" s="192"/>
      <c r="C8334" s="140"/>
      <c r="D8334" s="140"/>
      <c r="E8334" s="140"/>
    </row>
    <row r="8335" spans="1:5">
      <c r="A8335" s="140"/>
      <c r="B8335" s="192"/>
      <c r="C8335" s="140"/>
      <c r="D8335" s="140"/>
      <c r="E8335" s="140"/>
    </row>
    <row r="8336" spans="1:5">
      <c r="A8336" s="140"/>
      <c r="B8336" s="192"/>
      <c r="C8336" s="140"/>
      <c r="D8336" s="140"/>
      <c r="E8336" s="140"/>
    </row>
    <row r="8337" spans="1:5">
      <c r="A8337" s="140"/>
      <c r="B8337" s="192"/>
      <c r="C8337" s="140"/>
      <c r="D8337" s="140"/>
      <c r="E8337" s="140"/>
    </row>
    <row r="8338" spans="1:5">
      <c r="A8338" s="140"/>
      <c r="B8338" s="192"/>
      <c r="C8338" s="140"/>
      <c r="D8338" s="140"/>
      <c r="E8338" s="140"/>
    </row>
    <row r="8339" spans="1:5">
      <c r="A8339" s="140"/>
      <c r="B8339" s="192"/>
      <c r="C8339" s="140"/>
      <c r="D8339" s="140"/>
      <c r="E8339" s="140"/>
    </row>
    <row r="8340" spans="1:5">
      <c r="A8340" s="140"/>
      <c r="B8340" s="192"/>
      <c r="C8340" s="140"/>
      <c r="D8340" s="140"/>
      <c r="E8340" s="140"/>
    </row>
    <row r="8341" spans="1:5">
      <c r="A8341" s="140"/>
      <c r="B8341" s="192"/>
      <c r="C8341" s="140"/>
      <c r="D8341" s="140"/>
      <c r="E8341" s="140"/>
    </row>
    <row r="8342" spans="1:5">
      <c r="A8342" s="140"/>
      <c r="B8342" s="192"/>
      <c r="C8342" s="140"/>
      <c r="D8342" s="140"/>
      <c r="E8342" s="140"/>
    </row>
    <row r="8343" spans="1:5">
      <c r="A8343" s="140"/>
      <c r="B8343" s="192"/>
      <c r="C8343" s="140"/>
      <c r="D8343" s="140"/>
      <c r="E8343" s="140"/>
    </row>
    <row r="8344" spans="1:5">
      <c r="A8344" s="140"/>
      <c r="B8344" s="192"/>
      <c r="C8344" s="140"/>
      <c r="D8344" s="140"/>
      <c r="E8344" s="140"/>
    </row>
    <row r="8345" spans="1:5">
      <c r="A8345" s="140"/>
      <c r="B8345" s="192"/>
      <c r="C8345" s="140"/>
      <c r="D8345" s="140"/>
      <c r="E8345" s="140"/>
    </row>
    <row r="8346" spans="1:5">
      <c r="A8346" s="140"/>
      <c r="B8346" s="192"/>
      <c r="C8346" s="140"/>
      <c r="D8346" s="140"/>
      <c r="E8346" s="140"/>
    </row>
    <row r="8347" spans="1:5">
      <c r="A8347" s="140"/>
      <c r="B8347" s="192"/>
      <c r="C8347" s="140"/>
      <c r="D8347" s="140"/>
      <c r="E8347" s="140"/>
    </row>
    <row r="8348" spans="1:5">
      <c r="A8348" s="140"/>
      <c r="B8348" s="192"/>
      <c r="C8348" s="140"/>
      <c r="D8348" s="140"/>
      <c r="E8348" s="140"/>
    </row>
    <row r="8349" spans="1:5">
      <c r="A8349" s="140"/>
      <c r="B8349" s="192"/>
      <c r="C8349" s="140"/>
      <c r="D8349" s="140"/>
      <c r="E8349" s="140"/>
    </row>
    <row r="8350" spans="1:5">
      <c r="A8350" s="140"/>
      <c r="B8350" s="192"/>
      <c r="C8350" s="140"/>
      <c r="D8350" s="140"/>
      <c r="E8350" s="140"/>
    </row>
    <row r="8351" spans="1:5">
      <c r="A8351" s="140"/>
      <c r="B8351" s="192"/>
      <c r="C8351" s="140"/>
      <c r="D8351" s="140"/>
      <c r="E8351" s="140"/>
    </row>
    <row r="8352" spans="1:5">
      <c r="A8352" s="140"/>
      <c r="B8352" s="192"/>
      <c r="C8352" s="140"/>
      <c r="D8352" s="140"/>
      <c r="E8352" s="140"/>
    </row>
    <row r="8353" spans="1:5">
      <c r="A8353" s="140"/>
      <c r="B8353" s="192"/>
      <c r="C8353" s="140"/>
      <c r="D8353" s="140"/>
      <c r="E8353" s="140"/>
    </row>
    <row r="8354" spans="1:5">
      <c r="A8354" s="140"/>
      <c r="B8354" s="192"/>
      <c r="C8354" s="140"/>
      <c r="D8354" s="140"/>
      <c r="E8354" s="140"/>
    </row>
    <row r="8355" spans="1:5">
      <c r="A8355" s="140"/>
      <c r="B8355" s="192"/>
      <c r="C8355" s="140"/>
      <c r="D8355" s="140"/>
      <c r="E8355" s="140"/>
    </row>
    <row r="8356" spans="1:5">
      <c r="A8356" s="140"/>
      <c r="B8356" s="192"/>
      <c r="C8356" s="140"/>
      <c r="D8356" s="140"/>
      <c r="E8356" s="140"/>
    </row>
    <row r="8357" spans="1:5">
      <c r="A8357" s="140"/>
      <c r="B8357" s="192"/>
      <c r="C8357" s="140"/>
      <c r="D8357" s="140"/>
      <c r="E8357" s="140"/>
    </row>
    <row r="8358" spans="1:5">
      <c r="A8358" s="140"/>
      <c r="B8358" s="192"/>
      <c r="C8358" s="140"/>
      <c r="D8358" s="140"/>
      <c r="E8358" s="140"/>
    </row>
    <row r="8359" spans="1:5">
      <c r="A8359" s="140"/>
      <c r="B8359" s="192"/>
      <c r="C8359" s="140"/>
      <c r="D8359" s="140"/>
      <c r="E8359" s="140"/>
    </row>
    <row r="8360" spans="1:5">
      <c r="A8360" s="140"/>
      <c r="B8360" s="192"/>
      <c r="C8360" s="140"/>
      <c r="D8360" s="140"/>
      <c r="E8360" s="140"/>
    </row>
    <row r="8361" spans="1:5">
      <c r="A8361" s="140"/>
      <c r="B8361" s="192"/>
      <c r="C8361" s="140"/>
      <c r="D8361" s="140"/>
      <c r="E8361" s="140"/>
    </row>
    <row r="8362" spans="1:5">
      <c r="A8362" s="140"/>
      <c r="B8362" s="192"/>
      <c r="C8362" s="140"/>
      <c r="D8362" s="140"/>
      <c r="E8362" s="140"/>
    </row>
    <row r="8363" spans="1:5">
      <c r="A8363" s="140"/>
      <c r="B8363" s="192"/>
      <c r="C8363" s="140"/>
      <c r="D8363" s="140"/>
      <c r="E8363" s="140"/>
    </row>
    <row r="8364" spans="1:5">
      <c r="A8364" s="140"/>
      <c r="B8364" s="192"/>
      <c r="C8364" s="140"/>
      <c r="D8364" s="140"/>
      <c r="E8364" s="140"/>
    </row>
    <row r="8365" spans="1:5">
      <c r="A8365" s="140"/>
      <c r="B8365" s="192"/>
      <c r="C8365" s="140"/>
      <c r="D8365" s="140"/>
      <c r="E8365" s="140"/>
    </row>
    <row r="8366" spans="1:5">
      <c r="A8366" s="140"/>
      <c r="B8366" s="192"/>
      <c r="C8366" s="140"/>
      <c r="D8366" s="140"/>
      <c r="E8366" s="140"/>
    </row>
    <row r="8367" spans="1:5">
      <c r="A8367" s="140"/>
      <c r="B8367" s="192"/>
      <c r="C8367" s="140"/>
      <c r="D8367" s="140"/>
      <c r="E8367" s="140"/>
    </row>
    <row r="8368" spans="1:5">
      <c r="A8368" s="140"/>
      <c r="B8368" s="192"/>
      <c r="C8368" s="140"/>
      <c r="D8368" s="140"/>
      <c r="E8368" s="140"/>
    </row>
    <row r="8369" spans="1:5">
      <c r="A8369" s="140"/>
      <c r="B8369" s="192"/>
      <c r="C8369" s="140"/>
      <c r="D8369" s="140"/>
      <c r="E8369" s="140"/>
    </row>
    <row r="8370" spans="1:5">
      <c r="A8370" s="140"/>
      <c r="B8370" s="192"/>
      <c r="C8370" s="140"/>
      <c r="D8370" s="140"/>
      <c r="E8370" s="140"/>
    </row>
    <row r="8371" spans="1:5">
      <c r="A8371" s="140"/>
      <c r="B8371" s="192"/>
      <c r="C8371" s="140"/>
      <c r="D8371" s="140"/>
      <c r="E8371" s="140"/>
    </row>
    <row r="8372" spans="1:5">
      <c r="A8372" s="140"/>
      <c r="B8372" s="192"/>
      <c r="C8372" s="140"/>
      <c r="D8372" s="140"/>
      <c r="E8372" s="140"/>
    </row>
    <row r="8373" spans="1:5">
      <c r="A8373" s="140"/>
      <c r="B8373" s="192"/>
      <c r="C8373" s="140"/>
      <c r="D8373" s="140"/>
      <c r="E8373" s="140"/>
    </row>
    <row r="8374" spans="1:5">
      <c r="A8374" s="140"/>
      <c r="B8374" s="192"/>
      <c r="C8374" s="140"/>
      <c r="D8374" s="140"/>
      <c r="E8374" s="140"/>
    </row>
    <row r="8375" spans="1:5">
      <c r="A8375" s="140"/>
      <c r="B8375" s="192"/>
      <c r="C8375" s="140"/>
      <c r="D8375" s="140"/>
      <c r="E8375" s="140"/>
    </row>
    <row r="8376" spans="1:5">
      <c r="A8376" s="140"/>
      <c r="B8376" s="192"/>
      <c r="C8376" s="140"/>
      <c r="D8376" s="140"/>
      <c r="E8376" s="140"/>
    </row>
    <row r="8377" spans="1:5">
      <c r="A8377" s="140"/>
      <c r="B8377" s="192"/>
      <c r="C8377" s="140"/>
      <c r="D8377" s="140"/>
      <c r="E8377" s="140"/>
    </row>
    <row r="8378" spans="1:5">
      <c r="A8378" s="140"/>
      <c r="B8378" s="192"/>
      <c r="C8378" s="140"/>
      <c r="D8378" s="140"/>
      <c r="E8378" s="140"/>
    </row>
    <row r="8379" spans="1:5">
      <c r="A8379" s="140"/>
      <c r="B8379" s="192"/>
      <c r="C8379" s="140"/>
      <c r="D8379" s="140"/>
      <c r="E8379" s="140"/>
    </row>
    <row r="8380" spans="1:5">
      <c r="A8380" s="140"/>
      <c r="B8380" s="192"/>
      <c r="C8380" s="140"/>
      <c r="D8380" s="140"/>
      <c r="E8380" s="140"/>
    </row>
    <row r="8381" spans="1:5">
      <c r="A8381" s="140"/>
      <c r="B8381" s="192"/>
      <c r="C8381" s="140"/>
      <c r="D8381" s="140"/>
      <c r="E8381" s="140"/>
    </row>
    <row r="8382" spans="1:5">
      <c r="A8382" s="140"/>
      <c r="B8382" s="192"/>
      <c r="C8382" s="140"/>
      <c r="D8382" s="140"/>
      <c r="E8382" s="140"/>
    </row>
    <row r="8383" spans="1:5">
      <c r="A8383" s="140"/>
      <c r="B8383" s="192"/>
      <c r="C8383" s="140"/>
      <c r="D8383" s="140"/>
      <c r="E8383" s="140"/>
    </row>
    <row r="8384" spans="1:5">
      <c r="A8384" s="140"/>
      <c r="B8384" s="192"/>
      <c r="C8384" s="140"/>
      <c r="D8384" s="140"/>
      <c r="E8384" s="140"/>
    </row>
    <row r="8385" spans="1:5">
      <c r="A8385" s="140"/>
      <c r="B8385" s="192"/>
      <c r="C8385" s="140"/>
      <c r="D8385" s="140"/>
      <c r="E8385" s="140"/>
    </row>
    <row r="8386" spans="1:5">
      <c r="A8386" s="140"/>
      <c r="B8386" s="192"/>
      <c r="C8386" s="140"/>
      <c r="D8386" s="140"/>
      <c r="E8386" s="140"/>
    </row>
    <row r="8387" spans="1:5">
      <c r="A8387" s="140"/>
      <c r="B8387" s="192"/>
      <c r="C8387" s="140"/>
      <c r="D8387" s="140"/>
      <c r="E8387" s="140"/>
    </row>
    <row r="8388" spans="1:5">
      <c r="A8388" s="140"/>
      <c r="B8388" s="192"/>
      <c r="C8388" s="140"/>
      <c r="D8388" s="140"/>
      <c r="E8388" s="140"/>
    </row>
    <row r="8389" spans="1:5">
      <c r="A8389" s="140"/>
      <c r="B8389" s="192"/>
      <c r="C8389" s="140"/>
      <c r="D8389" s="140"/>
      <c r="E8389" s="140"/>
    </row>
    <row r="8390" spans="1:5">
      <c r="A8390" s="140"/>
      <c r="B8390" s="192"/>
      <c r="C8390" s="140"/>
      <c r="D8390" s="140"/>
      <c r="E8390" s="140"/>
    </row>
    <row r="8391" spans="1:5">
      <c r="A8391" s="140"/>
      <c r="B8391" s="192"/>
      <c r="C8391" s="140"/>
      <c r="D8391" s="140"/>
      <c r="E8391" s="140"/>
    </row>
    <row r="8392" spans="1:5">
      <c r="A8392" s="140"/>
      <c r="B8392" s="192"/>
      <c r="C8392" s="140"/>
      <c r="D8392" s="140"/>
      <c r="E8392" s="140"/>
    </row>
    <row r="8393" spans="1:5">
      <c r="A8393" s="140"/>
      <c r="B8393" s="192"/>
      <c r="C8393" s="140"/>
      <c r="D8393" s="140"/>
      <c r="E8393" s="140"/>
    </row>
    <row r="8394" spans="1:5">
      <c r="A8394" s="140"/>
      <c r="B8394" s="192"/>
      <c r="C8394" s="140"/>
      <c r="D8394" s="140"/>
      <c r="E8394" s="140"/>
    </row>
    <row r="8395" spans="1:5">
      <c r="A8395" s="140"/>
      <c r="B8395" s="192"/>
      <c r="C8395" s="140"/>
      <c r="D8395" s="140"/>
      <c r="E8395" s="140"/>
    </row>
    <row r="8396" spans="1:5">
      <c r="A8396" s="140"/>
      <c r="B8396" s="192"/>
      <c r="C8396" s="140"/>
      <c r="D8396" s="140"/>
      <c r="E8396" s="140"/>
    </row>
    <row r="8397" spans="1:5">
      <c r="A8397" s="140"/>
      <c r="B8397" s="192"/>
      <c r="C8397" s="140"/>
      <c r="D8397" s="140"/>
      <c r="E8397" s="140"/>
    </row>
    <row r="8398" spans="1:5">
      <c r="A8398" s="140"/>
      <c r="B8398" s="192"/>
      <c r="C8398" s="140"/>
      <c r="D8398" s="140"/>
      <c r="E8398" s="140"/>
    </row>
    <row r="8399" spans="1:5">
      <c r="A8399" s="140"/>
      <c r="B8399" s="192"/>
      <c r="C8399" s="140"/>
      <c r="D8399" s="140"/>
      <c r="E8399" s="140"/>
    </row>
    <row r="8400" spans="1:5">
      <c r="A8400" s="140"/>
      <c r="B8400" s="192"/>
      <c r="C8400" s="140"/>
      <c r="D8400" s="140"/>
      <c r="E8400" s="140"/>
    </row>
    <row r="8401" spans="1:5">
      <c r="A8401" s="140"/>
      <c r="B8401" s="192"/>
      <c r="C8401" s="140"/>
      <c r="D8401" s="140"/>
      <c r="E8401" s="140"/>
    </row>
    <row r="8402" spans="1:5">
      <c r="A8402" s="140"/>
      <c r="B8402" s="192"/>
      <c r="C8402" s="140"/>
      <c r="D8402" s="140"/>
      <c r="E8402" s="140"/>
    </row>
    <row r="8403" spans="1:5">
      <c r="A8403" s="140"/>
      <c r="B8403" s="192"/>
      <c r="C8403" s="140"/>
      <c r="D8403" s="140"/>
      <c r="E8403" s="140"/>
    </row>
    <row r="8404" spans="1:5">
      <c r="A8404" s="140"/>
      <c r="B8404" s="192"/>
      <c r="C8404" s="140"/>
      <c r="D8404" s="140"/>
      <c r="E8404" s="140"/>
    </row>
    <row r="8405" spans="1:5">
      <c r="A8405" s="140"/>
      <c r="B8405" s="192"/>
      <c r="C8405" s="140"/>
      <c r="D8405" s="140"/>
      <c r="E8405" s="140"/>
    </row>
    <row r="8406" spans="1:5">
      <c r="A8406" s="140"/>
      <c r="B8406" s="192"/>
      <c r="C8406" s="140"/>
      <c r="D8406" s="140"/>
      <c r="E8406" s="140"/>
    </row>
    <row r="8407" spans="1:5">
      <c r="A8407" s="140"/>
      <c r="B8407" s="192"/>
      <c r="C8407" s="140"/>
      <c r="D8407" s="140"/>
      <c r="E8407" s="140"/>
    </row>
    <row r="8408" spans="1:5">
      <c r="A8408" s="140"/>
      <c r="B8408" s="192"/>
      <c r="C8408" s="140"/>
      <c r="D8408" s="140"/>
      <c r="E8408" s="140"/>
    </row>
    <row r="8409" spans="1:5">
      <c r="A8409" s="140"/>
      <c r="B8409" s="192"/>
      <c r="C8409" s="140"/>
      <c r="D8409" s="140"/>
      <c r="E8409" s="140"/>
    </row>
    <row r="8410" spans="1:5">
      <c r="A8410" s="140"/>
      <c r="B8410" s="192"/>
      <c r="C8410" s="140"/>
      <c r="D8410" s="140"/>
      <c r="E8410" s="140"/>
    </row>
    <row r="8411" spans="1:5">
      <c r="A8411" s="140"/>
      <c r="B8411" s="192"/>
      <c r="C8411" s="140"/>
      <c r="D8411" s="140"/>
      <c r="E8411" s="140"/>
    </row>
    <row r="8412" spans="1:5">
      <c r="A8412" s="140"/>
      <c r="B8412" s="192"/>
      <c r="C8412" s="140"/>
      <c r="D8412" s="140"/>
      <c r="E8412" s="140"/>
    </row>
    <row r="8413" spans="1:5">
      <c r="A8413" s="140"/>
      <c r="B8413" s="192"/>
      <c r="C8413" s="140"/>
      <c r="D8413" s="140"/>
      <c r="E8413" s="140"/>
    </row>
    <row r="8414" spans="1:5">
      <c r="A8414" s="140"/>
      <c r="B8414" s="192"/>
      <c r="C8414" s="140"/>
      <c r="D8414" s="140"/>
      <c r="E8414" s="140"/>
    </row>
    <row r="8415" spans="1:5">
      <c r="A8415" s="140"/>
      <c r="B8415" s="192"/>
      <c r="C8415" s="140"/>
      <c r="D8415" s="140"/>
      <c r="E8415" s="140"/>
    </row>
    <row r="8416" spans="1:5">
      <c r="A8416" s="140"/>
      <c r="B8416" s="192"/>
      <c r="C8416" s="140"/>
      <c r="D8416" s="140"/>
      <c r="E8416" s="140"/>
    </row>
    <row r="8417" spans="1:5">
      <c r="A8417" s="140"/>
      <c r="B8417" s="192"/>
      <c r="C8417" s="140"/>
      <c r="D8417" s="140"/>
      <c r="E8417" s="140"/>
    </row>
    <row r="8418" spans="1:5">
      <c r="A8418" s="140"/>
      <c r="B8418" s="192"/>
      <c r="C8418" s="140"/>
      <c r="D8418" s="140"/>
      <c r="E8418" s="140"/>
    </row>
    <row r="8419" spans="1:5">
      <c r="A8419" s="140"/>
      <c r="B8419" s="192"/>
      <c r="C8419" s="140"/>
      <c r="D8419" s="140"/>
      <c r="E8419" s="140"/>
    </row>
    <row r="8420" spans="1:5">
      <c r="A8420" s="140"/>
      <c r="B8420" s="192"/>
      <c r="C8420" s="140"/>
      <c r="D8420" s="140"/>
      <c r="E8420" s="140"/>
    </row>
    <row r="8421" spans="1:5">
      <c r="A8421" s="140"/>
      <c r="B8421" s="192"/>
      <c r="C8421" s="140"/>
      <c r="D8421" s="140"/>
      <c r="E8421" s="140"/>
    </row>
    <row r="8422" spans="1:5">
      <c r="A8422" s="140"/>
      <c r="B8422" s="192"/>
      <c r="C8422" s="140"/>
      <c r="D8422" s="140"/>
      <c r="E8422" s="140"/>
    </row>
    <row r="8423" spans="1:5">
      <c r="A8423" s="140"/>
      <c r="B8423" s="192"/>
      <c r="C8423" s="140"/>
      <c r="D8423" s="140"/>
      <c r="E8423" s="140"/>
    </row>
    <row r="8424" spans="1:5">
      <c r="A8424" s="140"/>
      <c r="B8424" s="192"/>
      <c r="C8424" s="140"/>
      <c r="D8424" s="140"/>
      <c r="E8424" s="140"/>
    </row>
    <row r="8425" spans="1:5">
      <c r="A8425" s="140"/>
      <c r="B8425" s="192"/>
      <c r="C8425" s="140"/>
      <c r="D8425" s="140"/>
      <c r="E8425" s="140"/>
    </row>
    <row r="8426" spans="1:5">
      <c r="A8426" s="140"/>
      <c r="B8426" s="192"/>
      <c r="C8426" s="140"/>
      <c r="D8426" s="140"/>
      <c r="E8426" s="140"/>
    </row>
    <row r="8427" spans="1:5">
      <c r="A8427" s="140"/>
      <c r="B8427" s="192"/>
      <c r="C8427" s="140"/>
      <c r="D8427" s="140"/>
      <c r="E8427" s="140"/>
    </row>
    <row r="8428" spans="1:5">
      <c r="A8428" s="140"/>
      <c r="B8428" s="192"/>
      <c r="C8428" s="140"/>
      <c r="D8428" s="140"/>
      <c r="E8428" s="140"/>
    </row>
    <row r="8429" spans="1:5">
      <c r="A8429" s="140"/>
      <c r="B8429" s="192"/>
      <c r="C8429" s="140"/>
      <c r="D8429" s="140"/>
      <c r="E8429" s="140"/>
    </row>
    <row r="8430" spans="1:5">
      <c r="A8430" s="140"/>
      <c r="B8430" s="192"/>
      <c r="C8430" s="140"/>
      <c r="D8430" s="140"/>
      <c r="E8430" s="140"/>
    </row>
    <row r="8431" spans="1:5">
      <c r="A8431" s="140"/>
      <c r="B8431" s="192"/>
      <c r="C8431" s="140"/>
      <c r="D8431" s="140"/>
      <c r="E8431" s="140"/>
    </row>
    <row r="8432" spans="1:5">
      <c r="A8432" s="140"/>
      <c r="B8432" s="192"/>
      <c r="C8432" s="140"/>
      <c r="D8432" s="140"/>
      <c r="E8432" s="140"/>
    </row>
    <row r="8433" spans="1:5">
      <c r="A8433" s="140"/>
      <c r="B8433" s="192"/>
      <c r="C8433" s="140"/>
      <c r="D8433" s="140"/>
      <c r="E8433" s="140"/>
    </row>
    <row r="8434" spans="1:5">
      <c r="A8434" s="140"/>
      <c r="B8434" s="192"/>
      <c r="C8434" s="140"/>
      <c r="D8434" s="140"/>
      <c r="E8434" s="140"/>
    </row>
    <row r="8435" spans="1:5">
      <c r="A8435" s="140"/>
      <c r="B8435" s="192"/>
      <c r="C8435" s="140"/>
      <c r="D8435" s="140"/>
      <c r="E8435" s="140"/>
    </row>
    <row r="8436" spans="1:5">
      <c r="A8436" s="140"/>
      <c r="B8436" s="192"/>
      <c r="C8436" s="140"/>
      <c r="D8436" s="140"/>
      <c r="E8436" s="140"/>
    </row>
    <row r="8437" spans="1:5">
      <c r="A8437" s="140"/>
      <c r="B8437" s="192"/>
      <c r="C8437" s="140"/>
      <c r="D8437" s="140"/>
      <c r="E8437" s="140"/>
    </row>
    <row r="8438" spans="1:5">
      <c r="A8438" s="140"/>
      <c r="B8438" s="192"/>
      <c r="C8438" s="140"/>
      <c r="D8438" s="140"/>
      <c r="E8438" s="140"/>
    </row>
    <row r="8439" spans="1:5">
      <c r="A8439" s="140"/>
      <c r="B8439" s="192"/>
      <c r="C8439" s="140"/>
      <c r="D8439" s="140"/>
      <c r="E8439" s="140"/>
    </row>
    <row r="8440" spans="1:5">
      <c r="A8440" s="140"/>
      <c r="B8440" s="192"/>
      <c r="C8440" s="140"/>
      <c r="D8440" s="140"/>
      <c r="E8440" s="140"/>
    </row>
    <row r="8441" spans="1:5">
      <c r="A8441" s="140"/>
      <c r="B8441" s="192"/>
      <c r="C8441" s="140"/>
      <c r="D8441" s="140"/>
      <c r="E8441" s="140"/>
    </row>
    <row r="8442" spans="1:5">
      <c r="A8442" s="140"/>
      <c r="B8442" s="192"/>
      <c r="C8442" s="140"/>
      <c r="D8442" s="140"/>
      <c r="E8442" s="140"/>
    </row>
    <row r="8443" spans="1:5">
      <c r="A8443" s="140"/>
      <c r="B8443" s="192"/>
      <c r="C8443" s="140"/>
      <c r="D8443" s="140"/>
      <c r="E8443" s="140"/>
    </row>
    <row r="8444" spans="1:5">
      <c r="A8444" s="140"/>
      <c r="B8444" s="192"/>
      <c r="C8444" s="140"/>
      <c r="D8444" s="140"/>
      <c r="E8444" s="140"/>
    </row>
    <row r="8445" spans="1:5">
      <c r="A8445" s="140"/>
      <c r="B8445" s="192"/>
      <c r="C8445" s="140"/>
      <c r="D8445" s="140"/>
      <c r="E8445" s="140"/>
    </row>
    <row r="8446" spans="1:5">
      <c r="A8446" s="140"/>
      <c r="B8446" s="192"/>
      <c r="C8446" s="140"/>
      <c r="D8446" s="140"/>
      <c r="E8446" s="140"/>
    </row>
    <row r="8447" spans="1:5">
      <c r="A8447" s="140"/>
      <c r="B8447" s="192"/>
      <c r="C8447" s="140"/>
      <c r="D8447" s="140"/>
      <c r="E8447" s="140"/>
    </row>
    <row r="8448" spans="1:5">
      <c r="A8448" s="140"/>
      <c r="B8448" s="192"/>
      <c r="C8448" s="140"/>
      <c r="D8448" s="140"/>
      <c r="E8448" s="140"/>
    </row>
    <row r="8449" spans="1:5">
      <c r="A8449" s="140"/>
      <c r="B8449" s="192"/>
      <c r="C8449" s="140"/>
      <c r="D8449" s="140"/>
      <c r="E8449" s="140"/>
    </row>
    <row r="8450" spans="1:5">
      <c r="A8450" s="140"/>
      <c r="B8450" s="192"/>
      <c r="C8450" s="140"/>
      <c r="D8450" s="140"/>
      <c r="E8450" s="140"/>
    </row>
    <row r="8451" spans="1:5">
      <c r="A8451" s="140"/>
      <c r="B8451" s="192"/>
      <c r="C8451" s="140"/>
      <c r="D8451" s="140"/>
      <c r="E8451" s="140"/>
    </row>
    <row r="8452" spans="1:5">
      <c r="A8452" s="140"/>
      <c r="B8452" s="192"/>
      <c r="C8452" s="140"/>
      <c r="D8452" s="140"/>
      <c r="E8452" s="140"/>
    </row>
    <row r="8453" spans="1:5">
      <c r="A8453" s="140"/>
      <c r="B8453" s="192"/>
      <c r="C8453" s="140"/>
      <c r="D8453" s="140"/>
      <c r="E8453" s="140"/>
    </row>
    <row r="8454" spans="1:5">
      <c r="A8454" s="140"/>
      <c r="B8454" s="192"/>
      <c r="C8454" s="140"/>
      <c r="D8454" s="140"/>
      <c r="E8454" s="140"/>
    </row>
    <row r="8455" spans="1:5">
      <c r="A8455" s="140"/>
      <c r="B8455" s="192"/>
      <c r="C8455" s="140"/>
      <c r="D8455" s="140"/>
      <c r="E8455" s="140"/>
    </row>
    <row r="8456" spans="1:5">
      <c r="A8456" s="140"/>
      <c r="B8456" s="192"/>
      <c r="C8456" s="140"/>
      <c r="D8456" s="140"/>
      <c r="E8456" s="140"/>
    </row>
    <row r="8457" spans="1:5">
      <c r="A8457" s="140"/>
      <c r="B8457" s="192"/>
      <c r="C8457" s="140"/>
      <c r="D8457" s="140"/>
      <c r="E8457" s="140"/>
    </row>
    <row r="8458" spans="1:5">
      <c r="A8458" s="140"/>
      <c r="B8458" s="192"/>
      <c r="C8458" s="140"/>
      <c r="D8458" s="140"/>
      <c r="E8458" s="140"/>
    </row>
    <row r="8459" spans="1:5">
      <c r="A8459" s="140"/>
      <c r="B8459" s="192"/>
      <c r="C8459" s="140"/>
      <c r="D8459" s="140"/>
      <c r="E8459" s="140"/>
    </row>
    <row r="8460" spans="1:5">
      <c r="A8460" s="140"/>
      <c r="B8460" s="192"/>
      <c r="C8460" s="140"/>
      <c r="D8460" s="140"/>
      <c r="E8460" s="140"/>
    </row>
    <row r="8461" spans="1:5">
      <c r="A8461" s="140"/>
      <c r="B8461" s="192"/>
      <c r="C8461" s="140"/>
      <c r="D8461" s="140"/>
      <c r="E8461" s="140"/>
    </row>
    <row r="8462" spans="1:5">
      <c r="A8462" s="140"/>
      <c r="B8462" s="192"/>
      <c r="C8462" s="140"/>
      <c r="D8462" s="140"/>
      <c r="E8462" s="140"/>
    </row>
    <row r="8463" spans="1:5">
      <c r="A8463" s="140"/>
      <c r="B8463" s="192"/>
      <c r="C8463" s="140"/>
      <c r="D8463" s="140"/>
      <c r="E8463" s="140"/>
    </row>
    <row r="8464" spans="1:5">
      <c r="A8464" s="140"/>
      <c r="B8464" s="192"/>
      <c r="C8464" s="140"/>
      <c r="D8464" s="140"/>
      <c r="E8464" s="140"/>
    </row>
    <row r="8465" spans="1:5">
      <c r="A8465" s="140"/>
      <c r="B8465" s="192"/>
      <c r="C8465" s="140"/>
      <c r="D8465" s="140"/>
      <c r="E8465" s="140"/>
    </row>
    <row r="8466" spans="1:5">
      <c r="A8466" s="140"/>
      <c r="B8466" s="192"/>
      <c r="C8466" s="140"/>
      <c r="D8466" s="140"/>
      <c r="E8466" s="140"/>
    </row>
    <row r="8467" spans="1:5">
      <c r="A8467" s="140"/>
      <c r="B8467" s="192"/>
      <c r="C8467" s="140"/>
      <c r="D8467" s="140"/>
      <c r="E8467" s="140"/>
    </row>
    <row r="8468" spans="1:5">
      <c r="A8468" s="140"/>
      <c r="B8468" s="192"/>
      <c r="C8468" s="140"/>
      <c r="D8468" s="140"/>
      <c r="E8468" s="140"/>
    </row>
    <row r="8469" spans="1:5">
      <c r="A8469" s="140"/>
      <c r="B8469" s="192"/>
      <c r="C8469" s="140"/>
      <c r="D8469" s="140"/>
      <c r="E8469" s="140"/>
    </row>
    <row r="8470" spans="1:5">
      <c r="A8470" s="140"/>
      <c r="B8470" s="192"/>
      <c r="C8470" s="140"/>
      <c r="D8470" s="140"/>
      <c r="E8470" s="140"/>
    </row>
    <row r="8471" spans="1:5">
      <c r="A8471" s="140"/>
      <c r="B8471" s="192"/>
      <c r="C8471" s="140"/>
      <c r="D8471" s="140"/>
      <c r="E8471" s="140"/>
    </row>
    <row r="8472" spans="1:5">
      <c r="A8472" s="140"/>
      <c r="B8472" s="192"/>
      <c r="C8472" s="140"/>
      <c r="D8472" s="140"/>
      <c r="E8472" s="140"/>
    </row>
    <row r="8473" spans="1:5">
      <c r="A8473" s="140"/>
      <c r="B8473" s="192"/>
      <c r="C8473" s="140"/>
      <c r="D8473" s="140"/>
      <c r="E8473" s="140"/>
    </row>
    <row r="8474" spans="1:5">
      <c r="A8474" s="140"/>
      <c r="B8474" s="192"/>
      <c r="C8474" s="140"/>
      <c r="D8474" s="140"/>
      <c r="E8474" s="140"/>
    </row>
    <row r="8475" spans="1:5">
      <c r="A8475" s="140"/>
      <c r="B8475" s="192"/>
      <c r="C8475" s="140"/>
      <c r="D8475" s="140"/>
      <c r="E8475" s="140"/>
    </row>
    <row r="8476" spans="1:5">
      <c r="A8476" s="140"/>
      <c r="B8476" s="192"/>
      <c r="C8476" s="140"/>
      <c r="D8476" s="140"/>
      <c r="E8476" s="140"/>
    </row>
    <row r="8477" spans="1:5">
      <c r="A8477" s="140"/>
      <c r="B8477" s="192"/>
      <c r="C8477" s="140"/>
      <c r="D8477" s="140"/>
      <c r="E8477" s="140"/>
    </row>
    <row r="8478" spans="1:5">
      <c r="A8478" s="140"/>
      <c r="B8478" s="192"/>
      <c r="C8478" s="140"/>
      <c r="D8478" s="140"/>
      <c r="E8478" s="140"/>
    </row>
    <row r="8479" spans="1:5">
      <c r="A8479" s="140"/>
      <c r="B8479" s="192"/>
      <c r="C8479" s="140"/>
      <c r="D8479" s="140"/>
      <c r="E8479" s="140"/>
    </row>
    <row r="8480" spans="1:5">
      <c r="A8480" s="140"/>
      <c r="B8480" s="192"/>
      <c r="C8480" s="140"/>
      <c r="D8480" s="140"/>
      <c r="E8480" s="140"/>
    </row>
    <row r="8481" spans="1:5">
      <c r="A8481" s="140"/>
      <c r="B8481" s="192"/>
      <c r="C8481" s="140"/>
      <c r="D8481" s="140"/>
      <c r="E8481" s="140"/>
    </row>
    <row r="8482" spans="1:5">
      <c r="A8482" s="140"/>
      <c r="B8482" s="192"/>
      <c r="C8482" s="140"/>
      <c r="D8482" s="140"/>
      <c r="E8482" s="140"/>
    </row>
    <row r="8483" spans="1:5">
      <c r="A8483" s="140"/>
      <c r="B8483" s="192"/>
      <c r="C8483" s="140"/>
      <c r="D8483" s="140"/>
      <c r="E8483" s="140"/>
    </row>
    <row r="8484" spans="1:5">
      <c r="A8484" s="140"/>
      <c r="B8484" s="192"/>
      <c r="C8484" s="140"/>
      <c r="D8484" s="140"/>
      <c r="E8484" s="140"/>
    </row>
    <row r="8485" spans="1:5">
      <c r="A8485" s="140"/>
      <c r="B8485" s="192"/>
      <c r="C8485" s="140"/>
      <c r="D8485" s="140"/>
      <c r="E8485" s="140"/>
    </row>
    <row r="8486" spans="1:5">
      <c r="A8486" s="140"/>
      <c r="B8486" s="192"/>
      <c r="C8486" s="140"/>
      <c r="D8486" s="140"/>
      <c r="E8486" s="140"/>
    </row>
    <row r="8487" spans="1:5">
      <c r="A8487" s="140"/>
      <c r="B8487" s="192"/>
      <c r="C8487" s="140"/>
      <c r="D8487" s="140"/>
      <c r="E8487" s="140"/>
    </row>
    <row r="8488" spans="1:5">
      <c r="A8488" s="140"/>
      <c r="B8488" s="192"/>
      <c r="C8488" s="140"/>
      <c r="D8488" s="140"/>
      <c r="E8488" s="140"/>
    </row>
    <row r="8489" spans="1:5">
      <c r="A8489" s="140"/>
      <c r="B8489" s="192"/>
      <c r="C8489" s="140"/>
      <c r="D8489" s="140"/>
      <c r="E8489" s="140"/>
    </row>
    <row r="8490" spans="1:5">
      <c r="A8490" s="140"/>
      <c r="B8490" s="192"/>
      <c r="C8490" s="140"/>
      <c r="D8490" s="140"/>
      <c r="E8490" s="140"/>
    </row>
    <row r="8491" spans="1:5">
      <c r="A8491" s="140"/>
      <c r="B8491" s="192"/>
      <c r="C8491" s="140"/>
      <c r="D8491" s="140"/>
      <c r="E8491" s="140"/>
    </row>
    <row r="8492" spans="1:5">
      <c r="A8492" s="140"/>
      <c r="B8492" s="192"/>
      <c r="C8492" s="140"/>
      <c r="D8492" s="140"/>
      <c r="E8492" s="140"/>
    </row>
    <row r="8493" spans="1:5">
      <c r="A8493" s="140"/>
      <c r="B8493" s="192"/>
      <c r="C8493" s="140"/>
      <c r="D8493" s="140"/>
      <c r="E8493" s="140"/>
    </row>
    <row r="8494" spans="1:5">
      <c r="A8494" s="140"/>
      <c r="B8494" s="192"/>
      <c r="C8494" s="140"/>
      <c r="D8494" s="140"/>
      <c r="E8494" s="140"/>
    </row>
    <row r="8495" spans="1:5">
      <c r="A8495" s="140"/>
      <c r="B8495" s="192"/>
      <c r="C8495" s="140"/>
      <c r="D8495" s="140"/>
      <c r="E8495" s="140"/>
    </row>
    <row r="8496" spans="1:5">
      <c r="A8496" s="140"/>
      <c r="B8496" s="192"/>
      <c r="C8496" s="140"/>
      <c r="D8496" s="140"/>
      <c r="E8496" s="140"/>
    </row>
    <row r="8497" spans="1:5">
      <c r="A8497" s="140"/>
      <c r="B8497" s="192"/>
      <c r="C8497" s="140"/>
      <c r="D8497" s="140"/>
      <c r="E8497" s="140"/>
    </row>
    <row r="8498" spans="1:5">
      <c r="A8498" s="140"/>
      <c r="B8498" s="192"/>
      <c r="C8498" s="140"/>
      <c r="D8498" s="140"/>
      <c r="E8498" s="140"/>
    </row>
    <row r="8499" spans="1:5">
      <c r="A8499" s="140"/>
      <c r="B8499" s="192"/>
      <c r="C8499" s="140"/>
      <c r="D8499" s="140"/>
      <c r="E8499" s="140"/>
    </row>
    <row r="8500" spans="1:5">
      <c r="A8500" s="140"/>
      <c r="B8500" s="192"/>
      <c r="C8500" s="140"/>
      <c r="D8500" s="140"/>
      <c r="E8500" s="140"/>
    </row>
    <row r="8501" spans="1:5">
      <c r="A8501" s="140"/>
      <c r="B8501" s="192"/>
      <c r="C8501" s="140"/>
      <c r="D8501" s="140"/>
      <c r="E8501" s="140"/>
    </row>
    <row r="8502" spans="1:5">
      <c r="A8502" s="140"/>
      <c r="B8502" s="192"/>
      <c r="C8502" s="140"/>
      <c r="D8502" s="140"/>
      <c r="E8502" s="140"/>
    </row>
    <row r="8503" spans="1:5">
      <c r="A8503" s="140"/>
      <c r="B8503" s="192"/>
      <c r="C8503" s="140"/>
      <c r="D8503" s="140"/>
      <c r="E8503" s="140"/>
    </row>
    <row r="8504" spans="1:5">
      <c r="A8504" s="140"/>
      <c r="B8504" s="192"/>
      <c r="C8504" s="140"/>
      <c r="D8504" s="140"/>
      <c r="E8504" s="140"/>
    </row>
    <row r="8505" spans="1:5">
      <c r="A8505" s="140"/>
      <c r="B8505" s="192"/>
      <c r="C8505" s="140"/>
      <c r="D8505" s="140"/>
      <c r="E8505" s="140"/>
    </row>
    <row r="8506" spans="1:5">
      <c r="A8506" s="140"/>
      <c r="B8506" s="192"/>
      <c r="C8506" s="140"/>
      <c r="D8506" s="140"/>
      <c r="E8506" s="140"/>
    </row>
    <row r="8507" spans="1:5">
      <c r="A8507" s="140"/>
      <c r="B8507" s="192"/>
      <c r="C8507" s="140"/>
      <c r="D8507" s="140"/>
      <c r="E8507" s="140"/>
    </row>
    <row r="8508" spans="1:5">
      <c r="A8508" s="140"/>
      <c r="B8508" s="192"/>
      <c r="C8508" s="140"/>
      <c r="D8508" s="140"/>
      <c r="E8508" s="140"/>
    </row>
    <row r="8509" spans="1:5">
      <c r="A8509" s="140"/>
      <c r="B8509" s="192"/>
      <c r="C8509" s="140"/>
      <c r="D8509" s="140"/>
      <c r="E8509" s="140"/>
    </row>
    <row r="8510" spans="1:5">
      <c r="A8510" s="140"/>
      <c r="B8510" s="192"/>
      <c r="C8510" s="140"/>
      <c r="D8510" s="140"/>
      <c r="E8510" s="140"/>
    </row>
    <row r="8511" spans="1:5">
      <c r="A8511" s="140"/>
      <c r="B8511" s="192"/>
      <c r="C8511" s="140"/>
      <c r="D8511" s="140"/>
      <c r="E8511" s="140"/>
    </row>
    <row r="8512" spans="1:5">
      <c r="A8512" s="140"/>
      <c r="B8512" s="192"/>
      <c r="C8512" s="140"/>
      <c r="D8512" s="140"/>
      <c r="E8512" s="140"/>
    </row>
    <row r="8513" spans="1:5">
      <c r="A8513" s="140"/>
      <c r="B8513" s="192"/>
      <c r="C8513" s="140"/>
      <c r="D8513" s="140"/>
      <c r="E8513" s="140"/>
    </row>
    <row r="8514" spans="1:5">
      <c r="A8514" s="140"/>
      <c r="B8514" s="192"/>
      <c r="C8514" s="140"/>
      <c r="D8514" s="140"/>
      <c r="E8514" s="140"/>
    </row>
    <row r="8515" spans="1:5">
      <c r="A8515" s="140"/>
      <c r="B8515" s="192"/>
      <c r="C8515" s="140"/>
      <c r="D8515" s="140"/>
      <c r="E8515" s="140"/>
    </row>
    <row r="8516" spans="1:5">
      <c r="A8516" s="140"/>
      <c r="B8516" s="192"/>
      <c r="C8516" s="140"/>
      <c r="D8516" s="140"/>
      <c r="E8516" s="140"/>
    </row>
    <row r="8517" spans="1:5">
      <c r="A8517" s="140"/>
      <c r="B8517" s="192"/>
      <c r="C8517" s="140"/>
      <c r="D8517" s="140"/>
      <c r="E8517" s="140"/>
    </row>
    <row r="8518" spans="1:5">
      <c r="A8518" s="140"/>
      <c r="B8518" s="192"/>
      <c r="C8518" s="140"/>
      <c r="D8518" s="140"/>
      <c r="E8518" s="140"/>
    </row>
    <row r="8519" spans="1:5">
      <c r="A8519" s="140"/>
      <c r="B8519" s="192"/>
      <c r="C8519" s="140"/>
      <c r="D8519" s="140"/>
      <c r="E8519" s="140"/>
    </row>
    <row r="8520" spans="1:5">
      <c r="A8520" s="140"/>
      <c r="B8520" s="192"/>
      <c r="C8520" s="140"/>
      <c r="D8520" s="140"/>
      <c r="E8520" s="140"/>
    </row>
    <row r="8521" spans="1:5">
      <c r="A8521" s="140"/>
      <c r="B8521" s="192"/>
      <c r="C8521" s="140"/>
      <c r="D8521" s="140"/>
      <c r="E8521" s="140"/>
    </row>
    <row r="8522" spans="1:5">
      <c r="A8522" s="140"/>
      <c r="B8522" s="192"/>
      <c r="C8522" s="140"/>
      <c r="D8522" s="140"/>
      <c r="E8522" s="140"/>
    </row>
    <row r="8523" spans="1:5">
      <c r="A8523" s="140"/>
      <c r="B8523" s="192"/>
      <c r="C8523" s="140"/>
      <c r="D8523" s="140"/>
      <c r="E8523" s="140"/>
    </row>
    <row r="8524" spans="1:5">
      <c r="A8524" s="140"/>
      <c r="B8524" s="192"/>
      <c r="C8524" s="140"/>
      <c r="D8524" s="140"/>
      <c r="E8524" s="140"/>
    </row>
    <row r="8525" spans="1:5">
      <c r="A8525" s="140"/>
      <c r="B8525" s="192"/>
      <c r="C8525" s="140"/>
      <c r="D8525" s="140"/>
      <c r="E8525" s="140"/>
    </row>
    <row r="8526" spans="1:5">
      <c r="A8526" s="140"/>
      <c r="B8526" s="192"/>
      <c r="C8526" s="140"/>
      <c r="D8526" s="140"/>
      <c r="E8526" s="140"/>
    </row>
    <row r="8527" spans="1:5">
      <c r="A8527" s="140"/>
      <c r="B8527" s="192"/>
      <c r="C8527" s="140"/>
      <c r="D8527" s="140"/>
      <c r="E8527" s="140"/>
    </row>
    <row r="8528" spans="1:5">
      <c r="A8528" s="140"/>
      <c r="B8528" s="192"/>
      <c r="C8528" s="140"/>
      <c r="D8528" s="140"/>
      <c r="E8528" s="140"/>
    </row>
    <row r="8529" spans="1:5">
      <c r="A8529" s="140"/>
      <c r="B8529" s="192"/>
      <c r="C8529" s="140"/>
      <c r="D8529" s="140"/>
      <c r="E8529" s="140"/>
    </row>
    <row r="8530" spans="1:5">
      <c r="A8530" s="140"/>
      <c r="B8530" s="192"/>
      <c r="C8530" s="140"/>
      <c r="D8530" s="140"/>
      <c r="E8530" s="140"/>
    </row>
    <row r="8531" spans="1:5">
      <c r="A8531" s="140"/>
      <c r="B8531" s="192"/>
      <c r="C8531" s="140"/>
      <c r="D8531" s="140"/>
      <c r="E8531" s="140"/>
    </row>
    <row r="8532" spans="1:5">
      <c r="A8532" s="140"/>
      <c r="B8532" s="192"/>
      <c r="C8532" s="140"/>
      <c r="D8532" s="140"/>
      <c r="E8532" s="140"/>
    </row>
    <row r="8533" spans="1:5">
      <c r="A8533" s="140"/>
      <c r="B8533" s="192"/>
      <c r="C8533" s="140"/>
      <c r="D8533" s="140"/>
      <c r="E8533" s="140"/>
    </row>
    <row r="8534" spans="1:5">
      <c r="A8534" s="140"/>
      <c r="B8534" s="192"/>
      <c r="C8534" s="140"/>
      <c r="D8534" s="140"/>
      <c r="E8534" s="140"/>
    </row>
    <row r="8535" spans="1:5">
      <c r="A8535" s="140"/>
      <c r="B8535" s="192"/>
      <c r="C8535" s="140"/>
      <c r="D8535" s="140"/>
      <c r="E8535" s="140"/>
    </row>
    <row r="8536" spans="1:5">
      <c r="A8536" s="140"/>
      <c r="B8536" s="192"/>
      <c r="C8536" s="140"/>
      <c r="D8536" s="140"/>
      <c r="E8536" s="140"/>
    </row>
    <row r="8537" spans="1:5">
      <c r="A8537" s="140"/>
      <c r="B8537" s="192"/>
      <c r="C8537" s="140"/>
      <c r="D8537" s="140"/>
      <c r="E8537" s="140"/>
    </row>
    <row r="8538" spans="1:5">
      <c r="A8538" s="140"/>
      <c r="B8538" s="192"/>
      <c r="C8538" s="140"/>
      <c r="D8538" s="140"/>
      <c r="E8538" s="140"/>
    </row>
    <row r="8539" spans="1:5">
      <c r="A8539" s="140"/>
      <c r="B8539" s="192"/>
      <c r="C8539" s="140"/>
      <c r="D8539" s="140"/>
      <c r="E8539" s="140"/>
    </row>
    <row r="8540" spans="1:5">
      <c r="A8540" s="140"/>
      <c r="B8540" s="192"/>
      <c r="C8540" s="140"/>
      <c r="D8540" s="140"/>
      <c r="E8540" s="140"/>
    </row>
    <row r="8541" spans="1:5">
      <c r="A8541" s="140"/>
      <c r="B8541" s="192"/>
      <c r="C8541" s="140"/>
      <c r="D8541" s="140"/>
      <c r="E8541" s="140"/>
    </row>
    <row r="8542" spans="1:5">
      <c r="A8542" s="140"/>
      <c r="B8542" s="192"/>
      <c r="C8542" s="140"/>
      <c r="D8542" s="140"/>
      <c r="E8542" s="140"/>
    </row>
    <row r="8543" spans="1:5">
      <c r="A8543" s="140"/>
      <c r="B8543" s="192"/>
      <c r="C8543" s="140"/>
      <c r="D8543" s="140"/>
      <c r="E8543" s="140"/>
    </row>
    <row r="8544" spans="1:5">
      <c r="A8544" s="140"/>
      <c r="B8544" s="192"/>
      <c r="C8544" s="140"/>
      <c r="D8544" s="140"/>
      <c r="E8544" s="140"/>
    </row>
    <row r="8545" spans="1:5">
      <c r="A8545" s="140"/>
      <c r="B8545" s="192"/>
      <c r="C8545" s="140"/>
      <c r="D8545" s="140"/>
      <c r="E8545" s="140"/>
    </row>
    <row r="8546" spans="1:5">
      <c r="A8546" s="140"/>
      <c r="B8546" s="192"/>
      <c r="C8546" s="140"/>
      <c r="D8546" s="140"/>
      <c r="E8546" s="140"/>
    </row>
    <row r="8547" spans="1:5">
      <c r="A8547" s="140"/>
      <c r="B8547" s="192"/>
      <c r="C8547" s="140"/>
      <c r="D8547" s="140"/>
      <c r="E8547" s="140"/>
    </row>
    <row r="8548" spans="1:5">
      <c r="A8548" s="140"/>
      <c r="B8548" s="192"/>
      <c r="C8548" s="140"/>
      <c r="D8548" s="140"/>
      <c r="E8548" s="140"/>
    </row>
    <row r="8549" spans="1:5">
      <c r="A8549" s="140"/>
      <c r="B8549" s="192"/>
      <c r="C8549" s="140"/>
      <c r="D8549" s="140"/>
      <c r="E8549" s="140"/>
    </row>
    <row r="8550" spans="1:5">
      <c r="A8550" s="140"/>
      <c r="B8550" s="192"/>
      <c r="C8550" s="140"/>
      <c r="D8550" s="140"/>
      <c r="E8550" s="140"/>
    </row>
    <row r="8551" spans="1:5">
      <c r="A8551" s="140"/>
      <c r="B8551" s="192"/>
      <c r="C8551" s="140"/>
      <c r="D8551" s="140"/>
      <c r="E8551" s="140"/>
    </row>
    <row r="8552" spans="1:5">
      <c r="A8552" s="140"/>
      <c r="B8552" s="192"/>
      <c r="C8552" s="140"/>
      <c r="D8552" s="140"/>
      <c r="E8552" s="140"/>
    </row>
    <row r="8553" spans="1:5">
      <c r="A8553" s="140"/>
      <c r="B8553" s="192"/>
      <c r="C8553" s="140"/>
      <c r="D8553" s="140"/>
      <c r="E8553" s="140"/>
    </row>
    <row r="8554" spans="1:5">
      <c r="A8554" s="140"/>
      <c r="B8554" s="192"/>
      <c r="C8554" s="140"/>
      <c r="D8554" s="140"/>
      <c r="E8554" s="140"/>
    </row>
    <row r="8555" spans="1:5">
      <c r="A8555" s="140"/>
      <c r="B8555" s="192"/>
      <c r="C8555" s="140"/>
      <c r="D8555" s="140"/>
      <c r="E8555" s="140"/>
    </row>
    <row r="8556" spans="1:5">
      <c r="A8556" s="140"/>
      <c r="B8556" s="192"/>
      <c r="C8556" s="140"/>
      <c r="D8556" s="140"/>
      <c r="E8556" s="140"/>
    </row>
    <row r="8557" spans="1:5">
      <c r="A8557" s="140"/>
      <c r="B8557" s="192"/>
      <c r="C8557" s="140"/>
      <c r="D8557" s="140"/>
      <c r="E8557" s="140"/>
    </row>
    <row r="8558" spans="1:5">
      <c r="A8558" s="140"/>
      <c r="B8558" s="192"/>
      <c r="C8558" s="140"/>
      <c r="D8558" s="140"/>
      <c r="E8558" s="140"/>
    </row>
    <row r="8559" spans="1:5">
      <c r="A8559" s="140"/>
      <c r="B8559" s="192"/>
      <c r="C8559" s="140"/>
      <c r="D8559" s="140"/>
      <c r="E8559" s="140"/>
    </row>
    <row r="8560" spans="1:5">
      <c r="A8560" s="140"/>
      <c r="B8560" s="192"/>
      <c r="C8560" s="140"/>
      <c r="D8560" s="140"/>
      <c r="E8560" s="140"/>
    </row>
    <row r="8561" spans="1:5">
      <c r="A8561" s="140"/>
      <c r="B8561" s="192"/>
      <c r="C8561" s="140"/>
      <c r="D8561" s="140"/>
      <c r="E8561" s="140"/>
    </row>
    <row r="8562" spans="1:5">
      <c r="A8562" s="140"/>
      <c r="B8562" s="192"/>
      <c r="C8562" s="140"/>
      <c r="D8562" s="140"/>
      <c r="E8562" s="140"/>
    </row>
    <row r="8563" spans="1:5">
      <c r="A8563" s="140"/>
      <c r="B8563" s="192"/>
      <c r="C8563" s="140"/>
      <c r="D8563" s="140"/>
      <c r="E8563" s="140"/>
    </row>
    <row r="8564" spans="1:5">
      <c r="A8564" s="140"/>
      <c r="B8564" s="192"/>
      <c r="C8564" s="140"/>
      <c r="D8564" s="140"/>
      <c r="E8564" s="140"/>
    </row>
    <row r="8565" spans="1:5">
      <c r="A8565" s="140"/>
      <c r="B8565" s="192"/>
      <c r="C8565" s="140"/>
      <c r="D8565" s="140"/>
      <c r="E8565" s="140"/>
    </row>
    <row r="8566" spans="1:5">
      <c r="A8566" s="140"/>
      <c r="B8566" s="192"/>
      <c r="C8566" s="140"/>
      <c r="D8566" s="140"/>
      <c r="E8566" s="140"/>
    </row>
    <row r="8567" spans="1:5">
      <c r="A8567" s="140"/>
      <c r="B8567" s="192"/>
      <c r="C8567" s="140"/>
      <c r="D8567" s="140"/>
      <c r="E8567" s="140"/>
    </row>
    <row r="8568" spans="1:5">
      <c r="A8568" s="140"/>
      <c r="B8568" s="192"/>
      <c r="C8568" s="140"/>
      <c r="D8568" s="140"/>
      <c r="E8568" s="140"/>
    </row>
    <row r="8569" spans="1:5">
      <c r="A8569" s="140"/>
      <c r="B8569" s="192"/>
      <c r="C8569" s="140"/>
      <c r="D8569" s="140"/>
      <c r="E8569" s="140"/>
    </row>
    <row r="8570" spans="1:5">
      <c r="A8570" s="140"/>
      <c r="B8570" s="192"/>
      <c r="C8570" s="140"/>
      <c r="D8570" s="140"/>
      <c r="E8570" s="140"/>
    </row>
    <row r="8571" spans="1:5">
      <c r="A8571" s="140"/>
      <c r="B8571" s="192"/>
      <c r="C8571" s="140"/>
      <c r="D8571" s="140"/>
      <c r="E8571" s="140"/>
    </row>
    <row r="8572" spans="1:5">
      <c r="A8572" s="140"/>
      <c r="B8572" s="192"/>
      <c r="C8572" s="140"/>
      <c r="D8572" s="140"/>
      <c r="E8572" s="140"/>
    </row>
    <row r="8573" spans="1:5">
      <c r="A8573" s="140"/>
      <c r="B8573" s="192"/>
      <c r="C8573" s="140"/>
      <c r="D8573" s="140"/>
      <c r="E8573" s="140"/>
    </row>
    <row r="8574" spans="1:5">
      <c r="A8574" s="140"/>
      <c r="B8574" s="192"/>
      <c r="C8574" s="140"/>
      <c r="D8574" s="140"/>
      <c r="E8574" s="140"/>
    </row>
    <row r="8575" spans="1:5">
      <c r="A8575" s="140"/>
      <c r="B8575" s="192"/>
      <c r="C8575" s="140"/>
      <c r="D8575" s="140"/>
      <c r="E8575" s="140"/>
    </row>
    <row r="8576" spans="1:5">
      <c r="A8576" s="140"/>
      <c r="B8576" s="192"/>
      <c r="C8576" s="140"/>
      <c r="D8576" s="140"/>
      <c r="E8576" s="140"/>
    </row>
    <row r="8577" spans="1:5">
      <c r="A8577" s="140"/>
      <c r="B8577" s="192"/>
      <c r="C8577" s="140"/>
      <c r="D8577" s="140"/>
      <c r="E8577" s="140"/>
    </row>
    <row r="8578" spans="1:5">
      <c r="A8578" s="140"/>
      <c r="B8578" s="192"/>
      <c r="C8578" s="140"/>
      <c r="D8578" s="140"/>
      <c r="E8578" s="140"/>
    </row>
    <row r="8579" spans="1:5">
      <c r="A8579" s="140"/>
      <c r="B8579" s="192"/>
      <c r="C8579" s="140"/>
      <c r="D8579" s="140"/>
      <c r="E8579" s="140"/>
    </row>
    <row r="8580" spans="1:5">
      <c r="A8580" s="140"/>
      <c r="B8580" s="192"/>
      <c r="C8580" s="140"/>
      <c r="D8580" s="140"/>
      <c r="E8580" s="140"/>
    </row>
    <row r="8581" spans="1:5">
      <c r="A8581" s="140"/>
      <c r="B8581" s="192"/>
      <c r="C8581" s="140"/>
      <c r="D8581" s="140"/>
      <c r="E8581" s="140"/>
    </row>
    <row r="8582" spans="1:5">
      <c r="A8582" s="140"/>
      <c r="B8582" s="192"/>
      <c r="C8582" s="140"/>
      <c r="D8582" s="140"/>
      <c r="E8582" s="140"/>
    </row>
    <row r="8583" spans="1:5">
      <c r="A8583" s="140"/>
      <c r="B8583" s="192"/>
      <c r="C8583" s="140"/>
      <c r="D8583" s="140"/>
      <c r="E8583" s="140"/>
    </row>
    <row r="8584" spans="1:5">
      <c r="A8584" s="140"/>
      <c r="B8584" s="192"/>
      <c r="C8584" s="140"/>
      <c r="D8584" s="140"/>
      <c r="E8584" s="140"/>
    </row>
    <row r="8585" spans="1:5">
      <c r="A8585" s="140"/>
      <c r="B8585" s="192"/>
      <c r="C8585" s="140"/>
      <c r="D8585" s="140"/>
      <c r="E8585" s="140"/>
    </row>
    <row r="8586" spans="1:5">
      <c r="A8586" s="140"/>
      <c r="B8586" s="192"/>
      <c r="C8586" s="140"/>
      <c r="D8586" s="140"/>
      <c r="E8586" s="140"/>
    </row>
    <row r="8587" spans="1:5">
      <c r="A8587" s="140"/>
      <c r="B8587" s="192"/>
      <c r="C8587" s="140"/>
      <c r="D8587" s="140"/>
      <c r="E8587" s="140"/>
    </row>
    <row r="8588" spans="1:5">
      <c r="A8588" s="140"/>
      <c r="B8588" s="192"/>
      <c r="C8588" s="140"/>
      <c r="D8588" s="140"/>
      <c r="E8588" s="140"/>
    </row>
    <row r="8589" spans="1:5">
      <c r="A8589" s="140"/>
      <c r="B8589" s="192"/>
      <c r="C8589" s="140"/>
      <c r="D8589" s="140"/>
      <c r="E8589" s="140"/>
    </row>
    <row r="8590" spans="1:5">
      <c r="A8590" s="140"/>
      <c r="B8590" s="192"/>
      <c r="C8590" s="140"/>
      <c r="D8590" s="140"/>
      <c r="E8590" s="140"/>
    </row>
    <row r="8591" spans="1:5">
      <c r="A8591" s="140"/>
      <c r="B8591" s="192"/>
      <c r="C8591" s="140"/>
      <c r="D8591" s="140"/>
      <c r="E8591" s="140"/>
    </row>
    <row r="8592" spans="1:5">
      <c r="A8592" s="140"/>
      <c r="B8592" s="192"/>
      <c r="C8592" s="140"/>
      <c r="D8592" s="140"/>
      <c r="E8592" s="140"/>
    </row>
    <row r="8593" spans="1:5">
      <c r="A8593" s="140"/>
      <c r="B8593" s="192"/>
      <c r="C8593" s="140"/>
      <c r="D8593" s="140"/>
      <c r="E8593" s="140"/>
    </row>
    <row r="8594" spans="1:5">
      <c r="A8594" s="140"/>
      <c r="B8594" s="192"/>
      <c r="C8594" s="140"/>
      <c r="D8594" s="140"/>
      <c r="E8594" s="140"/>
    </row>
    <row r="8595" spans="1:5">
      <c r="A8595" s="140"/>
      <c r="B8595" s="192"/>
      <c r="C8595" s="140"/>
      <c r="D8595" s="140"/>
      <c r="E8595" s="140"/>
    </row>
    <row r="8596" spans="1:5">
      <c r="A8596" s="140"/>
      <c r="B8596" s="192"/>
      <c r="C8596" s="140"/>
      <c r="D8596" s="140"/>
      <c r="E8596" s="140"/>
    </row>
    <row r="8597" spans="1:5">
      <c r="A8597" s="140"/>
      <c r="B8597" s="192"/>
      <c r="C8597" s="140"/>
      <c r="D8597" s="140"/>
      <c r="E8597" s="140"/>
    </row>
    <row r="8598" spans="1:5">
      <c r="A8598" s="140"/>
      <c r="B8598" s="192"/>
      <c r="C8598" s="140"/>
      <c r="D8598" s="140"/>
      <c r="E8598" s="140"/>
    </row>
    <row r="8599" spans="1:5">
      <c r="A8599" s="140"/>
      <c r="B8599" s="192"/>
      <c r="C8599" s="140"/>
      <c r="D8599" s="140"/>
      <c r="E8599" s="140"/>
    </row>
    <row r="8600" spans="1:5">
      <c r="A8600" s="140"/>
      <c r="B8600" s="192"/>
      <c r="C8600" s="140"/>
      <c r="D8600" s="140"/>
      <c r="E8600" s="140"/>
    </row>
    <row r="8601" spans="1:5">
      <c r="A8601" s="140"/>
      <c r="B8601" s="192"/>
      <c r="C8601" s="140"/>
      <c r="D8601" s="140"/>
      <c r="E8601" s="140"/>
    </row>
    <row r="8602" spans="1:5">
      <c r="A8602" s="140"/>
      <c r="B8602" s="192"/>
      <c r="C8602" s="140"/>
      <c r="D8602" s="140"/>
      <c r="E8602" s="140"/>
    </row>
    <row r="8603" spans="1:5">
      <c r="A8603" s="140"/>
      <c r="B8603" s="192"/>
      <c r="C8603" s="140"/>
      <c r="D8603" s="140"/>
      <c r="E8603" s="140"/>
    </row>
    <row r="8604" spans="1:5">
      <c r="A8604" s="140"/>
      <c r="B8604" s="192"/>
      <c r="C8604" s="140"/>
      <c r="D8604" s="140"/>
      <c r="E8604" s="140"/>
    </row>
    <row r="8605" spans="1:5">
      <c r="A8605" s="140"/>
      <c r="B8605" s="192"/>
      <c r="C8605" s="140"/>
      <c r="D8605" s="140"/>
      <c r="E8605" s="140"/>
    </row>
    <row r="8606" spans="1:5">
      <c r="A8606" s="140"/>
      <c r="B8606" s="192"/>
      <c r="C8606" s="140"/>
      <c r="D8606" s="140"/>
      <c r="E8606" s="140"/>
    </row>
    <row r="8607" spans="1:5">
      <c r="A8607" s="140"/>
      <c r="B8607" s="192"/>
      <c r="C8607" s="140"/>
      <c r="D8607" s="140"/>
      <c r="E8607" s="140"/>
    </row>
    <row r="8608" spans="1:5">
      <c r="A8608" s="140"/>
      <c r="B8608" s="192"/>
      <c r="C8608" s="140"/>
      <c r="D8608" s="140"/>
      <c r="E8608" s="140"/>
    </row>
    <row r="8609" spans="1:5">
      <c r="A8609" s="140"/>
      <c r="B8609" s="192"/>
      <c r="C8609" s="140"/>
      <c r="D8609" s="140"/>
      <c r="E8609" s="140"/>
    </row>
    <row r="8610" spans="1:5">
      <c r="A8610" s="140"/>
      <c r="B8610" s="192"/>
      <c r="C8610" s="140"/>
      <c r="D8610" s="140"/>
      <c r="E8610" s="140"/>
    </row>
    <row r="8611" spans="1:5">
      <c r="A8611" s="140"/>
      <c r="B8611" s="192"/>
      <c r="C8611" s="140"/>
      <c r="D8611" s="140"/>
      <c r="E8611" s="140"/>
    </row>
    <row r="8612" spans="1:5">
      <c r="A8612" s="140"/>
      <c r="B8612" s="192"/>
      <c r="C8612" s="140"/>
      <c r="D8612" s="140"/>
      <c r="E8612" s="140"/>
    </row>
    <row r="8613" spans="1:5">
      <c r="A8613" s="140"/>
      <c r="B8613" s="192"/>
      <c r="C8613" s="140"/>
      <c r="D8613" s="140"/>
      <c r="E8613" s="140"/>
    </row>
    <row r="8614" spans="1:5">
      <c r="A8614" s="140"/>
      <c r="B8614" s="192"/>
      <c r="C8614" s="140"/>
      <c r="D8614" s="140"/>
      <c r="E8614" s="140"/>
    </row>
    <row r="8615" spans="1:5">
      <c r="A8615" s="140"/>
      <c r="B8615" s="192"/>
      <c r="C8615" s="140"/>
      <c r="D8615" s="140"/>
      <c r="E8615" s="140"/>
    </row>
    <row r="8616" spans="1:5">
      <c r="A8616" s="140"/>
      <c r="B8616" s="192"/>
      <c r="C8616" s="140"/>
      <c r="D8616" s="140"/>
      <c r="E8616" s="140"/>
    </row>
    <row r="8617" spans="1:5">
      <c r="A8617" s="140"/>
      <c r="B8617" s="192"/>
      <c r="C8617" s="140"/>
      <c r="D8617" s="140"/>
      <c r="E8617" s="140"/>
    </row>
    <row r="8618" spans="1:5">
      <c r="A8618" s="140"/>
      <c r="B8618" s="192"/>
      <c r="C8618" s="140"/>
      <c r="D8618" s="140"/>
      <c r="E8618" s="140"/>
    </row>
    <row r="8619" spans="1:5">
      <c r="A8619" s="140"/>
      <c r="B8619" s="192"/>
      <c r="C8619" s="140"/>
      <c r="D8619" s="140"/>
      <c r="E8619" s="140"/>
    </row>
    <row r="8620" spans="1:5">
      <c r="A8620" s="140"/>
      <c r="B8620" s="192"/>
      <c r="C8620" s="140"/>
      <c r="D8620" s="140"/>
      <c r="E8620" s="140"/>
    </row>
    <row r="8621" spans="1:5">
      <c r="A8621" s="140"/>
      <c r="B8621" s="192"/>
      <c r="C8621" s="140"/>
      <c r="D8621" s="140"/>
      <c r="E8621" s="140"/>
    </row>
    <row r="8622" spans="1:5">
      <c r="A8622" s="140"/>
      <c r="B8622" s="192"/>
      <c r="C8622" s="140"/>
      <c r="D8622" s="140"/>
      <c r="E8622" s="140"/>
    </row>
    <row r="8623" spans="1:5">
      <c r="A8623" s="140"/>
      <c r="B8623" s="192"/>
      <c r="C8623" s="140"/>
      <c r="D8623" s="140"/>
      <c r="E8623" s="140"/>
    </row>
    <row r="8624" spans="1:5">
      <c r="A8624" s="140"/>
      <c r="B8624" s="192"/>
      <c r="C8624" s="140"/>
      <c r="D8624" s="140"/>
      <c r="E8624" s="140"/>
    </row>
    <row r="8625" spans="1:5">
      <c r="A8625" s="140"/>
      <c r="B8625" s="192"/>
      <c r="C8625" s="140"/>
      <c r="D8625" s="140"/>
      <c r="E8625" s="140"/>
    </row>
    <row r="8626" spans="1:5">
      <c r="A8626" s="140"/>
      <c r="B8626" s="192"/>
      <c r="C8626" s="140"/>
      <c r="D8626" s="140"/>
      <c r="E8626" s="140"/>
    </row>
    <row r="8627" spans="1:5">
      <c r="A8627" s="140"/>
      <c r="B8627" s="192"/>
      <c r="C8627" s="140"/>
      <c r="D8627" s="140"/>
      <c r="E8627" s="140"/>
    </row>
    <row r="8628" spans="1:5">
      <c r="A8628" s="140"/>
      <c r="B8628" s="192"/>
      <c r="C8628" s="140"/>
      <c r="D8628" s="140"/>
      <c r="E8628" s="140"/>
    </row>
    <row r="8629" spans="1:5">
      <c r="A8629" s="140"/>
      <c r="B8629" s="192"/>
      <c r="C8629" s="140"/>
      <c r="D8629" s="140"/>
      <c r="E8629" s="140"/>
    </row>
    <row r="8630" spans="1:5">
      <c r="A8630" s="140"/>
      <c r="B8630" s="192"/>
      <c r="C8630" s="140"/>
      <c r="D8630" s="140"/>
      <c r="E8630" s="140"/>
    </row>
    <row r="8631" spans="1:5">
      <c r="A8631" s="140"/>
      <c r="B8631" s="192"/>
      <c r="C8631" s="140"/>
      <c r="D8631" s="140"/>
      <c r="E8631" s="140"/>
    </row>
    <row r="8632" spans="1:5">
      <c r="A8632" s="140"/>
      <c r="B8632" s="192"/>
      <c r="C8632" s="140"/>
      <c r="D8632" s="140"/>
      <c r="E8632" s="140"/>
    </row>
    <row r="8633" spans="1:5">
      <c r="A8633" s="140"/>
      <c r="B8633" s="192"/>
      <c r="C8633" s="140"/>
      <c r="D8633" s="140"/>
      <c r="E8633" s="140"/>
    </row>
    <row r="8634" spans="1:5">
      <c r="A8634" s="140"/>
      <c r="B8634" s="192"/>
      <c r="C8634" s="140"/>
      <c r="D8634" s="140"/>
      <c r="E8634" s="140"/>
    </row>
    <row r="8635" spans="1:5">
      <c r="A8635" s="140"/>
      <c r="B8635" s="192"/>
      <c r="C8635" s="140"/>
      <c r="D8635" s="140"/>
      <c r="E8635" s="140"/>
    </row>
    <row r="8636" spans="1:5">
      <c r="A8636" s="140"/>
      <c r="B8636" s="192"/>
      <c r="C8636" s="140"/>
      <c r="D8636" s="140"/>
      <c r="E8636" s="140"/>
    </row>
    <row r="8637" spans="1:5">
      <c r="A8637" s="140"/>
      <c r="B8637" s="192"/>
      <c r="C8637" s="140"/>
      <c r="D8637" s="140"/>
      <c r="E8637" s="140"/>
    </row>
    <row r="8638" spans="1:5">
      <c r="A8638" s="140"/>
      <c r="B8638" s="192"/>
      <c r="C8638" s="140"/>
      <c r="D8638" s="140"/>
      <c r="E8638" s="140"/>
    </row>
    <row r="8639" spans="1:5">
      <c r="A8639" s="140"/>
      <c r="B8639" s="192"/>
      <c r="C8639" s="140"/>
      <c r="D8639" s="140"/>
      <c r="E8639" s="140"/>
    </row>
    <row r="8640" spans="1:5">
      <c r="A8640" s="140"/>
      <c r="B8640" s="192"/>
      <c r="C8640" s="140"/>
      <c r="D8640" s="140"/>
      <c r="E8640" s="140"/>
    </row>
    <row r="8641" spans="1:5">
      <c r="A8641" s="140"/>
      <c r="B8641" s="192"/>
      <c r="C8641" s="140"/>
      <c r="D8641" s="140"/>
      <c r="E8641" s="140"/>
    </row>
    <row r="8642" spans="1:5">
      <c r="A8642" s="140"/>
      <c r="B8642" s="192"/>
      <c r="C8642" s="140"/>
      <c r="D8642" s="140"/>
      <c r="E8642" s="140"/>
    </row>
    <row r="8643" spans="1:5">
      <c r="A8643" s="140"/>
      <c r="B8643" s="192"/>
      <c r="C8643" s="140"/>
      <c r="D8643" s="140"/>
      <c r="E8643" s="140"/>
    </row>
    <row r="8644" spans="1:5">
      <c r="A8644" s="140"/>
      <c r="B8644" s="192"/>
      <c r="C8644" s="140"/>
      <c r="D8644" s="140"/>
      <c r="E8644" s="140"/>
    </row>
    <row r="8645" spans="1:5">
      <c r="A8645" s="140"/>
      <c r="B8645" s="192"/>
      <c r="C8645" s="140"/>
      <c r="D8645" s="140"/>
      <c r="E8645" s="140"/>
    </row>
    <row r="8646" spans="1:5">
      <c r="A8646" s="140"/>
      <c r="B8646" s="192"/>
      <c r="C8646" s="140"/>
      <c r="D8646" s="140"/>
      <c r="E8646" s="140"/>
    </row>
    <row r="8647" spans="1:5">
      <c r="A8647" s="140"/>
      <c r="B8647" s="192"/>
      <c r="C8647" s="140"/>
      <c r="D8647" s="140"/>
      <c r="E8647" s="140"/>
    </row>
    <row r="8648" spans="1:5">
      <c r="A8648" s="140"/>
      <c r="B8648" s="192"/>
      <c r="C8648" s="140"/>
      <c r="D8648" s="140"/>
      <c r="E8648" s="140"/>
    </row>
    <row r="8649" spans="1:5">
      <c r="A8649" s="140"/>
      <c r="B8649" s="192"/>
      <c r="C8649" s="140"/>
      <c r="D8649" s="140"/>
      <c r="E8649" s="140"/>
    </row>
    <row r="8650" spans="1:5">
      <c r="A8650" s="140"/>
      <c r="B8650" s="192"/>
      <c r="C8650" s="140"/>
      <c r="D8650" s="140"/>
      <c r="E8650" s="140"/>
    </row>
    <row r="8651" spans="1:5">
      <c r="A8651" s="140"/>
      <c r="B8651" s="192"/>
      <c r="C8651" s="140"/>
      <c r="D8651" s="140"/>
      <c r="E8651" s="140"/>
    </row>
    <row r="8652" spans="1:5">
      <c r="A8652" s="140"/>
      <c r="B8652" s="192"/>
      <c r="C8652" s="140"/>
      <c r="D8652" s="140"/>
      <c r="E8652" s="140"/>
    </row>
    <row r="8653" spans="1:5">
      <c r="A8653" s="140"/>
      <c r="B8653" s="192"/>
      <c r="C8653" s="140"/>
      <c r="D8653" s="140"/>
      <c r="E8653" s="140"/>
    </row>
    <row r="8654" spans="1:5">
      <c r="A8654" s="140"/>
      <c r="B8654" s="192"/>
      <c r="C8654" s="140"/>
      <c r="D8654" s="140"/>
      <c r="E8654" s="140"/>
    </row>
    <row r="8655" spans="1:5">
      <c r="A8655" s="140"/>
      <c r="B8655" s="192"/>
      <c r="C8655" s="140"/>
      <c r="D8655" s="140"/>
      <c r="E8655" s="140"/>
    </row>
    <row r="8656" spans="1:5">
      <c r="A8656" s="140"/>
      <c r="B8656" s="192"/>
      <c r="C8656" s="140"/>
      <c r="D8656" s="140"/>
      <c r="E8656" s="140"/>
    </row>
    <row r="8657" spans="1:5">
      <c r="A8657" s="140"/>
      <c r="B8657" s="192"/>
      <c r="C8657" s="140"/>
      <c r="D8657" s="140"/>
      <c r="E8657" s="140"/>
    </row>
    <row r="8658" spans="1:5">
      <c r="A8658" s="140"/>
      <c r="B8658" s="192"/>
      <c r="C8658" s="140"/>
      <c r="D8658" s="140"/>
      <c r="E8658" s="140"/>
    </row>
    <row r="8659" spans="1:5">
      <c r="A8659" s="140"/>
      <c r="B8659" s="192"/>
      <c r="C8659" s="140"/>
      <c r="D8659" s="140"/>
      <c r="E8659" s="140"/>
    </row>
    <row r="8660" spans="1:5">
      <c r="A8660" s="140"/>
      <c r="B8660" s="192"/>
      <c r="C8660" s="140"/>
      <c r="D8660" s="140"/>
      <c r="E8660" s="140"/>
    </row>
    <row r="8661" spans="1:5">
      <c r="A8661" s="140"/>
      <c r="B8661" s="192"/>
      <c r="C8661" s="140"/>
      <c r="D8661" s="140"/>
      <c r="E8661" s="140"/>
    </row>
    <row r="8662" spans="1:5">
      <c r="A8662" s="140"/>
      <c r="B8662" s="192"/>
      <c r="C8662" s="140"/>
      <c r="D8662" s="140"/>
      <c r="E8662" s="140"/>
    </row>
    <row r="8663" spans="1:5">
      <c r="A8663" s="140"/>
      <c r="B8663" s="192"/>
      <c r="C8663" s="140"/>
      <c r="D8663" s="140"/>
      <c r="E8663" s="140"/>
    </row>
    <row r="8664" spans="1:5">
      <c r="A8664" s="140"/>
      <c r="B8664" s="192"/>
      <c r="C8664" s="140"/>
      <c r="D8664" s="140"/>
      <c r="E8664" s="140"/>
    </row>
    <row r="8665" spans="1:5">
      <c r="A8665" s="140"/>
      <c r="B8665" s="192"/>
      <c r="C8665" s="140"/>
      <c r="D8665" s="140"/>
      <c r="E8665" s="140"/>
    </row>
    <row r="8666" spans="1:5">
      <c r="A8666" s="140"/>
      <c r="B8666" s="192"/>
      <c r="C8666" s="140"/>
      <c r="D8666" s="140"/>
      <c r="E8666" s="140"/>
    </row>
    <row r="8667" spans="1:5">
      <c r="A8667" s="140"/>
      <c r="B8667" s="192"/>
      <c r="C8667" s="140"/>
      <c r="D8667" s="140"/>
      <c r="E8667" s="140"/>
    </row>
    <row r="8668" spans="1:5">
      <c r="A8668" s="140"/>
      <c r="B8668" s="192"/>
      <c r="C8668" s="140"/>
      <c r="D8668" s="140"/>
      <c r="E8668" s="140"/>
    </row>
    <row r="8669" spans="1:5">
      <c r="A8669" s="140"/>
      <c r="B8669" s="192"/>
      <c r="C8669" s="140"/>
      <c r="D8669" s="140"/>
      <c r="E8669" s="140"/>
    </row>
    <row r="8670" spans="1:5">
      <c r="A8670" s="140"/>
      <c r="B8670" s="192"/>
      <c r="C8670" s="140"/>
      <c r="D8670" s="140"/>
      <c r="E8670" s="140"/>
    </row>
    <row r="8671" spans="1:5">
      <c r="A8671" s="140"/>
      <c r="B8671" s="192"/>
      <c r="C8671" s="140"/>
      <c r="D8671" s="140"/>
      <c r="E8671" s="140"/>
    </row>
    <row r="8672" spans="1:5">
      <c r="A8672" s="140"/>
      <c r="B8672" s="192"/>
      <c r="C8672" s="140"/>
      <c r="D8672" s="140"/>
      <c r="E8672" s="140"/>
    </row>
    <row r="8673" spans="1:5">
      <c r="A8673" s="140"/>
      <c r="B8673" s="192"/>
      <c r="C8673" s="140"/>
      <c r="D8673" s="140"/>
      <c r="E8673" s="140"/>
    </row>
    <row r="8674" spans="1:5">
      <c r="A8674" s="140"/>
      <c r="B8674" s="192"/>
      <c r="C8674" s="140"/>
      <c r="D8674" s="140"/>
      <c r="E8674" s="140"/>
    </row>
    <row r="8675" spans="1:5">
      <c r="A8675" s="140"/>
      <c r="B8675" s="192"/>
      <c r="C8675" s="140"/>
      <c r="D8675" s="140"/>
      <c r="E8675" s="140"/>
    </row>
    <row r="8676" spans="1:5">
      <c r="A8676" s="140"/>
      <c r="B8676" s="192"/>
      <c r="C8676" s="140"/>
      <c r="D8676" s="140"/>
      <c r="E8676" s="140"/>
    </row>
    <row r="8677" spans="1:5">
      <c r="A8677" s="140"/>
      <c r="B8677" s="192"/>
      <c r="C8677" s="140"/>
      <c r="D8677" s="140"/>
      <c r="E8677" s="140"/>
    </row>
    <row r="8678" spans="1:5">
      <c r="A8678" s="140"/>
      <c r="B8678" s="192"/>
      <c r="C8678" s="140"/>
      <c r="D8678" s="140"/>
      <c r="E8678" s="140"/>
    </row>
    <row r="8679" spans="1:5">
      <c r="A8679" s="140"/>
      <c r="B8679" s="192"/>
      <c r="C8679" s="140"/>
      <c r="D8679" s="140"/>
      <c r="E8679" s="140"/>
    </row>
    <row r="8680" spans="1:5">
      <c r="A8680" s="140"/>
      <c r="B8680" s="192"/>
      <c r="C8680" s="140"/>
      <c r="D8680" s="140"/>
      <c r="E8680" s="140"/>
    </row>
    <row r="8681" spans="1:5">
      <c r="A8681" s="140"/>
      <c r="B8681" s="192"/>
      <c r="C8681" s="140"/>
      <c r="D8681" s="140"/>
      <c r="E8681" s="140"/>
    </row>
    <row r="8682" spans="1:5">
      <c r="A8682" s="140"/>
      <c r="B8682" s="192"/>
      <c r="C8682" s="140"/>
      <c r="D8682" s="140"/>
      <c r="E8682" s="140"/>
    </row>
    <row r="8683" spans="1:5">
      <c r="A8683" s="140"/>
      <c r="B8683" s="192"/>
      <c r="C8683" s="140"/>
      <c r="D8683" s="140"/>
      <c r="E8683" s="140"/>
    </row>
    <row r="8684" spans="1:5">
      <c r="A8684" s="140"/>
      <c r="B8684" s="192"/>
      <c r="C8684" s="140"/>
      <c r="D8684" s="140"/>
      <c r="E8684" s="140"/>
    </row>
    <row r="8685" spans="1:5">
      <c r="A8685" s="140"/>
      <c r="B8685" s="192"/>
      <c r="C8685" s="140"/>
      <c r="D8685" s="140"/>
      <c r="E8685" s="140"/>
    </row>
    <row r="8686" spans="1:5">
      <c r="A8686" s="140"/>
      <c r="B8686" s="192"/>
      <c r="C8686" s="140"/>
      <c r="D8686" s="140"/>
      <c r="E8686" s="140"/>
    </row>
    <row r="8687" spans="1:5">
      <c r="A8687" s="140"/>
      <c r="B8687" s="192"/>
      <c r="C8687" s="140"/>
      <c r="D8687" s="140"/>
      <c r="E8687" s="140"/>
    </row>
    <row r="8688" spans="1:5">
      <c r="A8688" s="140"/>
      <c r="B8688" s="192"/>
      <c r="C8688" s="140"/>
      <c r="D8688" s="140"/>
      <c r="E8688" s="140"/>
    </row>
    <row r="8689" spans="1:5">
      <c r="A8689" s="140"/>
      <c r="B8689" s="192"/>
      <c r="C8689" s="140"/>
      <c r="D8689" s="140"/>
      <c r="E8689" s="140"/>
    </row>
    <row r="8690" spans="1:5">
      <c r="A8690" s="140"/>
      <c r="B8690" s="192"/>
      <c r="C8690" s="140"/>
      <c r="D8690" s="140"/>
      <c r="E8690" s="140"/>
    </row>
    <row r="8691" spans="1:5">
      <c r="A8691" s="140"/>
      <c r="B8691" s="192"/>
      <c r="C8691" s="140"/>
      <c r="D8691" s="140"/>
      <c r="E8691" s="140"/>
    </row>
    <row r="8692" spans="1:5">
      <c r="A8692" s="140"/>
      <c r="B8692" s="192"/>
      <c r="C8692" s="140"/>
      <c r="D8692" s="140"/>
      <c r="E8692" s="140"/>
    </row>
    <row r="8693" spans="1:5">
      <c r="A8693" s="140"/>
      <c r="B8693" s="192"/>
      <c r="C8693" s="140"/>
      <c r="D8693" s="140"/>
      <c r="E8693" s="140"/>
    </row>
    <row r="8694" spans="1:5">
      <c r="A8694" s="140"/>
      <c r="B8694" s="192"/>
      <c r="C8694" s="140"/>
      <c r="D8694" s="140"/>
      <c r="E8694" s="140"/>
    </row>
    <row r="8695" spans="1:5">
      <c r="A8695" s="140"/>
      <c r="B8695" s="192"/>
      <c r="C8695" s="140"/>
      <c r="D8695" s="140"/>
      <c r="E8695" s="140"/>
    </row>
    <row r="8696" spans="1:5">
      <c r="A8696" s="140"/>
      <c r="B8696" s="192"/>
      <c r="C8696" s="140"/>
      <c r="D8696" s="140"/>
      <c r="E8696" s="140"/>
    </row>
    <row r="8697" spans="1:5">
      <c r="A8697" s="140"/>
      <c r="B8697" s="192"/>
      <c r="C8697" s="140"/>
      <c r="D8697" s="140"/>
      <c r="E8697" s="140"/>
    </row>
    <row r="8698" spans="1:5">
      <c r="A8698" s="140"/>
      <c r="B8698" s="192"/>
      <c r="C8698" s="140"/>
      <c r="D8698" s="140"/>
      <c r="E8698" s="140"/>
    </row>
    <row r="8699" spans="1:5">
      <c r="A8699" s="140"/>
      <c r="B8699" s="192"/>
      <c r="C8699" s="140"/>
      <c r="D8699" s="140"/>
      <c r="E8699" s="140"/>
    </row>
    <row r="8700" spans="1:5">
      <c r="A8700" s="140"/>
      <c r="B8700" s="192"/>
      <c r="C8700" s="140"/>
      <c r="D8700" s="140"/>
      <c r="E8700" s="140"/>
    </row>
    <row r="8701" spans="1:5">
      <c r="A8701" s="140"/>
      <c r="B8701" s="192"/>
      <c r="C8701" s="140"/>
      <c r="D8701" s="140"/>
      <c r="E8701" s="140"/>
    </row>
    <row r="8702" spans="1:5">
      <c r="A8702" s="140"/>
      <c r="B8702" s="192"/>
      <c r="C8702" s="140"/>
      <c r="D8702" s="140"/>
      <c r="E8702" s="140"/>
    </row>
    <row r="8703" spans="1:5">
      <c r="A8703" s="140"/>
      <c r="B8703" s="192"/>
      <c r="C8703" s="140"/>
      <c r="D8703" s="140"/>
      <c r="E8703" s="140"/>
    </row>
    <row r="8704" spans="1:5">
      <c r="A8704" s="140"/>
      <c r="B8704" s="192"/>
      <c r="C8704" s="140"/>
      <c r="D8704" s="140"/>
      <c r="E8704" s="140"/>
    </row>
    <row r="8705" spans="1:5">
      <c r="A8705" s="140"/>
      <c r="B8705" s="192"/>
      <c r="C8705" s="140"/>
      <c r="D8705" s="140"/>
      <c r="E8705" s="140"/>
    </row>
    <row r="8706" spans="1:5">
      <c r="A8706" s="140"/>
      <c r="B8706" s="192"/>
      <c r="C8706" s="140"/>
      <c r="D8706" s="140"/>
      <c r="E8706" s="140"/>
    </row>
    <row r="8707" spans="1:5">
      <c r="A8707" s="140"/>
      <c r="B8707" s="192"/>
      <c r="C8707" s="140"/>
      <c r="D8707" s="140"/>
      <c r="E8707" s="140"/>
    </row>
    <row r="8708" spans="1:5">
      <c r="A8708" s="140"/>
      <c r="B8708" s="192"/>
      <c r="C8708" s="140"/>
      <c r="D8708" s="140"/>
      <c r="E8708" s="140"/>
    </row>
    <row r="8709" spans="1:5">
      <c r="A8709" s="140"/>
      <c r="B8709" s="192"/>
      <c r="C8709" s="140"/>
      <c r="D8709" s="140"/>
      <c r="E8709" s="140"/>
    </row>
    <row r="8710" spans="1:5">
      <c r="A8710" s="140"/>
      <c r="B8710" s="192"/>
      <c r="C8710" s="140"/>
      <c r="D8710" s="140"/>
      <c r="E8710" s="140"/>
    </row>
    <row r="8711" spans="1:5">
      <c r="A8711" s="140"/>
      <c r="B8711" s="192"/>
      <c r="C8711" s="140"/>
      <c r="D8711" s="140"/>
      <c r="E8711" s="140"/>
    </row>
    <row r="8712" spans="1:5">
      <c r="A8712" s="140"/>
      <c r="B8712" s="192"/>
      <c r="C8712" s="140"/>
      <c r="D8712" s="140"/>
      <c r="E8712" s="140"/>
    </row>
    <row r="8713" spans="1:5">
      <c r="A8713" s="140"/>
      <c r="B8713" s="192"/>
      <c r="C8713" s="140"/>
      <c r="D8713" s="140"/>
      <c r="E8713" s="140"/>
    </row>
    <row r="8714" spans="1:5">
      <c r="A8714" s="140"/>
      <c r="B8714" s="192"/>
      <c r="C8714" s="140"/>
      <c r="D8714" s="140"/>
      <c r="E8714" s="140"/>
    </row>
    <row r="8715" spans="1:5">
      <c r="A8715" s="140"/>
      <c r="B8715" s="192"/>
      <c r="C8715" s="140"/>
      <c r="D8715" s="140"/>
      <c r="E8715" s="140"/>
    </row>
    <row r="8716" spans="1:5">
      <c r="A8716" s="140"/>
      <c r="B8716" s="192"/>
      <c r="C8716" s="140"/>
      <c r="D8716" s="140"/>
      <c r="E8716" s="140"/>
    </row>
    <row r="8717" spans="1:5">
      <c r="A8717" s="140"/>
      <c r="B8717" s="192"/>
      <c r="C8717" s="140"/>
      <c r="D8717" s="140"/>
      <c r="E8717" s="140"/>
    </row>
    <row r="8718" spans="1:5">
      <c r="A8718" s="140"/>
      <c r="B8718" s="192"/>
      <c r="C8718" s="140"/>
      <c r="D8718" s="140"/>
      <c r="E8718" s="140"/>
    </row>
    <row r="8719" spans="1:5">
      <c r="A8719" s="140"/>
      <c r="B8719" s="192"/>
      <c r="C8719" s="140"/>
      <c r="D8719" s="140"/>
      <c r="E8719" s="140"/>
    </row>
    <row r="8720" spans="1:5">
      <c r="A8720" s="140"/>
      <c r="B8720" s="192"/>
      <c r="C8720" s="140"/>
      <c r="D8720" s="140"/>
      <c r="E8720" s="140"/>
    </row>
    <row r="8721" spans="1:5">
      <c r="A8721" s="140"/>
      <c r="B8721" s="192"/>
      <c r="C8721" s="140"/>
      <c r="D8721" s="140"/>
      <c r="E8721" s="140"/>
    </row>
    <row r="8722" spans="1:5">
      <c r="A8722" s="140"/>
      <c r="B8722" s="192"/>
      <c r="C8722" s="140"/>
      <c r="D8722" s="140"/>
      <c r="E8722" s="140"/>
    </row>
    <row r="8723" spans="1:5">
      <c r="A8723" s="140"/>
      <c r="B8723" s="192"/>
      <c r="C8723" s="140"/>
      <c r="D8723" s="140"/>
      <c r="E8723" s="140"/>
    </row>
    <row r="8724" spans="1:5">
      <c r="A8724" s="140"/>
      <c r="B8724" s="192"/>
      <c r="C8724" s="140"/>
      <c r="D8724" s="140"/>
      <c r="E8724" s="140"/>
    </row>
    <row r="8725" spans="1:5">
      <c r="A8725" s="140"/>
      <c r="B8725" s="192"/>
      <c r="C8725" s="140"/>
      <c r="D8725" s="140"/>
      <c r="E8725" s="140"/>
    </row>
    <row r="8726" spans="1:5">
      <c r="A8726" s="140"/>
      <c r="B8726" s="192"/>
      <c r="C8726" s="140"/>
      <c r="D8726" s="140"/>
      <c r="E8726" s="140"/>
    </row>
    <row r="8727" spans="1:5">
      <c r="A8727" s="140"/>
      <c r="B8727" s="192"/>
      <c r="C8727" s="140"/>
      <c r="D8727" s="140"/>
      <c r="E8727" s="140"/>
    </row>
    <row r="8728" spans="1:5">
      <c r="A8728" s="140"/>
      <c r="B8728" s="192"/>
      <c r="C8728" s="140"/>
      <c r="D8728" s="140"/>
      <c r="E8728" s="140"/>
    </row>
    <row r="8729" spans="1:5">
      <c r="A8729" s="140"/>
      <c r="B8729" s="192"/>
      <c r="C8729" s="140"/>
      <c r="D8729" s="140"/>
      <c r="E8729" s="140"/>
    </row>
    <row r="8730" spans="1:5">
      <c r="A8730" s="140"/>
      <c r="B8730" s="192"/>
      <c r="C8730" s="140"/>
      <c r="D8730" s="140"/>
      <c r="E8730" s="140"/>
    </row>
    <row r="8731" spans="1:5">
      <c r="A8731" s="140"/>
      <c r="B8731" s="192"/>
      <c r="C8731" s="140"/>
      <c r="D8731" s="140"/>
      <c r="E8731" s="140"/>
    </row>
    <row r="8732" spans="1:5">
      <c r="A8732" s="140"/>
      <c r="B8732" s="192"/>
      <c r="C8732" s="140"/>
      <c r="D8732" s="140"/>
      <c r="E8732" s="140"/>
    </row>
    <row r="8733" spans="1:5">
      <c r="A8733" s="140"/>
      <c r="B8733" s="192"/>
      <c r="C8733" s="140"/>
      <c r="D8733" s="140"/>
      <c r="E8733" s="140"/>
    </row>
    <row r="8734" spans="1:5">
      <c r="A8734" s="140"/>
      <c r="B8734" s="192"/>
      <c r="C8734" s="140"/>
      <c r="D8734" s="140"/>
      <c r="E8734" s="140"/>
    </row>
    <row r="8735" spans="1:5">
      <c r="A8735" s="140"/>
      <c r="B8735" s="192"/>
      <c r="C8735" s="140"/>
      <c r="D8735" s="140"/>
      <c r="E8735" s="140"/>
    </row>
    <row r="8736" spans="1:5">
      <c r="A8736" s="140"/>
      <c r="B8736" s="192"/>
      <c r="C8736" s="140"/>
      <c r="D8736" s="140"/>
      <c r="E8736" s="140"/>
    </row>
    <row r="8737" spans="1:5">
      <c r="A8737" s="140"/>
      <c r="B8737" s="192"/>
      <c r="C8737" s="140"/>
      <c r="D8737" s="140"/>
      <c r="E8737" s="140"/>
    </row>
    <row r="8738" spans="1:5">
      <c r="A8738" s="140"/>
      <c r="B8738" s="192"/>
      <c r="C8738" s="140"/>
      <c r="D8738" s="140"/>
      <c r="E8738" s="140"/>
    </row>
    <row r="8739" spans="1:5">
      <c r="A8739" s="140"/>
      <c r="B8739" s="192"/>
      <c r="C8739" s="140"/>
      <c r="D8739" s="140"/>
      <c r="E8739" s="140"/>
    </row>
    <row r="8740" spans="1:5">
      <c r="A8740" s="140"/>
      <c r="B8740" s="192"/>
      <c r="C8740" s="140"/>
      <c r="D8740" s="140"/>
      <c r="E8740" s="140"/>
    </row>
    <row r="8741" spans="1:5">
      <c r="A8741" s="140"/>
      <c r="B8741" s="192"/>
      <c r="C8741" s="140"/>
      <c r="D8741" s="140"/>
      <c r="E8741" s="140"/>
    </row>
    <row r="8742" spans="1:5">
      <c r="A8742" s="140"/>
      <c r="B8742" s="192"/>
      <c r="C8742" s="140"/>
      <c r="D8742" s="140"/>
      <c r="E8742" s="140"/>
    </row>
    <row r="8743" spans="1:5">
      <c r="A8743" s="140"/>
      <c r="B8743" s="192"/>
      <c r="C8743" s="140"/>
      <c r="D8743" s="140"/>
      <c r="E8743" s="140"/>
    </row>
    <row r="8744" spans="1:5">
      <c r="A8744" s="140"/>
      <c r="B8744" s="192"/>
      <c r="C8744" s="140"/>
      <c r="D8744" s="140"/>
      <c r="E8744" s="140"/>
    </row>
    <row r="8745" spans="1:5">
      <c r="A8745" s="140"/>
      <c r="B8745" s="192"/>
      <c r="C8745" s="140"/>
      <c r="D8745" s="140"/>
      <c r="E8745" s="140"/>
    </row>
    <row r="8746" spans="1:5">
      <c r="A8746" s="140"/>
      <c r="B8746" s="192"/>
      <c r="C8746" s="140"/>
      <c r="D8746" s="140"/>
      <c r="E8746" s="140"/>
    </row>
    <row r="8747" spans="1:5">
      <c r="A8747" s="140"/>
      <c r="B8747" s="192"/>
      <c r="C8747" s="140"/>
      <c r="D8747" s="140"/>
      <c r="E8747" s="140"/>
    </row>
    <row r="8748" spans="1:5">
      <c r="A8748" s="140"/>
      <c r="B8748" s="192"/>
      <c r="C8748" s="140"/>
      <c r="D8748" s="140"/>
      <c r="E8748" s="140"/>
    </row>
    <row r="8749" spans="1:5">
      <c r="A8749" s="140"/>
      <c r="B8749" s="192"/>
      <c r="C8749" s="140"/>
      <c r="D8749" s="140"/>
      <c r="E8749" s="140"/>
    </row>
    <row r="8750" spans="1:5">
      <c r="A8750" s="140"/>
      <c r="B8750" s="192"/>
      <c r="C8750" s="140"/>
      <c r="D8750" s="140"/>
      <c r="E8750" s="140"/>
    </row>
    <row r="8751" spans="1:5">
      <c r="A8751" s="140"/>
      <c r="B8751" s="192"/>
      <c r="C8751" s="140"/>
      <c r="D8751" s="140"/>
      <c r="E8751" s="140"/>
    </row>
    <row r="8752" spans="1:5">
      <c r="A8752" s="140"/>
      <c r="B8752" s="192"/>
      <c r="C8752" s="140"/>
      <c r="D8752" s="140"/>
      <c r="E8752" s="140"/>
    </row>
    <row r="8753" spans="1:5">
      <c r="A8753" s="140"/>
      <c r="B8753" s="192"/>
      <c r="C8753" s="140"/>
      <c r="D8753" s="140"/>
      <c r="E8753" s="140"/>
    </row>
    <row r="8754" spans="1:5">
      <c r="A8754" s="140"/>
      <c r="B8754" s="192"/>
      <c r="C8754" s="140"/>
      <c r="D8754" s="140"/>
      <c r="E8754" s="140"/>
    </row>
    <row r="8755" spans="1:5">
      <c r="A8755" s="140"/>
      <c r="B8755" s="192"/>
      <c r="C8755" s="140"/>
      <c r="D8755" s="140"/>
      <c r="E8755" s="140"/>
    </row>
    <row r="8756" spans="1:5">
      <c r="A8756" s="140"/>
      <c r="B8756" s="192"/>
      <c r="C8756" s="140"/>
      <c r="D8756" s="140"/>
      <c r="E8756" s="140"/>
    </row>
    <row r="8757" spans="1:5">
      <c r="A8757" s="140"/>
      <c r="B8757" s="192"/>
      <c r="C8757" s="140"/>
      <c r="D8757" s="140"/>
      <c r="E8757" s="140"/>
    </row>
    <row r="8758" spans="1:5">
      <c r="A8758" s="140"/>
      <c r="B8758" s="192"/>
      <c r="C8758" s="140"/>
      <c r="D8758" s="140"/>
      <c r="E8758" s="140"/>
    </row>
    <row r="8759" spans="1:5">
      <c r="A8759" s="140"/>
      <c r="B8759" s="192"/>
      <c r="C8759" s="140"/>
      <c r="D8759" s="140"/>
      <c r="E8759" s="140"/>
    </row>
    <row r="8760" spans="1:5">
      <c r="A8760" s="140"/>
      <c r="B8760" s="192"/>
      <c r="C8760" s="140"/>
      <c r="D8760" s="140"/>
      <c r="E8760" s="140"/>
    </row>
    <row r="8761" spans="1:5">
      <c r="A8761" s="140"/>
      <c r="B8761" s="192"/>
      <c r="C8761" s="140"/>
      <c r="D8761" s="140"/>
      <c r="E8761" s="140"/>
    </row>
    <row r="8762" spans="1:5">
      <c r="A8762" s="140"/>
      <c r="B8762" s="192"/>
      <c r="C8762" s="140"/>
      <c r="D8762" s="140"/>
      <c r="E8762" s="140"/>
    </row>
    <row r="8763" spans="1:5">
      <c r="A8763" s="140"/>
      <c r="B8763" s="192"/>
      <c r="C8763" s="140"/>
      <c r="D8763" s="140"/>
      <c r="E8763" s="140"/>
    </row>
    <row r="8764" spans="1:5">
      <c r="A8764" s="140"/>
      <c r="B8764" s="192"/>
      <c r="C8764" s="140"/>
      <c r="D8764" s="140"/>
      <c r="E8764" s="140"/>
    </row>
    <row r="8765" spans="1:5">
      <c r="A8765" s="140"/>
      <c r="B8765" s="192"/>
      <c r="C8765" s="140"/>
      <c r="D8765" s="140"/>
      <c r="E8765" s="140"/>
    </row>
    <row r="8766" spans="1:5">
      <c r="A8766" s="140"/>
      <c r="B8766" s="192"/>
      <c r="C8766" s="140"/>
      <c r="D8766" s="140"/>
      <c r="E8766" s="140"/>
    </row>
    <row r="8767" spans="1:5">
      <c r="A8767" s="140"/>
      <c r="B8767" s="192"/>
      <c r="C8767" s="140"/>
      <c r="D8767" s="140"/>
      <c r="E8767" s="140"/>
    </row>
    <row r="8768" spans="1:5">
      <c r="A8768" s="140"/>
      <c r="B8768" s="192"/>
      <c r="C8768" s="140"/>
      <c r="D8768" s="140"/>
      <c r="E8768" s="140"/>
    </row>
    <row r="8769" spans="1:5">
      <c r="A8769" s="140"/>
      <c r="B8769" s="192"/>
      <c r="C8769" s="140"/>
      <c r="D8769" s="140"/>
      <c r="E8769" s="140"/>
    </row>
    <row r="8770" spans="1:5">
      <c r="A8770" s="140"/>
      <c r="B8770" s="192"/>
      <c r="C8770" s="140"/>
      <c r="D8770" s="140"/>
      <c r="E8770" s="140"/>
    </row>
    <row r="8771" spans="1:5">
      <c r="A8771" s="140"/>
      <c r="B8771" s="192"/>
      <c r="C8771" s="140"/>
      <c r="D8771" s="140"/>
      <c r="E8771" s="140"/>
    </row>
    <row r="8772" spans="1:5">
      <c r="A8772" s="140"/>
      <c r="B8772" s="192"/>
      <c r="C8772" s="140"/>
      <c r="D8772" s="140"/>
      <c r="E8772" s="140"/>
    </row>
    <row r="8773" spans="1:5">
      <c r="A8773" s="140"/>
      <c r="B8773" s="192"/>
      <c r="C8773" s="140"/>
      <c r="D8773" s="140"/>
      <c r="E8773" s="140"/>
    </row>
    <row r="8774" spans="1:5">
      <c r="A8774" s="140"/>
      <c r="B8774" s="192"/>
      <c r="C8774" s="140"/>
      <c r="D8774" s="140"/>
      <c r="E8774" s="140"/>
    </row>
    <row r="8775" spans="1:5">
      <c r="A8775" s="140"/>
      <c r="B8775" s="192"/>
      <c r="C8775" s="140"/>
      <c r="D8775" s="140"/>
      <c r="E8775" s="140"/>
    </row>
    <row r="8776" spans="1:5">
      <c r="A8776" s="140"/>
      <c r="B8776" s="192"/>
      <c r="C8776" s="140"/>
      <c r="D8776" s="140"/>
      <c r="E8776" s="140"/>
    </row>
    <row r="8777" spans="1:5">
      <c r="A8777" s="140"/>
      <c r="B8777" s="192"/>
      <c r="C8777" s="140"/>
      <c r="D8777" s="140"/>
      <c r="E8777" s="140"/>
    </row>
    <row r="8778" spans="1:5">
      <c r="A8778" s="140"/>
      <c r="B8778" s="192"/>
      <c r="C8778" s="140"/>
      <c r="D8778" s="140"/>
      <c r="E8778" s="140"/>
    </row>
    <row r="8779" spans="1:5">
      <c r="A8779" s="140"/>
      <c r="B8779" s="192"/>
      <c r="C8779" s="140"/>
      <c r="D8779" s="140"/>
      <c r="E8779" s="140"/>
    </row>
    <row r="8780" spans="1:5">
      <c r="A8780" s="140"/>
      <c r="B8780" s="192"/>
      <c r="C8780" s="140"/>
      <c r="D8780" s="140"/>
      <c r="E8780" s="140"/>
    </row>
    <row r="8781" spans="1:5">
      <c r="A8781" s="140"/>
      <c r="B8781" s="192"/>
      <c r="C8781" s="140"/>
      <c r="D8781" s="140"/>
      <c r="E8781" s="140"/>
    </row>
    <row r="8782" spans="1:5">
      <c r="A8782" s="140"/>
      <c r="B8782" s="192"/>
      <c r="C8782" s="140"/>
      <c r="D8782" s="140"/>
      <c r="E8782" s="140"/>
    </row>
    <row r="8783" spans="1:5">
      <c r="A8783" s="140"/>
      <c r="B8783" s="192"/>
      <c r="C8783" s="140"/>
      <c r="D8783" s="140"/>
      <c r="E8783" s="140"/>
    </row>
    <row r="8784" spans="1:5">
      <c r="A8784" s="140"/>
      <c r="B8784" s="192"/>
      <c r="C8784" s="140"/>
      <c r="D8784" s="140"/>
      <c r="E8784" s="140"/>
    </row>
    <row r="8785" spans="1:5">
      <c r="A8785" s="140"/>
      <c r="B8785" s="192"/>
      <c r="C8785" s="140"/>
      <c r="D8785" s="140"/>
      <c r="E8785" s="140"/>
    </row>
    <row r="8786" spans="1:5">
      <c r="A8786" s="140"/>
      <c r="B8786" s="192"/>
      <c r="C8786" s="140"/>
      <c r="D8786" s="140"/>
      <c r="E8786" s="140"/>
    </row>
    <row r="8787" spans="1:5">
      <c r="A8787" s="140"/>
      <c r="B8787" s="192"/>
      <c r="C8787" s="140"/>
      <c r="D8787" s="140"/>
      <c r="E8787" s="140"/>
    </row>
    <row r="8788" spans="1:5">
      <c r="A8788" s="140"/>
      <c r="B8788" s="192"/>
      <c r="C8788" s="140"/>
      <c r="D8788" s="140"/>
      <c r="E8788" s="140"/>
    </row>
    <row r="8789" spans="1:5">
      <c r="A8789" s="140"/>
      <c r="B8789" s="192"/>
      <c r="C8789" s="140"/>
      <c r="D8789" s="140"/>
      <c r="E8789" s="140"/>
    </row>
    <row r="8790" spans="1:5">
      <c r="A8790" s="140"/>
      <c r="B8790" s="192"/>
      <c r="C8790" s="140"/>
      <c r="D8790" s="140"/>
      <c r="E8790" s="140"/>
    </row>
    <row r="8791" spans="1:5">
      <c r="A8791" s="140"/>
      <c r="B8791" s="192"/>
      <c r="C8791" s="140"/>
      <c r="D8791" s="140"/>
      <c r="E8791" s="140"/>
    </row>
    <row r="8792" spans="1:5">
      <c r="A8792" s="140"/>
      <c r="B8792" s="192"/>
      <c r="C8792" s="140"/>
      <c r="D8792" s="140"/>
      <c r="E8792" s="140"/>
    </row>
    <row r="8793" spans="1:5">
      <c r="A8793" s="140"/>
      <c r="B8793" s="192"/>
      <c r="C8793" s="140"/>
      <c r="D8793" s="140"/>
      <c r="E8793" s="140"/>
    </row>
    <row r="8794" spans="1:5">
      <c r="A8794" s="140"/>
      <c r="B8794" s="192"/>
      <c r="C8794" s="140"/>
      <c r="D8794" s="140"/>
      <c r="E8794" s="140"/>
    </row>
    <row r="8795" spans="1:5">
      <c r="A8795" s="140"/>
      <c r="B8795" s="192"/>
      <c r="C8795" s="140"/>
      <c r="D8795" s="140"/>
      <c r="E8795" s="140"/>
    </row>
    <row r="8796" spans="1:5">
      <c r="A8796" s="140"/>
      <c r="B8796" s="192"/>
      <c r="C8796" s="140"/>
      <c r="D8796" s="140"/>
      <c r="E8796" s="140"/>
    </row>
    <row r="8797" spans="1:5">
      <c r="A8797" s="140"/>
      <c r="B8797" s="192"/>
      <c r="C8797" s="140"/>
      <c r="D8797" s="140"/>
      <c r="E8797" s="140"/>
    </row>
    <row r="8798" spans="1:5">
      <c r="A8798" s="140"/>
      <c r="B8798" s="192"/>
      <c r="C8798" s="140"/>
      <c r="D8798" s="140"/>
      <c r="E8798" s="140"/>
    </row>
    <row r="8799" spans="1:5">
      <c r="A8799" s="140"/>
      <c r="B8799" s="192"/>
      <c r="C8799" s="140"/>
      <c r="D8799" s="140"/>
      <c r="E8799" s="140"/>
    </row>
    <row r="8800" spans="1:5">
      <c r="A8800" s="140"/>
      <c r="B8800" s="192"/>
      <c r="C8800" s="140"/>
      <c r="D8800" s="140"/>
      <c r="E8800" s="140"/>
    </row>
    <row r="8801" spans="1:5">
      <c r="A8801" s="140"/>
      <c r="B8801" s="192"/>
      <c r="C8801" s="140"/>
      <c r="D8801" s="140"/>
      <c r="E8801" s="140"/>
    </row>
    <row r="8802" spans="1:5">
      <c r="A8802" s="140"/>
      <c r="B8802" s="192"/>
      <c r="C8802" s="140"/>
      <c r="D8802" s="140"/>
      <c r="E8802" s="140"/>
    </row>
    <row r="8803" spans="1:5">
      <c r="A8803" s="140"/>
      <c r="B8803" s="192"/>
      <c r="C8803" s="140"/>
      <c r="D8803" s="140"/>
      <c r="E8803" s="140"/>
    </row>
    <row r="8804" spans="1:5">
      <c r="A8804" s="140"/>
      <c r="B8804" s="192"/>
      <c r="C8804" s="140"/>
      <c r="D8804" s="140"/>
      <c r="E8804" s="140"/>
    </row>
    <row r="8805" spans="1:5">
      <c r="A8805" s="140"/>
      <c r="B8805" s="192"/>
      <c r="C8805" s="140"/>
      <c r="D8805" s="140"/>
      <c r="E8805" s="140"/>
    </row>
    <row r="8806" spans="1:5">
      <c r="A8806" s="140"/>
      <c r="B8806" s="192"/>
      <c r="C8806" s="140"/>
      <c r="D8806" s="140"/>
      <c r="E8806" s="140"/>
    </row>
    <row r="8807" spans="1:5">
      <c r="A8807" s="140"/>
      <c r="B8807" s="192"/>
      <c r="C8807" s="140"/>
      <c r="D8807" s="140"/>
      <c r="E8807" s="140"/>
    </row>
    <row r="8808" spans="1:5">
      <c r="A8808" s="140"/>
      <c r="B8808" s="192"/>
      <c r="C8808" s="140"/>
      <c r="D8808" s="140"/>
      <c r="E8808" s="140"/>
    </row>
    <row r="8809" spans="1:5">
      <c r="A8809" s="140"/>
      <c r="B8809" s="192"/>
      <c r="C8809" s="140"/>
      <c r="D8809" s="140"/>
      <c r="E8809" s="140"/>
    </row>
    <row r="8810" spans="1:5">
      <c r="A8810" s="140"/>
      <c r="B8810" s="192"/>
      <c r="C8810" s="140"/>
      <c r="D8810" s="140"/>
      <c r="E8810" s="140"/>
    </row>
    <row r="8811" spans="1:5">
      <c r="A8811" s="140"/>
      <c r="B8811" s="192"/>
      <c r="C8811" s="140"/>
      <c r="D8811" s="140"/>
      <c r="E8811" s="140"/>
    </row>
    <row r="8812" spans="1:5">
      <c r="A8812" s="140"/>
      <c r="B8812" s="192"/>
      <c r="C8812" s="140"/>
      <c r="D8812" s="140"/>
      <c r="E8812" s="140"/>
    </row>
    <row r="8813" spans="1:5">
      <c r="A8813" s="140"/>
      <c r="B8813" s="192"/>
      <c r="C8813" s="140"/>
      <c r="D8813" s="140"/>
      <c r="E8813" s="140"/>
    </row>
    <row r="8814" spans="1:5">
      <c r="A8814" s="140"/>
      <c r="B8814" s="192"/>
      <c r="C8814" s="140"/>
      <c r="D8814" s="140"/>
      <c r="E8814" s="140"/>
    </row>
    <row r="8815" spans="1:5">
      <c r="A8815" s="140"/>
      <c r="B8815" s="192"/>
      <c r="C8815" s="140"/>
      <c r="D8815" s="140"/>
      <c r="E8815" s="140"/>
    </row>
    <row r="8816" spans="1:5">
      <c r="A8816" s="140"/>
      <c r="B8816" s="192"/>
      <c r="C8816" s="140"/>
      <c r="D8816" s="140"/>
      <c r="E8816" s="140"/>
    </row>
    <row r="8817" spans="1:5">
      <c r="A8817" s="140"/>
      <c r="B8817" s="192"/>
      <c r="C8817" s="140"/>
      <c r="D8817" s="140"/>
      <c r="E8817" s="140"/>
    </row>
    <row r="8818" spans="1:5">
      <c r="A8818" s="140"/>
      <c r="B8818" s="192"/>
      <c r="C8818" s="140"/>
      <c r="D8818" s="140"/>
      <c r="E8818" s="140"/>
    </row>
    <row r="8819" spans="1:5">
      <c r="A8819" s="140"/>
      <c r="B8819" s="192"/>
      <c r="C8819" s="140"/>
      <c r="D8819" s="140"/>
      <c r="E8819" s="140"/>
    </row>
    <row r="8820" spans="1:5">
      <c r="A8820" s="140"/>
      <c r="B8820" s="192"/>
      <c r="C8820" s="140"/>
      <c r="D8820" s="140"/>
      <c r="E8820" s="140"/>
    </row>
    <row r="8821" spans="1:5">
      <c r="A8821" s="140"/>
      <c r="B8821" s="192"/>
      <c r="C8821" s="140"/>
      <c r="D8821" s="140"/>
      <c r="E8821" s="140"/>
    </row>
    <row r="8822" spans="1:5">
      <c r="A8822" s="140"/>
      <c r="B8822" s="192"/>
      <c r="C8822" s="140"/>
      <c r="D8822" s="140"/>
      <c r="E8822" s="140"/>
    </row>
    <row r="8823" spans="1:5">
      <c r="A8823" s="140"/>
      <c r="B8823" s="192"/>
      <c r="C8823" s="140"/>
      <c r="D8823" s="140"/>
      <c r="E8823" s="140"/>
    </row>
    <row r="8824" spans="1:5">
      <c r="A8824" s="140"/>
      <c r="B8824" s="192"/>
      <c r="C8824" s="140"/>
      <c r="D8824" s="140"/>
      <c r="E8824" s="140"/>
    </row>
    <row r="8825" spans="1:5">
      <c r="A8825" s="140"/>
      <c r="B8825" s="192"/>
      <c r="C8825" s="140"/>
      <c r="D8825" s="140"/>
      <c r="E8825" s="140"/>
    </row>
    <row r="8826" spans="1:5">
      <c r="A8826" s="140"/>
      <c r="B8826" s="192"/>
      <c r="C8826" s="140"/>
      <c r="D8826" s="140"/>
      <c r="E8826" s="140"/>
    </row>
    <row r="8827" spans="1:5">
      <c r="A8827" s="140"/>
      <c r="B8827" s="192"/>
      <c r="C8827" s="140"/>
      <c r="D8827" s="140"/>
      <c r="E8827" s="140"/>
    </row>
    <row r="8828" spans="1:5">
      <c r="A8828" s="140"/>
      <c r="B8828" s="192"/>
      <c r="C8828" s="140"/>
      <c r="D8828" s="140"/>
      <c r="E8828" s="140"/>
    </row>
    <row r="8829" spans="1:5">
      <c r="A8829" s="140"/>
      <c r="B8829" s="192"/>
      <c r="C8829" s="140"/>
      <c r="D8829" s="140"/>
      <c r="E8829" s="140"/>
    </row>
    <row r="8830" spans="1:5">
      <c r="A8830" s="140"/>
      <c r="B8830" s="192"/>
      <c r="C8830" s="140"/>
      <c r="D8830" s="140"/>
      <c r="E8830" s="140"/>
    </row>
    <row r="8831" spans="1:5">
      <c r="A8831" s="140"/>
      <c r="B8831" s="192"/>
      <c r="C8831" s="140"/>
      <c r="D8831" s="140"/>
      <c r="E8831" s="140"/>
    </row>
    <row r="8832" spans="1:5">
      <c r="A8832" s="140"/>
      <c r="B8832" s="192"/>
      <c r="C8832" s="140"/>
      <c r="D8832" s="140"/>
      <c r="E8832" s="140"/>
    </row>
    <row r="8833" spans="1:5">
      <c r="A8833" s="140"/>
      <c r="B8833" s="192"/>
      <c r="C8833" s="140"/>
      <c r="D8833" s="140"/>
      <c r="E8833" s="140"/>
    </row>
    <row r="8834" spans="1:5">
      <c r="A8834" s="140"/>
      <c r="B8834" s="192"/>
      <c r="C8834" s="140"/>
      <c r="D8834" s="140"/>
      <c r="E8834" s="140"/>
    </row>
    <row r="8835" spans="1:5">
      <c r="A8835" s="140"/>
      <c r="B8835" s="192"/>
      <c r="C8835" s="140"/>
      <c r="D8835" s="140"/>
      <c r="E8835" s="140"/>
    </row>
    <row r="8836" spans="1:5">
      <c r="A8836" s="140"/>
      <c r="B8836" s="192"/>
      <c r="C8836" s="140"/>
      <c r="D8836" s="140"/>
      <c r="E8836" s="140"/>
    </row>
    <row r="8837" spans="1:5">
      <c r="A8837" s="140"/>
      <c r="B8837" s="192"/>
      <c r="C8837" s="140"/>
      <c r="D8837" s="140"/>
      <c r="E8837" s="140"/>
    </row>
    <row r="8838" spans="1:5">
      <c r="A8838" s="140"/>
      <c r="B8838" s="192"/>
      <c r="C8838" s="140"/>
      <c r="D8838" s="140"/>
      <c r="E8838" s="140"/>
    </row>
    <row r="8839" spans="1:5">
      <c r="A8839" s="140"/>
      <c r="B8839" s="192"/>
      <c r="C8839" s="140"/>
      <c r="D8839" s="140"/>
      <c r="E8839" s="140"/>
    </row>
    <row r="8840" spans="1:5">
      <c r="A8840" s="140"/>
      <c r="B8840" s="192"/>
      <c r="C8840" s="140"/>
      <c r="D8840" s="140"/>
      <c r="E8840" s="140"/>
    </row>
    <row r="8841" spans="1:5">
      <c r="A8841" s="140"/>
      <c r="B8841" s="192"/>
      <c r="C8841" s="140"/>
      <c r="D8841" s="140"/>
      <c r="E8841" s="140"/>
    </row>
    <row r="8842" spans="1:5">
      <c r="A8842" s="140"/>
      <c r="B8842" s="192"/>
      <c r="C8842" s="140"/>
      <c r="D8842" s="140"/>
      <c r="E8842" s="140"/>
    </row>
    <row r="8843" spans="1:5">
      <c r="A8843" s="140"/>
      <c r="B8843" s="192"/>
      <c r="C8843" s="140"/>
      <c r="D8843" s="140"/>
      <c r="E8843" s="140"/>
    </row>
    <row r="8844" spans="1:5">
      <c r="A8844" s="140"/>
      <c r="B8844" s="192"/>
      <c r="C8844" s="140"/>
      <c r="D8844" s="140"/>
      <c r="E8844" s="140"/>
    </row>
    <row r="8845" spans="1:5">
      <c r="A8845" s="140"/>
      <c r="B8845" s="192"/>
      <c r="C8845" s="140"/>
      <c r="D8845" s="140"/>
      <c r="E8845" s="140"/>
    </row>
    <row r="8846" spans="1:5">
      <c r="A8846" s="140"/>
      <c r="B8846" s="192"/>
      <c r="C8846" s="140"/>
      <c r="D8846" s="140"/>
      <c r="E8846" s="140"/>
    </row>
    <row r="8847" spans="1:5">
      <c r="A8847" s="140"/>
      <c r="B8847" s="192"/>
      <c r="C8847" s="140"/>
      <c r="D8847" s="140"/>
      <c r="E8847" s="140"/>
    </row>
    <row r="8848" spans="1:5">
      <c r="A8848" s="140"/>
      <c r="B8848" s="192"/>
      <c r="C8848" s="140"/>
      <c r="D8848" s="140"/>
      <c r="E8848" s="140"/>
    </row>
    <row r="8849" spans="1:5">
      <c r="A8849" s="140"/>
      <c r="B8849" s="192"/>
      <c r="C8849" s="140"/>
      <c r="D8849" s="140"/>
      <c r="E8849" s="140"/>
    </row>
    <row r="8850" spans="1:5">
      <c r="A8850" s="140"/>
      <c r="B8850" s="192"/>
      <c r="C8850" s="140"/>
      <c r="D8850" s="140"/>
      <c r="E8850" s="140"/>
    </row>
    <row r="8851" spans="1:5">
      <c r="A8851" s="140"/>
      <c r="B8851" s="192"/>
      <c r="C8851" s="140"/>
      <c r="D8851" s="140"/>
      <c r="E8851" s="140"/>
    </row>
    <row r="8852" spans="1:5">
      <c r="A8852" s="140"/>
      <c r="B8852" s="192"/>
      <c r="C8852" s="140"/>
      <c r="D8852" s="140"/>
      <c r="E8852" s="140"/>
    </row>
    <row r="8853" spans="1:5">
      <c r="A8853" s="140"/>
      <c r="B8853" s="192"/>
      <c r="C8853" s="140"/>
      <c r="D8853" s="140"/>
      <c r="E8853" s="140"/>
    </row>
    <row r="8854" spans="1:5">
      <c r="A8854" s="140"/>
      <c r="B8854" s="192"/>
      <c r="C8854" s="140"/>
      <c r="D8854" s="140"/>
      <c r="E8854" s="140"/>
    </row>
    <row r="8855" spans="1:5">
      <c r="A8855" s="140"/>
      <c r="B8855" s="192"/>
      <c r="C8855" s="140"/>
      <c r="D8855" s="140"/>
      <c r="E8855" s="140"/>
    </row>
    <row r="8856" spans="1:5">
      <c r="A8856" s="140"/>
      <c r="B8856" s="192"/>
      <c r="C8856" s="140"/>
      <c r="D8856" s="140"/>
      <c r="E8856" s="140"/>
    </row>
    <row r="8857" spans="1:5">
      <c r="A8857" s="140"/>
      <c r="B8857" s="192"/>
      <c r="C8857" s="140"/>
      <c r="D8857" s="140"/>
      <c r="E8857" s="140"/>
    </row>
    <row r="8858" spans="1:5">
      <c r="A8858" s="140"/>
      <c r="B8858" s="192"/>
      <c r="C8858" s="140"/>
      <c r="D8858" s="140"/>
      <c r="E8858" s="140"/>
    </row>
    <row r="8859" spans="1:5">
      <c r="A8859" s="140"/>
      <c r="B8859" s="192"/>
      <c r="C8859" s="140"/>
      <c r="D8859" s="140"/>
      <c r="E8859" s="140"/>
    </row>
    <row r="8860" spans="1:5">
      <c r="A8860" s="140"/>
      <c r="B8860" s="192"/>
      <c r="C8860" s="140"/>
      <c r="D8860" s="140"/>
      <c r="E8860" s="140"/>
    </row>
    <row r="8861" spans="1:5">
      <c r="A8861" s="140"/>
      <c r="B8861" s="192"/>
      <c r="C8861" s="140"/>
      <c r="D8861" s="140"/>
      <c r="E8861" s="140"/>
    </row>
    <row r="8862" spans="1:5">
      <c r="A8862" s="140"/>
      <c r="B8862" s="192"/>
      <c r="C8862" s="140"/>
      <c r="D8862" s="140"/>
      <c r="E8862" s="140"/>
    </row>
    <row r="8863" spans="1:5">
      <c r="A8863" s="140"/>
      <c r="B8863" s="192"/>
      <c r="C8863" s="140"/>
      <c r="D8863" s="140"/>
      <c r="E8863" s="140"/>
    </row>
    <row r="8864" spans="1:5">
      <c r="A8864" s="140"/>
      <c r="B8864" s="192"/>
      <c r="C8864" s="140"/>
      <c r="D8864" s="140"/>
      <c r="E8864" s="140"/>
    </row>
    <row r="8865" spans="1:5">
      <c r="A8865" s="140"/>
      <c r="B8865" s="192"/>
      <c r="C8865" s="140"/>
      <c r="D8865" s="140"/>
      <c r="E8865" s="140"/>
    </row>
    <row r="8866" spans="1:5">
      <c r="A8866" s="140"/>
      <c r="B8866" s="192"/>
      <c r="C8866" s="140"/>
      <c r="D8866" s="140"/>
      <c r="E8866" s="140"/>
    </row>
    <row r="8867" spans="1:5">
      <c r="A8867" s="140"/>
      <c r="B8867" s="192"/>
      <c r="C8867" s="140"/>
      <c r="D8867" s="140"/>
      <c r="E8867" s="140"/>
    </row>
    <row r="8868" spans="1:5">
      <c r="A8868" s="140"/>
      <c r="B8868" s="192"/>
      <c r="C8868" s="140"/>
      <c r="D8868" s="140"/>
      <c r="E8868" s="140"/>
    </row>
    <row r="8869" spans="1:5">
      <c r="A8869" s="140"/>
      <c r="B8869" s="192"/>
      <c r="C8869" s="140"/>
      <c r="D8869" s="140"/>
      <c r="E8869" s="140"/>
    </row>
    <row r="8870" spans="1:5">
      <c r="A8870" s="140"/>
      <c r="B8870" s="192"/>
      <c r="C8870" s="140"/>
      <c r="D8870" s="140"/>
      <c r="E8870" s="140"/>
    </row>
    <row r="8871" spans="1:5">
      <c r="A8871" s="140"/>
      <c r="B8871" s="192"/>
      <c r="C8871" s="140"/>
      <c r="D8871" s="140"/>
      <c r="E8871" s="140"/>
    </row>
    <row r="8872" spans="1:5">
      <c r="A8872" s="140"/>
      <c r="B8872" s="192"/>
      <c r="C8872" s="140"/>
      <c r="D8872" s="140"/>
      <c r="E8872" s="140"/>
    </row>
    <row r="8873" spans="1:5">
      <c r="A8873" s="140"/>
      <c r="B8873" s="192"/>
      <c r="C8873" s="140"/>
      <c r="D8873" s="140"/>
      <c r="E8873" s="140"/>
    </row>
    <row r="8874" spans="1:5">
      <c r="A8874" s="140"/>
      <c r="B8874" s="192"/>
      <c r="C8874" s="140"/>
      <c r="D8874" s="140"/>
      <c r="E8874" s="140"/>
    </row>
    <row r="8875" spans="1:5">
      <c r="A8875" s="140"/>
      <c r="B8875" s="192"/>
      <c r="C8875" s="140"/>
      <c r="D8875" s="140"/>
      <c r="E8875" s="140"/>
    </row>
    <row r="8876" spans="1:5">
      <c r="A8876" s="140"/>
      <c r="B8876" s="192"/>
      <c r="C8876" s="140"/>
      <c r="D8876" s="140"/>
      <c r="E8876" s="140"/>
    </row>
    <row r="8877" spans="1:5">
      <c r="A8877" s="140"/>
      <c r="B8877" s="192"/>
      <c r="C8877" s="140"/>
      <c r="D8877" s="140"/>
      <c r="E8877" s="140"/>
    </row>
    <row r="8878" spans="1:5">
      <c r="A8878" s="140"/>
      <c r="B8878" s="192"/>
      <c r="C8878" s="140"/>
      <c r="D8878" s="140"/>
      <c r="E8878" s="140"/>
    </row>
    <row r="8879" spans="1:5">
      <c r="A8879" s="140"/>
      <c r="B8879" s="192"/>
      <c r="C8879" s="140"/>
      <c r="D8879" s="140"/>
      <c r="E8879" s="140"/>
    </row>
    <row r="8880" spans="1:5">
      <c r="A8880" s="140"/>
      <c r="B8880" s="192"/>
      <c r="C8880" s="140"/>
      <c r="D8880" s="140"/>
      <c r="E8880" s="140"/>
    </row>
    <row r="8881" spans="1:5">
      <c r="A8881" s="140"/>
      <c r="B8881" s="192"/>
      <c r="C8881" s="140"/>
      <c r="D8881" s="140"/>
      <c r="E8881" s="140"/>
    </row>
    <row r="8882" spans="1:5">
      <c r="A8882" s="140"/>
      <c r="B8882" s="192"/>
      <c r="C8882" s="140"/>
      <c r="D8882" s="140"/>
      <c r="E8882" s="140"/>
    </row>
    <row r="8883" spans="1:5">
      <c r="A8883" s="140"/>
      <c r="B8883" s="192"/>
      <c r="C8883" s="140"/>
      <c r="D8883" s="140"/>
      <c r="E8883" s="140"/>
    </row>
    <row r="8884" spans="1:5">
      <c r="A8884" s="140"/>
      <c r="B8884" s="192"/>
      <c r="C8884" s="140"/>
      <c r="D8884" s="140"/>
      <c r="E8884" s="140"/>
    </row>
    <row r="8885" spans="1:5">
      <c r="A8885" s="140"/>
      <c r="B8885" s="192"/>
      <c r="C8885" s="140"/>
      <c r="D8885" s="140"/>
      <c r="E8885" s="140"/>
    </row>
    <row r="8886" spans="1:5">
      <c r="A8886" s="140"/>
      <c r="B8886" s="192"/>
      <c r="C8886" s="140"/>
      <c r="D8886" s="140"/>
      <c r="E8886" s="140"/>
    </row>
    <row r="8887" spans="1:5">
      <c r="A8887" s="140"/>
      <c r="B8887" s="192"/>
      <c r="C8887" s="140"/>
      <c r="D8887" s="140"/>
      <c r="E8887" s="140"/>
    </row>
    <row r="8888" spans="1:5">
      <c r="A8888" s="140"/>
      <c r="B8888" s="192"/>
      <c r="C8888" s="140"/>
      <c r="D8888" s="140"/>
      <c r="E8888" s="140"/>
    </row>
    <row r="8889" spans="1:5">
      <c r="A8889" s="140"/>
      <c r="B8889" s="192"/>
      <c r="C8889" s="140"/>
      <c r="D8889" s="140"/>
      <c r="E8889" s="140"/>
    </row>
    <row r="8890" spans="1:5">
      <c r="A8890" s="140"/>
      <c r="B8890" s="192"/>
      <c r="C8890" s="140"/>
      <c r="D8890" s="140"/>
      <c r="E8890" s="140"/>
    </row>
    <row r="8891" spans="1:5">
      <c r="A8891" s="140"/>
      <c r="B8891" s="192"/>
      <c r="C8891" s="140"/>
      <c r="D8891" s="140"/>
      <c r="E8891" s="140"/>
    </row>
    <row r="8892" spans="1:5">
      <c r="A8892" s="140"/>
      <c r="B8892" s="192"/>
      <c r="C8892" s="140"/>
      <c r="D8892" s="140"/>
      <c r="E8892" s="140"/>
    </row>
    <row r="8893" spans="1:5">
      <c r="A8893" s="140"/>
      <c r="B8893" s="192"/>
      <c r="C8893" s="140"/>
      <c r="D8893" s="140"/>
      <c r="E8893" s="140"/>
    </row>
    <row r="8894" spans="1:5">
      <c r="A8894" s="140"/>
      <c r="B8894" s="192"/>
      <c r="C8894" s="140"/>
      <c r="D8894" s="140"/>
      <c r="E8894" s="140"/>
    </row>
    <row r="8895" spans="1:5">
      <c r="A8895" s="140"/>
      <c r="B8895" s="192"/>
      <c r="C8895" s="140"/>
      <c r="D8895" s="140"/>
      <c r="E8895" s="140"/>
    </row>
    <row r="8896" spans="1:5">
      <c r="A8896" s="140"/>
      <c r="B8896" s="192"/>
      <c r="C8896" s="140"/>
      <c r="D8896" s="140"/>
      <c r="E8896" s="140"/>
    </row>
    <row r="8897" spans="1:5">
      <c r="A8897" s="140"/>
      <c r="B8897" s="192"/>
      <c r="C8897" s="140"/>
      <c r="D8897" s="140"/>
      <c r="E8897" s="140"/>
    </row>
    <row r="8898" spans="1:5">
      <c r="A8898" s="140"/>
      <c r="B8898" s="192"/>
      <c r="C8898" s="140"/>
      <c r="D8898" s="140"/>
      <c r="E8898" s="140"/>
    </row>
    <row r="8899" spans="1:5">
      <c r="A8899" s="140"/>
      <c r="B8899" s="192"/>
      <c r="C8899" s="140"/>
      <c r="D8899" s="140"/>
      <c r="E8899" s="140"/>
    </row>
    <row r="8900" spans="1:5">
      <c r="A8900" s="140"/>
      <c r="B8900" s="192"/>
      <c r="C8900" s="140"/>
      <c r="D8900" s="140"/>
      <c r="E8900" s="140"/>
    </row>
    <row r="8901" spans="1:5">
      <c r="A8901" s="140"/>
      <c r="B8901" s="192"/>
      <c r="C8901" s="140"/>
      <c r="D8901" s="140"/>
      <c r="E8901" s="140"/>
    </row>
    <row r="8902" spans="1:5">
      <c r="A8902" s="140"/>
      <c r="B8902" s="192"/>
      <c r="C8902" s="140"/>
      <c r="D8902" s="140"/>
      <c r="E8902" s="140"/>
    </row>
    <row r="8903" spans="1:5">
      <c r="A8903" s="140"/>
      <c r="B8903" s="192"/>
      <c r="C8903" s="140"/>
      <c r="D8903" s="140"/>
      <c r="E8903" s="140"/>
    </row>
    <row r="8904" spans="1:5">
      <c r="A8904" s="140"/>
      <c r="B8904" s="192"/>
      <c r="C8904" s="140"/>
      <c r="D8904" s="140"/>
      <c r="E8904" s="140"/>
    </row>
    <row r="8905" spans="1:5">
      <c r="A8905" s="140"/>
      <c r="B8905" s="192"/>
      <c r="C8905" s="140"/>
      <c r="D8905" s="140"/>
      <c r="E8905" s="140"/>
    </row>
    <row r="8906" spans="1:5">
      <c r="A8906" s="140"/>
      <c r="B8906" s="192"/>
      <c r="C8906" s="140"/>
      <c r="D8906" s="140"/>
      <c r="E8906" s="140"/>
    </row>
    <row r="8907" spans="1:5">
      <c r="A8907" s="140"/>
      <c r="B8907" s="192"/>
      <c r="C8907" s="140"/>
      <c r="D8907" s="140"/>
      <c r="E8907" s="140"/>
    </row>
    <row r="8908" spans="1:5">
      <c r="A8908" s="140"/>
      <c r="B8908" s="192"/>
      <c r="C8908" s="140"/>
      <c r="D8908" s="140"/>
      <c r="E8908" s="140"/>
    </row>
    <row r="8909" spans="1:5">
      <c r="A8909" s="140"/>
      <c r="B8909" s="192"/>
      <c r="C8909" s="140"/>
      <c r="D8909" s="140"/>
      <c r="E8909" s="140"/>
    </row>
    <row r="8910" spans="1:5">
      <c r="A8910" s="140"/>
      <c r="B8910" s="192"/>
      <c r="C8910" s="140"/>
      <c r="D8910" s="140"/>
      <c r="E8910" s="140"/>
    </row>
    <row r="8911" spans="1:5">
      <c r="A8911" s="140"/>
      <c r="B8911" s="192"/>
      <c r="C8911" s="140"/>
      <c r="D8911" s="140"/>
      <c r="E8911" s="140"/>
    </row>
    <row r="8912" spans="1:5">
      <c r="A8912" s="140"/>
      <c r="B8912" s="192"/>
      <c r="C8912" s="140"/>
      <c r="D8912" s="140"/>
      <c r="E8912" s="140"/>
    </row>
    <row r="8913" spans="1:5">
      <c r="A8913" s="140"/>
      <c r="B8913" s="192"/>
      <c r="C8913" s="140"/>
      <c r="D8913" s="140"/>
      <c r="E8913" s="140"/>
    </row>
    <row r="8914" spans="1:5">
      <c r="A8914" s="140"/>
      <c r="B8914" s="192"/>
      <c r="C8914" s="140"/>
      <c r="D8914" s="140"/>
      <c r="E8914" s="140"/>
    </row>
    <row r="8915" spans="1:5">
      <c r="A8915" s="140"/>
      <c r="B8915" s="192"/>
      <c r="C8915" s="140"/>
      <c r="D8915" s="140"/>
      <c r="E8915" s="140"/>
    </row>
    <row r="8916" spans="1:5">
      <c r="A8916" s="140"/>
      <c r="B8916" s="192"/>
      <c r="C8916" s="140"/>
      <c r="D8916" s="140"/>
      <c r="E8916" s="140"/>
    </row>
    <row r="8917" spans="1:5">
      <c r="A8917" s="140"/>
      <c r="B8917" s="192"/>
      <c r="C8917" s="140"/>
      <c r="D8917" s="140"/>
      <c r="E8917" s="140"/>
    </row>
    <row r="8918" spans="1:5">
      <c r="A8918" s="140"/>
      <c r="B8918" s="192"/>
      <c r="C8918" s="140"/>
      <c r="D8918" s="140"/>
      <c r="E8918" s="140"/>
    </row>
    <row r="8919" spans="1:5">
      <c r="A8919" s="140"/>
      <c r="B8919" s="192"/>
      <c r="C8919" s="140"/>
      <c r="D8919" s="140"/>
      <c r="E8919" s="140"/>
    </row>
    <row r="8920" spans="1:5">
      <c r="A8920" s="140"/>
      <c r="B8920" s="192"/>
      <c r="C8920" s="140"/>
      <c r="D8920" s="140"/>
      <c r="E8920" s="140"/>
    </row>
    <row r="8921" spans="1:5">
      <c r="A8921" s="140"/>
      <c r="B8921" s="192"/>
      <c r="C8921" s="140"/>
      <c r="D8921" s="140"/>
      <c r="E8921" s="140"/>
    </row>
    <row r="8922" spans="1:5">
      <c r="A8922" s="140"/>
      <c r="B8922" s="192"/>
      <c r="C8922" s="140"/>
      <c r="D8922" s="140"/>
      <c r="E8922" s="140"/>
    </row>
    <row r="8923" spans="1:5">
      <c r="A8923" s="140"/>
      <c r="B8923" s="192"/>
      <c r="C8923" s="140"/>
      <c r="D8923" s="140"/>
      <c r="E8923" s="140"/>
    </row>
    <row r="8924" spans="1:5">
      <c r="A8924" s="140"/>
      <c r="B8924" s="192"/>
      <c r="C8924" s="140"/>
      <c r="D8924" s="140"/>
      <c r="E8924" s="140"/>
    </row>
    <row r="8925" spans="1:5">
      <c r="A8925" s="140"/>
      <c r="B8925" s="192"/>
      <c r="C8925" s="140"/>
      <c r="D8925" s="140"/>
      <c r="E8925" s="140"/>
    </row>
    <row r="8926" spans="1:5">
      <c r="A8926" s="140"/>
      <c r="B8926" s="192"/>
      <c r="C8926" s="140"/>
      <c r="D8926" s="140"/>
      <c r="E8926" s="140"/>
    </row>
    <row r="8927" spans="1:5">
      <c r="A8927" s="140"/>
      <c r="B8927" s="192"/>
      <c r="C8927" s="140"/>
      <c r="D8927" s="140"/>
      <c r="E8927" s="140"/>
    </row>
    <row r="8928" spans="1:5">
      <c r="A8928" s="140"/>
      <c r="B8928" s="192"/>
      <c r="C8928" s="140"/>
      <c r="D8928" s="140"/>
      <c r="E8928" s="140"/>
    </row>
    <row r="8929" spans="1:5">
      <c r="A8929" s="140"/>
      <c r="B8929" s="192"/>
      <c r="C8929" s="140"/>
      <c r="D8929" s="140"/>
      <c r="E8929" s="140"/>
    </row>
    <row r="8930" spans="1:5">
      <c r="A8930" s="140"/>
      <c r="B8930" s="192"/>
      <c r="C8930" s="140"/>
      <c r="D8930" s="140"/>
      <c r="E8930" s="140"/>
    </row>
    <row r="8931" spans="1:5">
      <c r="A8931" s="140"/>
      <c r="B8931" s="192"/>
      <c r="C8931" s="140"/>
      <c r="D8931" s="140"/>
      <c r="E8931" s="140"/>
    </row>
    <row r="8932" spans="1:5">
      <c r="A8932" s="140"/>
      <c r="B8932" s="192"/>
      <c r="C8932" s="140"/>
      <c r="D8932" s="140"/>
      <c r="E8932" s="140"/>
    </row>
    <row r="8933" spans="1:5">
      <c r="A8933" s="140"/>
      <c r="B8933" s="192"/>
      <c r="C8933" s="140"/>
      <c r="D8933" s="140"/>
      <c r="E8933" s="140"/>
    </row>
    <row r="8934" spans="1:5">
      <c r="A8934" s="140"/>
      <c r="B8934" s="192"/>
      <c r="C8934" s="140"/>
      <c r="D8934" s="140"/>
      <c r="E8934" s="140"/>
    </row>
    <row r="8935" spans="1:5">
      <c r="A8935" s="140"/>
      <c r="B8935" s="192"/>
      <c r="C8935" s="140"/>
      <c r="D8935" s="140"/>
      <c r="E8935" s="140"/>
    </row>
    <row r="8936" spans="1:5">
      <c r="A8936" s="140"/>
      <c r="B8936" s="192"/>
      <c r="C8936" s="140"/>
      <c r="D8936" s="140"/>
      <c r="E8936" s="140"/>
    </row>
    <row r="8937" spans="1:5">
      <c r="A8937" s="140"/>
      <c r="B8937" s="192"/>
      <c r="C8937" s="140"/>
      <c r="D8937" s="140"/>
      <c r="E8937" s="140"/>
    </row>
    <row r="8938" spans="1:5">
      <c r="A8938" s="140"/>
      <c r="B8938" s="192"/>
      <c r="C8938" s="140"/>
      <c r="D8938" s="140"/>
      <c r="E8938" s="140"/>
    </row>
    <row r="8939" spans="1:5">
      <c r="A8939" s="140"/>
      <c r="B8939" s="192"/>
      <c r="C8939" s="140"/>
      <c r="D8939" s="140"/>
      <c r="E8939" s="140"/>
    </row>
    <row r="8940" spans="1:5">
      <c r="A8940" s="140"/>
      <c r="B8940" s="192"/>
      <c r="C8940" s="140"/>
      <c r="D8940" s="140"/>
      <c r="E8940" s="140"/>
    </row>
    <row r="8941" spans="1:5">
      <c r="A8941" s="140"/>
      <c r="B8941" s="192"/>
      <c r="C8941" s="140"/>
      <c r="D8941" s="140"/>
      <c r="E8941" s="140"/>
    </row>
    <row r="8942" spans="1:5">
      <c r="A8942" s="140"/>
      <c r="B8942" s="192"/>
      <c r="C8942" s="140"/>
      <c r="D8942" s="140"/>
      <c r="E8942" s="140"/>
    </row>
    <row r="8943" spans="1:5">
      <c r="A8943" s="140"/>
      <c r="B8943" s="192"/>
      <c r="C8943" s="140"/>
      <c r="D8943" s="140"/>
      <c r="E8943" s="140"/>
    </row>
    <row r="8944" spans="1:5">
      <c r="A8944" s="140"/>
      <c r="B8944" s="192"/>
      <c r="C8944" s="140"/>
      <c r="D8944" s="140"/>
      <c r="E8944" s="140"/>
    </row>
    <row r="8945" spans="1:5">
      <c r="A8945" s="140"/>
      <c r="B8945" s="192"/>
      <c r="C8945" s="140"/>
      <c r="D8945" s="140"/>
      <c r="E8945" s="140"/>
    </row>
    <row r="8946" spans="1:5">
      <c r="A8946" s="140"/>
      <c r="B8946" s="192"/>
      <c r="C8946" s="140"/>
      <c r="D8946" s="140"/>
      <c r="E8946" s="140"/>
    </row>
    <row r="8947" spans="1:5">
      <c r="A8947" s="140"/>
      <c r="B8947" s="192"/>
      <c r="C8947" s="140"/>
      <c r="D8947" s="140"/>
      <c r="E8947" s="140"/>
    </row>
    <row r="8948" spans="1:5">
      <c r="A8948" s="140"/>
      <c r="B8948" s="192"/>
      <c r="C8948" s="140"/>
      <c r="D8948" s="140"/>
      <c r="E8948" s="140"/>
    </row>
    <row r="8949" spans="1:5">
      <c r="A8949" s="140"/>
      <c r="B8949" s="192"/>
      <c r="C8949" s="140"/>
      <c r="D8949" s="140"/>
      <c r="E8949" s="140"/>
    </row>
    <row r="8950" spans="1:5">
      <c r="A8950" s="140"/>
      <c r="B8950" s="192"/>
      <c r="C8950" s="140"/>
      <c r="D8950" s="140"/>
      <c r="E8950" s="140"/>
    </row>
    <row r="8951" spans="1:5">
      <c r="A8951" s="140"/>
      <c r="B8951" s="192"/>
      <c r="C8951" s="140"/>
      <c r="D8951" s="140"/>
      <c r="E8951" s="140"/>
    </row>
    <row r="8952" spans="1:5">
      <c r="A8952" s="140"/>
      <c r="B8952" s="192"/>
      <c r="C8952" s="140"/>
      <c r="D8952" s="140"/>
      <c r="E8952" s="140"/>
    </row>
    <row r="8953" spans="1:5">
      <c r="A8953" s="140"/>
      <c r="B8953" s="192"/>
      <c r="C8953" s="140"/>
      <c r="D8953" s="140"/>
      <c r="E8953" s="140"/>
    </row>
    <row r="8954" spans="1:5">
      <c r="A8954" s="140"/>
      <c r="B8954" s="192"/>
      <c r="C8954" s="140"/>
      <c r="D8954" s="140"/>
      <c r="E8954" s="140"/>
    </row>
    <row r="8955" spans="1:5">
      <c r="A8955" s="140"/>
      <c r="B8955" s="192"/>
      <c r="C8955" s="140"/>
      <c r="D8955" s="140"/>
      <c r="E8955" s="140"/>
    </row>
    <row r="8956" spans="1:5">
      <c r="A8956" s="140"/>
      <c r="B8956" s="192"/>
      <c r="C8956" s="140"/>
      <c r="D8956" s="140"/>
      <c r="E8956" s="140"/>
    </row>
    <row r="8957" spans="1:5">
      <c r="A8957" s="140"/>
      <c r="B8957" s="192"/>
      <c r="C8957" s="140"/>
      <c r="D8957" s="140"/>
      <c r="E8957" s="140"/>
    </row>
    <row r="8958" spans="1:5">
      <c r="A8958" s="140"/>
      <c r="B8958" s="192"/>
      <c r="C8958" s="140"/>
      <c r="D8958" s="140"/>
      <c r="E8958" s="140"/>
    </row>
    <row r="8959" spans="1:5">
      <c r="A8959" s="140"/>
      <c r="B8959" s="192"/>
      <c r="C8959" s="140"/>
      <c r="D8959" s="140"/>
      <c r="E8959" s="140"/>
    </row>
    <row r="8960" spans="1:5">
      <c r="A8960" s="140"/>
      <c r="B8960" s="192"/>
      <c r="C8960" s="140"/>
      <c r="D8960" s="140"/>
      <c r="E8960" s="140"/>
    </row>
    <row r="8961" spans="1:5">
      <c r="A8961" s="140"/>
      <c r="B8961" s="192"/>
      <c r="C8961" s="140"/>
      <c r="D8961" s="140"/>
      <c r="E8961" s="140"/>
    </row>
    <row r="8962" spans="1:5">
      <c r="A8962" s="140"/>
      <c r="B8962" s="192"/>
      <c r="C8962" s="140"/>
      <c r="D8962" s="140"/>
      <c r="E8962" s="140"/>
    </row>
    <row r="8963" spans="1:5">
      <c r="A8963" s="140"/>
      <c r="B8963" s="192"/>
      <c r="C8963" s="140"/>
      <c r="D8963" s="140"/>
      <c r="E8963" s="140"/>
    </row>
    <row r="8964" spans="1:5">
      <c r="A8964" s="140"/>
      <c r="B8964" s="192"/>
      <c r="C8964" s="140"/>
      <c r="D8964" s="140"/>
      <c r="E8964" s="140"/>
    </row>
    <row r="8965" spans="1:5">
      <c r="A8965" s="140"/>
      <c r="B8965" s="192"/>
      <c r="C8965" s="140"/>
      <c r="D8965" s="140"/>
      <c r="E8965" s="140"/>
    </row>
    <row r="8966" spans="1:5">
      <c r="A8966" s="140"/>
      <c r="B8966" s="192"/>
      <c r="C8966" s="140"/>
      <c r="D8966" s="140"/>
      <c r="E8966" s="140"/>
    </row>
    <row r="8967" spans="1:5">
      <c r="A8967" s="140"/>
      <c r="B8967" s="192"/>
      <c r="C8967" s="140"/>
      <c r="D8967" s="140"/>
      <c r="E8967" s="140"/>
    </row>
    <row r="8968" spans="1:5">
      <c r="A8968" s="140"/>
      <c r="B8968" s="192"/>
      <c r="C8968" s="140"/>
      <c r="D8968" s="140"/>
      <c r="E8968" s="140"/>
    </row>
    <row r="8969" spans="1:5">
      <c r="A8969" s="140"/>
      <c r="B8969" s="192"/>
      <c r="C8969" s="140"/>
      <c r="D8969" s="140"/>
      <c r="E8969" s="140"/>
    </row>
    <row r="8970" spans="1:5">
      <c r="A8970" s="140"/>
      <c r="B8970" s="192"/>
      <c r="C8970" s="140"/>
      <c r="D8970" s="140"/>
      <c r="E8970" s="140"/>
    </row>
    <row r="8971" spans="1:5">
      <c r="A8971" s="140"/>
      <c r="B8971" s="192"/>
      <c r="C8971" s="140"/>
      <c r="D8971" s="140"/>
      <c r="E8971" s="140"/>
    </row>
    <row r="8972" spans="1:5">
      <c r="A8972" s="140"/>
      <c r="B8972" s="192"/>
      <c r="C8972" s="140"/>
      <c r="D8972" s="140"/>
      <c r="E8972" s="140"/>
    </row>
    <row r="8973" spans="1:5">
      <c r="A8973" s="140"/>
      <c r="B8973" s="192"/>
      <c r="C8973" s="140"/>
      <c r="D8973" s="140"/>
      <c r="E8973" s="140"/>
    </row>
    <row r="8974" spans="1:5">
      <c r="A8974" s="140"/>
      <c r="B8974" s="192"/>
      <c r="C8974" s="140"/>
      <c r="D8974" s="140"/>
      <c r="E8974" s="140"/>
    </row>
    <row r="8975" spans="1:5">
      <c r="A8975" s="140"/>
      <c r="B8975" s="192"/>
      <c r="C8975" s="140"/>
      <c r="D8975" s="140"/>
      <c r="E8975" s="140"/>
    </row>
    <row r="8976" spans="1:5">
      <c r="A8976" s="140"/>
      <c r="B8976" s="192"/>
      <c r="C8976" s="140"/>
      <c r="D8976" s="140"/>
      <c r="E8976" s="140"/>
    </row>
    <row r="8977" spans="1:5">
      <c r="A8977" s="140"/>
      <c r="B8977" s="192"/>
      <c r="C8977" s="140"/>
      <c r="D8977" s="140"/>
      <c r="E8977" s="140"/>
    </row>
    <row r="8978" spans="1:5">
      <c r="A8978" s="140"/>
      <c r="B8978" s="192"/>
      <c r="C8978" s="140"/>
      <c r="D8978" s="140"/>
      <c r="E8978" s="140"/>
    </row>
    <row r="8979" spans="1:5">
      <c r="A8979" s="140"/>
      <c r="B8979" s="192"/>
      <c r="C8979" s="140"/>
      <c r="D8979" s="140"/>
      <c r="E8979" s="140"/>
    </row>
    <row r="8980" spans="1:5">
      <c r="A8980" s="140"/>
      <c r="B8980" s="192"/>
      <c r="C8980" s="140"/>
      <c r="D8980" s="140"/>
      <c r="E8980" s="140"/>
    </row>
    <row r="8981" spans="1:5">
      <c r="A8981" s="140"/>
      <c r="B8981" s="192"/>
      <c r="C8981" s="140"/>
      <c r="D8981" s="140"/>
      <c r="E8981" s="140"/>
    </row>
    <row r="8982" spans="1:5">
      <c r="A8982" s="140"/>
      <c r="B8982" s="192"/>
      <c r="C8982" s="140"/>
      <c r="D8982" s="140"/>
      <c r="E8982" s="140"/>
    </row>
    <row r="8983" spans="1:5">
      <c r="A8983" s="140"/>
      <c r="B8983" s="192"/>
      <c r="C8983" s="140"/>
      <c r="D8983" s="140"/>
      <c r="E8983" s="140"/>
    </row>
    <row r="8984" spans="1:5">
      <c r="A8984" s="140"/>
      <c r="B8984" s="192"/>
      <c r="C8984" s="140"/>
      <c r="D8984" s="140"/>
      <c r="E8984" s="140"/>
    </row>
    <row r="8985" spans="1:5">
      <c r="A8985" s="140"/>
      <c r="B8985" s="192"/>
      <c r="C8985" s="140"/>
      <c r="D8985" s="140"/>
      <c r="E8985" s="140"/>
    </row>
    <row r="8986" spans="1:5">
      <c r="A8986" s="140"/>
      <c r="B8986" s="192"/>
      <c r="C8986" s="140"/>
      <c r="D8986" s="140"/>
      <c r="E8986" s="140"/>
    </row>
    <row r="8987" spans="1:5">
      <c r="A8987" s="140"/>
      <c r="B8987" s="192"/>
      <c r="C8987" s="140"/>
      <c r="D8987" s="140"/>
      <c r="E8987" s="140"/>
    </row>
    <row r="8988" spans="1:5">
      <c r="A8988" s="140"/>
      <c r="B8988" s="192"/>
      <c r="C8988" s="140"/>
      <c r="D8988" s="140"/>
      <c r="E8988" s="140"/>
    </row>
    <row r="8989" spans="1:5">
      <c r="A8989" s="140"/>
      <c r="B8989" s="192"/>
      <c r="C8989" s="140"/>
      <c r="D8989" s="140"/>
      <c r="E8989" s="140"/>
    </row>
    <row r="8990" spans="1:5">
      <c r="A8990" s="140"/>
      <c r="B8990" s="192"/>
      <c r="C8990" s="140"/>
      <c r="D8990" s="140"/>
      <c r="E8990" s="140"/>
    </row>
    <row r="8991" spans="1:5">
      <c r="A8991" s="140"/>
      <c r="B8991" s="192"/>
      <c r="C8991" s="140"/>
      <c r="D8991" s="140"/>
      <c r="E8991" s="140"/>
    </row>
    <row r="8992" spans="1:5">
      <c r="A8992" s="140"/>
      <c r="B8992" s="192"/>
      <c r="C8992" s="140"/>
      <c r="D8992" s="140"/>
      <c r="E8992" s="140"/>
    </row>
    <row r="8993" spans="1:5">
      <c r="A8993" s="140"/>
      <c r="B8993" s="192"/>
      <c r="C8993" s="140"/>
      <c r="D8993" s="140"/>
      <c r="E8993" s="140"/>
    </row>
    <row r="8994" spans="1:5">
      <c r="A8994" s="140"/>
      <c r="B8994" s="192"/>
      <c r="C8994" s="140"/>
      <c r="D8994" s="140"/>
      <c r="E8994" s="140"/>
    </row>
    <row r="8995" spans="1:5">
      <c r="A8995" s="140"/>
      <c r="B8995" s="192"/>
      <c r="C8995" s="140"/>
      <c r="D8995" s="140"/>
      <c r="E8995" s="140"/>
    </row>
    <row r="8996" spans="1:5">
      <c r="A8996" s="140"/>
      <c r="B8996" s="192"/>
      <c r="C8996" s="140"/>
      <c r="D8996" s="140"/>
      <c r="E8996" s="140"/>
    </row>
    <row r="8997" spans="1:5">
      <c r="A8997" s="140"/>
      <c r="B8997" s="192"/>
      <c r="C8997" s="140"/>
      <c r="D8997" s="140"/>
      <c r="E8997" s="140"/>
    </row>
    <row r="8998" spans="1:5">
      <c r="A8998" s="140"/>
      <c r="B8998" s="192"/>
      <c r="C8998" s="140"/>
      <c r="D8998" s="140"/>
      <c r="E8998" s="140"/>
    </row>
    <row r="8999" spans="1:5">
      <c r="A8999" s="140"/>
      <c r="B8999" s="192"/>
      <c r="C8999" s="140"/>
      <c r="D8999" s="140"/>
      <c r="E8999" s="140"/>
    </row>
    <row r="9000" spans="1:5">
      <c r="A9000" s="140"/>
      <c r="B9000" s="192"/>
      <c r="C9000" s="140"/>
      <c r="D9000" s="140"/>
      <c r="E9000" s="140"/>
    </row>
    <row r="9001" spans="1:5">
      <c r="A9001" s="140"/>
      <c r="B9001" s="192"/>
      <c r="C9001" s="140"/>
      <c r="D9001" s="140"/>
      <c r="E9001" s="140"/>
    </row>
    <row r="9002" spans="1:5">
      <c r="A9002" s="140"/>
      <c r="B9002" s="192"/>
      <c r="C9002" s="140"/>
      <c r="D9002" s="140"/>
      <c r="E9002" s="140"/>
    </row>
    <row r="9003" spans="1:5">
      <c r="A9003" s="140"/>
      <c r="B9003" s="192"/>
      <c r="C9003" s="140"/>
      <c r="D9003" s="140"/>
      <c r="E9003" s="140"/>
    </row>
    <row r="9004" spans="1:5">
      <c r="A9004" s="140"/>
      <c r="B9004" s="192"/>
      <c r="C9004" s="140"/>
      <c r="D9004" s="140"/>
      <c r="E9004" s="140"/>
    </row>
    <row r="9005" spans="1:5">
      <c r="A9005" s="140"/>
      <c r="B9005" s="192"/>
      <c r="C9005" s="140"/>
      <c r="D9005" s="140"/>
      <c r="E9005" s="140"/>
    </row>
    <row r="9006" spans="1:5">
      <c r="A9006" s="140"/>
      <c r="B9006" s="192"/>
      <c r="C9006" s="140"/>
      <c r="D9006" s="140"/>
      <c r="E9006" s="140"/>
    </row>
    <row r="9007" spans="1:5">
      <c r="A9007" s="140"/>
      <c r="B9007" s="192"/>
      <c r="C9007" s="140"/>
      <c r="D9007" s="140"/>
      <c r="E9007" s="140"/>
    </row>
    <row r="9008" spans="1:5">
      <c r="A9008" s="140"/>
      <c r="B9008" s="192"/>
      <c r="C9008" s="140"/>
      <c r="D9008" s="140"/>
      <c r="E9008" s="140"/>
    </row>
    <row r="9009" spans="1:5">
      <c r="A9009" s="140"/>
      <c r="B9009" s="192"/>
      <c r="C9009" s="140"/>
      <c r="D9009" s="140"/>
      <c r="E9009" s="140"/>
    </row>
    <row r="9010" spans="1:5">
      <c r="A9010" s="140"/>
      <c r="B9010" s="192"/>
      <c r="C9010" s="140"/>
      <c r="D9010" s="140"/>
      <c r="E9010" s="140"/>
    </row>
    <row r="9011" spans="1:5">
      <c r="A9011" s="140"/>
      <c r="B9011" s="192"/>
      <c r="C9011" s="140"/>
      <c r="D9011" s="140"/>
      <c r="E9011" s="140"/>
    </row>
    <row r="9012" spans="1:5">
      <c r="A9012" s="140"/>
      <c r="B9012" s="192"/>
      <c r="C9012" s="140"/>
      <c r="D9012" s="140"/>
      <c r="E9012" s="140"/>
    </row>
    <row r="9013" spans="1:5">
      <c r="A9013" s="140"/>
      <c r="B9013" s="192"/>
      <c r="C9013" s="140"/>
      <c r="D9013" s="140"/>
      <c r="E9013" s="140"/>
    </row>
    <row r="9014" spans="1:5">
      <c r="A9014" s="140"/>
      <c r="B9014" s="192"/>
      <c r="C9014" s="140"/>
      <c r="D9014" s="140"/>
      <c r="E9014" s="140"/>
    </row>
    <row r="9015" spans="1:5">
      <c r="A9015" s="140"/>
      <c r="B9015" s="192"/>
      <c r="C9015" s="140"/>
      <c r="D9015" s="140"/>
      <c r="E9015" s="140"/>
    </row>
    <row r="9016" spans="1:5">
      <c r="A9016" s="140"/>
      <c r="B9016" s="192"/>
      <c r="C9016" s="140"/>
      <c r="D9016" s="140"/>
      <c r="E9016" s="140"/>
    </row>
    <row r="9017" spans="1:5">
      <c r="A9017" s="140"/>
      <c r="B9017" s="192"/>
      <c r="C9017" s="140"/>
      <c r="D9017" s="140"/>
      <c r="E9017" s="140"/>
    </row>
    <row r="9018" spans="1:5">
      <c r="A9018" s="140"/>
      <c r="B9018" s="192"/>
      <c r="C9018" s="140"/>
      <c r="D9018" s="140"/>
      <c r="E9018" s="140"/>
    </row>
    <row r="9019" spans="1:5">
      <c r="A9019" s="140"/>
      <c r="B9019" s="192"/>
      <c r="C9019" s="140"/>
      <c r="D9019" s="140"/>
      <c r="E9019" s="140"/>
    </row>
    <row r="9020" spans="1:5">
      <c r="A9020" s="140"/>
      <c r="B9020" s="192"/>
      <c r="C9020" s="140"/>
      <c r="D9020" s="140"/>
      <c r="E9020" s="140"/>
    </row>
    <row r="9021" spans="1:5">
      <c r="A9021" s="140"/>
      <c r="B9021" s="192"/>
      <c r="C9021" s="140"/>
      <c r="D9021" s="140"/>
      <c r="E9021" s="140"/>
    </row>
    <row r="9022" spans="1:5">
      <c r="A9022" s="140"/>
      <c r="B9022" s="192"/>
      <c r="C9022" s="140"/>
      <c r="D9022" s="140"/>
      <c r="E9022" s="140"/>
    </row>
    <row r="9023" spans="1:5">
      <c r="A9023" s="140"/>
      <c r="B9023" s="192"/>
      <c r="C9023" s="140"/>
      <c r="D9023" s="140"/>
      <c r="E9023" s="140"/>
    </row>
    <row r="9024" spans="1:5">
      <c r="A9024" s="140"/>
      <c r="B9024" s="192"/>
      <c r="C9024" s="140"/>
      <c r="D9024" s="140"/>
      <c r="E9024" s="140"/>
    </row>
    <row r="9025" spans="1:5">
      <c r="A9025" s="140"/>
      <c r="B9025" s="192"/>
      <c r="C9025" s="140"/>
      <c r="D9025" s="140"/>
      <c r="E9025" s="140"/>
    </row>
    <row r="9026" spans="1:5">
      <c r="A9026" s="140"/>
      <c r="B9026" s="192"/>
      <c r="C9026" s="140"/>
      <c r="D9026" s="140"/>
      <c r="E9026" s="140"/>
    </row>
    <row r="9027" spans="1:5">
      <c r="A9027" s="140"/>
      <c r="B9027" s="192"/>
      <c r="C9027" s="140"/>
      <c r="D9027" s="140"/>
      <c r="E9027" s="140"/>
    </row>
    <row r="9028" spans="1:5">
      <c r="A9028" s="140"/>
      <c r="B9028" s="192"/>
      <c r="C9028" s="140"/>
      <c r="D9028" s="140"/>
      <c r="E9028" s="140"/>
    </row>
    <row r="9029" spans="1:5">
      <c r="A9029" s="140"/>
      <c r="B9029" s="192"/>
      <c r="C9029" s="140"/>
      <c r="D9029" s="140"/>
      <c r="E9029" s="140"/>
    </row>
    <row r="9030" spans="1:5">
      <c r="A9030" s="140"/>
      <c r="B9030" s="192"/>
      <c r="C9030" s="140"/>
      <c r="D9030" s="140"/>
      <c r="E9030" s="140"/>
    </row>
    <row r="9031" spans="1:5">
      <c r="A9031" s="140"/>
      <c r="B9031" s="192"/>
      <c r="C9031" s="140"/>
      <c r="D9031" s="140"/>
      <c r="E9031" s="140"/>
    </row>
    <row r="9032" spans="1:5">
      <c r="A9032" s="140"/>
      <c r="B9032" s="192"/>
      <c r="C9032" s="140"/>
      <c r="D9032" s="140"/>
      <c r="E9032" s="140"/>
    </row>
    <row r="9033" spans="1:5">
      <c r="A9033" s="140"/>
      <c r="B9033" s="192"/>
      <c r="C9033" s="140"/>
      <c r="D9033" s="140"/>
      <c r="E9033" s="140"/>
    </row>
    <row r="9034" spans="1:5">
      <c r="A9034" s="140"/>
      <c r="B9034" s="192"/>
      <c r="C9034" s="140"/>
      <c r="D9034" s="140"/>
      <c r="E9034" s="140"/>
    </row>
    <row r="9035" spans="1:5">
      <c r="A9035" s="140"/>
      <c r="B9035" s="192"/>
      <c r="C9035" s="140"/>
      <c r="D9035" s="140"/>
      <c r="E9035" s="140"/>
    </row>
    <row r="9036" spans="1:5">
      <c r="A9036" s="140"/>
      <c r="B9036" s="192"/>
      <c r="C9036" s="140"/>
      <c r="D9036" s="140"/>
      <c r="E9036" s="140"/>
    </row>
    <row r="9037" spans="1:5">
      <c r="A9037" s="140"/>
      <c r="B9037" s="192"/>
      <c r="C9037" s="140"/>
      <c r="D9037" s="140"/>
      <c r="E9037" s="140"/>
    </row>
    <row r="9038" spans="1:5">
      <c r="A9038" s="140"/>
      <c r="B9038" s="192"/>
      <c r="C9038" s="140"/>
      <c r="D9038" s="140"/>
      <c r="E9038" s="140"/>
    </row>
    <row r="9039" spans="1:5">
      <c r="A9039" s="140"/>
      <c r="B9039" s="192"/>
      <c r="C9039" s="140"/>
      <c r="D9039" s="140"/>
      <c r="E9039" s="140"/>
    </row>
    <row r="9040" spans="1:5">
      <c r="A9040" s="140"/>
      <c r="B9040" s="192"/>
      <c r="C9040" s="140"/>
      <c r="D9040" s="140"/>
      <c r="E9040" s="140"/>
    </row>
    <row r="9041" spans="1:5">
      <c r="A9041" s="140"/>
      <c r="B9041" s="192"/>
      <c r="C9041" s="140"/>
      <c r="D9041" s="140"/>
      <c r="E9041" s="140"/>
    </row>
    <row r="9042" spans="1:5">
      <c r="A9042" s="140"/>
      <c r="B9042" s="192"/>
      <c r="C9042" s="140"/>
      <c r="D9042" s="140"/>
      <c r="E9042" s="140"/>
    </row>
    <row r="9043" spans="1:5">
      <c r="A9043" s="140"/>
      <c r="B9043" s="192"/>
      <c r="C9043" s="140"/>
      <c r="D9043" s="140"/>
      <c r="E9043" s="140"/>
    </row>
    <row r="9044" spans="1:5">
      <c r="A9044" s="140"/>
      <c r="B9044" s="192"/>
      <c r="C9044" s="140"/>
      <c r="D9044" s="140"/>
      <c r="E9044" s="140"/>
    </row>
    <row r="9045" spans="1:5">
      <c r="A9045" s="140"/>
      <c r="B9045" s="192"/>
      <c r="C9045" s="140"/>
      <c r="D9045" s="140"/>
      <c r="E9045" s="140"/>
    </row>
    <row r="9046" spans="1:5">
      <c r="A9046" s="140"/>
      <c r="B9046" s="192"/>
      <c r="C9046" s="140"/>
      <c r="D9046" s="140"/>
      <c r="E9046" s="140"/>
    </row>
    <row r="9047" spans="1:5">
      <c r="A9047" s="140"/>
      <c r="B9047" s="192"/>
      <c r="C9047" s="140"/>
      <c r="D9047" s="140"/>
      <c r="E9047" s="140"/>
    </row>
    <row r="9048" spans="1:5">
      <c r="A9048" s="140"/>
      <c r="B9048" s="192"/>
      <c r="C9048" s="140"/>
      <c r="D9048" s="140"/>
      <c r="E9048" s="140"/>
    </row>
    <row r="9049" spans="1:5">
      <c r="A9049" s="140"/>
      <c r="B9049" s="192"/>
      <c r="C9049" s="140"/>
      <c r="D9049" s="140"/>
      <c r="E9049" s="140"/>
    </row>
    <row r="9050" spans="1:5">
      <c r="A9050" s="140"/>
      <c r="B9050" s="192"/>
      <c r="C9050" s="140"/>
      <c r="D9050" s="140"/>
      <c r="E9050" s="140"/>
    </row>
    <row r="9051" spans="1:5">
      <c r="A9051" s="140"/>
      <c r="B9051" s="192"/>
      <c r="C9051" s="140"/>
      <c r="D9051" s="140"/>
      <c r="E9051" s="140"/>
    </row>
    <row r="9052" spans="1:5">
      <c r="A9052" s="140"/>
      <c r="B9052" s="192"/>
      <c r="C9052" s="140"/>
      <c r="D9052" s="140"/>
      <c r="E9052" s="140"/>
    </row>
    <row r="9053" spans="1:5">
      <c r="A9053" s="140"/>
      <c r="B9053" s="192"/>
      <c r="C9053" s="140"/>
      <c r="D9053" s="140"/>
      <c r="E9053" s="140"/>
    </row>
    <row r="9054" spans="1:5">
      <c r="A9054" s="140"/>
      <c r="B9054" s="192"/>
      <c r="C9054" s="140"/>
      <c r="D9054" s="140"/>
      <c r="E9054" s="140"/>
    </row>
    <row r="9055" spans="1:5">
      <c r="A9055" s="140"/>
      <c r="B9055" s="192"/>
      <c r="C9055" s="140"/>
      <c r="D9055" s="140"/>
      <c r="E9055" s="140"/>
    </row>
    <row r="9056" spans="1:5">
      <c r="A9056" s="140"/>
      <c r="B9056" s="192"/>
      <c r="C9056" s="140"/>
      <c r="D9056" s="140"/>
      <c r="E9056" s="140"/>
    </row>
    <row r="9057" spans="1:5">
      <c r="A9057" s="140"/>
      <c r="B9057" s="192"/>
      <c r="C9057" s="140"/>
      <c r="D9057" s="140"/>
      <c r="E9057" s="140"/>
    </row>
    <row r="9058" spans="1:5">
      <c r="A9058" s="140"/>
      <c r="B9058" s="192"/>
      <c r="C9058" s="140"/>
      <c r="D9058" s="140"/>
      <c r="E9058" s="140"/>
    </row>
    <row r="9059" spans="1:5">
      <c r="A9059" s="140"/>
      <c r="B9059" s="192"/>
      <c r="C9059" s="140"/>
      <c r="D9059" s="140"/>
      <c r="E9059" s="140"/>
    </row>
    <row r="9060" spans="1:5">
      <c r="A9060" s="140"/>
      <c r="B9060" s="192"/>
      <c r="C9060" s="140"/>
      <c r="D9060" s="140"/>
      <c r="E9060" s="140"/>
    </row>
    <row r="9061" spans="1:5">
      <c r="A9061" s="140"/>
      <c r="B9061" s="192"/>
      <c r="C9061" s="140"/>
      <c r="D9061" s="140"/>
      <c r="E9061" s="140"/>
    </row>
    <row r="9062" spans="1:5">
      <c r="A9062" s="140"/>
      <c r="B9062" s="192"/>
      <c r="C9062" s="140"/>
      <c r="D9062" s="140"/>
      <c r="E9062" s="140"/>
    </row>
    <row r="9063" spans="1:5">
      <c r="A9063" s="140"/>
      <c r="B9063" s="192"/>
      <c r="C9063" s="140"/>
      <c r="D9063" s="140"/>
      <c r="E9063" s="140"/>
    </row>
    <row r="9064" spans="1:5">
      <c r="A9064" s="140"/>
      <c r="B9064" s="192"/>
      <c r="C9064" s="140"/>
      <c r="D9064" s="140"/>
      <c r="E9064" s="140"/>
    </row>
    <row r="9065" spans="1:5">
      <c r="A9065" s="140"/>
      <c r="B9065" s="192"/>
      <c r="C9065" s="140"/>
      <c r="D9065" s="140"/>
      <c r="E9065" s="140"/>
    </row>
    <row r="9066" spans="1:5">
      <c r="A9066" s="140"/>
      <c r="B9066" s="192"/>
      <c r="C9066" s="140"/>
      <c r="D9066" s="140"/>
      <c r="E9066" s="140"/>
    </row>
    <row r="9067" spans="1:5">
      <c r="A9067" s="140"/>
      <c r="B9067" s="192"/>
      <c r="C9067" s="140"/>
      <c r="D9067" s="140"/>
      <c r="E9067" s="140"/>
    </row>
    <row r="9068" spans="1:5">
      <c r="A9068" s="140"/>
      <c r="B9068" s="192"/>
      <c r="C9068" s="140"/>
      <c r="D9068" s="140"/>
      <c r="E9068" s="140"/>
    </row>
    <row r="9069" spans="1:5">
      <c r="A9069" s="140"/>
      <c r="B9069" s="192"/>
      <c r="C9069" s="140"/>
      <c r="D9069" s="140"/>
      <c r="E9069" s="140"/>
    </row>
    <row r="9070" spans="1:5">
      <c r="A9070" s="140"/>
      <c r="B9070" s="192"/>
      <c r="C9070" s="140"/>
      <c r="D9070" s="140"/>
      <c r="E9070" s="140"/>
    </row>
    <row r="9071" spans="1:5">
      <c r="A9071" s="140"/>
      <c r="B9071" s="192"/>
      <c r="C9071" s="140"/>
      <c r="D9071" s="140"/>
      <c r="E9071" s="140"/>
    </row>
    <row r="9072" spans="1:5">
      <c r="A9072" s="140"/>
      <c r="B9072" s="192"/>
      <c r="C9072" s="140"/>
      <c r="D9072" s="140"/>
      <c r="E9072" s="140"/>
    </row>
    <row r="9073" spans="1:5">
      <c r="A9073" s="140"/>
      <c r="B9073" s="192"/>
      <c r="C9073" s="140"/>
      <c r="D9073" s="140"/>
      <c r="E9073" s="140"/>
    </row>
    <row r="9074" spans="1:5">
      <c r="A9074" s="140"/>
      <c r="B9074" s="192"/>
      <c r="C9074" s="140"/>
      <c r="D9074" s="140"/>
      <c r="E9074" s="140"/>
    </row>
    <row r="9075" spans="1:5">
      <c r="A9075" s="140"/>
      <c r="B9075" s="192"/>
      <c r="C9075" s="140"/>
      <c r="D9075" s="140"/>
      <c r="E9075" s="140"/>
    </row>
    <row r="9076" spans="1:5">
      <c r="A9076" s="140"/>
      <c r="B9076" s="192"/>
      <c r="C9076" s="140"/>
      <c r="D9076" s="140"/>
      <c r="E9076" s="140"/>
    </row>
    <row r="9077" spans="1:5">
      <c r="A9077" s="140"/>
      <c r="B9077" s="192"/>
      <c r="C9077" s="140"/>
      <c r="D9077" s="140"/>
      <c r="E9077" s="140"/>
    </row>
    <row r="9078" spans="1:5">
      <c r="A9078" s="140"/>
      <c r="B9078" s="192"/>
      <c r="C9078" s="140"/>
      <c r="D9078" s="140"/>
      <c r="E9078" s="140"/>
    </row>
    <row r="9079" spans="1:5">
      <c r="A9079" s="140"/>
      <c r="B9079" s="192"/>
      <c r="C9079" s="140"/>
      <c r="D9079" s="140"/>
      <c r="E9079" s="140"/>
    </row>
    <row r="9080" spans="1:5">
      <c r="A9080" s="140"/>
      <c r="B9080" s="192"/>
      <c r="C9080" s="140"/>
      <c r="D9080" s="140"/>
      <c r="E9080" s="140"/>
    </row>
    <row r="9081" spans="1:5">
      <c r="A9081" s="140"/>
      <c r="B9081" s="192"/>
      <c r="C9081" s="140"/>
      <c r="D9081" s="140"/>
      <c r="E9081" s="140"/>
    </row>
    <row r="9082" spans="1:5">
      <c r="A9082" s="140"/>
      <c r="B9082" s="192"/>
      <c r="C9082" s="140"/>
      <c r="D9082" s="140"/>
      <c r="E9082" s="140"/>
    </row>
    <row r="9083" spans="1:5">
      <c r="A9083" s="140"/>
      <c r="B9083" s="192"/>
      <c r="C9083" s="140"/>
      <c r="D9083" s="140"/>
      <c r="E9083" s="140"/>
    </row>
    <row r="9084" spans="1:5">
      <c r="A9084" s="140"/>
      <c r="B9084" s="192"/>
      <c r="C9084" s="140"/>
      <c r="D9084" s="140"/>
      <c r="E9084" s="140"/>
    </row>
    <row r="9085" spans="1:5">
      <c r="A9085" s="140"/>
      <c r="B9085" s="192"/>
      <c r="C9085" s="140"/>
      <c r="D9085" s="140"/>
      <c r="E9085" s="140"/>
    </row>
    <row r="9086" spans="1:5">
      <c r="A9086" s="140"/>
      <c r="B9086" s="192"/>
      <c r="C9086" s="140"/>
      <c r="D9086" s="140"/>
      <c r="E9086" s="140"/>
    </row>
    <row r="9087" spans="1:5">
      <c r="A9087" s="140"/>
      <c r="B9087" s="192"/>
      <c r="C9087" s="140"/>
      <c r="D9087" s="140"/>
      <c r="E9087" s="140"/>
    </row>
    <row r="9088" spans="1:5">
      <c r="A9088" s="140"/>
      <c r="B9088" s="192"/>
      <c r="C9088" s="140"/>
      <c r="D9088" s="140"/>
      <c r="E9088" s="140"/>
    </row>
    <row r="9089" spans="1:5">
      <c r="A9089" s="140"/>
      <c r="B9089" s="192"/>
      <c r="C9089" s="140"/>
      <c r="D9089" s="140"/>
      <c r="E9089" s="140"/>
    </row>
    <row r="9090" spans="1:5">
      <c r="A9090" s="140"/>
      <c r="B9090" s="192"/>
      <c r="C9090" s="140"/>
      <c r="D9090" s="140"/>
      <c r="E9090" s="140"/>
    </row>
    <row r="9091" spans="1:5">
      <c r="A9091" s="140"/>
      <c r="B9091" s="192"/>
      <c r="C9091" s="140"/>
      <c r="D9091" s="140"/>
      <c r="E9091" s="140"/>
    </row>
    <row r="9092" spans="1:5">
      <c r="A9092" s="140"/>
      <c r="B9092" s="192"/>
      <c r="C9092" s="140"/>
      <c r="D9092" s="140"/>
      <c r="E9092" s="140"/>
    </row>
    <row r="9093" spans="1:5">
      <c r="A9093" s="140"/>
      <c r="B9093" s="192"/>
      <c r="C9093" s="140"/>
      <c r="D9093" s="140"/>
      <c r="E9093" s="140"/>
    </row>
    <row r="9094" spans="1:5">
      <c r="A9094" s="140"/>
      <c r="B9094" s="192"/>
      <c r="C9094" s="140"/>
      <c r="D9094" s="140"/>
      <c r="E9094" s="140"/>
    </row>
    <row r="9095" spans="1:5">
      <c r="A9095" s="140"/>
      <c r="B9095" s="192"/>
      <c r="C9095" s="140"/>
      <c r="D9095" s="140"/>
      <c r="E9095" s="140"/>
    </row>
    <row r="9096" spans="1:5">
      <c r="A9096" s="140"/>
      <c r="B9096" s="192"/>
      <c r="C9096" s="140"/>
      <c r="D9096" s="140"/>
      <c r="E9096" s="140"/>
    </row>
    <row r="9097" spans="1:5">
      <c r="A9097" s="140"/>
      <c r="B9097" s="192"/>
      <c r="C9097" s="140"/>
      <c r="D9097" s="140"/>
      <c r="E9097" s="140"/>
    </row>
    <row r="9098" spans="1:5">
      <c r="A9098" s="140"/>
      <c r="B9098" s="192"/>
      <c r="C9098" s="140"/>
      <c r="D9098" s="140"/>
      <c r="E9098" s="140"/>
    </row>
    <row r="9099" spans="1:5">
      <c r="A9099" s="140"/>
      <c r="B9099" s="192"/>
      <c r="C9099" s="140"/>
      <c r="D9099" s="140"/>
      <c r="E9099" s="140"/>
    </row>
    <row r="9100" spans="1:5">
      <c r="A9100" s="140"/>
      <c r="B9100" s="192"/>
      <c r="C9100" s="140"/>
      <c r="D9100" s="140"/>
      <c r="E9100" s="140"/>
    </row>
    <row r="9101" spans="1:5">
      <c r="A9101" s="140"/>
      <c r="B9101" s="192"/>
      <c r="C9101" s="140"/>
      <c r="D9101" s="140"/>
      <c r="E9101" s="140"/>
    </row>
    <row r="9102" spans="1:5">
      <c r="A9102" s="140"/>
      <c r="B9102" s="192"/>
      <c r="C9102" s="140"/>
      <c r="D9102" s="140"/>
      <c r="E9102" s="140"/>
    </row>
    <row r="9103" spans="1:5">
      <c r="A9103" s="140"/>
      <c r="B9103" s="192"/>
      <c r="C9103" s="140"/>
      <c r="D9103" s="140"/>
      <c r="E9103" s="140"/>
    </row>
    <row r="9104" spans="1:5">
      <c r="A9104" s="140"/>
      <c r="B9104" s="192"/>
      <c r="C9104" s="140"/>
      <c r="D9104" s="140"/>
      <c r="E9104" s="140"/>
    </row>
    <row r="9105" spans="1:5">
      <c r="A9105" s="140"/>
      <c r="B9105" s="192"/>
      <c r="C9105" s="140"/>
      <c r="D9105" s="140"/>
      <c r="E9105" s="140"/>
    </row>
    <row r="9106" spans="1:5">
      <c r="A9106" s="140"/>
      <c r="B9106" s="192"/>
      <c r="C9106" s="140"/>
      <c r="D9106" s="140"/>
      <c r="E9106" s="140"/>
    </row>
    <row r="9107" spans="1:5">
      <c r="A9107" s="140"/>
      <c r="B9107" s="192"/>
      <c r="C9107" s="140"/>
      <c r="D9107" s="140"/>
      <c r="E9107" s="140"/>
    </row>
    <row r="9108" spans="1:5">
      <c r="A9108" s="140"/>
      <c r="B9108" s="192"/>
      <c r="C9108" s="140"/>
      <c r="D9108" s="140"/>
      <c r="E9108" s="140"/>
    </row>
    <row r="9109" spans="1:5">
      <c r="A9109" s="140"/>
      <c r="B9109" s="192"/>
      <c r="C9109" s="140"/>
      <c r="D9109" s="140"/>
      <c r="E9109" s="140"/>
    </row>
    <row r="9110" spans="1:5">
      <c r="A9110" s="140"/>
      <c r="B9110" s="192"/>
      <c r="C9110" s="140"/>
      <c r="D9110" s="140"/>
      <c r="E9110" s="140"/>
    </row>
    <row r="9111" spans="1:5">
      <c r="A9111" s="140"/>
      <c r="B9111" s="192"/>
      <c r="C9111" s="140"/>
      <c r="D9111" s="140"/>
      <c r="E9111" s="140"/>
    </row>
    <row r="9112" spans="1:5">
      <c r="A9112" s="140"/>
      <c r="B9112" s="192"/>
      <c r="C9112" s="140"/>
      <c r="D9112" s="140"/>
      <c r="E9112" s="140"/>
    </row>
    <row r="9113" spans="1:5">
      <c r="A9113" s="140"/>
      <c r="B9113" s="192"/>
      <c r="C9113" s="140"/>
      <c r="D9113" s="140"/>
      <c r="E9113" s="140"/>
    </row>
    <row r="9114" spans="1:5">
      <c r="A9114" s="140"/>
      <c r="B9114" s="192"/>
      <c r="C9114" s="140"/>
      <c r="D9114" s="140"/>
      <c r="E9114" s="140"/>
    </row>
    <row r="9115" spans="1:5">
      <c r="A9115" s="140"/>
      <c r="B9115" s="192"/>
      <c r="C9115" s="140"/>
      <c r="D9115" s="140"/>
      <c r="E9115" s="140"/>
    </row>
    <row r="9116" spans="1:5">
      <c r="A9116" s="140"/>
      <c r="B9116" s="192"/>
      <c r="C9116" s="140"/>
      <c r="D9116" s="140"/>
      <c r="E9116" s="140"/>
    </row>
    <row r="9117" spans="1:5">
      <c r="A9117" s="140"/>
      <c r="B9117" s="192"/>
      <c r="C9117" s="140"/>
      <c r="D9117" s="140"/>
      <c r="E9117" s="140"/>
    </row>
    <row r="9118" spans="1:5">
      <c r="A9118" s="140"/>
      <c r="B9118" s="192"/>
      <c r="C9118" s="140"/>
      <c r="D9118" s="140"/>
      <c r="E9118" s="140"/>
    </row>
    <row r="9119" spans="1:5">
      <c r="A9119" s="140"/>
      <c r="B9119" s="192"/>
      <c r="C9119" s="140"/>
      <c r="D9119" s="140"/>
      <c r="E9119" s="140"/>
    </row>
    <row r="9120" spans="1:5">
      <c r="A9120" s="140"/>
      <c r="B9120" s="192"/>
      <c r="C9120" s="140"/>
      <c r="D9120" s="140"/>
      <c r="E9120" s="140"/>
    </row>
    <row r="9121" spans="1:5">
      <c r="A9121" s="140"/>
      <c r="B9121" s="192"/>
      <c r="C9121" s="140"/>
      <c r="D9121" s="140"/>
      <c r="E9121" s="140"/>
    </row>
    <row r="9122" spans="1:5">
      <c r="A9122" s="140"/>
      <c r="B9122" s="192"/>
      <c r="C9122" s="140"/>
      <c r="D9122" s="140"/>
      <c r="E9122" s="140"/>
    </row>
    <row r="9123" spans="1:5">
      <c r="A9123" s="140"/>
      <c r="B9123" s="192"/>
      <c r="C9123" s="140"/>
      <c r="D9123" s="140"/>
      <c r="E9123" s="140"/>
    </row>
    <row r="9124" spans="1:5">
      <c r="A9124" s="140"/>
      <c r="B9124" s="192"/>
      <c r="C9124" s="140"/>
      <c r="D9124" s="140"/>
      <c r="E9124" s="140"/>
    </row>
    <row r="9125" spans="1:5">
      <c r="A9125" s="140"/>
      <c r="B9125" s="192"/>
      <c r="C9125" s="140"/>
      <c r="D9125" s="140"/>
      <c r="E9125" s="140"/>
    </row>
    <row r="9126" spans="1:5">
      <c r="A9126" s="140"/>
      <c r="B9126" s="192"/>
      <c r="C9126" s="140"/>
      <c r="D9126" s="140"/>
      <c r="E9126" s="140"/>
    </row>
    <row r="9127" spans="1:5">
      <c r="A9127" s="140"/>
      <c r="B9127" s="192"/>
      <c r="C9127" s="140"/>
      <c r="D9127" s="140"/>
      <c r="E9127" s="140"/>
    </row>
    <row r="9128" spans="1:5">
      <c r="A9128" s="140"/>
      <c r="B9128" s="192"/>
      <c r="C9128" s="140"/>
      <c r="D9128" s="140"/>
      <c r="E9128" s="140"/>
    </row>
    <row r="9129" spans="1:5">
      <c r="A9129" s="140"/>
      <c r="B9129" s="192"/>
      <c r="C9129" s="140"/>
      <c r="D9129" s="140"/>
      <c r="E9129" s="140"/>
    </row>
    <row r="9130" spans="1:5">
      <c r="A9130" s="140"/>
      <c r="B9130" s="192"/>
      <c r="C9130" s="140"/>
      <c r="D9130" s="140"/>
      <c r="E9130" s="140"/>
    </row>
    <row r="9131" spans="1:5">
      <c r="A9131" s="140"/>
      <c r="B9131" s="192"/>
      <c r="C9131" s="140"/>
      <c r="D9131" s="140"/>
      <c r="E9131" s="140"/>
    </row>
    <row r="9132" spans="1:5">
      <c r="A9132" s="140"/>
      <c r="B9132" s="192"/>
      <c r="C9132" s="140"/>
      <c r="D9132" s="140"/>
      <c r="E9132" s="140"/>
    </row>
    <row r="9133" spans="1:5">
      <c r="A9133" s="140"/>
      <c r="B9133" s="192"/>
      <c r="C9133" s="140"/>
      <c r="D9133" s="140"/>
      <c r="E9133" s="140"/>
    </row>
    <row r="9134" spans="1:5">
      <c r="A9134" s="140"/>
      <c r="B9134" s="192"/>
      <c r="C9134" s="140"/>
      <c r="D9134" s="140"/>
      <c r="E9134" s="140"/>
    </row>
    <row r="9135" spans="1:5">
      <c r="A9135" s="140"/>
      <c r="B9135" s="192"/>
      <c r="C9135" s="140"/>
      <c r="D9135" s="140"/>
      <c r="E9135" s="140"/>
    </row>
    <row r="9136" spans="1:5">
      <c r="A9136" s="140"/>
      <c r="B9136" s="192"/>
      <c r="C9136" s="140"/>
      <c r="D9136" s="140"/>
      <c r="E9136" s="140"/>
    </row>
    <row r="9137" spans="1:5">
      <c r="A9137" s="140"/>
      <c r="B9137" s="192"/>
      <c r="C9137" s="140"/>
      <c r="D9137" s="140"/>
      <c r="E9137" s="140"/>
    </row>
    <row r="9138" spans="1:5">
      <c r="A9138" s="140"/>
      <c r="B9138" s="192"/>
      <c r="C9138" s="140"/>
      <c r="D9138" s="140"/>
      <c r="E9138" s="140"/>
    </row>
    <row r="9139" spans="1:5">
      <c r="A9139" s="140"/>
      <c r="B9139" s="192"/>
      <c r="C9139" s="140"/>
      <c r="D9139" s="140"/>
      <c r="E9139" s="140"/>
    </row>
    <row r="9140" spans="1:5">
      <c r="A9140" s="140"/>
      <c r="B9140" s="192"/>
      <c r="C9140" s="140"/>
      <c r="D9140" s="140"/>
      <c r="E9140" s="140"/>
    </row>
    <row r="9141" spans="1:5">
      <c r="A9141" s="140"/>
      <c r="B9141" s="192"/>
      <c r="C9141" s="140"/>
      <c r="D9141" s="140"/>
      <c r="E9141" s="140"/>
    </row>
    <row r="9142" spans="1:5">
      <c r="A9142" s="140"/>
      <c r="B9142" s="192"/>
      <c r="C9142" s="140"/>
      <c r="D9142" s="140"/>
      <c r="E9142" s="140"/>
    </row>
    <row r="9143" spans="1:5">
      <c r="A9143" s="140"/>
      <c r="B9143" s="192"/>
      <c r="C9143" s="140"/>
      <c r="D9143" s="140"/>
      <c r="E9143" s="140"/>
    </row>
    <row r="9144" spans="1:5">
      <c r="A9144" s="140"/>
      <c r="B9144" s="192"/>
      <c r="C9144" s="140"/>
      <c r="D9144" s="140"/>
      <c r="E9144" s="140"/>
    </row>
    <row r="9145" spans="1:5">
      <c r="A9145" s="140"/>
      <c r="B9145" s="192"/>
      <c r="C9145" s="140"/>
      <c r="D9145" s="140"/>
      <c r="E9145" s="140"/>
    </row>
    <row r="9146" spans="1:5">
      <c r="A9146" s="140"/>
      <c r="B9146" s="192"/>
      <c r="C9146" s="140"/>
      <c r="D9146" s="140"/>
      <c r="E9146" s="140"/>
    </row>
    <row r="9147" spans="1:5">
      <c r="A9147" s="140"/>
      <c r="B9147" s="192"/>
      <c r="C9147" s="140"/>
      <c r="D9147" s="140"/>
      <c r="E9147" s="140"/>
    </row>
    <row r="9148" spans="1:5">
      <c r="A9148" s="140"/>
      <c r="B9148" s="192"/>
      <c r="C9148" s="140"/>
      <c r="D9148" s="140"/>
      <c r="E9148" s="140"/>
    </row>
    <row r="9149" spans="1:5">
      <c r="A9149" s="140"/>
      <c r="B9149" s="192"/>
      <c r="C9149" s="140"/>
      <c r="D9149" s="140"/>
      <c r="E9149" s="140"/>
    </row>
    <row r="9150" spans="1:5">
      <c r="A9150" s="140"/>
      <c r="B9150" s="192"/>
      <c r="C9150" s="140"/>
      <c r="D9150" s="140"/>
      <c r="E9150" s="140"/>
    </row>
    <row r="9151" spans="1:5">
      <c r="A9151" s="140"/>
      <c r="B9151" s="192"/>
      <c r="C9151" s="140"/>
      <c r="D9151" s="140"/>
      <c r="E9151" s="140"/>
    </row>
    <row r="9152" spans="1:5">
      <c r="A9152" s="140"/>
      <c r="B9152" s="192"/>
      <c r="C9152" s="140"/>
      <c r="D9152" s="140"/>
      <c r="E9152" s="140"/>
    </row>
    <row r="9153" spans="1:5">
      <c r="A9153" s="140"/>
      <c r="B9153" s="192"/>
      <c r="C9153" s="140"/>
      <c r="D9153" s="140"/>
      <c r="E9153" s="140"/>
    </row>
    <row r="9154" spans="1:5">
      <c r="A9154" s="140"/>
      <c r="B9154" s="192"/>
      <c r="C9154" s="140"/>
      <c r="D9154" s="140"/>
      <c r="E9154" s="140"/>
    </row>
    <row r="9155" spans="1:5">
      <c r="A9155" s="140"/>
      <c r="B9155" s="192"/>
      <c r="C9155" s="140"/>
      <c r="D9155" s="140"/>
      <c r="E9155" s="140"/>
    </row>
    <row r="9156" spans="1:5">
      <c r="A9156" s="140"/>
      <c r="B9156" s="192"/>
      <c r="C9156" s="140"/>
      <c r="D9156" s="140"/>
      <c r="E9156" s="140"/>
    </row>
    <row r="9157" spans="1:5">
      <c r="A9157" s="140"/>
      <c r="B9157" s="192"/>
      <c r="C9157" s="140"/>
      <c r="D9157" s="140"/>
      <c r="E9157" s="140"/>
    </row>
    <row r="9158" spans="1:5">
      <c r="A9158" s="140"/>
      <c r="B9158" s="192"/>
      <c r="C9158" s="140"/>
      <c r="D9158" s="140"/>
      <c r="E9158" s="140"/>
    </row>
    <row r="9159" spans="1:5">
      <c r="A9159" s="140"/>
      <c r="B9159" s="192"/>
      <c r="C9159" s="140"/>
      <c r="D9159" s="140"/>
      <c r="E9159" s="140"/>
    </row>
    <row r="9160" spans="1:5">
      <c r="A9160" s="140"/>
      <c r="B9160" s="192"/>
      <c r="C9160" s="140"/>
      <c r="D9160" s="140"/>
      <c r="E9160" s="140"/>
    </row>
    <row r="9161" spans="1:5">
      <c r="A9161" s="140"/>
      <c r="B9161" s="192"/>
      <c r="C9161" s="140"/>
      <c r="D9161" s="140"/>
      <c r="E9161" s="140"/>
    </row>
    <row r="9162" spans="1:5">
      <c r="A9162" s="140"/>
      <c r="B9162" s="192"/>
      <c r="C9162" s="140"/>
      <c r="D9162" s="140"/>
      <c r="E9162" s="140"/>
    </row>
    <row r="9163" spans="1:5">
      <c r="A9163" s="140"/>
      <c r="B9163" s="192"/>
      <c r="C9163" s="140"/>
      <c r="D9163" s="140"/>
      <c r="E9163" s="140"/>
    </row>
    <row r="9164" spans="1:5">
      <c r="A9164" s="140"/>
      <c r="B9164" s="192"/>
      <c r="C9164" s="140"/>
      <c r="D9164" s="140"/>
      <c r="E9164" s="140"/>
    </row>
    <row r="9165" spans="1:5">
      <c r="A9165" s="140"/>
      <c r="B9165" s="192"/>
      <c r="C9165" s="140"/>
      <c r="D9165" s="140"/>
      <c r="E9165" s="140"/>
    </row>
    <row r="9166" spans="1:5">
      <c r="A9166" s="140"/>
      <c r="B9166" s="192"/>
      <c r="C9166" s="140"/>
      <c r="D9166" s="140"/>
      <c r="E9166" s="140"/>
    </row>
    <row r="9167" spans="1:5">
      <c r="A9167" s="140"/>
      <c r="B9167" s="192"/>
      <c r="C9167" s="140"/>
      <c r="D9167" s="140"/>
      <c r="E9167" s="140"/>
    </row>
    <row r="9168" spans="1:5">
      <c r="A9168" s="140"/>
      <c r="B9168" s="192"/>
      <c r="C9168" s="140"/>
      <c r="D9168" s="140"/>
      <c r="E9168" s="140"/>
    </row>
    <row r="9169" spans="1:5">
      <c r="A9169" s="140"/>
      <c r="B9169" s="192"/>
      <c r="C9169" s="140"/>
      <c r="D9169" s="140"/>
      <c r="E9169" s="140"/>
    </row>
    <row r="9170" spans="1:5">
      <c r="A9170" s="140"/>
      <c r="B9170" s="192"/>
      <c r="C9170" s="140"/>
      <c r="D9170" s="140"/>
      <c r="E9170" s="140"/>
    </row>
    <row r="9171" spans="1:5">
      <c r="A9171" s="140"/>
      <c r="B9171" s="192"/>
      <c r="C9171" s="140"/>
      <c r="D9171" s="140"/>
      <c r="E9171" s="140"/>
    </row>
    <row r="9172" spans="1:5">
      <c r="A9172" s="140"/>
      <c r="B9172" s="192"/>
      <c r="C9172" s="140"/>
      <c r="D9172" s="140"/>
      <c r="E9172" s="140"/>
    </row>
    <row r="9173" spans="1:5">
      <c r="A9173" s="140"/>
      <c r="B9173" s="192"/>
      <c r="C9173" s="140"/>
      <c r="D9173" s="140"/>
      <c r="E9173" s="140"/>
    </row>
    <row r="9174" spans="1:5">
      <c r="A9174" s="140"/>
      <c r="B9174" s="192"/>
      <c r="C9174" s="140"/>
      <c r="D9174" s="140"/>
      <c r="E9174" s="140"/>
    </row>
    <row r="9175" spans="1:5">
      <c r="A9175" s="140"/>
      <c r="B9175" s="192"/>
      <c r="C9175" s="140"/>
      <c r="D9175" s="140"/>
      <c r="E9175" s="140"/>
    </row>
    <row r="9176" spans="1:5">
      <c r="A9176" s="140"/>
      <c r="B9176" s="192"/>
      <c r="C9176" s="140"/>
      <c r="D9176" s="140"/>
      <c r="E9176" s="140"/>
    </row>
    <row r="9177" spans="1:5">
      <c r="A9177" s="140"/>
      <c r="B9177" s="192"/>
      <c r="C9177" s="140"/>
      <c r="D9177" s="140"/>
      <c r="E9177" s="140"/>
    </row>
    <row r="9178" spans="1:5">
      <c r="A9178" s="140"/>
      <c r="B9178" s="192"/>
      <c r="C9178" s="140"/>
      <c r="D9178" s="140"/>
      <c r="E9178" s="140"/>
    </row>
    <row r="9179" spans="1:5">
      <c r="A9179" s="140"/>
      <c r="B9179" s="192"/>
      <c r="C9179" s="140"/>
      <c r="D9179" s="140"/>
      <c r="E9179" s="140"/>
    </row>
    <row r="9180" spans="1:5">
      <c r="A9180" s="140"/>
      <c r="B9180" s="192"/>
      <c r="C9180" s="140"/>
      <c r="D9180" s="140"/>
      <c r="E9180" s="140"/>
    </row>
    <row r="9181" spans="1:5">
      <c r="A9181" s="140"/>
      <c r="B9181" s="192"/>
      <c r="C9181" s="140"/>
      <c r="D9181" s="140"/>
      <c r="E9181" s="140"/>
    </row>
    <row r="9182" spans="1:5">
      <c r="A9182" s="140"/>
      <c r="B9182" s="192"/>
      <c r="C9182" s="140"/>
      <c r="D9182" s="140"/>
      <c r="E9182" s="140"/>
    </row>
    <row r="9183" spans="1:5">
      <c r="A9183" s="140"/>
      <c r="B9183" s="192"/>
      <c r="C9183" s="140"/>
      <c r="D9183" s="140"/>
      <c r="E9183" s="140"/>
    </row>
    <row r="9184" spans="1:5">
      <c r="A9184" s="140"/>
      <c r="B9184" s="192"/>
      <c r="C9184" s="140"/>
      <c r="D9184" s="140"/>
      <c r="E9184" s="140"/>
    </row>
    <row r="9185" spans="1:5">
      <c r="A9185" s="140"/>
      <c r="B9185" s="192"/>
      <c r="C9185" s="140"/>
      <c r="D9185" s="140"/>
      <c r="E9185" s="140"/>
    </row>
    <row r="9186" spans="1:5">
      <c r="A9186" s="140"/>
      <c r="B9186" s="192"/>
      <c r="C9186" s="140"/>
      <c r="D9186" s="140"/>
      <c r="E9186" s="140"/>
    </row>
    <row r="9187" spans="1:5">
      <c r="A9187" s="140"/>
      <c r="B9187" s="192"/>
      <c r="C9187" s="140"/>
      <c r="D9187" s="140"/>
      <c r="E9187" s="140"/>
    </row>
    <row r="9188" spans="1:5">
      <c r="A9188" s="140"/>
      <c r="B9188" s="192"/>
      <c r="C9188" s="140"/>
      <c r="D9188" s="140"/>
      <c r="E9188" s="140"/>
    </row>
    <row r="9189" spans="1:5">
      <c r="A9189" s="140"/>
      <c r="B9189" s="192"/>
      <c r="C9189" s="140"/>
      <c r="D9189" s="140"/>
      <c r="E9189" s="140"/>
    </row>
    <row r="9190" spans="1:5">
      <c r="A9190" s="140"/>
      <c r="B9190" s="192"/>
      <c r="C9190" s="140"/>
      <c r="D9190" s="140"/>
      <c r="E9190" s="140"/>
    </row>
    <row r="9191" spans="1:5">
      <c r="A9191" s="140"/>
      <c r="B9191" s="192"/>
      <c r="C9191" s="140"/>
      <c r="D9191" s="140"/>
      <c r="E9191" s="140"/>
    </row>
    <row r="9192" spans="1:5">
      <c r="A9192" s="140"/>
      <c r="B9192" s="192"/>
      <c r="C9192" s="140"/>
      <c r="D9192" s="140"/>
      <c r="E9192" s="140"/>
    </row>
    <row r="9193" spans="1:5">
      <c r="A9193" s="140"/>
      <c r="B9193" s="192"/>
      <c r="C9193" s="140"/>
      <c r="D9193" s="140"/>
      <c r="E9193" s="140"/>
    </row>
    <row r="9194" spans="1:5">
      <c r="A9194" s="140"/>
      <c r="B9194" s="192"/>
      <c r="C9194" s="140"/>
      <c r="D9194" s="140"/>
      <c r="E9194" s="140"/>
    </row>
    <row r="9195" spans="1:5">
      <c r="A9195" s="140"/>
      <c r="B9195" s="192"/>
      <c r="C9195" s="140"/>
      <c r="D9195" s="140"/>
      <c r="E9195" s="140"/>
    </row>
    <row r="9196" spans="1:5">
      <c r="A9196" s="140"/>
      <c r="B9196" s="192"/>
      <c r="C9196" s="140"/>
      <c r="D9196" s="140"/>
      <c r="E9196" s="140"/>
    </row>
    <row r="9197" spans="1:5">
      <c r="A9197" s="140"/>
      <c r="B9197" s="192"/>
      <c r="C9197" s="140"/>
      <c r="D9197" s="140"/>
      <c r="E9197" s="140"/>
    </row>
    <row r="9198" spans="1:5">
      <c r="A9198" s="140"/>
      <c r="B9198" s="192"/>
      <c r="C9198" s="140"/>
      <c r="D9198" s="140"/>
      <c r="E9198" s="140"/>
    </row>
    <row r="9199" spans="1:5">
      <c r="A9199" s="140"/>
      <c r="B9199" s="192"/>
      <c r="C9199" s="140"/>
      <c r="D9199" s="140"/>
      <c r="E9199" s="140"/>
    </row>
    <row r="9200" spans="1:5">
      <c r="A9200" s="140"/>
      <c r="B9200" s="192"/>
      <c r="C9200" s="140"/>
      <c r="D9200" s="140"/>
      <c r="E9200" s="140"/>
    </row>
    <row r="9201" spans="1:5">
      <c r="A9201" s="140"/>
      <c r="B9201" s="192"/>
      <c r="C9201" s="140"/>
      <c r="D9201" s="140"/>
      <c r="E9201" s="140"/>
    </row>
    <row r="9202" spans="1:5">
      <c r="A9202" s="140"/>
      <c r="B9202" s="192"/>
      <c r="C9202" s="140"/>
      <c r="D9202" s="140"/>
      <c r="E9202" s="140"/>
    </row>
    <row r="9203" spans="1:5">
      <c r="A9203" s="140"/>
      <c r="B9203" s="192"/>
      <c r="C9203" s="140"/>
      <c r="D9203" s="140"/>
      <c r="E9203" s="140"/>
    </row>
    <row r="9204" spans="1:5">
      <c r="A9204" s="140"/>
      <c r="B9204" s="192"/>
      <c r="C9204" s="140"/>
      <c r="D9204" s="140"/>
      <c r="E9204" s="140"/>
    </row>
    <row r="9205" spans="1:5">
      <c r="A9205" s="140"/>
      <c r="B9205" s="192"/>
      <c r="C9205" s="140"/>
      <c r="D9205" s="140"/>
      <c r="E9205" s="140"/>
    </row>
    <row r="9206" spans="1:5">
      <c r="A9206" s="140"/>
      <c r="B9206" s="192"/>
      <c r="C9206" s="140"/>
      <c r="D9206" s="140"/>
      <c r="E9206" s="140"/>
    </row>
    <row r="9207" spans="1:5">
      <c r="A9207" s="140"/>
      <c r="B9207" s="192"/>
      <c r="C9207" s="140"/>
      <c r="D9207" s="140"/>
      <c r="E9207" s="140"/>
    </row>
    <row r="9208" spans="1:5">
      <c r="A9208" s="140"/>
      <c r="B9208" s="192"/>
      <c r="C9208" s="140"/>
      <c r="D9208" s="140"/>
      <c r="E9208" s="140"/>
    </row>
    <row r="9209" spans="1:5">
      <c r="A9209" s="140"/>
      <c r="B9209" s="192"/>
      <c r="C9209" s="140"/>
      <c r="D9209" s="140"/>
      <c r="E9209" s="140"/>
    </row>
    <row r="9210" spans="1:5">
      <c r="A9210" s="140"/>
      <c r="B9210" s="192"/>
      <c r="C9210" s="140"/>
      <c r="D9210" s="140"/>
      <c r="E9210" s="140"/>
    </row>
    <row r="9211" spans="1:5">
      <c r="A9211" s="140"/>
      <c r="B9211" s="192"/>
      <c r="C9211" s="140"/>
      <c r="D9211" s="140"/>
      <c r="E9211" s="140"/>
    </row>
    <row r="9212" spans="1:5">
      <c r="A9212" s="140"/>
      <c r="B9212" s="192"/>
      <c r="C9212" s="140"/>
      <c r="D9212" s="140"/>
      <c r="E9212" s="140"/>
    </row>
    <row r="9213" spans="1:5">
      <c r="A9213" s="140"/>
      <c r="B9213" s="192"/>
      <c r="C9213" s="140"/>
      <c r="D9213" s="140"/>
      <c r="E9213" s="140"/>
    </row>
    <row r="9214" spans="1:5">
      <c r="A9214" s="140"/>
      <c r="B9214" s="192"/>
      <c r="C9214" s="140"/>
      <c r="D9214" s="140"/>
      <c r="E9214" s="140"/>
    </row>
    <row r="9215" spans="1:5">
      <c r="A9215" s="140"/>
      <c r="B9215" s="192"/>
      <c r="C9215" s="140"/>
      <c r="D9215" s="140"/>
      <c r="E9215" s="140"/>
    </row>
    <row r="9216" spans="1:5">
      <c r="A9216" s="140"/>
      <c r="B9216" s="192"/>
      <c r="C9216" s="140"/>
      <c r="D9216" s="140"/>
      <c r="E9216" s="140"/>
    </row>
    <row r="9217" spans="1:5">
      <c r="A9217" s="140"/>
      <c r="B9217" s="192"/>
      <c r="C9217" s="140"/>
      <c r="D9217" s="140"/>
      <c r="E9217" s="140"/>
    </row>
    <row r="9218" spans="1:5">
      <c r="A9218" s="140"/>
      <c r="B9218" s="192"/>
      <c r="C9218" s="140"/>
      <c r="D9218" s="140"/>
      <c r="E9218" s="140"/>
    </row>
    <row r="9219" spans="1:5">
      <c r="A9219" s="140"/>
      <c r="B9219" s="192"/>
      <c r="C9219" s="140"/>
      <c r="D9219" s="140"/>
      <c r="E9219" s="140"/>
    </row>
    <row r="9220" spans="1:5">
      <c r="A9220" s="140"/>
      <c r="B9220" s="192"/>
      <c r="C9220" s="140"/>
      <c r="D9220" s="140"/>
      <c r="E9220" s="140"/>
    </row>
    <row r="9221" spans="1:5">
      <c r="A9221" s="140"/>
      <c r="B9221" s="192"/>
      <c r="C9221" s="140"/>
      <c r="D9221" s="140"/>
      <c r="E9221" s="140"/>
    </row>
    <row r="9222" spans="1:5">
      <c r="A9222" s="140"/>
      <c r="B9222" s="192"/>
      <c r="C9222" s="140"/>
      <c r="D9222" s="140"/>
      <c r="E9222" s="140"/>
    </row>
    <row r="9223" spans="1:5">
      <c r="A9223" s="140"/>
      <c r="B9223" s="192"/>
      <c r="C9223" s="140"/>
      <c r="D9223" s="140"/>
      <c r="E9223" s="140"/>
    </row>
    <row r="9224" spans="1:5">
      <c r="A9224" s="140"/>
      <c r="B9224" s="192"/>
      <c r="C9224" s="140"/>
      <c r="D9224" s="140"/>
      <c r="E9224" s="140"/>
    </row>
    <row r="9225" spans="1:5">
      <c r="A9225" s="140"/>
      <c r="B9225" s="192"/>
      <c r="C9225" s="140"/>
      <c r="D9225" s="140"/>
      <c r="E9225" s="140"/>
    </row>
    <row r="9226" spans="1:5">
      <c r="A9226" s="140"/>
      <c r="B9226" s="192"/>
      <c r="C9226" s="140"/>
      <c r="D9226" s="140"/>
      <c r="E9226" s="140"/>
    </row>
    <row r="9227" spans="1:5">
      <c r="A9227" s="140"/>
      <c r="B9227" s="192"/>
      <c r="C9227" s="140"/>
      <c r="D9227" s="140"/>
      <c r="E9227" s="140"/>
    </row>
    <row r="9228" spans="1:5">
      <c r="A9228" s="140"/>
      <c r="B9228" s="192"/>
      <c r="C9228" s="140"/>
      <c r="D9228" s="140"/>
      <c r="E9228" s="140"/>
    </row>
    <row r="9229" spans="1:5">
      <c r="A9229" s="140"/>
      <c r="B9229" s="192"/>
      <c r="C9229" s="140"/>
      <c r="D9229" s="140"/>
      <c r="E9229" s="140"/>
    </row>
    <row r="9230" spans="1:5">
      <c r="A9230" s="140"/>
      <c r="B9230" s="192"/>
      <c r="C9230" s="140"/>
      <c r="D9230" s="140"/>
      <c r="E9230" s="140"/>
    </row>
    <row r="9231" spans="1:5">
      <c r="A9231" s="140"/>
      <c r="B9231" s="192"/>
      <c r="C9231" s="140"/>
      <c r="D9231" s="140"/>
      <c r="E9231" s="140"/>
    </row>
    <row r="9232" spans="1:5">
      <c r="A9232" s="140"/>
      <c r="B9232" s="192"/>
      <c r="C9232" s="140"/>
      <c r="D9232" s="140"/>
      <c r="E9232" s="140"/>
    </row>
    <row r="9233" spans="1:5">
      <c r="A9233" s="140"/>
      <c r="B9233" s="192"/>
      <c r="C9233" s="140"/>
      <c r="D9233" s="140"/>
      <c r="E9233" s="140"/>
    </row>
    <row r="9234" spans="1:5">
      <c r="A9234" s="140"/>
      <c r="B9234" s="192"/>
      <c r="C9234" s="140"/>
      <c r="D9234" s="140"/>
      <c r="E9234" s="140"/>
    </row>
    <row r="9235" spans="1:5">
      <c r="A9235" s="140"/>
      <c r="B9235" s="192"/>
      <c r="C9235" s="140"/>
      <c r="D9235" s="140"/>
      <c r="E9235" s="140"/>
    </row>
    <row r="9236" spans="1:5">
      <c r="A9236" s="140"/>
      <c r="B9236" s="192"/>
      <c r="C9236" s="140"/>
      <c r="D9236" s="140"/>
      <c r="E9236" s="140"/>
    </row>
    <row r="9237" spans="1:5">
      <c r="A9237" s="140"/>
      <c r="B9237" s="192"/>
      <c r="C9237" s="140"/>
      <c r="D9237" s="140"/>
      <c r="E9237" s="140"/>
    </row>
    <row r="9238" spans="1:5">
      <c r="A9238" s="140"/>
      <c r="B9238" s="192"/>
      <c r="C9238" s="140"/>
      <c r="D9238" s="140"/>
      <c r="E9238" s="140"/>
    </row>
    <row r="9239" spans="1:5">
      <c r="A9239" s="140"/>
      <c r="B9239" s="192"/>
      <c r="C9239" s="140"/>
      <c r="D9239" s="140"/>
      <c r="E9239" s="140"/>
    </row>
    <row r="9240" spans="1:5">
      <c r="A9240" s="140"/>
      <c r="B9240" s="192"/>
      <c r="C9240" s="140"/>
      <c r="D9240" s="140"/>
      <c r="E9240" s="140"/>
    </row>
    <row r="9241" spans="1:5">
      <c r="A9241" s="140"/>
      <c r="B9241" s="192"/>
      <c r="C9241" s="140"/>
      <c r="D9241" s="140"/>
      <c r="E9241" s="140"/>
    </row>
    <row r="9242" spans="1:5">
      <c r="A9242" s="140"/>
      <c r="B9242" s="192"/>
      <c r="C9242" s="140"/>
      <c r="D9242" s="140"/>
      <c r="E9242" s="140"/>
    </row>
    <row r="9243" spans="1:5">
      <c r="A9243" s="140"/>
      <c r="B9243" s="192"/>
      <c r="C9243" s="140"/>
      <c r="D9243" s="140"/>
      <c r="E9243" s="140"/>
    </row>
    <row r="9244" spans="1:5">
      <c r="A9244" s="140"/>
      <c r="B9244" s="192"/>
      <c r="C9244" s="140"/>
      <c r="D9244" s="140"/>
      <c r="E9244" s="140"/>
    </row>
    <row r="9245" spans="1:5">
      <c r="A9245" s="140"/>
      <c r="B9245" s="192"/>
      <c r="C9245" s="140"/>
      <c r="D9245" s="140"/>
      <c r="E9245" s="140"/>
    </row>
    <row r="9246" spans="1:5">
      <c r="A9246" s="140"/>
      <c r="B9246" s="192"/>
      <c r="C9246" s="140"/>
      <c r="D9246" s="140"/>
      <c r="E9246" s="140"/>
    </row>
    <row r="9247" spans="1:5">
      <c r="A9247" s="140"/>
      <c r="B9247" s="192"/>
      <c r="C9247" s="140"/>
      <c r="D9247" s="140"/>
      <c r="E9247" s="140"/>
    </row>
    <row r="9248" spans="1:5">
      <c r="A9248" s="140"/>
      <c r="B9248" s="192"/>
      <c r="C9248" s="140"/>
      <c r="D9248" s="140"/>
      <c r="E9248" s="140"/>
    </row>
    <row r="9249" spans="1:5">
      <c r="A9249" s="140"/>
      <c r="B9249" s="192"/>
      <c r="C9249" s="140"/>
      <c r="D9249" s="140"/>
      <c r="E9249" s="140"/>
    </row>
    <row r="9250" spans="1:5">
      <c r="A9250" s="140"/>
      <c r="B9250" s="192"/>
      <c r="C9250" s="140"/>
      <c r="D9250" s="140"/>
      <c r="E9250" s="140"/>
    </row>
    <row r="9251" spans="1:5">
      <c r="A9251" s="140"/>
      <c r="B9251" s="192"/>
      <c r="C9251" s="140"/>
      <c r="D9251" s="140"/>
      <c r="E9251" s="140"/>
    </row>
    <row r="9252" spans="1:5">
      <c r="A9252" s="140"/>
      <c r="B9252" s="192"/>
      <c r="C9252" s="140"/>
      <c r="D9252" s="140"/>
      <c r="E9252" s="140"/>
    </row>
    <row r="9253" spans="1:5">
      <c r="A9253" s="140"/>
      <c r="B9253" s="192"/>
      <c r="C9253" s="140"/>
      <c r="D9253" s="140"/>
      <c r="E9253" s="140"/>
    </row>
    <row r="9254" spans="1:5">
      <c r="A9254" s="140"/>
      <c r="B9254" s="192"/>
      <c r="C9254" s="140"/>
      <c r="D9254" s="140"/>
      <c r="E9254" s="140"/>
    </row>
    <row r="9255" spans="1:5">
      <c r="A9255" s="140"/>
      <c r="B9255" s="192"/>
      <c r="C9255" s="140"/>
      <c r="D9255" s="140"/>
      <c r="E9255" s="140"/>
    </row>
    <row r="9256" spans="1:5">
      <c r="A9256" s="140"/>
      <c r="B9256" s="192"/>
      <c r="C9256" s="140"/>
      <c r="D9256" s="140"/>
      <c r="E9256" s="140"/>
    </row>
    <row r="9257" spans="1:5">
      <c r="A9257" s="140"/>
      <c r="B9257" s="192"/>
      <c r="C9257" s="140"/>
      <c r="D9257" s="140"/>
      <c r="E9257" s="140"/>
    </row>
    <row r="9258" spans="1:5">
      <c r="A9258" s="140"/>
      <c r="B9258" s="192"/>
      <c r="C9258" s="140"/>
      <c r="D9258" s="140"/>
      <c r="E9258" s="140"/>
    </row>
    <row r="9259" spans="1:5">
      <c r="A9259" s="140"/>
      <c r="B9259" s="192"/>
      <c r="C9259" s="140"/>
      <c r="D9259" s="140"/>
      <c r="E9259" s="140"/>
    </row>
    <row r="9260" spans="1:5">
      <c r="A9260" s="140"/>
      <c r="B9260" s="192"/>
      <c r="C9260" s="140"/>
      <c r="D9260" s="140"/>
      <c r="E9260" s="140"/>
    </row>
    <row r="9261" spans="1:5">
      <c r="A9261" s="140"/>
      <c r="B9261" s="192"/>
      <c r="C9261" s="140"/>
      <c r="D9261" s="140"/>
      <c r="E9261" s="140"/>
    </row>
    <row r="9262" spans="1:5">
      <c r="A9262" s="140"/>
      <c r="B9262" s="192"/>
      <c r="C9262" s="140"/>
      <c r="D9262" s="140"/>
      <c r="E9262" s="140"/>
    </row>
    <row r="9263" spans="1:5">
      <c r="A9263" s="140"/>
      <c r="B9263" s="192"/>
      <c r="C9263" s="140"/>
      <c r="D9263" s="140"/>
      <c r="E9263" s="140"/>
    </row>
    <row r="9264" spans="1:5">
      <c r="A9264" s="140"/>
      <c r="B9264" s="192"/>
      <c r="C9264" s="140"/>
      <c r="D9264" s="140"/>
      <c r="E9264" s="140"/>
    </row>
    <row r="9265" spans="1:5">
      <c r="A9265" s="140"/>
      <c r="B9265" s="192"/>
      <c r="C9265" s="140"/>
      <c r="D9265" s="140"/>
      <c r="E9265" s="140"/>
    </row>
    <row r="9266" spans="1:5">
      <c r="A9266" s="140"/>
      <c r="B9266" s="192"/>
      <c r="C9266" s="140"/>
      <c r="D9266" s="140"/>
      <c r="E9266" s="140"/>
    </row>
    <row r="9267" spans="1:5">
      <c r="A9267" s="140"/>
      <c r="B9267" s="192"/>
      <c r="C9267" s="140"/>
      <c r="D9267" s="140"/>
      <c r="E9267" s="140"/>
    </row>
    <row r="9268" spans="1:5">
      <c r="A9268" s="140"/>
      <c r="B9268" s="192"/>
      <c r="C9268" s="140"/>
      <c r="D9268" s="140"/>
      <c r="E9268" s="140"/>
    </row>
    <row r="9269" spans="1:5">
      <c r="A9269" s="140"/>
      <c r="B9269" s="192"/>
      <c r="C9269" s="140"/>
      <c r="D9269" s="140"/>
      <c r="E9269" s="140"/>
    </row>
    <row r="9270" spans="1:5">
      <c r="A9270" s="140"/>
      <c r="B9270" s="192"/>
      <c r="C9270" s="140"/>
      <c r="D9270" s="140"/>
      <c r="E9270" s="140"/>
    </row>
    <row r="9271" spans="1:5">
      <c r="A9271" s="140"/>
      <c r="B9271" s="192"/>
      <c r="C9271" s="140"/>
      <c r="D9271" s="140"/>
      <c r="E9271" s="140"/>
    </row>
    <row r="9272" spans="1:5">
      <c r="A9272" s="140"/>
      <c r="B9272" s="192"/>
      <c r="C9272" s="140"/>
      <c r="D9272" s="140"/>
      <c r="E9272" s="140"/>
    </row>
    <row r="9273" spans="1:5">
      <c r="A9273" s="140"/>
      <c r="B9273" s="192"/>
      <c r="C9273" s="140"/>
      <c r="D9273" s="140"/>
      <c r="E9273" s="140"/>
    </row>
    <row r="9274" spans="1:5">
      <c r="A9274" s="140"/>
      <c r="B9274" s="192"/>
      <c r="C9274" s="140"/>
      <c r="D9274" s="140"/>
      <c r="E9274" s="140"/>
    </row>
    <row r="9275" spans="1:5">
      <c r="A9275" s="140"/>
      <c r="B9275" s="192"/>
      <c r="C9275" s="140"/>
      <c r="D9275" s="140"/>
      <c r="E9275" s="140"/>
    </row>
    <row r="9276" spans="1:5">
      <c r="A9276" s="140"/>
      <c r="B9276" s="192"/>
      <c r="C9276" s="140"/>
      <c r="D9276" s="140"/>
      <c r="E9276" s="140"/>
    </row>
    <row r="9277" spans="1:5">
      <c r="A9277" s="140"/>
      <c r="B9277" s="192"/>
      <c r="C9277" s="140"/>
      <c r="D9277" s="140"/>
      <c r="E9277" s="140"/>
    </row>
    <row r="9278" spans="1:5">
      <c r="A9278" s="140"/>
      <c r="B9278" s="192"/>
      <c r="C9278" s="140"/>
      <c r="D9278" s="140"/>
      <c r="E9278" s="140"/>
    </row>
    <row r="9279" spans="1:5">
      <c r="A9279" s="140"/>
      <c r="B9279" s="192"/>
      <c r="C9279" s="140"/>
      <c r="D9279" s="140"/>
      <c r="E9279" s="140"/>
    </row>
    <row r="9280" spans="1:5">
      <c r="A9280" s="140"/>
      <c r="B9280" s="192"/>
      <c r="C9280" s="140"/>
      <c r="D9280" s="140"/>
      <c r="E9280" s="140"/>
    </row>
    <row r="9281" spans="1:5">
      <c r="A9281" s="140"/>
      <c r="B9281" s="192"/>
      <c r="C9281" s="140"/>
      <c r="D9281" s="140"/>
      <c r="E9281" s="140"/>
    </row>
    <row r="9282" spans="1:5">
      <c r="A9282" s="140"/>
      <c r="B9282" s="192"/>
      <c r="C9282" s="140"/>
      <c r="D9282" s="140"/>
      <c r="E9282" s="140"/>
    </row>
    <row r="9283" spans="1:5">
      <c r="A9283" s="140"/>
      <c r="B9283" s="192"/>
      <c r="C9283" s="140"/>
      <c r="D9283" s="140"/>
      <c r="E9283" s="140"/>
    </row>
    <row r="9284" spans="1:5">
      <c r="A9284" s="140"/>
      <c r="B9284" s="192"/>
      <c r="C9284" s="140"/>
      <c r="D9284" s="140"/>
      <c r="E9284" s="140"/>
    </row>
    <row r="9285" spans="1:5">
      <c r="A9285" s="140"/>
      <c r="B9285" s="192"/>
      <c r="C9285" s="140"/>
      <c r="D9285" s="140"/>
      <c r="E9285" s="140"/>
    </row>
    <row r="9286" spans="1:5">
      <c r="A9286" s="140"/>
      <c r="B9286" s="192"/>
      <c r="C9286" s="140"/>
      <c r="D9286" s="140"/>
      <c r="E9286" s="140"/>
    </row>
    <row r="9287" spans="1:5">
      <c r="A9287" s="140"/>
      <c r="B9287" s="192"/>
      <c r="C9287" s="140"/>
      <c r="D9287" s="140"/>
      <c r="E9287" s="140"/>
    </row>
    <row r="9288" spans="1:5">
      <c r="A9288" s="140"/>
      <c r="B9288" s="192"/>
      <c r="C9288" s="140"/>
      <c r="D9288" s="140"/>
      <c r="E9288" s="140"/>
    </row>
    <row r="9289" spans="1:5">
      <c r="A9289" s="140"/>
      <c r="B9289" s="192"/>
      <c r="C9289" s="140"/>
      <c r="D9289" s="140"/>
      <c r="E9289" s="140"/>
    </row>
    <row r="9290" spans="1:5">
      <c r="A9290" s="140"/>
      <c r="B9290" s="192"/>
      <c r="C9290" s="140"/>
      <c r="D9290" s="140"/>
      <c r="E9290" s="140"/>
    </row>
    <row r="9291" spans="1:5">
      <c r="A9291" s="140"/>
      <c r="B9291" s="192"/>
      <c r="C9291" s="140"/>
      <c r="D9291" s="140"/>
      <c r="E9291" s="140"/>
    </row>
    <row r="9292" spans="1:5">
      <c r="A9292" s="140"/>
      <c r="B9292" s="192"/>
      <c r="C9292" s="140"/>
      <c r="D9292" s="140"/>
      <c r="E9292" s="140"/>
    </row>
    <row r="9293" spans="1:5">
      <c r="A9293" s="140"/>
      <c r="B9293" s="192"/>
      <c r="C9293" s="140"/>
      <c r="D9293" s="140"/>
      <c r="E9293" s="140"/>
    </row>
    <row r="9294" spans="1:5">
      <c r="A9294" s="140"/>
      <c r="B9294" s="192"/>
      <c r="C9294" s="140"/>
      <c r="D9294" s="140"/>
      <c r="E9294" s="140"/>
    </row>
    <row r="9295" spans="1:5">
      <c r="A9295" s="140"/>
      <c r="B9295" s="192"/>
      <c r="C9295" s="140"/>
      <c r="D9295" s="140"/>
      <c r="E9295" s="140"/>
    </row>
    <row r="9296" spans="1:5">
      <c r="A9296" s="140"/>
      <c r="B9296" s="192"/>
      <c r="C9296" s="140"/>
      <c r="D9296" s="140"/>
      <c r="E9296" s="140"/>
    </row>
    <row r="9297" spans="1:5">
      <c r="A9297" s="140"/>
      <c r="B9297" s="192"/>
      <c r="C9297" s="140"/>
      <c r="D9297" s="140"/>
      <c r="E9297" s="140"/>
    </row>
    <row r="9298" spans="1:5">
      <c r="A9298" s="140"/>
      <c r="B9298" s="192"/>
      <c r="C9298" s="140"/>
      <c r="D9298" s="140"/>
      <c r="E9298" s="140"/>
    </row>
    <row r="9299" spans="1:5">
      <c r="A9299" s="140"/>
      <c r="B9299" s="192"/>
      <c r="C9299" s="140"/>
      <c r="D9299" s="140"/>
      <c r="E9299" s="140"/>
    </row>
    <row r="9300" spans="1:5">
      <c r="A9300" s="140"/>
      <c r="B9300" s="192"/>
      <c r="C9300" s="140"/>
      <c r="D9300" s="140"/>
      <c r="E9300" s="140"/>
    </row>
    <row r="9301" spans="1:5">
      <c r="A9301" s="140"/>
      <c r="B9301" s="192"/>
      <c r="C9301" s="140"/>
      <c r="D9301" s="140"/>
      <c r="E9301" s="140"/>
    </row>
    <row r="9302" spans="1:5">
      <c r="A9302" s="140"/>
      <c r="B9302" s="192"/>
      <c r="C9302" s="140"/>
      <c r="D9302" s="140"/>
      <c r="E9302" s="140"/>
    </row>
    <row r="9303" spans="1:5">
      <c r="A9303" s="140"/>
      <c r="B9303" s="192"/>
      <c r="C9303" s="140"/>
      <c r="D9303" s="140"/>
      <c r="E9303" s="140"/>
    </row>
    <row r="9304" spans="1:5">
      <c r="A9304" s="140"/>
      <c r="B9304" s="192"/>
      <c r="C9304" s="140"/>
      <c r="D9304" s="140"/>
      <c r="E9304" s="140"/>
    </row>
    <row r="9305" spans="1:5">
      <c r="A9305" s="140"/>
      <c r="B9305" s="192"/>
      <c r="C9305" s="140"/>
      <c r="D9305" s="140"/>
      <c r="E9305" s="140"/>
    </row>
    <row r="9306" spans="1:5">
      <c r="A9306" s="140"/>
      <c r="B9306" s="192"/>
      <c r="C9306" s="140"/>
      <c r="D9306" s="140"/>
      <c r="E9306" s="140"/>
    </row>
    <row r="9307" spans="1:5">
      <c r="A9307" s="140"/>
      <c r="B9307" s="192"/>
      <c r="C9307" s="140"/>
      <c r="D9307" s="140"/>
      <c r="E9307" s="140"/>
    </row>
    <row r="9308" spans="1:5">
      <c r="A9308" s="140"/>
      <c r="B9308" s="192"/>
      <c r="C9308" s="140"/>
      <c r="D9308" s="140"/>
      <c r="E9308" s="140"/>
    </row>
    <row r="9309" spans="1:5">
      <c r="A9309" s="140"/>
      <c r="B9309" s="192"/>
      <c r="C9309" s="140"/>
      <c r="D9309" s="140"/>
      <c r="E9309" s="140"/>
    </row>
    <row r="9310" spans="1:5">
      <c r="A9310" s="140"/>
      <c r="B9310" s="192"/>
      <c r="C9310" s="140"/>
      <c r="D9310" s="140"/>
      <c r="E9310" s="140"/>
    </row>
    <row r="9311" spans="1:5">
      <c r="A9311" s="140"/>
      <c r="B9311" s="192"/>
      <c r="C9311" s="140"/>
      <c r="D9311" s="140"/>
      <c r="E9311" s="140"/>
    </row>
    <row r="9312" spans="1:5">
      <c r="A9312" s="140"/>
      <c r="B9312" s="192"/>
      <c r="C9312" s="140"/>
      <c r="D9312" s="140"/>
      <c r="E9312" s="140"/>
    </row>
    <row r="9313" spans="1:5">
      <c r="A9313" s="140"/>
      <c r="B9313" s="192"/>
      <c r="C9313" s="140"/>
      <c r="D9313" s="140"/>
      <c r="E9313" s="140"/>
    </row>
    <row r="9314" spans="1:5">
      <c r="A9314" s="140"/>
      <c r="B9314" s="192"/>
      <c r="C9314" s="140"/>
      <c r="D9314" s="140"/>
      <c r="E9314" s="140"/>
    </row>
    <row r="9315" spans="1:5">
      <c r="A9315" s="140"/>
      <c r="B9315" s="192"/>
      <c r="C9315" s="140"/>
      <c r="D9315" s="140"/>
      <c r="E9315" s="140"/>
    </row>
    <row r="9316" spans="1:5">
      <c r="A9316" s="140"/>
      <c r="B9316" s="192"/>
      <c r="C9316" s="140"/>
      <c r="D9316" s="140"/>
      <c r="E9316" s="140"/>
    </row>
    <row r="9317" spans="1:5">
      <c r="A9317" s="140"/>
      <c r="B9317" s="192"/>
      <c r="C9317" s="140"/>
      <c r="D9317" s="140"/>
      <c r="E9317" s="140"/>
    </row>
    <row r="9318" spans="1:5">
      <c r="A9318" s="140"/>
      <c r="B9318" s="192"/>
      <c r="C9318" s="140"/>
      <c r="D9318" s="140"/>
      <c r="E9318" s="140"/>
    </row>
    <row r="9319" spans="1:5">
      <c r="A9319" s="140"/>
      <c r="B9319" s="192"/>
      <c r="C9319" s="140"/>
      <c r="D9319" s="140"/>
      <c r="E9319" s="140"/>
    </row>
    <row r="9320" spans="1:5">
      <c r="A9320" s="140"/>
      <c r="B9320" s="192"/>
      <c r="C9320" s="140"/>
      <c r="D9320" s="140"/>
      <c r="E9320" s="140"/>
    </row>
    <row r="9321" spans="1:5">
      <c r="A9321" s="140"/>
      <c r="B9321" s="192"/>
      <c r="C9321" s="140"/>
      <c r="D9321" s="140"/>
      <c r="E9321" s="140"/>
    </row>
    <row r="9322" spans="1:5">
      <c r="A9322" s="140"/>
      <c r="B9322" s="192"/>
      <c r="C9322" s="140"/>
      <c r="D9322" s="140"/>
      <c r="E9322" s="140"/>
    </row>
    <row r="9323" spans="1:5">
      <c r="A9323" s="140"/>
      <c r="B9323" s="192"/>
      <c r="C9323" s="140"/>
      <c r="D9323" s="140"/>
      <c r="E9323" s="140"/>
    </row>
    <row r="9324" spans="1:5">
      <c r="A9324" s="140"/>
      <c r="B9324" s="192"/>
      <c r="C9324" s="140"/>
      <c r="D9324" s="140"/>
      <c r="E9324" s="140"/>
    </row>
    <row r="9325" spans="1:5">
      <c r="A9325" s="140"/>
      <c r="B9325" s="192"/>
      <c r="C9325" s="140"/>
      <c r="D9325" s="140"/>
      <c r="E9325" s="140"/>
    </row>
    <row r="9326" spans="1:5">
      <c r="A9326" s="140"/>
      <c r="B9326" s="192"/>
      <c r="C9326" s="140"/>
      <c r="D9326" s="140"/>
      <c r="E9326" s="140"/>
    </row>
    <row r="9327" spans="1:5">
      <c r="A9327" s="140"/>
      <c r="B9327" s="192"/>
      <c r="C9327" s="140"/>
      <c r="D9327" s="140"/>
      <c r="E9327" s="140"/>
    </row>
    <row r="9328" spans="1:5">
      <c r="A9328" s="140"/>
      <c r="B9328" s="192"/>
      <c r="C9328" s="140"/>
      <c r="D9328" s="140"/>
      <c r="E9328" s="140"/>
    </row>
    <row r="9329" spans="1:5">
      <c r="A9329" s="140"/>
      <c r="B9329" s="192"/>
      <c r="C9329" s="140"/>
      <c r="D9329" s="140"/>
      <c r="E9329" s="140"/>
    </row>
    <row r="9330" spans="1:5">
      <c r="A9330" s="140"/>
      <c r="B9330" s="192"/>
      <c r="C9330" s="140"/>
      <c r="D9330" s="140"/>
      <c r="E9330" s="140"/>
    </row>
    <row r="9331" spans="1:5">
      <c r="A9331" s="140"/>
      <c r="B9331" s="192"/>
      <c r="C9331" s="140"/>
      <c r="D9331" s="140"/>
      <c r="E9331" s="140"/>
    </row>
    <row r="9332" spans="1:5">
      <c r="A9332" s="140"/>
      <c r="B9332" s="192"/>
      <c r="C9332" s="140"/>
      <c r="D9332" s="140"/>
      <c r="E9332" s="140"/>
    </row>
    <row r="9333" spans="1:5">
      <c r="A9333" s="140"/>
      <c r="B9333" s="192"/>
      <c r="C9333" s="140"/>
      <c r="D9333" s="140"/>
      <c r="E9333" s="140"/>
    </row>
    <row r="9334" spans="1:5">
      <c r="A9334" s="140"/>
      <c r="B9334" s="192"/>
      <c r="C9334" s="140"/>
      <c r="D9334" s="140"/>
      <c r="E9334" s="140"/>
    </row>
    <row r="9335" spans="1:5">
      <c r="A9335" s="140"/>
      <c r="B9335" s="192"/>
      <c r="C9335" s="140"/>
      <c r="D9335" s="140"/>
      <c r="E9335" s="140"/>
    </row>
    <row r="9336" spans="1:5">
      <c r="A9336" s="140"/>
      <c r="B9336" s="192"/>
      <c r="C9336" s="140"/>
      <c r="D9336" s="140"/>
      <c r="E9336" s="140"/>
    </row>
    <row r="9337" spans="1:5">
      <c r="A9337" s="140"/>
      <c r="B9337" s="192"/>
      <c r="C9337" s="140"/>
      <c r="D9337" s="140"/>
      <c r="E9337" s="140"/>
    </row>
    <row r="9338" spans="1:5">
      <c r="A9338" s="140"/>
      <c r="B9338" s="192"/>
      <c r="C9338" s="140"/>
      <c r="D9338" s="140"/>
      <c r="E9338" s="140"/>
    </row>
    <row r="9339" spans="1:5">
      <c r="A9339" s="140"/>
      <c r="B9339" s="192"/>
      <c r="C9339" s="140"/>
      <c r="D9339" s="140"/>
      <c r="E9339" s="140"/>
    </row>
    <row r="9340" spans="1:5">
      <c r="A9340" s="140"/>
      <c r="B9340" s="192"/>
      <c r="C9340" s="140"/>
      <c r="D9340" s="140"/>
      <c r="E9340" s="140"/>
    </row>
    <row r="9341" spans="1:5">
      <c r="A9341" s="140"/>
      <c r="B9341" s="192"/>
      <c r="C9341" s="140"/>
      <c r="D9341" s="140"/>
      <c r="E9341" s="140"/>
    </row>
    <row r="9342" spans="1:5">
      <c r="A9342" s="140"/>
      <c r="B9342" s="192"/>
      <c r="C9342" s="140"/>
      <c r="D9342" s="140"/>
      <c r="E9342" s="140"/>
    </row>
    <row r="9343" spans="1:5">
      <c r="A9343" s="140"/>
      <c r="B9343" s="192"/>
      <c r="C9343" s="140"/>
      <c r="D9343" s="140"/>
      <c r="E9343" s="140"/>
    </row>
    <row r="9344" spans="1:5">
      <c r="A9344" s="140"/>
      <c r="B9344" s="192"/>
      <c r="C9344" s="140"/>
      <c r="D9344" s="140"/>
      <c r="E9344" s="140"/>
    </row>
    <row r="9345" spans="1:5">
      <c r="A9345" s="140"/>
      <c r="B9345" s="192"/>
      <c r="C9345" s="140"/>
      <c r="D9345" s="140"/>
      <c r="E9345" s="140"/>
    </row>
    <row r="9346" spans="1:5">
      <c r="A9346" s="140"/>
      <c r="B9346" s="192"/>
      <c r="C9346" s="140"/>
      <c r="D9346" s="140"/>
      <c r="E9346" s="140"/>
    </row>
    <row r="9347" spans="1:5">
      <c r="A9347" s="140"/>
      <c r="B9347" s="192"/>
      <c r="C9347" s="140"/>
      <c r="D9347" s="140"/>
      <c r="E9347" s="140"/>
    </row>
    <row r="9348" spans="1:5">
      <c r="A9348" s="140"/>
      <c r="B9348" s="192"/>
      <c r="C9348" s="140"/>
      <c r="D9348" s="140"/>
      <c r="E9348" s="140"/>
    </row>
    <row r="9349" spans="1:5">
      <c r="A9349" s="140"/>
      <c r="B9349" s="192"/>
      <c r="C9349" s="140"/>
      <c r="D9349" s="140"/>
      <c r="E9349" s="140"/>
    </row>
    <row r="9350" spans="1:5">
      <c r="A9350" s="140"/>
      <c r="B9350" s="192"/>
      <c r="C9350" s="140"/>
      <c r="D9350" s="140"/>
      <c r="E9350" s="140"/>
    </row>
    <row r="9351" spans="1:5">
      <c r="A9351" s="140"/>
      <c r="B9351" s="192"/>
      <c r="C9351" s="140"/>
      <c r="D9351" s="140"/>
      <c r="E9351" s="140"/>
    </row>
    <row r="9352" spans="1:5">
      <c r="A9352" s="140"/>
      <c r="B9352" s="192"/>
      <c r="C9352" s="140"/>
      <c r="D9352" s="140"/>
      <c r="E9352" s="140"/>
    </row>
    <row r="9353" spans="1:5">
      <c r="A9353" s="140"/>
      <c r="B9353" s="192"/>
      <c r="C9353" s="140"/>
      <c r="D9353" s="140"/>
      <c r="E9353" s="140"/>
    </row>
    <row r="9354" spans="1:5">
      <c r="A9354" s="140"/>
      <c r="B9354" s="192"/>
      <c r="C9354" s="140"/>
      <c r="D9354" s="140"/>
      <c r="E9354" s="140"/>
    </row>
    <row r="9355" spans="1:5">
      <c r="A9355" s="140"/>
      <c r="B9355" s="192"/>
      <c r="C9355" s="140"/>
      <c r="D9355" s="140"/>
      <c r="E9355" s="140"/>
    </row>
    <row r="9356" spans="1:5">
      <c r="A9356" s="140"/>
      <c r="B9356" s="192"/>
      <c r="C9356" s="140"/>
      <c r="D9356" s="140"/>
      <c r="E9356" s="140"/>
    </row>
    <row r="9357" spans="1:5">
      <c r="A9357" s="140"/>
      <c r="B9357" s="192"/>
      <c r="C9357" s="140"/>
      <c r="D9357" s="140"/>
      <c r="E9357" s="140"/>
    </row>
    <row r="9358" spans="1:5">
      <c r="A9358" s="140"/>
      <c r="B9358" s="192"/>
      <c r="C9358" s="140"/>
      <c r="D9358" s="140"/>
      <c r="E9358" s="140"/>
    </row>
    <row r="9359" spans="1:5">
      <c r="A9359" s="140"/>
      <c r="B9359" s="192"/>
      <c r="C9359" s="140"/>
      <c r="D9359" s="140"/>
      <c r="E9359" s="140"/>
    </row>
    <row r="9360" spans="1:5">
      <c r="A9360" s="140"/>
      <c r="B9360" s="192"/>
      <c r="C9360" s="140"/>
      <c r="D9360" s="140"/>
      <c r="E9360" s="140"/>
    </row>
    <row r="9361" spans="1:5">
      <c r="A9361" s="140"/>
      <c r="B9361" s="192"/>
      <c r="C9361" s="140"/>
      <c r="D9361" s="140"/>
      <c r="E9361" s="140"/>
    </row>
    <row r="9362" spans="1:5">
      <c r="A9362" s="140"/>
      <c r="B9362" s="192"/>
      <c r="C9362" s="140"/>
      <c r="D9362" s="140"/>
      <c r="E9362" s="140"/>
    </row>
    <row r="9363" spans="1:5">
      <c r="A9363" s="140"/>
      <c r="B9363" s="192"/>
      <c r="C9363" s="140"/>
      <c r="D9363" s="140"/>
      <c r="E9363" s="140"/>
    </row>
    <row r="9364" spans="1:5">
      <c r="A9364" s="140"/>
      <c r="B9364" s="192"/>
      <c r="C9364" s="140"/>
      <c r="D9364" s="140"/>
      <c r="E9364" s="140"/>
    </row>
    <row r="9365" spans="1:5">
      <c r="A9365" s="140"/>
      <c r="B9365" s="192"/>
      <c r="C9365" s="140"/>
      <c r="D9365" s="140"/>
      <c r="E9365" s="140"/>
    </row>
    <row r="9366" spans="1:5">
      <c r="A9366" s="140"/>
      <c r="B9366" s="192"/>
      <c r="C9366" s="140"/>
      <c r="D9366" s="140"/>
      <c r="E9366" s="140"/>
    </row>
    <row r="9367" spans="1:5">
      <c r="A9367" s="140"/>
      <c r="B9367" s="192"/>
      <c r="C9367" s="140"/>
      <c r="D9367" s="140"/>
      <c r="E9367" s="140"/>
    </row>
    <row r="9368" spans="1:5">
      <c r="A9368" s="140"/>
      <c r="B9368" s="192"/>
      <c r="C9368" s="140"/>
      <c r="D9368" s="140"/>
      <c r="E9368" s="140"/>
    </row>
    <row r="9369" spans="1:5">
      <c r="A9369" s="140"/>
      <c r="B9369" s="192"/>
      <c r="C9369" s="140"/>
      <c r="D9369" s="140"/>
      <c r="E9369" s="140"/>
    </row>
    <row r="9370" spans="1:5">
      <c r="A9370" s="140"/>
      <c r="B9370" s="192"/>
      <c r="C9370" s="140"/>
      <c r="D9370" s="140"/>
      <c r="E9370" s="140"/>
    </row>
    <row r="9371" spans="1:5">
      <c r="A9371" s="140"/>
      <c r="B9371" s="192"/>
      <c r="C9371" s="140"/>
      <c r="D9371" s="140"/>
      <c r="E9371" s="140"/>
    </row>
    <row r="9372" spans="1:5">
      <c r="A9372" s="140"/>
      <c r="B9372" s="192"/>
      <c r="C9372" s="140"/>
      <c r="D9372" s="140"/>
      <c r="E9372" s="140"/>
    </row>
    <row r="9373" spans="1:5">
      <c r="A9373" s="140"/>
      <c r="B9373" s="192"/>
      <c r="C9373" s="140"/>
      <c r="D9373" s="140"/>
      <c r="E9373" s="140"/>
    </row>
    <row r="9374" spans="1:5">
      <c r="A9374" s="140"/>
      <c r="B9374" s="192"/>
      <c r="C9374" s="140"/>
      <c r="D9374" s="140"/>
      <c r="E9374" s="140"/>
    </row>
    <row r="9375" spans="1:5">
      <c r="A9375" s="140"/>
      <c r="B9375" s="192"/>
      <c r="C9375" s="140"/>
      <c r="D9375" s="140"/>
      <c r="E9375" s="140"/>
    </row>
    <row r="9376" spans="1:5">
      <c r="A9376" s="140"/>
      <c r="B9376" s="192"/>
      <c r="C9376" s="140"/>
      <c r="D9376" s="140"/>
      <c r="E9376" s="140"/>
    </row>
    <row r="9377" spans="1:5">
      <c r="A9377" s="140"/>
      <c r="B9377" s="192"/>
      <c r="C9377" s="140"/>
      <c r="D9377" s="140"/>
      <c r="E9377" s="140"/>
    </row>
    <row r="9378" spans="1:5">
      <c r="A9378" s="140"/>
      <c r="B9378" s="192"/>
      <c r="C9378" s="140"/>
      <c r="D9378" s="140"/>
      <c r="E9378" s="140"/>
    </row>
    <row r="9379" spans="1:5">
      <c r="A9379" s="140"/>
      <c r="B9379" s="192"/>
      <c r="C9379" s="140"/>
      <c r="D9379" s="140"/>
      <c r="E9379" s="140"/>
    </row>
    <row r="9380" spans="1:5">
      <c r="A9380" s="140"/>
      <c r="B9380" s="192"/>
      <c r="C9380" s="140"/>
      <c r="D9380" s="140"/>
      <c r="E9380" s="140"/>
    </row>
    <row r="9381" spans="1:5">
      <c r="A9381" s="140"/>
      <c r="B9381" s="192"/>
      <c r="C9381" s="140"/>
      <c r="D9381" s="140"/>
      <c r="E9381" s="140"/>
    </row>
    <row r="9382" spans="1:5">
      <c r="A9382" s="140"/>
      <c r="B9382" s="192"/>
      <c r="C9382" s="140"/>
      <c r="D9382" s="140"/>
      <c r="E9382" s="140"/>
    </row>
    <row r="9383" spans="1:5">
      <c r="A9383" s="140"/>
      <c r="B9383" s="192"/>
      <c r="C9383" s="140"/>
      <c r="D9383" s="140"/>
      <c r="E9383" s="140"/>
    </row>
    <row r="9384" spans="1:5">
      <c r="A9384" s="140"/>
      <c r="B9384" s="192"/>
      <c r="C9384" s="140"/>
      <c r="D9384" s="140"/>
      <c r="E9384" s="140"/>
    </row>
    <row r="9385" spans="1:5">
      <c r="A9385" s="140"/>
      <c r="B9385" s="192"/>
      <c r="C9385" s="140"/>
      <c r="D9385" s="140"/>
      <c r="E9385" s="140"/>
    </row>
    <row r="9386" spans="1:5">
      <c r="A9386" s="140"/>
      <c r="B9386" s="192"/>
      <c r="C9386" s="140"/>
      <c r="D9386" s="140"/>
      <c r="E9386" s="140"/>
    </row>
    <row r="9387" spans="1:5">
      <c r="A9387" s="140"/>
      <c r="B9387" s="192"/>
      <c r="C9387" s="140"/>
      <c r="D9387" s="140"/>
      <c r="E9387" s="140"/>
    </row>
    <row r="9388" spans="1:5">
      <c r="A9388" s="140"/>
      <c r="B9388" s="192"/>
      <c r="C9388" s="140"/>
      <c r="D9388" s="140"/>
      <c r="E9388" s="140"/>
    </row>
    <row r="9389" spans="1:5">
      <c r="A9389" s="140"/>
      <c r="B9389" s="192"/>
      <c r="C9389" s="140"/>
      <c r="D9389" s="140"/>
      <c r="E9389" s="140"/>
    </row>
    <row r="9390" spans="1:5">
      <c r="A9390" s="140"/>
      <c r="B9390" s="192"/>
      <c r="C9390" s="140"/>
      <c r="D9390" s="140"/>
      <c r="E9390" s="140"/>
    </row>
    <row r="9391" spans="1:5">
      <c r="A9391" s="140"/>
      <c r="B9391" s="192"/>
      <c r="C9391" s="140"/>
      <c r="D9391" s="140"/>
      <c r="E9391" s="140"/>
    </row>
    <row r="9392" spans="1:5">
      <c r="A9392" s="140"/>
      <c r="B9392" s="192"/>
      <c r="C9392" s="140"/>
      <c r="D9392" s="140"/>
      <c r="E9392" s="140"/>
    </row>
    <row r="9393" spans="1:5">
      <c r="A9393" s="140"/>
      <c r="B9393" s="192"/>
      <c r="C9393" s="140"/>
      <c r="D9393" s="140"/>
      <c r="E9393" s="140"/>
    </row>
    <row r="9394" spans="1:5">
      <c r="A9394" s="140"/>
      <c r="B9394" s="192"/>
      <c r="C9394" s="140"/>
      <c r="D9394" s="140"/>
      <c r="E9394" s="140"/>
    </row>
    <row r="9395" spans="1:5">
      <c r="A9395" s="140"/>
      <c r="B9395" s="192"/>
      <c r="C9395" s="140"/>
      <c r="D9395" s="140"/>
      <c r="E9395" s="140"/>
    </row>
    <row r="9396" spans="1:5">
      <c r="A9396" s="140"/>
      <c r="B9396" s="192"/>
      <c r="C9396" s="140"/>
      <c r="D9396" s="140"/>
      <c r="E9396" s="140"/>
    </row>
    <row r="9397" spans="1:5">
      <c r="A9397" s="140"/>
      <c r="B9397" s="192"/>
      <c r="C9397" s="140"/>
      <c r="D9397" s="140"/>
      <c r="E9397" s="140"/>
    </row>
    <row r="9398" spans="1:5">
      <c r="A9398" s="140"/>
      <c r="B9398" s="192"/>
      <c r="C9398" s="140"/>
      <c r="D9398" s="140"/>
      <c r="E9398" s="140"/>
    </row>
    <row r="9399" spans="1:5">
      <c r="A9399" s="140"/>
      <c r="B9399" s="192"/>
      <c r="C9399" s="140"/>
      <c r="D9399" s="140"/>
      <c r="E9399" s="140"/>
    </row>
    <row r="9400" spans="1:5">
      <c r="A9400" s="140"/>
      <c r="B9400" s="192"/>
      <c r="C9400" s="140"/>
      <c r="D9400" s="140"/>
      <c r="E9400" s="140"/>
    </row>
    <row r="9401" spans="1:5">
      <c r="A9401" s="140"/>
      <c r="B9401" s="192"/>
      <c r="C9401" s="140"/>
      <c r="D9401" s="140"/>
      <c r="E9401" s="140"/>
    </row>
    <row r="9402" spans="1:5">
      <c r="A9402" s="140"/>
      <c r="B9402" s="192"/>
      <c r="C9402" s="140"/>
      <c r="D9402" s="140"/>
      <c r="E9402" s="140"/>
    </row>
    <row r="9403" spans="1:5">
      <c r="A9403" s="140"/>
      <c r="B9403" s="192"/>
      <c r="C9403" s="140"/>
      <c r="D9403" s="140"/>
      <c r="E9403" s="140"/>
    </row>
    <row r="9404" spans="1:5">
      <c r="A9404" s="140"/>
      <c r="B9404" s="192"/>
      <c r="C9404" s="140"/>
      <c r="D9404" s="140"/>
      <c r="E9404" s="140"/>
    </row>
    <row r="9405" spans="1:5">
      <c r="A9405" s="140"/>
      <c r="B9405" s="192"/>
      <c r="C9405" s="140"/>
      <c r="D9405" s="140"/>
      <c r="E9405" s="140"/>
    </row>
    <row r="9406" spans="1:5">
      <c r="A9406" s="140"/>
      <c r="B9406" s="192"/>
      <c r="C9406" s="140"/>
      <c r="D9406" s="140"/>
      <c r="E9406" s="140"/>
    </row>
    <row r="9407" spans="1:5">
      <c r="A9407" s="140"/>
      <c r="B9407" s="192"/>
      <c r="C9407" s="140"/>
      <c r="D9407" s="140"/>
      <c r="E9407" s="140"/>
    </row>
    <row r="9408" spans="1:5">
      <c r="A9408" s="140"/>
      <c r="B9408" s="192"/>
      <c r="C9408" s="140"/>
      <c r="D9408" s="140"/>
      <c r="E9408" s="140"/>
    </row>
    <row r="9409" spans="1:5">
      <c r="A9409" s="140"/>
      <c r="B9409" s="192"/>
      <c r="C9409" s="140"/>
      <c r="D9409" s="140"/>
      <c r="E9409" s="140"/>
    </row>
    <row r="9410" spans="1:5">
      <c r="A9410" s="140"/>
      <c r="B9410" s="192"/>
      <c r="C9410" s="140"/>
      <c r="D9410" s="140"/>
      <c r="E9410" s="140"/>
    </row>
    <row r="9411" spans="1:5">
      <c r="A9411" s="140"/>
      <c r="B9411" s="192"/>
      <c r="C9411" s="140"/>
      <c r="D9411" s="140"/>
      <c r="E9411" s="140"/>
    </row>
    <row r="9412" spans="1:5">
      <c r="A9412" s="140"/>
      <c r="B9412" s="192"/>
      <c r="C9412" s="140"/>
      <c r="D9412" s="140"/>
      <c r="E9412" s="140"/>
    </row>
    <row r="9413" spans="1:5">
      <c r="A9413" s="140"/>
      <c r="B9413" s="192"/>
      <c r="C9413" s="140"/>
      <c r="D9413" s="140"/>
      <c r="E9413" s="140"/>
    </row>
    <row r="9414" spans="1:5">
      <c r="A9414" s="140"/>
      <c r="B9414" s="192"/>
      <c r="C9414" s="140"/>
      <c r="D9414" s="140"/>
      <c r="E9414" s="140"/>
    </row>
    <row r="9415" spans="1:5">
      <c r="A9415" s="140"/>
      <c r="B9415" s="192"/>
      <c r="C9415" s="140"/>
      <c r="D9415" s="140"/>
      <c r="E9415" s="140"/>
    </row>
    <row r="9416" spans="1:5">
      <c r="A9416" s="140"/>
      <c r="B9416" s="192"/>
      <c r="C9416" s="140"/>
      <c r="D9416" s="140"/>
      <c r="E9416" s="140"/>
    </row>
    <row r="9417" spans="1:5">
      <c r="A9417" s="140"/>
      <c r="B9417" s="192"/>
      <c r="C9417" s="140"/>
      <c r="D9417" s="140"/>
      <c r="E9417" s="140"/>
    </row>
    <row r="9418" spans="1:5">
      <c r="A9418" s="140"/>
      <c r="B9418" s="192"/>
      <c r="C9418" s="140"/>
      <c r="D9418" s="140"/>
      <c r="E9418" s="140"/>
    </row>
    <row r="9419" spans="1:5">
      <c r="A9419" s="140"/>
      <c r="B9419" s="192"/>
      <c r="C9419" s="140"/>
      <c r="D9419" s="140"/>
      <c r="E9419" s="140"/>
    </row>
    <row r="9420" spans="1:5">
      <c r="A9420" s="140"/>
      <c r="B9420" s="192"/>
      <c r="C9420" s="140"/>
      <c r="D9420" s="140"/>
      <c r="E9420" s="140"/>
    </row>
    <row r="9421" spans="1:5">
      <c r="A9421" s="140"/>
      <c r="B9421" s="192"/>
      <c r="C9421" s="140"/>
      <c r="D9421" s="140"/>
      <c r="E9421" s="140"/>
    </row>
    <row r="9422" spans="1:5">
      <c r="A9422" s="140"/>
      <c r="B9422" s="192"/>
      <c r="C9422" s="140"/>
      <c r="D9422" s="140"/>
      <c r="E9422" s="140"/>
    </row>
    <row r="9423" spans="1:5">
      <c r="A9423" s="140"/>
      <c r="B9423" s="192"/>
      <c r="C9423" s="140"/>
      <c r="D9423" s="140"/>
      <c r="E9423" s="140"/>
    </row>
    <row r="9424" spans="1:5">
      <c r="A9424" s="140"/>
      <c r="B9424" s="192"/>
      <c r="C9424" s="140"/>
      <c r="D9424" s="140"/>
      <c r="E9424" s="140"/>
    </row>
    <row r="9425" spans="1:5">
      <c r="A9425" s="140"/>
      <c r="B9425" s="192"/>
      <c r="C9425" s="140"/>
      <c r="D9425" s="140"/>
      <c r="E9425" s="140"/>
    </row>
    <row r="9426" spans="1:5">
      <c r="A9426" s="140"/>
      <c r="B9426" s="192"/>
      <c r="C9426" s="140"/>
      <c r="D9426" s="140"/>
      <c r="E9426" s="140"/>
    </row>
    <row r="9427" spans="1:5">
      <c r="A9427" s="140"/>
      <c r="B9427" s="192"/>
      <c r="C9427" s="140"/>
      <c r="D9427" s="140"/>
      <c r="E9427" s="140"/>
    </row>
    <row r="9428" spans="1:5">
      <c r="A9428" s="140"/>
      <c r="B9428" s="192"/>
      <c r="C9428" s="140"/>
      <c r="D9428" s="140"/>
      <c r="E9428" s="140"/>
    </row>
    <row r="9429" spans="1:5">
      <c r="A9429" s="140"/>
      <c r="B9429" s="192"/>
      <c r="C9429" s="140"/>
      <c r="D9429" s="140"/>
      <c r="E9429" s="140"/>
    </row>
    <row r="9430" spans="1:5">
      <c r="A9430" s="140"/>
      <c r="B9430" s="192"/>
      <c r="C9430" s="140"/>
      <c r="D9430" s="140"/>
      <c r="E9430" s="140"/>
    </row>
    <row r="9431" spans="1:5">
      <c r="A9431" s="140"/>
      <c r="B9431" s="192"/>
      <c r="C9431" s="140"/>
      <c r="D9431" s="140"/>
      <c r="E9431" s="140"/>
    </row>
    <row r="9432" spans="1:5">
      <c r="A9432" s="140"/>
      <c r="B9432" s="192"/>
      <c r="C9432" s="140"/>
      <c r="D9432" s="140"/>
      <c r="E9432" s="140"/>
    </row>
    <row r="9433" spans="1:5">
      <c r="A9433" s="140"/>
      <c r="B9433" s="192"/>
      <c r="C9433" s="140"/>
      <c r="D9433" s="140"/>
      <c r="E9433" s="140"/>
    </row>
    <row r="9434" spans="1:5">
      <c r="A9434" s="140"/>
      <c r="B9434" s="192"/>
      <c r="C9434" s="140"/>
      <c r="D9434" s="140"/>
      <c r="E9434" s="140"/>
    </row>
    <row r="9435" spans="1:5">
      <c r="A9435" s="140"/>
      <c r="B9435" s="192"/>
      <c r="C9435" s="140"/>
      <c r="D9435" s="140"/>
      <c r="E9435" s="140"/>
    </row>
    <row r="9436" spans="1:5">
      <c r="A9436" s="140"/>
      <c r="B9436" s="192"/>
      <c r="C9436" s="140"/>
      <c r="D9436" s="140"/>
      <c r="E9436" s="140"/>
    </row>
    <row r="9437" spans="1:5">
      <c r="A9437" s="140"/>
      <c r="B9437" s="192"/>
      <c r="C9437" s="140"/>
      <c r="D9437" s="140"/>
      <c r="E9437" s="140"/>
    </row>
    <row r="9438" spans="1:5">
      <c r="A9438" s="140"/>
      <c r="B9438" s="192"/>
      <c r="C9438" s="140"/>
      <c r="D9438" s="140"/>
      <c r="E9438" s="140"/>
    </row>
    <row r="9439" spans="1:5">
      <c r="A9439" s="140"/>
      <c r="B9439" s="192"/>
      <c r="C9439" s="140"/>
      <c r="D9439" s="140"/>
      <c r="E9439" s="140"/>
    </row>
    <row r="9440" spans="1:5">
      <c r="A9440" s="140"/>
      <c r="B9440" s="192"/>
      <c r="C9440" s="140"/>
      <c r="D9440" s="140"/>
      <c r="E9440" s="140"/>
    </row>
    <row r="9441" spans="1:5">
      <c r="A9441" s="140"/>
      <c r="B9441" s="192"/>
      <c r="C9441" s="140"/>
      <c r="D9441" s="140"/>
      <c r="E9441" s="140"/>
    </row>
    <row r="9442" spans="1:5">
      <c r="A9442" s="140"/>
      <c r="B9442" s="192"/>
      <c r="C9442" s="140"/>
      <c r="D9442" s="140"/>
      <c r="E9442" s="140"/>
    </row>
    <row r="9443" spans="1:5">
      <c r="A9443" s="140"/>
      <c r="B9443" s="192"/>
      <c r="C9443" s="140"/>
      <c r="D9443" s="140"/>
      <c r="E9443" s="140"/>
    </row>
    <row r="9444" spans="1:5">
      <c r="A9444" s="140"/>
      <c r="B9444" s="192"/>
      <c r="C9444" s="140"/>
      <c r="D9444" s="140"/>
      <c r="E9444" s="140"/>
    </row>
    <row r="9445" spans="1:5">
      <c r="A9445" s="140"/>
      <c r="B9445" s="192"/>
      <c r="C9445" s="140"/>
      <c r="D9445" s="140"/>
      <c r="E9445" s="140"/>
    </row>
    <row r="9446" spans="1:5">
      <c r="A9446" s="140"/>
      <c r="B9446" s="192"/>
      <c r="C9446" s="140"/>
      <c r="D9446" s="140"/>
      <c r="E9446" s="140"/>
    </row>
    <row r="9447" spans="1:5">
      <c r="A9447" s="140"/>
      <c r="B9447" s="192"/>
      <c r="C9447" s="140"/>
      <c r="D9447" s="140"/>
      <c r="E9447" s="140"/>
    </row>
    <row r="9448" spans="1:5">
      <c r="A9448" s="140"/>
      <c r="B9448" s="192"/>
      <c r="C9448" s="140"/>
      <c r="D9448" s="140"/>
      <c r="E9448" s="140"/>
    </row>
    <row r="9449" spans="1:5">
      <c r="A9449" s="140"/>
      <c r="B9449" s="192"/>
      <c r="C9449" s="140"/>
      <c r="D9449" s="140"/>
      <c r="E9449" s="140"/>
    </row>
    <row r="9450" spans="1:5">
      <c r="A9450" s="140"/>
      <c r="B9450" s="192"/>
      <c r="C9450" s="140"/>
      <c r="D9450" s="140"/>
      <c r="E9450" s="140"/>
    </row>
    <row r="9451" spans="1:5">
      <c r="A9451" s="140"/>
      <c r="B9451" s="192"/>
      <c r="C9451" s="140"/>
      <c r="D9451" s="140"/>
      <c r="E9451" s="140"/>
    </row>
    <row r="9452" spans="1:5">
      <c r="A9452" s="140"/>
      <c r="B9452" s="192"/>
      <c r="C9452" s="140"/>
      <c r="D9452" s="140"/>
      <c r="E9452" s="140"/>
    </row>
    <row r="9453" spans="1:5">
      <c r="A9453" s="140"/>
      <c r="B9453" s="192"/>
      <c r="C9453" s="140"/>
      <c r="D9453" s="140"/>
      <c r="E9453" s="140"/>
    </row>
    <row r="9454" spans="1:5">
      <c r="A9454" s="140"/>
      <c r="B9454" s="192"/>
      <c r="C9454" s="140"/>
      <c r="D9454" s="140"/>
      <c r="E9454" s="140"/>
    </row>
    <row r="9455" spans="1:5">
      <c r="A9455" s="140"/>
      <c r="B9455" s="192"/>
      <c r="C9455" s="140"/>
      <c r="D9455" s="140"/>
      <c r="E9455" s="140"/>
    </row>
    <row r="9456" spans="1:5">
      <c r="A9456" s="140"/>
      <c r="B9456" s="192"/>
      <c r="C9456" s="140"/>
      <c r="D9456" s="140"/>
      <c r="E9456" s="140"/>
    </row>
    <row r="9457" spans="1:5">
      <c r="A9457" s="140"/>
      <c r="B9457" s="192"/>
      <c r="C9457" s="140"/>
      <c r="D9457" s="140"/>
      <c r="E9457" s="140"/>
    </row>
    <row r="9458" spans="1:5">
      <c r="A9458" s="140"/>
      <c r="B9458" s="192"/>
      <c r="C9458" s="140"/>
      <c r="D9458" s="140"/>
      <c r="E9458" s="140"/>
    </row>
    <row r="9459" spans="1:5">
      <c r="A9459" s="140"/>
      <c r="B9459" s="192"/>
      <c r="C9459" s="140"/>
      <c r="D9459" s="140"/>
      <c r="E9459" s="140"/>
    </row>
    <row r="9460" spans="1:5">
      <c r="A9460" s="140"/>
      <c r="B9460" s="192"/>
      <c r="C9460" s="140"/>
      <c r="D9460" s="140"/>
      <c r="E9460" s="140"/>
    </row>
    <row r="9461" spans="1:5">
      <c r="A9461" s="140"/>
      <c r="B9461" s="192"/>
      <c r="C9461" s="140"/>
      <c r="D9461" s="140"/>
      <c r="E9461" s="140"/>
    </row>
    <row r="9462" spans="1:5">
      <c r="A9462" s="140"/>
      <c r="B9462" s="192"/>
      <c r="C9462" s="140"/>
      <c r="D9462" s="140"/>
      <c r="E9462" s="140"/>
    </row>
    <row r="9463" spans="1:5">
      <c r="A9463" s="140"/>
      <c r="B9463" s="192"/>
      <c r="C9463" s="140"/>
      <c r="D9463" s="140"/>
      <c r="E9463" s="140"/>
    </row>
    <row r="9464" spans="1:5">
      <c r="A9464" s="140"/>
      <c r="B9464" s="192"/>
      <c r="C9464" s="140"/>
      <c r="D9464" s="140"/>
      <c r="E9464" s="140"/>
    </row>
    <row r="9465" spans="1:5">
      <c r="A9465" s="140"/>
      <c r="B9465" s="192"/>
      <c r="C9465" s="140"/>
      <c r="D9465" s="140"/>
      <c r="E9465" s="140"/>
    </row>
    <row r="9466" spans="1:5">
      <c r="A9466" s="140"/>
      <c r="B9466" s="192"/>
      <c r="C9466" s="140"/>
      <c r="D9466" s="140"/>
      <c r="E9466" s="140"/>
    </row>
    <row r="9467" spans="1:5">
      <c r="A9467" s="140"/>
      <c r="B9467" s="192"/>
      <c r="C9467" s="140"/>
      <c r="D9467" s="140"/>
      <c r="E9467" s="140"/>
    </row>
    <row r="9468" spans="1:5">
      <c r="A9468" s="140"/>
      <c r="B9468" s="192"/>
      <c r="C9468" s="140"/>
      <c r="D9468" s="140"/>
      <c r="E9468" s="140"/>
    </row>
    <row r="9469" spans="1:5">
      <c r="A9469" s="140"/>
      <c r="B9469" s="192"/>
      <c r="C9469" s="140"/>
      <c r="D9469" s="140"/>
      <c r="E9469" s="140"/>
    </row>
    <row r="9470" spans="1:5">
      <c r="A9470" s="140"/>
      <c r="B9470" s="192"/>
      <c r="C9470" s="140"/>
      <c r="D9470" s="140"/>
      <c r="E9470" s="140"/>
    </row>
    <row r="9471" spans="1:5">
      <c r="A9471" s="140"/>
      <c r="B9471" s="192"/>
      <c r="C9471" s="140"/>
      <c r="D9471" s="140"/>
      <c r="E9471" s="140"/>
    </row>
    <row r="9472" spans="1:5">
      <c r="A9472" s="140"/>
      <c r="B9472" s="192"/>
      <c r="C9472" s="140"/>
      <c r="D9472" s="140"/>
      <c r="E9472" s="140"/>
    </row>
    <row r="9473" spans="1:5">
      <c r="A9473" s="140"/>
      <c r="B9473" s="192"/>
      <c r="C9473" s="140"/>
      <c r="D9473" s="140"/>
      <c r="E9473" s="140"/>
    </row>
    <row r="9474" spans="1:5">
      <c r="A9474" s="140"/>
      <c r="B9474" s="192"/>
      <c r="C9474" s="140"/>
      <c r="D9474" s="140"/>
      <c r="E9474" s="140"/>
    </row>
    <row r="9475" spans="1:5">
      <c r="A9475" s="140"/>
      <c r="B9475" s="192"/>
      <c r="C9475" s="140"/>
      <c r="D9475" s="140"/>
      <c r="E9475" s="140"/>
    </row>
    <row r="9476" spans="1:5">
      <c r="A9476" s="140"/>
      <c r="B9476" s="192"/>
      <c r="C9476" s="140"/>
      <c r="D9476" s="140"/>
      <c r="E9476" s="140"/>
    </row>
    <row r="9477" spans="1:5">
      <c r="A9477" s="140"/>
      <c r="B9477" s="192"/>
      <c r="C9477" s="140"/>
      <c r="D9477" s="140"/>
      <c r="E9477" s="140"/>
    </row>
    <row r="9478" spans="1:5">
      <c r="A9478" s="140"/>
      <c r="B9478" s="192"/>
      <c r="C9478" s="140"/>
      <c r="D9478" s="140"/>
      <c r="E9478" s="140"/>
    </row>
    <row r="9479" spans="1:5">
      <c r="A9479" s="140"/>
      <c r="B9479" s="192"/>
      <c r="C9479" s="140"/>
      <c r="D9479" s="140"/>
      <c r="E9479" s="140"/>
    </row>
    <row r="9480" spans="1:5">
      <c r="A9480" s="140"/>
      <c r="B9480" s="192"/>
      <c r="C9480" s="140"/>
      <c r="D9480" s="140"/>
      <c r="E9480" s="140"/>
    </row>
    <row r="9481" spans="1:5">
      <c r="A9481" s="140"/>
      <c r="B9481" s="192"/>
      <c r="C9481" s="140"/>
      <c r="D9481" s="140"/>
      <c r="E9481" s="140"/>
    </row>
    <row r="9482" spans="1:5">
      <c r="A9482" s="140"/>
      <c r="B9482" s="192"/>
      <c r="C9482" s="140"/>
      <c r="D9482" s="140"/>
      <c r="E9482" s="140"/>
    </row>
    <row r="9483" spans="1:5">
      <c r="A9483" s="140"/>
      <c r="B9483" s="192"/>
      <c r="C9483" s="140"/>
      <c r="D9483" s="140"/>
      <c r="E9483" s="140"/>
    </row>
    <row r="9484" spans="1:5">
      <c r="A9484" s="140"/>
      <c r="B9484" s="192"/>
      <c r="C9484" s="140"/>
      <c r="D9484" s="140"/>
      <c r="E9484" s="140"/>
    </row>
    <row r="9485" spans="1:5">
      <c r="A9485" s="140"/>
      <c r="B9485" s="192"/>
      <c r="C9485" s="140"/>
      <c r="D9485" s="140"/>
      <c r="E9485" s="140"/>
    </row>
    <row r="9486" spans="1:5">
      <c r="A9486" s="140"/>
      <c r="B9486" s="192"/>
      <c r="C9486" s="140"/>
      <c r="D9486" s="140"/>
      <c r="E9486" s="140"/>
    </row>
    <row r="9487" spans="1:5">
      <c r="A9487" s="140"/>
      <c r="B9487" s="192"/>
      <c r="C9487" s="140"/>
      <c r="D9487" s="140"/>
      <c r="E9487" s="140"/>
    </row>
    <row r="9488" spans="1:5">
      <c r="A9488" s="140"/>
      <c r="B9488" s="192"/>
      <c r="C9488" s="140"/>
      <c r="D9488" s="140"/>
      <c r="E9488" s="140"/>
    </row>
    <row r="9489" spans="1:5">
      <c r="A9489" s="140"/>
      <c r="B9489" s="192"/>
      <c r="C9489" s="140"/>
      <c r="D9489" s="140"/>
      <c r="E9489" s="140"/>
    </row>
    <row r="9490" spans="1:5">
      <c r="A9490" s="140"/>
      <c r="B9490" s="192"/>
      <c r="C9490" s="140"/>
      <c r="D9490" s="140"/>
      <c r="E9490" s="140"/>
    </row>
    <row r="9491" spans="1:5">
      <c r="A9491" s="140"/>
      <c r="B9491" s="192"/>
      <c r="C9491" s="140"/>
      <c r="D9491" s="140"/>
      <c r="E9491" s="140"/>
    </row>
    <row r="9492" spans="1:5">
      <c r="A9492" s="140"/>
      <c r="B9492" s="192"/>
      <c r="C9492" s="140"/>
      <c r="D9492" s="140"/>
      <c r="E9492" s="140"/>
    </row>
    <row r="9493" spans="1:5">
      <c r="A9493" s="140"/>
      <c r="B9493" s="192"/>
      <c r="C9493" s="140"/>
      <c r="D9493" s="140"/>
      <c r="E9493" s="140"/>
    </row>
    <row r="9494" spans="1:5">
      <c r="A9494" s="140"/>
      <c r="B9494" s="192"/>
      <c r="C9494" s="140"/>
      <c r="D9494" s="140"/>
      <c r="E9494" s="140"/>
    </row>
    <row r="9495" spans="1:5">
      <c r="A9495" s="140"/>
      <c r="B9495" s="192"/>
      <c r="C9495" s="140"/>
      <c r="D9495" s="140"/>
      <c r="E9495" s="140"/>
    </row>
    <row r="9496" spans="1:5">
      <c r="A9496" s="140"/>
      <c r="B9496" s="192"/>
      <c r="C9496" s="140"/>
      <c r="D9496" s="140"/>
      <c r="E9496" s="140"/>
    </row>
    <row r="9497" spans="1:5">
      <c r="A9497" s="140"/>
      <c r="B9497" s="192"/>
      <c r="C9497" s="140"/>
      <c r="D9497" s="140"/>
      <c r="E9497" s="140"/>
    </row>
    <row r="9498" spans="1:5">
      <c r="A9498" s="140"/>
      <c r="B9498" s="192"/>
      <c r="C9498" s="140"/>
      <c r="D9498" s="140"/>
      <c r="E9498" s="140"/>
    </row>
    <row r="9499" spans="1:5">
      <c r="A9499" s="140"/>
      <c r="B9499" s="192"/>
      <c r="C9499" s="140"/>
      <c r="D9499" s="140"/>
      <c r="E9499" s="140"/>
    </row>
    <row r="9500" spans="1:5">
      <c r="A9500" s="140"/>
      <c r="B9500" s="192"/>
      <c r="C9500" s="140"/>
      <c r="D9500" s="140"/>
      <c r="E9500" s="140"/>
    </row>
    <row r="9501" spans="1:5">
      <c r="A9501" s="140"/>
      <c r="B9501" s="192"/>
      <c r="C9501" s="140"/>
      <c r="D9501" s="140"/>
      <c r="E9501" s="140"/>
    </row>
    <row r="9502" spans="1:5">
      <c r="A9502" s="140"/>
      <c r="B9502" s="192"/>
      <c r="C9502" s="140"/>
      <c r="D9502" s="140"/>
      <c r="E9502" s="140"/>
    </row>
    <row r="9503" spans="1:5">
      <c r="A9503" s="140"/>
      <c r="B9503" s="192"/>
      <c r="C9503" s="140"/>
      <c r="D9503" s="140"/>
      <c r="E9503" s="140"/>
    </row>
    <row r="9504" spans="1:5">
      <c r="A9504" s="140"/>
      <c r="B9504" s="192"/>
      <c r="C9504" s="140"/>
      <c r="D9504" s="140"/>
      <c r="E9504" s="140"/>
    </row>
    <row r="9505" spans="1:5">
      <c r="A9505" s="140"/>
      <c r="B9505" s="192"/>
      <c r="C9505" s="140"/>
      <c r="D9505" s="140"/>
      <c r="E9505" s="140"/>
    </row>
    <row r="9506" spans="1:5">
      <c r="A9506" s="140"/>
      <c r="B9506" s="192"/>
      <c r="C9506" s="140"/>
      <c r="D9506" s="140"/>
      <c r="E9506" s="140"/>
    </row>
    <row r="9507" spans="1:5">
      <c r="A9507" s="140"/>
      <c r="B9507" s="192"/>
      <c r="C9507" s="140"/>
      <c r="D9507" s="140"/>
      <c r="E9507" s="140"/>
    </row>
    <row r="9508" spans="1:5">
      <c r="A9508" s="140"/>
      <c r="B9508" s="192"/>
      <c r="C9508" s="140"/>
      <c r="D9508" s="140"/>
      <c r="E9508" s="140"/>
    </row>
    <row r="9509" spans="1:5">
      <c r="A9509" s="140"/>
      <c r="B9509" s="192"/>
      <c r="C9509" s="140"/>
      <c r="D9509" s="140"/>
      <c r="E9509" s="140"/>
    </row>
    <row r="9510" spans="1:5">
      <c r="A9510" s="140"/>
      <c r="B9510" s="192"/>
      <c r="C9510" s="140"/>
      <c r="D9510" s="140"/>
      <c r="E9510" s="140"/>
    </row>
    <row r="9511" spans="1:5">
      <c r="A9511" s="140"/>
      <c r="B9511" s="192"/>
      <c r="C9511" s="140"/>
      <c r="D9511" s="140"/>
      <c r="E9511" s="140"/>
    </row>
    <row r="9512" spans="1:5">
      <c r="A9512" s="140"/>
      <c r="B9512" s="192"/>
      <c r="C9512" s="140"/>
      <c r="D9512" s="140"/>
      <c r="E9512" s="140"/>
    </row>
    <row r="9513" spans="1:5">
      <c r="A9513" s="140"/>
      <c r="B9513" s="192"/>
      <c r="C9513" s="140"/>
      <c r="D9513" s="140"/>
      <c r="E9513" s="140"/>
    </row>
    <row r="9514" spans="1:5">
      <c r="A9514" s="140"/>
      <c r="B9514" s="192"/>
      <c r="C9514" s="140"/>
      <c r="D9514" s="140"/>
      <c r="E9514" s="140"/>
    </row>
    <row r="9515" spans="1:5">
      <c r="A9515" s="140"/>
      <c r="B9515" s="192"/>
      <c r="C9515" s="140"/>
      <c r="D9515" s="140"/>
      <c r="E9515" s="140"/>
    </row>
    <row r="9516" spans="1:5">
      <c r="A9516" s="140"/>
      <c r="B9516" s="192"/>
      <c r="C9516" s="140"/>
      <c r="D9516" s="140"/>
      <c r="E9516" s="140"/>
    </row>
    <row r="9517" spans="1:5">
      <c r="A9517" s="140"/>
      <c r="B9517" s="192"/>
      <c r="C9517" s="140"/>
      <c r="D9517" s="140"/>
      <c r="E9517" s="140"/>
    </row>
    <row r="9518" spans="1:5">
      <c r="A9518" s="140"/>
      <c r="B9518" s="192"/>
      <c r="C9518" s="140"/>
      <c r="D9518" s="140"/>
      <c r="E9518" s="140"/>
    </row>
    <row r="9519" spans="1:5">
      <c r="A9519" s="140"/>
      <c r="B9519" s="192"/>
      <c r="C9519" s="140"/>
      <c r="D9519" s="140"/>
      <c r="E9519" s="140"/>
    </row>
    <row r="9520" spans="1:5">
      <c r="A9520" s="140"/>
      <c r="B9520" s="192"/>
      <c r="C9520" s="140"/>
      <c r="D9520" s="140"/>
      <c r="E9520" s="140"/>
    </row>
    <row r="9521" spans="1:5">
      <c r="A9521" s="140"/>
      <c r="B9521" s="192"/>
      <c r="C9521" s="140"/>
      <c r="D9521" s="140"/>
      <c r="E9521" s="140"/>
    </row>
    <row r="9522" spans="1:5">
      <c r="A9522" s="140"/>
      <c r="B9522" s="192"/>
      <c r="C9522" s="140"/>
      <c r="D9522" s="140"/>
      <c r="E9522" s="140"/>
    </row>
    <row r="9523" spans="1:5">
      <c r="A9523" s="140"/>
      <c r="B9523" s="192"/>
      <c r="C9523" s="140"/>
      <c r="D9523" s="140"/>
      <c r="E9523" s="140"/>
    </row>
    <row r="9524" spans="1:5">
      <c r="A9524" s="140"/>
      <c r="B9524" s="192"/>
      <c r="C9524" s="140"/>
      <c r="D9524" s="140"/>
      <c r="E9524" s="140"/>
    </row>
    <row r="9525" spans="1:5">
      <c r="A9525" s="140"/>
      <c r="B9525" s="192"/>
      <c r="C9525" s="140"/>
      <c r="D9525" s="140"/>
      <c r="E9525" s="140"/>
    </row>
    <row r="9526" spans="1:5">
      <c r="A9526" s="140"/>
      <c r="B9526" s="192"/>
      <c r="C9526" s="140"/>
      <c r="D9526" s="140"/>
      <c r="E9526" s="140"/>
    </row>
    <row r="9527" spans="1:5">
      <c r="A9527" s="140"/>
      <c r="B9527" s="192"/>
      <c r="C9527" s="140"/>
      <c r="D9527" s="140"/>
      <c r="E9527" s="140"/>
    </row>
    <row r="9528" spans="1:5">
      <c r="A9528" s="140"/>
      <c r="B9528" s="192"/>
      <c r="C9528" s="140"/>
      <c r="D9528" s="140"/>
      <c r="E9528" s="140"/>
    </row>
    <row r="9529" spans="1:5">
      <c r="A9529" s="140"/>
      <c r="B9529" s="192"/>
      <c r="C9529" s="140"/>
      <c r="D9529" s="140"/>
      <c r="E9529" s="140"/>
    </row>
    <row r="9530" spans="1:5">
      <c r="A9530" s="140"/>
      <c r="B9530" s="192"/>
      <c r="C9530" s="140"/>
      <c r="D9530" s="140"/>
      <c r="E9530" s="140"/>
    </row>
    <row r="9531" spans="1:5">
      <c r="A9531" s="140"/>
      <c r="B9531" s="192"/>
      <c r="C9531" s="140"/>
      <c r="D9531" s="140"/>
      <c r="E9531" s="140"/>
    </row>
    <row r="9532" spans="1:5">
      <c r="A9532" s="140"/>
      <c r="B9532" s="192"/>
      <c r="C9532" s="140"/>
      <c r="D9532" s="140"/>
      <c r="E9532" s="140"/>
    </row>
    <row r="9533" spans="1:5">
      <c r="A9533" s="140"/>
      <c r="B9533" s="192"/>
      <c r="C9533" s="140"/>
      <c r="D9533" s="140"/>
      <c r="E9533" s="140"/>
    </row>
    <row r="9534" spans="1:5">
      <c r="A9534" s="140"/>
      <c r="B9534" s="192"/>
      <c r="C9534" s="140"/>
      <c r="D9534" s="140"/>
      <c r="E9534" s="140"/>
    </row>
    <row r="9535" spans="1:5">
      <c r="A9535" s="140"/>
      <c r="B9535" s="192"/>
      <c r="C9535" s="140"/>
      <c r="D9535" s="140"/>
      <c r="E9535" s="140"/>
    </row>
    <row r="9536" spans="1:5">
      <c r="A9536" s="140"/>
      <c r="B9536" s="192"/>
      <c r="C9536" s="140"/>
      <c r="D9536" s="140"/>
      <c r="E9536" s="140"/>
    </row>
    <row r="9537" spans="1:5">
      <c r="A9537" s="140"/>
      <c r="B9537" s="192"/>
      <c r="C9537" s="140"/>
      <c r="D9537" s="140"/>
      <c r="E9537" s="140"/>
    </row>
    <row r="9538" spans="1:5">
      <c r="A9538" s="140"/>
      <c r="B9538" s="192"/>
      <c r="C9538" s="140"/>
      <c r="D9538" s="140"/>
      <c r="E9538" s="140"/>
    </row>
    <row r="9539" spans="1:5">
      <c r="A9539" s="140"/>
      <c r="B9539" s="192"/>
      <c r="C9539" s="140"/>
      <c r="D9539" s="140"/>
      <c r="E9539" s="140"/>
    </row>
    <row r="9540" spans="1:5">
      <c r="A9540" s="140"/>
      <c r="B9540" s="192"/>
      <c r="C9540" s="140"/>
      <c r="D9540" s="140"/>
      <c r="E9540" s="140"/>
    </row>
    <row r="9541" spans="1:5">
      <c r="A9541" s="140"/>
      <c r="B9541" s="192"/>
      <c r="C9541" s="140"/>
      <c r="D9541" s="140"/>
      <c r="E9541" s="140"/>
    </row>
    <row r="9542" spans="1:5">
      <c r="A9542" s="140"/>
      <c r="B9542" s="192"/>
      <c r="C9542" s="140"/>
      <c r="D9542" s="140"/>
      <c r="E9542" s="140"/>
    </row>
    <row r="9543" spans="1:5">
      <c r="A9543" s="140"/>
      <c r="B9543" s="192"/>
      <c r="C9543" s="140"/>
      <c r="D9543" s="140"/>
      <c r="E9543" s="140"/>
    </row>
    <row r="9544" spans="1:5">
      <c r="A9544" s="140"/>
      <c r="B9544" s="192"/>
      <c r="C9544" s="140"/>
      <c r="D9544" s="140"/>
      <c r="E9544" s="140"/>
    </row>
    <row r="9545" spans="1:5">
      <c r="A9545" s="140"/>
      <c r="B9545" s="192"/>
      <c r="C9545" s="140"/>
      <c r="D9545" s="140"/>
      <c r="E9545" s="140"/>
    </row>
    <row r="9546" spans="1:5">
      <c r="A9546" s="140"/>
      <c r="B9546" s="192"/>
      <c r="C9546" s="140"/>
      <c r="D9546" s="140"/>
      <c r="E9546" s="140"/>
    </row>
    <row r="9547" spans="1:5">
      <c r="A9547" s="140"/>
      <c r="B9547" s="192"/>
      <c r="C9547" s="140"/>
      <c r="D9547" s="140"/>
      <c r="E9547" s="140"/>
    </row>
    <row r="9548" spans="1:5">
      <c r="A9548" s="140"/>
      <c r="B9548" s="192"/>
      <c r="C9548" s="140"/>
      <c r="D9548" s="140"/>
      <c r="E9548" s="140"/>
    </row>
    <row r="9549" spans="1:5">
      <c r="A9549" s="140"/>
      <c r="B9549" s="192"/>
      <c r="C9549" s="140"/>
      <c r="D9549" s="140"/>
      <c r="E9549" s="140"/>
    </row>
    <row r="9550" spans="1:5">
      <c r="A9550" s="140"/>
      <c r="B9550" s="192"/>
      <c r="C9550" s="140"/>
      <c r="D9550" s="140"/>
      <c r="E9550" s="140"/>
    </row>
    <row r="9551" spans="1:5">
      <c r="A9551" s="140"/>
      <c r="B9551" s="192"/>
      <c r="C9551" s="140"/>
      <c r="D9551" s="140"/>
      <c r="E9551" s="140"/>
    </row>
    <row r="9552" spans="1:5">
      <c r="A9552" s="140"/>
      <c r="B9552" s="192"/>
      <c r="C9552" s="140"/>
      <c r="D9552" s="140"/>
      <c r="E9552" s="140"/>
    </row>
    <row r="9553" spans="1:5">
      <c r="A9553" s="140"/>
      <c r="B9553" s="192"/>
      <c r="C9553" s="140"/>
      <c r="D9553" s="140"/>
      <c r="E9553" s="140"/>
    </row>
    <row r="9554" spans="1:5">
      <c r="A9554" s="140"/>
      <c r="B9554" s="192"/>
      <c r="C9554" s="140"/>
      <c r="D9554" s="140"/>
      <c r="E9554" s="140"/>
    </row>
    <row r="9555" spans="1:5">
      <c r="A9555" s="140"/>
      <c r="B9555" s="192"/>
      <c r="C9555" s="140"/>
      <c r="D9555" s="140"/>
      <c r="E9555" s="140"/>
    </row>
    <row r="9556" spans="1:5">
      <c r="A9556" s="140"/>
      <c r="B9556" s="192"/>
      <c r="C9556" s="140"/>
      <c r="D9556" s="140"/>
      <c r="E9556" s="140"/>
    </row>
    <row r="9557" spans="1:5">
      <c r="A9557" s="140"/>
      <c r="B9557" s="192"/>
      <c r="C9557" s="140"/>
      <c r="D9557" s="140"/>
      <c r="E9557" s="140"/>
    </row>
    <row r="9558" spans="1:5">
      <c r="A9558" s="140"/>
      <c r="B9558" s="192"/>
      <c r="C9558" s="140"/>
      <c r="D9558" s="140"/>
      <c r="E9558" s="140"/>
    </row>
    <row r="9559" spans="1:5">
      <c r="A9559" s="140"/>
      <c r="B9559" s="192"/>
      <c r="C9559" s="140"/>
      <c r="D9559" s="140"/>
      <c r="E9559" s="140"/>
    </row>
    <row r="9560" spans="1:5">
      <c r="A9560" s="140"/>
      <c r="B9560" s="192"/>
      <c r="C9560" s="140"/>
      <c r="D9560" s="140"/>
      <c r="E9560" s="140"/>
    </row>
    <row r="9561" spans="1:5">
      <c r="A9561" s="140"/>
      <c r="B9561" s="192"/>
      <c r="C9561" s="140"/>
      <c r="D9561" s="140"/>
      <c r="E9561" s="140"/>
    </row>
    <row r="9562" spans="1:5">
      <c r="A9562" s="140"/>
      <c r="B9562" s="192"/>
      <c r="C9562" s="140"/>
      <c r="D9562" s="140"/>
      <c r="E9562" s="140"/>
    </row>
    <row r="9563" spans="1:5">
      <c r="A9563" s="140"/>
      <c r="B9563" s="192"/>
      <c r="C9563" s="140"/>
      <c r="D9563" s="140"/>
      <c r="E9563" s="140"/>
    </row>
    <row r="9564" spans="1:5">
      <c r="A9564" s="140"/>
      <c r="B9564" s="192"/>
      <c r="C9564" s="140"/>
      <c r="D9564" s="140"/>
      <c r="E9564" s="140"/>
    </row>
    <row r="9565" spans="1:5">
      <c r="A9565" s="140"/>
      <c r="B9565" s="192"/>
      <c r="C9565" s="140"/>
      <c r="D9565" s="140"/>
      <c r="E9565" s="140"/>
    </row>
    <row r="9566" spans="1:5">
      <c r="A9566" s="140"/>
      <c r="B9566" s="192"/>
      <c r="C9566" s="140"/>
      <c r="D9566" s="140"/>
      <c r="E9566" s="140"/>
    </row>
    <row r="9567" spans="1:5">
      <c r="A9567" s="140"/>
      <c r="B9567" s="192"/>
      <c r="C9567" s="140"/>
      <c r="D9567" s="140"/>
      <c r="E9567" s="140"/>
    </row>
    <row r="9568" spans="1:5">
      <c r="A9568" s="140"/>
      <c r="B9568" s="192"/>
      <c r="C9568" s="140"/>
      <c r="D9568" s="140"/>
      <c r="E9568" s="140"/>
    </row>
    <row r="9569" spans="1:5">
      <c r="A9569" s="140"/>
      <c r="B9569" s="192"/>
      <c r="C9569" s="140"/>
      <c r="D9569" s="140"/>
      <c r="E9569" s="140"/>
    </row>
    <row r="9570" spans="1:5">
      <c r="A9570" s="140"/>
      <c r="B9570" s="192"/>
      <c r="C9570" s="140"/>
      <c r="D9570" s="140"/>
      <c r="E9570" s="140"/>
    </row>
    <row r="9571" spans="1:5">
      <c r="A9571" s="140"/>
      <c r="B9571" s="192"/>
      <c r="C9571" s="140"/>
      <c r="D9571" s="140"/>
      <c r="E9571" s="140"/>
    </row>
    <row r="9572" spans="1:5">
      <c r="A9572" s="140"/>
      <c r="B9572" s="192"/>
      <c r="C9572" s="140"/>
      <c r="D9572" s="140"/>
      <c r="E9572" s="140"/>
    </row>
    <row r="9573" spans="1:5">
      <c r="A9573" s="140"/>
      <c r="B9573" s="192"/>
      <c r="C9573" s="140"/>
      <c r="D9573" s="140"/>
      <c r="E9573" s="140"/>
    </row>
    <row r="9574" spans="1:5">
      <c r="A9574" s="140"/>
      <c r="B9574" s="192"/>
      <c r="C9574" s="140"/>
      <c r="D9574" s="140"/>
      <c r="E9574" s="140"/>
    </row>
    <row r="9575" spans="1:5">
      <c r="A9575" s="140"/>
      <c r="B9575" s="192"/>
      <c r="C9575" s="140"/>
      <c r="D9575" s="140"/>
      <c r="E9575" s="140"/>
    </row>
    <row r="9576" spans="1:5">
      <c r="A9576" s="140"/>
      <c r="B9576" s="192"/>
      <c r="C9576" s="140"/>
      <c r="D9576" s="140"/>
      <c r="E9576" s="140"/>
    </row>
    <row r="9577" spans="1:5">
      <c r="A9577" s="140"/>
      <c r="B9577" s="192"/>
      <c r="C9577" s="140"/>
      <c r="D9577" s="140"/>
      <c r="E9577" s="140"/>
    </row>
    <row r="9578" spans="1:5">
      <c r="A9578" s="140"/>
      <c r="B9578" s="192"/>
      <c r="C9578" s="140"/>
      <c r="D9578" s="140"/>
      <c r="E9578" s="140"/>
    </row>
    <row r="9579" spans="1:5">
      <c r="A9579" s="140"/>
      <c r="B9579" s="192"/>
      <c r="C9579" s="140"/>
      <c r="D9579" s="140"/>
      <c r="E9579" s="140"/>
    </row>
    <row r="9580" spans="1:5">
      <c r="A9580" s="140"/>
      <c r="B9580" s="192"/>
      <c r="C9580" s="140"/>
      <c r="D9580" s="140"/>
      <c r="E9580" s="140"/>
    </row>
    <row r="9581" spans="1:5">
      <c r="A9581" s="140"/>
      <c r="B9581" s="192"/>
      <c r="C9581" s="140"/>
      <c r="D9581" s="140"/>
      <c r="E9581" s="140"/>
    </row>
    <row r="9582" spans="1:5">
      <c r="A9582" s="140"/>
      <c r="B9582" s="192"/>
      <c r="C9582" s="140"/>
      <c r="D9582" s="140"/>
      <c r="E9582" s="140"/>
    </row>
    <row r="9583" spans="1:5">
      <c r="A9583" s="140"/>
      <c r="B9583" s="192"/>
      <c r="C9583" s="140"/>
      <c r="D9583" s="140"/>
      <c r="E9583" s="140"/>
    </row>
    <row r="9584" spans="1:5">
      <c r="A9584" s="140"/>
      <c r="B9584" s="192"/>
      <c r="C9584" s="140"/>
      <c r="D9584" s="140"/>
      <c r="E9584" s="140"/>
    </row>
    <row r="9585" spans="1:5">
      <c r="A9585" s="140"/>
      <c r="B9585" s="192"/>
      <c r="C9585" s="140"/>
      <c r="D9585" s="140"/>
      <c r="E9585" s="140"/>
    </row>
    <row r="9586" spans="1:5">
      <c r="A9586" s="140"/>
      <c r="B9586" s="192"/>
      <c r="C9586" s="140"/>
      <c r="D9586" s="140"/>
      <c r="E9586" s="140"/>
    </row>
    <row r="9587" spans="1:5">
      <c r="A9587" s="140"/>
      <c r="B9587" s="192"/>
      <c r="C9587" s="140"/>
      <c r="D9587" s="140"/>
      <c r="E9587" s="140"/>
    </row>
    <row r="9588" spans="1:5">
      <c r="A9588" s="140"/>
      <c r="B9588" s="192"/>
      <c r="C9588" s="140"/>
      <c r="D9588" s="140"/>
      <c r="E9588" s="140"/>
    </row>
    <row r="9589" spans="1:5">
      <c r="A9589" s="140"/>
      <c r="B9589" s="192"/>
      <c r="C9589" s="140"/>
      <c r="D9589" s="140"/>
      <c r="E9589" s="140"/>
    </row>
    <row r="9590" spans="1:5">
      <c r="A9590" s="140"/>
      <c r="B9590" s="192"/>
      <c r="C9590" s="140"/>
      <c r="D9590" s="140"/>
      <c r="E9590" s="140"/>
    </row>
    <row r="9591" spans="1:5">
      <c r="A9591" s="140"/>
      <c r="B9591" s="192"/>
      <c r="C9591" s="140"/>
      <c r="D9591" s="140"/>
      <c r="E9591" s="140"/>
    </row>
    <row r="9592" spans="1:5">
      <c r="A9592" s="140"/>
      <c r="B9592" s="192"/>
      <c r="C9592" s="140"/>
      <c r="D9592" s="140"/>
      <c r="E9592" s="140"/>
    </row>
    <row r="9593" spans="1:5">
      <c r="A9593" s="140"/>
      <c r="B9593" s="192"/>
      <c r="C9593" s="140"/>
      <c r="D9593" s="140"/>
      <c r="E9593" s="140"/>
    </row>
    <row r="9594" spans="1:5">
      <c r="A9594" s="140"/>
      <c r="B9594" s="192"/>
      <c r="C9594" s="140"/>
      <c r="D9594" s="140"/>
      <c r="E9594" s="140"/>
    </row>
    <row r="9595" spans="1:5">
      <c r="A9595" s="140"/>
      <c r="B9595" s="192"/>
      <c r="C9595" s="140"/>
      <c r="D9595" s="140"/>
      <c r="E9595" s="140"/>
    </row>
    <row r="9596" spans="1:5">
      <c r="A9596" s="140"/>
      <c r="B9596" s="192"/>
      <c r="C9596" s="140"/>
      <c r="D9596" s="140"/>
      <c r="E9596" s="140"/>
    </row>
    <row r="9597" spans="1:5">
      <c r="A9597" s="140"/>
      <c r="B9597" s="192"/>
      <c r="C9597" s="140"/>
      <c r="D9597" s="140"/>
      <c r="E9597" s="140"/>
    </row>
    <row r="9598" spans="1:5">
      <c r="A9598" s="140"/>
      <c r="B9598" s="192"/>
      <c r="C9598" s="140"/>
      <c r="D9598" s="140"/>
      <c r="E9598" s="140"/>
    </row>
    <row r="9599" spans="1:5">
      <c r="A9599" s="140"/>
      <c r="B9599" s="192"/>
      <c r="C9599" s="140"/>
      <c r="D9599" s="140"/>
      <c r="E9599" s="140"/>
    </row>
    <row r="9600" spans="1:5">
      <c r="A9600" s="140"/>
      <c r="B9600" s="192"/>
      <c r="C9600" s="140"/>
      <c r="D9600" s="140"/>
      <c r="E9600" s="140"/>
    </row>
    <row r="9601" spans="1:5">
      <c r="A9601" s="140"/>
      <c r="B9601" s="192"/>
      <c r="C9601" s="140"/>
      <c r="D9601" s="140"/>
      <c r="E9601" s="140"/>
    </row>
    <row r="9602" spans="1:5">
      <c r="A9602" s="140"/>
      <c r="B9602" s="192"/>
      <c r="C9602" s="140"/>
      <c r="D9602" s="140"/>
      <c r="E9602" s="140"/>
    </row>
    <row r="9603" spans="1:5">
      <c r="A9603" s="140"/>
      <c r="B9603" s="192"/>
      <c r="C9603" s="140"/>
      <c r="D9603" s="140"/>
      <c r="E9603" s="140"/>
    </row>
    <row r="9604" spans="1:5">
      <c r="A9604" s="140"/>
      <c r="B9604" s="192"/>
      <c r="C9604" s="140"/>
      <c r="D9604" s="140"/>
      <c r="E9604" s="140"/>
    </row>
    <row r="9605" spans="1:5">
      <c r="A9605" s="140"/>
      <c r="B9605" s="192"/>
      <c r="C9605" s="140"/>
      <c r="D9605" s="140"/>
      <c r="E9605" s="140"/>
    </row>
    <row r="9606" spans="1:5">
      <c r="A9606" s="140"/>
      <c r="B9606" s="192"/>
      <c r="C9606" s="140"/>
      <c r="D9606" s="140"/>
      <c r="E9606" s="140"/>
    </row>
    <row r="9607" spans="1:5">
      <c r="A9607" s="140"/>
      <c r="B9607" s="192"/>
      <c r="C9607" s="140"/>
      <c r="D9607" s="140"/>
      <c r="E9607" s="140"/>
    </row>
    <row r="9608" spans="1:5">
      <c r="A9608" s="140"/>
      <c r="B9608" s="192"/>
      <c r="C9608" s="140"/>
      <c r="D9608" s="140"/>
      <c r="E9608" s="140"/>
    </row>
    <row r="9609" spans="1:5">
      <c r="A9609" s="140"/>
      <c r="B9609" s="192"/>
      <c r="C9609" s="140"/>
      <c r="D9609" s="140"/>
      <c r="E9609" s="140"/>
    </row>
    <row r="9610" spans="1:5">
      <c r="A9610" s="140"/>
      <c r="B9610" s="192"/>
      <c r="C9610" s="140"/>
      <c r="D9610" s="140"/>
      <c r="E9610" s="140"/>
    </row>
    <row r="9611" spans="1:5">
      <c r="A9611" s="140"/>
      <c r="B9611" s="192"/>
      <c r="C9611" s="140"/>
      <c r="D9611" s="140"/>
      <c r="E9611" s="140"/>
    </row>
    <row r="9612" spans="1:5">
      <c r="A9612" s="140"/>
      <c r="B9612" s="192"/>
      <c r="C9612" s="140"/>
      <c r="D9612" s="140"/>
      <c r="E9612" s="140"/>
    </row>
    <row r="9613" spans="1:5">
      <c r="A9613" s="140"/>
      <c r="B9613" s="192"/>
      <c r="C9613" s="140"/>
      <c r="D9613" s="140"/>
      <c r="E9613" s="140"/>
    </row>
    <row r="9614" spans="1:5">
      <c r="A9614" s="140"/>
      <c r="B9614" s="192"/>
      <c r="C9614" s="140"/>
      <c r="D9614" s="140"/>
      <c r="E9614" s="140"/>
    </row>
    <row r="9615" spans="1:5">
      <c r="A9615" s="140"/>
      <c r="B9615" s="192"/>
      <c r="C9615" s="140"/>
      <c r="D9615" s="140"/>
      <c r="E9615" s="140"/>
    </row>
    <row r="9616" spans="1:5">
      <c r="A9616" s="140"/>
      <c r="B9616" s="192"/>
      <c r="C9616" s="140"/>
      <c r="D9616" s="140"/>
      <c r="E9616" s="140"/>
    </row>
    <row r="9617" spans="1:5">
      <c r="A9617" s="140"/>
      <c r="B9617" s="192"/>
      <c r="C9617" s="140"/>
      <c r="D9617" s="140"/>
      <c r="E9617" s="140"/>
    </row>
    <row r="9618" spans="1:5">
      <c r="A9618" s="140"/>
      <c r="B9618" s="192"/>
      <c r="C9618" s="140"/>
      <c r="D9618" s="140"/>
      <c r="E9618" s="140"/>
    </row>
    <row r="9619" spans="1:5">
      <c r="A9619" s="140"/>
      <c r="B9619" s="192"/>
      <c r="C9619" s="140"/>
      <c r="D9619" s="140"/>
      <c r="E9619" s="140"/>
    </row>
    <row r="9620" spans="1:5">
      <c r="A9620" s="140"/>
      <c r="B9620" s="192"/>
      <c r="C9620" s="140"/>
      <c r="D9620" s="140"/>
      <c r="E9620" s="140"/>
    </row>
    <row r="9621" spans="1:5">
      <c r="A9621" s="140"/>
      <c r="B9621" s="192"/>
      <c r="C9621" s="140"/>
      <c r="D9621" s="140"/>
      <c r="E9621" s="140"/>
    </row>
    <row r="9622" spans="1:5">
      <c r="A9622" s="140"/>
      <c r="B9622" s="192"/>
      <c r="C9622" s="140"/>
      <c r="D9622" s="140"/>
      <c r="E9622" s="140"/>
    </row>
    <row r="9623" spans="1:5">
      <c r="A9623" s="140"/>
      <c r="B9623" s="192"/>
      <c r="C9623" s="140"/>
      <c r="D9623" s="140"/>
      <c r="E9623" s="140"/>
    </row>
    <row r="9624" spans="1:5">
      <c r="A9624" s="140"/>
      <c r="B9624" s="192"/>
      <c r="C9624" s="140"/>
      <c r="D9624" s="140"/>
      <c r="E9624" s="140"/>
    </row>
    <row r="9625" spans="1:5">
      <c r="A9625" s="140"/>
      <c r="B9625" s="192"/>
      <c r="C9625" s="140"/>
      <c r="D9625" s="140"/>
      <c r="E9625" s="140"/>
    </row>
    <row r="9626" spans="1:5">
      <c r="A9626" s="140"/>
      <c r="B9626" s="192"/>
      <c r="C9626" s="140"/>
      <c r="D9626" s="140"/>
      <c r="E9626" s="140"/>
    </row>
    <row r="9627" spans="1:5">
      <c r="A9627" s="140"/>
      <c r="B9627" s="192"/>
      <c r="C9627" s="140"/>
      <c r="D9627" s="140"/>
      <c r="E9627" s="140"/>
    </row>
    <row r="9628" spans="1:5">
      <c r="A9628" s="140"/>
      <c r="B9628" s="192"/>
      <c r="C9628" s="140"/>
      <c r="D9628" s="140"/>
      <c r="E9628" s="140"/>
    </row>
    <row r="9629" spans="1:5">
      <c r="A9629" s="140"/>
      <c r="B9629" s="192"/>
      <c r="C9629" s="140"/>
      <c r="D9629" s="140"/>
      <c r="E9629" s="140"/>
    </row>
    <row r="9630" spans="1:5">
      <c r="A9630" s="140"/>
      <c r="B9630" s="192"/>
      <c r="C9630" s="140"/>
      <c r="D9630" s="140"/>
      <c r="E9630" s="140"/>
    </row>
    <row r="9631" spans="1:5">
      <c r="A9631" s="140"/>
      <c r="B9631" s="192"/>
      <c r="C9631" s="140"/>
      <c r="D9631" s="140"/>
      <c r="E9631" s="140"/>
    </row>
    <row r="9632" spans="1:5">
      <c r="A9632" s="140"/>
      <c r="B9632" s="192"/>
      <c r="C9632" s="140"/>
      <c r="D9632" s="140"/>
      <c r="E9632" s="140"/>
    </row>
    <row r="9633" spans="1:5">
      <c r="A9633" s="140"/>
      <c r="B9633" s="192"/>
      <c r="C9633" s="140"/>
      <c r="D9633" s="140"/>
      <c r="E9633" s="140"/>
    </row>
    <row r="9634" spans="1:5">
      <c r="A9634" s="140"/>
      <c r="B9634" s="192"/>
      <c r="C9634" s="140"/>
      <c r="D9634" s="140"/>
      <c r="E9634" s="140"/>
    </row>
    <row r="9635" spans="1:5">
      <c r="A9635" s="140"/>
      <c r="B9635" s="192"/>
      <c r="C9635" s="140"/>
      <c r="D9635" s="140"/>
      <c r="E9635" s="140"/>
    </row>
    <row r="9636" spans="1:5">
      <c r="A9636" s="140"/>
      <c r="B9636" s="192"/>
      <c r="C9636" s="140"/>
      <c r="D9636" s="140"/>
      <c r="E9636" s="140"/>
    </row>
    <row r="9637" spans="1:5">
      <c r="A9637" s="140"/>
      <c r="B9637" s="192"/>
      <c r="C9637" s="140"/>
      <c r="D9637" s="140"/>
      <c r="E9637" s="140"/>
    </row>
    <row r="9638" spans="1:5">
      <c r="A9638" s="140"/>
      <c r="B9638" s="192"/>
      <c r="C9638" s="140"/>
      <c r="D9638" s="140"/>
      <c r="E9638" s="140"/>
    </row>
    <row r="9639" spans="1:5">
      <c r="A9639" s="140"/>
      <c r="B9639" s="192"/>
      <c r="C9639" s="140"/>
      <c r="D9639" s="140"/>
      <c r="E9639" s="140"/>
    </row>
    <row r="9640" spans="1:5">
      <c r="A9640" s="140"/>
      <c r="B9640" s="192"/>
      <c r="C9640" s="140"/>
      <c r="D9640" s="140"/>
      <c r="E9640" s="140"/>
    </row>
    <row r="9641" spans="1:5">
      <c r="A9641" s="140"/>
      <c r="B9641" s="192"/>
      <c r="C9641" s="140"/>
      <c r="D9641" s="140"/>
      <c r="E9641" s="140"/>
    </row>
    <row r="9642" spans="1:5">
      <c r="A9642" s="140"/>
      <c r="B9642" s="192"/>
      <c r="C9642" s="140"/>
      <c r="D9642" s="140"/>
      <c r="E9642" s="140"/>
    </row>
    <row r="9643" spans="1:5">
      <c r="A9643" s="140"/>
      <c r="B9643" s="192"/>
      <c r="C9643" s="140"/>
      <c r="D9643" s="140"/>
      <c r="E9643" s="140"/>
    </row>
    <row r="9644" spans="1:5">
      <c r="A9644" s="140"/>
      <c r="B9644" s="192"/>
      <c r="C9644" s="140"/>
      <c r="D9644" s="140"/>
      <c r="E9644" s="140"/>
    </row>
    <row r="9645" spans="1:5">
      <c r="A9645" s="140"/>
      <c r="B9645" s="192"/>
      <c r="C9645" s="140"/>
      <c r="D9645" s="140"/>
      <c r="E9645" s="140"/>
    </row>
    <row r="9646" spans="1:5">
      <c r="A9646" s="140"/>
      <c r="B9646" s="192"/>
      <c r="C9646" s="140"/>
      <c r="D9646" s="140"/>
      <c r="E9646" s="140"/>
    </row>
    <row r="9647" spans="1:5">
      <c r="A9647" s="140"/>
      <c r="B9647" s="192"/>
      <c r="C9647" s="140"/>
      <c r="D9647" s="140"/>
      <c r="E9647" s="140"/>
    </row>
    <row r="9648" spans="1:5">
      <c r="A9648" s="140"/>
      <c r="B9648" s="192"/>
      <c r="C9648" s="140"/>
      <c r="D9648" s="140"/>
      <c r="E9648" s="140"/>
    </row>
    <row r="9649" spans="1:5">
      <c r="A9649" s="140"/>
      <c r="B9649" s="192"/>
      <c r="C9649" s="140"/>
      <c r="D9649" s="140"/>
      <c r="E9649" s="140"/>
    </row>
    <row r="9650" spans="1:5">
      <c r="A9650" s="140"/>
      <c r="B9650" s="192"/>
      <c r="C9650" s="140"/>
      <c r="D9650" s="140"/>
      <c r="E9650" s="140"/>
    </row>
    <row r="9651" spans="1:5">
      <c r="A9651" s="140"/>
      <c r="B9651" s="192"/>
      <c r="C9651" s="140"/>
      <c r="D9651" s="140"/>
      <c r="E9651" s="140"/>
    </row>
    <row r="9652" spans="1:5">
      <c r="A9652" s="140"/>
      <c r="B9652" s="192"/>
      <c r="C9652" s="140"/>
      <c r="D9652" s="140"/>
      <c r="E9652" s="140"/>
    </row>
    <row r="9653" spans="1:5">
      <c r="A9653" s="140"/>
      <c r="B9653" s="192"/>
      <c r="C9653" s="140"/>
      <c r="D9653" s="140"/>
      <c r="E9653" s="140"/>
    </row>
    <row r="9654" spans="1:5">
      <c r="A9654" s="140"/>
      <c r="B9654" s="192"/>
      <c r="C9654" s="140"/>
      <c r="D9654" s="140"/>
      <c r="E9654" s="140"/>
    </row>
    <row r="9655" spans="1:5">
      <c r="A9655" s="140"/>
      <c r="B9655" s="192"/>
      <c r="C9655" s="140"/>
      <c r="D9655" s="140"/>
      <c r="E9655" s="140"/>
    </row>
    <row r="9656" spans="1:5">
      <c r="A9656" s="140"/>
      <c r="B9656" s="192"/>
      <c r="C9656" s="140"/>
      <c r="D9656" s="140"/>
      <c r="E9656" s="140"/>
    </row>
    <row r="9657" spans="1:5">
      <c r="A9657" s="140"/>
      <c r="B9657" s="192"/>
      <c r="C9657" s="140"/>
      <c r="D9657" s="140"/>
      <c r="E9657" s="140"/>
    </row>
    <row r="9658" spans="1:5">
      <c r="A9658" s="140"/>
      <c r="B9658" s="192"/>
      <c r="C9658" s="140"/>
      <c r="D9658" s="140"/>
      <c r="E9658" s="140"/>
    </row>
    <row r="9659" spans="1:5">
      <c r="A9659" s="140"/>
      <c r="B9659" s="192"/>
      <c r="C9659" s="140"/>
      <c r="D9659" s="140"/>
      <c r="E9659" s="140"/>
    </row>
    <row r="9660" spans="1:5">
      <c r="A9660" s="140"/>
      <c r="B9660" s="192"/>
      <c r="C9660" s="140"/>
      <c r="D9660" s="140"/>
      <c r="E9660" s="140"/>
    </row>
    <row r="9661" spans="1:5">
      <c r="A9661" s="140"/>
      <c r="B9661" s="192"/>
      <c r="C9661" s="140"/>
      <c r="D9661" s="140"/>
      <c r="E9661" s="140"/>
    </row>
    <row r="9662" spans="1:5">
      <c r="A9662" s="140"/>
      <c r="B9662" s="192"/>
      <c r="C9662" s="140"/>
      <c r="D9662" s="140"/>
      <c r="E9662" s="140"/>
    </row>
    <row r="9663" spans="1:5">
      <c r="A9663" s="140"/>
      <c r="B9663" s="192"/>
      <c r="C9663" s="140"/>
      <c r="D9663" s="140"/>
      <c r="E9663" s="140"/>
    </row>
    <row r="9664" spans="1:5">
      <c r="A9664" s="140"/>
      <c r="B9664" s="192"/>
      <c r="C9664" s="140"/>
      <c r="D9664" s="140"/>
      <c r="E9664" s="140"/>
    </row>
    <row r="9665" spans="1:5">
      <c r="A9665" s="140"/>
      <c r="B9665" s="192"/>
      <c r="C9665" s="140"/>
      <c r="D9665" s="140"/>
      <c r="E9665" s="140"/>
    </row>
    <row r="9666" spans="1:5">
      <c r="A9666" s="140"/>
      <c r="B9666" s="192"/>
      <c r="C9666" s="140"/>
      <c r="D9666" s="140"/>
      <c r="E9666" s="140"/>
    </row>
    <row r="9667" spans="1:5">
      <c r="A9667" s="140"/>
      <c r="B9667" s="192"/>
      <c r="C9667" s="140"/>
      <c r="D9667" s="140"/>
      <c r="E9667" s="140"/>
    </row>
    <row r="9668" spans="1:5">
      <c r="A9668" s="140"/>
      <c r="B9668" s="192"/>
      <c r="C9668" s="140"/>
      <c r="D9668" s="140"/>
      <c r="E9668" s="140"/>
    </row>
    <row r="9669" spans="1:5">
      <c r="A9669" s="140"/>
      <c r="B9669" s="192"/>
      <c r="C9669" s="140"/>
      <c r="D9669" s="140"/>
      <c r="E9669" s="140"/>
    </row>
    <row r="9670" spans="1:5">
      <c r="A9670" s="140"/>
      <c r="B9670" s="192"/>
      <c r="C9670" s="140"/>
      <c r="D9670" s="140"/>
      <c r="E9670" s="140"/>
    </row>
    <row r="9671" spans="1:5">
      <c r="A9671" s="140"/>
      <c r="B9671" s="192"/>
      <c r="C9671" s="140"/>
      <c r="D9671" s="140"/>
      <c r="E9671" s="140"/>
    </row>
    <row r="9672" spans="1:5">
      <c r="A9672" s="140"/>
      <c r="B9672" s="192"/>
      <c r="C9672" s="140"/>
      <c r="D9672" s="140"/>
      <c r="E9672" s="140"/>
    </row>
    <row r="9673" spans="1:5">
      <c r="A9673" s="140"/>
      <c r="B9673" s="192"/>
      <c r="C9673" s="140"/>
      <c r="D9673" s="140"/>
      <c r="E9673" s="140"/>
    </row>
    <row r="9674" spans="1:5">
      <c r="A9674" s="140"/>
      <c r="B9674" s="192"/>
      <c r="C9674" s="140"/>
      <c r="D9674" s="140"/>
      <c r="E9674" s="140"/>
    </row>
    <row r="9675" spans="1:5">
      <c r="A9675" s="140"/>
      <c r="B9675" s="192"/>
      <c r="C9675" s="140"/>
      <c r="D9675" s="140"/>
      <c r="E9675" s="140"/>
    </row>
    <row r="9676" spans="1:5">
      <c r="A9676" s="140"/>
      <c r="B9676" s="192"/>
      <c r="C9676" s="140"/>
      <c r="D9676" s="140"/>
      <c r="E9676" s="140"/>
    </row>
    <row r="9677" spans="1:5">
      <c r="A9677" s="140"/>
      <c r="B9677" s="192"/>
      <c r="C9677" s="140"/>
      <c r="D9677" s="140"/>
      <c r="E9677" s="140"/>
    </row>
    <row r="9678" spans="1:5">
      <c r="A9678" s="140"/>
      <c r="B9678" s="192"/>
      <c r="C9678" s="140"/>
      <c r="D9678" s="140"/>
      <c r="E9678" s="140"/>
    </row>
    <row r="9679" spans="1:5">
      <c r="A9679" s="140"/>
      <c r="B9679" s="192"/>
      <c r="C9679" s="140"/>
      <c r="D9679" s="140"/>
      <c r="E9679" s="140"/>
    </row>
    <row r="9680" spans="1:5">
      <c r="A9680" s="140"/>
      <c r="B9680" s="192"/>
      <c r="C9680" s="140"/>
      <c r="D9680" s="140"/>
      <c r="E9680" s="140"/>
    </row>
    <row r="9681" spans="1:5">
      <c r="A9681" s="140"/>
      <c r="B9681" s="192"/>
      <c r="C9681" s="140"/>
      <c r="D9681" s="140"/>
      <c r="E9681" s="140"/>
    </row>
    <row r="9682" spans="1:5">
      <c r="A9682" s="140"/>
      <c r="B9682" s="192"/>
      <c r="C9682" s="140"/>
      <c r="D9682" s="140"/>
      <c r="E9682" s="140"/>
    </row>
    <row r="9683" spans="1:5">
      <c r="A9683" s="140"/>
      <c r="B9683" s="192"/>
      <c r="C9683" s="140"/>
      <c r="D9683" s="140"/>
      <c r="E9683" s="140"/>
    </row>
    <row r="9684" spans="1:5">
      <c r="A9684" s="140"/>
      <c r="B9684" s="192"/>
      <c r="C9684" s="140"/>
      <c r="D9684" s="140"/>
      <c r="E9684" s="140"/>
    </row>
    <row r="9685" spans="1:5">
      <c r="A9685" s="140"/>
      <c r="B9685" s="192"/>
      <c r="C9685" s="140"/>
      <c r="D9685" s="140"/>
      <c r="E9685" s="140"/>
    </row>
    <row r="9686" spans="1:5">
      <c r="A9686" s="140"/>
      <c r="B9686" s="192"/>
      <c r="C9686" s="140"/>
      <c r="D9686" s="140"/>
      <c r="E9686" s="140"/>
    </row>
    <row r="9687" spans="1:5">
      <c r="A9687" s="140"/>
      <c r="B9687" s="192"/>
      <c r="C9687" s="140"/>
      <c r="D9687" s="140"/>
      <c r="E9687" s="140"/>
    </row>
    <row r="9688" spans="1:5">
      <c r="A9688" s="140"/>
      <c r="B9688" s="192"/>
      <c r="C9688" s="140"/>
      <c r="D9688" s="140"/>
      <c r="E9688" s="140"/>
    </row>
    <row r="9689" spans="1:5">
      <c r="A9689" s="140"/>
      <c r="B9689" s="192"/>
      <c r="C9689" s="140"/>
      <c r="D9689" s="140"/>
      <c r="E9689" s="140"/>
    </row>
    <row r="9690" spans="1:5">
      <c r="A9690" s="140"/>
      <c r="B9690" s="192"/>
      <c r="C9690" s="140"/>
      <c r="D9690" s="140"/>
      <c r="E9690" s="140"/>
    </row>
    <row r="9691" spans="1:5">
      <c r="A9691" s="140"/>
      <c r="B9691" s="192"/>
      <c r="C9691" s="140"/>
      <c r="D9691" s="140"/>
      <c r="E9691" s="140"/>
    </row>
    <row r="9692" spans="1:5">
      <c r="A9692" s="140"/>
      <c r="B9692" s="192"/>
      <c r="C9692" s="140"/>
      <c r="D9692" s="140"/>
      <c r="E9692" s="140"/>
    </row>
    <row r="9693" spans="1:5">
      <c r="A9693" s="140"/>
      <c r="B9693" s="192"/>
      <c r="C9693" s="140"/>
      <c r="D9693" s="140"/>
      <c r="E9693" s="140"/>
    </row>
    <row r="9694" spans="1:5">
      <c r="A9694" s="140"/>
      <c r="B9694" s="192"/>
      <c r="C9694" s="140"/>
      <c r="D9694" s="140"/>
      <c r="E9694" s="140"/>
    </row>
    <row r="9695" spans="1:5">
      <c r="A9695" s="140"/>
      <c r="B9695" s="192"/>
      <c r="C9695" s="140"/>
      <c r="D9695" s="140"/>
      <c r="E9695" s="140"/>
    </row>
    <row r="9696" spans="1:5">
      <c r="A9696" s="140"/>
      <c r="B9696" s="192"/>
      <c r="C9696" s="140"/>
      <c r="D9696" s="140"/>
      <c r="E9696" s="140"/>
    </row>
    <row r="9697" spans="1:5">
      <c r="A9697" s="140"/>
      <c r="B9697" s="192"/>
      <c r="C9697" s="140"/>
      <c r="D9697" s="140"/>
      <c r="E9697" s="140"/>
    </row>
    <row r="9698" spans="1:5">
      <c r="A9698" s="140"/>
      <c r="B9698" s="192"/>
      <c r="C9698" s="140"/>
      <c r="D9698" s="140"/>
      <c r="E9698" s="140"/>
    </row>
    <row r="9699" spans="1:5">
      <c r="A9699" s="140"/>
      <c r="B9699" s="192"/>
      <c r="C9699" s="140"/>
      <c r="D9699" s="140"/>
      <c r="E9699" s="140"/>
    </row>
    <row r="9700" spans="1:5">
      <c r="A9700" s="140"/>
      <c r="B9700" s="192"/>
      <c r="C9700" s="140"/>
      <c r="D9700" s="140"/>
      <c r="E9700" s="140"/>
    </row>
    <row r="9701" spans="1:5">
      <c r="A9701" s="140"/>
      <c r="B9701" s="192"/>
      <c r="C9701" s="140"/>
      <c r="D9701" s="140"/>
      <c r="E9701" s="140"/>
    </row>
    <row r="9702" spans="1:5">
      <c r="A9702" s="140"/>
      <c r="B9702" s="192"/>
      <c r="C9702" s="140"/>
      <c r="D9702" s="140"/>
      <c r="E9702" s="140"/>
    </row>
    <row r="9703" spans="1:5">
      <c r="A9703" s="140"/>
      <c r="B9703" s="192"/>
      <c r="C9703" s="140"/>
      <c r="D9703" s="140"/>
      <c r="E9703" s="140"/>
    </row>
    <row r="9704" spans="1:5">
      <c r="A9704" s="140"/>
      <c r="B9704" s="192"/>
      <c r="C9704" s="140"/>
      <c r="D9704" s="140"/>
      <c r="E9704" s="140"/>
    </row>
    <row r="9705" spans="1:5">
      <c r="A9705" s="140"/>
      <c r="B9705" s="192"/>
      <c r="C9705" s="140"/>
      <c r="D9705" s="140"/>
      <c r="E9705" s="140"/>
    </row>
    <row r="9706" spans="1:5">
      <c r="A9706" s="140"/>
      <c r="B9706" s="192"/>
      <c r="C9706" s="140"/>
      <c r="D9706" s="140"/>
      <c r="E9706" s="140"/>
    </row>
    <row r="9707" spans="1:5">
      <c r="A9707" s="140"/>
      <c r="B9707" s="192"/>
      <c r="C9707" s="140"/>
      <c r="D9707" s="140"/>
      <c r="E9707" s="140"/>
    </row>
    <row r="9708" spans="1:5">
      <c r="A9708" s="140"/>
      <c r="B9708" s="192"/>
      <c r="C9708" s="140"/>
      <c r="D9708" s="140"/>
      <c r="E9708" s="140"/>
    </row>
    <row r="9709" spans="1:5">
      <c r="A9709" s="140"/>
      <c r="B9709" s="192"/>
      <c r="C9709" s="140"/>
      <c r="D9709" s="140"/>
      <c r="E9709" s="140"/>
    </row>
    <row r="9710" spans="1:5">
      <c r="A9710" s="140"/>
      <c r="B9710" s="192"/>
      <c r="C9710" s="140"/>
      <c r="D9710" s="140"/>
      <c r="E9710" s="140"/>
    </row>
    <row r="9711" spans="1:5">
      <c r="A9711" s="140"/>
      <c r="B9711" s="192"/>
      <c r="C9711" s="140"/>
      <c r="D9711" s="140"/>
      <c r="E9711" s="140"/>
    </row>
    <row r="9712" spans="1:5">
      <c r="A9712" s="140"/>
      <c r="B9712" s="192"/>
      <c r="C9712" s="140"/>
      <c r="D9712" s="140"/>
      <c r="E9712" s="140"/>
    </row>
    <row r="9713" spans="1:5">
      <c r="A9713" s="140"/>
      <c r="B9713" s="192"/>
      <c r="C9713" s="140"/>
      <c r="D9713" s="140"/>
      <c r="E9713" s="140"/>
    </row>
    <row r="9714" spans="1:5">
      <c r="A9714" s="140"/>
      <c r="B9714" s="192"/>
      <c r="C9714" s="140"/>
      <c r="D9714" s="140"/>
      <c r="E9714" s="140"/>
    </row>
    <row r="9715" spans="1:5">
      <c r="A9715" s="140"/>
      <c r="B9715" s="192"/>
      <c r="C9715" s="140"/>
      <c r="D9715" s="140"/>
      <c r="E9715" s="140"/>
    </row>
    <row r="9716" spans="1:5">
      <c r="A9716" s="140"/>
      <c r="B9716" s="192"/>
      <c r="C9716" s="140"/>
      <c r="D9716" s="140"/>
      <c r="E9716" s="140"/>
    </row>
    <row r="9717" spans="1:5">
      <c r="A9717" s="140"/>
      <c r="B9717" s="192"/>
      <c r="C9717" s="140"/>
      <c r="D9717" s="140"/>
      <c r="E9717" s="140"/>
    </row>
    <row r="9718" spans="1:5">
      <c r="A9718" s="140"/>
      <c r="B9718" s="192"/>
      <c r="C9718" s="140"/>
      <c r="D9718" s="140"/>
      <c r="E9718" s="140"/>
    </row>
    <row r="9719" spans="1:5">
      <c r="A9719" s="140"/>
      <c r="B9719" s="192"/>
      <c r="C9719" s="140"/>
      <c r="D9719" s="140"/>
      <c r="E9719" s="140"/>
    </row>
    <row r="9720" spans="1:5">
      <c r="A9720" s="140"/>
      <c r="B9720" s="192"/>
      <c r="C9720" s="140"/>
      <c r="D9720" s="140"/>
      <c r="E9720" s="140"/>
    </row>
    <row r="9721" spans="1:5">
      <c r="A9721" s="140"/>
      <c r="B9721" s="192"/>
      <c r="C9721" s="140"/>
      <c r="D9721" s="140"/>
      <c r="E9721" s="140"/>
    </row>
    <row r="9722" spans="1:5">
      <c r="A9722" s="140"/>
      <c r="B9722" s="192"/>
      <c r="C9722" s="140"/>
      <c r="D9722" s="140"/>
      <c r="E9722" s="140"/>
    </row>
    <row r="9723" spans="1:5">
      <c r="A9723" s="140"/>
      <c r="B9723" s="192"/>
      <c r="C9723" s="140"/>
      <c r="D9723" s="140"/>
      <c r="E9723" s="140"/>
    </row>
    <row r="9724" spans="1:5">
      <c r="A9724" s="140"/>
      <c r="B9724" s="192"/>
      <c r="C9724" s="140"/>
      <c r="D9724" s="140"/>
      <c r="E9724" s="140"/>
    </row>
    <row r="9725" spans="1:5">
      <c r="A9725" s="140"/>
      <c r="B9725" s="192"/>
      <c r="C9725" s="140"/>
      <c r="D9725" s="140"/>
      <c r="E9725" s="140"/>
    </row>
    <row r="9726" spans="1:5">
      <c r="A9726" s="140"/>
      <c r="B9726" s="192"/>
      <c r="C9726" s="140"/>
      <c r="D9726" s="140"/>
      <c r="E9726" s="140"/>
    </row>
    <row r="9727" spans="1:5">
      <c r="A9727" s="140"/>
      <c r="B9727" s="192"/>
      <c r="C9727" s="140"/>
      <c r="D9727" s="140"/>
      <c r="E9727" s="140"/>
    </row>
    <row r="9728" spans="1:5">
      <c r="A9728" s="140"/>
      <c r="B9728" s="192"/>
      <c r="C9728" s="140"/>
      <c r="D9728" s="140"/>
      <c r="E9728" s="140"/>
    </row>
    <row r="9729" spans="1:5">
      <c r="A9729" s="140"/>
      <c r="B9729" s="192"/>
      <c r="C9729" s="140"/>
      <c r="D9729" s="140"/>
      <c r="E9729" s="140"/>
    </row>
    <row r="9730" spans="1:5">
      <c r="A9730" s="140"/>
      <c r="B9730" s="192"/>
      <c r="C9730" s="140"/>
      <c r="D9730" s="140"/>
      <c r="E9730" s="140"/>
    </row>
    <row r="9731" spans="1:5">
      <c r="A9731" s="140"/>
      <c r="B9731" s="192"/>
      <c r="C9731" s="140"/>
      <c r="D9731" s="140"/>
      <c r="E9731" s="140"/>
    </row>
    <row r="9732" spans="1:5">
      <c r="A9732" s="140"/>
      <c r="B9732" s="192"/>
      <c r="C9732" s="140"/>
      <c r="D9732" s="140"/>
      <c r="E9732" s="140"/>
    </row>
    <row r="9733" spans="1:5">
      <c r="A9733" s="140"/>
      <c r="B9733" s="192"/>
      <c r="C9733" s="140"/>
      <c r="D9733" s="140"/>
      <c r="E9733" s="140"/>
    </row>
    <row r="9734" spans="1:5">
      <c r="A9734" s="140"/>
      <c r="B9734" s="192"/>
      <c r="C9734" s="140"/>
      <c r="D9734" s="140"/>
      <c r="E9734" s="140"/>
    </row>
    <row r="9735" spans="1:5">
      <c r="A9735" s="140"/>
      <c r="B9735" s="192"/>
      <c r="C9735" s="140"/>
      <c r="D9735" s="140"/>
      <c r="E9735" s="140"/>
    </row>
    <row r="9736" spans="1:5">
      <c r="A9736" s="140"/>
      <c r="B9736" s="192"/>
      <c r="C9736" s="140"/>
      <c r="D9736" s="140"/>
      <c r="E9736" s="140"/>
    </row>
    <row r="9737" spans="1:5">
      <c r="A9737" s="140"/>
      <c r="B9737" s="192"/>
      <c r="C9737" s="140"/>
      <c r="D9737" s="140"/>
      <c r="E9737" s="140"/>
    </row>
    <row r="9738" spans="1:5">
      <c r="A9738" s="140"/>
      <c r="B9738" s="192"/>
      <c r="C9738" s="140"/>
      <c r="D9738" s="140"/>
      <c r="E9738" s="140"/>
    </row>
    <row r="9739" spans="1:5">
      <c r="A9739" s="140"/>
      <c r="B9739" s="192"/>
      <c r="C9739" s="140"/>
      <c r="D9739" s="140"/>
      <c r="E9739" s="140"/>
    </row>
    <row r="9740" spans="1:5">
      <c r="A9740" s="140"/>
      <c r="B9740" s="192"/>
      <c r="C9740" s="140"/>
      <c r="D9740" s="140"/>
      <c r="E9740" s="140"/>
    </row>
    <row r="9741" spans="1:5">
      <c r="A9741" s="140"/>
      <c r="B9741" s="192"/>
      <c r="C9741" s="140"/>
      <c r="D9741" s="140"/>
      <c r="E9741" s="140"/>
    </row>
    <row r="9742" spans="1:5">
      <c r="A9742" s="140"/>
      <c r="B9742" s="192"/>
      <c r="C9742" s="140"/>
      <c r="D9742" s="140"/>
      <c r="E9742" s="140"/>
    </row>
    <row r="9743" spans="1:5">
      <c r="A9743" s="140"/>
      <c r="B9743" s="192"/>
      <c r="C9743" s="140"/>
      <c r="D9743" s="140"/>
      <c r="E9743" s="140"/>
    </row>
    <row r="9744" spans="1:5">
      <c r="A9744" s="140"/>
      <c r="B9744" s="192"/>
      <c r="C9744" s="140"/>
      <c r="D9744" s="140"/>
      <c r="E9744" s="140"/>
    </row>
    <row r="9745" spans="1:5">
      <c r="A9745" s="140"/>
      <c r="B9745" s="192"/>
      <c r="C9745" s="140"/>
      <c r="D9745" s="140"/>
      <c r="E9745" s="140"/>
    </row>
    <row r="9746" spans="1:5">
      <c r="A9746" s="140"/>
      <c r="B9746" s="192"/>
      <c r="C9746" s="140"/>
      <c r="D9746" s="140"/>
      <c r="E9746" s="140"/>
    </row>
    <row r="9747" spans="1:5">
      <c r="A9747" s="140"/>
      <c r="B9747" s="192"/>
      <c r="C9747" s="140"/>
      <c r="D9747" s="140"/>
      <c r="E9747" s="140"/>
    </row>
    <row r="9748" spans="1:5">
      <c r="A9748" s="140"/>
      <c r="B9748" s="192"/>
      <c r="C9748" s="140"/>
      <c r="D9748" s="140"/>
      <c r="E9748" s="140"/>
    </row>
    <row r="9749" spans="1:5">
      <c r="A9749" s="140"/>
      <c r="B9749" s="192"/>
      <c r="C9749" s="140"/>
      <c r="D9749" s="140"/>
      <c r="E9749" s="140"/>
    </row>
    <row r="9750" spans="1:5">
      <c r="A9750" s="140"/>
      <c r="B9750" s="192"/>
      <c r="C9750" s="140"/>
      <c r="D9750" s="140"/>
      <c r="E9750" s="140"/>
    </row>
    <row r="9751" spans="1:5">
      <c r="A9751" s="140"/>
      <c r="B9751" s="192"/>
      <c r="C9751" s="140"/>
      <c r="D9751" s="140"/>
      <c r="E9751" s="140"/>
    </row>
    <row r="9752" spans="1:5">
      <c r="A9752" s="140"/>
      <c r="B9752" s="192"/>
      <c r="C9752" s="140"/>
      <c r="D9752" s="140"/>
      <c r="E9752" s="140"/>
    </row>
    <row r="9753" spans="1:5">
      <c r="A9753" s="140"/>
      <c r="B9753" s="192"/>
      <c r="C9753" s="140"/>
      <c r="D9753" s="140"/>
      <c r="E9753" s="140"/>
    </row>
    <row r="9754" spans="1:5">
      <c r="A9754" s="140"/>
      <c r="B9754" s="192"/>
      <c r="C9754" s="140"/>
      <c r="D9754" s="140"/>
      <c r="E9754" s="140"/>
    </row>
    <row r="9755" spans="1:5">
      <c r="A9755" s="140"/>
      <c r="B9755" s="192"/>
      <c r="C9755" s="140"/>
      <c r="D9755" s="140"/>
      <c r="E9755" s="140"/>
    </row>
    <row r="9756" spans="1:5">
      <c r="A9756" s="140"/>
      <c r="B9756" s="192"/>
      <c r="C9756" s="140"/>
      <c r="D9756" s="140"/>
      <c r="E9756" s="140"/>
    </row>
    <row r="9757" spans="1:5">
      <c r="A9757" s="140"/>
      <c r="B9757" s="192"/>
      <c r="C9757" s="140"/>
      <c r="D9757" s="140"/>
      <c r="E9757" s="140"/>
    </row>
    <row r="9758" spans="1:5">
      <c r="A9758" s="140"/>
      <c r="B9758" s="192"/>
      <c r="C9758" s="140"/>
      <c r="D9758" s="140"/>
      <c r="E9758" s="140"/>
    </row>
    <row r="9759" spans="1:5">
      <c r="A9759" s="140"/>
      <c r="B9759" s="192"/>
      <c r="C9759" s="140"/>
      <c r="D9759" s="140"/>
      <c r="E9759" s="140"/>
    </row>
    <row r="9760" spans="1:5">
      <c r="A9760" s="140"/>
      <c r="B9760" s="192"/>
      <c r="C9760" s="140"/>
      <c r="D9760" s="140"/>
      <c r="E9760" s="140"/>
    </row>
    <row r="9761" spans="1:5">
      <c r="A9761" s="140"/>
      <c r="B9761" s="192"/>
      <c r="C9761" s="140"/>
      <c r="D9761" s="140"/>
      <c r="E9761" s="140"/>
    </row>
    <row r="9762" spans="1:5">
      <c r="A9762" s="140"/>
      <c r="B9762" s="192"/>
      <c r="C9762" s="140"/>
      <c r="D9762" s="140"/>
      <c r="E9762" s="140"/>
    </row>
    <row r="9763" spans="1:5">
      <c r="A9763" s="140"/>
      <c r="B9763" s="192"/>
      <c r="C9763" s="140"/>
      <c r="D9763" s="140"/>
      <c r="E9763" s="140"/>
    </row>
    <row r="9764" spans="1:5">
      <c r="A9764" s="140"/>
      <c r="B9764" s="192"/>
      <c r="C9764" s="140"/>
      <c r="D9764" s="140"/>
      <c r="E9764" s="140"/>
    </row>
    <row r="9765" spans="1:5">
      <c r="A9765" s="140"/>
      <c r="B9765" s="192"/>
      <c r="C9765" s="140"/>
      <c r="D9765" s="140"/>
      <c r="E9765" s="140"/>
    </row>
    <row r="9766" spans="1:5">
      <c r="A9766" s="140"/>
      <c r="B9766" s="192"/>
      <c r="C9766" s="140"/>
      <c r="D9766" s="140"/>
      <c r="E9766" s="140"/>
    </row>
    <row r="9767" spans="1:5">
      <c r="A9767" s="140"/>
      <c r="B9767" s="192"/>
      <c r="C9767" s="140"/>
      <c r="D9767" s="140"/>
      <c r="E9767" s="140"/>
    </row>
    <row r="9768" spans="1:5">
      <c r="A9768" s="140"/>
      <c r="B9768" s="192"/>
      <c r="C9768" s="140"/>
      <c r="D9768" s="140"/>
      <c r="E9768" s="140"/>
    </row>
    <row r="9769" spans="1:5">
      <c r="A9769" s="140"/>
      <c r="B9769" s="192"/>
      <c r="C9769" s="140"/>
      <c r="D9769" s="140"/>
      <c r="E9769" s="140"/>
    </row>
    <row r="9770" spans="1:5">
      <c r="A9770" s="140"/>
      <c r="B9770" s="192"/>
      <c r="C9770" s="140"/>
      <c r="D9770" s="140"/>
      <c r="E9770" s="140"/>
    </row>
    <row r="9771" spans="1:5">
      <c r="A9771" s="140"/>
      <c r="B9771" s="192"/>
      <c r="C9771" s="140"/>
      <c r="D9771" s="140"/>
      <c r="E9771" s="140"/>
    </row>
    <row r="9772" spans="1:5">
      <c r="A9772" s="140"/>
      <c r="B9772" s="192"/>
      <c r="C9772" s="140"/>
      <c r="D9772" s="140"/>
      <c r="E9772" s="140"/>
    </row>
    <row r="9773" spans="1:5">
      <c r="A9773" s="140"/>
      <c r="B9773" s="192"/>
      <c r="C9773" s="140"/>
      <c r="D9773" s="140"/>
      <c r="E9773" s="140"/>
    </row>
    <row r="9774" spans="1:5">
      <c r="A9774" s="140"/>
      <c r="B9774" s="192"/>
      <c r="C9774" s="140"/>
      <c r="D9774" s="140"/>
      <c r="E9774" s="140"/>
    </row>
    <row r="9775" spans="1:5">
      <c r="A9775" s="140"/>
      <c r="B9775" s="192"/>
      <c r="C9775" s="140"/>
      <c r="D9775" s="140"/>
      <c r="E9775" s="140"/>
    </row>
    <row r="9776" spans="1:5">
      <c r="A9776" s="140"/>
      <c r="B9776" s="192"/>
      <c r="C9776" s="140"/>
      <c r="D9776" s="140"/>
      <c r="E9776" s="140"/>
    </row>
    <row r="9777" spans="1:5">
      <c r="A9777" s="140"/>
      <c r="B9777" s="192"/>
      <c r="C9777" s="140"/>
      <c r="D9777" s="140"/>
      <c r="E9777" s="140"/>
    </row>
    <row r="9778" spans="1:5">
      <c r="A9778" s="140"/>
      <c r="B9778" s="192"/>
      <c r="C9778" s="140"/>
      <c r="D9778" s="140"/>
      <c r="E9778" s="140"/>
    </row>
    <row r="9779" spans="1:5">
      <c r="A9779" s="140"/>
      <c r="B9779" s="192"/>
      <c r="C9779" s="140"/>
      <c r="D9779" s="140"/>
      <c r="E9779" s="140"/>
    </row>
    <row r="9780" spans="1:5">
      <c r="A9780" s="140"/>
      <c r="B9780" s="192"/>
      <c r="C9780" s="140"/>
      <c r="D9780" s="140"/>
      <c r="E9780" s="140"/>
    </row>
    <row r="9781" spans="1:5">
      <c r="A9781" s="140"/>
      <c r="B9781" s="192"/>
      <c r="C9781" s="140"/>
      <c r="D9781" s="140"/>
      <c r="E9781" s="140"/>
    </row>
    <row r="9782" spans="1:5">
      <c r="A9782" s="140"/>
      <c r="B9782" s="192"/>
      <c r="C9782" s="140"/>
      <c r="D9782" s="140"/>
      <c r="E9782" s="140"/>
    </row>
    <row r="9783" spans="1:5">
      <c r="A9783" s="140"/>
      <c r="B9783" s="192"/>
      <c r="C9783" s="140"/>
      <c r="D9783" s="140"/>
      <c r="E9783" s="140"/>
    </row>
    <row r="9784" spans="1:5">
      <c r="A9784" s="140"/>
      <c r="B9784" s="192"/>
      <c r="C9784" s="140"/>
      <c r="D9784" s="140"/>
      <c r="E9784" s="140"/>
    </row>
    <row r="9785" spans="1:5">
      <c r="A9785" s="140"/>
      <c r="B9785" s="192"/>
      <c r="C9785" s="140"/>
      <c r="D9785" s="140"/>
      <c r="E9785" s="140"/>
    </row>
    <row r="9786" spans="1:5">
      <c r="A9786" s="140"/>
      <c r="B9786" s="192"/>
      <c r="C9786" s="140"/>
      <c r="D9786" s="140"/>
      <c r="E9786" s="140"/>
    </row>
    <row r="9787" spans="1:5">
      <c r="A9787" s="140"/>
      <c r="B9787" s="192"/>
      <c r="C9787" s="140"/>
      <c r="D9787" s="140"/>
      <c r="E9787" s="140"/>
    </row>
    <row r="9788" spans="1:5">
      <c r="A9788" s="140"/>
      <c r="B9788" s="192"/>
      <c r="C9788" s="140"/>
      <c r="D9788" s="140"/>
      <c r="E9788" s="140"/>
    </row>
    <row r="9789" spans="1:5">
      <c r="A9789" s="140"/>
      <c r="B9789" s="192"/>
      <c r="C9789" s="140"/>
      <c r="D9789" s="140"/>
      <c r="E9789" s="140"/>
    </row>
    <row r="9790" spans="1:5">
      <c r="A9790" s="140"/>
      <c r="B9790" s="192"/>
      <c r="C9790" s="140"/>
      <c r="D9790" s="140"/>
      <c r="E9790" s="140"/>
    </row>
    <row r="9791" spans="1:5">
      <c r="A9791" s="140"/>
      <c r="B9791" s="192"/>
      <c r="C9791" s="140"/>
      <c r="D9791" s="140"/>
      <c r="E9791" s="140"/>
    </row>
    <row r="9792" spans="1:5">
      <c r="A9792" s="140"/>
      <c r="B9792" s="192"/>
      <c r="C9792" s="140"/>
      <c r="D9792" s="140"/>
      <c r="E9792" s="140"/>
    </row>
    <row r="9793" spans="1:5">
      <c r="A9793" s="140"/>
      <c r="B9793" s="192"/>
      <c r="C9793" s="140"/>
      <c r="D9793" s="140"/>
      <c r="E9793" s="140"/>
    </row>
    <row r="9794" spans="1:5">
      <c r="A9794" s="140"/>
      <c r="B9794" s="192"/>
      <c r="C9794" s="140"/>
      <c r="D9794" s="140"/>
      <c r="E9794" s="140"/>
    </row>
    <row r="9795" spans="1:5">
      <c r="A9795" s="140"/>
      <c r="B9795" s="192"/>
      <c r="C9795" s="140"/>
      <c r="D9795" s="140"/>
      <c r="E9795" s="140"/>
    </row>
    <row r="9796" spans="1:5">
      <c r="A9796" s="140"/>
      <c r="B9796" s="192"/>
      <c r="C9796" s="140"/>
      <c r="D9796" s="140"/>
      <c r="E9796" s="140"/>
    </row>
    <row r="9797" spans="1:5">
      <c r="A9797" s="140"/>
      <c r="B9797" s="192"/>
      <c r="C9797" s="140"/>
      <c r="D9797" s="140"/>
      <c r="E9797" s="140"/>
    </row>
    <row r="9798" spans="1:5">
      <c r="A9798" s="140"/>
      <c r="B9798" s="192"/>
      <c r="C9798" s="140"/>
      <c r="D9798" s="140"/>
      <c r="E9798" s="140"/>
    </row>
    <row r="9799" spans="1:5">
      <c r="A9799" s="140"/>
      <c r="B9799" s="192"/>
      <c r="C9799" s="140"/>
      <c r="D9799" s="140"/>
      <c r="E9799" s="140"/>
    </row>
    <row r="9800" spans="1:5">
      <c r="A9800" s="140"/>
      <c r="B9800" s="192"/>
      <c r="C9800" s="140"/>
      <c r="D9800" s="140"/>
      <c r="E9800" s="140"/>
    </row>
    <row r="9801" spans="1:5">
      <c r="A9801" s="140"/>
      <c r="B9801" s="192"/>
      <c r="C9801" s="140"/>
      <c r="D9801" s="140"/>
      <c r="E9801" s="140"/>
    </row>
    <row r="9802" spans="1:5">
      <c r="A9802" s="140"/>
      <c r="B9802" s="192"/>
      <c r="C9802" s="140"/>
      <c r="D9802" s="140"/>
      <c r="E9802" s="140"/>
    </row>
    <row r="9803" spans="1:5">
      <c r="A9803" s="140"/>
      <c r="B9803" s="192"/>
      <c r="C9803" s="140"/>
      <c r="D9803" s="140"/>
      <c r="E9803" s="140"/>
    </row>
    <row r="9804" spans="1:5">
      <c r="A9804" s="140"/>
      <c r="B9804" s="192"/>
      <c r="C9804" s="140"/>
      <c r="D9804" s="140"/>
      <c r="E9804" s="140"/>
    </row>
    <row r="9805" spans="1:5">
      <c r="A9805" s="140"/>
      <c r="B9805" s="192"/>
      <c r="C9805" s="140"/>
      <c r="D9805" s="140"/>
      <c r="E9805" s="140"/>
    </row>
    <row r="9806" spans="1:5">
      <c r="A9806" s="140"/>
      <c r="B9806" s="192"/>
      <c r="C9806" s="140"/>
      <c r="D9806" s="140"/>
      <c r="E9806" s="140"/>
    </row>
    <row r="9807" spans="1:5">
      <c r="A9807" s="140"/>
      <c r="B9807" s="192"/>
      <c r="C9807" s="140"/>
      <c r="D9807" s="140"/>
      <c r="E9807" s="140"/>
    </row>
    <row r="9808" spans="1:5">
      <c r="A9808" s="140"/>
      <c r="B9808" s="192"/>
      <c r="C9808" s="140"/>
      <c r="D9808" s="140"/>
      <c r="E9808" s="140"/>
    </row>
    <row r="9809" spans="1:5">
      <c r="A9809" s="140"/>
      <c r="B9809" s="192"/>
      <c r="C9809" s="140"/>
      <c r="D9809" s="140"/>
      <c r="E9809" s="140"/>
    </row>
    <row r="9810" spans="1:5">
      <c r="A9810" s="140"/>
      <c r="B9810" s="192"/>
      <c r="C9810" s="140"/>
      <c r="D9810" s="140"/>
      <c r="E9810" s="140"/>
    </row>
    <row r="9811" spans="1:5">
      <c r="A9811" s="140"/>
      <c r="B9811" s="192"/>
      <c r="C9811" s="140"/>
      <c r="D9811" s="140"/>
      <c r="E9811" s="140"/>
    </row>
    <row r="9812" spans="1:5">
      <c r="A9812" s="140"/>
      <c r="B9812" s="192"/>
      <c r="C9812" s="140"/>
      <c r="D9812" s="140"/>
      <c r="E9812" s="140"/>
    </row>
    <row r="9813" spans="1:5">
      <c r="A9813" s="140"/>
      <c r="B9813" s="192"/>
      <c r="C9813" s="140"/>
      <c r="D9813" s="140"/>
      <c r="E9813" s="140"/>
    </row>
    <row r="9814" spans="1:5">
      <c r="A9814" s="140"/>
      <c r="B9814" s="192"/>
      <c r="C9814" s="140"/>
      <c r="D9814" s="140"/>
      <c r="E9814" s="140"/>
    </row>
    <row r="9815" spans="1:5">
      <c r="A9815" s="140"/>
      <c r="B9815" s="192"/>
      <c r="C9815" s="140"/>
      <c r="D9815" s="140"/>
      <c r="E9815" s="140"/>
    </row>
    <row r="9816" spans="1:5">
      <c r="A9816" s="140"/>
      <c r="B9816" s="192"/>
      <c r="C9816" s="140"/>
      <c r="D9816" s="140"/>
      <c r="E9816" s="140"/>
    </row>
    <row r="9817" spans="1:5">
      <c r="A9817" s="140"/>
      <c r="B9817" s="192"/>
      <c r="C9817" s="140"/>
      <c r="D9817" s="140"/>
      <c r="E9817" s="140"/>
    </row>
    <row r="9818" spans="1:5">
      <c r="A9818" s="140"/>
      <c r="B9818" s="192"/>
      <c r="C9818" s="140"/>
      <c r="D9818" s="140"/>
      <c r="E9818" s="140"/>
    </row>
    <row r="9819" spans="1:5">
      <c r="A9819" s="140"/>
      <c r="B9819" s="192"/>
      <c r="C9819" s="140"/>
      <c r="D9819" s="140"/>
      <c r="E9819" s="140"/>
    </row>
    <row r="9820" spans="1:5">
      <c r="A9820" s="140"/>
      <c r="B9820" s="192"/>
      <c r="C9820" s="140"/>
      <c r="D9820" s="140"/>
      <c r="E9820" s="140"/>
    </row>
    <row r="9821" spans="1:5">
      <c r="A9821" s="140"/>
      <c r="B9821" s="192"/>
      <c r="C9821" s="140"/>
      <c r="D9821" s="140"/>
      <c r="E9821" s="140"/>
    </row>
    <row r="9822" spans="1:5">
      <c r="A9822" s="140"/>
      <c r="B9822" s="192"/>
      <c r="C9822" s="140"/>
      <c r="D9822" s="140"/>
      <c r="E9822" s="140"/>
    </row>
    <row r="9823" spans="1:5">
      <c r="A9823" s="140"/>
      <c r="B9823" s="192"/>
      <c r="C9823" s="140"/>
      <c r="D9823" s="140"/>
      <c r="E9823" s="140"/>
    </row>
    <row r="9824" spans="1:5">
      <c r="A9824" s="140"/>
      <c r="B9824" s="192"/>
      <c r="C9824" s="140"/>
      <c r="D9824" s="140"/>
      <c r="E9824" s="140"/>
    </row>
    <row r="9825" spans="1:5">
      <c r="A9825" s="140"/>
      <c r="B9825" s="192"/>
      <c r="C9825" s="140"/>
      <c r="D9825" s="140"/>
      <c r="E9825" s="140"/>
    </row>
    <row r="9826" spans="1:5">
      <c r="A9826" s="140"/>
      <c r="B9826" s="192"/>
      <c r="C9826" s="140"/>
      <c r="D9826" s="140"/>
      <c r="E9826" s="140"/>
    </row>
    <row r="9827" spans="1:5">
      <c r="A9827" s="140"/>
      <c r="B9827" s="192"/>
      <c r="C9827" s="140"/>
      <c r="D9827" s="140"/>
      <c r="E9827" s="140"/>
    </row>
    <row r="9828" spans="1:5">
      <c r="A9828" s="140"/>
      <c r="B9828" s="192"/>
      <c r="C9828" s="140"/>
      <c r="D9828" s="140"/>
      <c r="E9828" s="140"/>
    </row>
    <row r="9829" spans="1:5">
      <c r="A9829" s="140"/>
      <c r="B9829" s="192"/>
      <c r="C9829" s="140"/>
      <c r="D9829" s="140"/>
      <c r="E9829" s="140"/>
    </row>
    <row r="9830" spans="1:5">
      <c r="A9830" s="140"/>
      <c r="B9830" s="192"/>
      <c r="C9830" s="140"/>
      <c r="D9830" s="140"/>
      <c r="E9830" s="140"/>
    </row>
    <row r="9831" spans="1:5">
      <c r="A9831" s="140"/>
      <c r="B9831" s="192"/>
      <c r="C9831" s="140"/>
      <c r="D9831" s="140"/>
      <c r="E9831" s="140"/>
    </row>
    <row r="9832" spans="1:5">
      <c r="A9832" s="140"/>
      <c r="B9832" s="192"/>
      <c r="C9832" s="140"/>
      <c r="D9832" s="140"/>
      <c r="E9832" s="140"/>
    </row>
    <row r="9833" spans="1:5">
      <c r="A9833" s="140"/>
      <c r="B9833" s="192"/>
      <c r="C9833" s="140"/>
      <c r="D9833" s="140"/>
      <c r="E9833" s="140"/>
    </row>
    <row r="9834" spans="1:5">
      <c r="A9834" s="140"/>
      <c r="B9834" s="192"/>
      <c r="C9834" s="140"/>
      <c r="D9834" s="140"/>
      <c r="E9834" s="140"/>
    </row>
    <row r="9835" spans="1:5">
      <c r="A9835" s="140"/>
      <c r="B9835" s="192"/>
      <c r="C9835" s="140"/>
      <c r="D9835" s="140"/>
      <c r="E9835" s="140"/>
    </row>
    <row r="9836" spans="1:5">
      <c r="A9836" s="140"/>
      <c r="B9836" s="192"/>
      <c r="C9836" s="140"/>
      <c r="D9836" s="140"/>
      <c r="E9836" s="140"/>
    </row>
    <row r="9837" spans="1:5">
      <c r="A9837" s="140"/>
      <c r="B9837" s="192"/>
      <c r="C9837" s="140"/>
      <c r="D9837" s="140"/>
      <c r="E9837" s="140"/>
    </row>
    <row r="9838" spans="1:5">
      <c r="A9838" s="140"/>
      <c r="B9838" s="192"/>
      <c r="C9838" s="140"/>
      <c r="D9838" s="140"/>
      <c r="E9838" s="140"/>
    </row>
    <row r="9839" spans="1:5">
      <c r="A9839" s="140"/>
      <c r="B9839" s="192"/>
      <c r="C9839" s="140"/>
      <c r="D9839" s="140"/>
      <c r="E9839" s="140"/>
    </row>
    <row r="9840" spans="1:5">
      <c r="A9840" s="140"/>
      <c r="B9840" s="192"/>
      <c r="C9840" s="140"/>
      <c r="D9840" s="140"/>
      <c r="E9840" s="140"/>
    </row>
    <row r="9841" spans="1:5">
      <c r="A9841" s="140"/>
      <c r="B9841" s="192"/>
      <c r="C9841" s="140"/>
      <c r="D9841" s="140"/>
      <c r="E9841" s="140"/>
    </row>
    <row r="9842" spans="1:5">
      <c r="A9842" s="140"/>
      <c r="B9842" s="192"/>
      <c r="C9842" s="140"/>
      <c r="D9842" s="140"/>
      <c r="E9842" s="140"/>
    </row>
    <row r="9843" spans="1:5">
      <c r="A9843" s="140"/>
      <c r="B9843" s="192"/>
      <c r="C9843" s="140"/>
      <c r="D9843" s="140"/>
      <c r="E9843" s="140"/>
    </row>
    <row r="9844" spans="1:5">
      <c r="A9844" s="140"/>
      <c r="B9844" s="192"/>
      <c r="C9844" s="140"/>
      <c r="D9844" s="140"/>
      <c r="E9844" s="140"/>
    </row>
    <row r="9845" spans="1:5">
      <c r="A9845" s="140"/>
      <c r="B9845" s="192"/>
      <c r="C9845" s="140"/>
      <c r="D9845" s="140"/>
      <c r="E9845" s="140"/>
    </row>
    <row r="9846" spans="1:5">
      <c r="A9846" s="140"/>
      <c r="B9846" s="192"/>
      <c r="C9846" s="140"/>
      <c r="D9846" s="140"/>
      <c r="E9846" s="140"/>
    </row>
    <row r="9847" spans="1:5">
      <c r="A9847" s="140"/>
      <c r="B9847" s="192"/>
      <c r="C9847" s="140"/>
      <c r="D9847" s="140"/>
      <c r="E9847" s="140"/>
    </row>
    <row r="9848" spans="1:5">
      <c r="A9848" s="140"/>
      <c r="B9848" s="192"/>
      <c r="C9848" s="140"/>
      <c r="D9848" s="140"/>
      <c r="E9848" s="140"/>
    </row>
    <row r="9849" spans="1:5">
      <c r="A9849" s="140"/>
      <c r="B9849" s="192"/>
      <c r="C9849" s="140"/>
      <c r="D9849" s="140"/>
      <c r="E9849" s="140"/>
    </row>
    <row r="9850" spans="1:5">
      <c r="A9850" s="140"/>
      <c r="B9850" s="192"/>
      <c r="C9850" s="140"/>
      <c r="D9850" s="140"/>
      <c r="E9850" s="140"/>
    </row>
    <row r="9851" spans="1:5">
      <c r="A9851" s="140"/>
      <c r="B9851" s="192"/>
      <c r="C9851" s="140"/>
      <c r="D9851" s="140"/>
      <c r="E9851" s="140"/>
    </row>
    <row r="9852" spans="1:5">
      <c r="A9852" s="140"/>
      <c r="B9852" s="192"/>
      <c r="C9852" s="140"/>
      <c r="D9852" s="140"/>
      <c r="E9852" s="140"/>
    </row>
    <row r="9853" spans="1:5">
      <c r="A9853" s="140"/>
      <c r="B9853" s="192"/>
      <c r="C9853" s="140"/>
      <c r="D9853" s="140"/>
      <c r="E9853" s="140"/>
    </row>
    <row r="9854" spans="1:5">
      <c r="A9854" s="140"/>
      <c r="B9854" s="192"/>
      <c r="C9854" s="140"/>
      <c r="D9854" s="140"/>
      <c r="E9854" s="140"/>
    </row>
    <row r="9855" spans="1:5">
      <c r="A9855" s="140"/>
      <c r="B9855" s="192"/>
      <c r="C9855" s="140"/>
      <c r="D9855" s="140"/>
      <c r="E9855" s="140"/>
    </row>
    <row r="9856" spans="1:5">
      <c r="A9856" s="140"/>
      <c r="B9856" s="192"/>
      <c r="C9856" s="140"/>
      <c r="D9856" s="140"/>
      <c r="E9856" s="140"/>
    </row>
    <row r="9857" spans="1:5">
      <c r="A9857" s="140"/>
      <c r="B9857" s="192"/>
      <c r="C9857" s="140"/>
      <c r="D9857" s="140"/>
      <c r="E9857" s="140"/>
    </row>
    <row r="9858" spans="1:5">
      <c r="A9858" s="140"/>
      <c r="B9858" s="192"/>
      <c r="C9858" s="140"/>
      <c r="D9858" s="140"/>
      <c r="E9858" s="140"/>
    </row>
    <row r="9859" spans="1:5">
      <c r="A9859" s="140"/>
      <c r="B9859" s="192"/>
      <c r="C9859" s="140"/>
      <c r="D9859" s="140"/>
      <c r="E9859" s="140"/>
    </row>
    <row r="9860" spans="1:5">
      <c r="A9860" s="140"/>
      <c r="B9860" s="192"/>
      <c r="C9860" s="140"/>
      <c r="D9860" s="140"/>
      <c r="E9860" s="140"/>
    </row>
    <row r="9861" spans="1:5">
      <c r="A9861" s="140"/>
      <c r="B9861" s="192"/>
      <c r="C9861" s="140"/>
      <c r="D9861" s="140"/>
      <c r="E9861" s="140"/>
    </row>
    <row r="9862" spans="1:5">
      <c r="A9862" s="140"/>
      <c r="B9862" s="192"/>
      <c r="C9862" s="140"/>
      <c r="D9862" s="140"/>
      <c r="E9862" s="140"/>
    </row>
    <row r="9863" spans="1:5">
      <c r="A9863" s="140"/>
      <c r="B9863" s="192"/>
      <c r="C9863" s="140"/>
      <c r="D9863" s="140"/>
      <c r="E9863" s="140"/>
    </row>
    <row r="9864" spans="1:5">
      <c r="A9864" s="140"/>
      <c r="B9864" s="192"/>
      <c r="C9864" s="140"/>
      <c r="D9864" s="140"/>
      <c r="E9864" s="140"/>
    </row>
    <row r="9865" spans="1:5">
      <c r="A9865" s="140"/>
      <c r="B9865" s="192"/>
      <c r="C9865" s="140"/>
      <c r="D9865" s="140"/>
      <c r="E9865" s="140"/>
    </row>
    <row r="9866" spans="1:5">
      <c r="A9866" s="140"/>
      <c r="B9866" s="192"/>
      <c r="C9866" s="140"/>
      <c r="D9866" s="140"/>
      <c r="E9866" s="140"/>
    </row>
    <row r="9867" spans="1:5">
      <c r="A9867" s="140"/>
      <c r="B9867" s="192"/>
      <c r="C9867" s="140"/>
      <c r="D9867" s="140"/>
      <c r="E9867" s="140"/>
    </row>
    <row r="9868" spans="1:5">
      <c r="A9868" s="140"/>
      <c r="B9868" s="192"/>
      <c r="C9868" s="140"/>
      <c r="D9868" s="140"/>
      <c r="E9868" s="140"/>
    </row>
    <row r="9869" spans="1:5">
      <c r="A9869" s="140"/>
      <c r="B9869" s="192"/>
      <c r="C9869" s="140"/>
      <c r="D9869" s="140"/>
      <c r="E9869" s="140"/>
    </row>
    <row r="9870" spans="1:5">
      <c r="A9870" s="140"/>
      <c r="B9870" s="192"/>
      <c r="C9870" s="140"/>
      <c r="D9870" s="140"/>
      <c r="E9870" s="140"/>
    </row>
    <row r="9871" spans="1:5">
      <c r="A9871" s="140"/>
      <c r="B9871" s="192"/>
      <c r="C9871" s="140"/>
      <c r="D9871" s="140"/>
      <c r="E9871" s="140"/>
    </row>
    <row r="9872" spans="1:5">
      <c r="A9872" s="140"/>
      <c r="B9872" s="192"/>
      <c r="C9872" s="140"/>
      <c r="D9872" s="140"/>
      <c r="E9872" s="140"/>
    </row>
    <row r="9873" spans="1:5">
      <c r="A9873" s="140"/>
      <c r="B9873" s="192"/>
      <c r="C9873" s="140"/>
      <c r="D9873" s="140"/>
      <c r="E9873" s="140"/>
    </row>
    <row r="9874" spans="1:5">
      <c r="A9874" s="140"/>
      <c r="B9874" s="192"/>
      <c r="C9874" s="140"/>
      <c r="D9874" s="140"/>
      <c r="E9874" s="140"/>
    </row>
    <row r="9875" spans="1:5">
      <c r="A9875" s="140"/>
      <c r="B9875" s="192"/>
      <c r="C9875" s="140"/>
      <c r="D9875" s="140"/>
      <c r="E9875" s="140"/>
    </row>
    <row r="9876" spans="1:5">
      <c r="A9876" s="140"/>
      <c r="B9876" s="192"/>
      <c r="C9876" s="140"/>
      <c r="D9876" s="140"/>
      <c r="E9876" s="140"/>
    </row>
    <row r="9877" spans="1:5">
      <c r="A9877" s="140"/>
      <c r="B9877" s="192"/>
      <c r="C9877" s="140"/>
      <c r="D9877" s="140"/>
      <c r="E9877" s="140"/>
    </row>
    <row r="9878" spans="1:5">
      <c r="A9878" s="140"/>
      <c r="B9878" s="192"/>
      <c r="C9878" s="140"/>
      <c r="D9878" s="140"/>
      <c r="E9878" s="140"/>
    </row>
    <row r="9879" spans="1:5">
      <c r="A9879" s="140"/>
      <c r="B9879" s="192"/>
      <c r="C9879" s="140"/>
      <c r="D9879" s="140"/>
      <c r="E9879" s="140"/>
    </row>
    <row r="9880" spans="1:5">
      <c r="A9880" s="140"/>
      <c r="B9880" s="192"/>
      <c r="C9880" s="140"/>
      <c r="D9880" s="140"/>
      <c r="E9880" s="140"/>
    </row>
    <row r="9881" spans="1:5">
      <c r="A9881" s="140"/>
      <c r="B9881" s="192"/>
      <c r="C9881" s="140"/>
      <c r="D9881" s="140"/>
      <c r="E9881" s="140"/>
    </row>
    <row r="9882" spans="1:5">
      <c r="A9882" s="140"/>
      <c r="B9882" s="192"/>
      <c r="C9882" s="140"/>
      <c r="D9882" s="140"/>
      <c r="E9882" s="140"/>
    </row>
    <row r="9883" spans="1:5">
      <c r="A9883" s="140"/>
      <c r="B9883" s="192"/>
      <c r="C9883" s="140"/>
      <c r="D9883" s="140"/>
      <c r="E9883" s="140"/>
    </row>
    <row r="9884" spans="1:5">
      <c r="A9884" s="140"/>
      <c r="B9884" s="192"/>
      <c r="C9884" s="140"/>
      <c r="D9884" s="140"/>
      <c r="E9884" s="140"/>
    </row>
    <row r="9885" spans="1:5">
      <c r="A9885" s="140"/>
      <c r="B9885" s="192"/>
      <c r="C9885" s="140"/>
      <c r="D9885" s="140"/>
      <c r="E9885" s="140"/>
    </row>
    <row r="9886" spans="1:5">
      <c r="A9886" s="140"/>
      <c r="B9886" s="192"/>
      <c r="C9886" s="140"/>
      <c r="D9886" s="140"/>
      <c r="E9886" s="140"/>
    </row>
    <row r="9887" spans="1:5">
      <c r="A9887" s="140"/>
      <c r="B9887" s="192"/>
      <c r="C9887" s="140"/>
      <c r="D9887" s="140"/>
      <c r="E9887" s="140"/>
    </row>
    <row r="9888" spans="1:5">
      <c r="A9888" s="140"/>
      <c r="B9888" s="192"/>
      <c r="C9888" s="140"/>
      <c r="D9888" s="140"/>
      <c r="E9888" s="140"/>
    </row>
    <row r="9889" spans="1:5">
      <c r="A9889" s="140"/>
      <c r="B9889" s="192"/>
      <c r="C9889" s="140"/>
      <c r="D9889" s="140"/>
      <c r="E9889" s="140"/>
    </row>
    <row r="9890" spans="1:5">
      <c r="A9890" s="140"/>
      <c r="B9890" s="192"/>
      <c r="C9890" s="140"/>
      <c r="D9890" s="140"/>
      <c r="E9890" s="140"/>
    </row>
    <row r="9891" spans="1:5">
      <c r="A9891" s="140"/>
      <c r="B9891" s="192"/>
      <c r="C9891" s="140"/>
      <c r="D9891" s="140"/>
      <c r="E9891" s="140"/>
    </row>
    <row r="9892" spans="1:5">
      <c r="A9892" s="140"/>
      <c r="B9892" s="192"/>
      <c r="C9892" s="140"/>
      <c r="D9892" s="140"/>
      <c r="E9892" s="140"/>
    </row>
    <row r="9893" spans="1:5">
      <c r="A9893" s="140"/>
      <c r="B9893" s="192"/>
      <c r="C9893" s="140"/>
      <c r="D9893" s="140"/>
      <c r="E9893" s="140"/>
    </row>
    <row r="9894" spans="1:5">
      <c r="A9894" s="140"/>
      <c r="B9894" s="192"/>
      <c r="C9894" s="140"/>
      <c r="D9894" s="140"/>
      <c r="E9894" s="140"/>
    </row>
    <row r="9895" spans="1:5">
      <c r="A9895" s="140"/>
      <c r="B9895" s="192"/>
      <c r="C9895" s="140"/>
      <c r="D9895" s="140"/>
      <c r="E9895" s="140"/>
    </row>
    <row r="9896" spans="1:5">
      <c r="A9896" s="140"/>
      <c r="B9896" s="192"/>
      <c r="C9896" s="140"/>
      <c r="D9896" s="140"/>
      <c r="E9896" s="140"/>
    </row>
    <row r="9897" spans="1:5">
      <c r="A9897" s="140"/>
      <c r="B9897" s="192"/>
      <c r="C9897" s="140"/>
      <c r="D9897" s="140"/>
      <c r="E9897" s="140"/>
    </row>
    <row r="9898" spans="1:5">
      <c r="A9898" s="140"/>
      <c r="B9898" s="192"/>
      <c r="C9898" s="140"/>
      <c r="D9898" s="140"/>
      <c r="E9898" s="140"/>
    </row>
    <row r="9899" spans="1:5">
      <c r="A9899" s="140"/>
      <c r="B9899" s="192"/>
      <c r="C9899" s="140"/>
      <c r="D9899" s="140"/>
      <c r="E9899" s="140"/>
    </row>
    <row r="9900" spans="1:5">
      <c r="A9900" s="140"/>
      <c r="B9900" s="192"/>
      <c r="C9900" s="140"/>
      <c r="D9900" s="140"/>
      <c r="E9900" s="140"/>
    </row>
    <row r="9901" spans="1:5">
      <c r="A9901" s="140"/>
      <c r="B9901" s="192"/>
      <c r="C9901" s="140"/>
      <c r="D9901" s="140"/>
      <c r="E9901" s="140"/>
    </row>
    <row r="9902" spans="1:5">
      <c r="A9902" s="140"/>
      <c r="B9902" s="192"/>
      <c r="C9902" s="140"/>
      <c r="D9902" s="140"/>
      <c r="E9902" s="140"/>
    </row>
    <row r="9903" spans="1:5">
      <c r="A9903" s="140"/>
      <c r="B9903" s="192"/>
      <c r="C9903" s="140"/>
      <c r="D9903" s="140"/>
      <c r="E9903" s="140"/>
    </row>
    <row r="9904" spans="1:5">
      <c r="A9904" s="140"/>
      <c r="B9904" s="192"/>
      <c r="C9904" s="140"/>
      <c r="D9904" s="140"/>
      <c r="E9904" s="140"/>
    </row>
    <row r="9905" spans="1:5">
      <c r="A9905" s="140"/>
      <c r="B9905" s="192"/>
      <c r="C9905" s="140"/>
      <c r="D9905" s="140"/>
      <c r="E9905" s="140"/>
    </row>
    <row r="9906" spans="1:5">
      <c r="A9906" s="140"/>
      <c r="B9906" s="192"/>
      <c r="C9906" s="140"/>
      <c r="D9906" s="140"/>
      <c r="E9906" s="140"/>
    </row>
    <row r="9907" spans="1:5">
      <c r="A9907" s="140"/>
      <c r="B9907" s="192"/>
      <c r="C9907" s="140"/>
      <c r="D9907" s="140"/>
      <c r="E9907" s="140"/>
    </row>
    <row r="9908" spans="1:5">
      <c r="A9908" s="140"/>
      <c r="B9908" s="192"/>
      <c r="C9908" s="140"/>
      <c r="D9908" s="140"/>
      <c r="E9908" s="140"/>
    </row>
    <row r="9909" spans="1:5">
      <c r="A9909" s="140"/>
      <c r="B9909" s="192"/>
      <c r="C9909" s="140"/>
      <c r="D9909" s="140"/>
      <c r="E9909" s="140"/>
    </row>
    <row r="9910" spans="1:5">
      <c r="A9910" s="140"/>
      <c r="B9910" s="192"/>
      <c r="C9910" s="140"/>
      <c r="D9910" s="140"/>
      <c r="E9910" s="140"/>
    </row>
    <row r="9911" spans="1:5">
      <c r="A9911" s="140"/>
      <c r="B9911" s="192"/>
      <c r="C9911" s="140"/>
      <c r="D9911" s="140"/>
      <c r="E9911" s="140"/>
    </row>
    <row r="9912" spans="1:5">
      <c r="A9912" s="140"/>
      <c r="B9912" s="192"/>
      <c r="C9912" s="140"/>
      <c r="D9912" s="140"/>
      <c r="E9912" s="140"/>
    </row>
    <row r="9913" spans="1:5">
      <c r="A9913" s="140"/>
      <c r="B9913" s="192"/>
      <c r="C9913" s="140"/>
      <c r="D9913" s="140"/>
      <c r="E9913" s="140"/>
    </row>
    <row r="9914" spans="1:5">
      <c r="A9914" s="140"/>
      <c r="B9914" s="192"/>
      <c r="C9914" s="140"/>
      <c r="D9914" s="140"/>
      <c r="E9914" s="140"/>
    </row>
    <row r="9915" spans="1:5">
      <c r="A9915" s="140"/>
      <c r="B9915" s="192"/>
      <c r="C9915" s="140"/>
      <c r="D9915" s="140"/>
      <c r="E9915" s="140"/>
    </row>
    <row r="9916" spans="1:5">
      <c r="A9916" s="140"/>
      <c r="B9916" s="192"/>
      <c r="C9916" s="140"/>
      <c r="D9916" s="140"/>
      <c r="E9916" s="140"/>
    </row>
    <row r="9917" spans="1:5">
      <c r="A9917" s="140"/>
      <c r="B9917" s="192"/>
      <c r="C9917" s="140"/>
      <c r="D9917" s="140"/>
      <c r="E9917" s="140"/>
    </row>
    <row r="9918" spans="1:5">
      <c r="A9918" s="140"/>
      <c r="B9918" s="192"/>
      <c r="C9918" s="140"/>
      <c r="D9918" s="140"/>
      <c r="E9918" s="140"/>
    </row>
    <row r="9919" spans="1:5">
      <c r="A9919" s="140"/>
      <c r="B9919" s="192"/>
      <c r="C9919" s="140"/>
      <c r="D9919" s="140"/>
      <c r="E9919" s="140"/>
    </row>
    <row r="9920" spans="1:5">
      <c r="A9920" s="140"/>
      <c r="B9920" s="192"/>
      <c r="C9920" s="140"/>
      <c r="D9920" s="140"/>
      <c r="E9920" s="140"/>
    </row>
    <row r="9921" spans="1:5">
      <c r="A9921" s="140"/>
      <c r="B9921" s="192"/>
      <c r="C9921" s="140"/>
      <c r="D9921" s="140"/>
      <c r="E9921" s="140"/>
    </row>
    <row r="9922" spans="1:5">
      <c r="A9922" s="140"/>
      <c r="B9922" s="192"/>
      <c r="C9922" s="140"/>
      <c r="D9922" s="140"/>
      <c r="E9922" s="140"/>
    </row>
    <row r="9923" spans="1:5">
      <c r="A9923" s="140"/>
      <c r="B9923" s="192"/>
      <c r="C9923" s="140"/>
      <c r="D9923" s="140"/>
      <c r="E9923" s="140"/>
    </row>
    <row r="9924" spans="1:5">
      <c r="A9924" s="140"/>
      <c r="B9924" s="192"/>
      <c r="C9924" s="140"/>
      <c r="D9924" s="140"/>
      <c r="E9924" s="140"/>
    </row>
    <row r="9925" spans="1:5">
      <c r="A9925" s="140"/>
      <c r="B9925" s="192"/>
      <c r="C9925" s="140"/>
      <c r="D9925" s="140"/>
      <c r="E9925" s="140"/>
    </row>
    <row r="9926" spans="1:5">
      <c r="A9926" s="140"/>
      <c r="B9926" s="192"/>
      <c r="C9926" s="140"/>
      <c r="D9926" s="140"/>
      <c r="E9926" s="140"/>
    </row>
    <row r="9927" spans="1:5">
      <c r="A9927" s="140"/>
      <c r="B9927" s="192"/>
      <c r="C9927" s="140"/>
      <c r="D9927" s="140"/>
      <c r="E9927" s="140"/>
    </row>
    <row r="9928" spans="1:5">
      <c r="A9928" s="140"/>
      <c r="B9928" s="192"/>
      <c r="C9928" s="140"/>
      <c r="D9928" s="140"/>
      <c r="E9928" s="140"/>
    </row>
    <row r="9929" spans="1:5">
      <c r="A9929" s="140"/>
      <c r="B9929" s="192"/>
      <c r="C9929" s="140"/>
      <c r="D9929" s="140"/>
      <c r="E9929" s="140"/>
    </row>
    <row r="9930" spans="1:5">
      <c r="A9930" s="140"/>
      <c r="B9930" s="192"/>
      <c r="C9930" s="140"/>
      <c r="D9930" s="140"/>
      <c r="E9930" s="140"/>
    </row>
    <row r="9931" spans="1:5">
      <c r="A9931" s="140"/>
      <c r="B9931" s="192"/>
      <c r="C9931" s="140"/>
      <c r="D9931" s="140"/>
      <c r="E9931" s="140"/>
    </row>
    <row r="9932" spans="1:5">
      <c r="A9932" s="140"/>
      <c r="B9932" s="192"/>
      <c r="C9932" s="140"/>
      <c r="D9932" s="140"/>
      <c r="E9932" s="140"/>
    </row>
    <row r="9933" spans="1:5">
      <c r="A9933" s="140"/>
      <c r="B9933" s="192"/>
      <c r="C9933" s="140"/>
      <c r="D9933" s="140"/>
      <c r="E9933" s="140"/>
    </row>
    <row r="9934" spans="1:5">
      <c r="A9934" s="140"/>
      <c r="B9934" s="192"/>
      <c r="C9934" s="140"/>
      <c r="D9934" s="140"/>
      <c r="E9934" s="140"/>
    </row>
    <row r="9935" spans="1:5">
      <c r="A9935" s="140"/>
      <c r="B9935" s="192"/>
      <c r="C9935" s="140"/>
      <c r="D9935" s="140"/>
      <c r="E9935" s="140"/>
    </row>
    <row r="9936" spans="1:5">
      <c r="A9936" s="140"/>
      <c r="B9936" s="192"/>
      <c r="C9936" s="140"/>
      <c r="D9936" s="140"/>
      <c r="E9936" s="140"/>
    </row>
    <row r="9937" spans="1:5">
      <c r="A9937" s="140"/>
      <c r="B9937" s="192"/>
      <c r="C9937" s="140"/>
      <c r="D9937" s="140"/>
      <c r="E9937" s="140"/>
    </row>
    <row r="9938" spans="1:5">
      <c r="A9938" s="140"/>
      <c r="B9938" s="192"/>
      <c r="C9938" s="140"/>
      <c r="D9938" s="140"/>
      <c r="E9938" s="140"/>
    </row>
    <row r="9939" spans="1:5">
      <c r="A9939" s="140"/>
      <c r="B9939" s="192"/>
      <c r="C9939" s="140"/>
      <c r="D9939" s="140"/>
      <c r="E9939" s="140"/>
    </row>
    <row r="9940" spans="1:5">
      <c r="A9940" s="140"/>
      <c r="B9940" s="192"/>
      <c r="C9940" s="140"/>
      <c r="D9940" s="140"/>
      <c r="E9940" s="140"/>
    </row>
    <row r="9941" spans="1:5">
      <c r="A9941" s="140"/>
      <c r="B9941" s="192"/>
      <c r="C9941" s="140"/>
      <c r="D9941" s="140"/>
      <c r="E9941" s="140"/>
    </row>
    <row r="9942" spans="1:5">
      <c r="A9942" s="140"/>
      <c r="B9942" s="192"/>
      <c r="C9942" s="140"/>
      <c r="D9942" s="140"/>
      <c r="E9942" s="140"/>
    </row>
    <row r="9943" spans="1:5">
      <c r="A9943" s="140"/>
      <c r="B9943" s="192"/>
      <c r="C9943" s="140"/>
      <c r="D9943" s="140"/>
      <c r="E9943" s="140"/>
    </row>
    <row r="9944" spans="1:5">
      <c r="A9944" s="140"/>
      <c r="B9944" s="192"/>
      <c r="C9944" s="140"/>
      <c r="D9944" s="140"/>
      <c r="E9944" s="140"/>
    </row>
    <row r="9945" spans="1:5">
      <c r="A9945" s="140"/>
      <c r="B9945" s="192"/>
      <c r="C9945" s="140"/>
      <c r="D9945" s="140"/>
      <c r="E9945" s="140"/>
    </row>
    <row r="9946" spans="1:5">
      <c r="A9946" s="140"/>
      <c r="B9946" s="192"/>
      <c r="C9946" s="140"/>
      <c r="D9946" s="140"/>
      <c r="E9946" s="140"/>
    </row>
    <row r="9947" spans="1:5">
      <c r="A9947" s="140"/>
      <c r="B9947" s="192"/>
      <c r="C9947" s="140"/>
      <c r="D9947" s="140"/>
      <c r="E9947" s="140"/>
    </row>
    <row r="9948" spans="1:5">
      <c r="A9948" s="140"/>
      <c r="B9948" s="192"/>
      <c r="C9948" s="140"/>
      <c r="D9948" s="140"/>
      <c r="E9948" s="140"/>
    </row>
    <row r="9949" spans="1:5">
      <c r="A9949" s="140"/>
      <c r="B9949" s="192"/>
      <c r="C9949" s="140"/>
      <c r="D9949" s="140"/>
      <c r="E9949" s="140"/>
    </row>
    <row r="9950" spans="1:5">
      <c r="A9950" s="140"/>
      <c r="B9950" s="192"/>
      <c r="C9950" s="140"/>
      <c r="D9950" s="140"/>
      <c r="E9950" s="140"/>
    </row>
    <row r="9951" spans="1:5">
      <c r="A9951" s="140"/>
      <c r="B9951" s="192"/>
      <c r="C9951" s="140"/>
      <c r="D9951" s="140"/>
      <c r="E9951" s="140"/>
    </row>
    <row r="9952" spans="1:5">
      <c r="A9952" s="140"/>
      <c r="B9952" s="192"/>
      <c r="C9952" s="140"/>
      <c r="D9952" s="140"/>
      <c r="E9952" s="140"/>
    </row>
    <row r="9953" spans="1:5">
      <c r="A9953" s="140"/>
      <c r="B9953" s="192"/>
      <c r="C9953" s="140"/>
      <c r="D9953" s="140"/>
      <c r="E9953" s="140"/>
    </row>
    <row r="9954" spans="1:5">
      <c r="A9954" s="140"/>
      <c r="B9954" s="192"/>
      <c r="C9954" s="140"/>
      <c r="D9954" s="140"/>
      <c r="E9954" s="140"/>
    </row>
    <row r="9955" spans="1:5">
      <c r="A9955" s="140"/>
      <c r="B9955" s="192"/>
      <c r="C9955" s="140"/>
      <c r="D9955" s="140"/>
      <c r="E9955" s="140"/>
    </row>
    <row r="9956" spans="1:5">
      <c r="A9956" s="140"/>
      <c r="B9956" s="192"/>
      <c r="C9956" s="140"/>
      <c r="D9956" s="140"/>
      <c r="E9956" s="140"/>
    </row>
    <row r="9957" spans="1:5">
      <c r="A9957" s="140"/>
      <c r="B9957" s="192"/>
      <c r="C9957" s="140"/>
      <c r="D9957" s="140"/>
      <c r="E9957" s="140"/>
    </row>
    <row r="9958" spans="1:5">
      <c r="A9958" s="140"/>
      <c r="B9958" s="192"/>
      <c r="C9958" s="140"/>
      <c r="D9958" s="140"/>
      <c r="E9958" s="140"/>
    </row>
    <row r="9959" spans="1:5">
      <c r="A9959" s="140"/>
      <c r="B9959" s="192"/>
      <c r="C9959" s="140"/>
      <c r="D9959" s="140"/>
      <c r="E9959" s="140"/>
    </row>
    <row r="9960" spans="1:5">
      <c r="A9960" s="140"/>
      <c r="B9960" s="192"/>
      <c r="C9960" s="140"/>
      <c r="D9960" s="140"/>
      <c r="E9960" s="140"/>
    </row>
    <row r="9961" spans="1:5">
      <c r="A9961" s="140"/>
      <c r="B9961" s="192"/>
      <c r="C9961" s="140"/>
      <c r="D9961" s="140"/>
      <c r="E9961" s="140"/>
    </row>
    <row r="9962" spans="1:5">
      <c r="A9962" s="140"/>
      <c r="B9962" s="192"/>
      <c r="C9962" s="140"/>
      <c r="D9962" s="140"/>
      <c r="E9962" s="140"/>
    </row>
    <row r="9963" spans="1:5">
      <c r="A9963" s="140"/>
      <c r="B9963" s="192"/>
      <c r="C9963" s="140"/>
      <c r="D9963" s="140"/>
      <c r="E9963" s="140"/>
    </row>
    <row r="9964" spans="1:5">
      <c r="A9964" s="140"/>
      <c r="B9964" s="192"/>
      <c r="C9964" s="140"/>
      <c r="D9964" s="140"/>
      <c r="E9964" s="140"/>
    </row>
    <row r="9965" spans="1:5">
      <c r="A9965" s="140"/>
      <c r="B9965" s="192"/>
      <c r="C9965" s="140"/>
      <c r="D9965" s="140"/>
      <c r="E9965" s="140"/>
    </row>
    <row r="9966" spans="1:5">
      <c r="A9966" s="140"/>
      <c r="B9966" s="192"/>
      <c r="C9966" s="140"/>
      <c r="D9966" s="140"/>
      <c r="E9966" s="140"/>
    </row>
    <row r="9967" spans="1:5">
      <c r="A9967" s="140"/>
      <c r="B9967" s="192"/>
      <c r="C9967" s="140"/>
      <c r="D9967" s="140"/>
      <c r="E9967" s="140"/>
    </row>
    <row r="9968" spans="1:5">
      <c r="A9968" s="140"/>
      <c r="B9968" s="192"/>
      <c r="C9968" s="140"/>
      <c r="D9968" s="140"/>
      <c r="E9968" s="140"/>
    </row>
    <row r="9969" spans="1:5">
      <c r="A9969" s="140"/>
      <c r="B9969" s="192"/>
      <c r="C9969" s="140"/>
      <c r="D9969" s="140"/>
      <c r="E9969" s="140"/>
    </row>
    <row r="9970" spans="1:5">
      <c r="A9970" s="140"/>
      <c r="B9970" s="192"/>
      <c r="C9970" s="140"/>
      <c r="D9970" s="140"/>
      <c r="E9970" s="140"/>
    </row>
    <row r="9971" spans="1:5">
      <c r="A9971" s="140"/>
      <c r="B9971" s="192"/>
      <c r="C9971" s="140"/>
      <c r="D9971" s="140"/>
      <c r="E9971" s="140"/>
    </row>
    <row r="9972" spans="1:5">
      <c r="A9972" s="140"/>
      <c r="B9972" s="192"/>
      <c r="C9972" s="140"/>
      <c r="D9972" s="140"/>
      <c r="E9972" s="140"/>
    </row>
    <row r="9973" spans="1:5">
      <c r="A9973" s="140"/>
      <c r="B9973" s="192"/>
      <c r="C9973" s="140"/>
      <c r="D9973" s="140"/>
      <c r="E9973" s="140"/>
    </row>
    <row r="9974" spans="1:5">
      <c r="A9974" s="140"/>
      <c r="B9974" s="192"/>
      <c r="C9974" s="140"/>
      <c r="D9974" s="140"/>
      <c r="E9974" s="140"/>
    </row>
    <row r="9975" spans="1:5">
      <c r="A9975" s="140"/>
      <c r="B9975" s="192"/>
      <c r="C9975" s="140"/>
      <c r="D9975" s="140"/>
      <c r="E9975" s="140"/>
    </row>
    <row r="9976" spans="1:5">
      <c r="A9976" s="140"/>
      <c r="B9976" s="192"/>
      <c r="C9976" s="140"/>
      <c r="D9976" s="140"/>
      <c r="E9976" s="140"/>
    </row>
    <row r="9977" spans="1:5">
      <c r="A9977" s="140"/>
      <c r="B9977" s="192"/>
      <c r="C9977" s="140"/>
      <c r="D9977" s="140"/>
      <c r="E9977" s="140"/>
    </row>
    <row r="9978" spans="1:5">
      <c r="A9978" s="140"/>
      <c r="B9978" s="192"/>
      <c r="C9978" s="140"/>
      <c r="D9978" s="140"/>
      <c r="E9978" s="140"/>
    </row>
    <row r="9979" spans="1:5">
      <c r="A9979" s="140"/>
      <c r="B9979" s="192"/>
      <c r="C9979" s="140"/>
      <c r="D9979" s="140"/>
      <c r="E9979" s="140"/>
    </row>
    <row r="9980" spans="1:5">
      <c r="A9980" s="140"/>
      <c r="B9980" s="192"/>
      <c r="C9980" s="140"/>
      <c r="D9980" s="140"/>
      <c r="E9980" s="140"/>
    </row>
    <row r="9981" spans="1:5">
      <c r="A9981" s="140"/>
      <c r="B9981" s="192"/>
      <c r="C9981" s="140"/>
      <c r="D9981" s="140"/>
      <c r="E9981" s="140"/>
    </row>
    <row r="9982" spans="1:5">
      <c r="A9982" s="140"/>
      <c r="B9982" s="192"/>
      <c r="C9982" s="140"/>
      <c r="D9982" s="140"/>
      <c r="E9982" s="140"/>
    </row>
    <row r="9983" spans="1:5">
      <c r="A9983" s="140"/>
      <c r="B9983" s="192"/>
      <c r="C9983" s="140"/>
      <c r="D9983" s="140"/>
      <c r="E9983" s="140"/>
    </row>
    <row r="9984" spans="1:5">
      <c r="A9984" s="140"/>
      <c r="B9984" s="192"/>
      <c r="C9984" s="140"/>
      <c r="D9984" s="140"/>
      <c r="E9984" s="140"/>
    </row>
    <row r="9985" spans="1:5">
      <c r="A9985" s="140"/>
      <c r="B9985" s="192"/>
      <c r="C9985" s="140"/>
      <c r="D9985" s="140"/>
      <c r="E9985" s="140"/>
    </row>
    <row r="9986" spans="1:5">
      <c r="A9986" s="140"/>
      <c r="B9986" s="192"/>
      <c r="C9986" s="140"/>
      <c r="D9986" s="140"/>
      <c r="E9986" s="140"/>
    </row>
    <row r="9987" spans="1:5">
      <c r="A9987" s="140"/>
      <c r="B9987" s="192"/>
      <c r="C9987" s="140"/>
      <c r="D9987" s="140"/>
      <c r="E9987" s="140"/>
    </row>
    <row r="9988" spans="1:5">
      <c r="A9988" s="140"/>
      <c r="B9988" s="192"/>
      <c r="C9988" s="140"/>
      <c r="D9988" s="140"/>
      <c r="E9988" s="140"/>
    </row>
    <row r="9989" spans="1:5">
      <c r="A9989" s="140"/>
      <c r="B9989" s="192"/>
      <c r="C9989" s="140"/>
      <c r="D9989" s="140"/>
      <c r="E9989" s="140"/>
    </row>
    <row r="9990" spans="1:5">
      <c r="A9990" s="140"/>
      <c r="B9990" s="192"/>
      <c r="C9990" s="140"/>
      <c r="D9990" s="140"/>
      <c r="E9990" s="140"/>
    </row>
    <row r="9991" spans="1:5">
      <c r="A9991" s="140"/>
      <c r="B9991" s="192"/>
      <c r="C9991" s="140"/>
      <c r="D9991" s="140"/>
      <c r="E9991" s="140"/>
    </row>
    <row r="9992" spans="1:5">
      <c r="A9992" s="140"/>
      <c r="B9992" s="192"/>
      <c r="C9992" s="140"/>
      <c r="D9992" s="140"/>
      <c r="E9992" s="140"/>
    </row>
    <row r="9993" spans="1:5">
      <c r="A9993" s="140"/>
      <c r="B9993" s="192"/>
      <c r="C9993" s="140"/>
      <c r="D9993" s="140"/>
      <c r="E9993" s="140"/>
    </row>
    <row r="9994" spans="1:5">
      <c r="A9994" s="140"/>
      <c r="B9994" s="192"/>
      <c r="C9994" s="140"/>
      <c r="D9994" s="140"/>
      <c r="E9994" s="140"/>
    </row>
    <row r="9995" spans="1:5">
      <c r="A9995" s="140"/>
      <c r="B9995" s="192"/>
      <c r="C9995" s="140"/>
      <c r="D9995" s="140"/>
      <c r="E9995" s="140"/>
    </row>
    <row r="9996" spans="1:5">
      <c r="A9996" s="140"/>
      <c r="B9996" s="192"/>
      <c r="C9996" s="140"/>
      <c r="D9996" s="140"/>
      <c r="E9996" s="140"/>
    </row>
    <row r="9997" spans="1:5">
      <c r="A9997" s="140"/>
      <c r="B9997" s="192"/>
      <c r="C9997" s="140"/>
      <c r="D9997" s="140"/>
      <c r="E9997" s="140"/>
    </row>
    <row r="9998" spans="1:5">
      <c r="A9998" s="140"/>
      <c r="B9998" s="192"/>
      <c r="C9998" s="140"/>
      <c r="D9998" s="140"/>
      <c r="E9998" s="140"/>
    </row>
    <row r="9999" spans="1:5">
      <c r="A9999" s="140"/>
      <c r="B9999" s="192"/>
      <c r="C9999" s="140"/>
      <c r="D9999" s="140"/>
      <c r="E9999" s="140"/>
    </row>
    <row r="10000" spans="1:5">
      <c r="A10000" s="140"/>
      <c r="B10000" s="192"/>
      <c r="C10000" s="140"/>
      <c r="D10000" s="140"/>
      <c r="E10000" s="140"/>
    </row>
    <row r="10001" spans="1:5">
      <c r="A10001" s="140"/>
      <c r="B10001" s="192"/>
      <c r="C10001" s="140"/>
      <c r="D10001" s="140"/>
      <c r="E10001" s="140"/>
    </row>
    <row r="10002" spans="1:5">
      <c r="A10002" s="140"/>
      <c r="B10002" s="192"/>
      <c r="C10002" s="140"/>
      <c r="D10002" s="140"/>
      <c r="E10002" s="140"/>
    </row>
    <row r="10003" spans="1:5">
      <c r="A10003" s="140"/>
      <c r="B10003" s="192"/>
      <c r="C10003" s="140"/>
      <c r="D10003" s="140"/>
      <c r="E10003" s="140"/>
    </row>
    <row r="10004" spans="1:5">
      <c r="A10004" s="140"/>
      <c r="B10004" s="192"/>
      <c r="C10004" s="140"/>
      <c r="D10004" s="140"/>
      <c r="E10004" s="140"/>
    </row>
    <row r="10005" spans="1:5">
      <c r="A10005" s="140"/>
      <c r="B10005" s="192"/>
      <c r="C10005" s="140"/>
      <c r="D10005" s="140"/>
      <c r="E10005" s="140"/>
    </row>
    <row r="10006" spans="1:5">
      <c r="A10006" s="140"/>
      <c r="B10006" s="192"/>
      <c r="C10006" s="140"/>
      <c r="D10006" s="140"/>
      <c r="E10006" s="140"/>
    </row>
    <row r="10007" spans="1:5">
      <c r="A10007" s="140"/>
      <c r="B10007" s="192"/>
      <c r="C10007" s="140"/>
      <c r="D10007" s="140"/>
      <c r="E10007" s="140"/>
    </row>
    <row r="10008" spans="1:5">
      <c r="A10008" s="140"/>
      <c r="B10008" s="192"/>
      <c r="C10008" s="140"/>
      <c r="D10008" s="140"/>
      <c r="E10008" s="140"/>
    </row>
    <row r="10009" spans="1:5">
      <c r="A10009" s="140"/>
      <c r="B10009" s="192"/>
      <c r="C10009" s="140"/>
      <c r="D10009" s="140"/>
      <c r="E10009" s="140"/>
    </row>
    <row r="10010" spans="1:5">
      <c r="A10010" s="140"/>
      <c r="B10010" s="192"/>
      <c r="C10010" s="140"/>
      <c r="D10010" s="140"/>
      <c r="E10010" s="140"/>
    </row>
    <row r="10011" spans="1:5">
      <c r="A10011" s="140"/>
      <c r="B10011" s="192"/>
      <c r="C10011" s="140"/>
      <c r="D10011" s="140"/>
      <c r="E10011" s="140"/>
    </row>
    <row r="10012" spans="1:5">
      <c r="A10012" s="140"/>
      <c r="B10012" s="192"/>
      <c r="C10012" s="140"/>
      <c r="D10012" s="140"/>
      <c r="E10012" s="140"/>
    </row>
    <row r="10013" spans="1:5">
      <c r="A10013" s="140"/>
      <c r="B10013" s="192"/>
      <c r="C10013" s="140"/>
      <c r="D10013" s="140"/>
      <c r="E10013" s="140"/>
    </row>
    <row r="10014" spans="1:5">
      <c r="A10014" s="140"/>
      <c r="B10014" s="192"/>
      <c r="C10014" s="140"/>
      <c r="D10014" s="140"/>
      <c r="E10014" s="140"/>
    </row>
    <row r="10015" spans="1:5">
      <c r="A10015" s="140"/>
      <c r="B10015" s="192"/>
      <c r="C10015" s="140"/>
      <c r="D10015" s="140"/>
      <c r="E10015" s="140"/>
    </row>
    <row r="10016" spans="1:5">
      <c r="A10016" s="140"/>
      <c r="B10016" s="192"/>
      <c r="C10016" s="140"/>
      <c r="D10016" s="140"/>
      <c r="E10016" s="140"/>
    </row>
    <row r="10017" spans="1:5">
      <c r="A10017" s="140"/>
      <c r="B10017" s="192"/>
      <c r="C10017" s="140"/>
      <c r="D10017" s="140"/>
      <c r="E10017" s="140"/>
    </row>
    <row r="10018" spans="1:5">
      <c r="A10018" s="140"/>
      <c r="B10018" s="192"/>
      <c r="C10018" s="140"/>
      <c r="D10018" s="140"/>
      <c r="E10018" s="140"/>
    </row>
    <row r="10019" spans="1:5">
      <c r="A10019" s="140"/>
      <c r="B10019" s="192"/>
      <c r="C10019" s="140"/>
      <c r="D10019" s="140"/>
      <c r="E10019" s="140"/>
    </row>
    <row r="10020" spans="1:5">
      <c r="A10020" s="140"/>
      <c r="B10020" s="192"/>
      <c r="C10020" s="140"/>
      <c r="D10020" s="140"/>
      <c r="E10020" s="140"/>
    </row>
    <row r="10021" spans="1:5">
      <c r="A10021" s="140"/>
      <c r="B10021" s="192"/>
      <c r="C10021" s="140"/>
      <c r="D10021" s="140"/>
      <c r="E10021" s="140"/>
    </row>
    <row r="10022" spans="1:5">
      <c r="A10022" s="140"/>
      <c r="B10022" s="192"/>
      <c r="C10022" s="140"/>
      <c r="D10022" s="140"/>
      <c r="E10022" s="140"/>
    </row>
    <row r="10023" spans="1:5">
      <c r="A10023" s="140"/>
      <c r="B10023" s="192"/>
      <c r="C10023" s="140"/>
      <c r="D10023" s="140"/>
      <c r="E10023" s="140"/>
    </row>
    <row r="10024" spans="1:5">
      <c r="A10024" s="140"/>
      <c r="B10024" s="192"/>
      <c r="C10024" s="140"/>
      <c r="D10024" s="140"/>
      <c r="E10024" s="140"/>
    </row>
    <row r="10025" spans="1:5">
      <c r="A10025" s="140"/>
      <c r="B10025" s="192"/>
      <c r="C10025" s="140"/>
      <c r="D10025" s="140"/>
      <c r="E10025" s="140"/>
    </row>
    <row r="10026" spans="1:5">
      <c r="A10026" s="140"/>
      <c r="B10026" s="192"/>
      <c r="C10026" s="140"/>
      <c r="D10026" s="140"/>
      <c r="E10026" s="140"/>
    </row>
    <row r="10027" spans="1:5">
      <c r="A10027" s="140"/>
      <c r="B10027" s="192"/>
      <c r="C10027" s="140"/>
      <c r="D10027" s="140"/>
      <c r="E10027" s="140"/>
    </row>
    <row r="10028" spans="1:5">
      <c r="A10028" s="140"/>
      <c r="B10028" s="192"/>
      <c r="C10028" s="140"/>
      <c r="D10028" s="140"/>
      <c r="E10028" s="140"/>
    </row>
    <row r="10029" spans="1:5">
      <c r="A10029" s="140"/>
      <c r="B10029" s="192"/>
      <c r="C10029" s="140"/>
      <c r="D10029" s="140"/>
      <c r="E10029" s="140"/>
    </row>
    <row r="10030" spans="1:5">
      <c r="A10030" s="140"/>
      <c r="B10030" s="192"/>
      <c r="C10030" s="140"/>
      <c r="D10030" s="140"/>
      <c r="E10030" s="140"/>
    </row>
    <row r="10031" spans="1:5">
      <c r="A10031" s="140"/>
      <c r="B10031" s="192"/>
      <c r="C10031" s="140"/>
      <c r="D10031" s="140"/>
      <c r="E10031" s="140"/>
    </row>
    <row r="10032" spans="1:5">
      <c r="A10032" s="140"/>
      <c r="B10032" s="192"/>
      <c r="C10032" s="140"/>
      <c r="D10032" s="140"/>
      <c r="E10032" s="140"/>
    </row>
    <row r="10033" spans="1:5">
      <c r="A10033" s="140"/>
      <c r="B10033" s="192"/>
      <c r="C10033" s="140"/>
      <c r="D10033" s="140"/>
      <c r="E10033" s="140"/>
    </row>
    <row r="10034" spans="1:5">
      <c r="A10034" s="140"/>
      <c r="B10034" s="192"/>
      <c r="C10034" s="140"/>
      <c r="D10034" s="140"/>
      <c r="E10034" s="140"/>
    </row>
    <row r="10035" spans="1:5">
      <c r="A10035" s="140"/>
      <c r="B10035" s="192"/>
      <c r="C10035" s="140"/>
      <c r="D10035" s="140"/>
      <c r="E10035" s="140"/>
    </row>
    <row r="10036" spans="1:5">
      <c r="A10036" s="140"/>
      <c r="B10036" s="192"/>
      <c r="C10036" s="140"/>
      <c r="D10036" s="140"/>
      <c r="E10036" s="140"/>
    </row>
    <row r="10037" spans="1:5">
      <c r="A10037" s="140"/>
      <c r="B10037" s="192"/>
      <c r="C10037" s="140"/>
      <c r="D10037" s="140"/>
      <c r="E10037" s="140"/>
    </row>
    <row r="10038" spans="1:5">
      <c r="A10038" s="140"/>
      <c r="B10038" s="192"/>
      <c r="C10038" s="140"/>
      <c r="D10038" s="140"/>
      <c r="E10038" s="140"/>
    </row>
    <row r="10039" spans="1:5">
      <c r="A10039" s="140"/>
      <c r="B10039" s="192"/>
      <c r="C10039" s="140"/>
      <c r="D10039" s="140"/>
      <c r="E10039" s="140"/>
    </row>
    <row r="10040" spans="1:5">
      <c r="A10040" s="140"/>
      <c r="B10040" s="192"/>
      <c r="C10040" s="140"/>
      <c r="D10040" s="140"/>
      <c r="E10040" s="140"/>
    </row>
    <row r="10041" spans="1:5">
      <c r="A10041" s="140"/>
      <c r="B10041" s="192"/>
      <c r="C10041" s="140"/>
      <c r="D10041" s="140"/>
      <c r="E10041" s="140"/>
    </row>
    <row r="10042" spans="1:5">
      <c r="A10042" s="140"/>
      <c r="B10042" s="192"/>
      <c r="C10042" s="140"/>
      <c r="D10042" s="140"/>
      <c r="E10042" s="140"/>
    </row>
    <row r="10043" spans="1:5">
      <c r="A10043" s="140"/>
      <c r="B10043" s="192"/>
      <c r="C10043" s="140"/>
      <c r="D10043" s="140"/>
      <c r="E10043" s="140"/>
    </row>
    <row r="10044" spans="1:5">
      <c r="A10044" s="140"/>
      <c r="B10044" s="192"/>
      <c r="C10044" s="140"/>
      <c r="D10044" s="140"/>
      <c r="E10044" s="140"/>
    </row>
    <row r="10045" spans="1:5">
      <c r="A10045" s="140"/>
      <c r="B10045" s="192"/>
      <c r="C10045" s="140"/>
      <c r="D10045" s="140"/>
      <c r="E10045" s="140"/>
    </row>
    <row r="10046" spans="1:5">
      <c r="A10046" s="140"/>
      <c r="B10046" s="192"/>
      <c r="C10046" s="140"/>
      <c r="D10046" s="140"/>
      <c r="E10046" s="140"/>
    </row>
    <row r="10047" spans="1:5">
      <c r="A10047" s="140"/>
      <c r="B10047" s="192"/>
      <c r="C10047" s="140"/>
      <c r="D10047" s="140"/>
      <c r="E10047" s="140"/>
    </row>
    <row r="10048" spans="1:5">
      <c r="A10048" s="140"/>
      <c r="B10048" s="192"/>
      <c r="C10048" s="140"/>
      <c r="D10048" s="140"/>
      <c r="E10048" s="140"/>
    </row>
    <row r="10049" spans="1:5">
      <c r="A10049" s="140"/>
      <c r="B10049" s="192"/>
      <c r="C10049" s="140"/>
      <c r="D10049" s="140"/>
      <c r="E10049" s="140"/>
    </row>
    <row r="10050" spans="1:5">
      <c r="A10050" s="140"/>
      <c r="B10050" s="192"/>
      <c r="C10050" s="140"/>
      <c r="D10050" s="140"/>
      <c r="E10050" s="140"/>
    </row>
    <row r="10051" spans="1:5">
      <c r="A10051" s="140"/>
      <c r="B10051" s="192"/>
      <c r="C10051" s="140"/>
      <c r="D10051" s="140"/>
      <c r="E10051" s="140"/>
    </row>
    <row r="10052" spans="1:5">
      <c r="A10052" s="140"/>
      <c r="B10052" s="192"/>
      <c r="C10052" s="140"/>
      <c r="D10052" s="140"/>
      <c r="E10052" s="140"/>
    </row>
    <row r="10053" spans="1:5">
      <c r="A10053" s="140"/>
      <c r="B10053" s="192"/>
      <c r="C10053" s="140"/>
      <c r="D10053" s="140"/>
      <c r="E10053" s="140"/>
    </row>
    <row r="10054" spans="1:5">
      <c r="A10054" s="140"/>
      <c r="B10054" s="192"/>
      <c r="C10054" s="140"/>
      <c r="D10054" s="140"/>
      <c r="E10054" s="140"/>
    </row>
    <row r="10055" spans="1:5">
      <c r="A10055" s="140"/>
      <c r="B10055" s="192"/>
      <c r="C10055" s="140"/>
      <c r="D10055" s="140"/>
      <c r="E10055" s="140"/>
    </row>
    <row r="10056" spans="1:5">
      <c r="A10056" s="140"/>
      <c r="B10056" s="192"/>
      <c r="C10056" s="140"/>
      <c r="D10056" s="140"/>
      <c r="E10056" s="140"/>
    </row>
    <row r="10057" spans="1:5">
      <c r="A10057" s="140"/>
      <c r="B10057" s="192"/>
      <c r="C10057" s="140"/>
      <c r="D10057" s="140"/>
      <c r="E10057" s="140"/>
    </row>
    <row r="10058" spans="1:5">
      <c r="A10058" s="140"/>
      <c r="B10058" s="192"/>
      <c r="C10058" s="140"/>
      <c r="D10058" s="140"/>
      <c r="E10058" s="140"/>
    </row>
    <row r="10059" spans="1:5">
      <c r="A10059" s="140"/>
      <c r="B10059" s="192"/>
      <c r="C10059" s="140"/>
      <c r="D10059" s="140"/>
      <c r="E10059" s="140"/>
    </row>
    <row r="10060" spans="1:5">
      <c r="A10060" s="140"/>
      <c r="B10060" s="192"/>
      <c r="C10060" s="140"/>
      <c r="D10060" s="140"/>
      <c r="E10060" s="140"/>
    </row>
    <row r="10061" spans="1:5">
      <c r="A10061" s="140"/>
      <c r="B10061" s="192"/>
      <c r="C10061" s="140"/>
      <c r="D10061" s="140"/>
      <c r="E10061" s="140"/>
    </row>
    <row r="10062" spans="1:5">
      <c r="A10062" s="140"/>
      <c r="B10062" s="192"/>
      <c r="C10062" s="140"/>
      <c r="D10062" s="140"/>
      <c r="E10062" s="140"/>
    </row>
    <row r="10063" spans="1:5">
      <c r="A10063" s="140"/>
      <c r="B10063" s="192"/>
      <c r="C10063" s="140"/>
      <c r="D10063" s="140"/>
      <c r="E10063" s="140"/>
    </row>
    <row r="10064" spans="1:5">
      <c r="A10064" s="140"/>
      <c r="B10064" s="192"/>
      <c r="C10064" s="140"/>
      <c r="D10064" s="140"/>
      <c r="E10064" s="140"/>
    </row>
    <row r="10065" spans="1:5">
      <c r="A10065" s="140"/>
      <c r="B10065" s="192"/>
      <c r="C10065" s="140"/>
      <c r="D10065" s="140"/>
      <c r="E10065" s="140"/>
    </row>
    <row r="10066" spans="1:5">
      <c r="A10066" s="140"/>
      <c r="B10066" s="192"/>
      <c r="C10066" s="140"/>
      <c r="D10066" s="140"/>
      <c r="E10066" s="140"/>
    </row>
    <row r="10067" spans="1:5">
      <c r="A10067" s="140"/>
      <c r="B10067" s="192"/>
      <c r="C10067" s="140"/>
      <c r="D10067" s="140"/>
      <c r="E10067" s="140"/>
    </row>
    <row r="10068" spans="1:5">
      <c r="A10068" s="140"/>
      <c r="B10068" s="192"/>
      <c r="C10068" s="140"/>
      <c r="D10068" s="140"/>
      <c r="E10068" s="140"/>
    </row>
    <row r="10069" spans="1:5">
      <c r="A10069" s="140"/>
      <c r="B10069" s="192"/>
      <c r="C10069" s="140"/>
      <c r="D10069" s="140"/>
      <c r="E10069" s="140"/>
    </row>
    <row r="10070" spans="1:5">
      <c r="A10070" s="140"/>
      <c r="B10070" s="192"/>
      <c r="C10070" s="140"/>
      <c r="D10070" s="140"/>
      <c r="E10070" s="140"/>
    </row>
    <row r="10071" spans="1:5">
      <c r="A10071" s="140"/>
      <c r="B10071" s="192"/>
      <c r="C10071" s="140"/>
      <c r="D10071" s="140"/>
      <c r="E10071" s="140"/>
    </row>
    <row r="10072" spans="1:5">
      <c r="A10072" s="140"/>
      <c r="B10072" s="192"/>
      <c r="C10072" s="140"/>
      <c r="D10072" s="140"/>
      <c r="E10072" s="140"/>
    </row>
    <row r="10073" spans="1:5">
      <c r="A10073" s="140"/>
      <c r="B10073" s="192"/>
      <c r="C10073" s="140"/>
      <c r="D10073" s="140"/>
      <c r="E10073" s="140"/>
    </row>
    <row r="10074" spans="1:5">
      <c r="A10074" s="140"/>
      <c r="B10074" s="192"/>
      <c r="C10074" s="140"/>
      <c r="D10074" s="140"/>
      <c r="E10074" s="140"/>
    </row>
    <row r="10075" spans="1:5">
      <c r="A10075" s="140"/>
      <c r="B10075" s="192"/>
      <c r="C10075" s="140"/>
      <c r="D10075" s="140"/>
      <c r="E10075" s="140"/>
    </row>
    <row r="10076" spans="1:5">
      <c r="A10076" s="140"/>
      <c r="B10076" s="192"/>
      <c r="C10076" s="140"/>
      <c r="D10076" s="140"/>
      <c r="E10076" s="140"/>
    </row>
    <row r="10077" spans="1:5">
      <c r="A10077" s="140"/>
      <c r="B10077" s="192"/>
      <c r="C10077" s="140"/>
      <c r="D10077" s="140"/>
      <c r="E10077" s="140"/>
    </row>
    <row r="10078" spans="1:5">
      <c r="A10078" s="140"/>
      <c r="B10078" s="192"/>
      <c r="C10078" s="140"/>
      <c r="D10078" s="140"/>
      <c r="E10078" s="140"/>
    </row>
    <row r="10079" spans="1:5">
      <c r="A10079" s="140"/>
      <c r="B10079" s="192"/>
      <c r="C10079" s="140"/>
      <c r="D10079" s="140"/>
      <c r="E10079" s="140"/>
    </row>
    <row r="10080" spans="1:5">
      <c r="A10080" s="140"/>
      <c r="B10080" s="192"/>
      <c r="C10080" s="140"/>
      <c r="D10080" s="140"/>
      <c r="E10080" s="140"/>
    </row>
    <row r="10081" spans="1:5">
      <c r="A10081" s="140"/>
      <c r="B10081" s="192"/>
      <c r="C10081" s="140"/>
      <c r="D10081" s="140"/>
      <c r="E10081" s="140"/>
    </row>
    <row r="10082" spans="1:5">
      <c r="A10082" s="140"/>
      <c r="B10082" s="192"/>
      <c r="C10082" s="140"/>
      <c r="D10082" s="140"/>
      <c r="E10082" s="140"/>
    </row>
    <row r="10083" spans="1:5">
      <c r="A10083" s="140"/>
      <c r="B10083" s="192"/>
      <c r="C10083" s="140"/>
      <c r="D10083" s="140"/>
      <c r="E10083" s="140"/>
    </row>
    <row r="10084" spans="1:5">
      <c r="A10084" s="140"/>
      <c r="B10084" s="192"/>
      <c r="C10084" s="140"/>
      <c r="D10084" s="140"/>
      <c r="E10084" s="140"/>
    </row>
    <row r="10085" spans="1:5">
      <c r="A10085" s="140"/>
      <c r="B10085" s="192"/>
      <c r="C10085" s="140"/>
      <c r="D10085" s="140"/>
      <c r="E10085" s="140"/>
    </row>
    <row r="10086" spans="1:5">
      <c r="A10086" s="140"/>
      <c r="B10086" s="192"/>
      <c r="C10086" s="140"/>
      <c r="D10086" s="140"/>
      <c r="E10086" s="140"/>
    </row>
    <row r="10087" spans="1:5">
      <c r="A10087" s="140"/>
      <c r="B10087" s="192"/>
      <c r="C10087" s="140"/>
      <c r="D10087" s="140"/>
      <c r="E10087" s="140"/>
    </row>
    <row r="10088" spans="1:5">
      <c r="A10088" s="140"/>
      <c r="B10088" s="192"/>
      <c r="C10088" s="140"/>
      <c r="D10088" s="140"/>
      <c r="E10088" s="140"/>
    </row>
    <row r="10089" spans="1:5">
      <c r="A10089" s="140"/>
      <c r="B10089" s="192"/>
      <c r="C10089" s="140"/>
      <c r="D10089" s="140"/>
      <c r="E10089" s="140"/>
    </row>
    <row r="10090" spans="1:5">
      <c r="A10090" s="140"/>
      <c r="B10090" s="192"/>
      <c r="C10090" s="140"/>
      <c r="D10090" s="140"/>
      <c r="E10090" s="140"/>
    </row>
    <row r="10091" spans="1:5">
      <c r="A10091" s="140"/>
      <c r="B10091" s="192"/>
      <c r="C10091" s="140"/>
      <c r="D10091" s="140"/>
      <c r="E10091" s="140"/>
    </row>
    <row r="10092" spans="1:5">
      <c r="A10092" s="140"/>
      <c r="B10092" s="192"/>
      <c r="C10092" s="140"/>
      <c r="D10092" s="140"/>
      <c r="E10092" s="140"/>
    </row>
    <row r="10093" spans="1:5">
      <c r="A10093" s="140"/>
      <c r="B10093" s="192"/>
      <c r="C10093" s="140"/>
      <c r="D10093" s="140"/>
      <c r="E10093" s="140"/>
    </row>
    <row r="10094" spans="1:5">
      <c r="A10094" s="140"/>
      <c r="B10094" s="192"/>
      <c r="C10094" s="140"/>
      <c r="D10094" s="140"/>
      <c r="E10094" s="140"/>
    </row>
    <row r="10095" spans="1:5">
      <c r="A10095" s="140"/>
      <c r="B10095" s="192"/>
      <c r="C10095" s="140"/>
      <c r="D10095" s="140"/>
      <c r="E10095" s="140"/>
    </row>
    <row r="10096" spans="1:5">
      <c r="A10096" s="140"/>
      <c r="B10096" s="192"/>
      <c r="C10096" s="140"/>
      <c r="D10096" s="140"/>
      <c r="E10096" s="140"/>
    </row>
    <row r="10097" spans="1:5">
      <c r="A10097" s="140"/>
      <c r="B10097" s="192"/>
      <c r="C10097" s="140"/>
      <c r="D10097" s="140"/>
      <c r="E10097" s="140"/>
    </row>
    <row r="10098" spans="1:5">
      <c r="A10098" s="140"/>
      <c r="B10098" s="192"/>
      <c r="C10098" s="140"/>
      <c r="D10098" s="140"/>
      <c r="E10098" s="140"/>
    </row>
    <row r="10099" spans="1:5">
      <c r="A10099" s="140"/>
      <c r="B10099" s="192"/>
      <c r="C10099" s="140"/>
      <c r="D10099" s="140"/>
      <c r="E10099" s="140"/>
    </row>
    <row r="10100" spans="1:5">
      <c r="A10100" s="140"/>
      <c r="B10100" s="192"/>
      <c r="C10100" s="140"/>
      <c r="D10100" s="140"/>
      <c r="E10100" s="140"/>
    </row>
    <row r="10101" spans="1:5">
      <c r="A10101" s="140"/>
      <c r="B10101" s="192"/>
      <c r="C10101" s="140"/>
      <c r="D10101" s="140"/>
      <c r="E10101" s="140"/>
    </row>
    <row r="10102" spans="1:5">
      <c r="A10102" s="140"/>
      <c r="B10102" s="192"/>
      <c r="C10102" s="140"/>
      <c r="D10102" s="140"/>
      <c r="E10102" s="140"/>
    </row>
    <row r="10103" spans="1:5">
      <c r="A10103" s="140"/>
      <c r="B10103" s="192"/>
      <c r="C10103" s="140"/>
      <c r="D10103" s="140"/>
      <c r="E10103" s="140"/>
    </row>
    <row r="10104" spans="1:5">
      <c r="A10104" s="140"/>
      <c r="B10104" s="192"/>
      <c r="C10104" s="140"/>
      <c r="D10104" s="140"/>
      <c r="E10104" s="140"/>
    </row>
    <row r="10105" spans="1:5">
      <c r="A10105" s="140"/>
      <c r="B10105" s="192"/>
      <c r="C10105" s="140"/>
      <c r="D10105" s="140"/>
      <c r="E10105" s="140"/>
    </row>
    <row r="10106" spans="1:5">
      <c r="A10106" s="140"/>
      <c r="B10106" s="192"/>
      <c r="C10106" s="140"/>
      <c r="D10106" s="140"/>
      <c r="E10106" s="140"/>
    </row>
    <row r="10107" spans="1:5">
      <c r="A10107" s="140"/>
      <c r="B10107" s="192"/>
      <c r="C10107" s="140"/>
      <c r="D10107" s="140"/>
      <c r="E10107" s="140"/>
    </row>
    <row r="10108" spans="1:5">
      <c r="A10108" s="140"/>
      <c r="B10108" s="192"/>
      <c r="C10108" s="140"/>
      <c r="D10108" s="140"/>
      <c r="E10108" s="140"/>
    </row>
    <row r="10109" spans="1:5">
      <c r="A10109" s="140"/>
      <c r="B10109" s="192"/>
      <c r="C10109" s="140"/>
      <c r="D10109" s="140"/>
      <c r="E10109" s="140"/>
    </row>
    <row r="10110" spans="1:5">
      <c r="A10110" s="140"/>
      <c r="B10110" s="192"/>
      <c r="C10110" s="140"/>
      <c r="D10110" s="140"/>
      <c r="E10110" s="140"/>
    </row>
    <row r="10111" spans="1:5">
      <c r="A10111" s="140"/>
      <c r="B10111" s="192"/>
      <c r="C10111" s="140"/>
      <c r="D10111" s="140"/>
      <c r="E10111" s="140"/>
    </row>
    <row r="10112" spans="1:5">
      <c r="A10112" s="140"/>
      <c r="B10112" s="192"/>
      <c r="C10112" s="140"/>
      <c r="D10112" s="140"/>
      <c r="E10112" s="140"/>
    </row>
    <row r="10113" spans="1:5">
      <c r="A10113" s="140"/>
      <c r="B10113" s="192"/>
      <c r="C10113" s="140"/>
      <c r="D10113" s="140"/>
      <c r="E10113" s="140"/>
    </row>
    <row r="10114" spans="1:5">
      <c r="A10114" s="140"/>
      <c r="B10114" s="192"/>
      <c r="C10114" s="140"/>
      <c r="D10114" s="140"/>
      <c r="E10114" s="140"/>
    </row>
    <row r="10115" spans="1:5">
      <c r="A10115" s="140"/>
      <c r="B10115" s="192"/>
      <c r="C10115" s="140"/>
      <c r="D10115" s="140"/>
      <c r="E10115" s="140"/>
    </row>
    <row r="10116" spans="1:5">
      <c r="A10116" s="140"/>
      <c r="B10116" s="192"/>
      <c r="C10116" s="140"/>
      <c r="D10116" s="140"/>
      <c r="E10116" s="140"/>
    </row>
    <row r="10117" spans="1:5">
      <c r="A10117" s="140"/>
      <c r="B10117" s="192"/>
      <c r="C10117" s="140"/>
      <c r="D10117" s="140"/>
      <c r="E10117" s="140"/>
    </row>
    <row r="10118" spans="1:5">
      <c r="A10118" s="140"/>
      <c r="B10118" s="192"/>
      <c r="C10118" s="140"/>
      <c r="D10118" s="140"/>
      <c r="E10118" s="140"/>
    </row>
    <row r="10119" spans="1:5">
      <c r="A10119" s="140"/>
      <c r="B10119" s="192"/>
      <c r="C10119" s="140"/>
      <c r="D10119" s="140"/>
      <c r="E10119" s="140"/>
    </row>
    <row r="10120" spans="1:5">
      <c r="A10120" s="140"/>
      <c r="B10120" s="192"/>
      <c r="C10120" s="140"/>
      <c r="D10120" s="140"/>
      <c r="E10120" s="140"/>
    </row>
    <row r="10121" spans="1:5">
      <c r="A10121" s="140"/>
      <c r="B10121" s="192"/>
      <c r="C10121" s="140"/>
      <c r="D10121" s="140"/>
      <c r="E10121" s="140"/>
    </row>
    <row r="10122" spans="1:5">
      <c r="A10122" s="140"/>
      <c r="B10122" s="192"/>
      <c r="C10122" s="140"/>
      <c r="D10122" s="140"/>
      <c r="E10122" s="140"/>
    </row>
    <row r="10123" spans="1:5">
      <c r="A10123" s="140"/>
      <c r="B10123" s="192"/>
      <c r="C10123" s="140"/>
      <c r="D10123" s="140"/>
      <c r="E10123" s="140"/>
    </row>
    <row r="10124" spans="1:5">
      <c r="A10124" s="140"/>
      <c r="B10124" s="192"/>
      <c r="C10124" s="140"/>
      <c r="D10124" s="140"/>
      <c r="E10124" s="140"/>
    </row>
    <row r="10125" spans="1:5">
      <c r="A10125" s="140"/>
      <c r="B10125" s="192"/>
      <c r="C10125" s="140"/>
      <c r="D10125" s="140"/>
      <c r="E10125" s="140"/>
    </row>
    <row r="10126" spans="1:5">
      <c r="A10126" s="140"/>
      <c r="B10126" s="192"/>
      <c r="C10126" s="140"/>
      <c r="D10126" s="140"/>
      <c r="E10126" s="140"/>
    </row>
    <row r="10127" spans="1:5">
      <c r="A10127" s="140"/>
      <c r="B10127" s="192"/>
      <c r="C10127" s="140"/>
      <c r="D10127" s="140"/>
      <c r="E10127" s="140"/>
    </row>
    <row r="10128" spans="1:5">
      <c r="A10128" s="140"/>
      <c r="B10128" s="192"/>
      <c r="C10128" s="140"/>
      <c r="D10128" s="140"/>
      <c r="E10128" s="140"/>
    </row>
    <row r="10129" spans="1:5">
      <c r="A10129" s="140"/>
      <c r="B10129" s="192"/>
      <c r="C10129" s="140"/>
      <c r="D10129" s="140"/>
      <c r="E10129" s="140"/>
    </row>
    <row r="10130" spans="1:5">
      <c r="A10130" s="140"/>
      <c r="B10130" s="192"/>
      <c r="C10130" s="140"/>
      <c r="D10130" s="140"/>
      <c r="E10130" s="140"/>
    </row>
    <row r="10131" spans="1:5">
      <c r="A10131" s="140"/>
      <c r="B10131" s="192"/>
      <c r="C10131" s="140"/>
      <c r="D10131" s="140"/>
      <c r="E10131" s="140"/>
    </row>
    <row r="10132" spans="1:5">
      <c r="A10132" s="140"/>
      <c r="B10132" s="192"/>
      <c r="C10132" s="140"/>
      <c r="D10132" s="140"/>
      <c r="E10132" s="140"/>
    </row>
    <row r="10133" spans="1:5">
      <c r="A10133" s="140"/>
      <c r="B10133" s="192"/>
      <c r="C10133" s="140"/>
      <c r="D10133" s="140"/>
      <c r="E10133" s="140"/>
    </row>
    <row r="10134" spans="1:5">
      <c r="A10134" s="140"/>
      <c r="B10134" s="192"/>
      <c r="C10134" s="140"/>
      <c r="D10134" s="140"/>
      <c r="E10134" s="140"/>
    </row>
    <row r="10135" spans="1:5">
      <c r="A10135" s="140"/>
      <c r="B10135" s="192"/>
      <c r="C10135" s="140"/>
      <c r="D10135" s="140"/>
      <c r="E10135" s="140"/>
    </row>
    <row r="10136" spans="1:5">
      <c r="A10136" s="140"/>
      <c r="B10136" s="192"/>
      <c r="C10136" s="140"/>
      <c r="D10136" s="140"/>
      <c r="E10136" s="140"/>
    </row>
    <row r="10137" spans="1:5">
      <c r="A10137" s="140"/>
      <c r="B10137" s="192"/>
      <c r="C10137" s="140"/>
      <c r="D10137" s="140"/>
      <c r="E10137" s="140"/>
    </row>
    <row r="10138" spans="1:5">
      <c r="A10138" s="140"/>
      <c r="B10138" s="192"/>
      <c r="C10138" s="140"/>
      <c r="D10138" s="140"/>
      <c r="E10138" s="140"/>
    </row>
    <row r="10139" spans="1:5">
      <c r="A10139" s="140"/>
      <c r="B10139" s="192"/>
      <c r="C10139" s="140"/>
      <c r="D10139" s="140"/>
      <c r="E10139" s="140"/>
    </row>
    <row r="10140" spans="1:5">
      <c r="A10140" s="140"/>
      <c r="B10140" s="192"/>
      <c r="C10140" s="140"/>
      <c r="D10140" s="140"/>
      <c r="E10140" s="140"/>
    </row>
    <row r="10141" spans="1:5">
      <c r="A10141" s="140"/>
      <c r="B10141" s="192"/>
      <c r="C10141" s="140"/>
      <c r="D10141" s="140"/>
      <c r="E10141" s="140"/>
    </row>
    <row r="10142" spans="1:5">
      <c r="A10142" s="140"/>
      <c r="B10142" s="192"/>
      <c r="C10142" s="140"/>
      <c r="D10142" s="140"/>
      <c r="E10142" s="140"/>
    </row>
    <row r="10143" spans="1:5">
      <c r="A10143" s="140"/>
      <c r="B10143" s="192"/>
      <c r="C10143" s="140"/>
      <c r="D10143" s="140"/>
      <c r="E10143" s="140"/>
    </row>
    <row r="10144" spans="1:5">
      <c r="A10144" s="140"/>
      <c r="B10144" s="192"/>
      <c r="C10144" s="140"/>
      <c r="D10144" s="140"/>
      <c r="E10144" s="140"/>
    </row>
    <row r="10145" spans="1:5">
      <c r="A10145" s="140"/>
      <c r="B10145" s="192"/>
      <c r="C10145" s="140"/>
      <c r="D10145" s="140"/>
      <c r="E10145" s="140"/>
    </row>
    <row r="10146" spans="1:5">
      <c r="A10146" s="140"/>
      <c r="B10146" s="192"/>
      <c r="C10146" s="140"/>
      <c r="D10146" s="140"/>
      <c r="E10146" s="140"/>
    </row>
    <row r="10147" spans="1:5">
      <c r="A10147" s="140"/>
      <c r="B10147" s="192"/>
      <c r="C10147" s="140"/>
      <c r="D10147" s="140"/>
      <c r="E10147" s="140"/>
    </row>
    <row r="10148" spans="1:5">
      <c r="A10148" s="140"/>
      <c r="B10148" s="192"/>
      <c r="C10148" s="140"/>
      <c r="D10148" s="140"/>
      <c r="E10148" s="140"/>
    </row>
    <row r="10149" spans="1:5">
      <c r="A10149" s="140"/>
      <c r="B10149" s="192"/>
      <c r="C10149" s="140"/>
      <c r="D10149" s="140"/>
      <c r="E10149" s="140"/>
    </row>
    <row r="10150" spans="1:5">
      <c r="A10150" s="140"/>
      <c r="B10150" s="192"/>
      <c r="C10150" s="140"/>
      <c r="D10150" s="140"/>
      <c r="E10150" s="140"/>
    </row>
    <row r="10151" spans="1:5">
      <c r="A10151" s="140"/>
      <c r="B10151" s="192"/>
      <c r="C10151" s="140"/>
      <c r="D10151" s="140"/>
      <c r="E10151" s="140"/>
    </row>
    <row r="10152" spans="1:5">
      <c r="A10152" s="140"/>
      <c r="B10152" s="192"/>
      <c r="C10152" s="140"/>
      <c r="D10152" s="140"/>
      <c r="E10152" s="140"/>
    </row>
    <row r="10153" spans="1:5">
      <c r="A10153" s="140"/>
      <c r="B10153" s="192"/>
      <c r="C10153" s="140"/>
      <c r="D10153" s="140"/>
      <c r="E10153" s="140"/>
    </row>
    <row r="10154" spans="1:5">
      <c r="A10154" s="140"/>
      <c r="B10154" s="192"/>
      <c r="C10154" s="140"/>
      <c r="D10154" s="140"/>
      <c r="E10154" s="140"/>
    </row>
    <row r="10155" spans="1:5">
      <c r="A10155" s="140"/>
      <c r="B10155" s="192"/>
      <c r="C10155" s="140"/>
      <c r="D10155" s="140"/>
      <c r="E10155" s="140"/>
    </row>
    <row r="10156" spans="1:5">
      <c r="A10156" s="140"/>
      <c r="B10156" s="192"/>
      <c r="C10156" s="140"/>
      <c r="D10156" s="140"/>
      <c r="E10156" s="140"/>
    </row>
    <row r="10157" spans="1:5">
      <c r="A10157" s="140"/>
      <c r="B10157" s="192"/>
      <c r="C10157" s="140"/>
      <c r="D10157" s="140"/>
      <c r="E10157" s="140"/>
    </row>
    <row r="10158" spans="1:5">
      <c r="A10158" s="140"/>
      <c r="B10158" s="192"/>
      <c r="C10158" s="140"/>
      <c r="D10158" s="140"/>
      <c r="E10158" s="140"/>
    </row>
    <row r="10159" spans="1:5">
      <c r="A10159" s="140"/>
      <c r="B10159" s="192"/>
      <c r="C10159" s="140"/>
      <c r="D10159" s="140"/>
      <c r="E10159" s="140"/>
    </row>
    <row r="10160" spans="1:5">
      <c r="A10160" s="140"/>
      <c r="B10160" s="192"/>
      <c r="C10160" s="140"/>
      <c r="D10160" s="140"/>
      <c r="E10160" s="140"/>
    </row>
    <row r="10161" spans="1:5">
      <c r="A10161" s="140"/>
      <c r="B10161" s="192"/>
      <c r="C10161" s="140"/>
      <c r="D10161" s="140"/>
      <c r="E10161" s="140"/>
    </row>
    <row r="10162" spans="1:5">
      <c r="A10162" s="140"/>
      <c r="B10162" s="192"/>
      <c r="C10162" s="140"/>
      <c r="D10162" s="140"/>
      <c r="E10162" s="140"/>
    </row>
    <row r="10163" spans="1:5">
      <c r="A10163" s="140"/>
      <c r="B10163" s="192"/>
      <c r="C10163" s="140"/>
      <c r="D10163" s="140"/>
      <c r="E10163" s="140"/>
    </row>
    <row r="10164" spans="1:5">
      <c r="A10164" s="140"/>
      <c r="B10164" s="192"/>
      <c r="C10164" s="140"/>
      <c r="D10164" s="140"/>
      <c r="E10164" s="140"/>
    </row>
    <row r="10165" spans="1:5">
      <c r="A10165" s="140"/>
      <c r="B10165" s="192"/>
      <c r="C10165" s="140"/>
      <c r="D10165" s="140"/>
      <c r="E10165" s="140"/>
    </row>
    <row r="10166" spans="1:5">
      <c r="A10166" s="140"/>
      <c r="B10166" s="192"/>
      <c r="C10166" s="140"/>
      <c r="D10166" s="140"/>
      <c r="E10166" s="140"/>
    </row>
    <row r="10167" spans="1:5">
      <c r="A10167" s="140"/>
      <c r="B10167" s="192"/>
      <c r="C10167" s="140"/>
      <c r="D10167" s="140"/>
      <c r="E10167" s="140"/>
    </row>
    <row r="10168" spans="1:5">
      <c r="A10168" s="140"/>
      <c r="B10168" s="192"/>
      <c r="C10168" s="140"/>
      <c r="D10168" s="140"/>
      <c r="E10168" s="140"/>
    </row>
    <row r="10169" spans="1:5">
      <c r="A10169" s="140"/>
      <c r="B10169" s="192"/>
      <c r="C10169" s="140"/>
      <c r="D10169" s="140"/>
      <c r="E10169" s="140"/>
    </row>
    <row r="10170" spans="1:5">
      <c r="A10170" s="140"/>
      <c r="B10170" s="192"/>
      <c r="C10170" s="140"/>
      <c r="D10170" s="140"/>
      <c r="E10170" s="140"/>
    </row>
    <row r="10171" spans="1:5">
      <c r="A10171" s="140"/>
      <c r="B10171" s="192"/>
      <c r="C10171" s="140"/>
      <c r="D10171" s="140"/>
      <c r="E10171" s="140"/>
    </row>
    <row r="10172" spans="1:5">
      <c r="A10172" s="140"/>
      <c r="B10172" s="192"/>
      <c r="C10172" s="140"/>
      <c r="D10172" s="140"/>
      <c r="E10172" s="140"/>
    </row>
    <row r="10173" spans="1:5">
      <c r="A10173" s="140"/>
      <c r="B10173" s="192"/>
      <c r="C10173" s="140"/>
      <c r="D10173" s="140"/>
      <c r="E10173" s="140"/>
    </row>
    <row r="10174" spans="1:5">
      <c r="A10174" s="140"/>
      <c r="B10174" s="192"/>
      <c r="C10174" s="140"/>
      <c r="D10174" s="140"/>
      <c r="E10174" s="140"/>
    </row>
    <row r="10175" spans="1:5">
      <c r="A10175" s="140"/>
      <c r="B10175" s="192"/>
      <c r="C10175" s="140"/>
      <c r="D10175" s="140"/>
      <c r="E10175" s="140"/>
    </row>
    <row r="10176" spans="1:5">
      <c r="A10176" s="140"/>
      <c r="B10176" s="192"/>
      <c r="C10176" s="140"/>
      <c r="D10176" s="140"/>
      <c r="E10176" s="140"/>
    </row>
    <row r="10177" spans="1:5">
      <c r="A10177" s="140"/>
      <c r="B10177" s="192"/>
      <c r="C10177" s="140"/>
      <c r="D10177" s="140"/>
      <c r="E10177" s="140"/>
    </row>
    <row r="10178" spans="1:5">
      <c r="A10178" s="140"/>
      <c r="B10178" s="192"/>
      <c r="C10178" s="140"/>
      <c r="D10178" s="140"/>
      <c r="E10178" s="140"/>
    </row>
    <row r="10179" spans="1:5">
      <c r="A10179" s="140"/>
      <c r="B10179" s="192"/>
      <c r="C10179" s="140"/>
      <c r="D10179" s="140"/>
      <c r="E10179" s="140"/>
    </row>
    <row r="10180" spans="1:5">
      <c r="A10180" s="140"/>
      <c r="B10180" s="192"/>
      <c r="C10180" s="140"/>
      <c r="D10180" s="140"/>
      <c r="E10180" s="140"/>
    </row>
    <row r="10181" spans="1:5">
      <c r="A10181" s="140"/>
      <c r="B10181" s="192"/>
      <c r="C10181" s="140"/>
      <c r="D10181" s="140"/>
      <c r="E10181" s="140"/>
    </row>
    <row r="10182" spans="1:5">
      <c r="A10182" s="140"/>
      <c r="B10182" s="192"/>
      <c r="C10182" s="140"/>
      <c r="D10182" s="140"/>
      <c r="E10182" s="140"/>
    </row>
    <row r="10183" spans="1:5">
      <c r="A10183" s="140"/>
      <c r="B10183" s="192"/>
      <c r="C10183" s="140"/>
      <c r="D10183" s="140"/>
      <c r="E10183" s="140"/>
    </row>
    <row r="10184" spans="1:5">
      <c r="A10184" s="140"/>
      <c r="B10184" s="192"/>
      <c r="C10184" s="140"/>
      <c r="D10184" s="140"/>
      <c r="E10184" s="140"/>
    </row>
    <row r="10185" spans="1:5">
      <c r="A10185" s="140"/>
      <c r="B10185" s="192"/>
      <c r="C10185" s="140"/>
      <c r="D10185" s="140"/>
      <c r="E10185" s="140"/>
    </row>
    <row r="10186" spans="1:5">
      <c r="A10186" s="140"/>
      <c r="B10186" s="192"/>
      <c r="C10186" s="140"/>
      <c r="D10186" s="140"/>
      <c r="E10186" s="140"/>
    </row>
    <row r="10187" spans="1:5">
      <c r="A10187" s="140"/>
      <c r="B10187" s="192"/>
      <c r="C10187" s="140"/>
      <c r="D10187" s="140"/>
      <c r="E10187" s="140"/>
    </row>
    <row r="10188" spans="1:5">
      <c r="A10188" s="140"/>
      <c r="B10188" s="192"/>
      <c r="C10188" s="140"/>
      <c r="D10188" s="140"/>
      <c r="E10188" s="140"/>
    </row>
    <row r="10189" spans="1:5">
      <c r="A10189" s="140"/>
      <c r="B10189" s="192"/>
      <c r="C10189" s="140"/>
      <c r="D10189" s="140"/>
      <c r="E10189" s="140"/>
    </row>
    <row r="10190" spans="1:5">
      <c r="A10190" s="140"/>
      <c r="B10190" s="192"/>
      <c r="C10190" s="140"/>
      <c r="D10190" s="140"/>
      <c r="E10190" s="140"/>
    </row>
    <row r="10191" spans="1:5">
      <c r="A10191" s="140"/>
      <c r="B10191" s="192"/>
      <c r="C10191" s="140"/>
      <c r="D10191" s="140"/>
      <c r="E10191" s="140"/>
    </row>
    <row r="10192" spans="1:5">
      <c r="A10192" s="140"/>
      <c r="B10192" s="192"/>
      <c r="C10192" s="140"/>
      <c r="D10192" s="140"/>
      <c r="E10192" s="140"/>
    </row>
    <row r="10193" spans="1:5">
      <c r="A10193" s="140"/>
      <c r="B10193" s="192"/>
      <c r="C10193" s="140"/>
      <c r="D10193" s="140"/>
      <c r="E10193" s="140"/>
    </row>
    <row r="10194" spans="1:5">
      <c r="A10194" s="140"/>
      <c r="B10194" s="192"/>
      <c r="C10194" s="140"/>
      <c r="D10194" s="140"/>
      <c r="E10194" s="140"/>
    </row>
    <row r="10195" spans="1:5">
      <c r="A10195" s="140"/>
      <c r="B10195" s="192"/>
      <c r="C10195" s="140"/>
      <c r="D10195" s="140"/>
      <c r="E10195" s="140"/>
    </row>
    <row r="10196" spans="1:5">
      <c r="A10196" s="140"/>
      <c r="B10196" s="192"/>
      <c r="C10196" s="140"/>
      <c r="D10196" s="140"/>
      <c r="E10196" s="140"/>
    </row>
    <row r="10197" spans="1:5">
      <c r="A10197" s="140"/>
      <c r="B10197" s="192"/>
      <c r="C10197" s="140"/>
      <c r="D10197" s="140"/>
      <c r="E10197" s="140"/>
    </row>
    <row r="10198" spans="1:5">
      <c r="A10198" s="140"/>
      <c r="B10198" s="192"/>
      <c r="C10198" s="140"/>
      <c r="D10198" s="140"/>
      <c r="E10198" s="140"/>
    </row>
    <row r="10199" spans="1:5">
      <c r="A10199" s="140"/>
      <c r="B10199" s="192"/>
      <c r="C10199" s="140"/>
      <c r="D10199" s="140"/>
      <c r="E10199" s="140"/>
    </row>
    <row r="10200" spans="1:5">
      <c r="A10200" s="140"/>
      <c r="B10200" s="192"/>
      <c r="C10200" s="140"/>
      <c r="D10200" s="140"/>
      <c r="E10200" s="140"/>
    </row>
    <row r="10201" spans="1:5">
      <c r="A10201" s="140"/>
      <c r="B10201" s="192"/>
      <c r="C10201" s="140"/>
      <c r="D10201" s="140"/>
      <c r="E10201" s="140"/>
    </row>
    <row r="10202" spans="1:5">
      <c r="A10202" s="140"/>
      <c r="B10202" s="192"/>
      <c r="C10202" s="140"/>
      <c r="D10202" s="140"/>
      <c r="E10202" s="140"/>
    </row>
    <row r="10203" spans="1:5">
      <c r="A10203" s="140"/>
      <c r="B10203" s="192"/>
      <c r="C10203" s="140"/>
      <c r="D10203" s="140"/>
      <c r="E10203" s="140"/>
    </row>
    <row r="10204" spans="1:5">
      <c r="A10204" s="140"/>
      <c r="B10204" s="192"/>
      <c r="C10204" s="140"/>
      <c r="D10204" s="140"/>
      <c r="E10204" s="140"/>
    </row>
    <row r="10205" spans="1:5">
      <c r="A10205" s="140"/>
      <c r="B10205" s="192"/>
      <c r="C10205" s="140"/>
      <c r="D10205" s="140"/>
      <c r="E10205" s="140"/>
    </row>
    <row r="10206" spans="1:5">
      <c r="A10206" s="140"/>
      <c r="B10206" s="192"/>
      <c r="C10206" s="140"/>
      <c r="D10206" s="140"/>
      <c r="E10206" s="140"/>
    </row>
    <row r="10207" spans="1:5">
      <c r="A10207" s="140"/>
      <c r="B10207" s="192"/>
      <c r="C10207" s="140"/>
      <c r="D10207" s="140"/>
      <c r="E10207" s="140"/>
    </row>
    <row r="10208" spans="1:5">
      <c r="A10208" s="140"/>
      <c r="B10208" s="192"/>
      <c r="C10208" s="140"/>
      <c r="D10208" s="140"/>
      <c r="E10208" s="140"/>
    </row>
    <row r="10209" spans="1:5">
      <c r="A10209" s="140"/>
      <c r="B10209" s="192"/>
      <c r="C10209" s="140"/>
      <c r="D10209" s="140"/>
      <c r="E10209" s="140"/>
    </row>
    <row r="10210" spans="1:5">
      <c r="A10210" s="140"/>
      <c r="B10210" s="192"/>
      <c r="C10210" s="140"/>
      <c r="D10210" s="140"/>
      <c r="E10210" s="140"/>
    </row>
    <row r="10211" spans="1:5">
      <c r="A10211" s="140"/>
      <c r="B10211" s="192"/>
      <c r="C10211" s="140"/>
      <c r="D10211" s="140"/>
      <c r="E10211" s="140"/>
    </row>
    <row r="10212" spans="1:5">
      <c r="A10212" s="140"/>
      <c r="B10212" s="192"/>
      <c r="C10212" s="140"/>
      <c r="D10212" s="140"/>
      <c r="E10212" s="140"/>
    </row>
    <row r="10213" spans="1:5">
      <c r="A10213" s="140"/>
      <c r="B10213" s="192"/>
      <c r="C10213" s="140"/>
      <c r="D10213" s="140"/>
      <c r="E10213" s="140"/>
    </row>
    <row r="10214" spans="1:5">
      <c r="A10214" s="140"/>
      <c r="B10214" s="192"/>
      <c r="C10214" s="140"/>
      <c r="D10214" s="140"/>
      <c r="E10214" s="140"/>
    </row>
    <row r="10215" spans="1:5">
      <c r="A10215" s="140"/>
      <c r="B10215" s="192"/>
      <c r="C10215" s="140"/>
      <c r="D10215" s="140"/>
      <c r="E10215" s="140"/>
    </row>
    <row r="10216" spans="1:5">
      <c r="A10216" s="140"/>
      <c r="B10216" s="192"/>
      <c r="C10216" s="140"/>
      <c r="D10216" s="140"/>
      <c r="E10216" s="140"/>
    </row>
    <row r="10217" spans="1:5">
      <c r="A10217" s="140"/>
      <c r="B10217" s="192"/>
      <c r="C10217" s="140"/>
      <c r="D10217" s="140"/>
      <c r="E10217" s="140"/>
    </row>
    <row r="10218" spans="1:5">
      <c r="A10218" s="140"/>
      <c r="B10218" s="192"/>
      <c r="C10218" s="140"/>
      <c r="D10218" s="140"/>
      <c r="E10218" s="140"/>
    </row>
    <row r="10219" spans="1:5">
      <c r="A10219" s="140"/>
      <c r="B10219" s="192"/>
      <c r="C10219" s="140"/>
      <c r="D10219" s="140"/>
      <c r="E10219" s="140"/>
    </row>
    <row r="10220" spans="1:5">
      <c r="A10220" s="140"/>
      <c r="B10220" s="192"/>
      <c r="C10220" s="140"/>
      <c r="D10220" s="140"/>
      <c r="E10220" s="140"/>
    </row>
    <row r="10221" spans="1:5">
      <c r="A10221" s="140"/>
      <c r="B10221" s="192"/>
      <c r="C10221" s="140"/>
      <c r="D10221" s="140"/>
      <c r="E10221" s="140"/>
    </row>
    <row r="10222" spans="1:5">
      <c r="A10222" s="140"/>
      <c r="B10222" s="192"/>
      <c r="C10222" s="140"/>
      <c r="D10222" s="140"/>
      <c r="E10222" s="140"/>
    </row>
    <row r="10223" spans="1:5">
      <c r="A10223" s="140"/>
      <c r="B10223" s="192"/>
      <c r="C10223" s="140"/>
      <c r="D10223" s="140"/>
      <c r="E10223" s="140"/>
    </row>
    <row r="10224" spans="1:5">
      <c r="A10224" s="140"/>
      <c r="B10224" s="192"/>
      <c r="C10224" s="140"/>
      <c r="D10224" s="140"/>
      <c r="E10224" s="140"/>
    </row>
    <row r="10225" spans="1:5">
      <c r="A10225" s="140"/>
      <c r="B10225" s="192"/>
      <c r="C10225" s="140"/>
      <c r="D10225" s="140"/>
      <c r="E10225" s="140"/>
    </row>
    <row r="10226" spans="1:5">
      <c r="A10226" s="140"/>
      <c r="B10226" s="192"/>
      <c r="C10226" s="140"/>
      <c r="D10226" s="140"/>
      <c r="E10226" s="140"/>
    </row>
    <row r="10227" spans="1:5">
      <c r="A10227" s="140"/>
      <c r="B10227" s="192"/>
      <c r="C10227" s="140"/>
      <c r="D10227" s="140"/>
      <c r="E10227" s="140"/>
    </row>
    <row r="10228" spans="1:5">
      <c r="A10228" s="140"/>
      <c r="B10228" s="192"/>
      <c r="C10228" s="140"/>
      <c r="D10228" s="140"/>
      <c r="E10228" s="140"/>
    </row>
    <row r="10229" spans="1:5">
      <c r="A10229" s="140"/>
      <c r="B10229" s="192"/>
      <c r="C10229" s="140"/>
      <c r="D10229" s="140"/>
      <c r="E10229" s="140"/>
    </row>
    <row r="10230" spans="1:5">
      <c r="A10230" s="140"/>
      <c r="B10230" s="192"/>
      <c r="C10230" s="140"/>
      <c r="D10230" s="140"/>
      <c r="E10230" s="140"/>
    </row>
    <row r="10231" spans="1:5">
      <c r="A10231" s="140"/>
      <c r="B10231" s="192"/>
      <c r="C10231" s="140"/>
      <c r="D10231" s="140"/>
      <c r="E10231" s="140"/>
    </row>
    <row r="10232" spans="1:5">
      <c r="A10232" s="140"/>
      <c r="B10232" s="192"/>
      <c r="C10232" s="140"/>
      <c r="D10232" s="140"/>
      <c r="E10232" s="140"/>
    </row>
    <row r="10233" spans="1:5">
      <c r="A10233" s="140"/>
      <c r="B10233" s="192"/>
      <c r="C10233" s="140"/>
      <c r="D10233" s="140"/>
      <c r="E10233" s="140"/>
    </row>
    <row r="10234" spans="1:5">
      <c r="A10234" s="140"/>
      <c r="B10234" s="192"/>
      <c r="C10234" s="140"/>
      <c r="D10234" s="140"/>
      <c r="E10234" s="140"/>
    </row>
    <row r="10235" spans="1:5">
      <c r="A10235" s="140"/>
      <c r="B10235" s="192"/>
      <c r="C10235" s="140"/>
      <c r="D10235" s="140"/>
      <c r="E10235" s="140"/>
    </row>
    <row r="10236" spans="1:5">
      <c r="A10236" s="140"/>
      <c r="B10236" s="192"/>
      <c r="C10236" s="140"/>
      <c r="D10236" s="140"/>
      <c r="E10236" s="140"/>
    </row>
    <row r="10237" spans="1:5">
      <c r="A10237" s="140"/>
      <c r="B10237" s="192"/>
      <c r="C10237" s="140"/>
      <c r="D10237" s="140"/>
      <c r="E10237" s="140"/>
    </row>
    <row r="10238" spans="1:5">
      <c r="A10238" s="140"/>
      <c r="B10238" s="192"/>
      <c r="C10238" s="140"/>
      <c r="D10238" s="140"/>
      <c r="E10238" s="140"/>
    </row>
    <row r="10239" spans="1:5">
      <c r="A10239" s="140"/>
      <c r="B10239" s="192"/>
      <c r="C10239" s="140"/>
      <c r="D10239" s="140"/>
      <c r="E10239" s="140"/>
    </row>
    <row r="10240" spans="1:5">
      <c r="A10240" s="140"/>
      <c r="B10240" s="192"/>
      <c r="C10240" s="140"/>
      <c r="D10240" s="140"/>
      <c r="E10240" s="140"/>
    </row>
    <row r="10241" spans="1:5">
      <c r="A10241" s="140"/>
      <c r="B10241" s="192"/>
      <c r="C10241" s="140"/>
      <c r="D10241" s="140"/>
      <c r="E10241" s="140"/>
    </row>
    <row r="10242" spans="1:5">
      <c r="A10242" s="140"/>
      <c r="B10242" s="192"/>
      <c r="C10242" s="140"/>
      <c r="D10242" s="140"/>
      <c r="E10242" s="140"/>
    </row>
    <row r="10243" spans="1:5">
      <c r="A10243" s="140"/>
      <c r="B10243" s="192"/>
      <c r="C10243" s="140"/>
      <c r="D10243" s="140"/>
      <c r="E10243" s="140"/>
    </row>
    <row r="10244" spans="1:5">
      <c r="A10244" s="140"/>
      <c r="B10244" s="192"/>
      <c r="C10244" s="140"/>
      <c r="D10244" s="140"/>
      <c r="E10244" s="140"/>
    </row>
    <row r="10245" spans="1:5">
      <c r="A10245" s="140"/>
      <c r="B10245" s="192"/>
      <c r="C10245" s="140"/>
      <c r="D10245" s="140"/>
      <c r="E10245" s="140"/>
    </row>
    <row r="10246" spans="1:5">
      <c r="A10246" s="140"/>
      <c r="B10246" s="192"/>
      <c r="C10246" s="140"/>
      <c r="D10246" s="140"/>
      <c r="E10246" s="140"/>
    </row>
    <row r="10247" spans="1:5">
      <c r="A10247" s="140"/>
      <c r="B10247" s="192"/>
      <c r="C10247" s="140"/>
      <c r="D10247" s="140"/>
      <c r="E10247" s="140"/>
    </row>
    <row r="10248" spans="1:5">
      <c r="A10248" s="140"/>
      <c r="B10248" s="192"/>
      <c r="C10248" s="140"/>
      <c r="D10248" s="140"/>
      <c r="E10248" s="140"/>
    </row>
    <row r="10249" spans="1:5">
      <c r="A10249" s="140"/>
      <c r="B10249" s="192"/>
      <c r="C10249" s="140"/>
      <c r="D10249" s="140"/>
      <c r="E10249" s="140"/>
    </row>
    <row r="10250" spans="1:5">
      <c r="A10250" s="140"/>
      <c r="B10250" s="192"/>
      <c r="C10250" s="140"/>
      <c r="D10250" s="140"/>
      <c r="E10250" s="140"/>
    </row>
    <row r="10251" spans="1:5">
      <c r="A10251" s="140"/>
      <c r="B10251" s="192"/>
      <c r="C10251" s="140"/>
      <c r="D10251" s="140"/>
      <c r="E10251" s="140"/>
    </row>
    <row r="10252" spans="1:5">
      <c r="A10252" s="140"/>
      <c r="B10252" s="192"/>
      <c r="C10252" s="140"/>
      <c r="D10252" s="140"/>
      <c r="E10252" s="140"/>
    </row>
    <row r="10253" spans="1:5">
      <c r="A10253" s="140"/>
      <c r="B10253" s="192"/>
      <c r="C10253" s="140"/>
      <c r="D10253" s="140"/>
      <c r="E10253" s="140"/>
    </row>
    <row r="10254" spans="1:5">
      <c r="A10254" s="140"/>
      <c r="B10254" s="192"/>
      <c r="C10254" s="140"/>
      <c r="D10254" s="140"/>
      <c r="E10254" s="140"/>
    </row>
    <row r="10255" spans="1:5">
      <c r="A10255" s="140"/>
      <c r="B10255" s="192"/>
      <c r="C10255" s="140"/>
      <c r="D10255" s="140"/>
      <c r="E10255" s="140"/>
    </row>
    <row r="10256" spans="1:5">
      <c r="A10256" s="140"/>
      <c r="B10256" s="192"/>
      <c r="C10256" s="140"/>
      <c r="D10256" s="140"/>
      <c r="E10256" s="140"/>
    </row>
    <row r="10257" spans="1:5">
      <c r="A10257" s="140"/>
      <c r="B10257" s="192"/>
      <c r="C10257" s="140"/>
      <c r="D10257" s="140"/>
      <c r="E10257" s="140"/>
    </row>
    <row r="10258" spans="1:5">
      <c r="A10258" s="140"/>
      <c r="B10258" s="192"/>
      <c r="C10258" s="140"/>
      <c r="D10258" s="140"/>
      <c r="E10258" s="140"/>
    </row>
    <row r="10259" spans="1:5">
      <c r="A10259" s="140"/>
      <c r="B10259" s="192"/>
      <c r="C10259" s="140"/>
      <c r="D10259" s="140"/>
      <c r="E10259" s="140"/>
    </row>
    <row r="10260" spans="1:5">
      <c r="A10260" s="140"/>
      <c r="B10260" s="192"/>
      <c r="C10260" s="140"/>
      <c r="D10260" s="140"/>
      <c r="E10260" s="140"/>
    </row>
    <row r="10261" spans="1:5">
      <c r="A10261" s="140"/>
      <c r="B10261" s="192"/>
      <c r="C10261" s="140"/>
      <c r="D10261" s="140"/>
      <c r="E10261" s="140"/>
    </row>
    <row r="10262" spans="1:5">
      <c r="A10262" s="140"/>
      <c r="B10262" s="192"/>
      <c r="C10262" s="140"/>
      <c r="D10262" s="140"/>
      <c r="E10262" s="140"/>
    </row>
    <row r="10263" spans="1:5">
      <c r="A10263" s="140"/>
      <c r="B10263" s="192"/>
      <c r="C10263" s="140"/>
      <c r="D10263" s="140"/>
      <c r="E10263" s="140"/>
    </row>
    <row r="10264" spans="1:5">
      <c r="A10264" s="140"/>
      <c r="B10264" s="192"/>
      <c r="C10264" s="140"/>
      <c r="D10264" s="140"/>
      <c r="E10264" s="140"/>
    </row>
    <row r="10265" spans="1:5">
      <c r="A10265" s="140"/>
      <c r="B10265" s="192"/>
      <c r="C10265" s="140"/>
      <c r="D10265" s="140"/>
      <c r="E10265" s="140"/>
    </row>
    <row r="10266" spans="1:5">
      <c r="A10266" s="140"/>
      <c r="B10266" s="192"/>
      <c r="C10266" s="140"/>
      <c r="D10266" s="140"/>
      <c r="E10266" s="140"/>
    </row>
    <row r="10267" spans="1:5">
      <c r="A10267" s="140"/>
      <c r="B10267" s="192"/>
      <c r="C10267" s="140"/>
      <c r="D10267" s="140"/>
      <c r="E10267" s="140"/>
    </row>
    <row r="10268" spans="1:5">
      <c r="A10268" s="140"/>
      <c r="B10268" s="192"/>
      <c r="C10268" s="140"/>
      <c r="D10268" s="140"/>
      <c r="E10268" s="140"/>
    </row>
    <row r="10269" spans="1:5">
      <c r="A10269" s="140"/>
      <c r="B10269" s="192"/>
      <c r="C10269" s="140"/>
      <c r="D10269" s="140"/>
      <c r="E10269" s="140"/>
    </row>
    <row r="10270" spans="1:5">
      <c r="A10270" s="140"/>
      <c r="B10270" s="192"/>
      <c r="C10270" s="140"/>
      <c r="D10270" s="140"/>
      <c r="E10270" s="140"/>
    </row>
    <row r="10271" spans="1:5">
      <c r="A10271" s="140"/>
      <c r="B10271" s="192"/>
      <c r="C10271" s="140"/>
      <c r="D10271" s="140"/>
      <c r="E10271" s="140"/>
    </row>
    <row r="10272" spans="1:5">
      <c r="A10272" s="140"/>
      <c r="B10272" s="192"/>
      <c r="C10272" s="140"/>
      <c r="D10272" s="140"/>
      <c r="E10272" s="140"/>
    </row>
    <row r="10273" spans="1:5">
      <c r="A10273" s="140"/>
      <c r="B10273" s="192"/>
      <c r="C10273" s="140"/>
      <c r="D10273" s="140"/>
      <c r="E10273" s="140"/>
    </row>
    <row r="10274" spans="1:5">
      <c r="A10274" s="140"/>
      <c r="B10274" s="192"/>
      <c r="C10274" s="140"/>
      <c r="D10274" s="140"/>
      <c r="E10274" s="140"/>
    </row>
    <row r="10275" spans="1:5">
      <c r="A10275" s="140"/>
      <c r="B10275" s="192"/>
      <c r="C10275" s="140"/>
      <c r="D10275" s="140"/>
      <c r="E10275" s="140"/>
    </row>
    <row r="10276" spans="1:5">
      <c r="A10276" s="140"/>
      <c r="B10276" s="192"/>
      <c r="C10276" s="140"/>
      <c r="D10276" s="140"/>
      <c r="E10276" s="140"/>
    </row>
    <row r="10277" spans="1:5">
      <c r="A10277" s="140"/>
      <c r="B10277" s="192"/>
      <c r="C10277" s="140"/>
      <c r="D10277" s="140"/>
      <c r="E10277" s="140"/>
    </row>
    <row r="10278" spans="1:5">
      <c r="A10278" s="140"/>
      <c r="B10278" s="192"/>
      <c r="C10278" s="140"/>
      <c r="D10278" s="140"/>
      <c r="E10278" s="140"/>
    </row>
    <row r="10279" spans="1:5">
      <c r="A10279" s="140"/>
      <c r="B10279" s="192"/>
      <c r="C10279" s="140"/>
      <c r="D10279" s="140"/>
      <c r="E10279" s="140"/>
    </row>
    <row r="10280" spans="1:5">
      <c r="A10280" s="140"/>
      <c r="B10280" s="192"/>
      <c r="C10280" s="140"/>
      <c r="D10280" s="140"/>
      <c r="E10280" s="140"/>
    </row>
    <row r="10281" spans="1:5">
      <c r="A10281" s="140"/>
      <c r="B10281" s="192"/>
      <c r="C10281" s="140"/>
      <c r="D10281" s="140"/>
      <c r="E10281" s="140"/>
    </row>
    <row r="10282" spans="1:5">
      <c r="A10282" s="140"/>
      <c r="B10282" s="192"/>
      <c r="C10282" s="140"/>
      <c r="D10282" s="140"/>
      <c r="E10282" s="140"/>
    </row>
    <row r="10283" spans="1:5">
      <c r="A10283" s="140"/>
      <c r="B10283" s="192"/>
      <c r="C10283" s="140"/>
      <c r="D10283" s="140"/>
      <c r="E10283" s="140"/>
    </row>
    <row r="10284" spans="1:5">
      <c r="A10284" s="140"/>
      <c r="B10284" s="192"/>
      <c r="C10284" s="140"/>
      <c r="D10284" s="140"/>
      <c r="E10284" s="140"/>
    </row>
    <row r="10285" spans="1:5">
      <c r="A10285" s="140"/>
      <c r="B10285" s="192"/>
      <c r="C10285" s="140"/>
      <c r="D10285" s="140"/>
      <c r="E10285" s="140"/>
    </row>
    <row r="10286" spans="1:5">
      <c r="A10286" s="140"/>
      <c r="B10286" s="192"/>
      <c r="C10286" s="140"/>
      <c r="D10286" s="140"/>
      <c r="E10286" s="140"/>
    </row>
    <row r="10287" spans="1:5">
      <c r="A10287" s="140"/>
      <c r="B10287" s="192"/>
      <c r="C10287" s="140"/>
      <c r="D10287" s="140"/>
      <c r="E10287" s="140"/>
    </row>
    <row r="10288" spans="1:5">
      <c r="A10288" s="140"/>
      <c r="B10288" s="192"/>
      <c r="C10288" s="140"/>
      <c r="D10288" s="140"/>
      <c r="E10288" s="140"/>
    </row>
    <row r="10289" spans="1:5">
      <c r="A10289" s="140"/>
      <c r="B10289" s="192"/>
      <c r="C10289" s="140"/>
      <c r="D10289" s="140"/>
      <c r="E10289" s="140"/>
    </row>
    <row r="10290" spans="1:5">
      <c r="A10290" s="140"/>
      <c r="B10290" s="192"/>
      <c r="C10290" s="140"/>
      <c r="D10290" s="140"/>
      <c r="E10290" s="140"/>
    </row>
    <row r="10291" spans="1:5">
      <c r="A10291" s="140"/>
      <c r="B10291" s="192"/>
      <c r="C10291" s="140"/>
      <c r="D10291" s="140"/>
      <c r="E10291" s="140"/>
    </row>
    <row r="10292" spans="1:5">
      <c r="A10292" s="140"/>
      <c r="B10292" s="192"/>
      <c r="C10292" s="140"/>
      <c r="D10292" s="140"/>
      <c r="E10292" s="140"/>
    </row>
    <row r="10293" spans="1:5">
      <c r="A10293" s="140"/>
      <c r="B10293" s="192"/>
      <c r="C10293" s="140"/>
      <c r="D10293" s="140"/>
      <c r="E10293" s="140"/>
    </row>
    <row r="10294" spans="1:5">
      <c r="A10294" s="140"/>
      <c r="B10294" s="192"/>
      <c r="C10294" s="140"/>
      <c r="D10294" s="140"/>
      <c r="E10294" s="140"/>
    </row>
    <row r="10295" spans="1:5">
      <c r="A10295" s="140"/>
      <c r="B10295" s="192"/>
      <c r="C10295" s="140"/>
      <c r="D10295" s="140"/>
      <c r="E10295" s="140"/>
    </row>
    <row r="10296" spans="1:5">
      <c r="A10296" s="140"/>
      <c r="B10296" s="192"/>
      <c r="C10296" s="140"/>
      <c r="D10296" s="140"/>
      <c r="E10296" s="140"/>
    </row>
    <row r="10297" spans="1:5">
      <c r="A10297" s="140"/>
      <c r="B10297" s="192"/>
      <c r="C10297" s="140"/>
      <c r="D10297" s="140"/>
      <c r="E10297" s="140"/>
    </row>
    <row r="10298" spans="1:5">
      <c r="A10298" s="140"/>
      <c r="B10298" s="192"/>
      <c r="C10298" s="140"/>
      <c r="D10298" s="140"/>
      <c r="E10298" s="140"/>
    </row>
    <row r="10299" spans="1:5">
      <c r="A10299" s="140"/>
      <c r="B10299" s="192"/>
      <c r="C10299" s="140"/>
      <c r="D10299" s="140"/>
      <c r="E10299" s="140"/>
    </row>
    <row r="10300" spans="1:5">
      <c r="A10300" s="140"/>
      <c r="B10300" s="192"/>
      <c r="C10300" s="140"/>
      <c r="D10300" s="140"/>
      <c r="E10300" s="140"/>
    </row>
    <row r="10301" spans="1:5">
      <c r="A10301" s="140"/>
      <c r="B10301" s="192"/>
      <c r="C10301" s="140"/>
      <c r="D10301" s="140"/>
      <c r="E10301" s="140"/>
    </row>
    <row r="10302" spans="1:5">
      <c r="A10302" s="140"/>
      <c r="B10302" s="192"/>
      <c r="C10302" s="140"/>
      <c r="D10302" s="140"/>
      <c r="E10302" s="140"/>
    </row>
    <row r="10303" spans="1:5">
      <c r="A10303" s="140"/>
      <c r="B10303" s="192"/>
      <c r="C10303" s="140"/>
      <c r="D10303" s="140"/>
      <c r="E10303" s="140"/>
    </row>
    <row r="10304" spans="1:5">
      <c r="A10304" s="140"/>
      <c r="B10304" s="192"/>
      <c r="C10304" s="140"/>
      <c r="D10304" s="140"/>
      <c r="E10304" s="140"/>
    </row>
    <row r="10305" spans="1:5">
      <c r="A10305" s="140"/>
      <c r="B10305" s="192"/>
      <c r="C10305" s="140"/>
      <c r="D10305" s="140"/>
      <c r="E10305" s="140"/>
    </row>
    <row r="10306" spans="1:5">
      <c r="A10306" s="140"/>
      <c r="B10306" s="192"/>
      <c r="C10306" s="140"/>
      <c r="D10306" s="140"/>
      <c r="E10306" s="140"/>
    </row>
    <row r="10307" spans="1:5">
      <c r="A10307" s="140"/>
      <c r="B10307" s="192"/>
      <c r="C10307" s="140"/>
      <c r="D10307" s="140"/>
      <c r="E10307" s="140"/>
    </row>
    <row r="10308" spans="1:5">
      <c r="A10308" s="140"/>
      <c r="B10308" s="192"/>
      <c r="C10308" s="140"/>
      <c r="D10308" s="140"/>
      <c r="E10308" s="140"/>
    </row>
    <row r="10309" spans="1:5">
      <c r="A10309" s="140"/>
      <c r="B10309" s="192"/>
      <c r="C10309" s="140"/>
      <c r="D10309" s="140"/>
      <c r="E10309" s="140"/>
    </row>
    <row r="10310" spans="1:5">
      <c r="A10310" s="140"/>
      <c r="B10310" s="192"/>
      <c r="C10310" s="140"/>
      <c r="D10310" s="140"/>
      <c r="E10310" s="140"/>
    </row>
    <row r="10311" spans="1:5">
      <c r="A10311" s="140"/>
      <c r="B10311" s="192"/>
      <c r="C10311" s="140"/>
      <c r="D10311" s="140"/>
      <c r="E10311" s="140"/>
    </row>
    <row r="10312" spans="1:5">
      <c r="A10312" s="140"/>
      <c r="B10312" s="192"/>
      <c r="C10312" s="140"/>
      <c r="D10312" s="140"/>
      <c r="E10312" s="140"/>
    </row>
    <row r="10313" spans="1:5">
      <c r="A10313" s="140"/>
      <c r="B10313" s="192"/>
      <c r="C10313" s="140"/>
      <c r="D10313" s="140"/>
      <c r="E10313" s="140"/>
    </row>
    <row r="10314" spans="1:5">
      <c r="A10314" s="140"/>
      <c r="B10314" s="192"/>
      <c r="C10314" s="140"/>
      <c r="D10314" s="140"/>
      <c r="E10314" s="140"/>
    </row>
    <row r="10315" spans="1:5">
      <c r="A10315" s="140"/>
      <c r="B10315" s="192"/>
      <c r="C10315" s="140"/>
      <c r="D10315" s="140"/>
      <c r="E10315" s="140"/>
    </row>
    <row r="10316" spans="1:5">
      <c r="A10316" s="140"/>
      <c r="B10316" s="192"/>
      <c r="C10316" s="140"/>
      <c r="D10316" s="140"/>
      <c r="E10316" s="140"/>
    </row>
    <row r="10317" spans="1:5">
      <c r="A10317" s="140"/>
      <c r="B10317" s="192"/>
      <c r="C10317" s="140"/>
      <c r="D10317" s="140"/>
      <c r="E10317" s="140"/>
    </row>
    <row r="10318" spans="1:5">
      <c r="A10318" s="140"/>
      <c r="B10318" s="192"/>
      <c r="C10318" s="140"/>
      <c r="D10318" s="140"/>
      <c r="E10318" s="140"/>
    </row>
    <row r="10319" spans="1:5">
      <c r="A10319" s="140"/>
      <c r="B10319" s="192"/>
      <c r="C10319" s="140"/>
      <c r="D10319" s="140"/>
      <c r="E10319" s="140"/>
    </row>
    <row r="10320" spans="1:5">
      <c r="A10320" s="140"/>
      <c r="B10320" s="192"/>
      <c r="C10320" s="140"/>
      <c r="D10320" s="140"/>
      <c r="E10320" s="140"/>
    </row>
    <row r="10321" spans="1:5">
      <c r="A10321" s="140"/>
      <c r="B10321" s="192"/>
      <c r="C10321" s="140"/>
      <c r="D10321" s="140"/>
      <c r="E10321" s="140"/>
    </row>
    <row r="10322" spans="1:5">
      <c r="A10322" s="140"/>
      <c r="B10322" s="192"/>
      <c r="C10322" s="140"/>
      <c r="D10322" s="140"/>
      <c r="E10322" s="140"/>
    </row>
    <row r="10323" spans="1:5">
      <c r="A10323" s="140"/>
      <c r="B10323" s="192"/>
      <c r="C10323" s="140"/>
      <c r="D10323" s="140"/>
      <c r="E10323" s="140"/>
    </row>
    <row r="10324" spans="1:5">
      <c r="A10324" s="140"/>
      <c r="B10324" s="192"/>
      <c r="C10324" s="140"/>
      <c r="D10324" s="140"/>
      <c r="E10324" s="140"/>
    </row>
    <row r="10325" spans="1:5">
      <c r="A10325" s="140"/>
      <c r="B10325" s="192"/>
      <c r="C10325" s="140"/>
      <c r="D10325" s="140"/>
      <c r="E10325" s="140"/>
    </row>
    <row r="10326" spans="1:5">
      <c r="A10326" s="140"/>
      <c r="B10326" s="192"/>
      <c r="C10326" s="140"/>
      <c r="D10326" s="140"/>
      <c r="E10326" s="140"/>
    </row>
    <row r="10327" spans="1:5">
      <c r="A10327" s="140"/>
      <c r="B10327" s="192"/>
      <c r="C10327" s="140"/>
      <c r="D10327" s="140"/>
      <c r="E10327" s="140"/>
    </row>
    <row r="10328" spans="1:5">
      <c r="A10328" s="140"/>
      <c r="B10328" s="192"/>
      <c r="C10328" s="140"/>
      <c r="D10328" s="140"/>
      <c r="E10328" s="140"/>
    </row>
    <row r="10329" spans="1:5">
      <c r="A10329" s="140"/>
      <c r="B10329" s="192"/>
      <c r="C10329" s="140"/>
      <c r="D10329" s="140"/>
      <c r="E10329" s="140"/>
    </row>
    <row r="10330" spans="1:5">
      <c r="A10330" s="140"/>
      <c r="B10330" s="192"/>
      <c r="C10330" s="140"/>
      <c r="D10330" s="140"/>
      <c r="E10330" s="140"/>
    </row>
    <row r="10331" spans="1:5">
      <c r="A10331" s="140"/>
      <c r="B10331" s="192"/>
      <c r="C10331" s="140"/>
      <c r="D10331" s="140"/>
      <c r="E10331" s="140"/>
    </row>
    <row r="10332" spans="1:5">
      <c r="A10332" s="140"/>
      <c r="B10332" s="192"/>
      <c r="C10332" s="140"/>
      <c r="D10332" s="140"/>
      <c r="E10332" s="140"/>
    </row>
    <row r="10333" spans="1:5">
      <c r="A10333" s="140"/>
      <c r="B10333" s="192"/>
      <c r="C10333" s="140"/>
      <c r="D10333" s="140"/>
      <c r="E10333" s="140"/>
    </row>
    <row r="10334" spans="1:5">
      <c r="A10334" s="140"/>
      <c r="B10334" s="192"/>
      <c r="C10334" s="140"/>
      <c r="D10334" s="140"/>
      <c r="E10334" s="140"/>
    </row>
    <row r="10335" spans="1:5">
      <c r="A10335" s="140"/>
      <c r="B10335" s="192"/>
      <c r="C10335" s="140"/>
      <c r="D10335" s="140"/>
      <c r="E10335" s="140"/>
    </row>
    <row r="10336" spans="1:5">
      <c r="A10336" s="140"/>
      <c r="B10336" s="192"/>
      <c r="C10336" s="140"/>
      <c r="D10336" s="140"/>
      <c r="E10336" s="140"/>
    </row>
    <row r="10337" spans="1:5">
      <c r="A10337" s="140"/>
      <c r="B10337" s="192"/>
      <c r="C10337" s="140"/>
      <c r="D10337" s="140"/>
      <c r="E10337" s="140"/>
    </row>
    <row r="10338" spans="1:5">
      <c r="A10338" s="140"/>
      <c r="B10338" s="192"/>
      <c r="C10338" s="140"/>
      <c r="D10338" s="140"/>
      <c r="E10338" s="140"/>
    </row>
    <row r="10339" spans="1:5">
      <c r="A10339" s="140"/>
      <c r="B10339" s="192"/>
      <c r="C10339" s="140"/>
      <c r="D10339" s="140"/>
      <c r="E10339" s="140"/>
    </row>
    <row r="10340" spans="1:5">
      <c r="A10340" s="140"/>
      <c r="B10340" s="192"/>
      <c r="C10340" s="140"/>
      <c r="D10340" s="140"/>
      <c r="E10340" s="140"/>
    </row>
    <row r="10341" spans="1:5">
      <c r="A10341" s="140"/>
      <c r="B10341" s="192"/>
      <c r="C10341" s="140"/>
      <c r="D10341" s="140"/>
      <c r="E10341" s="140"/>
    </row>
    <row r="10342" spans="1:5">
      <c r="A10342" s="140"/>
      <c r="B10342" s="192"/>
      <c r="C10342" s="140"/>
      <c r="D10342" s="140"/>
      <c r="E10342" s="140"/>
    </row>
    <row r="10343" spans="1:5">
      <c r="A10343" s="140"/>
      <c r="B10343" s="192"/>
      <c r="C10343" s="140"/>
      <c r="D10343" s="140"/>
      <c r="E10343" s="140"/>
    </row>
    <row r="10344" spans="1:5">
      <c r="A10344" s="140"/>
      <c r="B10344" s="192"/>
      <c r="C10344" s="140"/>
      <c r="D10344" s="140"/>
      <c r="E10344" s="140"/>
    </row>
    <row r="10345" spans="1:5">
      <c r="A10345" s="140"/>
      <c r="B10345" s="192"/>
      <c r="C10345" s="140"/>
      <c r="D10345" s="140"/>
      <c r="E10345" s="140"/>
    </row>
    <row r="10346" spans="1:5">
      <c r="A10346" s="140"/>
      <c r="B10346" s="192"/>
      <c r="C10346" s="140"/>
      <c r="D10346" s="140"/>
      <c r="E10346" s="140"/>
    </row>
    <row r="10347" spans="1:5">
      <c r="A10347" s="140"/>
      <c r="B10347" s="192"/>
      <c r="C10347" s="140"/>
      <c r="D10347" s="140"/>
      <c r="E10347" s="140"/>
    </row>
    <row r="10348" spans="1:5">
      <c r="A10348" s="140"/>
      <c r="B10348" s="192"/>
      <c r="C10348" s="140"/>
      <c r="D10348" s="140"/>
      <c r="E10348" s="140"/>
    </row>
    <row r="10349" spans="1:5">
      <c r="A10349" s="140"/>
      <c r="B10349" s="192"/>
      <c r="C10349" s="140"/>
      <c r="D10349" s="140"/>
      <c r="E10349" s="140"/>
    </row>
    <row r="10350" spans="1:5">
      <c r="A10350" s="140"/>
      <c r="B10350" s="192"/>
      <c r="C10350" s="140"/>
      <c r="D10350" s="140"/>
      <c r="E10350" s="140"/>
    </row>
    <row r="10351" spans="1:5">
      <c r="A10351" s="140"/>
      <c r="B10351" s="192"/>
      <c r="C10351" s="140"/>
      <c r="D10351" s="140"/>
      <c r="E10351" s="140"/>
    </row>
    <row r="10352" spans="1:5">
      <c r="A10352" s="140"/>
      <c r="B10352" s="192"/>
      <c r="C10352" s="140"/>
      <c r="D10352" s="140"/>
      <c r="E10352" s="140"/>
    </row>
    <row r="10353" spans="1:5">
      <c r="A10353" s="140"/>
      <c r="B10353" s="192"/>
      <c r="C10353" s="140"/>
      <c r="D10353" s="140"/>
      <c r="E10353" s="140"/>
    </row>
    <row r="10354" spans="1:5">
      <c r="A10354" s="140"/>
      <c r="B10354" s="192"/>
      <c r="C10354" s="140"/>
      <c r="D10354" s="140"/>
      <c r="E10354" s="140"/>
    </row>
    <row r="10355" spans="1:5">
      <c r="A10355" s="140"/>
      <c r="B10355" s="192"/>
      <c r="C10355" s="140"/>
      <c r="D10355" s="140"/>
      <c r="E10355" s="140"/>
    </row>
    <row r="10356" spans="1:5">
      <c r="A10356" s="140"/>
      <c r="B10356" s="192"/>
      <c r="C10356" s="140"/>
      <c r="D10356" s="140"/>
      <c r="E10356" s="140"/>
    </row>
    <row r="10357" spans="1:5">
      <c r="A10357" s="140"/>
      <c r="B10357" s="192"/>
      <c r="C10357" s="140"/>
      <c r="D10357" s="140"/>
      <c r="E10357" s="140"/>
    </row>
    <row r="10358" spans="1:5">
      <c r="A10358" s="140"/>
      <c r="B10358" s="192"/>
      <c r="C10358" s="140"/>
      <c r="D10358" s="140"/>
      <c r="E10358" s="140"/>
    </row>
    <row r="10359" spans="1:5">
      <c r="A10359" s="140"/>
      <c r="B10359" s="192"/>
      <c r="C10359" s="140"/>
      <c r="D10359" s="140"/>
      <c r="E10359" s="140"/>
    </row>
    <row r="10360" spans="1:5">
      <c r="A10360" s="140"/>
      <c r="B10360" s="192"/>
      <c r="C10360" s="140"/>
      <c r="D10360" s="140"/>
      <c r="E10360" s="140"/>
    </row>
    <row r="10361" spans="1:5">
      <c r="A10361" s="140"/>
      <c r="B10361" s="192"/>
      <c r="C10361" s="140"/>
      <c r="D10361" s="140"/>
      <c r="E10361" s="140"/>
    </row>
    <row r="10362" spans="1:5">
      <c r="A10362" s="140"/>
      <c r="B10362" s="192"/>
      <c r="C10362" s="140"/>
      <c r="D10362" s="140"/>
      <c r="E10362" s="140"/>
    </row>
    <row r="10363" spans="1:5">
      <c r="A10363" s="140"/>
      <c r="B10363" s="192"/>
      <c r="C10363" s="140"/>
      <c r="D10363" s="140"/>
      <c r="E10363" s="140"/>
    </row>
    <row r="10364" spans="1:5">
      <c r="A10364" s="140"/>
      <c r="B10364" s="192"/>
      <c r="C10364" s="140"/>
      <c r="D10364" s="140"/>
      <c r="E10364" s="140"/>
    </row>
    <row r="10365" spans="1:5">
      <c r="A10365" s="140"/>
      <c r="B10365" s="192"/>
      <c r="C10365" s="140"/>
      <c r="D10365" s="140"/>
      <c r="E10365" s="140"/>
    </row>
    <row r="10366" spans="1:5">
      <c r="A10366" s="140"/>
      <c r="B10366" s="192"/>
      <c r="C10366" s="140"/>
      <c r="D10366" s="140"/>
      <c r="E10366" s="140"/>
    </row>
    <row r="10367" spans="1:5">
      <c r="A10367" s="140"/>
      <c r="B10367" s="192"/>
      <c r="C10367" s="140"/>
      <c r="D10367" s="140"/>
      <c r="E10367" s="140"/>
    </row>
    <row r="10368" spans="1:5">
      <c r="A10368" s="140"/>
      <c r="B10368" s="192"/>
      <c r="C10368" s="140"/>
      <c r="D10368" s="140"/>
      <c r="E10368" s="140"/>
    </row>
    <row r="10369" spans="1:5">
      <c r="A10369" s="140"/>
      <c r="B10369" s="192"/>
      <c r="C10369" s="140"/>
      <c r="D10369" s="140"/>
      <c r="E10369" s="140"/>
    </row>
    <row r="10370" spans="1:5">
      <c r="A10370" s="140"/>
      <c r="B10370" s="192"/>
      <c r="C10370" s="140"/>
      <c r="D10370" s="140"/>
      <c r="E10370" s="140"/>
    </row>
    <row r="10371" spans="1:5">
      <c r="A10371" s="140"/>
      <c r="B10371" s="192"/>
      <c r="C10371" s="140"/>
      <c r="D10371" s="140"/>
      <c r="E10371" s="140"/>
    </row>
    <row r="10372" spans="1:5">
      <c r="A10372" s="140"/>
      <c r="B10372" s="192"/>
      <c r="C10372" s="140"/>
      <c r="D10372" s="140"/>
      <c r="E10372" s="140"/>
    </row>
    <row r="10373" spans="1:5">
      <c r="A10373" s="140"/>
      <c r="B10373" s="192"/>
      <c r="C10373" s="140"/>
      <c r="D10373" s="140"/>
      <c r="E10373" s="140"/>
    </row>
    <row r="10374" spans="1:5">
      <c r="A10374" s="140"/>
      <c r="B10374" s="192"/>
      <c r="C10374" s="140"/>
      <c r="D10374" s="140"/>
      <c r="E10374" s="140"/>
    </row>
    <row r="10375" spans="1:5">
      <c r="A10375" s="140"/>
      <c r="B10375" s="192"/>
      <c r="C10375" s="140"/>
      <c r="D10375" s="140"/>
      <c r="E10375" s="140"/>
    </row>
    <row r="10376" spans="1:5">
      <c r="A10376" s="140"/>
      <c r="B10376" s="192"/>
      <c r="C10376" s="140"/>
      <c r="D10376" s="140"/>
      <c r="E10376" s="140"/>
    </row>
    <row r="10377" spans="1:5">
      <c r="A10377" s="140"/>
      <c r="B10377" s="192"/>
      <c r="C10377" s="140"/>
      <c r="D10377" s="140"/>
      <c r="E10377" s="140"/>
    </row>
    <row r="10378" spans="1:5">
      <c r="A10378" s="140"/>
      <c r="B10378" s="192"/>
      <c r="C10378" s="140"/>
      <c r="D10378" s="140"/>
      <c r="E10378" s="140"/>
    </row>
    <row r="10379" spans="1:5">
      <c r="A10379" s="140"/>
      <c r="B10379" s="192"/>
      <c r="C10379" s="140"/>
      <c r="D10379" s="140"/>
      <c r="E10379" s="140"/>
    </row>
    <row r="10380" spans="1:5">
      <c r="A10380" s="140"/>
      <c r="B10380" s="192"/>
      <c r="C10380" s="140"/>
      <c r="D10380" s="140"/>
      <c r="E10380" s="140"/>
    </row>
    <row r="10381" spans="1:5">
      <c r="A10381" s="140"/>
      <c r="B10381" s="192"/>
      <c r="C10381" s="140"/>
      <c r="D10381" s="140"/>
      <c r="E10381" s="140"/>
    </row>
    <row r="10382" spans="1:5">
      <c r="A10382" s="140"/>
      <c r="B10382" s="192"/>
      <c r="C10382" s="140"/>
      <c r="D10382" s="140"/>
      <c r="E10382" s="140"/>
    </row>
    <row r="10383" spans="1:5">
      <c r="A10383" s="140"/>
      <c r="B10383" s="192"/>
      <c r="C10383" s="140"/>
      <c r="D10383" s="140"/>
      <c r="E10383" s="140"/>
    </row>
    <row r="10384" spans="1:5">
      <c r="A10384" s="140"/>
      <c r="B10384" s="192"/>
      <c r="C10384" s="140"/>
      <c r="D10384" s="140"/>
      <c r="E10384" s="140"/>
    </row>
    <row r="10385" spans="1:5">
      <c r="A10385" s="140"/>
      <c r="B10385" s="192"/>
      <c r="C10385" s="140"/>
      <c r="D10385" s="140"/>
      <c r="E10385" s="140"/>
    </row>
    <row r="10386" spans="1:5">
      <c r="A10386" s="140"/>
      <c r="B10386" s="192"/>
      <c r="C10386" s="140"/>
      <c r="D10386" s="140"/>
      <c r="E10386" s="140"/>
    </row>
    <row r="10387" spans="1:5">
      <c r="A10387" s="140"/>
      <c r="B10387" s="192"/>
      <c r="C10387" s="140"/>
      <c r="D10387" s="140"/>
      <c r="E10387" s="140"/>
    </row>
    <row r="10388" spans="1:5">
      <c r="A10388" s="140"/>
      <c r="B10388" s="192"/>
      <c r="C10388" s="140"/>
      <c r="D10388" s="140"/>
      <c r="E10388" s="140"/>
    </row>
    <row r="10389" spans="1:5">
      <c r="A10389" s="140"/>
      <c r="B10389" s="192"/>
      <c r="C10389" s="140"/>
      <c r="D10389" s="140"/>
      <c r="E10389" s="140"/>
    </row>
    <row r="10390" spans="1:5">
      <c r="A10390" s="140"/>
      <c r="B10390" s="192"/>
      <c r="C10390" s="140"/>
      <c r="D10390" s="140"/>
      <c r="E10390" s="140"/>
    </row>
    <row r="10391" spans="1:5">
      <c r="A10391" s="140"/>
      <c r="B10391" s="192"/>
      <c r="C10391" s="140"/>
      <c r="D10391" s="140"/>
      <c r="E10391" s="140"/>
    </row>
    <row r="10392" spans="1:5">
      <c r="A10392" s="140"/>
      <c r="B10392" s="192"/>
      <c r="C10392" s="140"/>
      <c r="D10392" s="140"/>
      <c r="E10392" s="140"/>
    </row>
    <row r="10393" spans="1:5">
      <c r="A10393" s="140"/>
      <c r="B10393" s="192"/>
      <c r="C10393" s="140"/>
      <c r="D10393" s="140"/>
      <c r="E10393" s="140"/>
    </row>
    <row r="10394" spans="1:5">
      <c r="A10394" s="140"/>
      <c r="B10394" s="192"/>
      <c r="C10394" s="140"/>
      <c r="D10394" s="140"/>
      <c r="E10394" s="140"/>
    </row>
    <row r="10395" spans="1:5">
      <c r="A10395" s="140"/>
      <c r="B10395" s="192"/>
      <c r="C10395" s="140"/>
      <c r="D10395" s="140"/>
      <c r="E10395" s="140"/>
    </row>
    <row r="10396" spans="1:5">
      <c r="A10396" s="140"/>
      <c r="B10396" s="192"/>
      <c r="C10396" s="140"/>
      <c r="D10396" s="140"/>
      <c r="E10396" s="140"/>
    </row>
    <row r="10397" spans="1:5">
      <c r="A10397" s="140"/>
      <c r="B10397" s="192"/>
      <c r="C10397" s="140"/>
      <c r="D10397" s="140"/>
      <c r="E10397" s="140"/>
    </row>
    <row r="10398" spans="1:5">
      <c r="A10398" s="140"/>
      <c r="B10398" s="192"/>
      <c r="C10398" s="140"/>
      <c r="D10398" s="140"/>
      <c r="E10398" s="140"/>
    </row>
    <row r="10399" spans="1:5">
      <c r="A10399" s="140"/>
      <c r="B10399" s="192"/>
      <c r="C10399" s="140"/>
      <c r="D10399" s="140"/>
      <c r="E10399" s="140"/>
    </row>
    <row r="10400" spans="1:5">
      <c r="A10400" s="140"/>
      <c r="B10400" s="192"/>
      <c r="C10400" s="140"/>
      <c r="D10400" s="140"/>
      <c r="E10400" s="140"/>
    </row>
    <row r="10401" spans="1:5">
      <c r="A10401" s="140"/>
      <c r="B10401" s="192"/>
      <c r="C10401" s="140"/>
      <c r="D10401" s="140"/>
      <c r="E10401" s="140"/>
    </row>
    <row r="10402" spans="1:5">
      <c r="A10402" s="140"/>
      <c r="B10402" s="192"/>
      <c r="C10402" s="140"/>
      <c r="D10402" s="140"/>
      <c r="E10402" s="140"/>
    </row>
    <row r="10403" spans="1:5">
      <c r="A10403" s="140"/>
      <c r="B10403" s="192"/>
      <c r="C10403" s="140"/>
      <c r="D10403" s="140"/>
      <c r="E10403" s="140"/>
    </row>
    <row r="10404" spans="1:5">
      <c r="A10404" s="140"/>
      <c r="B10404" s="192"/>
      <c r="C10404" s="140"/>
      <c r="D10404" s="140"/>
      <c r="E10404" s="140"/>
    </row>
    <row r="10405" spans="1:5">
      <c r="A10405" s="140"/>
      <c r="B10405" s="192"/>
      <c r="C10405" s="140"/>
      <c r="D10405" s="140"/>
      <c r="E10405" s="140"/>
    </row>
    <row r="10406" spans="1:5">
      <c r="A10406" s="140"/>
      <c r="B10406" s="192"/>
      <c r="C10406" s="140"/>
      <c r="D10406" s="140"/>
      <c r="E10406" s="140"/>
    </row>
    <row r="10407" spans="1:5">
      <c r="A10407" s="140"/>
      <c r="B10407" s="192"/>
      <c r="C10407" s="140"/>
      <c r="D10407" s="140"/>
      <c r="E10407" s="140"/>
    </row>
    <row r="10408" spans="1:5">
      <c r="A10408" s="140"/>
      <c r="B10408" s="192"/>
      <c r="C10408" s="140"/>
      <c r="D10408" s="140"/>
      <c r="E10408" s="140"/>
    </row>
    <row r="10409" spans="1:5">
      <c r="A10409" s="140"/>
      <c r="B10409" s="192"/>
      <c r="C10409" s="140"/>
      <c r="D10409" s="140"/>
      <c r="E10409" s="140"/>
    </row>
    <row r="10410" spans="1:5">
      <c r="A10410" s="140"/>
      <c r="B10410" s="192"/>
      <c r="C10410" s="140"/>
      <c r="D10410" s="140"/>
      <c r="E10410" s="140"/>
    </row>
    <row r="10411" spans="1:5">
      <c r="A10411" s="140"/>
      <c r="B10411" s="192"/>
      <c r="C10411" s="140"/>
      <c r="D10411" s="140"/>
      <c r="E10411" s="140"/>
    </row>
    <row r="10412" spans="1:5">
      <c r="A10412" s="140"/>
      <c r="B10412" s="192"/>
      <c r="C10412" s="140"/>
      <c r="D10412" s="140"/>
      <c r="E10412" s="140"/>
    </row>
    <row r="10413" spans="1:5">
      <c r="A10413" s="140"/>
      <c r="B10413" s="192"/>
      <c r="C10413" s="140"/>
      <c r="D10413" s="140"/>
      <c r="E10413" s="140"/>
    </row>
    <row r="10414" spans="1:5">
      <c r="A10414" s="140"/>
      <c r="B10414" s="192"/>
      <c r="C10414" s="140"/>
      <c r="D10414" s="140"/>
      <c r="E10414" s="140"/>
    </row>
    <row r="10415" spans="1:5">
      <c r="A10415" s="140"/>
      <c r="B10415" s="192"/>
      <c r="C10415" s="140"/>
      <c r="D10415" s="140"/>
      <c r="E10415" s="140"/>
    </row>
    <row r="10416" spans="1:5">
      <c r="A10416" s="140"/>
      <c r="B10416" s="192"/>
      <c r="C10416" s="140"/>
      <c r="D10416" s="140"/>
      <c r="E10416" s="140"/>
    </row>
    <row r="10417" spans="1:5">
      <c r="A10417" s="140"/>
      <c r="B10417" s="192"/>
      <c r="C10417" s="140"/>
      <c r="D10417" s="140"/>
      <c r="E10417" s="140"/>
    </row>
    <row r="10418" spans="1:5">
      <c r="A10418" s="140"/>
      <c r="B10418" s="192"/>
      <c r="C10418" s="140"/>
      <c r="D10418" s="140"/>
      <c r="E10418" s="140"/>
    </row>
    <row r="10419" spans="1:5">
      <c r="A10419" s="140"/>
      <c r="B10419" s="192"/>
      <c r="C10419" s="140"/>
      <c r="D10419" s="140"/>
      <c r="E10419" s="140"/>
    </row>
    <row r="10420" spans="1:5">
      <c r="A10420" s="140"/>
      <c r="B10420" s="192"/>
      <c r="C10420" s="140"/>
      <c r="D10420" s="140"/>
      <c r="E10420" s="140"/>
    </row>
    <row r="10421" spans="1:5">
      <c r="A10421" s="140"/>
      <c r="B10421" s="192"/>
      <c r="C10421" s="140"/>
      <c r="D10421" s="140"/>
      <c r="E10421" s="140"/>
    </row>
    <row r="10422" spans="1:5">
      <c r="A10422" s="140"/>
      <c r="B10422" s="192"/>
      <c r="C10422" s="140"/>
      <c r="D10422" s="140"/>
      <c r="E10422" s="140"/>
    </row>
    <row r="10423" spans="1:5">
      <c r="A10423" s="140"/>
      <c r="B10423" s="192"/>
      <c r="C10423" s="140"/>
      <c r="D10423" s="140"/>
      <c r="E10423" s="140"/>
    </row>
    <row r="10424" spans="1:5">
      <c r="A10424" s="140"/>
      <c r="B10424" s="192"/>
      <c r="C10424" s="140"/>
      <c r="D10424" s="140"/>
      <c r="E10424" s="140"/>
    </row>
    <row r="10425" spans="1:5">
      <c r="A10425" s="140"/>
      <c r="B10425" s="192"/>
      <c r="C10425" s="140"/>
      <c r="D10425" s="140"/>
      <c r="E10425" s="140"/>
    </row>
    <row r="10426" spans="1:5">
      <c r="A10426" s="140"/>
      <c r="B10426" s="192"/>
      <c r="C10426" s="140"/>
      <c r="D10426" s="140"/>
      <c r="E10426" s="140"/>
    </row>
    <row r="10427" spans="1:5">
      <c r="A10427" s="140"/>
      <c r="B10427" s="192"/>
      <c r="C10427" s="140"/>
      <c r="D10427" s="140"/>
      <c r="E10427" s="140"/>
    </row>
    <row r="10428" spans="1:5">
      <c r="A10428" s="140"/>
      <c r="B10428" s="192"/>
      <c r="C10428" s="140"/>
      <c r="D10428" s="140"/>
      <c r="E10428" s="140"/>
    </row>
    <row r="10429" spans="1:5">
      <c r="A10429" s="140"/>
      <c r="B10429" s="192"/>
      <c r="C10429" s="140"/>
      <c r="D10429" s="140"/>
      <c r="E10429" s="140"/>
    </row>
    <row r="10430" spans="1:5">
      <c r="A10430" s="140"/>
      <c r="B10430" s="192"/>
      <c r="C10430" s="140"/>
      <c r="D10430" s="140"/>
      <c r="E10430" s="140"/>
    </row>
    <row r="10431" spans="1:5">
      <c r="A10431" s="140"/>
      <c r="B10431" s="192"/>
      <c r="C10431" s="140"/>
      <c r="D10431" s="140"/>
      <c r="E10431" s="140"/>
    </row>
    <row r="10432" spans="1:5">
      <c r="A10432" s="140"/>
      <c r="B10432" s="192"/>
      <c r="C10432" s="140"/>
      <c r="D10432" s="140"/>
      <c r="E10432" s="140"/>
    </row>
    <row r="10433" spans="1:5">
      <c r="A10433" s="140"/>
      <c r="B10433" s="192"/>
      <c r="C10433" s="140"/>
      <c r="D10433" s="140"/>
      <c r="E10433" s="140"/>
    </row>
    <row r="10434" spans="1:5">
      <c r="A10434" s="140"/>
      <c r="B10434" s="192"/>
      <c r="C10434" s="140"/>
      <c r="D10434" s="140"/>
      <c r="E10434" s="140"/>
    </row>
    <row r="10435" spans="1:5">
      <c r="A10435" s="140"/>
      <c r="B10435" s="192"/>
      <c r="C10435" s="140"/>
      <c r="D10435" s="140"/>
      <c r="E10435" s="140"/>
    </row>
    <row r="10436" spans="1:5">
      <c r="A10436" s="140"/>
      <c r="B10436" s="192"/>
      <c r="C10436" s="140"/>
      <c r="D10436" s="140"/>
      <c r="E10436" s="140"/>
    </row>
    <row r="10437" spans="1:5">
      <c r="A10437" s="140"/>
      <c r="B10437" s="192"/>
      <c r="C10437" s="140"/>
      <c r="D10437" s="140"/>
      <c r="E10437" s="140"/>
    </row>
    <row r="10438" spans="1:5">
      <c r="A10438" s="140"/>
      <c r="B10438" s="192"/>
      <c r="C10438" s="140"/>
      <c r="D10438" s="140"/>
      <c r="E10438" s="140"/>
    </row>
    <row r="10439" spans="1:5">
      <c r="A10439" s="140"/>
      <c r="B10439" s="192"/>
      <c r="C10439" s="140"/>
      <c r="D10439" s="140"/>
      <c r="E10439" s="140"/>
    </row>
    <row r="10440" spans="1:5">
      <c r="A10440" s="140"/>
      <c r="B10440" s="192"/>
      <c r="C10440" s="140"/>
      <c r="D10440" s="140"/>
      <c r="E10440" s="140"/>
    </row>
    <row r="10441" spans="1:5">
      <c r="A10441" s="140"/>
      <c r="B10441" s="192"/>
      <c r="C10441" s="140"/>
      <c r="D10441" s="140"/>
      <c r="E10441" s="140"/>
    </row>
    <row r="10442" spans="1:5">
      <c r="A10442" s="140"/>
      <c r="B10442" s="192"/>
      <c r="C10442" s="140"/>
      <c r="D10442" s="140"/>
      <c r="E10442" s="140"/>
    </row>
    <row r="10443" spans="1:5">
      <c r="A10443" s="140"/>
      <c r="B10443" s="192"/>
      <c r="C10443" s="140"/>
      <c r="D10443" s="140"/>
      <c r="E10443" s="140"/>
    </row>
    <row r="10444" spans="1:5">
      <c r="A10444" s="140"/>
      <c r="B10444" s="192"/>
      <c r="C10444" s="140"/>
      <c r="D10444" s="140"/>
      <c r="E10444" s="140"/>
    </row>
    <row r="10445" spans="1:5">
      <c r="A10445" s="140"/>
      <c r="B10445" s="192"/>
      <c r="C10445" s="140"/>
      <c r="D10445" s="140"/>
      <c r="E10445" s="140"/>
    </row>
    <row r="10446" spans="1:5">
      <c r="A10446" s="140"/>
      <c r="B10446" s="192"/>
      <c r="C10446" s="140"/>
      <c r="D10446" s="140"/>
      <c r="E10446" s="140"/>
    </row>
    <row r="10447" spans="1:5">
      <c r="A10447" s="140"/>
      <c r="B10447" s="192"/>
      <c r="C10447" s="140"/>
      <c r="D10447" s="140"/>
      <c r="E10447" s="140"/>
    </row>
    <row r="10448" spans="1:5">
      <c r="A10448" s="140"/>
      <c r="B10448" s="192"/>
      <c r="C10448" s="140"/>
      <c r="D10448" s="140"/>
      <c r="E10448" s="140"/>
    </row>
    <row r="10449" spans="1:5">
      <c r="A10449" s="140"/>
      <c r="B10449" s="192"/>
      <c r="C10449" s="140"/>
      <c r="D10449" s="140"/>
      <c r="E10449" s="140"/>
    </row>
    <row r="10450" spans="1:5">
      <c r="A10450" s="140"/>
      <c r="B10450" s="192"/>
      <c r="C10450" s="140"/>
      <c r="D10450" s="140"/>
      <c r="E10450" s="140"/>
    </row>
    <row r="10451" spans="1:5">
      <c r="A10451" s="140"/>
      <c r="B10451" s="192"/>
      <c r="C10451" s="140"/>
      <c r="D10451" s="140"/>
      <c r="E10451" s="140"/>
    </row>
    <row r="10452" spans="1:5">
      <c r="A10452" s="140"/>
      <c r="B10452" s="192"/>
      <c r="C10452" s="140"/>
      <c r="D10452" s="140"/>
      <c r="E10452" s="140"/>
    </row>
    <row r="10453" spans="1:5">
      <c r="A10453" s="140"/>
      <c r="B10453" s="192"/>
      <c r="C10453" s="140"/>
      <c r="D10453" s="140"/>
      <c r="E10453" s="140"/>
    </row>
    <row r="10454" spans="1:5">
      <c r="A10454" s="140"/>
      <c r="B10454" s="192"/>
      <c r="C10454" s="140"/>
      <c r="D10454" s="140"/>
      <c r="E10454" s="140"/>
    </row>
    <row r="10455" spans="1:5">
      <c r="A10455" s="140"/>
      <c r="B10455" s="192"/>
      <c r="C10455" s="140"/>
      <c r="D10455" s="140"/>
      <c r="E10455" s="140"/>
    </row>
    <row r="10456" spans="1:5">
      <c r="A10456" s="140"/>
      <c r="B10456" s="192"/>
      <c r="C10456" s="140"/>
      <c r="D10456" s="140"/>
      <c r="E10456" s="140"/>
    </row>
    <row r="10457" spans="1:5">
      <c r="A10457" s="140"/>
      <c r="B10457" s="192"/>
      <c r="C10457" s="140"/>
      <c r="D10457" s="140"/>
      <c r="E10457" s="140"/>
    </row>
    <row r="10458" spans="1:5">
      <c r="A10458" s="140"/>
      <c r="B10458" s="192"/>
      <c r="C10458" s="140"/>
      <c r="D10458" s="140"/>
      <c r="E10458" s="140"/>
    </row>
    <row r="10459" spans="1:5">
      <c r="A10459" s="140"/>
      <c r="B10459" s="192"/>
      <c r="C10459" s="140"/>
      <c r="D10459" s="140"/>
      <c r="E10459" s="140"/>
    </row>
    <row r="10460" spans="1:5">
      <c r="A10460" s="140"/>
      <c r="B10460" s="192"/>
      <c r="C10460" s="140"/>
      <c r="D10460" s="140"/>
      <c r="E10460" s="140"/>
    </row>
    <row r="10461" spans="1:5">
      <c r="A10461" s="140"/>
      <c r="B10461" s="192"/>
      <c r="C10461" s="140"/>
      <c r="D10461" s="140"/>
      <c r="E10461" s="140"/>
    </row>
    <row r="10462" spans="1:5">
      <c r="A10462" s="140"/>
      <c r="B10462" s="192"/>
      <c r="C10462" s="140"/>
      <c r="D10462" s="140"/>
      <c r="E10462" s="140"/>
    </row>
    <row r="10463" spans="1:5">
      <c r="A10463" s="140"/>
      <c r="B10463" s="192"/>
      <c r="C10463" s="140"/>
      <c r="D10463" s="140"/>
      <c r="E10463" s="140"/>
    </row>
    <row r="10464" spans="1:5">
      <c r="A10464" s="140"/>
      <c r="B10464" s="192"/>
      <c r="C10464" s="140"/>
      <c r="D10464" s="140"/>
      <c r="E10464" s="140"/>
    </row>
    <row r="10465" spans="1:5">
      <c r="A10465" s="140"/>
      <c r="B10465" s="192"/>
      <c r="C10465" s="140"/>
      <c r="D10465" s="140"/>
      <c r="E10465" s="140"/>
    </row>
    <row r="10466" spans="1:5">
      <c r="A10466" s="140"/>
      <c r="B10466" s="192"/>
      <c r="C10466" s="140"/>
      <c r="D10466" s="140"/>
      <c r="E10466" s="140"/>
    </row>
    <row r="10467" spans="1:5">
      <c r="A10467" s="140"/>
      <c r="B10467" s="192"/>
      <c r="C10467" s="140"/>
      <c r="D10467" s="140"/>
      <c r="E10467" s="140"/>
    </row>
    <row r="10468" spans="1:5">
      <c r="A10468" s="140"/>
      <c r="B10468" s="192"/>
      <c r="C10468" s="140"/>
      <c r="D10468" s="140"/>
      <c r="E10468" s="140"/>
    </row>
    <row r="10469" spans="1:5">
      <c r="A10469" s="140"/>
      <c r="B10469" s="192"/>
      <c r="C10469" s="140"/>
      <c r="D10469" s="140"/>
      <c r="E10469" s="140"/>
    </row>
    <row r="10470" spans="1:5">
      <c r="A10470" s="140"/>
      <c r="B10470" s="192"/>
      <c r="C10470" s="140"/>
      <c r="D10470" s="140"/>
      <c r="E10470" s="140"/>
    </row>
    <row r="10471" spans="1:5">
      <c r="A10471" s="140"/>
      <c r="B10471" s="192"/>
      <c r="C10471" s="140"/>
      <c r="D10471" s="140"/>
      <c r="E10471" s="140"/>
    </row>
    <row r="10472" spans="1:5">
      <c r="A10472" s="140"/>
      <c r="B10472" s="192"/>
      <c r="C10472" s="140"/>
      <c r="D10472" s="140"/>
      <c r="E10472" s="140"/>
    </row>
    <row r="10473" spans="1:5">
      <c r="A10473" s="140"/>
      <c r="B10473" s="192"/>
      <c r="C10473" s="140"/>
      <c r="D10473" s="140"/>
      <c r="E10473" s="140"/>
    </row>
    <row r="10474" spans="1:5">
      <c r="A10474" s="140"/>
      <c r="B10474" s="192"/>
      <c r="C10474" s="140"/>
      <c r="D10474" s="140"/>
      <c r="E10474" s="140"/>
    </row>
    <row r="10475" spans="1:5">
      <c r="A10475" s="140"/>
      <c r="B10475" s="192"/>
      <c r="C10475" s="140"/>
      <c r="D10475" s="140"/>
      <c r="E10475" s="140"/>
    </row>
    <row r="10476" spans="1:5">
      <c r="A10476" s="140"/>
      <c r="B10476" s="192"/>
      <c r="C10476" s="140"/>
      <c r="D10476" s="140"/>
      <c r="E10476" s="140"/>
    </row>
    <row r="10477" spans="1:5">
      <c r="A10477" s="140"/>
      <c r="B10477" s="192"/>
      <c r="C10477" s="140"/>
      <c r="D10477" s="140"/>
      <c r="E10477" s="140"/>
    </row>
    <row r="10478" spans="1:5">
      <c r="A10478" s="140"/>
      <c r="B10478" s="192"/>
      <c r="C10478" s="140"/>
      <c r="D10478" s="140"/>
      <c r="E10478" s="140"/>
    </row>
    <row r="10479" spans="1:5">
      <c r="A10479" s="140"/>
      <c r="B10479" s="192"/>
      <c r="C10479" s="140"/>
      <c r="D10479" s="140"/>
      <c r="E10479" s="140"/>
    </row>
    <row r="10480" spans="1:5">
      <c r="A10480" s="140"/>
      <c r="B10480" s="192"/>
      <c r="C10480" s="140"/>
      <c r="D10480" s="140"/>
      <c r="E10480" s="140"/>
    </row>
    <row r="10481" spans="1:5">
      <c r="A10481" s="140"/>
      <c r="B10481" s="192"/>
      <c r="C10481" s="140"/>
      <c r="D10481" s="140"/>
      <c r="E10481" s="140"/>
    </row>
    <row r="10482" spans="1:5">
      <c r="A10482" s="140"/>
      <c r="B10482" s="192"/>
      <c r="C10482" s="140"/>
      <c r="D10482" s="140"/>
      <c r="E10482" s="140"/>
    </row>
    <row r="10483" spans="1:5">
      <c r="A10483" s="140"/>
      <c r="B10483" s="192"/>
      <c r="C10483" s="140"/>
      <c r="D10483" s="140"/>
      <c r="E10483" s="140"/>
    </row>
    <row r="10484" spans="1:5">
      <c r="A10484" s="140"/>
      <c r="B10484" s="192"/>
      <c r="C10484" s="140"/>
      <c r="D10484" s="140"/>
      <c r="E10484" s="140"/>
    </row>
    <row r="10485" spans="1:5">
      <c r="A10485" s="140"/>
      <c r="B10485" s="192"/>
      <c r="C10485" s="140"/>
      <c r="D10485" s="140"/>
      <c r="E10485" s="140"/>
    </row>
    <row r="10486" spans="1:5">
      <c r="A10486" s="140"/>
      <c r="B10486" s="192"/>
      <c r="C10486" s="140"/>
      <c r="D10486" s="140"/>
      <c r="E10486" s="140"/>
    </row>
    <row r="10487" spans="1:5">
      <c r="A10487" s="140"/>
      <c r="B10487" s="192"/>
      <c r="C10487" s="140"/>
      <c r="D10487" s="140"/>
      <c r="E10487" s="140"/>
    </row>
    <row r="10488" spans="1:5">
      <c r="A10488" s="140"/>
      <c r="B10488" s="192"/>
      <c r="C10488" s="140"/>
      <c r="D10488" s="140"/>
      <c r="E10488" s="140"/>
    </row>
    <row r="10489" spans="1:5">
      <c r="A10489" s="140"/>
      <c r="B10489" s="192"/>
      <c r="C10489" s="140"/>
      <c r="D10489" s="140"/>
      <c r="E10489" s="140"/>
    </row>
    <row r="10490" spans="1:5">
      <c r="A10490" s="140"/>
      <c r="B10490" s="192"/>
      <c r="C10490" s="140"/>
      <c r="D10490" s="140"/>
      <c r="E10490" s="140"/>
    </row>
    <row r="10491" spans="1:5">
      <c r="A10491" s="140"/>
      <c r="B10491" s="192"/>
      <c r="C10491" s="140"/>
      <c r="D10491" s="140"/>
      <c r="E10491" s="140"/>
    </row>
    <row r="10492" spans="1:5">
      <c r="A10492" s="140"/>
      <c r="B10492" s="192"/>
      <c r="C10492" s="140"/>
      <c r="D10492" s="140"/>
      <c r="E10492" s="140"/>
    </row>
    <row r="10493" spans="1:5">
      <c r="A10493" s="140"/>
      <c r="B10493" s="192"/>
      <c r="C10493" s="140"/>
      <c r="D10493" s="140"/>
      <c r="E10493" s="140"/>
    </row>
    <row r="10494" spans="1:5">
      <c r="A10494" s="140"/>
      <c r="B10494" s="192"/>
      <c r="C10494" s="140"/>
      <c r="D10494" s="140"/>
      <c r="E10494" s="140"/>
    </row>
    <row r="10495" spans="1:5">
      <c r="A10495" s="140"/>
      <c r="B10495" s="192"/>
      <c r="C10495" s="140"/>
      <c r="D10495" s="140"/>
      <c r="E10495" s="140"/>
    </row>
    <row r="10496" spans="1:5">
      <c r="A10496" s="140"/>
      <c r="B10496" s="192"/>
      <c r="C10496" s="140"/>
      <c r="D10496" s="140"/>
      <c r="E10496" s="140"/>
    </row>
    <row r="10497" spans="1:5">
      <c r="A10497" s="140"/>
      <c r="B10497" s="192"/>
      <c r="C10497" s="140"/>
      <c r="D10497" s="140"/>
      <c r="E10497" s="140"/>
    </row>
    <row r="10498" spans="1:5">
      <c r="A10498" s="140"/>
      <c r="B10498" s="192"/>
      <c r="C10498" s="140"/>
      <c r="D10498" s="140"/>
      <c r="E10498" s="140"/>
    </row>
    <row r="10499" spans="1:5">
      <c r="A10499" s="140"/>
      <c r="B10499" s="192"/>
      <c r="C10499" s="140"/>
      <c r="D10499" s="140"/>
      <c r="E10499" s="140"/>
    </row>
    <row r="10500" spans="1:5">
      <c r="A10500" s="140"/>
      <c r="B10500" s="192"/>
      <c r="C10500" s="140"/>
      <c r="D10500" s="140"/>
      <c r="E10500" s="140"/>
    </row>
    <row r="10501" spans="1:5">
      <c r="A10501" s="140"/>
      <c r="B10501" s="192"/>
      <c r="C10501" s="140"/>
      <c r="D10501" s="140"/>
      <c r="E10501" s="140"/>
    </row>
    <row r="10502" spans="1:5">
      <c r="A10502" s="140"/>
      <c r="B10502" s="192"/>
      <c r="C10502" s="140"/>
      <c r="D10502" s="140"/>
      <c r="E10502" s="140"/>
    </row>
    <row r="10503" spans="1:5">
      <c r="A10503" s="140"/>
      <c r="B10503" s="192"/>
      <c r="C10503" s="140"/>
      <c r="D10503" s="140"/>
      <c r="E10503" s="140"/>
    </row>
    <row r="10504" spans="1:5">
      <c r="A10504" s="140"/>
      <c r="B10504" s="192"/>
      <c r="C10504" s="140"/>
      <c r="D10504" s="140"/>
      <c r="E10504" s="140"/>
    </row>
    <row r="10505" spans="1:5">
      <c r="A10505" s="140"/>
      <c r="B10505" s="192"/>
      <c r="C10505" s="140"/>
      <c r="D10505" s="140"/>
      <c r="E10505" s="140"/>
    </row>
    <row r="10506" spans="1:5">
      <c r="A10506" s="140"/>
      <c r="B10506" s="192"/>
      <c r="C10506" s="140"/>
      <c r="D10506" s="140"/>
      <c r="E10506" s="140"/>
    </row>
    <row r="10507" spans="1:5">
      <c r="A10507" s="140"/>
      <c r="B10507" s="192"/>
      <c r="C10507" s="140"/>
      <c r="D10507" s="140"/>
      <c r="E10507" s="140"/>
    </row>
    <row r="10508" spans="1:5">
      <c r="A10508" s="140"/>
      <c r="B10508" s="192"/>
      <c r="C10508" s="140"/>
      <c r="D10508" s="140"/>
      <c r="E10508" s="140"/>
    </row>
    <row r="10509" spans="1:5">
      <c r="A10509" s="140"/>
      <c r="B10509" s="192"/>
      <c r="C10509" s="140"/>
      <c r="D10509" s="140"/>
      <c r="E10509" s="140"/>
    </row>
    <row r="10510" spans="1:5">
      <c r="A10510" s="140"/>
      <c r="B10510" s="192"/>
      <c r="C10510" s="140"/>
      <c r="D10510" s="140"/>
      <c r="E10510" s="140"/>
    </row>
    <row r="10511" spans="1:5">
      <c r="A10511" s="140"/>
      <c r="B10511" s="192"/>
      <c r="C10511" s="140"/>
      <c r="D10511" s="140"/>
      <c r="E10511" s="140"/>
    </row>
    <row r="10512" spans="1:5">
      <c r="A10512" s="140"/>
      <c r="B10512" s="192"/>
      <c r="C10512" s="140"/>
      <c r="D10512" s="140"/>
      <c r="E10512" s="140"/>
    </row>
    <row r="10513" spans="1:5">
      <c r="A10513" s="140"/>
      <c r="B10513" s="192"/>
      <c r="C10513" s="140"/>
      <c r="D10513" s="140"/>
      <c r="E10513" s="140"/>
    </row>
    <row r="10514" spans="1:5">
      <c r="A10514" s="140"/>
      <c r="B10514" s="192"/>
      <c r="C10514" s="140"/>
      <c r="D10514" s="140"/>
      <c r="E10514" s="140"/>
    </row>
    <row r="10515" spans="1:5">
      <c r="A10515" s="140"/>
      <c r="B10515" s="192"/>
      <c r="C10515" s="140"/>
      <c r="D10515" s="140"/>
      <c r="E10515" s="140"/>
    </row>
    <row r="10516" spans="1:5">
      <c r="A10516" s="140"/>
      <c r="B10516" s="192"/>
      <c r="C10516" s="140"/>
      <c r="D10516" s="140"/>
      <c r="E10516" s="140"/>
    </row>
    <row r="10517" spans="1:5">
      <c r="A10517" s="140"/>
      <c r="B10517" s="192"/>
      <c r="C10517" s="140"/>
      <c r="D10517" s="140"/>
      <c r="E10517" s="140"/>
    </row>
    <row r="10518" spans="1:5">
      <c r="A10518" s="140"/>
      <c r="B10518" s="192"/>
      <c r="C10518" s="140"/>
      <c r="D10518" s="140"/>
      <c r="E10518" s="140"/>
    </row>
    <row r="10519" spans="1:5">
      <c r="A10519" s="140"/>
      <c r="B10519" s="192"/>
      <c r="C10519" s="140"/>
      <c r="D10519" s="140"/>
      <c r="E10519" s="140"/>
    </row>
    <row r="10520" spans="1:5">
      <c r="A10520" s="140"/>
      <c r="B10520" s="192"/>
      <c r="C10520" s="140"/>
      <c r="D10520" s="140"/>
      <c r="E10520" s="140"/>
    </row>
    <row r="10521" spans="1:5">
      <c r="A10521" s="140"/>
      <c r="B10521" s="192"/>
      <c r="C10521" s="140"/>
      <c r="D10521" s="140"/>
      <c r="E10521" s="140"/>
    </row>
    <row r="10522" spans="1:5">
      <c r="A10522" s="140"/>
      <c r="B10522" s="192"/>
      <c r="C10522" s="140"/>
      <c r="D10522" s="140"/>
      <c r="E10522" s="140"/>
    </row>
    <row r="10523" spans="1:5">
      <c r="A10523" s="140"/>
      <c r="B10523" s="192"/>
      <c r="C10523" s="140"/>
      <c r="D10523" s="140"/>
      <c r="E10523" s="140"/>
    </row>
    <row r="10524" spans="1:5">
      <c r="A10524" s="140"/>
      <c r="B10524" s="192"/>
      <c r="C10524" s="140"/>
      <c r="D10524" s="140"/>
      <c r="E10524" s="140"/>
    </row>
    <row r="10525" spans="1:5">
      <c r="A10525" s="140"/>
      <c r="B10525" s="192"/>
      <c r="C10525" s="140"/>
      <c r="D10525" s="140"/>
      <c r="E10525" s="140"/>
    </row>
    <row r="10526" spans="1:5">
      <c r="A10526" s="140"/>
      <c r="B10526" s="192"/>
      <c r="C10526" s="140"/>
      <c r="D10526" s="140"/>
      <c r="E10526" s="140"/>
    </row>
    <row r="10527" spans="1:5">
      <c r="A10527" s="140"/>
      <c r="B10527" s="192"/>
      <c r="C10527" s="140"/>
      <c r="D10527" s="140"/>
      <c r="E10527" s="140"/>
    </row>
    <row r="10528" spans="1:5">
      <c r="A10528" s="140"/>
      <c r="B10528" s="192"/>
      <c r="C10528" s="140"/>
      <c r="D10528" s="140"/>
      <c r="E10528" s="140"/>
    </row>
    <row r="10529" spans="1:5">
      <c r="A10529" s="140"/>
      <c r="B10529" s="192"/>
      <c r="C10529" s="140"/>
      <c r="D10529" s="140"/>
      <c r="E10529" s="140"/>
    </row>
    <row r="10530" spans="1:5">
      <c r="A10530" s="140"/>
      <c r="B10530" s="192"/>
      <c r="C10530" s="140"/>
      <c r="D10530" s="140"/>
      <c r="E10530" s="140"/>
    </row>
    <row r="10531" spans="1:5">
      <c r="A10531" s="140"/>
      <c r="B10531" s="192"/>
      <c r="C10531" s="140"/>
      <c r="D10531" s="140"/>
      <c r="E10531" s="140"/>
    </row>
    <row r="10532" spans="1:5">
      <c r="A10532" s="140"/>
      <c r="B10532" s="192"/>
      <c r="C10532" s="140"/>
      <c r="D10532" s="140"/>
      <c r="E10532" s="140"/>
    </row>
    <row r="10533" spans="1:5">
      <c r="A10533" s="140"/>
      <c r="B10533" s="192"/>
      <c r="C10533" s="140"/>
      <c r="D10533" s="140"/>
      <c r="E10533" s="140"/>
    </row>
    <row r="10534" spans="1:5">
      <c r="A10534" s="140"/>
      <c r="B10534" s="192"/>
      <c r="C10534" s="140"/>
      <c r="D10534" s="140"/>
      <c r="E10534" s="140"/>
    </row>
    <row r="10535" spans="1:5">
      <c r="A10535" s="140"/>
      <c r="B10535" s="192"/>
      <c r="C10535" s="140"/>
      <c r="D10535" s="140"/>
      <c r="E10535" s="140"/>
    </row>
    <row r="10536" spans="1:5">
      <c r="A10536" s="140"/>
      <c r="B10536" s="192"/>
      <c r="C10536" s="140"/>
      <c r="D10536" s="140"/>
      <c r="E10536" s="140"/>
    </row>
    <row r="10537" spans="1:5">
      <c r="A10537" s="140"/>
      <c r="B10537" s="192"/>
      <c r="C10537" s="140"/>
      <c r="D10537" s="140"/>
      <c r="E10537" s="140"/>
    </row>
    <row r="10538" spans="1:5">
      <c r="A10538" s="140"/>
      <c r="B10538" s="192"/>
      <c r="C10538" s="140"/>
      <c r="D10538" s="140"/>
      <c r="E10538" s="140"/>
    </row>
    <row r="10539" spans="1:5">
      <c r="A10539" s="140"/>
      <c r="B10539" s="192"/>
      <c r="C10539" s="140"/>
      <c r="D10539" s="140"/>
      <c r="E10539" s="140"/>
    </row>
    <row r="10540" spans="1:5">
      <c r="A10540" s="140"/>
      <c r="B10540" s="192"/>
      <c r="C10540" s="140"/>
      <c r="D10540" s="140"/>
      <c r="E10540" s="140"/>
    </row>
    <row r="10541" spans="1:5">
      <c r="A10541" s="140"/>
      <c r="B10541" s="192"/>
      <c r="C10541" s="140"/>
      <c r="D10541" s="140"/>
      <c r="E10541" s="140"/>
    </row>
    <row r="10542" spans="1:5">
      <c r="A10542" s="140"/>
      <c r="B10542" s="192"/>
      <c r="C10542" s="140"/>
      <c r="D10542" s="140"/>
      <c r="E10542" s="140"/>
    </row>
    <row r="10543" spans="1:5">
      <c r="A10543" s="140"/>
      <c r="B10543" s="192"/>
      <c r="C10543" s="140"/>
      <c r="D10543" s="140"/>
      <c r="E10543" s="140"/>
    </row>
    <row r="10544" spans="1:5">
      <c r="A10544" s="140"/>
      <c r="B10544" s="192"/>
      <c r="C10544" s="140"/>
      <c r="D10544" s="140"/>
      <c r="E10544" s="140"/>
    </row>
    <row r="10545" spans="1:5">
      <c r="A10545" s="140"/>
      <c r="B10545" s="192"/>
      <c r="C10545" s="140"/>
      <c r="D10545" s="140"/>
      <c r="E10545" s="140"/>
    </row>
    <row r="10546" spans="1:5">
      <c r="A10546" s="140"/>
      <c r="B10546" s="192"/>
      <c r="C10546" s="140"/>
      <c r="D10546" s="140"/>
      <c r="E10546" s="140"/>
    </row>
    <row r="10547" spans="1:5">
      <c r="A10547" s="140"/>
      <c r="B10547" s="192"/>
      <c r="C10547" s="140"/>
      <c r="D10547" s="140"/>
      <c r="E10547" s="140"/>
    </row>
    <row r="10548" spans="1:5">
      <c r="A10548" s="140"/>
      <c r="B10548" s="192"/>
      <c r="C10548" s="140"/>
      <c r="D10548" s="140"/>
      <c r="E10548" s="140"/>
    </row>
    <row r="10549" spans="1:5">
      <c r="A10549" s="140"/>
      <c r="B10549" s="192"/>
      <c r="C10549" s="140"/>
      <c r="D10549" s="140"/>
      <c r="E10549" s="140"/>
    </row>
    <row r="10550" spans="1:5">
      <c r="A10550" s="140"/>
      <c r="B10550" s="192"/>
      <c r="C10550" s="140"/>
      <c r="D10550" s="140"/>
      <c r="E10550" s="140"/>
    </row>
    <row r="10551" spans="1:5">
      <c r="A10551" s="140"/>
      <c r="B10551" s="192"/>
      <c r="C10551" s="140"/>
      <c r="D10551" s="140"/>
      <c r="E10551" s="140"/>
    </row>
    <row r="10552" spans="1:5">
      <c r="A10552" s="140"/>
      <c r="B10552" s="192"/>
      <c r="C10552" s="140"/>
      <c r="D10552" s="140"/>
      <c r="E10552" s="140"/>
    </row>
    <row r="10553" spans="1:5">
      <c r="A10553" s="140"/>
      <c r="B10553" s="192"/>
      <c r="C10553" s="140"/>
      <c r="D10553" s="140"/>
      <c r="E10553" s="140"/>
    </row>
    <row r="10554" spans="1:5">
      <c r="A10554" s="140"/>
      <c r="B10554" s="192"/>
      <c r="C10554" s="140"/>
      <c r="D10554" s="140"/>
      <c r="E10554" s="140"/>
    </row>
    <row r="10555" spans="1:5">
      <c r="A10555" s="140"/>
      <c r="B10555" s="192"/>
      <c r="C10555" s="140"/>
      <c r="D10555" s="140"/>
      <c r="E10555" s="140"/>
    </row>
    <row r="10556" spans="1:5">
      <c r="A10556" s="140"/>
      <c r="B10556" s="192"/>
      <c r="C10556" s="140"/>
      <c r="D10556" s="140"/>
      <c r="E10556" s="140"/>
    </row>
    <row r="10557" spans="1:5">
      <c r="A10557" s="140"/>
      <c r="B10557" s="192"/>
      <c r="C10557" s="140"/>
      <c r="D10557" s="140"/>
      <c r="E10557" s="140"/>
    </row>
    <row r="10558" spans="1:5">
      <c r="A10558" s="140"/>
      <c r="B10558" s="192"/>
      <c r="C10558" s="140"/>
      <c r="D10558" s="140"/>
      <c r="E10558" s="140"/>
    </row>
    <row r="10559" spans="1:5">
      <c r="A10559" s="140"/>
      <c r="B10559" s="192"/>
      <c r="C10559" s="140"/>
      <c r="D10559" s="140"/>
      <c r="E10559" s="140"/>
    </row>
    <row r="10560" spans="1:5">
      <c r="A10560" s="140"/>
      <c r="B10560" s="192"/>
      <c r="C10560" s="140"/>
      <c r="D10560" s="140"/>
      <c r="E10560" s="140"/>
    </row>
    <row r="10561" spans="1:5">
      <c r="A10561" s="140"/>
      <c r="B10561" s="192"/>
      <c r="C10561" s="140"/>
      <c r="D10561" s="140"/>
      <c r="E10561" s="140"/>
    </row>
    <row r="10562" spans="1:5">
      <c r="A10562" s="140"/>
      <c r="B10562" s="192"/>
      <c r="C10562" s="140"/>
      <c r="D10562" s="140"/>
      <c r="E10562" s="140"/>
    </row>
    <row r="10563" spans="1:5">
      <c r="A10563" s="140"/>
      <c r="B10563" s="192"/>
      <c r="C10563" s="140"/>
      <c r="D10563" s="140"/>
      <c r="E10563" s="140"/>
    </row>
    <row r="10564" spans="1:5">
      <c r="A10564" s="140"/>
      <c r="B10564" s="192"/>
      <c r="C10564" s="140"/>
      <c r="D10564" s="140"/>
      <c r="E10564" s="140"/>
    </row>
    <row r="10565" spans="1:5">
      <c r="A10565" s="140"/>
      <c r="B10565" s="192"/>
      <c r="C10565" s="140"/>
      <c r="D10565" s="140"/>
      <c r="E10565" s="140"/>
    </row>
    <row r="10566" spans="1:5">
      <c r="A10566" s="140"/>
      <c r="B10566" s="192"/>
      <c r="C10566" s="140"/>
      <c r="D10566" s="140"/>
      <c r="E10566" s="140"/>
    </row>
    <row r="10567" spans="1:5">
      <c r="A10567" s="140"/>
      <c r="B10567" s="192"/>
      <c r="C10567" s="140"/>
      <c r="D10567" s="140"/>
      <c r="E10567" s="140"/>
    </row>
    <row r="10568" spans="1:5">
      <c r="A10568" s="140"/>
      <c r="B10568" s="192"/>
      <c r="C10568" s="140"/>
      <c r="D10568" s="140"/>
      <c r="E10568" s="140"/>
    </row>
    <row r="10569" spans="1:5">
      <c r="A10569" s="140"/>
      <c r="B10569" s="192"/>
      <c r="C10569" s="140"/>
      <c r="D10569" s="140"/>
      <c r="E10569" s="140"/>
    </row>
    <row r="10570" spans="1:5">
      <c r="A10570" s="140"/>
      <c r="B10570" s="192"/>
      <c r="C10570" s="140"/>
      <c r="D10570" s="140"/>
      <c r="E10570" s="140"/>
    </row>
    <row r="10571" spans="1:5">
      <c r="A10571" s="140"/>
      <c r="B10571" s="192"/>
      <c r="C10571" s="140"/>
      <c r="D10571" s="140"/>
      <c r="E10571" s="140"/>
    </row>
    <row r="10572" spans="1:5">
      <c r="A10572" s="140"/>
      <c r="B10572" s="192"/>
      <c r="C10572" s="140"/>
      <c r="D10572" s="140"/>
      <c r="E10572" s="140"/>
    </row>
    <row r="10573" spans="1:5">
      <c r="A10573" s="140"/>
      <c r="B10573" s="192"/>
      <c r="C10573" s="140"/>
      <c r="D10573" s="140"/>
      <c r="E10573" s="140"/>
    </row>
    <row r="10574" spans="1:5">
      <c r="A10574" s="140"/>
      <c r="B10574" s="192"/>
      <c r="C10574" s="140"/>
      <c r="D10574" s="140"/>
      <c r="E10574" s="140"/>
    </row>
    <row r="10575" spans="1:5">
      <c r="A10575" s="140"/>
      <c r="B10575" s="192"/>
      <c r="C10575" s="140"/>
      <c r="D10575" s="140"/>
      <c r="E10575" s="140"/>
    </row>
    <row r="10576" spans="1:5">
      <c r="A10576" s="140"/>
      <c r="B10576" s="192"/>
      <c r="C10576" s="140"/>
      <c r="D10576" s="140"/>
      <c r="E10576" s="140"/>
    </row>
    <row r="10577" spans="1:5">
      <c r="A10577" s="140"/>
      <c r="B10577" s="192"/>
      <c r="C10577" s="140"/>
      <c r="D10577" s="140"/>
      <c r="E10577" s="140"/>
    </row>
    <row r="10578" spans="1:5">
      <c r="A10578" s="140"/>
      <c r="B10578" s="192"/>
      <c r="C10578" s="140"/>
      <c r="D10578" s="140"/>
      <c r="E10578" s="140"/>
    </row>
    <row r="10579" spans="1:5">
      <c r="A10579" s="140"/>
      <c r="B10579" s="192"/>
      <c r="C10579" s="140"/>
      <c r="D10579" s="140"/>
      <c r="E10579" s="140"/>
    </row>
    <row r="10580" spans="1:5">
      <c r="A10580" s="140"/>
      <c r="B10580" s="192"/>
      <c r="C10580" s="140"/>
      <c r="D10580" s="140"/>
      <c r="E10580" s="140"/>
    </row>
    <row r="10581" spans="1:5">
      <c r="A10581" s="140"/>
      <c r="B10581" s="192"/>
      <c r="C10581" s="140"/>
      <c r="D10581" s="140"/>
      <c r="E10581" s="140"/>
    </row>
    <row r="10582" spans="1:5">
      <c r="A10582" s="140"/>
      <c r="B10582" s="192"/>
      <c r="C10582" s="140"/>
      <c r="D10582" s="140"/>
      <c r="E10582" s="140"/>
    </row>
    <row r="10583" spans="1:5">
      <c r="A10583" s="140"/>
      <c r="B10583" s="192"/>
      <c r="C10583" s="140"/>
      <c r="D10583" s="140"/>
      <c r="E10583" s="140"/>
    </row>
    <row r="10584" spans="1:5">
      <c r="A10584" s="140"/>
      <c r="B10584" s="192"/>
      <c r="C10584" s="140"/>
      <c r="D10584" s="140"/>
      <c r="E10584" s="140"/>
    </row>
    <row r="10585" spans="1:5">
      <c r="A10585" s="140"/>
      <c r="B10585" s="192"/>
      <c r="C10585" s="140"/>
      <c r="D10585" s="140"/>
      <c r="E10585" s="140"/>
    </row>
    <row r="10586" spans="1:5">
      <c r="A10586" s="140"/>
      <c r="B10586" s="192"/>
      <c r="C10586" s="140"/>
      <c r="D10586" s="140"/>
      <c r="E10586" s="140"/>
    </row>
    <row r="10587" spans="1:5">
      <c r="A10587" s="140"/>
      <c r="B10587" s="192"/>
      <c r="C10587" s="140"/>
      <c r="D10587" s="140"/>
      <c r="E10587" s="140"/>
    </row>
    <row r="10588" spans="1:5">
      <c r="A10588" s="140"/>
      <c r="B10588" s="192"/>
      <c r="C10588" s="140"/>
      <c r="D10588" s="140"/>
      <c r="E10588" s="140"/>
    </row>
    <row r="10589" spans="1:5">
      <c r="A10589" s="140"/>
      <c r="B10589" s="192"/>
      <c r="C10589" s="140"/>
      <c r="D10589" s="140"/>
      <c r="E10589" s="140"/>
    </row>
    <row r="10590" spans="1:5">
      <c r="A10590" s="140"/>
      <c r="B10590" s="192"/>
      <c r="C10590" s="140"/>
      <c r="D10590" s="140"/>
      <c r="E10590" s="140"/>
    </row>
    <row r="10591" spans="1:5">
      <c r="A10591" s="140"/>
      <c r="B10591" s="192"/>
      <c r="C10591" s="140"/>
      <c r="D10591" s="140"/>
      <c r="E10591" s="140"/>
    </row>
    <row r="10592" spans="1:5">
      <c r="A10592" s="140"/>
      <c r="B10592" s="192"/>
      <c r="C10592" s="140"/>
      <c r="D10592" s="140"/>
      <c r="E10592" s="140"/>
    </row>
    <row r="10593" spans="1:5">
      <c r="A10593" s="140"/>
      <c r="B10593" s="192"/>
      <c r="C10593" s="140"/>
      <c r="D10593" s="140"/>
      <c r="E10593" s="140"/>
    </row>
    <row r="10594" spans="1:5">
      <c r="A10594" s="140"/>
      <c r="B10594" s="192"/>
      <c r="C10594" s="140"/>
      <c r="D10594" s="140"/>
      <c r="E10594" s="140"/>
    </row>
    <row r="10595" spans="1:5">
      <c r="A10595" s="140"/>
      <c r="B10595" s="192"/>
      <c r="C10595" s="140"/>
      <c r="D10595" s="140"/>
      <c r="E10595" s="140"/>
    </row>
    <row r="10596" spans="1:5">
      <c r="A10596" s="140"/>
      <c r="B10596" s="192"/>
      <c r="C10596" s="140"/>
      <c r="D10596" s="140"/>
      <c r="E10596" s="140"/>
    </row>
    <row r="10597" spans="1:5">
      <c r="A10597" s="140"/>
      <c r="B10597" s="192"/>
      <c r="C10597" s="140"/>
      <c r="D10597" s="140"/>
      <c r="E10597" s="140"/>
    </row>
    <row r="10598" spans="1:5">
      <c r="A10598" s="140"/>
      <c r="B10598" s="192"/>
      <c r="C10598" s="140"/>
      <c r="D10598" s="140"/>
      <c r="E10598" s="140"/>
    </row>
    <row r="10599" spans="1:5">
      <c r="A10599" s="140"/>
      <c r="B10599" s="192"/>
      <c r="C10599" s="140"/>
      <c r="D10599" s="140"/>
      <c r="E10599" s="140"/>
    </row>
    <row r="10600" spans="1:5">
      <c r="A10600" s="140"/>
      <c r="B10600" s="192"/>
      <c r="C10600" s="140"/>
      <c r="D10600" s="140"/>
      <c r="E10600" s="140"/>
    </row>
    <row r="10601" spans="1:5">
      <c r="A10601" s="140"/>
      <c r="B10601" s="192"/>
      <c r="C10601" s="140"/>
      <c r="D10601" s="140"/>
      <c r="E10601" s="140"/>
    </row>
    <row r="10602" spans="1:5">
      <c r="A10602" s="140"/>
      <c r="B10602" s="192"/>
      <c r="C10602" s="140"/>
      <c r="D10602" s="140"/>
      <c r="E10602" s="140"/>
    </row>
    <row r="10603" spans="1:5">
      <c r="A10603" s="140"/>
      <c r="B10603" s="192"/>
      <c r="C10603" s="140"/>
      <c r="D10603" s="140"/>
      <c r="E10603" s="140"/>
    </row>
    <row r="10604" spans="1:5">
      <c r="A10604" s="140"/>
      <c r="B10604" s="192"/>
      <c r="C10604" s="140"/>
      <c r="D10604" s="140"/>
      <c r="E10604" s="140"/>
    </row>
    <row r="10605" spans="1:5">
      <c r="A10605" s="140"/>
      <c r="B10605" s="192"/>
      <c r="C10605" s="140"/>
      <c r="D10605" s="140"/>
      <c r="E10605" s="140"/>
    </row>
    <row r="10606" spans="1:5">
      <c r="A10606" s="140"/>
      <c r="B10606" s="192"/>
      <c r="C10606" s="140"/>
      <c r="D10606" s="140"/>
      <c r="E10606" s="140"/>
    </row>
    <row r="10607" spans="1:5">
      <c r="A10607" s="140"/>
      <c r="B10607" s="192"/>
      <c r="C10607" s="140"/>
      <c r="D10607" s="140"/>
      <c r="E10607" s="140"/>
    </row>
    <row r="10608" spans="1:5">
      <c r="A10608" s="140"/>
      <c r="B10608" s="192"/>
      <c r="C10608" s="140"/>
      <c r="D10608" s="140"/>
      <c r="E10608" s="140"/>
    </row>
    <row r="10609" spans="1:5">
      <c r="A10609" s="140"/>
      <c r="B10609" s="192"/>
      <c r="C10609" s="140"/>
      <c r="D10609" s="140"/>
      <c r="E10609" s="140"/>
    </row>
    <row r="10610" spans="1:5">
      <c r="A10610" s="140"/>
      <c r="B10610" s="192"/>
      <c r="C10610" s="140"/>
      <c r="D10610" s="140"/>
      <c r="E10610" s="140"/>
    </row>
    <row r="10611" spans="1:5">
      <c r="A10611" s="140"/>
      <c r="B10611" s="192"/>
      <c r="C10611" s="140"/>
      <c r="D10611" s="140"/>
      <c r="E10611" s="140"/>
    </row>
    <row r="10612" spans="1:5">
      <c r="A10612" s="140"/>
      <c r="B10612" s="192"/>
      <c r="C10612" s="140"/>
      <c r="D10612" s="140"/>
      <c r="E10612" s="140"/>
    </row>
    <row r="10613" spans="1:5">
      <c r="A10613" s="140"/>
      <c r="B10613" s="192"/>
      <c r="C10613" s="140"/>
      <c r="D10613" s="140"/>
      <c r="E10613" s="140"/>
    </row>
    <row r="10614" spans="1:5">
      <c r="A10614" s="140"/>
      <c r="B10614" s="192"/>
      <c r="C10614" s="140"/>
      <c r="D10614" s="140"/>
      <c r="E10614" s="140"/>
    </row>
    <row r="10615" spans="1:5">
      <c r="A10615" s="140"/>
      <c r="B10615" s="192"/>
      <c r="C10615" s="140"/>
      <c r="D10615" s="140"/>
      <c r="E10615" s="140"/>
    </row>
    <row r="10616" spans="1:5">
      <c r="A10616" s="140"/>
      <c r="B10616" s="192"/>
      <c r="C10616" s="140"/>
      <c r="D10616" s="140"/>
      <c r="E10616" s="140"/>
    </row>
    <row r="10617" spans="1:5">
      <c r="A10617" s="140"/>
      <c r="B10617" s="192"/>
      <c r="C10617" s="140"/>
      <c r="D10617" s="140"/>
      <c r="E10617" s="140"/>
    </row>
    <row r="10618" spans="1:5">
      <c r="A10618" s="140"/>
      <c r="B10618" s="192"/>
      <c r="C10618" s="140"/>
      <c r="D10618" s="140"/>
      <c r="E10618" s="140"/>
    </row>
    <row r="10619" spans="1:5">
      <c r="A10619" s="140"/>
      <c r="B10619" s="192"/>
      <c r="C10619" s="140"/>
      <c r="D10619" s="140"/>
      <c r="E10619" s="140"/>
    </row>
    <row r="10620" spans="1:5">
      <c r="A10620" s="140"/>
      <c r="B10620" s="192"/>
      <c r="C10620" s="140"/>
      <c r="D10620" s="140"/>
      <c r="E10620" s="140"/>
    </row>
    <row r="10621" spans="1:5">
      <c r="A10621" s="140"/>
      <c r="B10621" s="192"/>
      <c r="C10621" s="140"/>
      <c r="D10621" s="140"/>
      <c r="E10621" s="140"/>
    </row>
    <row r="10622" spans="1:5">
      <c r="A10622" s="140"/>
      <c r="B10622" s="192"/>
      <c r="C10622" s="140"/>
      <c r="D10622" s="140"/>
      <c r="E10622" s="140"/>
    </row>
    <row r="10623" spans="1:5">
      <c r="A10623" s="140"/>
      <c r="B10623" s="192"/>
      <c r="C10623" s="140"/>
      <c r="D10623" s="140"/>
      <c r="E10623" s="140"/>
    </row>
    <row r="10624" spans="1:5">
      <c r="A10624" s="140"/>
      <c r="B10624" s="192"/>
      <c r="C10624" s="140"/>
      <c r="D10624" s="140"/>
      <c r="E10624" s="140"/>
    </row>
    <row r="10625" spans="1:5">
      <c r="A10625" s="140"/>
      <c r="B10625" s="192"/>
      <c r="C10625" s="140"/>
      <c r="D10625" s="140"/>
      <c r="E10625" s="140"/>
    </row>
    <row r="10626" spans="1:5">
      <c r="A10626" s="140"/>
      <c r="B10626" s="192"/>
      <c r="C10626" s="140"/>
      <c r="D10626" s="140"/>
      <c r="E10626" s="140"/>
    </row>
    <row r="10627" spans="1:5">
      <c r="A10627" s="140"/>
      <c r="B10627" s="192"/>
      <c r="C10627" s="140"/>
      <c r="D10627" s="140"/>
      <c r="E10627" s="140"/>
    </row>
    <row r="10628" spans="1:5">
      <c r="A10628" s="140"/>
      <c r="B10628" s="192"/>
      <c r="C10628" s="140"/>
      <c r="D10628" s="140"/>
      <c r="E10628" s="140"/>
    </row>
    <row r="10629" spans="1:5">
      <c r="A10629" s="140"/>
      <c r="B10629" s="192"/>
      <c r="C10629" s="140"/>
      <c r="D10629" s="140"/>
      <c r="E10629" s="140"/>
    </row>
    <row r="10630" spans="1:5">
      <c r="A10630" s="140"/>
      <c r="B10630" s="192"/>
      <c r="C10630" s="140"/>
      <c r="D10630" s="140"/>
      <c r="E10630" s="140"/>
    </row>
    <row r="10631" spans="1:5">
      <c r="A10631" s="140"/>
      <c r="B10631" s="192"/>
      <c r="C10631" s="140"/>
      <c r="D10631" s="140"/>
      <c r="E10631" s="140"/>
    </row>
    <row r="10632" spans="1:5">
      <c r="A10632" s="140"/>
      <c r="B10632" s="192"/>
      <c r="C10632" s="140"/>
      <c r="D10632" s="140"/>
      <c r="E10632" s="140"/>
    </row>
    <row r="10633" spans="1:5">
      <c r="A10633" s="140"/>
      <c r="B10633" s="192"/>
      <c r="C10633" s="140"/>
      <c r="D10633" s="140"/>
      <c r="E10633" s="140"/>
    </row>
    <row r="10634" spans="1:5">
      <c r="A10634" s="140"/>
      <c r="B10634" s="192"/>
      <c r="C10634" s="140"/>
      <c r="D10634" s="140"/>
      <c r="E10634" s="140"/>
    </row>
    <row r="10635" spans="1:5">
      <c r="A10635" s="140"/>
      <c r="B10635" s="192"/>
      <c r="C10635" s="140"/>
      <c r="D10635" s="140"/>
      <c r="E10635" s="140"/>
    </row>
    <row r="10636" spans="1:5">
      <c r="A10636" s="140"/>
      <c r="B10636" s="192"/>
      <c r="C10636" s="140"/>
      <c r="D10636" s="140"/>
      <c r="E10636" s="140"/>
    </row>
    <row r="10637" spans="1:5">
      <c r="A10637" s="140"/>
      <c r="B10637" s="192"/>
      <c r="C10637" s="140"/>
      <c r="D10637" s="140"/>
      <c r="E10637" s="140"/>
    </row>
    <row r="10638" spans="1:5">
      <c r="A10638" s="140"/>
      <c r="B10638" s="192"/>
      <c r="C10638" s="140"/>
      <c r="D10638" s="140"/>
      <c r="E10638" s="140"/>
    </row>
    <row r="10639" spans="1:5">
      <c r="A10639" s="140"/>
      <c r="B10639" s="192"/>
      <c r="C10639" s="140"/>
      <c r="D10639" s="140"/>
      <c r="E10639" s="140"/>
    </row>
    <row r="10640" spans="1:5">
      <c r="A10640" s="140"/>
      <c r="B10640" s="192"/>
      <c r="C10640" s="140"/>
      <c r="D10640" s="140"/>
      <c r="E10640" s="140"/>
    </row>
    <row r="10641" spans="1:5">
      <c r="A10641" s="140"/>
      <c r="B10641" s="192"/>
      <c r="C10641" s="140"/>
      <c r="D10641" s="140"/>
      <c r="E10641" s="140"/>
    </row>
    <row r="10642" spans="1:5">
      <c r="A10642" s="140"/>
      <c r="B10642" s="192"/>
      <c r="C10642" s="140"/>
      <c r="D10642" s="140"/>
      <c r="E10642" s="140"/>
    </row>
    <row r="10643" spans="1:5">
      <c r="A10643" s="140"/>
      <c r="B10643" s="192"/>
      <c r="C10643" s="140"/>
      <c r="D10643" s="140"/>
      <c r="E10643" s="140"/>
    </row>
    <row r="10644" spans="1:5">
      <c r="A10644" s="140"/>
      <c r="B10644" s="192"/>
      <c r="C10644" s="140"/>
      <c r="D10644" s="140"/>
      <c r="E10644" s="140"/>
    </row>
    <row r="10645" spans="1:5">
      <c r="A10645" s="140"/>
      <c r="B10645" s="192"/>
      <c r="C10645" s="140"/>
      <c r="D10645" s="140"/>
      <c r="E10645" s="140"/>
    </row>
    <row r="10646" spans="1:5">
      <c r="A10646" s="140"/>
      <c r="B10646" s="192"/>
      <c r="C10646" s="140"/>
      <c r="D10646" s="140"/>
      <c r="E10646" s="140"/>
    </row>
    <row r="10647" spans="1:5">
      <c r="A10647" s="140"/>
      <c r="B10647" s="192"/>
      <c r="C10647" s="140"/>
      <c r="D10647" s="140"/>
      <c r="E10647" s="140"/>
    </row>
    <row r="10648" spans="1:5">
      <c r="A10648" s="140"/>
      <c r="B10648" s="192"/>
      <c r="C10648" s="140"/>
      <c r="D10648" s="140"/>
      <c r="E10648" s="140"/>
    </row>
    <row r="10649" spans="1:5">
      <c r="A10649" s="140"/>
      <c r="B10649" s="192"/>
      <c r="C10649" s="140"/>
      <c r="D10649" s="140"/>
      <c r="E10649" s="140"/>
    </row>
    <row r="10650" spans="1:5">
      <c r="A10650" s="140"/>
      <c r="B10650" s="192"/>
      <c r="C10650" s="140"/>
      <c r="D10650" s="140"/>
      <c r="E10650" s="140"/>
    </row>
    <row r="10651" spans="1:5">
      <c r="A10651" s="140"/>
      <c r="B10651" s="192"/>
      <c r="C10651" s="140"/>
      <c r="D10651" s="140"/>
      <c r="E10651" s="140"/>
    </row>
    <row r="10652" spans="1:5">
      <c r="A10652" s="140"/>
      <c r="B10652" s="192"/>
      <c r="C10652" s="140"/>
      <c r="D10652" s="140"/>
      <c r="E10652" s="140"/>
    </row>
    <row r="10653" spans="1:5">
      <c r="A10653" s="140"/>
      <c r="B10653" s="192"/>
      <c r="C10653" s="140"/>
      <c r="D10653" s="140"/>
      <c r="E10653" s="140"/>
    </row>
    <row r="10654" spans="1:5">
      <c r="A10654" s="140"/>
      <c r="B10654" s="192"/>
      <c r="C10654" s="140"/>
      <c r="D10654" s="140"/>
      <c r="E10654" s="140"/>
    </row>
    <row r="10655" spans="1:5">
      <c r="A10655" s="140"/>
      <c r="B10655" s="192"/>
      <c r="C10655" s="140"/>
      <c r="D10655" s="140"/>
      <c r="E10655" s="140"/>
    </row>
    <row r="10656" spans="1:5">
      <c r="A10656" s="140"/>
      <c r="B10656" s="192"/>
      <c r="C10656" s="140"/>
      <c r="D10656" s="140"/>
      <c r="E10656" s="140"/>
    </row>
    <row r="10657" spans="1:5">
      <c r="A10657" s="140"/>
      <c r="B10657" s="192"/>
      <c r="C10657" s="140"/>
      <c r="D10657" s="140"/>
      <c r="E10657" s="140"/>
    </row>
    <row r="10658" spans="1:5">
      <c r="A10658" s="140"/>
      <c r="B10658" s="192"/>
      <c r="C10658" s="140"/>
      <c r="D10658" s="140"/>
      <c r="E10658" s="140"/>
    </row>
    <row r="10659" spans="1:5">
      <c r="A10659" s="140"/>
      <c r="B10659" s="192"/>
      <c r="C10659" s="140"/>
      <c r="D10659" s="140"/>
      <c r="E10659" s="140"/>
    </row>
    <row r="10660" spans="1:5">
      <c r="A10660" s="140"/>
      <c r="B10660" s="192"/>
      <c r="C10660" s="140"/>
      <c r="D10660" s="140"/>
      <c r="E10660" s="140"/>
    </row>
    <row r="10661" spans="1:5">
      <c r="A10661" s="140"/>
      <c r="B10661" s="192"/>
      <c r="C10661" s="140"/>
      <c r="D10661" s="140"/>
      <c r="E10661" s="140"/>
    </row>
    <row r="10662" spans="1:5">
      <c r="A10662" s="140"/>
      <c r="B10662" s="192"/>
      <c r="C10662" s="140"/>
      <c r="D10662" s="140"/>
      <c r="E10662" s="140"/>
    </row>
    <row r="10663" spans="1:5">
      <c r="A10663" s="140"/>
      <c r="B10663" s="192"/>
      <c r="C10663" s="140"/>
      <c r="D10663" s="140"/>
      <c r="E10663" s="140"/>
    </row>
    <row r="10664" spans="1:5">
      <c r="A10664" s="140"/>
      <c r="B10664" s="192"/>
      <c r="C10664" s="140"/>
      <c r="D10664" s="140"/>
      <c r="E10664" s="140"/>
    </row>
    <row r="10665" spans="1:5">
      <c r="A10665" s="140"/>
      <c r="B10665" s="192"/>
      <c r="C10665" s="140"/>
      <c r="D10665" s="140"/>
      <c r="E10665" s="140"/>
    </row>
    <row r="10666" spans="1:5">
      <c r="A10666" s="140"/>
      <c r="B10666" s="192"/>
      <c r="C10666" s="140"/>
      <c r="D10666" s="140"/>
      <c r="E10666" s="140"/>
    </row>
    <row r="10667" spans="1:5">
      <c r="A10667" s="140"/>
      <c r="B10667" s="192"/>
      <c r="C10667" s="140"/>
      <c r="D10667" s="140"/>
      <c r="E10667" s="140"/>
    </row>
    <row r="10668" spans="1:5">
      <c r="A10668" s="140"/>
      <c r="B10668" s="192"/>
      <c r="C10668" s="140"/>
      <c r="D10668" s="140"/>
      <c r="E10668" s="140"/>
    </row>
    <row r="10669" spans="1:5">
      <c r="A10669" s="140"/>
      <c r="B10669" s="192"/>
      <c r="C10669" s="140"/>
      <c r="D10669" s="140"/>
      <c r="E10669" s="140"/>
    </row>
    <row r="10670" spans="1:5">
      <c r="A10670" s="140"/>
      <c r="B10670" s="192"/>
      <c r="C10670" s="140"/>
      <c r="D10670" s="140"/>
      <c r="E10670" s="140"/>
    </row>
    <row r="10671" spans="1:5">
      <c r="A10671" s="140"/>
      <c r="B10671" s="192"/>
      <c r="C10671" s="140"/>
      <c r="D10671" s="140"/>
      <c r="E10671" s="140"/>
    </row>
    <row r="10672" spans="1:5">
      <c r="A10672" s="140"/>
      <c r="B10672" s="192"/>
      <c r="C10672" s="140"/>
      <c r="D10672" s="140"/>
      <c r="E10672" s="140"/>
    </row>
    <row r="10673" spans="1:5">
      <c r="A10673" s="140"/>
      <c r="B10673" s="192"/>
      <c r="C10673" s="140"/>
      <c r="D10673" s="140"/>
      <c r="E10673" s="140"/>
    </row>
    <row r="10674" spans="1:5">
      <c r="A10674" s="140"/>
      <c r="B10674" s="192"/>
      <c r="C10674" s="140"/>
      <c r="D10674" s="140"/>
      <c r="E10674" s="140"/>
    </row>
    <row r="10675" spans="1:5">
      <c r="A10675" s="140"/>
      <c r="B10675" s="192"/>
      <c r="C10675" s="140"/>
      <c r="D10675" s="140"/>
      <c r="E10675" s="140"/>
    </row>
    <row r="10676" spans="1:5">
      <c r="A10676" s="140"/>
      <c r="B10676" s="192"/>
      <c r="C10676" s="140"/>
      <c r="D10676" s="140"/>
      <c r="E10676" s="140"/>
    </row>
    <row r="10677" spans="1:5">
      <c r="A10677" s="140"/>
      <c r="B10677" s="192"/>
      <c r="C10677" s="140"/>
      <c r="D10677" s="140"/>
      <c r="E10677" s="140"/>
    </row>
    <row r="10678" spans="1:5">
      <c r="A10678" s="140"/>
      <c r="B10678" s="192"/>
      <c r="C10678" s="140"/>
      <c r="D10678" s="140"/>
      <c r="E10678" s="140"/>
    </row>
    <row r="10679" spans="1:5">
      <c r="A10679" s="140"/>
      <c r="B10679" s="192"/>
      <c r="C10679" s="140"/>
      <c r="D10679" s="140"/>
      <c r="E10679" s="140"/>
    </row>
    <row r="10680" spans="1:5">
      <c r="A10680" s="140"/>
      <c r="B10680" s="192"/>
      <c r="C10680" s="140"/>
      <c r="D10680" s="140"/>
      <c r="E10680" s="140"/>
    </row>
    <row r="10681" spans="1:5">
      <c r="A10681" s="140"/>
      <c r="B10681" s="192"/>
      <c r="C10681" s="140"/>
      <c r="D10681" s="140"/>
      <c r="E10681" s="140"/>
    </row>
    <row r="10682" spans="1:5">
      <c r="A10682" s="140"/>
      <c r="B10682" s="192"/>
      <c r="C10682" s="140"/>
      <c r="D10682" s="140"/>
      <c r="E10682" s="140"/>
    </row>
    <row r="10683" spans="1:5">
      <c r="A10683" s="140"/>
      <c r="B10683" s="192"/>
      <c r="C10683" s="140"/>
      <c r="D10683" s="140"/>
      <c r="E10683" s="140"/>
    </row>
    <row r="10684" spans="1:5">
      <c r="A10684" s="140"/>
      <c r="B10684" s="192"/>
      <c r="C10684" s="140"/>
      <c r="D10684" s="140"/>
      <c r="E10684" s="140"/>
    </row>
    <row r="10685" spans="1:5">
      <c r="A10685" s="140"/>
      <c r="B10685" s="192"/>
      <c r="C10685" s="140"/>
      <c r="D10685" s="140"/>
      <c r="E10685" s="140"/>
    </row>
    <row r="10686" spans="1:5">
      <c r="A10686" s="140"/>
      <c r="B10686" s="192"/>
      <c r="C10686" s="140"/>
      <c r="D10686" s="140"/>
      <c r="E10686" s="140"/>
    </row>
    <row r="10687" spans="1:5">
      <c r="A10687" s="140"/>
      <c r="B10687" s="192"/>
      <c r="C10687" s="140"/>
      <c r="D10687" s="140"/>
      <c r="E10687" s="140"/>
    </row>
    <row r="10688" spans="1:5">
      <c r="A10688" s="140"/>
      <c r="B10688" s="192"/>
      <c r="C10688" s="140"/>
      <c r="D10688" s="140"/>
      <c r="E10688" s="140"/>
    </row>
    <row r="10689" spans="1:5">
      <c r="A10689" s="140"/>
      <c r="B10689" s="192"/>
      <c r="C10689" s="140"/>
      <c r="D10689" s="140"/>
      <c r="E10689" s="140"/>
    </row>
    <row r="10690" spans="1:5">
      <c r="A10690" s="140"/>
      <c r="B10690" s="192"/>
      <c r="C10690" s="140"/>
      <c r="D10690" s="140"/>
      <c r="E10690" s="140"/>
    </row>
    <row r="10691" spans="1:5">
      <c r="A10691" s="140"/>
      <c r="B10691" s="192"/>
      <c r="C10691" s="140"/>
      <c r="D10691" s="140"/>
      <c r="E10691" s="140"/>
    </row>
    <row r="10692" spans="1:5">
      <c r="A10692" s="140"/>
      <c r="B10692" s="192"/>
      <c r="C10692" s="140"/>
      <c r="D10692" s="140"/>
      <c r="E10692" s="140"/>
    </row>
    <row r="10693" spans="1:5">
      <c r="A10693" s="140"/>
      <c r="B10693" s="192"/>
      <c r="C10693" s="140"/>
      <c r="D10693" s="140"/>
      <c r="E10693" s="140"/>
    </row>
    <row r="10694" spans="1:5">
      <c r="A10694" s="140"/>
      <c r="B10694" s="192"/>
      <c r="C10694" s="140"/>
      <c r="D10694" s="140"/>
      <c r="E10694" s="140"/>
    </row>
    <row r="10695" spans="1:5">
      <c r="A10695" s="140"/>
      <c r="B10695" s="192"/>
      <c r="C10695" s="140"/>
      <c r="D10695" s="140"/>
      <c r="E10695" s="140"/>
    </row>
    <row r="10696" spans="1:5">
      <c r="A10696" s="140"/>
      <c r="B10696" s="192"/>
      <c r="C10696" s="140"/>
      <c r="D10696" s="140"/>
      <c r="E10696" s="140"/>
    </row>
    <row r="10697" spans="1:5">
      <c r="A10697" s="140"/>
      <c r="B10697" s="192"/>
      <c r="C10697" s="140"/>
      <c r="D10697" s="140"/>
      <c r="E10697" s="140"/>
    </row>
    <row r="10698" spans="1:5">
      <c r="A10698" s="140"/>
      <c r="B10698" s="192"/>
      <c r="C10698" s="140"/>
      <c r="D10698" s="140"/>
      <c r="E10698" s="140"/>
    </row>
    <row r="10699" spans="1:5">
      <c r="A10699" s="140"/>
      <c r="B10699" s="192"/>
      <c r="C10699" s="140"/>
      <c r="D10699" s="140"/>
      <c r="E10699" s="140"/>
    </row>
    <row r="10700" spans="1:5">
      <c r="A10700" s="140"/>
      <c r="B10700" s="192"/>
      <c r="C10700" s="140"/>
      <c r="D10700" s="140"/>
      <c r="E10700" s="140"/>
    </row>
    <row r="10701" spans="1:5">
      <c r="A10701" s="140"/>
      <c r="B10701" s="192"/>
      <c r="C10701" s="140"/>
      <c r="D10701" s="140"/>
      <c r="E10701" s="140"/>
    </row>
    <row r="10702" spans="1:5">
      <c r="A10702" s="140"/>
      <c r="B10702" s="192"/>
      <c r="C10702" s="140"/>
      <c r="D10702" s="140"/>
      <c r="E10702" s="140"/>
    </row>
    <row r="10703" spans="1:5">
      <c r="A10703" s="140"/>
      <c r="B10703" s="192"/>
      <c r="C10703" s="140"/>
      <c r="D10703" s="140"/>
      <c r="E10703" s="140"/>
    </row>
    <row r="10704" spans="1:5">
      <c r="A10704" s="140"/>
      <c r="B10704" s="192"/>
      <c r="C10704" s="140"/>
      <c r="D10704" s="140"/>
      <c r="E10704" s="140"/>
    </row>
    <row r="10705" spans="1:5">
      <c r="A10705" s="140"/>
      <c r="B10705" s="192"/>
      <c r="C10705" s="140"/>
      <c r="D10705" s="140"/>
      <c r="E10705" s="140"/>
    </row>
    <row r="10706" spans="1:5">
      <c r="A10706" s="140"/>
      <c r="B10706" s="192"/>
      <c r="C10706" s="140"/>
      <c r="D10706" s="140"/>
      <c r="E10706" s="140"/>
    </row>
    <row r="10707" spans="1:5">
      <c r="A10707" s="140"/>
      <c r="B10707" s="192"/>
      <c r="C10707" s="140"/>
      <c r="D10707" s="140"/>
      <c r="E10707" s="140"/>
    </row>
    <row r="10708" spans="1:5">
      <c r="A10708" s="140"/>
      <c r="B10708" s="192"/>
      <c r="C10708" s="140"/>
      <c r="D10708" s="140"/>
      <c r="E10708" s="140"/>
    </row>
    <row r="10709" spans="1:5">
      <c r="A10709" s="140"/>
      <c r="B10709" s="192"/>
      <c r="C10709" s="140"/>
      <c r="D10709" s="140"/>
      <c r="E10709" s="140"/>
    </row>
    <row r="10710" spans="1:5">
      <c r="A10710" s="140"/>
      <c r="B10710" s="192"/>
      <c r="C10710" s="140"/>
      <c r="D10710" s="140"/>
      <c r="E10710" s="140"/>
    </row>
    <row r="10711" spans="1:5">
      <c r="A10711" s="140"/>
      <c r="B10711" s="192"/>
      <c r="C10711" s="140"/>
      <c r="D10711" s="140"/>
      <c r="E10711" s="140"/>
    </row>
    <row r="10712" spans="1:5">
      <c r="A10712" s="140"/>
      <c r="B10712" s="192"/>
      <c r="C10712" s="140"/>
      <c r="D10712" s="140"/>
      <c r="E10712" s="140"/>
    </row>
    <row r="10713" spans="1:5">
      <c r="A10713" s="140"/>
      <c r="B10713" s="192"/>
      <c r="C10713" s="140"/>
      <c r="D10713" s="140"/>
      <c r="E10713" s="140"/>
    </row>
    <row r="10714" spans="1:5">
      <c r="A10714" s="140"/>
      <c r="B10714" s="192"/>
      <c r="C10714" s="140"/>
      <c r="D10714" s="140"/>
      <c r="E10714" s="140"/>
    </row>
    <row r="10715" spans="1:5">
      <c r="A10715" s="140"/>
      <c r="B10715" s="192"/>
      <c r="C10715" s="140"/>
      <c r="D10715" s="140"/>
      <c r="E10715" s="140"/>
    </row>
    <row r="10716" spans="1:5">
      <c r="A10716" s="140"/>
      <c r="B10716" s="192"/>
      <c r="C10716" s="140"/>
      <c r="D10716" s="140"/>
      <c r="E10716" s="140"/>
    </row>
    <row r="10717" spans="1:5">
      <c r="A10717" s="140"/>
      <c r="B10717" s="192"/>
      <c r="C10717" s="140"/>
      <c r="D10717" s="140"/>
      <c r="E10717" s="140"/>
    </row>
    <row r="10718" spans="1:5">
      <c r="A10718" s="140"/>
      <c r="B10718" s="192"/>
      <c r="C10718" s="140"/>
      <c r="D10718" s="140"/>
      <c r="E10718" s="140"/>
    </row>
    <row r="10719" spans="1:5">
      <c r="A10719" s="140"/>
      <c r="B10719" s="192"/>
      <c r="C10719" s="140"/>
      <c r="D10719" s="140"/>
      <c r="E10719" s="140"/>
    </row>
    <row r="10720" spans="1:5">
      <c r="A10720" s="140"/>
      <c r="B10720" s="192"/>
      <c r="C10720" s="140"/>
      <c r="D10720" s="140"/>
      <c r="E10720" s="140"/>
    </row>
    <row r="10721" spans="1:5">
      <c r="A10721" s="140"/>
      <c r="B10721" s="192"/>
      <c r="C10721" s="140"/>
      <c r="D10721" s="140"/>
      <c r="E10721" s="140"/>
    </row>
    <row r="10722" spans="1:5">
      <c r="A10722" s="140"/>
      <c r="B10722" s="192"/>
      <c r="C10722" s="140"/>
      <c r="D10722" s="140"/>
      <c r="E10722" s="140"/>
    </row>
    <row r="10723" spans="1:5">
      <c r="A10723" s="140"/>
      <c r="B10723" s="192"/>
      <c r="C10723" s="140"/>
      <c r="D10723" s="140"/>
      <c r="E10723" s="140"/>
    </row>
    <row r="10724" spans="1:5">
      <c r="A10724" s="140"/>
      <c r="B10724" s="192"/>
      <c r="C10724" s="140"/>
      <c r="D10724" s="140"/>
      <c r="E10724" s="140"/>
    </row>
    <row r="10725" spans="1:5">
      <c r="A10725" s="140"/>
      <c r="B10725" s="192"/>
      <c r="C10725" s="140"/>
      <c r="D10725" s="140"/>
      <c r="E10725" s="140"/>
    </row>
    <row r="10726" spans="1:5">
      <c r="A10726" s="140"/>
      <c r="B10726" s="192"/>
      <c r="C10726" s="140"/>
      <c r="D10726" s="140"/>
      <c r="E10726" s="140"/>
    </row>
    <row r="10727" spans="1:5">
      <c r="A10727" s="140"/>
      <c r="B10727" s="192"/>
      <c r="C10727" s="140"/>
      <c r="D10727" s="140"/>
      <c r="E10727" s="140"/>
    </row>
    <row r="10728" spans="1:5">
      <c r="A10728" s="140"/>
      <c r="B10728" s="192"/>
      <c r="C10728" s="140"/>
      <c r="D10728" s="140"/>
      <c r="E10728" s="140"/>
    </row>
    <row r="10729" spans="1:5">
      <c r="A10729" s="140"/>
      <c r="B10729" s="192"/>
      <c r="C10729" s="140"/>
      <c r="D10729" s="140"/>
      <c r="E10729" s="140"/>
    </row>
    <row r="10730" spans="1:5">
      <c r="A10730" s="140"/>
      <c r="B10730" s="192"/>
      <c r="C10730" s="140"/>
      <c r="D10730" s="140"/>
      <c r="E10730" s="140"/>
    </row>
    <row r="10731" spans="1:5">
      <c r="A10731" s="140"/>
      <c r="B10731" s="192"/>
      <c r="C10731" s="140"/>
      <c r="D10731" s="140"/>
      <c r="E10731" s="140"/>
    </row>
    <row r="10732" spans="1:5">
      <c r="A10732" s="140"/>
      <c r="B10732" s="192"/>
      <c r="C10732" s="140"/>
      <c r="D10732" s="140"/>
      <c r="E10732" s="140"/>
    </row>
    <row r="10733" spans="1:5">
      <c r="A10733" s="140"/>
      <c r="B10733" s="192"/>
      <c r="C10733" s="140"/>
      <c r="D10733" s="140"/>
      <c r="E10733" s="140"/>
    </row>
    <row r="10734" spans="1:5">
      <c r="A10734" s="140"/>
      <c r="B10734" s="192"/>
      <c r="C10734" s="140"/>
      <c r="D10734" s="140"/>
      <c r="E10734" s="140"/>
    </row>
    <row r="10735" spans="1:5">
      <c r="A10735" s="140"/>
      <c r="B10735" s="192"/>
      <c r="C10735" s="140"/>
      <c r="D10735" s="140"/>
      <c r="E10735" s="140"/>
    </row>
    <row r="10736" spans="1:5">
      <c r="A10736" s="140"/>
      <c r="B10736" s="192"/>
      <c r="C10736" s="140"/>
      <c r="D10736" s="140"/>
      <c r="E10736" s="140"/>
    </row>
    <row r="10737" spans="1:5">
      <c r="A10737" s="140"/>
      <c r="B10737" s="192"/>
      <c r="C10737" s="140"/>
      <c r="D10737" s="140"/>
      <c r="E10737" s="140"/>
    </row>
    <row r="10738" spans="1:5">
      <c r="A10738" s="140"/>
      <c r="B10738" s="192"/>
      <c r="C10738" s="140"/>
      <c r="D10738" s="140"/>
      <c r="E10738" s="140"/>
    </row>
    <row r="10739" spans="1:5">
      <c r="A10739" s="140"/>
      <c r="B10739" s="192"/>
      <c r="C10739" s="140"/>
      <c r="D10739" s="140"/>
      <c r="E10739" s="140"/>
    </row>
    <row r="10740" spans="1:5">
      <c r="A10740" s="140"/>
      <c r="B10740" s="192"/>
      <c r="C10740" s="140"/>
      <c r="D10740" s="140"/>
      <c r="E10740" s="140"/>
    </row>
    <row r="10741" spans="1:5">
      <c r="A10741" s="140"/>
      <c r="B10741" s="192"/>
      <c r="C10741" s="140"/>
      <c r="D10741" s="140"/>
      <c r="E10741" s="140"/>
    </row>
    <row r="10742" spans="1:5">
      <c r="A10742" s="140"/>
      <c r="B10742" s="192"/>
      <c r="C10742" s="140"/>
      <c r="D10742" s="140"/>
      <c r="E10742" s="140"/>
    </row>
    <row r="10743" spans="1:5">
      <c r="A10743" s="140"/>
      <c r="B10743" s="192"/>
      <c r="C10743" s="140"/>
      <c r="D10743" s="140"/>
      <c r="E10743" s="140"/>
    </row>
    <row r="10744" spans="1:5">
      <c r="A10744" s="140"/>
      <c r="B10744" s="192"/>
      <c r="C10744" s="140"/>
      <c r="D10744" s="140"/>
      <c r="E10744" s="140"/>
    </row>
    <row r="10745" spans="1:5">
      <c r="A10745" s="140"/>
      <c r="B10745" s="192"/>
      <c r="C10745" s="140"/>
      <c r="D10745" s="140"/>
      <c r="E10745" s="140"/>
    </row>
    <row r="10746" spans="1:5">
      <c r="A10746" s="140"/>
      <c r="B10746" s="192"/>
      <c r="C10746" s="140"/>
      <c r="D10746" s="140"/>
      <c r="E10746" s="140"/>
    </row>
    <row r="10747" spans="1:5">
      <c r="A10747" s="140"/>
      <c r="B10747" s="192"/>
      <c r="C10747" s="140"/>
      <c r="D10747" s="140"/>
      <c r="E10747" s="140"/>
    </row>
    <row r="10748" spans="1:5">
      <c r="A10748" s="140"/>
      <c r="B10748" s="192"/>
      <c r="C10748" s="140"/>
      <c r="D10748" s="140"/>
      <c r="E10748" s="140"/>
    </row>
    <row r="10749" spans="1:5">
      <c r="A10749" s="140"/>
      <c r="B10749" s="192"/>
      <c r="C10749" s="140"/>
      <c r="D10749" s="140"/>
      <c r="E10749" s="140"/>
    </row>
    <row r="10750" spans="1:5">
      <c r="A10750" s="140"/>
      <c r="B10750" s="192"/>
      <c r="C10750" s="140"/>
      <c r="D10750" s="140"/>
      <c r="E10750" s="140"/>
    </row>
    <row r="10751" spans="1:5">
      <c r="A10751" s="140"/>
      <c r="B10751" s="192"/>
      <c r="C10751" s="140"/>
      <c r="D10751" s="140"/>
      <c r="E10751" s="140"/>
    </row>
    <row r="10752" spans="1:5">
      <c r="A10752" s="140"/>
      <c r="B10752" s="192"/>
      <c r="C10752" s="140"/>
      <c r="D10752" s="140"/>
      <c r="E10752" s="140"/>
    </row>
    <row r="10753" spans="1:5">
      <c r="A10753" s="140"/>
      <c r="B10753" s="192"/>
      <c r="C10753" s="140"/>
      <c r="D10753" s="140"/>
      <c r="E10753" s="140"/>
    </row>
    <row r="10754" spans="1:5">
      <c r="A10754" s="140"/>
      <c r="B10754" s="192"/>
      <c r="C10754" s="140"/>
      <c r="D10754" s="140"/>
      <c r="E10754" s="140"/>
    </row>
    <row r="10755" spans="1:5">
      <c r="A10755" s="140"/>
      <c r="B10755" s="192"/>
      <c r="C10755" s="140"/>
      <c r="D10755" s="140"/>
      <c r="E10755" s="140"/>
    </row>
    <row r="10756" spans="1:5">
      <c r="A10756" s="140"/>
      <c r="B10756" s="192"/>
      <c r="C10756" s="140"/>
      <c r="D10756" s="140"/>
      <c r="E10756" s="140"/>
    </row>
    <row r="10757" spans="1:5">
      <c r="A10757" s="140"/>
      <c r="B10757" s="192"/>
      <c r="C10757" s="140"/>
      <c r="D10757" s="140"/>
      <c r="E10757" s="140"/>
    </row>
    <row r="10758" spans="1:5">
      <c r="A10758" s="140"/>
      <c r="B10758" s="192"/>
      <c r="C10758" s="140"/>
      <c r="D10758" s="140"/>
      <c r="E10758" s="140"/>
    </row>
    <row r="10759" spans="1:5">
      <c r="A10759" s="140"/>
      <c r="B10759" s="192"/>
      <c r="C10759" s="140"/>
      <c r="D10759" s="140"/>
      <c r="E10759" s="140"/>
    </row>
    <row r="10760" spans="1:5">
      <c r="A10760" s="140"/>
      <c r="B10760" s="192"/>
      <c r="C10760" s="140"/>
      <c r="D10760" s="140"/>
      <c r="E10760" s="140"/>
    </row>
    <row r="10761" spans="1:5">
      <c r="A10761" s="140"/>
      <c r="B10761" s="192"/>
      <c r="C10761" s="140"/>
      <c r="D10761" s="140"/>
      <c r="E10761" s="140"/>
    </row>
    <row r="10762" spans="1:5">
      <c r="A10762" s="140"/>
      <c r="B10762" s="192"/>
      <c r="C10762" s="140"/>
      <c r="D10762" s="140"/>
      <c r="E10762" s="140"/>
    </row>
    <row r="10763" spans="1:5">
      <c r="A10763" s="140"/>
      <c r="B10763" s="192"/>
      <c r="C10763" s="140"/>
      <c r="D10763" s="140"/>
      <c r="E10763" s="140"/>
    </row>
    <row r="10764" spans="1:5">
      <c r="A10764" s="140"/>
      <c r="B10764" s="192"/>
      <c r="C10764" s="140"/>
      <c r="D10764" s="140"/>
      <c r="E10764" s="140"/>
    </row>
    <row r="10765" spans="1:5">
      <c r="A10765" s="140"/>
      <c r="B10765" s="192"/>
      <c r="C10765" s="140"/>
      <c r="D10765" s="140"/>
      <c r="E10765" s="140"/>
    </row>
    <row r="10766" spans="1:5">
      <c r="A10766" s="140"/>
      <c r="B10766" s="192"/>
      <c r="C10766" s="140"/>
      <c r="D10766" s="140"/>
      <c r="E10766" s="140"/>
    </row>
    <row r="10767" spans="1:5">
      <c r="A10767" s="140"/>
      <c r="B10767" s="192"/>
      <c r="C10767" s="140"/>
      <c r="D10767" s="140"/>
      <c r="E10767" s="140"/>
    </row>
    <row r="10768" spans="1:5">
      <c r="A10768" s="140"/>
      <c r="B10768" s="192"/>
      <c r="C10768" s="140"/>
      <c r="D10768" s="140"/>
      <c r="E10768" s="140"/>
    </row>
    <row r="10769" spans="1:5">
      <c r="A10769" s="140"/>
      <c r="B10769" s="192"/>
      <c r="C10769" s="140"/>
      <c r="D10769" s="140"/>
      <c r="E10769" s="140"/>
    </row>
    <row r="10770" spans="1:5">
      <c r="A10770" s="140"/>
      <c r="B10770" s="192"/>
      <c r="C10770" s="140"/>
      <c r="D10770" s="140"/>
      <c r="E10770" s="140"/>
    </row>
    <row r="10771" spans="1:5">
      <c r="A10771" s="140"/>
      <c r="B10771" s="192"/>
      <c r="C10771" s="140"/>
      <c r="D10771" s="140"/>
      <c r="E10771" s="140"/>
    </row>
    <row r="10772" spans="1:5">
      <c r="A10772" s="140"/>
      <c r="B10772" s="192"/>
      <c r="C10772" s="140"/>
      <c r="D10772" s="140"/>
      <c r="E10772" s="140"/>
    </row>
    <row r="10773" spans="1:5">
      <c r="A10773" s="140"/>
      <c r="B10773" s="192"/>
      <c r="C10773" s="140"/>
      <c r="D10773" s="140"/>
      <c r="E10773" s="140"/>
    </row>
    <row r="10774" spans="1:5">
      <c r="A10774" s="140"/>
      <c r="B10774" s="192"/>
      <c r="C10774" s="140"/>
      <c r="D10774" s="140"/>
      <c r="E10774" s="140"/>
    </row>
    <row r="10775" spans="1:5">
      <c r="A10775" s="140"/>
      <c r="B10775" s="192"/>
      <c r="C10775" s="140"/>
      <c r="D10775" s="140"/>
      <c r="E10775" s="140"/>
    </row>
    <row r="10776" spans="1:5">
      <c r="A10776" s="140"/>
      <c r="B10776" s="192"/>
      <c r="C10776" s="140"/>
      <c r="D10776" s="140"/>
      <c r="E10776" s="140"/>
    </row>
    <row r="10777" spans="1:5">
      <c r="A10777" s="140"/>
      <c r="B10777" s="192"/>
      <c r="C10777" s="140"/>
      <c r="D10777" s="140"/>
      <c r="E10777" s="140"/>
    </row>
    <row r="10778" spans="1:5">
      <c r="A10778" s="140"/>
      <c r="B10778" s="192"/>
      <c r="C10778" s="140"/>
      <c r="D10778" s="140"/>
      <c r="E10778" s="140"/>
    </row>
    <row r="10779" spans="1:5">
      <c r="A10779" s="140"/>
      <c r="B10779" s="192"/>
      <c r="C10779" s="140"/>
      <c r="D10779" s="140"/>
      <c r="E10779" s="140"/>
    </row>
    <row r="10780" spans="1:5">
      <c r="A10780" s="140"/>
      <c r="B10780" s="192"/>
      <c r="C10780" s="140"/>
      <c r="D10780" s="140"/>
      <c r="E10780" s="140"/>
    </row>
    <row r="10781" spans="1:5">
      <c r="A10781" s="140"/>
      <c r="B10781" s="192"/>
      <c r="C10781" s="140"/>
      <c r="D10781" s="140"/>
      <c r="E10781" s="140"/>
    </row>
    <row r="10782" spans="1:5">
      <c r="A10782" s="140"/>
      <c r="B10782" s="192"/>
      <c r="C10782" s="140"/>
      <c r="D10782" s="140"/>
      <c r="E10782" s="140"/>
    </row>
    <row r="10783" spans="1:5">
      <c r="A10783" s="140"/>
      <c r="B10783" s="192"/>
      <c r="C10783" s="140"/>
      <c r="D10783" s="140"/>
      <c r="E10783" s="140"/>
    </row>
    <row r="10784" spans="1:5">
      <c r="A10784" s="140"/>
      <c r="B10784" s="192"/>
      <c r="C10784" s="140"/>
      <c r="D10784" s="140"/>
      <c r="E10784" s="140"/>
    </row>
    <row r="10785" spans="1:5">
      <c r="A10785" s="140"/>
      <c r="B10785" s="192"/>
      <c r="C10785" s="140"/>
      <c r="D10785" s="140"/>
      <c r="E10785" s="140"/>
    </row>
    <row r="10786" spans="1:5">
      <c r="A10786" s="140"/>
      <c r="B10786" s="192"/>
      <c r="C10786" s="140"/>
      <c r="D10786" s="140"/>
      <c r="E10786" s="140"/>
    </row>
    <row r="10787" spans="1:5">
      <c r="A10787" s="140"/>
      <c r="B10787" s="192"/>
      <c r="C10787" s="140"/>
      <c r="D10787" s="140"/>
      <c r="E10787" s="140"/>
    </row>
    <row r="10788" spans="1:5">
      <c r="A10788" s="140"/>
      <c r="B10788" s="192"/>
      <c r="C10788" s="140"/>
      <c r="D10788" s="140"/>
      <c r="E10788" s="140"/>
    </row>
    <row r="10789" spans="1:5">
      <c r="A10789" s="140"/>
      <c r="B10789" s="192"/>
      <c r="C10789" s="140"/>
      <c r="D10789" s="140"/>
      <c r="E10789" s="140"/>
    </row>
    <row r="10790" spans="1:5">
      <c r="A10790" s="140"/>
      <c r="B10790" s="192"/>
      <c r="C10790" s="140"/>
      <c r="D10790" s="140"/>
      <c r="E10790" s="140"/>
    </row>
    <row r="10791" spans="1:5">
      <c r="A10791" s="140"/>
      <c r="B10791" s="192"/>
      <c r="C10791" s="140"/>
      <c r="D10791" s="140"/>
      <c r="E10791" s="140"/>
    </row>
    <row r="10792" spans="1:5">
      <c r="A10792" s="140"/>
      <c r="B10792" s="192"/>
      <c r="C10792" s="140"/>
      <c r="D10792" s="140"/>
      <c r="E10792" s="140"/>
    </row>
    <row r="10793" spans="1:5">
      <c r="A10793" s="140"/>
      <c r="B10793" s="192"/>
      <c r="C10793" s="140"/>
      <c r="D10793" s="140"/>
      <c r="E10793" s="140"/>
    </row>
    <row r="10794" spans="1:5">
      <c r="A10794" s="140"/>
      <c r="B10794" s="192"/>
      <c r="C10794" s="140"/>
      <c r="D10794" s="140"/>
      <c r="E10794" s="140"/>
    </row>
    <row r="10795" spans="1:5">
      <c r="A10795" s="140"/>
      <c r="B10795" s="192"/>
      <c r="C10795" s="140"/>
      <c r="D10795" s="140"/>
      <c r="E10795" s="140"/>
    </row>
    <row r="10796" spans="1:5">
      <c r="A10796" s="140"/>
      <c r="B10796" s="192"/>
      <c r="C10796" s="140"/>
      <c r="D10796" s="140"/>
      <c r="E10796" s="140"/>
    </row>
    <row r="10797" spans="1:5">
      <c r="A10797" s="140"/>
      <c r="B10797" s="192"/>
      <c r="C10797" s="140"/>
      <c r="D10797" s="140"/>
      <c r="E10797" s="140"/>
    </row>
    <row r="10798" spans="1:5">
      <c r="A10798" s="140"/>
      <c r="B10798" s="192"/>
      <c r="C10798" s="140"/>
      <c r="D10798" s="140"/>
      <c r="E10798" s="140"/>
    </row>
    <row r="10799" spans="1:5">
      <c r="A10799" s="140"/>
      <c r="B10799" s="192"/>
      <c r="C10799" s="140"/>
      <c r="D10799" s="140"/>
      <c r="E10799" s="140"/>
    </row>
    <row r="10800" spans="1:5">
      <c r="A10800" s="140"/>
      <c r="B10800" s="192"/>
      <c r="C10800" s="140"/>
      <c r="D10800" s="140"/>
      <c r="E10800" s="140"/>
    </row>
    <row r="10801" spans="1:5">
      <c r="A10801" s="140"/>
      <c r="B10801" s="192"/>
      <c r="C10801" s="140"/>
      <c r="D10801" s="140"/>
      <c r="E10801" s="140"/>
    </row>
    <row r="10802" spans="1:5">
      <c r="A10802" s="140"/>
      <c r="B10802" s="192"/>
      <c r="C10802" s="140"/>
      <c r="D10802" s="140"/>
      <c r="E10802" s="140"/>
    </row>
    <row r="10803" spans="1:5">
      <c r="A10803" s="140"/>
      <c r="B10803" s="192"/>
      <c r="C10803" s="140"/>
      <c r="D10803" s="140"/>
      <c r="E10803" s="140"/>
    </row>
    <row r="10804" spans="1:5">
      <c r="A10804" s="140"/>
      <c r="B10804" s="192"/>
      <c r="C10804" s="140"/>
      <c r="D10804" s="140"/>
      <c r="E10804" s="140"/>
    </row>
    <row r="10805" spans="1:5">
      <c r="A10805" s="140"/>
      <c r="B10805" s="192"/>
      <c r="C10805" s="140"/>
      <c r="D10805" s="140"/>
      <c r="E10805" s="140"/>
    </row>
    <row r="10806" spans="1:5">
      <c r="A10806" s="140"/>
      <c r="B10806" s="192"/>
      <c r="C10806" s="140"/>
      <c r="D10806" s="140"/>
      <c r="E10806" s="140"/>
    </row>
    <row r="10807" spans="1:5">
      <c r="A10807" s="140"/>
      <c r="B10807" s="192"/>
      <c r="C10807" s="140"/>
      <c r="D10807" s="140"/>
      <c r="E10807" s="140"/>
    </row>
    <row r="10808" spans="1:5">
      <c r="A10808" s="140"/>
      <c r="B10808" s="192"/>
      <c r="C10808" s="140"/>
      <c r="D10808" s="140"/>
      <c r="E10808" s="140"/>
    </row>
    <row r="10809" spans="1:5">
      <c r="A10809" s="140"/>
      <c r="B10809" s="192"/>
      <c r="C10809" s="140"/>
      <c r="D10809" s="140"/>
      <c r="E10809" s="140"/>
    </row>
    <row r="10810" spans="1:5">
      <c r="A10810" s="140"/>
      <c r="B10810" s="192"/>
      <c r="C10810" s="140"/>
      <c r="D10810" s="140"/>
      <c r="E10810" s="140"/>
    </row>
    <row r="10811" spans="1:5">
      <c r="A10811" s="140"/>
      <c r="B10811" s="192"/>
      <c r="C10811" s="140"/>
      <c r="D10811" s="140"/>
      <c r="E10811" s="140"/>
    </row>
    <row r="10812" spans="1:5">
      <c r="A10812" s="140"/>
      <c r="B10812" s="192"/>
      <c r="C10812" s="140"/>
      <c r="D10812" s="140"/>
      <c r="E10812" s="140"/>
    </row>
    <row r="10813" spans="1:5">
      <c r="A10813" s="140"/>
      <c r="B10813" s="192"/>
      <c r="C10813" s="140"/>
      <c r="D10813" s="140"/>
      <c r="E10813" s="140"/>
    </row>
    <row r="10814" spans="1:5">
      <c r="A10814" s="140"/>
      <c r="B10814" s="192"/>
      <c r="C10814" s="140"/>
      <c r="D10814" s="140"/>
      <c r="E10814" s="140"/>
    </row>
    <row r="10815" spans="1:5">
      <c r="A10815" s="140"/>
      <c r="B10815" s="192"/>
      <c r="C10815" s="140"/>
      <c r="D10815" s="140"/>
      <c r="E10815" s="140"/>
    </row>
    <row r="10816" spans="1:5">
      <c r="A10816" s="140"/>
      <c r="B10816" s="192"/>
      <c r="C10816" s="140"/>
      <c r="D10816" s="140"/>
      <c r="E10816" s="140"/>
    </row>
    <row r="10817" spans="1:5">
      <c r="A10817" s="140"/>
      <c r="B10817" s="192"/>
      <c r="C10817" s="140"/>
      <c r="D10817" s="140"/>
      <c r="E10817" s="140"/>
    </row>
    <row r="10818" spans="1:5">
      <c r="A10818" s="140"/>
      <c r="B10818" s="192"/>
      <c r="C10818" s="140"/>
      <c r="D10818" s="140"/>
      <c r="E10818" s="140"/>
    </row>
    <row r="10819" spans="1:5">
      <c r="A10819" s="140"/>
      <c r="B10819" s="192"/>
      <c r="C10819" s="140"/>
      <c r="D10819" s="140"/>
      <c r="E10819" s="140"/>
    </row>
    <row r="10820" spans="1:5">
      <c r="A10820" s="140"/>
      <c r="B10820" s="192"/>
      <c r="C10820" s="140"/>
      <c r="D10820" s="140"/>
      <c r="E10820" s="140"/>
    </row>
    <row r="10821" spans="1:5">
      <c r="A10821" s="140"/>
      <c r="B10821" s="192"/>
      <c r="C10821" s="140"/>
      <c r="D10821" s="140"/>
      <c r="E10821" s="140"/>
    </row>
    <row r="10822" spans="1:5">
      <c r="A10822" s="140"/>
      <c r="B10822" s="192"/>
      <c r="C10822" s="140"/>
      <c r="D10822" s="140"/>
      <c r="E10822" s="140"/>
    </row>
    <row r="10823" spans="1:5">
      <c r="A10823" s="140"/>
      <c r="B10823" s="192"/>
      <c r="C10823" s="140"/>
      <c r="D10823" s="140"/>
      <c r="E10823" s="140"/>
    </row>
    <row r="10824" spans="1:5">
      <c r="A10824" s="140"/>
      <c r="B10824" s="192"/>
      <c r="C10824" s="140"/>
      <c r="D10824" s="140"/>
      <c r="E10824" s="140"/>
    </row>
    <row r="10825" spans="1:5">
      <c r="A10825" s="140"/>
      <c r="B10825" s="192"/>
      <c r="C10825" s="140"/>
      <c r="D10825" s="140"/>
      <c r="E10825" s="140"/>
    </row>
    <row r="10826" spans="1:5">
      <c r="A10826" s="140"/>
      <c r="B10826" s="192"/>
      <c r="C10826" s="140"/>
      <c r="D10826" s="140"/>
      <c r="E10826" s="140"/>
    </row>
    <row r="10827" spans="1:5">
      <c r="A10827" s="140"/>
      <c r="B10827" s="192"/>
      <c r="C10827" s="140"/>
      <c r="D10827" s="140"/>
      <c r="E10827" s="140"/>
    </row>
    <row r="10828" spans="1:5">
      <c r="A10828" s="140"/>
      <c r="B10828" s="192"/>
      <c r="C10828" s="140"/>
      <c r="D10828" s="140"/>
      <c r="E10828" s="140"/>
    </row>
    <row r="10829" spans="1:5">
      <c r="A10829" s="140"/>
      <c r="B10829" s="192"/>
      <c r="C10829" s="140"/>
      <c r="D10829" s="140"/>
      <c r="E10829" s="140"/>
    </row>
    <row r="10830" spans="1:5">
      <c r="A10830" s="140"/>
      <c r="B10830" s="192"/>
      <c r="C10830" s="140"/>
      <c r="D10830" s="140"/>
      <c r="E10830" s="140"/>
    </row>
    <row r="10831" spans="1:5">
      <c r="A10831" s="140"/>
      <c r="B10831" s="192"/>
      <c r="C10831" s="140"/>
      <c r="D10831" s="140"/>
      <c r="E10831" s="140"/>
    </row>
    <row r="10832" spans="1:5">
      <c r="A10832" s="140"/>
      <c r="B10832" s="192"/>
      <c r="C10832" s="140"/>
      <c r="D10832" s="140"/>
      <c r="E10832" s="140"/>
    </row>
    <row r="10833" spans="1:5">
      <c r="A10833" s="140"/>
      <c r="B10833" s="192"/>
      <c r="C10833" s="140"/>
      <c r="D10833" s="140"/>
      <c r="E10833" s="140"/>
    </row>
    <row r="10834" spans="1:5">
      <c r="A10834" s="140"/>
      <c r="B10834" s="192"/>
      <c r="C10834" s="140"/>
      <c r="D10834" s="140"/>
      <c r="E10834" s="140"/>
    </row>
    <row r="10835" spans="1:5">
      <c r="A10835" s="140"/>
      <c r="B10835" s="192"/>
      <c r="C10835" s="140"/>
      <c r="D10835" s="140"/>
      <c r="E10835" s="140"/>
    </row>
    <row r="10836" spans="1:5">
      <c r="A10836" s="140"/>
      <c r="B10836" s="192"/>
      <c r="C10836" s="140"/>
      <c r="D10836" s="140"/>
      <c r="E10836" s="140"/>
    </row>
    <row r="10837" spans="1:5">
      <c r="A10837" s="140"/>
      <c r="B10837" s="192"/>
      <c r="C10837" s="140"/>
      <c r="D10837" s="140"/>
      <c r="E10837" s="140"/>
    </row>
    <row r="10838" spans="1:5">
      <c r="A10838" s="140"/>
      <c r="B10838" s="192"/>
      <c r="C10838" s="140"/>
      <c r="D10838" s="140"/>
      <c r="E10838" s="140"/>
    </row>
    <row r="10839" spans="1:5">
      <c r="A10839" s="140"/>
      <c r="B10839" s="192"/>
      <c r="C10839" s="140"/>
      <c r="D10839" s="140"/>
      <c r="E10839" s="140"/>
    </row>
    <row r="10840" spans="1:5">
      <c r="A10840" s="140"/>
      <c r="B10840" s="192"/>
      <c r="C10840" s="140"/>
      <c r="D10840" s="140"/>
      <c r="E10840" s="140"/>
    </row>
    <row r="10841" spans="1:5">
      <c r="A10841" s="140"/>
      <c r="B10841" s="192"/>
      <c r="C10841" s="140"/>
      <c r="D10841" s="140"/>
      <c r="E10841" s="140"/>
    </row>
    <row r="10842" spans="1:5">
      <c r="A10842" s="140"/>
      <c r="B10842" s="192"/>
      <c r="C10842" s="140"/>
      <c r="D10842" s="140"/>
      <c r="E10842" s="140"/>
    </row>
    <row r="10843" spans="1:5">
      <c r="A10843" s="140"/>
      <c r="B10843" s="192"/>
      <c r="C10843" s="140"/>
      <c r="D10843" s="140"/>
      <c r="E10843" s="140"/>
    </row>
    <row r="10844" spans="1:5">
      <c r="A10844" s="140"/>
      <c r="B10844" s="192"/>
      <c r="C10844" s="140"/>
      <c r="D10844" s="140"/>
      <c r="E10844" s="140"/>
    </row>
    <row r="10845" spans="1:5">
      <c r="A10845" s="140"/>
      <c r="B10845" s="192"/>
      <c r="C10845" s="140"/>
      <c r="D10845" s="140"/>
      <c r="E10845" s="140"/>
    </row>
    <row r="10846" spans="1:5">
      <c r="A10846" s="140"/>
      <c r="B10846" s="192"/>
      <c r="C10846" s="140"/>
      <c r="D10846" s="140"/>
      <c r="E10846" s="140"/>
    </row>
    <row r="10847" spans="1:5">
      <c r="A10847" s="140"/>
      <c r="B10847" s="192"/>
      <c r="C10847" s="140"/>
      <c r="D10847" s="140"/>
      <c r="E10847" s="140"/>
    </row>
    <row r="10848" spans="1:5">
      <c r="A10848" s="140"/>
      <c r="B10848" s="192"/>
      <c r="C10848" s="140"/>
      <c r="D10848" s="140"/>
      <c r="E10848" s="140"/>
    </row>
    <row r="10849" spans="1:5">
      <c r="A10849" s="140"/>
      <c r="B10849" s="192"/>
      <c r="C10849" s="140"/>
      <c r="D10849" s="140"/>
      <c r="E10849" s="140"/>
    </row>
    <row r="10850" spans="1:5">
      <c r="A10850" s="140"/>
      <c r="B10850" s="192"/>
      <c r="C10850" s="140"/>
      <c r="D10850" s="140"/>
      <c r="E10850" s="140"/>
    </row>
    <row r="10851" spans="1:5">
      <c r="A10851" s="140"/>
      <c r="B10851" s="192"/>
      <c r="C10851" s="140"/>
      <c r="D10851" s="140"/>
      <c r="E10851" s="140"/>
    </row>
    <row r="10852" spans="1:5">
      <c r="A10852" s="140"/>
      <c r="B10852" s="192"/>
      <c r="C10852" s="140"/>
      <c r="D10852" s="140"/>
      <c r="E10852" s="140"/>
    </row>
    <row r="10853" spans="1:5">
      <c r="A10853" s="140"/>
      <c r="B10853" s="192"/>
      <c r="C10853" s="140"/>
      <c r="D10853" s="140"/>
      <c r="E10853" s="140"/>
    </row>
    <row r="10854" spans="1:5">
      <c r="A10854" s="140"/>
      <c r="B10854" s="192"/>
      <c r="C10854" s="140"/>
      <c r="D10854" s="140"/>
      <c r="E10854" s="140"/>
    </row>
    <row r="10855" spans="1:5">
      <c r="A10855" s="140"/>
      <c r="B10855" s="192"/>
      <c r="C10855" s="140"/>
      <c r="D10855" s="140"/>
      <c r="E10855" s="140"/>
    </row>
    <row r="10856" spans="1:5">
      <c r="A10856" s="140"/>
      <c r="B10856" s="192"/>
      <c r="C10856" s="140"/>
      <c r="D10856" s="140"/>
      <c r="E10856" s="140"/>
    </row>
    <row r="10857" spans="1:5">
      <c r="A10857" s="140"/>
      <c r="B10857" s="192"/>
      <c r="C10857" s="140"/>
      <c r="D10857" s="140"/>
      <c r="E10857" s="140"/>
    </row>
    <row r="10858" spans="1:5">
      <c r="A10858" s="140"/>
      <c r="B10858" s="192"/>
      <c r="C10858" s="140"/>
      <c r="D10858" s="140"/>
      <c r="E10858" s="140"/>
    </row>
    <row r="10859" spans="1:5">
      <c r="A10859" s="140"/>
      <c r="B10859" s="192"/>
      <c r="C10859" s="140"/>
      <c r="D10859" s="140"/>
      <c r="E10859" s="140"/>
    </row>
    <row r="10860" spans="1:5">
      <c r="A10860" s="140"/>
      <c r="B10860" s="192"/>
      <c r="C10860" s="140"/>
      <c r="D10860" s="140"/>
      <c r="E10860" s="140"/>
    </row>
    <row r="10861" spans="1:5">
      <c r="A10861" s="140"/>
      <c r="B10861" s="192"/>
      <c r="C10861" s="140"/>
      <c r="D10861" s="140"/>
      <c r="E10861" s="140"/>
    </row>
    <row r="10862" spans="1:5">
      <c r="A10862" s="140"/>
      <c r="B10862" s="192"/>
      <c r="C10862" s="140"/>
      <c r="D10862" s="140"/>
      <c r="E10862" s="140"/>
    </row>
    <row r="10863" spans="1:5">
      <c r="A10863" s="140"/>
      <c r="B10863" s="192"/>
      <c r="C10863" s="140"/>
      <c r="D10863" s="140"/>
      <c r="E10863" s="140"/>
    </row>
    <row r="10864" spans="1:5">
      <c r="A10864" s="140"/>
      <c r="B10864" s="192"/>
      <c r="C10864" s="140"/>
      <c r="D10864" s="140"/>
      <c r="E10864" s="140"/>
    </row>
    <row r="10865" spans="1:5">
      <c r="A10865" s="140"/>
      <c r="B10865" s="192"/>
      <c r="C10865" s="140"/>
      <c r="D10865" s="140"/>
      <c r="E10865" s="140"/>
    </row>
    <row r="10866" spans="1:5">
      <c r="A10866" s="140"/>
      <c r="B10866" s="192"/>
      <c r="C10866" s="140"/>
      <c r="D10866" s="140"/>
      <c r="E10866" s="140"/>
    </row>
    <row r="10867" spans="1:5">
      <c r="A10867" s="140"/>
      <c r="B10867" s="192"/>
      <c r="C10867" s="140"/>
      <c r="D10867" s="140"/>
      <c r="E10867" s="140"/>
    </row>
    <row r="10868" spans="1:5">
      <c r="A10868" s="140"/>
      <c r="B10868" s="192"/>
      <c r="C10868" s="140"/>
      <c r="D10868" s="140"/>
      <c r="E10868" s="140"/>
    </row>
    <row r="10869" spans="1:5">
      <c r="A10869" s="140"/>
      <c r="B10869" s="192"/>
      <c r="C10869" s="140"/>
      <c r="D10869" s="140"/>
      <c r="E10869" s="140"/>
    </row>
    <row r="10870" spans="1:5">
      <c r="A10870" s="140"/>
      <c r="B10870" s="192"/>
      <c r="C10870" s="140"/>
      <c r="D10870" s="140"/>
      <c r="E10870" s="140"/>
    </row>
    <row r="10871" spans="1:5">
      <c r="A10871" s="140"/>
      <c r="B10871" s="192"/>
      <c r="C10871" s="140"/>
      <c r="D10871" s="140"/>
      <c r="E10871" s="140"/>
    </row>
    <row r="10872" spans="1:5">
      <c r="A10872" s="140"/>
      <c r="B10872" s="192"/>
      <c r="C10872" s="140"/>
      <c r="D10872" s="140"/>
      <c r="E10872" s="140"/>
    </row>
    <row r="10873" spans="1:5">
      <c r="A10873" s="140"/>
      <c r="B10873" s="192"/>
      <c r="C10873" s="140"/>
      <c r="D10873" s="140"/>
      <c r="E10873" s="140"/>
    </row>
    <row r="10874" spans="1:5">
      <c r="A10874" s="140"/>
      <c r="B10874" s="192"/>
      <c r="C10874" s="140"/>
      <c r="D10874" s="140"/>
      <c r="E10874" s="140"/>
    </row>
    <row r="10875" spans="1:5">
      <c r="A10875" s="140"/>
      <c r="B10875" s="192"/>
      <c r="C10875" s="140"/>
      <c r="D10875" s="140"/>
      <c r="E10875" s="140"/>
    </row>
    <row r="10876" spans="1:5">
      <c r="A10876" s="140"/>
      <c r="B10876" s="192"/>
      <c r="C10876" s="140"/>
      <c r="D10876" s="140"/>
      <c r="E10876" s="140"/>
    </row>
    <row r="10877" spans="1:5">
      <c r="A10877" s="140"/>
      <c r="B10877" s="192"/>
      <c r="C10877" s="140"/>
      <c r="D10877" s="140"/>
      <c r="E10877" s="140"/>
    </row>
    <row r="10878" spans="1:5">
      <c r="A10878" s="140"/>
      <c r="B10878" s="192"/>
      <c r="C10878" s="140"/>
      <c r="D10878" s="140"/>
      <c r="E10878" s="140"/>
    </row>
    <row r="10879" spans="1:5">
      <c r="A10879" s="140"/>
      <c r="B10879" s="192"/>
      <c r="C10879" s="140"/>
      <c r="D10879" s="140"/>
      <c r="E10879" s="140"/>
    </row>
    <row r="10880" spans="1:5">
      <c r="A10880" s="140"/>
      <c r="B10880" s="192"/>
      <c r="C10880" s="140"/>
      <c r="D10880" s="140"/>
      <c r="E10880" s="140"/>
    </row>
    <row r="10881" spans="1:5">
      <c r="A10881" s="140"/>
      <c r="B10881" s="192"/>
      <c r="C10881" s="140"/>
      <c r="D10881" s="140"/>
      <c r="E10881" s="140"/>
    </row>
    <row r="10882" spans="1:5">
      <c r="A10882" s="140"/>
      <c r="B10882" s="192"/>
      <c r="C10882" s="140"/>
      <c r="D10882" s="140"/>
      <c r="E10882" s="140"/>
    </row>
    <row r="10883" spans="1:5">
      <c r="A10883" s="140"/>
      <c r="B10883" s="192"/>
      <c r="C10883" s="140"/>
      <c r="D10883" s="140"/>
      <c r="E10883" s="140"/>
    </row>
    <row r="10884" spans="1:5">
      <c r="A10884" s="140"/>
      <c r="B10884" s="192"/>
      <c r="C10884" s="140"/>
      <c r="D10884" s="140"/>
      <c r="E10884" s="140"/>
    </row>
    <row r="10885" spans="1:5">
      <c r="A10885" s="140"/>
      <c r="B10885" s="192"/>
      <c r="C10885" s="140"/>
      <c r="D10885" s="140"/>
      <c r="E10885" s="140"/>
    </row>
    <row r="10886" spans="1:5">
      <c r="A10886" s="140"/>
      <c r="B10886" s="192"/>
      <c r="C10886" s="140"/>
      <c r="D10886" s="140"/>
      <c r="E10886" s="140"/>
    </row>
    <row r="10887" spans="1:5">
      <c r="A10887" s="140"/>
      <c r="B10887" s="192"/>
      <c r="C10887" s="140"/>
      <c r="D10887" s="140"/>
      <c r="E10887" s="140"/>
    </row>
    <row r="10888" spans="1:5">
      <c r="A10888" s="140"/>
      <c r="B10888" s="192"/>
      <c r="C10888" s="140"/>
      <c r="D10888" s="140"/>
      <c r="E10888" s="140"/>
    </row>
    <row r="10889" spans="1:5">
      <c r="A10889" s="140"/>
      <c r="B10889" s="192"/>
      <c r="C10889" s="140"/>
      <c r="D10889" s="140"/>
      <c r="E10889" s="140"/>
    </row>
    <row r="10890" spans="1:5">
      <c r="A10890" s="140"/>
      <c r="B10890" s="192"/>
      <c r="C10890" s="140"/>
      <c r="D10890" s="140"/>
      <c r="E10890" s="140"/>
    </row>
    <row r="10891" spans="1:5">
      <c r="A10891" s="140"/>
      <c r="B10891" s="192"/>
      <c r="C10891" s="140"/>
      <c r="D10891" s="140"/>
      <c r="E10891" s="140"/>
    </row>
    <row r="10892" spans="1:5">
      <c r="A10892" s="140"/>
      <c r="B10892" s="192"/>
      <c r="C10892" s="140"/>
      <c r="D10892" s="140"/>
      <c r="E10892" s="140"/>
    </row>
    <row r="10893" spans="1:5">
      <c r="A10893" s="140"/>
      <c r="B10893" s="192"/>
      <c r="C10893" s="140"/>
      <c r="D10893" s="140"/>
      <c r="E10893" s="140"/>
    </row>
    <row r="10894" spans="1:5">
      <c r="A10894" s="140"/>
      <c r="B10894" s="192"/>
      <c r="C10894" s="140"/>
      <c r="D10894" s="140"/>
      <c r="E10894" s="140"/>
    </row>
    <row r="10895" spans="1:5">
      <c r="A10895" s="140"/>
      <c r="B10895" s="192"/>
      <c r="C10895" s="140"/>
      <c r="D10895" s="140"/>
      <c r="E10895" s="140"/>
    </row>
    <row r="10896" spans="1:5">
      <c r="A10896" s="140"/>
      <c r="B10896" s="192"/>
      <c r="C10896" s="140"/>
      <c r="D10896" s="140"/>
      <c r="E10896" s="140"/>
    </row>
    <row r="10897" spans="1:5">
      <c r="A10897" s="140"/>
      <c r="B10897" s="192"/>
      <c r="C10897" s="140"/>
      <c r="D10897" s="140"/>
      <c r="E10897" s="140"/>
    </row>
    <row r="10898" spans="1:5">
      <c r="A10898" s="140"/>
      <c r="B10898" s="192"/>
      <c r="C10898" s="140"/>
      <c r="D10898" s="140"/>
      <c r="E10898" s="140"/>
    </row>
    <row r="10899" spans="1:5">
      <c r="A10899" s="140"/>
      <c r="B10899" s="192"/>
      <c r="C10899" s="140"/>
      <c r="D10899" s="140"/>
      <c r="E10899" s="140"/>
    </row>
    <row r="10900" spans="1:5">
      <c r="A10900" s="140"/>
      <c r="B10900" s="192"/>
      <c r="C10900" s="140"/>
      <c r="D10900" s="140"/>
      <c r="E10900" s="140"/>
    </row>
    <row r="10901" spans="1:5">
      <c r="A10901" s="140"/>
      <c r="B10901" s="192"/>
      <c r="C10901" s="140"/>
      <c r="D10901" s="140"/>
      <c r="E10901" s="140"/>
    </row>
    <row r="10902" spans="1:5">
      <c r="A10902" s="140"/>
      <c r="B10902" s="192"/>
      <c r="C10902" s="140"/>
      <c r="D10902" s="140"/>
      <c r="E10902" s="140"/>
    </row>
    <row r="10903" spans="1:5">
      <c r="A10903" s="140"/>
      <c r="B10903" s="192"/>
      <c r="C10903" s="140"/>
      <c r="D10903" s="140"/>
      <c r="E10903" s="140"/>
    </row>
    <row r="10904" spans="1:5">
      <c r="A10904" s="140"/>
      <c r="B10904" s="192"/>
      <c r="C10904" s="140"/>
      <c r="D10904" s="140"/>
      <c r="E10904" s="140"/>
    </row>
    <row r="10905" spans="1:5">
      <c r="A10905" s="140"/>
      <c r="B10905" s="192"/>
      <c r="C10905" s="140"/>
      <c r="D10905" s="140"/>
      <c r="E10905" s="140"/>
    </row>
    <row r="10906" spans="1:5">
      <c r="A10906" s="140"/>
      <c r="B10906" s="192"/>
      <c r="C10906" s="140"/>
      <c r="D10906" s="140"/>
      <c r="E10906" s="140"/>
    </row>
    <row r="10907" spans="1:5">
      <c r="A10907" s="140"/>
      <c r="B10907" s="192"/>
      <c r="C10907" s="140"/>
      <c r="D10907" s="140"/>
      <c r="E10907" s="140"/>
    </row>
    <row r="10908" spans="1:5">
      <c r="A10908" s="140"/>
      <c r="B10908" s="192"/>
      <c r="C10908" s="140"/>
      <c r="D10908" s="140"/>
      <c r="E10908" s="140"/>
    </row>
    <row r="10909" spans="1:5">
      <c r="A10909" s="140"/>
      <c r="B10909" s="192"/>
      <c r="C10909" s="140"/>
      <c r="D10909" s="140"/>
      <c r="E10909" s="140"/>
    </row>
    <row r="10910" spans="1:5">
      <c r="A10910" s="140"/>
      <c r="B10910" s="192"/>
      <c r="C10910" s="140"/>
      <c r="D10910" s="140"/>
      <c r="E10910" s="140"/>
    </row>
    <row r="10911" spans="1:5">
      <c r="A10911" s="140"/>
      <c r="B10911" s="192"/>
      <c r="C10911" s="140"/>
      <c r="D10911" s="140"/>
      <c r="E10911" s="140"/>
    </row>
    <row r="10912" spans="1:5">
      <c r="A10912" s="140"/>
      <c r="B10912" s="192"/>
      <c r="C10912" s="140"/>
      <c r="D10912" s="140"/>
      <c r="E10912" s="140"/>
    </row>
    <row r="10913" spans="1:5">
      <c r="A10913" s="140"/>
      <c r="B10913" s="192"/>
      <c r="C10913" s="140"/>
      <c r="D10913" s="140"/>
      <c r="E10913" s="140"/>
    </row>
    <row r="10914" spans="1:5">
      <c r="A10914" s="140"/>
      <c r="B10914" s="192"/>
      <c r="C10914" s="140"/>
      <c r="D10914" s="140"/>
      <c r="E10914" s="140"/>
    </row>
    <row r="10915" spans="1:5">
      <c r="A10915" s="140"/>
      <c r="B10915" s="192"/>
      <c r="C10915" s="140"/>
      <c r="D10915" s="140"/>
      <c r="E10915" s="140"/>
    </row>
    <row r="10916" spans="1:5">
      <c r="A10916" s="140"/>
      <c r="B10916" s="192"/>
      <c r="C10916" s="140"/>
      <c r="D10916" s="140"/>
      <c r="E10916" s="140"/>
    </row>
    <row r="10917" spans="1:5">
      <c r="A10917" s="140"/>
      <c r="B10917" s="192"/>
      <c r="C10917" s="140"/>
      <c r="D10917" s="140"/>
      <c r="E10917" s="140"/>
    </row>
    <row r="10918" spans="1:5">
      <c r="A10918" s="140"/>
      <c r="B10918" s="192"/>
      <c r="C10918" s="140"/>
      <c r="D10918" s="140"/>
      <c r="E10918" s="140"/>
    </row>
    <row r="10919" spans="1:5">
      <c r="A10919" s="140"/>
      <c r="B10919" s="192"/>
      <c r="C10919" s="140"/>
      <c r="D10919" s="140"/>
      <c r="E10919" s="140"/>
    </row>
    <row r="10920" spans="1:5">
      <c r="A10920" s="140"/>
      <c r="B10920" s="192"/>
      <c r="C10920" s="140"/>
      <c r="D10920" s="140"/>
      <c r="E10920" s="140"/>
    </row>
    <row r="10921" spans="1:5">
      <c r="A10921" s="140"/>
      <c r="B10921" s="192"/>
      <c r="C10921" s="140"/>
      <c r="D10921" s="140"/>
      <c r="E10921" s="140"/>
    </row>
    <row r="10922" spans="1:5">
      <c r="A10922" s="140"/>
      <c r="B10922" s="192"/>
      <c r="C10922" s="140"/>
      <c r="D10922" s="140"/>
      <c r="E10922" s="140"/>
    </row>
    <row r="10923" spans="1:5">
      <c r="A10923" s="140"/>
      <c r="B10923" s="192"/>
      <c r="C10923" s="140"/>
      <c r="D10923" s="140"/>
      <c r="E10923" s="140"/>
    </row>
    <row r="10924" spans="1:5">
      <c r="A10924" s="140"/>
      <c r="B10924" s="192"/>
      <c r="C10924" s="140"/>
      <c r="D10924" s="140"/>
      <c r="E10924" s="140"/>
    </row>
    <row r="10925" spans="1:5">
      <c r="A10925" s="140"/>
      <c r="B10925" s="192"/>
      <c r="C10925" s="140"/>
      <c r="D10925" s="140"/>
      <c r="E10925" s="140"/>
    </row>
    <row r="10926" spans="1:5">
      <c r="A10926" s="140"/>
      <c r="B10926" s="192"/>
      <c r="C10926" s="140"/>
      <c r="D10926" s="140"/>
      <c r="E10926" s="140"/>
    </row>
    <row r="10927" spans="1:5">
      <c r="A10927" s="140"/>
      <c r="B10927" s="192"/>
      <c r="C10927" s="140"/>
      <c r="D10927" s="140"/>
      <c r="E10927" s="140"/>
    </row>
    <row r="10928" spans="1:5">
      <c r="A10928" s="140"/>
      <c r="B10928" s="192"/>
      <c r="C10928" s="140"/>
      <c r="D10928" s="140"/>
      <c r="E10928" s="140"/>
    </row>
    <row r="10929" spans="1:5">
      <c r="A10929" s="140"/>
      <c r="B10929" s="192"/>
      <c r="C10929" s="140"/>
      <c r="D10929" s="140"/>
      <c r="E10929" s="140"/>
    </row>
    <row r="10930" spans="1:5">
      <c r="A10930" s="140"/>
      <c r="B10930" s="192"/>
      <c r="C10930" s="140"/>
      <c r="D10930" s="140"/>
      <c r="E10930" s="140"/>
    </row>
    <row r="10931" spans="1:5">
      <c r="A10931" s="140"/>
      <c r="B10931" s="192"/>
      <c r="C10931" s="140"/>
      <c r="D10931" s="140"/>
      <c r="E10931" s="140"/>
    </row>
    <row r="10932" spans="1:5">
      <c r="A10932" s="140"/>
      <c r="B10932" s="192"/>
      <c r="C10932" s="140"/>
      <c r="D10932" s="140"/>
      <c r="E10932" s="140"/>
    </row>
    <row r="10933" spans="1:5">
      <c r="A10933" s="140"/>
      <c r="B10933" s="192"/>
      <c r="C10933" s="140"/>
      <c r="D10933" s="140"/>
      <c r="E10933" s="140"/>
    </row>
    <row r="10934" spans="1:5">
      <c r="A10934" s="140"/>
      <c r="B10934" s="192"/>
      <c r="C10934" s="140"/>
      <c r="D10934" s="140"/>
      <c r="E10934" s="140"/>
    </row>
    <row r="10935" spans="1:5">
      <c r="A10935" s="140"/>
      <c r="B10935" s="192"/>
      <c r="C10935" s="140"/>
      <c r="D10935" s="140"/>
      <c r="E10935" s="140"/>
    </row>
    <row r="10936" spans="1:5">
      <c r="A10936" s="140"/>
      <c r="B10936" s="192"/>
      <c r="C10936" s="140"/>
      <c r="D10936" s="140"/>
      <c r="E10936" s="140"/>
    </row>
    <row r="10937" spans="1:5">
      <c r="A10937" s="140"/>
      <c r="B10937" s="192"/>
      <c r="C10937" s="140"/>
      <c r="D10937" s="140"/>
      <c r="E10937" s="140"/>
    </row>
    <row r="10938" spans="1:5">
      <c r="A10938" s="140"/>
      <c r="B10938" s="192"/>
      <c r="C10938" s="140"/>
      <c r="D10938" s="140"/>
      <c r="E10938" s="140"/>
    </row>
    <row r="10939" spans="1:5">
      <c r="A10939" s="140"/>
      <c r="B10939" s="192"/>
      <c r="C10939" s="140"/>
      <c r="D10939" s="140"/>
      <c r="E10939" s="140"/>
    </row>
    <row r="10940" spans="1:5">
      <c r="A10940" s="140"/>
      <c r="B10940" s="192"/>
      <c r="C10940" s="140"/>
      <c r="D10940" s="140"/>
      <c r="E10940" s="140"/>
    </row>
    <row r="10941" spans="1:5">
      <c r="A10941" s="140"/>
      <c r="B10941" s="192"/>
      <c r="C10941" s="140"/>
      <c r="D10941" s="140"/>
      <c r="E10941" s="140"/>
    </row>
    <row r="10942" spans="1:5">
      <c r="A10942" s="140"/>
      <c r="B10942" s="192"/>
      <c r="C10942" s="140"/>
      <c r="D10942" s="140"/>
      <c r="E10942" s="140"/>
    </row>
    <row r="10943" spans="1:5">
      <c r="A10943" s="140"/>
      <c r="B10943" s="192"/>
      <c r="C10943" s="140"/>
      <c r="D10943" s="140"/>
      <c r="E10943" s="140"/>
    </row>
    <row r="10944" spans="1:5">
      <c r="A10944" s="140"/>
      <c r="B10944" s="192"/>
      <c r="C10944" s="140"/>
      <c r="D10944" s="140"/>
      <c r="E10944" s="140"/>
    </row>
    <row r="10945" spans="1:5">
      <c r="A10945" s="140"/>
      <c r="B10945" s="192"/>
      <c r="C10945" s="140"/>
      <c r="D10945" s="140"/>
      <c r="E10945" s="140"/>
    </row>
    <row r="10946" spans="1:5">
      <c r="A10946" s="140"/>
      <c r="B10946" s="192"/>
      <c r="C10946" s="140"/>
      <c r="D10946" s="140"/>
      <c r="E10946" s="140"/>
    </row>
    <row r="10947" spans="1:5">
      <c r="A10947" s="140"/>
      <c r="B10947" s="192"/>
      <c r="C10947" s="140"/>
      <c r="D10947" s="140"/>
      <c r="E10947" s="140"/>
    </row>
    <row r="10948" spans="1:5">
      <c r="A10948" s="140"/>
      <c r="B10948" s="192"/>
      <c r="C10948" s="140"/>
      <c r="D10948" s="140"/>
      <c r="E10948" s="140"/>
    </row>
    <row r="10949" spans="1:5">
      <c r="A10949" s="140"/>
      <c r="B10949" s="192"/>
      <c r="C10949" s="140"/>
      <c r="D10949" s="140"/>
      <c r="E10949" s="140"/>
    </row>
    <row r="10950" spans="1:5">
      <c r="A10950" s="140"/>
      <c r="B10950" s="192"/>
      <c r="C10950" s="140"/>
      <c r="D10950" s="140"/>
      <c r="E10950" s="140"/>
    </row>
    <row r="10951" spans="1:5">
      <c r="A10951" s="140"/>
      <c r="B10951" s="192"/>
      <c r="C10951" s="140"/>
      <c r="D10951" s="140"/>
      <c r="E10951" s="140"/>
    </row>
    <row r="10952" spans="1:5">
      <c r="A10952" s="140"/>
      <c r="B10952" s="192"/>
      <c r="C10952" s="140"/>
      <c r="D10952" s="140"/>
      <c r="E10952" s="140"/>
    </row>
    <row r="10953" spans="1:5">
      <c r="A10953" s="140"/>
      <c r="B10953" s="192"/>
      <c r="C10953" s="140"/>
      <c r="D10953" s="140"/>
      <c r="E10953" s="140"/>
    </row>
    <row r="10954" spans="1:5">
      <c r="A10954" s="140"/>
      <c r="B10954" s="192"/>
      <c r="C10954" s="140"/>
      <c r="D10954" s="140"/>
      <c r="E10954" s="140"/>
    </row>
    <row r="10955" spans="1:5">
      <c r="A10955" s="140"/>
      <c r="B10955" s="192"/>
      <c r="C10955" s="140"/>
      <c r="D10955" s="140"/>
      <c r="E10955" s="140"/>
    </row>
    <row r="10956" spans="1:5">
      <c r="A10956" s="140"/>
      <c r="B10956" s="192"/>
      <c r="C10956" s="140"/>
      <c r="D10956" s="140"/>
      <c r="E10956" s="140"/>
    </row>
    <row r="10957" spans="1:5">
      <c r="A10957" s="140"/>
      <c r="B10957" s="192"/>
      <c r="C10957" s="140"/>
      <c r="D10957" s="140"/>
      <c r="E10957" s="140"/>
    </row>
    <row r="10958" spans="1:5">
      <c r="A10958" s="140"/>
      <c r="B10958" s="192"/>
      <c r="C10958" s="140"/>
      <c r="D10958" s="140"/>
      <c r="E10958" s="140"/>
    </row>
    <row r="10959" spans="1:5">
      <c r="A10959" s="140"/>
      <c r="B10959" s="192"/>
      <c r="C10959" s="140"/>
      <c r="D10959" s="140"/>
      <c r="E10959" s="140"/>
    </row>
    <row r="10960" spans="1:5">
      <c r="A10960" s="140"/>
      <c r="B10960" s="192"/>
      <c r="C10960" s="140"/>
      <c r="D10960" s="140"/>
      <c r="E10960" s="140"/>
    </row>
    <row r="10961" spans="1:5">
      <c r="A10961" s="140"/>
      <c r="B10961" s="192"/>
      <c r="C10961" s="140"/>
      <c r="D10961" s="140"/>
      <c r="E10961" s="140"/>
    </row>
    <row r="10962" spans="1:5">
      <c r="A10962" s="140"/>
      <c r="B10962" s="192"/>
      <c r="C10962" s="140"/>
      <c r="D10962" s="140"/>
      <c r="E10962" s="140"/>
    </row>
    <row r="10963" spans="1:5">
      <c r="A10963" s="140"/>
      <c r="B10963" s="192"/>
      <c r="C10963" s="140"/>
      <c r="D10963" s="140"/>
      <c r="E10963" s="140"/>
    </row>
    <row r="10964" spans="1:5">
      <c r="A10964" s="140"/>
      <c r="B10964" s="192"/>
      <c r="C10964" s="140"/>
      <c r="D10964" s="140"/>
      <c r="E10964" s="140"/>
    </row>
    <row r="10965" spans="1:5">
      <c r="A10965" s="140"/>
      <c r="B10965" s="192"/>
      <c r="C10965" s="140"/>
      <c r="D10965" s="140"/>
      <c r="E10965" s="140"/>
    </row>
    <row r="10966" spans="1:5">
      <c r="A10966" s="140"/>
      <c r="B10966" s="192"/>
      <c r="C10966" s="140"/>
      <c r="D10966" s="140"/>
      <c r="E10966" s="140"/>
    </row>
    <row r="10967" spans="1:5">
      <c r="A10967" s="140"/>
      <c r="B10967" s="192"/>
      <c r="C10967" s="140"/>
      <c r="D10967" s="140"/>
      <c r="E10967" s="140"/>
    </row>
    <row r="10968" spans="1:5">
      <c r="A10968" s="140"/>
      <c r="B10968" s="192"/>
      <c r="C10968" s="140"/>
      <c r="D10968" s="140"/>
      <c r="E10968" s="140"/>
    </row>
    <row r="10969" spans="1:5">
      <c r="A10969" s="140"/>
      <c r="B10969" s="192"/>
      <c r="C10969" s="140"/>
      <c r="D10969" s="140"/>
      <c r="E10969" s="140"/>
    </row>
    <row r="10970" spans="1:5">
      <c r="A10970" s="140"/>
      <c r="B10970" s="192"/>
      <c r="C10970" s="140"/>
      <c r="D10970" s="140"/>
      <c r="E10970" s="140"/>
    </row>
    <row r="10971" spans="1:5">
      <c r="A10971" s="140"/>
      <c r="B10971" s="192"/>
      <c r="C10971" s="140"/>
      <c r="D10971" s="140"/>
      <c r="E10971" s="140"/>
    </row>
    <row r="10972" spans="1:5">
      <c r="A10972" s="140"/>
      <c r="B10972" s="192"/>
      <c r="C10972" s="140"/>
      <c r="D10972" s="140"/>
      <c r="E10972" s="140"/>
    </row>
    <row r="10973" spans="1:5">
      <c r="A10973" s="140"/>
      <c r="B10973" s="192"/>
      <c r="C10973" s="140"/>
      <c r="D10973" s="140"/>
      <c r="E10973" s="140"/>
    </row>
    <row r="10974" spans="1:5">
      <c r="A10974" s="140"/>
      <c r="B10974" s="192"/>
      <c r="C10974" s="140"/>
      <c r="D10974" s="140"/>
      <c r="E10974" s="140"/>
    </row>
    <row r="10975" spans="1:5">
      <c r="A10975" s="140"/>
      <c r="B10975" s="192"/>
      <c r="C10975" s="140"/>
      <c r="D10975" s="140"/>
      <c r="E10975" s="140"/>
    </row>
    <row r="10976" spans="1:5">
      <c r="A10976" s="140"/>
      <c r="B10976" s="192"/>
      <c r="C10976" s="140"/>
      <c r="D10976" s="140"/>
      <c r="E10976" s="140"/>
    </row>
    <row r="10977" spans="1:5">
      <c r="A10977" s="140"/>
      <c r="B10977" s="192"/>
      <c r="C10977" s="140"/>
      <c r="D10977" s="140"/>
      <c r="E10977" s="140"/>
    </row>
    <row r="10978" spans="1:5">
      <c r="A10978" s="140"/>
      <c r="B10978" s="192"/>
      <c r="C10978" s="140"/>
      <c r="D10978" s="140"/>
      <c r="E10978" s="140"/>
    </row>
    <row r="10979" spans="1:5">
      <c r="A10979" s="140"/>
      <c r="B10979" s="192"/>
      <c r="C10979" s="140"/>
      <c r="D10979" s="140"/>
      <c r="E10979" s="140"/>
    </row>
    <row r="10980" spans="1:5">
      <c r="A10980" s="140"/>
      <c r="B10980" s="192"/>
      <c r="C10980" s="140"/>
      <c r="D10980" s="140"/>
      <c r="E10980" s="140"/>
    </row>
    <row r="10981" spans="1:5">
      <c r="A10981" s="140"/>
      <c r="B10981" s="192"/>
      <c r="C10981" s="140"/>
      <c r="D10981" s="140"/>
      <c r="E10981" s="140"/>
    </row>
    <row r="10982" spans="1:5">
      <c r="A10982" s="140"/>
      <c r="B10982" s="192"/>
      <c r="C10982" s="140"/>
      <c r="D10982" s="140"/>
      <c r="E10982" s="140"/>
    </row>
    <row r="10983" spans="1:5">
      <c r="A10983" s="140"/>
      <c r="B10983" s="192"/>
      <c r="C10983" s="140"/>
      <c r="D10983" s="140"/>
      <c r="E10983" s="140"/>
    </row>
    <row r="10984" spans="1:5">
      <c r="A10984" s="140"/>
      <c r="B10984" s="192"/>
      <c r="C10984" s="140"/>
      <c r="D10984" s="140"/>
      <c r="E10984" s="140"/>
    </row>
    <row r="10985" spans="1:5">
      <c r="A10985" s="140"/>
      <c r="B10985" s="192"/>
      <c r="C10985" s="140"/>
      <c r="D10985" s="140"/>
      <c r="E10985" s="140"/>
    </row>
    <row r="10986" spans="1:5">
      <c r="A10986" s="140"/>
      <c r="B10986" s="192"/>
      <c r="C10986" s="140"/>
      <c r="D10986" s="140"/>
      <c r="E10986" s="140"/>
    </row>
    <row r="10987" spans="1:5">
      <c r="A10987" s="140"/>
      <c r="B10987" s="192"/>
      <c r="C10987" s="140"/>
      <c r="D10987" s="140"/>
      <c r="E10987" s="140"/>
    </row>
    <row r="10988" spans="1:5">
      <c r="A10988" s="140"/>
      <c r="B10988" s="192"/>
      <c r="C10988" s="140"/>
      <c r="D10988" s="140"/>
      <c r="E10988" s="140"/>
    </row>
    <row r="10989" spans="1:5">
      <c r="A10989" s="140"/>
      <c r="B10989" s="192"/>
      <c r="C10989" s="140"/>
      <c r="D10989" s="140"/>
      <c r="E10989" s="140"/>
    </row>
    <row r="10990" spans="1:5">
      <c r="A10990" s="140"/>
      <c r="B10990" s="192"/>
      <c r="C10990" s="140"/>
      <c r="D10990" s="140"/>
      <c r="E10990" s="140"/>
    </row>
    <row r="10991" spans="1:5">
      <c r="A10991" s="140"/>
      <c r="B10991" s="192"/>
      <c r="C10991" s="140"/>
      <c r="D10991" s="140"/>
      <c r="E10991" s="140"/>
    </row>
    <row r="10992" spans="1:5">
      <c r="A10992" s="140"/>
      <c r="B10992" s="192"/>
      <c r="C10992" s="140"/>
      <c r="D10992" s="140"/>
      <c r="E10992" s="140"/>
    </row>
    <row r="10993" spans="1:5">
      <c r="A10993" s="140"/>
      <c r="B10993" s="192"/>
      <c r="C10993" s="140"/>
      <c r="D10993" s="140"/>
      <c r="E10993" s="140"/>
    </row>
    <row r="10994" spans="1:5">
      <c r="A10994" s="140"/>
      <c r="B10994" s="192"/>
      <c r="C10994" s="140"/>
      <c r="D10994" s="140"/>
      <c r="E10994" s="140"/>
    </row>
    <row r="10995" spans="1:5">
      <c r="A10995" s="140"/>
      <c r="B10995" s="192"/>
      <c r="C10995" s="140"/>
      <c r="D10995" s="140"/>
      <c r="E10995" s="140"/>
    </row>
    <row r="10996" spans="1:5">
      <c r="A10996" s="140"/>
      <c r="B10996" s="192"/>
      <c r="C10996" s="140"/>
      <c r="D10996" s="140"/>
      <c r="E10996" s="140"/>
    </row>
    <row r="10997" spans="1:5">
      <c r="A10997" s="140"/>
      <c r="B10997" s="192"/>
      <c r="C10997" s="140"/>
      <c r="D10997" s="140"/>
      <c r="E10997" s="140"/>
    </row>
    <row r="10998" spans="1:5">
      <c r="A10998" s="140"/>
      <c r="B10998" s="192"/>
      <c r="C10998" s="140"/>
      <c r="D10998" s="140"/>
      <c r="E10998" s="140"/>
    </row>
    <row r="10999" spans="1:5">
      <c r="A10999" s="140"/>
      <c r="B10999" s="192"/>
      <c r="C10999" s="140"/>
      <c r="D10999" s="140"/>
      <c r="E10999" s="140"/>
    </row>
    <row r="11000" spans="1:5">
      <c r="A11000" s="140"/>
      <c r="B11000" s="192"/>
      <c r="C11000" s="140"/>
      <c r="D11000" s="140"/>
      <c r="E11000" s="140"/>
    </row>
    <row r="11001" spans="1:5">
      <c r="A11001" s="140"/>
      <c r="B11001" s="192"/>
      <c r="C11001" s="140"/>
      <c r="D11001" s="140"/>
      <c r="E11001" s="140"/>
    </row>
    <row r="11002" spans="1:5">
      <c r="A11002" s="140"/>
      <c r="B11002" s="192"/>
      <c r="C11002" s="140"/>
      <c r="D11002" s="140"/>
      <c r="E11002" s="140"/>
    </row>
    <row r="11003" spans="1:5">
      <c r="A11003" s="140"/>
      <c r="B11003" s="192"/>
      <c r="C11003" s="140"/>
      <c r="D11003" s="140"/>
      <c r="E11003" s="140"/>
    </row>
    <row r="11004" spans="1:5">
      <c r="A11004" s="140"/>
      <c r="B11004" s="192"/>
      <c r="C11004" s="140"/>
      <c r="D11004" s="140"/>
      <c r="E11004" s="140"/>
    </row>
    <row r="11005" spans="1:5">
      <c r="A11005" s="140"/>
      <c r="B11005" s="192"/>
      <c r="C11005" s="140"/>
      <c r="D11005" s="140"/>
      <c r="E11005" s="140"/>
    </row>
    <row r="11006" spans="1:5">
      <c r="A11006" s="140"/>
      <c r="B11006" s="192"/>
      <c r="C11006" s="140"/>
      <c r="D11006" s="140"/>
      <c r="E11006" s="140"/>
    </row>
    <row r="11007" spans="1:5">
      <c r="A11007" s="140"/>
      <c r="B11007" s="192"/>
      <c r="C11007" s="140"/>
      <c r="D11007" s="140"/>
      <c r="E11007" s="140"/>
    </row>
    <row r="11008" spans="1:5">
      <c r="A11008" s="140"/>
      <c r="B11008" s="192"/>
      <c r="C11008" s="140"/>
      <c r="D11008" s="140"/>
      <c r="E11008" s="140"/>
    </row>
    <row r="11009" spans="1:5">
      <c r="A11009" s="140"/>
      <c r="B11009" s="192"/>
      <c r="C11009" s="140"/>
      <c r="D11009" s="140"/>
      <c r="E11009" s="140"/>
    </row>
    <row r="11010" spans="1:5">
      <c r="A11010" s="140"/>
      <c r="B11010" s="192"/>
      <c r="C11010" s="140"/>
      <c r="D11010" s="140"/>
      <c r="E11010" s="140"/>
    </row>
    <row r="11011" spans="1:5">
      <c r="A11011" s="140"/>
      <c r="B11011" s="192"/>
      <c r="C11011" s="140"/>
      <c r="D11011" s="140"/>
      <c r="E11011" s="140"/>
    </row>
    <row r="11012" spans="1:5">
      <c r="A11012" s="140"/>
      <c r="B11012" s="192"/>
      <c r="C11012" s="140"/>
      <c r="D11012" s="140"/>
      <c r="E11012" s="140"/>
    </row>
    <row r="11013" spans="1:5">
      <c r="A11013" s="140"/>
      <c r="B11013" s="192"/>
      <c r="C11013" s="140"/>
      <c r="D11013" s="140"/>
      <c r="E11013" s="140"/>
    </row>
    <row r="11014" spans="1:5">
      <c r="A11014" s="140"/>
      <c r="B11014" s="192"/>
      <c r="C11014" s="140"/>
      <c r="D11014" s="140"/>
      <c r="E11014" s="140"/>
    </row>
    <row r="11015" spans="1:5">
      <c r="A11015" s="140"/>
      <c r="B11015" s="192"/>
      <c r="C11015" s="140"/>
      <c r="D11015" s="140"/>
      <c r="E11015" s="140"/>
    </row>
    <row r="11016" spans="1:5">
      <c r="A11016" s="140"/>
      <c r="B11016" s="192"/>
      <c r="C11016" s="140"/>
      <c r="D11016" s="140"/>
      <c r="E11016" s="140"/>
    </row>
    <row r="11017" spans="1:5">
      <c r="A11017" s="140"/>
      <c r="B11017" s="192"/>
      <c r="C11017" s="140"/>
      <c r="D11017" s="140"/>
      <c r="E11017" s="140"/>
    </row>
    <row r="11018" spans="1:5">
      <c r="A11018" s="140"/>
      <c r="B11018" s="192"/>
      <c r="C11018" s="140"/>
      <c r="D11018" s="140"/>
      <c r="E11018" s="140"/>
    </row>
    <row r="11019" spans="1:5">
      <c r="A11019" s="140"/>
      <c r="B11019" s="192"/>
      <c r="C11019" s="140"/>
      <c r="D11019" s="140"/>
      <c r="E11019" s="140"/>
    </row>
    <row r="11020" spans="1:5">
      <c r="A11020" s="140"/>
      <c r="B11020" s="192"/>
      <c r="C11020" s="140"/>
      <c r="D11020" s="140"/>
      <c r="E11020" s="140"/>
    </row>
    <row r="11021" spans="1:5">
      <c r="A11021" s="140"/>
      <c r="B11021" s="192"/>
      <c r="C11021" s="140"/>
      <c r="D11021" s="140"/>
      <c r="E11021" s="140"/>
    </row>
    <row r="11022" spans="1:5">
      <c r="A11022" s="140"/>
      <c r="B11022" s="192"/>
      <c r="C11022" s="140"/>
      <c r="D11022" s="140"/>
      <c r="E11022" s="140"/>
    </row>
    <row r="11023" spans="1:5">
      <c r="A11023" s="140"/>
      <c r="B11023" s="192"/>
      <c r="C11023" s="140"/>
      <c r="D11023" s="140"/>
      <c r="E11023" s="140"/>
    </row>
    <row r="11024" spans="1:5">
      <c r="A11024" s="140"/>
      <c r="B11024" s="192"/>
      <c r="C11024" s="140"/>
      <c r="D11024" s="140"/>
      <c r="E11024" s="140"/>
    </row>
    <row r="11025" spans="1:5">
      <c r="A11025" s="140"/>
      <c r="B11025" s="192"/>
      <c r="C11025" s="140"/>
      <c r="D11025" s="140"/>
      <c r="E11025" s="140"/>
    </row>
    <row r="11026" spans="1:5">
      <c r="A11026" s="140"/>
      <c r="B11026" s="192"/>
      <c r="C11026" s="140"/>
      <c r="D11026" s="140"/>
      <c r="E11026" s="140"/>
    </row>
    <row r="11027" spans="1:5">
      <c r="A11027" s="140"/>
      <c r="B11027" s="192"/>
      <c r="C11027" s="140"/>
      <c r="D11027" s="140"/>
      <c r="E11027" s="140"/>
    </row>
    <row r="11028" spans="1:5">
      <c r="A11028" s="140"/>
      <c r="B11028" s="192"/>
      <c r="C11028" s="140"/>
      <c r="D11028" s="140"/>
      <c r="E11028" s="140"/>
    </row>
    <row r="11029" spans="1:5">
      <c r="A11029" s="140"/>
      <c r="B11029" s="192"/>
      <c r="C11029" s="140"/>
      <c r="D11029" s="140"/>
      <c r="E11029" s="140"/>
    </row>
    <row r="11030" spans="1:5">
      <c r="A11030" s="140"/>
      <c r="B11030" s="192"/>
      <c r="C11030" s="140"/>
      <c r="D11030" s="140"/>
      <c r="E11030" s="140"/>
    </row>
    <row r="11031" spans="1:5">
      <c r="A11031" s="140"/>
      <c r="B11031" s="192"/>
      <c r="C11031" s="140"/>
      <c r="D11031" s="140"/>
      <c r="E11031" s="140"/>
    </row>
    <row r="11032" spans="1:5">
      <c r="A11032" s="140"/>
      <c r="B11032" s="192"/>
      <c r="C11032" s="140"/>
      <c r="D11032" s="140"/>
      <c r="E11032" s="140"/>
    </row>
    <row r="11033" spans="1:5">
      <c r="A11033" s="140"/>
      <c r="B11033" s="192"/>
      <c r="C11033" s="140"/>
      <c r="D11033" s="140"/>
      <c r="E11033" s="140"/>
    </row>
    <row r="11034" spans="1:5">
      <c r="A11034" s="140"/>
      <c r="B11034" s="192"/>
      <c r="C11034" s="140"/>
      <c r="D11034" s="140"/>
      <c r="E11034" s="140"/>
    </row>
    <row r="11035" spans="1:5">
      <c r="A11035" s="140"/>
      <c r="B11035" s="192"/>
      <c r="C11035" s="140"/>
      <c r="D11035" s="140"/>
      <c r="E11035" s="140"/>
    </row>
    <row r="11036" spans="1:5">
      <c r="A11036" s="140"/>
      <c r="B11036" s="192"/>
      <c r="C11036" s="140"/>
      <c r="D11036" s="140"/>
      <c r="E11036" s="140"/>
    </row>
    <row r="11037" spans="1:5">
      <c r="A11037" s="140"/>
      <c r="B11037" s="192"/>
      <c r="C11037" s="140"/>
      <c r="D11037" s="140"/>
      <c r="E11037" s="140"/>
    </row>
    <row r="11038" spans="1:5">
      <c r="A11038" s="140"/>
      <c r="B11038" s="192"/>
      <c r="C11038" s="140"/>
      <c r="D11038" s="140"/>
      <c r="E11038" s="140"/>
    </row>
    <row r="11039" spans="1:5">
      <c r="A11039" s="140"/>
      <c r="B11039" s="192"/>
      <c r="C11039" s="140"/>
      <c r="D11039" s="140"/>
      <c r="E11039" s="140"/>
    </row>
    <row r="11040" spans="1:5">
      <c r="A11040" s="140"/>
      <c r="B11040" s="192"/>
      <c r="C11040" s="140"/>
      <c r="D11040" s="140"/>
      <c r="E11040" s="140"/>
    </row>
    <row r="11041" spans="1:5">
      <c r="A11041" s="140"/>
      <c r="B11041" s="192"/>
      <c r="C11041" s="140"/>
      <c r="D11041" s="140"/>
      <c r="E11041" s="140"/>
    </row>
    <row r="11042" spans="1:5">
      <c r="A11042" s="140"/>
      <c r="B11042" s="192"/>
      <c r="C11042" s="140"/>
      <c r="D11042" s="140"/>
      <c r="E11042" s="140"/>
    </row>
    <row r="11043" spans="1:5">
      <c r="A11043" s="140"/>
      <c r="B11043" s="192"/>
      <c r="C11043" s="140"/>
      <c r="D11043" s="140"/>
      <c r="E11043" s="140"/>
    </row>
    <row r="11044" spans="1:5">
      <c r="A11044" s="140"/>
      <c r="B11044" s="192"/>
      <c r="C11044" s="140"/>
      <c r="D11044" s="140"/>
      <c r="E11044" s="140"/>
    </row>
    <row r="11045" spans="1:5">
      <c r="A11045" s="140"/>
      <c r="B11045" s="192"/>
      <c r="C11045" s="140"/>
      <c r="D11045" s="140"/>
      <c r="E11045" s="140"/>
    </row>
    <row r="11046" spans="1:5">
      <c r="A11046" s="140"/>
      <c r="B11046" s="192"/>
      <c r="C11046" s="140"/>
      <c r="D11046" s="140"/>
      <c r="E11046" s="140"/>
    </row>
    <row r="11047" spans="1:5">
      <c r="A11047" s="140"/>
      <c r="B11047" s="192"/>
      <c r="C11047" s="140"/>
      <c r="D11047" s="140"/>
      <c r="E11047" s="140"/>
    </row>
    <row r="11048" spans="1:5">
      <c r="A11048" s="140"/>
      <c r="B11048" s="192"/>
      <c r="C11048" s="140"/>
      <c r="D11048" s="140"/>
      <c r="E11048" s="140"/>
    </row>
    <row r="11049" spans="1:5">
      <c r="A11049" s="140"/>
      <c r="B11049" s="192"/>
      <c r="C11049" s="140"/>
      <c r="D11049" s="140"/>
      <c r="E11049" s="140"/>
    </row>
    <row r="11050" spans="1:5">
      <c r="A11050" s="140"/>
      <c r="B11050" s="192"/>
      <c r="C11050" s="140"/>
      <c r="D11050" s="140"/>
      <c r="E11050" s="140"/>
    </row>
    <row r="11051" spans="1:5">
      <c r="A11051" s="140"/>
      <c r="B11051" s="192"/>
      <c r="C11051" s="140"/>
      <c r="D11051" s="140"/>
      <c r="E11051" s="140"/>
    </row>
    <row r="11052" spans="1:5">
      <c r="A11052" s="140"/>
      <c r="B11052" s="192"/>
      <c r="C11052" s="140"/>
      <c r="D11052" s="140"/>
      <c r="E11052" s="140"/>
    </row>
    <row r="11053" spans="1:5">
      <c r="A11053" s="140"/>
      <c r="B11053" s="192"/>
      <c r="C11053" s="140"/>
      <c r="D11053" s="140"/>
      <c r="E11053" s="140"/>
    </row>
    <row r="11054" spans="1:5">
      <c r="A11054" s="140"/>
      <c r="B11054" s="192"/>
      <c r="C11054" s="140"/>
      <c r="D11054" s="140"/>
      <c r="E11054" s="140"/>
    </row>
    <row r="11055" spans="1:5">
      <c r="A11055" s="140"/>
      <c r="B11055" s="192"/>
      <c r="C11055" s="140"/>
      <c r="D11055" s="140"/>
      <c r="E11055" s="140"/>
    </row>
    <row r="11056" spans="1:5">
      <c r="A11056" s="140"/>
      <c r="B11056" s="192"/>
      <c r="C11056" s="140"/>
      <c r="D11056" s="140"/>
      <c r="E11056" s="140"/>
    </row>
    <row r="11057" spans="1:5">
      <c r="A11057" s="140"/>
      <c r="B11057" s="192"/>
      <c r="C11057" s="140"/>
      <c r="D11057" s="140"/>
      <c r="E11057" s="140"/>
    </row>
    <row r="11058" spans="1:5">
      <c r="A11058" s="140"/>
      <c r="B11058" s="192"/>
      <c r="C11058" s="140"/>
      <c r="D11058" s="140"/>
      <c r="E11058" s="140"/>
    </row>
    <row r="11059" spans="1:5">
      <c r="A11059" s="140"/>
      <c r="B11059" s="192"/>
      <c r="C11059" s="140"/>
      <c r="D11059" s="140"/>
      <c r="E11059" s="140"/>
    </row>
    <row r="11060" spans="1:5">
      <c r="A11060" s="140"/>
      <c r="B11060" s="192"/>
      <c r="C11060" s="140"/>
      <c r="D11060" s="140"/>
      <c r="E11060" s="140"/>
    </row>
    <row r="11061" spans="1:5">
      <c r="A11061" s="140"/>
      <c r="B11061" s="192"/>
      <c r="C11061" s="140"/>
      <c r="D11061" s="140"/>
      <c r="E11061" s="140"/>
    </row>
    <row r="11062" spans="1:5">
      <c r="A11062" s="140"/>
      <c r="B11062" s="192"/>
      <c r="C11062" s="140"/>
      <c r="D11062" s="140"/>
      <c r="E11062" s="140"/>
    </row>
    <row r="11063" spans="1:5">
      <c r="A11063" s="140"/>
      <c r="B11063" s="192"/>
      <c r="C11063" s="140"/>
      <c r="D11063" s="140"/>
      <c r="E11063" s="140"/>
    </row>
    <row r="11064" spans="1:5">
      <c r="A11064" s="140"/>
      <c r="B11064" s="192"/>
      <c r="C11064" s="140"/>
      <c r="D11064" s="140"/>
      <c r="E11064" s="140"/>
    </row>
    <row r="11065" spans="1:5">
      <c r="A11065" s="140"/>
      <c r="B11065" s="192"/>
      <c r="C11065" s="140"/>
      <c r="D11065" s="140"/>
      <c r="E11065" s="140"/>
    </row>
    <row r="11066" spans="1:5">
      <c r="A11066" s="140"/>
      <c r="B11066" s="192"/>
      <c r="C11066" s="140"/>
      <c r="D11066" s="140"/>
      <c r="E11066" s="140"/>
    </row>
    <row r="11067" spans="1:5">
      <c r="A11067" s="140"/>
      <c r="B11067" s="192"/>
      <c r="C11067" s="140"/>
      <c r="D11067" s="140"/>
      <c r="E11067" s="140"/>
    </row>
    <row r="11068" spans="1:5">
      <c r="A11068" s="140"/>
      <c r="B11068" s="192"/>
      <c r="C11068" s="140"/>
      <c r="D11068" s="140"/>
      <c r="E11068" s="140"/>
    </row>
    <row r="11069" spans="1:5">
      <c r="A11069" s="140"/>
      <c r="B11069" s="192"/>
      <c r="C11069" s="140"/>
      <c r="D11069" s="140"/>
      <c r="E11069" s="140"/>
    </row>
    <row r="11070" spans="1:5">
      <c r="A11070" s="140"/>
      <c r="B11070" s="192"/>
      <c r="C11070" s="140"/>
      <c r="D11070" s="140"/>
      <c r="E11070" s="140"/>
    </row>
    <row r="11071" spans="1:5">
      <c r="A11071" s="140"/>
      <c r="B11071" s="192"/>
      <c r="C11071" s="140"/>
      <c r="D11071" s="140"/>
      <c r="E11071" s="140"/>
    </row>
    <row r="11072" spans="1:5">
      <c r="A11072" s="140"/>
      <c r="B11072" s="192"/>
      <c r="C11072" s="140"/>
      <c r="D11072" s="140"/>
      <c r="E11072" s="140"/>
    </row>
    <row r="11073" spans="1:5">
      <c r="A11073" s="140"/>
      <c r="B11073" s="192"/>
      <c r="C11073" s="140"/>
      <c r="D11073" s="140"/>
      <c r="E11073" s="140"/>
    </row>
    <row r="11074" spans="1:5">
      <c r="A11074" s="140"/>
      <c r="B11074" s="192"/>
      <c r="C11074" s="140"/>
      <c r="D11074" s="140"/>
      <c r="E11074" s="140"/>
    </row>
    <row r="11075" spans="1:5">
      <c r="A11075" s="140"/>
      <c r="B11075" s="192"/>
      <c r="C11075" s="140"/>
      <c r="D11075" s="140"/>
      <c r="E11075" s="140"/>
    </row>
    <row r="11076" spans="1:5">
      <c r="A11076" s="140"/>
      <c r="B11076" s="192"/>
      <c r="C11076" s="140"/>
      <c r="D11076" s="140"/>
      <c r="E11076" s="140"/>
    </row>
    <row r="11077" spans="1:5">
      <c r="A11077" s="140"/>
      <c r="B11077" s="192"/>
      <c r="C11077" s="140"/>
      <c r="D11077" s="140"/>
      <c r="E11077" s="140"/>
    </row>
    <row r="11078" spans="1:5">
      <c r="A11078" s="140"/>
      <c r="B11078" s="192"/>
      <c r="C11078" s="140"/>
      <c r="D11078" s="140"/>
      <c r="E11078" s="140"/>
    </row>
    <row r="11079" spans="1:5">
      <c r="A11079" s="140"/>
      <c r="B11079" s="192"/>
      <c r="C11079" s="140"/>
      <c r="D11079" s="140"/>
      <c r="E11079" s="140"/>
    </row>
    <row r="11080" spans="1:5">
      <c r="A11080" s="140"/>
      <c r="B11080" s="192"/>
      <c r="C11080" s="140"/>
      <c r="D11080" s="140"/>
      <c r="E11080" s="140"/>
    </row>
    <row r="11081" spans="1:5">
      <c r="A11081" s="140"/>
      <c r="B11081" s="192"/>
      <c r="C11081" s="140"/>
      <c r="D11081" s="140"/>
      <c r="E11081" s="140"/>
    </row>
    <row r="11082" spans="1:5">
      <c r="A11082" s="140"/>
      <c r="B11082" s="192"/>
      <c r="C11082" s="140"/>
      <c r="D11082" s="140"/>
      <c r="E11082" s="140"/>
    </row>
    <row r="11083" spans="1:5">
      <c r="A11083" s="140"/>
      <c r="B11083" s="192"/>
      <c r="C11083" s="140"/>
      <c r="D11083" s="140"/>
      <c r="E11083" s="140"/>
    </row>
    <row r="11084" spans="1:5">
      <c r="A11084" s="140"/>
      <c r="B11084" s="192"/>
      <c r="C11084" s="140"/>
      <c r="D11084" s="140"/>
      <c r="E11084" s="140"/>
    </row>
    <row r="11085" spans="1:5">
      <c r="A11085" s="140"/>
      <c r="B11085" s="192"/>
      <c r="C11085" s="140"/>
      <c r="D11085" s="140"/>
      <c r="E11085" s="140"/>
    </row>
    <row r="11086" spans="1:5">
      <c r="A11086" s="140"/>
      <c r="B11086" s="192"/>
      <c r="C11086" s="140"/>
      <c r="D11086" s="140"/>
      <c r="E11086" s="140"/>
    </row>
    <row r="11087" spans="1:5">
      <c r="A11087" s="140"/>
      <c r="B11087" s="192"/>
      <c r="C11087" s="140"/>
      <c r="D11087" s="140"/>
      <c r="E11087" s="140"/>
    </row>
    <row r="11088" spans="1:5">
      <c r="A11088" s="140"/>
      <c r="B11088" s="192"/>
      <c r="C11088" s="140"/>
      <c r="D11088" s="140"/>
      <c r="E11088" s="140"/>
    </row>
    <row r="11089" spans="1:5">
      <c r="A11089" s="140"/>
      <c r="B11089" s="192"/>
      <c r="C11089" s="140"/>
      <c r="D11089" s="140"/>
      <c r="E11089" s="140"/>
    </row>
    <row r="11090" spans="1:5">
      <c r="A11090" s="140"/>
      <c r="B11090" s="192"/>
      <c r="C11090" s="140"/>
      <c r="D11090" s="140"/>
      <c r="E11090" s="140"/>
    </row>
    <row r="11091" spans="1:5">
      <c r="A11091" s="140"/>
      <c r="B11091" s="192"/>
      <c r="C11091" s="140"/>
      <c r="D11091" s="140"/>
      <c r="E11091" s="140"/>
    </row>
    <row r="11092" spans="1:5">
      <c r="A11092" s="140"/>
      <c r="B11092" s="192"/>
      <c r="C11092" s="140"/>
      <c r="D11092" s="140"/>
      <c r="E11092" s="140"/>
    </row>
    <row r="11093" spans="1:5">
      <c r="A11093" s="140"/>
      <c r="B11093" s="192"/>
      <c r="C11093" s="140"/>
      <c r="D11093" s="140"/>
      <c r="E11093" s="140"/>
    </row>
    <row r="11094" spans="1:5">
      <c r="A11094" s="140"/>
      <c r="B11094" s="192"/>
      <c r="C11094" s="140"/>
      <c r="D11094" s="140"/>
      <c r="E11094" s="140"/>
    </row>
    <row r="11095" spans="1:5">
      <c r="A11095" s="140"/>
      <c r="B11095" s="192"/>
      <c r="C11095" s="140"/>
      <c r="D11095" s="140"/>
      <c r="E11095" s="140"/>
    </row>
    <row r="11096" spans="1:5">
      <c r="A11096" s="140"/>
      <c r="B11096" s="192"/>
      <c r="C11096" s="140"/>
      <c r="D11096" s="140"/>
      <c r="E11096" s="140"/>
    </row>
    <row r="11097" spans="1:5">
      <c r="A11097" s="140"/>
      <c r="B11097" s="192"/>
      <c r="C11097" s="140"/>
      <c r="D11097" s="140"/>
      <c r="E11097" s="140"/>
    </row>
    <row r="11098" spans="1:5">
      <c r="A11098" s="140"/>
      <c r="B11098" s="192"/>
      <c r="C11098" s="140"/>
      <c r="D11098" s="140"/>
      <c r="E11098" s="140"/>
    </row>
    <row r="11099" spans="1:5">
      <c r="A11099" s="140"/>
      <c r="B11099" s="192"/>
      <c r="C11099" s="140"/>
      <c r="D11099" s="140"/>
      <c r="E11099" s="140"/>
    </row>
    <row r="11100" spans="1:5">
      <c r="A11100" s="140"/>
      <c r="B11100" s="192"/>
      <c r="C11100" s="140"/>
      <c r="D11100" s="140"/>
      <c r="E11100" s="140"/>
    </row>
    <row r="11101" spans="1:5">
      <c r="A11101" s="140"/>
      <c r="B11101" s="192"/>
      <c r="C11101" s="140"/>
      <c r="D11101" s="140"/>
      <c r="E11101" s="140"/>
    </row>
    <row r="11102" spans="1:5">
      <c r="A11102" s="140"/>
      <c r="B11102" s="192"/>
      <c r="C11102" s="140"/>
      <c r="D11102" s="140"/>
      <c r="E11102" s="140"/>
    </row>
    <row r="11103" spans="1:5">
      <c r="A11103" s="140"/>
      <c r="B11103" s="192"/>
      <c r="C11103" s="140"/>
      <c r="D11103" s="140"/>
      <c r="E11103" s="140"/>
    </row>
    <row r="11104" spans="1:5">
      <c r="A11104" s="140"/>
      <c r="B11104" s="192"/>
      <c r="C11104" s="140"/>
      <c r="D11104" s="140"/>
      <c r="E11104" s="140"/>
    </row>
    <row r="11105" spans="1:5">
      <c r="A11105" s="140"/>
      <c r="B11105" s="192"/>
      <c r="C11105" s="140"/>
      <c r="D11105" s="140"/>
      <c r="E11105" s="140"/>
    </row>
    <row r="11106" spans="1:5">
      <c r="A11106" s="140"/>
      <c r="B11106" s="192"/>
      <c r="C11106" s="140"/>
      <c r="D11106" s="140"/>
      <c r="E11106" s="140"/>
    </row>
    <row r="11107" spans="1:5">
      <c r="A11107" s="140"/>
      <c r="B11107" s="192"/>
      <c r="C11107" s="140"/>
      <c r="D11107" s="140"/>
      <c r="E11107" s="140"/>
    </row>
    <row r="11108" spans="1:5">
      <c r="A11108" s="140"/>
      <c r="B11108" s="192"/>
      <c r="C11108" s="140"/>
      <c r="D11108" s="140"/>
      <c r="E11108" s="140"/>
    </row>
    <row r="11109" spans="1:5">
      <c r="A11109" s="140"/>
      <c r="B11109" s="192"/>
      <c r="C11109" s="140"/>
      <c r="D11109" s="140"/>
      <c r="E11109" s="140"/>
    </row>
    <row r="11110" spans="1:5">
      <c r="A11110" s="140"/>
      <c r="B11110" s="192"/>
      <c r="C11110" s="140"/>
      <c r="D11110" s="140"/>
      <c r="E11110" s="140"/>
    </row>
    <row r="11111" spans="1:5">
      <c r="A11111" s="140"/>
      <c r="B11111" s="192"/>
      <c r="C11111" s="140"/>
      <c r="D11111" s="140"/>
      <c r="E11111" s="140"/>
    </row>
    <row r="11112" spans="1:5">
      <c r="A11112" s="140"/>
      <c r="B11112" s="192"/>
      <c r="C11112" s="140"/>
      <c r="D11112" s="140"/>
      <c r="E11112" s="140"/>
    </row>
    <row r="11113" spans="1:5">
      <c r="A11113" s="140"/>
      <c r="B11113" s="192"/>
      <c r="C11113" s="140"/>
      <c r="D11113" s="140"/>
      <c r="E11113" s="140"/>
    </row>
    <row r="11114" spans="1:5">
      <c r="A11114" s="140"/>
      <c r="B11114" s="192"/>
      <c r="C11114" s="140"/>
      <c r="D11114" s="140"/>
      <c r="E11114" s="140"/>
    </row>
    <row r="11115" spans="1:5">
      <c r="A11115" s="140"/>
      <c r="B11115" s="192"/>
      <c r="C11115" s="140"/>
      <c r="D11115" s="140"/>
      <c r="E11115" s="140"/>
    </row>
    <row r="11116" spans="1:5">
      <c r="A11116" s="140"/>
      <c r="B11116" s="192"/>
      <c r="C11116" s="140"/>
      <c r="D11116" s="140"/>
      <c r="E11116" s="140"/>
    </row>
    <row r="11117" spans="1:5">
      <c r="A11117" s="140"/>
      <c r="B11117" s="192"/>
      <c r="C11117" s="140"/>
      <c r="D11117" s="140"/>
      <c r="E11117" s="140"/>
    </row>
    <row r="11118" spans="1:5">
      <c r="A11118" s="140"/>
      <c r="B11118" s="192"/>
      <c r="C11118" s="140"/>
      <c r="D11118" s="140"/>
      <c r="E11118" s="140"/>
    </row>
    <row r="11119" spans="1:5">
      <c r="A11119" s="140"/>
      <c r="B11119" s="192"/>
      <c r="C11119" s="140"/>
      <c r="D11119" s="140"/>
      <c r="E11119" s="140"/>
    </row>
    <row r="11120" spans="1:5">
      <c r="A11120" s="140"/>
      <c r="B11120" s="192"/>
      <c r="C11120" s="140"/>
      <c r="D11120" s="140"/>
      <c r="E11120" s="140"/>
    </row>
    <row r="11121" spans="1:5">
      <c r="A11121" s="140"/>
      <c r="B11121" s="192"/>
      <c r="C11121" s="140"/>
      <c r="D11121" s="140"/>
      <c r="E11121" s="140"/>
    </row>
    <row r="11122" spans="1:5">
      <c r="A11122" s="140"/>
      <c r="B11122" s="192"/>
      <c r="C11122" s="140"/>
      <c r="D11122" s="140"/>
      <c r="E11122" s="140"/>
    </row>
    <row r="11123" spans="1:5">
      <c r="A11123" s="140"/>
      <c r="B11123" s="192"/>
      <c r="C11123" s="140"/>
      <c r="D11123" s="140"/>
      <c r="E11123" s="140"/>
    </row>
    <row r="11124" spans="1:5">
      <c r="A11124" s="140"/>
      <c r="B11124" s="192"/>
      <c r="C11124" s="140"/>
      <c r="D11124" s="140"/>
      <c r="E11124" s="140"/>
    </row>
    <row r="11125" spans="1:5">
      <c r="A11125" s="140"/>
      <c r="B11125" s="192"/>
      <c r="C11125" s="140"/>
      <c r="D11125" s="140"/>
      <c r="E11125" s="140"/>
    </row>
    <row r="11126" spans="1:5">
      <c r="A11126" s="140"/>
      <c r="B11126" s="192"/>
      <c r="C11126" s="140"/>
      <c r="D11126" s="140"/>
      <c r="E11126" s="140"/>
    </row>
    <row r="11127" spans="1:5">
      <c r="A11127" s="140"/>
      <c r="B11127" s="192"/>
      <c r="C11127" s="140"/>
      <c r="D11127" s="140"/>
      <c r="E11127" s="140"/>
    </row>
    <row r="11128" spans="1:5">
      <c r="A11128" s="140"/>
      <c r="B11128" s="192"/>
      <c r="C11128" s="140"/>
      <c r="D11128" s="140"/>
      <c r="E11128" s="140"/>
    </row>
    <row r="11129" spans="1:5">
      <c r="A11129" s="140"/>
      <c r="B11129" s="192"/>
      <c r="C11129" s="140"/>
      <c r="D11129" s="140"/>
      <c r="E11129" s="140"/>
    </row>
    <row r="11130" spans="1:5">
      <c r="A11130" s="140"/>
      <c r="B11130" s="192"/>
      <c r="C11130" s="140"/>
      <c r="D11130" s="140"/>
      <c r="E11130" s="140"/>
    </row>
    <row r="11131" spans="1:5">
      <c r="A11131" s="140"/>
      <c r="B11131" s="192"/>
      <c r="C11131" s="140"/>
      <c r="D11131" s="140"/>
      <c r="E11131" s="140"/>
    </row>
    <row r="11132" spans="1:5">
      <c r="A11132" s="140"/>
      <c r="B11132" s="192"/>
      <c r="C11132" s="140"/>
      <c r="D11132" s="140"/>
      <c r="E11132" s="140"/>
    </row>
    <row r="11133" spans="1:5">
      <c r="A11133" s="140"/>
      <c r="B11133" s="192"/>
      <c r="C11133" s="140"/>
      <c r="D11133" s="140"/>
      <c r="E11133" s="140"/>
    </row>
    <row r="11134" spans="1:5">
      <c r="A11134" s="140"/>
      <c r="B11134" s="192"/>
      <c r="C11134" s="140"/>
      <c r="D11134" s="140"/>
      <c r="E11134" s="140"/>
    </row>
    <row r="11135" spans="1:5">
      <c r="A11135" s="140"/>
      <c r="B11135" s="192"/>
      <c r="C11135" s="140"/>
      <c r="D11135" s="140"/>
      <c r="E11135" s="140"/>
    </row>
    <row r="11136" spans="1:5">
      <c r="A11136" s="140"/>
      <c r="B11136" s="192"/>
      <c r="C11136" s="140"/>
      <c r="D11136" s="140"/>
      <c r="E11136" s="140"/>
    </row>
    <row r="11137" spans="1:5">
      <c r="A11137" s="140"/>
      <c r="B11137" s="192"/>
      <c r="C11137" s="140"/>
      <c r="D11137" s="140"/>
      <c r="E11137" s="140"/>
    </row>
    <row r="11138" spans="1:5">
      <c r="A11138" s="140"/>
      <c r="B11138" s="192"/>
      <c r="C11138" s="140"/>
      <c r="D11138" s="140"/>
      <c r="E11138" s="140"/>
    </row>
    <row r="11139" spans="1:5">
      <c r="A11139" s="140"/>
      <c r="B11139" s="192"/>
      <c r="C11139" s="140"/>
      <c r="D11139" s="140"/>
      <c r="E11139" s="140"/>
    </row>
    <row r="11140" spans="1:5">
      <c r="A11140" s="140"/>
      <c r="B11140" s="192"/>
      <c r="C11140" s="140"/>
      <c r="D11140" s="140"/>
      <c r="E11140" s="140"/>
    </row>
    <row r="11141" spans="1:5">
      <c r="A11141" s="140"/>
      <c r="B11141" s="192"/>
      <c r="C11141" s="140"/>
      <c r="D11141" s="140"/>
      <c r="E11141" s="140"/>
    </row>
    <row r="11142" spans="1:5">
      <c r="A11142" s="140"/>
      <c r="B11142" s="192"/>
      <c r="C11142" s="140"/>
      <c r="D11142" s="140"/>
      <c r="E11142" s="140"/>
    </row>
    <row r="11143" spans="1:5">
      <c r="A11143" s="140"/>
      <c r="B11143" s="192"/>
      <c r="C11143" s="140"/>
      <c r="D11143" s="140"/>
      <c r="E11143" s="140"/>
    </row>
    <row r="11144" spans="1:5">
      <c r="A11144" s="140"/>
      <c r="B11144" s="192"/>
      <c r="C11144" s="140"/>
      <c r="D11144" s="140"/>
      <c r="E11144" s="140"/>
    </row>
    <row r="11145" spans="1:5">
      <c r="A11145" s="140"/>
      <c r="B11145" s="192"/>
      <c r="C11145" s="140"/>
      <c r="D11145" s="140"/>
      <c r="E11145" s="140"/>
    </row>
    <row r="11146" spans="1:5">
      <c r="A11146" s="140"/>
      <c r="B11146" s="192"/>
      <c r="C11146" s="140"/>
      <c r="D11146" s="140"/>
      <c r="E11146" s="140"/>
    </row>
    <row r="11147" spans="1:5">
      <c r="A11147" s="140"/>
      <c r="B11147" s="192"/>
      <c r="C11147" s="140"/>
      <c r="D11147" s="140"/>
      <c r="E11147" s="140"/>
    </row>
    <row r="11148" spans="1:5">
      <c r="A11148" s="140"/>
      <c r="B11148" s="192"/>
      <c r="C11148" s="140"/>
      <c r="D11148" s="140"/>
      <c r="E11148" s="140"/>
    </row>
    <row r="11149" spans="1:5">
      <c r="A11149" s="140"/>
      <c r="B11149" s="192"/>
      <c r="C11149" s="140"/>
      <c r="D11149" s="140"/>
      <c r="E11149" s="140"/>
    </row>
    <row r="11150" spans="1:5">
      <c r="A11150" s="140"/>
      <c r="B11150" s="192"/>
      <c r="C11150" s="140"/>
      <c r="D11150" s="140"/>
      <c r="E11150" s="140"/>
    </row>
    <row r="11151" spans="1:5">
      <c r="A11151" s="140"/>
      <c r="B11151" s="192"/>
      <c r="C11151" s="140"/>
      <c r="D11151" s="140"/>
      <c r="E11151" s="140"/>
    </row>
    <row r="11152" spans="1:5">
      <c r="A11152" s="140"/>
      <c r="B11152" s="192"/>
      <c r="C11152" s="140"/>
      <c r="D11152" s="140"/>
      <c r="E11152" s="140"/>
    </row>
    <row r="11153" spans="1:5">
      <c r="A11153" s="140"/>
      <c r="B11153" s="192"/>
      <c r="C11153" s="140"/>
      <c r="D11153" s="140"/>
      <c r="E11153" s="140"/>
    </row>
    <row r="11154" spans="1:5">
      <c r="A11154" s="140"/>
      <c r="B11154" s="192"/>
      <c r="C11154" s="140"/>
      <c r="D11154" s="140"/>
      <c r="E11154" s="140"/>
    </row>
    <row r="11155" spans="1:5">
      <c r="A11155" s="140"/>
      <c r="B11155" s="192"/>
      <c r="C11155" s="140"/>
      <c r="D11155" s="140"/>
      <c r="E11155" s="140"/>
    </row>
    <row r="11156" spans="1:5">
      <c r="A11156" s="140"/>
      <c r="B11156" s="192"/>
      <c r="C11156" s="140"/>
      <c r="D11156" s="140"/>
      <c r="E11156" s="140"/>
    </row>
    <row r="11157" spans="1:5">
      <c r="A11157" s="140"/>
      <c r="B11157" s="192"/>
      <c r="C11157" s="140"/>
      <c r="D11157" s="140"/>
      <c r="E11157" s="140"/>
    </row>
    <row r="11158" spans="1:5">
      <c r="A11158" s="140"/>
      <c r="B11158" s="192"/>
      <c r="C11158" s="140"/>
      <c r="D11158" s="140"/>
      <c r="E11158" s="140"/>
    </row>
    <row r="11159" spans="1:5">
      <c r="A11159" s="140"/>
      <c r="B11159" s="192"/>
      <c r="C11159" s="140"/>
      <c r="D11159" s="140"/>
      <c r="E11159" s="140"/>
    </row>
    <row r="11160" spans="1:5">
      <c r="A11160" s="140"/>
      <c r="B11160" s="192"/>
      <c r="C11160" s="140"/>
      <c r="D11160" s="140"/>
      <c r="E11160" s="140"/>
    </row>
    <row r="11161" spans="1:5">
      <c r="A11161" s="140"/>
      <c r="B11161" s="192"/>
      <c r="C11161" s="140"/>
      <c r="D11161" s="140"/>
      <c r="E11161" s="140"/>
    </row>
    <row r="11162" spans="1:5">
      <c r="A11162" s="140"/>
      <c r="B11162" s="192"/>
      <c r="C11162" s="140"/>
      <c r="D11162" s="140"/>
      <c r="E11162" s="140"/>
    </row>
    <row r="11163" spans="1:5">
      <c r="A11163" s="140"/>
      <c r="B11163" s="192"/>
      <c r="C11163" s="140"/>
      <c r="D11163" s="140"/>
      <c r="E11163" s="140"/>
    </row>
    <row r="11164" spans="1:5">
      <c r="A11164" s="140"/>
      <c r="B11164" s="192"/>
      <c r="C11164" s="140"/>
      <c r="D11164" s="140"/>
      <c r="E11164" s="140"/>
    </row>
    <row r="11165" spans="1:5">
      <c r="A11165" s="140"/>
      <c r="B11165" s="192"/>
      <c r="C11165" s="140"/>
      <c r="D11165" s="140"/>
      <c r="E11165" s="140"/>
    </row>
    <row r="11166" spans="1:5">
      <c r="A11166" s="140"/>
      <c r="B11166" s="192"/>
      <c r="C11166" s="140"/>
      <c r="D11166" s="140"/>
      <c r="E11166" s="140"/>
    </row>
    <row r="11167" spans="1:5">
      <c r="A11167" s="140"/>
      <c r="B11167" s="192"/>
      <c r="C11167" s="140"/>
      <c r="D11167" s="140"/>
      <c r="E11167" s="140"/>
    </row>
    <row r="11168" spans="1:5">
      <c r="A11168" s="140"/>
      <c r="B11168" s="192"/>
      <c r="C11168" s="140"/>
      <c r="D11168" s="140"/>
      <c r="E11168" s="140"/>
    </row>
    <row r="11169" spans="1:5">
      <c r="A11169" s="140"/>
      <c r="B11169" s="192"/>
      <c r="C11169" s="140"/>
      <c r="D11169" s="140"/>
      <c r="E11169" s="140"/>
    </row>
    <row r="11170" spans="1:5">
      <c r="A11170" s="140"/>
      <c r="B11170" s="192"/>
      <c r="C11170" s="140"/>
      <c r="D11170" s="140"/>
      <c r="E11170" s="140"/>
    </row>
    <row r="11171" spans="1:5">
      <c r="A11171" s="140"/>
      <c r="B11171" s="192"/>
      <c r="C11171" s="140"/>
      <c r="D11171" s="140"/>
      <c r="E11171" s="140"/>
    </row>
    <row r="11172" spans="1:5">
      <c r="A11172" s="140"/>
      <c r="B11172" s="192"/>
      <c r="C11172" s="140"/>
      <c r="D11172" s="140"/>
      <c r="E11172" s="140"/>
    </row>
    <row r="11173" spans="1:5">
      <c r="A11173" s="140"/>
      <c r="B11173" s="192"/>
      <c r="C11173" s="140"/>
      <c r="D11173" s="140"/>
      <c r="E11173" s="140"/>
    </row>
    <row r="11174" spans="1:5">
      <c r="A11174" s="140"/>
      <c r="B11174" s="192"/>
      <c r="C11174" s="140"/>
      <c r="D11174" s="140"/>
      <c r="E11174" s="140"/>
    </row>
    <row r="11175" spans="1:5">
      <c r="A11175" s="140"/>
      <c r="B11175" s="192"/>
      <c r="C11175" s="140"/>
      <c r="D11175" s="140"/>
      <c r="E11175" s="140"/>
    </row>
    <row r="11176" spans="1:5">
      <c r="A11176" s="140"/>
      <c r="B11176" s="192"/>
      <c r="C11176" s="140"/>
      <c r="D11176" s="140"/>
      <c r="E11176" s="140"/>
    </row>
    <row r="11177" spans="1:5">
      <c r="A11177" s="140"/>
      <c r="B11177" s="192"/>
      <c r="C11177" s="140"/>
      <c r="D11177" s="140"/>
      <c r="E11177" s="140"/>
    </row>
    <row r="11178" spans="1:5">
      <c r="A11178" s="140"/>
      <c r="B11178" s="192"/>
      <c r="C11178" s="140"/>
      <c r="D11178" s="140"/>
      <c r="E11178" s="140"/>
    </row>
    <row r="11179" spans="1:5">
      <c r="A11179" s="140"/>
      <c r="B11179" s="192"/>
      <c r="C11179" s="140"/>
      <c r="D11179" s="140"/>
      <c r="E11179" s="140"/>
    </row>
    <row r="11180" spans="1:5">
      <c r="A11180" s="140"/>
      <c r="B11180" s="192"/>
      <c r="C11180" s="140"/>
      <c r="D11180" s="140"/>
      <c r="E11180" s="140"/>
    </row>
    <row r="11181" spans="1:5">
      <c r="A11181" s="140"/>
      <c r="B11181" s="192"/>
      <c r="C11181" s="140"/>
      <c r="D11181" s="140"/>
      <c r="E11181" s="140"/>
    </row>
    <row r="11182" spans="1:5">
      <c r="A11182" s="140"/>
      <c r="B11182" s="192"/>
      <c r="C11182" s="140"/>
      <c r="D11182" s="140"/>
      <c r="E11182" s="140"/>
    </row>
    <row r="11183" spans="1:5">
      <c r="A11183" s="140"/>
      <c r="B11183" s="192"/>
      <c r="C11183" s="140"/>
      <c r="D11183" s="140"/>
      <c r="E11183" s="140"/>
    </row>
    <row r="11184" spans="1:5">
      <c r="A11184" s="140"/>
      <c r="B11184" s="192"/>
      <c r="C11184" s="140"/>
      <c r="D11184" s="140"/>
      <c r="E11184" s="140"/>
    </row>
    <row r="11185" spans="1:5">
      <c r="A11185" s="140"/>
      <c r="B11185" s="192"/>
      <c r="C11185" s="140"/>
      <c r="D11185" s="140"/>
      <c r="E11185" s="140"/>
    </row>
    <row r="11186" spans="1:5">
      <c r="A11186" s="140"/>
      <c r="B11186" s="192"/>
      <c r="C11186" s="140"/>
      <c r="D11186" s="140"/>
      <c r="E11186" s="140"/>
    </row>
    <row r="11187" spans="1:5">
      <c r="A11187" s="140"/>
      <c r="B11187" s="192"/>
      <c r="C11187" s="140"/>
      <c r="D11187" s="140"/>
      <c r="E11187" s="140"/>
    </row>
    <row r="11188" spans="1:5">
      <c r="A11188" s="140"/>
      <c r="B11188" s="192"/>
      <c r="C11188" s="140"/>
      <c r="D11188" s="140"/>
      <c r="E11188" s="140"/>
    </row>
    <row r="11189" spans="1:5">
      <c r="A11189" s="140"/>
      <c r="B11189" s="192"/>
      <c r="C11189" s="140"/>
      <c r="D11189" s="140"/>
      <c r="E11189" s="140"/>
    </row>
    <row r="11190" spans="1:5">
      <c r="A11190" s="140"/>
      <c r="B11190" s="192"/>
      <c r="C11190" s="140"/>
      <c r="D11190" s="140"/>
      <c r="E11190" s="140"/>
    </row>
    <row r="11191" spans="1:5">
      <c r="A11191" s="140"/>
      <c r="B11191" s="192"/>
      <c r="C11191" s="140"/>
      <c r="D11191" s="140"/>
      <c r="E11191" s="140"/>
    </row>
    <row r="11192" spans="1:5">
      <c r="A11192" s="140"/>
      <c r="B11192" s="192"/>
      <c r="C11192" s="140"/>
      <c r="D11192" s="140"/>
      <c r="E11192" s="140"/>
    </row>
    <row r="11193" spans="1:5">
      <c r="A11193" s="140"/>
      <c r="B11193" s="192"/>
      <c r="C11193" s="140"/>
      <c r="D11193" s="140"/>
      <c r="E11193" s="140"/>
    </row>
    <row r="11194" spans="1:5">
      <c r="A11194" s="140"/>
      <c r="B11194" s="192"/>
      <c r="C11194" s="140"/>
      <c r="D11194" s="140"/>
      <c r="E11194" s="140"/>
    </row>
    <row r="11195" spans="1:5">
      <c r="A11195" s="140"/>
      <c r="B11195" s="192"/>
      <c r="C11195" s="140"/>
      <c r="D11195" s="140"/>
      <c r="E11195" s="140"/>
    </row>
    <row r="11196" spans="1:5">
      <c r="A11196" s="140"/>
      <c r="B11196" s="192"/>
      <c r="C11196" s="140"/>
      <c r="D11196" s="140"/>
      <c r="E11196" s="140"/>
    </row>
    <row r="11197" spans="1:5">
      <c r="A11197" s="140"/>
      <c r="B11197" s="192"/>
      <c r="C11197" s="140"/>
      <c r="D11197" s="140"/>
      <c r="E11197" s="140"/>
    </row>
    <row r="11198" spans="1:5">
      <c r="A11198" s="140"/>
      <c r="B11198" s="192"/>
      <c r="C11198" s="140"/>
      <c r="D11198" s="140"/>
      <c r="E11198" s="140"/>
    </row>
    <row r="11199" spans="1:5">
      <c r="A11199" s="140"/>
      <c r="B11199" s="192"/>
      <c r="C11199" s="140"/>
      <c r="D11199" s="140"/>
      <c r="E11199" s="140"/>
    </row>
    <row r="11200" spans="1:5">
      <c r="A11200" s="140"/>
      <c r="B11200" s="192"/>
      <c r="C11200" s="140"/>
      <c r="D11200" s="140"/>
      <c r="E11200" s="140"/>
    </row>
    <row r="11201" spans="1:5">
      <c r="A11201" s="140"/>
      <c r="B11201" s="192"/>
      <c r="C11201" s="140"/>
      <c r="D11201" s="140"/>
      <c r="E11201" s="140"/>
    </row>
    <row r="11202" spans="1:5">
      <c r="A11202" s="140"/>
      <c r="B11202" s="192"/>
      <c r="C11202" s="140"/>
      <c r="D11202" s="140"/>
      <c r="E11202" s="140"/>
    </row>
    <row r="11203" spans="1:5">
      <c r="A11203" s="140"/>
      <c r="B11203" s="192"/>
      <c r="C11203" s="140"/>
      <c r="D11203" s="140"/>
      <c r="E11203" s="140"/>
    </row>
    <row r="11204" spans="1:5">
      <c r="A11204" s="140"/>
      <c r="B11204" s="192"/>
      <c r="C11204" s="140"/>
      <c r="D11204" s="140"/>
      <c r="E11204" s="140"/>
    </row>
    <row r="11205" spans="1:5">
      <c r="A11205" s="140"/>
      <c r="B11205" s="192"/>
      <c r="C11205" s="140"/>
      <c r="D11205" s="140"/>
      <c r="E11205" s="140"/>
    </row>
    <row r="11206" spans="1:5">
      <c r="A11206" s="140"/>
      <c r="B11206" s="192"/>
      <c r="C11206" s="140"/>
      <c r="D11206" s="140"/>
      <c r="E11206" s="140"/>
    </row>
    <row r="11207" spans="1:5">
      <c r="A11207" s="140"/>
      <c r="B11207" s="192"/>
      <c r="C11207" s="140"/>
      <c r="D11207" s="140"/>
      <c r="E11207" s="140"/>
    </row>
    <row r="11208" spans="1:5">
      <c r="A11208" s="140"/>
      <c r="B11208" s="192"/>
      <c r="C11208" s="140"/>
      <c r="D11208" s="140"/>
      <c r="E11208" s="140"/>
    </row>
    <row r="11209" spans="1:5">
      <c r="A11209" s="140"/>
      <c r="B11209" s="192"/>
      <c r="C11209" s="140"/>
      <c r="D11209" s="140"/>
      <c r="E11209" s="140"/>
    </row>
    <row r="11210" spans="1:5">
      <c r="A11210" s="140"/>
      <c r="B11210" s="192"/>
      <c r="C11210" s="140"/>
      <c r="D11210" s="140"/>
      <c r="E11210" s="140"/>
    </row>
    <row r="11211" spans="1:5">
      <c r="A11211" s="140"/>
      <c r="B11211" s="192"/>
      <c r="C11211" s="140"/>
      <c r="D11211" s="140"/>
      <c r="E11211" s="140"/>
    </row>
    <row r="11212" spans="1:5">
      <c r="A11212" s="140"/>
      <c r="B11212" s="192"/>
      <c r="C11212" s="140"/>
      <c r="D11212" s="140"/>
      <c r="E11212" s="140"/>
    </row>
    <row r="11213" spans="1:5">
      <c r="A11213" s="140"/>
      <c r="B11213" s="192"/>
      <c r="C11213" s="140"/>
      <c r="D11213" s="140"/>
      <c r="E11213" s="140"/>
    </row>
    <row r="11214" spans="1:5">
      <c r="A11214" s="140"/>
      <c r="B11214" s="192"/>
      <c r="C11214" s="140"/>
      <c r="D11214" s="140"/>
      <c r="E11214" s="140"/>
    </row>
    <row r="11215" spans="1:5">
      <c r="A11215" s="140"/>
      <c r="B11215" s="192"/>
      <c r="C11215" s="140"/>
      <c r="D11215" s="140"/>
      <c r="E11215" s="140"/>
    </row>
    <row r="11216" spans="1:5">
      <c r="A11216" s="140"/>
      <c r="B11216" s="192"/>
      <c r="C11216" s="140"/>
      <c r="D11216" s="140"/>
      <c r="E11216" s="140"/>
    </row>
    <row r="11217" spans="1:5">
      <c r="A11217" s="140"/>
      <c r="B11217" s="192"/>
      <c r="C11217" s="140"/>
      <c r="D11217" s="140"/>
      <c r="E11217" s="140"/>
    </row>
    <row r="11218" spans="1:5">
      <c r="A11218" s="140"/>
      <c r="B11218" s="192"/>
      <c r="C11218" s="140"/>
      <c r="D11218" s="140"/>
      <c r="E11218" s="140"/>
    </row>
    <row r="11219" spans="1:5">
      <c r="A11219" s="140"/>
      <c r="B11219" s="192"/>
      <c r="C11219" s="140"/>
      <c r="D11219" s="140"/>
      <c r="E11219" s="140"/>
    </row>
    <row r="11220" spans="1:5">
      <c r="A11220" s="140"/>
      <c r="B11220" s="192"/>
      <c r="C11220" s="140"/>
      <c r="D11220" s="140"/>
      <c r="E11220" s="140"/>
    </row>
    <row r="11221" spans="1:5">
      <c r="A11221" s="140"/>
      <c r="B11221" s="192"/>
      <c r="C11221" s="140"/>
      <c r="D11221" s="140"/>
      <c r="E11221" s="140"/>
    </row>
    <row r="11222" spans="1:5">
      <c r="A11222" s="140"/>
      <c r="B11222" s="192"/>
      <c r="C11222" s="140"/>
      <c r="D11222" s="140"/>
      <c r="E11222" s="140"/>
    </row>
    <row r="11223" spans="1:5">
      <c r="A11223" s="140"/>
      <c r="B11223" s="192"/>
      <c r="C11223" s="140"/>
      <c r="D11223" s="140"/>
      <c r="E11223" s="140"/>
    </row>
    <row r="11224" spans="1:5">
      <c r="A11224" s="140"/>
      <c r="B11224" s="192"/>
      <c r="C11224" s="140"/>
      <c r="D11224" s="140"/>
      <c r="E11224" s="140"/>
    </row>
    <row r="11225" spans="1:5">
      <c r="A11225" s="140"/>
      <c r="B11225" s="192"/>
      <c r="C11225" s="140"/>
      <c r="D11225" s="140"/>
      <c r="E11225" s="140"/>
    </row>
    <row r="11226" spans="1:5">
      <c r="A11226" s="140"/>
      <c r="B11226" s="192"/>
      <c r="C11226" s="140"/>
      <c r="D11226" s="140"/>
      <c r="E11226" s="140"/>
    </row>
    <row r="11227" spans="1:5">
      <c r="A11227" s="140"/>
      <c r="B11227" s="192"/>
      <c r="C11227" s="140"/>
      <c r="D11227" s="140"/>
      <c r="E11227" s="140"/>
    </row>
    <row r="11228" spans="1:5">
      <c r="A11228" s="140"/>
      <c r="B11228" s="192"/>
      <c r="C11228" s="140"/>
      <c r="D11228" s="140"/>
      <c r="E11228" s="140"/>
    </row>
    <row r="11229" spans="1:5">
      <c r="A11229" s="140"/>
      <c r="B11229" s="192"/>
      <c r="C11229" s="140"/>
      <c r="D11229" s="140"/>
      <c r="E11229" s="140"/>
    </row>
    <row r="11230" spans="1:5">
      <c r="A11230" s="140"/>
      <c r="B11230" s="192"/>
      <c r="C11230" s="140"/>
      <c r="D11230" s="140"/>
      <c r="E11230" s="140"/>
    </row>
    <row r="11231" spans="1:5">
      <c r="A11231" s="140"/>
      <c r="B11231" s="192"/>
      <c r="C11231" s="140"/>
      <c r="D11231" s="140"/>
      <c r="E11231" s="140"/>
    </row>
    <row r="11232" spans="1:5">
      <c r="A11232" s="140"/>
      <c r="B11232" s="192"/>
      <c r="C11232" s="140"/>
      <c r="D11232" s="140"/>
      <c r="E11232" s="140"/>
    </row>
    <row r="11233" spans="1:5">
      <c r="A11233" s="140"/>
      <c r="B11233" s="192"/>
      <c r="C11233" s="140"/>
      <c r="D11233" s="140"/>
      <c r="E11233" s="140"/>
    </row>
    <row r="11234" spans="1:5">
      <c r="A11234" s="140"/>
      <c r="B11234" s="192"/>
      <c r="C11234" s="140"/>
      <c r="D11234" s="140"/>
      <c r="E11234" s="140"/>
    </row>
    <row r="11235" spans="1:5">
      <c r="A11235" s="140"/>
      <c r="B11235" s="192"/>
      <c r="C11235" s="140"/>
      <c r="D11235" s="140"/>
      <c r="E11235" s="140"/>
    </row>
    <row r="11236" spans="1:5">
      <c r="A11236" s="140"/>
      <c r="B11236" s="192"/>
      <c r="C11236" s="140"/>
      <c r="D11236" s="140"/>
      <c r="E11236" s="140"/>
    </row>
    <row r="11237" spans="1:5">
      <c r="A11237" s="140"/>
      <c r="B11237" s="192"/>
      <c r="C11237" s="140"/>
      <c r="D11237" s="140"/>
      <c r="E11237" s="140"/>
    </row>
    <row r="11238" spans="1:5">
      <c r="A11238" s="140"/>
      <c r="B11238" s="192"/>
      <c r="C11238" s="140"/>
      <c r="D11238" s="140"/>
      <c r="E11238" s="140"/>
    </row>
    <row r="11239" spans="1:5">
      <c r="A11239" s="140"/>
      <c r="B11239" s="192"/>
      <c r="C11239" s="140"/>
      <c r="D11239" s="140"/>
      <c r="E11239" s="140"/>
    </row>
    <row r="11240" spans="1:5">
      <c r="A11240" s="140"/>
      <c r="B11240" s="192"/>
      <c r="C11240" s="140"/>
      <c r="D11240" s="140"/>
      <c r="E11240" s="140"/>
    </row>
    <row r="11241" spans="1:5">
      <c r="A11241" s="140"/>
      <c r="B11241" s="192"/>
      <c r="C11241" s="140"/>
      <c r="D11241" s="140"/>
      <c r="E11241" s="140"/>
    </row>
    <row r="11242" spans="1:5">
      <c r="A11242" s="140"/>
      <c r="B11242" s="192"/>
      <c r="C11242" s="140"/>
      <c r="D11242" s="140"/>
      <c r="E11242" s="140"/>
    </row>
    <row r="11243" spans="1:5">
      <c r="A11243" s="140"/>
      <c r="B11243" s="192"/>
      <c r="C11243" s="140"/>
      <c r="D11243" s="140"/>
      <c r="E11243" s="140"/>
    </row>
    <row r="11244" spans="1:5">
      <c r="A11244" s="140"/>
      <c r="B11244" s="192"/>
      <c r="C11244" s="140"/>
      <c r="D11244" s="140"/>
      <c r="E11244" s="140"/>
    </row>
    <row r="11245" spans="1:5">
      <c r="A11245" s="140"/>
      <c r="B11245" s="192"/>
      <c r="C11245" s="140"/>
      <c r="D11245" s="140"/>
      <c r="E11245" s="140"/>
    </row>
    <row r="11246" spans="1:5">
      <c r="A11246" s="140"/>
      <c r="B11246" s="192"/>
      <c r="C11246" s="140"/>
      <c r="D11246" s="140"/>
      <c r="E11246" s="140"/>
    </row>
    <row r="11247" spans="1:5">
      <c r="A11247" s="140"/>
      <c r="B11247" s="192"/>
      <c r="C11247" s="140"/>
      <c r="D11247" s="140"/>
      <c r="E11247" s="140"/>
    </row>
    <row r="11248" spans="1:5">
      <c r="A11248" s="140"/>
      <c r="B11248" s="192"/>
      <c r="C11248" s="140"/>
      <c r="D11248" s="140"/>
      <c r="E11248" s="140"/>
    </row>
    <row r="11249" spans="1:5">
      <c r="A11249" s="140"/>
      <c r="B11249" s="192"/>
      <c r="C11249" s="140"/>
      <c r="D11249" s="140"/>
      <c r="E11249" s="140"/>
    </row>
    <row r="11250" spans="1:5">
      <c r="A11250" s="140"/>
      <c r="B11250" s="192"/>
      <c r="C11250" s="140"/>
      <c r="D11250" s="140"/>
      <c r="E11250" s="140"/>
    </row>
    <row r="11251" spans="1:5">
      <c r="A11251" s="140"/>
      <c r="B11251" s="192"/>
      <c r="C11251" s="140"/>
      <c r="D11251" s="140"/>
      <c r="E11251" s="140"/>
    </row>
    <row r="11252" spans="1:5">
      <c r="A11252" s="140"/>
      <c r="B11252" s="192"/>
      <c r="C11252" s="140"/>
      <c r="D11252" s="140"/>
      <c r="E11252" s="140"/>
    </row>
    <row r="11253" spans="1:5">
      <c r="A11253" s="140"/>
      <c r="B11253" s="192"/>
      <c r="C11253" s="140"/>
      <c r="D11253" s="140"/>
      <c r="E11253" s="140"/>
    </row>
    <row r="11254" spans="1:5">
      <c r="A11254" s="140"/>
      <c r="B11254" s="192"/>
      <c r="C11254" s="140"/>
      <c r="D11254" s="140"/>
      <c r="E11254" s="140"/>
    </row>
    <row r="11255" spans="1:5">
      <c r="A11255" s="140"/>
      <c r="B11255" s="192"/>
      <c r="C11255" s="140"/>
      <c r="D11255" s="140"/>
      <c r="E11255" s="140"/>
    </row>
    <row r="11256" spans="1:5">
      <c r="A11256" s="140"/>
      <c r="B11256" s="192"/>
      <c r="C11256" s="140"/>
      <c r="D11256" s="140"/>
      <c r="E11256" s="140"/>
    </row>
    <row r="11257" spans="1:5">
      <c r="A11257" s="140"/>
      <c r="B11257" s="192"/>
      <c r="C11257" s="140"/>
      <c r="D11257" s="140"/>
      <c r="E11257" s="140"/>
    </row>
    <row r="11258" spans="1:5">
      <c r="A11258" s="140"/>
      <c r="B11258" s="192"/>
      <c r="C11258" s="140"/>
      <c r="D11258" s="140"/>
      <c r="E11258" s="140"/>
    </row>
    <row r="11259" spans="1:5">
      <c r="A11259" s="140"/>
      <c r="B11259" s="192"/>
      <c r="C11259" s="140"/>
      <c r="D11259" s="140"/>
      <c r="E11259" s="140"/>
    </row>
    <row r="11260" spans="1:5">
      <c r="A11260" s="140"/>
      <c r="B11260" s="192"/>
      <c r="C11260" s="140"/>
      <c r="D11260" s="140"/>
      <c r="E11260" s="140"/>
    </row>
    <row r="11261" spans="1:5">
      <c r="A11261" s="140"/>
      <c r="B11261" s="192"/>
      <c r="C11261" s="140"/>
      <c r="D11261" s="140"/>
      <c r="E11261" s="140"/>
    </row>
    <row r="11262" spans="1:5">
      <c r="A11262" s="140"/>
      <c r="B11262" s="192"/>
      <c r="C11262" s="140"/>
      <c r="D11262" s="140"/>
      <c r="E11262" s="140"/>
    </row>
    <row r="11263" spans="1:5">
      <c r="A11263" s="140"/>
      <c r="B11263" s="192"/>
      <c r="C11263" s="140"/>
      <c r="D11263" s="140"/>
      <c r="E11263" s="140"/>
    </row>
    <row r="11264" spans="1:5">
      <c r="A11264" s="140"/>
      <c r="B11264" s="192"/>
      <c r="C11264" s="140"/>
      <c r="D11264" s="140"/>
      <c r="E11264" s="140"/>
    </row>
    <row r="11265" spans="1:5">
      <c r="A11265" s="140"/>
      <c r="B11265" s="192"/>
      <c r="C11265" s="140"/>
      <c r="D11265" s="140"/>
      <c r="E11265" s="140"/>
    </row>
    <row r="11266" spans="1:5">
      <c r="A11266" s="140"/>
      <c r="B11266" s="192"/>
      <c r="C11266" s="140"/>
      <c r="D11266" s="140"/>
      <c r="E11266" s="140"/>
    </row>
    <row r="11267" spans="1:5">
      <c r="A11267" s="140"/>
      <c r="B11267" s="192"/>
      <c r="C11267" s="140"/>
      <c r="D11267" s="140"/>
      <c r="E11267" s="140"/>
    </row>
    <row r="11268" spans="1:5">
      <c r="A11268" s="140"/>
      <c r="B11268" s="192"/>
      <c r="C11268" s="140"/>
      <c r="D11268" s="140"/>
      <c r="E11268" s="140"/>
    </row>
    <row r="11269" spans="1:5">
      <c r="A11269" s="140"/>
      <c r="B11269" s="192"/>
      <c r="C11269" s="140"/>
      <c r="D11269" s="140"/>
      <c r="E11269" s="140"/>
    </row>
    <row r="11270" spans="1:5">
      <c r="A11270" s="140"/>
      <c r="B11270" s="192"/>
      <c r="C11270" s="140"/>
      <c r="D11270" s="140"/>
      <c r="E11270" s="140"/>
    </row>
    <row r="11271" spans="1:5">
      <c r="A11271" s="140"/>
      <c r="B11271" s="192"/>
      <c r="C11271" s="140"/>
      <c r="D11271" s="140"/>
      <c r="E11271" s="140"/>
    </row>
    <row r="11272" spans="1:5">
      <c r="A11272" s="140"/>
      <c r="B11272" s="192"/>
      <c r="C11272" s="140"/>
      <c r="D11272" s="140"/>
      <c r="E11272" s="140"/>
    </row>
    <row r="11273" spans="1:5">
      <c r="A11273" s="140"/>
      <c r="B11273" s="192"/>
      <c r="C11273" s="140"/>
      <c r="D11273" s="140"/>
      <c r="E11273" s="140"/>
    </row>
    <row r="11274" spans="1:5">
      <c r="A11274" s="140"/>
      <c r="B11274" s="192"/>
      <c r="C11274" s="140"/>
      <c r="D11274" s="140"/>
      <c r="E11274" s="140"/>
    </row>
    <row r="11275" spans="1:5">
      <c r="A11275" s="140"/>
      <c r="B11275" s="192"/>
      <c r="C11275" s="140"/>
      <c r="D11275" s="140"/>
      <c r="E11275" s="140"/>
    </row>
    <row r="11276" spans="1:5">
      <c r="A11276" s="140"/>
      <c r="B11276" s="192"/>
      <c r="C11276" s="140"/>
      <c r="D11276" s="140"/>
      <c r="E11276" s="140"/>
    </row>
    <row r="11277" spans="1:5">
      <c r="A11277" s="140"/>
      <c r="B11277" s="192"/>
      <c r="C11277" s="140"/>
      <c r="D11277" s="140"/>
      <c r="E11277" s="140"/>
    </row>
    <row r="11278" spans="1:5">
      <c r="A11278" s="140"/>
      <c r="B11278" s="192"/>
      <c r="C11278" s="140"/>
      <c r="D11278" s="140"/>
      <c r="E11278" s="140"/>
    </row>
    <row r="11279" spans="1:5">
      <c r="A11279" s="140"/>
      <c r="B11279" s="192"/>
      <c r="C11279" s="140"/>
      <c r="D11279" s="140"/>
      <c r="E11279" s="140"/>
    </row>
    <row r="11280" spans="1:5">
      <c r="A11280" s="140"/>
      <c r="B11280" s="192"/>
      <c r="C11280" s="140"/>
      <c r="D11280" s="140"/>
      <c r="E11280" s="140"/>
    </row>
    <row r="11281" spans="1:5">
      <c r="A11281" s="140"/>
      <c r="B11281" s="192"/>
      <c r="C11281" s="140"/>
      <c r="D11281" s="140"/>
      <c r="E11281" s="140"/>
    </row>
    <row r="11282" spans="1:5">
      <c r="A11282" s="140"/>
      <c r="B11282" s="192"/>
      <c r="C11282" s="140"/>
      <c r="D11282" s="140"/>
      <c r="E11282" s="140"/>
    </row>
    <row r="11283" spans="1:5">
      <c r="A11283" s="140"/>
      <c r="B11283" s="192"/>
      <c r="C11283" s="140"/>
      <c r="D11283" s="140"/>
      <c r="E11283" s="140"/>
    </row>
    <row r="11284" spans="1:5">
      <c r="A11284" s="140"/>
      <c r="B11284" s="192"/>
      <c r="C11284" s="140"/>
      <c r="D11284" s="140"/>
      <c r="E11284" s="140"/>
    </row>
    <row r="11285" spans="1:5">
      <c r="A11285" s="140"/>
      <c r="B11285" s="192"/>
      <c r="C11285" s="140"/>
      <c r="D11285" s="140"/>
      <c r="E11285" s="140"/>
    </row>
    <row r="11286" spans="1:5">
      <c r="A11286" s="140"/>
      <c r="B11286" s="192"/>
      <c r="C11286" s="140"/>
      <c r="D11286" s="140"/>
      <c r="E11286" s="140"/>
    </row>
    <row r="11287" spans="1:5">
      <c r="A11287" s="140"/>
      <c r="B11287" s="192"/>
      <c r="C11287" s="140"/>
      <c r="D11287" s="140"/>
      <c r="E11287" s="140"/>
    </row>
    <row r="11288" spans="1:5">
      <c r="A11288" s="140"/>
      <c r="B11288" s="192"/>
      <c r="C11288" s="140"/>
      <c r="D11288" s="140"/>
      <c r="E11288" s="140"/>
    </row>
    <row r="11289" spans="1:5">
      <c r="A11289" s="140"/>
      <c r="B11289" s="192"/>
      <c r="C11289" s="140"/>
      <c r="D11289" s="140"/>
      <c r="E11289" s="140"/>
    </row>
    <row r="11290" spans="1:5">
      <c r="A11290" s="140"/>
      <c r="B11290" s="192"/>
      <c r="C11290" s="140"/>
      <c r="D11290" s="140"/>
      <c r="E11290" s="140"/>
    </row>
    <row r="11291" spans="1:5">
      <c r="A11291" s="140"/>
      <c r="B11291" s="192"/>
      <c r="C11291" s="140"/>
      <c r="D11291" s="140"/>
      <c r="E11291" s="140"/>
    </row>
    <row r="11292" spans="1:5">
      <c r="A11292" s="140"/>
      <c r="B11292" s="192"/>
      <c r="C11292" s="140"/>
      <c r="D11292" s="140"/>
      <c r="E11292" s="140"/>
    </row>
    <row r="11293" spans="1:5">
      <c r="A11293" s="140"/>
      <c r="B11293" s="192"/>
      <c r="C11293" s="140"/>
      <c r="D11293" s="140"/>
      <c r="E11293" s="140"/>
    </row>
    <row r="11294" spans="1:5">
      <c r="A11294" s="140"/>
      <c r="B11294" s="192"/>
      <c r="C11294" s="140"/>
      <c r="D11294" s="140"/>
      <c r="E11294" s="140"/>
    </row>
    <row r="11295" spans="1:5">
      <c r="A11295" s="140"/>
      <c r="B11295" s="192"/>
      <c r="C11295" s="140"/>
      <c r="D11295" s="140"/>
      <c r="E11295" s="140"/>
    </row>
    <row r="11296" spans="1:5">
      <c r="A11296" s="140"/>
      <c r="B11296" s="192"/>
      <c r="C11296" s="140"/>
      <c r="D11296" s="140"/>
      <c r="E11296" s="140"/>
    </row>
    <row r="11297" spans="1:5">
      <c r="A11297" s="140"/>
      <c r="B11297" s="192"/>
      <c r="C11297" s="140"/>
      <c r="D11297" s="140"/>
      <c r="E11297" s="140"/>
    </row>
    <row r="11298" spans="1:5">
      <c r="A11298" s="140"/>
      <c r="B11298" s="192"/>
      <c r="C11298" s="140"/>
      <c r="D11298" s="140"/>
      <c r="E11298" s="140"/>
    </row>
    <row r="11299" spans="1:5">
      <c r="A11299" s="140"/>
      <c r="B11299" s="192"/>
      <c r="C11299" s="140"/>
      <c r="D11299" s="140"/>
      <c r="E11299" s="140"/>
    </row>
    <row r="11300" spans="1:5">
      <c r="A11300" s="140"/>
      <c r="B11300" s="192"/>
      <c r="C11300" s="140"/>
      <c r="D11300" s="140"/>
      <c r="E11300" s="140"/>
    </row>
    <row r="11301" spans="1:5">
      <c r="A11301" s="140"/>
      <c r="B11301" s="192"/>
      <c r="C11301" s="140"/>
      <c r="D11301" s="140"/>
      <c r="E11301" s="140"/>
    </row>
    <row r="11302" spans="1:5">
      <c r="A11302" s="140"/>
      <c r="B11302" s="192"/>
      <c r="C11302" s="140"/>
      <c r="D11302" s="140"/>
      <c r="E11302" s="140"/>
    </row>
    <row r="11303" spans="1:5">
      <c r="A11303" s="140"/>
      <c r="B11303" s="192"/>
      <c r="C11303" s="140"/>
      <c r="D11303" s="140"/>
      <c r="E11303" s="140"/>
    </row>
    <row r="11304" spans="1:5">
      <c r="A11304" s="140"/>
      <c r="B11304" s="192"/>
      <c r="C11304" s="140"/>
      <c r="D11304" s="140"/>
      <c r="E11304" s="140"/>
    </row>
    <row r="11305" spans="1:5">
      <c r="A11305" s="140"/>
      <c r="B11305" s="192"/>
      <c r="C11305" s="140"/>
      <c r="D11305" s="140"/>
      <c r="E11305" s="140"/>
    </row>
    <row r="11306" spans="1:5">
      <c r="A11306" s="140"/>
      <c r="B11306" s="192"/>
      <c r="C11306" s="140"/>
      <c r="D11306" s="140"/>
      <c r="E11306" s="140"/>
    </row>
    <row r="11307" spans="1:5">
      <c r="A11307" s="140"/>
      <c r="B11307" s="192"/>
      <c r="C11307" s="140"/>
      <c r="D11307" s="140"/>
      <c r="E11307" s="140"/>
    </row>
    <row r="11308" spans="1:5">
      <c r="A11308" s="140"/>
      <c r="B11308" s="192"/>
      <c r="C11308" s="140"/>
      <c r="D11308" s="140"/>
      <c r="E11308" s="140"/>
    </row>
    <row r="11309" spans="1:5">
      <c r="A11309" s="140"/>
      <c r="B11309" s="192"/>
      <c r="C11309" s="140"/>
      <c r="D11309" s="140"/>
      <c r="E11309" s="140"/>
    </row>
    <row r="11310" spans="1:5">
      <c r="A11310" s="140"/>
      <c r="B11310" s="192"/>
      <c r="C11310" s="140"/>
      <c r="D11310" s="140"/>
      <c r="E11310" s="140"/>
    </row>
    <row r="11311" spans="1:5">
      <c r="A11311" s="140"/>
      <c r="B11311" s="192"/>
      <c r="C11311" s="140"/>
      <c r="D11311" s="140"/>
      <c r="E11311" s="140"/>
    </row>
    <row r="11312" spans="1:5">
      <c r="A11312" s="140"/>
      <c r="B11312" s="192"/>
      <c r="C11312" s="140"/>
      <c r="D11312" s="140"/>
      <c r="E11312" s="140"/>
    </row>
    <row r="11313" spans="1:5">
      <c r="A11313" s="140"/>
      <c r="B11313" s="192"/>
      <c r="C11313" s="140"/>
      <c r="D11313" s="140"/>
      <c r="E11313" s="140"/>
    </row>
    <row r="11314" spans="1:5">
      <c r="A11314" s="140"/>
      <c r="B11314" s="192"/>
      <c r="C11314" s="140"/>
      <c r="D11314" s="140"/>
      <c r="E11314" s="140"/>
    </row>
    <row r="11315" spans="1:5">
      <c r="A11315" s="140"/>
      <c r="B11315" s="192"/>
      <c r="C11315" s="140"/>
      <c r="D11315" s="140"/>
      <c r="E11315" s="140"/>
    </row>
    <row r="11316" spans="1:5">
      <c r="A11316" s="140"/>
      <c r="B11316" s="192"/>
      <c r="C11316" s="140"/>
      <c r="D11316" s="140"/>
      <c r="E11316" s="140"/>
    </row>
    <row r="11317" spans="1:5">
      <c r="A11317" s="140"/>
      <c r="B11317" s="192"/>
      <c r="C11317" s="140"/>
      <c r="D11317" s="140"/>
      <c r="E11317" s="140"/>
    </row>
    <row r="11318" spans="1:5">
      <c r="A11318" s="140"/>
      <c r="B11318" s="192"/>
      <c r="C11318" s="140"/>
      <c r="D11318" s="140"/>
      <c r="E11318" s="140"/>
    </row>
    <row r="11319" spans="1:5">
      <c r="A11319" s="140"/>
      <c r="B11319" s="192"/>
      <c r="C11319" s="140"/>
      <c r="D11319" s="140"/>
      <c r="E11319" s="140"/>
    </row>
    <row r="11320" spans="1:5">
      <c r="A11320" s="140"/>
      <c r="B11320" s="192"/>
      <c r="C11320" s="140"/>
      <c r="D11320" s="140"/>
      <c r="E11320" s="140"/>
    </row>
    <row r="11321" spans="1:5">
      <c r="A11321" s="140"/>
      <c r="B11321" s="192"/>
      <c r="C11321" s="140"/>
      <c r="D11321" s="140"/>
      <c r="E11321" s="140"/>
    </row>
    <row r="11322" spans="1:5">
      <c r="A11322" s="140"/>
      <c r="B11322" s="192"/>
      <c r="C11322" s="140"/>
      <c r="D11322" s="140"/>
      <c r="E11322" s="140"/>
    </row>
    <row r="11323" spans="1:5">
      <c r="A11323" s="140"/>
      <c r="B11323" s="192"/>
      <c r="C11323" s="140"/>
      <c r="D11323" s="140"/>
      <c r="E11323" s="140"/>
    </row>
    <row r="11324" spans="1:5">
      <c r="A11324" s="140"/>
      <c r="B11324" s="192"/>
      <c r="C11324" s="140"/>
      <c r="D11324" s="140"/>
      <c r="E11324" s="140"/>
    </row>
    <row r="11325" spans="1:5">
      <c r="A11325" s="140"/>
      <c r="B11325" s="192"/>
      <c r="C11325" s="140"/>
      <c r="D11325" s="140"/>
      <c r="E11325" s="140"/>
    </row>
    <row r="11326" spans="1:5">
      <c r="A11326" s="140"/>
      <c r="B11326" s="192"/>
      <c r="C11326" s="140"/>
      <c r="D11326" s="140"/>
      <c r="E11326" s="140"/>
    </row>
    <row r="11327" spans="1:5">
      <c r="A11327" s="140"/>
      <c r="B11327" s="192"/>
      <c r="C11327" s="140"/>
      <c r="D11327" s="140"/>
      <c r="E11327" s="140"/>
    </row>
    <row r="11328" spans="1:5">
      <c r="A11328" s="140"/>
      <c r="B11328" s="192"/>
      <c r="C11328" s="140"/>
      <c r="D11328" s="140"/>
      <c r="E11328" s="140"/>
    </row>
    <row r="11329" spans="1:5">
      <c r="A11329" s="140"/>
      <c r="B11329" s="192"/>
      <c r="C11329" s="140"/>
      <c r="D11329" s="140"/>
      <c r="E11329" s="140"/>
    </row>
    <row r="11330" spans="1:5">
      <c r="A11330" s="140"/>
      <c r="B11330" s="192"/>
      <c r="C11330" s="140"/>
      <c r="D11330" s="140"/>
      <c r="E11330" s="140"/>
    </row>
    <row r="11331" spans="1:5">
      <c r="A11331" s="140"/>
      <c r="B11331" s="192"/>
      <c r="C11331" s="140"/>
      <c r="D11331" s="140"/>
      <c r="E11331" s="140"/>
    </row>
    <row r="11332" spans="1:5">
      <c r="A11332" s="140"/>
      <c r="B11332" s="192"/>
      <c r="C11332" s="140"/>
      <c r="D11332" s="140"/>
      <c r="E11332" s="140"/>
    </row>
    <row r="11333" spans="1:5">
      <c r="A11333" s="140"/>
      <c r="B11333" s="192"/>
      <c r="C11333" s="140"/>
      <c r="D11333" s="140"/>
      <c r="E11333" s="140"/>
    </row>
    <row r="11334" spans="1:5">
      <c r="A11334" s="140"/>
      <c r="B11334" s="192"/>
      <c r="C11334" s="140"/>
      <c r="D11334" s="140"/>
      <c r="E11334" s="140"/>
    </row>
    <row r="11335" spans="1:5">
      <c r="A11335" s="140"/>
      <c r="B11335" s="192"/>
      <c r="C11335" s="140"/>
      <c r="D11335" s="140"/>
      <c r="E11335" s="140"/>
    </row>
    <row r="11336" spans="1:5">
      <c r="A11336" s="140"/>
      <c r="B11336" s="192"/>
      <c r="C11336" s="140"/>
      <c r="D11336" s="140"/>
      <c r="E11336" s="140"/>
    </row>
    <row r="11337" spans="1:5">
      <c r="A11337" s="140"/>
      <c r="B11337" s="192"/>
      <c r="C11337" s="140"/>
      <c r="D11337" s="140"/>
      <c r="E11337" s="140"/>
    </row>
    <row r="11338" spans="1:5">
      <c r="A11338" s="140"/>
      <c r="B11338" s="192"/>
      <c r="C11338" s="140"/>
      <c r="D11338" s="140"/>
      <c r="E11338" s="140"/>
    </row>
    <row r="11339" spans="1:5">
      <c r="A11339" s="140"/>
      <c r="B11339" s="192"/>
      <c r="C11339" s="140"/>
      <c r="D11339" s="140"/>
      <c r="E11339" s="140"/>
    </row>
    <row r="11340" spans="1:5">
      <c r="A11340" s="140"/>
      <c r="B11340" s="192"/>
      <c r="C11340" s="140"/>
      <c r="D11340" s="140"/>
      <c r="E11340" s="140"/>
    </row>
    <row r="11341" spans="1:5">
      <c r="A11341" s="140"/>
      <c r="B11341" s="192"/>
      <c r="C11341" s="140"/>
      <c r="D11341" s="140"/>
      <c r="E11341" s="140"/>
    </row>
    <row r="11342" spans="1:5">
      <c r="A11342" s="140"/>
      <c r="B11342" s="192"/>
      <c r="C11342" s="140"/>
      <c r="D11342" s="140"/>
      <c r="E11342" s="140"/>
    </row>
    <row r="11343" spans="1:5">
      <c r="A11343" s="140"/>
      <c r="B11343" s="192"/>
      <c r="C11343" s="140"/>
      <c r="D11343" s="140"/>
      <c r="E11343" s="140"/>
    </row>
    <row r="11344" spans="1:5">
      <c r="A11344" s="140"/>
      <c r="B11344" s="192"/>
      <c r="C11344" s="140"/>
      <c r="D11344" s="140"/>
      <c r="E11344" s="140"/>
    </row>
    <row r="11345" spans="1:5">
      <c r="A11345" s="140"/>
      <c r="B11345" s="192"/>
      <c r="C11345" s="140"/>
      <c r="D11345" s="140"/>
      <c r="E11345" s="140"/>
    </row>
    <row r="11346" spans="1:5">
      <c r="A11346" s="140"/>
      <c r="B11346" s="192"/>
      <c r="C11346" s="140"/>
      <c r="D11346" s="140"/>
      <c r="E11346" s="140"/>
    </row>
    <row r="11347" spans="1:5">
      <c r="A11347" s="140"/>
      <c r="B11347" s="192"/>
      <c r="C11347" s="140"/>
      <c r="D11347" s="140"/>
      <c r="E11347" s="140"/>
    </row>
    <row r="11348" spans="1:5">
      <c r="A11348" s="140"/>
      <c r="B11348" s="192"/>
      <c r="C11348" s="140"/>
      <c r="D11348" s="140"/>
      <c r="E11348" s="140"/>
    </row>
    <row r="11349" spans="1:5">
      <c r="A11349" s="140"/>
      <c r="B11349" s="192"/>
      <c r="C11349" s="140"/>
      <c r="D11349" s="140"/>
      <c r="E11349" s="140"/>
    </row>
    <row r="11350" spans="1:5">
      <c r="A11350" s="140"/>
      <c r="B11350" s="192"/>
      <c r="C11350" s="140"/>
      <c r="D11350" s="140"/>
      <c r="E11350" s="140"/>
    </row>
    <row r="11351" spans="1:5">
      <c r="A11351" s="140"/>
      <c r="B11351" s="192"/>
      <c r="C11351" s="140"/>
      <c r="D11351" s="140"/>
      <c r="E11351" s="140"/>
    </row>
    <row r="11352" spans="1:5">
      <c r="A11352" s="140"/>
      <c r="B11352" s="192"/>
      <c r="C11352" s="140"/>
      <c r="D11352" s="140"/>
      <c r="E11352" s="140"/>
    </row>
    <row r="11353" spans="1:5">
      <c r="A11353" s="140"/>
      <c r="B11353" s="192"/>
      <c r="C11353" s="140"/>
      <c r="D11353" s="140"/>
      <c r="E11353" s="140"/>
    </row>
    <row r="11354" spans="1:5">
      <c r="A11354" s="140"/>
      <c r="B11354" s="192"/>
      <c r="C11354" s="140"/>
      <c r="D11354" s="140"/>
      <c r="E11354" s="140"/>
    </row>
    <row r="11355" spans="1:5">
      <c r="A11355" s="140"/>
      <c r="B11355" s="192"/>
      <c r="C11355" s="140"/>
      <c r="D11355" s="140"/>
      <c r="E11355" s="140"/>
    </row>
    <row r="11356" spans="1:5">
      <c r="A11356" s="140"/>
      <c r="B11356" s="192"/>
      <c r="C11356" s="140"/>
      <c r="D11356" s="140"/>
      <c r="E11356" s="140"/>
    </row>
    <row r="11357" spans="1:5">
      <c r="A11357" s="140"/>
      <c r="B11357" s="192"/>
      <c r="C11357" s="140"/>
      <c r="D11357" s="140"/>
      <c r="E11357" s="140"/>
    </row>
    <row r="11358" spans="1:5">
      <c r="A11358" s="140"/>
      <c r="B11358" s="192"/>
      <c r="C11358" s="140"/>
      <c r="D11358" s="140"/>
      <c r="E11358" s="140"/>
    </row>
    <row r="11359" spans="1:5">
      <c r="A11359" s="140"/>
      <c r="B11359" s="192"/>
      <c r="C11359" s="140"/>
      <c r="D11359" s="140"/>
      <c r="E11359" s="140"/>
    </row>
    <row r="11360" spans="1:5">
      <c r="A11360" s="140"/>
      <c r="B11360" s="192"/>
      <c r="C11360" s="140"/>
      <c r="D11360" s="140"/>
      <c r="E11360" s="140"/>
    </row>
    <row r="11361" spans="1:5">
      <c r="A11361" s="140"/>
      <c r="B11361" s="192"/>
      <c r="C11361" s="140"/>
      <c r="D11361" s="140"/>
      <c r="E11361" s="140"/>
    </row>
    <row r="11362" spans="1:5">
      <c r="A11362" s="140"/>
      <c r="B11362" s="192"/>
      <c r="C11362" s="140"/>
      <c r="D11362" s="140"/>
      <c r="E11362" s="140"/>
    </row>
    <row r="11363" spans="1:5">
      <c r="A11363" s="140"/>
      <c r="B11363" s="192"/>
      <c r="C11363" s="140"/>
      <c r="D11363" s="140"/>
      <c r="E11363" s="140"/>
    </row>
    <row r="11364" spans="1:5">
      <c r="A11364" s="140"/>
      <c r="B11364" s="192"/>
      <c r="C11364" s="140"/>
      <c r="D11364" s="140"/>
      <c r="E11364" s="140"/>
    </row>
    <row r="11365" spans="1:5">
      <c r="A11365" s="140"/>
      <c r="B11365" s="192"/>
      <c r="C11365" s="140"/>
      <c r="D11365" s="140"/>
      <c r="E11365" s="140"/>
    </row>
    <row r="11366" spans="1:5">
      <c r="A11366" s="140"/>
      <c r="B11366" s="192"/>
      <c r="C11366" s="140"/>
      <c r="D11366" s="140"/>
      <c r="E11366" s="140"/>
    </row>
    <row r="11367" spans="1:5">
      <c r="A11367" s="140"/>
      <c r="B11367" s="192"/>
      <c r="C11367" s="140"/>
      <c r="D11367" s="140"/>
      <c r="E11367" s="140"/>
    </row>
    <row r="11368" spans="1:5">
      <c r="A11368" s="140"/>
      <c r="B11368" s="192"/>
      <c r="C11368" s="140"/>
      <c r="D11368" s="140"/>
      <c r="E11368" s="140"/>
    </row>
    <row r="11369" spans="1:5">
      <c r="A11369" s="140"/>
      <c r="B11369" s="192"/>
      <c r="C11369" s="140"/>
      <c r="D11369" s="140"/>
      <c r="E11369" s="140"/>
    </row>
    <row r="11370" spans="1:5">
      <c r="A11370" s="140"/>
      <c r="B11370" s="192"/>
      <c r="C11370" s="140"/>
      <c r="D11370" s="140"/>
      <c r="E11370" s="140"/>
    </row>
    <row r="11371" spans="1:5">
      <c r="A11371" s="140"/>
      <c r="B11371" s="192"/>
      <c r="C11371" s="140"/>
      <c r="D11371" s="140"/>
      <c r="E11371" s="140"/>
    </row>
    <row r="11372" spans="1:5">
      <c r="A11372" s="140"/>
      <c r="B11372" s="192"/>
      <c r="C11372" s="140"/>
      <c r="D11372" s="140"/>
      <c r="E11372" s="140"/>
    </row>
    <row r="11373" spans="1:5">
      <c r="A11373" s="140"/>
      <c r="B11373" s="192"/>
      <c r="C11373" s="140"/>
      <c r="D11373" s="140"/>
      <c r="E11373" s="140"/>
    </row>
    <row r="11374" spans="1:5">
      <c r="A11374" s="140"/>
      <c r="B11374" s="192"/>
      <c r="C11374" s="140"/>
      <c r="D11374" s="140"/>
      <c r="E11374" s="140"/>
    </row>
    <row r="11375" spans="1:5">
      <c r="A11375" s="140"/>
      <c r="B11375" s="192"/>
      <c r="C11375" s="140"/>
      <c r="D11375" s="140"/>
      <c r="E11375" s="140"/>
    </row>
    <row r="11376" spans="1:5">
      <c r="A11376" s="140"/>
      <c r="B11376" s="192"/>
      <c r="C11376" s="140"/>
      <c r="D11376" s="140"/>
      <c r="E11376" s="140"/>
    </row>
    <row r="11377" spans="1:5">
      <c r="A11377" s="140"/>
      <c r="B11377" s="192"/>
      <c r="C11377" s="140"/>
      <c r="D11377" s="140"/>
      <c r="E11377" s="140"/>
    </row>
    <row r="11378" spans="1:5">
      <c r="A11378" s="140"/>
      <c r="B11378" s="192"/>
      <c r="C11378" s="140"/>
      <c r="D11378" s="140"/>
      <c r="E11378" s="140"/>
    </row>
    <row r="11379" spans="1:5">
      <c r="A11379" s="140"/>
      <c r="B11379" s="192"/>
      <c r="C11379" s="140"/>
      <c r="D11379" s="140"/>
      <c r="E11379" s="140"/>
    </row>
    <row r="11380" spans="1:5">
      <c r="A11380" s="140"/>
      <c r="B11380" s="192"/>
      <c r="C11380" s="140"/>
      <c r="D11380" s="140"/>
      <c r="E11380" s="140"/>
    </row>
    <row r="11381" spans="1:5">
      <c r="A11381" s="140"/>
      <c r="B11381" s="192"/>
      <c r="C11381" s="140"/>
      <c r="D11381" s="140"/>
      <c r="E11381" s="140"/>
    </row>
    <row r="11382" spans="1:5">
      <c r="A11382" s="140"/>
      <c r="B11382" s="192"/>
      <c r="C11382" s="140"/>
      <c r="D11382" s="140"/>
      <c r="E11382" s="140"/>
    </row>
    <row r="11383" spans="1:5">
      <c r="A11383" s="140"/>
      <c r="B11383" s="192"/>
      <c r="C11383" s="140"/>
      <c r="D11383" s="140"/>
      <c r="E11383" s="140"/>
    </row>
    <row r="11384" spans="1:5">
      <c r="A11384" s="140"/>
      <c r="B11384" s="192"/>
      <c r="C11384" s="140"/>
      <c r="D11384" s="140"/>
      <c r="E11384" s="140"/>
    </row>
    <row r="11385" spans="1:5">
      <c r="A11385" s="140"/>
      <c r="B11385" s="192"/>
      <c r="C11385" s="140"/>
      <c r="D11385" s="140"/>
      <c r="E11385" s="140"/>
    </row>
    <row r="11386" spans="1:5">
      <c r="A11386" s="140"/>
      <c r="B11386" s="192"/>
      <c r="C11386" s="140"/>
      <c r="D11386" s="140"/>
      <c r="E11386" s="140"/>
    </row>
    <row r="11387" spans="1:5">
      <c r="A11387" s="140"/>
      <c r="B11387" s="192"/>
      <c r="C11387" s="140"/>
      <c r="D11387" s="140"/>
      <c r="E11387" s="140"/>
    </row>
    <row r="11388" spans="1:5">
      <c r="A11388" s="140"/>
      <c r="B11388" s="192"/>
      <c r="C11388" s="140"/>
      <c r="D11388" s="140"/>
      <c r="E11388" s="140"/>
    </row>
    <row r="11389" spans="1:5">
      <c r="A11389" s="140"/>
      <c r="B11389" s="192"/>
      <c r="C11389" s="140"/>
      <c r="D11389" s="140"/>
      <c r="E11389" s="140"/>
    </row>
    <row r="11390" spans="1:5">
      <c r="A11390" s="140"/>
      <c r="B11390" s="192"/>
      <c r="C11390" s="140"/>
      <c r="D11390" s="140"/>
      <c r="E11390" s="140"/>
    </row>
    <row r="11391" spans="1:5">
      <c r="A11391" s="140"/>
      <c r="B11391" s="192"/>
      <c r="C11391" s="140"/>
      <c r="D11391" s="140"/>
      <c r="E11391" s="140"/>
    </row>
    <row r="11392" spans="1:5">
      <c r="A11392" s="140"/>
      <c r="B11392" s="192"/>
      <c r="C11392" s="140"/>
      <c r="D11392" s="140"/>
      <c r="E11392" s="140"/>
    </row>
    <row r="11393" spans="1:5">
      <c r="A11393" s="140"/>
      <c r="B11393" s="192"/>
      <c r="C11393" s="140"/>
      <c r="D11393" s="140"/>
      <c r="E11393" s="140"/>
    </row>
    <row r="11394" spans="1:5">
      <c r="A11394" s="140"/>
      <c r="B11394" s="192"/>
      <c r="C11394" s="140"/>
      <c r="D11394" s="140"/>
      <c r="E11394" s="140"/>
    </row>
    <row r="11395" spans="1:5">
      <c r="A11395" s="140"/>
      <c r="B11395" s="192"/>
      <c r="C11395" s="140"/>
      <c r="D11395" s="140"/>
      <c r="E11395" s="140"/>
    </row>
    <row r="11396" spans="1:5">
      <c r="A11396" s="140"/>
      <c r="B11396" s="192"/>
      <c r="C11396" s="140"/>
      <c r="D11396" s="140"/>
      <c r="E11396" s="140"/>
    </row>
    <row r="11397" spans="1:5">
      <c r="A11397" s="140"/>
      <c r="B11397" s="192"/>
      <c r="C11397" s="140"/>
      <c r="D11397" s="140"/>
      <c r="E11397" s="140"/>
    </row>
    <row r="11398" spans="1:5">
      <c r="A11398" s="140"/>
      <c r="B11398" s="192"/>
      <c r="C11398" s="140"/>
      <c r="D11398" s="140"/>
      <c r="E11398" s="140"/>
    </row>
    <row r="11399" spans="1:5">
      <c r="A11399" s="140"/>
      <c r="B11399" s="192"/>
      <c r="C11399" s="140"/>
      <c r="D11399" s="140"/>
      <c r="E11399" s="140"/>
    </row>
    <row r="11400" spans="1:5">
      <c r="A11400" s="140"/>
      <c r="B11400" s="192"/>
      <c r="C11400" s="140"/>
      <c r="D11400" s="140"/>
      <c r="E11400" s="140"/>
    </row>
    <row r="11401" spans="1:5">
      <c r="A11401" s="140"/>
      <c r="B11401" s="192"/>
      <c r="C11401" s="140"/>
      <c r="D11401" s="140"/>
      <c r="E11401" s="140"/>
    </row>
    <row r="11402" spans="1:5">
      <c r="A11402" s="140"/>
      <c r="B11402" s="192"/>
      <c r="C11402" s="140"/>
      <c r="D11402" s="140"/>
      <c r="E11402" s="140"/>
    </row>
    <row r="11403" spans="1:5">
      <c r="A11403" s="140"/>
      <c r="B11403" s="192"/>
      <c r="C11403" s="140"/>
      <c r="D11403" s="140"/>
      <c r="E11403" s="140"/>
    </row>
    <row r="11404" spans="1:5">
      <c r="A11404" s="140"/>
      <c r="B11404" s="192"/>
      <c r="C11404" s="140"/>
      <c r="D11404" s="140"/>
      <c r="E11404" s="140"/>
    </row>
    <row r="11405" spans="1:5">
      <c r="A11405" s="140"/>
      <c r="B11405" s="192"/>
      <c r="C11405" s="140"/>
      <c r="D11405" s="140"/>
      <c r="E11405" s="140"/>
    </row>
    <row r="11406" spans="1:5">
      <c r="A11406" s="140"/>
      <c r="B11406" s="192"/>
      <c r="C11406" s="140"/>
      <c r="D11406" s="140"/>
      <c r="E11406" s="140"/>
    </row>
    <row r="11407" spans="1:5">
      <c r="A11407" s="140"/>
      <c r="B11407" s="192"/>
      <c r="C11407" s="140"/>
      <c r="D11407" s="140"/>
      <c r="E11407" s="140"/>
    </row>
    <row r="11408" spans="1:5">
      <c r="A11408" s="140"/>
      <c r="B11408" s="192"/>
      <c r="C11408" s="140"/>
      <c r="D11408" s="140"/>
      <c r="E11408" s="140"/>
    </row>
    <row r="11409" spans="1:5">
      <c r="A11409" s="140"/>
      <c r="B11409" s="192"/>
      <c r="C11409" s="140"/>
      <c r="D11409" s="140"/>
      <c r="E11409" s="140"/>
    </row>
    <row r="11410" spans="1:5">
      <c r="A11410" s="140"/>
      <c r="B11410" s="192"/>
      <c r="C11410" s="140"/>
      <c r="D11410" s="140"/>
      <c r="E11410" s="140"/>
    </row>
    <row r="11411" spans="1:5">
      <c r="A11411" s="140"/>
      <c r="B11411" s="192"/>
      <c r="C11411" s="140"/>
      <c r="D11411" s="140"/>
      <c r="E11411" s="140"/>
    </row>
    <row r="11412" spans="1:5">
      <c r="A11412" s="140"/>
      <c r="B11412" s="192"/>
      <c r="C11412" s="140"/>
      <c r="D11412" s="140"/>
      <c r="E11412" s="140"/>
    </row>
    <row r="11413" spans="1:5">
      <c r="A11413" s="140"/>
      <c r="B11413" s="192"/>
      <c r="C11413" s="140"/>
      <c r="D11413" s="140"/>
      <c r="E11413" s="140"/>
    </row>
    <row r="11414" spans="1:5">
      <c r="A11414" s="140"/>
      <c r="B11414" s="192"/>
      <c r="C11414" s="140"/>
      <c r="D11414" s="140"/>
      <c r="E11414" s="140"/>
    </row>
    <row r="11415" spans="1:5">
      <c r="A11415" s="140"/>
      <c r="B11415" s="192"/>
      <c r="C11415" s="140"/>
      <c r="D11415" s="140"/>
      <c r="E11415" s="140"/>
    </row>
    <row r="11416" spans="1:5">
      <c r="A11416" s="140"/>
      <c r="B11416" s="192"/>
      <c r="C11416" s="140"/>
      <c r="D11416" s="140"/>
      <c r="E11416" s="140"/>
    </row>
    <row r="11417" spans="1:5">
      <c r="A11417" s="140"/>
      <c r="B11417" s="192"/>
      <c r="C11417" s="140"/>
      <c r="D11417" s="140"/>
      <c r="E11417" s="140"/>
    </row>
    <row r="11418" spans="1:5">
      <c r="A11418" s="140"/>
      <c r="B11418" s="192"/>
      <c r="C11418" s="140"/>
      <c r="D11418" s="140"/>
      <c r="E11418" s="140"/>
    </row>
    <row r="11419" spans="1:5">
      <c r="A11419" s="140"/>
      <c r="B11419" s="192"/>
      <c r="C11419" s="140"/>
      <c r="D11419" s="140"/>
      <c r="E11419" s="140"/>
    </row>
    <row r="11420" spans="1:5">
      <c r="A11420" s="140"/>
      <c r="B11420" s="192"/>
      <c r="C11420" s="140"/>
      <c r="D11420" s="140"/>
      <c r="E11420" s="140"/>
    </row>
    <row r="11421" spans="1:5">
      <c r="A11421" s="140"/>
      <c r="B11421" s="192"/>
      <c r="C11421" s="140"/>
      <c r="D11421" s="140"/>
      <c r="E11421" s="140"/>
    </row>
    <row r="11422" spans="1:5">
      <c r="A11422" s="140"/>
      <c r="B11422" s="192"/>
      <c r="C11422" s="140"/>
      <c r="D11422" s="140"/>
      <c r="E11422" s="140"/>
    </row>
    <row r="11423" spans="1:5">
      <c r="A11423" s="140"/>
      <c r="B11423" s="192"/>
      <c r="C11423" s="140"/>
      <c r="D11423" s="140"/>
      <c r="E11423" s="140"/>
    </row>
    <row r="11424" spans="1:5">
      <c r="A11424" s="140"/>
      <c r="B11424" s="192"/>
      <c r="C11424" s="140"/>
      <c r="D11424" s="140"/>
      <c r="E11424" s="140"/>
    </row>
    <row r="11425" spans="1:5">
      <c r="A11425" s="140"/>
      <c r="B11425" s="192"/>
      <c r="C11425" s="140"/>
      <c r="D11425" s="140"/>
      <c r="E11425" s="140"/>
    </row>
    <row r="11426" spans="1:5">
      <c r="A11426" s="140"/>
      <c r="B11426" s="192"/>
      <c r="C11426" s="140"/>
      <c r="D11426" s="140"/>
      <c r="E11426" s="140"/>
    </row>
    <row r="11427" spans="1:5">
      <c r="A11427" s="140"/>
      <c r="B11427" s="192"/>
      <c r="C11427" s="140"/>
      <c r="D11427" s="140"/>
      <c r="E11427" s="140"/>
    </row>
    <row r="11428" spans="1:5">
      <c r="A11428" s="140"/>
      <c r="B11428" s="192"/>
      <c r="C11428" s="140"/>
      <c r="D11428" s="140"/>
      <c r="E11428" s="140"/>
    </row>
    <row r="11429" spans="1:5">
      <c r="A11429" s="140"/>
      <c r="B11429" s="192"/>
      <c r="C11429" s="140"/>
      <c r="D11429" s="140"/>
      <c r="E11429" s="140"/>
    </row>
    <row r="11430" spans="1:5">
      <c r="A11430" s="140"/>
      <c r="B11430" s="192"/>
      <c r="C11430" s="140"/>
      <c r="D11430" s="140"/>
      <c r="E11430" s="140"/>
    </row>
    <row r="11431" spans="1:5">
      <c r="A11431" s="140"/>
      <c r="B11431" s="192"/>
      <c r="C11431" s="140"/>
      <c r="D11431" s="140"/>
      <c r="E11431" s="140"/>
    </row>
    <row r="11432" spans="1:5">
      <c r="A11432" s="140"/>
      <c r="B11432" s="192"/>
      <c r="C11432" s="140"/>
      <c r="D11432" s="140"/>
      <c r="E11432" s="140"/>
    </row>
    <row r="11433" spans="1:5">
      <c r="A11433" s="140"/>
      <c r="B11433" s="192"/>
      <c r="C11433" s="140"/>
      <c r="D11433" s="140"/>
      <c r="E11433" s="140"/>
    </row>
    <row r="11434" spans="1:5">
      <c r="A11434" s="140"/>
      <c r="B11434" s="192"/>
      <c r="C11434" s="140"/>
      <c r="D11434" s="140"/>
      <c r="E11434" s="140"/>
    </row>
    <row r="11435" spans="1:5">
      <c r="A11435" s="140"/>
      <c r="B11435" s="192"/>
      <c r="C11435" s="140"/>
      <c r="D11435" s="140"/>
      <c r="E11435" s="140"/>
    </row>
    <row r="11436" spans="1:5">
      <c r="A11436" s="140"/>
      <c r="B11436" s="192"/>
      <c r="C11436" s="140"/>
      <c r="D11436" s="140"/>
      <c r="E11436" s="140"/>
    </row>
    <row r="11437" spans="1:5">
      <c r="A11437" s="140"/>
      <c r="B11437" s="192"/>
      <c r="C11437" s="140"/>
      <c r="D11437" s="140"/>
      <c r="E11437" s="140"/>
    </row>
    <row r="11438" spans="1:5">
      <c r="A11438" s="140"/>
      <c r="B11438" s="192"/>
      <c r="C11438" s="140"/>
      <c r="D11438" s="140"/>
      <c r="E11438" s="140"/>
    </row>
    <row r="11439" spans="1:5">
      <c r="A11439" s="140"/>
      <c r="B11439" s="192"/>
      <c r="C11439" s="140"/>
      <c r="D11439" s="140"/>
      <c r="E11439" s="140"/>
    </row>
    <row r="11440" spans="1:5">
      <c r="A11440" s="140"/>
      <c r="B11440" s="192"/>
      <c r="C11440" s="140"/>
      <c r="D11440" s="140"/>
      <c r="E11440" s="140"/>
    </row>
    <row r="11441" spans="1:5">
      <c r="A11441" s="140"/>
      <c r="B11441" s="192"/>
      <c r="C11441" s="140"/>
      <c r="D11441" s="140"/>
      <c r="E11441" s="140"/>
    </row>
    <row r="11442" spans="1:5">
      <c r="A11442" s="140"/>
      <c r="B11442" s="192"/>
      <c r="C11442" s="140"/>
      <c r="D11442" s="140"/>
      <c r="E11442" s="140"/>
    </row>
    <row r="11443" spans="1:5">
      <c r="A11443" s="140"/>
      <c r="B11443" s="192"/>
      <c r="C11443" s="140"/>
      <c r="D11443" s="140"/>
      <c r="E11443" s="140"/>
    </row>
    <row r="11444" spans="1:5">
      <c r="A11444" s="140"/>
      <c r="B11444" s="192"/>
      <c r="C11444" s="140"/>
      <c r="D11444" s="140"/>
      <c r="E11444" s="140"/>
    </row>
    <row r="11445" spans="1:5">
      <c r="A11445" s="140"/>
      <c r="B11445" s="192"/>
      <c r="C11445" s="140"/>
      <c r="D11445" s="140"/>
      <c r="E11445" s="140"/>
    </row>
    <row r="11446" spans="1:5">
      <c r="A11446" s="140"/>
      <c r="B11446" s="192"/>
      <c r="C11446" s="140"/>
      <c r="D11446" s="140"/>
      <c r="E11446" s="140"/>
    </row>
    <row r="11447" spans="1:5">
      <c r="A11447" s="140"/>
      <c r="B11447" s="192"/>
      <c r="C11447" s="140"/>
      <c r="D11447" s="140"/>
      <c r="E11447" s="140"/>
    </row>
    <row r="11448" spans="1:5">
      <c r="A11448" s="140"/>
      <c r="B11448" s="192"/>
      <c r="C11448" s="140"/>
      <c r="D11448" s="140"/>
      <c r="E11448" s="140"/>
    </row>
    <row r="11449" spans="1:5">
      <c r="A11449" s="140"/>
      <c r="B11449" s="192"/>
      <c r="C11449" s="140"/>
      <c r="D11449" s="140"/>
      <c r="E11449" s="140"/>
    </row>
    <row r="11450" spans="1:5">
      <c r="A11450" s="140"/>
      <c r="B11450" s="192"/>
      <c r="C11450" s="140"/>
      <c r="D11450" s="140"/>
      <c r="E11450" s="140"/>
    </row>
    <row r="11451" spans="1:5">
      <c r="A11451" s="140"/>
      <c r="B11451" s="192"/>
      <c r="C11451" s="140"/>
      <c r="D11451" s="140"/>
      <c r="E11451" s="140"/>
    </row>
    <row r="11452" spans="1:5">
      <c r="A11452" s="140"/>
      <c r="B11452" s="192"/>
      <c r="C11452" s="140"/>
      <c r="D11452" s="140"/>
      <c r="E11452" s="140"/>
    </row>
    <row r="11453" spans="1:5">
      <c r="A11453" s="140"/>
      <c r="B11453" s="192"/>
      <c r="C11453" s="140"/>
      <c r="D11453" s="140"/>
      <c r="E11453" s="140"/>
    </row>
    <row r="11454" spans="1:5">
      <c r="A11454" s="140"/>
      <c r="B11454" s="192"/>
      <c r="C11454" s="140"/>
      <c r="D11454" s="140"/>
      <c r="E11454" s="140"/>
    </row>
    <row r="11455" spans="1:5">
      <c r="A11455" s="140"/>
      <c r="B11455" s="192"/>
      <c r="C11455" s="140"/>
      <c r="D11455" s="140"/>
      <c r="E11455" s="140"/>
    </row>
    <row r="11456" spans="1:5">
      <c r="A11456" s="140"/>
      <c r="B11456" s="192"/>
      <c r="C11456" s="140"/>
      <c r="D11456" s="140"/>
      <c r="E11456" s="140"/>
    </row>
    <row r="11457" spans="1:5">
      <c r="A11457" s="140"/>
      <c r="B11457" s="192"/>
      <c r="C11457" s="140"/>
      <c r="D11457" s="140"/>
      <c r="E11457" s="140"/>
    </row>
    <row r="11458" spans="1:5">
      <c r="A11458" s="140"/>
      <c r="B11458" s="192"/>
      <c r="C11458" s="140"/>
      <c r="D11458" s="140"/>
      <c r="E11458" s="140"/>
    </row>
    <row r="11459" spans="1:5">
      <c r="A11459" s="140"/>
      <c r="B11459" s="192"/>
      <c r="C11459" s="140"/>
      <c r="D11459" s="140"/>
      <c r="E11459" s="140"/>
    </row>
    <row r="11460" spans="1:5">
      <c r="A11460" s="140"/>
      <c r="B11460" s="192"/>
      <c r="C11460" s="140"/>
      <c r="D11460" s="140"/>
      <c r="E11460" s="140"/>
    </row>
    <row r="11461" spans="1:5">
      <c r="A11461" s="140"/>
      <c r="B11461" s="192"/>
      <c r="C11461" s="140"/>
      <c r="D11461" s="140"/>
      <c r="E11461" s="140"/>
    </row>
    <row r="11462" spans="1:5">
      <c r="A11462" s="140"/>
      <c r="B11462" s="192"/>
      <c r="C11462" s="140"/>
      <c r="D11462" s="140"/>
      <c r="E11462" s="140"/>
    </row>
    <row r="11463" spans="1:5">
      <c r="A11463" s="140"/>
      <c r="B11463" s="192"/>
      <c r="C11463" s="140"/>
      <c r="D11463" s="140"/>
      <c r="E11463" s="140"/>
    </row>
    <row r="11464" spans="1:5">
      <c r="A11464" s="140"/>
      <c r="B11464" s="192"/>
      <c r="C11464" s="140"/>
      <c r="D11464" s="140"/>
      <c r="E11464" s="140"/>
    </row>
    <row r="11465" spans="1:5">
      <c r="A11465" s="140"/>
      <c r="B11465" s="192"/>
      <c r="C11465" s="140"/>
      <c r="D11465" s="140"/>
      <c r="E11465" s="140"/>
    </row>
    <row r="11466" spans="1:5">
      <c r="A11466" s="140"/>
      <c r="B11466" s="192"/>
      <c r="C11466" s="140"/>
      <c r="D11466" s="140"/>
      <c r="E11466" s="140"/>
    </row>
    <row r="11467" spans="1:5">
      <c r="A11467" s="140"/>
      <c r="B11467" s="192"/>
      <c r="C11467" s="140"/>
      <c r="D11467" s="140"/>
      <c r="E11467" s="140"/>
    </row>
    <row r="11468" spans="1:5">
      <c r="A11468" s="140"/>
      <c r="B11468" s="192"/>
      <c r="C11468" s="140"/>
      <c r="D11468" s="140"/>
      <c r="E11468" s="140"/>
    </row>
    <row r="11469" spans="1:5">
      <c r="A11469" s="140"/>
      <c r="B11469" s="192"/>
      <c r="C11469" s="140"/>
      <c r="D11469" s="140"/>
      <c r="E11469" s="140"/>
    </row>
    <row r="11470" spans="1:5">
      <c r="A11470" s="140"/>
      <c r="B11470" s="192"/>
      <c r="C11470" s="140"/>
      <c r="D11470" s="140"/>
      <c r="E11470" s="140"/>
    </row>
    <row r="11471" spans="1:5">
      <c r="A11471" s="140"/>
      <c r="B11471" s="192"/>
      <c r="C11471" s="140"/>
      <c r="D11471" s="140"/>
      <c r="E11471" s="140"/>
    </row>
    <row r="11472" spans="1:5">
      <c r="A11472" s="140"/>
      <c r="B11472" s="192"/>
      <c r="C11472" s="140"/>
      <c r="D11472" s="140"/>
      <c r="E11472" s="140"/>
    </row>
    <row r="11473" spans="1:5">
      <c r="A11473" s="140"/>
      <c r="B11473" s="192"/>
      <c r="C11473" s="140"/>
      <c r="D11473" s="140"/>
      <c r="E11473" s="140"/>
    </row>
    <row r="11474" spans="1:5">
      <c r="A11474" s="140"/>
      <c r="B11474" s="192"/>
      <c r="C11474" s="140"/>
      <c r="D11474" s="140"/>
      <c r="E11474" s="140"/>
    </row>
    <row r="11475" spans="1:5">
      <c r="A11475" s="140"/>
      <c r="B11475" s="192"/>
      <c r="C11475" s="140"/>
      <c r="D11475" s="140"/>
      <c r="E11475" s="140"/>
    </row>
    <row r="11476" spans="1:5">
      <c r="A11476" s="140"/>
      <c r="B11476" s="192"/>
      <c r="C11476" s="140"/>
      <c r="D11476" s="140"/>
      <c r="E11476" s="140"/>
    </row>
    <row r="11477" spans="1:5">
      <c r="A11477" s="140"/>
      <c r="B11477" s="192"/>
      <c r="C11477" s="140"/>
      <c r="D11477" s="140"/>
      <c r="E11477" s="140"/>
    </row>
    <row r="11478" spans="1:5">
      <c r="A11478" s="140"/>
      <c r="B11478" s="192"/>
      <c r="C11478" s="140"/>
      <c r="D11478" s="140"/>
      <c r="E11478" s="140"/>
    </row>
    <row r="11479" spans="1:5">
      <c r="A11479" s="140"/>
      <c r="B11479" s="192"/>
      <c r="C11479" s="140"/>
      <c r="D11479" s="140"/>
      <c r="E11479" s="140"/>
    </row>
    <row r="11480" spans="1:5">
      <c r="A11480" s="140"/>
      <c r="B11480" s="192"/>
      <c r="C11480" s="140"/>
      <c r="D11480" s="140"/>
      <c r="E11480" s="140"/>
    </row>
    <row r="11481" spans="1:5">
      <c r="A11481" s="140"/>
      <c r="B11481" s="192"/>
      <c r="C11481" s="140"/>
      <c r="D11481" s="140"/>
      <c r="E11481" s="140"/>
    </row>
    <row r="11482" spans="1:5">
      <c r="A11482" s="140"/>
      <c r="B11482" s="192"/>
      <c r="C11482" s="140"/>
      <c r="D11482" s="140"/>
      <c r="E11482" s="140"/>
    </row>
    <row r="11483" spans="1:5">
      <c r="A11483" s="140"/>
      <c r="B11483" s="192"/>
      <c r="C11483" s="140"/>
      <c r="D11483" s="140"/>
      <c r="E11483" s="140"/>
    </row>
    <row r="11484" spans="1:5">
      <c r="A11484" s="140"/>
      <c r="B11484" s="192"/>
      <c r="C11484" s="140"/>
      <c r="D11484" s="140"/>
      <c r="E11484" s="140"/>
    </row>
    <row r="11485" spans="1:5">
      <c r="A11485" s="140"/>
      <c r="B11485" s="192"/>
      <c r="C11485" s="140"/>
      <c r="D11485" s="140"/>
      <c r="E11485" s="140"/>
    </row>
    <row r="11486" spans="1:5">
      <c r="A11486" s="140"/>
      <c r="B11486" s="192"/>
      <c r="C11486" s="140"/>
      <c r="D11486" s="140"/>
      <c r="E11486" s="140"/>
    </row>
    <row r="11487" spans="1:5">
      <c r="A11487" s="140"/>
      <c r="B11487" s="192"/>
      <c r="C11487" s="140"/>
      <c r="D11487" s="140"/>
      <c r="E11487" s="140"/>
    </row>
    <row r="11488" spans="1:5">
      <c r="A11488" s="140"/>
      <c r="B11488" s="192"/>
      <c r="C11488" s="140"/>
      <c r="D11488" s="140"/>
      <c r="E11488" s="140"/>
    </row>
    <row r="11489" spans="1:5">
      <c r="A11489" s="140"/>
      <c r="B11489" s="192"/>
      <c r="C11489" s="140"/>
      <c r="D11489" s="140"/>
      <c r="E11489" s="140"/>
    </row>
    <row r="11490" spans="1:5">
      <c r="A11490" s="140"/>
      <c r="B11490" s="192"/>
      <c r="C11490" s="140"/>
      <c r="D11490" s="140"/>
      <c r="E11490" s="140"/>
    </row>
    <row r="11491" spans="1:5">
      <c r="A11491" s="140"/>
      <c r="B11491" s="192"/>
      <c r="C11491" s="140"/>
      <c r="D11491" s="140"/>
      <c r="E11491" s="140"/>
    </row>
    <row r="11492" spans="1:5">
      <c r="A11492" s="140"/>
      <c r="B11492" s="192"/>
      <c r="C11492" s="140"/>
      <c r="D11492" s="140"/>
      <c r="E11492" s="140"/>
    </row>
    <row r="11493" spans="1:5">
      <c r="A11493" s="140"/>
      <c r="B11493" s="192"/>
      <c r="C11493" s="140"/>
      <c r="D11493" s="140"/>
      <c r="E11493" s="140"/>
    </row>
    <row r="11494" spans="1:5">
      <c r="A11494" s="140"/>
      <c r="B11494" s="192"/>
      <c r="C11494" s="140"/>
      <c r="D11494" s="140"/>
      <c r="E11494" s="140"/>
    </row>
    <row r="11495" spans="1:5">
      <c r="A11495" s="140"/>
      <c r="B11495" s="192"/>
      <c r="C11495" s="140"/>
      <c r="D11495" s="140"/>
      <c r="E11495" s="140"/>
    </row>
    <row r="11496" spans="1:5">
      <c r="A11496" s="140"/>
      <c r="B11496" s="192"/>
      <c r="C11496" s="140"/>
      <c r="D11496" s="140"/>
      <c r="E11496" s="140"/>
    </row>
    <row r="11497" spans="1:5">
      <c r="A11497" s="140"/>
      <c r="B11497" s="192"/>
      <c r="C11497" s="140"/>
      <c r="D11497" s="140"/>
      <c r="E11497" s="140"/>
    </row>
    <row r="11498" spans="1:5">
      <c r="A11498" s="140"/>
      <c r="B11498" s="192"/>
      <c r="C11498" s="140"/>
      <c r="D11498" s="140"/>
      <c r="E11498" s="140"/>
    </row>
    <row r="11499" spans="1:5">
      <c r="A11499" s="140"/>
      <c r="B11499" s="192"/>
      <c r="C11499" s="140"/>
      <c r="D11499" s="140"/>
      <c r="E11499" s="140"/>
    </row>
    <row r="11500" spans="1:5">
      <c r="A11500" s="140"/>
      <c r="B11500" s="192"/>
      <c r="C11500" s="140"/>
      <c r="D11500" s="140"/>
      <c r="E11500" s="140"/>
    </row>
    <row r="11501" spans="1:5">
      <c r="A11501" s="140"/>
      <c r="B11501" s="192"/>
      <c r="C11501" s="140"/>
      <c r="D11501" s="140"/>
      <c r="E11501" s="140"/>
    </row>
    <row r="11502" spans="1:5">
      <c r="A11502" s="140"/>
      <c r="B11502" s="192"/>
      <c r="C11502" s="140"/>
      <c r="D11502" s="140"/>
      <c r="E11502" s="140"/>
    </row>
    <row r="11503" spans="1:5">
      <c r="A11503" s="140"/>
      <c r="B11503" s="192"/>
      <c r="C11503" s="140"/>
      <c r="D11503" s="140"/>
      <c r="E11503" s="140"/>
    </row>
    <row r="11504" spans="1:5">
      <c r="A11504" s="140"/>
      <c r="B11504" s="192"/>
      <c r="C11504" s="140"/>
      <c r="D11504" s="140"/>
      <c r="E11504" s="140"/>
    </row>
    <row r="11505" spans="1:5">
      <c r="A11505" s="140"/>
      <c r="B11505" s="192"/>
      <c r="C11505" s="140"/>
      <c r="D11505" s="140"/>
      <c r="E11505" s="140"/>
    </row>
    <row r="11506" spans="1:5">
      <c r="A11506" s="140"/>
      <c r="B11506" s="192"/>
      <c r="C11506" s="140"/>
      <c r="D11506" s="140"/>
      <c r="E11506" s="140"/>
    </row>
    <row r="11507" spans="1:5">
      <c r="A11507" s="140"/>
      <c r="B11507" s="192"/>
      <c r="C11507" s="140"/>
      <c r="D11507" s="140"/>
      <c r="E11507" s="140"/>
    </row>
    <row r="11508" spans="1:5">
      <c r="A11508" s="140"/>
      <c r="B11508" s="192"/>
      <c r="C11508" s="140"/>
      <c r="D11508" s="140"/>
      <c r="E11508" s="140"/>
    </row>
    <row r="11509" spans="1:5">
      <c r="A11509" s="140"/>
      <c r="B11509" s="192"/>
      <c r="C11509" s="140"/>
      <c r="D11509" s="140"/>
      <c r="E11509" s="140"/>
    </row>
    <row r="11510" spans="1:5">
      <c r="A11510" s="140"/>
      <c r="B11510" s="192"/>
      <c r="C11510" s="140"/>
      <c r="D11510" s="140"/>
      <c r="E11510" s="140"/>
    </row>
    <row r="11511" spans="1:5">
      <c r="A11511" s="140"/>
      <c r="B11511" s="192"/>
      <c r="C11511" s="140"/>
      <c r="D11511" s="140"/>
      <c r="E11511" s="140"/>
    </row>
    <row r="11512" spans="1:5">
      <c r="A11512" s="140"/>
      <c r="B11512" s="192"/>
      <c r="C11512" s="140"/>
      <c r="D11512" s="140"/>
      <c r="E11512" s="140"/>
    </row>
    <row r="11513" spans="1:5">
      <c r="A11513" s="140"/>
      <c r="B11513" s="192"/>
      <c r="C11513" s="140"/>
      <c r="D11513" s="140"/>
      <c r="E11513" s="140"/>
    </row>
    <row r="11514" spans="1:5">
      <c r="A11514" s="140"/>
      <c r="B11514" s="192"/>
      <c r="C11514" s="140"/>
      <c r="D11514" s="140"/>
      <c r="E11514" s="140"/>
    </row>
    <row r="11515" spans="1:5">
      <c r="A11515" s="140"/>
      <c r="B11515" s="192"/>
      <c r="C11515" s="140"/>
      <c r="D11515" s="140"/>
      <c r="E11515" s="140"/>
    </row>
    <row r="11516" spans="1:5">
      <c r="A11516" s="140"/>
      <c r="B11516" s="192"/>
      <c r="C11516" s="140"/>
      <c r="D11516" s="140"/>
      <c r="E11516" s="140"/>
    </row>
    <row r="11517" spans="1:5">
      <c r="A11517" s="140"/>
      <c r="B11517" s="192"/>
      <c r="C11517" s="140"/>
      <c r="D11517" s="140"/>
      <c r="E11517" s="140"/>
    </row>
    <row r="11518" spans="1:5">
      <c r="A11518" s="140"/>
      <c r="B11518" s="192"/>
      <c r="C11518" s="140"/>
      <c r="D11518" s="140"/>
      <c r="E11518" s="140"/>
    </row>
    <row r="11519" spans="1:5">
      <c r="A11519" s="140"/>
      <c r="B11519" s="192"/>
      <c r="C11519" s="140"/>
      <c r="D11519" s="140"/>
      <c r="E11519" s="140"/>
    </row>
    <row r="11520" spans="1:5">
      <c r="A11520" s="140"/>
      <c r="B11520" s="192"/>
      <c r="C11520" s="140"/>
      <c r="D11520" s="140"/>
      <c r="E11520" s="140"/>
    </row>
    <row r="11521" spans="1:5">
      <c r="A11521" s="140"/>
      <c r="B11521" s="192"/>
      <c r="C11521" s="140"/>
      <c r="D11521" s="140"/>
      <c r="E11521" s="140"/>
    </row>
    <row r="11522" spans="1:5">
      <c r="A11522" s="140"/>
      <c r="B11522" s="192"/>
      <c r="C11522" s="140"/>
      <c r="D11522" s="140"/>
      <c r="E11522" s="140"/>
    </row>
    <row r="11523" spans="1:5">
      <c r="A11523" s="140"/>
      <c r="B11523" s="192"/>
      <c r="C11523" s="140"/>
      <c r="D11523" s="140"/>
      <c r="E11523" s="140"/>
    </row>
    <row r="11524" spans="1:5">
      <c r="A11524" s="140"/>
      <c r="B11524" s="192"/>
      <c r="C11524" s="140"/>
      <c r="D11524" s="140"/>
      <c r="E11524" s="140"/>
    </row>
    <row r="11525" spans="1:5">
      <c r="A11525" s="140"/>
      <c r="B11525" s="192"/>
      <c r="C11525" s="140"/>
      <c r="D11525" s="140"/>
      <c r="E11525" s="140"/>
    </row>
    <row r="11526" spans="1:5">
      <c r="A11526" s="140"/>
      <c r="B11526" s="192"/>
      <c r="C11526" s="140"/>
      <c r="D11526" s="140"/>
      <c r="E11526" s="140"/>
    </row>
    <row r="11527" spans="1:5">
      <c r="A11527" s="140"/>
      <c r="B11527" s="192"/>
      <c r="C11527" s="140"/>
      <c r="D11527" s="140"/>
      <c r="E11527" s="140"/>
    </row>
    <row r="11528" spans="1:5">
      <c r="A11528" s="140"/>
      <c r="B11528" s="192"/>
      <c r="C11528" s="140"/>
      <c r="D11528" s="140"/>
      <c r="E11528" s="140"/>
    </row>
    <row r="11529" spans="1:5">
      <c r="A11529" s="140"/>
      <c r="B11529" s="192"/>
      <c r="C11529" s="140"/>
      <c r="D11529" s="140"/>
      <c r="E11529" s="140"/>
    </row>
    <row r="11530" spans="1:5">
      <c r="A11530" s="140"/>
      <c r="B11530" s="192"/>
      <c r="C11530" s="140"/>
      <c r="D11530" s="140"/>
      <c r="E11530" s="140"/>
    </row>
    <row r="11531" spans="1:5">
      <c r="A11531" s="140"/>
      <c r="B11531" s="192"/>
      <c r="C11531" s="140"/>
      <c r="D11531" s="140"/>
      <c r="E11531" s="140"/>
    </row>
    <row r="11532" spans="1:5">
      <c r="A11532" s="140"/>
      <c r="B11532" s="192"/>
      <c r="C11532" s="140"/>
      <c r="D11532" s="140"/>
      <c r="E11532" s="140"/>
    </row>
    <row r="11533" spans="1:5">
      <c r="A11533" s="140"/>
      <c r="B11533" s="192"/>
      <c r="C11533" s="140"/>
      <c r="D11533" s="140"/>
      <c r="E11533" s="140"/>
    </row>
    <row r="11534" spans="1:5">
      <c r="A11534" s="140"/>
      <c r="B11534" s="192"/>
      <c r="C11534" s="140"/>
      <c r="D11534" s="140"/>
      <c r="E11534" s="140"/>
    </row>
    <row r="11535" spans="1:5">
      <c r="A11535" s="140"/>
      <c r="B11535" s="192"/>
      <c r="C11535" s="140"/>
      <c r="D11535" s="140"/>
      <c r="E11535" s="140"/>
    </row>
    <row r="11536" spans="1:5">
      <c r="A11536" s="140"/>
      <c r="B11536" s="192"/>
      <c r="C11536" s="140"/>
      <c r="D11536" s="140"/>
      <c r="E11536" s="140"/>
    </row>
    <row r="11537" spans="1:5">
      <c r="A11537" s="140"/>
      <c r="B11537" s="192"/>
      <c r="C11537" s="140"/>
      <c r="D11537" s="140"/>
      <c r="E11537" s="140"/>
    </row>
    <row r="11538" spans="1:5">
      <c r="A11538" s="140"/>
      <c r="B11538" s="192"/>
      <c r="C11538" s="140"/>
      <c r="D11538" s="140"/>
      <c r="E11538" s="140"/>
    </row>
    <row r="11539" spans="1:5">
      <c r="A11539" s="140"/>
      <c r="B11539" s="192"/>
      <c r="C11539" s="140"/>
      <c r="D11539" s="140"/>
      <c r="E11539" s="140"/>
    </row>
    <row r="11540" spans="1:5">
      <c r="A11540" s="140"/>
      <c r="B11540" s="192"/>
      <c r="C11540" s="140"/>
      <c r="D11540" s="140"/>
      <c r="E11540" s="140"/>
    </row>
    <row r="11541" spans="1:5">
      <c r="A11541" s="140"/>
      <c r="B11541" s="192"/>
      <c r="C11541" s="140"/>
      <c r="D11541" s="140"/>
      <c r="E11541" s="140"/>
    </row>
    <row r="11542" spans="1:5">
      <c r="A11542" s="140"/>
      <c r="B11542" s="192"/>
      <c r="C11542" s="140"/>
      <c r="D11542" s="140"/>
      <c r="E11542" s="140"/>
    </row>
    <row r="11543" spans="1:5">
      <c r="A11543" s="140"/>
      <c r="B11543" s="192"/>
      <c r="C11543" s="140"/>
      <c r="D11543" s="140"/>
      <c r="E11543" s="140"/>
    </row>
    <row r="11544" spans="1:5">
      <c r="A11544" s="140"/>
      <c r="B11544" s="192"/>
      <c r="C11544" s="140"/>
      <c r="D11544" s="140"/>
      <c r="E11544" s="140"/>
    </row>
    <row r="11545" spans="1:5">
      <c r="A11545" s="140"/>
      <c r="B11545" s="192"/>
      <c r="C11545" s="140"/>
      <c r="D11545" s="140"/>
      <c r="E11545" s="140"/>
    </row>
    <row r="11546" spans="1:5">
      <c r="A11546" s="140"/>
      <c r="B11546" s="192"/>
      <c r="C11546" s="140"/>
      <c r="D11546" s="140"/>
      <c r="E11546" s="140"/>
    </row>
    <row r="11547" spans="1:5">
      <c r="A11547" s="140"/>
      <c r="B11547" s="192"/>
      <c r="C11547" s="140"/>
      <c r="D11547" s="140"/>
      <c r="E11547" s="140"/>
    </row>
    <row r="11548" spans="1:5">
      <c r="A11548" s="140"/>
      <c r="B11548" s="192"/>
      <c r="C11548" s="140"/>
      <c r="D11548" s="140"/>
      <c r="E11548" s="140"/>
    </row>
    <row r="11549" spans="1:5">
      <c r="A11549" s="140"/>
      <c r="B11549" s="192"/>
      <c r="C11549" s="140"/>
      <c r="D11549" s="140"/>
      <c r="E11549" s="140"/>
    </row>
    <row r="11550" spans="1:5">
      <c r="A11550" s="140"/>
      <c r="B11550" s="192"/>
      <c r="C11550" s="140"/>
      <c r="D11550" s="140"/>
      <c r="E11550" s="140"/>
    </row>
    <row r="11551" spans="1:5">
      <c r="A11551" s="140"/>
      <c r="B11551" s="192"/>
      <c r="C11551" s="140"/>
      <c r="D11551" s="140"/>
      <c r="E11551" s="140"/>
    </row>
    <row r="11552" spans="1:5">
      <c r="A11552" s="140"/>
      <c r="B11552" s="192"/>
      <c r="C11552" s="140"/>
      <c r="D11552" s="140"/>
      <c r="E11552" s="140"/>
    </row>
    <row r="11553" spans="1:5">
      <c r="A11553" s="140"/>
      <c r="B11553" s="192"/>
      <c r="C11553" s="140"/>
      <c r="D11553" s="140"/>
      <c r="E11553" s="140"/>
    </row>
    <row r="11554" spans="1:5">
      <c r="A11554" s="140"/>
      <c r="B11554" s="192"/>
      <c r="C11554" s="140"/>
      <c r="D11554" s="140"/>
      <c r="E11554" s="140"/>
    </row>
    <row r="11555" spans="1:5">
      <c r="A11555" s="140"/>
      <c r="B11555" s="192"/>
      <c r="C11555" s="140"/>
      <c r="D11555" s="140"/>
      <c r="E11555" s="140"/>
    </row>
    <row r="11556" spans="1:5">
      <c r="A11556" s="140"/>
      <c r="B11556" s="192"/>
      <c r="C11556" s="140"/>
      <c r="D11556" s="140"/>
      <c r="E11556" s="140"/>
    </row>
    <row r="11557" spans="1:5">
      <c r="A11557" s="140"/>
      <c r="B11557" s="192"/>
      <c r="C11557" s="140"/>
      <c r="D11557" s="140"/>
      <c r="E11557" s="140"/>
    </row>
    <row r="11558" spans="1:5">
      <c r="A11558" s="140"/>
      <c r="B11558" s="192"/>
      <c r="C11558" s="140"/>
      <c r="D11558" s="140"/>
      <c r="E11558" s="140"/>
    </row>
    <row r="11559" spans="1:5">
      <c r="A11559" s="140"/>
      <c r="B11559" s="192"/>
      <c r="C11559" s="140"/>
      <c r="D11559" s="140"/>
      <c r="E11559" s="140"/>
    </row>
    <row r="11560" spans="1:5">
      <c r="A11560" s="140"/>
      <c r="B11560" s="192"/>
      <c r="C11560" s="140"/>
      <c r="D11560" s="140"/>
      <c r="E11560" s="140"/>
    </row>
    <row r="11561" spans="1:5">
      <c r="A11561" s="140"/>
      <c r="B11561" s="192"/>
      <c r="C11561" s="140"/>
      <c r="D11561" s="140"/>
      <c r="E11561" s="140"/>
    </row>
    <row r="11562" spans="1:5">
      <c r="A11562" s="140"/>
      <c r="B11562" s="192"/>
      <c r="C11562" s="140"/>
      <c r="D11562" s="140"/>
      <c r="E11562" s="140"/>
    </row>
    <row r="11563" spans="1:5">
      <c r="A11563" s="140"/>
      <c r="B11563" s="192"/>
      <c r="C11563" s="140"/>
      <c r="D11563" s="140"/>
      <c r="E11563" s="140"/>
    </row>
    <row r="11564" spans="1:5">
      <c r="A11564" s="140"/>
      <c r="B11564" s="192"/>
      <c r="C11564" s="140"/>
      <c r="D11564" s="140"/>
      <c r="E11564" s="140"/>
    </row>
    <row r="11565" spans="1:5">
      <c r="A11565" s="140"/>
      <c r="B11565" s="192"/>
      <c r="C11565" s="140"/>
      <c r="D11565" s="140"/>
      <c r="E11565" s="140"/>
    </row>
    <row r="11566" spans="1:5">
      <c r="A11566" s="140"/>
      <c r="B11566" s="192"/>
      <c r="C11566" s="140"/>
      <c r="D11566" s="140"/>
      <c r="E11566" s="140"/>
    </row>
    <row r="11567" spans="1:5">
      <c r="A11567" s="140"/>
      <c r="B11567" s="192"/>
      <c r="C11567" s="140"/>
      <c r="D11567" s="140"/>
      <c r="E11567" s="140"/>
    </row>
    <row r="11568" spans="1:5">
      <c r="A11568" s="140"/>
      <c r="B11568" s="192"/>
      <c r="C11568" s="140"/>
      <c r="D11568" s="140"/>
      <c r="E11568" s="140"/>
    </row>
    <row r="11569" spans="1:5">
      <c r="A11569" s="140"/>
      <c r="B11569" s="192"/>
      <c r="C11569" s="140"/>
      <c r="D11569" s="140"/>
      <c r="E11569" s="140"/>
    </row>
    <row r="11570" spans="1:5">
      <c r="A11570" s="140"/>
      <c r="B11570" s="192"/>
      <c r="C11570" s="140"/>
      <c r="D11570" s="140"/>
      <c r="E11570" s="140"/>
    </row>
    <row r="11571" spans="1:5">
      <c r="A11571" s="140"/>
      <c r="B11571" s="192"/>
      <c r="C11571" s="140"/>
      <c r="D11571" s="140"/>
      <c r="E11571" s="140"/>
    </row>
    <row r="11572" spans="1:5">
      <c r="A11572" s="140"/>
      <c r="B11572" s="192"/>
      <c r="C11572" s="140"/>
      <c r="D11572" s="140"/>
      <c r="E11572" s="140"/>
    </row>
    <row r="11573" spans="1:5">
      <c r="A11573" s="140"/>
      <c r="B11573" s="192"/>
      <c r="C11573" s="140"/>
      <c r="D11573" s="140"/>
      <c r="E11573" s="140"/>
    </row>
    <row r="11574" spans="1:5">
      <c r="A11574" s="140"/>
      <c r="B11574" s="192"/>
      <c r="C11574" s="140"/>
      <c r="D11574" s="140"/>
      <c r="E11574" s="140"/>
    </row>
    <row r="11575" spans="1:5">
      <c r="A11575" s="140"/>
      <c r="B11575" s="192"/>
      <c r="C11575" s="140"/>
      <c r="D11575" s="140"/>
      <c r="E11575" s="140"/>
    </row>
    <row r="11576" spans="1:5">
      <c r="A11576" s="140"/>
      <c r="B11576" s="192"/>
      <c r="C11576" s="140"/>
      <c r="D11576" s="140"/>
      <c r="E11576" s="140"/>
    </row>
    <row r="11577" spans="1:5">
      <c r="A11577" s="140"/>
      <c r="B11577" s="192"/>
      <c r="C11577" s="140"/>
      <c r="D11577" s="140"/>
      <c r="E11577" s="140"/>
    </row>
    <row r="11578" spans="1:5">
      <c r="A11578" s="140"/>
      <c r="B11578" s="192"/>
      <c r="C11578" s="140"/>
      <c r="D11578" s="140"/>
      <c r="E11578" s="140"/>
    </row>
    <row r="11579" spans="1:5">
      <c r="A11579" s="140"/>
      <c r="B11579" s="192"/>
      <c r="C11579" s="140"/>
      <c r="D11579" s="140"/>
      <c r="E11579" s="140"/>
    </row>
    <row r="11580" spans="1:5">
      <c r="A11580" s="140"/>
      <c r="B11580" s="192"/>
      <c r="C11580" s="140"/>
      <c r="D11580" s="140"/>
      <c r="E11580" s="140"/>
    </row>
    <row r="11581" spans="1:5">
      <c r="A11581" s="140"/>
      <c r="B11581" s="192"/>
      <c r="C11581" s="140"/>
      <c r="D11581" s="140"/>
      <c r="E11581" s="140"/>
    </row>
    <row r="11582" spans="1:5">
      <c r="A11582" s="140"/>
      <c r="B11582" s="192"/>
      <c r="C11582" s="140"/>
      <c r="D11582" s="140"/>
      <c r="E11582" s="140"/>
    </row>
    <row r="11583" spans="1:5">
      <c r="A11583" s="140"/>
      <c r="B11583" s="192"/>
      <c r="C11583" s="140"/>
      <c r="D11583" s="140"/>
      <c r="E11583" s="140"/>
    </row>
    <row r="11584" spans="1:5">
      <c r="A11584" s="140"/>
      <c r="B11584" s="192"/>
      <c r="C11584" s="140"/>
      <c r="D11584" s="140"/>
      <c r="E11584" s="140"/>
    </row>
    <row r="11585" spans="1:5">
      <c r="A11585" s="140"/>
      <c r="B11585" s="192"/>
      <c r="C11585" s="140"/>
      <c r="D11585" s="140"/>
      <c r="E11585" s="140"/>
    </row>
    <row r="11586" spans="1:5">
      <c r="A11586" s="140"/>
      <c r="B11586" s="192"/>
      <c r="C11586" s="140"/>
      <c r="D11586" s="140"/>
      <c r="E11586" s="140"/>
    </row>
    <row r="11587" spans="1:5">
      <c r="A11587" s="140"/>
      <c r="B11587" s="192"/>
      <c r="C11587" s="140"/>
      <c r="D11587" s="140"/>
      <c r="E11587" s="140"/>
    </row>
    <row r="11588" spans="1:5">
      <c r="A11588" s="140"/>
      <c r="B11588" s="192"/>
      <c r="C11588" s="140"/>
      <c r="D11588" s="140"/>
      <c r="E11588" s="140"/>
    </row>
    <row r="11589" spans="1:5">
      <c r="A11589" s="140"/>
      <c r="B11589" s="192"/>
      <c r="C11589" s="140"/>
      <c r="D11589" s="140"/>
      <c r="E11589" s="140"/>
    </row>
    <row r="11590" spans="1:5">
      <c r="A11590" s="140"/>
      <c r="B11590" s="192"/>
      <c r="C11590" s="140"/>
      <c r="D11590" s="140"/>
      <c r="E11590" s="140"/>
    </row>
    <row r="11591" spans="1:5">
      <c r="A11591" s="140"/>
      <c r="B11591" s="192"/>
      <c r="C11591" s="140"/>
      <c r="D11591" s="140"/>
      <c r="E11591" s="140"/>
    </row>
    <row r="11592" spans="1:5">
      <c r="A11592" s="140"/>
      <c r="B11592" s="192"/>
      <c r="C11592" s="140"/>
      <c r="D11592" s="140"/>
      <c r="E11592" s="140"/>
    </row>
    <row r="11593" spans="1:5">
      <c r="A11593" s="140"/>
      <c r="B11593" s="192"/>
      <c r="C11593" s="140"/>
      <c r="D11593" s="140"/>
      <c r="E11593" s="140"/>
    </row>
    <row r="11594" spans="1:5">
      <c r="A11594" s="140"/>
      <c r="B11594" s="192"/>
      <c r="C11594" s="140"/>
      <c r="D11594" s="140"/>
      <c r="E11594" s="140"/>
    </row>
    <row r="11595" spans="1:5">
      <c r="A11595" s="140"/>
      <c r="B11595" s="192"/>
      <c r="C11595" s="140"/>
      <c r="D11595" s="140"/>
      <c r="E11595" s="140"/>
    </row>
    <row r="11596" spans="1:5">
      <c r="A11596" s="140"/>
      <c r="B11596" s="192"/>
      <c r="C11596" s="140"/>
      <c r="D11596" s="140"/>
      <c r="E11596" s="140"/>
    </row>
    <row r="11597" spans="1:5">
      <c r="A11597" s="140"/>
      <c r="B11597" s="192"/>
      <c r="C11597" s="140"/>
      <c r="D11597" s="140"/>
      <c r="E11597" s="140"/>
    </row>
    <row r="11598" spans="1:5">
      <c r="A11598" s="140"/>
      <c r="B11598" s="192"/>
      <c r="C11598" s="140"/>
      <c r="D11598" s="140"/>
      <c r="E11598" s="140"/>
    </row>
    <row r="11599" spans="1:5">
      <c r="A11599" s="140"/>
      <c r="B11599" s="192"/>
      <c r="C11599" s="140"/>
      <c r="D11599" s="140"/>
      <c r="E11599" s="140"/>
    </row>
    <row r="11600" spans="1:5">
      <c r="A11600" s="140"/>
      <c r="B11600" s="192"/>
      <c r="C11600" s="140"/>
      <c r="D11600" s="140"/>
      <c r="E11600" s="140"/>
    </row>
    <row r="11601" spans="1:5">
      <c r="A11601" s="140"/>
      <c r="B11601" s="192"/>
      <c r="C11601" s="140"/>
      <c r="D11601" s="140"/>
      <c r="E11601" s="140"/>
    </row>
    <row r="11602" spans="1:5">
      <c r="A11602" s="140"/>
      <c r="B11602" s="192"/>
      <c r="C11602" s="140"/>
      <c r="D11602" s="140"/>
      <c r="E11602" s="140"/>
    </row>
    <row r="11603" spans="1:5">
      <c r="A11603" s="140"/>
      <c r="B11603" s="192"/>
      <c r="C11603" s="140"/>
      <c r="D11603" s="140"/>
      <c r="E11603" s="140"/>
    </row>
    <row r="11604" spans="1:5">
      <c r="A11604" s="140"/>
      <c r="B11604" s="192"/>
      <c r="C11604" s="140"/>
      <c r="D11604" s="140"/>
      <c r="E11604" s="140"/>
    </row>
    <row r="11605" spans="1:5">
      <c r="A11605" s="140"/>
      <c r="B11605" s="192"/>
      <c r="C11605" s="140"/>
      <c r="D11605" s="140"/>
      <c r="E11605" s="140"/>
    </row>
    <row r="11606" spans="1:5">
      <c r="A11606" s="140"/>
      <c r="B11606" s="192"/>
      <c r="C11606" s="140"/>
      <c r="D11606" s="140"/>
      <c r="E11606" s="140"/>
    </row>
    <row r="11607" spans="1:5">
      <c r="A11607" s="140"/>
      <c r="B11607" s="192"/>
      <c r="C11607" s="140"/>
      <c r="D11607" s="140"/>
      <c r="E11607" s="140"/>
    </row>
    <row r="11608" spans="1:5">
      <c r="A11608" s="140"/>
      <c r="B11608" s="192"/>
      <c r="C11608" s="140"/>
      <c r="D11608" s="140"/>
      <c r="E11608" s="140"/>
    </row>
    <row r="11609" spans="1:5">
      <c r="A11609" s="140"/>
      <c r="B11609" s="192"/>
      <c r="C11609" s="140"/>
      <c r="D11609" s="140"/>
      <c r="E11609" s="140"/>
    </row>
    <row r="11610" spans="1:5">
      <c r="A11610" s="140"/>
      <c r="B11610" s="192"/>
      <c r="C11610" s="140"/>
      <c r="D11610" s="140"/>
      <c r="E11610" s="140"/>
    </row>
    <row r="11611" spans="1:5">
      <c r="A11611" s="140"/>
      <c r="B11611" s="192"/>
      <c r="C11611" s="140"/>
      <c r="D11611" s="140"/>
      <c r="E11611" s="140"/>
    </row>
    <row r="11612" spans="1:5">
      <c r="A11612" s="140"/>
      <c r="B11612" s="192"/>
      <c r="C11612" s="140"/>
      <c r="D11612" s="140"/>
      <c r="E11612" s="140"/>
    </row>
    <row r="11613" spans="1:5">
      <c r="A11613" s="140"/>
      <c r="B11613" s="192"/>
      <c r="C11613" s="140"/>
      <c r="D11613" s="140"/>
      <c r="E11613" s="140"/>
    </row>
    <row r="11614" spans="1:5">
      <c r="A11614" s="140"/>
      <c r="B11614" s="192"/>
      <c r="C11614" s="140"/>
      <c r="D11614" s="140"/>
      <c r="E11614" s="140"/>
    </row>
    <row r="11615" spans="1:5">
      <c r="A11615" s="140"/>
      <c r="B11615" s="192"/>
      <c r="C11615" s="140"/>
      <c r="D11615" s="140"/>
      <c r="E11615" s="140"/>
    </row>
    <row r="11616" spans="1:5">
      <c r="A11616" s="140"/>
      <c r="B11616" s="192"/>
      <c r="C11616" s="140"/>
      <c r="D11616" s="140"/>
      <c r="E11616" s="140"/>
    </row>
    <row r="11617" spans="1:5">
      <c r="A11617" s="140"/>
      <c r="B11617" s="192"/>
      <c r="C11617" s="140"/>
      <c r="D11617" s="140"/>
      <c r="E11617" s="140"/>
    </row>
    <row r="11618" spans="1:5">
      <c r="A11618" s="140"/>
      <c r="B11618" s="192"/>
      <c r="C11618" s="140"/>
      <c r="D11618" s="140"/>
      <c r="E11618" s="140"/>
    </row>
    <row r="11619" spans="1:5">
      <c r="A11619" s="140"/>
      <c r="B11619" s="192"/>
      <c r="C11619" s="140"/>
      <c r="D11619" s="140"/>
      <c r="E11619" s="140"/>
    </row>
    <row r="11620" spans="1:5">
      <c r="A11620" s="140"/>
      <c r="B11620" s="192"/>
      <c r="C11620" s="140"/>
      <c r="D11620" s="140"/>
      <c r="E11620" s="140"/>
    </row>
    <row r="11621" spans="1:5">
      <c r="A11621" s="140"/>
      <c r="B11621" s="192"/>
      <c r="C11621" s="140"/>
      <c r="D11621" s="140"/>
      <c r="E11621" s="140"/>
    </row>
    <row r="11622" spans="1:5">
      <c r="A11622" s="140"/>
      <c r="B11622" s="192"/>
      <c r="C11622" s="140"/>
      <c r="D11622" s="140"/>
      <c r="E11622" s="140"/>
    </row>
    <row r="11623" spans="1:5">
      <c r="A11623" s="140"/>
      <c r="B11623" s="192"/>
      <c r="C11623" s="140"/>
      <c r="D11623" s="140"/>
      <c r="E11623" s="140"/>
    </row>
    <row r="11624" spans="1:5">
      <c r="A11624" s="140"/>
      <c r="B11624" s="192"/>
      <c r="C11624" s="140"/>
      <c r="D11624" s="140"/>
      <c r="E11624" s="140"/>
    </row>
    <row r="11625" spans="1:5">
      <c r="A11625" s="140"/>
      <c r="B11625" s="192"/>
      <c r="C11625" s="140"/>
      <c r="D11625" s="140"/>
      <c r="E11625" s="140"/>
    </row>
    <row r="11626" spans="1:5">
      <c r="A11626" s="140"/>
      <c r="B11626" s="192"/>
      <c r="C11626" s="140"/>
      <c r="D11626" s="140"/>
      <c r="E11626" s="140"/>
    </row>
    <row r="11627" spans="1:5">
      <c r="A11627" s="140"/>
      <c r="B11627" s="192"/>
      <c r="C11627" s="140"/>
      <c r="D11627" s="140"/>
      <c r="E11627" s="140"/>
    </row>
    <row r="11628" spans="1:5">
      <c r="A11628" s="140"/>
      <c r="B11628" s="192"/>
      <c r="C11628" s="140"/>
      <c r="D11628" s="140"/>
      <c r="E11628" s="140"/>
    </row>
    <row r="11629" spans="1:5">
      <c r="A11629" s="140"/>
      <c r="B11629" s="192"/>
      <c r="C11629" s="140"/>
      <c r="D11629" s="140"/>
      <c r="E11629" s="140"/>
    </row>
    <row r="11630" spans="1:5">
      <c r="A11630" s="140"/>
      <c r="B11630" s="192"/>
      <c r="C11630" s="140"/>
      <c r="D11630" s="140"/>
      <c r="E11630" s="140"/>
    </row>
    <row r="11631" spans="1:5">
      <c r="A11631" s="140"/>
      <c r="B11631" s="192"/>
      <c r="C11631" s="140"/>
      <c r="D11631" s="140"/>
      <c r="E11631" s="140"/>
    </row>
    <row r="11632" spans="1:5">
      <c r="A11632" s="140"/>
      <c r="B11632" s="192"/>
      <c r="C11632" s="140"/>
      <c r="D11632" s="140"/>
      <c r="E11632" s="140"/>
    </row>
    <row r="11633" spans="1:5">
      <c r="A11633" s="140"/>
      <c r="B11633" s="192"/>
      <c r="C11633" s="140"/>
      <c r="D11633" s="140"/>
      <c r="E11633" s="140"/>
    </row>
    <row r="11634" spans="1:5">
      <c r="A11634" s="140"/>
      <c r="B11634" s="192"/>
      <c r="C11634" s="140"/>
      <c r="D11634" s="140"/>
      <c r="E11634" s="140"/>
    </row>
    <row r="11635" spans="1:5">
      <c r="A11635" s="140"/>
      <c r="B11635" s="192"/>
      <c r="C11635" s="140"/>
      <c r="D11635" s="140"/>
      <c r="E11635" s="140"/>
    </row>
    <row r="11636" spans="1:5">
      <c r="A11636" s="140"/>
      <c r="B11636" s="192"/>
      <c r="C11636" s="140"/>
      <c r="D11636" s="140"/>
      <c r="E11636" s="140"/>
    </row>
    <row r="11637" spans="1:5">
      <c r="A11637" s="140"/>
      <c r="B11637" s="192"/>
      <c r="C11637" s="140"/>
      <c r="D11637" s="140"/>
      <c r="E11637" s="140"/>
    </row>
    <row r="11638" spans="1:5">
      <c r="A11638" s="140"/>
      <c r="B11638" s="192"/>
      <c r="C11638" s="140"/>
      <c r="D11638" s="140"/>
      <c r="E11638" s="140"/>
    </row>
    <row r="11639" spans="1:5">
      <c r="A11639" s="140"/>
      <c r="B11639" s="192"/>
      <c r="C11639" s="140"/>
      <c r="D11639" s="140"/>
      <c r="E11639" s="140"/>
    </row>
    <row r="11640" spans="1:5">
      <c r="A11640" s="140"/>
      <c r="B11640" s="192"/>
      <c r="C11640" s="140"/>
      <c r="D11640" s="140"/>
      <c r="E11640" s="140"/>
    </row>
    <row r="11641" spans="1:5">
      <c r="A11641" s="140"/>
      <c r="B11641" s="192"/>
      <c r="C11641" s="140"/>
      <c r="D11641" s="140"/>
      <c r="E11641" s="140"/>
    </row>
    <row r="11642" spans="1:5">
      <c r="A11642" s="140"/>
      <c r="B11642" s="192"/>
      <c r="C11642" s="140"/>
      <c r="D11642" s="140"/>
      <c r="E11642" s="140"/>
    </row>
    <row r="11643" spans="1:5">
      <c r="A11643" s="140"/>
      <c r="B11643" s="192"/>
      <c r="C11643" s="140"/>
      <c r="D11643" s="140"/>
      <c r="E11643" s="140"/>
    </row>
    <row r="11644" spans="1:5">
      <c r="A11644" s="140"/>
      <c r="B11644" s="192"/>
      <c r="C11644" s="140"/>
      <c r="D11644" s="140"/>
      <c r="E11644" s="140"/>
    </row>
    <row r="11645" spans="1:5">
      <c r="A11645" s="140"/>
      <c r="B11645" s="192"/>
      <c r="C11645" s="140"/>
      <c r="D11645" s="140"/>
      <c r="E11645" s="140"/>
    </row>
    <row r="11646" spans="1:5">
      <c r="A11646" s="140"/>
      <c r="B11646" s="192"/>
      <c r="C11646" s="140"/>
      <c r="D11646" s="140"/>
      <c r="E11646" s="140"/>
    </row>
    <row r="11647" spans="1:5">
      <c r="A11647" s="140"/>
      <c r="B11647" s="192"/>
      <c r="C11647" s="140"/>
      <c r="D11647" s="140"/>
      <c r="E11647" s="140"/>
    </row>
    <row r="11648" spans="1:5">
      <c r="A11648" s="140"/>
      <c r="B11648" s="192"/>
      <c r="C11648" s="140"/>
      <c r="D11648" s="140"/>
      <c r="E11648" s="140"/>
    </row>
    <row r="11649" spans="1:5">
      <c r="A11649" s="140"/>
      <c r="B11649" s="192"/>
      <c r="C11649" s="140"/>
      <c r="D11649" s="140"/>
      <c r="E11649" s="140"/>
    </row>
    <row r="11650" spans="1:5">
      <c r="A11650" s="140"/>
      <c r="B11650" s="192"/>
      <c r="C11650" s="140"/>
      <c r="D11650" s="140"/>
      <c r="E11650" s="140"/>
    </row>
    <row r="11651" spans="1:5">
      <c r="A11651" s="140"/>
      <c r="B11651" s="192"/>
      <c r="C11651" s="140"/>
      <c r="D11651" s="140"/>
      <c r="E11651" s="140"/>
    </row>
    <row r="11652" spans="1:5">
      <c r="A11652" s="140"/>
      <c r="B11652" s="192"/>
      <c r="C11652" s="140"/>
      <c r="D11652" s="140"/>
      <c r="E11652" s="140"/>
    </row>
    <row r="11653" spans="1:5">
      <c r="A11653" s="140"/>
      <c r="B11653" s="192"/>
      <c r="C11653" s="140"/>
      <c r="D11653" s="140"/>
      <c r="E11653" s="140"/>
    </row>
    <row r="11654" spans="1:5">
      <c r="A11654" s="140"/>
      <c r="B11654" s="192"/>
      <c r="C11654" s="140"/>
      <c r="D11654" s="140"/>
      <c r="E11654" s="140"/>
    </row>
    <row r="11655" spans="1:5">
      <c r="A11655" s="140"/>
      <c r="B11655" s="192"/>
      <c r="C11655" s="140"/>
      <c r="D11655" s="140"/>
      <c r="E11655" s="140"/>
    </row>
    <row r="11656" spans="1:5">
      <c r="A11656" s="140"/>
      <c r="B11656" s="192"/>
      <c r="C11656" s="140"/>
      <c r="D11656" s="140"/>
      <c r="E11656" s="140"/>
    </row>
    <row r="11657" spans="1:5">
      <c r="A11657" s="140"/>
      <c r="B11657" s="192"/>
      <c r="C11657" s="140"/>
      <c r="D11657" s="140"/>
      <c r="E11657" s="140"/>
    </row>
    <row r="11658" spans="1:5">
      <c r="A11658" s="140"/>
      <c r="B11658" s="192"/>
      <c r="C11658" s="140"/>
      <c r="D11658" s="140"/>
      <c r="E11658" s="140"/>
    </row>
    <row r="11659" spans="1:5">
      <c r="A11659" s="140"/>
      <c r="B11659" s="192"/>
      <c r="C11659" s="140"/>
      <c r="D11659" s="140"/>
      <c r="E11659" s="140"/>
    </row>
    <row r="11660" spans="1:5">
      <c r="A11660" s="140"/>
      <c r="B11660" s="192"/>
      <c r="C11660" s="140"/>
      <c r="D11660" s="140"/>
      <c r="E11660" s="140"/>
    </row>
    <row r="11661" spans="1:5">
      <c r="A11661" s="140"/>
      <c r="B11661" s="192"/>
      <c r="C11661" s="140"/>
      <c r="D11661" s="140"/>
      <c r="E11661" s="140"/>
    </row>
    <row r="11662" spans="1:5">
      <c r="A11662" s="140"/>
      <c r="B11662" s="192"/>
      <c r="C11662" s="140"/>
      <c r="D11662" s="140"/>
      <c r="E11662" s="140"/>
    </row>
    <row r="11663" spans="1:5">
      <c r="A11663" s="140"/>
      <c r="B11663" s="192"/>
      <c r="C11663" s="140"/>
      <c r="D11663" s="140"/>
      <c r="E11663" s="140"/>
    </row>
    <row r="11664" spans="1:5">
      <c r="A11664" s="140"/>
      <c r="B11664" s="192"/>
      <c r="C11664" s="140"/>
      <c r="D11664" s="140"/>
      <c r="E11664" s="140"/>
    </row>
    <row r="11665" spans="1:5">
      <c r="A11665" s="140"/>
      <c r="B11665" s="192"/>
      <c r="C11665" s="140"/>
      <c r="D11665" s="140"/>
      <c r="E11665" s="140"/>
    </row>
    <row r="11666" spans="1:5">
      <c r="A11666" s="140"/>
      <c r="B11666" s="192"/>
      <c r="C11666" s="140"/>
      <c r="D11666" s="140"/>
      <c r="E11666" s="140"/>
    </row>
    <row r="11667" spans="1:5">
      <c r="A11667" s="140"/>
      <c r="B11667" s="192"/>
      <c r="C11667" s="140"/>
      <c r="D11667" s="140"/>
      <c r="E11667" s="140"/>
    </row>
    <row r="11668" spans="1:5">
      <c r="A11668" s="140"/>
      <c r="B11668" s="192"/>
      <c r="C11668" s="140"/>
      <c r="D11668" s="140"/>
      <c r="E11668" s="140"/>
    </row>
    <row r="11669" spans="1:5">
      <c r="A11669" s="140"/>
      <c r="B11669" s="192"/>
      <c r="C11669" s="140"/>
      <c r="D11669" s="140"/>
      <c r="E11669" s="140"/>
    </row>
    <row r="11670" spans="1:5">
      <c r="A11670" s="140"/>
      <c r="B11670" s="192"/>
      <c r="C11670" s="140"/>
      <c r="D11670" s="140"/>
      <c r="E11670" s="140"/>
    </row>
    <row r="11671" spans="1:5">
      <c r="A11671" s="140"/>
      <c r="B11671" s="192"/>
      <c r="C11671" s="140"/>
      <c r="D11671" s="140"/>
      <c r="E11671" s="140"/>
    </row>
    <row r="11672" spans="1:5">
      <c r="A11672" s="140"/>
      <c r="B11672" s="192"/>
      <c r="C11672" s="140"/>
      <c r="D11672" s="140"/>
      <c r="E11672" s="140"/>
    </row>
    <row r="11673" spans="1:5">
      <c r="A11673" s="140"/>
      <c r="B11673" s="192"/>
      <c r="C11673" s="140"/>
      <c r="D11673" s="140"/>
      <c r="E11673" s="140"/>
    </row>
    <row r="11674" spans="1:5">
      <c r="A11674" s="140"/>
      <c r="B11674" s="192"/>
      <c r="C11674" s="140"/>
      <c r="D11674" s="140"/>
      <c r="E11674" s="140"/>
    </row>
    <row r="11675" spans="1:5">
      <c r="A11675" s="140"/>
      <c r="B11675" s="192"/>
      <c r="C11675" s="140"/>
      <c r="D11675" s="140"/>
      <c r="E11675" s="140"/>
    </row>
    <row r="11676" spans="1:5">
      <c r="A11676" s="140"/>
      <c r="B11676" s="192"/>
      <c r="C11676" s="140"/>
      <c r="D11676" s="140"/>
      <c r="E11676" s="140"/>
    </row>
    <row r="11677" spans="1:5">
      <c r="A11677" s="140"/>
      <c r="B11677" s="192"/>
      <c r="C11677" s="140"/>
      <c r="D11677" s="140"/>
      <c r="E11677" s="140"/>
    </row>
    <row r="11678" spans="1:5">
      <c r="A11678" s="140"/>
      <c r="B11678" s="192"/>
      <c r="C11678" s="140"/>
      <c r="D11678" s="140"/>
      <c r="E11678" s="140"/>
    </row>
    <row r="11679" spans="1:5">
      <c r="A11679" s="140"/>
      <c r="B11679" s="192"/>
      <c r="C11679" s="140"/>
      <c r="D11679" s="140"/>
      <c r="E11679" s="140"/>
    </row>
    <row r="11680" spans="1:5">
      <c r="A11680" s="140"/>
      <c r="B11680" s="192"/>
      <c r="C11680" s="140"/>
      <c r="D11680" s="140"/>
      <c r="E11680" s="140"/>
    </row>
    <row r="11681" spans="1:5">
      <c r="A11681" s="140"/>
      <c r="B11681" s="192"/>
      <c r="C11681" s="140"/>
      <c r="D11681" s="140"/>
      <c r="E11681" s="140"/>
    </row>
    <row r="11682" spans="1:5">
      <c r="A11682" s="140"/>
      <c r="B11682" s="192"/>
      <c r="C11682" s="140"/>
      <c r="D11682" s="140"/>
      <c r="E11682" s="140"/>
    </row>
    <row r="11683" spans="1:5">
      <c r="A11683" s="140"/>
      <c r="B11683" s="192"/>
      <c r="C11683" s="140"/>
      <c r="D11683" s="140"/>
      <c r="E11683" s="140"/>
    </row>
    <row r="11684" spans="1:5">
      <c r="A11684" s="140"/>
      <c r="B11684" s="192"/>
      <c r="C11684" s="140"/>
      <c r="D11684" s="140"/>
      <c r="E11684" s="140"/>
    </row>
    <row r="11685" spans="1:5">
      <c r="A11685" s="140"/>
      <c r="B11685" s="192"/>
      <c r="C11685" s="140"/>
      <c r="D11685" s="140"/>
      <c r="E11685" s="140"/>
    </row>
    <row r="11686" spans="1:5">
      <c r="A11686" s="140"/>
      <c r="B11686" s="192"/>
      <c r="C11686" s="140"/>
      <c r="D11686" s="140"/>
      <c r="E11686" s="140"/>
    </row>
    <row r="11687" spans="1:5">
      <c r="A11687" s="140"/>
      <c r="B11687" s="192"/>
      <c r="C11687" s="140"/>
      <c r="D11687" s="140"/>
      <c r="E11687" s="140"/>
    </row>
    <row r="11688" spans="1:5">
      <c r="A11688" s="140"/>
      <c r="B11688" s="192"/>
      <c r="C11688" s="140"/>
      <c r="D11688" s="140"/>
      <c r="E11688" s="140"/>
    </row>
    <row r="11689" spans="1:5">
      <c r="A11689" s="140"/>
      <c r="B11689" s="192"/>
      <c r="C11689" s="140"/>
      <c r="D11689" s="140"/>
      <c r="E11689" s="140"/>
    </row>
    <row r="11690" spans="1:5">
      <c r="A11690" s="140"/>
      <c r="B11690" s="192"/>
      <c r="C11690" s="140"/>
      <c r="D11690" s="140"/>
      <c r="E11690" s="140"/>
    </row>
    <row r="11691" spans="1:5">
      <c r="A11691" s="140"/>
      <c r="B11691" s="192"/>
      <c r="C11691" s="140"/>
      <c r="D11691" s="140"/>
      <c r="E11691" s="140"/>
    </row>
    <row r="11692" spans="1:5">
      <c r="A11692" s="140"/>
      <c r="B11692" s="192"/>
      <c r="C11692" s="140"/>
      <c r="D11692" s="140"/>
      <c r="E11692" s="140"/>
    </row>
    <row r="11693" spans="1:5">
      <c r="A11693" s="140"/>
      <c r="B11693" s="192"/>
      <c r="C11693" s="140"/>
      <c r="D11693" s="140"/>
      <c r="E11693" s="140"/>
    </row>
    <row r="11694" spans="1:5">
      <c r="A11694" s="140"/>
      <c r="B11694" s="192"/>
      <c r="C11694" s="140"/>
      <c r="D11694" s="140"/>
      <c r="E11694" s="140"/>
    </row>
    <row r="11695" spans="1:5">
      <c r="A11695" s="140"/>
      <c r="B11695" s="192"/>
      <c r="C11695" s="140"/>
      <c r="D11695" s="140"/>
      <c r="E11695" s="140"/>
    </row>
    <row r="11696" spans="1:5">
      <c r="A11696" s="140"/>
      <c r="B11696" s="192"/>
      <c r="C11696" s="140"/>
      <c r="D11696" s="140"/>
      <c r="E11696" s="140"/>
    </row>
    <row r="11697" spans="1:5">
      <c r="A11697" s="140"/>
      <c r="B11697" s="192"/>
      <c r="C11697" s="140"/>
      <c r="D11697" s="140"/>
      <c r="E11697" s="140"/>
    </row>
    <row r="11698" spans="1:5">
      <c r="A11698" s="140"/>
      <c r="B11698" s="192"/>
      <c r="C11698" s="140"/>
      <c r="D11698" s="140"/>
      <c r="E11698" s="140"/>
    </row>
    <row r="11699" spans="1:5">
      <c r="A11699" s="140"/>
      <c r="B11699" s="192"/>
      <c r="C11699" s="140"/>
      <c r="D11699" s="140"/>
      <c r="E11699" s="140"/>
    </row>
    <row r="11700" spans="1:5">
      <c r="A11700" s="140"/>
      <c r="B11700" s="192"/>
      <c r="C11700" s="140"/>
      <c r="D11700" s="140"/>
      <c r="E11700" s="140"/>
    </row>
    <row r="11701" spans="1:5">
      <c r="A11701" s="140"/>
      <c r="B11701" s="192"/>
      <c r="C11701" s="140"/>
      <c r="D11701" s="140"/>
      <c r="E11701" s="140"/>
    </row>
    <row r="11702" spans="1:5">
      <c r="A11702" s="140"/>
      <c r="B11702" s="192"/>
      <c r="C11702" s="140"/>
      <c r="D11702" s="140"/>
      <c r="E11702" s="140"/>
    </row>
    <row r="11703" spans="1:5">
      <c r="A11703" s="140"/>
      <c r="B11703" s="192"/>
      <c r="C11703" s="140"/>
      <c r="D11703" s="140"/>
      <c r="E11703" s="140"/>
    </row>
    <row r="11704" spans="1:5">
      <c r="A11704" s="140"/>
      <c r="B11704" s="192"/>
      <c r="C11704" s="140"/>
      <c r="D11704" s="140"/>
      <c r="E11704" s="140"/>
    </row>
    <row r="11705" spans="1:5">
      <c r="A11705" s="140"/>
      <c r="B11705" s="192"/>
      <c r="C11705" s="140"/>
      <c r="D11705" s="140"/>
      <c r="E11705" s="140"/>
    </row>
    <row r="11706" spans="1:5">
      <c r="A11706" s="140"/>
      <c r="B11706" s="192"/>
      <c r="C11706" s="140"/>
      <c r="D11706" s="140"/>
      <c r="E11706" s="140"/>
    </row>
    <row r="11707" spans="1:5">
      <c r="A11707" s="140"/>
      <c r="B11707" s="192"/>
      <c r="C11707" s="140"/>
      <c r="D11707" s="140"/>
      <c r="E11707" s="140"/>
    </row>
    <row r="11708" spans="1:5">
      <c r="A11708" s="140"/>
      <c r="B11708" s="192"/>
      <c r="C11708" s="140"/>
      <c r="D11708" s="140"/>
      <c r="E11708" s="140"/>
    </row>
    <row r="11709" spans="1:5">
      <c r="A11709" s="140"/>
      <c r="B11709" s="192"/>
      <c r="C11709" s="140"/>
      <c r="D11709" s="140"/>
      <c r="E11709" s="140"/>
    </row>
    <row r="11710" spans="1:5">
      <c r="A11710" s="140"/>
      <c r="B11710" s="192"/>
      <c r="C11710" s="140"/>
      <c r="D11710" s="140"/>
      <c r="E11710" s="140"/>
    </row>
    <row r="11711" spans="1:5">
      <c r="A11711" s="140"/>
      <c r="B11711" s="192"/>
      <c r="C11711" s="140"/>
      <c r="D11711" s="140"/>
      <c r="E11711" s="140"/>
    </row>
    <row r="11712" spans="1:5">
      <c r="A11712" s="140"/>
      <c r="B11712" s="192"/>
      <c r="C11712" s="140"/>
      <c r="D11712" s="140"/>
      <c r="E11712" s="140"/>
    </row>
    <row r="11713" spans="1:5">
      <c r="A11713" s="140"/>
      <c r="B11713" s="192"/>
      <c r="C11713" s="140"/>
      <c r="D11713" s="140"/>
      <c r="E11713" s="140"/>
    </row>
    <row r="11714" spans="1:5">
      <c r="A11714" s="140"/>
      <c r="B11714" s="192"/>
      <c r="C11714" s="140"/>
      <c r="D11714" s="140"/>
      <c r="E11714" s="140"/>
    </row>
    <row r="11715" spans="1:5">
      <c r="A11715" s="140"/>
      <c r="B11715" s="192"/>
      <c r="C11715" s="140"/>
      <c r="D11715" s="140"/>
      <c r="E11715" s="140"/>
    </row>
    <row r="11716" spans="1:5">
      <c r="A11716" s="140"/>
      <c r="B11716" s="192"/>
      <c r="C11716" s="140"/>
      <c r="D11716" s="140"/>
      <c r="E11716" s="140"/>
    </row>
    <row r="11717" spans="1:5">
      <c r="A11717" s="140"/>
      <c r="B11717" s="192"/>
      <c r="C11717" s="140"/>
      <c r="D11717" s="140"/>
      <c r="E11717" s="140"/>
    </row>
    <row r="11718" spans="1:5">
      <c r="A11718" s="140"/>
      <c r="B11718" s="192"/>
      <c r="C11718" s="140"/>
      <c r="D11718" s="140"/>
      <c r="E11718" s="140"/>
    </row>
    <row r="11719" spans="1:5">
      <c r="A11719" s="140"/>
      <c r="B11719" s="192"/>
      <c r="C11719" s="140"/>
      <c r="D11719" s="140"/>
      <c r="E11719" s="140"/>
    </row>
    <row r="11720" spans="1:5">
      <c r="A11720" s="140"/>
      <c r="B11720" s="192"/>
      <c r="C11720" s="140"/>
      <c r="D11720" s="140"/>
      <c r="E11720" s="140"/>
    </row>
    <row r="11721" spans="1:5">
      <c r="A11721" s="140"/>
      <c r="B11721" s="192"/>
      <c r="C11721" s="140"/>
      <c r="D11721" s="140"/>
      <c r="E11721" s="140"/>
    </row>
    <row r="11722" spans="1:5">
      <c r="A11722" s="140"/>
      <c r="B11722" s="192"/>
      <c r="C11722" s="140"/>
      <c r="D11722" s="140"/>
      <c r="E11722" s="140"/>
    </row>
    <row r="11723" spans="1:5">
      <c r="A11723" s="140"/>
      <c r="B11723" s="192"/>
      <c r="C11723" s="140"/>
      <c r="D11723" s="140"/>
      <c r="E11723" s="140"/>
    </row>
    <row r="11724" spans="1:5">
      <c r="A11724" s="140"/>
      <c r="B11724" s="192"/>
      <c r="C11724" s="140"/>
      <c r="D11724" s="140"/>
      <c r="E11724" s="140"/>
    </row>
    <row r="11725" spans="1:5">
      <c r="A11725" s="140"/>
      <c r="B11725" s="192"/>
      <c r="C11725" s="140"/>
      <c r="D11725" s="140"/>
      <c r="E11725" s="140"/>
    </row>
    <row r="11726" spans="1:5">
      <c r="A11726" s="140"/>
      <c r="B11726" s="192"/>
      <c r="C11726" s="140"/>
      <c r="D11726" s="140"/>
      <c r="E11726" s="140"/>
    </row>
    <row r="11727" spans="1:5">
      <c r="A11727" s="140"/>
      <c r="B11727" s="192"/>
      <c r="C11727" s="140"/>
      <c r="D11727" s="140"/>
      <c r="E11727" s="140"/>
    </row>
    <row r="11728" spans="1:5">
      <c r="A11728" s="140"/>
      <c r="B11728" s="192"/>
      <c r="C11728" s="140"/>
      <c r="D11728" s="140"/>
      <c r="E11728" s="140"/>
    </row>
    <row r="11729" spans="1:5">
      <c r="A11729" s="140"/>
      <c r="B11729" s="192"/>
      <c r="C11729" s="140"/>
      <c r="D11729" s="140"/>
      <c r="E11729" s="140"/>
    </row>
    <row r="11730" spans="1:5">
      <c r="A11730" s="140"/>
      <c r="B11730" s="192"/>
      <c r="C11730" s="140"/>
      <c r="D11730" s="140"/>
      <c r="E11730" s="140"/>
    </row>
    <row r="11731" spans="1:5">
      <c r="A11731" s="140"/>
      <c r="B11731" s="192"/>
      <c r="C11731" s="140"/>
      <c r="D11731" s="140"/>
      <c r="E11731" s="140"/>
    </row>
    <row r="11732" spans="1:5">
      <c r="A11732" s="140"/>
      <c r="B11732" s="192"/>
      <c r="C11732" s="140"/>
      <c r="D11732" s="140"/>
      <c r="E11732" s="140"/>
    </row>
    <row r="11733" spans="1:5">
      <c r="A11733" s="140"/>
      <c r="B11733" s="192"/>
      <c r="C11733" s="140"/>
      <c r="D11733" s="140"/>
      <c r="E11733" s="140"/>
    </row>
    <row r="11734" spans="1:5">
      <c r="A11734" s="140"/>
      <c r="B11734" s="192"/>
      <c r="C11734" s="140"/>
      <c r="D11734" s="140"/>
      <c r="E11734" s="140"/>
    </row>
    <row r="11735" spans="1:5">
      <c r="A11735" s="140"/>
      <c r="B11735" s="192"/>
      <c r="C11735" s="140"/>
      <c r="D11735" s="140"/>
      <c r="E11735" s="140"/>
    </row>
    <row r="11736" spans="1:5">
      <c r="A11736" s="140"/>
      <c r="B11736" s="192"/>
      <c r="C11736" s="140"/>
      <c r="D11736" s="140"/>
      <c r="E11736" s="140"/>
    </row>
    <row r="11737" spans="1:5">
      <c r="A11737" s="140"/>
      <c r="B11737" s="192"/>
      <c r="C11737" s="140"/>
      <c r="D11737" s="140"/>
      <c r="E11737" s="140"/>
    </row>
    <row r="11738" spans="1:5">
      <c r="A11738" s="140"/>
      <c r="B11738" s="192"/>
      <c r="C11738" s="140"/>
      <c r="D11738" s="140"/>
      <c r="E11738" s="140"/>
    </row>
    <row r="11739" spans="1:5">
      <c r="A11739" s="140"/>
      <c r="B11739" s="192"/>
      <c r="C11739" s="140"/>
      <c r="D11739" s="140"/>
      <c r="E11739" s="140"/>
    </row>
    <row r="11740" spans="1:5">
      <c r="A11740" s="140"/>
      <c r="B11740" s="192"/>
      <c r="C11740" s="140"/>
      <c r="D11740" s="140"/>
      <c r="E11740" s="140"/>
    </row>
    <row r="11741" spans="1:5">
      <c r="A11741" s="140"/>
      <c r="B11741" s="192"/>
      <c r="C11741" s="140"/>
      <c r="D11741" s="140"/>
      <c r="E11741" s="140"/>
    </row>
    <row r="11742" spans="1:5">
      <c r="A11742" s="140"/>
      <c r="B11742" s="192"/>
      <c r="C11742" s="140"/>
      <c r="D11742" s="140"/>
      <c r="E11742" s="140"/>
    </row>
    <row r="11743" spans="1:5">
      <c r="A11743" s="140"/>
      <c r="B11743" s="192"/>
      <c r="C11743" s="140"/>
      <c r="D11743" s="140"/>
      <c r="E11743" s="140"/>
    </row>
    <row r="11744" spans="1:5">
      <c r="A11744" s="140"/>
      <c r="B11744" s="192"/>
      <c r="C11744" s="140"/>
      <c r="D11744" s="140"/>
      <c r="E11744" s="140"/>
    </row>
    <row r="11745" spans="1:5">
      <c r="A11745" s="140"/>
      <c r="B11745" s="192"/>
      <c r="C11745" s="140"/>
      <c r="D11745" s="140"/>
      <c r="E11745" s="140"/>
    </row>
    <row r="11746" spans="1:5">
      <c r="A11746" s="140"/>
      <c r="B11746" s="192"/>
      <c r="C11746" s="140"/>
      <c r="D11746" s="140"/>
      <c r="E11746" s="140"/>
    </row>
    <row r="11747" spans="1:5">
      <c r="A11747" s="140"/>
      <c r="B11747" s="192"/>
      <c r="C11747" s="140"/>
      <c r="D11747" s="140"/>
      <c r="E11747" s="140"/>
    </row>
    <row r="11748" spans="1:5">
      <c r="A11748" s="140"/>
      <c r="B11748" s="192"/>
      <c r="C11748" s="140"/>
      <c r="D11748" s="140"/>
      <c r="E11748" s="140"/>
    </row>
    <row r="11749" spans="1:5">
      <c r="A11749" s="140"/>
      <c r="B11749" s="192"/>
      <c r="C11749" s="140"/>
      <c r="D11749" s="140"/>
      <c r="E11749" s="140"/>
    </row>
    <row r="11750" spans="1:5">
      <c r="A11750" s="140"/>
      <c r="B11750" s="192"/>
      <c r="C11750" s="140"/>
      <c r="D11750" s="140"/>
      <c r="E11750" s="140"/>
    </row>
    <row r="11751" spans="1:5">
      <c r="A11751" s="140"/>
      <c r="B11751" s="192"/>
      <c r="C11751" s="140"/>
      <c r="D11751" s="140"/>
      <c r="E11751" s="140"/>
    </row>
    <row r="11752" spans="1:5">
      <c r="A11752" s="140"/>
      <c r="B11752" s="192"/>
      <c r="C11752" s="140"/>
      <c r="D11752" s="140"/>
      <c r="E11752" s="140"/>
    </row>
    <row r="11753" spans="1:5">
      <c r="A11753" s="140"/>
      <c r="B11753" s="192"/>
      <c r="C11753" s="140"/>
      <c r="D11753" s="140"/>
      <c r="E11753" s="140"/>
    </row>
    <row r="11754" spans="1:5">
      <c r="A11754" s="140"/>
      <c r="B11754" s="192"/>
      <c r="C11754" s="140"/>
      <c r="D11754" s="140"/>
      <c r="E11754" s="140"/>
    </row>
    <row r="11755" spans="1:5">
      <c r="A11755" s="140"/>
      <c r="B11755" s="192"/>
      <c r="C11755" s="140"/>
      <c r="D11755" s="140"/>
      <c r="E11755" s="140"/>
    </row>
    <row r="11756" spans="1:5">
      <c r="A11756" s="140"/>
      <c r="B11756" s="192"/>
      <c r="C11756" s="140"/>
      <c r="D11756" s="140"/>
      <c r="E11756" s="140"/>
    </row>
    <row r="11757" spans="1:5">
      <c r="A11757" s="140"/>
      <c r="B11757" s="192"/>
      <c r="C11757" s="140"/>
      <c r="D11757" s="140"/>
      <c r="E11757" s="140"/>
    </row>
    <row r="11758" spans="1:5">
      <c r="A11758" s="140"/>
      <c r="B11758" s="192"/>
      <c r="C11758" s="140"/>
      <c r="D11758" s="140"/>
      <c r="E11758" s="140"/>
    </row>
    <row r="11759" spans="1:5">
      <c r="A11759" s="140"/>
      <c r="B11759" s="192"/>
      <c r="C11759" s="140"/>
      <c r="D11759" s="140"/>
      <c r="E11759" s="140"/>
    </row>
    <row r="11760" spans="1:5">
      <c r="A11760" s="140"/>
      <c r="B11760" s="192"/>
      <c r="C11760" s="140"/>
      <c r="D11760" s="140"/>
      <c r="E11760" s="140"/>
    </row>
    <row r="11761" spans="1:5">
      <c r="A11761" s="140"/>
      <c r="B11761" s="192"/>
      <c r="C11761" s="140"/>
      <c r="D11761" s="140"/>
      <c r="E11761" s="140"/>
    </row>
    <row r="11762" spans="1:5">
      <c r="A11762" s="140"/>
      <c r="B11762" s="192"/>
      <c r="C11762" s="140"/>
      <c r="D11762" s="140"/>
      <c r="E11762" s="140"/>
    </row>
    <row r="11763" spans="1:5">
      <c r="A11763" s="140"/>
      <c r="B11763" s="192"/>
      <c r="C11763" s="140"/>
      <c r="D11763" s="140"/>
      <c r="E11763" s="140"/>
    </row>
    <row r="11764" spans="1:5">
      <c r="A11764" s="140"/>
      <c r="B11764" s="192"/>
      <c r="C11764" s="140"/>
      <c r="D11764" s="140"/>
      <c r="E11764" s="140"/>
    </row>
    <row r="11765" spans="1:5">
      <c r="A11765" s="140"/>
      <c r="B11765" s="192"/>
      <c r="C11765" s="140"/>
      <c r="D11765" s="140"/>
      <c r="E11765" s="140"/>
    </row>
    <row r="11766" spans="1:5">
      <c r="A11766" s="140"/>
      <c r="B11766" s="192"/>
      <c r="C11766" s="140"/>
      <c r="D11766" s="140"/>
      <c r="E11766" s="140"/>
    </row>
    <row r="11767" spans="1:5">
      <c r="A11767" s="140"/>
      <c r="B11767" s="192"/>
      <c r="C11767" s="140"/>
      <c r="D11767" s="140"/>
      <c r="E11767" s="140"/>
    </row>
    <row r="11768" spans="1:5">
      <c r="A11768" s="140"/>
      <c r="B11768" s="192"/>
      <c r="C11768" s="140"/>
      <c r="D11768" s="140"/>
      <c r="E11768" s="140"/>
    </row>
    <row r="11769" spans="1:5">
      <c r="A11769" s="140"/>
      <c r="B11769" s="192"/>
      <c r="C11769" s="140"/>
      <c r="D11769" s="140"/>
      <c r="E11769" s="140"/>
    </row>
    <row r="11770" spans="1:5">
      <c r="A11770" s="140"/>
      <c r="B11770" s="192"/>
      <c r="C11770" s="140"/>
      <c r="D11770" s="140"/>
      <c r="E11770" s="140"/>
    </row>
    <row r="11771" spans="1:5">
      <c r="A11771" s="140"/>
      <c r="B11771" s="192"/>
      <c r="C11771" s="140"/>
      <c r="D11771" s="140"/>
      <c r="E11771" s="140"/>
    </row>
    <row r="11772" spans="1:5">
      <c r="A11772" s="140"/>
      <c r="B11772" s="192"/>
      <c r="C11772" s="140"/>
      <c r="D11772" s="140"/>
      <c r="E11772" s="140"/>
    </row>
    <row r="11773" spans="1:5">
      <c r="A11773" s="140"/>
      <c r="B11773" s="192"/>
      <c r="C11773" s="140"/>
      <c r="D11773" s="140"/>
      <c r="E11773" s="140"/>
    </row>
    <row r="11774" spans="1:5">
      <c r="A11774" s="140"/>
      <c r="B11774" s="192"/>
      <c r="C11774" s="140"/>
      <c r="D11774" s="140"/>
      <c r="E11774" s="140"/>
    </row>
    <row r="11775" spans="1:5">
      <c r="A11775" s="140"/>
      <c r="B11775" s="192"/>
      <c r="C11775" s="140"/>
      <c r="D11775" s="140"/>
      <c r="E11775" s="140"/>
    </row>
    <row r="11776" spans="1:5">
      <c r="A11776" s="140"/>
      <c r="B11776" s="192"/>
      <c r="C11776" s="140"/>
      <c r="D11776" s="140"/>
      <c r="E11776" s="140"/>
    </row>
    <row r="11777" spans="1:5">
      <c r="A11777" s="140"/>
      <c r="B11777" s="192"/>
      <c r="C11777" s="140"/>
      <c r="D11777" s="140"/>
      <c r="E11777" s="140"/>
    </row>
    <row r="11778" spans="1:5">
      <c r="A11778" s="140"/>
      <c r="B11778" s="192"/>
      <c r="C11778" s="140"/>
      <c r="D11778" s="140"/>
      <c r="E11778" s="140"/>
    </row>
    <row r="11779" spans="1:5">
      <c r="A11779" s="140"/>
      <c r="B11779" s="192"/>
      <c r="C11779" s="140"/>
      <c r="D11779" s="140"/>
      <c r="E11779" s="140"/>
    </row>
    <row r="11780" spans="1:5">
      <c r="A11780" s="140"/>
      <c r="B11780" s="192"/>
      <c r="C11780" s="140"/>
      <c r="D11780" s="140"/>
      <c r="E11780" s="140"/>
    </row>
    <row r="11781" spans="1:5">
      <c r="A11781" s="140"/>
      <c r="B11781" s="192"/>
      <c r="C11781" s="140"/>
      <c r="D11781" s="140"/>
      <c r="E11781" s="140"/>
    </row>
    <row r="11782" spans="1:5">
      <c r="A11782" s="140"/>
      <c r="B11782" s="192"/>
      <c r="C11782" s="140"/>
      <c r="D11782" s="140"/>
      <c r="E11782" s="140"/>
    </row>
    <row r="11783" spans="1:5">
      <c r="A11783" s="140"/>
      <c r="B11783" s="192"/>
      <c r="C11783" s="140"/>
      <c r="D11783" s="140"/>
      <c r="E11783" s="140"/>
    </row>
    <row r="11784" spans="1:5">
      <c r="A11784" s="140"/>
      <c r="B11784" s="192"/>
      <c r="C11784" s="140"/>
      <c r="D11784" s="140"/>
      <c r="E11784" s="140"/>
    </row>
    <row r="11785" spans="1:5">
      <c r="A11785" s="140"/>
      <c r="B11785" s="192"/>
      <c r="C11785" s="140"/>
      <c r="D11785" s="140"/>
      <c r="E11785" s="140"/>
    </row>
    <row r="11786" spans="1:5">
      <c r="A11786" s="140"/>
      <c r="B11786" s="192"/>
      <c r="C11786" s="140"/>
      <c r="D11786" s="140"/>
      <c r="E11786" s="140"/>
    </row>
    <row r="11787" spans="1:5">
      <c r="A11787" s="140"/>
      <c r="B11787" s="192"/>
      <c r="C11787" s="140"/>
      <c r="D11787" s="140"/>
      <c r="E11787" s="140"/>
    </row>
    <row r="11788" spans="1:5">
      <c r="A11788" s="140"/>
      <c r="B11788" s="192"/>
      <c r="C11788" s="140"/>
      <c r="D11788" s="140"/>
      <c r="E11788" s="140"/>
    </row>
    <row r="11789" spans="1:5">
      <c r="A11789" s="140"/>
      <c r="B11789" s="192"/>
      <c r="C11789" s="140"/>
      <c r="D11789" s="140"/>
      <c r="E11789" s="140"/>
    </row>
    <row r="11790" spans="1:5">
      <c r="A11790" s="140"/>
      <c r="B11790" s="192"/>
      <c r="C11790" s="140"/>
      <c r="D11790" s="140"/>
      <c r="E11790" s="140"/>
    </row>
    <row r="11791" spans="1:5">
      <c r="A11791" s="140"/>
      <c r="B11791" s="192"/>
      <c r="C11791" s="140"/>
      <c r="D11791" s="140"/>
      <c r="E11791" s="140"/>
    </row>
    <row r="11792" spans="1:5">
      <c r="A11792" s="140"/>
      <c r="B11792" s="192"/>
      <c r="C11792" s="140"/>
      <c r="D11792" s="140"/>
      <c r="E11792" s="140"/>
    </row>
    <row r="11793" spans="1:5">
      <c r="A11793" s="140"/>
      <c r="B11793" s="192"/>
      <c r="C11793" s="140"/>
      <c r="D11793" s="140"/>
      <c r="E11793" s="140"/>
    </row>
    <row r="11794" spans="1:5">
      <c r="A11794" s="140"/>
      <c r="B11794" s="192"/>
      <c r="C11794" s="140"/>
      <c r="D11794" s="140"/>
      <c r="E11794" s="140"/>
    </row>
    <row r="11795" spans="1:5">
      <c r="A11795" s="140"/>
      <c r="B11795" s="192"/>
      <c r="C11795" s="140"/>
      <c r="D11795" s="140"/>
      <c r="E11795" s="140"/>
    </row>
    <row r="11796" spans="1:5">
      <c r="A11796" s="140"/>
      <c r="B11796" s="192"/>
      <c r="C11796" s="140"/>
      <c r="D11796" s="140"/>
      <c r="E11796" s="140"/>
    </row>
    <row r="11797" spans="1:5">
      <c r="A11797" s="140"/>
      <c r="B11797" s="192"/>
      <c r="C11797" s="140"/>
      <c r="D11797" s="140"/>
      <c r="E11797" s="140"/>
    </row>
    <row r="11798" spans="1:5">
      <c r="A11798" s="140"/>
      <c r="B11798" s="192"/>
      <c r="C11798" s="140"/>
      <c r="D11798" s="140"/>
      <c r="E11798" s="140"/>
    </row>
    <row r="11799" spans="1:5">
      <c r="A11799" s="140"/>
      <c r="B11799" s="192"/>
      <c r="C11799" s="140"/>
      <c r="D11799" s="140"/>
      <c r="E11799" s="140"/>
    </row>
    <row r="11800" spans="1:5">
      <c r="A11800" s="140"/>
      <c r="B11800" s="192"/>
      <c r="C11800" s="140"/>
      <c r="D11800" s="140"/>
      <c r="E11800" s="140"/>
    </row>
    <row r="11801" spans="1:5">
      <c r="A11801" s="140"/>
      <c r="B11801" s="192"/>
      <c r="C11801" s="140"/>
      <c r="D11801" s="140"/>
      <c r="E11801" s="140"/>
    </row>
    <row r="11802" spans="1:5">
      <c r="A11802" s="140"/>
      <c r="B11802" s="192"/>
      <c r="C11802" s="140"/>
      <c r="D11802" s="140"/>
      <c r="E11802" s="140"/>
    </row>
    <row r="11803" spans="1:5">
      <c r="A11803" s="140"/>
      <c r="B11803" s="192"/>
      <c r="C11803" s="140"/>
      <c r="D11803" s="140"/>
      <c r="E11803" s="140"/>
    </row>
    <row r="11804" spans="1:5">
      <c r="A11804" s="140"/>
      <c r="B11804" s="192"/>
      <c r="C11804" s="140"/>
      <c r="D11804" s="140"/>
      <c r="E11804" s="140"/>
    </row>
    <row r="11805" spans="1:5">
      <c r="A11805" s="140"/>
      <c r="B11805" s="192"/>
      <c r="C11805" s="140"/>
      <c r="D11805" s="140"/>
      <c r="E11805" s="140"/>
    </row>
    <row r="11806" spans="1:5">
      <c r="A11806" s="140"/>
      <c r="B11806" s="192"/>
      <c r="C11806" s="140"/>
      <c r="D11806" s="140"/>
      <c r="E11806" s="140"/>
    </row>
    <row r="11807" spans="1:5">
      <c r="A11807" s="140"/>
      <c r="B11807" s="192"/>
      <c r="C11807" s="140"/>
      <c r="D11807" s="140"/>
      <c r="E11807" s="140"/>
    </row>
    <row r="11808" spans="1:5">
      <c r="A11808" s="140"/>
      <c r="B11808" s="192"/>
      <c r="C11808" s="140"/>
      <c r="D11808" s="140"/>
      <c r="E11808" s="140"/>
    </row>
    <row r="11809" spans="1:5">
      <c r="A11809" s="140"/>
      <c r="B11809" s="192"/>
      <c r="C11809" s="140"/>
      <c r="D11809" s="140"/>
      <c r="E11809" s="140"/>
    </row>
    <row r="11810" spans="1:5">
      <c r="A11810" s="140"/>
      <c r="B11810" s="192"/>
      <c r="C11810" s="140"/>
      <c r="D11810" s="140"/>
      <c r="E11810" s="140"/>
    </row>
    <row r="11811" spans="1:5">
      <c r="A11811" s="140"/>
      <c r="B11811" s="192"/>
      <c r="C11811" s="140"/>
      <c r="D11811" s="140"/>
      <c r="E11811" s="140"/>
    </row>
    <row r="11812" spans="1:5">
      <c r="A11812" s="140"/>
      <c r="B11812" s="192"/>
      <c r="C11812" s="140"/>
      <c r="D11812" s="140"/>
      <c r="E11812" s="140"/>
    </row>
    <row r="11813" spans="1:5">
      <c r="A11813" s="140"/>
      <c r="B11813" s="192"/>
      <c r="C11813" s="140"/>
      <c r="D11813" s="140"/>
      <c r="E11813" s="140"/>
    </row>
    <row r="11814" spans="1:5">
      <c r="A11814" s="140"/>
      <c r="B11814" s="192"/>
      <c r="C11814" s="140"/>
      <c r="D11814" s="140"/>
      <c r="E11814" s="140"/>
    </row>
    <row r="11815" spans="1:5">
      <c r="A11815" s="140"/>
      <c r="B11815" s="192"/>
      <c r="C11815" s="140"/>
      <c r="D11815" s="140"/>
      <c r="E11815" s="140"/>
    </row>
    <row r="11816" spans="1:5">
      <c r="A11816" s="140"/>
      <c r="B11816" s="192"/>
      <c r="C11816" s="140"/>
      <c r="D11816" s="140"/>
      <c r="E11816" s="140"/>
    </row>
    <row r="11817" spans="1:5">
      <c r="A11817" s="140"/>
      <c r="B11817" s="192"/>
      <c r="C11817" s="140"/>
      <c r="D11817" s="140"/>
      <c r="E11817" s="140"/>
    </row>
    <row r="11818" spans="1:5">
      <c r="A11818" s="140"/>
      <c r="B11818" s="192"/>
      <c r="C11818" s="140"/>
      <c r="D11818" s="140"/>
      <c r="E11818" s="140"/>
    </row>
    <row r="11819" spans="1:5">
      <c r="A11819" s="140"/>
      <c r="B11819" s="192"/>
      <c r="C11819" s="140"/>
      <c r="D11819" s="140"/>
      <c r="E11819" s="140"/>
    </row>
    <row r="11820" spans="1:5">
      <c r="A11820" s="140"/>
      <c r="B11820" s="192"/>
      <c r="C11820" s="140"/>
      <c r="D11820" s="140"/>
      <c r="E11820" s="140"/>
    </row>
    <row r="11821" spans="1:5">
      <c r="A11821" s="140"/>
      <c r="B11821" s="192"/>
      <c r="C11821" s="140"/>
      <c r="D11821" s="140"/>
      <c r="E11821" s="140"/>
    </row>
    <row r="11822" spans="1:5">
      <c r="A11822" s="140"/>
      <c r="B11822" s="192"/>
      <c r="C11822" s="140"/>
      <c r="D11822" s="140"/>
      <c r="E11822" s="140"/>
    </row>
    <row r="11823" spans="1:5">
      <c r="A11823" s="140"/>
      <c r="B11823" s="192"/>
      <c r="C11823" s="140"/>
      <c r="D11823" s="140"/>
      <c r="E11823" s="140"/>
    </row>
    <row r="11824" spans="1:5">
      <c r="A11824" s="140"/>
      <c r="B11824" s="192"/>
      <c r="C11824" s="140"/>
      <c r="D11824" s="140"/>
      <c r="E11824" s="140"/>
    </row>
    <row r="11825" spans="1:5">
      <c r="A11825" s="140"/>
      <c r="B11825" s="192"/>
      <c r="C11825" s="140"/>
      <c r="D11825" s="140"/>
      <c r="E11825" s="140"/>
    </row>
    <row r="11826" spans="1:5">
      <c r="A11826" s="140"/>
      <c r="B11826" s="192"/>
      <c r="C11826" s="140"/>
      <c r="D11826" s="140"/>
      <c r="E11826" s="140"/>
    </row>
    <row r="11827" spans="1:5">
      <c r="A11827" s="140"/>
      <c r="B11827" s="192"/>
      <c r="C11827" s="140"/>
      <c r="D11827" s="140"/>
      <c r="E11827" s="140"/>
    </row>
    <row r="11828" spans="1:5">
      <c r="A11828" s="140"/>
      <c r="B11828" s="192"/>
      <c r="C11828" s="140"/>
      <c r="D11828" s="140"/>
      <c r="E11828" s="140"/>
    </row>
    <row r="11829" spans="1:5">
      <c r="A11829" s="140"/>
      <c r="B11829" s="192"/>
      <c r="C11829" s="140"/>
      <c r="D11829" s="140"/>
      <c r="E11829" s="140"/>
    </row>
    <row r="11830" spans="1:5">
      <c r="A11830" s="140"/>
      <c r="B11830" s="192"/>
      <c r="C11830" s="140"/>
      <c r="D11830" s="140"/>
      <c r="E11830" s="140"/>
    </row>
    <row r="11831" spans="1:5">
      <c r="A11831" s="140"/>
      <c r="B11831" s="192"/>
      <c r="C11831" s="140"/>
      <c r="D11831" s="140"/>
      <c r="E11831" s="140"/>
    </row>
    <row r="11832" spans="1:5">
      <c r="A11832" s="140"/>
      <c r="B11832" s="192"/>
      <c r="C11832" s="140"/>
      <c r="D11832" s="140"/>
      <c r="E11832" s="140"/>
    </row>
    <row r="11833" spans="1:5">
      <c r="A11833" s="140"/>
      <c r="B11833" s="192"/>
      <c r="C11833" s="140"/>
      <c r="D11833" s="140"/>
      <c r="E11833" s="140"/>
    </row>
    <row r="11834" spans="1:5">
      <c r="A11834" s="140"/>
      <c r="B11834" s="192"/>
      <c r="C11834" s="140"/>
      <c r="D11834" s="140"/>
      <c r="E11834" s="140"/>
    </row>
    <row r="11835" spans="1:5">
      <c r="A11835" s="140"/>
      <c r="B11835" s="192"/>
      <c r="C11835" s="140"/>
      <c r="D11835" s="140"/>
      <c r="E11835" s="140"/>
    </row>
    <row r="11836" spans="1:5">
      <c r="A11836" s="140"/>
      <c r="B11836" s="192"/>
      <c r="C11836" s="140"/>
      <c r="D11836" s="140"/>
      <c r="E11836" s="140"/>
    </row>
    <row r="11837" spans="1:5">
      <c r="A11837" s="140"/>
      <c r="B11837" s="192"/>
      <c r="C11837" s="140"/>
      <c r="D11837" s="140"/>
      <c r="E11837" s="140"/>
    </row>
    <row r="11838" spans="1:5">
      <c r="A11838" s="140"/>
      <c r="B11838" s="192"/>
      <c r="C11838" s="140"/>
      <c r="D11838" s="140"/>
      <c r="E11838" s="140"/>
    </row>
    <row r="11839" spans="1:5">
      <c r="A11839" s="140"/>
      <c r="B11839" s="192"/>
      <c r="C11839" s="140"/>
      <c r="D11839" s="140"/>
      <c r="E11839" s="140"/>
    </row>
    <row r="11840" spans="1:5">
      <c r="A11840" s="140"/>
      <c r="B11840" s="192"/>
      <c r="C11840" s="140"/>
      <c r="D11840" s="140"/>
      <c r="E11840" s="140"/>
    </row>
    <row r="11841" spans="1:5">
      <c r="A11841" s="140"/>
      <c r="B11841" s="192"/>
      <c r="C11841" s="140"/>
      <c r="D11841" s="140"/>
      <c r="E11841" s="140"/>
    </row>
    <row r="11842" spans="1:5">
      <c r="A11842" s="140"/>
      <c r="B11842" s="192"/>
      <c r="C11842" s="140"/>
      <c r="D11842" s="140"/>
      <c r="E11842" s="140"/>
    </row>
    <row r="11843" spans="1:5">
      <c r="A11843" s="140"/>
      <c r="B11843" s="192"/>
      <c r="C11843" s="140"/>
      <c r="D11843" s="140"/>
      <c r="E11843" s="140"/>
    </row>
    <row r="11844" spans="1:5">
      <c r="A11844" s="140"/>
      <c r="B11844" s="192"/>
      <c r="C11844" s="140"/>
      <c r="D11844" s="140"/>
      <c r="E11844" s="140"/>
    </row>
    <row r="11845" spans="1:5">
      <c r="A11845" s="140"/>
      <c r="B11845" s="192"/>
      <c r="C11845" s="140"/>
      <c r="D11845" s="140"/>
      <c r="E11845" s="140"/>
    </row>
    <row r="11846" spans="1:5">
      <c r="A11846" s="140"/>
      <c r="B11846" s="192"/>
      <c r="C11846" s="140"/>
      <c r="D11846" s="140"/>
      <c r="E11846" s="140"/>
    </row>
    <row r="11847" spans="1:5">
      <c r="A11847" s="140"/>
      <c r="B11847" s="192"/>
      <c r="C11847" s="140"/>
      <c r="D11847" s="140"/>
      <c r="E11847" s="140"/>
    </row>
    <row r="11848" spans="1:5">
      <c r="A11848" s="140"/>
      <c r="B11848" s="192"/>
      <c r="C11848" s="140"/>
      <c r="D11848" s="140"/>
      <c r="E11848" s="140"/>
    </row>
    <row r="11849" spans="1:5">
      <c r="A11849" s="140"/>
      <c r="B11849" s="192"/>
      <c r="C11849" s="140"/>
      <c r="D11849" s="140"/>
      <c r="E11849" s="140"/>
    </row>
    <row r="11850" spans="1:5">
      <c r="A11850" s="140"/>
      <c r="B11850" s="192"/>
      <c r="C11850" s="140"/>
      <c r="D11850" s="140"/>
      <c r="E11850" s="140"/>
    </row>
    <row r="11851" spans="1:5">
      <c r="A11851" s="140"/>
      <c r="B11851" s="192"/>
      <c r="C11851" s="140"/>
      <c r="D11851" s="140"/>
      <c r="E11851" s="140"/>
    </row>
    <row r="11852" spans="1:5">
      <c r="A11852" s="140"/>
      <c r="B11852" s="192"/>
      <c r="C11852" s="140"/>
      <c r="D11852" s="140"/>
      <c r="E11852" s="140"/>
    </row>
    <row r="11853" spans="1:5">
      <c r="A11853" s="140"/>
      <c r="B11853" s="192"/>
      <c r="C11853" s="140"/>
      <c r="D11853" s="140"/>
      <c r="E11853" s="140"/>
    </row>
    <row r="11854" spans="1:5">
      <c r="A11854" s="140"/>
      <c r="B11854" s="192"/>
      <c r="C11854" s="140"/>
      <c r="D11854" s="140"/>
      <c r="E11854" s="140"/>
    </row>
    <row r="11855" spans="1:5">
      <c r="A11855" s="140"/>
      <c r="B11855" s="192"/>
      <c r="C11855" s="140"/>
      <c r="D11855" s="140"/>
      <c r="E11855" s="140"/>
    </row>
    <row r="11856" spans="1:5">
      <c r="A11856" s="140"/>
      <c r="B11856" s="192"/>
      <c r="C11856" s="140"/>
      <c r="D11856" s="140"/>
      <c r="E11856" s="140"/>
    </row>
    <row r="11857" spans="1:5">
      <c r="A11857" s="140"/>
      <c r="B11857" s="192"/>
      <c r="C11857" s="140"/>
      <c r="D11857" s="140"/>
      <c r="E11857" s="140"/>
    </row>
    <row r="11858" spans="1:5">
      <c r="A11858" s="140"/>
      <c r="B11858" s="192"/>
      <c r="C11858" s="140"/>
      <c r="D11858" s="140"/>
      <c r="E11858" s="140"/>
    </row>
    <row r="11859" spans="1:5">
      <c r="A11859" s="140"/>
      <c r="B11859" s="192"/>
      <c r="C11859" s="140"/>
      <c r="D11859" s="140"/>
      <c r="E11859" s="140"/>
    </row>
    <row r="11860" spans="1:5">
      <c r="A11860" s="140"/>
      <c r="B11860" s="192"/>
      <c r="C11860" s="140"/>
      <c r="D11860" s="140"/>
      <c r="E11860" s="140"/>
    </row>
    <row r="11861" spans="1:5">
      <c r="A11861" s="140"/>
      <c r="B11861" s="192"/>
      <c r="C11861" s="140"/>
      <c r="D11861" s="140"/>
      <c r="E11861" s="140"/>
    </row>
    <row r="11862" spans="1:5">
      <c r="A11862" s="140"/>
      <c r="B11862" s="192"/>
      <c r="C11862" s="140"/>
      <c r="D11862" s="140"/>
      <c r="E11862" s="140"/>
    </row>
    <row r="11863" spans="1:5">
      <c r="A11863" s="140"/>
      <c r="B11863" s="192"/>
      <c r="C11863" s="140"/>
      <c r="D11863" s="140"/>
      <c r="E11863" s="140"/>
    </row>
    <row r="11864" spans="1:5">
      <c r="A11864" s="140"/>
      <c r="B11864" s="192"/>
      <c r="C11864" s="140"/>
      <c r="D11864" s="140"/>
      <c r="E11864" s="140"/>
    </row>
    <row r="11865" spans="1:5">
      <c r="A11865" s="140"/>
      <c r="B11865" s="192"/>
      <c r="C11865" s="140"/>
      <c r="D11865" s="140"/>
      <c r="E11865" s="140"/>
    </row>
    <row r="11866" spans="1:5">
      <c r="A11866" s="140"/>
      <c r="B11866" s="192"/>
      <c r="C11866" s="140"/>
      <c r="D11866" s="140"/>
      <c r="E11866" s="140"/>
    </row>
    <row r="11867" spans="1:5">
      <c r="A11867" s="140"/>
      <c r="B11867" s="192"/>
      <c r="C11867" s="140"/>
      <c r="D11867" s="140"/>
      <c r="E11867" s="140"/>
    </row>
    <row r="11868" spans="1:5">
      <c r="A11868" s="140"/>
      <c r="B11868" s="192"/>
      <c r="C11868" s="140"/>
      <c r="D11868" s="140"/>
      <c r="E11868" s="140"/>
    </row>
    <row r="11869" spans="1:5">
      <c r="A11869" s="140"/>
      <c r="B11869" s="192"/>
      <c r="C11869" s="140"/>
      <c r="D11869" s="140"/>
      <c r="E11869" s="140"/>
    </row>
    <row r="11870" spans="1:5">
      <c r="A11870" s="140"/>
      <c r="B11870" s="192"/>
      <c r="C11870" s="140"/>
      <c r="D11870" s="140"/>
      <c r="E11870" s="140"/>
    </row>
    <row r="11871" spans="1:5">
      <c r="A11871" s="140"/>
      <c r="B11871" s="192"/>
      <c r="C11871" s="140"/>
      <c r="D11871" s="140"/>
      <c r="E11871" s="140"/>
    </row>
    <row r="11872" spans="1:5">
      <c r="A11872" s="140"/>
      <c r="B11872" s="192"/>
      <c r="C11872" s="140"/>
      <c r="D11872" s="140"/>
      <c r="E11872" s="140"/>
    </row>
    <row r="11873" spans="1:5">
      <c r="A11873" s="140"/>
      <c r="B11873" s="192"/>
      <c r="C11873" s="140"/>
      <c r="D11873" s="140"/>
      <c r="E11873" s="140"/>
    </row>
    <row r="11874" spans="1:5">
      <c r="A11874" s="140"/>
      <c r="B11874" s="192"/>
      <c r="C11874" s="140"/>
      <c r="D11874" s="140"/>
      <c r="E11874" s="140"/>
    </row>
    <row r="11875" spans="1:5">
      <c r="A11875" s="140"/>
      <c r="B11875" s="192"/>
      <c r="C11875" s="140"/>
      <c r="D11875" s="140"/>
      <c r="E11875" s="140"/>
    </row>
    <row r="11876" spans="1:5">
      <c r="A11876" s="140"/>
      <c r="B11876" s="192"/>
      <c r="C11876" s="140"/>
      <c r="D11876" s="140"/>
      <c r="E11876" s="140"/>
    </row>
    <row r="11877" spans="1:5">
      <c r="A11877" s="140"/>
      <c r="B11877" s="192"/>
      <c r="C11877" s="140"/>
      <c r="D11877" s="140"/>
      <c r="E11877" s="140"/>
    </row>
    <row r="11878" spans="1:5">
      <c r="A11878" s="140"/>
      <c r="B11878" s="192"/>
      <c r="C11878" s="140"/>
      <c r="D11878" s="140"/>
      <c r="E11878" s="140"/>
    </row>
    <row r="11879" spans="1:5">
      <c r="A11879" s="140"/>
      <c r="B11879" s="192"/>
      <c r="C11879" s="140"/>
      <c r="D11879" s="140"/>
      <c r="E11879" s="140"/>
    </row>
    <row r="11880" spans="1:5">
      <c r="A11880" s="140"/>
      <c r="B11880" s="192"/>
      <c r="C11880" s="140"/>
      <c r="D11880" s="140"/>
      <c r="E11880" s="140"/>
    </row>
    <row r="11881" spans="1:5">
      <c r="A11881" s="140"/>
      <c r="B11881" s="192"/>
      <c r="C11881" s="140"/>
      <c r="D11881" s="140"/>
      <c r="E11881" s="140"/>
    </row>
    <row r="11882" spans="1:5">
      <c r="A11882" s="140"/>
      <c r="B11882" s="192"/>
      <c r="C11882" s="140"/>
      <c r="D11882" s="140"/>
      <c r="E11882" s="140"/>
    </row>
    <row r="11883" spans="1:5">
      <c r="A11883" s="140"/>
      <c r="B11883" s="192"/>
      <c r="C11883" s="140"/>
      <c r="D11883" s="140"/>
      <c r="E11883" s="140"/>
    </row>
    <row r="11884" spans="1:5">
      <c r="A11884" s="140"/>
      <c r="B11884" s="192"/>
      <c r="C11884" s="140"/>
      <c r="D11884" s="140"/>
      <c r="E11884" s="140"/>
    </row>
    <row r="11885" spans="1:5">
      <c r="A11885" s="140"/>
      <c r="B11885" s="192"/>
      <c r="C11885" s="140"/>
      <c r="D11885" s="140"/>
      <c r="E11885" s="140"/>
    </row>
    <row r="11886" spans="1:5">
      <c r="A11886" s="140"/>
      <c r="B11886" s="192"/>
      <c r="C11886" s="140"/>
      <c r="D11886" s="140"/>
      <c r="E11886" s="140"/>
    </row>
    <row r="11887" spans="1:5">
      <c r="A11887" s="140"/>
      <c r="B11887" s="192"/>
      <c r="C11887" s="140"/>
      <c r="D11887" s="140"/>
      <c r="E11887" s="140"/>
    </row>
    <row r="11888" spans="1:5">
      <c r="A11888" s="140"/>
      <c r="B11888" s="192"/>
      <c r="C11888" s="140"/>
      <c r="D11888" s="140"/>
      <c r="E11888" s="140"/>
    </row>
    <row r="11889" spans="1:5">
      <c r="A11889" s="140"/>
      <c r="B11889" s="192"/>
      <c r="C11889" s="140"/>
      <c r="D11889" s="140"/>
      <c r="E11889" s="140"/>
    </row>
    <row r="11890" spans="1:5">
      <c r="A11890" s="140"/>
      <c r="B11890" s="192"/>
      <c r="C11890" s="140"/>
      <c r="D11890" s="140"/>
      <c r="E11890" s="140"/>
    </row>
    <row r="11891" spans="1:5">
      <c r="A11891" s="140"/>
      <c r="B11891" s="192"/>
      <c r="C11891" s="140"/>
      <c r="D11891" s="140"/>
      <c r="E11891" s="140"/>
    </row>
    <row r="11892" spans="1:5">
      <c r="A11892" s="140"/>
      <c r="B11892" s="192"/>
      <c r="C11892" s="140"/>
      <c r="D11892" s="140"/>
      <c r="E11892" s="140"/>
    </row>
    <row r="11893" spans="1:5">
      <c r="A11893" s="140"/>
      <c r="B11893" s="192"/>
      <c r="C11893" s="140"/>
      <c r="D11893" s="140"/>
      <c r="E11893" s="140"/>
    </row>
    <row r="11894" spans="1:5">
      <c r="A11894" s="140"/>
      <c r="B11894" s="192"/>
      <c r="C11894" s="140"/>
      <c r="D11894" s="140"/>
      <c r="E11894" s="140"/>
    </row>
    <row r="11895" spans="1:5">
      <c r="A11895" s="140"/>
      <c r="B11895" s="192"/>
      <c r="C11895" s="140"/>
      <c r="D11895" s="140"/>
      <c r="E11895" s="140"/>
    </row>
    <row r="11896" spans="1:5">
      <c r="A11896" s="140"/>
      <c r="B11896" s="192"/>
      <c r="C11896" s="140"/>
      <c r="D11896" s="140"/>
      <c r="E11896" s="140"/>
    </row>
    <row r="11897" spans="1:5">
      <c r="A11897" s="140"/>
      <c r="B11897" s="192"/>
      <c r="C11897" s="140"/>
      <c r="D11897" s="140"/>
      <c r="E11897" s="140"/>
    </row>
    <row r="11898" spans="1:5">
      <c r="A11898" s="140"/>
      <c r="B11898" s="192"/>
      <c r="C11898" s="140"/>
      <c r="D11898" s="140"/>
      <c r="E11898" s="140"/>
    </row>
    <row r="11899" spans="1:5">
      <c r="A11899" s="140"/>
      <c r="B11899" s="192"/>
      <c r="C11899" s="140"/>
      <c r="D11899" s="140"/>
      <c r="E11899" s="140"/>
    </row>
    <row r="11900" spans="1:5">
      <c r="A11900" s="140"/>
      <c r="B11900" s="192"/>
      <c r="C11900" s="140"/>
      <c r="D11900" s="140"/>
      <c r="E11900" s="140"/>
    </row>
    <row r="11901" spans="1:5">
      <c r="A11901" s="140"/>
      <c r="B11901" s="192"/>
      <c r="C11901" s="140"/>
      <c r="D11901" s="140"/>
      <c r="E11901" s="140"/>
    </row>
    <row r="11902" spans="1:5">
      <c r="A11902" s="140"/>
      <c r="B11902" s="192"/>
      <c r="C11902" s="140"/>
      <c r="D11902" s="140"/>
      <c r="E11902" s="140"/>
    </row>
    <row r="11903" spans="1:5">
      <c r="A11903" s="140"/>
      <c r="B11903" s="192"/>
      <c r="C11903" s="140"/>
      <c r="D11903" s="140"/>
      <c r="E11903" s="140"/>
    </row>
    <row r="11904" spans="1:5">
      <c r="A11904" s="140"/>
      <c r="B11904" s="192"/>
      <c r="C11904" s="140"/>
      <c r="D11904" s="140"/>
      <c r="E11904" s="140"/>
    </row>
    <row r="11905" spans="1:5">
      <c r="A11905" s="140"/>
      <c r="B11905" s="192"/>
      <c r="C11905" s="140"/>
      <c r="D11905" s="140"/>
      <c r="E11905" s="140"/>
    </row>
    <row r="11906" spans="1:5">
      <c r="A11906" s="140"/>
      <c r="B11906" s="192"/>
      <c r="C11906" s="140"/>
      <c r="D11906" s="140"/>
      <c r="E11906" s="140"/>
    </row>
    <row r="11907" spans="1:5">
      <c r="A11907" s="140"/>
      <c r="B11907" s="192"/>
      <c r="C11907" s="140"/>
      <c r="D11907" s="140"/>
      <c r="E11907" s="140"/>
    </row>
    <row r="11908" spans="1:5">
      <c r="A11908" s="140"/>
      <c r="B11908" s="192"/>
      <c r="C11908" s="140"/>
      <c r="D11908" s="140"/>
      <c r="E11908" s="140"/>
    </row>
    <row r="11909" spans="1:5">
      <c r="A11909" s="140"/>
      <c r="B11909" s="192"/>
      <c r="C11909" s="140"/>
      <c r="D11909" s="140"/>
      <c r="E11909" s="140"/>
    </row>
    <row r="11910" spans="1:5">
      <c r="A11910" s="140"/>
      <c r="B11910" s="192"/>
      <c r="C11910" s="140"/>
      <c r="D11910" s="140"/>
      <c r="E11910" s="140"/>
    </row>
    <row r="11911" spans="1:5">
      <c r="A11911" s="140"/>
      <c r="B11911" s="192"/>
      <c r="C11911" s="140"/>
      <c r="D11911" s="140"/>
      <c r="E11911" s="140"/>
    </row>
    <row r="11912" spans="1:5">
      <c r="A11912" s="140"/>
      <c r="B11912" s="192"/>
      <c r="C11912" s="140"/>
      <c r="D11912" s="140"/>
      <c r="E11912" s="140"/>
    </row>
    <row r="11913" spans="1:5">
      <c r="A11913" s="140"/>
      <c r="B11913" s="192"/>
      <c r="C11913" s="140"/>
      <c r="D11913" s="140"/>
      <c r="E11913" s="140"/>
    </row>
    <row r="11914" spans="1:5">
      <c r="A11914" s="140"/>
      <c r="B11914" s="192"/>
      <c r="C11914" s="140"/>
      <c r="D11914" s="140"/>
      <c r="E11914" s="140"/>
    </row>
    <row r="11915" spans="1:5">
      <c r="A11915" s="140"/>
      <c r="B11915" s="192"/>
      <c r="C11915" s="140"/>
      <c r="D11915" s="140"/>
      <c r="E11915" s="140"/>
    </row>
    <row r="11916" spans="1:5">
      <c r="A11916" s="140"/>
      <c r="B11916" s="192"/>
      <c r="C11916" s="140"/>
      <c r="D11916" s="140"/>
      <c r="E11916" s="140"/>
    </row>
    <row r="11917" spans="1:5">
      <c r="A11917" s="140"/>
      <c r="B11917" s="192"/>
      <c r="C11917" s="140"/>
      <c r="D11917" s="140"/>
      <c r="E11917" s="140"/>
    </row>
    <row r="11918" spans="1:5">
      <c r="A11918" s="140"/>
      <c r="B11918" s="192"/>
      <c r="C11918" s="140"/>
      <c r="D11918" s="140"/>
      <c r="E11918" s="140"/>
    </row>
    <row r="11919" spans="1:5">
      <c r="A11919" s="140"/>
      <c r="B11919" s="192"/>
      <c r="C11919" s="140"/>
      <c r="D11919" s="140"/>
      <c r="E11919" s="140"/>
    </row>
    <row r="11920" spans="1:5">
      <c r="A11920" s="140"/>
      <c r="B11920" s="192"/>
      <c r="C11920" s="140"/>
      <c r="D11920" s="140"/>
      <c r="E11920" s="140"/>
    </row>
    <row r="11921" spans="1:5">
      <c r="A11921" s="140"/>
      <c r="B11921" s="192"/>
      <c r="C11921" s="140"/>
      <c r="D11921" s="140"/>
      <c r="E11921" s="140"/>
    </row>
    <row r="11922" spans="1:5">
      <c r="A11922" s="140"/>
      <c r="B11922" s="192"/>
      <c r="C11922" s="140"/>
      <c r="D11922" s="140"/>
      <c r="E11922" s="140"/>
    </row>
    <row r="11923" spans="1:5">
      <c r="A11923" s="140"/>
      <c r="B11923" s="192"/>
      <c r="C11923" s="140"/>
      <c r="D11923" s="140"/>
      <c r="E11923" s="140"/>
    </row>
    <row r="11924" spans="1:5">
      <c r="A11924" s="140"/>
      <c r="B11924" s="192"/>
      <c r="C11924" s="140"/>
      <c r="D11924" s="140"/>
      <c r="E11924" s="140"/>
    </row>
    <row r="11925" spans="1:5">
      <c r="A11925" s="140"/>
      <c r="B11925" s="192"/>
      <c r="C11925" s="140"/>
      <c r="D11925" s="140"/>
      <c r="E11925" s="140"/>
    </row>
    <row r="11926" spans="1:5">
      <c r="A11926" s="140"/>
      <c r="B11926" s="192"/>
      <c r="C11926" s="140"/>
      <c r="D11926" s="140"/>
      <c r="E11926" s="140"/>
    </row>
    <row r="11927" spans="1:5">
      <c r="A11927" s="140"/>
      <c r="B11927" s="192"/>
      <c r="C11927" s="140"/>
      <c r="D11927" s="140"/>
      <c r="E11927" s="140"/>
    </row>
    <row r="11928" spans="1:5">
      <c r="A11928" s="140"/>
      <c r="B11928" s="192"/>
      <c r="C11928" s="140"/>
      <c r="D11928" s="140"/>
      <c r="E11928" s="140"/>
    </row>
    <row r="11929" spans="1:5">
      <c r="A11929" s="140"/>
      <c r="B11929" s="192"/>
      <c r="C11929" s="140"/>
      <c r="D11929" s="140"/>
      <c r="E11929" s="140"/>
    </row>
    <row r="11930" spans="1:5">
      <c r="A11930" s="140"/>
      <c r="B11930" s="192"/>
      <c r="C11930" s="140"/>
      <c r="D11930" s="140"/>
      <c r="E11930" s="140"/>
    </row>
    <row r="11931" spans="1:5">
      <c r="A11931" s="140"/>
      <c r="B11931" s="192"/>
      <c r="C11931" s="140"/>
      <c r="D11931" s="140"/>
      <c r="E11931" s="140"/>
    </row>
    <row r="11932" spans="1:5">
      <c r="A11932" s="140"/>
      <c r="B11932" s="192"/>
      <c r="C11932" s="140"/>
      <c r="D11932" s="140"/>
      <c r="E11932" s="140"/>
    </row>
    <row r="11933" spans="1:5">
      <c r="A11933" s="140"/>
      <c r="B11933" s="192"/>
      <c r="C11933" s="140"/>
      <c r="D11933" s="140"/>
      <c r="E11933" s="140"/>
    </row>
    <row r="11934" spans="1:5">
      <c r="A11934" s="140"/>
      <c r="B11934" s="192"/>
      <c r="C11934" s="140"/>
      <c r="D11934" s="140"/>
      <c r="E11934" s="140"/>
    </row>
    <row r="11935" spans="1:5">
      <c r="A11935" s="140"/>
      <c r="B11935" s="192"/>
      <c r="C11935" s="140"/>
      <c r="D11935" s="140"/>
      <c r="E11935" s="140"/>
    </row>
    <row r="11936" spans="1:5">
      <c r="A11936" s="140"/>
      <c r="B11936" s="192"/>
      <c r="C11936" s="140"/>
      <c r="D11936" s="140"/>
      <c r="E11936" s="140"/>
    </row>
    <row r="11937" spans="1:5">
      <c r="A11937" s="140"/>
      <c r="B11937" s="192"/>
      <c r="C11937" s="140"/>
      <c r="D11937" s="140"/>
      <c r="E11937" s="140"/>
    </row>
    <row r="11938" spans="1:5">
      <c r="A11938" s="140"/>
      <c r="B11938" s="192"/>
      <c r="C11938" s="140"/>
      <c r="D11938" s="140"/>
      <c r="E11938" s="140"/>
    </row>
    <row r="11939" spans="1:5">
      <c r="A11939" s="140"/>
      <c r="B11939" s="192"/>
      <c r="C11939" s="140"/>
      <c r="D11939" s="140"/>
      <c r="E11939" s="140"/>
    </row>
    <row r="11940" spans="1:5">
      <c r="A11940" s="140"/>
      <c r="B11940" s="192"/>
      <c r="C11940" s="140"/>
      <c r="D11940" s="140"/>
      <c r="E11940" s="140"/>
    </row>
    <row r="11941" spans="1:5">
      <c r="A11941" s="140"/>
      <c r="B11941" s="192"/>
      <c r="C11941" s="140"/>
      <c r="D11941" s="140"/>
      <c r="E11941" s="140"/>
    </row>
    <row r="11942" spans="1:5">
      <c r="A11942" s="140"/>
      <c r="B11942" s="192"/>
      <c r="C11942" s="140"/>
      <c r="D11942" s="140"/>
      <c r="E11942" s="140"/>
    </row>
    <row r="11943" spans="1:5">
      <c r="A11943" s="140"/>
      <c r="B11943" s="192"/>
      <c r="C11943" s="140"/>
      <c r="D11943" s="140"/>
      <c r="E11943" s="140"/>
    </row>
    <row r="11944" spans="1:5">
      <c r="A11944" s="140"/>
      <c r="B11944" s="192"/>
      <c r="C11944" s="140"/>
      <c r="D11944" s="140"/>
      <c r="E11944" s="140"/>
    </row>
    <row r="11945" spans="1:5">
      <c r="A11945" s="140"/>
      <c r="B11945" s="192"/>
      <c r="C11945" s="140"/>
      <c r="D11945" s="140"/>
      <c r="E11945" s="140"/>
    </row>
    <row r="11946" spans="1:5">
      <c r="A11946" s="140"/>
      <c r="B11946" s="192"/>
      <c r="C11946" s="140"/>
      <c r="D11946" s="140"/>
      <c r="E11946" s="140"/>
    </row>
    <row r="11947" spans="1:5">
      <c r="A11947" s="140"/>
      <c r="B11947" s="192"/>
      <c r="C11947" s="140"/>
      <c r="D11947" s="140"/>
      <c r="E11947" s="140"/>
    </row>
    <row r="11948" spans="1:5">
      <c r="A11948" s="140"/>
      <c r="B11948" s="192"/>
      <c r="C11948" s="140"/>
      <c r="D11948" s="140"/>
      <c r="E11948" s="140"/>
    </row>
    <row r="11949" spans="1:5">
      <c r="A11949" s="140"/>
      <c r="B11949" s="192"/>
      <c r="C11949" s="140"/>
      <c r="D11949" s="140"/>
      <c r="E11949" s="140"/>
    </row>
    <row r="11950" spans="1:5">
      <c r="A11950" s="140"/>
      <c r="B11950" s="192"/>
      <c r="C11950" s="140"/>
      <c r="D11950" s="140"/>
      <c r="E11950" s="140"/>
    </row>
    <row r="11951" spans="1:5">
      <c r="A11951" s="140"/>
      <c r="B11951" s="192"/>
      <c r="C11951" s="140"/>
      <c r="D11951" s="140"/>
      <c r="E11951" s="140"/>
    </row>
    <row r="11952" spans="1:5">
      <c r="A11952" s="140"/>
      <c r="B11952" s="192"/>
      <c r="C11952" s="140"/>
      <c r="D11952" s="140"/>
      <c r="E11952" s="140"/>
    </row>
    <row r="11953" spans="1:5">
      <c r="A11953" s="140"/>
      <c r="B11953" s="192"/>
      <c r="C11953" s="140"/>
      <c r="D11953" s="140"/>
      <c r="E11953" s="140"/>
    </row>
    <row r="11954" spans="1:5">
      <c r="A11954" s="140"/>
      <c r="B11954" s="192"/>
      <c r="C11954" s="140"/>
      <c r="D11954" s="140"/>
      <c r="E11954" s="140"/>
    </row>
    <row r="11955" spans="1:5">
      <c r="A11955" s="140"/>
      <c r="B11955" s="192"/>
      <c r="C11955" s="140"/>
      <c r="D11955" s="140"/>
      <c r="E11955" s="140"/>
    </row>
    <row r="11956" spans="1:5">
      <c r="A11956" s="140"/>
      <c r="B11956" s="192"/>
      <c r="C11956" s="140"/>
      <c r="D11956" s="140"/>
      <c r="E11956" s="140"/>
    </row>
    <row r="11957" spans="1:5">
      <c r="A11957" s="140"/>
      <c r="B11957" s="192"/>
      <c r="C11957" s="140"/>
      <c r="D11957" s="140"/>
      <c r="E11957" s="140"/>
    </row>
    <row r="11958" spans="1:5">
      <c r="A11958" s="140"/>
      <c r="B11958" s="192"/>
      <c r="C11958" s="140"/>
      <c r="D11958" s="140"/>
      <c r="E11958" s="140"/>
    </row>
    <row r="11959" spans="1:5">
      <c r="A11959" s="140"/>
      <c r="B11959" s="192"/>
      <c r="C11959" s="140"/>
      <c r="D11959" s="140"/>
      <c r="E11959" s="140"/>
    </row>
    <row r="11960" spans="1:5">
      <c r="A11960" s="140"/>
      <c r="B11960" s="192"/>
      <c r="C11960" s="140"/>
      <c r="D11960" s="140"/>
      <c r="E11960" s="140"/>
    </row>
    <row r="11961" spans="1:5">
      <c r="A11961" s="140"/>
      <c r="B11961" s="192"/>
      <c r="C11961" s="140"/>
      <c r="D11961" s="140"/>
      <c r="E11961" s="140"/>
    </row>
    <row r="11962" spans="1:5">
      <c r="A11962" s="140"/>
      <c r="B11962" s="192"/>
      <c r="C11962" s="140"/>
      <c r="D11962" s="140"/>
      <c r="E11962" s="140"/>
    </row>
    <row r="11963" spans="1:5">
      <c r="A11963" s="140"/>
      <c r="B11963" s="192"/>
      <c r="C11963" s="140"/>
      <c r="D11963" s="140"/>
      <c r="E11963" s="140"/>
    </row>
    <row r="11964" spans="1:5">
      <c r="A11964" s="140"/>
      <c r="B11964" s="192"/>
      <c r="C11964" s="140"/>
      <c r="D11964" s="140"/>
      <c r="E11964" s="140"/>
    </row>
    <row r="11965" spans="1:5">
      <c r="A11965" s="140"/>
      <c r="B11965" s="192"/>
      <c r="C11965" s="140"/>
      <c r="D11965" s="140"/>
      <c r="E11965" s="140"/>
    </row>
    <row r="11966" spans="1:5">
      <c r="A11966" s="140"/>
      <c r="B11966" s="192"/>
      <c r="C11966" s="140"/>
      <c r="D11966" s="140"/>
      <c r="E11966" s="140"/>
    </row>
    <row r="11967" spans="1:5">
      <c r="A11967" s="140"/>
      <c r="B11967" s="192"/>
      <c r="C11967" s="140"/>
      <c r="D11967" s="140"/>
      <c r="E11967" s="140"/>
    </row>
    <row r="11968" spans="1:5">
      <c r="A11968" s="140"/>
      <c r="B11968" s="192"/>
      <c r="C11968" s="140"/>
      <c r="D11968" s="140"/>
      <c r="E11968" s="140"/>
    </row>
    <row r="11969" spans="1:5">
      <c r="A11969" s="140"/>
      <c r="B11969" s="192"/>
      <c r="C11969" s="140"/>
      <c r="D11969" s="140"/>
      <c r="E11969" s="140"/>
    </row>
    <row r="11970" spans="1:5">
      <c r="A11970" s="140"/>
      <c r="B11970" s="192"/>
      <c r="C11970" s="140"/>
      <c r="D11970" s="140"/>
      <c r="E11970" s="140"/>
    </row>
    <row r="11971" spans="1:5">
      <c r="A11971" s="140"/>
      <c r="B11971" s="192"/>
      <c r="C11971" s="140"/>
      <c r="D11971" s="140"/>
      <c r="E11971" s="140"/>
    </row>
    <row r="11972" spans="1:5">
      <c r="A11972" s="140"/>
      <c r="B11972" s="192"/>
      <c r="C11972" s="140"/>
      <c r="D11972" s="140"/>
      <c r="E11972" s="140"/>
    </row>
    <row r="11973" spans="1:5">
      <c r="A11973" s="140"/>
      <c r="B11973" s="192"/>
      <c r="C11973" s="140"/>
      <c r="D11973" s="140"/>
      <c r="E11973" s="140"/>
    </row>
    <row r="11974" spans="1:5">
      <c r="A11974" s="140"/>
      <c r="B11974" s="192"/>
      <c r="C11974" s="140"/>
      <c r="D11974" s="140"/>
      <c r="E11974" s="140"/>
    </row>
    <row r="11975" spans="1:5">
      <c r="A11975" s="140"/>
      <c r="B11975" s="192"/>
      <c r="C11975" s="140"/>
      <c r="D11975" s="140"/>
      <c r="E11975" s="140"/>
    </row>
    <row r="11976" spans="1:5">
      <c r="A11976" s="140"/>
      <c r="B11976" s="192"/>
      <c r="C11976" s="140"/>
      <c r="D11976" s="140"/>
      <c r="E11976" s="140"/>
    </row>
    <row r="11977" spans="1:5">
      <c r="A11977" s="140"/>
      <c r="B11977" s="192"/>
      <c r="C11977" s="140"/>
      <c r="D11977" s="140"/>
      <c r="E11977" s="140"/>
    </row>
    <row r="11978" spans="1:5">
      <c r="A11978" s="140"/>
      <c r="B11978" s="192"/>
      <c r="C11978" s="140"/>
      <c r="D11978" s="140"/>
      <c r="E11978" s="140"/>
    </row>
    <row r="11979" spans="1:5">
      <c r="A11979" s="140"/>
      <c r="B11979" s="192"/>
      <c r="C11979" s="140"/>
      <c r="D11979" s="140"/>
      <c r="E11979" s="140"/>
    </row>
    <row r="11980" spans="1:5">
      <c r="A11980" s="140"/>
      <c r="B11980" s="192"/>
      <c r="C11980" s="140"/>
      <c r="D11980" s="140"/>
      <c r="E11980" s="140"/>
    </row>
    <row r="11981" spans="1:5">
      <c r="A11981" s="140"/>
      <c r="B11981" s="192"/>
      <c r="C11981" s="140"/>
      <c r="D11981" s="140"/>
      <c r="E11981" s="140"/>
    </row>
    <row r="11982" spans="1:5">
      <c r="A11982" s="140"/>
      <c r="B11982" s="192"/>
      <c r="C11982" s="140"/>
      <c r="D11982" s="140"/>
      <c r="E11982" s="140"/>
    </row>
    <row r="11983" spans="1:5">
      <c r="A11983" s="140"/>
      <c r="B11983" s="192"/>
      <c r="C11983" s="140"/>
      <c r="D11983" s="140"/>
      <c r="E11983" s="140"/>
    </row>
    <row r="11984" spans="1:5">
      <c r="A11984" s="140"/>
      <c r="B11984" s="192"/>
      <c r="C11984" s="140"/>
      <c r="D11984" s="140"/>
      <c r="E11984" s="140"/>
    </row>
    <row r="11985" spans="1:5">
      <c r="A11985" s="140"/>
      <c r="B11985" s="192"/>
      <c r="C11985" s="140"/>
      <c r="D11985" s="140"/>
      <c r="E11985" s="140"/>
    </row>
    <row r="11986" spans="1:5">
      <c r="A11986" s="140"/>
      <c r="B11986" s="192"/>
      <c r="C11986" s="140"/>
      <c r="D11986" s="140"/>
      <c r="E11986" s="140"/>
    </row>
    <row r="11987" spans="1:5">
      <c r="A11987" s="140"/>
      <c r="B11987" s="192"/>
      <c r="C11987" s="140"/>
      <c r="D11987" s="140"/>
      <c r="E11987" s="140"/>
    </row>
    <row r="11988" spans="1:5">
      <c r="A11988" s="140"/>
      <c r="B11988" s="192"/>
      <c r="C11988" s="140"/>
      <c r="D11988" s="140"/>
      <c r="E11988" s="140"/>
    </row>
    <row r="11989" spans="1:5">
      <c r="A11989" s="140"/>
      <c r="B11989" s="192"/>
      <c r="C11989" s="140"/>
      <c r="D11989" s="140"/>
      <c r="E11989" s="140"/>
    </row>
    <row r="11990" spans="1:5">
      <c r="A11990" s="140"/>
      <c r="B11990" s="192"/>
      <c r="C11990" s="140"/>
      <c r="D11990" s="140"/>
      <c r="E11990" s="140"/>
    </row>
    <row r="11991" spans="1:5">
      <c r="A11991" s="140"/>
      <c r="B11991" s="192"/>
      <c r="C11991" s="140"/>
      <c r="D11991" s="140"/>
      <c r="E11991" s="140"/>
    </row>
    <row r="11992" spans="1:5">
      <c r="A11992" s="140"/>
      <c r="B11992" s="192"/>
      <c r="C11992" s="140"/>
      <c r="D11992" s="140"/>
      <c r="E11992" s="140"/>
    </row>
    <row r="11993" spans="1:5">
      <c r="A11993" s="140"/>
      <c r="B11993" s="192"/>
      <c r="C11993" s="140"/>
      <c r="D11993" s="140"/>
      <c r="E11993" s="140"/>
    </row>
    <row r="11994" spans="1:5">
      <c r="A11994" s="140"/>
      <c r="B11994" s="192"/>
      <c r="C11994" s="140"/>
      <c r="D11994" s="140"/>
      <c r="E11994" s="140"/>
    </row>
    <row r="11995" spans="1:5">
      <c r="A11995" s="140"/>
      <c r="B11995" s="192"/>
      <c r="C11995" s="140"/>
      <c r="D11995" s="140"/>
      <c r="E11995" s="140"/>
    </row>
    <row r="11996" spans="1:5">
      <c r="A11996" s="140"/>
      <c r="B11996" s="192"/>
      <c r="C11996" s="140"/>
      <c r="D11996" s="140"/>
      <c r="E11996" s="140"/>
    </row>
    <row r="11997" spans="1:5">
      <c r="A11997" s="140"/>
      <c r="B11997" s="192"/>
      <c r="C11997" s="140"/>
      <c r="D11997" s="140"/>
      <c r="E11997" s="140"/>
    </row>
    <row r="11998" spans="1:5">
      <c r="A11998" s="140"/>
      <c r="B11998" s="192"/>
      <c r="C11998" s="140"/>
      <c r="D11998" s="140"/>
      <c r="E11998" s="140"/>
    </row>
    <row r="11999" spans="1:5">
      <c r="A11999" s="140"/>
      <c r="B11999" s="192"/>
      <c r="C11999" s="140"/>
      <c r="D11999" s="140"/>
      <c r="E11999" s="140"/>
    </row>
    <row r="12000" spans="1:5">
      <c r="A12000" s="140"/>
      <c r="B12000" s="192"/>
      <c r="C12000" s="140"/>
      <c r="D12000" s="140"/>
      <c r="E12000" s="140"/>
    </row>
    <row r="12001" spans="1:5">
      <c r="A12001" s="140"/>
      <c r="B12001" s="192"/>
      <c r="C12001" s="140"/>
      <c r="D12001" s="140"/>
      <c r="E12001" s="140"/>
    </row>
    <row r="12002" spans="1:5">
      <c r="A12002" s="140"/>
      <c r="B12002" s="192"/>
      <c r="C12002" s="140"/>
      <c r="D12002" s="140"/>
      <c r="E12002" s="140"/>
    </row>
    <row r="12003" spans="1:5">
      <c r="A12003" s="140"/>
      <c r="B12003" s="192"/>
      <c r="C12003" s="140"/>
      <c r="D12003" s="140"/>
      <c r="E12003" s="140"/>
    </row>
    <row r="12004" spans="1:5">
      <c r="A12004" s="140"/>
      <c r="B12004" s="192"/>
      <c r="C12004" s="140"/>
      <c r="D12004" s="140"/>
      <c r="E12004" s="140"/>
    </row>
    <row r="12005" spans="1:5">
      <c r="A12005" s="140"/>
      <c r="B12005" s="192"/>
      <c r="C12005" s="140"/>
      <c r="D12005" s="140"/>
      <c r="E12005" s="140"/>
    </row>
    <row r="12006" spans="1:5">
      <c r="A12006" s="140"/>
      <c r="B12006" s="192"/>
      <c r="C12006" s="140"/>
      <c r="D12006" s="140"/>
      <c r="E12006" s="140"/>
    </row>
    <row r="12007" spans="1:5">
      <c r="A12007" s="140"/>
      <c r="B12007" s="192"/>
      <c r="C12007" s="140"/>
      <c r="D12007" s="140"/>
      <c r="E12007" s="140"/>
    </row>
    <row r="12008" spans="1:5">
      <c r="A12008" s="140"/>
      <c r="B12008" s="192"/>
      <c r="C12008" s="140"/>
      <c r="D12008" s="140"/>
      <c r="E12008" s="140"/>
    </row>
    <row r="12009" spans="1:5">
      <c r="A12009" s="140"/>
      <c r="B12009" s="192"/>
      <c r="C12009" s="140"/>
      <c r="D12009" s="140"/>
      <c r="E12009" s="140"/>
    </row>
    <row r="12010" spans="1:5">
      <c r="A12010" s="140"/>
      <c r="B12010" s="192"/>
      <c r="C12010" s="140"/>
      <c r="D12010" s="140"/>
      <c r="E12010" s="140"/>
    </row>
    <row r="12011" spans="1:5">
      <c r="A12011" s="140"/>
      <c r="B12011" s="192"/>
      <c r="C12011" s="140"/>
      <c r="D12011" s="140"/>
      <c r="E12011" s="140"/>
    </row>
    <row r="12012" spans="1:5">
      <c r="A12012" s="140"/>
      <c r="B12012" s="192"/>
      <c r="C12012" s="140"/>
      <c r="D12012" s="140"/>
      <c r="E12012" s="140"/>
    </row>
    <row r="12013" spans="1:5">
      <c r="A12013" s="140"/>
      <c r="B12013" s="192"/>
      <c r="C12013" s="140"/>
      <c r="D12013" s="140"/>
      <c r="E12013" s="140"/>
    </row>
    <row r="12014" spans="1:5">
      <c r="A12014" s="140"/>
      <c r="B12014" s="192"/>
      <c r="C12014" s="140"/>
      <c r="D12014" s="140"/>
      <c r="E12014" s="140"/>
    </row>
    <row r="12015" spans="1:5">
      <c r="A12015" s="140"/>
      <c r="B12015" s="192"/>
      <c r="C12015" s="140"/>
      <c r="D12015" s="140"/>
      <c r="E12015" s="140"/>
    </row>
    <row r="12016" spans="1:5">
      <c r="A12016" s="140"/>
      <c r="B12016" s="192"/>
      <c r="C12016" s="140"/>
      <c r="D12016" s="140"/>
      <c r="E12016" s="140"/>
    </row>
    <row r="12017" spans="1:5">
      <c r="A12017" s="140"/>
      <c r="B12017" s="192"/>
      <c r="C12017" s="140"/>
      <c r="D12017" s="140"/>
      <c r="E12017" s="140"/>
    </row>
    <row r="12018" spans="1:5">
      <c r="A12018" s="140"/>
      <c r="B12018" s="192"/>
      <c r="C12018" s="140"/>
      <c r="D12018" s="140"/>
      <c r="E12018" s="140"/>
    </row>
    <row r="12019" spans="1:5">
      <c r="A12019" s="140"/>
      <c r="B12019" s="192"/>
      <c r="C12019" s="140"/>
      <c r="D12019" s="140"/>
      <c r="E12019" s="140"/>
    </row>
    <row r="12020" spans="1:5">
      <c r="A12020" s="140"/>
      <c r="B12020" s="192"/>
      <c r="C12020" s="140"/>
      <c r="D12020" s="140"/>
      <c r="E12020" s="140"/>
    </row>
    <row r="12021" spans="1:5">
      <c r="A12021" s="140"/>
      <c r="B12021" s="192"/>
      <c r="C12021" s="140"/>
      <c r="D12021" s="140"/>
      <c r="E12021" s="140"/>
    </row>
    <row r="12022" spans="1:5">
      <c r="A12022" s="140"/>
      <c r="B12022" s="192"/>
      <c r="C12022" s="140"/>
      <c r="D12022" s="140"/>
      <c r="E12022" s="140"/>
    </row>
    <row r="12023" spans="1:5">
      <c r="A12023" s="140"/>
      <c r="B12023" s="192"/>
      <c r="C12023" s="140"/>
      <c r="D12023" s="140"/>
      <c r="E12023" s="140"/>
    </row>
    <row r="12024" spans="1:5">
      <c r="A12024" s="140"/>
      <c r="B12024" s="192"/>
      <c r="C12024" s="140"/>
      <c r="D12024" s="140"/>
      <c r="E12024" s="140"/>
    </row>
    <row r="12025" spans="1:5">
      <c r="A12025" s="140"/>
      <c r="B12025" s="192"/>
      <c r="C12025" s="140"/>
      <c r="D12025" s="140"/>
      <c r="E12025" s="140"/>
    </row>
    <row r="12026" spans="1:5">
      <c r="A12026" s="140"/>
      <c r="B12026" s="192"/>
      <c r="C12026" s="140"/>
      <c r="D12026" s="140"/>
      <c r="E12026" s="140"/>
    </row>
    <row r="12027" spans="1:5">
      <c r="A12027" s="140"/>
      <c r="B12027" s="192"/>
      <c r="C12027" s="140"/>
      <c r="D12027" s="140"/>
      <c r="E12027" s="140"/>
    </row>
    <row r="12028" spans="1:5">
      <c r="A12028" s="140"/>
      <c r="B12028" s="192"/>
      <c r="C12028" s="140"/>
      <c r="D12028" s="140"/>
      <c r="E12028" s="140"/>
    </row>
    <row r="12029" spans="1:5">
      <c r="A12029" s="140"/>
      <c r="B12029" s="192"/>
      <c r="C12029" s="140"/>
      <c r="D12029" s="140"/>
      <c r="E12029" s="140"/>
    </row>
    <row r="12030" spans="1:5">
      <c r="A12030" s="140"/>
      <c r="B12030" s="192"/>
      <c r="C12030" s="140"/>
      <c r="D12030" s="140"/>
      <c r="E12030" s="140"/>
    </row>
    <row r="12031" spans="1:5">
      <c r="A12031" s="140"/>
      <c r="B12031" s="192"/>
      <c r="C12031" s="140"/>
      <c r="D12031" s="140"/>
      <c r="E12031" s="140"/>
    </row>
    <row r="12032" spans="1:5">
      <c r="A12032" s="140"/>
      <c r="B12032" s="192"/>
      <c r="C12032" s="140"/>
      <c r="D12032" s="140"/>
      <c r="E12032" s="140"/>
    </row>
    <row r="12033" spans="1:5">
      <c r="A12033" s="140"/>
      <c r="B12033" s="192"/>
      <c r="C12033" s="140"/>
      <c r="D12033" s="140"/>
      <c r="E12033" s="140"/>
    </row>
    <row r="12034" spans="1:5">
      <c r="A12034" s="140"/>
      <c r="B12034" s="192"/>
      <c r="C12034" s="140"/>
      <c r="D12034" s="140"/>
      <c r="E12034" s="140"/>
    </row>
    <row r="12035" spans="1:5">
      <c r="A12035" s="140"/>
      <c r="B12035" s="192"/>
      <c r="C12035" s="140"/>
      <c r="D12035" s="140"/>
      <c r="E12035" s="140"/>
    </row>
    <row r="12036" spans="1:5">
      <c r="A12036" s="140"/>
      <c r="B12036" s="192"/>
      <c r="C12036" s="140"/>
      <c r="D12036" s="140"/>
      <c r="E12036" s="140"/>
    </row>
    <row r="12037" spans="1:5">
      <c r="A12037" s="140"/>
      <c r="B12037" s="192"/>
      <c r="C12037" s="140"/>
      <c r="D12037" s="140"/>
      <c r="E12037" s="140"/>
    </row>
    <row r="12038" spans="1:5">
      <c r="A12038" s="140"/>
      <c r="B12038" s="192"/>
      <c r="C12038" s="140"/>
      <c r="D12038" s="140"/>
      <c r="E12038" s="140"/>
    </row>
    <row r="12039" spans="1:5">
      <c r="A12039" s="140"/>
      <c r="B12039" s="192"/>
      <c r="C12039" s="140"/>
      <c r="D12039" s="140"/>
      <c r="E12039" s="140"/>
    </row>
    <row r="12040" spans="1:5">
      <c r="A12040" s="140"/>
      <c r="B12040" s="192"/>
      <c r="C12040" s="140"/>
      <c r="D12040" s="140"/>
      <c r="E12040" s="140"/>
    </row>
    <row r="12041" spans="1:5">
      <c r="A12041" s="140"/>
      <c r="B12041" s="192"/>
      <c r="C12041" s="140"/>
      <c r="D12041" s="140"/>
      <c r="E12041" s="140"/>
    </row>
    <row r="12042" spans="1:5">
      <c r="A12042" s="140"/>
      <c r="B12042" s="192"/>
      <c r="C12042" s="140"/>
      <c r="D12042" s="140"/>
      <c r="E12042" s="140"/>
    </row>
    <row r="12043" spans="1:5">
      <c r="A12043" s="140"/>
      <c r="B12043" s="192"/>
      <c r="C12043" s="140"/>
      <c r="D12043" s="140"/>
      <c r="E12043" s="140"/>
    </row>
    <row r="12044" spans="1:5">
      <c r="A12044" s="140"/>
      <c r="B12044" s="192"/>
      <c r="C12044" s="140"/>
      <c r="D12044" s="140"/>
      <c r="E12044" s="140"/>
    </row>
    <row r="12045" spans="1:5">
      <c r="A12045" s="140"/>
      <c r="B12045" s="192"/>
      <c r="C12045" s="140"/>
      <c r="D12045" s="140"/>
      <c r="E12045" s="140"/>
    </row>
    <row r="12046" spans="1:5">
      <c r="A12046" s="140"/>
      <c r="B12046" s="192"/>
      <c r="C12046" s="140"/>
      <c r="D12046" s="140"/>
      <c r="E12046" s="140"/>
    </row>
    <row r="12047" spans="1:5">
      <c r="A12047" s="140"/>
      <c r="B12047" s="192"/>
      <c r="C12047" s="140"/>
      <c r="D12047" s="140"/>
      <c r="E12047" s="140"/>
    </row>
    <row r="12048" spans="1:5">
      <c r="A12048" s="140"/>
      <c r="B12048" s="192"/>
      <c r="C12048" s="140"/>
      <c r="D12048" s="140"/>
      <c r="E12048" s="140"/>
    </row>
    <row r="12049" spans="1:5">
      <c r="A12049" s="140"/>
      <c r="B12049" s="192"/>
      <c r="C12049" s="140"/>
      <c r="D12049" s="140"/>
      <c r="E12049" s="140"/>
    </row>
    <row r="12050" spans="1:5">
      <c r="A12050" s="140"/>
      <c r="B12050" s="192"/>
      <c r="C12050" s="140"/>
      <c r="D12050" s="140"/>
      <c r="E12050" s="140"/>
    </row>
    <row r="12051" spans="1:5">
      <c r="A12051" s="140"/>
      <c r="B12051" s="192"/>
      <c r="C12051" s="140"/>
      <c r="D12051" s="140"/>
      <c r="E12051" s="140"/>
    </row>
    <row r="12052" spans="1:5">
      <c r="A12052" s="140"/>
      <c r="B12052" s="192"/>
      <c r="C12052" s="140"/>
      <c r="D12052" s="140"/>
      <c r="E12052" s="140"/>
    </row>
    <row r="12053" spans="1:5">
      <c r="A12053" s="140"/>
      <c r="B12053" s="192"/>
      <c r="C12053" s="140"/>
      <c r="D12053" s="140"/>
      <c r="E12053" s="140"/>
    </row>
    <row r="12054" spans="1:5">
      <c r="A12054" s="140"/>
      <c r="B12054" s="192"/>
      <c r="C12054" s="140"/>
      <c r="D12054" s="140"/>
      <c r="E12054" s="140"/>
    </row>
    <row r="12055" spans="1:5">
      <c r="A12055" s="140"/>
      <c r="B12055" s="192"/>
      <c r="C12055" s="140"/>
      <c r="D12055" s="140"/>
      <c r="E12055" s="140"/>
    </row>
    <row r="12056" spans="1:5">
      <c r="A12056" s="140"/>
      <c r="B12056" s="192"/>
      <c r="C12056" s="140"/>
      <c r="D12056" s="140"/>
      <c r="E12056" s="140"/>
    </row>
    <row r="12057" spans="1:5">
      <c r="A12057" s="140"/>
      <c r="B12057" s="192"/>
      <c r="C12057" s="140"/>
      <c r="D12057" s="140"/>
      <c r="E12057" s="140"/>
    </row>
    <row r="12058" spans="1:5">
      <c r="A12058" s="140"/>
      <c r="B12058" s="192"/>
      <c r="C12058" s="140"/>
      <c r="D12058" s="140"/>
      <c r="E12058" s="140"/>
    </row>
    <row r="12059" spans="1:5">
      <c r="A12059" s="140"/>
      <c r="B12059" s="192"/>
      <c r="C12059" s="140"/>
      <c r="D12059" s="140"/>
      <c r="E12059" s="140"/>
    </row>
    <row r="12060" spans="1:5">
      <c r="A12060" s="140"/>
      <c r="B12060" s="192"/>
      <c r="C12060" s="140"/>
      <c r="D12060" s="140"/>
      <c r="E12060" s="140"/>
    </row>
    <row r="12061" spans="1:5">
      <c r="A12061" s="140"/>
      <c r="B12061" s="192"/>
      <c r="C12061" s="140"/>
      <c r="D12061" s="140"/>
      <c r="E12061" s="140"/>
    </row>
    <row r="12062" spans="1:5">
      <c r="A12062" s="140"/>
      <c r="B12062" s="192"/>
      <c r="C12062" s="140"/>
      <c r="D12062" s="140"/>
      <c r="E12062" s="140"/>
    </row>
    <row r="12063" spans="1:5">
      <c r="A12063" s="140"/>
      <c r="B12063" s="192"/>
      <c r="C12063" s="140"/>
      <c r="D12063" s="140"/>
      <c r="E12063" s="140"/>
    </row>
    <row r="12064" spans="1:5">
      <c r="A12064" s="140"/>
      <c r="B12064" s="192"/>
      <c r="C12064" s="140"/>
      <c r="D12064" s="140"/>
      <c r="E12064" s="140"/>
    </row>
    <row r="12065" spans="1:5">
      <c r="A12065" s="140"/>
      <c r="B12065" s="192"/>
      <c r="C12065" s="140"/>
      <c r="D12065" s="140"/>
      <c r="E12065" s="140"/>
    </row>
    <row r="12066" spans="1:5">
      <c r="A12066" s="140"/>
      <c r="B12066" s="192"/>
      <c r="C12066" s="140"/>
      <c r="D12066" s="140"/>
      <c r="E12066" s="140"/>
    </row>
    <row r="12067" spans="1:5">
      <c r="A12067" s="140"/>
      <c r="B12067" s="192"/>
      <c r="C12067" s="140"/>
      <c r="D12067" s="140"/>
      <c r="E12067" s="140"/>
    </row>
    <row r="12068" spans="1:5">
      <c r="A12068" s="140"/>
      <c r="B12068" s="192"/>
      <c r="C12068" s="140"/>
      <c r="D12068" s="140"/>
      <c r="E12068" s="140"/>
    </row>
    <row r="12069" spans="1:5">
      <c r="A12069" s="140"/>
      <c r="B12069" s="192"/>
      <c r="C12069" s="140"/>
      <c r="D12069" s="140"/>
      <c r="E12069" s="140"/>
    </row>
    <row r="12070" spans="1:5">
      <c r="A12070" s="140"/>
      <c r="B12070" s="192"/>
      <c r="C12070" s="140"/>
      <c r="D12070" s="140"/>
      <c r="E12070" s="140"/>
    </row>
    <row r="12071" spans="1:5">
      <c r="A12071" s="140"/>
      <c r="B12071" s="192"/>
      <c r="C12071" s="140"/>
      <c r="D12071" s="140"/>
      <c r="E12071" s="140"/>
    </row>
    <row r="12072" spans="1:5">
      <c r="A12072" s="140"/>
      <c r="B12072" s="192"/>
      <c r="C12072" s="140"/>
      <c r="D12072" s="140"/>
      <c r="E12072" s="140"/>
    </row>
    <row r="12073" spans="1:5">
      <c r="A12073" s="140"/>
      <c r="B12073" s="192"/>
      <c r="C12073" s="140"/>
      <c r="D12073" s="140"/>
      <c r="E12073" s="140"/>
    </row>
    <row r="12074" spans="1:5">
      <c r="A12074" s="140"/>
      <c r="B12074" s="192"/>
      <c r="C12074" s="140"/>
      <c r="D12074" s="140"/>
      <c r="E12074" s="140"/>
    </row>
    <row r="12075" spans="1:5">
      <c r="A12075" s="140"/>
      <c r="B12075" s="192"/>
      <c r="C12075" s="140"/>
      <c r="D12075" s="140"/>
      <c r="E12075" s="140"/>
    </row>
    <row r="12076" spans="1:5">
      <c r="A12076" s="140"/>
      <c r="B12076" s="192"/>
      <c r="C12076" s="140"/>
      <c r="D12076" s="140"/>
      <c r="E12076" s="140"/>
    </row>
    <row r="12077" spans="1:5">
      <c r="A12077" s="140"/>
      <c r="B12077" s="192"/>
      <c r="C12077" s="140"/>
      <c r="D12077" s="140"/>
      <c r="E12077" s="140"/>
    </row>
    <row r="12078" spans="1:5">
      <c r="A12078" s="140"/>
      <c r="B12078" s="192"/>
      <c r="C12078" s="140"/>
      <c r="D12078" s="140"/>
      <c r="E12078" s="140"/>
    </row>
    <row r="12079" spans="1:5">
      <c r="A12079" s="140"/>
      <c r="B12079" s="192"/>
      <c r="C12079" s="140"/>
      <c r="D12079" s="140"/>
      <c r="E12079" s="140"/>
    </row>
    <row r="12080" spans="1:5">
      <c r="A12080" s="140"/>
      <c r="B12080" s="192"/>
      <c r="C12080" s="140"/>
      <c r="D12080" s="140"/>
      <c r="E12080" s="140"/>
    </row>
    <row r="12081" spans="1:5">
      <c r="A12081" s="140"/>
      <c r="B12081" s="192"/>
      <c r="C12081" s="140"/>
      <c r="D12081" s="140"/>
      <c r="E12081" s="140"/>
    </row>
    <row r="12082" spans="1:5">
      <c r="A12082" s="140"/>
      <c r="B12082" s="192"/>
      <c r="C12082" s="140"/>
      <c r="D12082" s="140"/>
      <c r="E12082" s="140"/>
    </row>
    <row r="12083" spans="1:5">
      <c r="A12083" s="140"/>
      <c r="B12083" s="192"/>
      <c r="C12083" s="140"/>
      <c r="D12083" s="140"/>
      <c r="E12083" s="140"/>
    </row>
    <row r="12084" spans="1:5">
      <c r="A12084" s="140"/>
      <c r="B12084" s="192"/>
      <c r="C12084" s="140"/>
      <c r="D12084" s="140"/>
      <c r="E12084" s="140"/>
    </row>
    <row r="12085" spans="1:5">
      <c r="A12085" s="140"/>
      <c r="B12085" s="192"/>
      <c r="C12085" s="140"/>
      <c r="D12085" s="140"/>
      <c r="E12085" s="140"/>
    </row>
    <row r="12086" spans="1:5">
      <c r="A12086" s="140"/>
      <c r="B12086" s="192"/>
      <c r="C12086" s="140"/>
      <c r="D12086" s="140"/>
      <c r="E12086" s="140"/>
    </row>
    <row r="12087" spans="1:5">
      <c r="A12087" s="140"/>
      <c r="B12087" s="192"/>
      <c r="C12087" s="140"/>
      <c r="D12087" s="140"/>
      <c r="E12087" s="140"/>
    </row>
    <row r="12088" spans="1:5">
      <c r="A12088" s="140"/>
      <c r="B12088" s="192"/>
      <c r="C12088" s="140"/>
      <c r="D12088" s="140"/>
      <c r="E12088" s="140"/>
    </row>
    <row r="12089" spans="1:5">
      <c r="A12089" s="140"/>
      <c r="B12089" s="192"/>
      <c r="C12089" s="140"/>
      <c r="D12089" s="140"/>
      <c r="E12089" s="140"/>
    </row>
    <row r="12090" spans="1:5">
      <c r="A12090" s="140"/>
      <c r="B12090" s="192"/>
      <c r="C12090" s="140"/>
      <c r="D12090" s="140"/>
      <c r="E12090" s="140"/>
    </row>
    <row r="12091" spans="1:5">
      <c r="A12091" s="140"/>
      <c r="B12091" s="192"/>
      <c r="C12091" s="140"/>
      <c r="D12091" s="140"/>
      <c r="E12091" s="140"/>
    </row>
    <row r="12092" spans="1:5">
      <c r="A12092" s="140"/>
      <c r="B12092" s="192"/>
      <c r="C12092" s="140"/>
      <c r="D12092" s="140"/>
      <c r="E12092" s="140"/>
    </row>
    <row r="12093" spans="1:5">
      <c r="A12093" s="140"/>
      <c r="B12093" s="192"/>
      <c r="C12093" s="140"/>
      <c r="D12093" s="140"/>
      <c r="E12093" s="140"/>
    </row>
    <row r="12094" spans="1:5">
      <c r="A12094" s="140"/>
      <c r="B12094" s="192"/>
      <c r="C12094" s="140"/>
      <c r="D12094" s="140"/>
      <c r="E12094" s="140"/>
    </row>
    <row r="12095" spans="1:5">
      <c r="A12095" s="140"/>
      <c r="B12095" s="192"/>
      <c r="C12095" s="140"/>
      <c r="D12095" s="140"/>
      <c r="E12095" s="140"/>
    </row>
    <row r="12096" spans="1:5">
      <c r="A12096" s="140"/>
      <c r="B12096" s="192"/>
      <c r="C12096" s="140"/>
      <c r="D12096" s="140"/>
      <c r="E12096" s="140"/>
    </row>
    <row r="12097" spans="1:5">
      <c r="A12097" s="140"/>
      <c r="B12097" s="192"/>
      <c r="C12097" s="140"/>
      <c r="D12097" s="140"/>
      <c r="E12097" s="140"/>
    </row>
    <row r="12098" spans="1:5">
      <c r="A12098" s="140"/>
      <c r="B12098" s="192"/>
      <c r="C12098" s="140"/>
      <c r="D12098" s="140"/>
      <c r="E12098" s="140"/>
    </row>
    <row r="12099" spans="1:5">
      <c r="A12099" s="140"/>
      <c r="B12099" s="192"/>
      <c r="C12099" s="140"/>
      <c r="D12099" s="140"/>
      <c r="E12099" s="140"/>
    </row>
    <row r="12100" spans="1:5">
      <c r="A12100" s="140"/>
      <c r="B12100" s="192"/>
      <c r="C12100" s="140"/>
      <c r="D12100" s="140"/>
      <c r="E12100" s="140"/>
    </row>
    <row r="12101" spans="1:5">
      <c r="A12101" s="140"/>
      <c r="B12101" s="192"/>
      <c r="C12101" s="140"/>
      <c r="D12101" s="140"/>
      <c r="E12101" s="140"/>
    </row>
    <row r="12102" spans="1:5">
      <c r="A12102" s="140"/>
      <c r="B12102" s="192"/>
      <c r="C12102" s="140"/>
      <c r="D12102" s="140"/>
      <c r="E12102" s="140"/>
    </row>
    <row r="12103" spans="1:5">
      <c r="A12103" s="140"/>
      <c r="B12103" s="192"/>
      <c r="C12103" s="140"/>
      <c r="D12103" s="140"/>
      <c r="E12103" s="140"/>
    </row>
    <row r="12104" spans="1:5">
      <c r="A12104" s="140"/>
      <c r="B12104" s="192"/>
      <c r="C12104" s="140"/>
      <c r="D12104" s="140"/>
      <c r="E12104" s="140"/>
    </row>
    <row r="12105" spans="1:5">
      <c r="A12105" s="140"/>
      <c r="B12105" s="192"/>
      <c r="C12105" s="140"/>
      <c r="D12105" s="140"/>
      <c r="E12105" s="140"/>
    </row>
    <row r="12106" spans="1:5">
      <c r="A12106" s="140"/>
      <c r="B12106" s="192"/>
      <c r="C12106" s="140"/>
      <c r="D12106" s="140"/>
      <c r="E12106" s="140"/>
    </row>
    <row r="12107" spans="1:5">
      <c r="A12107" s="140"/>
      <c r="B12107" s="192"/>
      <c r="C12107" s="140"/>
      <c r="D12107" s="140"/>
      <c r="E12107" s="140"/>
    </row>
    <row r="12108" spans="1:5">
      <c r="A12108" s="140"/>
      <c r="B12108" s="192"/>
      <c r="C12108" s="140"/>
      <c r="D12108" s="140"/>
      <c r="E12108" s="140"/>
    </row>
    <row r="12109" spans="1:5">
      <c r="A12109" s="140"/>
      <c r="B12109" s="192"/>
      <c r="C12109" s="140"/>
      <c r="D12109" s="140"/>
      <c r="E12109" s="140"/>
    </row>
    <row r="12110" spans="1:5">
      <c r="A12110" s="140"/>
      <c r="B12110" s="192"/>
      <c r="C12110" s="140"/>
      <c r="D12110" s="140"/>
      <c r="E12110" s="140"/>
    </row>
    <row r="12111" spans="1:5">
      <c r="A12111" s="140"/>
      <c r="B12111" s="192"/>
      <c r="C12111" s="140"/>
      <c r="D12111" s="140"/>
      <c r="E12111" s="140"/>
    </row>
    <row r="12112" spans="1:5">
      <c r="A12112" s="140"/>
      <c r="B12112" s="192"/>
      <c r="C12112" s="140"/>
      <c r="D12112" s="140"/>
      <c r="E12112" s="140"/>
    </row>
    <row r="12113" spans="1:5">
      <c r="A12113" s="140"/>
      <c r="B12113" s="192"/>
      <c r="C12113" s="140"/>
      <c r="D12113" s="140"/>
      <c r="E12113" s="140"/>
    </row>
    <row r="12114" spans="1:5">
      <c r="A12114" s="140"/>
      <c r="B12114" s="192"/>
      <c r="C12114" s="140"/>
      <c r="D12114" s="140"/>
      <c r="E12114" s="140"/>
    </row>
    <row r="12115" spans="1:5">
      <c r="A12115" s="140"/>
      <c r="B12115" s="192"/>
      <c r="C12115" s="140"/>
      <c r="D12115" s="140"/>
      <c r="E12115" s="140"/>
    </row>
    <row r="12116" spans="1:5">
      <c r="A12116" s="140"/>
      <c r="B12116" s="192"/>
      <c r="C12116" s="140"/>
      <c r="D12116" s="140"/>
      <c r="E12116" s="140"/>
    </row>
    <row r="12117" spans="1:5">
      <c r="A12117" s="140"/>
      <c r="B12117" s="192"/>
      <c r="C12117" s="140"/>
      <c r="D12117" s="140"/>
      <c r="E12117" s="140"/>
    </row>
    <row r="12118" spans="1:5">
      <c r="A12118" s="140"/>
      <c r="B12118" s="192"/>
      <c r="C12118" s="140"/>
      <c r="D12118" s="140"/>
      <c r="E12118" s="140"/>
    </row>
    <row r="12119" spans="1:5">
      <c r="A12119" s="140"/>
      <c r="B12119" s="192"/>
      <c r="C12119" s="140"/>
      <c r="D12119" s="140"/>
      <c r="E12119" s="140"/>
    </row>
    <row r="12120" spans="1:5">
      <c r="A12120" s="140"/>
      <c r="B12120" s="192"/>
      <c r="C12120" s="140"/>
      <c r="D12120" s="140"/>
      <c r="E12120" s="140"/>
    </row>
    <row r="12121" spans="1:5">
      <c r="A12121" s="140"/>
      <c r="B12121" s="192"/>
      <c r="C12121" s="140"/>
      <c r="D12121" s="140"/>
      <c r="E12121" s="140"/>
    </row>
    <row r="12122" spans="1:5">
      <c r="A12122" s="140"/>
      <c r="B12122" s="192"/>
      <c r="C12122" s="140"/>
      <c r="D12122" s="140"/>
      <c r="E12122" s="140"/>
    </row>
    <row r="12123" spans="1:5">
      <c r="A12123" s="140"/>
      <c r="B12123" s="192"/>
      <c r="C12123" s="140"/>
      <c r="D12123" s="140"/>
      <c r="E12123" s="140"/>
    </row>
    <row r="12124" spans="1:5">
      <c r="A12124" s="140"/>
      <c r="B12124" s="192"/>
      <c r="C12124" s="140"/>
      <c r="D12124" s="140"/>
      <c r="E12124" s="140"/>
    </row>
    <row r="12125" spans="1:5">
      <c r="A12125" s="140"/>
      <c r="B12125" s="192"/>
      <c r="C12125" s="140"/>
      <c r="D12125" s="140"/>
      <c r="E12125" s="140"/>
    </row>
    <row r="12126" spans="1:5">
      <c r="A12126" s="140"/>
      <c r="B12126" s="192"/>
      <c r="C12126" s="140"/>
      <c r="D12126" s="140"/>
      <c r="E12126" s="140"/>
    </row>
    <row r="12127" spans="1:5">
      <c r="A12127" s="140"/>
      <c r="B12127" s="192"/>
      <c r="C12127" s="140"/>
      <c r="D12127" s="140"/>
      <c r="E12127" s="140"/>
    </row>
    <row r="12128" spans="1:5">
      <c r="A12128" s="140"/>
      <c r="B12128" s="192"/>
      <c r="C12128" s="140"/>
      <c r="D12128" s="140"/>
      <c r="E12128" s="140"/>
    </row>
    <row r="12129" spans="1:5">
      <c r="A12129" s="140"/>
      <c r="B12129" s="192"/>
      <c r="C12129" s="140"/>
      <c r="D12129" s="140"/>
      <c r="E12129" s="140"/>
    </row>
    <row r="12130" spans="1:5">
      <c r="A12130" s="140"/>
      <c r="B12130" s="192"/>
      <c r="C12130" s="140"/>
      <c r="D12130" s="140"/>
      <c r="E12130" s="140"/>
    </row>
    <row r="12131" spans="1:5">
      <c r="A12131" s="140"/>
      <c r="B12131" s="192"/>
      <c r="C12131" s="140"/>
      <c r="D12131" s="140"/>
      <c r="E12131" s="140"/>
    </row>
    <row r="12132" spans="1:5">
      <c r="A12132" s="140"/>
      <c r="B12132" s="192"/>
      <c r="C12132" s="140"/>
      <c r="D12132" s="140"/>
      <c r="E12132" s="140"/>
    </row>
    <row r="12133" spans="1:5">
      <c r="A12133" s="140"/>
      <c r="B12133" s="192"/>
      <c r="C12133" s="140"/>
      <c r="D12133" s="140"/>
      <c r="E12133" s="140"/>
    </row>
    <row r="12134" spans="1:5">
      <c r="A12134" s="140"/>
      <c r="B12134" s="192"/>
      <c r="C12134" s="140"/>
      <c r="D12134" s="140"/>
      <c r="E12134" s="140"/>
    </row>
    <row r="12135" spans="1:5">
      <c r="A12135" s="140"/>
      <c r="B12135" s="192"/>
      <c r="C12135" s="140"/>
      <c r="D12135" s="140"/>
      <c r="E12135" s="140"/>
    </row>
    <row r="12136" spans="1:5">
      <c r="A12136" s="140"/>
      <c r="B12136" s="192"/>
      <c r="C12136" s="140"/>
      <c r="D12136" s="140"/>
      <c r="E12136" s="140"/>
    </row>
    <row r="12137" spans="1:5">
      <c r="A12137" s="140"/>
      <c r="B12137" s="192"/>
      <c r="C12137" s="140"/>
      <c r="D12137" s="140"/>
      <c r="E12137" s="140"/>
    </row>
    <row r="12138" spans="1:5">
      <c r="A12138" s="140"/>
      <c r="B12138" s="192"/>
      <c r="C12138" s="140"/>
      <c r="D12138" s="140"/>
      <c r="E12138" s="140"/>
    </row>
    <row r="12139" spans="1:5">
      <c r="A12139" s="140"/>
      <c r="B12139" s="192"/>
      <c r="C12139" s="140"/>
      <c r="D12139" s="140"/>
      <c r="E12139" s="140"/>
    </row>
    <row r="12140" spans="1:5">
      <c r="A12140" s="140"/>
      <c r="B12140" s="192"/>
      <c r="C12140" s="140"/>
      <c r="D12140" s="140"/>
      <c r="E12140" s="140"/>
    </row>
    <row r="12141" spans="1:5">
      <c r="A12141" s="140"/>
      <c r="B12141" s="192"/>
      <c r="C12141" s="140"/>
      <c r="D12141" s="140"/>
      <c r="E12141" s="140"/>
    </row>
    <row r="12142" spans="1:5">
      <c r="A12142" s="140"/>
      <c r="B12142" s="192"/>
      <c r="C12142" s="140"/>
      <c r="D12142" s="140"/>
      <c r="E12142" s="140"/>
    </row>
    <row r="12143" spans="1:5">
      <c r="A12143" s="140"/>
      <c r="B12143" s="192"/>
      <c r="C12143" s="140"/>
      <c r="D12143" s="140"/>
      <c r="E12143" s="140"/>
    </row>
    <row r="12144" spans="1:5">
      <c r="A12144" s="140"/>
      <c r="B12144" s="192"/>
      <c r="C12144" s="140"/>
      <c r="D12144" s="140"/>
      <c r="E12144" s="140"/>
    </row>
    <row r="12145" spans="1:5">
      <c r="A12145" s="140"/>
      <c r="B12145" s="192"/>
      <c r="C12145" s="140"/>
      <c r="D12145" s="140"/>
      <c r="E12145" s="140"/>
    </row>
    <row r="12146" spans="1:5">
      <c r="A12146" s="140"/>
      <c r="B12146" s="192"/>
      <c r="C12146" s="140"/>
      <c r="D12146" s="140"/>
      <c r="E12146" s="140"/>
    </row>
    <row r="12147" spans="1:5">
      <c r="A12147" s="140"/>
      <c r="B12147" s="192"/>
      <c r="C12147" s="140"/>
      <c r="D12147" s="140"/>
      <c r="E12147" s="140"/>
    </row>
    <row r="12148" spans="1:5">
      <c r="A12148" s="140"/>
      <c r="B12148" s="192"/>
      <c r="C12148" s="140"/>
      <c r="D12148" s="140"/>
      <c r="E12148" s="140"/>
    </row>
    <row r="12149" spans="1:5">
      <c r="A12149" s="140"/>
      <c r="B12149" s="192"/>
      <c r="C12149" s="140"/>
      <c r="D12149" s="140"/>
      <c r="E12149" s="140"/>
    </row>
    <row r="12150" spans="1:5">
      <c r="A12150" s="140"/>
      <c r="B12150" s="192"/>
      <c r="C12150" s="140"/>
      <c r="D12150" s="140"/>
      <c r="E12150" s="140"/>
    </row>
    <row r="12151" spans="1:5">
      <c r="A12151" s="140"/>
      <c r="B12151" s="192"/>
      <c r="C12151" s="140"/>
      <c r="D12151" s="140"/>
      <c r="E12151" s="140"/>
    </row>
    <row r="12152" spans="1:5">
      <c r="A12152" s="140"/>
      <c r="B12152" s="192"/>
      <c r="C12152" s="140"/>
      <c r="D12152" s="140"/>
      <c r="E12152" s="140"/>
    </row>
    <row r="12153" spans="1:5">
      <c r="A12153" s="140"/>
      <c r="B12153" s="192"/>
      <c r="C12153" s="140"/>
      <c r="D12153" s="140"/>
      <c r="E12153" s="140"/>
    </row>
    <row r="12154" spans="1:5">
      <c r="A12154" s="140"/>
      <c r="B12154" s="192"/>
      <c r="C12154" s="140"/>
      <c r="D12154" s="140"/>
      <c r="E12154" s="140"/>
    </row>
    <row r="12155" spans="1:5">
      <c r="A12155" s="140"/>
      <c r="B12155" s="192"/>
      <c r="C12155" s="140"/>
      <c r="D12155" s="140"/>
      <c r="E12155" s="140"/>
    </row>
    <row r="12156" spans="1:5">
      <c r="A12156" s="140"/>
      <c r="B12156" s="192"/>
      <c r="C12156" s="140"/>
      <c r="D12156" s="140"/>
      <c r="E12156" s="140"/>
    </row>
    <row r="12157" spans="1:5">
      <c r="A12157" s="140"/>
      <c r="B12157" s="192"/>
      <c r="C12157" s="140"/>
      <c r="D12157" s="140"/>
      <c r="E12157" s="140"/>
    </row>
    <row r="12158" spans="1:5">
      <c r="A12158" s="140"/>
      <c r="B12158" s="192"/>
      <c r="C12158" s="140"/>
      <c r="D12158" s="140"/>
      <c r="E12158" s="140"/>
    </row>
    <row r="12159" spans="1:5">
      <c r="A12159" s="140"/>
      <c r="B12159" s="192"/>
      <c r="C12159" s="140"/>
      <c r="D12159" s="140"/>
      <c r="E12159" s="140"/>
    </row>
    <row r="12160" spans="1:5">
      <c r="A12160" s="140"/>
      <c r="B12160" s="192"/>
      <c r="C12160" s="140"/>
      <c r="D12160" s="140"/>
      <c r="E12160" s="140"/>
    </row>
    <row r="12161" spans="1:5">
      <c r="A12161" s="140"/>
      <c r="B12161" s="192"/>
      <c r="C12161" s="140"/>
      <c r="D12161" s="140"/>
      <c r="E12161" s="140"/>
    </row>
    <row r="12162" spans="1:5">
      <c r="A12162" s="140"/>
      <c r="B12162" s="192"/>
      <c r="C12162" s="140"/>
      <c r="D12162" s="140"/>
      <c r="E12162" s="140"/>
    </row>
    <row r="12163" spans="1:5">
      <c r="A12163" s="140"/>
      <c r="B12163" s="192"/>
      <c r="C12163" s="140"/>
      <c r="D12163" s="140"/>
      <c r="E12163" s="140"/>
    </row>
    <row r="12164" spans="1:5">
      <c r="A12164" s="140"/>
      <c r="B12164" s="192"/>
      <c r="C12164" s="140"/>
      <c r="D12164" s="140"/>
      <c r="E12164" s="140"/>
    </row>
    <row r="12165" spans="1:5">
      <c r="A12165" s="140"/>
      <c r="B12165" s="192"/>
      <c r="C12165" s="140"/>
      <c r="D12165" s="140"/>
      <c r="E12165" s="140"/>
    </row>
    <row r="12166" spans="1:5">
      <c r="A12166" s="140"/>
      <c r="B12166" s="192"/>
      <c r="C12166" s="140"/>
      <c r="D12166" s="140"/>
      <c r="E12166" s="140"/>
    </row>
    <row r="12167" spans="1:5">
      <c r="A12167" s="140"/>
      <c r="B12167" s="192"/>
      <c r="C12167" s="140"/>
      <c r="D12167" s="140"/>
      <c r="E12167" s="140"/>
    </row>
    <row r="12168" spans="1:5">
      <c r="A12168" s="140"/>
      <c r="B12168" s="192"/>
      <c r="C12168" s="140"/>
      <c r="D12168" s="140"/>
      <c r="E12168" s="140"/>
    </row>
    <row r="12169" spans="1:5">
      <c r="A12169" s="140"/>
      <c r="B12169" s="192"/>
      <c r="C12169" s="140"/>
      <c r="D12169" s="140"/>
      <c r="E12169" s="140"/>
    </row>
    <row r="12170" spans="1:5">
      <c r="A12170" s="140"/>
      <c r="B12170" s="192"/>
      <c r="C12170" s="140"/>
      <c r="D12170" s="140"/>
      <c r="E12170" s="140"/>
    </row>
    <row r="12171" spans="1:5">
      <c r="A12171" s="140"/>
      <c r="B12171" s="192"/>
      <c r="C12171" s="140"/>
      <c r="D12171" s="140"/>
      <c r="E12171" s="140"/>
    </row>
    <row r="12172" spans="1:5">
      <c r="A12172" s="140"/>
      <c r="B12172" s="192"/>
      <c r="C12172" s="140"/>
      <c r="D12172" s="140"/>
      <c r="E12172" s="140"/>
    </row>
    <row r="12173" spans="1:5">
      <c r="A12173" s="140"/>
      <c r="B12173" s="192"/>
      <c r="C12173" s="140"/>
      <c r="D12173" s="140"/>
      <c r="E12173" s="140"/>
    </row>
    <row r="12174" spans="1:5">
      <c r="A12174" s="140"/>
      <c r="B12174" s="192"/>
      <c r="C12174" s="140"/>
      <c r="D12174" s="140"/>
      <c r="E12174" s="140"/>
    </row>
    <row r="12175" spans="1:5">
      <c r="A12175" s="140"/>
      <c r="B12175" s="192"/>
      <c r="C12175" s="140"/>
      <c r="D12175" s="140"/>
      <c r="E12175" s="140"/>
    </row>
    <row r="12176" spans="1:5">
      <c r="A12176" s="140"/>
      <c r="B12176" s="192"/>
      <c r="C12176" s="140"/>
      <c r="D12176" s="140"/>
      <c r="E12176" s="140"/>
    </row>
    <row r="12177" spans="1:5">
      <c r="A12177" s="140"/>
      <c r="B12177" s="192"/>
      <c r="C12177" s="140"/>
      <c r="D12177" s="140"/>
      <c r="E12177" s="140"/>
    </row>
    <row r="12178" spans="1:5">
      <c r="A12178" s="140"/>
      <c r="B12178" s="192"/>
      <c r="C12178" s="140"/>
      <c r="D12178" s="140"/>
      <c r="E12178" s="140"/>
    </row>
    <row r="12179" spans="1:5">
      <c r="A12179" s="140"/>
      <c r="B12179" s="192"/>
      <c r="C12179" s="140"/>
      <c r="D12179" s="140"/>
      <c r="E12179" s="140"/>
    </row>
    <row r="12180" spans="1:5">
      <c r="A12180" s="140"/>
      <c r="B12180" s="192"/>
      <c r="C12180" s="140"/>
      <c r="D12180" s="140"/>
      <c r="E12180" s="140"/>
    </row>
    <row r="12181" spans="1:5">
      <c r="A12181" s="140"/>
      <c r="B12181" s="192"/>
      <c r="C12181" s="140"/>
      <c r="D12181" s="140"/>
      <c r="E12181" s="140"/>
    </row>
    <row r="12182" spans="1:5">
      <c r="A12182" s="140"/>
      <c r="B12182" s="192"/>
      <c r="C12182" s="140"/>
      <c r="D12182" s="140"/>
      <c r="E12182" s="140"/>
    </row>
    <row r="12183" spans="1:5">
      <c r="A12183" s="140"/>
      <c r="B12183" s="192"/>
      <c r="C12183" s="140"/>
      <c r="D12183" s="140"/>
      <c r="E12183" s="140"/>
    </row>
    <row r="12184" spans="1:5">
      <c r="A12184" s="140"/>
      <c r="B12184" s="192"/>
      <c r="C12184" s="140"/>
      <c r="D12184" s="140"/>
      <c r="E12184" s="140"/>
    </row>
    <row r="12185" spans="1:5">
      <c r="A12185" s="140"/>
      <c r="B12185" s="192"/>
      <c r="C12185" s="140"/>
      <c r="D12185" s="140"/>
      <c r="E12185" s="140"/>
    </row>
    <row r="12186" spans="1:5">
      <c r="A12186" s="140"/>
      <c r="B12186" s="192"/>
      <c r="C12186" s="140"/>
      <c r="D12186" s="140"/>
      <c r="E12186" s="140"/>
    </row>
    <row r="12187" spans="1:5">
      <c r="A12187" s="140"/>
      <c r="B12187" s="192"/>
      <c r="C12187" s="140"/>
      <c r="D12187" s="140"/>
      <c r="E12187" s="140"/>
    </row>
    <row r="12188" spans="1:5">
      <c r="A12188" s="140"/>
      <c r="B12188" s="192"/>
      <c r="C12188" s="140"/>
      <c r="D12188" s="140"/>
      <c r="E12188" s="140"/>
    </row>
    <row r="12189" spans="1:5">
      <c r="A12189" s="140"/>
      <c r="B12189" s="192"/>
      <c r="C12189" s="140"/>
      <c r="D12189" s="140"/>
      <c r="E12189" s="140"/>
    </row>
    <row r="12190" spans="1:5">
      <c r="A12190" s="140"/>
      <c r="B12190" s="192"/>
      <c r="C12190" s="140"/>
      <c r="D12190" s="140"/>
      <c r="E12190" s="140"/>
    </row>
    <row r="12191" spans="1:5">
      <c r="A12191" s="140"/>
      <c r="B12191" s="192"/>
      <c r="C12191" s="140"/>
      <c r="D12191" s="140"/>
      <c r="E12191" s="140"/>
    </row>
    <row r="12192" spans="1:5">
      <c r="A12192" s="140"/>
      <c r="B12192" s="192"/>
      <c r="C12192" s="140"/>
      <c r="D12192" s="140"/>
      <c r="E12192" s="140"/>
    </row>
    <row r="12193" spans="1:5">
      <c r="A12193" s="140"/>
      <c r="B12193" s="192"/>
      <c r="C12193" s="140"/>
      <c r="D12193" s="140"/>
      <c r="E12193" s="140"/>
    </row>
    <row r="12194" spans="1:5">
      <c r="A12194" s="140"/>
      <c r="B12194" s="192"/>
      <c r="C12194" s="140"/>
      <c r="D12194" s="140"/>
      <c r="E12194" s="140"/>
    </row>
    <row r="12195" spans="1:5">
      <c r="A12195" s="140"/>
      <c r="B12195" s="192"/>
      <c r="C12195" s="140"/>
      <c r="D12195" s="140"/>
      <c r="E12195" s="140"/>
    </row>
    <row r="12196" spans="1:5">
      <c r="A12196" s="140"/>
      <c r="B12196" s="192"/>
      <c r="C12196" s="140"/>
      <c r="D12196" s="140"/>
      <c r="E12196" s="140"/>
    </row>
    <row r="12197" spans="1:5">
      <c r="A12197" s="140"/>
      <c r="B12197" s="192"/>
      <c r="C12197" s="140"/>
      <c r="D12197" s="140"/>
      <c r="E12197" s="140"/>
    </row>
    <row r="12198" spans="1:5">
      <c r="A12198" s="140"/>
      <c r="B12198" s="192"/>
      <c r="C12198" s="140"/>
      <c r="D12198" s="140"/>
      <c r="E12198" s="140"/>
    </row>
    <row r="12199" spans="1:5">
      <c r="A12199" s="140"/>
      <c r="B12199" s="192"/>
      <c r="C12199" s="140"/>
      <c r="D12199" s="140"/>
      <c r="E12199" s="140"/>
    </row>
    <row r="12200" spans="1:5">
      <c r="A12200" s="140"/>
      <c r="B12200" s="192"/>
      <c r="C12200" s="140"/>
      <c r="D12200" s="140"/>
      <c r="E12200" s="140"/>
    </row>
    <row r="12201" spans="1:5">
      <c r="A12201" s="140"/>
      <c r="B12201" s="192"/>
      <c r="C12201" s="140"/>
      <c r="D12201" s="140"/>
      <c r="E12201" s="140"/>
    </row>
    <row r="12202" spans="1:5">
      <c r="A12202" s="140"/>
      <c r="B12202" s="192"/>
      <c r="C12202" s="140"/>
      <c r="D12202" s="140"/>
      <c r="E12202" s="140"/>
    </row>
    <row r="12203" spans="1:5">
      <c r="A12203" s="140"/>
      <c r="B12203" s="192"/>
      <c r="C12203" s="140"/>
      <c r="D12203" s="140"/>
      <c r="E12203" s="140"/>
    </row>
    <row r="12204" spans="1:5">
      <c r="A12204" s="140"/>
      <c r="B12204" s="192"/>
      <c r="C12204" s="140"/>
      <c r="D12204" s="140"/>
      <c r="E12204" s="140"/>
    </row>
    <row r="12205" spans="1:5">
      <c r="A12205" s="140"/>
      <c r="B12205" s="192"/>
      <c r="C12205" s="140"/>
      <c r="D12205" s="140"/>
      <c r="E12205" s="140"/>
    </row>
    <row r="12206" spans="1:5">
      <c r="A12206" s="140"/>
      <c r="B12206" s="192"/>
      <c r="C12206" s="140"/>
      <c r="D12206" s="140"/>
      <c r="E12206" s="140"/>
    </row>
    <row r="12207" spans="1:5">
      <c r="A12207" s="140"/>
      <c r="B12207" s="192"/>
      <c r="C12207" s="140"/>
      <c r="D12207" s="140"/>
      <c r="E12207" s="140"/>
    </row>
    <row r="12208" spans="1:5">
      <c r="A12208" s="140"/>
      <c r="B12208" s="192"/>
      <c r="C12208" s="140"/>
      <c r="D12208" s="140"/>
      <c r="E12208" s="140"/>
    </row>
    <row r="12209" spans="1:5">
      <c r="A12209" s="140"/>
      <c r="B12209" s="192"/>
      <c r="C12209" s="140"/>
      <c r="D12209" s="140"/>
      <c r="E12209" s="140"/>
    </row>
    <row r="12210" spans="1:5">
      <c r="A12210" s="140"/>
      <c r="B12210" s="192"/>
      <c r="C12210" s="140"/>
      <c r="D12210" s="140"/>
      <c r="E12210" s="140"/>
    </row>
    <row r="12211" spans="1:5">
      <c r="A12211" s="140"/>
      <c r="B12211" s="192"/>
      <c r="C12211" s="140"/>
      <c r="D12211" s="140"/>
      <c r="E12211" s="140"/>
    </row>
    <row r="12212" spans="1:5">
      <c r="A12212" s="140"/>
      <c r="B12212" s="192"/>
      <c r="C12212" s="140"/>
      <c r="D12212" s="140"/>
      <c r="E12212" s="140"/>
    </row>
    <row r="12213" spans="1:5">
      <c r="A12213" s="140"/>
      <c r="B12213" s="192"/>
      <c r="C12213" s="140"/>
      <c r="D12213" s="140"/>
      <c r="E12213" s="140"/>
    </row>
    <row r="12214" spans="1:5">
      <c r="A12214" s="140"/>
      <c r="B12214" s="192"/>
      <c r="C12214" s="140"/>
      <c r="D12214" s="140"/>
      <c r="E12214" s="140"/>
    </row>
    <row r="12215" spans="1:5">
      <c r="A12215" s="140"/>
      <c r="B12215" s="192"/>
      <c r="C12215" s="140"/>
      <c r="D12215" s="140"/>
      <c r="E12215" s="140"/>
    </row>
    <row r="12216" spans="1:5">
      <c r="A12216" s="140"/>
      <c r="B12216" s="192"/>
      <c r="C12216" s="140"/>
      <c r="D12216" s="140"/>
      <c r="E12216" s="140"/>
    </row>
    <row r="12217" spans="1:5">
      <c r="A12217" s="140"/>
      <c r="B12217" s="192"/>
      <c r="C12217" s="140"/>
      <c r="D12217" s="140"/>
      <c r="E12217" s="140"/>
    </row>
    <row r="12218" spans="1:5">
      <c r="A12218" s="140"/>
      <c r="B12218" s="192"/>
      <c r="C12218" s="140"/>
      <c r="D12218" s="140"/>
      <c r="E12218" s="140"/>
    </row>
    <row r="12219" spans="1:5">
      <c r="A12219" s="140"/>
      <c r="B12219" s="192"/>
      <c r="C12219" s="140"/>
      <c r="D12219" s="140"/>
      <c r="E12219" s="140"/>
    </row>
    <row r="12220" spans="1:5">
      <c r="A12220" s="140"/>
      <c r="B12220" s="192"/>
      <c r="C12220" s="140"/>
      <c r="D12220" s="140"/>
      <c r="E12220" s="140"/>
    </row>
    <row r="12221" spans="1:5">
      <c r="A12221" s="140"/>
      <c r="B12221" s="192"/>
      <c r="C12221" s="140"/>
      <c r="D12221" s="140"/>
      <c r="E12221" s="140"/>
    </row>
    <row r="12222" spans="1:5">
      <c r="A12222" s="140"/>
      <c r="B12222" s="192"/>
      <c r="C12222" s="140"/>
      <c r="D12222" s="140"/>
      <c r="E12222" s="140"/>
    </row>
    <row r="12223" spans="1:5">
      <c r="A12223" s="140"/>
      <c r="B12223" s="192"/>
      <c r="C12223" s="140"/>
      <c r="D12223" s="140"/>
      <c r="E12223" s="140"/>
    </row>
    <row r="12224" spans="1:5">
      <c r="A12224" s="140"/>
      <c r="B12224" s="192"/>
      <c r="C12224" s="140"/>
      <c r="D12224" s="140"/>
      <c r="E12224" s="140"/>
    </row>
    <row r="12225" spans="1:5">
      <c r="A12225" s="140"/>
      <c r="B12225" s="192"/>
      <c r="C12225" s="140"/>
      <c r="D12225" s="140"/>
      <c r="E12225" s="140"/>
    </row>
    <row r="12226" spans="1:5">
      <c r="A12226" s="140"/>
      <c r="B12226" s="192"/>
      <c r="C12226" s="140"/>
      <c r="D12226" s="140"/>
      <c r="E12226" s="140"/>
    </row>
    <row r="12227" spans="1:5">
      <c r="A12227" s="140"/>
      <c r="B12227" s="192"/>
      <c r="C12227" s="140"/>
      <c r="D12227" s="140"/>
      <c r="E12227" s="140"/>
    </row>
    <row r="12228" spans="1:5">
      <c r="A12228" s="140"/>
      <c r="B12228" s="192"/>
      <c r="C12228" s="140"/>
      <c r="D12228" s="140"/>
      <c r="E12228" s="140"/>
    </row>
    <row r="12229" spans="1:5">
      <c r="A12229" s="140"/>
      <c r="B12229" s="192"/>
      <c r="C12229" s="140"/>
      <c r="D12229" s="140"/>
      <c r="E12229" s="140"/>
    </row>
    <row r="12230" spans="1:5">
      <c r="A12230" s="140"/>
      <c r="B12230" s="192"/>
      <c r="C12230" s="140"/>
      <c r="D12230" s="140"/>
      <c r="E12230" s="140"/>
    </row>
    <row r="12231" spans="1:5">
      <c r="A12231" s="140"/>
      <c r="B12231" s="192"/>
      <c r="C12231" s="140"/>
      <c r="D12231" s="140"/>
      <c r="E12231" s="140"/>
    </row>
    <row r="12232" spans="1:5">
      <c r="A12232" s="140"/>
      <c r="B12232" s="192"/>
      <c r="C12232" s="140"/>
      <c r="D12232" s="140"/>
      <c r="E12232" s="140"/>
    </row>
    <row r="12233" spans="1:5">
      <c r="A12233" s="140"/>
      <c r="B12233" s="192"/>
      <c r="C12233" s="140"/>
      <c r="D12233" s="140"/>
      <c r="E12233" s="140"/>
    </row>
    <row r="12234" spans="1:5">
      <c r="A12234" s="140"/>
      <c r="B12234" s="192"/>
      <c r="C12234" s="140"/>
      <c r="D12234" s="140"/>
      <c r="E12234" s="140"/>
    </row>
    <row r="12235" spans="1:5">
      <c r="A12235" s="140"/>
      <c r="B12235" s="192"/>
      <c r="C12235" s="140"/>
      <c r="D12235" s="140"/>
      <c r="E12235" s="140"/>
    </row>
    <row r="12236" spans="1:5">
      <c r="A12236" s="140"/>
      <c r="B12236" s="192"/>
      <c r="C12236" s="140"/>
      <c r="D12236" s="140"/>
      <c r="E12236" s="140"/>
    </row>
    <row r="12237" spans="1:5">
      <c r="A12237" s="140"/>
      <c r="B12237" s="192"/>
      <c r="C12237" s="140"/>
      <c r="D12237" s="140"/>
      <c r="E12237" s="140"/>
    </row>
    <row r="12238" spans="1:5">
      <c r="A12238" s="140"/>
      <c r="B12238" s="192"/>
      <c r="C12238" s="140"/>
      <c r="D12238" s="140"/>
      <c r="E12238" s="140"/>
    </row>
    <row r="12239" spans="1:5">
      <c r="A12239" s="140"/>
      <c r="B12239" s="192"/>
      <c r="C12239" s="140"/>
      <c r="D12239" s="140"/>
      <c r="E12239" s="140"/>
    </row>
    <row r="12240" spans="1:5">
      <c r="A12240" s="140"/>
      <c r="B12240" s="192"/>
      <c r="C12240" s="140"/>
      <c r="D12240" s="140"/>
      <c r="E12240" s="140"/>
    </row>
    <row r="12241" spans="1:5">
      <c r="A12241" s="140"/>
      <c r="B12241" s="192"/>
      <c r="C12241" s="140"/>
      <c r="D12241" s="140"/>
      <c r="E12241" s="140"/>
    </row>
    <row r="12242" spans="1:5">
      <c r="A12242" s="140"/>
      <c r="B12242" s="192"/>
      <c r="C12242" s="140"/>
      <c r="D12242" s="140"/>
      <c r="E12242" s="140"/>
    </row>
    <row r="12243" spans="1:5">
      <c r="A12243" s="140"/>
      <c r="B12243" s="192"/>
      <c r="C12243" s="140"/>
      <c r="D12243" s="140"/>
      <c r="E12243" s="140"/>
    </row>
    <row r="12244" spans="1:5">
      <c r="A12244" s="140"/>
      <c r="B12244" s="192"/>
      <c r="C12244" s="140"/>
      <c r="D12244" s="140"/>
      <c r="E12244" s="140"/>
    </row>
    <row r="12245" spans="1:5">
      <c r="A12245" s="140"/>
      <c r="B12245" s="192"/>
      <c r="C12245" s="140"/>
      <c r="D12245" s="140"/>
      <c r="E12245" s="140"/>
    </row>
    <row r="12246" spans="1:5">
      <c r="A12246" s="140"/>
      <c r="B12246" s="192"/>
      <c r="C12246" s="140"/>
      <c r="D12246" s="140"/>
      <c r="E12246" s="140"/>
    </row>
    <row r="12247" spans="1:5">
      <c r="A12247" s="140"/>
      <c r="B12247" s="192"/>
      <c r="C12247" s="140"/>
      <c r="D12247" s="140"/>
      <c r="E12247" s="140"/>
    </row>
    <row r="12248" spans="1:5">
      <c r="A12248" s="140"/>
      <c r="B12248" s="192"/>
      <c r="C12248" s="140"/>
      <c r="D12248" s="140"/>
      <c r="E12248" s="140"/>
    </row>
    <row r="12249" spans="1:5">
      <c r="A12249" s="140"/>
      <c r="B12249" s="192"/>
      <c r="C12249" s="140"/>
      <c r="D12249" s="140"/>
      <c r="E12249" s="140"/>
    </row>
    <row r="12250" spans="1:5">
      <c r="A12250" s="140"/>
      <c r="B12250" s="192"/>
      <c r="C12250" s="140"/>
      <c r="D12250" s="140"/>
      <c r="E12250" s="140"/>
    </row>
    <row r="12251" spans="1:5">
      <c r="A12251" s="140"/>
      <c r="B12251" s="192"/>
      <c r="C12251" s="140"/>
      <c r="D12251" s="140"/>
      <c r="E12251" s="140"/>
    </row>
    <row r="12252" spans="1:5">
      <c r="A12252" s="140"/>
      <c r="B12252" s="192"/>
      <c r="C12252" s="140"/>
      <c r="D12252" s="140"/>
      <c r="E12252" s="140"/>
    </row>
    <row r="12253" spans="1:5">
      <c r="A12253" s="140"/>
      <c r="B12253" s="192"/>
      <c r="C12253" s="140"/>
      <c r="D12253" s="140"/>
      <c r="E12253" s="140"/>
    </row>
    <row r="12254" spans="1:5">
      <c r="A12254" s="140"/>
      <c r="B12254" s="192"/>
      <c r="C12254" s="140"/>
      <c r="D12254" s="140"/>
      <c r="E12254" s="140"/>
    </row>
    <row r="12255" spans="1:5">
      <c r="A12255" s="140"/>
      <c r="B12255" s="192"/>
      <c r="C12255" s="140"/>
      <c r="D12255" s="140"/>
      <c r="E12255" s="140"/>
    </row>
    <row r="12256" spans="1:5">
      <c r="A12256" s="140"/>
      <c r="B12256" s="192"/>
      <c r="C12256" s="140"/>
      <c r="D12256" s="140"/>
      <c r="E12256" s="140"/>
    </row>
    <row r="12257" spans="1:5">
      <c r="A12257" s="140"/>
      <c r="B12257" s="192"/>
      <c r="C12257" s="140"/>
      <c r="D12257" s="140"/>
      <c r="E12257" s="140"/>
    </row>
    <row r="12258" spans="1:5">
      <c r="A12258" s="140"/>
      <c r="B12258" s="192"/>
      <c r="C12258" s="140"/>
      <c r="D12258" s="140"/>
      <c r="E12258" s="140"/>
    </row>
    <row r="12259" spans="1:5">
      <c r="A12259" s="140"/>
      <c r="B12259" s="192"/>
      <c r="C12259" s="140"/>
      <c r="D12259" s="140"/>
      <c r="E12259" s="140"/>
    </row>
    <row r="12260" spans="1:5">
      <c r="A12260" s="140"/>
      <c r="B12260" s="192"/>
      <c r="C12260" s="140"/>
      <c r="D12260" s="140"/>
      <c r="E12260" s="140"/>
    </row>
    <row r="12261" spans="1:5">
      <c r="A12261" s="140"/>
      <c r="B12261" s="192"/>
      <c r="C12261" s="140"/>
      <c r="D12261" s="140"/>
      <c r="E12261" s="140"/>
    </row>
    <row r="12262" spans="1:5">
      <c r="A12262" s="140"/>
      <c r="B12262" s="192"/>
      <c r="C12262" s="140"/>
      <c r="D12262" s="140"/>
      <c r="E12262" s="140"/>
    </row>
    <row r="12263" spans="1:5">
      <c r="A12263" s="140"/>
      <c r="B12263" s="192"/>
      <c r="C12263" s="140"/>
      <c r="D12263" s="140"/>
      <c r="E12263" s="140"/>
    </row>
    <row r="12264" spans="1:5">
      <c r="A12264" s="140"/>
      <c r="B12264" s="192"/>
      <c r="C12264" s="140"/>
      <c r="D12264" s="140"/>
      <c r="E12264" s="140"/>
    </row>
    <row r="12265" spans="1:5">
      <c r="A12265" s="140"/>
      <c r="B12265" s="192"/>
      <c r="C12265" s="140"/>
      <c r="D12265" s="140"/>
      <c r="E12265" s="140"/>
    </row>
    <row r="12266" spans="1:5">
      <c r="A12266" s="140"/>
      <c r="B12266" s="192"/>
      <c r="C12266" s="140"/>
      <c r="D12266" s="140"/>
      <c r="E12266" s="140"/>
    </row>
    <row r="12267" spans="1:5">
      <c r="A12267" s="140"/>
      <c r="B12267" s="192"/>
      <c r="C12267" s="140"/>
      <c r="D12267" s="140"/>
      <c r="E12267" s="140"/>
    </row>
    <row r="12268" spans="1:5">
      <c r="A12268" s="140"/>
      <c r="B12268" s="192"/>
      <c r="C12268" s="140"/>
      <c r="D12268" s="140"/>
      <c r="E12268" s="140"/>
    </row>
    <row r="12269" spans="1:5">
      <c r="A12269" s="140"/>
      <c r="B12269" s="192"/>
      <c r="C12269" s="140"/>
      <c r="D12269" s="140"/>
      <c r="E12269" s="140"/>
    </row>
    <row r="12270" spans="1:5">
      <c r="A12270" s="140"/>
      <c r="B12270" s="192"/>
      <c r="C12270" s="140"/>
      <c r="D12270" s="140"/>
      <c r="E12270" s="140"/>
    </row>
    <row r="12271" spans="1:5">
      <c r="A12271" s="140"/>
      <c r="B12271" s="192"/>
      <c r="C12271" s="140"/>
      <c r="D12271" s="140"/>
      <c r="E12271" s="140"/>
    </row>
    <row r="12272" spans="1:5">
      <c r="A12272" s="140"/>
      <c r="B12272" s="192"/>
      <c r="C12272" s="140"/>
      <c r="D12272" s="140"/>
      <c r="E12272" s="140"/>
    </row>
    <row r="12273" spans="1:5">
      <c r="A12273" s="140"/>
      <c r="B12273" s="192"/>
      <c r="C12273" s="140"/>
      <c r="D12273" s="140"/>
      <c r="E12273" s="140"/>
    </row>
    <row r="12274" spans="1:5">
      <c r="A12274" s="140"/>
      <c r="B12274" s="192"/>
      <c r="C12274" s="140"/>
      <c r="D12274" s="140"/>
      <c r="E12274" s="140"/>
    </row>
    <row r="12275" spans="1:5">
      <c r="A12275" s="140"/>
      <c r="B12275" s="192"/>
      <c r="C12275" s="140"/>
      <c r="D12275" s="140"/>
      <c r="E12275" s="140"/>
    </row>
    <row r="12276" spans="1:5">
      <c r="A12276" s="140"/>
      <c r="B12276" s="192"/>
      <c r="C12276" s="140"/>
      <c r="D12276" s="140"/>
      <c r="E12276" s="140"/>
    </row>
    <row r="12277" spans="1:5">
      <c r="A12277" s="140"/>
      <c r="B12277" s="192"/>
      <c r="C12277" s="140"/>
      <c r="D12277" s="140"/>
      <c r="E12277" s="140"/>
    </row>
    <row r="12278" spans="1:5">
      <c r="A12278" s="140"/>
      <c r="B12278" s="192"/>
      <c r="C12278" s="140"/>
      <c r="D12278" s="140"/>
      <c r="E12278" s="140"/>
    </row>
    <row r="12279" spans="1:5">
      <c r="A12279" s="140"/>
      <c r="B12279" s="192"/>
      <c r="C12279" s="140"/>
      <c r="D12279" s="140"/>
      <c r="E12279" s="140"/>
    </row>
    <row r="12280" spans="1:5">
      <c r="A12280" s="140"/>
      <c r="B12280" s="192"/>
      <c r="C12280" s="140"/>
      <c r="D12280" s="140"/>
      <c r="E12280" s="140"/>
    </row>
    <row r="12281" spans="1:5">
      <c r="A12281" s="140"/>
      <c r="B12281" s="192"/>
      <c r="C12281" s="140"/>
      <c r="D12281" s="140"/>
      <c r="E12281" s="140"/>
    </row>
    <row r="12282" spans="1:5">
      <c r="A12282" s="140"/>
      <c r="B12282" s="192"/>
      <c r="C12282" s="140"/>
      <c r="D12282" s="140"/>
      <c r="E12282" s="140"/>
    </row>
    <row r="12283" spans="1:5">
      <c r="A12283" s="140"/>
      <c r="B12283" s="192"/>
      <c r="C12283" s="140"/>
      <c r="D12283" s="140"/>
      <c r="E12283" s="140"/>
    </row>
    <row r="12284" spans="1:5">
      <c r="A12284" s="140"/>
      <c r="B12284" s="192"/>
      <c r="C12284" s="140"/>
      <c r="D12284" s="140"/>
      <c r="E12284" s="140"/>
    </row>
    <row r="12285" spans="1:5">
      <c r="A12285" s="140"/>
      <c r="B12285" s="192"/>
      <c r="C12285" s="140"/>
      <c r="D12285" s="140"/>
      <c r="E12285" s="140"/>
    </row>
    <row r="12286" spans="1:5">
      <c r="A12286" s="140"/>
      <c r="B12286" s="192"/>
      <c r="C12286" s="140"/>
      <c r="D12286" s="140"/>
      <c r="E12286" s="140"/>
    </row>
    <row r="12287" spans="1:5">
      <c r="A12287" s="140"/>
      <c r="B12287" s="192"/>
      <c r="C12287" s="140"/>
      <c r="D12287" s="140"/>
      <c r="E12287" s="140"/>
    </row>
    <row r="12288" spans="1:5">
      <c r="A12288" s="140"/>
      <c r="B12288" s="192"/>
      <c r="C12288" s="140"/>
      <c r="D12288" s="140"/>
      <c r="E12288" s="140"/>
    </row>
    <row r="12289" spans="1:5">
      <c r="A12289" s="140"/>
      <c r="B12289" s="192"/>
      <c r="C12289" s="140"/>
      <c r="D12289" s="140"/>
      <c r="E12289" s="140"/>
    </row>
    <row r="12290" spans="1:5">
      <c r="A12290" s="140"/>
      <c r="B12290" s="192"/>
      <c r="C12290" s="140"/>
      <c r="D12290" s="140"/>
      <c r="E12290" s="140"/>
    </row>
    <row r="12291" spans="1:5">
      <c r="A12291" s="140"/>
      <c r="B12291" s="192"/>
      <c r="C12291" s="140"/>
      <c r="D12291" s="140"/>
      <c r="E12291" s="140"/>
    </row>
    <row r="12292" spans="1:5">
      <c r="A12292" s="140"/>
      <c r="B12292" s="192"/>
      <c r="C12292" s="140"/>
      <c r="D12292" s="140"/>
      <c r="E12292" s="140"/>
    </row>
    <row r="12293" spans="1:5">
      <c r="A12293" s="140"/>
      <c r="B12293" s="192"/>
      <c r="C12293" s="140"/>
      <c r="D12293" s="140"/>
      <c r="E12293" s="140"/>
    </row>
    <row r="12294" spans="1:5">
      <c r="A12294" s="140"/>
      <c r="B12294" s="192"/>
      <c r="C12294" s="140"/>
      <c r="D12294" s="140"/>
      <c r="E12294" s="140"/>
    </row>
    <row r="12295" spans="1:5">
      <c r="A12295" s="140"/>
      <c r="B12295" s="192"/>
      <c r="C12295" s="140"/>
      <c r="D12295" s="140"/>
      <c r="E12295" s="140"/>
    </row>
    <row r="12296" spans="1:5">
      <c r="A12296" s="140"/>
      <c r="B12296" s="192"/>
      <c r="C12296" s="140"/>
      <c r="D12296" s="140"/>
      <c r="E12296" s="140"/>
    </row>
    <row r="12297" spans="1:5">
      <c r="A12297" s="140"/>
      <c r="B12297" s="192"/>
      <c r="C12297" s="140"/>
      <c r="D12297" s="140"/>
      <c r="E12297" s="140"/>
    </row>
    <row r="12298" spans="1:5">
      <c r="A12298" s="140"/>
      <c r="B12298" s="192"/>
      <c r="C12298" s="140"/>
      <c r="D12298" s="140"/>
      <c r="E12298" s="140"/>
    </row>
    <row r="12299" spans="1:5">
      <c r="A12299" s="140"/>
      <c r="B12299" s="192"/>
      <c r="C12299" s="140"/>
      <c r="D12299" s="140"/>
      <c r="E12299" s="140"/>
    </row>
    <row r="12300" spans="1:5">
      <c r="A12300" s="140"/>
      <c r="B12300" s="192"/>
      <c r="C12300" s="140"/>
      <c r="D12300" s="140"/>
      <c r="E12300" s="140"/>
    </row>
    <row r="12301" spans="1:5">
      <c r="A12301" s="140"/>
      <c r="B12301" s="192"/>
      <c r="C12301" s="140"/>
      <c r="D12301" s="140"/>
      <c r="E12301" s="140"/>
    </row>
    <row r="12302" spans="1:5">
      <c r="A12302" s="140"/>
      <c r="B12302" s="192"/>
      <c r="C12302" s="140"/>
      <c r="D12302" s="140"/>
      <c r="E12302" s="140"/>
    </row>
    <row r="12303" spans="1:5">
      <c r="A12303" s="140"/>
      <c r="B12303" s="192"/>
      <c r="C12303" s="140"/>
      <c r="D12303" s="140"/>
      <c r="E12303" s="140"/>
    </row>
    <row r="12304" spans="1:5">
      <c r="A12304" s="140"/>
      <c r="B12304" s="192"/>
      <c r="C12304" s="140"/>
      <c r="D12304" s="140"/>
      <c r="E12304" s="140"/>
    </row>
    <row r="12305" spans="1:5">
      <c r="A12305" s="140"/>
      <c r="B12305" s="192"/>
      <c r="C12305" s="140"/>
      <c r="D12305" s="140"/>
      <c r="E12305" s="140"/>
    </row>
    <row r="12306" spans="1:5">
      <c r="A12306" s="140"/>
      <c r="B12306" s="192"/>
      <c r="C12306" s="140"/>
      <c r="D12306" s="140"/>
      <c r="E12306" s="140"/>
    </row>
    <row r="12307" spans="1:5">
      <c r="A12307" s="140"/>
      <c r="B12307" s="192"/>
      <c r="C12307" s="140"/>
      <c r="D12307" s="140"/>
      <c r="E12307" s="140"/>
    </row>
    <row r="12308" spans="1:5">
      <c r="A12308" s="140"/>
      <c r="B12308" s="192"/>
      <c r="C12308" s="140"/>
      <c r="D12308" s="140"/>
      <c r="E12308" s="140"/>
    </row>
    <row r="12309" spans="1:5">
      <c r="A12309" s="140"/>
      <c r="B12309" s="192"/>
      <c r="C12309" s="140"/>
      <c r="D12309" s="140"/>
      <c r="E12309" s="140"/>
    </row>
    <row r="12310" spans="1:5">
      <c r="A12310" s="140"/>
      <c r="B12310" s="192"/>
      <c r="C12310" s="140"/>
      <c r="D12310" s="140"/>
      <c r="E12310" s="140"/>
    </row>
    <row r="12311" spans="1:5">
      <c r="A12311" s="140"/>
      <c r="B12311" s="192"/>
      <c r="C12311" s="140"/>
      <c r="D12311" s="140"/>
      <c r="E12311" s="140"/>
    </row>
    <row r="12312" spans="1:5">
      <c r="A12312" s="140"/>
      <c r="B12312" s="192"/>
      <c r="C12312" s="140"/>
      <c r="D12312" s="140"/>
      <c r="E12312" s="140"/>
    </row>
    <row r="12313" spans="1:5">
      <c r="A12313" s="140"/>
      <c r="B12313" s="192"/>
      <c r="C12313" s="140"/>
      <c r="D12313" s="140"/>
      <c r="E12313" s="140"/>
    </row>
    <row r="12314" spans="1:5">
      <c r="A12314" s="140"/>
      <c r="B12314" s="192"/>
      <c r="C12314" s="140"/>
      <c r="D12314" s="140"/>
      <c r="E12314" s="140"/>
    </row>
    <row r="12315" spans="1:5">
      <c r="A12315" s="140"/>
      <c r="B12315" s="192"/>
      <c r="C12315" s="140"/>
      <c r="D12315" s="140"/>
      <c r="E12315" s="140"/>
    </row>
    <row r="12316" spans="1:5">
      <c r="A12316" s="140"/>
      <c r="B12316" s="192"/>
      <c r="C12316" s="140"/>
      <c r="D12316" s="140"/>
      <c r="E12316" s="140"/>
    </row>
    <row r="12317" spans="1:5">
      <c r="A12317" s="140"/>
      <c r="B12317" s="192"/>
      <c r="C12317" s="140"/>
      <c r="D12317" s="140"/>
      <c r="E12317" s="140"/>
    </row>
    <row r="12318" spans="1:5">
      <c r="A12318" s="140"/>
      <c r="B12318" s="192"/>
      <c r="C12318" s="140"/>
      <c r="D12318" s="140"/>
      <c r="E12318" s="140"/>
    </row>
    <row r="12319" spans="1:5">
      <c r="A12319" s="140"/>
      <c r="B12319" s="192"/>
      <c r="C12319" s="140"/>
      <c r="D12319" s="140"/>
      <c r="E12319" s="140"/>
    </row>
    <row r="12320" spans="1:5">
      <c r="A12320" s="140"/>
      <c r="B12320" s="192"/>
      <c r="C12320" s="140"/>
      <c r="D12320" s="140"/>
      <c r="E12320" s="140"/>
    </row>
    <row r="12321" spans="1:5">
      <c r="A12321" s="140"/>
      <c r="B12321" s="192"/>
      <c r="C12321" s="140"/>
      <c r="D12321" s="140"/>
      <c r="E12321" s="140"/>
    </row>
    <row r="12322" spans="1:5">
      <c r="A12322" s="140"/>
      <c r="B12322" s="192"/>
      <c r="C12322" s="140"/>
      <c r="D12322" s="140"/>
      <c r="E12322" s="140"/>
    </row>
    <row r="12323" spans="1:5">
      <c r="A12323" s="140"/>
      <c r="B12323" s="192"/>
      <c r="C12323" s="140"/>
      <c r="D12323" s="140"/>
      <c r="E12323" s="140"/>
    </row>
    <row r="12324" spans="1:5">
      <c r="A12324" s="140"/>
      <c r="B12324" s="192"/>
      <c r="C12324" s="140"/>
      <c r="D12324" s="140"/>
      <c r="E12324" s="140"/>
    </row>
    <row r="12325" spans="1:5">
      <c r="A12325" s="140"/>
      <c r="B12325" s="192"/>
      <c r="C12325" s="140"/>
      <c r="D12325" s="140"/>
      <c r="E12325" s="140"/>
    </row>
    <row r="12326" spans="1:5">
      <c r="A12326" s="140"/>
      <c r="B12326" s="192"/>
      <c r="C12326" s="140"/>
      <c r="D12326" s="140"/>
      <c r="E12326" s="140"/>
    </row>
    <row r="12327" spans="1:5">
      <c r="A12327" s="140"/>
      <c r="B12327" s="192"/>
      <c r="C12327" s="140"/>
      <c r="D12327" s="140"/>
      <c r="E12327" s="140"/>
    </row>
    <row r="12328" spans="1:5">
      <c r="A12328" s="140"/>
      <c r="B12328" s="192"/>
      <c r="C12328" s="140"/>
      <c r="D12328" s="140"/>
      <c r="E12328" s="140"/>
    </row>
    <row r="12329" spans="1:5">
      <c r="A12329" s="140"/>
      <c r="B12329" s="192"/>
      <c r="C12329" s="140"/>
      <c r="D12329" s="140"/>
      <c r="E12329" s="140"/>
    </row>
    <row r="12330" spans="1:5">
      <c r="A12330" s="140"/>
      <c r="B12330" s="192"/>
      <c r="C12330" s="140"/>
      <c r="D12330" s="140"/>
      <c r="E12330" s="140"/>
    </row>
    <row r="12331" spans="1:5">
      <c r="A12331" s="140"/>
      <c r="B12331" s="192"/>
      <c r="C12331" s="140"/>
      <c r="D12331" s="140"/>
      <c r="E12331" s="140"/>
    </row>
    <row r="12332" spans="1:5">
      <c r="A12332" s="140"/>
      <c r="B12332" s="192"/>
      <c r="C12332" s="140"/>
      <c r="D12332" s="140"/>
      <c r="E12332" s="140"/>
    </row>
    <row r="12333" spans="1:5">
      <c r="A12333" s="140"/>
      <c r="B12333" s="192"/>
      <c r="C12333" s="140"/>
      <c r="D12333" s="140"/>
      <c r="E12333" s="140"/>
    </row>
    <row r="12334" spans="1:5">
      <c r="A12334" s="140"/>
      <c r="B12334" s="192"/>
      <c r="C12334" s="140"/>
      <c r="D12334" s="140"/>
      <c r="E12334" s="140"/>
    </row>
    <row r="12335" spans="1:5">
      <c r="A12335" s="140"/>
      <c r="B12335" s="192"/>
      <c r="C12335" s="140"/>
      <c r="D12335" s="140"/>
      <c r="E12335" s="140"/>
    </row>
    <row r="12336" spans="1:5">
      <c r="A12336" s="140"/>
      <c r="B12336" s="192"/>
      <c r="C12336" s="140"/>
      <c r="D12336" s="140"/>
      <c r="E12336" s="140"/>
    </row>
    <row r="12337" spans="1:5">
      <c r="A12337" s="140"/>
      <c r="B12337" s="192"/>
      <c r="C12337" s="140"/>
      <c r="D12337" s="140"/>
      <c r="E12337" s="140"/>
    </row>
    <row r="12338" spans="1:5">
      <c r="A12338" s="140"/>
      <c r="B12338" s="192"/>
      <c r="C12338" s="140"/>
      <c r="D12338" s="140"/>
      <c r="E12338" s="140"/>
    </row>
    <row r="12339" spans="1:5">
      <c r="A12339" s="140"/>
      <c r="B12339" s="192"/>
      <c r="C12339" s="140"/>
      <c r="D12339" s="140"/>
      <c r="E12339" s="140"/>
    </row>
    <row r="12340" spans="1:5">
      <c r="A12340" s="140"/>
      <c r="B12340" s="192"/>
      <c r="C12340" s="140"/>
      <c r="D12340" s="140"/>
      <c r="E12340" s="140"/>
    </row>
    <row r="12341" spans="1:5">
      <c r="A12341" s="140"/>
      <c r="B12341" s="192"/>
      <c r="C12341" s="140"/>
      <c r="D12341" s="140"/>
      <c r="E12341" s="140"/>
    </row>
    <row r="12342" spans="1:5">
      <c r="A12342" s="140"/>
      <c r="B12342" s="192"/>
      <c r="C12342" s="140"/>
      <c r="D12342" s="140"/>
      <c r="E12342" s="140"/>
    </row>
    <row r="12343" spans="1:5">
      <c r="A12343" s="140"/>
      <c r="B12343" s="192"/>
      <c r="C12343" s="140"/>
      <c r="D12343" s="140"/>
      <c r="E12343" s="140"/>
    </row>
    <row r="12344" spans="1:5">
      <c r="A12344" s="140"/>
      <c r="B12344" s="192"/>
      <c r="C12344" s="140"/>
      <c r="D12344" s="140"/>
      <c r="E12344" s="140"/>
    </row>
    <row r="12345" spans="1:5">
      <c r="A12345" s="140"/>
      <c r="B12345" s="192"/>
      <c r="C12345" s="140"/>
      <c r="D12345" s="140"/>
      <c r="E12345" s="140"/>
    </row>
    <row r="12346" spans="1:5">
      <c r="A12346" s="140"/>
      <c r="B12346" s="192"/>
      <c r="C12346" s="140"/>
      <c r="D12346" s="140"/>
      <c r="E12346" s="140"/>
    </row>
    <row r="12347" spans="1:5">
      <c r="A12347" s="140"/>
      <c r="B12347" s="192"/>
      <c r="C12347" s="140"/>
      <c r="D12347" s="140"/>
      <c r="E12347" s="140"/>
    </row>
    <row r="12348" spans="1:5">
      <c r="A12348" s="140"/>
      <c r="B12348" s="192"/>
      <c r="C12348" s="140"/>
      <c r="D12348" s="140"/>
      <c r="E12348" s="140"/>
    </row>
    <row r="12349" spans="1:5">
      <c r="A12349" s="140"/>
      <c r="B12349" s="192"/>
      <c r="C12349" s="140"/>
      <c r="D12349" s="140"/>
      <c r="E12349" s="140"/>
    </row>
    <row r="12350" spans="1:5">
      <c r="A12350" s="140"/>
      <c r="B12350" s="192"/>
      <c r="C12350" s="140"/>
      <c r="D12350" s="140"/>
      <c r="E12350" s="140"/>
    </row>
    <row r="12351" spans="1:5">
      <c r="A12351" s="140"/>
      <c r="B12351" s="192"/>
      <c r="C12351" s="140"/>
      <c r="D12351" s="140"/>
      <c r="E12351" s="140"/>
    </row>
    <row r="12352" spans="1:5">
      <c r="A12352" s="140"/>
      <c r="B12352" s="192"/>
      <c r="C12352" s="140"/>
      <c r="D12352" s="140"/>
      <c r="E12352" s="140"/>
    </row>
    <row r="12353" spans="1:5">
      <c r="A12353" s="140"/>
      <c r="B12353" s="192"/>
      <c r="C12353" s="140"/>
      <c r="D12353" s="140"/>
      <c r="E12353" s="140"/>
    </row>
    <row r="12354" spans="1:5">
      <c r="A12354" s="140"/>
      <c r="B12354" s="192"/>
      <c r="C12354" s="140"/>
      <c r="D12354" s="140"/>
      <c r="E12354" s="140"/>
    </row>
    <row r="12355" spans="1:5">
      <c r="A12355" s="140"/>
      <c r="B12355" s="192"/>
      <c r="C12355" s="140"/>
      <c r="D12355" s="140"/>
      <c r="E12355" s="140"/>
    </row>
    <row r="12356" spans="1:5">
      <c r="A12356" s="140"/>
      <c r="B12356" s="192"/>
      <c r="C12356" s="140"/>
      <c r="D12356" s="140"/>
      <c r="E12356" s="140"/>
    </row>
    <row r="12357" spans="1:5">
      <c r="A12357" s="140"/>
      <c r="B12357" s="192"/>
      <c r="C12357" s="140"/>
      <c r="D12357" s="140"/>
      <c r="E12357" s="140"/>
    </row>
    <row r="12358" spans="1:5">
      <c r="A12358" s="140"/>
      <c r="B12358" s="192"/>
      <c r="C12358" s="140"/>
      <c r="D12358" s="140"/>
      <c r="E12358" s="140"/>
    </row>
    <row r="12359" spans="1:5">
      <c r="A12359" s="140"/>
      <c r="B12359" s="192"/>
      <c r="C12359" s="140"/>
      <c r="D12359" s="140"/>
      <c r="E12359" s="140"/>
    </row>
    <row r="12360" spans="1:5">
      <c r="A12360" s="140"/>
      <c r="B12360" s="192"/>
      <c r="C12360" s="140"/>
      <c r="D12360" s="140"/>
      <c r="E12360" s="140"/>
    </row>
    <row r="12361" spans="1:5">
      <c r="A12361" s="140"/>
      <c r="B12361" s="192"/>
      <c r="C12361" s="140"/>
      <c r="D12361" s="140"/>
      <c r="E12361" s="140"/>
    </row>
    <row r="12362" spans="1:5">
      <c r="A12362" s="140"/>
      <c r="B12362" s="192"/>
      <c r="C12362" s="140"/>
      <c r="D12362" s="140"/>
      <c r="E12362" s="140"/>
    </row>
    <row r="12363" spans="1:5">
      <c r="A12363" s="140"/>
      <c r="B12363" s="192"/>
      <c r="C12363" s="140"/>
      <c r="D12363" s="140"/>
      <c r="E12363" s="140"/>
    </row>
    <row r="12364" spans="1:5">
      <c r="A12364" s="140"/>
      <c r="B12364" s="192"/>
      <c r="C12364" s="140"/>
      <c r="D12364" s="140"/>
      <c r="E12364" s="140"/>
    </row>
    <row r="12365" spans="1:5">
      <c r="A12365" s="140"/>
      <c r="B12365" s="192"/>
      <c r="C12365" s="140"/>
      <c r="D12365" s="140"/>
      <c r="E12365" s="140"/>
    </row>
    <row r="12366" spans="1:5">
      <c r="A12366" s="140"/>
      <c r="B12366" s="192"/>
      <c r="C12366" s="140"/>
      <c r="D12366" s="140"/>
      <c r="E12366" s="140"/>
    </row>
    <row r="12367" spans="1:5">
      <c r="A12367" s="140"/>
      <c r="B12367" s="192"/>
      <c r="C12367" s="140"/>
      <c r="D12367" s="140"/>
      <c r="E12367" s="140"/>
    </row>
    <row r="12368" spans="1:5">
      <c r="A12368" s="140"/>
      <c r="B12368" s="192"/>
      <c r="C12368" s="140"/>
      <c r="D12368" s="140"/>
      <c r="E12368" s="140"/>
    </row>
    <row r="12369" spans="1:5">
      <c r="A12369" s="140"/>
      <c r="B12369" s="192"/>
      <c r="C12369" s="140"/>
      <c r="D12369" s="140"/>
      <c r="E12369" s="140"/>
    </row>
    <row r="12370" spans="1:5">
      <c r="A12370" s="140"/>
      <c r="B12370" s="192"/>
      <c r="C12370" s="140"/>
      <c r="D12370" s="140"/>
      <c r="E12370" s="140"/>
    </row>
    <row r="12371" spans="1:5">
      <c r="A12371" s="140"/>
      <c r="B12371" s="192"/>
      <c r="C12371" s="140"/>
      <c r="D12371" s="140"/>
      <c r="E12371" s="140"/>
    </row>
    <row r="12372" spans="1:5">
      <c r="A12372" s="140"/>
      <c r="B12372" s="192"/>
      <c r="C12372" s="140"/>
      <c r="D12372" s="140"/>
      <c r="E12372" s="140"/>
    </row>
    <row r="12373" spans="1:5">
      <c r="A12373" s="140"/>
      <c r="B12373" s="192"/>
      <c r="C12373" s="140"/>
      <c r="D12373" s="140"/>
      <c r="E12373" s="140"/>
    </row>
    <row r="12374" spans="1:5">
      <c r="A12374" s="140"/>
      <c r="B12374" s="192"/>
      <c r="C12374" s="140"/>
      <c r="D12374" s="140"/>
      <c r="E12374" s="140"/>
    </row>
    <row r="12375" spans="1:5">
      <c r="A12375" s="140"/>
      <c r="B12375" s="192"/>
      <c r="C12375" s="140"/>
      <c r="D12375" s="140"/>
      <c r="E12375" s="140"/>
    </row>
    <row r="12376" spans="1:5">
      <c r="A12376" s="140"/>
      <c r="B12376" s="192"/>
      <c r="C12376" s="140"/>
      <c r="D12376" s="140"/>
      <c r="E12376" s="140"/>
    </row>
    <row r="12377" spans="1:5">
      <c r="A12377" s="140"/>
      <c r="B12377" s="192"/>
      <c r="C12377" s="140"/>
      <c r="D12377" s="140"/>
      <c r="E12377" s="140"/>
    </row>
    <row r="12378" spans="1:5">
      <c r="A12378" s="140"/>
      <c r="B12378" s="192"/>
      <c r="C12378" s="140"/>
      <c r="D12378" s="140"/>
      <c r="E12378" s="140"/>
    </row>
    <row r="12379" spans="1:5">
      <c r="A12379" s="140"/>
      <c r="B12379" s="192"/>
      <c r="C12379" s="140"/>
      <c r="D12379" s="140"/>
      <c r="E12379" s="140"/>
    </row>
    <row r="12380" spans="1:5">
      <c r="A12380" s="140"/>
      <c r="B12380" s="192"/>
      <c r="C12380" s="140"/>
      <c r="D12380" s="140"/>
      <c r="E12380" s="140"/>
    </row>
    <row r="12381" spans="1:5">
      <c r="A12381" s="140"/>
      <c r="B12381" s="192"/>
      <c r="C12381" s="140"/>
      <c r="D12381" s="140"/>
      <c r="E12381" s="140"/>
    </row>
    <row r="12382" spans="1:5">
      <c r="A12382" s="140"/>
      <c r="B12382" s="192"/>
      <c r="C12382" s="140"/>
      <c r="D12382" s="140"/>
      <c r="E12382" s="140"/>
    </row>
    <row r="12383" spans="1:5">
      <c r="A12383" s="140"/>
      <c r="B12383" s="192"/>
      <c r="C12383" s="140"/>
      <c r="D12383" s="140"/>
      <c r="E12383" s="140"/>
    </row>
    <row r="12384" spans="1:5">
      <c r="A12384" s="140"/>
      <c r="B12384" s="192"/>
      <c r="C12384" s="140"/>
      <c r="D12384" s="140"/>
      <c r="E12384" s="140"/>
    </row>
    <row r="12385" spans="1:5">
      <c r="A12385" s="140"/>
      <c r="B12385" s="192"/>
      <c r="C12385" s="140"/>
      <c r="D12385" s="140"/>
      <c r="E12385" s="140"/>
    </row>
    <row r="12386" spans="1:5">
      <c r="A12386" s="140"/>
      <c r="B12386" s="192"/>
      <c r="C12386" s="140"/>
      <c r="D12386" s="140"/>
      <c r="E12386" s="140"/>
    </row>
    <row r="12387" spans="1:5">
      <c r="A12387" s="140"/>
      <c r="B12387" s="192"/>
      <c r="C12387" s="140"/>
      <c r="D12387" s="140"/>
      <c r="E12387" s="140"/>
    </row>
    <row r="12388" spans="1:5">
      <c r="A12388" s="140"/>
      <c r="B12388" s="192"/>
      <c r="C12388" s="140"/>
      <c r="D12388" s="140"/>
      <c r="E12388" s="140"/>
    </row>
    <row r="12389" spans="1:5">
      <c r="A12389" s="140"/>
      <c r="B12389" s="192"/>
      <c r="C12389" s="140"/>
      <c r="D12389" s="140"/>
      <c r="E12389" s="140"/>
    </row>
    <row r="12390" spans="1:5">
      <c r="A12390" s="140"/>
      <c r="B12390" s="192"/>
      <c r="C12390" s="140"/>
      <c r="D12390" s="140"/>
      <c r="E12390" s="140"/>
    </row>
    <row r="12391" spans="1:5">
      <c r="A12391" s="140"/>
      <c r="B12391" s="192"/>
      <c r="C12391" s="140"/>
      <c r="D12391" s="140"/>
      <c r="E12391" s="140"/>
    </row>
    <row r="12392" spans="1:5">
      <c r="A12392" s="140"/>
      <c r="B12392" s="192"/>
      <c r="C12392" s="140"/>
      <c r="D12392" s="140"/>
      <c r="E12392" s="140"/>
    </row>
    <row r="12393" spans="1:5">
      <c r="A12393" s="140"/>
      <c r="B12393" s="192"/>
      <c r="C12393" s="140"/>
      <c r="D12393" s="140"/>
      <c r="E12393" s="140"/>
    </row>
    <row r="12394" spans="1:5">
      <c r="A12394" s="140"/>
      <c r="B12394" s="192"/>
      <c r="C12394" s="140"/>
      <c r="D12394" s="140"/>
      <c r="E12394" s="140"/>
    </row>
    <row r="12395" spans="1:5">
      <c r="A12395" s="140"/>
      <c r="B12395" s="192"/>
      <c r="C12395" s="140"/>
      <c r="D12395" s="140"/>
      <c r="E12395" s="140"/>
    </row>
    <row r="12396" spans="1:5">
      <c r="A12396" s="140"/>
      <c r="B12396" s="192"/>
      <c r="C12396" s="140"/>
      <c r="D12396" s="140"/>
      <c r="E12396" s="140"/>
    </row>
    <row r="12397" spans="1:5">
      <c r="A12397" s="140"/>
      <c r="B12397" s="192"/>
      <c r="C12397" s="140"/>
      <c r="D12397" s="140"/>
      <c r="E12397" s="140"/>
    </row>
    <row r="12398" spans="1:5">
      <c r="A12398" s="140"/>
      <c r="B12398" s="192"/>
      <c r="C12398" s="140"/>
      <c r="D12398" s="140"/>
      <c r="E12398" s="140"/>
    </row>
    <row r="12399" spans="1:5">
      <c r="A12399" s="140"/>
      <c r="B12399" s="192"/>
      <c r="C12399" s="140"/>
      <c r="D12399" s="140"/>
      <c r="E12399" s="140"/>
    </row>
    <row r="12400" spans="1:5">
      <c r="A12400" s="140"/>
      <c r="B12400" s="192"/>
      <c r="C12400" s="140"/>
      <c r="D12400" s="140"/>
      <c r="E12400" s="140"/>
    </row>
    <row r="12401" spans="1:5">
      <c r="A12401" s="140"/>
      <c r="B12401" s="192"/>
      <c r="C12401" s="140"/>
      <c r="D12401" s="140"/>
      <c r="E12401" s="140"/>
    </row>
    <row r="12402" spans="1:5">
      <c r="A12402" s="140"/>
      <c r="B12402" s="192"/>
      <c r="C12402" s="140"/>
      <c r="D12402" s="140"/>
      <c r="E12402" s="140"/>
    </row>
    <row r="12403" spans="1:5">
      <c r="A12403" s="140"/>
      <c r="B12403" s="192"/>
      <c r="C12403" s="140"/>
      <c r="D12403" s="140"/>
      <c r="E12403" s="140"/>
    </row>
    <row r="12404" spans="1:5">
      <c r="A12404" s="140"/>
      <c r="B12404" s="192"/>
      <c r="C12404" s="140"/>
      <c r="D12404" s="140"/>
      <c r="E12404" s="140"/>
    </row>
    <row r="12405" spans="1:5">
      <c r="A12405" s="140"/>
      <c r="B12405" s="192"/>
      <c r="C12405" s="140"/>
      <c r="D12405" s="140"/>
      <c r="E12405" s="140"/>
    </row>
    <row r="12406" spans="1:5">
      <c r="A12406" s="140"/>
      <c r="B12406" s="192"/>
      <c r="C12406" s="140"/>
      <c r="D12406" s="140"/>
      <c r="E12406" s="140"/>
    </row>
    <row r="12407" spans="1:5">
      <c r="A12407" s="140"/>
      <c r="B12407" s="192"/>
      <c r="C12407" s="140"/>
      <c r="D12407" s="140"/>
      <c r="E12407" s="140"/>
    </row>
    <row r="12408" spans="1:5">
      <c r="A12408" s="140"/>
      <c r="B12408" s="192"/>
      <c r="C12408" s="140"/>
      <c r="D12408" s="140"/>
      <c r="E12408" s="140"/>
    </row>
    <row r="12409" spans="1:5">
      <c r="A12409" s="140"/>
      <c r="B12409" s="192"/>
      <c r="C12409" s="140"/>
      <c r="D12409" s="140"/>
      <c r="E12409" s="140"/>
    </row>
    <row r="12410" spans="1:5">
      <c r="A12410" s="140"/>
      <c r="B12410" s="192"/>
      <c r="C12410" s="140"/>
      <c r="D12410" s="140"/>
      <c r="E12410" s="140"/>
    </row>
    <row r="12411" spans="1:5">
      <c r="A12411" s="140"/>
      <c r="B12411" s="192"/>
      <c r="C12411" s="140"/>
      <c r="D12411" s="140"/>
      <c r="E12411" s="140"/>
    </row>
    <row r="12412" spans="1:5">
      <c r="A12412" s="140"/>
      <c r="B12412" s="192"/>
      <c r="C12412" s="140"/>
      <c r="D12412" s="140"/>
      <c r="E12412" s="140"/>
    </row>
    <row r="12413" spans="1:5">
      <c r="A12413" s="140"/>
      <c r="B12413" s="192"/>
      <c r="C12413" s="140"/>
      <c r="D12413" s="140"/>
      <c r="E12413" s="140"/>
    </row>
    <row r="12414" spans="1:5">
      <c r="A12414" s="140"/>
      <c r="B12414" s="192"/>
      <c r="C12414" s="140"/>
      <c r="D12414" s="140"/>
      <c r="E12414" s="140"/>
    </row>
    <row r="12415" spans="1:5">
      <c r="A12415" s="140"/>
      <c r="B12415" s="192"/>
      <c r="C12415" s="140"/>
      <c r="D12415" s="140"/>
      <c r="E12415" s="140"/>
    </row>
    <row r="12416" spans="1:5">
      <c r="A12416" s="140"/>
      <c r="B12416" s="192"/>
      <c r="C12416" s="140"/>
      <c r="D12416" s="140"/>
      <c r="E12416" s="140"/>
    </row>
    <row r="12417" spans="1:5">
      <c r="A12417" s="140"/>
      <c r="B12417" s="192"/>
      <c r="C12417" s="140"/>
      <c r="D12417" s="140"/>
      <c r="E12417" s="140"/>
    </row>
    <row r="12418" spans="1:5">
      <c r="A12418" s="140"/>
      <c r="B12418" s="192"/>
      <c r="C12418" s="140"/>
      <c r="D12418" s="140"/>
      <c r="E12418" s="140"/>
    </row>
    <row r="12419" spans="1:5">
      <c r="A12419" s="140"/>
      <c r="B12419" s="192"/>
      <c r="C12419" s="140"/>
      <c r="D12419" s="140"/>
      <c r="E12419" s="140"/>
    </row>
    <row r="12420" spans="1:5">
      <c r="A12420" s="140"/>
      <c r="B12420" s="192"/>
      <c r="C12420" s="140"/>
      <c r="D12420" s="140"/>
      <c r="E12420" s="140"/>
    </row>
    <row r="12421" spans="1:5">
      <c r="A12421" s="140"/>
      <c r="B12421" s="192"/>
      <c r="C12421" s="140"/>
      <c r="D12421" s="140"/>
      <c r="E12421" s="140"/>
    </row>
    <row r="12422" spans="1:5">
      <c r="A12422" s="140"/>
      <c r="B12422" s="192"/>
      <c r="C12422" s="140"/>
      <c r="D12422" s="140"/>
      <c r="E12422" s="140"/>
    </row>
    <row r="12423" spans="1:5">
      <c r="A12423" s="140"/>
      <c r="B12423" s="192"/>
      <c r="C12423" s="140"/>
      <c r="D12423" s="140"/>
      <c r="E12423" s="140"/>
    </row>
    <row r="12424" spans="1:5">
      <c r="A12424" s="140"/>
      <c r="B12424" s="192"/>
      <c r="C12424" s="140"/>
      <c r="D12424" s="140"/>
      <c r="E12424" s="140"/>
    </row>
    <row r="12425" spans="1:5">
      <c r="A12425" s="140"/>
      <c r="B12425" s="192"/>
      <c r="C12425" s="140"/>
      <c r="D12425" s="140"/>
      <c r="E12425" s="140"/>
    </row>
    <row r="12426" spans="1:5">
      <c r="A12426" s="140"/>
      <c r="B12426" s="192"/>
      <c r="C12426" s="140"/>
      <c r="D12426" s="140"/>
      <c r="E12426" s="140"/>
    </row>
    <row r="12427" spans="1:5">
      <c r="A12427" s="140"/>
      <c r="B12427" s="192"/>
      <c r="C12427" s="140"/>
      <c r="D12427" s="140"/>
      <c r="E12427" s="140"/>
    </row>
    <row r="12428" spans="1:5">
      <c r="A12428" s="140"/>
      <c r="B12428" s="192"/>
      <c r="C12428" s="140"/>
      <c r="D12428" s="140"/>
      <c r="E12428" s="140"/>
    </row>
    <row r="12429" spans="1:5">
      <c r="A12429" s="140"/>
      <c r="B12429" s="192"/>
      <c r="C12429" s="140"/>
      <c r="D12429" s="140"/>
      <c r="E12429" s="140"/>
    </row>
    <row r="12430" spans="1:5">
      <c r="A12430" s="140"/>
      <c r="B12430" s="192"/>
      <c r="C12430" s="140"/>
      <c r="D12430" s="140"/>
      <c r="E12430" s="140"/>
    </row>
    <row r="12431" spans="1:5">
      <c r="A12431" s="140"/>
      <c r="B12431" s="192"/>
      <c r="C12431" s="140"/>
      <c r="D12431" s="140"/>
      <c r="E12431" s="140"/>
    </row>
    <row r="12432" spans="1:5">
      <c r="A12432" s="140"/>
      <c r="B12432" s="192"/>
      <c r="C12432" s="140"/>
      <c r="D12432" s="140"/>
      <c r="E12432" s="140"/>
    </row>
    <row r="12433" spans="1:5">
      <c r="A12433" s="140"/>
      <c r="B12433" s="192"/>
      <c r="C12433" s="140"/>
      <c r="D12433" s="140"/>
      <c r="E12433" s="140"/>
    </row>
    <row r="12434" spans="1:5">
      <c r="A12434" s="140"/>
      <c r="B12434" s="192"/>
      <c r="C12434" s="140"/>
      <c r="D12434" s="140"/>
      <c r="E12434" s="140"/>
    </row>
    <row r="12435" spans="1:5">
      <c r="A12435" s="140"/>
      <c r="B12435" s="192"/>
      <c r="C12435" s="140"/>
      <c r="D12435" s="140"/>
      <c r="E12435" s="140"/>
    </row>
    <row r="12436" spans="1:5">
      <c r="A12436" s="140"/>
      <c r="B12436" s="192"/>
      <c r="C12436" s="140"/>
      <c r="D12436" s="140"/>
      <c r="E12436" s="140"/>
    </row>
    <row r="12437" spans="1:5">
      <c r="A12437" s="140"/>
      <c r="B12437" s="192"/>
      <c r="C12437" s="140"/>
      <c r="D12437" s="140"/>
      <c r="E12437" s="140"/>
    </row>
    <row r="12438" spans="1:5">
      <c r="A12438" s="140"/>
      <c r="B12438" s="192"/>
      <c r="C12438" s="140"/>
      <c r="D12438" s="140"/>
      <c r="E12438" s="140"/>
    </row>
    <row r="12439" spans="1:5">
      <c r="A12439" s="140"/>
      <c r="B12439" s="192"/>
      <c r="C12439" s="140"/>
      <c r="D12439" s="140"/>
      <c r="E12439" s="140"/>
    </row>
    <row r="12440" spans="1:5">
      <c r="A12440" s="140"/>
      <c r="B12440" s="192"/>
      <c r="C12440" s="140"/>
      <c r="D12440" s="140"/>
      <c r="E12440" s="140"/>
    </row>
    <row r="12441" spans="1:5">
      <c r="A12441" s="140"/>
      <c r="B12441" s="192"/>
      <c r="C12441" s="140"/>
      <c r="D12441" s="140"/>
      <c r="E12441" s="140"/>
    </row>
    <row r="12442" spans="1:5">
      <c r="A12442" s="140"/>
      <c r="B12442" s="192"/>
      <c r="C12442" s="140"/>
      <c r="D12442" s="140"/>
      <c r="E12442" s="140"/>
    </row>
    <row r="12443" spans="1:5">
      <c r="A12443" s="140"/>
      <c r="B12443" s="192"/>
      <c r="C12443" s="140"/>
      <c r="D12443" s="140"/>
      <c r="E12443" s="140"/>
    </row>
    <row r="12444" spans="1:5">
      <c r="A12444" s="140"/>
      <c r="B12444" s="192"/>
      <c r="C12444" s="140"/>
      <c r="D12444" s="140"/>
      <c r="E12444" s="140"/>
    </row>
    <row r="12445" spans="1:5">
      <c r="A12445" s="140"/>
      <c r="B12445" s="192"/>
      <c r="C12445" s="140"/>
      <c r="D12445" s="140"/>
      <c r="E12445" s="140"/>
    </row>
    <row r="12446" spans="1:5">
      <c r="A12446" s="140"/>
      <c r="B12446" s="192"/>
      <c r="C12446" s="140"/>
      <c r="D12446" s="140"/>
      <c r="E12446" s="140"/>
    </row>
    <row r="12447" spans="1:5">
      <c r="A12447" s="140"/>
      <c r="B12447" s="192"/>
      <c r="C12447" s="140"/>
      <c r="D12447" s="140"/>
      <c r="E12447" s="140"/>
    </row>
    <row r="12448" spans="1:5">
      <c r="A12448" s="140"/>
      <c r="B12448" s="192"/>
      <c r="C12448" s="140"/>
      <c r="D12448" s="140"/>
      <c r="E12448" s="140"/>
    </row>
    <row r="12449" spans="1:5">
      <c r="A12449" s="140"/>
      <c r="B12449" s="192"/>
      <c r="C12449" s="140"/>
      <c r="D12449" s="140"/>
      <c r="E12449" s="140"/>
    </row>
    <row r="12450" spans="1:5">
      <c r="A12450" s="140"/>
      <c r="B12450" s="192"/>
      <c r="C12450" s="140"/>
      <c r="D12450" s="140"/>
      <c r="E12450" s="140"/>
    </row>
    <row r="12451" spans="1:5">
      <c r="A12451" s="140"/>
      <c r="B12451" s="192"/>
      <c r="C12451" s="140"/>
      <c r="D12451" s="140"/>
      <c r="E12451" s="140"/>
    </row>
    <row r="12452" spans="1:5">
      <c r="A12452" s="140"/>
      <c r="B12452" s="192"/>
      <c r="C12452" s="140"/>
      <c r="D12452" s="140"/>
      <c r="E12452" s="140"/>
    </row>
    <row r="12453" spans="1:5">
      <c r="A12453" s="140"/>
      <c r="B12453" s="192"/>
      <c r="C12453" s="140"/>
      <c r="D12453" s="140"/>
      <c r="E12453" s="140"/>
    </row>
    <row r="12454" spans="1:5">
      <c r="A12454" s="140"/>
      <c r="B12454" s="192"/>
      <c r="C12454" s="140"/>
      <c r="D12454" s="140"/>
      <c r="E12454" s="140"/>
    </row>
    <row r="12455" spans="1:5">
      <c r="A12455" s="140"/>
      <c r="B12455" s="192"/>
      <c r="C12455" s="140"/>
      <c r="D12455" s="140"/>
      <c r="E12455" s="140"/>
    </row>
    <row r="12456" spans="1:5">
      <c r="A12456" s="140"/>
      <c r="B12456" s="192"/>
      <c r="C12456" s="140"/>
      <c r="D12456" s="140"/>
      <c r="E12456" s="140"/>
    </row>
    <row r="12457" spans="1:5">
      <c r="A12457" s="140"/>
      <c r="B12457" s="192"/>
      <c r="C12457" s="140"/>
      <c r="D12457" s="140"/>
      <c r="E12457" s="140"/>
    </row>
    <row r="12458" spans="1:5">
      <c r="A12458" s="140"/>
      <c r="B12458" s="192"/>
      <c r="C12458" s="140"/>
      <c r="D12458" s="140"/>
      <c r="E12458" s="140"/>
    </row>
    <row r="12459" spans="1:5">
      <c r="A12459" s="140"/>
      <c r="B12459" s="192"/>
      <c r="C12459" s="140"/>
      <c r="D12459" s="140"/>
      <c r="E12459" s="140"/>
    </row>
    <row r="12460" spans="1:5">
      <c r="A12460" s="140"/>
      <c r="B12460" s="192"/>
      <c r="C12460" s="140"/>
      <c r="D12460" s="140"/>
      <c r="E12460" s="140"/>
    </row>
    <row r="12461" spans="1:5">
      <c r="A12461" s="140"/>
      <c r="B12461" s="192"/>
      <c r="C12461" s="140"/>
      <c r="D12461" s="140"/>
      <c r="E12461" s="140"/>
    </row>
    <row r="12462" spans="1:5">
      <c r="A12462" s="140"/>
      <c r="B12462" s="192"/>
      <c r="C12462" s="140"/>
      <c r="D12462" s="140"/>
      <c r="E12462" s="140"/>
    </row>
    <row r="12463" spans="1:5">
      <c r="A12463" s="140"/>
      <c r="B12463" s="192"/>
      <c r="C12463" s="140"/>
      <c r="D12463" s="140"/>
      <c r="E12463" s="140"/>
    </row>
    <row r="12464" spans="1:5">
      <c r="A12464" s="140"/>
      <c r="B12464" s="192"/>
      <c r="C12464" s="140"/>
      <c r="D12464" s="140"/>
      <c r="E12464" s="140"/>
    </row>
    <row r="12465" spans="1:5">
      <c r="A12465" s="140"/>
      <c r="B12465" s="192"/>
      <c r="C12465" s="140"/>
      <c r="D12465" s="140"/>
      <c r="E12465" s="140"/>
    </row>
    <row r="12466" spans="1:5">
      <c r="A12466" s="140"/>
      <c r="B12466" s="192"/>
      <c r="C12466" s="140"/>
      <c r="D12466" s="140"/>
      <c r="E12466" s="140"/>
    </row>
    <row r="12467" spans="1:5">
      <c r="A12467" s="140"/>
      <c r="B12467" s="192"/>
      <c r="C12467" s="140"/>
      <c r="D12467" s="140"/>
      <c r="E12467" s="140"/>
    </row>
    <row r="12468" spans="1:5">
      <c r="A12468" s="140"/>
      <c r="B12468" s="192"/>
      <c r="C12468" s="140"/>
      <c r="D12468" s="140"/>
      <c r="E12468" s="140"/>
    </row>
    <row r="12469" spans="1:5">
      <c r="A12469" s="140"/>
      <c r="B12469" s="192"/>
      <c r="C12469" s="140"/>
      <c r="D12469" s="140"/>
      <c r="E12469" s="140"/>
    </row>
    <row r="12470" spans="1:5">
      <c r="A12470" s="140"/>
      <c r="B12470" s="192"/>
      <c r="C12470" s="140"/>
      <c r="D12470" s="140"/>
      <c r="E12470" s="140"/>
    </row>
    <row r="12471" spans="1:5">
      <c r="A12471" s="140"/>
      <c r="B12471" s="192"/>
      <c r="C12471" s="140"/>
      <c r="D12471" s="140"/>
      <c r="E12471" s="140"/>
    </row>
    <row r="12472" spans="1:5">
      <c r="A12472" s="140"/>
      <c r="B12472" s="192"/>
      <c r="C12472" s="140"/>
      <c r="D12472" s="140"/>
      <c r="E12472" s="140"/>
    </row>
    <row r="12473" spans="1:5">
      <c r="A12473" s="140"/>
      <c r="B12473" s="192"/>
      <c r="C12473" s="140"/>
      <c r="D12473" s="140"/>
      <c r="E12473" s="140"/>
    </row>
    <row r="12474" spans="1:5">
      <c r="A12474" s="140"/>
      <c r="B12474" s="192"/>
      <c r="C12474" s="140"/>
      <c r="D12474" s="140"/>
      <c r="E12474" s="140"/>
    </row>
    <row r="12475" spans="1:5">
      <c r="A12475" s="140"/>
      <c r="B12475" s="192"/>
      <c r="C12475" s="140"/>
      <c r="D12475" s="140"/>
      <c r="E12475" s="140"/>
    </row>
    <row r="12476" spans="1:5">
      <c r="A12476" s="140"/>
      <c r="B12476" s="192"/>
      <c r="C12476" s="140"/>
      <c r="D12476" s="140"/>
      <c r="E12476" s="140"/>
    </row>
    <row r="12477" spans="1:5">
      <c r="A12477" s="140"/>
      <c r="B12477" s="192"/>
      <c r="C12477" s="140"/>
      <c r="D12477" s="140"/>
      <c r="E12477" s="140"/>
    </row>
    <row r="12478" spans="1:5">
      <c r="A12478" s="140"/>
      <c r="B12478" s="192"/>
      <c r="C12478" s="140"/>
      <c r="D12478" s="140"/>
      <c r="E12478" s="140"/>
    </row>
    <row r="12479" spans="1:5">
      <c r="A12479" s="140"/>
      <c r="B12479" s="192"/>
      <c r="C12479" s="140"/>
      <c r="D12479" s="140"/>
      <c r="E12479" s="140"/>
    </row>
    <row r="12480" spans="1:5">
      <c r="A12480" s="140"/>
      <c r="B12480" s="192"/>
      <c r="C12480" s="140"/>
      <c r="D12480" s="140"/>
      <c r="E12480" s="140"/>
    </row>
    <row r="12481" spans="1:5">
      <c r="A12481" s="140"/>
      <c r="B12481" s="192"/>
      <c r="C12481" s="140"/>
      <c r="D12481" s="140"/>
      <c r="E12481" s="140"/>
    </row>
    <row r="12482" spans="1:5">
      <c r="A12482" s="140"/>
      <c r="B12482" s="192"/>
      <c r="C12482" s="140"/>
      <c r="D12482" s="140"/>
      <c r="E12482" s="140"/>
    </row>
    <row r="12483" spans="1:5">
      <c r="A12483" s="140"/>
      <c r="B12483" s="192"/>
      <c r="C12483" s="140"/>
      <c r="D12483" s="140"/>
      <c r="E12483" s="140"/>
    </row>
    <row r="12484" spans="1:5">
      <c r="A12484" s="140"/>
      <c r="B12484" s="192"/>
      <c r="C12484" s="140"/>
      <c r="D12484" s="140"/>
      <c r="E12484" s="140"/>
    </row>
    <row r="12485" spans="1:5">
      <c r="A12485" s="140"/>
      <c r="B12485" s="192"/>
      <c r="C12485" s="140"/>
      <c r="D12485" s="140"/>
      <c r="E12485" s="140"/>
    </row>
    <row r="12486" spans="1:5">
      <c r="A12486" s="140"/>
      <c r="B12486" s="192"/>
      <c r="C12486" s="140"/>
      <c r="D12486" s="140"/>
      <c r="E12486" s="140"/>
    </row>
    <row r="12487" spans="1:5">
      <c r="A12487" s="140"/>
      <c r="B12487" s="192"/>
      <c r="C12487" s="140"/>
      <c r="D12487" s="140"/>
      <c r="E12487" s="140"/>
    </row>
    <row r="12488" spans="1:5">
      <c r="A12488" s="140"/>
      <c r="B12488" s="192"/>
      <c r="C12488" s="140"/>
      <c r="D12488" s="140"/>
      <c r="E12488" s="140"/>
    </row>
    <row r="12489" spans="1:5">
      <c r="A12489" s="140"/>
      <c r="B12489" s="192"/>
      <c r="C12489" s="140"/>
      <c r="D12489" s="140"/>
      <c r="E12489" s="140"/>
    </row>
    <row r="12490" spans="1:5">
      <c r="A12490" s="140"/>
      <c r="B12490" s="192"/>
      <c r="C12490" s="140"/>
      <c r="D12490" s="140"/>
      <c r="E12490" s="140"/>
    </row>
    <row r="12491" spans="1:5">
      <c r="A12491" s="140"/>
      <c r="B12491" s="192"/>
      <c r="C12491" s="140"/>
      <c r="D12491" s="140"/>
      <c r="E12491" s="140"/>
    </row>
    <row r="12492" spans="1:5">
      <c r="A12492" s="140"/>
      <c r="B12492" s="192"/>
      <c r="C12492" s="140"/>
      <c r="D12492" s="140"/>
      <c r="E12492" s="140"/>
    </row>
    <row r="12493" spans="1:5">
      <c r="A12493" s="140"/>
      <c r="B12493" s="192"/>
      <c r="C12493" s="140"/>
      <c r="D12493" s="140"/>
      <c r="E12493" s="140"/>
    </row>
    <row r="12494" spans="1:5">
      <c r="A12494" s="140"/>
      <c r="B12494" s="192"/>
      <c r="C12494" s="140"/>
      <c r="D12494" s="140"/>
      <c r="E12494" s="140"/>
    </row>
    <row r="12495" spans="1:5">
      <c r="A12495" s="140"/>
      <c r="B12495" s="192"/>
      <c r="C12495" s="140"/>
      <c r="D12495" s="140"/>
      <c r="E12495" s="140"/>
    </row>
    <row r="12496" spans="1:5">
      <c r="A12496" s="140"/>
      <c r="B12496" s="192"/>
      <c r="C12496" s="140"/>
      <c r="D12496" s="140"/>
      <c r="E12496" s="140"/>
    </row>
    <row r="12497" spans="1:5">
      <c r="A12497" s="140"/>
      <c r="B12497" s="192"/>
      <c r="C12497" s="140"/>
      <c r="D12497" s="140"/>
      <c r="E12497" s="140"/>
    </row>
    <row r="12498" spans="1:5">
      <c r="A12498" s="140"/>
      <c r="B12498" s="192"/>
      <c r="C12498" s="140"/>
      <c r="D12498" s="140"/>
      <c r="E12498" s="140"/>
    </row>
    <row r="12499" spans="1:5">
      <c r="A12499" s="140"/>
      <c r="B12499" s="192"/>
      <c r="C12499" s="140"/>
      <c r="D12499" s="140"/>
      <c r="E12499" s="140"/>
    </row>
    <row r="12500" spans="1:5">
      <c r="A12500" s="140"/>
      <c r="B12500" s="192"/>
      <c r="C12500" s="140"/>
      <c r="D12500" s="140"/>
      <c r="E12500" s="140"/>
    </row>
    <row r="12501" spans="1:5">
      <c r="A12501" s="140"/>
      <c r="B12501" s="192"/>
      <c r="C12501" s="140"/>
      <c r="D12501" s="140"/>
      <c r="E12501" s="140"/>
    </row>
    <row r="12502" spans="1:5">
      <c r="A12502" s="140"/>
      <c r="B12502" s="192"/>
      <c r="C12502" s="140"/>
      <c r="D12502" s="140"/>
      <c r="E12502" s="140"/>
    </row>
    <row r="12503" spans="1:5">
      <c r="A12503" s="140"/>
      <c r="B12503" s="192"/>
      <c r="C12503" s="140"/>
      <c r="D12503" s="140"/>
      <c r="E12503" s="140"/>
    </row>
    <row r="12504" spans="1:5">
      <c r="A12504" s="140"/>
      <c r="B12504" s="192"/>
      <c r="C12504" s="140"/>
      <c r="D12504" s="140"/>
      <c r="E12504" s="140"/>
    </row>
    <row r="12505" spans="1:5">
      <c r="A12505" s="140"/>
      <c r="B12505" s="192"/>
      <c r="C12505" s="140"/>
      <c r="D12505" s="140"/>
      <c r="E12505" s="140"/>
    </row>
    <row r="12506" spans="1:5">
      <c r="A12506" s="140"/>
      <c r="B12506" s="192"/>
      <c r="C12506" s="140"/>
      <c r="D12506" s="140"/>
      <c r="E12506" s="140"/>
    </row>
    <row r="12507" spans="1:5">
      <c r="A12507" s="140"/>
      <c r="B12507" s="192"/>
      <c r="C12507" s="140"/>
      <c r="D12507" s="140"/>
      <c r="E12507" s="140"/>
    </row>
    <row r="12508" spans="1:5">
      <c r="A12508" s="140"/>
      <c r="B12508" s="192"/>
      <c r="C12508" s="140"/>
      <c r="D12508" s="140"/>
      <c r="E12508" s="140"/>
    </row>
    <row r="12509" spans="1:5">
      <c r="A12509" s="140"/>
      <c r="B12509" s="192"/>
      <c r="C12509" s="140"/>
      <c r="D12509" s="140"/>
      <c r="E12509" s="140"/>
    </row>
    <row r="12510" spans="1:5">
      <c r="A12510" s="140"/>
      <c r="B12510" s="192"/>
      <c r="C12510" s="140"/>
      <c r="D12510" s="140"/>
      <c r="E12510" s="140"/>
    </row>
    <row r="12511" spans="1:5">
      <c r="A12511" s="140"/>
      <c r="B12511" s="192"/>
      <c r="C12511" s="140"/>
      <c r="D12511" s="140"/>
      <c r="E12511" s="140"/>
    </row>
    <row r="12512" spans="1:5">
      <c r="A12512" s="140"/>
      <c r="B12512" s="192"/>
      <c r="C12512" s="140"/>
      <c r="D12512" s="140"/>
      <c r="E12512" s="140"/>
    </row>
    <row r="12513" spans="1:5">
      <c r="A12513" s="140"/>
      <c r="B12513" s="192"/>
      <c r="C12513" s="140"/>
      <c r="D12513" s="140"/>
      <c r="E12513" s="140"/>
    </row>
    <row r="12514" spans="1:5">
      <c r="A12514" s="140"/>
      <c r="B12514" s="192"/>
      <c r="C12514" s="140"/>
      <c r="D12514" s="140"/>
      <c r="E12514" s="140"/>
    </row>
    <row r="12515" spans="1:5">
      <c r="A12515" s="140"/>
      <c r="B12515" s="192"/>
      <c r="C12515" s="140"/>
      <c r="D12515" s="140"/>
      <c r="E12515" s="140"/>
    </row>
    <row r="12516" spans="1:5">
      <c r="A12516" s="140"/>
      <c r="B12516" s="192"/>
      <c r="C12516" s="140"/>
      <c r="D12516" s="140"/>
      <c r="E12516" s="140"/>
    </row>
    <row r="12517" spans="1:5">
      <c r="A12517" s="140"/>
      <c r="B12517" s="192"/>
      <c r="C12517" s="140"/>
      <c r="D12517" s="140"/>
      <c r="E12517" s="140"/>
    </row>
    <row r="12518" spans="1:5">
      <c r="A12518" s="140"/>
      <c r="B12518" s="192"/>
      <c r="C12518" s="140"/>
      <c r="D12518" s="140"/>
      <c r="E12518" s="140"/>
    </row>
    <row r="12519" spans="1:5">
      <c r="A12519" s="140"/>
      <c r="B12519" s="192"/>
      <c r="C12519" s="140"/>
      <c r="D12519" s="140"/>
      <c r="E12519" s="140"/>
    </row>
    <row r="12520" spans="1:5">
      <c r="A12520" s="140"/>
      <c r="B12520" s="192"/>
      <c r="C12520" s="140"/>
      <c r="D12520" s="140"/>
      <c r="E12520" s="140"/>
    </row>
    <row r="12521" spans="1:5">
      <c r="A12521" s="140"/>
      <c r="B12521" s="192"/>
      <c r="C12521" s="140"/>
      <c r="D12521" s="140"/>
      <c r="E12521" s="140"/>
    </row>
    <row r="12522" spans="1:5">
      <c r="A12522" s="140"/>
      <c r="B12522" s="192"/>
      <c r="C12522" s="140"/>
      <c r="D12522" s="140"/>
      <c r="E12522" s="140"/>
    </row>
    <row r="12523" spans="1:5">
      <c r="A12523" s="140"/>
      <c r="B12523" s="192"/>
      <c r="C12523" s="140"/>
      <c r="D12523" s="140"/>
      <c r="E12523" s="140"/>
    </row>
    <row r="12524" spans="1:5">
      <c r="A12524" s="140"/>
      <c r="B12524" s="192"/>
      <c r="C12524" s="140"/>
      <c r="D12524" s="140"/>
      <c r="E12524" s="140"/>
    </row>
    <row r="12525" spans="1:5">
      <c r="A12525" s="140"/>
      <c r="B12525" s="192"/>
      <c r="C12525" s="140"/>
      <c r="D12525" s="140"/>
      <c r="E12525" s="140"/>
    </row>
    <row r="12526" spans="1:5">
      <c r="A12526" s="140"/>
      <c r="B12526" s="192"/>
      <c r="C12526" s="140"/>
      <c r="D12526" s="140"/>
      <c r="E12526" s="140"/>
    </row>
    <row r="12527" spans="1:5">
      <c r="A12527" s="140"/>
      <c r="B12527" s="192"/>
      <c r="C12527" s="140"/>
      <c r="D12527" s="140"/>
      <c r="E12527" s="140"/>
    </row>
    <row r="12528" spans="1:5">
      <c r="A12528" s="140"/>
      <c r="B12528" s="192"/>
      <c r="C12528" s="140"/>
      <c r="D12528" s="140"/>
      <c r="E12528" s="140"/>
    </row>
    <row r="12529" spans="1:5">
      <c r="A12529" s="140"/>
      <c r="B12529" s="192"/>
      <c r="C12529" s="140"/>
      <c r="D12529" s="140"/>
      <c r="E12529" s="140"/>
    </row>
    <row r="12530" spans="1:5">
      <c r="A12530" s="140"/>
      <c r="B12530" s="192"/>
      <c r="C12530" s="140"/>
      <c r="D12530" s="140"/>
      <c r="E12530" s="140"/>
    </row>
    <row r="12531" spans="1:5">
      <c r="A12531" s="140"/>
      <c r="B12531" s="192"/>
      <c r="C12531" s="140"/>
      <c r="D12531" s="140"/>
      <c r="E12531" s="140"/>
    </row>
    <row r="12532" spans="1:5">
      <c r="A12532" s="140"/>
      <c r="B12532" s="192"/>
      <c r="C12532" s="140"/>
      <c r="D12532" s="140"/>
      <c r="E12532" s="140"/>
    </row>
    <row r="12533" spans="1:5">
      <c r="A12533" s="140"/>
      <c r="B12533" s="192"/>
      <c r="C12533" s="140"/>
      <c r="D12533" s="140"/>
      <c r="E12533" s="140"/>
    </row>
    <row r="12534" spans="1:5">
      <c r="A12534" s="140"/>
      <c r="B12534" s="192"/>
      <c r="C12534" s="140"/>
      <c r="D12534" s="140"/>
      <c r="E12534" s="140"/>
    </row>
    <row r="12535" spans="1:5">
      <c r="A12535" s="140"/>
      <c r="B12535" s="192"/>
      <c r="C12535" s="140"/>
      <c r="D12535" s="140"/>
      <c r="E12535" s="140"/>
    </row>
    <row r="12536" spans="1:5">
      <c r="A12536" s="140"/>
      <c r="B12536" s="192"/>
      <c r="C12536" s="140"/>
      <c r="D12536" s="140"/>
      <c r="E12536" s="140"/>
    </row>
    <row r="12537" spans="1:5">
      <c r="A12537" s="140"/>
      <c r="B12537" s="192"/>
      <c r="C12537" s="140"/>
      <c r="D12537" s="140"/>
      <c r="E12537" s="140"/>
    </row>
    <row r="12538" spans="1:5">
      <c r="A12538" s="140"/>
      <c r="B12538" s="192"/>
      <c r="C12538" s="140"/>
      <c r="D12538" s="140"/>
      <c r="E12538" s="140"/>
    </row>
    <row r="12539" spans="1:5">
      <c r="A12539" s="140"/>
      <c r="B12539" s="192"/>
      <c r="C12539" s="140"/>
      <c r="D12539" s="140"/>
      <c r="E12539" s="140"/>
    </row>
    <row r="12540" spans="1:5">
      <c r="A12540" s="140"/>
      <c r="B12540" s="192"/>
      <c r="C12540" s="140"/>
      <c r="D12540" s="140"/>
      <c r="E12540" s="140"/>
    </row>
    <row r="12541" spans="1:5">
      <c r="A12541" s="140"/>
      <c r="B12541" s="192"/>
      <c r="C12541" s="140"/>
      <c r="D12541" s="140"/>
      <c r="E12541" s="140"/>
    </row>
    <row r="12542" spans="1:5">
      <c r="A12542" s="140"/>
      <c r="B12542" s="192"/>
      <c r="C12542" s="140"/>
      <c r="D12542" s="140"/>
      <c r="E12542" s="140"/>
    </row>
    <row r="12543" spans="1:5">
      <c r="A12543" s="140"/>
      <c r="B12543" s="192"/>
      <c r="C12543" s="140"/>
      <c r="D12543" s="140"/>
      <c r="E12543" s="140"/>
    </row>
    <row r="12544" spans="1:5">
      <c r="A12544" s="140"/>
      <c r="B12544" s="192"/>
      <c r="C12544" s="140"/>
      <c r="D12544" s="140"/>
      <c r="E12544" s="140"/>
    </row>
    <row r="12545" spans="1:5">
      <c r="A12545" s="140"/>
      <c r="B12545" s="192"/>
      <c r="C12545" s="140"/>
      <c r="D12545" s="140"/>
      <c r="E12545" s="140"/>
    </row>
    <row r="12546" spans="1:5">
      <c r="A12546" s="140"/>
      <c r="B12546" s="192"/>
      <c r="C12546" s="140"/>
      <c r="D12546" s="140"/>
      <c r="E12546" s="140"/>
    </row>
    <row r="12547" spans="1:5">
      <c r="A12547" s="140"/>
      <c r="B12547" s="192"/>
      <c r="C12547" s="140"/>
      <c r="D12547" s="140"/>
      <c r="E12547" s="140"/>
    </row>
    <row r="12548" spans="1:5">
      <c r="A12548" s="140"/>
      <c r="B12548" s="192"/>
      <c r="C12548" s="140"/>
      <c r="D12548" s="140"/>
      <c r="E12548" s="140"/>
    </row>
    <row r="12549" spans="1:5">
      <c r="A12549" s="140"/>
      <c r="B12549" s="192"/>
      <c r="C12549" s="140"/>
      <c r="D12549" s="140"/>
      <c r="E12549" s="140"/>
    </row>
    <row r="12550" spans="1:5">
      <c r="A12550" s="140"/>
      <c r="B12550" s="192"/>
      <c r="C12550" s="140"/>
      <c r="D12550" s="140"/>
      <c r="E12550" s="140"/>
    </row>
    <row r="12551" spans="1:5">
      <c r="A12551" s="140"/>
      <c r="B12551" s="192"/>
      <c r="C12551" s="140"/>
      <c r="D12551" s="140"/>
      <c r="E12551" s="140"/>
    </row>
    <row r="12552" spans="1:5">
      <c r="A12552" s="140"/>
      <c r="B12552" s="192"/>
      <c r="C12552" s="140"/>
      <c r="D12552" s="140"/>
      <c r="E12552" s="140"/>
    </row>
    <row r="12553" spans="1:5">
      <c r="A12553" s="140"/>
      <c r="B12553" s="192"/>
      <c r="C12553" s="140"/>
      <c r="D12553" s="140"/>
      <c r="E12553" s="140"/>
    </row>
    <row r="12554" spans="1:5">
      <c r="A12554" s="140"/>
      <c r="B12554" s="192"/>
      <c r="C12554" s="140"/>
      <c r="D12554" s="140"/>
      <c r="E12554" s="140"/>
    </row>
    <row r="12555" spans="1:5">
      <c r="A12555" s="140"/>
      <c r="B12555" s="192"/>
      <c r="C12555" s="140"/>
      <c r="D12555" s="140"/>
      <c r="E12555" s="140"/>
    </row>
    <row r="12556" spans="1:5">
      <c r="A12556" s="140"/>
      <c r="B12556" s="192"/>
      <c r="C12556" s="140"/>
      <c r="D12556" s="140"/>
      <c r="E12556" s="140"/>
    </row>
    <row r="12557" spans="1:5">
      <c r="A12557" s="140"/>
      <c r="B12557" s="192"/>
      <c r="C12557" s="140"/>
      <c r="D12557" s="140"/>
      <c r="E12557" s="140"/>
    </row>
    <row r="12558" spans="1:5">
      <c r="A12558" s="140"/>
      <c r="B12558" s="192"/>
      <c r="C12558" s="140"/>
      <c r="D12558" s="140"/>
      <c r="E12558" s="140"/>
    </row>
    <row r="12559" spans="1:5">
      <c r="A12559" s="140"/>
      <c r="B12559" s="192"/>
      <c r="C12559" s="140"/>
      <c r="D12559" s="140"/>
      <c r="E12559" s="140"/>
    </row>
    <row r="12560" spans="1:5">
      <c r="A12560" s="140"/>
      <c r="B12560" s="192"/>
      <c r="C12560" s="140"/>
      <c r="D12560" s="140"/>
      <c r="E12560" s="140"/>
    </row>
    <row r="12561" spans="1:5">
      <c r="A12561" s="140"/>
      <c r="B12561" s="192"/>
      <c r="C12561" s="140"/>
      <c r="D12561" s="140"/>
      <c r="E12561" s="140"/>
    </row>
    <row r="12562" spans="1:5">
      <c r="A12562" s="140"/>
      <c r="B12562" s="192"/>
      <c r="C12562" s="140"/>
      <c r="D12562" s="140"/>
      <c r="E12562" s="140"/>
    </row>
    <row r="12563" spans="1:5">
      <c r="A12563" s="140"/>
      <c r="B12563" s="192"/>
      <c r="C12563" s="140"/>
      <c r="D12563" s="140"/>
      <c r="E12563" s="140"/>
    </row>
    <row r="12564" spans="1:5">
      <c r="A12564" s="140"/>
      <c r="B12564" s="192"/>
      <c r="C12564" s="140"/>
      <c r="D12564" s="140"/>
      <c r="E12564" s="140"/>
    </row>
    <row r="12565" spans="1:5">
      <c r="A12565" s="140"/>
      <c r="B12565" s="192"/>
      <c r="C12565" s="140"/>
      <c r="D12565" s="140"/>
      <c r="E12565" s="140"/>
    </row>
    <row r="12566" spans="1:5">
      <c r="A12566" s="140"/>
      <c r="B12566" s="192"/>
      <c r="C12566" s="140"/>
      <c r="D12566" s="140"/>
      <c r="E12566" s="140"/>
    </row>
    <row r="12567" spans="1:5">
      <c r="A12567" s="140"/>
      <c r="B12567" s="192"/>
      <c r="C12567" s="140"/>
      <c r="D12567" s="140"/>
      <c r="E12567" s="140"/>
    </row>
    <row r="12568" spans="1:5">
      <c r="A12568" s="140"/>
      <c r="B12568" s="192"/>
      <c r="C12568" s="140"/>
      <c r="D12568" s="140"/>
      <c r="E12568" s="140"/>
    </row>
    <row r="12569" spans="1:5">
      <c r="A12569" s="140"/>
      <c r="B12569" s="192"/>
      <c r="C12569" s="140"/>
      <c r="D12569" s="140"/>
      <c r="E12569" s="140"/>
    </row>
    <row r="12570" spans="1:5">
      <c r="A12570" s="140"/>
      <c r="B12570" s="192"/>
      <c r="C12570" s="140"/>
      <c r="D12570" s="140"/>
      <c r="E12570" s="140"/>
    </row>
    <row r="12571" spans="1:5">
      <c r="A12571" s="140"/>
      <c r="B12571" s="192"/>
      <c r="C12571" s="140"/>
      <c r="D12571" s="140"/>
      <c r="E12571" s="140"/>
    </row>
    <row r="12572" spans="1:5">
      <c r="A12572" s="140"/>
      <c r="B12572" s="192"/>
      <c r="C12572" s="140"/>
      <c r="D12572" s="140"/>
      <c r="E12572" s="140"/>
    </row>
    <row r="12573" spans="1:5">
      <c r="A12573" s="140"/>
      <c r="B12573" s="192"/>
      <c r="C12573" s="140"/>
      <c r="D12573" s="140"/>
      <c r="E12573" s="140"/>
    </row>
    <row r="12574" spans="1:5">
      <c r="A12574" s="140"/>
      <c r="B12574" s="192"/>
      <c r="C12574" s="140"/>
      <c r="D12574" s="140"/>
      <c r="E12574" s="140"/>
    </row>
    <row r="12575" spans="1:5">
      <c r="A12575" s="140"/>
      <c r="B12575" s="192"/>
      <c r="C12575" s="140"/>
      <c r="D12575" s="140"/>
      <c r="E12575" s="140"/>
    </row>
    <row r="12576" spans="1:5">
      <c r="A12576" s="140"/>
      <c r="B12576" s="192"/>
      <c r="C12576" s="140"/>
      <c r="D12576" s="140"/>
      <c r="E12576" s="140"/>
    </row>
    <row r="12577" spans="1:5">
      <c r="A12577" s="140"/>
      <c r="B12577" s="192"/>
      <c r="C12577" s="140"/>
      <c r="D12577" s="140"/>
      <c r="E12577" s="140"/>
    </row>
    <row r="12578" spans="1:5">
      <c r="A12578" s="140"/>
      <c r="B12578" s="192"/>
      <c r="C12578" s="140"/>
      <c r="D12578" s="140"/>
      <c r="E12578" s="140"/>
    </row>
    <row r="12579" spans="1:5">
      <c r="A12579" s="140"/>
      <c r="B12579" s="192"/>
      <c r="C12579" s="140"/>
      <c r="D12579" s="140"/>
      <c r="E12579" s="140"/>
    </row>
    <row r="12580" spans="1:5">
      <c r="A12580" s="140"/>
      <c r="B12580" s="192"/>
      <c r="C12580" s="140"/>
      <c r="D12580" s="140"/>
      <c r="E12580" s="140"/>
    </row>
    <row r="12581" spans="1:5">
      <c r="A12581" s="140"/>
      <c r="B12581" s="192"/>
      <c r="C12581" s="140"/>
      <c r="D12581" s="140"/>
      <c r="E12581" s="140"/>
    </row>
    <row r="12582" spans="1:5">
      <c r="A12582" s="140"/>
      <c r="B12582" s="192"/>
      <c r="C12582" s="140"/>
      <c r="D12582" s="140"/>
      <c r="E12582" s="140"/>
    </row>
    <row r="12583" spans="1:5">
      <c r="A12583" s="140"/>
      <c r="B12583" s="192"/>
      <c r="C12583" s="140"/>
      <c r="D12583" s="140"/>
      <c r="E12583" s="140"/>
    </row>
    <row r="12584" spans="1:5">
      <c r="A12584" s="140"/>
      <c r="B12584" s="192"/>
      <c r="C12584" s="140"/>
      <c r="D12584" s="140"/>
      <c r="E12584" s="140"/>
    </row>
    <row r="12585" spans="1:5">
      <c r="A12585" s="140"/>
      <c r="B12585" s="192"/>
      <c r="C12585" s="140"/>
      <c r="D12585" s="140"/>
      <c r="E12585" s="140"/>
    </row>
    <row r="12586" spans="1:5">
      <c r="A12586" s="140"/>
      <c r="B12586" s="192"/>
      <c r="C12586" s="140"/>
      <c r="D12586" s="140"/>
      <c r="E12586" s="140"/>
    </row>
    <row r="12587" spans="1:5">
      <c r="A12587" s="140"/>
      <c r="B12587" s="192"/>
      <c r="C12587" s="140"/>
      <c r="D12587" s="140"/>
      <c r="E12587" s="140"/>
    </row>
    <row r="12588" spans="1:5">
      <c r="A12588" s="140"/>
      <c r="B12588" s="192"/>
      <c r="C12588" s="140"/>
      <c r="D12588" s="140"/>
      <c r="E12588" s="140"/>
    </row>
    <row r="12589" spans="1:5">
      <c r="A12589" s="140"/>
      <c r="B12589" s="192"/>
      <c r="C12589" s="140"/>
      <c r="D12589" s="140"/>
      <c r="E12589" s="140"/>
    </row>
    <row r="12590" spans="1:5">
      <c r="A12590" s="140"/>
      <c r="B12590" s="192"/>
      <c r="C12590" s="140"/>
      <c r="D12590" s="140"/>
      <c r="E12590" s="140"/>
    </row>
    <row r="12591" spans="1:5">
      <c r="A12591" s="140"/>
      <c r="B12591" s="192"/>
      <c r="C12591" s="140"/>
      <c r="D12591" s="140"/>
      <c r="E12591" s="140"/>
    </row>
    <row r="12592" spans="1:5">
      <c r="A12592" s="140"/>
      <c r="B12592" s="192"/>
      <c r="C12592" s="140"/>
      <c r="D12592" s="140"/>
      <c r="E12592" s="140"/>
    </row>
    <row r="12593" spans="1:5">
      <c r="A12593" s="140"/>
      <c r="B12593" s="192"/>
      <c r="C12593" s="140"/>
      <c r="D12593" s="140"/>
      <c r="E12593" s="140"/>
    </row>
    <row r="12594" spans="1:5">
      <c r="A12594" s="140"/>
      <c r="B12594" s="192"/>
      <c r="C12594" s="140"/>
      <c r="D12594" s="140"/>
      <c r="E12594" s="140"/>
    </row>
    <row r="12595" spans="1:5">
      <c r="A12595" s="140"/>
      <c r="B12595" s="192"/>
      <c r="C12595" s="140"/>
      <c r="D12595" s="140"/>
      <c r="E12595" s="140"/>
    </row>
    <row r="12596" spans="1:5">
      <c r="A12596" s="140"/>
      <c r="B12596" s="192"/>
      <c r="C12596" s="140"/>
      <c r="D12596" s="140"/>
      <c r="E12596" s="140"/>
    </row>
    <row r="12597" spans="1:5">
      <c r="A12597" s="140"/>
      <c r="B12597" s="192"/>
      <c r="C12597" s="140"/>
      <c r="D12597" s="140"/>
      <c r="E12597" s="140"/>
    </row>
    <row r="12598" spans="1:5">
      <c r="A12598" s="140"/>
      <c r="B12598" s="192"/>
      <c r="C12598" s="140"/>
      <c r="D12598" s="140"/>
      <c r="E12598" s="140"/>
    </row>
    <row r="12599" spans="1:5">
      <c r="A12599" s="140"/>
      <c r="B12599" s="192"/>
      <c r="C12599" s="140"/>
      <c r="D12599" s="140"/>
      <c r="E12599" s="140"/>
    </row>
    <row r="12600" spans="1:5">
      <c r="A12600" s="140"/>
      <c r="B12600" s="192"/>
      <c r="C12600" s="140"/>
      <c r="D12600" s="140"/>
      <c r="E12600" s="140"/>
    </row>
    <row r="12601" spans="1:5">
      <c r="A12601" s="140"/>
      <c r="B12601" s="192"/>
      <c r="C12601" s="140"/>
      <c r="D12601" s="140"/>
      <c r="E12601" s="140"/>
    </row>
    <row r="12602" spans="1:5">
      <c r="A12602" s="140"/>
      <c r="B12602" s="192"/>
      <c r="C12602" s="140"/>
      <c r="D12602" s="140"/>
      <c r="E12602" s="140"/>
    </row>
    <row r="12603" spans="1:5">
      <c r="A12603" s="140"/>
      <c r="B12603" s="192"/>
      <c r="C12603" s="140"/>
      <c r="D12603" s="140"/>
      <c r="E12603" s="140"/>
    </row>
    <row r="12604" spans="1:5">
      <c r="A12604" s="140"/>
      <c r="B12604" s="192"/>
      <c r="C12604" s="140"/>
      <c r="D12604" s="140"/>
      <c r="E12604" s="140"/>
    </row>
    <row r="12605" spans="1:5">
      <c r="A12605" s="140"/>
      <c r="B12605" s="192"/>
      <c r="C12605" s="140"/>
      <c r="D12605" s="140"/>
      <c r="E12605" s="140"/>
    </row>
    <row r="12606" spans="1:5">
      <c r="A12606" s="140"/>
      <c r="B12606" s="192"/>
      <c r="C12606" s="140"/>
      <c r="D12606" s="140"/>
      <c r="E12606" s="140"/>
    </row>
    <row r="12607" spans="1:5">
      <c r="A12607" s="140"/>
      <c r="B12607" s="192"/>
      <c r="C12607" s="140"/>
      <c r="D12607" s="140"/>
      <c r="E12607" s="140"/>
    </row>
    <row r="12608" spans="1:5">
      <c r="A12608" s="140"/>
      <c r="B12608" s="192"/>
      <c r="C12608" s="140"/>
      <c r="D12608" s="140"/>
      <c r="E12608" s="140"/>
    </row>
    <row r="12609" spans="1:5">
      <c r="A12609" s="140"/>
      <c r="B12609" s="192"/>
      <c r="C12609" s="140"/>
      <c r="D12609" s="140"/>
      <c r="E12609" s="140"/>
    </row>
    <row r="12610" spans="1:5">
      <c r="A12610" s="140"/>
      <c r="B12610" s="192"/>
      <c r="C12610" s="140"/>
      <c r="D12610" s="140"/>
      <c r="E12610" s="140"/>
    </row>
    <row r="12611" spans="1:5">
      <c r="A12611" s="140"/>
      <c r="B12611" s="192"/>
      <c r="C12611" s="140"/>
      <c r="D12611" s="140"/>
      <c r="E12611" s="140"/>
    </row>
    <row r="12612" spans="1:5">
      <c r="A12612" s="140"/>
      <c r="B12612" s="192"/>
      <c r="C12612" s="140"/>
      <c r="D12612" s="140"/>
      <c r="E12612" s="140"/>
    </row>
    <row r="12613" spans="1:5">
      <c r="A12613" s="140"/>
      <c r="B12613" s="192"/>
      <c r="C12613" s="140"/>
      <c r="D12613" s="140"/>
      <c r="E12613" s="140"/>
    </row>
    <row r="12614" spans="1:5">
      <c r="A12614" s="140"/>
      <c r="B12614" s="192"/>
      <c r="C12614" s="140"/>
      <c r="D12614" s="140"/>
      <c r="E12614" s="140"/>
    </row>
    <row r="12615" spans="1:5">
      <c r="A12615" s="140"/>
      <c r="B12615" s="192"/>
      <c r="C12615" s="140"/>
      <c r="D12615" s="140"/>
      <c r="E12615" s="140"/>
    </row>
    <row r="12616" spans="1:5">
      <c r="A12616" s="140"/>
      <c r="B12616" s="192"/>
      <c r="C12616" s="140"/>
      <c r="D12616" s="140"/>
      <c r="E12616" s="140"/>
    </row>
    <row r="12617" spans="1:5">
      <c r="A12617" s="140"/>
      <c r="B12617" s="192"/>
      <c r="C12617" s="140"/>
      <c r="D12617" s="140"/>
      <c r="E12617" s="140"/>
    </row>
    <row r="12618" spans="1:5">
      <c r="A12618" s="140"/>
      <c r="B12618" s="192"/>
      <c r="C12618" s="140"/>
      <c r="D12618" s="140"/>
      <c r="E12618" s="140"/>
    </row>
    <row r="12619" spans="1:5">
      <c r="A12619" s="140"/>
      <c r="B12619" s="192"/>
      <c r="C12619" s="140"/>
      <c r="D12619" s="140"/>
      <c r="E12619" s="140"/>
    </row>
    <row r="12620" spans="1:5">
      <c r="A12620" s="140"/>
      <c r="B12620" s="192"/>
      <c r="C12620" s="140"/>
      <c r="D12620" s="140"/>
      <c r="E12620" s="140"/>
    </row>
    <row r="12621" spans="1:5">
      <c r="A12621" s="140"/>
      <c r="B12621" s="192"/>
      <c r="C12621" s="140"/>
      <c r="D12621" s="140"/>
      <c r="E12621" s="140"/>
    </row>
    <row r="12622" spans="1:5">
      <c r="A12622" s="140"/>
      <c r="B12622" s="192"/>
      <c r="C12622" s="140"/>
      <c r="D12622" s="140"/>
      <c r="E12622" s="140"/>
    </row>
    <row r="12623" spans="1:5">
      <c r="A12623" s="140"/>
      <c r="B12623" s="192"/>
      <c r="C12623" s="140"/>
      <c r="D12623" s="140"/>
      <c r="E12623" s="140"/>
    </row>
    <row r="12624" spans="1:5">
      <c r="A12624" s="140"/>
      <c r="B12624" s="192"/>
      <c r="C12624" s="140"/>
      <c r="D12624" s="140"/>
      <c r="E12624" s="140"/>
    </row>
    <row r="12625" spans="1:5">
      <c r="A12625" s="140"/>
      <c r="B12625" s="192"/>
      <c r="C12625" s="140"/>
      <c r="D12625" s="140"/>
      <c r="E12625" s="140"/>
    </row>
    <row r="12626" spans="1:5">
      <c r="A12626" s="140"/>
      <c r="B12626" s="192"/>
      <c r="C12626" s="140"/>
      <c r="D12626" s="140"/>
      <c r="E12626" s="140"/>
    </row>
    <row r="12627" spans="1:5">
      <c r="A12627" s="140"/>
      <c r="B12627" s="192"/>
      <c r="C12627" s="140"/>
      <c r="D12627" s="140"/>
      <c r="E12627" s="140"/>
    </row>
    <row r="12628" spans="1:5">
      <c r="A12628" s="140"/>
      <c r="B12628" s="192"/>
      <c r="C12628" s="140"/>
      <c r="D12628" s="140"/>
      <c r="E12628" s="140"/>
    </row>
    <row r="12629" spans="1:5">
      <c r="A12629" s="140"/>
      <c r="B12629" s="192"/>
      <c r="C12629" s="140"/>
      <c r="D12629" s="140"/>
      <c r="E12629" s="140"/>
    </row>
    <row r="12630" spans="1:5">
      <c r="A12630" s="140"/>
      <c r="B12630" s="192"/>
      <c r="C12630" s="140"/>
      <c r="D12630" s="140"/>
      <c r="E12630" s="140"/>
    </row>
    <row r="12631" spans="1:5">
      <c r="A12631" s="140"/>
      <c r="B12631" s="192"/>
      <c r="C12631" s="140"/>
      <c r="D12631" s="140"/>
      <c r="E12631" s="140"/>
    </row>
    <row r="12632" spans="1:5">
      <c r="A12632" s="140"/>
      <c r="B12632" s="192"/>
      <c r="C12632" s="140"/>
      <c r="D12632" s="140"/>
      <c r="E12632" s="140"/>
    </row>
    <row r="12633" spans="1:5">
      <c r="A12633" s="140"/>
      <c r="B12633" s="192"/>
      <c r="C12633" s="140"/>
      <c r="D12633" s="140"/>
      <c r="E12633" s="140"/>
    </row>
    <row r="12634" spans="1:5">
      <c r="A12634" s="140"/>
      <c r="B12634" s="192"/>
      <c r="C12634" s="140"/>
      <c r="D12634" s="140"/>
      <c r="E12634" s="140"/>
    </row>
    <row r="12635" spans="1:5">
      <c r="A12635" s="140"/>
      <c r="B12635" s="192"/>
      <c r="C12635" s="140"/>
      <c r="D12635" s="140"/>
      <c r="E12635" s="140"/>
    </row>
    <row r="12636" spans="1:5">
      <c r="A12636" s="140"/>
      <c r="B12636" s="192"/>
      <c r="C12636" s="140"/>
      <c r="D12636" s="140"/>
      <c r="E12636" s="140"/>
    </row>
    <row r="12637" spans="1:5">
      <c r="A12637" s="140"/>
      <c r="B12637" s="192"/>
      <c r="C12637" s="140"/>
      <c r="D12637" s="140"/>
      <c r="E12637" s="140"/>
    </row>
    <row r="12638" spans="1:5">
      <c r="A12638" s="140"/>
      <c r="B12638" s="192"/>
      <c r="C12638" s="140"/>
      <c r="D12638" s="140"/>
      <c r="E12638" s="140"/>
    </row>
    <row r="12639" spans="1:5">
      <c r="A12639" s="140"/>
      <c r="B12639" s="192"/>
      <c r="C12639" s="140"/>
      <c r="D12639" s="140"/>
      <c r="E12639" s="140"/>
    </row>
    <row r="12640" spans="1:5">
      <c r="A12640" s="140"/>
      <c r="B12640" s="192"/>
      <c r="C12640" s="140"/>
      <c r="D12640" s="140"/>
      <c r="E12640" s="140"/>
    </row>
    <row r="12641" spans="1:5">
      <c r="A12641" s="140"/>
      <c r="B12641" s="192"/>
      <c r="C12641" s="140"/>
      <c r="D12641" s="140"/>
      <c r="E12641" s="140"/>
    </row>
    <row r="12642" spans="1:5">
      <c r="A12642" s="140"/>
      <c r="B12642" s="192"/>
      <c r="C12642" s="140"/>
      <c r="D12642" s="140"/>
      <c r="E12642" s="140"/>
    </row>
    <row r="12643" spans="1:5">
      <c r="A12643" s="140"/>
      <c r="B12643" s="192"/>
      <c r="C12643" s="140"/>
      <c r="D12643" s="140"/>
      <c r="E12643" s="140"/>
    </row>
    <row r="12644" spans="1:5">
      <c r="A12644" s="140"/>
      <c r="B12644" s="192"/>
      <c r="C12644" s="140"/>
      <c r="D12644" s="140"/>
      <c r="E12644" s="140"/>
    </row>
    <row r="12645" spans="1:5">
      <c r="A12645" s="140"/>
      <c r="B12645" s="192"/>
      <c r="C12645" s="140"/>
      <c r="D12645" s="140"/>
      <c r="E12645" s="140"/>
    </row>
    <row r="12646" spans="1:5">
      <c r="A12646" s="140"/>
      <c r="B12646" s="192"/>
      <c r="C12646" s="140"/>
      <c r="D12646" s="140"/>
      <c r="E12646" s="140"/>
    </row>
    <row r="12647" spans="1:5">
      <c r="A12647" s="140"/>
      <c r="B12647" s="192"/>
      <c r="C12647" s="140"/>
      <c r="D12647" s="140"/>
      <c r="E12647" s="140"/>
    </row>
    <row r="12648" spans="1:5">
      <c r="A12648" s="140"/>
      <c r="B12648" s="192"/>
      <c r="C12648" s="140"/>
      <c r="D12648" s="140"/>
      <c r="E12648" s="140"/>
    </row>
    <row r="12649" spans="1:5">
      <c r="A12649" s="140"/>
      <c r="B12649" s="192"/>
      <c r="C12649" s="140"/>
      <c r="D12649" s="140"/>
      <c r="E12649" s="140"/>
    </row>
    <row r="12650" spans="1:5">
      <c r="A12650" s="140"/>
      <c r="B12650" s="192"/>
      <c r="C12650" s="140"/>
      <c r="D12650" s="140"/>
      <c r="E12650" s="140"/>
    </row>
    <row r="12651" spans="1:5">
      <c r="A12651" s="140"/>
      <c r="B12651" s="192"/>
      <c r="C12651" s="140"/>
      <c r="D12651" s="140"/>
      <c r="E12651" s="140"/>
    </row>
    <row r="12652" spans="1:5">
      <c r="A12652" s="140"/>
      <c r="B12652" s="192"/>
      <c r="C12652" s="140"/>
      <c r="D12652" s="140"/>
      <c r="E12652" s="140"/>
    </row>
    <row r="12653" spans="1:5">
      <c r="A12653" s="140"/>
      <c r="B12653" s="192"/>
      <c r="C12653" s="140"/>
      <c r="D12653" s="140"/>
      <c r="E12653" s="140"/>
    </row>
    <row r="12654" spans="1:5">
      <c r="A12654" s="140"/>
      <c r="B12654" s="192"/>
      <c r="C12654" s="140"/>
      <c r="D12654" s="140"/>
      <c r="E12654" s="140"/>
    </row>
    <row r="12655" spans="1:5">
      <c r="A12655" s="140"/>
      <c r="B12655" s="192"/>
      <c r="C12655" s="140"/>
      <c r="D12655" s="140"/>
      <c r="E12655" s="140"/>
    </row>
    <row r="12656" spans="1:5">
      <c r="A12656" s="140"/>
      <c r="B12656" s="192"/>
      <c r="C12656" s="140"/>
      <c r="D12656" s="140"/>
      <c r="E12656" s="140"/>
    </row>
    <row r="12657" spans="1:5">
      <c r="A12657" s="140"/>
      <c r="B12657" s="192"/>
      <c r="C12657" s="140"/>
      <c r="D12657" s="140"/>
      <c r="E12657" s="140"/>
    </row>
    <row r="12658" spans="1:5">
      <c r="A12658" s="140"/>
      <c r="B12658" s="192"/>
      <c r="C12658" s="140"/>
      <c r="D12658" s="140"/>
      <c r="E12658" s="140"/>
    </row>
    <row r="12659" spans="1:5">
      <c r="A12659" s="140"/>
      <c r="B12659" s="192"/>
      <c r="C12659" s="140"/>
      <c r="D12659" s="140"/>
      <c r="E12659" s="140"/>
    </row>
    <row r="12660" spans="1:5">
      <c r="A12660" s="140"/>
      <c r="B12660" s="192"/>
      <c r="C12660" s="140"/>
      <c r="D12660" s="140"/>
      <c r="E12660" s="140"/>
    </row>
    <row r="12661" spans="1:5">
      <c r="A12661" s="140"/>
      <c r="B12661" s="192"/>
      <c r="C12661" s="140"/>
      <c r="D12661" s="140"/>
      <c r="E12661" s="140"/>
    </row>
    <row r="12662" spans="1:5">
      <c r="A12662" s="140"/>
      <c r="B12662" s="192"/>
      <c r="C12662" s="140"/>
      <c r="D12662" s="140"/>
      <c r="E12662" s="140"/>
    </row>
    <row r="12663" spans="1:5">
      <c r="A12663" s="140"/>
      <c r="B12663" s="192"/>
      <c r="C12663" s="140"/>
      <c r="D12663" s="140"/>
      <c r="E12663" s="140"/>
    </row>
    <row r="12664" spans="1:5">
      <c r="A12664" s="140"/>
      <c r="B12664" s="192"/>
      <c r="C12664" s="140"/>
      <c r="D12664" s="140"/>
      <c r="E12664" s="140"/>
    </row>
    <row r="12665" spans="1:5">
      <c r="A12665" s="140"/>
      <c r="B12665" s="192"/>
      <c r="C12665" s="140"/>
      <c r="D12665" s="140"/>
      <c r="E12665" s="140"/>
    </row>
    <row r="12666" spans="1:5">
      <c r="A12666" s="140"/>
      <c r="B12666" s="192"/>
      <c r="C12666" s="140"/>
      <c r="D12666" s="140"/>
      <c r="E12666" s="140"/>
    </row>
    <row r="12667" spans="1:5">
      <c r="A12667" s="140"/>
      <c r="B12667" s="192"/>
      <c r="C12667" s="140"/>
      <c r="D12667" s="140"/>
      <c r="E12667" s="140"/>
    </row>
    <row r="12668" spans="1:5">
      <c r="A12668" s="140"/>
      <c r="B12668" s="192"/>
      <c r="C12668" s="140"/>
      <c r="D12668" s="140"/>
      <c r="E12668" s="140"/>
    </row>
    <row r="12669" spans="1:5">
      <c r="A12669" s="140"/>
      <c r="B12669" s="192"/>
      <c r="C12669" s="140"/>
      <c r="D12669" s="140"/>
      <c r="E12669" s="140"/>
    </row>
    <row r="12670" spans="1:5">
      <c r="A12670" s="140"/>
      <c r="B12670" s="192"/>
      <c r="C12670" s="140"/>
      <c r="D12670" s="140"/>
      <c r="E12670" s="140"/>
    </row>
    <row r="12671" spans="1:5">
      <c r="A12671" s="140"/>
      <c r="B12671" s="192"/>
      <c r="C12671" s="140"/>
      <c r="D12671" s="140"/>
      <c r="E12671" s="140"/>
    </row>
    <row r="12672" spans="1:5">
      <c r="A12672" s="140"/>
      <c r="B12672" s="192"/>
      <c r="C12672" s="140"/>
      <c r="D12672" s="140"/>
      <c r="E12672" s="140"/>
    </row>
    <row r="12673" spans="1:5">
      <c r="A12673" s="140"/>
      <c r="B12673" s="192"/>
      <c r="C12673" s="140"/>
      <c r="D12673" s="140"/>
      <c r="E12673" s="140"/>
    </row>
    <row r="12674" spans="1:5">
      <c r="A12674" s="140"/>
      <c r="B12674" s="192"/>
      <c r="C12674" s="140"/>
      <c r="D12674" s="140"/>
      <c r="E12674" s="140"/>
    </row>
    <row r="12675" spans="1:5">
      <c r="A12675" s="140"/>
      <c r="B12675" s="192"/>
      <c r="C12675" s="140"/>
      <c r="D12675" s="140"/>
      <c r="E12675" s="140"/>
    </row>
    <row r="12676" spans="1:5">
      <c r="A12676" s="140"/>
      <c r="B12676" s="192"/>
      <c r="C12676" s="140"/>
      <c r="D12676" s="140"/>
      <c r="E12676" s="140"/>
    </row>
    <row r="12677" spans="1:5">
      <c r="A12677" s="140"/>
      <c r="B12677" s="192"/>
      <c r="C12677" s="140"/>
      <c r="D12677" s="140"/>
      <c r="E12677" s="140"/>
    </row>
    <row r="12678" spans="1:5">
      <c r="A12678" s="140"/>
      <c r="B12678" s="192"/>
      <c r="C12678" s="140"/>
      <c r="D12678" s="140"/>
      <c r="E12678" s="140"/>
    </row>
    <row r="12679" spans="1:5">
      <c r="A12679" s="140"/>
      <c r="B12679" s="192"/>
      <c r="C12679" s="140"/>
      <c r="D12679" s="140"/>
      <c r="E12679" s="140"/>
    </row>
    <row r="12680" spans="1:5">
      <c r="A12680" s="140"/>
      <c r="B12680" s="192"/>
      <c r="C12680" s="140"/>
      <c r="D12680" s="140"/>
      <c r="E12680" s="140"/>
    </row>
    <row r="12681" spans="1:5">
      <c r="A12681" s="140"/>
      <c r="B12681" s="192"/>
      <c r="C12681" s="140"/>
      <c r="D12681" s="140"/>
      <c r="E12681" s="140"/>
    </row>
    <row r="12682" spans="1:5">
      <c r="A12682" s="140"/>
      <c r="B12682" s="192"/>
      <c r="C12682" s="140"/>
      <c r="D12682" s="140"/>
      <c r="E12682" s="140"/>
    </row>
    <row r="12683" spans="1:5">
      <c r="A12683" s="140"/>
      <c r="B12683" s="192"/>
      <c r="C12683" s="140"/>
      <c r="D12683" s="140"/>
      <c r="E12683" s="140"/>
    </row>
    <row r="12684" spans="1:5">
      <c r="A12684" s="140"/>
      <c r="B12684" s="192"/>
      <c r="C12684" s="140"/>
      <c r="D12684" s="140"/>
      <c r="E12684" s="140"/>
    </row>
    <row r="12685" spans="1:5">
      <c r="A12685" s="140"/>
      <c r="B12685" s="192"/>
      <c r="C12685" s="140"/>
      <c r="D12685" s="140"/>
      <c r="E12685" s="140"/>
    </row>
    <row r="12686" spans="1:5">
      <c r="A12686" s="140"/>
      <c r="B12686" s="192"/>
      <c r="C12686" s="140"/>
      <c r="D12686" s="140"/>
      <c r="E12686" s="140"/>
    </row>
    <row r="12687" spans="1:5">
      <c r="A12687" s="140"/>
      <c r="B12687" s="192"/>
      <c r="C12687" s="140"/>
      <c r="D12687" s="140"/>
      <c r="E12687" s="140"/>
    </row>
    <row r="12688" spans="1:5">
      <c r="A12688" s="140"/>
      <c r="B12688" s="192"/>
      <c r="C12688" s="140"/>
      <c r="D12688" s="140"/>
      <c r="E12688" s="140"/>
    </row>
    <row r="12689" spans="1:5">
      <c r="A12689" s="140"/>
      <c r="B12689" s="192"/>
      <c r="C12689" s="140"/>
      <c r="D12689" s="140"/>
      <c r="E12689" s="140"/>
    </row>
    <row r="12690" spans="1:5">
      <c r="A12690" s="140"/>
      <c r="B12690" s="192"/>
      <c r="C12690" s="140"/>
      <c r="D12690" s="140"/>
      <c r="E12690" s="140"/>
    </row>
    <row r="12691" spans="1:5">
      <c r="A12691" s="140"/>
      <c r="B12691" s="192"/>
      <c r="C12691" s="140"/>
      <c r="D12691" s="140"/>
      <c r="E12691" s="140"/>
    </row>
    <row r="12692" spans="1:5">
      <c r="A12692" s="140"/>
      <c r="B12692" s="192"/>
      <c r="C12692" s="140"/>
      <c r="D12692" s="140"/>
      <c r="E12692" s="140"/>
    </row>
    <row r="12693" spans="1:5">
      <c r="A12693" s="140"/>
      <c r="B12693" s="192"/>
      <c r="C12693" s="140"/>
      <c r="D12693" s="140"/>
      <c r="E12693" s="140"/>
    </row>
    <row r="12694" spans="1:5">
      <c r="A12694" s="140"/>
      <c r="B12694" s="192"/>
      <c r="C12694" s="140"/>
      <c r="D12694" s="140"/>
      <c r="E12694" s="140"/>
    </row>
    <row r="12695" spans="1:5">
      <c r="A12695" s="140"/>
      <c r="B12695" s="192"/>
      <c r="C12695" s="140"/>
      <c r="D12695" s="140"/>
      <c r="E12695" s="140"/>
    </row>
    <row r="12696" spans="1:5">
      <c r="A12696" s="140"/>
      <c r="B12696" s="192"/>
      <c r="C12696" s="140"/>
      <c r="D12696" s="140"/>
      <c r="E12696" s="140"/>
    </row>
    <row r="12697" spans="1:5">
      <c r="A12697" s="140"/>
      <c r="B12697" s="192"/>
      <c r="C12697" s="140"/>
      <c r="D12697" s="140"/>
      <c r="E12697" s="140"/>
    </row>
    <row r="12698" spans="1:5">
      <c r="A12698" s="140"/>
      <c r="B12698" s="192"/>
      <c r="C12698" s="140"/>
      <c r="D12698" s="140"/>
      <c r="E12698" s="140"/>
    </row>
    <row r="12699" spans="1:5">
      <c r="A12699" s="140"/>
      <c r="B12699" s="192"/>
      <c r="C12699" s="140"/>
      <c r="D12699" s="140"/>
      <c r="E12699" s="140"/>
    </row>
    <row r="12700" spans="1:5">
      <c r="A12700" s="140"/>
      <c r="B12700" s="192"/>
      <c r="C12700" s="140"/>
      <c r="D12700" s="140"/>
      <c r="E12700" s="140"/>
    </row>
    <row r="12701" spans="1:5">
      <c r="A12701" s="140"/>
      <c r="B12701" s="192"/>
      <c r="C12701" s="140"/>
      <c r="D12701" s="140"/>
      <c r="E12701" s="140"/>
    </row>
    <row r="12702" spans="1:5">
      <c r="A12702" s="140"/>
      <c r="B12702" s="192"/>
      <c r="C12702" s="140"/>
      <c r="D12702" s="140"/>
      <c r="E12702" s="140"/>
    </row>
    <row r="12703" spans="1:5">
      <c r="A12703" s="140"/>
      <c r="B12703" s="192"/>
      <c r="C12703" s="140"/>
      <c r="D12703" s="140"/>
      <c r="E12703" s="140"/>
    </row>
    <row r="12704" spans="1:5">
      <c r="A12704" s="140"/>
      <c r="B12704" s="192"/>
      <c r="C12704" s="140"/>
      <c r="D12704" s="140"/>
      <c r="E12704" s="140"/>
    </row>
    <row r="12705" spans="1:5">
      <c r="A12705" s="140"/>
      <c r="B12705" s="192"/>
      <c r="C12705" s="140"/>
      <c r="D12705" s="140"/>
      <c r="E12705" s="140"/>
    </row>
    <row r="12706" spans="1:5">
      <c r="A12706" s="140"/>
      <c r="B12706" s="192"/>
      <c r="C12706" s="140"/>
      <c r="D12706" s="140"/>
      <c r="E12706" s="140"/>
    </row>
    <row r="12707" spans="1:5">
      <c r="A12707" s="140"/>
      <c r="B12707" s="192"/>
      <c r="C12707" s="140"/>
      <c r="D12707" s="140"/>
      <c r="E12707" s="140"/>
    </row>
    <row r="12708" spans="1:5">
      <c r="A12708" s="140"/>
      <c r="B12708" s="192"/>
      <c r="C12708" s="140"/>
      <c r="D12708" s="140"/>
      <c r="E12708" s="140"/>
    </row>
    <row r="12709" spans="1:5">
      <c r="A12709" s="140"/>
      <c r="B12709" s="192"/>
      <c r="C12709" s="140"/>
      <c r="D12709" s="140"/>
      <c r="E12709" s="140"/>
    </row>
    <row r="12710" spans="1:5">
      <c r="A12710" s="140"/>
      <c r="B12710" s="192"/>
      <c r="C12710" s="140"/>
      <c r="D12710" s="140"/>
      <c r="E12710" s="140"/>
    </row>
    <row r="12711" spans="1:5">
      <c r="A12711" s="140"/>
      <c r="B12711" s="192"/>
      <c r="C12711" s="140"/>
      <c r="D12711" s="140"/>
      <c r="E12711" s="140"/>
    </row>
    <row r="12712" spans="1:5">
      <c r="A12712" s="140"/>
      <c r="B12712" s="192"/>
      <c r="C12712" s="140"/>
      <c r="D12712" s="140"/>
      <c r="E12712" s="140"/>
    </row>
    <row r="12713" spans="1:5">
      <c r="A12713" s="140"/>
      <c r="B12713" s="192"/>
      <c r="C12713" s="140"/>
      <c r="D12713" s="140"/>
      <c r="E12713" s="140"/>
    </row>
    <row r="12714" spans="1:5">
      <c r="A12714" s="140"/>
      <c r="B12714" s="192"/>
      <c r="C12714" s="140"/>
      <c r="D12714" s="140"/>
      <c r="E12714" s="140"/>
    </row>
    <row r="12715" spans="1:5">
      <c r="A12715" s="140"/>
      <c r="B12715" s="192"/>
      <c r="C12715" s="140"/>
      <c r="D12715" s="140"/>
      <c r="E12715" s="140"/>
    </row>
    <row r="12716" spans="1:5">
      <c r="A12716" s="140"/>
      <c r="B12716" s="192"/>
      <c r="C12716" s="140"/>
      <c r="D12716" s="140"/>
      <c r="E12716" s="140"/>
    </row>
    <row r="12717" spans="1:5">
      <c r="A12717" s="140"/>
      <c r="B12717" s="192"/>
      <c r="C12717" s="140"/>
      <c r="D12717" s="140"/>
      <c r="E12717" s="140"/>
    </row>
    <row r="12718" spans="1:5">
      <c r="A12718" s="140"/>
      <c r="B12718" s="192"/>
      <c r="C12718" s="140"/>
      <c r="D12718" s="140"/>
      <c r="E12718" s="140"/>
    </row>
    <row r="12719" spans="1:5">
      <c r="A12719" s="140"/>
      <c r="B12719" s="192"/>
      <c r="C12719" s="140"/>
      <c r="D12719" s="140"/>
      <c r="E12719" s="140"/>
    </row>
    <row r="12720" spans="1:5">
      <c r="A12720" s="140"/>
      <c r="B12720" s="192"/>
      <c r="C12720" s="140"/>
      <c r="D12720" s="140"/>
      <c r="E12720" s="140"/>
    </row>
    <row r="12721" spans="1:5">
      <c r="A12721" s="140"/>
      <c r="B12721" s="192"/>
      <c r="C12721" s="140"/>
      <c r="D12721" s="140"/>
      <c r="E12721" s="140"/>
    </row>
    <row r="12722" spans="1:5">
      <c r="A12722" s="140"/>
      <c r="B12722" s="192"/>
      <c r="C12722" s="140"/>
      <c r="D12722" s="140"/>
      <c r="E12722" s="140"/>
    </row>
    <row r="12723" spans="1:5">
      <c r="A12723" s="140"/>
      <c r="B12723" s="192"/>
      <c r="C12723" s="140"/>
      <c r="D12723" s="140"/>
      <c r="E12723" s="140"/>
    </row>
    <row r="12724" spans="1:5">
      <c r="A12724" s="140"/>
      <c r="B12724" s="192"/>
      <c r="C12724" s="140"/>
      <c r="D12724" s="140"/>
      <c r="E12724" s="140"/>
    </row>
    <row r="12725" spans="1:5">
      <c r="A12725" s="140"/>
      <c r="B12725" s="192"/>
      <c r="C12725" s="140"/>
      <c r="D12725" s="140"/>
      <c r="E12725" s="140"/>
    </row>
    <row r="12726" spans="1:5">
      <c r="A12726" s="140"/>
      <c r="B12726" s="192"/>
      <c r="C12726" s="140"/>
      <c r="D12726" s="140"/>
      <c r="E12726" s="140"/>
    </row>
    <row r="12727" spans="1:5">
      <c r="A12727" s="140"/>
      <c r="B12727" s="192"/>
      <c r="C12727" s="140"/>
      <c r="D12727" s="140"/>
      <c r="E12727" s="140"/>
    </row>
    <row r="12728" spans="1:5">
      <c r="A12728" s="140"/>
      <c r="B12728" s="192"/>
      <c r="C12728" s="140"/>
      <c r="D12728" s="140"/>
      <c r="E12728" s="140"/>
    </row>
    <row r="12729" spans="1:5">
      <c r="A12729" s="140"/>
      <c r="B12729" s="192"/>
      <c r="C12729" s="140"/>
      <c r="D12729" s="140"/>
      <c r="E12729" s="140"/>
    </row>
    <row r="12730" spans="1:5">
      <c r="A12730" s="140"/>
      <c r="B12730" s="192"/>
      <c r="C12730" s="140"/>
      <c r="D12730" s="140"/>
      <c r="E12730" s="140"/>
    </row>
    <row r="12731" spans="1:5">
      <c r="A12731" s="140"/>
      <c r="B12731" s="192"/>
      <c r="C12731" s="140"/>
      <c r="D12731" s="140"/>
      <c r="E12731" s="140"/>
    </row>
    <row r="12732" spans="1:5">
      <c r="A12732" s="140"/>
      <c r="B12732" s="192"/>
      <c r="C12732" s="140"/>
      <c r="D12732" s="140"/>
      <c r="E12732" s="140"/>
    </row>
    <row r="12733" spans="1:5">
      <c r="A12733" s="140"/>
      <c r="B12733" s="192"/>
      <c r="C12733" s="140"/>
      <c r="D12733" s="140"/>
      <c r="E12733" s="140"/>
    </row>
    <row r="12734" spans="1:5">
      <c r="A12734" s="140"/>
      <c r="B12734" s="192"/>
      <c r="C12734" s="140"/>
      <c r="D12734" s="140"/>
      <c r="E12734" s="140"/>
    </row>
    <row r="12735" spans="1:5">
      <c r="A12735" s="140"/>
      <c r="B12735" s="192"/>
      <c r="C12735" s="140"/>
      <c r="D12735" s="140"/>
      <c r="E12735" s="140"/>
    </row>
    <row r="12736" spans="1:5">
      <c r="A12736" s="140"/>
      <c r="B12736" s="192"/>
      <c r="C12736" s="140"/>
      <c r="D12736" s="140"/>
      <c r="E12736" s="140"/>
    </row>
    <row r="12737" spans="1:5">
      <c r="A12737" s="140"/>
      <c r="B12737" s="192"/>
      <c r="C12737" s="140"/>
      <c r="D12737" s="140"/>
      <c r="E12737" s="140"/>
    </row>
    <row r="12738" spans="1:5">
      <c r="A12738" s="140"/>
      <c r="B12738" s="192"/>
      <c r="C12738" s="140"/>
      <c r="D12738" s="140"/>
      <c r="E12738" s="140"/>
    </row>
    <row r="12739" spans="1:5">
      <c r="A12739" s="140"/>
      <c r="B12739" s="192"/>
      <c r="C12739" s="140"/>
      <c r="D12739" s="140"/>
      <c r="E12739" s="140"/>
    </row>
    <row r="12740" spans="1:5">
      <c r="A12740" s="140"/>
      <c r="B12740" s="192"/>
      <c r="C12740" s="140"/>
      <c r="D12740" s="140"/>
      <c r="E12740" s="140"/>
    </row>
    <row r="12741" spans="1:5">
      <c r="A12741" s="140"/>
      <c r="B12741" s="192"/>
      <c r="C12741" s="140"/>
      <c r="D12741" s="140"/>
      <c r="E12741" s="140"/>
    </row>
    <row r="12742" spans="1:5">
      <c r="A12742" s="140"/>
      <c r="B12742" s="192"/>
      <c r="C12742" s="140"/>
      <c r="D12742" s="140"/>
      <c r="E12742" s="140"/>
    </row>
    <row r="12743" spans="1:5">
      <c r="A12743" s="140"/>
      <c r="B12743" s="192"/>
      <c r="C12743" s="140"/>
      <c r="D12743" s="140"/>
      <c r="E12743" s="140"/>
    </row>
    <row r="12744" spans="1:5">
      <c r="A12744" s="140"/>
      <c r="B12744" s="192"/>
      <c r="C12744" s="140"/>
      <c r="D12744" s="140"/>
      <c r="E12744" s="140"/>
    </row>
    <row r="12745" spans="1:5">
      <c r="A12745" s="140"/>
      <c r="B12745" s="192"/>
      <c r="C12745" s="140"/>
      <c r="D12745" s="140"/>
      <c r="E12745" s="140"/>
    </row>
    <row r="12746" spans="1:5">
      <c r="A12746" s="140"/>
      <c r="B12746" s="192"/>
      <c r="C12746" s="140"/>
      <c r="D12746" s="140"/>
      <c r="E12746" s="140"/>
    </row>
    <row r="12747" spans="1:5">
      <c r="A12747" s="140"/>
      <c r="B12747" s="192"/>
      <c r="C12747" s="140"/>
      <c r="D12747" s="140"/>
      <c r="E12747" s="140"/>
    </row>
    <row r="12748" spans="1:5">
      <c r="A12748" s="140"/>
      <c r="B12748" s="192"/>
      <c r="C12748" s="140"/>
      <c r="D12748" s="140"/>
      <c r="E12748" s="140"/>
    </row>
    <row r="12749" spans="1:5">
      <c r="A12749" s="140"/>
      <c r="B12749" s="192"/>
      <c r="C12749" s="140"/>
      <c r="D12749" s="140"/>
      <c r="E12749" s="140"/>
    </row>
    <row r="12750" spans="1:5">
      <c r="A12750" s="140"/>
      <c r="B12750" s="192"/>
      <c r="C12750" s="140"/>
      <c r="D12750" s="140"/>
      <c r="E12750" s="140"/>
    </row>
    <row r="12751" spans="1:5">
      <c r="A12751" s="140"/>
      <c r="B12751" s="192"/>
      <c r="C12751" s="140"/>
      <c r="D12751" s="140"/>
      <c r="E12751" s="140"/>
    </row>
    <row r="12752" spans="1:5">
      <c r="A12752" s="140"/>
      <c r="B12752" s="192"/>
      <c r="C12752" s="140"/>
      <c r="D12752" s="140"/>
      <c r="E12752" s="140"/>
    </row>
    <row r="12753" spans="1:5">
      <c r="A12753" s="140"/>
      <c r="B12753" s="192"/>
      <c r="C12753" s="140"/>
      <c r="D12753" s="140"/>
      <c r="E12753" s="140"/>
    </row>
    <row r="12754" spans="1:5">
      <c r="A12754" s="140"/>
      <c r="B12754" s="192"/>
      <c r="C12754" s="140"/>
      <c r="D12754" s="140"/>
      <c r="E12754" s="140"/>
    </row>
    <row r="12755" spans="1:5">
      <c r="A12755" s="140"/>
      <c r="B12755" s="192"/>
      <c r="C12755" s="140"/>
      <c r="D12755" s="140"/>
      <c r="E12755" s="140"/>
    </row>
    <row r="12756" spans="1:5">
      <c r="A12756" s="140"/>
      <c r="B12756" s="192"/>
      <c r="C12756" s="140"/>
      <c r="D12756" s="140"/>
      <c r="E12756" s="140"/>
    </row>
    <row r="12757" spans="1:5">
      <c r="A12757" s="140"/>
      <c r="B12757" s="192"/>
      <c r="C12757" s="140"/>
      <c r="D12757" s="140"/>
      <c r="E12757" s="140"/>
    </row>
    <row r="12758" spans="1:5">
      <c r="A12758" s="140"/>
      <c r="B12758" s="192"/>
      <c r="C12758" s="140"/>
      <c r="D12758" s="140"/>
      <c r="E12758" s="140"/>
    </row>
    <row r="12759" spans="1:5">
      <c r="A12759" s="140"/>
      <c r="B12759" s="192"/>
      <c r="C12759" s="140"/>
      <c r="D12759" s="140"/>
      <c r="E12759" s="140"/>
    </row>
    <row r="12760" spans="1:5">
      <c r="A12760" s="140"/>
      <c r="B12760" s="192"/>
      <c r="C12760" s="140"/>
      <c r="D12760" s="140"/>
      <c r="E12760" s="140"/>
    </row>
    <row r="12761" spans="1:5">
      <c r="A12761" s="140"/>
      <c r="B12761" s="192"/>
      <c r="C12761" s="140"/>
      <c r="D12761" s="140"/>
      <c r="E12761" s="140"/>
    </row>
    <row r="12762" spans="1:5">
      <c r="A12762" s="140"/>
      <c r="B12762" s="192"/>
      <c r="C12762" s="140"/>
      <c r="D12762" s="140"/>
      <c r="E12762" s="140"/>
    </row>
    <row r="12763" spans="1:5">
      <c r="A12763" s="140"/>
      <c r="B12763" s="192"/>
      <c r="C12763" s="140"/>
      <c r="D12763" s="140"/>
      <c r="E12763" s="140"/>
    </row>
    <row r="12764" spans="1:5">
      <c r="A12764" s="140"/>
      <c r="B12764" s="192"/>
      <c r="C12764" s="140"/>
      <c r="D12764" s="140"/>
      <c r="E12764" s="140"/>
    </row>
    <row r="12765" spans="1:5">
      <c r="A12765" s="140"/>
      <c r="B12765" s="192"/>
      <c r="C12765" s="140"/>
      <c r="D12765" s="140"/>
      <c r="E12765" s="140"/>
    </row>
    <row r="12766" spans="1:5">
      <c r="A12766" s="140"/>
      <c r="B12766" s="192"/>
      <c r="C12766" s="140"/>
      <c r="D12766" s="140"/>
      <c r="E12766" s="140"/>
    </row>
    <row r="12767" spans="1:5">
      <c r="A12767" s="140"/>
      <c r="B12767" s="192"/>
      <c r="C12767" s="140"/>
      <c r="D12767" s="140"/>
      <c r="E12767" s="140"/>
    </row>
    <row r="12768" spans="1:5">
      <c r="A12768" s="140"/>
      <c r="B12768" s="192"/>
      <c r="C12768" s="140"/>
      <c r="D12768" s="140"/>
      <c r="E12768" s="140"/>
    </row>
    <row r="12769" spans="1:5">
      <c r="A12769" s="140"/>
      <c r="B12769" s="192"/>
      <c r="C12769" s="140"/>
      <c r="D12769" s="140"/>
      <c r="E12769" s="140"/>
    </row>
    <row r="12770" spans="1:5">
      <c r="A12770" s="140"/>
      <c r="B12770" s="192"/>
      <c r="C12770" s="140"/>
      <c r="D12770" s="140"/>
      <c r="E12770" s="140"/>
    </row>
    <row r="12771" spans="1:5">
      <c r="A12771" s="140"/>
      <c r="B12771" s="192"/>
      <c r="C12771" s="140"/>
      <c r="D12771" s="140"/>
      <c r="E12771" s="140"/>
    </row>
    <row r="12772" spans="1:5">
      <c r="A12772" s="140"/>
      <c r="B12772" s="192"/>
      <c r="C12772" s="140"/>
      <c r="D12772" s="140"/>
      <c r="E12772" s="140"/>
    </row>
    <row r="12773" spans="1:5">
      <c r="A12773" s="140"/>
      <c r="B12773" s="192"/>
      <c r="C12773" s="140"/>
      <c r="D12773" s="140"/>
      <c r="E12773" s="140"/>
    </row>
    <row r="12774" spans="1:5">
      <c r="A12774" s="140"/>
      <c r="B12774" s="192"/>
      <c r="C12774" s="140"/>
      <c r="D12774" s="140"/>
      <c r="E12774" s="140"/>
    </row>
    <row r="12775" spans="1:5">
      <c r="A12775" s="140"/>
      <c r="B12775" s="192"/>
      <c r="C12775" s="140"/>
      <c r="D12775" s="140"/>
      <c r="E12775" s="140"/>
    </row>
    <row r="12776" spans="1:5">
      <c r="A12776" s="140"/>
      <c r="B12776" s="192"/>
      <c r="C12776" s="140"/>
      <c r="D12776" s="140"/>
      <c r="E12776" s="140"/>
    </row>
    <row r="12777" spans="1:5">
      <c r="A12777" s="140"/>
      <c r="B12777" s="192"/>
      <c r="C12777" s="140"/>
      <c r="D12777" s="140"/>
      <c r="E12777" s="140"/>
    </row>
    <row r="12778" spans="1:5">
      <c r="A12778" s="140"/>
      <c r="B12778" s="192"/>
      <c r="C12778" s="140"/>
      <c r="D12778" s="140"/>
      <c r="E12778" s="140"/>
    </row>
    <row r="12779" spans="1:5">
      <c r="A12779" s="140"/>
      <c r="B12779" s="192"/>
      <c r="C12779" s="140"/>
      <c r="D12779" s="140"/>
      <c r="E12779" s="140"/>
    </row>
    <row r="12780" spans="1:5">
      <c r="A12780" s="140"/>
      <c r="B12780" s="192"/>
      <c r="C12780" s="140"/>
      <c r="D12780" s="140"/>
      <c r="E12780" s="140"/>
    </row>
    <row r="12781" spans="1:5">
      <c r="A12781" s="140"/>
      <c r="B12781" s="192"/>
      <c r="C12781" s="140"/>
      <c r="D12781" s="140"/>
      <c r="E12781" s="140"/>
    </row>
    <row r="12782" spans="1:5">
      <c r="A12782" s="140"/>
      <c r="B12782" s="192"/>
      <c r="C12782" s="140"/>
      <c r="D12782" s="140"/>
      <c r="E12782" s="140"/>
    </row>
    <row r="12783" spans="1:5">
      <c r="A12783" s="140"/>
      <c r="B12783" s="192"/>
      <c r="C12783" s="140"/>
      <c r="D12783" s="140"/>
      <c r="E12783" s="140"/>
    </row>
    <row r="12784" spans="1:5">
      <c r="A12784" s="140"/>
      <c r="B12784" s="192"/>
      <c r="C12784" s="140"/>
      <c r="D12784" s="140"/>
      <c r="E12784" s="140"/>
    </row>
    <row r="12785" spans="1:5">
      <c r="A12785" s="140"/>
      <c r="B12785" s="192"/>
      <c r="C12785" s="140"/>
      <c r="D12785" s="140"/>
      <c r="E12785" s="140"/>
    </row>
    <row r="12786" spans="1:5">
      <c r="A12786" s="140"/>
      <c r="B12786" s="192"/>
      <c r="C12786" s="140"/>
      <c r="D12786" s="140"/>
      <c r="E12786" s="140"/>
    </row>
    <row r="12787" spans="1:5">
      <c r="A12787" s="140"/>
      <c r="B12787" s="192"/>
      <c r="C12787" s="140"/>
      <c r="D12787" s="140"/>
      <c r="E12787" s="140"/>
    </row>
    <row r="12788" spans="1:5">
      <c r="A12788" s="140"/>
      <c r="B12788" s="192"/>
      <c r="C12788" s="140"/>
      <c r="D12788" s="140"/>
      <c r="E12788" s="140"/>
    </row>
    <row r="12789" spans="1:5">
      <c r="A12789" s="140"/>
      <c r="B12789" s="192"/>
      <c r="C12789" s="140"/>
      <c r="D12789" s="140"/>
      <c r="E12789" s="140"/>
    </row>
    <row r="12790" spans="1:5">
      <c r="A12790" s="140"/>
      <c r="B12790" s="192"/>
      <c r="C12790" s="140"/>
      <c r="D12790" s="140"/>
      <c r="E12790" s="140"/>
    </row>
    <row r="12791" spans="1:5">
      <c r="A12791" s="140"/>
      <c r="B12791" s="192"/>
      <c r="C12791" s="140"/>
      <c r="D12791" s="140"/>
      <c r="E12791" s="140"/>
    </row>
    <row r="12792" spans="1:5">
      <c r="A12792" s="140"/>
      <c r="B12792" s="192"/>
      <c r="C12792" s="140"/>
      <c r="D12792" s="140"/>
      <c r="E12792" s="140"/>
    </row>
    <row r="12793" spans="1:5">
      <c r="A12793" s="140"/>
      <c r="B12793" s="192"/>
      <c r="C12793" s="140"/>
      <c r="D12793" s="140"/>
      <c r="E12793" s="140"/>
    </row>
    <row r="12794" spans="1:5">
      <c r="A12794" s="140"/>
      <c r="B12794" s="192"/>
      <c r="C12794" s="140"/>
      <c r="D12794" s="140"/>
      <c r="E12794" s="140"/>
    </row>
    <row r="12795" spans="1:5">
      <c r="A12795" s="140"/>
      <c r="B12795" s="192"/>
      <c r="C12795" s="140"/>
      <c r="D12795" s="140"/>
      <c r="E12795" s="140"/>
    </row>
    <row r="12796" spans="1:5">
      <c r="A12796" s="140"/>
      <c r="B12796" s="192"/>
      <c r="C12796" s="140"/>
      <c r="D12796" s="140"/>
      <c r="E12796" s="140"/>
    </row>
    <row r="12797" spans="1:5">
      <c r="A12797" s="140"/>
      <c r="B12797" s="192"/>
      <c r="C12797" s="140"/>
      <c r="D12797" s="140"/>
      <c r="E12797" s="140"/>
    </row>
    <row r="12798" spans="1:5">
      <c r="A12798" s="140"/>
      <c r="B12798" s="192"/>
      <c r="C12798" s="140"/>
      <c r="D12798" s="140"/>
      <c r="E12798" s="140"/>
    </row>
    <row r="12799" spans="1:5">
      <c r="A12799" s="140"/>
      <c r="B12799" s="192"/>
      <c r="C12799" s="140"/>
      <c r="D12799" s="140"/>
      <c r="E12799" s="140"/>
    </row>
    <row r="12800" spans="1:5">
      <c r="A12800" s="140"/>
      <c r="B12800" s="192"/>
      <c r="C12800" s="140"/>
      <c r="D12800" s="140"/>
      <c r="E12800" s="140"/>
    </row>
    <row r="12801" spans="1:5">
      <c r="A12801" s="140"/>
      <c r="B12801" s="192"/>
      <c r="C12801" s="140"/>
      <c r="D12801" s="140"/>
      <c r="E12801" s="140"/>
    </row>
    <row r="12802" spans="1:5">
      <c r="A12802" s="140"/>
      <c r="B12802" s="192"/>
      <c r="C12802" s="140"/>
      <c r="D12802" s="140"/>
      <c r="E12802" s="140"/>
    </row>
    <row r="12803" spans="1:5">
      <c r="A12803" s="140"/>
      <c r="B12803" s="192"/>
      <c r="C12803" s="140"/>
      <c r="D12803" s="140"/>
      <c r="E12803" s="140"/>
    </row>
    <row r="12804" spans="1:5">
      <c r="A12804" s="140"/>
      <c r="B12804" s="192"/>
      <c r="C12804" s="140"/>
      <c r="D12804" s="140"/>
      <c r="E12804" s="140"/>
    </row>
    <row r="12805" spans="1:5">
      <c r="A12805" s="140"/>
      <c r="B12805" s="192"/>
      <c r="C12805" s="140"/>
      <c r="D12805" s="140"/>
      <c r="E12805" s="140"/>
    </row>
    <row r="12806" spans="1:5">
      <c r="A12806" s="140"/>
      <c r="B12806" s="192"/>
      <c r="C12806" s="140"/>
      <c r="D12806" s="140"/>
      <c r="E12806" s="140"/>
    </row>
    <row r="12807" spans="1:5">
      <c r="A12807" s="140"/>
      <c r="B12807" s="192"/>
      <c r="C12807" s="140"/>
      <c r="D12807" s="140"/>
      <c r="E12807" s="140"/>
    </row>
    <row r="12808" spans="1:5">
      <c r="A12808" s="140"/>
      <c r="B12808" s="192"/>
      <c r="C12808" s="140"/>
      <c r="D12808" s="140"/>
      <c r="E12808" s="140"/>
    </row>
    <row r="12809" spans="1:5">
      <c r="A12809" s="140"/>
      <c r="B12809" s="192"/>
      <c r="C12809" s="140"/>
      <c r="D12809" s="140"/>
      <c r="E12809" s="140"/>
    </row>
    <row r="12810" spans="1:5">
      <c r="A12810" s="140"/>
      <c r="B12810" s="192"/>
      <c r="C12810" s="140"/>
      <c r="D12810" s="140"/>
      <c r="E12810" s="140"/>
    </row>
    <row r="12811" spans="1:5">
      <c r="A12811" s="140"/>
      <c r="B12811" s="192"/>
      <c r="C12811" s="140"/>
      <c r="D12811" s="140"/>
      <c r="E12811" s="140"/>
    </row>
    <row r="12812" spans="1:5">
      <c r="A12812" s="140"/>
      <c r="B12812" s="192"/>
      <c r="C12812" s="140"/>
      <c r="D12812" s="140"/>
      <c r="E12812" s="140"/>
    </row>
    <row r="12813" spans="1:5">
      <c r="A12813" s="140"/>
      <c r="B12813" s="192"/>
      <c r="C12813" s="140"/>
      <c r="D12813" s="140"/>
      <c r="E12813" s="140"/>
    </row>
    <row r="12814" spans="1:5">
      <c r="A12814" s="140"/>
      <c r="B12814" s="192"/>
      <c r="C12814" s="140"/>
      <c r="D12814" s="140"/>
      <c r="E12814" s="140"/>
    </row>
    <row r="12815" spans="1:5">
      <c r="A12815" s="140"/>
      <c r="B12815" s="192"/>
      <c r="C12815" s="140"/>
      <c r="D12815" s="140"/>
      <c r="E12815" s="140"/>
    </row>
    <row r="12816" spans="1:5">
      <c r="A12816" s="140"/>
      <c r="B12816" s="192"/>
      <c r="C12816" s="140"/>
      <c r="D12816" s="140"/>
      <c r="E12816" s="140"/>
    </row>
    <row r="12817" spans="1:5">
      <c r="A12817" s="140"/>
      <c r="B12817" s="192"/>
      <c r="C12817" s="140"/>
      <c r="D12817" s="140"/>
      <c r="E12817" s="140"/>
    </row>
    <row r="12818" spans="1:5">
      <c r="A12818" s="140"/>
      <c r="B12818" s="192"/>
      <c r="C12818" s="140"/>
      <c r="D12818" s="140"/>
      <c r="E12818" s="140"/>
    </row>
    <row r="12819" spans="1:5">
      <c r="A12819" s="140"/>
      <c r="B12819" s="192"/>
      <c r="C12819" s="140"/>
      <c r="D12819" s="140"/>
      <c r="E12819" s="140"/>
    </row>
    <row r="12820" spans="1:5">
      <c r="A12820" s="140"/>
      <c r="B12820" s="192"/>
      <c r="C12820" s="140"/>
      <c r="D12820" s="140"/>
      <c r="E12820" s="140"/>
    </row>
    <row r="12821" spans="1:5">
      <c r="A12821" s="140"/>
      <c r="B12821" s="192"/>
      <c r="C12821" s="140"/>
      <c r="D12821" s="140"/>
      <c r="E12821" s="140"/>
    </row>
    <row r="12822" spans="1:5">
      <c r="A12822" s="140"/>
      <c r="B12822" s="192"/>
      <c r="C12822" s="140"/>
      <c r="D12822" s="140"/>
      <c r="E12822" s="140"/>
    </row>
    <row r="12823" spans="1:5">
      <c r="A12823" s="140"/>
      <c r="B12823" s="192"/>
      <c r="C12823" s="140"/>
      <c r="D12823" s="140"/>
      <c r="E12823" s="140"/>
    </row>
    <row r="12824" spans="1:5">
      <c r="A12824" s="140"/>
      <c r="B12824" s="192"/>
      <c r="C12824" s="140"/>
      <c r="D12824" s="140"/>
      <c r="E12824" s="140"/>
    </row>
    <row r="12825" spans="1:5">
      <c r="A12825" s="140"/>
      <c r="B12825" s="192"/>
      <c r="C12825" s="140"/>
      <c r="D12825" s="140"/>
      <c r="E12825" s="140"/>
    </row>
    <row r="12826" spans="1:5">
      <c r="A12826" s="140"/>
      <c r="B12826" s="192"/>
      <c r="C12826" s="140"/>
      <c r="D12826" s="140"/>
      <c r="E12826" s="140"/>
    </row>
    <row r="12827" spans="1:5">
      <c r="A12827" s="140"/>
      <c r="B12827" s="192"/>
      <c r="C12827" s="140"/>
      <c r="D12827" s="140"/>
      <c r="E12827" s="140"/>
    </row>
    <row r="12828" spans="1:5">
      <c r="A12828" s="140"/>
      <c r="B12828" s="192"/>
      <c r="C12828" s="140"/>
      <c r="D12828" s="140"/>
      <c r="E12828" s="140"/>
    </row>
    <row r="12829" spans="1:5">
      <c r="A12829" s="140"/>
      <c r="B12829" s="192"/>
      <c r="C12829" s="140"/>
      <c r="D12829" s="140"/>
      <c r="E12829" s="140"/>
    </row>
    <row r="12830" spans="1:5">
      <c r="A12830" s="140"/>
      <c r="B12830" s="192"/>
      <c r="C12830" s="140"/>
      <c r="D12830" s="140"/>
      <c r="E12830" s="140"/>
    </row>
    <row r="12831" spans="1:5">
      <c r="A12831" s="140"/>
      <c r="B12831" s="192"/>
      <c r="C12831" s="140"/>
      <c r="D12831" s="140"/>
      <c r="E12831" s="140"/>
    </row>
    <row r="12832" spans="1:5">
      <c r="A12832" s="140"/>
      <c r="B12832" s="192"/>
      <c r="C12832" s="140"/>
      <c r="D12832" s="140"/>
      <c r="E12832" s="140"/>
    </row>
    <row r="12833" spans="1:5">
      <c r="A12833" s="140"/>
      <c r="B12833" s="192"/>
      <c r="C12833" s="140"/>
      <c r="D12833" s="140"/>
      <c r="E12833" s="140"/>
    </row>
    <row r="12834" spans="1:5">
      <c r="A12834" s="140"/>
      <c r="B12834" s="192"/>
      <c r="C12834" s="140"/>
      <c r="D12834" s="140"/>
      <c r="E12834" s="140"/>
    </row>
    <row r="12835" spans="1:5">
      <c r="A12835" s="140"/>
      <c r="B12835" s="192"/>
      <c r="C12835" s="140"/>
      <c r="D12835" s="140"/>
      <c r="E12835" s="140"/>
    </row>
    <row r="12836" spans="1:5">
      <c r="A12836" s="140"/>
      <c r="B12836" s="192"/>
      <c r="C12836" s="140"/>
      <c r="D12836" s="140"/>
      <c r="E12836" s="140"/>
    </row>
    <row r="12837" spans="1:5">
      <c r="A12837" s="140"/>
      <c r="B12837" s="192"/>
      <c r="C12837" s="140"/>
      <c r="D12837" s="140"/>
      <c r="E12837" s="140"/>
    </row>
    <row r="12838" spans="1:5">
      <c r="A12838" s="140"/>
      <c r="B12838" s="192"/>
      <c r="C12838" s="140"/>
      <c r="D12838" s="140"/>
      <c r="E12838" s="140"/>
    </row>
    <row r="12839" spans="1:5">
      <c r="A12839" s="140"/>
      <c r="B12839" s="192"/>
      <c r="C12839" s="140"/>
      <c r="D12839" s="140"/>
      <c r="E12839" s="140"/>
    </row>
    <row r="12840" spans="1:5">
      <c r="A12840" s="140"/>
      <c r="B12840" s="192"/>
      <c r="C12840" s="140"/>
      <c r="D12840" s="140"/>
      <c r="E12840" s="140"/>
    </row>
    <row r="12841" spans="1:5">
      <c r="A12841" s="140"/>
      <c r="B12841" s="192"/>
      <c r="C12841" s="140"/>
      <c r="D12841" s="140"/>
      <c r="E12841" s="140"/>
    </row>
    <row r="12842" spans="1:5">
      <c r="A12842" s="140"/>
      <c r="B12842" s="192"/>
      <c r="C12842" s="140"/>
      <c r="D12842" s="140"/>
      <c r="E12842" s="140"/>
    </row>
    <row r="12843" spans="1:5">
      <c r="A12843" s="140"/>
      <c r="B12843" s="192"/>
      <c r="C12843" s="140"/>
      <c r="D12843" s="140"/>
      <c r="E12843" s="140"/>
    </row>
    <row r="12844" spans="1:5">
      <c r="A12844" s="140"/>
      <c r="B12844" s="192"/>
      <c r="C12844" s="140"/>
      <c r="D12844" s="140"/>
      <c r="E12844" s="140"/>
    </row>
    <row r="12845" spans="1:5">
      <c r="A12845" s="140"/>
      <c r="B12845" s="192"/>
      <c r="C12845" s="140"/>
      <c r="D12845" s="140"/>
      <c r="E12845" s="140"/>
    </row>
    <row r="12846" spans="1:5">
      <c r="A12846" s="140"/>
      <c r="B12846" s="192"/>
      <c r="C12846" s="140"/>
      <c r="D12846" s="140"/>
      <c r="E12846" s="140"/>
    </row>
    <row r="12847" spans="1:5">
      <c r="A12847" s="140"/>
      <c r="B12847" s="192"/>
      <c r="C12847" s="140"/>
      <c r="D12847" s="140"/>
      <c r="E12847" s="140"/>
    </row>
    <row r="12848" spans="1:5">
      <c r="A12848" s="140"/>
      <c r="B12848" s="192"/>
      <c r="C12848" s="140"/>
      <c r="D12848" s="140"/>
      <c r="E12848" s="140"/>
    </row>
    <row r="12849" spans="1:5">
      <c r="A12849" s="140"/>
      <c r="B12849" s="192"/>
      <c r="C12849" s="140"/>
      <c r="D12849" s="140"/>
      <c r="E12849" s="140"/>
    </row>
    <row r="12850" spans="1:5">
      <c r="A12850" s="140"/>
      <c r="B12850" s="192"/>
      <c r="C12850" s="140"/>
      <c r="D12850" s="140"/>
      <c r="E12850" s="140"/>
    </row>
    <row r="12851" spans="1:5">
      <c r="A12851" s="140"/>
      <c r="B12851" s="192"/>
      <c r="C12851" s="140"/>
      <c r="D12851" s="140"/>
      <c r="E12851" s="140"/>
    </row>
    <row r="12852" spans="1:5">
      <c r="A12852" s="140"/>
      <c r="B12852" s="192"/>
      <c r="C12852" s="140"/>
      <c r="D12852" s="140"/>
      <c r="E12852" s="140"/>
    </row>
    <row r="12853" spans="1:5">
      <c r="A12853" s="140"/>
      <c r="B12853" s="192"/>
      <c r="C12853" s="140"/>
      <c r="D12853" s="140"/>
      <c r="E12853" s="140"/>
    </row>
    <row r="12854" spans="1:5">
      <c r="A12854" s="140"/>
      <c r="B12854" s="192"/>
      <c r="C12854" s="140"/>
      <c r="D12854" s="140"/>
      <c r="E12854" s="140"/>
    </row>
    <row r="12855" spans="1:5">
      <c r="A12855" s="140"/>
      <c r="B12855" s="192"/>
      <c r="C12855" s="140"/>
      <c r="D12855" s="140"/>
      <c r="E12855" s="140"/>
    </row>
    <row r="12856" spans="1:5">
      <c r="A12856" s="140"/>
      <c r="B12856" s="192"/>
      <c r="C12856" s="140"/>
      <c r="D12856" s="140"/>
      <c r="E12856" s="140"/>
    </row>
    <row r="12857" spans="1:5">
      <c r="A12857" s="140"/>
      <c r="B12857" s="192"/>
      <c r="C12857" s="140"/>
      <c r="D12857" s="140"/>
      <c r="E12857" s="140"/>
    </row>
    <row r="12858" spans="1:5">
      <c r="A12858" s="140"/>
      <c r="B12858" s="192"/>
      <c r="C12858" s="140"/>
      <c r="D12858" s="140"/>
      <c r="E12858" s="140"/>
    </row>
    <row r="12859" spans="1:5">
      <c r="A12859" s="140"/>
      <c r="B12859" s="192"/>
      <c r="C12859" s="140"/>
      <c r="D12859" s="140"/>
      <c r="E12859" s="140"/>
    </row>
    <row r="12860" spans="1:5">
      <c r="A12860" s="140"/>
      <c r="B12860" s="192"/>
      <c r="C12860" s="140"/>
      <c r="D12860" s="140"/>
      <c r="E12860" s="140"/>
    </row>
    <row r="12861" spans="1:5">
      <c r="A12861" s="140"/>
      <c r="B12861" s="192"/>
      <c r="C12861" s="140"/>
      <c r="D12861" s="140"/>
      <c r="E12861" s="140"/>
    </row>
    <row r="12862" spans="1:5">
      <c r="A12862" s="140"/>
      <c r="B12862" s="192"/>
      <c r="C12862" s="140"/>
      <c r="D12862" s="140"/>
      <c r="E12862" s="140"/>
    </row>
    <row r="12863" spans="1:5">
      <c r="A12863" s="140"/>
      <c r="B12863" s="192"/>
      <c r="C12863" s="140"/>
      <c r="D12863" s="140"/>
      <c r="E12863" s="140"/>
    </row>
    <row r="12864" spans="1:5">
      <c r="A12864" s="140"/>
      <c r="B12864" s="192"/>
      <c r="C12864" s="140"/>
      <c r="D12864" s="140"/>
      <c r="E12864" s="140"/>
    </row>
    <row r="12865" spans="1:5">
      <c r="A12865" s="140"/>
      <c r="B12865" s="192"/>
      <c r="C12865" s="140"/>
      <c r="D12865" s="140"/>
      <c r="E12865" s="140"/>
    </row>
    <row r="12866" spans="1:5">
      <c r="A12866" s="140"/>
      <c r="B12866" s="192"/>
      <c r="C12866" s="140"/>
      <c r="D12866" s="140"/>
      <c r="E12866" s="140"/>
    </row>
    <row r="12867" spans="1:5">
      <c r="A12867" s="140"/>
      <c r="B12867" s="192"/>
      <c r="C12867" s="140"/>
      <c r="D12867" s="140"/>
      <c r="E12867" s="140"/>
    </row>
    <row r="12868" spans="1:5">
      <c r="A12868" s="140"/>
      <c r="B12868" s="192"/>
      <c r="C12868" s="140"/>
      <c r="D12868" s="140"/>
      <c r="E12868" s="140"/>
    </row>
    <row r="12869" spans="1:5">
      <c r="A12869" s="140"/>
      <c r="B12869" s="192"/>
      <c r="C12869" s="140"/>
      <c r="D12869" s="140"/>
      <c r="E12869" s="140"/>
    </row>
    <row r="12870" spans="1:5">
      <c r="A12870" s="140"/>
      <c r="B12870" s="192"/>
      <c r="C12870" s="140"/>
      <c r="D12870" s="140"/>
      <c r="E12870" s="140"/>
    </row>
    <row r="12871" spans="1:5">
      <c r="A12871" s="140"/>
      <c r="B12871" s="192"/>
      <c r="C12871" s="140"/>
      <c r="D12871" s="140"/>
      <c r="E12871" s="140"/>
    </row>
    <row r="12872" spans="1:5">
      <c r="A12872" s="140"/>
      <c r="B12872" s="192"/>
      <c r="C12872" s="140"/>
      <c r="D12872" s="140"/>
      <c r="E12872" s="140"/>
    </row>
    <row r="12873" spans="1:5">
      <c r="A12873" s="140"/>
      <c r="B12873" s="192"/>
      <c r="C12873" s="140"/>
      <c r="D12873" s="140"/>
      <c r="E12873" s="140"/>
    </row>
    <row r="12874" spans="1:5">
      <c r="A12874" s="140"/>
      <c r="B12874" s="192"/>
      <c r="C12874" s="140"/>
      <c r="D12874" s="140"/>
      <c r="E12874" s="140"/>
    </row>
    <row r="12875" spans="1:5">
      <c r="A12875" s="140"/>
      <c r="B12875" s="192"/>
      <c r="C12875" s="140"/>
      <c r="D12875" s="140"/>
      <c r="E12875" s="140"/>
    </row>
    <row r="12876" spans="1:5">
      <c r="A12876" s="140"/>
      <c r="B12876" s="192"/>
      <c r="C12876" s="140"/>
      <c r="D12876" s="140"/>
      <c r="E12876" s="140"/>
    </row>
    <row r="12877" spans="1:5">
      <c r="A12877" s="140"/>
      <c r="B12877" s="192"/>
      <c r="C12877" s="140"/>
      <c r="D12877" s="140"/>
      <c r="E12877" s="140"/>
    </row>
    <row r="12878" spans="1:5">
      <c r="A12878" s="140"/>
      <c r="B12878" s="192"/>
      <c r="C12878" s="140"/>
      <c r="D12878" s="140"/>
      <c r="E12878" s="140"/>
    </row>
    <row r="12879" spans="1:5">
      <c r="A12879" s="140"/>
      <c r="B12879" s="192"/>
      <c r="C12879" s="140"/>
      <c r="D12879" s="140"/>
      <c r="E12879" s="140"/>
    </row>
    <row r="12880" spans="1:5">
      <c r="A12880" s="140"/>
      <c r="B12880" s="192"/>
      <c r="C12880" s="140"/>
      <c r="D12880" s="140"/>
      <c r="E12880" s="140"/>
    </row>
    <row r="12881" spans="1:5">
      <c r="A12881" s="140"/>
      <c r="B12881" s="192"/>
      <c r="C12881" s="140"/>
      <c r="D12881" s="140"/>
      <c r="E12881" s="140"/>
    </row>
    <row r="12882" spans="1:5">
      <c r="A12882" s="140"/>
      <c r="B12882" s="192"/>
      <c r="C12882" s="140"/>
      <c r="D12882" s="140"/>
      <c r="E12882" s="140"/>
    </row>
    <row r="12883" spans="1:5">
      <c r="A12883" s="140"/>
      <c r="B12883" s="192"/>
      <c r="C12883" s="140"/>
      <c r="D12883" s="140"/>
      <c r="E12883" s="140"/>
    </row>
    <row r="12884" spans="1:5">
      <c r="A12884" s="140"/>
      <c r="B12884" s="192"/>
      <c r="C12884" s="140"/>
      <c r="D12884" s="140"/>
      <c r="E12884" s="140"/>
    </row>
    <row r="12885" spans="1:5">
      <c r="A12885" s="140"/>
      <c r="B12885" s="192"/>
      <c r="C12885" s="140"/>
      <c r="D12885" s="140"/>
      <c r="E12885" s="140"/>
    </row>
    <row r="12886" spans="1:5">
      <c r="A12886" s="140"/>
      <c r="B12886" s="192"/>
      <c r="C12886" s="140"/>
      <c r="D12886" s="140"/>
      <c r="E12886" s="140"/>
    </row>
    <row r="12887" spans="1:5">
      <c r="A12887" s="140"/>
      <c r="B12887" s="192"/>
      <c r="C12887" s="140"/>
      <c r="D12887" s="140"/>
      <c r="E12887" s="140"/>
    </row>
    <row r="12888" spans="1:5">
      <c r="A12888" s="140"/>
      <c r="B12888" s="192"/>
      <c r="C12888" s="140"/>
      <c r="D12888" s="140"/>
      <c r="E12888" s="140"/>
    </row>
    <row r="12889" spans="1:5">
      <c r="A12889" s="140"/>
      <c r="B12889" s="192"/>
      <c r="C12889" s="140"/>
      <c r="D12889" s="140"/>
      <c r="E12889" s="140"/>
    </row>
    <row r="12890" spans="1:5">
      <c r="A12890" s="140"/>
      <c r="B12890" s="192"/>
      <c r="C12890" s="140"/>
      <c r="D12890" s="140"/>
      <c r="E12890" s="140"/>
    </row>
    <row r="12891" spans="1:5">
      <c r="A12891" s="140"/>
      <c r="B12891" s="192"/>
      <c r="C12891" s="140"/>
      <c r="D12891" s="140"/>
      <c r="E12891" s="140"/>
    </row>
    <row r="12892" spans="1:5">
      <c r="A12892" s="140"/>
      <c r="B12892" s="192"/>
      <c r="C12892" s="140"/>
      <c r="D12892" s="140"/>
      <c r="E12892" s="140"/>
    </row>
    <row r="12893" spans="1:5">
      <c r="A12893" s="140"/>
      <c r="B12893" s="192"/>
      <c r="C12893" s="140"/>
      <c r="D12893" s="140"/>
      <c r="E12893" s="140"/>
    </row>
    <row r="12894" spans="1:5">
      <c r="A12894" s="140"/>
      <c r="B12894" s="192"/>
      <c r="C12894" s="140"/>
      <c r="D12894" s="140"/>
      <c r="E12894" s="140"/>
    </row>
    <row r="12895" spans="1:5">
      <c r="A12895" s="140"/>
      <c r="B12895" s="192"/>
      <c r="C12895" s="140"/>
      <c r="D12895" s="140"/>
      <c r="E12895" s="140"/>
    </row>
    <row r="12896" spans="1:5">
      <c r="A12896" s="140"/>
      <c r="B12896" s="192"/>
      <c r="C12896" s="140"/>
      <c r="D12896" s="140"/>
      <c r="E12896" s="140"/>
    </row>
    <row r="12897" spans="1:5">
      <c r="A12897" s="140"/>
      <c r="B12897" s="192"/>
      <c r="C12897" s="140"/>
      <c r="D12897" s="140"/>
      <c r="E12897" s="140"/>
    </row>
    <row r="12898" spans="1:5">
      <c r="A12898" s="140"/>
      <c r="B12898" s="192"/>
      <c r="C12898" s="140"/>
      <c r="D12898" s="140"/>
      <c r="E12898" s="140"/>
    </row>
    <row r="12899" spans="1:5">
      <c r="A12899" s="140"/>
      <c r="B12899" s="192"/>
      <c r="C12899" s="140"/>
      <c r="D12899" s="140"/>
      <c r="E12899" s="140"/>
    </row>
    <row r="12900" spans="1:5">
      <c r="A12900" s="140"/>
      <c r="B12900" s="192"/>
      <c r="C12900" s="140"/>
      <c r="D12900" s="140"/>
      <c r="E12900" s="140"/>
    </row>
    <row r="12901" spans="1:5">
      <c r="A12901" s="140"/>
      <c r="B12901" s="192"/>
      <c r="C12901" s="140"/>
      <c r="D12901" s="140"/>
      <c r="E12901" s="140"/>
    </row>
    <row r="12902" spans="1:5">
      <c r="A12902" s="140"/>
      <c r="B12902" s="192"/>
      <c r="C12902" s="140"/>
      <c r="D12902" s="140"/>
      <c r="E12902" s="140"/>
    </row>
    <row r="12903" spans="1:5">
      <c r="A12903" s="140"/>
      <c r="B12903" s="192"/>
      <c r="C12903" s="140"/>
      <c r="D12903" s="140"/>
      <c r="E12903" s="140"/>
    </row>
    <row r="12904" spans="1:5">
      <c r="A12904" s="140"/>
      <c r="B12904" s="192"/>
      <c r="C12904" s="140"/>
      <c r="D12904" s="140"/>
      <c r="E12904" s="140"/>
    </row>
    <row r="12905" spans="1:5">
      <c r="A12905" s="140"/>
      <c r="B12905" s="192"/>
      <c r="C12905" s="140"/>
      <c r="D12905" s="140"/>
      <c r="E12905" s="140"/>
    </row>
    <row r="12906" spans="1:5">
      <c r="A12906" s="140"/>
      <c r="B12906" s="192"/>
      <c r="C12906" s="140"/>
      <c r="D12906" s="140"/>
      <c r="E12906" s="140"/>
    </row>
    <row r="12907" spans="1:5">
      <c r="A12907" s="140"/>
      <c r="B12907" s="192"/>
      <c r="C12907" s="140"/>
      <c r="D12907" s="140"/>
      <c r="E12907" s="140"/>
    </row>
    <row r="12908" spans="1:5">
      <c r="A12908" s="140"/>
      <c r="B12908" s="192"/>
      <c r="C12908" s="140"/>
      <c r="D12908" s="140"/>
      <c r="E12908" s="140"/>
    </row>
    <row r="12909" spans="1:5">
      <c r="A12909" s="140"/>
      <c r="B12909" s="192"/>
      <c r="C12909" s="140"/>
      <c r="D12909" s="140"/>
      <c r="E12909" s="140"/>
    </row>
    <row r="12910" spans="1:5">
      <c r="A12910" s="140"/>
      <c r="B12910" s="192"/>
      <c r="C12910" s="140"/>
      <c r="D12910" s="140"/>
      <c r="E12910" s="140"/>
    </row>
    <row r="12911" spans="1:5">
      <c r="A12911" s="140"/>
      <c r="B12911" s="192"/>
      <c r="C12911" s="140"/>
      <c r="D12911" s="140"/>
      <c r="E12911" s="140"/>
    </row>
    <row r="12912" spans="1:5">
      <c r="A12912" s="140"/>
      <c r="B12912" s="192"/>
      <c r="C12912" s="140"/>
      <c r="D12912" s="140"/>
      <c r="E12912" s="140"/>
    </row>
    <row r="12913" spans="1:5">
      <c r="A12913" s="140"/>
      <c r="B12913" s="192"/>
      <c r="C12913" s="140"/>
      <c r="D12913" s="140"/>
      <c r="E12913" s="140"/>
    </row>
    <row r="12914" spans="1:5">
      <c r="A12914" s="140"/>
      <c r="B12914" s="192"/>
      <c r="C12914" s="140"/>
      <c r="D12914" s="140"/>
      <c r="E12914" s="140"/>
    </row>
    <row r="12915" spans="1:5">
      <c r="A12915" s="140"/>
      <c r="B12915" s="192"/>
      <c r="C12915" s="140"/>
      <c r="D12915" s="140"/>
      <c r="E12915" s="140"/>
    </row>
    <row r="12916" spans="1:5">
      <c r="A12916" s="140"/>
      <c r="B12916" s="192"/>
      <c r="C12916" s="140"/>
      <c r="D12916" s="140"/>
      <c r="E12916" s="140"/>
    </row>
    <row r="12917" spans="1:5">
      <c r="A12917" s="140"/>
      <c r="B12917" s="192"/>
      <c r="C12917" s="140"/>
      <c r="D12917" s="140"/>
      <c r="E12917" s="140"/>
    </row>
    <row r="12918" spans="1:5">
      <c r="A12918" s="140"/>
      <c r="B12918" s="192"/>
      <c r="C12918" s="140"/>
      <c r="D12918" s="140"/>
      <c r="E12918" s="140"/>
    </row>
    <row r="12919" spans="1:5">
      <c r="A12919" s="140"/>
      <c r="B12919" s="192"/>
      <c r="C12919" s="140"/>
      <c r="D12919" s="140"/>
      <c r="E12919" s="140"/>
    </row>
    <row r="12920" spans="1:5">
      <c r="A12920" s="140"/>
      <c r="B12920" s="192"/>
      <c r="C12920" s="140"/>
      <c r="D12920" s="140"/>
      <c r="E12920" s="140"/>
    </row>
    <row r="12921" spans="1:5">
      <c r="A12921" s="140"/>
      <c r="B12921" s="192"/>
      <c r="C12921" s="140"/>
      <c r="D12921" s="140"/>
      <c r="E12921" s="140"/>
    </row>
    <row r="12922" spans="1:5">
      <c r="A12922" s="140"/>
      <c r="B12922" s="192"/>
      <c r="C12922" s="140"/>
      <c r="D12922" s="140"/>
      <c r="E12922" s="140"/>
    </row>
    <row r="12923" spans="1:5">
      <c r="A12923" s="140"/>
      <c r="B12923" s="192"/>
      <c r="C12923" s="140"/>
      <c r="D12923" s="140"/>
      <c r="E12923" s="140"/>
    </row>
    <row r="12924" spans="1:5">
      <c r="A12924" s="140"/>
      <c r="B12924" s="192"/>
      <c r="C12924" s="140"/>
      <c r="D12924" s="140"/>
      <c r="E12924" s="140"/>
    </row>
    <row r="12925" spans="1:5">
      <c r="A12925" s="140"/>
      <c r="B12925" s="192"/>
      <c r="C12925" s="140"/>
      <c r="D12925" s="140"/>
      <c r="E12925" s="140"/>
    </row>
    <row r="12926" spans="1:5">
      <c r="A12926" s="140"/>
      <c r="B12926" s="192"/>
      <c r="C12926" s="140"/>
      <c r="D12926" s="140"/>
      <c r="E12926" s="140"/>
    </row>
    <row r="12927" spans="1:5">
      <c r="A12927" s="140"/>
      <c r="B12927" s="192"/>
      <c r="C12927" s="140"/>
      <c r="D12927" s="140"/>
      <c r="E12927" s="140"/>
    </row>
    <row r="12928" spans="1:5">
      <c r="A12928" s="140"/>
      <c r="B12928" s="192"/>
      <c r="C12928" s="140"/>
      <c r="D12928" s="140"/>
      <c r="E12928" s="140"/>
    </row>
    <row r="12929" spans="1:5">
      <c r="A12929" s="140"/>
      <c r="B12929" s="192"/>
      <c r="C12929" s="140"/>
      <c r="D12929" s="140"/>
      <c r="E12929" s="140"/>
    </row>
    <row r="12930" spans="1:5">
      <c r="A12930" s="140"/>
      <c r="B12930" s="192"/>
      <c r="C12930" s="140"/>
      <c r="D12930" s="140"/>
      <c r="E12930" s="140"/>
    </row>
    <row r="12931" spans="1:5">
      <c r="A12931" s="140"/>
      <c r="B12931" s="192"/>
      <c r="C12931" s="140"/>
      <c r="D12931" s="140"/>
      <c r="E12931" s="140"/>
    </row>
    <row r="12932" spans="1:5">
      <c r="A12932" s="140"/>
      <c r="B12932" s="192"/>
      <c r="C12932" s="140"/>
      <c r="D12932" s="140"/>
      <c r="E12932" s="140"/>
    </row>
    <row r="12933" spans="1:5">
      <c r="A12933" s="140"/>
      <c r="B12933" s="192"/>
      <c r="C12933" s="140"/>
      <c r="D12933" s="140"/>
      <c r="E12933" s="140"/>
    </row>
    <row r="12934" spans="1:5">
      <c r="A12934" s="140"/>
      <c r="B12934" s="192"/>
      <c r="C12934" s="140"/>
      <c r="D12934" s="140"/>
      <c r="E12934" s="140"/>
    </row>
    <row r="12935" spans="1:5">
      <c r="A12935" s="140"/>
      <c r="B12935" s="192"/>
      <c r="C12935" s="140"/>
      <c r="D12935" s="140"/>
      <c r="E12935" s="140"/>
    </row>
    <row r="12936" spans="1:5">
      <c r="A12936" s="140"/>
      <c r="B12936" s="192"/>
      <c r="C12936" s="140"/>
      <c r="D12936" s="140"/>
      <c r="E12936" s="140"/>
    </row>
    <row r="12937" spans="1:5">
      <c r="A12937" s="140"/>
      <c r="B12937" s="192"/>
      <c r="C12937" s="140"/>
      <c r="D12937" s="140"/>
      <c r="E12937" s="140"/>
    </row>
    <row r="12938" spans="1:5">
      <c r="A12938" s="140"/>
      <c r="B12938" s="192"/>
      <c r="C12938" s="140"/>
      <c r="D12938" s="140"/>
      <c r="E12938" s="140"/>
    </row>
    <row r="12939" spans="1:5">
      <c r="A12939" s="140"/>
      <c r="B12939" s="192"/>
      <c r="C12939" s="140"/>
      <c r="D12939" s="140"/>
      <c r="E12939" s="140"/>
    </row>
    <row r="12940" spans="1:5">
      <c r="A12940" s="140"/>
      <c r="B12940" s="192"/>
      <c r="C12940" s="140"/>
      <c r="D12940" s="140"/>
      <c r="E12940" s="140"/>
    </row>
    <row r="12941" spans="1:5">
      <c r="A12941" s="140"/>
      <c r="B12941" s="192"/>
      <c r="C12941" s="140"/>
      <c r="D12941" s="140"/>
      <c r="E12941" s="140"/>
    </row>
    <row r="12942" spans="1:5">
      <c r="A12942" s="140"/>
      <c r="B12942" s="192"/>
      <c r="C12942" s="140"/>
      <c r="D12942" s="140"/>
      <c r="E12942" s="140"/>
    </row>
    <row r="12943" spans="1:5">
      <c r="A12943" s="140"/>
      <c r="B12943" s="192"/>
      <c r="C12943" s="140"/>
      <c r="D12943" s="140"/>
      <c r="E12943" s="140"/>
    </row>
    <row r="12944" spans="1:5">
      <c r="A12944" s="140"/>
      <c r="B12944" s="192"/>
      <c r="C12944" s="140"/>
      <c r="D12944" s="140"/>
      <c r="E12944" s="140"/>
    </row>
    <row r="12945" spans="1:5">
      <c r="A12945" s="140"/>
      <c r="B12945" s="192"/>
      <c r="C12945" s="140"/>
      <c r="D12945" s="140"/>
      <c r="E12945" s="140"/>
    </row>
    <row r="12946" spans="1:5">
      <c r="A12946" s="140"/>
      <c r="B12946" s="192"/>
      <c r="C12946" s="140"/>
      <c r="D12946" s="140"/>
      <c r="E12946" s="140"/>
    </row>
    <row r="12947" spans="1:5">
      <c r="A12947" s="140"/>
      <c r="B12947" s="192"/>
      <c r="C12947" s="140"/>
      <c r="D12947" s="140"/>
      <c r="E12947" s="140"/>
    </row>
    <row r="12948" spans="1:5">
      <c r="A12948" s="140"/>
      <c r="B12948" s="192"/>
      <c r="C12948" s="140"/>
      <c r="D12948" s="140"/>
      <c r="E12948" s="140"/>
    </row>
    <row r="12949" spans="1:5">
      <c r="A12949" s="140"/>
      <c r="B12949" s="192"/>
      <c r="C12949" s="140"/>
      <c r="D12949" s="140"/>
      <c r="E12949" s="140"/>
    </row>
    <row r="12950" spans="1:5">
      <c r="A12950" s="140"/>
      <c r="B12950" s="192"/>
      <c r="C12950" s="140"/>
      <c r="D12950" s="140"/>
      <c r="E12950" s="140"/>
    </row>
    <row r="12951" spans="1:5">
      <c r="A12951" s="140"/>
      <c r="B12951" s="192"/>
      <c r="C12951" s="140"/>
      <c r="D12951" s="140"/>
      <c r="E12951" s="140"/>
    </row>
    <row r="12952" spans="1:5">
      <c r="A12952" s="140"/>
      <c r="B12952" s="192"/>
      <c r="C12952" s="140"/>
      <c r="D12952" s="140"/>
      <c r="E12952" s="140"/>
    </row>
    <row r="12953" spans="1:5">
      <c r="A12953" s="140"/>
      <c r="B12953" s="192"/>
      <c r="C12953" s="140"/>
      <c r="D12953" s="140"/>
      <c r="E12953" s="140"/>
    </row>
    <row r="12954" spans="1:5">
      <c r="A12954" s="140"/>
      <c r="B12954" s="192"/>
      <c r="C12954" s="140"/>
      <c r="D12954" s="140"/>
      <c r="E12954" s="140"/>
    </row>
    <row r="12955" spans="1:5">
      <c r="A12955" s="140"/>
      <c r="B12955" s="192"/>
      <c r="C12955" s="140"/>
      <c r="D12955" s="140"/>
      <c r="E12955" s="140"/>
    </row>
    <row r="12956" spans="1:5">
      <c r="A12956" s="140"/>
      <c r="B12956" s="192"/>
      <c r="C12956" s="140"/>
      <c r="D12956" s="140"/>
      <c r="E12956" s="140"/>
    </row>
    <row r="12957" spans="1:5">
      <c r="A12957" s="140"/>
      <c r="B12957" s="192"/>
      <c r="C12957" s="140"/>
      <c r="D12957" s="140"/>
      <c r="E12957" s="140"/>
    </row>
    <row r="12958" spans="1:5">
      <c r="A12958" s="140"/>
      <c r="B12958" s="192"/>
      <c r="C12958" s="140"/>
      <c r="D12958" s="140"/>
      <c r="E12958" s="140"/>
    </row>
    <row r="12959" spans="1:5">
      <c r="A12959" s="140"/>
      <c r="B12959" s="192"/>
      <c r="C12959" s="140"/>
      <c r="D12959" s="140"/>
      <c r="E12959" s="140"/>
    </row>
    <row r="12960" spans="1:5">
      <c r="A12960" s="140"/>
      <c r="B12960" s="192"/>
      <c r="C12960" s="140"/>
      <c r="D12960" s="140"/>
      <c r="E12960" s="140"/>
    </row>
    <row r="12961" spans="1:5">
      <c r="A12961" s="140"/>
      <c r="B12961" s="192"/>
      <c r="C12961" s="140"/>
      <c r="D12961" s="140"/>
      <c r="E12961" s="140"/>
    </row>
    <row r="12962" spans="1:5">
      <c r="A12962" s="140"/>
      <c r="B12962" s="192"/>
      <c r="C12962" s="140"/>
      <c r="D12962" s="140"/>
      <c r="E12962" s="140"/>
    </row>
    <row r="12963" spans="1:5">
      <c r="A12963" s="140"/>
      <c r="B12963" s="192"/>
      <c r="C12963" s="140"/>
      <c r="D12963" s="140"/>
      <c r="E12963" s="140"/>
    </row>
    <row r="12964" spans="1:5">
      <c r="A12964" s="140"/>
      <c r="B12964" s="192"/>
      <c r="C12964" s="140"/>
      <c r="D12964" s="140"/>
      <c r="E12964" s="140"/>
    </row>
    <row r="12965" spans="1:5">
      <c r="A12965" s="140"/>
      <c r="B12965" s="192"/>
      <c r="C12965" s="140"/>
      <c r="D12965" s="140"/>
      <c r="E12965" s="140"/>
    </row>
    <row r="12966" spans="1:5">
      <c r="A12966" s="140"/>
      <c r="B12966" s="192"/>
      <c r="C12966" s="140"/>
      <c r="D12966" s="140"/>
      <c r="E12966" s="140"/>
    </row>
    <row r="12967" spans="1:5">
      <c r="A12967" s="140"/>
      <c r="B12967" s="192"/>
      <c r="C12967" s="140"/>
      <c r="D12967" s="140"/>
      <c r="E12967" s="140"/>
    </row>
    <row r="12968" spans="1:5">
      <c r="A12968" s="140"/>
      <c r="B12968" s="192"/>
      <c r="C12968" s="140"/>
      <c r="D12968" s="140"/>
      <c r="E12968" s="140"/>
    </row>
    <row r="12969" spans="1:5">
      <c r="A12969" s="140"/>
      <c r="B12969" s="192"/>
      <c r="C12969" s="140"/>
      <c r="D12969" s="140"/>
      <c r="E12969" s="140"/>
    </row>
    <row r="12970" spans="1:5">
      <c r="A12970" s="140"/>
      <c r="B12970" s="192"/>
      <c r="C12970" s="140"/>
      <c r="D12970" s="140"/>
      <c r="E12970" s="140"/>
    </row>
    <row r="12971" spans="1:5">
      <c r="A12971" s="140"/>
      <c r="B12971" s="192"/>
      <c r="C12971" s="140"/>
      <c r="D12971" s="140"/>
      <c r="E12971" s="140"/>
    </row>
    <row r="12972" spans="1:5">
      <c r="A12972" s="140"/>
      <c r="B12972" s="192"/>
      <c r="C12972" s="140"/>
      <c r="D12972" s="140"/>
      <c r="E12972" s="140"/>
    </row>
    <row r="12973" spans="1:5">
      <c r="A12973" s="140"/>
      <c r="B12973" s="192"/>
      <c r="C12973" s="140"/>
      <c r="D12973" s="140"/>
      <c r="E12973" s="140"/>
    </row>
    <row r="12974" spans="1:5">
      <c r="A12974" s="140"/>
      <c r="B12974" s="192"/>
      <c r="C12974" s="140"/>
      <c r="D12974" s="140"/>
      <c r="E12974" s="140"/>
    </row>
    <row r="12975" spans="1:5">
      <c r="A12975" s="140"/>
      <c r="B12975" s="192"/>
      <c r="C12975" s="140"/>
      <c r="D12975" s="140"/>
      <c r="E12975" s="140"/>
    </row>
    <row r="12976" spans="1:5">
      <c r="A12976" s="140"/>
      <c r="B12976" s="192"/>
      <c r="C12976" s="140"/>
      <c r="D12976" s="140"/>
      <c r="E12976" s="140"/>
    </row>
    <row r="12977" spans="1:5">
      <c r="A12977" s="140"/>
      <c r="B12977" s="192"/>
      <c r="C12977" s="140"/>
      <c r="D12977" s="140"/>
      <c r="E12977" s="140"/>
    </row>
    <row r="12978" spans="1:5">
      <c r="A12978" s="140"/>
      <c r="B12978" s="192"/>
      <c r="C12978" s="140"/>
      <c r="D12978" s="140"/>
      <c r="E12978" s="140"/>
    </row>
    <row r="12979" spans="1:5">
      <c r="A12979" s="140"/>
      <c r="B12979" s="192"/>
      <c r="C12979" s="140"/>
      <c r="D12979" s="140"/>
      <c r="E12979" s="140"/>
    </row>
    <row r="12980" spans="1:5">
      <c r="A12980" s="140"/>
      <c r="B12980" s="192"/>
      <c r="C12980" s="140"/>
      <c r="D12980" s="140"/>
      <c r="E12980" s="140"/>
    </row>
    <row r="12981" spans="1:5">
      <c r="A12981" s="140"/>
      <c r="B12981" s="192"/>
      <c r="C12981" s="140"/>
      <c r="D12981" s="140"/>
      <c r="E12981" s="140"/>
    </row>
    <row r="12982" spans="1:5">
      <c r="A12982" s="140"/>
      <c r="B12982" s="192"/>
      <c r="C12982" s="140"/>
      <c r="D12982" s="140"/>
      <c r="E12982" s="140"/>
    </row>
    <row r="12983" spans="1:5">
      <c r="A12983" s="140"/>
      <c r="B12983" s="192"/>
      <c r="C12983" s="140"/>
      <c r="D12983" s="140"/>
      <c r="E12983" s="140"/>
    </row>
    <row r="12984" spans="1:5">
      <c r="A12984" s="140"/>
      <c r="B12984" s="192"/>
      <c r="C12984" s="140"/>
      <c r="D12984" s="140"/>
      <c r="E12984" s="140"/>
    </row>
    <row r="12985" spans="1:5">
      <c r="A12985" s="140"/>
      <c r="B12985" s="192"/>
      <c r="C12985" s="140"/>
      <c r="D12985" s="140"/>
      <c r="E12985" s="140"/>
    </row>
    <row r="12986" spans="1:5">
      <c r="A12986" s="140"/>
      <c r="B12986" s="192"/>
      <c r="C12986" s="140"/>
      <c r="D12986" s="140"/>
      <c r="E12986" s="140"/>
    </row>
    <row r="12987" spans="1:5">
      <c r="A12987" s="140"/>
      <c r="B12987" s="192"/>
      <c r="C12987" s="140"/>
      <c r="D12987" s="140"/>
      <c r="E12987" s="140"/>
    </row>
    <row r="12988" spans="1:5">
      <c r="A12988" s="140"/>
      <c r="B12988" s="192"/>
      <c r="C12988" s="140"/>
      <c r="D12988" s="140"/>
      <c r="E12988" s="140"/>
    </row>
    <row r="12989" spans="1:5">
      <c r="A12989" s="140"/>
      <c r="B12989" s="192"/>
      <c r="C12989" s="140"/>
      <c r="D12989" s="140"/>
      <c r="E12989" s="140"/>
    </row>
    <row r="12990" spans="1:5">
      <c r="A12990" s="140"/>
      <c r="B12990" s="192"/>
      <c r="C12990" s="140"/>
      <c r="D12990" s="140"/>
      <c r="E12990" s="140"/>
    </row>
    <row r="12991" spans="1:5">
      <c r="A12991" s="140"/>
      <c r="B12991" s="192"/>
      <c r="C12991" s="140"/>
      <c r="D12991" s="140"/>
      <c r="E12991" s="140"/>
    </row>
    <row r="12992" spans="1:5">
      <c r="A12992" s="140"/>
      <c r="B12992" s="192"/>
      <c r="C12992" s="140"/>
      <c r="D12992" s="140"/>
      <c r="E12992" s="140"/>
    </row>
    <row r="12993" spans="1:5">
      <c r="A12993" s="140"/>
      <c r="B12993" s="192"/>
      <c r="C12993" s="140"/>
      <c r="D12993" s="140"/>
      <c r="E12993" s="140"/>
    </row>
    <row r="12994" spans="1:5">
      <c r="A12994" s="140"/>
      <c r="B12994" s="192"/>
      <c r="C12994" s="140"/>
      <c r="D12994" s="140"/>
      <c r="E12994" s="140"/>
    </row>
    <row r="12995" spans="1:5">
      <c r="A12995" s="140"/>
      <c r="B12995" s="192"/>
      <c r="C12995" s="140"/>
      <c r="D12995" s="140"/>
      <c r="E12995" s="140"/>
    </row>
    <row r="12996" spans="1:5">
      <c r="A12996" s="140"/>
      <c r="B12996" s="192"/>
      <c r="C12996" s="140"/>
      <c r="D12996" s="140"/>
      <c r="E12996" s="140"/>
    </row>
    <row r="12997" spans="1:5">
      <c r="A12997" s="140"/>
      <c r="B12997" s="192"/>
      <c r="C12997" s="140"/>
      <c r="D12997" s="140"/>
      <c r="E12997" s="140"/>
    </row>
    <row r="12998" spans="1:5">
      <c r="A12998" s="140"/>
      <c r="B12998" s="192"/>
      <c r="C12998" s="140"/>
      <c r="D12998" s="140"/>
      <c r="E12998" s="140"/>
    </row>
    <row r="12999" spans="1:5">
      <c r="A12999" s="140"/>
      <c r="B12999" s="192"/>
      <c r="C12999" s="140"/>
      <c r="D12999" s="140"/>
      <c r="E12999" s="140"/>
    </row>
    <row r="13000" spans="1:5">
      <c r="A13000" s="140"/>
      <c r="B13000" s="192"/>
      <c r="C13000" s="140"/>
      <c r="D13000" s="140"/>
      <c r="E13000" s="140"/>
    </row>
    <row r="13001" spans="1:5">
      <c r="A13001" s="140"/>
      <c r="B13001" s="192"/>
      <c r="C13001" s="140"/>
      <c r="D13001" s="140"/>
      <c r="E13001" s="140"/>
    </row>
    <row r="13002" spans="1:5">
      <c r="A13002" s="140"/>
      <c r="B13002" s="192"/>
      <c r="C13002" s="140"/>
      <c r="D13002" s="140"/>
      <c r="E13002" s="140"/>
    </row>
    <row r="13003" spans="1:5">
      <c r="A13003" s="140"/>
      <c r="B13003" s="192"/>
      <c r="C13003" s="140"/>
      <c r="D13003" s="140"/>
      <c r="E13003" s="140"/>
    </row>
    <row r="13004" spans="1:5">
      <c r="A13004" s="140"/>
      <c r="B13004" s="192"/>
      <c r="C13004" s="140"/>
      <c r="D13004" s="140"/>
      <c r="E13004" s="140"/>
    </row>
    <row r="13005" spans="1:5">
      <c r="A13005" s="140"/>
      <c r="B13005" s="192"/>
      <c r="C13005" s="140"/>
      <c r="D13005" s="140"/>
      <c r="E13005" s="140"/>
    </row>
    <row r="13006" spans="1:5">
      <c r="A13006" s="140"/>
      <c r="B13006" s="192"/>
      <c r="C13006" s="140"/>
      <c r="D13006" s="140"/>
      <c r="E13006" s="140"/>
    </row>
    <row r="13007" spans="1:5">
      <c r="A13007" s="140"/>
      <c r="B13007" s="192"/>
      <c r="C13007" s="140"/>
      <c r="D13007" s="140"/>
      <c r="E13007" s="140"/>
    </row>
    <row r="13008" spans="1:5">
      <c r="A13008" s="140"/>
      <c r="B13008" s="192"/>
      <c r="C13008" s="140"/>
      <c r="D13008" s="140"/>
      <c r="E13008" s="140"/>
    </row>
    <row r="13009" spans="1:5">
      <c r="A13009" s="140"/>
      <c r="B13009" s="192"/>
      <c r="C13009" s="140"/>
      <c r="D13009" s="140"/>
      <c r="E13009" s="140"/>
    </row>
    <row r="13010" spans="1:5">
      <c r="A13010" s="140"/>
      <c r="B13010" s="192"/>
      <c r="C13010" s="140"/>
      <c r="D13010" s="140"/>
      <c r="E13010" s="140"/>
    </row>
    <row r="13011" spans="1:5">
      <c r="A13011" s="140"/>
      <c r="B13011" s="192"/>
      <c r="C13011" s="140"/>
      <c r="D13011" s="140"/>
      <c r="E13011" s="140"/>
    </row>
    <row r="13012" spans="1:5">
      <c r="A13012" s="140"/>
      <c r="B13012" s="192"/>
      <c r="C13012" s="140"/>
      <c r="D13012" s="140"/>
      <c r="E13012" s="140"/>
    </row>
    <row r="13013" spans="1:5">
      <c r="A13013" s="140"/>
      <c r="B13013" s="192"/>
      <c r="C13013" s="140"/>
      <c r="D13013" s="140"/>
      <c r="E13013" s="140"/>
    </row>
    <row r="13014" spans="1:5">
      <c r="A13014" s="140"/>
      <c r="B13014" s="192"/>
      <c r="C13014" s="140"/>
      <c r="D13014" s="140"/>
      <c r="E13014" s="140"/>
    </row>
    <row r="13015" spans="1:5">
      <c r="A13015" s="140"/>
      <c r="B13015" s="192"/>
      <c r="C13015" s="140"/>
      <c r="D13015" s="140"/>
      <c r="E13015" s="140"/>
    </row>
    <row r="13016" spans="1:5">
      <c r="A13016" s="140"/>
      <c r="B13016" s="192"/>
      <c r="C13016" s="140"/>
      <c r="D13016" s="140"/>
      <c r="E13016" s="140"/>
    </row>
    <row r="13017" spans="1:5">
      <c r="A13017" s="140"/>
      <c r="B13017" s="192"/>
      <c r="C13017" s="140"/>
      <c r="D13017" s="140"/>
      <c r="E13017" s="140"/>
    </row>
    <row r="13018" spans="1:5">
      <c r="A13018" s="140"/>
      <c r="B13018" s="192"/>
      <c r="C13018" s="140"/>
      <c r="D13018" s="140"/>
      <c r="E13018" s="140"/>
    </row>
    <row r="13019" spans="1:5">
      <c r="A13019" s="140"/>
      <c r="B13019" s="192"/>
      <c r="C13019" s="140"/>
      <c r="D13019" s="140"/>
      <c r="E13019" s="140"/>
    </row>
    <row r="13020" spans="1:5">
      <c r="A13020" s="140"/>
      <c r="B13020" s="192"/>
      <c r="C13020" s="140"/>
      <c r="D13020" s="140"/>
      <c r="E13020" s="140"/>
    </row>
    <row r="13021" spans="1:5">
      <c r="A13021" s="140"/>
      <c r="B13021" s="192"/>
      <c r="C13021" s="140"/>
      <c r="D13021" s="140"/>
      <c r="E13021" s="140"/>
    </row>
    <row r="13022" spans="1:5">
      <c r="A13022" s="140"/>
      <c r="B13022" s="192"/>
      <c r="C13022" s="140"/>
      <c r="D13022" s="140"/>
      <c r="E13022" s="140"/>
    </row>
    <row r="13023" spans="1:5">
      <c r="A13023" s="140"/>
      <c r="B13023" s="192"/>
      <c r="C13023" s="140"/>
      <c r="D13023" s="140"/>
      <c r="E13023" s="140"/>
    </row>
    <row r="13024" spans="1:5">
      <c r="A13024" s="140"/>
      <c r="B13024" s="192"/>
      <c r="C13024" s="140"/>
      <c r="D13024" s="140"/>
      <c r="E13024" s="140"/>
    </row>
    <row r="13025" spans="1:5">
      <c r="A13025" s="140"/>
      <c r="B13025" s="192"/>
      <c r="C13025" s="140"/>
      <c r="D13025" s="140"/>
      <c r="E13025" s="140"/>
    </row>
    <row r="13026" spans="1:5">
      <c r="A13026" s="140"/>
      <c r="B13026" s="192"/>
      <c r="C13026" s="140"/>
      <c r="D13026" s="140"/>
      <c r="E13026" s="140"/>
    </row>
    <row r="13027" spans="1:5">
      <c r="A13027" s="140"/>
      <c r="B13027" s="192"/>
      <c r="C13027" s="140"/>
      <c r="D13027" s="140"/>
      <c r="E13027" s="140"/>
    </row>
    <row r="13028" spans="1:5">
      <c r="A13028" s="140"/>
      <c r="B13028" s="192"/>
      <c r="C13028" s="140"/>
      <c r="D13028" s="140"/>
      <c r="E13028" s="140"/>
    </row>
    <row r="13029" spans="1:5">
      <c r="A13029" s="140"/>
      <c r="B13029" s="192"/>
      <c r="C13029" s="140"/>
      <c r="D13029" s="140"/>
      <c r="E13029" s="140"/>
    </row>
    <row r="13030" spans="1:5">
      <c r="A13030" s="140"/>
      <c r="B13030" s="192"/>
      <c r="C13030" s="140"/>
      <c r="D13030" s="140"/>
      <c r="E13030" s="140"/>
    </row>
    <row r="13031" spans="1:5">
      <c r="A13031" s="140"/>
      <c r="B13031" s="192"/>
      <c r="C13031" s="140"/>
      <c r="D13031" s="140"/>
      <c r="E13031" s="140"/>
    </row>
    <row r="13032" spans="1:5">
      <c r="A13032" s="140"/>
      <c r="B13032" s="192"/>
      <c r="C13032" s="140"/>
      <c r="D13032" s="140"/>
      <c r="E13032" s="140"/>
    </row>
    <row r="13033" spans="1:5">
      <c r="A13033" s="140"/>
      <c r="B13033" s="192"/>
      <c r="C13033" s="140"/>
      <c r="D13033" s="140"/>
      <c r="E13033" s="140"/>
    </row>
    <row r="13034" spans="1:5">
      <c r="A13034" s="140"/>
      <c r="B13034" s="192"/>
      <c r="C13034" s="140"/>
      <c r="D13034" s="140"/>
      <c r="E13034" s="140"/>
    </row>
    <row r="13035" spans="1:5">
      <c r="A13035" s="140"/>
      <c r="B13035" s="192"/>
      <c r="C13035" s="140"/>
      <c r="D13035" s="140"/>
      <c r="E13035" s="140"/>
    </row>
    <row r="13036" spans="1:5">
      <c r="A13036" s="140"/>
      <c r="B13036" s="192"/>
      <c r="C13036" s="140"/>
      <c r="D13036" s="140"/>
      <c r="E13036" s="140"/>
    </row>
    <row r="13037" spans="1:5">
      <c r="A13037" s="140"/>
      <c r="B13037" s="192"/>
      <c r="C13037" s="140"/>
      <c r="D13037" s="140"/>
      <c r="E13037" s="140"/>
    </row>
    <row r="13038" spans="1:5">
      <c r="A13038" s="140"/>
      <c r="B13038" s="192"/>
      <c r="C13038" s="140"/>
      <c r="D13038" s="140"/>
      <c r="E13038" s="140"/>
    </row>
    <row r="13039" spans="1:5">
      <c r="A13039" s="140"/>
      <c r="B13039" s="192"/>
      <c r="C13039" s="140"/>
      <c r="D13039" s="140"/>
      <c r="E13039" s="140"/>
    </row>
    <row r="13040" spans="1:5">
      <c r="A13040" s="140"/>
      <c r="B13040" s="192"/>
      <c r="C13040" s="140"/>
      <c r="D13040" s="140"/>
      <c r="E13040" s="140"/>
    </row>
    <row r="13041" spans="1:5">
      <c r="A13041" s="140"/>
      <c r="B13041" s="192"/>
      <c r="C13041" s="140"/>
      <c r="D13041" s="140"/>
      <c r="E13041" s="140"/>
    </row>
    <row r="13042" spans="1:5">
      <c r="A13042" s="140"/>
      <c r="B13042" s="192"/>
      <c r="C13042" s="140"/>
      <c r="D13042" s="140"/>
      <c r="E13042" s="140"/>
    </row>
    <row r="13043" spans="1:5">
      <c r="A13043" s="140"/>
      <c r="B13043" s="192"/>
      <c r="C13043" s="140"/>
      <c r="D13043" s="140"/>
      <c r="E13043" s="140"/>
    </row>
    <row r="13044" spans="1:5">
      <c r="A13044" s="140"/>
      <c r="B13044" s="192"/>
      <c r="C13044" s="140"/>
      <c r="D13044" s="140"/>
      <c r="E13044" s="140"/>
    </row>
    <row r="13045" spans="1:5">
      <c r="A13045" s="140"/>
      <c r="B13045" s="192"/>
      <c r="C13045" s="140"/>
      <c r="D13045" s="140"/>
      <c r="E13045" s="140"/>
    </row>
    <row r="13046" spans="1:5">
      <c r="A13046" s="140"/>
      <c r="B13046" s="192"/>
      <c r="C13046" s="140"/>
      <c r="D13046" s="140"/>
      <c r="E13046" s="140"/>
    </row>
    <row r="13047" spans="1:5">
      <c r="A13047" s="140"/>
      <c r="B13047" s="192"/>
      <c r="C13047" s="140"/>
      <c r="D13047" s="140"/>
      <c r="E13047" s="140"/>
    </row>
    <row r="13048" spans="1:5">
      <c r="A13048" s="140"/>
      <c r="B13048" s="192"/>
      <c r="C13048" s="140"/>
      <c r="D13048" s="140"/>
      <c r="E13048" s="140"/>
    </row>
    <row r="13049" spans="1:5">
      <c r="A13049" s="140"/>
      <c r="B13049" s="192"/>
      <c r="C13049" s="140"/>
      <c r="D13049" s="140"/>
      <c r="E13049" s="140"/>
    </row>
    <row r="13050" spans="1:5">
      <c r="A13050" s="140"/>
      <c r="B13050" s="192"/>
      <c r="C13050" s="140"/>
      <c r="D13050" s="140"/>
      <c r="E13050" s="140"/>
    </row>
    <row r="13051" spans="1:5">
      <c r="A13051" s="140"/>
      <c r="B13051" s="192"/>
      <c r="C13051" s="140"/>
      <c r="D13051" s="140"/>
      <c r="E13051" s="140"/>
    </row>
    <row r="13052" spans="1:5">
      <c r="A13052" s="140"/>
      <c r="B13052" s="192"/>
      <c r="C13052" s="140"/>
      <c r="D13052" s="140"/>
      <c r="E13052" s="140"/>
    </row>
    <row r="13053" spans="1:5">
      <c r="A13053" s="140"/>
      <c r="B13053" s="192"/>
      <c r="C13053" s="140"/>
      <c r="D13053" s="140"/>
      <c r="E13053" s="140"/>
    </row>
    <row r="13054" spans="1:5">
      <c r="A13054" s="140"/>
      <c r="B13054" s="192"/>
      <c r="C13054" s="140"/>
      <c r="D13054" s="140"/>
      <c r="E13054" s="140"/>
    </row>
    <row r="13055" spans="1:5">
      <c r="A13055" s="140"/>
      <c r="B13055" s="192"/>
      <c r="C13055" s="140"/>
      <c r="D13055" s="140"/>
      <c r="E13055" s="140"/>
    </row>
    <row r="13056" spans="1:5">
      <c r="A13056" s="140"/>
      <c r="B13056" s="192"/>
      <c r="C13056" s="140"/>
      <c r="D13056" s="140"/>
      <c r="E13056" s="140"/>
    </row>
    <row r="13057" spans="1:5">
      <c r="A13057" s="140"/>
      <c r="B13057" s="192"/>
      <c r="C13057" s="140"/>
      <c r="D13057" s="140"/>
      <c r="E13057" s="140"/>
    </row>
    <row r="13058" spans="1:5">
      <c r="A13058" s="140"/>
      <c r="B13058" s="192"/>
      <c r="C13058" s="140"/>
      <c r="D13058" s="140"/>
      <c r="E13058" s="140"/>
    </row>
    <row r="13059" spans="1:5">
      <c r="A13059" s="140"/>
      <c r="B13059" s="192"/>
      <c r="C13059" s="140"/>
      <c r="D13059" s="140"/>
      <c r="E13059" s="140"/>
    </row>
    <row r="13060" spans="1:5">
      <c r="A13060" s="140"/>
      <c r="B13060" s="192"/>
      <c r="C13060" s="140"/>
      <c r="D13060" s="140"/>
      <c r="E13060" s="140"/>
    </row>
    <row r="13061" spans="1:5">
      <c r="A13061" s="140"/>
      <c r="B13061" s="192"/>
      <c r="C13061" s="140"/>
      <c r="D13061" s="140"/>
      <c r="E13061" s="140"/>
    </row>
    <row r="13062" spans="1:5">
      <c r="A13062" s="140"/>
      <c r="B13062" s="192"/>
      <c r="C13062" s="140"/>
      <c r="D13062" s="140"/>
      <c r="E13062" s="140"/>
    </row>
    <row r="13063" spans="1:5">
      <c r="A13063" s="140"/>
      <c r="B13063" s="192"/>
      <c r="C13063" s="140"/>
      <c r="D13063" s="140"/>
      <c r="E13063" s="140"/>
    </row>
    <row r="13064" spans="1:5">
      <c r="A13064" s="140"/>
      <c r="B13064" s="192"/>
      <c r="C13064" s="140"/>
      <c r="D13064" s="140"/>
      <c r="E13064" s="140"/>
    </row>
    <row r="13065" spans="1:5">
      <c r="A13065" s="140"/>
      <c r="B13065" s="192"/>
      <c r="C13065" s="140"/>
      <c r="D13065" s="140"/>
      <c r="E13065" s="140"/>
    </row>
    <row r="13066" spans="1:5">
      <c r="A13066" s="140"/>
      <c r="B13066" s="192"/>
      <c r="C13066" s="140"/>
      <c r="D13066" s="140"/>
      <c r="E13066" s="140"/>
    </row>
    <row r="13067" spans="1:5">
      <c r="A13067" s="140"/>
      <c r="B13067" s="192"/>
      <c r="C13067" s="140"/>
      <c r="D13067" s="140"/>
      <c r="E13067" s="140"/>
    </row>
    <row r="13068" spans="1:5">
      <c r="A13068" s="140"/>
      <c r="B13068" s="192"/>
      <c r="C13068" s="140"/>
      <c r="D13068" s="140"/>
      <c r="E13068" s="140"/>
    </row>
    <row r="13069" spans="1:5">
      <c r="A13069" s="140"/>
      <c r="B13069" s="192"/>
      <c r="C13069" s="140"/>
      <c r="D13069" s="140"/>
      <c r="E13069" s="140"/>
    </row>
    <row r="13070" spans="1:5">
      <c r="A13070" s="140"/>
      <c r="B13070" s="192"/>
      <c r="C13070" s="140"/>
      <c r="D13070" s="140"/>
      <c r="E13070" s="140"/>
    </row>
    <row r="13071" spans="1:5">
      <c r="A13071" s="140"/>
      <c r="B13071" s="192"/>
      <c r="C13071" s="140"/>
      <c r="D13071" s="140"/>
      <c r="E13071" s="140"/>
    </row>
    <row r="13072" spans="1:5">
      <c r="A13072" s="140"/>
      <c r="B13072" s="192"/>
      <c r="C13072" s="140"/>
      <c r="D13072" s="140"/>
      <c r="E13072" s="140"/>
    </row>
    <row r="13073" spans="1:5">
      <c r="A13073" s="140"/>
      <c r="B13073" s="192"/>
      <c r="C13073" s="140"/>
      <c r="D13073" s="140"/>
      <c r="E13073" s="140"/>
    </row>
    <row r="13074" spans="1:5">
      <c r="A13074" s="140"/>
      <c r="B13074" s="192"/>
      <c r="C13074" s="140"/>
      <c r="D13074" s="140"/>
      <c r="E13074" s="140"/>
    </row>
    <row r="13075" spans="1:5">
      <c r="A13075" s="140"/>
      <c r="B13075" s="192"/>
      <c r="C13075" s="140"/>
      <c r="D13075" s="140"/>
      <c r="E13075" s="140"/>
    </row>
    <row r="13076" spans="1:5">
      <c r="A13076" s="140"/>
      <c r="B13076" s="192"/>
      <c r="C13076" s="140"/>
      <c r="D13076" s="140"/>
      <c r="E13076" s="140"/>
    </row>
    <row r="13077" spans="1:5">
      <c r="A13077" s="140"/>
      <c r="B13077" s="192"/>
      <c r="C13077" s="140"/>
      <c r="D13077" s="140"/>
      <c r="E13077" s="140"/>
    </row>
    <row r="13078" spans="1:5">
      <c r="A13078" s="140"/>
      <c r="B13078" s="192"/>
      <c r="C13078" s="140"/>
      <c r="D13078" s="140"/>
      <c r="E13078" s="140"/>
    </row>
    <row r="13079" spans="1:5">
      <c r="A13079" s="140"/>
      <c r="B13079" s="192"/>
      <c r="C13079" s="140"/>
      <c r="D13079" s="140"/>
      <c r="E13079" s="140"/>
    </row>
    <row r="13080" spans="1:5">
      <c r="A13080" s="140"/>
      <c r="B13080" s="192"/>
      <c r="C13080" s="140"/>
      <c r="D13080" s="140"/>
      <c r="E13080" s="140"/>
    </row>
    <row r="13081" spans="1:5">
      <c r="A13081" s="140"/>
      <c r="B13081" s="192"/>
      <c r="C13081" s="140"/>
      <c r="D13081" s="140"/>
      <c r="E13081" s="140"/>
    </row>
    <row r="13082" spans="1:5">
      <c r="A13082" s="140"/>
      <c r="B13082" s="192"/>
      <c r="C13082" s="140"/>
      <c r="D13082" s="140"/>
      <c r="E13082" s="140"/>
    </row>
    <row r="13083" spans="1:5">
      <c r="A13083" s="140"/>
      <c r="B13083" s="192"/>
      <c r="C13083" s="140"/>
      <c r="D13083" s="140"/>
      <c r="E13083" s="140"/>
    </row>
    <row r="13084" spans="1:5">
      <c r="A13084" s="140"/>
      <c r="B13084" s="192"/>
      <c r="C13084" s="140"/>
      <c r="D13084" s="140"/>
      <c r="E13084" s="140"/>
    </row>
    <row r="13085" spans="1:5">
      <c r="A13085" s="140"/>
      <c r="B13085" s="192"/>
      <c r="C13085" s="140"/>
      <c r="D13085" s="140"/>
      <c r="E13085" s="140"/>
    </row>
    <row r="13086" spans="1:5">
      <c r="A13086" s="140"/>
      <c r="B13086" s="192"/>
      <c r="C13086" s="140"/>
      <c r="D13086" s="140"/>
      <c r="E13086" s="140"/>
    </row>
    <row r="13087" spans="1:5">
      <c r="A13087" s="140"/>
      <c r="B13087" s="192"/>
      <c r="C13087" s="140"/>
      <c r="D13087" s="140"/>
      <c r="E13087" s="140"/>
    </row>
    <row r="13088" spans="1:5">
      <c r="A13088" s="140"/>
      <c r="B13088" s="192"/>
      <c r="C13088" s="140"/>
      <c r="D13088" s="140"/>
      <c r="E13088" s="140"/>
    </row>
    <row r="13089" spans="1:5">
      <c r="A13089" s="140"/>
      <c r="B13089" s="192"/>
      <c r="C13089" s="140"/>
      <c r="D13089" s="140"/>
      <c r="E13089" s="140"/>
    </row>
    <row r="13090" spans="1:5">
      <c r="A13090" s="140"/>
      <c r="B13090" s="192"/>
      <c r="C13090" s="140"/>
      <c r="D13090" s="140"/>
      <c r="E13090" s="140"/>
    </row>
    <row r="13091" spans="1:5">
      <c r="A13091" s="140"/>
      <c r="B13091" s="192"/>
      <c r="C13091" s="140"/>
      <c r="D13091" s="140"/>
      <c r="E13091" s="140"/>
    </row>
    <row r="13092" spans="1:5">
      <c r="A13092" s="140"/>
      <c r="B13092" s="192"/>
      <c r="C13092" s="140"/>
      <c r="D13092" s="140"/>
      <c r="E13092" s="140"/>
    </row>
    <row r="13093" spans="1:5">
      <c r="A13093" s="140"/>
      <c r="B13093" s="192"/>
      <c r="C13093" s="140"/>
      <c r="D13093" s="140"/>
      <c r="E13093" s="140"/>
    </row>
    <row r="13094" spans="1:5">
      <c r="A13094" s="140"/>
      <c r="B13094" s="192"/>
      <c r="C13094" s="140"/>
      <c r="D13094" s="140"/>
      <c r="E13094" s="140"/>
    </row>
    <row r="13095" spans="1:5">
      <c r="A13095" s="140"/>
      <c r="B13095" s="192"/>
      <c r="C13095" s="140"/>
      <c r="D13095" s="140"/>
      <c r="E13095" s="140"/>
    </row>
    <row r="13096" spans="1:5">
      <c r="A13096" s="140"/>
      <c r="B13096" s="192"/>
      <c r="C13096" s="140"/>
      <c r="D13096" s="140"/>
      <c r="E13096" s="140"/>
    </row>
    <row r="13097" spans="1:5">
      <c r="A13097" s="140"/>
      <c r="B13097" s="192"/>
      <c r="C13097" s="140"/>
      <c r="D13097" s="140"/>
      <c r="E13097" s="140"/>
    </row>
    <row r="13098" spans="1:5">
      <c r="A13098" s="140"/>
      <c r="B13098" s="192"/>
      <c r="C13098" s="140"/>
      <c r="D13098" s="140"/>
      <c r="E13098" s="140"/>
    </row>
    <row r="13099" spans="1:5">
      <c r="A13099" s="140"/>
      <c r="B13099" s="192"/>
      <c r="C13099" s="140"/>
      <c r="D13099" s="140"/>
      <c r="E13099" s="140"/>
    </row>
    <row r="13100" spans="1:5">
      <c r="A13100" s="140"/>
      <c r="B13100" s="192"/>
      <c r="C13100" s="140"/>
      <c r="D13100" s="140"/>
      <c r="E13100" s="140"/>
    </row>
    <row r="13101" spans="1:5">
      <c r="A13101" s="140"/>
      <c r="B13101" s="192"/>
      <c r="C13101" s="140"/>
      <c r="D13101" s="140"/>
      <c r="E13101" s="140"/>
    </row>
    <row r="13102" spans="1:5">
      <c r="A13102" s="140"/>
      <c r="B13102" s="192"/>
      <c r="C13102" s="140"/>
      <c r="D13102" s="140"/>
      <c r="E13102" s="140"/>
    </row>
    <row r="13103" spans="1:5">
      <c r="A13103" s="140"/>
      <c r="B13103" s="192"/>
      <c r="C13103" s="140"/>
      <c r="D13103" s="140"/>
      <c r="E13103" s="140"/>
    </row>
    <row r="13104" spans="1:5">
      <c r="A13104" s="140"/>
      <c r="B13104" s="192"/>
      <c r="C13104" s="140"/>
      <c r="D13104" s="140"/>
      <c r="E13104" s="140"/>
    </row>
    <row r="13105" spans="1:5">
      <c r="A13105" s="140"/>
      <c r="B13105" s="192"/>
      <c r="C13105" s="140"/>
      <c r="D13105" s="140"/>
      <c r="E13105" s="140"/>
    </row>
    <row r="13106" spans="1:5">
      <c r="A13106" s="140"/>
      <c r="B13106" s="192"/>
      <c r="C13106" s="140"/>
      <c r="D13106" s="140"/>
      <c r="E13106" s="140"/>
    </row>
    <row r="13107" spans="1:5">
      <c r="A13107" s="140"/>
      <c r="B13107" s="192"/>
      <c r="C13107" s="140"/>
      <c r="D13107" s="140"/>
      <c r="E13107" s="140"/>
    </row>
    <row r="13108" spans="1:5">
      <c r="A13108" s="140"/>
      <c r="B13108" s="192"/>
      <c r="C13108" s="140"/>
      <c r="D13108" s="140"/>
      <c r="E13108" s="140"/>
    </row>
    <row r="13109" spans="1:5">
      <c r="A13109" s="140"/>
      <c r="B13109" s="192"/>
      <c r="C13109" s="140"/>
      <c r="D13109" s="140"/>
      <c r="E13109" s="140"/>
    </row>
    <row r="13110" spans="1:5">
      <c r="A13110" s="140"/>
      <c r="B13110" s="192"/>
      <c r="C13110" s="140"/>
      <c r="D13110" s="140"/>
      <c r="E13110" s="140"/>
    </row>
    <row r="13111" spans="1:5">
      <c r="A13111" s="140"/>
      <c r="B13111" s="192"/>
      <c r="C13111" s="140"/>
      <c r="D13111" s="140"/>
      <c r="E13111" s="140"/>
    </row>
    <row r="13112" spans="1:5">
      <c r="A13112" s="140"/>
      <c r="B13112" s="192"/>
      <c r="C13112" s="140"/>
      <c r="D13112" s="140"/>
      <c r="E13112" s="140"/>
    </row>
    <row r="13113" spans="1:5">
      <c r="A13113" s="140"/>
      <c r="B13113" s="192"/>
      <c r="C13113" s="140"/>
      <c r="D13113" s="140"/>
      <c r="E13113" s="140"/>
    </row>
    <row r="13114" spans="1:5">
      <c r="A13114" s="140"/>
      <c r="B13114" s="192"/>
      <c r="C13114" s="140"/>
      <c r="D13114" s="140"/>
      <c r="E13114" s="140"/>
    </row>
    <row r="13115" spans="1:5">
      <c r="A13115" s="140"/>
      <c r="B13115" s="192"/>
      <c r="C13115" s="140"/>
      <c r="D13115" s="140"/>
      <c r="E13115" s="140"/>
    </row>
    <row r="13116" spans="1:5">
      <c r="A13116" s="140"/>
      <c r="B13116" s="192"/>
      <c r="C13116" s="140"/>
      <c r="D13116" s="140"/>
      <c r="E13116" s="140"/>
    </row>
    <row r="13117" spans="1:5">
      <c r="A13117" s="140"/>
      <c r="B13117" s="192"/>
      <c r="C13117" s="140"/>
      <c r="D13117" s="140"/>
      <c r="E13117" s="140"/>
    </row>
    <row r="13118" spans="1:5">
      <c r="A13118" s="140"/>
      <c r="B13118" s="192"/>
      <c r="C13118" s="140"/>
      <c r="D13118" s="140"/>
      <c r="E13118" s="140"/>
    </row>
    <row r="13119" spans="1:5">
      <c r="A13119" s="140"/>
      <c r="B13119" s="192"/>
      <c r="C13119" s="140"/>
      <c r="D13119" s="140"/>
      <c r="E13119" s="140"/>
    </row>
    <row r="13120" spans="1:5">
      <c r="A13120" s="140"/>
      <c r="B13120" s="192"/>
      <c r="C13120" s="140"/>
      <c r="D13120" s="140"/>
      <c r="E13120" s="140"/>
    </row>
    <row r="13121" spans="1:5">
      <c r="A13121" s="140"/>
      <c r="B13121" s="192"/>
      <c r="C13121" s="140"/>
      <c r="D13121" s="140"/>
      <c r="E13121" s="140"/>
    </row>
    <row r="13122" spans="1:5">
      <c r="A13122" s="140"/>
      <c r="B13122" s="192"/>
      <c r="C13122" s="140"/>
      <c r="D13122" s="140"/>
      <c r="E13122" s="140"/>
    </row>
    <row r="13123" spans="1:5">
      <c r="A13123" s="140"/>
      <c r="B13123" s="192"/>
      <c r="C13123" s="140"/>
      <c r="D13123" s="140"/>
      <c r="E13123" s="140"/>
    </row>
    <row r="13124" spans="1:5">
      <c r="A13124" s="140"/>
      <c r="B13124" s="192"/>
      <c r="C13124" s="140"/>
      <c r="D13124" s="140"/>
      <c r="E13124" s="140"/>
    </row>
    <row r="13125" spans="1:5">
      <c r="A13125" s="140"/>
      <c r="B13125" s="192"/>
      <c r="C13125" s="140"/>
      <c r="D13125" s="140"/>
      <c r="E13125" s="140"/>
    </row>
    <row r="13126" spans="1:5">
      <c r="A13126" s="140"/>
      <c r="B13126" s="192"/>
      <c r="C13126" s="140"/>
      <c r="D13126" s="140"/>
      <c r="E13126" s="140"/>
    </row>
    <row r="13127" spans="1:5">
      <c r="A13127" s="140"/>
      <c r="B13127" s="192"/>
      <c r="C13127" s="140"/>
      <c r="D13127" s="140"/>
      <c r="E13127" s="140"/>
    </row>
    <row r="13128" spans="1:5">
      <c r="A13128" s="140"/>
      <c r="B13128" s="192"/>
      <c r="C13128" s="140"/>
      <c r="D13128" s="140"/>
      <c r="E13128" s="140"/>
    </row>
    <row r="13129" spans="1:5">
      <c r="A13129" s="140"/>
      <c r="B13129" s="192"/>
      <c r="C13129" s="140"/>
      <c r="D13129" s="140"/>
      <c r="E13129" s="140"/>
    </row>
    <row r="13130" spans="1:5">
      <c r="A13130" s="140"/>
      <c r="B13130" s="192"/>
      <c r="C13130" s="140"/>
      <c r="D13130" s="140"/>
      <c r="E13130" s="140"/>
    </row>
    <row r="13131" spans="1:5">
      <c r="A13131" s="140"/>
      <c r="B13131" s="192"/>
      <c r="C13131" s="140"/>
      <c r="D13131" s="140"/>
      <c r="E13131" s="140"/>
    </row>
    <row r="13132" spans="1:5">
      <c r="A13132" s="140"/>
      <c r="B13132" s="192"/>
      <c r="C13132" s="140"/>
      <c r="D13132" s="140"/>
      <c r="E13132" s="140"/>
    </row>
    <row r="13133" spans="1:5">
      <c r="A13133" s="140"/>
      <c r="B13133" s="192"/>
      <c r="C13133" s="140"/>
      <c r="D13133" s="140"/>
      <c r="E13133" s="140"/>
    </row>
    <row r="13134" spans="1:5">
      <c r="A13134" s="140"/>
      <c r="B13134" s="192"/>
      <c r="C13134" s="140"/>
      <c r="D13134" s="140"/>
      <c r="E13134" s="140"/>
    </row>
    <row r="13135" spans="1:5">
      <c r="A13135" s="140"/>
      <c r="B13135" s="192"/>
      <c r="C13135" s="140"/>
      <c r="D13135" s="140"/>
      <c r="E13135" s="140"/>
    </row>
    <row r="13136" spans="1:5">
      <c r="A13136" s="140"/>
      <c r="B13136" s="192"/>
      <c r="C13136" s="140"/>
      <c r="D13136" s="140"/>
      <c r="E13136" s="140"/>
    </row>
    <row r="13137" spans="1:5">
      <c r="A13137" s="140"/>
      <c r="B13137" s="192"/>
      <c r="C13137" s="140"/>
      <c r="D13137" s="140"/>
      <c r="E13137" s="140"/>
    </row>
    <row r="13138" spans="1:5">
      <c r="A13138" s="140"/>
      <c r="B13138" s="192"/>
      <c r="C13138" s="140"/>
      <c r="D13138" s="140"/>
      <c r="E13138" s="140"/>
    </row>
    <row r="13139" spans="1:5">
      <c r="A13139" s="140"/>
      <c r="B13139" s="192"/>
      <c r="C13139" s="140"/>
      <c r="D13139" s="140"/>
      <c r="E13139" s="140"/>
    </row>
    <row r="13140" spans="1:5">
      <c r="A13140" s="140"/>
      <c r="B13140" s="192"/>
      <c r="C13140" s="140"/>
      <c r="D13140" s="140"/>
      <c r="E13140" s="140"/>
    </row>
    <row r="13141" spans="1:5">
      <c r="A13141" s="140"/>
      <c r="B13141" s="192"/>
      <c r="C13141" s="140"/>
      <c r="D13141" s="140"/>
      <c r="E13141" s="140"/>
    </row>
    <row r="13142" spans="1:5">
      <c r="A13142" s="140"/>
      <c r="B13142" s="192"/>
      <c r="C13142" s="140"/>
      <c r="D13142" s="140"/>
      <c r="E13142" s="140"/>
    </row>
    <row r="13143" spans="1:5">
      <c r="A13143" s="140"/>
      <c r="B13143" s="192"/>
      <c r="C13143" s="140"/>
      <c r="D13143" s="140"/>
      <c r="E13143" s="140"/>
    </row>
    <row r="13144" spans="1:5">
      <c r="A13144" s="140"/>
      <c r="B13144" s="192"/>
      <c r="C13144" s="140"/>
      <c r="D13144" s="140"/>
      <c r="E13144" s="140"/>
    </row>
    <row r="13145" spans="1:5">
      <c r="A13145" s="140"/>
      <c r="B13145" s="192"/>
      <c r="C13145" s="140"/>
      <c r="D13145" s="140"/>
      <c r="E13145" s="140"/>
    </row>
    <row r="13146" spans="1:5">
      <c r="A13146" s="140"/>
      <c r="B13146" s="192"/>
      <c r="C13146" s="140"/>
      <c r="D13146" s="140"/>
      <c r="E13146" s="140"/>
    </row>
    <row r="13147" spans="1:5">
      <c r="A13147" s="140"/>
      <c r="B13147" s="192"/>
      <c r="C13147" s="140"/>
      <c r="D13147" s="140"/>
      <c r="E13147" s="140"/>
    </row>
    <row r="13148" spans="1:5">
      <c r="A13148" s="140"/>
      <c r="B13148" s="192"/>
      <c r="C13148" s="140"/>
      <c r="D13148" s="140"/>
      <c r="E13148" s="140"/>
    </row>
    <row r="13149" spans="1:5">
      <c r="A13149" s="140"/>
      <c r="B13149" s="192"/>
      <c r="C13149" s="140"/>
      <c r="D13149" s="140"/>
      <c r="E13149" s="140"/>
    </row>
    <row r="13150" spans="1:5">
      <c r="A13150" s="140"/>
      <c r="B13150" s="192"/>
      <c r="C13150" s="140"/>
      <c r="D13150" s="140"/>
      <c r="E13150" s="140"/>
    </row>
    <row r="13151" spans="1:5">
      <c r="A13151" s="140"/>
      <c r="B13151" s="192"/>
      <c r="C13151" s="140"/>
      <c r="D13151" s="140"/>
      <c r="E13151" s="140"/>
    </row>
    <row r="13152" spans="1:5">
      <c r="A13152" s="140"/>
      <c r="B13152" s="192"/>
      <c r="C13152" s="140"/>
      <c r="D13152" s="140"/>
      <c r="E13152" s="140"/>
    </row>
    <row r="13153" spans="1:5">
      <c r="A13153" s="140"/>
      <c r="B13153" s="192"/>
      <c r="C13153" s="140"/>
      <c r="D13153" s="140"/>
      <c r="E13153" s="140"/>
    </row>
    <row r="13154" spans="1:5">
      <c r="A13154" s="140"/>
      <c r="B13154" s="192"/>
      <c r="C13154" s="140"/>
      <c r="D13154" s="140"/>
      <c r="E13154" s="140"/>
    </row>
    <row r="13155" spans="1:5">
      <c r="A13155" s="140"/>
      <c r="B13155" s="192"/>
      <c r="C13155" s="140"/>
      <c r="D13155" s="140"/>
      <c r="E13155" s="140"/>
    </row>
    <row r="13156" spans="1:5">
      <c r="A13156" s="140"/>
      <c r="B13156" s="192"/>
      <c r="C13156" s="140"/>
      <c r="D13156" s="140"/>
      <c r="E13156" s="140"/>
    </row>
    <row r="13157" spans="1:5">
      <c r="A13157" s="140"/>
      <c r="B13157" s="192"/>
      <c r="C13157" s="140"/>
      <c r="D13157" s="140"/>
      <c r="E13157" s="140"/>
    </row>
    <row r="13158" spans="1:5">
      <c r="A13158" s="140"/>
      <c r="B13158" s="192"/>
      <c r="C13158" s="140"/>
      <c r="D13158" s="140"/>
      <c r="E13158" s="140"/>
    </row>
    <row r="13159" spans="1:5">
      <c r="A13159" s="140"/>
      <c r="B13159" s="192"/>
      <c r="C13159" s="140"/>
      <c r="D13159" s="140"/>
      <c r="E13159" s="140"/>
    </row>
    <row r="13160" spans="1:5">
      <c r="A13160" s="140"/>
      <c r="B13160" s="192"/>
      <c r="C13160" s="140"/>
      <c r="D13160" s="140"/>
      <c r="E13160" s="140"/>
    </row>
    <row r="13161" spans="1:5">
      <c r="A13161" s="140"/>
      <c r="B13161" s="192"/>
      <c r="C13161" s="140"/>
      <c r="D13161" s="140"/>
      <c r="E13161" s="140"/>
    </row>
    <row r="13162" spans="1:5">
      <c r="A13162" s="140"/>
      <c r="B13162" s="192"/>
      <c r="C13162" s="140"/>
      <c r="D13162" s="140"/>
      <c r="E13162" s="140"/>
    </row>
    <row r="13163" spans="1:5">
      <c r="A13163" s="140"/>
      <c r="B13163" s="192"/>
      <c r="C13163" s="140"/>
      <c r="D13163" s="140"/>
      <c r="E13163" s="140"/>
    </row>
    <row r="13164" spans="1:5">
      <c r="A13164" s="140"/>
      <c r="B13164" s="192"/>
      <c r="C13164" s="140"/>
      <c r="D13164" s="140"/>
      <c r="E13164" s="140"/>
    </row>
    <row r="13165" spans="1:5">
      <c r="A13165" s="140"/>
      <c r="B13165" s="192"/>
      <c r="C13165" s="140"/>
      <c r="D13165" s="140"/>
      <c r="E13165" s="140"/>
    </row>
    <row r="13166" spans="1:5">
      <c r="A13166" s="140"/>
      <c r="B13166" s="192"/>
      <c r="C13166" s="140"/>
      <c r="D13166" s="140"/>
      <c r="E13166" s="140"/>
    </row>
    <row r="13167" spans="1:5">
      <c r="A13167" s="140"/>
      <c r="B13167" s="192"/>
      <c r="C13167" s="140"/>
      <c r="D13167" s="140"/>
      <c r="E13167" s="140"/>
    </row>
    <row r="13168" spans="1:5">
      <c r="A13168" s="140"/>
      <c r="B13168" s="192"/>
      <c r="C13168" s="140"/>
      <c r="D13168" s="140"/>
      <c r="E13168" s="140"/>
    </row>
    <row r="13169" spans="1:5">
      <c r="A13169" s="140"/>
      <c r="B13169" s="192"/>
      <c r="C13169" s="140"/>
      <c r="D13169" s="140"/>
      <c r="E13169" s="140"/>
    </row>
    <row r="13170" spans="1:5">
      <c r="A13170" s="140"/>
      <c r="B13170" s="192"/>
      <c r="C13170" s="140"/>
      <c r="D13170" s="140"/>
      <c r="E13170" s="140"/>
    </row>
    <row r="13171" spans="1:5">
      <c r="A13171" s="140"/>
      <c r="B13171" s="192"/>
      <c r="C13171" s="140"/>
      <c r="D13171" s="140"/>
      <c r="E13171" s="140"/>
    </row>
    <row r="13172" spans="1:5">
      <c r="A13172" s="140"/>
      <c r="B13172" s="192"/>
      <c r="C13172" s="140"/>
      <c r="D13172" s="140"/>
      <c r="E13172" s="140"/>
    </row>
    <row r="13173" spans="1:5">
      <c r="A13173" s="140"/>
      <c r="B13173" s="192"/>
      <c r="C13173" s="140"/>
      <c r="D13173" s="140"/>
      <c r="E13173" s="140"/>
    </row>
    <row r="13174" spans="1:5">
      <c r="A13174" s="140"/>
      <c r="B13174" s="192"/>
      <c r="C13174" s="140"/>
      <c r="D13174" s="140"/>
      <c r="E13174" s="140"/>
    </row>
    <row r="13175" spans="1:5">
      <c r="A13175" s="140"/>
      <c r="B13175" s="192"/>
      <c r="C13175" s="140"/>
      <c r="D13175" s="140"/>
      <c r="E13175" s="140"/>
    </row>
    <row r="13176" spans="1:5">
      <c r="A13176" s="140"/>
      <c r="B13176" s="192"/>
      <c r="C13176" s="140"/>
      <c r="D13176" s="140"/>
      <c r="E13176" s="140"/>
    </row>
    <row r="13177" spans="1:5">
      <c r="A13177" s="140"/>
      <c r="B13177" s="192"/>
      <c r="C13177" s="140"/>
      <c r="D13177" s="140"/>
      <c r="E13177" s="140"/>
    </row>
    <row r="13178" spans="1:5">
      <c r="A13178" s="140"/>
      <c r="B13178" s="192"/>
      <c r="C13178" s="140"/>
      <c r="D13178" s="140"/>
      <c r="E13178" s="140"/>
    </row>
    <row r="13179" spans="1:5">
      <c r="A13179" s="140"/>
      <c r="B13179" s="192"/>
      <c r="C13179" s="140"/>
      <c r="D13179" s="140"/>
      <c r="E13179" s="140"/>
    </row>
    <row r="13180" spans="1:5">
      <c r="A13180" s="140"/>
      <c r="B13180" s="192"/>
      <c r="C13180" s="140"/>
      <c r="D13180" s="140"/>
      <c r="E13180" s="140"/>
    </row>
    <row r="13181" spans="1:5">
      <c r="A13181" s="140"/>
      <c r="B13181" s="192"/>
      <c r="C13181" s="140"/>
      <c r="D13181" s="140"/>
      <c r="E13181" s="140"/>
    </row>
    <row r="13182" spans="1:5">
      <c r="A13182" s="140"/>
      <c r="B13182" s="192"/>
      <c r="C13182" s="140"/>
      <c r="D13182" s="140"/>
      <c r="E13182" s="140"/>
    </row>
    <row r="13183" spans="1:5">
      <c r="A13183" s="140"/>
      <c r="B13183" s="192"/>
      <c r="C13183" s="140"/>
      <c r="D13183" s="140"/>
      <c r="E13183" s="140"/>
    </row>
    <row r="13184" spans="1:5">
      <c r="A13184" s="140"/>
      <c r="B13184" s="192"/>
      <c r="C13184" s="140"/>
      <c r="D13184" s="140"/>
      <c r="E13184" s="140"/>
    </row>
    <row r="13185" spans="1:5">
      <c r="A13185" s="140"/>
      <c r="B13185" s="192"/>
      <c r="C13185" s="140"/>
      <c r="D13185" s="140"/>
      <c r="E13185" s="140"/>
    </row>
    <row r="13186" spans="1:5">
      <c r="A13186" s="140"/>
      <c r="B13186" s="192"/>
      <c r="C13186" s="140"/>
      <c r="D13186" s="140"/>
      <c r="E13186" s="140"/>
    </row>
    <row r="13187" spans="1:5">
      <c r="A13187" s="140"/>
      <c r="B13187" s="192"/>
      <c r="C13187" s="140"/>
      <c r="D13187" s="140"/>
      <c r="E13187" s="140"/>
    </row>
    <row r="13188" spans="1:5">
      <c r="A13188" s="140"/>
      <c r="B13188" s="192"/>
      <c r="C13188" s="140"/>
      <c r="D13188" s="140"/>
      <c r="E13188" s="140"/>
    </row>
    <row r="13189" spans="1:5">
      <c r="A13189" s="140"/>
      <c r="B13189" s="192"/>
      <c r="C13189" s="140"/>
      <c r="D13189" s="140"/>
      <c r="E13189" s="140"/>
    </row>
    <row r="13190" spans="1:5">
      <c r="A13190" s="140"/>
      <c r="B13190" s="192"/>
      <c r="C13190" s="140"/>
      <c r="D13190" s="140"/>
      <c r="E13190" s="140"/>
    </row>
    <row r="13191" spans="1:5">
      <c r="A13191" s="140"/>
      <c r="B13191" s="192"/>
      <c r="C13191" s="140"/>
      <c r="D13191" s="140"/>
      <c r="E13191" s="140"/>
    </row>
    <row r="13192" spans="1:5">
      <c r="A13192" s="140"/>
      <c r="B13192" s="192"/>
      <c r="C13192" s="140"/>
      <c r="D13192" s="140"/>
      <c r="E13192" s="140"/>
    </row>
    <row r="13193" spans="1:5">
      <c r="A13193" s="140"/>
      <c r="B13193" s="192"/>
      <c r="C13193" s="140"/>
      <c r="D13193" s="140"/>
      <c r="E13193" s="140"/>
    </row>
    <row r="13194" spans="1:5">
      <c r="A13194" s="140"/>
      <c r="B13194" s="192"/>
      <c r="C13194" s="140"/>
      <c r="D13194" s="140"/>
      <c r="E13194" s="140"/>
    </row>
    <row r="13195" spans="1:5">
      <c r="A13195" s="140"/>
      <c r="B13195" s="192"/>
      <c r="C13195" s="140"/>
      <c r="D13195" s="140"/>
      <c r="E13195" s="140"/>
    </row>
    <row r="13196" spans="1:5">
      <c r="A13196" s="140"/>
      <c r="B13196" s="192"/>
      <c r="C13196" s="140"/>
      <c r="D13196" s="140"/>
      <c r="E13196" s="140"/>
    </row>
    <row r="13197" spans="1:5">
      <c r="A13197" s="140"/>
      <c r="B13197" s="192"/>
      <c r="C13197" s="140"/>
      <c r="D13197" s="140"/>
      <c r="E13197" s="140"/>
    </row>
    <row r="13198" spans="1:5">
      <c r="A13198" s="140"/>
      <c r="B13198" s="192"/>
      <c r="C13198" s="140"/>
      <c r="D13198" s="140"/>
      <c r="E13198" s="140"/>
    </row>
    <row r="13199" spans="1:5">
      <c r="A13199" s="140"/>
      <c r="B13199" s="192"/>
      <c r="C13199" s="140"/>
      <c r="D13199" s="140"/>
      <c r="E13199" s="140"/>
    </row>
    <row r="13200" spans="1:5">
      <c r="A13200" s="140"/>
      <c r="B13200" s="192"/>
      <c r="C13200" s="140"/>
      <c r="D13200" s="140"/>
      <c r="E13200" s="140"/>
    </row>
    <row r="13201" spans="1:5">
      <c r="A13201" s="140"/>
      <c r="B13201" s="192"/>
      <c r="C13201" s="140"/>
      <c r="D13201" s="140"/>
      <c r="E13201" s="140"/>
    </row>
    <row r="13202" spans="1:5">
      <c r="A13202" s="140"/>
      <c r="B13202" s="192"/>
      <c r="C13202" s="140"/>
      <c r="D13202" s="140"/>
      <c r="E13202" s="140"/>
    </row>
    <row r="13203" spans="1:5">
      <c r="A13203" s="140"/>
      <c r="B13203" s="192"/>
      <c r="C13203" s="140"/>
      <c r="D13203" s="140"/>
      <c r="E13203" s="140"/>
    </row>
    <row r="13204" spans="1:5">
      <c r="A13204" s="140"/>
      <c r="B13204" s="192"/>
      <c r="C13204" s="140"/>
      <c r="D13204" s="140"/>
      <c r="E13204" s="140"/>
    </row>
    <row r="13205" spans="1:5">
      <c r="A13205" s="140"/>
      <c r="B13205" s="192"/>
      <c r="C13205" s="140"/>
      <c r="D13205" s="140"/>
      <c r="E13205" s="140"/>
    </row>
    <row r="13206" spans="1:5">
      <c r="A13206" s="140"/>
      <c r="B13206" s="192"/>
      <c r="C13206" s="140"/>
      <c r="D13206" s="140"/>
      <c r="E13206" s="140"/>
    </row>
    <row r="13207" spans="1:5">
      <c r="A13207" s="140"/>
      <c r="B13207" s="192"/>
      <c r="C13207" s="140"/>
      <c r="D13207" s="140"/>
      <c r="E13207" s="140"/>
    </row>
    <row r="13208" spans="1:5">
      <c r="A13208" s="140"/>
      <c r="B13208" s="192"/>
      <c r="C13208" s="140"/>
      <c r="D13208" s="140"/>
      <c r="E13208" s="140"/>
    </row>
    <row r="13209" spans="1:5">
      <c r="A13209" s="140"/>
      <c r="B13209" s="192"/>
      <c r="C13209" s="140"/>
      <c r="D13209" s="140"/>
      <c r="E13209" s="140"/>
    </row>
    <row r="13210" spans="1:5">
      <c r="A13210" s="140"/>
      <c r="B13210" s="192"/>
      <c r="C13210" s="140"/>
      <c r="D13210" s="140"/>
      <c r="E13210" s="140"/>
    </row>
    <row r="13211" spans="1:5">
      <c r="A13211" s="140"/>
      <c r="B13211" s="192"/>
      <c r="C13211" s="140"/>
      <c r="D13211" s="140"/>
      <c r="E13211" s="140"/>
    </row>
    <row r="13212" spans="1:5">
      <c r="A13212" s="140"/>
      <c r="B13212" s="192"/>
      <c r="C13212" s="140"/>
      <c r="D13212" s="140"/>
      <c r="E13212" s="140"/>
    </row>
    <row r="13213" spans="1:5">
      <c r="A13213" s="140"/>
      <c r="B13213" s="192"/>
      <c r="C13213" s="140"/>
      <c r="D13213" s="140"/>
      <c r="E13213" s="140"/>
    </row>
    <row r="13214" spans="1:5">
      <c r="A13214" s="140"/>
      <c r="B13214" s="192"/>
      <c r="C13214" s="140"/>
      <c r="D13214" s="140"/>
      <c r="E13214" s="140"/>
    </row>
    <row r="13215" spans="1:5">
      <c r="A13215" s="140"/>
      <c r="B13215" s="192"/>
      <c r="C13215" s="140"/>
      <c r="D13215" s="140"/>
      <c r="E13215" s="140"/>
    </row>
    <row r="13216" spans="1:5">
      <c r="A13216" s="140"/>
      <c r="B13216" s="192"/>
      <c r="C13216" s="140"/>
      <c r="D13216" s="140"/>
      <c r="E13216" s="140"/>
    </row>
    <row r="13217" spans="1:5">
      <c r="A13217" s="140"/>
      <c r="B13217" s="192"/>
      <c r="C13217" s="140"/>
      <c r="D13217" s="140"/>
      <c r="E13217" s="140"/>
    </row>
    <row r="13218" spans="1:5">
      <c r="A13218" s="140"/>
      <c r="B13218" s="192"/>
      <c r="C13218" s="140"/>
      <c r="D13218" s="140"/>
      <c r="E13218" s="140"/>
    </row>
    <row r="13219" spans="1:5">
      <c r="A13219" s="140"/>
      <c r="B13219" s="192"/>
      <c r="C13219" s="140"/>
      <c r="D13219" s="140"/>
      <c r="E13219" s="140"/>
    </row>
    <row r="13220" spans="1:5">
      <c r="A13220" s="140"/>
      <c r="B13220" s="192"/>
      <c r="C13220" s="140"/>
      <c r="D13220" s="140"/>
      <c r="E13220" s="140"/>
    </row>
    <row r="13221" spans="1:5">
      <c r="A13221" s="140"/>
      <c r="B13221" s="192"/>
      <c r="C13221" s="140"/>
      <c r="D13221" s="140"/>
      <c r="E13221" s="140"/>
    </row>
    <row r="13222" spans="1:5">
      <c r="A13222" s="140"/>
      <c r="B13222" s="192"/>
      <c r="C13222" s="140"/>
      <c r="D13222" s="140"/>
      <c r="E13222" s="140"/>
    </row>
    <row r="13223" spans="1:5">
      <c r="A13223" s="140"/>
      <c r="B13223" s="192"/>
      <c r="C13223" s="140"/>
      <c r="D13223" s="140"/>
      <c r="E13223" s="140"/>
    </row>
    <row r="13224" spans="1:5">
      <c r="A13224" s="140"/>
      <c r="B13224" s="192"/>
      <c r="C13224" s="140"/>
      <c r="D13224" s="140"/>
      <c r="E13224" s="140"/>
    </row>
    <row r="13225" spans="1:5">
      <c r="A13225" s="140"/>
      <c r="B13225" s="192"/>
      <c r="C13225" s="140"/>
      <c r="D13225" s="140"/>
      <c r="E13225" s="140"/>
    </row>
    <row r="13226" spans="1:5">
      <c r="A13226" s="140"/>
      <c r="B13226" s="192"/>
      <c r="C13226" s="140"/>
      <c r="D13226" s="140"/>
      <c r="E13226" s="140"/>
    </row>
    <row r="13227" spans="1:5">
      <c r="A13227" s="140"/>
      <c r="B13227" s="192"/>
      <c r="C13227" s="140"/>
      <c r="D13227" s="140"/>
      <c r="E13227" s="140"/>
    </row>
    <row r="13228" spans="1:5">
      <c r="A13228" s="140"/>
      <c r="B13228" s="192"/>
      <c r="C13228" s="140"/>
      <c r="D13228" s="140"/>
      <c r="E13228" s="140"/>
    </row>
    <row r="13229" spans="1:5">
      <c r="A13229" s="140"/>
      <c r="B13229" s="192"/>
      <c r="C13229" s="140"/>
      <c r="D13229" s="140"/>
      <c r="E13229" s="140"/>
    </row>
    <row r="13230" spans="1:5">
      <c r="A13230" s="140"/>
      <c r="B13230" s="192"/>
      <c r="C13230" s="140"/>
      <c r="D13230" s="140"/>
      <c r="E13230" s="140"/>
    </row>
    <row r="13231" spans="1:5">
      <c r="A13231" s="140"/>
      <c r="B13231" s="192"/>
      <c r="C13231" s="140"/>
      <c r="D13231" s="140"/>
      <c r="E13231" s="140"/>
    </row>
    <row r="13232" spans="1:5">
      <c r="A13232" s="140"/>
      <c r="B13232" s="192"/>
      <c r="C13232" s="140"/>
      <c r="D13232" s="140"/>
      <c r="E13232" s="140"/>
    </row>
    <row r="13233" spans="1:5">
      <c r="A13233" s="140"/>
      <c r="B13233" s="192"/>
      <c r="C13233" s="140"/>
      <c r="D13233" s="140"/>
      <c r="E13233" s="140"/>
    </row>
    <row r="13234" spans="1:5">
      <c r="A13234" s="140"/>
      <c r="B13234" s="192"/>
      <c r="C13234" s="140"/>
      <c r="D13234" s="140"/>
      <c r="E13234" s="140"/>
    </row>
    <row r="13235" spans="1:5">
      <c r="A13235" s="140"/>
      <c r="B13235" s="192"/>
      <c r="C13235" s="140"/>
      <c r="D13235" s="140"/>
      <c r="E13235" s="140"/>
    </row>
    <row r="13236" spans="1:5">
      <c r="A13236" s="140"/>
      <c r="B13236" s="192"/>
      <c r="C13236" s="140"/>
      <c r="D13236" s="140"/>
      <c r="E13236" s="140"/>
    </row>
    <row r="13237" spans="1:5">
      <c r="A13237" s="140"/>
      <c r="B13237" s="192"/>
      <c r="C13237" s="140"/>
      <c r="D13237" s="140"/>
      <c r="E13237" s="140"/>
    </row>
    <row r="13238" spans="1:5">
      <c r="A13238" s="140"/>
      <c r="B13238" s="192"/>
      <c r="C13238" s="140"/>
      <c r="D13238" s="140"/>
      <c r="E13238" s="140"/>
    </row>
    <row r="13239" spans="1:5">
      <c r="A13239" s="140"/>
      <c r="B13239" s="192"/>
      <c r="C13239" s="140"/>
      <c r="D13239" s="140"/>
      <c r="E13239" s="140"/>
    </row>
    <row r="13240" spans="1:5">
      <c r="A13240" s="140"/>
      <c r="B13240" s="192"/>
      <c r="C13240" s="140"/>
      <c r="D13240" s="140"/>
      <c r="E13240" s="140"/>
    </row>
    <row r="13241" spans="1:5">
      <c r="A13241" s="140"/>
      <c r="B13241" s="192"/>
      <c r="C13241" s="140"/>
      <c r="D13241" s="140"/>
      <c r="E13241" s="140"/>
    </row>
    <row r="13242" spans="1:5">
      <c r="A13242" s="140"/>
      <c r="B13242" s="192"/>
      <c r="C13242" s="140"/>
      <c r="D13242" s="140"/>
      <c r="E13242" s="140"/>
    </row>
    <row r="13243" spans="1:5">
      <c r="A13243" s="140"/>
      <c r="B13243" s="192"/>
      <c r="C13243" s="140"/>
      <c r="D13243" s="140"/>
      <c r="E13243" s="140"/>
    </row>
    <row r="13244" spans="1:5">
      <c r="A13244" s="140"/>
      <c r="B13244" s="192"/>
      <c r="C13244" s="140"/>
      <c r="D13244" s="140"/>
      <c r="E13244" s="140"/>
    </row>
    <row r="13245" spans="1:5">
      <c r="A13245" s="140"/>
      <c r="B13245" s="192"/>
      <c r="C13245" s="140"/>
      <c r="D13245" s="140"/>
      <c r="E13245" s="140"/>
    </row>
    <row r="13246" spans="1:5">
      <c r="A13246" s="140"/>
      <c r="B13246" s="192"/>
      <c r="C13246" s="140"/>
      <c r="D13246" s="140"/>
      <c r="E13246" s="140"/>
    </row>
    <row r="13247" spans="1:5">
      <c r="A13247" s="140"/>
      <c r="B13247" s="192"/>
      <c r="C13247" s="140"/>
      <c r="D13247" s="140"/>
      <c r="E13247" s="140"/>
    </row>
    <row r="13248" spans="1:5">
      <c r="A13248" s="140"/>
      <c r="B13248" s="192"/>
      <c r="C13248" s="140"/>
      <c r="D13248" s="140"/>
      <c r="E13248" s="140"/>
    </row>
    <row r="13249" spans="1:5">
      <c r="A13249" s="140"/>
      <c r="B13249" s="192"/>
      <c r="C13249" s="140"/>
      <c r="D13249" s="140"/>
      <c r="E13249" s="140"/>
    </row>
    <row r="13250" spans="1:5">
      <c r="A13250" s="140"/>
      <c r="B13250" s="192"/>
      <c r="C13250" s="140"/>
      <c r="D13250" s="140"/>
      <c r="E13250" s="140"/>
    </row>
    <row r="13251" spans="1:5">
      <c r="A13251" s="140"/>
      <c r="B13251" s="192"/>
      <c r="C13251" s="140"/>
      <c r="D13251" s="140"/>
      <c r="E13251" s="140"/>
    </row>
    <row r="13252" spans="1:5">
      <c r="A13252" s="140"/>
      <c r="B13252" s="192"/>
      <c r="C13252" s="140"/>
      <c r="D13252" s="140"/>
      <c r="E13252" s="140"/>
    </row>
    <row r="13253" spans="1:5">
      <c r="A13253" s="140"/>
      <c r="B13253" s="192"/>
      <c r="C13253" s="140"/>
      <c r="D13253" s="140"/>
      <c r="E13253" s="140"/>
    </row>
    <row r="13254" spans="1:5">
      <c r="A13254" s="140"/>
      <c r="B13254" s="192"/>
      <c r="C13254" s="140"/>
      <c r="D13254" s="140"/>
      <c r="E13254" s="140"/>
    </row>
    <row r="13255" spans="1:5">
      <c r="A13255" s="140"/>
      <c r="B13255" s="192"/>
      <c r="C13255" s="140"/>
      <c r="D13255" s="140"/>
      <c r="E13255" s="140"/>
    </row>
    <row r="13256" spans="1:5">
      <c r="A13256" s="140"/>
      <c r="B13256" s="192"/>
      <c r="C13256" s="140"/>
      <c r="D13256" s="140"/>
      <c r="E13256" s="140"/>
    </row>
    <row r="13257" spans="1:5">
      <c r="A13257" s="140"/>
      <c r="B13257" s="192"/>
      <c r="C13257" s="140"/>
      <c r="D13257" s="140"/>
      <c r="E13257" s="140"/>
    </row>
    <row r="13258" spans="1:5">
      <c r="A13258" s="140"/>
      <c r="B13258" s="192"/>
      <c r="C13258" s="140"/>
      <c r="D13258" s="140"/>
      <c r="E13258" s="140"/>
    </row>
    <row r="13259" spans="1:5">
      <c r="A13259" s="140"/>
      <c r="B13259" s="192"/>
      <c r="C13259" s="140"/>
      <c r="D13259" s="140"/>
      <c r="E13259" s="140"/>
    </row>
    <row r="13260" spans="1:5">
      <c r="A13260" s="140"/>
      <c r="B13260" s="192"/>
      <c r="C13260" s="140"/>
      <c r="D13260" s="140"/>
      <c r="E13260" s="140"/>
    </row>
    <row r="13261" spans="1:5">
      <c r="A13261" s="140"/>
      <c r="B13261" s="192"/>
      <c r="C13261" s="140"/>
      <c r="D13261" s="140"/>
      <c r="E13261" s="140"/>
    </row>
    <row r="13262" spans="1:5">
      <c r="A13262" s="140"/>
      <c r="B13262" s="192"/>
      <c r="C13262" s="140"/>
      <c r="D13262" s="140"/>
      <c r="E13262" s="140"/>
    </row>
    <row r="13263" spans="1:5">
      <c r="A13263" s="140"/>
      <c r="B13263" s="192"/>
      <c r="C13263" s="140"/>
      <c r="D13263" s="140"/>
      <c r="E13263" s="140"/>
    </row>
    <row r="13264" spans="1:5">
      <c r="A13264" s="140"/>
      <c r="B13264" s="192"/>
      <c r="C13264" s="140"/>
      <c r="D13264" s="140"/>
      <c r="E13264" s="140"/>
    </row>
    <row r="13265" spans="1:5">
      <c r="A13265" s="140"/>
      <c r="B13265" s="192"/>
      <c r="C13265" s="140"/>
      <c r="D13265" s="140"/>
      <c r="E13265" s="140"/>
    </row>
    <row r="13266" spans="1:5">
      <c r="A13266" s="140"/>
      <c r="B13266" s="192"/>
      <c r="C13266" s="140"/>
      <c r="D13266" s="140"/>
      <c r="E13266" s="140"/>
    </row>
    <row r="13267" spans="1:5">
      <c r="A13267" s="140"/>
      <c r="B13267" s="192"/>
      <c r="C13267" s="140"/>
      <c r="D13267" s="140"/>
      <c r="E13267" s="140"/>
    </row>
    <row r="13268" spans="1:5">
      <c r="A13268" s="140"/>
      <c r="B13268" s="192"/>
      <c r="C13268" s="140"/>
      <c r="D13268" s="140"/>
      <c r="E13268" s="140"/>
    </row>
    <row r="13269" spans="1:5">
      <c r="A13269" s="140"/>
      <c r="B13269" s="192"/>
      <c r="C13269" s="140"/>
      <c r="D13269" s="140"/>
      <c r="E13269" s="140"/>
    </row>
    <row r="13270" spans="1:5">
      <c r="A13270" s="140"/>
      <c r="B13270" s="192"/>
      <c r="C13270" s="140"/>
      <c r="D13270" s="140"/>
      <c r="E13270" s="140"/>
    </row>
    <row r="13271" spans="1:5">
      <c r="A13271" s="140"/>
      <c r="B13271" s="192"/>
      <c r="C13271" s="140"/>
      <c r="D13271" s="140"/>
      <c r="E13271" s="140"/>
    </row>
    <row r="13272" spans="1:5">
      <c r="A13272" s="140"/>
      <c r="B13272" s="192"/>
      <c r="C13272" s="140"/>
      <c r="D13272" s="140"/>
      <c r="E13272" s="140"/>
    </row>
    <row r="13273" spans="1:5">
      <c r="A13273" s="140"/>
      <c r="B13273" s="192"/>
      <c r="C13273" s="140"/>
      <c r="D13273" s="140"/>
      <c r="E13273" s="140"/>
    </row>
    <row r="13274" spans="1:5">
      <c r="A13274" s="140"/>
      <c r="B13274" s="192"/>
      <c r="C13274" s="140"/>
      <c r="D13274" s="140"/>
      <c r="E13274" s="140"/>
    </row>
    <row r="13275" spans="1:5">
      <c r="A13275" s="140"/>
      <c r="B13275" s="192"/>
      <c r="C13275" s="140"/>
      <c r="D13275" s="140"/>
      <c r="E13275" s="140"/>
    </row>
    <row r="13276" spans="1:5">
      <c r="A13276" s="140"/>
      <c r="B13276" s="192"/>
      <c r="C13276" s="140"/>
      <c r="D13276" s="140"/>
      <c r="E13276" s="140"/>
    </row>
    <row r="13277" spans="1:5">
      <c r="A13277" s="140"/>
      <c r="B13277" s="192"/>
      <c r="C13277" s="140"/>
      <c r="D13277" s="140"/>
      <c r="E13277" s="140"/>
    </row>
    <row r="13278" spans="1:5">
      <c r="A13278" s="140"/>
      <c r="B13278" s="192"/>
      <c r="C13278" s="140"/>
      <c r="D13278" s="140"/>
      <c r="E13278" s="140"/>
    </row>
    <row r="13279" spans="1:5">
      <c r="A13279" s="140"/>
      <c r="B13279" s="192"/>
      <c r="C13279" s="140"/>
      <c r="D13279" s="140"/>
      <c r="E13279" s="140"/>
    </row>
    <row r="13280" spans="1:5">
      <c r="A13280" s="140"/>
      <c r="B13280" s="192"/>
      <c r="C13280" s="140"/>
      <c r="D13280" s="140"/>
      <c r="E13280" s="140"/>
    </row>
    <row r="13281" spans="1:5">
      <c r="A13281" s="140"/>
      <c r="B13281" s="192"/>
      <c r="C13281" s="140"/>
      <c r="D13281" s="140"/>
      <c r="E13281" s="140"/>
    </row>
    <row r="13282" spans="1:5">
      <c r="A13282" s="140"/>
      <c r="B13282" s="192"/>
      <c r="C13282" s="140"/>
      <c r="D13282" s="140"/>
      <c r="E13282" s="140"/>
    </row>
    <row r="13283" spans="1:5">
      <c r="A13283" s="140"/>
      <c r="B13283" s="192"/>
      <c r="C13283" s="140"/>
      <c r="D13283" s="140"/>
      <c r="E13283" s="140"/>
    </row>
    <row r="13284" spans="1:5">
      <c r="A13284" s="140"/>
      <c r="B13284" s="192"/>
      <c r="C13284" s="140"/>
      <c r="D13284" s="140"/>
      <c r="E13284" s="140"/>
    </row>
    <row r="13285" spans="1:5">
      <c r="A13285" s="140"/>
      <c r="B13285" s="192"/>
      <c r="C13285" s="140"/>
      <c r="D13285" s="140"/>
      <c r="E13285" s="140"/>
    </row>
    <row r="13286" spans="1:5">
      <c r="A13286" s="140"/>
      <c r="B13286" s="192"/>
      <c r="C13286" s="140"/>
      <c r="D13286" s="140"/>
      <c r="E13286" s="140"/>
    </row>
    <row r="13287" spans="1:5">
      <c r="A13287" s="140"/>
      <c r="B13287" s="192"/>
      <c r="C13287" s="140"/>
      <c r="D13287" s="140"/>
      <c r="E13287" s="140"/>
    </row>
    <row r="13288" spans="1:5">
      <c r="A13288" s="140"/>
      <c r="B13288" s="192"/>
      <c r="C13288" s="140"/>
      <c r="D13288" s="140"/>
      <c r="E13288" s="140"/>
    </row>
    <row r="13289" spans="1:5">
      <c r="A13289" s="140"/>
      <c r="B13289" s="192"/>
      <c r="C13289" s="140"/>
      <c r="D13289" s="140"/>
      <c r="E13289" s="140"/>
    </row>
    <row r="13290" spans="1:5">
      <c r="A13290" s="140"/>
      <c r="B13290" s="192"/>
      <c r="C13290" s="140"/>
      <c r="D13290" s="140"/>
      <c r="E13290" s="140"/>
    </row>
    <row r="13291" spans="1:5">
      <c r="A13291" s="140"/>
      <c r="B13291" s="192"/>
      <c r="C13291" s="140"/>
      <c r="D13291" s="140"/>
      <c r="E13291" s="140"/>
    </row>
    <row r="13292" spans="1:5">
      <c r="A13292" s="140"/>
      <c r="B13292" s="192"/>
      <c r="C13292" s="140"/>
      <c r="D13292" s="140"/>
      <c r="E13292" s="140"/>
    </row>
    <row r="13293" spans="1:5">
      <c r="A13293" s="140"/>
      <c r="B13293" s="192"/>
      <c r="C13293" s="140"/>
      <c r="D13293" s="140"/>
      <c r="E13293" s="140"/>
    </row>
    <row r="13294" spans="1:5">
      <c r="A13294" s="140"/>
      <c r="B13294" s="192"/>
      <c r="C13294" s="140"/>
      <c r="D13294" s="140"/>
      <c r="E13294" s="140"/>
    </row>
    <row r="13295" spans="1:5">
      <c r="A13295" s="140"/>
      <c r="B13295" s="192"/>
      <c r="C13295" s="140"/>
      <c r="D13295" s="140"/>
      <c r="E13295" s="140"/>
    </row>
    <row r="13296" spans="1:5">
      <c r="A13296" s="140"/>
      <c r="B13296" s="192"/>
      <c r="C13296" s="140"/>
      <c r="D13296" s="140"/>
      <c r="E13296" s="140"/>
    </row>
    <row r="13297" spans="1:5">
      <c r="A13297" s="140"/>
      <c r="B13297" s="192"/>
      <c r="C13297" s="140"/>
      <c r="D13297" s="140"/>
      <c r="E13297" s="140"/>
    </row>
    <row r="13298" spans="1:5">
      <c r="A13298" s="140"/>
      <c r="B13298" s="192"/>
      <c r="C13298" s="140"/>
      <c r="D13298" s="140"/>
      <c r="E13298" s="140"/>
    </row>
    <row r="13299" spans="1:5">
      <c r="A13299" s="140"/>
      <c r="B13299" s="192"/>
      <c r="C13299" s="140"/>
      <c r="D13299" s="140"/>
      <c r="E13299" s="140"/>
    </row>
    <row r="13300" spans="1:5">
      <c r="A13300" s="140"/>
      <c r="B13300" s="192"/>
      <c r="C13300" s="140"/>
      <c r="D13300" s="140"/>
      <c r="E13300" s="140"/>
    </row>
    <row r="13301" spans="1:5">
      <c r="A13301" s="140"/>
      <c r="B13301" s="192"/>
      <c r="C13301" s="140"/>
      <c r="D13301" s="140"/>
      <c r="E13301" s="140"/>
    </row>
    <row r="13302" spans="1:5">
      <c r="A13302" s="140"/>
      <c r="B13302" s="192"/>
      <c r="C13302" s="140"/>
      <c r="D13302" s="140"/>
      <c r="E13302" s="140"/>
    </row>
    <row r="13303" spans="1:5">
      <c r="A13303" s="140"/>
      <c r="B13303" s="192"/>
      <c r="C13303" s="140"/>
      <c r="D13303" s="140"/>
      <c r="E13303" s="140"/>
    </row>
    <row r="13304" spans="1:5">
      <c r="A13304" s="140"/>
      <c r="B13304" s="192"/>
      <c r="C13304" s="140"/>
      <c r="D13304" s="140"/>
      <c r="E13304" s="140"/>
    </row>
    <row r="13305" spans="1:5">
      <c r="A13305" s="140"/>
      <c r="B13305" s="192"/>
      <c r="C13305" s="140"/>
      <c r="D13305" s="140"/>
      <c r="E13305" s="140"/>
    </row>
    <row r="13306" spans="1:5">
      <c r="A13306" s="140"/>
      <c r="B13306" s="192"/>
      <c r="C13306" s="140"/>
      <c r="D13306" s="140"/>
      <c r="E13306" s="140"/>
    </row>
    <row r="13307" spans="1:5">
      <c r="A13307" s="140"/>
      <c r="B13307" s="192"/>
      <c r="C13307" s="140"/>
      <c r="D13307" s="140"/>
      <c r="E13307" s="140"/>
    </row>
    <row r="13308" spans="1:5">
      <c r="A13308" s="140"/>
      <c r="B13308" s="192"/>
      <c r="C13308" s="140"/>
      <c r="D13308" s="140"/>
      <c r="E13308" s="140"/>
    </row>
    <row r="13309" spans="1:5">
      <c r="A13309" s="140"/>
      <c r="B13309" s="192"/>
      <c r="C13309" s="140"/>
      <c r="D13309" s="140"/>
      <c r="E13309" s="140"/>
    </row>
    <row r="13310" spans="1:5">
      <c r="A13310" s="140"/>
      <c r="B13310" s="192"/>
      <c r="C13310" s="140"/>
      <c r="D13310" s="140"/>
      <c r="E13310" s="140"/>
    </row>
    <row r="13311" spans="1:5">
      <c r="A13311" s="140"/>
      <c r="B13311" s="192"/>
      <c r="C13311" s="140"/>
      <c r="D13311" s="140"/>
      <c r="E13311" s="140"/>
    </row>
    <row r="13312" spans="1:5">
      <c r="A13312" s="140"/>
      <c r="B13312" s="192"/>
      <c r="C13312" s="140"/>
      <c r="D13312" s="140"/>
      <c r="E13312" s="140"/>
    </row>
    <row r="13313" spans="1:5">
      <c r="A13313" s="140"/>
      <c r="B13313" s="192"/>
      <c r="C13313" s="140"/>
      <c r="D13313" s="140"/>
      <c r="E13313" s="140"/>
    </row>
    <row r="13314" spans="1:5">
      <c r="A13314" s="140"/>
      <c r="B13314" s="192"/>
      <c r="C13314" s="140"/>
      <c r="D13314" s="140"/>
      <c r="E13314" s="140"/>
    </row>
    <row r="13315" spans="1:5">
      <c r="A13315" s="140"/>
      <c r="B13315" s="192"/>
      <c r="C13315" s="140"/>
      <c r="D13315" s="140"/>
      <c r="E13315" s="140"/>
    </row>
    <row r="13316" spans="1:5">
      <c r="A13316" s="140"/>
      <c r="B13316" s="192"/>
      <c r="C13316" s="140"/>
      <c r="D13316" s="140"/>
      <c r="E13316" s="140"/>
    </row>
    <row r="13317" spans="1:5">
      <c r="A13317" s="140"/>
      <c r="B13317" s="192"/>
      <c r="C13317" s="140"/>
      <c r="D13317" s="140"/>
      <c r="E13317" s="140"/>
    </row>
    <row r="13318" spans="1:5">
      <c r="A13318" s="140"/>
      <c r="B13318" s="192"/>
      <c r="C13318" s="140"/>
      <c r="D13318" s="140"/>
      <c r="E13318" s="140"/>
    </row>
    <row r="13319" spans="1:5">
      <c r="A13319" s="140"/>
      <c r="B13319" s="192"/>
      <c r="C13319" s="140"/>
      <c r="D13319" s="140"/>
      <c r="E13319" s="140"/>
    </row>
    <row r="13320" spans="1:5">
      <c r="A13320" s="140"/>
      <c r="B13320" s="192"/>
      <c r="C13320" s="140"/>
      <c r="D13320" s="140"/>
      <c r="E13320" s="140"/>
    </row>
    <row r="13321" spans="1:5">
      <c r="A13321" s="140"/>
      <c r="B13321" s="192"/>
      <c r="C13321" s="140"/>
      <c r="D13321" s="140"/>
      <c r="E13321" s="140"/>
    </row>
    <row r="13322" spans="1:5">
      <c r="A13322" s="140"/>
      <c r="B13322" s="192"/>
      <c r="C13322" s="140"/>
      <c r="D13322" s="140"/>
      <c r="E13322" s="140"/>
    </row>
    <row r="13323" spans="1:5">
      <c r="A13323" s="140"/>
      <c r="B13323" s="192"/>
      <c r="C13323" s="140"/>
      <c r="D13323" s="140"/>
      <c r="E13323" s="140"/>
    </row>
    <row r="13324" spans="1:5">
      <c r="A13324" s="140"/>
      <c r="B13324" s="192"/>
      <c r="C13324" s="140"/>
      <c r="D13324" s="140"/>
      <c r="E13324" s="140"/>
    </row>
    <row r="13325" spans="1:5">
      <c r="A13325" s="140"/>
      <c r="B13325" s="192"/>
      <c r="C13325" s="140"/>
      <c r="D13325" s="140"/>
      <c r="E13325" s="140"/>
    </row>
    <row r="13326" spans="1:5">
      <c r="A13326" s="140"/>
      <c r="B13326" s="192"/>
      <c r="C13326" s="140"/>
      <c r="D13326" s="140"/>
      <c r="E13326" s="140"/>
    </row>
    <row r="13327" spans="1:5">
      <c r="A13327" s="140"/>
      <c r="B13327" s="192"/>
      <c r="C13327" s="140"/>
      <c r="D13327" s="140"/>
      <c r="E13327" s="140"/>
    </row>
    <row r="13328" spans="1:5">
      <c r="A13328" s="140"/>
      <c r="B13328" s="192"/>
      <c r="C13328" s="140"/>
      <c r="D13328" s="140"/>
      <c r="E13328" s="140"/>
    </row>
    <row r="13329" spans="1:5">
      <c r="A13329" s="140"/>
      <c r="B13329" s="192"/>
      <c r="C13329" s="140"/>
      <c r="D13329" s="140"/>
      <c r="E13329" s="140"/>
    </row>
    <row r="13330" spans="1:5">
      <c r="A13330" s="140"/>
      <c r="B13330" s="192"/>
      <c r="C13330" s="140"/>
      <c r="D13330" s="140"/>
      <c r="E13330" s="140"/>
    </row>
    <row r="13331" spans="1:5">
      <c r="A13331" s="140"/>
      <c r="B13331" s="192"/>
      <c r="C13331" s="140"/>
      <c r="D13331" s="140"/>
      <c r="E13331" s="140"/>
    </row>
    <row r="13332" spans="1:5">
      <c r="A13332" s="140"/>
      <c r="B13332" s="192"/>
      <c r="C13332" s="140"/>
      <c r="D13332" s="140"/>
      <c r="E13332" s="140"/>
    </row>
    <row r="13333" spans="1:5">
      <c r="A13333" s="140"/>
      <c r="B13333" s="192"/>
      <c r="C13333" s="140"/>
      <c r="D13333" s="140"/>
      <c r="E13333" s="140"/>
    </row>
    <row r="13334" spans="1:5">
      <c r="A13334" s="140"/>
      <c r="B13334" s="192"/>
      <c r="C13334" s="140"/>
      <c r="D13334" s="140"/>
      <c r="E13334" s="140"/>
    </row>
    <row r="13335" spans="1:5">
      <c r="A13335" s="140"/>
      <c r="B13335" s="192"/>
      <c r="C13335" s="140"/>
      <c r="D13335" s="140"/>
      <c r="E13335" s="140"/>
    </row>
    <row r="13336" spans="1:5">
      <c r="A13336" s="140"/>
      <c r="B13336" s="192"/>
      <c r="C13336" s="140"/>
      <c r="D13336" s="140"/>
      <c r="E13336" s="140"/>
    </row>
    <row r="13337" spans="1:5">
      <c r="A13337" s="140"/>
      <c r="B13337" s="192"/>
      <c r="C13337" s="140"/>
      <c r="D13337" s="140"/>
      <c r="E13337" s="140"/>
    </row>
    <row r="13338" spans="1:5">
      <c r="A13338" s="140"/>
      <c r="B13338" s="192"/>
      <c r="C13338" s="140"/>
      <c r="D13338" s="140"/>
      <c r="E13338" s="140"/>
    </row>
    <row r="13339" spans="1:5">
      <c r="A13339" s="140"/>
      <c r="B13339" s="192"/>
      <c r="C13339" s="140"/>
      <c r="D13339" s="140"/>
      <c r="E13339" s="140"/>
    </row>
    <row r="13340" spans="1:5">
      <c r="A13340" s="140"/>
      <c r="B13340" s="192"/>
      <c r="C13340" s="140"/>
      <c r="D13340" s="140"/>
      <c r="E13340" s="140"/>
    </row>
    <row r="13341" spans="1:5">
      <c r="A13341" s="140"/>
      <c r="B13341" s="192"/>
      <c r="C13341" s="140"/>
      <c r="D13341" s="140"/>
      <c r="E13341" s="140"/>
    </row>
    <row r="13342" spans="1:5">
      <c r="A13342" s="140"/>
      <c r="B13342" s="192"/>
      <c r="C13342" s="140"/>
      <c r="D13342" s="140"/>
      <c r="E13342" s="140"/>
    </row>
    <row r="13343" spans="1:5">
      <c r="A13343" s="140"/>
      <c r="B13343" s="192"/>
      <c r="C13343" s="140"/>
      <c r="D13343" s="140"/>
      <c r="E13343" s="140"/>
    </row>
    <row r="13344" spans="1:5">
      <c r="A13344" s="140"/>
      <c r="B13344" s="192"/>
      <c r="C13344" s="140"/>
      <c r="D13344" s="140"/>
      <c r="E13344" s="140"/>
    </row>
    <row r="13345" spans="1:5">
      <c r="A13345" s="140"/>
      <c r="B13345" s="192"/>
      <c r="C13345" s="140"/>
      <c r="D13345" s="140"/>
      <c r="E13345" s="140"/>
    </row>
    <row r="13346" spans="1:5">
      <c r="A13346" s="140"/>
      <c r="B13346" s="192"/>
      <c r="C13346" s="140"/>
      <c r="D13346" s="140"/>
      <c r="E13346" s="140"/>
    </row>
    <row r="13347" spans="1:5">
      <c r="A13347" s="140"/>
      <c r="B13347" s="192"/>
      <c r="C13347" s="140"/>
      <c r="D13347" s="140"/>
      <c r="E13347" s="140"/>
    </row>
    <row r="13348" spans="1:5">
      <c r="A13348" s="140"/>
      <c r="B13348" s="192"/>
      <c r="C13348" s="140"/>
      <c r="D13348" s="140"/>
      <c r="E13348" s="140"/>
    </row>
    <row r="13349" spans="1:5">
      <c r="A13349" s="140"/>
      <c r="B13349" s="192"/>
      <c r="C13349" s="140"/>
      <c r="D13349" s="140"/>
      <c r="E13349" s="140"/>
    </row>
    <row r="13350" spans="1:5">
      <c r="A13350" s="140"/>
      <c r="B13350" s="192"/>
      <c r="C13350" s="140"/>
      <c r="D13350" s="140"/>
      <c r="E13350" s="140"/>
    </row>
    <row r="13351" spans="1:5">
      <c r="A13351" s="140"/>
      <c r="B13351" s="192"/>
      <c r="C13351" s="140"/>
      <c r="D13351" s="140"/>
      <c r="E13351" s="140"/>
    </row>
    <row r="13352" spans="1:5">
      <c r="A13352" s="140"/>
      <c r="B13352" s="192"/>
      <c r="C13352" s="140"/>
      <c r="D13352" s="140"/>
      <c r="E13352" s="140"/>
    </row>
    <row r="13353" spans="1:5">
      <c r="A13353" s="140"/>
      <c r="B13353" s="192"/>
      <c r="C13353" s="140"/>
      <c r="D13353" s="140"/>
      <c r="E13353" s="140"/>
    </row>
    <row r="13354" spans="1:5">
      <c r="A13354" s="140"/>
      <c r="B13354" s="192"/>
      <c r="C13354" s="140"/>
      <c r="D13354" s="140"/>
      <c r="E13354" s="140"/>
    </row>
    <row r="13355" spans="1:5">
      <c r="A13355" s="140"/>
      <c r="B13355" s="192"/>
      <c r="C13355" s="140"/>
      <c r="D13355" s="140"/>
      <c r="E13355" s="140"/>
    </row>
    <row r="13356" spans="1:5">
      <c r="A13356" s="140"/>
      <c r="B13356" s="192"/>
      <c r="C13356" s="140"/>
      <c r="D13356" s="140"/>
      <c r="E13356" s="140"/>
    </row>
    <row r="13357" spans="1:5">
      <c r="A13357" s="140"/>
      <c r="B13357" s="192"/>
      <c r="C13357" s="140"/>
      <c r="D13357" s="140"/>
      <c r="E13357" s="140"/>
    </row>
    <row r="13358" spans="1:5">
      <c r="A13358" s="140"/>
      <c r="B13358" s="192"/>
      <c r="C13358" s="140"/>
      <c r="D13358" s="140"/>
      <c r="E13358" s="140"/>
    </row>
    <row r="13359" spans="1:5">
      <c r="A13359" s="140"/>
      <c r="B13359" s="192"/>
      <c r="C13359" s="140"/>
      <c r="D13359" s="140"/>
      <c r="E13359" s="140"/>
    </row>
    <row r="13360" spans="1:5">
      <c r="A13360" s="140"/>
      <c r="B13360" s="192"/>
      <c r="C13360" s="140"/>
      <c r="D13360" s="140"/>
      <c r="E13360" s="140"/>
    </row>
    <row r="13361" spans="1:5">
      <c r="A13361" s="140"/>
      <c r="B13361" s="192"/>
      <c r="C13361" s="140"/>
      <c r="D13361" s="140"/>
      <c r="E13361" s="140"/>
    </row>
    <row r="13362" spans="1:5">
      <c r="A13362" s="140"/>
      <c r="B13362" s="192"/>
      <c r="C13362" s="140"/>
      <c r="D13362" s="140"/>
      <c r="E13362" s="140"/>
    </row>
    <row r="13363" spans="1:5">
      <c r="A13363" s="140"/>
      <c r="B13363" s="192"/>
      <c r="C13363" s="140"/>
      <c r="D13363" s="140"/>
      <c r="E13363" s="140"/>
    </row>
    <row r="13364" spans="1:5">
      <c r="A13364" s="140"/>
      <c r="B13364" s="192"/>
      <c r="C13364" s="140"/>
      <c r="D13364" s="140"/>
      <c r="E13364" s="140"/>
    </row>
    <row r="13365" spans="1:5">
      <c r="A13365" s="140"/>
      <c r="B13365" s="192"/>
      <c r="C13365" s="140"/>
      <c r="D13365" s="140"/>
      <c r="E13365" s="140"/>
    </row>
    <row r="13366" spans="1:5">
      <c r="A13366" s="140"/>
      <c r="B13366" s="192"/>
      <c r="C13366" s="140"/>
      <c r="D13366" s="140"/>
      <c r="E13366" s="140"/>
    </row>
    <row r="13367" spans="1:5">
      <c r="A13367" s="140"/>
      <c r="B13367" s="192"/>
      <c r="C13367" s="140"/>
      <c r="D13367" s="140"/>
      <c r="E13367" s="140"/>
    </row>
    <row r="13368" spans="1:5">
      <c r="A13368" s="140"/>
      <c r="B13368" s="192"/>
      <c r="C13368" s="140"/>
      <c r="D13368" s="140"/>
      <c r="E13368" s="140"/>
    </row>
    <row r="13369" spans="1:5">
      <c r="A13369" s="140"/>
      <c r="B13369" s="192"/>
      <c r="C13369" s="140"/>
      <c r="D13369" s="140"/>
      <c r="E13369" s="140"/>
    </row>
    <row r="13370" spans="1:5">
      <c r="A13370" s="140"/>
      <c r="B13370" s="192"/>
      <c r="C13370" s="140"/>
      <c r="D13370" s="140"/>
      <c r="E13370" s="140"/>
    </row>
    <row r="13371" spans="1:5">
      <c r="A13371" s="140"/>
      <c r="B13371" s="192"/>
      <c r="C13371" s="140"/>
      <c r="D13371" s="140"/>
      <c r="E13371" s="140"/>
    </row>
    <row r="13372" spans="1:5">
      <c r="A13372" s="140"/>
      <c r="B13372" s="192"/>
      <c r="C13372" s="140"/>
      <c r="D13372" s="140"/>
      <c r="E13372" s="140"/>
    </row>
    <row r="13373" spans="1:5">
      <c r="A13373" s="140"/>
      <c r="B13373" s="192"/>
      <c r="C13373" s="140"/>
      <c r="D13373" s="140"/>
      <c r="E13373" s="140"/>
    </row>
    <row r="13374" spans="1:5">
      <c r="A13374" s="140"/>
      <c r="B13374" s="192"/>
      <c r="C13374" s="140"/>
      <c r="D13374" s="140"/>
      <c r="E13374" s="140"/>
    </row>
    <row r="13375" spans="1:5">
      <c r="A13375" s="140"/>
      <c r="B13375" s="192"/>
      <c r="C13375" s="140"/>
      <c r="D13375" s="140"/>
      <c r="E13375" s="140"/>
    </row>
    <row r="13376" spans="1:5">
      <c r="A13376" s="140"/>
      <c r="B13376" s="192"/>
      <c r="C13376" s="140"/>
      <c r="D13376" s="140"/>
      <c r="E13376" s="140"/>
    </row>
    <row r="13377" spans="1:5">
      <c r="A13377" s="140"/>
      <c r="B13377" s="192"/>
      <c r="C13377" s="140"/>
      <c r="D13377" s="140"/>
      <c r="E13377" s="140"/>
    </row>
    <row r="13378" spans="1:5">
      <c r="A13378" s="140"/>
      <c r="B13378" s="192"/>
      <c r="C13378" s="140"/>
      <c r="D13378" s="140"/>
      <c r="E13378" s="140"/>
    </row>
    <row r="13379" spans="1:5">
      <c r="A13379" s="140"/>
      <c r="B13379" s="192"/>
      <c r="C13379" s="140"/>
      <c r="D13379" s="140"/>
      <c r="E13379" s="140"/>
    </row>
    <row r="13380" spans="1:5">
      <c r="A13380" s="140"/>
      <c r="B13380" s="192"/>
      <c r="C13380" s="140"/>
      <c r="D13380" s="140"/>
      <c r="E13380" s="140"/>
    </row>
    <row r="13381" spans="1:5">
      <c r="A13381" s="140"/>
      <c r="B13381" s="192"/>
      <c r="C13381" s="140"/>
      <c r="D13381" s="140"/>
      <c r="E13381" s="140"/>
    </row>
    <row r="13382" spans="1:5">
      <c r="A13382" s="140"/>
      <c r="B13382" s="192"/>
      <c r="C13382" s="140"/>
      <c r="D13382" s="140"/>
      <c r="E13382" s="140"/>
    </row>
    <row r="13383" spans="1:5">
      <c r="A13383" s="140"/>
      <c r="B13383" s="192"/>
      <c r="C13383" s="140"/>
      <c r="D13383" s="140"/>
      <c r="E13383" s="140"/>
    </row>
    <row r="13384" spans="1:5">
      <c r="A13384" s="140"/>
      <c r="B13384" s="192"/>
      <c r="C13384" s="140"/>
      <c r="D13384" s="140"/>
      <c r="E13384" s="140"/>
    </row>
    <row r="13385" spans="1:5">
      <c r="A13385" s="140"/>
      <c r="B13385" s="192"/>
      <c r="C13385" s="140"/>
      <c r="D13385" s="140"/>
      <c r="E13385" s="140"/>
    </row>
    <row r="13386" spans="1:5">
      <c r="A13386" s="140"/>
      <c r="B13386" s="192"/>
      <c r="C13386" s="140"/>
      <c r="D13386" s="140"/>
      <c r="E13386" s="140"/>
    </row>
    <row r="13387" spans="1:5">
      <c r="A13387" s="140"/>
      <c r="B13387" s="192"/>
      <c r="C13387" s="140"/>
      <c r="D13387" s="140"/>
      <c r="E13387" s="140"/>
    </row>
    <row r="13388" spans="1:5">
      <c r="A13388" s="140"/>
      <c r="B13388" s="192"/>
      <c r="C13388" s="140"/>
      <c r="D13388" s="140"/>
      <c r="E13388" s="140"/>
    </row>
    <row r="13389" spans="1:5">
      <c r="A13389" s="140"/>
      <c r="B13389" s="192"/>
      <c r="C13389" s="140"/>
      <c r="D13389" s="140"/>
      <c r="E13389" s="140"/>
    </row>
    <row r="13390" spans="1:5">
      <c r="A13390" s="140"/>
      <c r="B13390" s="192"/>
      <c r="C13390" s="140"/>
      <c r="D13390" s="140"/>
      <c r="E13390" s="140"/>
    </row>
    <row r="13391" spans="1:5">
      <c r="A13391" s="140"/>
      <c r="B13391" s="192"/>
      <c r="C13391" s="140"/>
      <c r="D13391" s="140"/>
      <c r="E13391" s="140"/>
    </row>
    <row r="13392" spans="1:5">
      <c r="A13392" s="140"/>
      <c r="B13392" s="192"/>
      <c r="C13392" s="140"/>
      <c r="D13392" s="140"/>
      <c r="E13392" s="140"/>
    </row>
    <row r="13393" spans="1:5">
      <c r="A13393" s="140"/>
      <c r="B13393" s="192"/>
      <c r="C13393" s="140"/>
      <c r="D13393" s="140"/>
      <c r="E13393" s="140"/>
    </row>
    <row r="13394" spans="1:5">
      <c r="A13394" s="140"/>
      <c r="B13394" s="192"/>
      <c r="C13394" s="140"/>
      <c r="D13394" s="140"/>
      <c r="E13394" s="140"/>
    </row>
    <row r="13395" spans="1:5">
      <c r="A13395" s="140"/>
      <c r="B13395" s="192"/>
      <c r="C13395" s="140"/>
      <c r="D13395" s="140"/>
      <c r="E13395" s="140"/>
    </row>
    <row r="13396" spans="1:5">
      <c r="A13396" s="140"/>
      <c r="B13396" s="192"/>
      <c r="C13396" s="140"/>
      <c r="D13396" s="140"/>
      <c r="E13396" s="140"/>
    </row>
    <row r="13397" spans="1:5">
      <c r="A13397" s="140"/>
      <c r="B13397" s="192"/>
      <c r="C13397" s="140"/>
      <c r="D13397" s="140"/>
      <c r="E13397" s="140"/>
    </row>
    <row r="13398" spans="1:5">
      <c r="A13398" s="140"/>
      <c r="B13398" s="192"/>
      <c r="C13398" s="140"/>
      <c r="D13398" s="140"/>
      <c r="E13398" s="140"/>
    </row>
    <row r="13399" spans="1:5">
      <c r="A13399" s="140"/>
      <c r="B13399" s="192"/>
      <c r="C13399" s="140"/>
      <c r="D13399" s="140"/>
      <c r="E13399" s="140"/>
    </row>
    <row r="13400" spans="1:5">
      <c r="A13400" s="140"/>
      <c r="B13400" s="192"/>
      <c r="C13400" s="140"/>
      <c r="D13400" s="140"/>
      <c r="E13400" s="140"/>
    </row>
    <row r="13401" spans="1:5">
      <c r="A13401" s="140"/>
      <c r="B13401" s="192"/>
      <c r="C13401" s="140"/>
      <c r="D13401" s="140"/>
      <c r="E13401" s="140"/>
    </row>
    <row r="13402" spans="1:5">
      <c r="A13402" s="140"/>
      <c r="B13402" s="192"/>
      <c r="C13402" s="140"/>
      <c r="D13402" s="140"/>
      <c r="E13402" s="140"/>
    </row>
    <row r="13403" spans="1:5">
      <c r="A13403" s="140"/>
      <c r="B13403" s="192"/>
      <c r="C13403" s="140"/>
      <c r="D13403" s="140"/>
      <c r="E13403" s="140"/>
    </row>
    <row r="13404" spans="1:5">
      <c r="A13404" s="140"/>
      <c r="B13404" s="192"/>
      <c r="C13404" s="140"/>
      <c r="D13404" s="140"/>
      <c r="E13404" s="140"/>
    </row>
    <row r="13405" spans="1:5">
      <c r="A13405" s="140"/>
      <c r="B13405" s="192"/>
      <c r="C13405" s="140"/>
      <c r="D13405" s="140"/>
      <c r="E13405" s="140"/>
    </row>
    <row r="13406" spans="1:5">
      <c r="A13406" s="140"/>
      <c r="B13406" s="192"/>
      <c r="C13406" s="140"/>
      <c r="D13406" s="140"/>
      <c r="E13406" s="140"/>
    </row>
    <row r="13407" spans="1:5">
      <c r="A13407" s="140"/>
      <c r="B13407" s="192"/>
      <c r="C13407" s="140"/>
      <c r="D13407" s="140"/>
      <c r="E13407" s="140"/>
    </row>
    <row r="13408" spans="1:5">
      <c r="A13408" s="140"/>
      <c r="B13408" s="192"/>
      <c r="C13408" s="140"/>
      <c r="D13408" s="140"/>
      <c r="E13408" s="140"/>
    </row>
    <row r="13409" spans="1:5">
      <c r="A13409" s="140"/>
      <c r="B13409" s="192"/>
      <c r="C13409" s="140"/>
      <c r="D13409" s="140"/>
      <c r="E13409" s="140"/>
    </row>
    <row r="13410" spans="1:5">
      <c r="A13410" s="140"/>
      <c r="B13410" s="192"/>
      <c r="C13410" s="140"/>
      <c r="D13410" s="140"/>
      <c r="E13410" s="140"/>
    </row>
    <row r="13411" spans="1:5">
      <c r="A13411" s="140"/>
      <c r="B13411" s="192"/>
      <c r="C13411" s="140"/>
      <c r="D13411" s="140"/>
      <c r="E13411" s="140"/>
    </row>
    <row r="13412" spans="1:5">
      <c r="A13412" s="140"/>
      <c r="B13412" s="192"/>
      <c r="C13412" s="140"/>
      <c r="D13412" s="140"/>
      <c r="E13412" s="140"/>
    </row>
    <row r="13413" spans="1:5">
      <c r="A13413" s="140"/>
      <c r="B13413" s="192"/>
      <c r="C13413" s="140"/>
      <c r="D13413" s="140"/>
      <c r="E13413" s="140"/>
    </row>
    <row r="13414" spans="1:5">
      <c r="A13414" s="140"/>
      <c r="B13414" s="192"/>
      <c r="C13414" s="140"/>
      <c r="D13414" s="140"/>
      <c r="E13414" s="140"/>
    </row>
    <row r="13415" spans="1:5">
      <c r="A13415" s="140"/>
      <c r="B13415" s="192"/>
      <c r="C13415" s="140"/>
      <c r="D13415" s="140"/>
      <c r="E13415" s="140"/>
    </row>
    <row r="13416" spans="1:5">
      <c r="A13416" s="140"/>
      <c r="B13416" s="192"/>
      <c r="C13416" s="140"/>
      <c r="D13416" s="140"/>
      <c r="E13416" s="140"/>
    </row>
    <row r="13417" spans="1:5">
      <c r="A13417" s="140"/>
      <c r="B13417" s="192"/>
      <c r="C13417" s="140"/>
      <c r="D13417" s="140"/>
      <c r="E13417" s="140"/>
    </row>
    <row r="13418" spans="1:5">
      <c r="A13418" s="140"/>
      <c r="B13418" s="192"/>
      <c r="C13418" s="140"/>
      <c r="D13418" s="140"/>
      <c r="E13418" s="140"/>
    </row>
    <row r="13419" spans="1:5">
      <c r="A13419" s="140"/>
      <c r="B13419" s="192"/>
      <c r="C13419" s="140"/>
      <c r="D13419" s="140"/>
      <c r="E13419" s="140"/>
    </row>
    <row r="13420" spans="1:5">
      <c r="A13420" s="140"/>
      <c r="B13420" s="192"/>
      <c r="C13420" s="140"/>
      <c r="D13420" s="140"/>
      <c r="E13420" s="140"/>
    </row>
    <row r="13421" spans="1:5">
      <c r="A13421" s="140"/>
      <c r="B13421" s="192"/>
      <c r="C13421" s="140"/>
      <c r="D13421" s="140"/>
      <c r="E13421" s="140"/>
    </row>
    <row r="13422" spans="1:5">
      <c r="A13422" s="140"/>
      <c r="B13422" s="192"/>
      <c r="C13422" s="140"/>
      <c r="D13422" s="140"/>
      <c r="E13422" s="140"/>
    </row>
    <row r="13423" spans="1:5">
      <c r="A13423" s="140"/>
      <c r="B13423" s="192"/>
      <c r="C13423" s="140"/>
      <c r="D13423" s="140"/>
      <c r="E13423" s="140"/>
    </row>
    <row r="13424" spans="1:5">
      <c r="A13424" s="140"/>
      <c r="B13424" s="192"/>
      <c r="C13424" s="140"/>
      <c r="D13424" s="140"/>
      <c r="E13424" s="140"/>
    </row>
    <row r="13425" spans="1:5">
      <c r="A13425" s="140"/>
      <c r="B13425" s="192"/>
      <c r="C13425" s="140"/>
      <c r="D13425" s="140"/>
      <c r="E13425" s="140"/>
    </row>
    <row r="13426" spans="1:5">
      <c r="A13426" s="140"/>
      <c r="B13426" s="192"/>
      <c r="C13426" s="140"/>
      <c r="D13426" s="140"/>
      <c r="E13426" s="140"/>
    </row>
    <row r="13427" spans="1:5">
      <c r="A13427" s="140"/>
      <c r="B13427" s="192"/>
      <c r="C13427" s="140"/>
      <c r="D13427" s="140"/>
      <c r="E13427" s="140"/>
    </row>
    <row r="13428" spans="1:5">
      <c r="A13428" s="140"/>
      <c r="B13428" s="192"/>
      <c r="C13428" s="140"/>
      <c r="D13428" s="140"/>
      <c r="E13428" s="140"/>
    </row>
    <row r="13429" spans="1:5">
      <c r="A13429" s="140"/>
      <c r="B13429" s="192"/>
      <c r="C13429" s="140"/>
      <c r="D13429" s="140"/>
      <c r="E13429" s="140"/>
    </row>
    <row r="13430" spans="1:5">
      <c r="A13430" s="140"/>
      <c r="B13430" s="192"/>
      <c r="C13430" s="140"/>
      <c r="D13430" s="140"/>
      <c r="E13430" s="140"/>
    </row>
    <row r="13431" spans="1:5">
      <c r="A13431" s="140"/>
      <c r="B13431" s="192"/>
      <c r="C13431" s="140"/>
      <c r="D13431" s="140"/>
      <c r="E13431" s="140"/>
    </row>
    <row r="13432" spans="1:5">
      <c r="A13432" s="140"/>
      <c r="B13432" s="192"/>
      <c r="C13432" s="140"/>
      <c r="D13432" s="140"/>
      <c r="E13432" s="140"/>
    </row>
    <row r="13433" spans="1:5">
      <c r="A13433" s="140"/>
      <c r="B13433" s="192"/>
      <c r="C13433" s="140"/>
      <c r="D13433" s="140"/>
      <c r="E13433" s="140"/>
    </row>
    <row r="13434" spans="1:5">
      <c r="A13434" s="140"/>
      <c r="B13434" s="192"/>
      <c r="C13434" s="140"/>
      <c r="D13434" s="140"/>
      <c r="E13434" s="140"/>
    </row>
    <row r="13435" spans="1:5">
      <c r="A13435" s="140"/>
      <c r="B13435" s="192"/>
      <c r="C13435" s="140"/>
      <c r="D13435" s="140"/>
      <c r="E13435" s="140"/>
    </row>
    <row r="13436" spans="1:5">
      <c r="A13436" s="140"/>
      <c r="B13436" s="192"/>
      <c r="C13436" s="140"/>
      <c r="D13436" s="140"/>
      <c r="E13436" s="140"/>
    </row>
    <row r="13437" spans="1:5">
      <c r="A13437" s="140"/>
      <c r="B13437" s="192"/>
      <c r="C13437" s="140"/>
      <c r="D13437" s="140"/>
      <c r="E13437" s="140"/>
    </row>
    <row r="13438" spans="1:5">
      <c r="A13438" s="140"/>
      <c r="B13438" s="192"/>
      <c r="C13438" s="140"/>
      <c r="D13438" s="140"/>
      <c r="E13438" s="140"/>
    </row>
    <row r="13439" spans="1:5">
      <c r="A13439" s="140"/>
      <c r="B13439" s="192"/>
      <c r="C13439" s="140"/>
      <c r="D13439" s="140"/>
      <c r="E13439" s="140"/>
    </row>
    <row r="13440" spans="1:5">
      <c r="A13440" s="140"/>
      <c r="B13440" s="192"/>
      <c r="C13440" s="140"/>
      <c r="D13440" s="140"/>
      <c r="E13440" s="140"/>
    </row>
    <row r="13441" spans="1:5">
      <c r="A13441" s="140"/>
      <c r="B13441" s="192"/>
      <c r="C13441" s="140"/>
      <c r="D13441" s="140"/>
      <c r="E13441" s="140"/>
    </row>
    <row r="13442" spans="1:5">
      <c r="A13442" s="140"/>
      <c r="B13442" s="192"/>
      <c r="C13442" s="140"/>
      <c r="D13442" s="140"/>
      <c r="E13442" s="140"/>
    </row>
    <row r="13443" spans="1:5">
      <c r="A13443" s="140"/>
      <c r="B13443" s="192"/>
      <c r="C13443" s="140"/>
      <c r="D13443" s="140"/>
      <c r="E13443" s="140"/>
    </row>
    <row r="13444" spans="1:5">
      <c r="A13444" s="140"/>
      <c r="B13444" s="192"/>
      <c r="C13444" s="140"/>
      <c r="D13444" s="140"/>
      <c r="E13444" s="140"/>
    </row>
    <row r="13445" spans="1:5">
      <c r="A13445" s="140"/>
      <c r="B13445" s="192"/>
      <c r="C13445" s="140"/>
      <c r="D13445" s="140"/>
      <c r="E13445" s="140"/>
    </row>
    <row r="13446" spans="1:5">
      <c r="A13446" s="140"/>
      <c r="B13446" s="192"/>
      <c r="C13446" s="140"/>
      <c r="D13446" s="140"/>
      <c r="E13446" s="140"/>
    </row>
    <row r="13447" spans="1:5">
      <c r="A13447" s="140"/>
      <c r="B13447" s="192"/>
      <c r="C13447" s="140"/>
      <c r="D13447" s="140"/>
      <c r="E13447" s="140"/>
    </row>
    <row r="13448" spans="1:5">
      <c r="A13448" s="140"/>
      <c r="B13448" s="192"/>
      <c r="C13448" s="140"/>
      <c r="D13448" s="140"/>
      <c r="E13448" s="140"/>
    </row>
    <row r="13449" spans="1:5">
      <c r="A13449" s="140"/>
      <c r="B13449" s="192"/>
      <c r="C13449" s="140"/>
      <c r="D13449" s="140"/>
      <c r="E13449" s="140"/>
    </row>
    <row r="13450" spans="1:5">
      <c r="A13450" s="140"/>
      <c r="B13450" s="192"/>
      <c r="C13450" s="140"/>
      <c r="D13450" s="140"/>
      <c r="E13450" s="140"/>
    </row>
    <row r="13451" spans="1:5">
      <c r="A13451" s="140"/>
      <c r="B13451" s="192"/>
      <c r="C13451" s="140"/>
      <c r="D13451" s="140"/>
      <c r="E13451" s="140"/>
    </row>
    <row r="13452" spans="1:5">
      <c r="A13452" s="140"/>
      <c r="B13452" s="192"/>
      <c r="C13452" s="140"/>
      <c r="D13452" s="140"/>
      <c r="E13452" s="140"/>
    </row>
    <row r="13453" spans="1:5">
      <c r="A13453" s="140"/>
      <c r="B13453" s="192"/>
      <c r="C13453" s="140"/>
      <c r="D13453" s="140"/>
      <c r="E13453" s="140"/>
    </row>
    <row r="13454" spans="1:5">
      <c r="A13454" s="140"/>
      <c r="B13454" s="192"/>
      <c r="C13454" s="140"/>
      <c r="D13454" s="140"/>
      <c r="E13454" s="140"/>
    </row>
    <row r="13455" spans="1:5">
      <c r="A13455" s="140"/>
      <c r="B13455" s="192"/>
      <c r="C13455" s="140"/>
      <c r="D13455" s="140"/>
      <c r="E13455" s="140"/>
    </row>
    <row r="13456" spans="1:5">
      <c r="A13456" s="140"/>
      <c r="B13456" s="192"/>
      <c r="C13456" s="140"/>
      <c r="D13456" s="140"/>
      <c r="E13456" s="140"/>
    </row>
    <row r="13457" spans="1:5">
      <c r="A13457" s="140"/>
      <c r="B13457" s="192"/>
      <c r="C13457" s="140"/>
      <c r="D13457" s="140"/>
      <c r="E13457" s="140"/>
    </row>
    <row r="13458" spans="1:5">
      <c r="A13458" s="140"/>
      <c r="B13458" s="192"/>
      <c r="C13458" s="140"/>
      <c r="D13458" s="140"/>
      <c r="E13458" s="140"/>
    </row>
    <row r="13459" spans="1:5">
      <c r="A13459" s="140"/>
      <c r="B13459" s="192"/>
      <c r="C13459" s="140"/>
      <c r="D13459" s="140"/>
      <c r="E13459" s="140"/>
    </row>
    <row r="13460" spans="1:5">
      <c r="A13460" s="140"/>
      <c r="B13460" s="192"/>
      <c r="C13460" s="140"/>
      <c r="D13460" s="140"/>
      <c r="E13460" s="140"/>
    </row>
    <row r="13461" spans="1:5">
      <c r="A13461" s="140"/>
      <c r="B13461" s="192"/>
      <c r="C13461" s="140"/>
      <c r="D13461" s="140"/>
      <c r="E13461" s="140"/>
    </row>
    <row r="13462" spans="1:5">
      <c r="A13462" s="140"/>
      <c r="B13462" s="192"/>
      <c r="C13462" s="140"/>
      <c r="D13462" s="140"/>
      <c r="E13462" s="140"/>
    </row>
    <row r="13463" spans="1:5">
      <c r="A13463" s="140"/>
      <c r="B13463" s="192"/>
      <c r="C13463" s="140"/>
      <c r="D13463" s="140"/>
      <c r="E13463" s="140"/>
    </row>
    <row r="13464" spans="1:5">
      <c r="A13464" s="140"/>
      <c r="B13464" s="192"/>
      <c r="C13464" s="140"/>
      <c r="D13464" s="140"/>
      <c r="E13464" s="140"/>
    </row>
    <row r="13465" spans="1:5">
      <c r="A13465" s="140"/>
      <c r="B13465" s="192"/>
      <c r="C13465" s="140"/>
      <c r="D13465" s="140"/>
      <c r="E13465" s="140"/>
    </row>
    <row r="13466" spans="1:5">
      <c r="A13466" s="140"/>
      <c r="B13466" s="192"/>
      <c r="C13466" s="140"/>
      <c r="D13466" s="140"/>
      <c r="E13466" s="140"/>
    </row>
    <row r="13467" spans="1:5">
      <c r="A13467" s="140"/>
      <c r="B13467" s="192"/>
      <c r="C13467" s="140"/>
      <c r="D13467" s="140"/>
      <c r="E13467" s="140"/>
    </row>
    <row r="13468" spans="1:5">
      <c r="A13468" s="140"/>
      <c r="B13468" s="192"/>
      <c r="C13468" s="140"/>
      <c r="D13468" s="140"/>
      <c r="E13468" s="140"/>
    </row>
    <row r="13469" spans="1:5">
      <c r="A13469" s="140"/>
      <c r="B13469" s="192"/>
      <c r="C13469" s="140"/>
      <c r="D13469" s="140"/>
      <c r="E13469" s="140"/>
    </row>
    <row r="13470" spans="1:5">
      <c r="A13470" s="140"/>
      <c r="B13470" s="192"/>
      <c r="C13470" s="140"/>
      <c r="D13470" s="140"/>
      <c r="E13470" s="140"/>
    </row>
    <row r="13471" spans="1:5">
      <c r="A13471" s="140"/>
      <c r="B13471" s="192"/>
      <c r="C13471" s="140"/>
      <c r="D13471" s="140"/>
      <c r="E13471" s="140"/>
    </row>
    <row r="13472" spans="1:5">
      <c r="A13472" s="140"/>
      <c r="B13472" s="192"/>
      <c r="C13472" s="140"/>
      <c r="D13472" s="140"/>
      <c r="E13472" s="140"/>
    </row>
    <row r="13473" spans="1:5">
      <c r="A13473" s="140"/>
      <c r="B13473" s="192"/>
      <c r="C13473" s="140"/>
      <c r="D13473" s="140"/>
      <c r="E13473" s="140"/>
    </row>
    <row r="13474" spans="1:5">
      <c r="A13474" s="140"/>
      <c r="B13474" s="192"/>
      <c r="C13474" s="140"/>
      <c r="D13474" s="140"/>
      <c r="E13474" s="140"/>
    </row>
    <row r="13475" spans="1:5">
      <c r="A13475" s="140"/>
      <c r="B13475" s="192"/>
      <c r="C13475" s="140"/>
      <c r="D13475" s="140"/>
      <c r="E13475" s="140"/>
    </row>
    <row r="13476" spans="1:5">
      <c r="A13476" s="140"/>
      <c r="B13476" s="192"/>
      <c r="C13476" s="140"/>
      <c r="D13476" s="140"/>
      <c r="E13476" s="140"/>
    </row>
    <row r="13477" spans="1:5">
      <c r="A13477" s="140"/>
      <c r="B13477" s="192"/>
      <c r="C13477" s="140"/>
      <c r="D13477" s="140"/>
      <c r="E13477" s="140"/>
    </row>
    <row r="13478" spans="1:5">
      <c r="A13478" s="140"/>
      <c r="B13478" s="192"/>
      <c r="C13478" s="140"/>
      <c r="D13478" s="140"/>
      <c r="E13478" s="140"/>
    </row>
    <row r="13479" spans="1:5">
      <c r="A13479" s="140"/>
      <c r="B13479" s="192"/>
      <c r="C13479" s="140"/>
      <c r="D13479" s="140"/>
      <c r="E13479" s="140"/>
    </row>
    <row r="13480" spans="1:5">
      <c r="A13480" s="140"/>
      <c r="B13480" s="192"/>
      <c r="C13480" s="140"/>
      <c r="D13480" s="140"/>
      <c r="E13480" s="140"/>
    </row>
    <row r="13481" spans="1:5">
      <c r="A13481" s="140"/>
      <c r="B13481" s="192"/>
      <c r="C13481" s="140"/>
      <c r="D13481" s="140"/>
      <c r="E13481" s="140"/>
    </row>
    <row r="13482" spans="1:5">
      <c r="A13482" s="140"/>
      <c r="B13482" s="192"/>
      <c r="C13482" s="140"/>
      <c r="D13482" s="140"/>
      <c r="E13482" s="140"/>
    </row>
    <row r="13483" spans="1:5">
      <c r="A13483" s="140"/>
      <c r="B13483" s="192"/>
      <c r="C13483" s="140"/>
      <c r="D13483" s="140"/>
      <c r="E13483" s="140"/>
    </row>
    <row r="13484" spans="1:5">
      <c r="A13484" s="140"/>
      <c r="B13484" s="192"/>
      <c r="C13484" s="140"/>
      <c r="D13484" s="140"/>
      <c r="E13484" s="140"/>
    </row>
    <row r="13485" spans="1:5">
      <c r="A13485" s="140"/>
      <c r="B13485" s="192"/>
      <c r="C13485" s="140"/>
      <c r="D13485" s="140"/>
      <c r="E13485" s="140"/>
    </row>
    <row r="13486" spans="1:5">
      <c r="A13486" s="140"/>
      <c r="B13486" s="192"/>
      <c r="C13486" s="140"/>
      <c r="D13486" s="140"/>
      <c r="E13486" s="140"/>
    </row>
    <row r="13487" spans="1:5">
      <c r="A13487" s="140"/>
      <c r="B13487" s="192"/>
      <c r="C13487" s="140"/>
      <c r="D13487" s="140"/>
      <c r="E13487" s="140"/>
    </row>
    <row r="13488" spans="1:5">
      <c r="A13488" s="140"/>
      <c r="B13488" s="192"/>
      <c r="C13488" s="140"/>
      <c r="D13488" s="140"/>
      <c r="E13488" s="140"/>
    </row>
    <row r="13489" spans="1:5">
      <c r="A13489" s="140"/>
      <c r="B13489" s="192"/>
      <c r="C13489" s="140"/>
      <c r="D13489" s="140"/>
      <c r="E13489" s="140"/>
    </row>
    <row r="13490" spans="1:5">
      <c r="A13490" s="140"/>
      <c r="B13490" s="192"/>
      <c r="C13490" s="140"/>
      <c r="D13490" s="140"/>
      <c r="E13490" s="140"/>
    </row>
    <row r="13491" spans="1:5">
      <c r="A13491" s="140"/>
      <c r="B13491" s="192"/>
      <c r="C13491" s="140"/>
      <c r="D13491" s="140"/>
      <c r="E13491" s="140"/>
    </row>
    <row r="13492" spans="1:5">
      <c r="A13492" s="140"/>
      <c r="B13492" s="192"/>
      <c r="C13492" s="140"/>
      <c r="D13492" s="140"/>
      <c r="E13492" s="140"/>
    </row>
    <row r="13493" spans="1:5">
      <c r="A13493" s="140"/>
      <c r="B13493" s="192"/>
      <c r="C13493" s="140"/>
      <c r="D13493" s="140"/>
      <c r="E13493" s="140"/>
    </row>
    <row r="13494" spans="1:5">
      <c r="A13494" s="140"/>
      <c r="B13494" s="192"/>
      <c r="C13494" s="140"/>
      <c r="D13494" s="140"/>
      <c r="E13494" s="140"/>
    </row>
    <row r="13495" spans="1:5">
      <c r="A13495" s="140"/>
      <c r="B13495" s="192"/>
      <c r="C13495" s="140"/>
      <c r="D13495" s="140"/>
      <c r="E13495" s="140"/>
    </row>
    <row r="13496" spans="1:5">
      <c r="A13496" s="140"/>
      <c r="B13496" s="192"/>
      <c r="C13496" s="140"/>
      <c r="D13496" s="140"/>
      <c r="E13496" s="140"/>
    </row>
    <row r="13497" spans="1:5">
      <c r="A13497" s="140"/>
      <c r="B13497" s="192"/>
      <c r="C13497" s="140"/>
      <c r="D13497" s="140"/>
      <c r="E13497" s="140"/>
    </row>
    <row r="13498" spans="1:5">
      <c r="A13498" s="140"/>
      <c r="B13498" s="192"/>
      <c r="C13498" s="140"/>
      <c r="D13498" s="140"/>
      <c r="E13498" s="140"/>
    </row>
    <row r="13499" spans="1:5">
      <c r="A13499" s="140"/>
      <c r="B13499" s="192"/>
      <c r="C13499" s="140"/>
      <c r="D13499" s="140"/>
      <c r="E13499" s="140"/>
    </row>
    <row r="13500" spans="1:5">
      <c r="A13500" s="140"/>
      <c r="B13500" s="192"/>
      <c r="C13500" s="140"/>
      <c r="D13500" s="140"/>
      <c r="E13500" s="140"/>
    </row>
    <row r="13501" spans="1:5">
      <c r="A13501" s="140"/>
      <c r="B13501" s="192"/>
      <c r="C13501" s="140"/>
      <c r="D13501" s="140"/>
      <c r="E13501" s="140"/>
    </row>
    <row r="13502" spans="1:5">
      <c r="A13502" s="140"/>
      <c r="B13502" s="192"/>
      <c r="C13502" s="140"/>
      <c r="D13502" s="140"/>
      <c r="E13502" s="140"/>
    </row>
    <row r="13503" spans="1:5">
      <c r="A13503" s="140"/>
      <c r="B13503" s="192"/>
      <c r="C13503" s="140"/>
      <c r="D13503" s="140"/>
      <c r="E13503" s="140"/>
    </row>
    <row r="13504" spans="1:5">
      <c r="A13504" s="140"/>
      <c r="B13504" s="192"/>
      <c r="C13504" s="140"/>
      <c r="D13504" s="140"/>
      <c r="E13504" s="140"/>
    </row>
    <row r="13505" spans="1:5">
      <c r="A13505" s="140"/>
      <c r="B13505" s="192"/>
      <c r="C13505" s="140"/>
      <c r="D13505" s="140"/>
      <c r="E13505" s="140"/>
    </row>
    <row r="13506" spans="1:5">
      <c r="A13506" s="140"/>
      <c r="B13506" s="192"/>
      <c r="C13506" s="140"/>
      <c r="D13506" s="140"/>
      <c r="E13506" s="140"/>
    </row>
    <row r="13507" spans="1:5">
      <c r="A13507" s="140"/>
      <c r="B13507" s="192"/>
      <c r="C13507" s="140"/>
      <c r="D13507" s="140"/>
      <c r="E13507" s="140"/>
    </row>
    <row r="13508" spans="1:5">
      <c r="A13508" s="140"/>
      <c r="B13508" s="192"/>
      <c r="C13508" s="140"/>
      <c r="D13508" s="140"/>
      <c r="E13508" s="140"/>
    </row>
    <row r="13509" spans="1:5">
      <c r="A13509" s="140"/>
      <c r="B13509" s="192"/>
      <c r="C13509" s="140"/>
      <c r="D13509" s="140"/>
      <c r="E13509" s="140"/>
    </row>
    <row r="13510" spans="1:5">
      <c r="A13510" s="140"/>
      <c r="B13510" s="192"/>
      <c r="C13510" s="140"/>
      <c r="D13510" s="140"/>
      <c r="E13510" s="140"/>
    </row>
    <row r="13511" spans="1:5">
      <c r="A13511" s="140"/>
      <c r="B13511" s="192"/>
      <c r="C13511" s="140"/>
      <c r="D13511" s="140"/>
      <c r="E13511" s="140"/>
    </row>
    <row r="13512" spans="1:5">
      <c r="A13512" s="140"/>
      <c r="B13512" s="192"/>
      <c r="C13512" s="140"/>
      <c r="D13512" s="140"/>
      <c r="E13512" s="140"/>
    </row>
    <row r="13513" spans="1:5">
      <c r="A13513" s="140"/>
      <c r="B13513" s="192"/>
      <c r="C13513" s="140"/>
      <c r="D13513" s="140"/>
      <c r="E13513" s="140"/>
    </row>
    <row r="13514" spans="1:5">
      <c r="A13514" s="140"/>
      <c r="B13514" s="192"/>
      <c r="C13514" s="140"/>
      <c r="D13514" s="140"/>
      <c r="E13514" s="140"/>
    </row>
    <row r="13515" spans="1:5">
      <c r="A13515" s="140"/>
      <c r="B13515" s="192"/>
      <c r="C13515" s="140"/>
      <c r="D13515" s="140"/>
      <c r="E13515" s="140"/>
    </row>
    <row r="13516" spans="1:5">
      <c r="A13516" s="140"/>
      <c r="B13516" s="192"/>
      <c r="C13516" s="140"/>
      <c r="D13516" s="140"/>
      <c r="E13516" s="140"/>
    </row>
    <row r="13517" spans="1:5">
      <c r="A13517" s="140"/>
      <c r="B13517" s="192"/>
      <c r="C13517" s="140"/>
      <c r="D13517" s="140"/>
      <c r="E13517" s="140"/>
    </row>
    <row r="13518" spans="1:5">
      <c r="A13518" s="140"/>
      <c r="B13518" s="192"/>
      <c r="C13518" s="140"/>
      <c r="D13518" s="140"/>
      <c r="E13518" s="140"/>
    </row>
    <row r="13519" spans="1:5">
      <c r="A13519" s="140"/>
      <c r="B13519" s="192"/>
      <c r="C13519" s="140"/>
      <c r="D13519" s="140"/>
      <c r="E13519" s="140"/>
    </row>
    <row r="13520" spans="1:5">
      <c r="A13520" s="140"/>
      <c r="B13520" s="192"/>
      <c r="C13520" s="140"/>
      <c r="D13520" s="140"/>
      <c r="E13520" s="140"/>
    </row>
    <row r="13521" spans="1:5">
      <c r="A13521" s="140"/>
      <c r="B13521" s="192"/>
      <c r="C13521" s="140"/>
      <c r="D13521" s="140"/>
      <c r="E13521" s="140"/>
    </row>
    <row r="13522" spans="1:5">
      <c r="A13522" s="140"/>
      <c r="B13522" s="192"/>
      <c r="C13522" s="140"/>
      <c r="D13522" s="140"/>
      <c r="E13522" s="140"/>
    </row>
    <row r="13523" spans="1:5">
      <c r="A13523" s="140"/>
      <c r="B13523" s="192"/>
      <c r="C13523" s="140"/>
      <c r="D13523" s="140"/>
      <c r="E13523" s="140"/>
    </row>
    <row r="13524" spans="1:5">
      <c r="A13524" s="140"/>
      <c r="B13524" s="192"/>
      <c r="C13524" s="140"/>
      <c r="D13524" s="140"/>
      <c r="E13524" s="140"/>
    </row>
    <row r="13525" spans="1:5">
      <c r="A13525" s="140"/>
      <c r="B13525" s="192"/>
      <c r="C13525" s="140"/>
      <c r="D13525" s="140"/>
      <c r="E13525" s="140"/>
    </row>
    <row r="13526" spans="1:5">
      <c r="A13526" s="140"/>
      <c r="B13526" s="192"/>
      <c r="C13526" s="140"/>
      <c r="D13526" s="140"/>
      <c r="E13526" s="140"/>
    </row>
    <row r="13527" spans="1:5">
      <c r="A13527" s="140"/>
      <c r="B13527" s="192"/>
      <c r="C13527" s="140"/>
      <c r="D13527" s="140"/>
      <c r="E13527" s="140"/>
    </row>
    <row r="13528" spans="1:5">
      <c r="A13528" s="140"/>
      <c r="B13528" s="192"/>
      <c r="C13528" s="140"/>
      <c r="D13528" s="140"/>
      <c r="E13528" s="140"/>
    </row>
    <row r="13529" spans="1:5">
      <c r="A13529" s="140"/>
      <c r="B13529" s="192"/>
      <c r="C13529" s="140"/>
      <c r="D13529" s="140"/>
      <c r="E13529" s="140"/>
    </row>
    <row r="13530" spans="1:5">
      <c r="A13530" s="140"/>
      <c r="B13530" s="192"/>
      <c r="C13530" s="140"/>
      <c r="D13530" s="140"/>
      <c r="E13530" s="140"/>
    </row>
    <row r="13531" spans="1:5">
      <c r="A13531" s="140"/>
      <c r="B13531" s="192"/>
      <c r="C13531" s="140"/>
      <c r="D13531" s="140"/>
      <c r="E13531" s="140"/>
    </row>
    <row r="13532" spans="1:5">
      <c r="A13532" s="140"/>
      <c r="B13532" s="192"/>
      <c r="C13532" s="140"/>
      <c r="D13532" s="140"/>
      <c r="E13532" s="140"/>
    </row>
    <row r="13533" spans="1:5">
      <c r="A13533" s="140"/>
      <c r="B13533" s="192"/>
      <c r="C13533" s="140"/>
      <c r="D13533" s="140"/>
      <c r="E13533" s="140"/>
    </row>
    <row r="13534" spans="1:5">
      <c r="A13534" s="140"/>
      <c r="B13534" s="192"/>
      <c r="C13534" s="140"/>
      <c r="D13534" s="140"/>
      <c r="E13534" s="140"/>
    </row>
    <row r="13535" spans="1:5">
      <c r="A13535" s="140"/>
      <c r="B13535" s="192"/>
      <c r="C13535" s="140"/>
      <c r="D13535" s="140"/>
      <c r="E13535" s="140"/>
    </row>
    <row r="13536" spans="1:5">
      <c r="A13536" s="140"/>
      <c r="B13536" s="192"/>
      <c r="C13536" s="140"/>
      <c r="D13536" s="140"/>
      <c r="E13536" s="140"/>
    </row>
    <row r="13537" spans="1:5">
      <c r="A13537" s="140"/>
      <c r="B13537" s="192"/>
      <c r="C13537" s="140"/>
      <c r="D13537" s="140"/>
      <c r="E13537" s="140"/>
    </row>
    <row r="13538" spans="1:5">
      <c r="A13538" s="140"/>
      <c r="B13538" s="192"/>
      <c r="C13538" s="140"/>
      <c r="D13538" s="140"/>
      <c r="E13538" s="140"/>
    </row>
    <row r="13539" spans="1:5">
      <c r="A13539" s="140"/>
      <c r="B13539" s="192"/>
      <c r="C13539" s="140"/>
      <c r="D13539" s="140"/>
      <c r="E13539" s="140"/>
    </row>
    <row r="13540" spans="1:5">
      <c r="A13540" s="140"/>
      <c r="B13540" s="192"/>
      <c r="C13540" s="140"/>
      <c r="D13540" s="140"/>
      <c r="E13540" s="140"/>
    </row>
    <row r="13541" spans="1:5">
      <c r="A13541" s="140"/>
      <c r="B13541" s="192"/>
      <c r="C13541" s="140"/>
      <c r="D13541" s="140"/>
      <c r="E13541" s="140"/>
    </row>
    <row r="13542" spans="1:5">
      <c r="A13542" s="140"/>
      <c r="B13542" s="192"/>
      <c r="C13542" s="140"/>
      <c r="D13542" s="140"/>
      <c r="E13542" s="140"/>
    </row>
    <row r="13543" spans="1:5">
      <c r="A13543" s="140"/>
      <c r="B13543" s="192"/>
      <c r="C13543" s="140"/>
      <c r="D13543" s="140"/>
      <c r="E13543" s="140"/>
    </row>
    <row r="13544" spans="1:5">
      <c r="A13544" s="140"/>
      <c r="B13544" s="192"/>
      <c r="C13544" s="140"/>
      <c r="D13544" s="140"/>
      <c r="E13544" s="140"/>
    </row>
    <row r="13545" spans="1:5">
      <c r="A13545" s="140"/>
      <c r="B13545" s="192"/>
      <c r="C13545" s="140"/>
      <c r="D13545" s="140"/>
      <c r="E13545" s="140"/>
    </row>
    <row r="13546" spans="1:5">
      <c r="A13546" s="140"/>
      <c r="B13546" s="192"/>
      <c r="C13546" s="140"/>
      <c r="D13546" s="140"/>
      <c r="E13546" s="140"/>
    </row>
    <row r="13547" spans="1:5">
      <c r="A13547" s="140"/>
      <c r="B13547" s="192"/>
      <c r="C13547" s="140"/>
      <c r="D13547" s="140"/>
      <c r="E13547" s="140"/>
    </row>
    <row r="13548" spans="1:5">
      <c r="A13548" s="140"/>
      <c r="B13548" s="192"/>
      <c r="C13548" s="140"/>
      <c r="D13548" s="140"/>
      <c r="E13548" s="140"/>
    </row>
    <row r="13549" spans="1:5">
      <c r="A13549" s="140"/>
      <c r="B13549" s="192"/>
      <c r="C13549" s="140"/>
      <c r="D13549" s="140"/>
      <c r="E13549" s="140"/>
    </row>
    <row r="13550" spans="1:5">
      <c r="A13550" s="140"/>
      <c r="B13550" s="192"/>
      <c r="C13550" s="140"/>
      <c r="D13550" s="140"/>
      <c r="E13550" s="140"/>
    </row>
    <row r="13551" spans="1:5">
      <c r="A13551" s="140"/>
      <c r="B13551" s="192"/>
      <c r="C13551" s="140"/>
      <c r="D13551" s="140"/>
      <c r="E13551" s="140"/>
    </row>
    <row r="13552" spans="1:5">
      <c r="A13552" s="140"/>
      <c r="B13552" s="192"/>
      <c r="C13552" s="140"/>
      <c r="D13552" s="140"/>
      <c r="E13552" s="140"/>
    </row>
    <row r="13553" spans="1:5">
      <c r="A13553" s="140"/>
      <c r="B13553" s="192"/>
      <c r="C13553" s="140"/>
      <c r="D13553" s="140"/>
      <c r="E13553" s="140"/>
    </row>
    <row r="13554" spans="1:5">
      <c r="A13554" s="140"/>
      <c r="B13554" s="192"/>
      <c r="C13554" s="140"/>
      <c r="D13554" s="140"/>
      <c r="E13554" s="140"/>
    </row>
    <row r="13555" spans="1:5">
      <c r="A13555" s="140"/>
      <c r="B13555" s="192"/>
      <c r="C13555" s="140"/>
      <c r="D13555" s="140"/>
      <c r="E13555" s="140"/>
    </row>
    <row r="13556" spans="1:5">
      <c r="A13556" s="140"/>
      <c r="B13556" s="192"/>
      <c r="C13556" s="140"/>
      <c r="D13556" s="140"/>
      <c r="E13556" s="140"/>
    </row>
    <row r="13557" spans="1:5">
      <c r="A13557" s="140"/>
      <c r="B13557" s="192"/>
      <c r="C13557" s="140"/>
      <c r="D13557" s="140"/>
      <c r="E13557" s="140"/>
    </row>
    <row r="13558" spans="1:5">
      <c r="A13558" s="140"/>
      <c r="B13558" s="192"/>
      <c r="C13558" s="140"/>
      <c r="D13558" s="140"/>
      <c r="E13558" s="140"/>
    </row>
    <row r="13559" spans="1:5">
      <c r="A13559" s="140"/>
      <c r="B13559" s="192"/>
      <c r="C13559" s="140"/>
      <c r="D13559" s="140"/>
      <c r="E13559" s="140"/>
    </row>
    <row r="13560" spans="1:5">
      <c r="A13560" s="140"/>
      <c r="B13560" s="192"/>
      <c r="C13560" s="140"/>
      <c r="D13560" s="140"/>
      <c r="E13560" s="140"/>
    </row>
    <row r="13561" spans="1:5">
      <c r="A13561" s="140"/>
      <c r="B13561" s="192"/>
      <c r="C13561" s="140"/>
      <c r="D13561" s="140"/>
      <c r="E13561" s="140"/>
    </row>
    <row r="13562" spans="1:5">
      <c r="A13562" s="140"/>
      <c r="B13562" s="192"/>
      <c r="C13562" s="140"/>
      <c r="D13562" s="140"/>
      <c r="E13562" s="140"/>
    </row>
    <row r="13563" spans="1:5">
      <c r="A13563" s="140"/>
      <c r="B13563" s="192"/>
      <c r="C13563" s="140"/>
      <c r="D13563" s="140"/>
      <c r="E13563" s="140"/>
    </row>
    <row r="13564" spans="1:5">
      <c r="A13564" s="140"/>
      <c r="B13564" s="192"/>
      <c r="C13564" s="140"/>
      <c r="D13564" s="140"/>
      <c r="E13564" s="140"/>
    </row>
    <row r="13565" spans="1:5">
      <c r="A13565" s="140"/>
      <c r="B13565" s="192"/>
      <c r="C13565" s="140"/>
      <c r="D13565" s="140"/>
      <c r="E13565" s="140"/>
    </row>
    <row r="13566" spans="1:5">
      <c r="A13566" s="140"/>
      <c r="B13566" s="192"/>
      <c r="C13566" s="140"/>
      <c r="D13566" s="140"/>
      <c r="E13566" s="140"/>
    </row>
    <row r="13567" spans="1:5">
      <c r="A13567" s="140"/>
      <c r="B13567" s="192"/>
      <c r="C13567" s="140"/>
      <c r="D13567" s="140"/>
      <c r="E13567" s="140"/>
    </row>
    <row r="13568" spans="1:5">
      <c r="A13568" s="140"/>
      <c r="B13568" s="192"/>
      <c r="C13568" s="140"/>
      <c r="D13568" s="140"/>
      <c r="E13568" s="140"/>
    </row>
    <row r="13569" spans="1:5">
      <c r="A13569" s="140"/>
      <c r="B13569" s="192"/>
      <c r="C13569" s="140"/>
      <c r="D13569" s="140"/>
      <c r="E13569" s="140"/>
    </row>
    <row r="13570" spans="1:5">
      <c r="A13570" s="140"/>
      <c r="B13570" s="192"/>
      <c r="C13570" s="140"/>
      <c r="D13570" s="140"/>
      <c r="E13570" s="140"/>
    </row>
    <row r="13571" spans="1:5">
      <c r="A13571" s="140"/>
      <c r="B13571" s="192"/>
      <c r="C13571" s="140"/>
      <c r="D13571" s="140"/>
      <c r="E13571" s="140"/>
    </row>
    <row r="13572" spans="1:5">
      <c r="A13572" s="140"/>
      <c r="B13572" s="192"/>
      <c r="C13572" s="140"/>
      <c r="D13572" s="140"/>
      <c r="E13572" s="140"/>
    </row>
    <row r="13573" spans="1:5">
      <c r="A13573" s="140"/>
      <c r="B13573" s="192"/>
      <c r="C13573" s="140"/>
      <c r="D13573" s="140"/>
      <c r="E13573" s="140"/>
    </row>
    <row r="13574" spans="1:5">
      <c r="A13574" s="140"/>
      <c r="B13574" s="192"/>
      <c r="C13574" s="140"/>
      <c r="D13574" s="140"/>
      <c r="E13574" s="140"/>
    </row>
    <row r="13575" spans="1:5">
      <c r="A13575" s="140"/>
      <c r="B13575" s="192"/>
      <c r="C13575" s="140"/>
      <c r="D13575" s="140"/>
      <c r="E13575" s="140"/>
    </row>
    <row r="13576" spans="1:5">
      <c r="A13576" s="140"/>
      <c r="B13576" s="192"/>
      <c r="C13576" s="140"/>
      <c r="D13576" s="140"/>
      <c r="E13576" s="140"/>
    </row>
    <row r="13577" spans="1:5">
      <c r="A13577" s="140"/>
      <c r="B13577" s="192"/>
      <c r="C13577" s="140"/>
      <c r="D13577" s="140"/>
      <c r="E13577" s="140"/>
    </row>
    <row r="13578" spans="1:5">
      <c r="A13578" s="140"/>
      <c r="B13578" s="192"/>
      <c r="C13578" s="140"/>
      <c r="D13578" s="140"/>
      <c r="E13578" s="140"/>
    </row>
    <row r="13579" spans="1:5">
      <c r="A13579" s="140"/>
      <c r="B13579" s="192"/>
      <c r="C13579" s="140"/>
      <c r="D13579" s="140"/>
      <c r="E13579" s="140"/>
    </row>
    <row r="13580" spans="1:5">
      <c r="A13580" s="140"/>
      <c r="B13580" s="192"/>
      <c r="C13580" s="140"/>
      <c r="D13580" s="140"/>
      <c r="E13580" s="140"/>
    </row>
    <row r="13581" spans="1:5">
      <c r="A13581" s="140"/>
      <c r="B13581" s="192"/>
      <c r="C13581" s="140"/>
      <c r="D13581" s="140"/>
      <c r="E13581" s="140"/>
    </row>
    <row r="13582" spans="1:5">
      <c r="A13582" s="140"/>
      <c r="B13582" s="192"/>
      <c r="C13582" s="140"/>
      <c r="D13582" s="140"/>
      <c r="E13582" s="140"/>
    </row>
    <row r="13583" spans="1:5">
      <c r="A13583" s="140"/>
      <c r="B13583" s="192"/>
      <c r="C13583" s="140"/>
      <c r="D13583" s="140"/>
      <c r="E13583" s="140"/>
    </row>
    <row r="13584" spans="1:5">
      <c r="A13584" s="140"/>
      <c r="B13584" s="192"/>
      <c r="C13584" s="140"/>
      <c r="D13584" s="140"/>
      <c r="E13584" s="140"/>
    </row>
    <row r="13585" spans="1:5">
      <c r="A13585" s="140"/>
      <c r="B13585" s="192"/>
      <c r="C13585" s="140"/>
      <c r="D13585" s="140"/>
      <c r="E13585" s="140"/>
    </row>
    <row r="13586" spans="1:5">
      <c r="A13586" s="140"/>
      <c r="B13586" s="192"/>
      <c r="C13586" s="140"/>
      <c r="D13586" s="140"/>
      <c r="E13586" s="140"/>
    </row>
    <row r="13587" spans="1:5">
      <c r="A13587" s="140"/>
      <c r="B13587" s="192"/>
      <c r="C13587" s="140"/>
      <c r="D13587" s="140"/>
      <c r="E13587" s="140"/>
    </row>
    <row r="13588" spans="1:5">
      <c r="A13588" s="140"/>
      <c r="B13588" s="192"/>
      <c r="C13588" s="140"/>
      <c r="D13588" s="140"/>
      <c r="E13588" s="140"/>
    </row>
    <row r="13589" spans="1:5">
      <c r="A13589" s="140"/>
      <c r="B13589" s="192"/>
      <c r="C13589" s="140"/>
      <c r="D13589" s="140"/>
      <c r="E13589" s="140"/>
    </row>
    <row r="13590" spans="1:5">
      <c r="A13590" s="140"/>
      <c r="B13590" s="192"/>
      <c r="C13590" s="140"/>
      <c r="D13590" s="140"/>
      <c r="E13590" s="140"/>
    </row>
    <row r="13591" spans="1:5">
      <c r="A13591" s="140"/>
      <c r="B13591" s="192"/>
      <c r="C13591" s="140"/>
      <c r="D13591" s="140"/>
      <c r="E13591" s="140"/>
    </row>
    <row r="13592" spans="1:5">
      <c r="A13592" s="140"/>
      <c r="B13592" s="192"/>
      <c r="C13592" s="140"/>
      <c r="D13592" s="140"/>
      <c r="E13592" s="140"/>
    </row>
    <row r="13593" spans="1:5">
      <c r="A13593" s="140"/>
      <c r="B13593" s="192"/>
      <c r="C13593" s="140"/>
      <c r="D13593" s="140"/>
      <c r="E13593" s="140"/>
    </row>
    <row r="13594" spans="1:5">
      <c r="A13594" s="140"/>
      <c r="B13594" s="192"/>
      <c r="C13594" s="140"/>
      <c r="D13594" s="140"/>
      <c r="E13594" s="140"/>
    </row>
    <row r="13595" spans="1:5">
      <c r="A13595" s="140"/>
      <c r="B13595" s="192"/>
      <c r="C13595" s="140"/>
      <c r="D13595" s="140"/>
      <c r="E13595" s="140"/>
    </row>
    <row r="13596" spans="1:5">
      <c r="A13596" s="140"/>
      <c r="B13596" s="192"/>
      <c r="C13596" s="140"/>
      <c r="D13596" s="140"/>
      <c r="E13596" s="140"/>
    </row>
    <row r="13597" spans="1:5">
      <c r="A13597" s="140"/>
      <c r="B13597" s="192"/>
      <c r="C13597" s="140"/>
      <c r="D13597" s="140"/>
      <c r="E13597" s="140"/>
    </row>
    <row r="13598" spans="1:5">
      <c r="A13598" s="140"/>
      <c r="B13598" s="192"/>
      <c r="C13598" s="140"/>
      <c r="D13598" s="140"/>
      <c r="E13598" s="140"/>
    </row>
    <row r="13599" spans="1:5">
      <c r="A13599" s="140"/>
      <c r="B13599" s="192"/>
      <c r="C13599" s="140"/>
      <c r="D13599" s="140"/>
      <c r="E13599" s="140"/>
    </row>
    <row r="13600" spans="1:5">
      <c r="A13600" s="140"/>
      <c r="B13600" s="192"/>
      <c r="C13600" s="140"/>
      <c r="D13600" s="140"/>
      <c r="E13600" s="140"/>
    </row>
    <row r="13601" spans="1:5">
      <c r="A13601" s="140"/>
      <c r="B13601" s="192"/>
      <c r="C13601" s="140"/>
      <c r="D13601" s="140"/>
      <c r="E13601" s="140"/>
    </row>
    <row r="13602" spans="1:5">
      <c r="A13602" s="140"/>
      <c r="B13602" s="192"/>
      <c r="C13602" s="140"/>
      <c r="D13602" s="140"/>
      <c r="E13602" s="140"/>
    </row>
    <row r="13603" spans="1:5">
      <c r="A13603" s="140"/>
      <c r="B13603" s="192"/>
      <c r="C13603" s="140"/>
      <c r="D13603" s="140"/>
      <c r="E13603" s="140"/>
    </row>
    <row r="13604" spans="1:5">
      <c r="A13604" s="140"/>
      <c r="B13604" s="192"/>
      <c r="C13604" s="140"/>
      <c r="D13604" s="140"/>
      <c r="E13604" s="140"/>
    </row>
    <row r="13605" spans="1:5">
      <c r="A13605" s="140"/>
      <c r="B13605" s="192"/>
      <c r="C13605" s="140"/>
      <c r="D13605" s="140"/>
      <c r="E13605" s="140"/>
    </row>
    <row r="13606" spans="1:5">
      <c r="A13606" s="140"/>
      <c r="B13606" s="192"/>
      <c r="C13606" s="140"/>
      <c r="D13606" s="140"/>
      <c r="E13606" s="140"/>
    </row>
    <row r="13607" spans="1:5">
      <c r="A13607" s="140"/>
      <c r="B13607" s="192"/>
      <c r="C13607" s="140"/>
      <c r="D13607" s="140"/>
      <c r="E13607" s="140"/>
    </row>
    <row r="13608" spans="1:5">
      <c r="A13608" s="140"/>
      <c r="B13608" s="192"/>
      <c r="C13608" s="140"/>
      <c r="D13608" s="140"/>
      <c r="E13608" s="140"/>
    </row>
    <row r="13609" spans="1:5">
      <c r="A13609" s="140"/>
      <c r="B13609" s="192"/>
      <c r="C13609" s="140"/>
      <c r="D13609" s="140"/>
      <c r="E13609" s="140"/>
    </row>
    <row r="13610" spans="1:5">
      <c r="A13610" s="140"/>
      <c r="B13610" s="192"/>
      <c r="C13610" s="140"/>
      <c r="D13610" s="140"/>
      <c r="E13610" s="140"/>
    </row>
    <row r="13611" spans="1:5">
      <c r="A13611" s="140"/>
      <c r="B13611" s="192"/>
      <c r="C13611" s="140"/>
      <c r="D13611" s="140"/>
      <c r="E13611" s="140"/>
    </row>
    <row r="13612" spans="1:5">
      <c r="A13612" s="140"/>
      <c r="B13612" s="192"/>
      <c r="C13612" s="140"/>
      <c r="D13612" s="140"/>
      <c r="E13612" s="140"/>
    </row>
    <row r="13613" spans="1:5">
      <c r="A13613" s="140"/>
      <c r="B13613" s="192"/>
      <c r="C13613" s="140"/>
      <c r="D13613" s="140"/>
      <c r="E13613" s="140"/>
    </row>
    <row r="13614" spans="1:5">
      <c r="A13614" s="140"/>
      <c r="B13614" s="192"/>
      <c r="C13614" s="140"/>
      <c r="D13614" s="140"/>
      <c r="E13614" s="140"/>
    </row>
    <row r="13615" spans="1:5">
      <c r="A13615" s="140"/>
      <c r="B13615" s="192"/>
      <c r="C13615" s="140"/>
      <c r="D13615" s="140"/>
      <c r="E13615" s="140"/>
    </row>
    <row r="13616" spans="1:5">
      <c r="A13616" s="140"/>
      <c r="B13616" s="192"/>
      <c r="C13616" s="140"/>
      <c r="D13616" s="140"/>
      <c r="E13616" s="140"/>
    </row>
    <row r="13617" spans="1:5">
      <c r="A13617" s="140"/>
      <c r="B13617" s="192"/>
      <c r="C13617" s="140"/>
      <c r="D13617" s="140"/>
      <c r="E13617" s="140"/>
    </row>
    <row r="13618" spans="1:5">
      <c r="A13618" s="140"/>
      <c r="B13618" s="192"/>
      <c r="C13618" s="140"/>
      <c r="D13618" s="140"/>
      <c r="E13618" s="140"/>
    </row>
    <row r="13619" spans="1:5">
      <c r="A13619" s="140"/>
      <c r="B13619" s="192"/>
      <c r="C13619" s="140"/>
      <c r="D13619" s="140"/>
      <c r="E13619" s="140"/>
    </row>
    <row r="13620" spans="1:5">
      <c r="A13620" s="140"/>
      <c r="B13620" s="192"/>
      <c r="C13620" s="140"/>
      <c r="D13620" s="140"/>
      <c r="E13620" s="140"/>
    </row>
    <row r="13621" spans="1:5">
      <c r="A13621" s="140"/>
      <c r="B13621" s="192"/>
      <c r="C13621" s="140"/>
      <c r="D13621" s="140"/>
      <c r="E13621" s="140"/>
    </row>
    <row r="13622" spans="1:5">
      <c r="A13622" s="140"/>
      <c r="B13622" s="192"/>
      <c r="C13622" s="140"/>
      <c r="D13622" s="140"/>
      <c r="E13622" s="140"/>
    </row>
    <row r="13623" spans="1:5">
      <c r="A13623" s="140"/>
      <c r="B13623" s="192"/>
      <c r="C13623" s="140"/>
      <c r="D13623" s="140"/>
      <c r="E13623" s="140"/>
    </row>
    <row r="13624" spans="1:5">
      <c r="A13624" s="140"/>
      <c r="B13624" s="192"/>
      <c r="C13624" s="140"/>
      <c r="D13624" s="140"/>
      <c r="E13624" s="140"/>
    </row>
    <row r="13625" spans="1:5">
      <c r="A13625" s="140"/>
      <c r="B13625" s="192"/>
      <c r="C13625" s="140"/>
      <c r="D13625" s="140"/>
      <c r="E13625" s="140"/>
    </row>
    <row r="13626" spans="1:5">
      <c r="A13626" s="140"/>
      <c r="B13626" s="192"/>
      <c r="C13626" s="140"/>
      <c r="D13626" s="140"/>
      <c r="E13626" s="140"/>
    </row>
    <row r="13627" spans="1:5">
      <c r="A13627" s="140"/>
      <c r="B13627" s="192"/>
      <c r="C13627" s="140"/>
      <c r="D13627" s="140"/>
      <c r="E13627" s="140"/>
    </row>
    <row r="13628" spans="1:5">
      <c r="A13628" s="140"/>
      <c r="B13628" s="192"/>
      <c r="C13628" s="140"/>
      <c r="D13628" s="140"/>
      <c r="E13628" s="140"/>
    </row>
    <row r="13629" spans="1:5">
      <c r="A13629" s="140"/>
      <c r="B13629" s="192"/>
      <c r="C13629" s="140"/>
      <c r="D13629" s="140"/>
      <c r="E13629" s="140"/>
    </row>
    <row r="13630" spans="1:5">
      <c r="A13630" s="140"/>
      <c r="B13630" s="192"/>
      <c r="C13630" s="140"/>
      <c r="D13630" s="140"/>
      <c r="E13630" s="140"/>
    </row>
    <row r="13631" spans="1:5">
      <c r="A13631" s="140"/>
      <c r="B13631" s="192"/>
      <c r="C13631" s="140"/>
      <c r="D13631" s="140"/>
      <c r="E13631" s="140"/>
    </row>
    <row r="13632" spans="1:5">
      <c r="A13632" s="140"/>
      <c r="B13632" s="192"/>
      <c r="C13632" s="140"/>
      <c r="D13632" s="140"/>
      <c r="E13632" s="140"/>
    </row>
    <row r="13633" spans="1:5">
      <c r="A13633" s="140"/>
      <c r="B13633" s="192"/>
      <c r="C13633" s="140"/>
      <c r="D13633" s="140"/>
      <c r="E13633" s="140"/>
    </row>
    <row r="13634" spans="1:5">
      <c r="A13634" s="140"/>
      <c r="B13634" s="192"/>
      <c r="C13634" s="140"/>
      <c r="D13634" s="140"/>
      <c r="E13634" s="140"/>
    </row>
    <row r="13635" spans="1:5">
      <c r="A13635" s="140"/>
      <c r="B13635" s="192"/>
      <c r="C13635" s="140"/>
      <c r="D13635" s="140"/>
      <c r="E13635" s="140"/>
    </row>
    <row r="13636" spans="1:5">
      <c r="A13636" s="140"/>
      <c r="B13636" s="192"/>
      <c r="C13636" s="140"/>
      <c r="D13636" s="140"/>
      <c r="E13636" s="140"/>
    </row>
    <row r="13637" spans="1:5">
      <c r="A13637" s="140"/>
      <c r="B13637" s="192"/>
      <c r="C13637" s="140"/>
      <c r="D13637" s="140"/>
      <c r="E13637" s="140"/>
    </row>
    <row r="13638" spans="1:5">
      <c r="A13638" s="140"/>
      <c r="B13638" s="192"/>
      <c r="C13638" s="140"/>
      <c r="D13638" s="140"/>
      <c r="E13638" s="140"/>
    </row>
    <row r="13639" spans="1:5">
      <c r="A13639" s="140"/>
      <c r="B13639" s="192"/>
      <c r="C13639" s="140"/>
      <c r="D13639" s="140"/>
      <c r="E13639" s="140"/>
    </row>
    <row r="13640" spans="1:5">
      <c r="A13640" s="140"/>
      <c r="B13640" s="192"/>
      <c r="C13640" s="140"/>
      <c r="D13640" s="140"/>
      <c r="E13640" s="140"/>
    </row>
    <row r="13641" spans="1:5">
      <c r="A13641" s="140"/>
      <c r="B13641" s="192"/>
      <c r="C13641" s="140"/>
      <c r="D13641" s="140"/>
      <c r="E13641" s="140"/>
    </row>
    <row r="13642" spans="1:5">
      <c r="A13642" s="140"/>
      <c r="B13642" s="192"/>
      <c r="C13642" s="140"/>
      <c r="D13642" s="140"/>
      <c r="E13642" s="140"/>
    </row>
    <row r="13643" spans="1:5">
      <c r="A13643" s="140"/>
      <c r="B13643" s="192"/>
      <c r="C13643" s="140"/>
      <c r="D13643" s="140"/>
      <c r="E13643" s="140"/>
    </row>
    <row r="13644" spans="1:5">
      <c r="A13644" s="140"/>
      <c r="B13644" s="192"/>
      <c r="C13644" s="140"/>
      <c r="D13644" s="140"/>
      <c r="E13644" s="140"/>
    </row>
    <row r="13645" spans="1:5">
      <c r="A13645" s="140"/>
      <c r="B13645" s="192"/>
      <c r="C13645" s="140"/>
      <c r="D13645" s="140"/>
      <c r="E13645" s="140"/>
    </row>
    <row r="13646" spans="1:5">
      <c r="A13646" s="140"/>
      <c r="B13646" s="192"/>
      <c r="C13646" s="140"/>
      <c r="D13646" s="140"/>
      <c r="E13646" s="140"/>
    </row>
    <row r="13647" spans="1:5">
      <c r="A13647" s="140"/>
      <c r="B13647" s="192"/>
      <c r="C13647" s="140"/>
      <c r="D13647" s="140"/>
      <c r="E13647" s="140"/>
    </row>
    <row r="13648" spans="1:5">
      <c r="A13648" s="140"/>
      <c r="B13648" s="192"/>
      <c r="C13648" s="140"/>
      <c r="D13648" s="140"/>
      <c r="E13648" s="140"/>
    </row>
    <row r="13649" spans="1:5">
      <c r="A13649" s="140"/>
      <c r="B13649" s="192"/>
      <c r="C13649" s="140"/>
      <c r="D13649" s="140"/>
      <c r="E13649" s="140"/>
    </row>
    <row r="13650" spans="1:5">
      <c r="A13650" s="140"/>
      <c r="B13650" s="192"/>
      <c r="C13650" s="140"/>
      <c r="D13650" s="140"/>
      <c r="E13650" s="140"/>
    </row>
    <row r="13651" spans="1:5">
      <c r="A13651" s="140"/>
      <c r="B13651" s="192"/>
      <c r="C13651" s="140"/>
      <c r="D13651" s="140"/>
      <c r="E13651" s="140"/>
    </row>
    <row r="13652" spans="1:5">
      <c r="A13652" s="140"/>
      <c r="B13652" s="192"/>
      <c r="C13652" s="140"/>
      <c r="D13652" s="140"/>
      <c r="E13652" s="140"/>
    </row>
    <row r="13653" spans="1:5">
      <c r="A13653" s="140"/>
      <c r="B13653" s="192"/>
      <c r="C13653" s="140"/>
      <c r="D13653" s="140"/>
      <c r="E13653" s="140"/>
    </row>
    <row r="13654" spans="1:5">
      <c r="A13654" s="140"/>
      <c r="B13654" s="192"/>
      <c r="C13654" s="140"/>
      <c r="D13654" s="140"/>
      <c r="E13654" s="140"/>
    </row>
    <row r="13655" spans="1:5">
      <c r="A13655" s="140"/>
      <c r="B13655" s="192"/>
      <c r="C13655" s="140"/>
      <c r="D13655" s="140"/>
      <c r="E13655" s="140"/>
    </row>
    <row r="13656" spans="1:5">
      <c r="A13656" s="140"/>
      <c r="B13656" s="192"/>
      <c r="C13656" s="140"/>
      <c r="D13656" s="140"/>
      <c r="E13656" s="140"/>
    </row>
    <row r="13657" spans="1:5">
      <c r="A13657" s="140"/>
      <c r="B13657" s="192"/>
      <c r="C13657" s="140"/>
      <c r="D13657" s="140"/>
      <c r="E13657" s="140"/>
    </row>
    <row r="13658" spans="1:5">
      <c r="A13658" s="140"/>
      <c r="B13658" s="192"/>
      <c r="C13658" s="140"/>
      <c r="D13658" s="140"/>
      <c r="E13658" s="140"/>
    </row>
    <row r="13659" spans="1:5">
      <c r="A13659" s="140"/>
      <c r="B13659" s="192"/>
      <c r="C13659" s="140"/>
      <c r="D13659" s="140"/>
      <c r="E13659" s="140"/>
    </row>
    <row r="13660" spans="1:5">
      <c r="A13660" s="140"/>
      <c r="B13660" s="192"/>
      <c r="C13660" s="140"/>
      <c r="D13660" s="140"/>
      <c r="E13660" s="140"/>
    </row>
    <row r="13661" spans="1:5">
      <c r="A13661" s="140"/>
      <c r="B13661" s="192"/>
      <c r="C13661" s="140"/>
      <c r="D13661" s="140"/>
      <c r="E13661" s="140"/>
    </row>
    <row r="13662" spans="1:5">
      <c r="A13662" s="140"/>
      <c r="B13662" s="192"/>
      <c r="C13662" s="140"/>
      <c r="D13662" s="140"/>
      <c r="E13662" s="140"/>
    </row>
    <row r="13663" spans="1:5">
      <c r="A13663" s="140"/>
      <c r="B13663" s="192"/>
      <c r="C13663" s="140"/>
      <c r="D13663" s="140"/>
      <c r="E13663" s="140"/>
    </row>
    <row r="13664" spans="1:5">
      <c r="A13664" s="140"/>
      <c r="B13664" s="192"/>
      <c r="C13664" s="140"/>
      <c r="D13664" s="140"/>
      <c r="E13664" s="140"/>
    </row>
    <row r="13665" spans="1:5">
      <c r="A13665" s="140"/>
      <c r="B13665" s="192"/>
      <c r="C13665" s="140"/>
      <c r="D13665" s="140"/>
      <c r="E13665" s="140"/>
    </row>
    <row r="13666" spans="1:5">
      <c r="A13666" s="140"/>
      <c r="B13666" s="192"/>
      <c r="C13666" s="140"/>
      <c r="D13666" s="140"/>
      <c r="E13666" s="140"/>
    </row>
    <row r="13667" spans="1:5">
      <c r="A13667" s="140"/>
      <c r="B13667" s="192"/>
      <c r="C13667" s="140"/>
      <c r="D13667" s="140"/>
      <c r="E13667" s="140"/>
    </row>
    <row r="13668" spans="1:5">
      <c r="A13668" s="140"/>
      <c r="B13668" s="192"/>
      <c r="C13668" s="140"/>
      <c r="D13668" s="140"/>
      <c r="E13668" s="140"/>
    </row>
    <row r="13669" spans="1:5">
      <c r="A13669" s="140"/>
      <c r="B13669" s="192"/>
      <c r="C13669" s="140"/>
      <c r="D13669" s="140"/>
      <c r="E13669" s="140"/>
    </row>
    <row r="13670" spans="1:5">
      <c r="A13670" s="140"/>
      <c r="B13670" s="192"/>
      <c r="C13670" s="140"/>
      <c r="D13670" s="140"/>
      <c r="E13670" s="140"/>
    </row>
    <row r="13671" spans="1:5">
      <c r="A13671" s="140"/>
      <c r="B13671" s="192"/>
      <c r="C13671" s="140"/>
      <c r="D13671" s="140"/>
      <c r="E13671" s="140"/>
    </row>
    <row r="13672" spans="1:5">
      <c r="A13672" s="140"/>
      <c r="B13672" s="192"/>
      <c r="C13672" s="140"/>
      <c r="D13672" s="140"/>
      <c r="E13672" s="140"/>
    </row>
    <row r="13673" spans="1:5">
      <c r="A13673" s="140"/>
      <c r="B13673" s="192"/>
      <c r="C13673" s="140"/>
      <c r="D13673" s="140"/>
      <c r="E13673" s="140"/>
    </row>
    <row r="13674" spans="1:5">
      <c r="A13674" s="140"/>
      <c r="B13674" s="192"/>
      <c r="C13674" s="140"/>
      <c r="D13674" s="140"/>
      <c r="E13674" s="140"/>
    </row>
    <row r="13675" spans="1:5">
      <c r="A13675" s="140"/>
      <c r="B13675" s="192"/>
      <c r="C13675" s="140"/>
      <c r="D13675" s="140"/>
      <c r="E13675" s="140"/>
    </row>
    <row r="13676" spans="1:5">
      <c r="A13676" s="140"/>
      <c r="B13676" s="192"/>
      <c r="C13676" s="140"/>
      <c r="D13676" s="140"/>
      <c r="E13676" s="140"/>
    </row>
    <row r="13677" spans="1:5">
      <c r="A13677" s="140"/>
      <c r="B13677" s="192"/>
      <c r="C13677" s="140"/>
      <c r="D13677" s="140"/>
      <c r="E13677" s="140"/>
    </row>
    <row r="13678" spans="1:5">
      <c r="A13678" s="140"/>
      <c r="B13678" s="192"/>
      <c r="C13678" s="140"/>
      <c r="D13678" s="140"/>
      <c r="E13678" s="140"/>
    </row>
    <row r="13679" spans="1:5">
      <c r="A13679" s="140"/>
      <c r="B13679" s="192"/>
      <c r="C13679" s="140"/>
      <c r="D13679" s="140"/>
      <c r="E13679" s="140"/>
    </row>
    <row r="13680" spans="1:5">
      <c r="A13680" s="140"/>
      <c r="B13680" s="192"/>
      <c r="C13680" s="140"/>
      <c r="D13680" s="140"/>
      <c r="E13680" s="140"/>
    </row>
    <row r="13681" spans="1:5">
      <c r="A13681" s="140"/>
      <c r="B13681" s="192"/>
      <c r="C13681" s="140"/>
      <c r="D13681" s="140"/>
      <c r="E13681" s="140"/>
    </row>
    <row r="13682" spans="1:5">
      <c r="A13682" s="140"/>
      <c r="B13682" s="192"/>
      <c r="C13682" s="140"/>
      <c r="D13682" s="140"/>
      <c r="E13682" s="140"/>
    </row>
    <row r="13683" spans="1:5">
      <c r="A13683" s="140"/>
      <c r="B13683" s="192"/>
      <c r="C13683" s="140"/>
      <c r="D13683" s="140"/>
      <c r="E13683" s="140"/>
    </row>
    <row r="13684" spans="1:5">
      <c r="A13684" s="140"/>
      <c r="B13684" s="192"/>
      <c r="C13684" s="140"/>
      <c r="D13684" s="140"/>
      <c r="E13684" s="140"/>
    </row>
    <row r="13685" spans="1:5">
      <c r="A13685" s="140"/>
      <c r="B13685" s="192"/>
      <c r="C13685" s="140"/>
      <c r="D13685" s="140"/>
      <c r="E13685" s="140"/>
    </row>
    <row r="13686" spans="1:5">
      <c r="A13686" s="140"/>
      <c r="B13686" s="192"/>
      <c r="C13686" s="140"/>
      <c r="D13686" s="140"/>
      <c r="E13686" s="140"/>
    </row>
    <row r="13687" spans="1:5">
      <c r="A13687" s="140"/>
      <c r="B13687" s="192"/>
      <c r="C13687" s="140"/>
      <c r="D13687" s="140"/>
      <c r="E13687" s="140"/>
    </row>
    <row r="13688" spans="1:5">
      <c r="A13688" s="140"/>
      <c r="B13688" s="192"/>
      <c r="C13688" s="140"/>
      <c r="D13688" s="140"/>
      <c r="E13688" s="140"/>
    </row>
    <row r="13689" spans="1:5">
      <c r="A13689" s="140"/>
      <c r="B13689" s="192"/>
      <c r="C13689" s="140"/>
      <c r="D13689" s="140"/>
      <c r="E13689" s="140"/>
    </row>
    <row r="13690" spans="1:5">
      <c r="A13690" s="140"/>
      <c r="B13690" s="192"/>
      <c r="C13690" s="140"/>
      <c r="D13690" s="140"/>
      <c r="E13690" s="140"/>
    </row>
    <row r="13691" spans="1:5">
      <c r="A13691" s="140"/>
      <c r="B13691" s="192"/>
      <c r="C13691" s="140"/>
      <c r="D13691" s="140"/>
      <c r="E13691" s="140"/>
    </row>
    <row r="13692" spans="1:5">
      <c r="A13692" s="140"/>
      <c r="B13692" s="192"/>
      <c r="C13692" s="140"/>
      <c r="D13692" s="140"/>
      <c r="E13692" s="140"/>
    </row>
    <row r="13693" spans="1:5">
      <c r="A13693" s="140"/>
      <c r="B13693" s="192"/>
      <c r="C13693" s="140"/>
      <c r="D13693" s="140"/>
      <c r="E13693" s="140"/>
    </row>
    <row r="13694" spans="1:5">
      <c r="A13694" s="140"/>
      <c r="B13694" s="192"/>
      <c r="C13694" s="140"/>
      <c r="D13694" s="140"/>
      <c r="E13694" s="140"/>
    </row>
    <row r="13695" spans="1:5">
      <c r="A13695" s="140"/>
      <c r="B13695" s="192"/>
      <c r="C13695" s="140"/>
      <c r="D13695" s="140"/>
      <c r="E13695" s="140"/>
    </row>
    <row r="13696" spans="1:5">
      <c r="A13696" s="140"/>
      <c r="B13696" s="192"/>
      <c r="C13696" s="140"/>
      <c r="D13696" s="140"/>
      <c r="E13696" s="140"/>
    </row>
    <row r="13697" spans="1:5">
      <c r="A13697" s="140"/>
      <c r="B13697" s="192"/>
      <c r="C13697" s="140"/>
      <c r="D13697" s="140"/>
      <c r="E13697" s="140"/>
    </row>
    <row r="13698" spans="1:5">
      <c r="A13698" s="140"/>
      <c r="B13698" s="192"/>
      <c r="C13698" s="140"/>
      <c r="D13698" s="140"/>
      <c r="E13698" s="140"/>
    </row>
    <row r="13699" spans="1:5">
      <c r="A13699" s="140"/>
      <c r="B13699" s="192"/>
      <c r="C13699" s="140"/>
      <c r="D13699" s="140"/>
      <c r="E13699" s="140"/>
    </row>
    <row r="13700" spans="1:5">
      <c r="A13700" s="140"/>
      <c r="B13700" s="192"/>
      <c r="C13700" s="140"/>
      <c r="D13700" s="140"/>
      <c r="E13700" s="140"/>
    </row>
    <row r="13701" spans="1:5">
      <c r="A13701" s="140"/>
      <c r="B13701" s="192"/>
      <c r="C13701" s="140"/>
      <c r="D13701" s="140"/>
      <c r="E13701" s="140"/>
    </row>
    <row r="13702" spans="1:5">
      <c r="A13702" s="140"/>
      <c r="B13702" s="192"/>
      <c r="C13702" s="140"/>
      <c r="D13702" s="140"/>
      <c r="E13702" s="140"/>
    </row>
    <row r="13703" spans="1:5">
      <c r="A13703" s="140"/>
      <c r="B13703" s="192"/>
      <c r="C13703" s="140"/>
      <c r="D13703" s="140"/>
      <c r="E13703" s="140"/>
    </row>
    <row r="13704" spans="1:5">
      <c r="A13704" s="140"/>
      <c r="B13704" s="192"/>
      <c r="C13704" s="140"/>
      <c r="D13704" s="140"/>
      <c r="E13704" s="140"/>
    </row>
    <row r="13705" spans="1:5">
      <c r="A13705" s="140"/>
      <c r="B13705" s="192"/>
      <c r="C13705" s="140"/>
      <c r="D13705" s="140"/>
      <c r="E13705" s="140"/>
    </row>
    <row r="13706" spans="1:5">
      <c r="A13706" s="140"/>
      <c r="B13706" s="192"/>
      <c r="C13706" s="140"/>
      <c r="D13706" s="140"/>
      <c r="E13706" s="140"/>
    </row>
    <row r="13707" spans="1:5">
      <c r="A13707" s="140"/>
      <c r="B13707" s="192"/>
      <c r="C13707" s="140"/>
      <c r="D13707" s="140"/>
      <c r="E13707" s="140"/>
    </row>
    <row r="13708" spans="1:5">
      <c r="A13708" s="140"/>
      <c r="B13708" s="192"/>
      <c r="C13708" s="140"/>
      <c r="D13708" s="140"/>
      <c r="E13708" s="140"/>
    </row>
    <row r="13709" spans="1:5">
      <c r="A13709" s="140"/>
      <c r="B13709" s="192"/>
      <c r="C13709" s="140"/>
      <c r="D13709" s="140"/>
      <c r="E13709" s="140"/>
    </row>
    <row r="13710" spans="1:5">
      <c r="A13710" s="140"/>
      <c r="B13710" s="192"/>
      <c r="C13710" s="140"/>
      <c r="D13710" s="140"/>
      <c r="E13710" s="140"/>
    </row>
    <row r="13711" spans="1:5">
      <c r="A13711" s="140"/>
      <c r="B13711" s="192"/>
      <c r="C13711" s="140"/>
      <c r="D13711" s="140"/>
      <c r="E13711" s="140"/>
    </row>
    <row r="13712" spans="1:5">
      <c r="A13712" s="140"/>
      <c r="B13712" s="192"/>
      <c r="C13712" s="140"/>
      <c r="D13712" s="140"/>
      <c r="E13712" s="140"/>
    </row>
    <row r="13713" spans="1:5">
      <c r="A13713" s="140"/>
      <c r="B13713" s="192"/>
      <c r="C13713" s="140"/>
      <c r="D13713" s="140"/>
      <c r="E13713" s="140"/>
    </row>
    <row r="13714" spans="1:5">
      <c r="A13714" s="140"/>
      <c r="B13714" s="192"/>
      <c r="C13714" s="140"/>
      <c r="D13714" s="140"/>
      <c r="E13714" s="140"/>
    </row>
    <row r="13715" spans="1:5">
      <c r="A13715" s="140"/>
      <c r="B13715" s="192"/>
      <c r="C13715" s="140"/>
      <c r="D13715" s="140"/>
      <c r="E13715" s="140"/>
    </row>
    <row r="13716" spans="1:5">
      <c r="A13716" s="140"/>
      <c r="B13716" s="192"/>
      <c r="C13716" s="140"/>
      <c r="D13716" s="140"/>
      <c r="E13716" s="140"/>
    </row>
    <row r="13717" spans="1:5">
      <c r="A13717" s="140"/>
      <c r="B13717" s="192"/>
      <c r="C13717" s="140"/>
      <c r="D13717" s="140"/>
      <c r="E13717" s="140"/>
    </row>
    <row r="13718" spans="1:5">
      <c r="A13718" s="140"/>
      <c r="B13718" s="192"/>
      <c r="C13718" s="140"/>
      <c r="D13718" s="140"/>
      <c r="E13718" s="140"/>
    </row>
    <row r="13719" spans="1:5">
      <c r="A13719" s="140"/>
      <c r="B13719" s="192"/>
      <c r="C13719" s="140"/>
      <c r="D13719" s="140"/>
      <c r="E13719" s="140"/>
    </row>
    <row r="13720" spans="1:5">
      <c r="A13720" s="140"/>
      <c r="B13720" s="192"/>
      <c r="C13720" s="140"/>
      <c r="D13720" s="140"/>
      <c r="E13720" s="140"/>
    </row>
    <row r="13721" spans="1:5">
      <c r="A13721" s="140"/>
      <c r="B13721" s="192"/>
      <c r="C13721" s="140"/>
      <c r="D13721" s="140"/>
      <c r="E13721" s="140"/>
    </row>
    <row r="13722" spans="1:5">
      <c r="A13722" s="140"/>
      <c r="B13722" s="192"/>
      <c r="C13722" s="140"/>
      <c r="D13722" s="140"/>
      <c r="E13722" s="140"/>
    </row>
    <row r="13723" spans="1:5">
      <c r="A13723" s="140"/>
      <c r="B13723" s="192"/>
      <c r="C13723" s="140"/>
      <c r="D13723" s="140"/>
      <c r="E13723" s="140"/>
    </row>
    <row r="13724" spans="1:5">
      <c r="A13724" s="140"/>
      <c r="B13724" s="192"/>
      <c r="C13724" s="140"/>
      <c r="D13724" s="140"/>
      <c r="E13724" s="140"/>
    </row>
    <row r="13725" spans="1:5">
      <c r="A13725" s="140"/>
      <c r="B13725" s="192"/>
      <c r="C13725" s="140"/>
      <c r="D13725" s="140"/>
      <c r="E13725" s="140"/>
    </row>
    <row r="13726" spans="1:5">
      <c r="A13726" s="140"/>
      <c r="B13726" s="192"/>
      <c r="C13726" s="140"/>
      <c r="D13726" s="140"/>
      <c r="E13726" s="140"/>
    </row>
    <row r="13727" spans="1:5">
      <c r="A13727" s="140"/>
      <c r="B13727" s="192"/>
      <c r="C13727" s="140"/>
      <c r="D13727" s="140"/>
      <c r="E13727" s="140"/>
    </row>
    <row r="13728" spans="1:5">
      <c r="A13728" s="140"/>
      <c r="B13728" s="192"/>
      <c r="C13728" s="140"/>
      <c r="D13728" s="140"/>
      <c r="E13728" s="140"/>
    </row>
    <row r="13729" spans="1:5">
      <c r="A13729" s="140"/>
      <c r="B13729" s="192"/>
      <c r="C13729" s="140"/>
      <c r="D13729" s="140"/>
      <c r="E13729" s="140"/>
    </row>
    <row r="13730" spans="1:5">
      <c r="A13730" s="140"/>
      <c r="B13730" s="192"/>
      <c r="C13730" s="140"/>
      <c r="D13730" s="140"/>
      <c r="E13730" s="140"/>
    </row>
    <row r="13731" spans="1:5">
      <c r="A13731" s="140"/>
      <c r="B13731" s="192"/>
      <c r="C13731" s="140"/>
      <c r="D13731" s="140"/>
      <c r="E13731" s="140"/>
    </row>
    <row r="13732" spans="1:5">
      <c r="A13732" s="140"/>
      <c r="B13732" s="192"/>
      <c r="C13732" s="140"/>
      <c r="D13732" s="140"/>
      <c r="E13732" s="140"/>
    </row>
    <row r="13733" spans="1:5">
      <c r="A13733" s="140"/>
      <c r="B13733" s="192"/>
      <c r="C13733" s="140"/>
      <c r="D13733" s="140"/>
      <c r="E13733" s="140"/>
    </row>
    <row r="13734" spans="1:5">
      <c r="A13734" s="140"/>
      <c r="B13734" s="192"/>
      <c r="C13734" s="140"/>
      <c r="D13734" s="140"/>
      <c r="E13734" s="140"/>
    </row>
    <row r="13735" spans="1:5">
      <c r="A13735" s="140"/>
      <c r="B13735" s="192"/>
      <c r="C13735" s="140"/>
      <c r="D13735" s="140"/>
      <c r="E13735" s="140"/>
    </row>
    <row r="13736" spans="1:5">
      <c r="A13736" s="140"/>
      <c r="B13736" s="192"/>
      <c r="C13736" s="140"/>
      <c r="D13736" s="140"/>
      <c r="E13736" s="140"/>
    </row>
    <row r="13737" spans="1:5">
      <c r="A13737" s="140"/>
      <c r="B13737" s="192"/>
      <c r="C13737" s="140"/>
      <c r="D13737" s="140"/>
      <c r="E13737" s="140"/>
    </row>
    <row r="13738" spans="1:5">
      <c r="A13738" s="140"/>
      <c r="B13738" s="192"/>
      <c r="C13738" s="140"/>
      <c r="D13738" s="140"/>
      <c r="E13738" s="140"/>
    </row>
    <row r="13739" spans="1:5">
      <c r="A13739" s="140"/>
      <c r="B13739" s="192"/>
      <c r="C13739" s="140"/>
      <c r="D13739" s="140"/>
      <c r="E13739" s="140"/>
    </row>
    <row r="13740" spans="1:5">
      <c r="A13740" s="140"/>
      <c r="B13740" s="192"/>
      <c r="C13740" s="140"/>
      <c r="D13740" s="140"/>
      <c r="E13740" s="140"/>
    </row>
    <row r="13741" spans="1:5">
      <c r="A13741" s="140"/>
      <c r="B13741" s="192"/>
      <c r="C13741" s="140"/>
      <c r="D13741" s="140"/>
      <c r="E13741" s="140"/>
    </row>
    <row r="13742" spans="1:5">
      <c r="A13742" s="140"/>
      <c r="B13742" s="192"/>
      <c r="C13742" s="140"/>
      <c r="D13742" s="140"/>
      <c r="E13742" s="140"/>
    </row>
    <row r="13743" spans="1:5">
      <c r="A13743" s="140"/>
      <c r="B13743" s="192"/>
      <c r="C13743" s="140"/>
      <c r="D13743" s="140"/>
      <c r="E13743" s="140"/>
    </row>
    <row r="13744" spans="1:5">
      <c r="A13744" s="140"/>
      <c r="B13744" s="192"/>
      <c r="C13744" s="140"/>
      <c r="D13744" s="140"/>
      <c r="E13744" s="140"/>
    </row>
    <row r="13745" spans="1:5">
      <c r="A13745" s="140"/>
      <c r="B13745" s="192"/>
      <c r="C13745" s="140"/>
      <c r="D13745" s="140"/>
      <c r="E13745" s="140"/>
    </row>
    <row r="13746" spans="1:5">
      <c r="A13746" s="140"/>
      <c r="B13746" s="192"/>
      <c r="C13746" s="140"/>
      <c r="D13746" s="140"/>
      <c r="E13746" s="140"/>
    </row>
    <row r="13747" spans="1:5">
      <c r="A13747" s="140"/>
      <c r="B13747" s="192"/>
      <c r="C13747" s="140"/>
      <c r="D13747" s="140"/>
      <c r="E13747" s="140"/>
    </row>
    <row r="13748" spans="1:5">
      <c r="A13748" s="140"/>
      <c r="B13748" s="192"/>
      <c r="C13748" s="140"/>
      <c r="D13748" s="140"/>
      <c r="E13748" s="140"/>
    </row>
    <row r="13749" spans="1:5">
      <c r="A13749" s="140"/>
      <c r="B13749" s="192"/>
      <c r="C13749" s="140"/>
      <c r="D13749" s="140"/>
      <c r="E13749" s="140"/>
    </row>
    <row r="13750" spans="1:5">
      <c r="A13750" s="140"/>
      <c r="B13750" s="192"/>
      <c r="C13750" s="140"/>
      <c r="D13750" s="140"/>
      <c r="E13750" s="140"/>
    </row>
    <row r="13751" spans="1:5">
      <c r="A13751" s="140"/>
      <c r="B13751" s="192"/>
      <c r="C13751" s="140"/>
      <c r="D13751" s="140"/>
      <c r="E13751" s="140"/>
    </row>
    <row r="13752" spans="1:5">
      <c r="A13752" s="140"/>
      <c r="B13752" s="192"/>
      <c r="C13752" s="140"/>
      <c r="D13752" s="140"/>
      <c r="E13752" s="140"/>
    </row>
    <row r="13753" spans="1:5">
      <c r="A13753" s="140"/>
      <c r="B13753" s="192"/>
      <c r="C13753" s="140"/>
      <c r="D13753" s="140"/>
      <c r="E13753" s="140"/>
    </row>
    <row r="13754" spans="1:5">
      <c r="A13754" s="140"/>
      <c r="B13754" s="192"/>
      <c r="C13754" s="140"/>
      <c r="D13754" s="140"/>
      <c r="E13754" s="140"/>
    </row>
    <row r="13755" spans="1:5">
      <c r="A13755" s="140"/>
      <c r="B13755" s="192"/>
      <c r="C13755" s="140"/>
      <c r="D13755" s="140"/>
      <c r="E13755" s="140"/>
    </row>
    <row r="13756" spans="1:5">
      <c r="A13756" s="140"/>
      <c r="B13756" s="192"/>
      <c r="C13756" s="140"/>
      <c r="D13756" s="140"/>
      <c r="E13756" s="140"/>
    </row>
    <row r="13757" spans="1:5">
      <c r="A13757" s="140"/>
      <c r="B13757" s="192"/>
      <c r="C13757" s="140"/>
      <c r="D13757" s="140"/>
      <c r="E13757" s="140"/>
    </row>
    <row r="13758" spans="1:5">
      <c r="A13758" s="140"/>
      <c r="B13758" s="192"/>
      <c r="C13758" s="140"/>
      <c r="D13758" s="140"/>
      <c r="E13758" s="140"/>
    </row>
    <row r="13759" spans="1:5">
      <c r="A13759" s="140"/>
      <c r="B13759" s="192"/>
      <c r="C13759" s="140"/>
      <c r="D13759" s="140"/>
      <c r="E13759" s="140"/>
    </row>
    <row r="13760" spans="1:5">
      <c r="A13760" s="140"/>
      <c r="B13760" s="192"/>
      <c r="C13760" s="140"/>
      <c r="D13760" s="140"/>
      <c r="E13760" s="140"/>
    </row>
    <row r="13761" spans="1:5">
      <c r="A13761" s="140"/>
      <c r="B13761" s="192"/>
      <c r="C13761" s="140"/>
      <c r="D13761" s="140"/>
      <c r="E13761" s="140"/>
    </row>
    <row r="13762" spans="1:5">
      <c r="A13762" s="140"/>
      <c r="B13762" s="192"/>
      <c r="C13762" s="140"/>
      <c r="D13762" s="140"/>
      <c r="E13762" s="140"/>
    </row>
    <row r="13763" spans="1:5">
      <c r="A13763" s="140"/>
      <c r="B13763" s="192"/>
      <c r="C13763" s="140"/>
      <c r="D13763" s="140"/>
      <c r="E13763" s="140"/>
    </row>
    <row r="13764" spans="1:5">
      <c r="A13764" s="140"/>
      <c r="B13764" s="192"/>
      <c r="C13764" s="140"/>
      <c r="D13764" s="140"/>
      <c r="E13764" s="140"/>
    </row>
    <row r="13765" spans="1:5">
      <c r="A13765" s="140"/>
      <c r="B13765" s="192"/>
      <c r="C13765" s="140"/>
      <c r="D13765" s="140"/>
      <c r="E13765" s="140"/>
    </row>
    <row r="13766" spans="1:5">
      <c r="A13766" s="140"/>
      <c r="B13766" s="192"/>
      <c r="C13766" s="140"/>
      <c r="D13766" s="140"/>
      <c r="E13766" s="140"/>
    </row>
    <row r="13767" spans="1:5">
      <c r="A13767" s="140"/>
      <c r="B13767" s="192"/>
      <c r="C13767" s="140"/>
      <c r="D13767" s="140"/>
      <c r="E13767" s="140"/>
    </row>
    <row r="13768" spans="1:5">
      <c r="A13768" s="140"/>
      <c r="B13768" s="192"/>
      <c r="C13768" s="140"/>
      <c r="D13768" s="140"/>
      <c r="E13768" s="140"/>
    </row>
    <row r="13769" spans="1:5">
      <c r="A13769" s="140"/>
      <c r="B13769" s="192"/>
      <c r="C13769" s="140"/>
      <c r="D13769" s="140"/>
      <c r="E13769" s="140"/>
    </row>
    <row r="13770" spans="1:5">
      <c r="A13770" s="140"/>
      <c r="B13770" s="192"/>
      <c r="C13770" s="140"/>
      <c r="D13770" s="140"/>
      <c r="E13770" s="140"/>
    </row>
    <row r="13771" spans="1:5">
      <c r="A13771" s="140"/>
      <c r="B13771" s="192"/>
      <c r="C13771" s="140"/>
      <c r="D13771" s="140"/>
      <c r="E13771" s="140"/>
    </row>
    <row r="13772" spans="1:5">
      <c r="A13772" s="140"/>
      <c r="B13772" s="192"/>
      <c r="C13772" s="140"/>
      <c r="D13772" s="140"/>
      <c r="E13772" s="140"/>
    </row>
    <row r="13773" spans="1:5">
      <c r="A13773" s="140"/>
      <c r="B13773" s="192"/>
      <c r="C13773" s="140"/>
      <c r="D13773" s="140"/>
      <c r="E13773" s="140"/>
    </row>
    <row r="13774" spans="1:5">
      <c r="A13774" s="140"/>
      <c r="B13774" s="192"/>
      <c r="C13774" s="140"/>
      <c r="D13774" s="140"/>
      <c r="E13774" s="140"/>
    </row>
    <row r="13775" spans="1:5">
      <c r="A13775" s="140"/>
      <c r="B13775" s="192"/>
      <c r="C13775" s="140"/>
      <c r="D13775" s="140"/>
      <c r="E13775" s="140"/>
    </row>
    <row r="13776" spans="1:5">
      <c r="A13776" s="140"/>
      <c r="B13776" s="192"/>
      <c r="C13776" s="140"/>
      <c r="D13776" s="140"/>
      <c r="E13776" s="140"/>
    </row>
    <row r="13777" spans="1:5">
      <c r="A13777" s="140"/>
      <c r="B13777" s="192"/>
      <c r="C13777" s="140"/>
      <c r="D13777" s="140"/>
      <c r="E13777" s="140"/>
    </row>
    <row r="13778" spans="1:5">
      <c r="A13778" s="140"/>
      <c r="B13778" s="192"/>
      <c r="C13778" s="140"/>
      <c r="D13778" s="140"/>
      <c r="E13778" s="140"/>
    </row>
    <row r="13779" spans="1:5">
      <c r="A13779" s="140"/>
      <c r="B13779" s="192"/>
      <c r="C13779" s="140"/>
      <c r="D13779" s="140"/>
      <c r="E13779" s="140"/>
    </row>
    <row r="13780" spans="1:5">
      <c r="A13780" s="140"/>
      <c r="B13780" s="192"/>
      <c r="C13780" s="140"/>
      <c r="D13780" s="140"/>
      <c r="E13780" s="140"/>
    </row>
    <row r="13781" spans="1:5">
      <c r="A13781" s="140"/>
      <c r="B13781" s="192"/>
      <c r="C13781" s="140"/>
      <c r="D13781" s="140"/>
      <c r="E13781" s="140"/>
    </row>
    <row r="13782" spans="1:5">
      <c r="A13782" s="140"/>
      <c r="B13782" s="192"/>
      <c r="C13782" s="140"/>
      <c r="D13782" s="140"/>
      <c r="E13782" s="140"/>
    </row>
    <row r="13783" spans="1:5">
      <c r="A13783" s="140"/>
      <c r="B13783" s="192"/>
      <c r="C13783" s="140"/>
      <c r="D13783" s="140"/>
      <c r="E13783" s="140"/>
    </row>
    <row r="13784" spans="1:5">
      <c r="A13784" s="140"/>
      <c r="B13784" s="192"/>
      <c r="C13784" s="140"/>
      <c r="D13784" s="140"/>
      <c r="E13784" s="140"/>
    </row>
    <row r="13785" spans="1:5">
      <c r="A13785" s="140"/>
      <c r="B13785" s="192"/>
      <c r="C13785" s="140"/>
      <c r="D13785" s="140"/>
      <c r="E13785" s="140"/>
    </row>
    <row r="13786" spans="1:5">
      <c r="A13786" s="140"/>
      <c r="B13786" s="192"/>
      <c r="C13786" s="140"/>
      <c r="D13786" s="140"/>
      <c r="E13786" s="140"/>
    </row>
    <row r="13787" spans="1:5">
      <c r="A13787" s="140"/>
      <c r="B13787" s="192"/>
      <c r="C13787" s="140"/>
      <c r="D13787" s="140"/>
      <c r="E13787" s="140"/>
    </row>
    <row r="13788" spans="1:5">
      <c r="A13788" s="140"/>
      <c r="B13788" s="192"/>
      <c r="C13788" s="140"/>
      <c r="D13788" s="140"/>
      <c r="E13788" s="140"/>
    </row>
    <row r="13789" spans="1:5">
      <c r="A13789" s="140"/>
      <c r="B13789" s="192"/>
      <c r="C13789" s="140"/>
      <c r="D13789" s="140"/>
      <c r="E13789" s="140"/>
    </row>
    <row r="13790" spans="1:5">
      <c r="A13790" s="140"/>
      <c r="B13790" s="192"/>
      <c r="C13790" s="140"/>
      <c r="D13790" s="140"/>
      <c r="E13790" s="140"/>
    </row>
    <row r="13791" spans="1:5">
      <c r="A13791" s="140"/>
      <c r="B13791" s="192"/>
      <c r="C13791" s="140"/>
      <c r="D13791" s="140"/>
      <c r="E13791" s="140"/>
    </row>
    <row r="13792" spans="1:5">
      <c r="A13792" s="140"/>
      <c r="B13792" s="192"/>
      <c r="C13792" s="140"/>
      <c r="D13792" s="140"/>
      <c r="E13792" s="140"/>
    </row>
    <row r="13793" spans="1:5">
      <c r="A13793" s="140"/>
      <c r="B13793" s="192"/>
      <c r="C13793" s="140"/>
      <c r="D13793" s="140"/>
      <c r="E13793" s="140"/>
    </row>
    <row r="13794" spans="1:5">
      <c r="A13794" s="140"/>
      <c r="B13794" s="192"/>
      <c r="C13794" s="140"/>
      <c r="D13794" s="140"/>
      <c r="E13794" s="140"/>
    </row>
    <row r="13795" spans="1:5">
      <c r="A13795" s="140"/>
      <c r="B13795" s="192"/>
      <c r="C13795" s="140"/>
      <c r="D13795" s="140"/>
      <c r="E13795" s="140"/>
    </row>
    <row r="13796" spans="1:5">
      <c r="A13796" s="140"/>
      <c r="B13796" s="192"/>
      <c r="C13796" s="140"/>
      <c r="D13796" s="140"/>
      <c r="E13796" s="140"/>
    </row>
    <row r="13797" spans="1:5">
      <c r="A13797" s="140"/>
      <c r="B13797" s="192"/>
      <c r="C13797" s="140"/>
      <c r="D13797" s="140"/>
      <c r="E13797" s="140"/>
    </row>
    <row r="13798" spans="1:5">
      <c r="A13798" s="140"/>
      <c r="B13798" s="192"/>
      <c r="C13798" s="140"/>
      <c r="D13798" s="140"/>
      <c r="E13798" s="140"/>
    </row>
    <row r="13799" spans="1:5">
      <c r="A13799" s="140"/>
      <c r="B13799" s="192"/>
      <c r="C13799" s="140"/>
      <c r="D13799" s="140"/>
      <c r="E13799" s="140"/>
    </row>
    <row r="13800" spans="1:5">
      <c r="A13800" s="140"/>
      <c r="B13800" s="192"/>
      <c r="C13800" s="140"/>
      <c r="D13800" s="140"/>
      <c r="E13800" s="140"/>
    </row>
    <row r="13801" spans="1:5">
      <c r="A13801" s="140"/>
      <c r="B13801" s="192"/>
      <c r="C13801" s="140"/>
      <c r="D13801" s="140"/>
      <c r="E13801" s="140"/>
    </row>
    <row r="13802" spans="1:5">
      <c r="A13802" s="140"/>
      <c r="B13802" s="192"/>
      <c r="C13802" s="140"/>
      <c r="D13802" s="140"/>
      <c r="E13802" s="140"/>
    </row>
    <row r="13803" spans="1:5">
      <c r="A13803" s="140"/>
      <c r="B13803" s="192"/>
      <c r="C13803" s="140"/>
      <c r="D13803" s="140"/>
      <c r="E13803" s="140"/>
    </row>
    <row r="13804" spans="1:5">
      <c r="A13804" s="140"/>
      <c r="B13804" s="192"/>
      <c r="C13804" s="140"/>
      <c r="D13804" s="140"/>
      <c r="E13804" s="140"/>
    </row>
    <row r="13805" spans="1:5">
      <c r="A13805" s="140"/>
      <c r="B13805" s="192"/>
      <c r="C13805" s="140"/>
      <c r="D13805" s="140"/>
      <c r="E13805" s="140"/>
    </row>
    <row r="13806" spans="1:5">
      <c r="A13806" s="140"/>
      <c r="B13806" s="192"/>
      <c r="C13806" s="140"/>
      <c r="D13806" s="140"/>
      <c r="E13806" s="140"/>
    </row>
    <row r="13807" spans="1:5">
      <c r="A13807" s="140"/>
      <c r="B13807" s="192"/>
      <c r="C13807" s="140"/>
      <c r="D13807" s="140"/>
      <c r="E13807" s="140"/>
    </row>
    <row r="13808" spans="1:5">
      <c r="A13808" s="140"/>
      <c r="B13808" s="192"/>
      <c r="C13808" s="140"/>
      <c r="D13808" s="140"/>
      <c r="E13808" s="140"/>
    </row>
    <row r="13809" spans="1:5">
      <c r="A13809" s="140"/>
      <c r="B13809" s="192"/>
      <c r="C13809" s="140"/>
      <c r="D13809" s="140"/>
      <c r="E13809" s="140"/>
    </row>
    <row r="13810" spans="1:5">
      <c r="A13810" s="140"/>
      <c r="B13810" s="192"/>
      <c r="C13810" s="140"/>
      <c r="D13810" s="140"/>
      <c r="E13810" s="140"/>
    </row>
    <row r="13811" spans="1:5">
      <c r="A13811" s="140"/>
      <c r="B13811" s="192"/>
      <c r="C13811" s="140"/>
      <c r="D13811" s="140"/>
      <c r="E13811" s="140"/>
    </row>
    <row r="13812" spans="1:5">
      <c r="A13812" s="140"/>
      <c r="B13812" s="192"/>
      <c r="C13812" s="140"/>
      <c r="D13812" s="140"/>
      <c r="E13812" s="140"/>
    </row>
    <row r="13813" spans="1:5">
      <c r="A13813" s="140"/>
      <c r="B13813" s="192"/>
      <c r="C13813" s="140"/>
      <c r="D13813" s="140"/>
      <c r="E13813" s="140"/>
    </row>
    <row r="13814" spans="1:5">
      <c r="A13814" s="140"/>
      <c r="B13814" s="192"/>
      <c r="C13814" s="140"/>
      <c r="D13814" s="140"/>
      <c r="E13814" s="140"/>
    </row>
    <row r="13815" spans="1:5">
      <c r="A13815" s="140"/>
      <c r="B13815" s="192"/>
      <c r="C13815" s="140"/>
      <c r="D13815" s="140"/>
      <c r="E13815" s="140"/>
    </row>
    <row r="13816" spans="1:5">
      <c r="A13816" s="140"/>
      <c r="B13816" s="192"/>
      <c r="C13816" s="140"/>
      <c r="D13816" s="140"/>
      <c r="E13816" s="140"/>
    </row>
    <row r="13817" spans="1:5">
      <c r="A13817" s="140"/>
      <c r="B13817" s="192"/>
      <c r="C13817" s="140"/>
      <c r="D13817" s="140"/>
      <c r="E13817" s="140"/>
    </row>
    <row r="13818" spans="1:5">
      <c r="A13818" s="140"/>
      <c r="B13818" s="192"/>
      <c r="C13818" s="140"/>
      <c r="D13818" s="140"/>
      <c r="E13818" s="140"/>
    </row>
    <row r="13819" spans="1:5">
      <c r="A13819" s="140"/>
      <c r="B13819" s="192"/>
      <c r="C13819" s="140"/>
      <c r="D13819" s="140"/>
      <c r="E13819" s="140"/>
    </row>
    <row r="13820" spans="1:5">
      <c r="A13820" s="140"/>
      <c r="B13820" s="192"/>
      <c r="C13820" s="140"/>
      <c r="D13820" s="140"/>
      <c r="E13820" s="140"/>
    </row>
    <row r="13821" spans="1:5">
      <c r="A13821" s="140"/>
      <c r="B13821" s="192"/>
      <c r="C13821" s="140"/>
      <c r="D13821" s="140"/>
      <c r="E13821" s="140"/>
    </row>
    <row r="13822" spans="1:5">
      <c r="A13822" s="140"/>
      <c r="B13822" s="192"/>
      <c r="C13822" s="140"/>
      <c r="D13822" s="140"/>
      <c r="E13822" s="140"/>
    </row>
    <row r="13823" spans="1:5">
      <c r="A13823" s="140"/>
      <c r="B13823" s="192"/>
      <c r="C13823" s="140"/>
      <c r="D13823" s="140"/>
      <c r="E13823" s="140"/>
    </row>
    <row r="13824" spans="1:5">
      <c r="A13824" s="140"/>
      <c r="B13824" s="192"/>
      <c r="C13824" s="140"/>
      <c r="D13824" s="140"/>
      <c r="E13824" s="140"/>
    </row>
    <row r="13825" spans="1:5">
      <c r="A13825" s="140"/>
      <c r="B13825" s="192"/>
      <c r="C13825" s="140"/>
      <c r="D13825" s="140"/>
      <c r="E13825" s="140"/>
    </row>
    <row r="13826" spans="1:5">
      <c r="A13826" s="140"/>
      <c r="B13826" s="192"/>
      <c r="C13826" s="140"/>
      <c r="D13826" s="140"/>
      <c r="E13826" s="140"/>
    </row>
    <row r="13827" spans="1:5">
      <c r="A13827" s="140"/>
      <c r="B13827" s="192"/>
      <c r="C13827" s="140"/>
      <c r="D13827" s="140"/>
      <c r="E13827" s="140"/>
    </row>
    <row r="13828" spans="1:5">
      <c r="A13828" s="140"/>
      <c r="B13828" s="192"/>
      <c r="C13828" s="140"/>
      <c r="D13828" s="140"/>
      <c r="E13828" s="140"/>
    </row>
    <row r="13829" spans="1:5">
      <c r="A13829" s="140"/>
      <c r="B13829" s="192"/>
      <c r="C13829" s="140"/>
      <c r="D13829" s="140"/>
      <c r="E13829" s="140"/>
    </row>
    <row r="13830" spans="1:5">
      <c r="A13830" s="140"/>
      <c r="B13830" s="192"/>
      <c r="C13830" s="140"/>
      <c r="D13830" s="140"/>
      <c r="E13830" s="140"/>
    </row>
    <row r="13831" spans="1:5">
      <c r="A13831" s="140"/>
      <c r="B13831" s="192"/>
      <c r="C13831" s="140"/>
      <c r="D13831" s="140"/>
      <c r="E13831" s="140"/>
    </row>
    <row r="13832" spans="1:5">
      <c r="A13832" s="140"/>
      <c r="B13832" s="192"/>
      <c r="C13832" s="140"/>
      <c r="D13832" s="140"/>
      <c r="E13832" s="140"/>
    </row>
    <row r="13833" spans="1:5">
      <c r="A13833" s="140"/>
      <c r="B13833" s="192"/>
      <c r="C13833" s="140"/>
      <c r="D13833" s="140"/>
      <c r="E13833" s="140"/>
    </row>
    <row r="13834" spans="1:5">
      <c r="A13834" s="140"/>
      <c r="B13834" s="192"/>
      <c r="C13834" s="140"/>
      <c r="D13834" s="140"/>
      <c r="E13834" s="140"/>
    </row>
    <row r="13835" spans="1:5">
      <c r="A13835" s="140"/>
      <c r="B13835" s="192"/>
      <c r="C13835" s="140"/>
      <c r="D13835" s="140"/>
      <c r="E13835" s="140"/>
    </row>
    <row r="13836" spans="1:5">
      <c r="A13836" s="140"/>
      <c r="B13836" s="192"/>
      <c r="C13836" s="140"/>
      <c r="D13836" s="140"/>
      <c r="E13836" s="140"/>
    </row>
    <row r="13837" spans="1:5">
      <c r="A13837" s="140"/>
      <c r="B13837" s="192"/>
      <c r="C13837" s="140"/>
      <c r="D13837" s="140"/>
      <c r="E13837" s="140"/>
    </row>
    <row r="13838" spans="1:5">
      <c r="A13838" s="140"/>
      <c r="B13838" s="192"/>
      <c r="C13838" s="140"/>
      <c r="D13838" s="140"/>
      <c r="E13838" s="140"/>
    </row>
    <row r="13839" spans="1:5">
      <c r="A13839" s="140"/>
      <c r="B13839" s="192"/>
      <c r="C13839" s="140"/>
      <c r="D13839" s="140"/>
      <c r="E13839" s="140"/>
    </row>
    <row r="13840" spans="1:5">
      <c r="A13840" s="140"/>
      <c r="B13840" s="192"/>
      <c r="C13840" s="140"/>
      <c r="D13840" s="140"/>
      <c r="E13840" s="140"/>
    </row>
    <row r="13841" spans="1:5">
      <c r="A13841" s="140"/>
      <c r="B13841" s="192"/>
      <c r="C13841" s="140"/>
      <c r="D13841" s="140"/>
      <c r="E13841" s="140"/>
    </row>
    <row r="13842" spans="1:5">
      <c r="A13842" s="140"/>
      <c r="B13842" s="192"/>
      <c r="C13842" s="140"/>
      <c r="D13842" s="140"/>
      <c r="E13842" s="140"/>
    </row>
    <row r="13843" spans="1:5">
      <c r="A13843" s="140"/>
      <c r="B13843" s="192"/>
      <c r="C13843" s="140"/>
      <c r="D13843" s="140"/>
      <c r="E13843" s="140"/>
    </row>
    <row r="13844" spans="1:5">
      <c r="A13844" s="140"/>
      <c r="B13844" s="192"/>
      <c r="C13844" s="140"/>
      <c r="D13844" s="140"/>
      <c r="E13844" s="140"/>
    </row>
    <row r="13845" spans="1:5">
      <c r="A13845" s="140"/>
      <c r="B13845" s="192"/>
      <c r="C13845" s="140"/>
      <c r="D13845" s="140"/>
      <c r="E13845" s="140"/>
    </row>
    <row r="13846" spans="1:5">
      <c r="A13846" s="140"/>
      <c r="B13846" s="192"/>
      <c r="C13846" s="140"/>
      <c r="D13846" s="140"/>
      <c r="E13846" s="140"/>
    </row>
    <row r="13847" spans="1:5">
      <c r="A13847" s="140"/>
      <c r="B13847" s="192"/>
      <c r="C13847" s="140"/>
      <c r="D13847" s="140"/>
      <c r="E13847" s="140"/>
    </row>
    <row r="13848" spans="1:5">
      <c r="A13848" s="140"/>
      <c r="B13848" s="192"/>
      <c r="C13848" s="140"/>
      <c r="D13848" s="140"/>
      <c r="E13848" s="140"/>
    </row>
    <row r="13849" spans="1:5">
      <c r="A13849" s="140"/>
      <c r="B13849" s="192"/>
      <c r="C13849" s="140"/>
      <c r="D13849" s="140"/>
      <c r="E13849" s="140"/>
    </row>
    <row r="13850" spans="1:5">
      <c r="A13850" s="140"/>
      <c r="B13850" s="192"/>
      <c r="C13850" s="140"/>
      <c r="D13850" s="140"/>
      <c r="E13850" s="140"/>
    </row>
    <row r="13851" spans="1:5">
      <c r="A13851" s="140"/>
      <c r="B13851" s="192"/>
      <c r="C13851" s="140"/>
      <c r="D13851" s="140"/>
      <c r="E13851" s="140"/>
    </row>
    <row r="13852" spans="1:5">
      <c r="A13852" s="140"/>
      <c r="B13852" s="192"/>
      <c r="C13852" s="140"/>
      <c r="D13852" s="140"/>
      <c r="E13852" s="140"/>
    </row>
    <row r="13853" spans="1:5">
      <c r="A13853" s="140"/>
      <c r="B13853" s="192"/>
      <c r="C13853" s="140"/>
      <c r="D13853" s="140"/>
      <c r="E13853" s="140"/>
    </row>
    <row r="13854" spans="1:5">
      <c r="A13854" s="140"/>
      <c r="B13854" s="192"/>
      <c r="C13854" s="140"/>
      <c r="D13854" s="140"/>
      <c r="E13854" s="140"/>
    </row>
    <row r="13855" spans="1:5">
      <c r="A13855" s="140"/>
      <c r="B13855" s="192"/>
      <c r="C13855" s="140"/>
      <c r="D13855" s="140"/>
      <c r="E13855" s="140"/>
    </row>
    <row r="13856" spans="1:5">
      <c r="A13856" s="140"/>
      <c r="B13856" s="192"/>
      <c r="C13856" s="140"/>
      <c r="D13856" s="140"/>
      <c r="E13856" s="140"/>
    </row>
    <row r="13857" spans="1:5">
      <c r="A13857" s="140"/>
      <c r="B13857" s="192"/>
      <c r="C13857" s="140"/>
      <c r="D13857" s="140"/>
      <c r="E13857" s="140"/>
    </row>
    <row r="13858" spans="1:5">
      <c r="A13858" s="140"/>
      <c r="B13858" s="192"/>
      <c r="C13858" s="140"/>
      <c r="D13858" s="140"/>
      <c r="E13858" s="140"/>
    </row>
    <row r="13859" spans="1:5">
      <c r="A13859" s="140"/>
      <c r="B13859" s="192"/>
      <c r="C13859" s="140"/>
      <c r="D13859" s="140"/>
      <c r="E13859" s="140"/>
    </row>
    <row r="13860" spans="1:5">
      <c r="A13860" s="140"/>
      <c r="B13860" s="192"/>
      <c r="C13860" s="140"/>
      <c r="D13860" s="140"/>
      <c r="E13860" s="140"/>
    </row>
    <row r="13861" spans="1:5">
      <c r="A13861" s="140"/>
      <c r="B13861" s="192"/>
      <c r="C13861" s="140"/>
      <c r="D13861" s="140"/>
      <c r="E13861" s="140"/>
    </row>
    <row r="13862" spans="1:5">
      <c r="A13862" s="140"/>
      <c r="B13862" s="192"/>
      <c r="C13862" s="140"/>
      <c r="D13862" s="140"/>
      <c r="E13862" s="140"/>
    </row>
    <row r="13863" spans="1:5">
      <c r="A13863" s="140"/>
      <c r="B13863" s="192"/>
      <c r="C13863" s="140"/>
      <c r="D13863" s="140"/>
      <c r="E13863" s="140"/>
    </row>
    <row r="13864" spans="1:5">
      <c r="A13864" s="140"/>
      <c r="B13864" s="192"/>
      <c r="C13864" s="140"/>
      <c r="D13864" s="140"/>
      <c r="E13864" s="140"/>
    </row>
    <row r="13865" spans="1:5">
      <c r="A13865" s="140"/>
      <c r="B13865" s="192"/>
      <c r="C13865" s="140"/>
      <c r="D13865" s="140"/>
      <c r="E13865" s="140"/>
    </row>
    <row r="13866" spans="1:5">
      <c r="A13866" s="140"/>
      <c r="B13866" s="192"/>
      <c r="C13866" s="140"/>
      <c r="D13866" s="140"/>
      <c r="E13866" s="140"/>
    </row>
    <row r="13867" spans="1:5">
      <c r="A13867" s="140"/>
      <c r="B13867" s="192"/>
      <c r="C13867" s="140"/>
      <c r="D13867" s="140"/>
      <c r="E13867" s="140"/>
    </row>
    <row r="13868" spans="1:5">
      <c r="A13868" s="140"/>
      <c r="B13868" s="192"/>
      <c r="C13868" s="140"/>
      <c r="D13868" s="140"/>
      <c r="E13868" s="140"/>
    </row>
    <row r="13869" spans="1:5">
      <c r="A13869" s="140"/>
      <c r="B13869" s="192"/>
      <c r="C13869" s="140"/>
      <c r="D13869" s="140"/>
      <c r="E13869" s="140"/>
    </row>
    <row r="13870" spans="1:5">
      <c r="A13870" s="140"/>
      <c r="B13870" s="192"/>
      <c r="C13870" s="140"/>
      <c r="D13870" s="140"/>
      <c r="E13870" s="140"/>
    </row>
    <row r="13871" spans="1:5">
      <c r="A13871" s="140"/>
      <c r="B13871" s="192"/>
      <c r="C13871" s="140"/>
      <c r="D13871" s="140"/>
      <c r="E13871" s="140"/>
    </row>
    <row r="13872" spans="1:5">
      <c r="A13872" s="140"/>
      <c r="B13872" s="192"/>
      <c r="C13872" s="140"/>
      <c r="D13872" s="140"/>
      <c r="E13872" s="140"/>
    </row>
    <row r="13873" spans="1:5">
      <c r="A13873" s="140"/>
      <c r="B13873" s="192"/>
      <c r="C13873" s="140"/>
      <c r="D13873" s="140"/>
      <c r="E13873" s="140"/>
    </row>
    <row r="13874" spans="1:5">
      <c r="A13874" s="140"/>
      <c r="B13874" s="192"/>
      <c r="C13874" s="140"/>
      <c r="D13874" s="140"/>
      <c r="E13874" s="140"/>
    </row>
    <row r="13875" spans="1:5">
      <c r="A13875" s="140"/>
      <c r="B13875" s="192"/>
      <c r="C13875" s="140"/>
      <c r="D13875" s="140"/>
      <c r="E13875" s="140"/>
    </row>
    <row r="13876" spans="1:5">
      <c r="A13876" s="140"/>
      <c r="B13876" s="192"/>
      <c r="C13876" s="140"/>
      <c r="D13876" s="140"/>
      <c r="E13876" s="140"/>
    </row>
    <row r="13877" spans="1:5">
      <c r="A13877" s="140"/>
      <c r="B13877" s="192"/>
      <c r="C13877" s="140"/>
      <c r="D13877" s="140"/>
      <c r="E13877" s="140"/>
    </row>
    <row r="13878" spans="1:5">
      <c r="A13878" s="140"/>
      <c r="B13878" s="192"/>
      <c r="C13878" s="140"/>
      <c r="D13878" s="140"/>
      <c r="E13878" s="140"/>
    </row>
    <row r="13879" spans="1:5">
      <c r="A13879" s="140"/>
      <c r="B13879" s="192"/>
      <c r="C13879" s="140"/>
      <c r="D13879" s="140"/>
      <c r="E13879" s="140"/>
    </row>
    <row r="13880" spans="1:5">
      <c r="A13880" s="140"/>
      <c r="B13880" s="192"/>
      <c r="C13880" s="140"/>
      <c r="D13880" s="140"/>
      <c r="E13880" s="140"/>
    </row>
    <row r="13881" spans="1:5">
      <c r="A13881" s="140"/>
      <c r="B13881" s="192"/>
      <c r="C13881" s="140"/>
      <c r="D13881" s="140"/>
      <c r="E13881" s="140"/>
    </row>
    <row r="13882" spans="1:5">
      <c r="A13882" s="140"/>
      <c r="B13882" s="192"/>
      <c r="C13882" s="140"/>
      <c r="D13882" s="140"/>
      <c r="E13882" s="140"/>
    </row>
    <row r="13883" spans="1:5">
      <c r="A13883" s="140"/>
      <c r="B13883" s="192"/>
      <c r="C13883" s="140"/>
      <c r="D13883" s="140"/>
      <c r="E13883" s="140"/>
    </row>
    <row r="13884" spans="1:5">
      <c r="A13884" s="140"/>
      <c r="B13884" s="192"/>
      <c r="C13884" s="140"/>
      <c r="D13884" s="140"/>
      <c r="E13884" s="140"/>
    </row>
    <row r="13885" spans="1:5">
      <c r="A13885" s="140"/>
      <c r="B13885" s="192"/>
      <c r="C13885" s="140"/>
      <c r="D13885" s="140"/>
      <c r="E13885" s="140"/>
    </row>
    <row r="13886" spans="1:5">
      <c r="A13886" s="140"/>
      <c r="B13886" s="192"/>
      <c r="C13886" s="140"/>
      <c r="D13886" s="140"/>
      <c r="E13886" s="140"/>
    </row>
    <row r="13887" spans="1:5">
      <c r="A13887" s="140"/>
      <c r="B13887" s="192"/>
      <c r="C13887" s="140"/>
      <c r="D13887" s="140"/>
      <c r="E13887" s="140"/>
    </row>
    <row r="13888" spans="1:5">
      <c r="A13888" s="140"/>
      <c r="B13888" s="192"/>
      <c r="C13888" s="140"/>
      <c r="D13888" s="140"/>
      <c r="E13888" s="140"/>
    </row>
    <row r="13889" spans="1:5">
      <c r="A13889" s="140"/>
      <c r="B13889" s="192"/>
      <c r="C13889" s="140"/>
      <c r="D13889" s="140"/>
      <c r="E13889" s="140"/>
    </row>
    <row r="13890" spans="1:5">
      <c r="A13890" s="140"/>
      <c r="B13890" s="192"/>
      <c r="C13890" s="140"/>
      <c r="D13890" s="140"/>
      <c r="E13890" s="140"/>
    </row>
    <row r="13891" spans="1:5">
      <c r="A13891" s="140"/>
      <c r="B13891" s="192"/>
      <c r="C13891" s="140"/>
      <c r="D13891" s="140"/>
      <c r="E13891" s="140"/>
    </row>
    <row r="13892" spans="1:5">
      <c r="A13892" s="140"/>
      <c r="B13892" s="192"/>
      <c r="C13892" s="140"/>
      <c r="D13892" s="140"/>
      <c r="E13892" s="140"/>
    </row>
    <row r="13893" spans="1:5">
      <c r="A13893" s="140"/>
      <c r="B13893" s="192"/>
      <c r="C13893" s="140"/>
      <c r="D13893" s="140"/>
      <c r="E13893" s="140"/>
    </row>
    <row r="13894" spans="1:5">
      <c r="A13894" s="140"/>
      <c r="B13894" s="192"/>
      <c r="C13894" s="140"/>
      <c r="D13894" s="140"/>
      <c r="E13894" s="140"/>
    </row>
    <row r="13895" spans="1:5">
      <c r="A13895" s="140"/>
      <c r="B13895" s="192"/>
      <c r="C13895" s="140"/>
      <c r="D13895" s="140"/>
      <c r="E13895" s="140"/>
    </row>
    <row r="13896" spans="1:5">
      <c r="A13896" s="140"/>
      <c r="B13896" s="192"/>
      <c r="C13896" s="140"/>
      <c r="D13896" s="140"/>
      <c r="E13896" s="140"/>
    </row>
    <row r="13897" spans="1:5">
      <c r="A13897" s="140"/>
      <c r="B13897" s="192"/>
      <c r="C13897" s="140"/>
      <c r="D13897" s="140"/>
      <c r="E13897" s="140"/>
    </row>
    <row r="13898" spans="1:5">
      <c r="A13898" s="140"/>
      <c r="B13898" s="192"/>
      <c r="C13898" s="140"/>
      <c r="D13898" s="140"/>
      <c r="E13898" s="140"/>
    </row>
    <row r="13899" spans="1:5">
      <c r="A13899" s="140"/>
      <c r="B13899" s="192"/>
      <c r="C13899" s="140"/>
      <c r="D13899" s="140"/>
      <c r="E13899" s="140"/>
    </row>
    <row r="13900" spans="1:5">
      <c r="A13900" s="140"/>
      <c r="B13900" s="192"/>
      <c r="C13900" s="140"/>
      <c r="D13900" s="140"/>
      <c r="E13900" s="140"/>
    </row>
    <row r="13901" spans="1:5">
      <c r="A13901" s="140"/>
      <c r="B13901" s="192"/>
      <c r="C13901" s="140"/>
      <c r="D13901" s="140"/>
      <c r="E13901" s="140"/>
    </row>
    <row r="13902" spans="1:5">
      <c r="A13902" s="140"/>
      <c r="B13902" s="192"/>
      <c r="C13902" s="140"/>
      <c r="D13902" s="140"/>
      <c r="E13902" s="140"/>
    </row>
    <row r="13903" spans="1:5">
      <c r="A13903" s="140"/>
      <c r="B13903" s="192"/>
      <c r="C13903" s="140"/>
      <c r="D13903" s="140"/>
      <c r="E13903" s="140"/>
    </row>
    <row r="13904" spans="1:5">
      <c r="A13904" s="140"/>
      <c r="B13904" s="192"/>
      <c r="C13904" s="140"/>
      <c r="D13904" s="140"/>
      <c r="E13904" s="140"/>
    </row>
    <row r="13905" spans="1:5">
      <c r="A13905" s="140"/>
      <c r="B13905" s="192"/>
      <c r="C13905" s="140"/>
      <c r="D13905" s="140"/>
      <c r="E13905" s="140"/>
    </row>
    <row r="13906" spans="1:5">
      <c r="A13906" s="140"/>
      <c r="B13906" s="192"/>
      <c r="C13906" s="140"/>
      <c r="D13906" s="140"/>
      <c r="E13906" s="140"/>
    </row>
    <row r="13907" spans="1:5">
      <c r="A13907" s="140"/>
      <c r="B13907" s="192"/>
      <c r="C13907" s="140"/>
      <c r="D13907" s="140"/>
      <c r="E13907" s="140"/>
    </row>
    <row r="13908" spans="1:5">
      <c r="A13908" s="140"/>
      <c r="B13908" s="192"/>
      <c r="C13908" s="140"/>
      <c r="D13908" s="140"/>
      <c r="E13908" s="140"/>
    </row>
    <row r="13909" spans="1:5">
      <c r="A13909" s="140"/>
      <c r="B13909" s="192"/>
      <c r="C13909" s="140"/>
      <c r="D13909" s="140"/>
      <c r="E13909" s="140"/>
    </row>
    <row r="13910" spans="1:5">
      <c r="A13910" s="140"/>
      <c r="B13910" s="192"/>
      <c r="C13910" s="140"/>
      <c r="D13910" s="140"/>
      <c r="E13910" s="140"/>
    </row>
    <row r="13911" spans="1:5">
      <c r="A13911" s="140"/>
      <c r="B13911" s="192"/>
      <c r="C13911" s="140"/>
      <c r="D13911" s="140"/>
      <c r="E13911" s="140"/>
    </row>
    <row r="13912" spans="1:5">
      <c r="A13912" s="140"/>
      <c r="B13912" s="192"/>
      <c r="C13912" s="140"/>
      <c r="D13912" s="140"/>
      <c r="E13912" s="140"/>
    </row>
    <row r="13913" spans="1:5">
      <c r="A13913" s="140"/>
      <c r="B13913" s="192"/>
      <c r="C13913" s="140"/>
      <c r="D13913" s="140"/>
      <c r="E13913" s="140"/>
    </row>
    <row r="13914" spans="1:5">
      <c r="A13914" s="140"/>
      <c r="B13914" s="192"/>
      <c r="C13914" s="140"/>
      <c r="D13914" s="140"/>
      <c r="E13914" s="140"/>
    </row>
    <row r="13915" spans="1:5">
      <c r="A13915" s="140"/>
      <c r="B13915" s="192"/>
      <c r="C13915" s="140"/>
      <c r="D13915" s="140"/>
      <c r="E13915" s="140"/>
    </row>
    <row r="13916" spans="1:5">
      <c r="A13916" s="140"/>
      <c r="B13916" s="192"/>
      <c r="C13916" s="140"/>
      <c r="D13916" s="140"/>
      <c r="E13916" s="140"/>
    </row>
    <row r="13917" spans="1:5">
      <c r="A13917" s="140"/>
      <c r="B13917" s="192"/>
      <c r="C13917" s="140"/>
      <c r="D13917" s="140"/>
      <c r="E13917" s="140"/>
    </row>
    <row r="13918" spans="1:5">
      <c r="A13918" s="140"/>
      <c r="B13918" s="192"/>
      <c r="C13918" s="140"/>
      <c r="D13918" s="140"/>
      <c r="E13918" s="140"/>
    </row>
    <row r="13919" spans="1:5">
      <c r="A13919" s="140"/>
      <c r="B13919" s="192"/>
      <c r="C13919" s="140"/>
      <c r="D13919" s="140"/>
      <c r="E13919" s="140"/>
    </row>
    <row r="13920" spans="1:5">
      <c r="A13920" s="140"/>
      <c r="B13920" s="192"/>
      <c r="C13920" s="140"/>
      <c r="D13920" s="140"/>
      <c r="E13920" s="140"/>
    </row>
    <row r="13921" spans="1:5">
      <c r="A13921" s="140"/>
      <c r="B13921" s="192"/>
      <c r="C13921" s="140"/>
      <c r="D13921" s="140"/>
      <c r="E13921" s="140"/>
    </row>
    <row r="13922" spans="1:5">
      <c r="A13922" s="140"/>
      <c r="B13922" s="192"/>
      <c r="C13922" s="140"/>
      <c r="D13922" s="140"/>
      <c r="E13922" s="140"/>
    </row>
    <row r="13923" spans="1:5">
      <c r="A13923" s="140"/>
      <c r="B13923" s="192"/>
      <c r="C13923" s="140"/>
      <c r="D13923" s="140"/>
      <c r="E13923" s="140"/>
    </row>
    <row r="13924" spans="1:5">
      <c r="A13924" s="140"/>
      <c r="B13924" s="192"/>
      <c r="C13924" s="140"/>
      <c r="D13924" s="140"/>
      <c r="E13924" s="140"/>
    </row>
    <row r="13925" spans="1:5">
      <c r="A13925" s="140"/>
      <c r="B13925" s="192"/>
      <c r="C13925" s="140"/>
      <c r="D13925" s="140"/>
      <c r="E13925" s="140"/>
    </row>
    <row r="13926" spans="1:5">
      <c r="A13926" s="140"/>
      <c r="B13926" s="192"/>
      <c r="C13926" s="140"/>
      <c r="D13926" s="140"/>
      <c r="E13926" s="140"/>
    </row>
    <row r="13927" spans="1:5">
      <c r="A13927" s="140"/>
      <c r="B13927" s="192"/>
      <c r="C13927" s="140"/>
      <c r="D13927" s="140"/>
      <c r="E13927" s="140"/>
    </row>
    <row r="13928" spans="1:5">
      <c r="A13928" s="140"/>
      <c r="B13928" s="192"/>
      <c r="C13928" s="140"/>
      <c r="D13928" s="140"/>
      <c r="E13928" s="140"/>
    </row>
    <row r="13929" spans="1:5">
      <c r="A13929" s="140"/>
      <c r="B13929" s="192"/>
      <c r="C13929" s="140"/>
      <c r="D13929" s="140"/>
      <c r="E13929" s="140"/>
    </row>
    <row r="13930" spans="1:5">
      <c r="A13930" s="140"/>
      <c r="B13930" s="192"/>
      <c r="C13930" s="140"/>
      <c r="D13930" s="140"/>
      <c r="E13930" s="140"/>
    </row>
    <row r="13931" spans="1:5">
      <c r="A13931" s="140"/>
      <c r="B13931" s="192"/>
      <c r="C13931" s="140"/>
      <c r="D13931" s="140"/>
      <c r="E13931" s="140"/>
    </row>
    <row r="13932" spans="1:5">
      <c r="A13932" s="140"/>
      <c r="B13932" s="192"/>
      <c r="C13932" s="140"/>
      <c r="D13932" s="140"/>
      <c r="E13932" s="140"/>
    </row>
    <row r="13933" spans="1:5">
      <c r="A13933" s="140"/>
      <c r="B13933" s="192"/>
      <c r="C13933" s="140"/>
      <c r="D13933" s="140"/>
      <c r="E13933" s="140"/>
    </row>
    <row r="13934" spans="1:5">
      <c r="A13934" s="140"/>
      <c r="B13934" s="192"/>
      <c r="C13934" s="140"/>
      <c r="D13934" s="140"/>
      <c r="E13934" s="140"/>
    </row>
    <row r="13935" spans="1:5">
      <c r="A13935" s="140"/>
      <c r="B13935" s="192"/>
      <c r="C13935" s="140"/>
      <c r="D13935" s="140"/>
      <c r="E13935" s="140"/>
    </row>
    <row r="13936" spans="1:5">
      <c r="A13936" s="140"/>
      <c r="B13936" s="192"/>
      <c r="C13936" s="140"/>
      <c r="D13936" s="140"/>
      <c r="E13936" s="140"/>
    </row>
    <row r="13937" spans="1:5">
      <c r="A13937" s="140"/>
      <c r="B13937" s="192"/>
      <c r="C13937" s="140"/>
      <c r="D13937" s="140"/>
      <c r="E13937" s="140"/>
    </row>
    <row r="13938" spans="1:5">
      <c r="A13938" s="140"/>
      <c r="B13938" s="192"/>
      <c r="C13938" s="140"/>
      <c r="D13938" s="140"/>
      <c r="E13938" s="140"/>
    </row>
    <row r="13939" spans="1:5">
      <c r="A13939" s="140"/>
      <c r="B13939" s="192"/>
      <c r="C13939" s="140"/>
      <c r="D13939" s="140"/>
      <c r="E13939" s="140"/>
    </row>
    <row r="13940" spans="1:5">
      <c r="A13940" s="140"/>
      <c r="B13940" s="192"/>
      <c r="C13940" s="140"/>
      <c r="D13940" s="140"/>
      <c r="E13940" s="140"/>
    </row>
    <row r="13941" spans="1:5">
      <c r="A13941" s="140"/>
      <c r="B13941" s="192"/>
      <c r="C13941" s="140"/>
      <c r="D13941" s="140"/>
      <c r="E13941" s="140"/>
    </row>
    <row r="13942" spans="1:5">
      <c r="A13942" s="140"/>
      <c r="B13942" s="192"/>
      <c r="C13942" s="140"/>
      <c r="D13942" s="140"/>
      <c r="E13942" s="140"/>
    </row>
    <row r="13943" spans="1:5">
      <c r="A13943" s="140"/>
      <c r="B13943" s="192"/>
      <c r="C13943" s="140"/>
      <c r="D13943" s="140"/>
      <c r="E13943" s="140"/>
    </row>
    <row r="13944" spans="1:5">
      <c r="A13944" s="140"/>
      <c r="B13944" s="192"/>
      <c r="C13944" s="140"/>
      <c r="D13944" s="140"/>
      <c r="E13944" s="140"/>
    </row>
    <row r="13945" spans="1:5">
      <c r="A13945" s="140"/>
      <c r="B13945" s="192"/>
      <c r="C13945" s="140"/>
      <c r="D13945" s="140"/>
      <c r="E13945" s="140"/>
    </row>
    <row r="13946" spans="1:5">
      <c r="A13946" s="140"/>
      <c r="B13946" s="192"/>
      <c r="C13946" s="140"/>
      <c r="D13946" s="140"/>
      <c r="E13946" s="140"/>
    </row>
    <row r="13947" spans="1:5">
      <c r="A13947" s="140"/>
      <c r="B13947" s="192"/>
      <c r="C13947" s="140"/>
      <c r="D13947" s="140"/>
      <c r="E13947" s="140"/>
    </row>
    <row r="13948" spans="1:5">
      <c r="A13948" s="140"/>
      <c r="B13948" s="192"/>
      <c r="C13948" s="140"/>
      <c r="D13948" s="140"/>
      <c r="E13948" s="140"/>
    </row>
    <row r="13949" spans="1:5">
      <c r="A13949" s="140"/>
      <c r="B13949" s="192"/>
      <c r="C13949" s="140"/>
      <c r="D13949" s="140"/>
      <c r="E13949" s="140"/>
    </row>
    <row r="13950" spans="1:5">
      <c r="A13950" s="140"/>
      <c r="B13950" s="192"/>
      <c r="C13950" s="140"/>
      <c r="D13950" s="140"/>
      <c r="E13950" s="140"/>
    </row>
    <row r="13951" spans="1:5">
      <c r="A13951" s="140"/>
      <c r="B13951" s="192"/>
      <c r="C13951" s="140"/>
      <c r="D13951" s="140"/>
      <c r="E13951" s="140"/>
    </row>
    <row r="13952" spans="1:5">
      <c r="A13952" s="140"/>
      <c r="B13952" s="192"/>
      <c r="C13952" s="140"/>
      <c r="D13952" s="140"/>
      <c r="E13952" s="140"/>
    </row>
    <row r="13953" spans="1:5">
      <c r="A13953" s="140"/>
      <c r="B13953" s="192"/>
      <c r="C13953" s="140"/>
      <c r="D13953" s="140"/>
      <c r="E13953" s="140"/>
    </row>
    <row r="13954" spans="1:5">
      <c r="A13954" s="140"/>
      <c r="B13954" s="192"/>
      <c r="C13954" s="140"/>
      <c r="D13954" s="140"/>
      <c r="E13954" s="140"/>
    </row>
    <row r="13955" spans="1:5">
      <c r="A13955" s="140"/>
      <c r="B13955" s="192"/>
      <c r="C13955" s="140"/>
      <c r="D13955" s="140"/>
      <c r="E13955" s="140"/>
    </row>
    <row r="13956" spans="1:5">
      <c r="A13956" s="140"/>
      <c r="B13956" s="192"/>
      <c r="C13956" s="140"/>
      <c r="D13956" s="140"/>
      <c r="E13956" s="140"/>
    </row>
    <row r="13957" spans="1:5">
      <c r="A13957" s="140"/>
      <c r="B13957" s="192"/>
      <c r="C13957" s="140"/>
      <c r="D13957" s="140"/>
      <c r="E13957" s="140"/>
    </row>
    <row r="13958" spans="1:5">
      <c r="A13958" s="140"/>
      <c r="B13958" s="192"/>
      <c r="C13958" s="140"/>
      <c r="D13958" s="140"/>
      <c r="E13958" s="140"/>
    </row>
    <row r="13959" spans="1:5">
      <c r="A13959" s="140"/>
      <c r="B13959" s="192"/>
      <c r="C13959" s="140"/>
      <c r="D13959" s="140"/>
      <c r="E13959" s="140"/>
    </row>
    <row r="13960" spans="1:5">
      <c r="A13960" s="140"/>
      <c r="B13960" s="192"/>
      <c r="C13960" s="140"/>
      <c r="D13960" s="140"/>
      <c r="E13960" s="140"/>
    </row>
    <row r="13961" spans="1:5">
      <c r="A13961" s="140"/>
      <c r="B13961" s="192"/>
      <c r="C13961" s="140"/>
      <c r="D13961" s="140"/>
      <c r="E13961" s="140"/>
    </row>
    <row r="13962" spans="1:5">
      <c r="A13962" s="140"/>
      <c r="B13962" s="192"/>
      <c r="C13962" s="140"/>
      <c r="D13962" s="140"/>
      <c r="E13962" s="140"/>
    </row>
    <row r="13963" spans="1:5">
      <c r="A13963" s="140"/>
      <c r="B13963" s="192"/>
      <c r="C13963" s="140"/>
      <c r="D13963" s="140"/>
      <c r="E13963" s="140"/>
    </row>
    <row r="13964" spans="1:5">
      <c r="A13964" s="140"/>
      <c r="B13964" s="192"/>
      <c r="C13964" s="140"/>
      <c r="D13964" s="140"/>
      <c r="E13964" s="140"/>
    </row>
    <row r="13965" spans="1:5">
      <c r="A13965" s="140"/>
      <c r="B13965" s="192"/>
      <c r="C13965" s="140"/>
      <c r="D13965" s="140"/>
      <c r="E13965" s="140"/>
    </row>
    <row r="13966" spans="1:5">
      <c r="A13966" s="140"/>
      <c r="B13966" s="192"/>
      <c r="C13966" s="140"/>
      <c r="D13966" s="140"/>
      <c r="E13966" s="140"/>
    </row>
    <row r="13967" spans="1:5">
      <c r="A13967" s="140"/>
      <c r="B13967" s="192"/>
      <c r="C13967" s="140"/>
      <c r="D13967" s="140"/>
      <c r="E13967" s="140"/>
    </row>
    <row r="13968" spans="1:5">
      <c r="A13968" s="140"/>
      <c r="B13968" s="192"/>
      <c r="C13968" s="140"/>
      <c r="D13968" s="140"/>
      <c r="E13968" s="140"/>
    </row>
    <row r="13969" spans="1:5">
      <c r="A13969" s="140"/>
      <c r="B13969" s="192"/>
      <c r="C13969" s="140"/>
      <c r="D13969" s="140"/>
      <c r="E13969" s="140"/>
    </row>
    <row r="13970" spans="1:5">
      <c r="A13970" s="140"/>
      <c r="B13970" s="192"/>
      <c r="C13970" s="140"/>
      <c r="D13970" s="140"/>
      <c r="E13970" s="140"/>
    </row>
    <row r="13971" spans="1:5">
      <c r="A13971" s="140"/>
      <c r="B13971" s="192"/>
      <c r="C13971" s="140"/>
      <c r="D13971" s="140"/>
      <c r="E13971" s="140"/>
    </row>
    <row r="13972" spans="1:5">
      <c r="A13972" s="140"/>
      <c r="B13972" s="192"/>
      <c r="C13972" s="140"/>
      <c r="D13972" s="140"/>
      <c r="E13972" s="140"/>
    </row>
    <row r="13973" spans="1:5">
      <c r="A13973" s="140"/>
      <c r="B13973" s="192"/>
      <c r="C13973" s="140"/>
      <c r="D13973" s="140"/>
      <c r="E13973" s="140"/>
    </row>
    <row r="13974" spans="1:5">
      <c r="A13974" s="140"/>
      <c r="B13974" s="192"/>
      <c r="C13974" s="140"/>
      <c r="D13974" s="140"/>
      <c r="E13974" s="140"/>
    </row>
    <row r="13975" spans="1:5">
      <c r="A13975" s="140"/>
      <c r="B13975" s="192"/>
      <c r="C13975" s="140"/>
      <c r="D13975" s="140"/>
      <c r="E13975" s="140"/>
    </row>
    <row r="13976" spans="1:5">
      <c r="A13976" s="140"/>
      <c r="B13976" s="192"/>
      <c r="C13976" s="140"/>
      <c r="D13976" s="140"/>
      <c r="E13976" s="140"/>
    </row>
    <row r="13977" spans="1:5">
      <c r="A13977" s="140"/>
      <c r="B13977" s="192"/>
      <c r="C13977" s="140"/>
      <c r="D13977" s="140"/>
      <c r="E13977" s="140"/>
    </row>
    <row r="13978" spans="1:5">
      <c r="A13978" s="140"/>
      <c r="B13978" s="192"/>
      <c r="C13978" s="140"/>
      <c r="D13978" s="140"/>
      <c r="E13978" s="140"/>
    </row>
    <row r="13979" spans="1:5">
      <c r="A13979" s="140"/>
      <c r="B13979" s="192"/>
      <c r="C13979" s="140"/>
      <c r="D13979" s="140"/>
      <c r="E13979" s="140"/>
    </row>
    <row r="13980" spans="1:5">
      <c r="A13980" s="140"/>
      <c r="B13980" s="192"/>
      <c r="C13980" s="140"/>
      <c r="D13980" s="140"/>
      <c r="E13980" s="140"/>
    </row>
    <row r="13981" spans="1:5">
      <c r="A13981" s="140"/>
      <c r="B13981" s="192"/>
      <c r="C13981" s="140"/>
      <c r="D13981" s="140"/>
      <c r="E13981" s="140"/>
    </row>
    <row r="13982" spans="1:5">
      <c r="A13982" s="140"/>
      <c r="B13982" s="192"/>
      <c r="C13982" s="140"/>
      <c r="D13982" s="140"/>
      <c r="E13982" s="140"/>
    </row>
    <row r="13983" spans="1:5">
      <c r="A13983" s="140"/>
      <c r="B13983" s="192"/>
      <c r="C13983" s="140"/>
      <c r="D13983" s="140"/>
      <c r="E13983" s="140"/>
    </row>
    <row r="13984" spans="1:5">
      <c r="A13984" s="140"/>
      <c r="B13984" s="192"/>
      <c r="C13984" s="140"/>
      <c r="D13984" s="140"/>
      <c r="E13984" s="140"/>
    </row>
    <row r="13985" spans="1:5">
      <c r="A13985" s="140"/>
      <c r="B13985" s="192"/>
      <c r="C13985" s="140"/>
      <c r="D13985" s="140"/>
      <c r="E13985" s="140"/>
    </row>
    <row r="13986" spans="1:5">
      <c r="A13986" s="140"/>
      <c r="B13986" s="192"/>
      <c r="C13986" s="140"/>
      <c r="D13986" s="140"/>
      <c r="E13986" s="140"/>
    </row>
    <row r="13987" spans="1:5">
      <c r="A13987" s="140"/>
      <c r="B13987" s="192"/>
      <c r="C13987" s="140"/>
      <c r="D13987" s="140"/>
      <c r="E13987" s="140"/>
    </row>
    <row r="13988" spans="1:5">
      <c r="A13988" s="140"/>
      <c r="B13988" s="192"/>
      <c r="C13988" s="140"/>
      <c r="D13988" s="140"/>
      <c r="E13988" s="140"/>
    </row>
    <row r="13989" spans="1:5">
      <c r="A13989" s="140"/>
      <c r="B13989" s="192"/>
      <c r="C13989" s="140"/>
      <c r="D13989" s="140"/>
      <c r="E13989" s="140"/>
    </row>
    <row r="13990" spans="1:5">
      <c r="A13990" s="140"/>
      <c r="B13990" s="192"/>
      <c r="C13990" s="140"/>
      <c r="D13990" s="140"/>
      <c r="E13990" s="140"/>
    </row>
    <row r="13991" spans="1:5">
      <c r="A13991" s="140"/>
      <c r="B13991" s="192"/>
      <c r="C13991" s="140"/>
      <c r="D13991" s="140"/>
      <c r="E13991" s="140"/>
    </row>
    <row r="13992" spans="1:5">
      <c r="A13992" s="140"/>
      <c r="B13992" s="192"/>
      <c r="C13992" s="140"/>
      <c r="D13992" s="140"/>
      <c r="E13992" s="140"/>
    </row>
    <row r="13993" spans="1:5">
      <c r="A13993" s="140"/>
      <c r="B13993" s="192"/>
      <c r="C13993" s="140"/>
      <c r="D13993" s="140"/>
      <c r="E13993" s="140"/>
    </row>
    <row r="13994" spans="1:5">
      <c r="A13994" s="140"/>
      <c r="B13994" s="192"/>
      <c r="C13994" s="140"/>
      <c r="D13994" s="140"/>
      <c r="E13994" s="140"/>
    </row>
    <row r="13995" spans="1:5">
      <c r="A13995" s="140"/>
      <c r="B13995" s="192"/>
      <c r="C13995" s="140"/>
      <c r="D13995" s="140"/>
      <c r="E13995" s="140"/>
    </row>
    <row r="13996" spans="1:5">
      <c r="A13996" s="140"/>
      <c r="B13996" s="192"/>
      <c r="C13996" s="140"/>
      <c r="D13996" s="140"/>
      <c r="E13996" s="140"/>
    </row>
    <row r="13997" spans="1:5">
      <c r="A13997" s="140"/>
      <c r="B13997" s="192"/>
      <c r="C13997" s="140"/>
      <c r="D13997" s="140"/>
      <c r="E13997" s="140"/>
    </row>
    <row r="13998" spans="1:5">
      <c r="A13998" s="140"/>
      <c r="B13998" s="192"/>
      <c r="C13998" s="140"/>
      <c r="D13998" s="140"/>
      <c r="E13998" s="140"/>
    </row>
    <row r="13999" spans="1:5">
      <c r="A13999" s="140"/>
      <c r="B13999" s="192"/>
      <c r="C13999" s="140"/>
      <c r="D13999" s="140"/>
      <c r="E13999" s="140"/>
    </row>
    <row r="14000" spans="1:5">
      <c r="A14000" s="140"/>
      <c r="B14000" s="192"/>
      <c r="C14000" s="140"/>
      <c r="D14000" s="140"/>
      <c r="E14000" s="140"/>
    </row>
    <row r="14001" spans="1:5">
      <c r="A14001" s="140"/>
      <c r="B14001" s="192"/>
      <c r="C14001" s="140"/>
      <c r="D14001" s="140"/>
      <c r="E14001" s="140"/>
    </row>
    <row r="14002" spans="1:5">
      <c r="A14002" s="140"/>
      <c r="B14002" s="192"/>
      <c r="C14002" s="140"/>
      <c r="D14002" s="140"/>
      <c r="E14002" s="140"/>
    </row>
    <row r="14003" spans="1:5">
      <c r="A14003" s="140"/>
      <c r="B14003" s="192"/>
      <c r="C14003" s="140"/>
      <c r="D14003" s="140"/>
      <c r="E14003" s="140"/>
    </row>
    <row r="14004" spans="1:5">
      <c r="A14004" s="140"/>
      <c r="B14004" s="192"/>
      <c r="C14004" s="140"/>
      <c r="D14004" s="140"/>
      <c r="E14004" s="140"/>
    </row>
    <row r="14005" spans="1:5">
      <c r="A14005" s="140"/>
      <c r="B14005" s="192"/>
      <c r="C14005" s="140"/>
      <c r="D14005" s="140"/>
      <c r="E14005" s="140"/>
    </row>
    <row r="14006" spans="1:5">
      <c r="A14006" s="140"/>
      <c r="B14006" s="192"/>
      <c r="C14006" s="140"/>
      <c r="D14006" s="140"/>
      <c r="E14006" s="140"/>
    </row>
    <row r="14007" spans="1:5">
      <c r="A14007" s="140"/>
      <c r="B14007" s="192"/>
      <c r="C14007" s="140"/>
      <c r="D14007" s="140"/>
      <c r="E14007" s="140"/>
    </row>
    <row r="14008" spans="1:5">
      <c r="A14008" s="140"/>
      <c r="B14008" s="192"/>
      <c r="C14008" s="140"/>
      <c r="D14008" s="140"/>
      <c r="E14008" s="140"/>
    </row>
    <row r="14009" spans="1:5">
      <c r="A14009" s="140"/>
      <c r="B14009" s="192"/>
      <c r="C14009" s="140"/>
      <c r="D14009" s="140"/>
      <c r="E14009" s="140"/>
    </row>
    <row r="14010" spans="1:5">
      <c r="A14010" s="140"/>
      <c r="B14010" s="192"/>
      <c r="C14010" s="140"/>
      <c r="D14010" s="140"/>
      <c r="E14010" s="140"/>
    </row>
    <row r="14011" spans="1:5">
      <c r="A14011" s="140"/>
      <c r="B14011" s="192"/>
      <c r="C14011" s="140"/>
      <c r="D14011" s="140"/>
      <c r="E14011" s="140"/>
    </row>
    <row r="14012" spans="1:5">
      <c r="A14012" s="140"/>
      <c r="B14012" s="192"/>
      <c r="C14012" s="140"/>
      <c r="D14012" s="140"/>
      <c r="E14012" s="140"/>
    </row>
    <row r="14013" spans="1:5">
      <c r="A14013" s="140"/>
      <c r="B14013" s="192"/>
      <c r="C14013" s="140"/>
      <c r="D14013" s="140"/>
      <c r="E14013" s="140"/>
    </row>
    <row r="14014" spans="1:5">
      <c r="A14014" s="140"/>
      <c r="B14014" s="192"/>
      <c r="C14014" s="140"/>
      <c r="D14014" s="140"/>
      <c r="E14014" s="140"/>
    </row>
    <row r="14015" spans="1:5">
      <c r="A14015" s="140"/>
      <c r="B14015" s="192"/>
      <c r="C14015" s="140"/>
      <c r="D14015" s="140"/>
      <c r="E14015" s="140"/>
    </row>
    <row r="14016" spans="1:5">
      <c r="A14016" s="140"/>
      <c r="B14016" s="192"/>
      <c r="C14016" s="140"/>
      <c r="D14016" s="140"/>
      <c r="E14016" s="140"/>
    </row>
    <row r="14017" spans="1:5">
      <c r="A14017" s="140"/>
      <c r="B14017" s="192"/>
      <c r="C14017" s="140"/>
      <c r="D14017" s="140"/>
      <c r="E14017" s="140"/>
    </row>
    <row r="14018" spans="1:5">
      <c r="A14018" s="140"/>
      <c r="B14018" s="192"/>
      <c r="C14018" s="140"/>
      <c r="D14018" s="140"/>
      <c r="E14018" s="140"/>
    </row>
    <row r="14019" spans="1:5">
      <c r="A14019" s="140"/>
      <c r="B14019" s="192"/>
      <c r="C14019" s="140"/>
      <c r="D14019" s="140"/>
      <c r="E14019" s="140"/>
    </row>
    <row r="14020" spans="1:5">
      <c r="A14020" s="140"/>
      <c r="B14020" s="192"/>
      <c r="C14020" s="140"/>
      <c r="D14020" s="140"/>
      <c r="E14020" s="140"/>
    </row>
    <row r="14021" spans="1:5">
      <c r="A14021" s="140"/>
      <c r="B14021" s="192"/>
      <c r="C14021" s="140"/>
      <c r="D14021" s="140"/>
      <c r="E14021" s="140"/>
    </row>
    <row r="14022" spans="1:5">
      <c r="A14022" s="140"/>
      <c r="B14022" s="192"/>
      <c r="C14022" s="140"/>
      <c r="D14022" s="140"/>
      <c r="E14022" s="140"/>
    </row>
    <row r="14023" spans="1:5">
      <c r="A14023" s="140"/>
      <c r="B14023" s="192"/>
      <c r="C14023" s="140"/>
      <c r="D14023" s="140"/>
      <c r="E14023" s="140"/>
    </row>
    <row r="14024" spans="1:5">
      <c r="A14024" s="140"/>
      <c r="B14024" s="192"/>
      <c r="C14024" s="140"/>
      <c r="D14024" s="140"/>
      <c r="E14024" s="140"/>
    </row>
    <row r="14025" spans="1:5">
      <c r="A14025" s="140"/>
      <c r="B14025" s="192"/>
      <c r="C14025" s="140"/>
      <c r="D14025" s="140"/>
      <c r="E14025" s="140"/>
    </row>
    <row r="14026" spans="1:5">
      <c r="A14026" s="140"/>
      <c r="B14026" s="192"/>
      <c r="C14026" s="140"/>
      <c r="D14026" s="140"/>
      <c r="E14026" s="140"/>
    </row>
    <row r="14027" spans="1:5">
      <c r="A14027" s="140"/>
      <c r="B14027" s="192"/>
      <c r="C14027" s="140"/>
      <c r="D14027" s="140"/>
      <c r="E14027" s="140"/>
    </row>
    <row r="14028" spans="1:5">
      <c r="A14028" s="140"/>
      <c r="B14028" s="192"/>
      <c r="C14028" s="140"/>
      <c r="D14028" s="140"/>
      <c r="E14028" s="140"/>
    </row>
    <row r="14029" spans="1:5">
      <c r="A14029" s="140"/>
      <c r="B14029" s="192"/>
      <c r="C14029" s="140"/>
      <c r="D14029" s="140"/>
      <c r="E14029" s="140"/>
    </row>
    <row r="14030" spans="1:5">
      <c r="A14030" s="140"/>
      <c r="B14030" s="192"/>
      <c r="C14030" s="140"/>
      <c r="D14030" s="140"/>
      <c r="E14030" s="140"/>
    </row>
    <row r="14031" spans="1:5">
      <c r="A14031" s="140"/>
      <c r="B14031" s="192"/>
      <c r="C14031" s="140"/>
      <c r="D14031" s="140"/>
      <c r="E14031" s="140"/>
    </row>
    <row r="14032" spans="1:5">
      <c r="A14032" s="140"/>
      <c r="B14032" s="192"/>
      <c r="C14032" s="140"/>
      <c r="D14032" s="140"/>
      <c r="E14032" s="140"/>
    </row>
    <row r="14033" spans="1:5">
      <c r="A14033" s="140"/>
      <c r="B14033" s="192"/>
      <c r="C14033" s="140"/>
      <c r="D14033" s="140"/>
      <c r="E14033" s="140"/>
    </row>
    <row r="14034" spans="1:5">
      <c r="A14034" s="140"/>
      <c r="B14034" s="192"/>
      <c r="C14034" s="140"/>
      <c r="D14034" s="140"/>
      <c r="E14034" s="140"/>
    </row>
    <row r="14035" spans="1:5">
      <c r="A14035" s="140"/>
      <c r="B14035" s="192"/>
      <c r="C14035" s="140"/>
      <c r="D14035" s="140"/>
      <c r="E14035" s="140"/>
    </row>
    <row r="14036" spans="1:5">
      <c r="A14036" s="140"/>
      <c r="B14036" s="192"/>
      <c r="C14036" s="140"/>
      <c r="D14036" s="140"/>
      <c r="E14036" s="140"/>
    </row>
    <row r="14037" spans="1:5">
      <c r="A14037" s="140"/>
      <c r="B14037" s="192"/>
      <c r="C14037" s="140"/>
      <c r="D14037" s="140"/>
      <c r="E14037" s="140"/>
    </row>
    <row r="14038" spans="1:5">
      <c r="A14038" s="140"/>
      <c r="B14038" s="192"/>
      <c r="C14038" s="140"/>
      <c r="D14038" s="140"/>
      <c r="E14038" s="140"/>
    </row>
    <row r="14039" spans="1:5">
      <c r="A14039" s="140"/>
      <c r="B14039" s="192"/>
      <c r="C14039" s="140"/>
      <c r="D14039" s="140"/>
      <c r="E14039" s="140"/>
    </row>
    <row r="14040" spans="1:5">
      <c r="A14040" s="140"/>
      <c r="B14040" s="192"/>
      <c r="C14040" s="140"/>
      <c r="D14040" s="140"/>
      <c r="E14040" s="140"/>
    </row>
    <row r="14041" spans="1:5">
      <c r="A14041" s="140"/>
      <c r="B14041" s="192"/>
      <c r="C14041" s="140"/>
      <c r="D14041" s="140"/>
      <c r="E14041" s="140"/>
    </row>
    <row r="14042" spans="1:5">
      <c r="A14042" s="140"/>
      <c r="B14042" s="192"/>
      <c r="C14042" s="140"/>
      <c r="D14042" s="140"/>
      <c r="E14042" s="140"/>
    </row>
    <row r="14043" spans="1:5">
      <c r="A14043" s="140"/>
      <c r="B14043" s="192"/>
      <c r="C14043" s="140"/>
      <c r="D14043" s="140"/>
      <c r="E14043" s="140"/>
    </row>
    <row r="14044" spans="1:5">
      <c r="A14044" s="140"/>
      <c r="B14044" s="192"/>
      <c r="C14044" s="140"/>
      <c r="D14044" s="140"/>
      <c r="E14044" s="140"/>
    </row>
    <row r="14045" spans="1:5">
      <c r="A14045" s="140"/>
      <c r="B14045" s="192"/>
      <c r="C14045" s="140"/>
      <c r="D14045" s="140"/>
      <c r="E14045" s="140"/>
    </row>
    <row r="14046" spans="1:5">
      <c r="A14046" s="140"/>
      <c r="B14046" s="192"/>
      <c r="C14046" s="140"/>
      <c r="D14046" s="140"/>
      <c r="E14046" s="140"/>
    </row>
    <row r="14047" spans="1:5">
      <c r="A14047" s="140"/>
      <c r="B14047" s="192"/>
      <c r="C14047" s="140"/>
      <c r="D14047" s="140"/>
      <c r="E14047" s="140"/>
    </row>
    <row r="14048" spans="1:5">
      <c r="A14048" s="140"/>
      <c r="B14048" s="192"/>
      <c r="C14048" s="140"/>
      <c r="D14048" s="140"/>
      <c r="E14048" s="140"/>
    </row>
    <row r="14049" spans="1:5">
      <c r="A14049" s="140"/>
      <c r="B14049" s="192"/>
      <c r="C14049" s="140"/>
      <c r="D14049" s="140"/>
      <c r="E14049" s="140"/>
    </row>
    <row r="14050" spans="1:5">
      <c r="A14050" s="140"/>
      <c r="B14050" s="192"/>
      <c r="C14050" s="140"/>
      <c r="D14050" s="140"/>
      <c r="E14050" s="140"/>
    </row>
    <row r="14051" spans="1:5">
      <c r="A14051" s="140"/>
      <c r="B14051" s="192"/>
      <c r="C14051" s="140"/>
      <c r="D14051" s="140"/>
      <c r="E14051" s="140"/>
    </row>
    <row r="14052" spans="1:5">
      <c r="A14052" s="140"/>
      <c r="B14052" s="192"/>
      <c r="C14052" s="140"/>
      <c r="D14052" s="140"/>
      <c r="E14052" s="140"/>
    </row>
    <row r="14053" spans="1:5">
      <c r="A14053" s="140"/>
      <c r="B14053" s="192"/>
      <c r="C14053" s="140"/>
      <c r="D14053" s="140"/>
      <c r="E14053" s="140"/>
    </row>
    <row r="14054" spans="1:5">
      <c r="A14054" s="140"/>
      <c r="B14054" s="192"/>
      <c r="C14054" s="140"/>
      <c r="D14054" s="140"/>
      <c r="E14054" s="140"/>
    </row>
    <row r="14055" spans="1:5">
      <c r="A14055" s="140"/>
      <c r="B14055" s="192"/>
      <c r="C14055" s="140"/>
      <c r="D14055" s="140"/>
      <c r="E14055" s="140"/>
    </row>
    <row r="14056" spans="1:5">
      <c r="A14056" s="140"/>
      <c r="B14056" s="192"/>
      <c r="C14056" s="140"/>
      <c r="D14056" s="140"/>
      <c r="E14056" s="140"/>
    </row>
    <row r="14057" spans="1:5">
      <c r="A14057" s="140"/>
      <c r="B14057" s="192"/>
      <c r="C14057" s="140"/>
      <c r="D14057" s="140"/>
      <c r="E14057" s="140"/>
    </row>
    <row r="14058" spans="1:5">
      <c r="A14058" s="140"/>
      <c r="B14058" s="192"/>
      <c r="C14058" s="140"/>
      <c r="D14058" s="140"/>
      <c r="E14058" s="140"/>
    </row>
    <row r="14059" spans="1:5">
      <c r="A14059" s="140"/>
      <c r="B14059" s="192"/>
      <c r="C14059" s="140"/>
      <c r="D14059" s="140"/>
      <c r="E14059" s="140"/>
    </row>
    <row r="14060" spans="1:5">
      <c r="A14060" s="140"/>
      <c r="B14060" s="192"/>
      <c r="C14060" s="140"/>
      <c r="D14060" s="140"/>
      <c r="E14060" s="140"/>
    </row>
    <row r="14061" spans="1:5">
      <c r="A14061" s="140"/>
      <c r="B14061" s="192"/>
      <c r="C14061" s="140"/>
      <c r="D14061" s="140"/>
      <c r="E14061" s="140"/>
    </row>
    <row r="14062" spans="1:5">
      <c r="A14062" s="140"/>
      <c r="B14062" s="192"/>
      <c r="C14062" s="140"/>
      <c r="D14062" s="140"/>
      <c r="E14062" s="140"/>
    </row>
    <row r="14063" spans="1:5">
      <c r="A14063" s="140"/>
      <c r="B14063" s="192"/>
      <c r="C14063" s="140"/>
      <c r="D14063" s="140"/>
      <c r="E14063" s="140"/>
    </row>
    <row r="14064" spans="1:5">
      <c r="A14064" s="140"/>
      <c r="B14064" s="192"/>
      <c r="C14064" s="140"/>
      <c r="D14064" s="140"/>
      <c r="E14064" s="140"/>
    </row>
    <row r="14065" spans="1:5">
      <c r="A14065" s="140"/>
      <c r="B14065" s="192"/>
      <c r="C14065" s="140"/>
      <c r="D14065" s="140"/>
      <c r="E14065" s="140"/>
    </row>
    <row r="14066" spans="1:5">
      <c r="A14066" s="140"/>
      <c r="B14066" s="192"/>
      <c r="C14066" s="140"/>
      <c r="D14066" s="140"/>
      <c r="E14066" s="140"/>
    </row>
    <row r="14067" spans="1:5">
      <c r="A14067" s="140"/>
      <c r="B14067" s="192"/>
      <c r="C14067" s="140"/>
      <c r="D14067" s="140"/>
      <c r="E14067" s="140"/>
    </row>
    <row r="14068" spans="1:5">
      <c r="A14068" s="140"/>
      <c r="B14068" s="192"/>
      <c r="C14068" s="140"/>
      <c r="D14068" s="140"/>
      <c r="E14068" s="140"/>
    </row>
    <row r="14069" spans="1:5">
      <c r="A14069" s="140"/>
      <c r="B14069" s="192"/>
      <c r="C14069" s="140"/>
      <c r="D14069" s="140"/>
      <c r="E14069" s="140"/>
    </row>
    <row r="14070" spans="1:5">
      <c r="A14070" s="140"/>
      <c r="B14070" s="192"/>
      <c r="C14070" s="140"/>
      <c r="D14070" s="140"/>
      <c r="E14070" s="140"/>
    </row>
    <row r="14071" spans="1:5">
      <c r="A14071" s="140"/>
      <c r="B14071" s="192"/>
      <c r="C14071" s="140"/>
      <c r="D14071" s="140"/>
      <c r="E14071" s="140"/>
    </row>
    <row r="14072" spans="1:5">
      <c r="A14072" s="140"/>
      <c r="B14072" s="192"/>
      <c r="C14072" s="140"/>
      <c r="D14072" s="140"/>
      <c r="E14072" s="140"/>
    </row>
    <row r="14073" spans="1:5">
      <c r="A14073" s="140"/>
      <c r="B14073" s="192"/>
      <c r="C14073" s="140"/>
      <c r="D14073" s="140"/>
      <c r="E14073" s="140"/>
    </row>
    <row r="14074" spans="1:5">
      <c r="A14074" s="140"/>
      <c r="B14074" s="192"/>
      <c r="C14074" s="140"/>
      <c r="D14074" s="140"/>
      <c r="E14074" s="140"/>
    </row>
    <row r="14075" spans="1:5">
      <c r="A14075" s="140"/>
      <c r="B14075" s="192"/>
      <c r="C14075" s="140"/>
      <c r="D14075" s="140"/>
      <c r="E14075" s="140"/>
    </row>
    <row r="14076" spans="1:5">
      <c r="A14076" s="140"/>
      <c r="B14076" s="192"/>
      <c r="C14076" s="140"/>
      <c r="D14076" s="140"/>
      <c r="E14076" s="140"/>
    </row>
    <row r="14077" spans="1:5">
      <c r="A14077" s="140"/>
      <c r="B14077" s="192"/>
      <c r="C14077" s="140"/>
      <c r="D14077" s="140"/>
      <c r="E14077" s="140"/>
    </row>
    <row r="14078" spans="1:5">
      <c r="A14078" s="140"/>
      <c r="B14078" s="192"/>
      <c r="C14078" s="140"/>
      <c r="D14078" s="140"/>
      <c r="E14078" s="140"/>
    </row>
    <row r="14079" spans="1:5">
      <c r="A14079" s="140"/>
      <c r="B14079" s="192"/>
      <c r="C14079" s="140"/>
      <c r="D14079" s="140"/>
      <c r="E14079" s="140"/>
    </row>
    <row r="14080" spans="1:5">
      <c r="A14080" s="140"/>
      <c r="B14080" s="192"/>
      <c r="C14080" s="140"/>
      <c r="D14080" s="140"/>
      <c r="E14080" s="140"/>
    </row>
    <row r="14081" spans="1:5">
      <c r="A14081" s="140"/>
      <c r="B14081" s="192"/>
      <c r="C14081" s="140"/>
      <c r="D14081" s="140"/>
      <c r="E14081" s="140"/>
    </row>
    <row r="14082" spans="1:5">
      <c r="A14082" s="140"/>
      <c r="B14082" s="192"/>
      <c r="C14082" s="140"/>
      <c r="D14082" s="140"/>
      <c r="E14082" s="140"/>
    </row>
    <row r="14083" spans="1:5">
      <c r="A14083" s="140"/>
      <c r="B14083" s="192"/>
      <c r="C14083" s="140"/>
      <c r="D14083" s="140"/>
      <c r="E14083" s="140"/>
    </row>
    <row r="14084" spans="1:5">
      <c r="A14084" s="140"/>
      <c r="B14084" s="192"/>
      <c r="C14084" s="140"/>
      <c r="D14084" s="140"/>
      <c r="E14084" s="140"/>
    </row>
    <row r="14085" spans="1:5">
      <c r="A14085" s="140"/>
      <c r="B14085" s="192"/>
      <c r="C14085" s="140"/>
      <c r="D14085" s="140"/>
      <c r="E14085" s="140"/>
    </row>
    <row r="14086" spans="1:5">
      <c r="A14086" s="140"/>
      <c r="B14086" s="192"/>
      <c r="C14086" s="140"/>
      <c r="D14086" s="140"/>
      <c r="E14086" s="140"/>
    </row>
    <row r="14087" spans="1:5">
      <c r="A14087" s="140"/>
      <c r="B14087" s="192"/>
      <c r="C14087" s="140"/>
      <c r="D14087" s="140"/>
      <c r="E14087" s="140"/>
    </row>
    <row r="14088" spans="1:5">
      <c r="A14088" s="140"/>
      <c r="B14088" s="192"/>
      <c r="C14088" s="140"/>
      <c r="D14088" s="140"/>
      <c r="E14088" s="140"/>
    </row>
    <row r="14089" spans="1:5">
      <c r="A14089" s="140"/>
      <c r="B14089" s="192"/>
      <c r="C14089" s="140"/>
      <c r="D14089" s="140"/>
      <c r="E14089" s="140"/>
    </row>
    <row r="14090" spans="1:5">
      <c r="A14090" s="140"/>
      <c r="B14090" s="192"/>
      <c r="C14090" s="140"/>
      <c r="D14090" s="140"/>
      <c r="E14090" s="140"/>
    </row>
    <row r="14091" spans="1:5">
      <c r="A14091" s="140"/>
      <c r="B14091" s="192"/>
      <c r="C14091" s="140"/>
      <c r="D14091" s="140"/>
      <c r="E14091" s="140"/>
    </row>
    <row r="14092" spans="1:5">
      <c r="A14092" s="140"/>
      <c r="B14092" s="192"/>
      <c r="C14092" s="140"/>
      <c r="D14092" s="140"/>
      <c r="E14092" s="140"/>
    </row>
    <row r="14093" spans="1:5">
      <c r="A14093" s="140"/>
      <c r="B14093" s="192"/>
      <c r="C14093" s="140"/>
      <c r="D14093" s="140"/>
      <c r="E14093" s="140"/>
    </row>
    <row r="14094" spans="1:5">
      <c r="A14094" s="140"/>
      <c r="B14094" s="192"/>
      <c r="C14094" s="140"/>
      <c r="D14094" s="140"/>
      <c r="E14094" s="140"/>
    </row>
    <row r="14095" spans="1:5">
      <c r="A14095" s="140"/>
      <c r="B14095" s="192"/>
      <c r="C14095" s="140"/>
      <c r="D14095" s="140"/>
      <c r="E14095" s="140"/>
    </row>
    <row r="14096" spans="1:5">
      <c r="A14096" s="140"/>
      <c r="B14096" s="192"/>
      <c r="C14096" s="140"/>
      <c r="D14096" s="140"/>
      <c r="E14096" s="140"/>
    </row>
    <row r="14097" spans="1:5">
      <c r="A14097" s="140"/>
      <c r="B14097" s="192"/>
      <c r="C14097" s="140"/>
      <c r="D14097" s="140"/>
      <c r="E14097" s="140"/>
    </row>
    <row r="14098" spans="1:5">
      <c r="A14098" s="140"/>
      <c r="B14098" s="192"/>
      <c r="C14098" s="140"/>
      <c r="D14098" s="140"/>
      <c r="E14098" s="140"/>
    </row>
    <row r="14099" spans="1:5">
      <c r="A14099" s="140"/>
      <c r="B14099" s="192"/>
      <c r="C14099" s="140"/>
      <c r="D14099" s="140"/>
      <c r="E14099" s="140"/>
    </row>
    <row r="14100" spans="1:5">
      <c r="A14100" s="140"/>
      <c r="B14100" s="192"/>
      <c r="C14100" s="140"/>
      <c r="D14100" s="140"/>
      <c r="E14100" s="140"/>
    </row>
    <row r="14101" spans="1:5">
      <c r="A14101" s="140"/>
      <c r="B14101" s="192"/>
      <c r="C14101" s="140"/>
      <c r="D14101" s="140"/>
      <c r="E14101" s="140"/>
    </row>
    <row r="14102" spans="1:5">
      <c r="A14102" s="140"/>
      <c r="B14102" s="192"/>
      <c r="C14102" s="140"/>
      <c r="D14102" s="140"/>
      <c r="E14102" s="140"/>
    </row>
    <row r="14103" spans="1:5">
      <c r="A14103" s="140"/>
      <c r="B14103" s="192"/>
      <c r="C14103" s="140"/>
      <c r="D14103" s="140"/>
      <c r="E14103" s="140"/>
    </row>
    <row r="14104" spans="1:5">
      <c r="A14104" s="140"/>
      <c r="B14104" s="192"/>
      <c r="C14104" s="140"/>
      <c r="D14104" s="140"/>
      <c r="E14104" s="140"/>
    </row>
    <row r="14105" spans="1:5">
      <c r="A14105" s="140"/>
      <c r="B14105" s="192"/>
      <c r="C14105" s="140"/>
      <c r="D14105" s="140"/>
      <c r="E14105" s="140"/>
    </row>
    <row r="14106" spans="1:5">
      <c r="A14106" s="140"/>
      <c r="B14106" s="192"/>
      <c r="C14106" s="140"/>
      <c r="D14106" s="140"/>
      <c r="E14106" s="140"/>
    </row>
    <row r="14107" spans="1:5">
      <c r="A14107" s="140"/>
      <c r="B14107" s="192"/>
      <c r="C14107" s="140"/>
      <c r="D14107" s="140"/>
      <c r="E14107" s="140"/>
    </row>
    <row r="14108" spans="1:5">
      <c r="A14108" s="140"/>
      <c r="B14108" s="192"/>
      <c r="C14108" s="140"/>
      <c r="D14108" s="140"/>
      <c r="E14108" s="140"/>
    </row>
    <row r="14109" spans="1:5">
      <c r="A14109" s="140"/>
      <c r="B14109" s="192"/>
      <c r="C14109" s="140"/>
      <c r="D14109" s="140"/>
      <c r="E14109" s="140"/>
    </row>
    <row r="14110" spans="1:5">
      <c r="A14110" s="140"/>
      <c r="B14110" s="192"/>
      <c r="C14110" s="140"/>
      <c r="D14110" s="140"/>
      <c r="E14110" s="140"/>
    </row>
    <row r="14111" spans="1:5">
      <c r="A14111" s="140"/>
      <c r="B14111" s="192"/>
      <c r="C14111" s="140"/>
      <c r="D14111" s="140"/>
      <c r="E14111" s="140"/>
    </row>
    <row r="14112" spans="1:5">
      <c r="A14112" s="140"/>
      <c r="B14112" s="192"/>
      <c r="C14112" s="140"/>
      <c r="D14112" s="140"/>
      <c r="E14112" s="140"/>
    </row>
    <row r="14113" spans="1:5">
      <c r="A14113" s="140"/>
      <c r="B14113" s="192"/>
      <c r="C14113" s="140"/>
      <c r="D14113" s="140"/>
      <c r="E14113" s="140"/>
    </row>
    <row r="14114" spans="1:5">
      <c r="A14114" s="140"/>
      <c r="B14114" s="192"/>
      <c r="C14114" s="140"/>
      <c r="D14114" s="140"/>
      <c r="E14114" s="140"/>
    </row>
    <row r="14115" spans="1:5">
      <c r="A14115" s="140"/>
      <c r="B14115" s="192"/>
      <c r="C14115" s="140"/>
      <c r="D14115" s="140"/>
      <c r="E14115" s="140"/>
    </row>
    <row r="14116" spans="1:5">
      <c r="A14116" s="140"/>
      <c r="B14116" s="192"/>
      <c r="C14116" s="140"/>
      <c r="D14116" s="140"/>
      <c r="E14116" s="140"/>
    </row>
    <row r="14117" spans="1:5">
      <c r="A14117" s="140"/>
      <c r="B14117" s="192"/>
      <c r="C14117" s="140"/>
      <c r="D14117" s="140"/>
      <c r="E14117" s="140"/>
    </row>
    <row r="14118" spans="1:5">
      <c r="A14118" s="140"/>
      <c r="B14118" s="192"/>
      <c r="C14118" s="140"/>
      <c r="D14118" s="140"/>
      <c r="E14118" s="140"/>
    </row>
    <row r="14119" spans="1:5">
      <c r="A14119" s="140"/>
      <c r="B14119" s="192"/>
      <c r="C14119" s="140"/>
      <c r="D14119" s="140"/>
      <c r="E14119" s="140"/>
    </row>
    <row r="14120" spans="1:5">
      <c r="A14120" s="140"/>
      <c r="B14120" s="192"/>
      <c r="C14120" s="140"/>
      <c r="D14120" s="140"/>
      <c r="E14120" s="140"/>
    </row>
    <row r="14121" spans="1:5">
      <c r="A14121" s="140"/>
      <c r="B14121" s="192"/>
      <c r="C14121" s="140"/>
      <c r="D14121" s="140"/>
      <c r="E14121" s="140"/>
    </row>
    <row r="14122" spans="1:5">
      <c r="A14122" s="140"/>
      <c r="B14122" s="192"/>
      <c r="C14122" s="140"/>
      <c r="D14122" s="140"/>
      <c r="E14122" s="140"/>
    </row>
    <row r="14123" spans="1:5">
      <c r="A14123" s="140"/>
      <c r="B14123" s="192"/>
      <c r="C14123" s="140"/>
      <c r="D14123" s="140"/>
      <c r="E14123" s="140"/>
    </row>
    <row r="14124" spans="1:5">
      <c r="A14124" s="140"/>
      <c r="B14124" s="192"/>
      <c r="C14124" s="140"/>
      <c r="D14124" s="140"/>
      <c r="E14124" s="140"/>
    </row>
    <row r="14125" spans="1:5">
      <c r="A14125" s="140"/>
      <c r="B14125" s="192"/>
      <c r="C14125" s="140"/>
      <c r="D14125" s="140"/>
      <c r="E14125" s="140"/>
    </row>
    <row r="14126" spans="1:5">
      <c r="A14126" s="140"/>
      <c r="B14126" s="192"/>
      <c r="C14126" s="140"/>
      <c r="D14126" s="140"/>
      <c r="E14126" s="140"/>
    </row>
    <row r="14127" spans="1:5">
      <c r="A14127" s="140"/>
      <c r="B14127" s="192"/>
      <c r="C14127" s="140"/>
      <c r="D14127" s="140"/>
      <c r="E14127" s="140"/>
    </row>
    <row r="14128" spans="1:5">
      <c r="A14128" s="140"/>
      <c r="B14128" s="192"/>
      <c r="C14128" s="140"/>
      <c r="D14128" s="140"/>
      <c r="E14128" s="140"/>
    </row>
    <row r="14129" spans="1:5">
      <c r="A14129" s="140"/>
      <c r="B14129" s="192"/>
      <c r="C14129" s="140"/>
      <c r="D14129" s="140"/>
      <c r="E14129" s="140"/>
    </row>
    <row r="14130" spans="1:5">
      <c r="A14130" s="140"/>
      <c r="B14130" s="192"/>
      <c r="C14130" s="140"/>
      <c r="D14130" s="140"/>
      <c r="E14130" s="140"/>
    </row>
    <row r="14131" spans="1:5">
      <c r="A14131" s="140"/>
      <c r="B14131" s="192"/>
      <c r="C14131" s="140"/>
      <c r="D14131" s="140"/>
      <c r="E14131" s="140"/>
    </row>
    <row r="14132" spans="1:5">
      <c r="A14132" s="140"/>
      <c r="B14132" s="192"/>
      <c r="C14132" s="140"/>
      <c r="D14132" s="140"/>
      <c r="E14132" s="140"/>
    </row>
    <row r="14133" spans="1:5">
      <c r="A14133" s="140"/>
      <c r="B14133" s="192"/>
      <c r="C14133" s="140"/>
      <c r="D14133" s="140"/>
      <c r="E14133" s="140"/>
    </row>
    <row r="14134" spans="1:5">
      <c r="A14134" s="140"/>
      <c r="B14134" s="192"/>
      <c r="C14134" s="140"/>
      <c r="D14134" s="140"/>
      <c r="E14134" s="140"/>
    </row>
    <row r="14135" spans="1:5">
      <c r="A14135" s="140"/>
      <c r="B14135" s="192"/>
      <c r="C14135" s="140"/>
      <c r="D14135" s="140"/>
      <c r="E14135" s="140"/>
    </row>
    <row r="14136" spans="1:5">
      <c r="A14136" s="140"/>
      <c r="B14136" s="192"/>
      <c r="C14136" s="140"/>
      <c r="D14136" s="140"/>
      <c r="E14136" s="140"/>
    </row>
    <row r="14137" spans="1:5">
      <c r="A14137" s="140"/>
      <c r="B14137" s="192"/>
      <c r="C14137" s="140"/>
      <c r="D14137" s="140"/>
      <c r="E14137" s="140"/>
    </row>
    <row r="14138" spans="1:5">
      <c r="A14138" s="140"/>
      <c r="B14138" s="192"/>
      <c r="C14138" s="140"/>
      <c r="D14138" s="140"/>
      <c r="E14138" s="140"/>
    </row>
    <row r="14139" spans="1:5">
      <c r="A14139" s="140"/>
      <c r="B14139" s="192"/>
      <c r="C14139" s="140"/>
      <c r="D14139" s="140"/>
      <c r="E14139" s="140"/>
    </row>
    <row r="14140" spans="1:5">
      <c r="A14140" s="140"/>
      <c r="B14140" s="192"/>
      <c r="C14140" s="140"/>
      <c r="D14140" s="140"/>
      <c r="E14140" s="140"/>
    </row>
    <row r="14141" spans="1:5">
      <c r="A14141" s="140"/>
      <c r="B14141" s="192"/>
      <c r="C14141" s="140"/>
      <c r="D14141" s="140"/>
      <c r="E14141" s="140"/>
    </row>
    <row r="14142" spans="1:5">
      <c r="A14142" s="140"/>
      <c r="B14142" s="192"/>
      <c r="C14142" s="140"/>
      <c r="D14142" s="140"/>
      <c r="E14142" s="140"/>
    </row>
    <row r="14143" spans="1:5">
      <c r="A14143" s="140"/>
      <c r="B14143" s="192"/>
      <c r="C14143" s="140"/>
      <c r="D14143" s="140"/>
      <c r="E14143" s="140"/>
    </row>
    <row r="14144" spans="1:5">
      <c r="A14144" s="140"/>
      <c r="B14144" s="192"/>
      <c r="C14144" s="140"/>
      <c r="D14144" s="140"/>
      <c r="E14144" s="140"/>
    </row>
    <row r="14145" spans="1:5">
      <c r="A14145" s="140"/>
      <c r="B14145" s="192"/>
      <c r="C14145" s="140"/>
      <c r="D14145" s="140"/>
      <c r="E14145" s="140"/>
    </row>
    <row r="14146" spans="1:5">
      <c r="A14146" s="140"/>
      <c r="B14146" s="192"/>
      <c r="C14146" s="140"/>
      <c r="D14146" s="140"/>
      <c r="E14146" s="140"/>
    </row>
    <row r="14147" spans="1:5">
      <c r="A14147" s="140"/>
      <c r="B14147" s="192"/>
      <c r="C14147" s="140"/>
      <c r="D14147" s="140"/>
      <c r="E14147" s="140"/>
    </row>
    <row r="14148" spans="1:5">
      <c r="A14148" s="140"/>
      <c r="B14148" s="192"/>
      <c r="C14148" s="140"/>
      <c r="D14148" s="140"/>
      <c r="E14148" s="140"/>
    </row>
    <row r="14149" spans="1:5">
      <c r="A14149" s="140"/>
      <c r="B14149" s="192"/>
      <c r="C14149" s="140"/>
      <c r="D14149" s="140"/>
      <c r="E14149" s="140"/>
    </row>
    <row r="14150" spans="1:5">
      <c r="A14150" s="140"/>
      <c r="B14150" s="192"/>
      <c r="C14150" s="140"/>
      <c r="D14150" s="140"/>
      <c r="E14150" s="140"/>
    </row>
    <row r="14151" spans="1:5">
      <c r="A14151" s="140"/>
      <c r="B14151" s="192"/>
      <c r="C14151" s="140"/>
      <c r="D14151" s="140"/>
      <c r="E14151" s="140"/>
    </row>
    <row r="14152" spans="1:5">
      <c r="A14152" s="140"/>
      <c r="B14152" s="192"/>
      <c r="C14152" s="140"/>
      <c r="D14152" s="140"/>
      <c r="E14152" s="140"/>
    </row>
    <row r="14153" spans="1:5">
      <c r="A14153" s="140"/>
      <c r="B14153" s="192"/>
      <c r="C14153" s="140"/>
      <c r="D14153" s="140"/>
      <c r="E14153" s="140"/>
    </row>
    <row r="14154" spans="1:5">
      <c r="A14154" s="140"/>
      <c r="B14154" s="192"/>
      <c r="C14154" s="140"/>
      <c r="D14154" s="140"/>
      <c r="E14154" s="140"/>
    </row>
    <row r="14155" spans="1:5">
      <c r="A14155" s="140"/>
      <c r="B14155" s="192"/>
      <c r="C14155" s="140"/>
      <c r="D14155" s="140"/>
      <c r="E14155" s="140"/>
    </row>
    <row r="14156" spans="1:5">
      <c r="A14156" s="140"/>
      <c r="B14156" s="192"/>
      <c r="C14156" s="140"/>
      <c r="D14156" s="140"/>
      <c r="E14156" s="140"/>
    </row>
    <row r="14157" spans="1:5">
      <c r="A14157" s="140"/>
      <c r="B14157" s="192"/>
      <c r="C14157" s="140"/>
      <c r="D14157" s="140"/>
      <c r="E14157" s="140"/>
    </row>
    <row r="14158" spans="1:5">
      <c r="A14158" s="140"/>
      <c r="B14158" s="192"/>
      <c r="C14158" s="140"/>
      <c r="D14158" s="140"/>
      <c r="E14158" s="140"/>
    </row>
    <row r="14159" spans="1:5">
      <c r="A14159" s="140"/>
      <c r="B14159" s="192"/>
      <c r="C14159" s="140"/>
      <c r="D14159" s="140"/>
      <c r="E14159" s="140"/>
    </row>
    <row r="14160" spans="1:5">
      <c r="A14160" s="140"/>
      <c r="B14160" s="192"/>
      <c r="C14160" s="140"/>
      <c r="D14160" s="140"/>
      <c r="E14160" s="140"/>
    </row>
    <row r="14161" spans="1:5">
      <c r="A14161" s="140"/>
      <c r="B14161" s="192"/>
      <c r="C14161" s="140"/>
      <c r="D14161" s="140"/>
      <c r="E14161" s="140"/>
    </row>
    <row r="14162" spans="1:5">
      <c r="A14162" s="140"/>
      <c r="B14162" s="192"/>
      <c r="C14162" s="140"/>
      <c r="D14162" s="140"/>
      <c r="E14162" s="140"/>
    </row>
    <row r="14163" spans="1:5">
      <c r="A14163" s="140"/>
      <c r="B14163" s="192"/>
      <c r="C14163" s="140"/>
      <c r="D14163" s="140"/>
      <c r="E14163" s="140"/>
    </row>
    <row r="14164" spans="1:5">
      <c r="A14164" s="140"/>
      <c r="B14164" s="192"/>
      <c r="C14164" s="140"/>
      <c r="D14164" s="140"/>
      <c r="E14164" s="140"/>
    </row>
    <row r="14165" spans="1:5">
      <c r="A14165" s="140"/>
      <c r="B14165" s="192"/>
      <c r="C14165" s="140"/>
      <c r="D14165" s="140"/>
      <c r="E14165" s="140"/>
    </row>
    <row r="14166" spans="1:5">
      <c r="A14166" s="140"/>
      <c r="B14166" s="192"/>
      <c r="C14166" s="140"/>
      <c r="D14166" s="140"/>
      <c r="E14166" s="140"/>
    </row>
    <row r="14167" spans="1:5">
      <c r="A14167" s="140"/>
      <c r="B14167" s="192"/>
      <c r="C14167" s="140"/>
      <c r="D14167" s="140"/>
      <c r="E14167" s="140"/>
    </row>
    <row r="14168" spans="1:5">
      <c r="A14168" s="140"/>
      <c r="B14168" s="192"/>
      <c r="C14168" s="140"/>
      <c r="D14168" s="140"/>
      <c r="E14168" s="140"/>
    </row>
    <row r="14169" spans="1:5">
      <c r="A14169" s="140"/>
      <c r="B14169" s="192"/>
      <c r="C14169" s="140"/>
      <c r="D14169" s="140"/>
      <c r="E14169" s="140"/>
    </row>
    <row r="14170" spans="1:5">
      <c r="A14170" s="140"/>
      <c r="B14170" s="192"/>
      <c r="C14170" s="140"/>
      <c r="D14170" s="140"/>
      <c r="E14170" s="140"/>
    </row>
    <row r="14171" spans="1:5">
      <c r="A14171" s="140"/>
      <c r="B14171" s="192"/>
      <c r="C14171" s="140"/>
      <c r="D14171" s="140"/>
      <c r="E14171" s="140"/>
    </row>
    <row r="14172" spans="1:5">
      <c r="A14172" s="140"/>
      <c r="B14172" s="192"/>
      <c r="C14172" s="140"/>
      <c r="D14172" s="140"/>
      <c r="E14172" s="140"/>
    </row>
    <row r="14173" spans="1:5">
      <c r="A14173" s="140"/>
      <c r="B14173" s="192"/>
      <c r="C14173" s="140"/>
      <c r="D14173" s="140"/>
      <c r="E14173" s="140"/>
    </row>
    <row r="14174" spans="1:5">
      <c r="A14174" s="140"/>
      <c r="B14174" s="192"/>
      <c r="C14174" s="140"/>
      <c r="D14174" s="140"/>
      <c r="E14174" s="140"/>
    </row>
    <row r="14175" spans="1:5">
      <c r="A14175" s="140"/>
      <c r="B14175" s="192"/>
      <c r="C14175" s="140"/>
      <c r="D14175" s="140"/>
      <c r="E14175" s="140"/>
    </row>
    <row r="14176" spans="1:5">
      <c r="A14176" s="140"/>
      <c r="B14176" s="192"/>
      <c r="C14176" s="140"/>
      <c r="D14176" s="140"/>
      <c r="E14176" s="140"/>
    </row>
    <row r="14177" spans="1:5">
      <c r="A14177" s="140"/>
      <c r="B14177" s="192"/>
      <c r="C14177" s="140"/>
      <c r="D14177" s="140"/>
      <c r="E14177" s="140"/>
    </row>
    <row r="14178" spans="1:5">
      <c r="A14178" s="140"/>
      <c r="B14178" s="192"/>
      <c r="C14178" s="140"/>
      <c r="D14178" s="140"/>
      <c r="E14178" s="140"/>
    </row>
    <row r="14179" spans="1:5">
      <c r="A14179" s="140"/>
      <c r="B14179" s="192"/>
      <c r="C14179" s="140"/>
      <c r="D14179" s="140"/>
      <c r="E14179" s="140"/>
    </row>
    <row r="14180" spans="1:5">
      <c r="A14180" s="140"/>
      <c r="B14180" s="192"/>
      <c r="C14180" s="140"/>
      <c r="D14180" s="140"/>
      <c r="E14180" s="140"/>
    </row>
    <row r="14181" spans="1:5">
      <c r="A14181" s="140"/>
      <c r="B14181" s="192"/>
      <c r="C14181" s="140"/>
      <c r="D14181" s="140"/>
      <c r="E14181" s="140"/>
    </row>
    <row r="14182" spans="1:5">
      <c r="A14182" s="140"/>
      <c r="B14182" s="192"/>
      <c r="C14182" s="140"/>
      <c r="D14182" s="140"/>
      <c r="E14182" s="140"/>
    </row>
    <row r="14183" spans="1:5">
      <c r="A14183" s="140"/>
      <c r="B14183" s="192"/>
      <c r="C14183" s="140"/>
      <c r="D14183" s="140"/>
      <c r="E14183" s="140"/>
    </row>
    <row r="14184" spans="1:5">
      <c r="A14184" s="140"/>
      <c r="B14184" s="192"/>
      <c r="C14184" s="140"/>
      <c r="D14184" s="140"/>
      <c r="E14184" s="140"/>
    </row>
    <row r="14185" spans="1:5">
      <c r="A14185" s="140"/>
      <c r="B14185" s="192"/>
      <c r="C14185" s="140"/>
      <c r="D14185" s="140"/>
      <c r="E14185" s="140"/>
    </row>
    <row r="14186" spans="1:5">
      <c r="A14186" s="140"/>
      <c r="B14186" s="192"/>
      <c r="C14186" s="140"/>
      <c r="D14186" s="140"/>
      <c r="E14186" s="140"/>
    </row>
    <row r="14187" spans="1:5">
      <c r="A14187" s="140"/>
      <c r="B14187" s="192"/>
      <c r="C14187" s="140"/>
      <c r="D14187" s="140"/>
      <c r="E14187" s="140"/>
    </row>
    <row r="14188" spans="1:5">
      <c r="A14188" s="140"/>
      <c r="B14188" s="192"/>
      <c r="C14188" s="140"/>
      <c r="D14188" s="140"/>
      <c r="E14188" s="140"/>
    </row>
    <row r="14189" spans="1:5">
      <c r="A14189" s="140"/>
      <c r="B14189" s="192"/>
      <c r="C14189" s="140"/>
      <c r="D14189" s="140"/>
      <c r="E14189" s="140"/>
    </row>
    <row r="14190" spans="1:5">
      <c r="A14190" s="140"/>
      <c r="B14190" s="192"/>
      <c r="C14190" s="140"/>
      <c r="D14190" s="140"/>
      <c r="E14190" s="140"/>
    </row>
    <row r="14191" spans="1:5">
      <c r="A14191" s="140"/>
      <c r="B14191" s="192"/>
      <c r="C14191" s="140"/>
      <c r="D14191" s="140"/>
      <c r="E14191" s="140"/>
    </row>
    <row r="14192" spans="1:5">
      <c r="A14192" s="140"/>
      <c r="B14192" s="192"/>
      <c r="C14192" s="140"/>
      <c r="D14192" s="140"/>
      <c r="E14192" s="140"/>
    </row>
    <row r="14193" spans="1:5">
      <c r="A14193" s="140"/>
      <c r="B14193" s="192"/>
      <c r="C14193" s="140"/>
      <c r="D14193" s="140"/>
      <c r="E14193" s="140"/>
    </row>
    <row r="14194" spans="1:5">
      <c r="A14194" s="140"/>
      <c r="B14194" s="192"/>
      <c r="C14194" s="140"/>
      <c r="D14194" s="140"/>
      <c r="E14194" s="140"/>
    </row>
    <row r="14195" spans="1:5">
      <c r="A14195" s="140"/>
      <c r="B14195" s="192"/>
      <c r="C14195" s="140"/>
      <c r="D14195" s="140"/>
      <c r="E14195" s="140"/>
    </row>
    <row r="14196" spans="1:5">
      <c r="A14196" s="140"/>
      <c r="B14196" s="192"/>
      <c r="C14196" s="140"/>
      <c r="D14196" s="140"/>
      <c r="E14196" s="140"/>
    </row>
    <row r="14197" spans="1:5">
      <c r="A14197" s="140"/>
      <c r="B14197" s="192"/>
      <c r="C14197" s="140"/>
      <c r="D14197" s="140"/>
      <c r="E14197" s="140"/>
    </row>
    <row r="14198" spans="1:5">
      <c r="A14198" s="140"/>
      <c r="B14198" s="192"/>
      <c r="C14198" s="140"/>
      <c r="D14198" s="140"/>
      <c r="E14198" s="140"/>
    </row>
    <row r="14199" spans="1:5">
      <c r="A14199" s="140"/>
      <c r="B14199" s="192"/>
      <c r="C14199" s="140"/>
      <c r="D14199" s="140"/>
      <c r="E14199" s="140"/>
    </row>
    <row r="14200" spans="1:5">
      <c r="A14200" s="140"/>
      <c r="B14200" s="192"/>
      <c r="C14200" s="140"/>
      <c r="D14200" s="140"/>
      <c r="E14200" s="140"/>
    </row>
    <row r="14201" spans="1:5">
      <c r="A14201" s="140"/>
      <c r="B14201" s="192"/>
      <c r="C14201" s="140"/>
      <c r="D14201" s="140"/>
      <c r="E14201" s="140"/>
    </row>
    <row r="14202" spans="1:5">
      <c r="A14202" s="140"/>
      <c r="B14202" s="192"/>
      <c r="C14202" s="140"/>
      <c r="D14202" s="140"/>
      <c r="E14202" s="140"/>
    </row>
    <row r="14203" spans="1:5">
      <c r="A14203" s="140"/>
      <c r="B14203" s="192"/>
      <c r="C14203" s="140"/>
      <c r="D14203" s="140"/>
      <c r="E14203" s="140"/>
    </row>
    <row r="14204" spans="1:5">
      <c r="A14204" s="140"/>
      <c r="B14204" s="192"/>
      <c r="C14204" s="140"/>
      <c r="D14204" s="140"/>
      <c r="E14204" s="140"/>
    </row>
    <row r="14205" spans="1:5">
      <c r="A14205" s="140"/>
      <c r="B14205" s="192"/>
      <c r="C14205" s="140"/>
      <c r="D14205" s="140"/>
      <c r="E14205" s="140"/>
    </row>
    <row r="14206" spans="1:5">
      <c r="A14206" s="140"/>
      <c r="B14206" s="192"/>
      <c r="C14206" s="140"/>
      <c r="D14206" s="140"/>
      <c r="E14206" s="140"/>
    </row>
    <row r="14207" spans="1:5">
      <c r="A14207" s="140"/>
      <c r="B14207" s="192"/>
      <c r="C14207" s="140"/>
      <c r="D14207" s="140"/>
      <c r="E14207" s="140"/>
    </row>
    <row r="14208" spans="1:5">
      <c r="A14208" s="140"/>
      <c r="B14208" s="192"/>
      <c r="C14208" s="140"/>
      <c r="D14208" s="140"/>
      <c r="E14208" s="140"/>
    </row>
    <row r="14209" spans="1:5">
      <c r="A14209" s="140"/>
      <c r="B14209" s="192"/>
      <c r="C14209" s="140"/>
      <c r="D14209" s="140"/>
      <c r="E14209" s="140"/>
    </row>
    <row r="14210" spans="1:5">
      <c r="A14210" s="140"/>
      <c r="B14210" s="192"/>
      <c r="C14210" s="140"/>
      <c r="D14210" s="140"/>
      <c r="E14210" s="140"/>
    </row>
    <row r="14211" spans="1:5">
      <c r="A14211" s="140"/>
      <c r="B14211" s="192"/>
      <c r="C14211" s="140"/>
      <c r="D14211" s="140"/>
      <c r="E14211" s="140"/>
    </row>
    <row r="14212" spans="1:5">
      <c r="A14212" s="140"/>
      <c r="B14212" s="192"/>
      <c r="C14212" s="140"/>
      <c r="D14212" s="140"/>
      <c r="E14212" s="140"/>
    </row>
    <row r="14213" spans="1:5">
      <c r="A14213" s="140"/>
      <c r="B14213" s="192"/>
      <c r="C14213" s="140"/>
      <c r="D14213" s="140"/>
      <c r="E14213" s="140"/>
    </row>
    <row r="14214" spans="1:5">
      <c r="A14214" s="140"/>
      <c r="B14214" s="192"/>
      <c r="C14214" s="140"/>
      <c r="D14214" s="140"/>
      <c r="E14214" s="140"/>
    </row>
    <row r="14215" spans="1:5">
      <c r="A14215" s="140"/>
      <c r="B14215" s="192"/>
      <c r="C14215" s="140"/>
      <c r="D14215" s="140"/>
      <c r="E14215" s="140"/>
    </row>
    <row r="14216" spans="1:5">
      <c r="A14216" s="140"/>
      <c r="B14216" s="192"/>
      <c r="C14216" s="140"/>
      <c r="D14216" s="140"/>
      <c r="E14216" s="140"/>
    </row>
    <row r="14217" spans="1:5">
      <c r="A14217" s="140"/>
      <c r="B14217" s="192"/>
      <c r="C14217" s="140"/>
      <c r="D14217" s="140"/>
      <c r="E14217" s="140"/>
    </row>
    <row r="14218" spans="1:5">
      <c r="A14218" s="140"/>
      <c r="B14218" s="192"/>
      <c r="C14218" s="140"/>
      <c r="D14218" s="140"/>
      <c r="E14218" s="140"/>
    </row>
    <row r="14219" spans="1:5">
      <c r="A14219" s="140"/>
      <c r="B14219" s="192"/>
      <c r="C14219" s="140"/>
      <c r="D14219" s="140"/>
      <c r="E14219" s="140"/>
    </row>
    <row r="14220" spans="1:5">
      <c r="A14220" s="140"/>
      <c r="B14220" s="192"/>
      <c r="C14220" s="140"/>
      <c r="D14220" s="140"/>
      <c r="E14220" s="140"/>
    </row>
    <row r="14221" spans="1:5">
      <c r="A14221" s="140"/>
      <c r="B14221" s="192"/>
      <c r="C14221" s="140"/>
      <c r="D14221" s="140"/>
      <c r="E14221" s="140"/>
    </row>
    <row r="14222" spans="1:5">
      <c r="A14222" s="140"/>
      <c r="B14222" s="192"/>
      <c r="C14222" s="140"/>
      <c r="D14222" s="140"/>
      <c r="E14222" s="140"/>
    </row>
    <row r="14223" spans="1:5">
      <c r="A14223" s="140"/>
      <c r="B14223" s="192"/>
      <c r="C14223" s="140"/>
      <c r="D14223" s="140"/>
      <c r="E14223" s="140"/>
    </row>
    <row r="14224" spans="1:5">
      <c r="A14224" s="140"/>
      <c r="B14224" s="192"/>
      <c r="C14224" s="140"/>
      <c r="D14224" s="140"/>
      <c r="E14224" s="140"/>
    </row>
    <row r="14225" spans="1:5">
      <c r="A14225" s="140"/>
      <c r="B14225" s="192"/>
      <c r="C14225" s="140"/>
      <c r="D14225" s="140"/>
      <c r="E14225" s="140"/>
    </row>
    <row r="14226" spans="1:5">
      <c r="A14226" s="140"/>
      <c r="B14226" s="192"/>
      <c r="C14226" s="140"/>
      <c r="D14226" s="140"/>
      <c r="E14226" s="140"/>
    </row>
    <row r="14227" spans="1:5">
      <c r="A14227" s="140"/>
      <c r="B14227" s="192"/>
      <c r="C14227" s="140"/>
      <c r="D14227" s="140"/>
      <c r="E14227" s="140"/>
    </row>
    <row r="14228" spans="1:5">
      <c r="A14228" s="140"/>
      <c r="B14228" s="192"/>
      <c r="C14228" s="140"/>
      <c r="D14228" s="140"/>
      <c r="E14228" s="140"/>
    </row>
    <row r="14229" spans="1:5">
      <c r="A14229" s="140"/>
      <c r="B14229" s="192"/>
      <c r="C14229" s="140"/>
      <c r="D14229" s="140"/>
      <c r="E14229" s="140"/>
    </row>
    <row r="14230" spans="1:5">
      <c r="A14230" s="140"/>
      <c r="B14230" s="192"/>
      <c r="C14230" s="140"/>
      <c r="D14230" s="140"/>
      <c r="E14230" s="140"/>
    </row>
    <row r="14231" spans="1:5">
      <c r="A14231" s="140"/>
      <c r="B14231" s="192"/>
      <c r="C14231" s="140"/>
      <c r="D14231" s="140"/>
      <c r="E14231" s="140"/>
    </row>
    <row r="14232" spans="1:5">
      <c r="A14232" s="140"/>
      <c r="B14232" s="192"/>
      <c r="C14232" s="140"/>
      <c r="D14232" s="140"/>
      <c r="E14232" s="140"/>
    </row>
    <row r="14233" spans="1:5">
      <c r="A14233" s="140"/>
      <c r="B14233" s="192"/>
      <c r="C14233" s="140"/>
      <c r="D14233" s="140"/>
      <c r="E14233" s="140"/>
    </row>
    <row r="14234" spans="1:5">
      <c r="A14234" s="140"/>
      <c r="B14234" s="192"/>
      <c r="C14234" s="140"/>
      <c r="D14234" s="140"/>
      <c r="E14234" s="140"/>
    </row>
    <row r="14235" spans="1:5">
      <c r="A14235" s="140"/>
      <c r="B14235" s="192"/>
      <c r="C14235" s="140"/>
      <c r="D14235" s="140"/>
      <c r="E14235" s="140"/>
    </row>
    <row r="14236" spans="1:5">
      <c r="A14236" s="140"/>
      <c r="B14236" s="192"/>
      <c r="C14236" s="140"/>
      <c r="D14236" s="140"/>
      <c r="E14236" s="140"/>
    </row>
    <row r="14237" spans="1:5">
      <c r="A14237" s="140"/>
      <c r="B14237" s="192"/>
      <c r="C14237" s="140"/>
      <c r="D14237" s="140"/>
      <c r="E14237" s="140"/>
    </row>
    <row r="14238" spans="1:5">
      <c r="A14238" s="140"/>
      <c r="B14238" s="192"/>
      <c r="C14238" s="140"/>
      <c r="D14238" s="140"/>
      <c r="E14238" s="140"/>
    </row>
    <row r="14239" spans="1:5">
      <c r="A14239" s="140"/>
      <c r="B14239" s="192"/>
      <c r="C14239" s="140"/>
      <c r="D14239" s="140"/>
      <c r="E14239" s="140"/>
    </row>
    <row r="14240" spans="1:5">
      <c r="A14240" s="140"/>
      <c r="B14240" s="192"/>
      <c r="C14240" s="140"/>
      <c r="D14240" s="140"/>
      <c r="E14240" s="140"/>
    </row>
    <row r="14241" spans="1:5">
      <c r="A14241" s="140"/>
      <c r="B14241" s="192"/>
      <c r="C14241" s="140"/>
      <c r="D14241" s="140"/>
      <c r="E14241" s="140"/>
    </row>
    <row r="14242" spans="1:5">
      <c r="A14242" s="140"/>
      <c r="B14242" s="192"/>
      <c r="C14242" s="140"/>
      <c r="D14242" s="140"/>
      <c r="E14242" s="140"/>
    </row>
    <row r="14243" spans="1:5">
      <c r="A14243" s="140"/>
      <c r="B14243" s="192"/>
      <c r="C14243" s="140"/>
      <c r="D14243" s="140"/>
      <c r="E14243" s="140"/>
    </row>
    <row r="14244" spans="1:5">
      <c r="A14244" s="140"/>
      <c r="B14244" s="192"/>
      <c r="C14244" s="140"/>
      <c r="D14244" s="140"/>
      <c r="E14244" s="140"/>
    </row>
    <row r="14245" spans="1:5">
      <c r="A14245" s="140"/>
      <c r="B14245" s="192"/>
      <c r="C14245" s="140"/>
      <c r="D14245" s="140"/>
      <c r="E14245" s="140"/>
    </row>
    <row r="14246" spans="1:5">
      <c r="A14246" s="140"/>
      <c r="B14246" s="192"/>
      <c r="C14246" s="140"/>
      <c r="D14246" s="140"/>
      <c r="E14246" s="140"/>
    </row>
    <row r="14247" spans="1:5">
      <c r="A14247" s="140"/>
      <c r="B14247" s="192"/>
      <c r="C14247" s="140"/>
      <c r="D14247" s="140"/>
      <c r="E14247" s="140"/>
    </row>
    <row r="14248" spans="1:5">
      <c r="A14248" s="140"/>
      <c r="B14248" s="192"/>
      <c r="C14248" s="140"/>
      <c r="D14248" s="140"/>
      <c r="E14248" s="140"/>
    </row>
    <row r="14249" spans="1:5">
      <c r="A14249" s="140"/>
      <c r="B14249" s="192"/>
      <c r="C14249" s="140"/>
      <c r="D14249" s="140"/>
      <c r="E14249" s="140"/>
    </row>
    <row r="14250" spans="1:5">
      <c r="A14250" s="140"/>
      <c r="B14250" s="192"/>
      <c r="C14250" s="140"/>
      <c r="D14250" s="140"/>
      <c r="E14250" s="140"/>
    </row>
    <row r="14251" spans="1:5">
      <c r="A14251" s="140"/>
      <c r="B14251" s="192"/>
      <c r="C14251" s="140"/>
      <c r="D14251" s="140"/>
      <c r="E14251" s="140"/>
    </row>
    <row r="14252" spans="1:5">
      <c r="A14252" s="140"/>
      <c r="B14252" s="192"/>
      <c r="C14252" s="140"/>
      <c r="D14252" s="140"/>
      <c r="E14252" s="140"/>
    </row>
    <row r="14253" spans="1:5">
      <c r="A14253" s="140"/>
      <c r="B14253" s="192"/>
      <c r="C14253" s="140"/>
      <c r="D14253" s="140"/>
      <c r="E14253" s="140"/>
    </row>
    <row r="14254" spans="1:5">
      <c r="A14254" s="140"/>
      <c r="B14254" s="192"/>
      <c r="C14254" s="140"/>
      <c r="D14254" s="140"/>
      <c r="E14254" s="140"/>
    </row>
    <row r="14255" spans="1:5">
      <c r="A14255" s="140"/>
      <c r="B14255" s="192"/>
      <c r="C14255" s="140"/>
      <c r="D14255" s="140"/>
      <c r="E14255" s="140"/>
    </row>
    <row r="14256" spans="1:5">
      <c r="A14256" s="140"/>
      <c r="B14256" s="192"/>
      <c r="C14256" s="140"/>
      <c r="D14256" s="140"/>
      <c r="E14256" s="140"/>
    </row>
    <row r="14257" spans="1:5">
      <c r="A14257" s="140"/>
      <c r="B14257" s="192"/>
      <c r="C14257" s="140"/>
      <c r="D14257" s="140"/>
      <c r="E14257" s="140"/>
    </row>
    <row r="14258" spans="1:5">
      <c r="A14258" s="140"/>
      <c r="B14258" s="192"/>
      <c r="C14258" s="140"/>
      <c r="D14258" s="140"/>
      <c r="E14258" s="140"/>
    </row>
    <row r="14259" spans="1:5">
      <c r="A14259" s="140"/>
      <c r="B14259" s="192"/>
      <c r="C14259" s="140"/>
      <c r="D14259" s="140"/>
      <c r="E14259" s="140"/>
    </row>
    <row r="14260" spans="1:5">
      <c r="A14260" s="140"/>
      <c r="B14260" s="192"/>
      <c r="C14260" s="140"/>
      <c r="D14260" s="140"/>
      <c r="E14260" s="140"/>
    </row>
    <row r="14261" spans="1:5">
      <c r="A14261" s="140"/>
      <c r="B14261" s="192"/>
      <c r="C14261" s="140"/>
      <c r="D14261" s="140"/>
      <c r="E14261" s="140"/>
    </row>
    <row r="14262" spans="1:5">
      <c r="A14262" s="140"/>
      <c r="B14262" s="192"/>
      <c r="C14262" s="140"/>
      <c r="D14262" s="140"/>
      <c r="E14262" s="140"/>
    </row>
    <row r="14263" spans="1:5">
      <c r="A14263" s="140"/>
      <c r="B14263" s="192"/>
      <c r="C14263" s="140"/>
      <c r="D14263" s="140"/>
      <c r="E14263" s="140"/>
    </row>
    <row r="14264" spans="1:5">
      <c r="A14264" s="140"/>
      <c r="B14264" s="192"/>
      <c r="C14264" s="140"/>
      <c r="D14264" s="140"/>
      <c r="E14264" s="140"/>
    </row>
    <row r="14265" spans="1:5">
      <c r="A14265" s="140"/>
      <c r="B14265" s="192"/>
      <c r="C14265" s="140"/>
      <c r="D14265" s="140"/>
      <c r="E14265" s="140"/>
    </row>
    <row r="14266" spans="1:5">
      <c r="A14266" s="140"/>
      <c r="B14266" s="192"/>
      <c r="C14266" s="140"/>
      <c r="D14266" s="140"/>
      <c r="E14266" s="140"/>
    </row>
    <row r="14267" spans="1:5">
      <c r="A14267" s="140"/>
      <c r="B14267" s="192"/>
      <c r="C14267" s="140"/>
      <c r="D14267" s="140"/>
      <c r="E14267" s="140"/>
    </row>
    <row r="14268" spans="1:5">
      <c r="A14268" s="140"/>
      <c r="B14268" s="192"/>
      <c r="C14268" s="140"/>
      <c r="D14268" s="140"/>
      <c r="E14268" s="140"/>
    </row>
    <row r="14269" spans="1:5">
      <c r="A14269" s="140"/>
      <c r="B14269" s="192"/>
      <c r="C14269" s="140"/>
      <c r="D14269" s="140"/>
      <c r="E14269" s="140"/>
    </row>
    <row r="14270" spans="1:5">
      <c r="A14270" s="140"/>
      <c r="B14270" s="192"/>
      <c r="C14270" s="140"/>
      <c r="D14270" s="140"/>
      <c r="E14270" s="140"/>
    </row>
    <row r="14271" spans="1:5">
      <c r="A14271" s="140"/>
      <c r="B14271" s="192"/>
      <c r="C14271" s="140"/>
      <c r="D14271" s="140"/>
      <c r="E14271" s="140"/>
    </row>
    <row r="14272" spans="1:5">
      <c r="A14272" s="140"/>
      <c r="B14272" s="192"/>
      <c r="C14272" s="140"/>
      <c r="D14272" s="140"/>
      <c r="E14272" s="140"/>
    </row>
    <row r="14273" spans="1:5">
      <c r="A14273" s="140"/>
      <c r="B14273" s="192"/>
      <c r="C14273" s="140"/>
      <c r="D14273" s="140"/>
      <c r="E14273" s="140"/>
    </row>
    <row r="14274" spans="1:5">
      <c r="A14274" s="140"/>
      <c r="B14274" s="192"/>
      <c r="C14274" s="140"/>
      <c r="D14274" s="140"/>
      <c r="E14274" s="140"/>
    </row>
    <row r="14275" spans="1:5">
      <c r="A14275" s="140"/>
      <c r="B14275" s="192"/>
      <c r="C14275" s="140"/>
      <c r="D14275" s="140"/>
      <c r="E14275" s="140"/>
    </row>
    <row r="14276" spans="1:5">
      <c r="A14276" s="140"/>
      <c r="B14276" s="192"/>
      <c r="C14276" s="140"/>
      <c r="D14276" s="140"/>
      <c r="E14276" s="140"/>
    </row>
    <row r="14277" spans="1:5">
      <c r="A14277" s="140"/>
      <c r="B14277" s="192"/>
      <c r="C14277" s="140"/>
      <c r="D14277" s="140"/>
      <c r="E14277" s="140"/>
    </row>
    <row r="14278" spans="1:5">
      <c r="A14278" s="140"/>
      <c r="B14278" s="192"/>
      <c r="C14278" s="140"/>
      <c r="D14278" s="140"/>
      <c r="E14278" s="140"/>
    </row>
    <row r="14279" spans="1:5">
      <c r="A14279" s="140"/>
      <c r="B14279" s="192"/>
      <c r="C14279" s="140"/>
      <c r="D14279" s="140"/>
      <c r="E14279" s="140"/>
    </row>
    <row r="14280" spans="1:5">
      <c r="A14280" s="140"/>
      <c r="B14280" s="192"/>
      <c r="C14280" s="140"/>
      <c r="D14280" s="140"/>
      <c r="E14280" s="140"/>
    </row>
    <row r="14281" spans="1:5">
      <c r="A14281" s="140"/>
      <c r="B14281" s="192"/>
      <c r="C14281" s="140"/>
      <c r="D14281" s="140"/>
      <c r="E14281" s="140"/>
    </row>
    <row r="14282" spans="1:5">
      <c r="A14282" s="140"/>
      <c r="B14282" s="192"/>
      <c r="C14282" s="140"/>
      <c r="D14282" s="140"/>
      <c r="E14282" s="140"/>
    </row>
    <row r="14283" spans="1:5">
      <c r="A14283" s="140"/>
      <c r="B14283" s="192"/>
      <c r="C14283" s="140"/>
      <c r="D14283" s="140"/>
      <c r="E14283" s="140"/>
    </row>
    <row r="14284" spans="1:5">
      <c r="A14284" s="140"/>
      <c r="B14284" s="192"/>
      <c r="C14284" s="140"/>
      <c r="D14284" s="140"/>
      <c r="E14284" s="140"/>
    </row>
    <row r="14285" spans="1:5">
      <c r="A14285" s="140"/>
      <c r="B14285" s="192"/>
      <c r="C14285" s="140"/>
      <c r="D14285" s="140"/>
      <c r="E14285" s="140"/>
    </row>
    <row r="14286" spans="1:5">
      <c r="A14286" s="140"/>
      <c r="B14286" s="192"/>
      <c r="C14286" s="140"/>
      <c r="D14286" s="140"/>
      <c r="E14286" s="140"/>
    </row>
    <row r="14287" spans="1:5">
      <c r="A14287" s="140"/>
      <c r="B14287" s="192"/>
      <c r="C14287" s="140"/>
      <c r="D14287" s="140"/>
      <c r="E14287" s="140"/>
    </row>
    <row r="14288" spans="1:5">
      <c r="A14288" s="140"/>
      <c r="B14288" s="192"/>
      <c r="C14288" s="140"/>
      <c r="D14288" s="140"/>
      <c r="E14288" s="140"/>
    </row>
    <row r="14289" spans="1:5">
      <c r="A14289" s="140"/>
      <c r="B14289" s="192"/>
      <c r="C14289" s="140"/>
      <c r="D14289" s="140"/>
      <c r="E14289" s="140"/>
    </row>
    <row r="14290" spans="1:5">
      <c r="A14290" s="140"/>
      <c r="B14290" s="192"/>
      <c r="C14290" s="140"/>
      <c r="D14290" s="140"/>
      <c r="E14290" s="140"/>
    </row>
    <row r="14291" spans="1:5">
      <c r="A14291" s="140"/>
      <c r="B14291" s="192"/>
      <c r="C14291" s="140"/>
      <c r="D14291" s="140"/>
      <c r="E14291" s="140"/>
    </row>
    <row r="14292" spans="1:5">
      <c r="A14292" s="140"/>
      <c r="B14292" s="192"/>
      <c r="C14292" s="140"/>
      <c r="D14292" s="140"/>
      <c r="E14292" s="140"/>
    </row>
    <row r="14293" spans="1:5">
      <c r="A14293" s="140"/>
      <c r="B14293" s="192"/>
      <c r="C14293" s="140"/>
      <c r="D14293" s="140"/>
      <c r="E14293" s="140"/>
    </row>
    <row r="14294" spans="1:5">
      <c r="A14294" s="140"/>
      <c r="B14294" s="192"/>
      <c r="C14294" s="140"/>
      <c r="D14294" s="140"/>
      <c r="E14294" s="140"/>
    </row>
    <row r="14295" spans="1:5">
      <c r="A14295" s="140"/>
      <c r="B14295" s="192"/>
      <c r="C14295" s="140"/>
      <c r="D14295" s="140"/>
      <c r="E14295" s="140"/>
    </row>
    <row r="14296" spans="1:5">
      <c r="A14296" s="140"/>
      <c r="B14296" s="192"/>
      <c r="C14296" s="140"/>
      <c r="D14296" s="140"/>
      <c r="E14296" s="140"/>
    </row>
    <row r="14297" spans="1:5">
      <c r="A14297" s="140"/>
      <c r="B14297" s="192"/>
      <c r="C14297" s="140"/>
      <c r="D14297" s="140"/>
      <c r="E14297" s="140"/>
    </row>
    <row r="14298" spans="1:5">
      <c r="A14298" s="140"/>
      <c r="B14298" s="192"/>
      <c r="C14298" s="140"/>
      <c r="D14298" s="140"/>
      <c r="E14298" s="140"/>
    </row>
    <row r="14299" spans="1:5">
      <c r="A14299" s="140"/>
      <c r="B14299" s="192"/>
      <c r="C14299" s="140"/>
      <c r="D14299" s="140"/>
      <c r="E14299" s="140"/>
    </row>
    <row r="14300" spans="1:5">
      <c r="A14300" s="140"/>
      <c r="B14300" s="192"/>
      <c r="C14300" s="140"/>
      <c r="D14300" s="140"/>
      <c r="E14300" s="140"/>
    </row>
    <row r="14301" spans="1:5">
      <c r="A14301" s="140"/>
      <c r="B14301" s="192"/>
      <c r="C14301" s="140"/>
      <c r="D14301" s="140"/>
      <c r="E14301" s="140"/>
    </row>
    <row r="14302" spans="1:5">
      <c r="A14302" s="140"/>
      <c r="B14302" s="192"/>
      <c r="C14302" s="140"/>
      <c r="D14302" s="140"/>
      <c r="E14302" s="140"/>
    </row>
    <row r="14303" spans="1:5">
      <c r="A14303" s="140"/>
      <c r="B14303" s="192"/>
      <c r="C14303" s="140"/>
      <c r="D14303" s="140"/>
      <c r="E14303" s="140"/>
    </row>
    <row r="14304" spans="1:5">
      <c r="A14304" s="140"/>
      <c r="B14304" s="192"/>
      <c r="C14304" s="140"/>
      <c r="D14304" s="140"/>
      <c r="E14304" s="140"/>
    </row>
    <row r="14305" spans="1:5">
      <c r="A14305" s="140"/>
      <c r="B14305" s="192"/>
      <c r="C14305" s="140"/>
      <c r="D14305" s="140"/>
      <c r="E14305" s="140"/>
    </row>
    <row r="14306" spans="1:5">
      <c r="A14306" s="140"/>
      <c r="B14306" s="192"/>
      <c r="C14306" s="140"/>
      <c r="D14306" s="140"/>
      <c r="E14306" s="140"/>
    </row>
    <row r="14307" spans="1:5">
      <c r="A14307" s="140"/>
      <c r="B14307" s="192"/>
      <c r="C14307" s="140"/>
      <c r="D14307" s="140"/>
      <c r="E14307" s="140"/>
    </row>
    <row r="14308" spans="1:5">
      <c r="A14308" s="140"/>
      <c r="B14308" s="192"/>
      <c r="C14308" s="140"/>
      <c r="D14308" s="140"/>
      <c r="E14308" s="140"/>
    </row>
    <row r="14309" spans="1:5">
      <c r="A14309" s="140"/>
      <c r="B14309" s="192"/>
      <c r="C14309" s="140"/>
      <c r="D14309" s="140"/>
      <c r="E14309" s="140"/>
    </row>
    <row r="14310" spans="1:5">
      <c r="A14310" s="140"/>
      <c r="B14310" s="192"/>
      <c r="C14310" s="140"/>
      <c r="D14310" s="140"/>
      <c r="E14310" s="140"/>
    </row>
    <row r="14311" spans="1:5">
      <c r="A14311" s="140"/>
      <c r="B14311" s="192"/>
      <c r="C14311" s="140"/>
      <c r="D14311" s="140"/>
      <c r="E14311" s="140"/>
    </row>
    <row r="14312" spans="1:5">
      <c r="A14312" s="140"/>
      <c r="B14312" s="192"/>
      <c r="C14312" s="140"/>
      <c r="D14312" s="140"/>
      <c r="E14312" s="140"/>
    </row>
    <row r="14313" spans="1:5">
      <c r="A14313" s="140"/>
      <c r="B14313" s="192"/>
      <c r="C14313" s="140"/>
      <c r="D14313" s="140"/>
      <c r="E14313" s="140"/>
    </row>
    <row r="14314" spans="1:5">
      <c r="A14314" s="140"/>
      <c r="B14314" s="192"/>
      <c r="C14314" s="140"/>
      <c r="D14314" s="140"/>
      <c r="E14314" s="140"/>
    </row>
    <row r="14315" spans="1:5">
      <c r="A14315" s="140"/>
      <c r="B14315" s="192"/>
      <c r="C14315" s="140"/>
      <c r="D14315" s="140"/>
      <c r="E14315" s="140"/>
    </row>
    <row r="14316" spans="1:5">
      <c r="A14316" s="140"/>
      <c r="B14316" s="192"/>
      <c r="C14316" s="140"/>
      <c r="D14316" s="140"/>
      <c r="E14316" s="140"/>
    </row>
    <row r="14317" spans="1:5">
      <c r="A14317" s="140"/>
      <c r="B14317" s="192"/>
      <c r="C14317" s="140"/>
      <c r="D14317" s="140"/>
      <c r="E14317" s="140"/>
    </row>
    <row r="14318" spans="1:5">
      <c r="A14318" s="140"/>
      <c r="B14318" s="192"/>
      <c r="C14318" s="140"/>
      <c r="D14318" s="140"/>
      <c r="E14318" s="140"/>
    </row>
    <row r="14319" spans="1:5">
      <c r="A14319" s="140"/>
      <c r="B14319" s="192"/>
      <c r="C14319" s="140"/>
      <c r="D14319" s="140"/>
      <c r="E14319" s="140"/>
    </row>
    <row r="14320" spans="1:5">
      <c r="A14320" s="140"/>
      <c r="B14320" s="192"/>
      <c r="C14320" s="140"/>
      <c r="D14320" s="140"/>
      <c r="E14320" s="140"/>
    </row>
    <row r="14321" spans="1:5">
      <c r="A14321" s="140"/>
      <c r="B14321" s="192"/>
      <c r="C14321" s="140"/>
      <c r="D14321" s="140"/>
      <c r="E14321" s="140"/>
    </row>
    <row r="14322" spans="1:5">
      <c r="A14322" s="140"/>
      <c r="B14322" s="192"/>
      <c r="C14322" s="140"/>
      <c r="D14322" s="140"/>
      <c r="E14322" s="140"/>
    </row>
    <row r="14323" spans="1:5">
      <c r="A14323" s="140"/>
      <c r="B14323" s="192"/>
      <c r="C14323" s="140"/>
      <c r="D14323" s="140"/>
      <c r="E14323" s="140"/>
    </row>
    <row r="14324" spans="1:5">
      <c r="A14324" s="140"/>
      <c r="B14324" s="192"/>
      <c r="C14324" s="140"/>
      <c r="D14324" s="140"/>
      <c r="E14324" s="140"/>
    </row>
    <row r="14325" spans="1:5">
      <c r="A14325" s="140"/>
      <c r="B14325" s="192"/>
      <c r="C14325" s="140"/>
      <c r="D14325" s="140"/>
      <c r="E14325" s="140"/>
    </row>
    <row r="14326" spans="1:5">
      <c r="A14326" s="140"/>
      <c r="B14326" s="192"/>
      <c r="C14326" s="140"/>
      <c r="D14326" s="140"/>
      <c r="E14326" s="140"/>
    </row>
    <row r="14327" spans="1:5">
      <c r="A14327" s="140"/>
      <c r="B14327" s="192"/>
      <c r="C14327" s="140"/>
      <c r="D14327" s="140"/>
      <c r="E14327" s="140"/>
    </row>
    <row r="14328" spans="1:5">
      <c r="A14328" s="140"/>
      <c r="B14328" s="192"/>
      <c r="C14328" s="140"/>
      <c r="D14328" s="140"/>
      <c r="E14328" s="140"/>
    </row>
    <row r="14329" spans="1:5">
      <c r="A14329" s="140"/>
      <c r="B14329" s="192"/>
      <c r="C14329" s="140"/>
      <c r="D14329" s="140"/>
      <c r="E14329" s="140"/>
    </row>
    <row r="14330" spans="1:5">
      <c r="A14330" s="140"/>
      <c r="B14330" s="192"/>
      <c r="C14330" s="140"/>
      <c r="D14330" s="140"/>
      <c r="E14330" s="140"/>
    </row>
    <row r="14331" spans="1:5">
      <c r="A14331" s="140"/>
      <c r="B14331" s="192"/>
      <c r="C14331" s="140"/>
      <c r="D14331" s="140"/>
      <c r="E14331" s="140"/>
    </row>
    <row r="14332" spans="1:5">
      <c r="A14332" s="140"/>
      <c r="B14332" s="192"/>
      <c r="C14332" s="140"/>
      <c r="D14332" s="140"/>
      <c r="E14332" s="140"/>
    </row>
    <row r="14333" spans="1:5">
      <c r="A14333" s="140"/>
      <c r="B14333" s="192"/>
      <c r="C14333" s="140"/>
      <c r="D14333" s="140"/>
      <c r="E14333" s="140"/>
    </row>
    <row r="14334" spans="1:5">
      <c r="A14334" s="140"/>
      <c r="B14334" s="192"/>
      <c r="C14334" s="140"/>
      <c r="D14334" s="140"/>
      <c r="E14334" s="140"/>
    </row>
    <row r="14335" spans="1:5">
      <c r="A14335" s="140"/>
      <c r="B14335" s="192"/>
      <c r="C14335" s="140"/>
      <c r="D14335" s="140"/>
      <c r="E14335" s="140"/>
    </row>
    <row r="14336" spans="1:5">
      <c r="A14336" s="140"/>
      <c r="B14336" s="192"/>
      <c r="C14336" s="140"/>
      <c r="D14336" s="140"/>
      <c r="E14336" s="140"/>
    </row>
    <row r="14337" spans="1:5">
      <c r="A14337" s="140"/>
      <c r="B14337" s="192"/>
      <c r="C14337" s="140"/>
      <c r="D14337" s="140"/>
      <c r="E14337" s="140"/>
    </row>
    <row r="14338" spans="1:5">
      <c r="A14338" s="140"/>
      <c r="B14338" s="192"/>
      <c r="C14338" s="140"/>
      <c r="D14338" s="140"/>
      <c r="E14338" s="140"/>
    </row>
    <row r="14339" spans="1:5">
      <c r="A14339" s="140"/>
      <c r="B14339" s="192"/>
      <c r="C14339" s="140"/>
      <c r="D14339" s="140"/>
      <c r="E14339" s="140"/>
    </row>
    <row r="14340" spans="1:5">
      <c r="A14340" s="140"/>
      <c r="B14340" s="192"/>
      <c r="C14340" s="140"/>
      <c r="D14340" s="140"/>
      <c r="E14340" s="140"/>
    </row>
    <row r="14341" spans="1:5">
      <c r="A14341" s="140"/>
      <c r="B14341" s="192"/>
      <c r="C14341" s="140"/>
      <c r="D14341" s="140"/>
      <c r="E14341" s="140"/>
    </row>
    <row r="14342" spans="1:5">
      <c r="A14342" s="140"/>
      <c r="B14342" s="192"/>
      <c r="C14342" s="140"/>
      <c r="D14342" s="140"/>
      <c r="E14342" s="140"/>
    </row>
    <row r="14343" spans="1:5">
      <c r="A14343" s="140"/>
      <c r="B14343" s="192"/>
      <c r="C14343" s="140"/>
      <c r="D14343" s="140"/>
      <c r="E14343" s="140"/>
    </row>
    <row r="14344" spans="1:5">
      <c r="A14344" s="140"/>
      <c r="B14344" s="192"/>
      <c r="C14344" s="140"/>
      <c r="D14344" s="140"/>
      <c r="E14344" s="140"/>
    </row>
    <row r="14345" spans="1:5">
      <c r="A14345" s="140"/>
      <c r="B14345" s="192"/>
      <c r="C14345" s="140"/>
      <c r="D14345" s="140"/>
      <c r="E14345" s="140"/>
    </row>
    <row r="14346" spans="1:5">
      <c r="A14346" s="140"/>
      <c r="B14346" s="192"/>
      <c r="C14346" s="140"/>
      <c r="D14346" s="140"/>
      <c r="E14346" s="140"/>
    </row>
    <row r="14347" spans="1:5">
      <c r="A14347" s="140"/>
      <c r="B14347" s="192"/>
      <c r="C14347" s="140"/>
      <c r="D14347" s="140"/>
      <c r="E14347" s="140"/>
    </row>
    <row r="14348" spans="1:5">
      <c r="A14348" s="140"/>
      <c r="B14348" s="192"/>
      <c r="C14348" s="140"/>
      <c r="D14348" s="140"/>
      <c r="E14348" s="140"/>
    </row>
    <row r="14349" spans="1:5">
      <c r="A14349" s="140"/>
      <c r="B14349" s="192"/>
      <c r="C14349" s="140"/>
      <c r="D14349" s="140"/>
      <c r="E14349" s="140"/>
    </row>
    <row r="14350" spans="1:5">
      <c r="A14350" s="140"/>
      <c r="B14350" s="192"/>
      <c r="C14350" s="140"/>
      <c r="D14350" s="140"/>
      <c r="E14350" s="140"/>
    </row>
    <row r="14351" spans="1:5">
      <c r="A14351" s="140"/>
      <c r="B14351" s="192"/>
      <c r="C14351" s="140"/>
      <c r="D14351" s="140"/>
      <c r="E14351" s="140"/>
    </row>
    <row r="14352" spans="1:5">
      <c r="A14352" s="140"/>
      <c r="B14352" s="192"/>
      <c r="C14352" s="140"/>
      <c r="D14352" s="140"/>
      <c r="E14352" s="140"/>
    </row>
    <row r="14353" spans="1:5">
      <c r="A14353" s="140"/>
      <c r="B14353" s="192"/>
      <c r="C14353" s="140"/>
      <c r="D14353" s="140"/>
      <c r="E14353" s="140"/>
    </row>
    <row r="14354" spans="1:5">
      <c r="A14354" s="140"/>
      <c r="B14354" s="192"/>
      <c r="C14354" s="140"/>
      <c r="D14354" s="140"/>
      <c r="E14354" s="140"/>
    </row>
    <row r="14355" spans="1:5">
      <c r="A14355" s="140"/>
      <c r="B14355" s="192"/>
      <c r="C14355" s="140"/>
      <c r="D14355" s="140"/>
      <c r="E14355" s="140"/>
    </row>
    <row r="14356" spans="1:5">
      <c r="A14356" s="140"/>
      <c r="B14356" s="192"/>
      <c r="C14356" s="140"/>
      <c r="D14356" s="140"/>
      <c r="E14356" s="140"/>
    </row>
    <row r="14357" spans="1:5">
      <c r="A14357" s="140"/>
      <c r="B14357" s="192"/>
      <c r="C14357" s="140"/>
      <c r="D14357" s="140"/>
      <c r="E14357" s="140"/>
    </row>
    <row r="14358" spans="1:5">
      <c r="A14358" s="140"/>
      <c r="B14358" s="192"/>
      <c r="C14358" s="140"/>
      <c r="D14358" s="140"/>
      <c r="E14358" s="140"/>
    </row>
    <row r="14359" spans="1:5">
      <c r="A14359" s="140"/>
      <c r="B14359" s="192"/>
      <c r="C14359" s="140"/>
      <c r="D14359" s="140"/>
      <c r="E14359" s="140"/>
    </row>
    <row r="14360" spans="1:5">
      <c r="A14360" s="140"/>
      <c r="B14360" s="192"/>
      <c r="C14360" s="140"/>
      <c r="D14360" s="140"/>
      <c r="E14360" s="140"/>
    </row>
    <row r="14361" spans="1:5">
      <c r="A14361" s="140"/>
      <c r="B14361" s="192"/>
      <c r="C14361" s="140"/>
      <c r="D14361" s="140"/>
      <c r="E14361" s="140"/>
    </row>
    <row r="14362" spans="1:5">
      <c r="A14362" s="140"/>
      <c r="B14362" s="192"/>
      <c r="C14362" s="140"/>
      <c r="D14362" s="140"/>
      <c r="E14362" s="140"/>
    </row>
    <row r="14363" spans="1:5">
      <c r="A14363" s="140"/>
      <c r="B14363" s="192"/>
      <c r="C14363" s="140"/>
      <c r="D14363" s="140"/>
      <c r="E14363" s="140"/>
    </row>
    <row r="14364" spans="1:5">
      <c r="A14364" s="140"/>
      <c r="B14364" s="192"/>
      <c r="C14364" s="140"/>
      <c r="D14364" s="140"/>
      <c r="E14364" s="140"/>
    </row>
    <row r="14365" spans="1:5">
      <c r="A14365" s="140"/>
      <c r="B14365" s="192"/>
      <c r="C14365" s="140"/>
      <c r="D14365" s="140"/>
      <c r="E14365" s="140"/>
    </row>
    <row r="14366" spans="1:5">
      <c r="A14366" s="140"/>
      <c r="B14366" s="192"/>
      <c r="C14366" s="140"/>
      <c r="D14366" s="140"/>
      <c r="E14366" s="140"/>
    </row>
    <row r="14367" spans="1:5">
      <c r="A14367" s="140"/>
      <c r="B14367" s="192"/>
      <c r="C14367" s="140"/>
      <c r="D14367" s="140"/>
      <c r="E14367" s="140"/>
    </row>
    <row r="14368" spans="1:5">
      <c r="A14368" s="140"/>
      <c r="B14368" s="192"/>
      <c r="C14368" s="140"/>
      <c r="D14368" s="140"/>
      <c r="E14368" s="140"/>
    </row>
    <row r="14369" spans="1:5">
      <c r="A14369" s="140"/>
      <c r="B14369" s="192"/>
      <c r="C14369" s="140"/>
      <c r="D14369" s="140"/>
      <c r="E14369" s="140"/>
    </row>
    <row r="14370" spans="1:5">
      <c r="A14370" s="140"/>
      <c r="B14370" s="192"/>
      <c r="C14370" s="140"/>
      <c r="D14370" s="140"/>
      <c r="E14370" s="140"/>
    </row>
    <row r="14371" spans="1:5">
      <c r="A14371" s="140"/>
      <c r="B14371" s="192"/>
      <c r="C14371" s="140"/>
      <c r="D14371" s="140"/>
      <c r="E14371" s="140"/>
    </row>
    <row r="14372" spans="1:5">
      <c r="A14372" s="140"/>
      <c r="B14372" s="192"/>
      <c r="C14372" s="140"/>
      <c r="D14372" s="140"/>
      <c r="E14372" s="140"/>
    </row>
    <row r="14373" spans="1:5">
      <c r="A14373" s="140"/>
      <c r="B14373" s="192"/>
      <c r="C14373" s="140"/>
      <c r="D14373" s="140"/>
      <c r="E14373" s="140"/>
    </row>
    <row r="14374" spans="1:5">
      <c r="A14374" s="140"/>
      <c r="B14374" s="192"/>
      <c r="C14374" s="140"/>
      <c r="D14374" s="140"/>
      <c r="E14374" s="140"/>
    </row>
    <row r="14375" spans="1:5">
      <c r="A14375" s="140"/>
      <c r="B14375" s="192"/>
      <c r="C14375" s="140"/>
      <c r="D14375" s="140"/>
      <c r="E14375" s="140"/>
    </row>
    <row r="14376" spans="1:5">
      <c r="A14376" s="140"/>
      <c r="B14376" s="192"/>
      <c r="C14376" s="140"/>
      <c r="D14376" s="140"/>
      <c r="E14376" s="140"/>
    </row>
    <row r="14377" spans="1:5">
      <c r="A14377" s="140"/>
      <c r="B14377" s="192"/>
      <c r="C14377" s="140"/>
      <c r="D14377" s="140"/>
      <c r="E14377" s="140"/>
    </row>
    <row r="14378" spans="1:5">
      <c r="A14378" s="140"/>
      <c r="B14378" s="192"/>
      <c r="C14378" s="140"/>
      <c r="D14378" s="140"/>
      <c r="E14378" s="140"/>
    </row>
    <row r="14379" spans="1:5">
      <c r="A14379" s="140"/>
      <c r="B14379" s="192"/>
      <c r="C14379" s="140"/>
      <c r="D14379" s="140"/>
      <c r="E14379" s="140"/>
    </row>
    <row r="14380" spans="1:5">
      <c r="A14380" s="140"/>
      <c r="B14380" s="192"/>
      <c r="C14380" s="140"/>
      <c r="D14380" s="140"/>
      <c r="E14380" s="140"/>
    </row>
    <row r="14381" spans="1:5">
      <c r="A14381" s="140"/>
      <c r="B14381" s="192"/>
      <c r="C14381" s="140"/>
      <c r="D14381" s="140"/>
      <c r="E14381" s="140"/>
    </row>
    <row r="14382" spans="1:5">
      <c r="A14382" s="140"/>
      <c r="B14382" s="192"/>
      <c r="C14382" s="140"/>
      <c r="D14382" s="140"/>
      <c r="E14382" s="140"/>
    </row>
    <row r="14383" spans="1:5">
      <c r="A14383" s="140"/>
      <c r="B14383" s="192"/>
      <c r="C14383" s="140"/>
      <c r="D14383" s="140"/>
      <c r="E14383" s="140"/>
    </row>
    <row r="14384" spans="1:5">
      <c r="A14384" s="140"/>
      <c r="B14384" s="192"/>
      <c r="C14384" s="140"/>
      <c r="D14384" s="140"/>
      <c r="E14384" s="140"/>
    </row>
    <row r="14385" spans="1:5">
      <c r="A14385" s="140"/>
      <c r="B14385" s="192"/>
      <c r="C14385" s="140"/>
      <c r="D14385" s="140"/>
      <c r="E14385" s="140"/>
    </row>
    <row r="14386" spans="1:5">
      <c r="A14386" s="140"/>
      <c r="B14386" s="192"/>
      <c r="C14386" s="140"/>
      <c r="D14386" s="140"/>
      <c r="E14386" s="140"/>
    </row>
    <row r="14387" spans="1:5">
      <c r="A14387" s="140"/>
      <c r="B14387" s="192"/>
      <c r="C14387" s="140"/>
      <c r="D14387" s="140"/>
      <c r="E14387" s="140"/>
    </row>
    <row r="14388" spans="1:5">
      <c r="A14388" s="140"/>
      <c r="B14388" s="192"/>
      <c r="C14388" s="140"/>
      <c r="D14388" s="140"/>
      <c r="E14388" s="140"/>
    </row>
    <row r="14389" spans="1:5">
      <c r="A14389" s="140"/>
      <c r="B14389" s="192"/>
      <c r="C14389" s="140"/>
      <c r="D14389" s="140"/>
      <c r="E14389" s="140"/>
    </row>
    <row r="14390" spans="1:5">
      <c r="A14390" s="140"/>
      <c r="B14390" s="192"/>
      <c r="C14390" s="140"/>
      <c r="D14390" s="140"/>
      <c r="E14390" s="140"/>
    </row>
    <row r="14391" spans="1:5">
      <c r="A14391" s="140"/>
      <c r="B14391" s="192"/>
      <c r="C14391" s="140"/>
      <c r="D14391" s="140"/>
      <c r="E14391" s="140"/>
    </row>
    <row r="14392" spans="1:5">
      <c r="A14392" s="140"/>
      <c r="B14392" s="192"/>
      <c r="C14392" s="140"/>
      <c r="D14392" s="140"/>
      <c r="E14392" s="140"/>
    </row>
    <row r="14393" spans="1:5">
      <c r="A14393" s="140"/>
      <c r="B14393" s="192"/>
      <c r="C14393" s="140"/>
      <c r="D14393" s="140"/>
      <c r="E14393" s="140"/>
    </row>
    <row r="14394" spans="1:5">
      <c r="A14394" s="140"/>
      <c r="B14394" s="192"/>
      <c r="C14394" s="140"/>
      <c r="D14394" s="140"/>
      <c r="E14394" s="140"/>
    </row>
    <row r="14395" spans="1:5">
      <c r="A14395" s="140"/>
      <c r="B14395" s="192"/>
      <c r="C14395" s="140"/>
      <c r="D14395" s="140"/>
      <c r="E14395" s="140"/>
    </row>
    <row r="14396" spans="1:5">
      <c r="A14396" s="140"/>
      <c r="B14396" s="192"/>
      <c r="C14396" s="140"/>
      <c r="D14396" s="140"/>
      <c r="E14396" s="140"/>
    </row>
    <row r="14397" spans="1:5">
      <c r="A14397" s="140"/>
      <c r="B14397" s="192"/>
      <c r="C14397" s="140"/>
      <c r="D14397" s="140"/>
      <c r="E14397" s="140"/>
    </row>
    <row r="14398" spans="1:5">
      <c r="A14398" s="140"/>
      <c r="B14398" s="192"/>
      <c r="C14398" s="140"/>
      <c r="D14398" s="140"/>
      <c r="E14398" s="140"/>
    </row>
    <row r="14399" spans="1:5">
      <c r="A14399" s="140"/>
      <c r="B14399" s="192"/>
      <c r="C14399" s="140"/>
      <c r="D14399" s="140"/>
      <c r="E14399" s="140"/>
    </row>
    <row r="14400" spans="1:5">
      <c r="A14400" s="140"/>
      <c r="B14400" s="192"/>
      <c r="C14400" s="140"/>
      <c r="D14400" s="140"/>
      <c r="E14400" s="140"/>
    </row>
    <row r="14401" spans="1:5">
      <c r="A14401" s="140"/>
      <c r="B14401" s="192"/>
      <c r="C14401" s="140"/>
      <c r="D14401" s="140"/>
      <c r="E14401" s="140"/>
    </row>
    <row r="14402" spans="1:5">
      <c r="A14402" s="140"/>
      <c r="B14402" s="192"/>
      <c r="C14402" s="140"/>
      <c r="D14402" s="140"/>
      <c r="E14402" s="140"/>
    </row>
    <row r="14403" spans="1:5">
      <c r="A14403" s="140"/>
      <c r="B14403" s="192"/>
      <c r="C14403" s="140"/>
      <c r="D14403" s="140"/>
      <c r="E14403" s="140"/>
    </row>
    <row r="14404" spans="1:5">
      <c r="A14404" s="140"/>
      <c r="B14404" s="192"/>
      <c r="C14404" s="140"/>
      <c r="D14404" s="140"/>
      <c r="E14404" s="140"/>
    </row>
    <row r="14405" spans="1:5">
      <c r="A14405" s="140"/>
      <c r="B14405" s="192"/>
      <c r="C14405" s="140"/>
      <c r="D14405" s="140"/>
      <c r="E14405" s="140"/>
    </row>
    <row r="14406" spans="1:5">
      <c r="A14406" s="140"/>
      <c r="B14406" s="192"/>
      <c r="C14406" s="140"/>
      <c r="D14406" s="140"/>
      <c r="E14406" s="140"/>
    </row>
    <row r="14407" spans="1:5">
      <c r="A14407" s="140"/>
      <c r="B14407" s="192"/>
      <c r="C14407" s="140"/>
      <c r="D14407" s="140"/>
      <c r="E14407" s="140"/>
    </row>
    <row r="14408" spans="1:5">
      <c r="A14408" s="140"/>
      <c r="B14408" s="192"/>
      <c r="C14408" s="140"/>
      <c r="D14408" s="140"/>
      <c r="E14408" s="140"/>
    </row>
    <row r="14409" spans="1:5">
      <c r="A14409" s="140"/>
      <c r="B14409" s="192"/>
      <c r="C14409" s="140"/>
      <c r="D14409" s="140"/>
      <c r="E14409" s="140"/>
    </row>
    <row r="14410" spans="1:5">
      <c r="A14410" s="140"/>
      <c r="B14410" s="192"/>
      <c r="C14410" s="140"/>
      <c r="D14410" s="140"/>
      <c r="E14410" s="140"/>
    </row>
    <row r="14411" spans="1:5">
      <c r="A14411" s="140"/>
      <c r="B14411" s="192"/>
      <c r="C14411" s="140"/>
      <c r="D14411" s="140"/>
      <c r="E14411" s="140"/>
    </row>
    <row r="14412" spans="1:5">
      <c r="A14412" s="140"/>
      <c r="B14412" s="192"/>
      <c r="C14412" s="140"/>
      <c r="D14412" s="140"/>
      <c r="E14412" s="140"/>
    </row>
    <row r="14413" spans="1:5">
      <c r="A14413" s="140"/>
      <c r="B14413" s="192"/>
      <c r="C14413" s="140"/>
      <c r="D14413" s="140"/>
      <c r="E14413" s="140"/>
    </row>
    <row r="14414" spans="1:5">
      <c r="A14414" s="140"/>
      <c r="B14414" s="192"/>
      <c r="C14414" s="140"/>
      <c r="D14414" s="140"/>
      <c r="E14414" s="140"/>
    </row>
    <row r="14415" spans="1:5">
      <c r="A14415" s="140"/>
      <c r="B14415" s="192"/>
      <c r="C14415" s="140"/>
      <c r="D14415" s="140"/>
      <c r="E14415" s="140"/>
    </row>
    <row r="14416" spans="1:5">
      <c r="A14416" s="140"/>
      <c r="B14416" s="192"/>
      <c r="C14416" s="140"/>
      <c r="D14416" s="140"/>
      <c r="E14416" s="140"/>
    </row>
    <row r="14417" spans="1:5">
      <c r="A14417" s="140"/>
      <c r="B14417" s="192"/>
      <c r="C14417" s="140"/>
      <c r="D14417" s="140"/>
      <c r="E14417" s="140"/>
    </row>
    <row r="14418" spans="1:5">
      <c r="A14418" s="140"/>
      <c r="B14418" s="192"/>
      <c r="C14418" s="140"/>
      <c r="D14418" s="140"/>
      <c r="E14418" s="140"/>
    </row>
    <row r="14419" spans="1:5">
      <c r="A14419" s="140"/>
      <c r="B14419" s="192"/>
      <c r="C14419" s="140"/>
      <c r="D14419" s="140"/>
      <c r="E14419" s="140"/>
    </row>
    <row r="14420" spans="1:5">
      <c r="A14420" s="140"/>
      <c r="B14420" s="192"/>
      <c r="C14420" s="140"/>
      <c r="D14420" s="140"/>
      <c r="E14420" s="140"/>
    </row>
    <row r="14421" spans="1:5">
      <c r="A14421" s="140"/>
      <c r="B14421" s="192"/>
      <c r="C14421" s="140"/>
      <c r="D14421" s="140"/>
      <c r="E14421" s="140"/>
    </row>
    <row r="14422" spans="1:5">
      <c r="A14422" s="140"/>
      <c r="B14422" s="192"/>
      <c r="C14422" s="140"/>
      <c r="D14422" s="140"/>
      <c r="E14422" s="140"/>
    </row>
    <row r="14423" spans="1:5">
      <c r="A14423" s="140"/>
      <c r="B14423" s="192"/>
      <c r="C14423" s="140"/>
      <c r="D14423" s="140"/>
      <c r="E14423" s="140"/>
    </row>
    <row r="14424" spans="1:5">
      <c r="A14424" s="140"/>
      <c r="B14424" s="192"/>
      <c r="C14424" s="140"/>
      <c r="D14424" s="140"/>
      <c r="E14424" s="140"/>
    </row>
    <row r="14425" spans="1:5">
      <c r="A14425" s="140"/>
      <c r="B14425" s="192"/>
      <c r="C14425" s="140"/>
      <c r="D14425" s="140"/>
      <c r="E14425" s="140"/>
    </row>
    <row r="14426" spans="1:5">
      <c r="A14426" s="140"/>
      <c r="B14426" s="192"/>
      <c r="C14426" s="140"/>
      <c r="D14426" s="140"/>
      <c r="E14426" s="140"/>
    </row>
    <row r="14427" spans="1:5">
      <c r="A14427" s="140"/>
      <c r="B14427" s="192"/>
      <c r="C14427" s="140"/>
      <c r="D14427" s="140"/>
      <c r="E14427" s="140"/>
    </row>
    <row r="14428" spans="1:5">
      <c r="A14428" s="140"/>
      <c r="B14428" s="192"/>
      <c r="C14428" s="140"/>
      <c r="D14428" s="140"/>
      <c r="E14428" s="140"/>
    </row>
    <row r="14429" spans="1:5">
      <c r="A14429" s="140"/>
      <c r="B14429" s="192"/>
      <c r="C14429" s="140"/>
      <c r="D14429" s="140"/>
      <c r="E14429" s="140"/>
    </row>
    <row r="14430" spans="1:5">
      <c r="A14430" s="140"/>
      <c r="B14430" s="192"/>
      <c r="C14430" s="140"/>
      <c r="D14430" s="140"/>
      <c r="E14430" s="140"/>
    </row>
    <row r="14431" spans="1:5">
      <c r="A14431" s="140"/>
      <c r="B14431" s="192"/>
      <c r="C14431" s="140"/>
      <c r="D14431" s="140"/>
      <c r="E14431" s="140"/>
    </row>
    <row r="14432" spans="1:5">
      <c r="A14432" s="140"/>
      <c r="B14432" s="192"/>
      <c r="C14432" s="140"/>
      <c r="D14432" s="140"/>
      <c r="E14432" s="140"/>
    </row>
    <row r="14433" spans="1:5">
      <c r="A14433" s="140"/>
      <c r="B14433" s="192"/>
      <c r="C14433" s="140"/>
      <c r="D14433" s="140"/>
      <c r="E14433" s="140"/>
    </row>
    <row r="14434" spans="1:5">
      <c r="A14434" s="140"/>
      <c r="B14434" s="192"/>
      <c r="C14434" s="140"/>
      <c r="D14434" s="140"/>
      <c r="E14434" s="140"/>
    </row>
    <row r="14435" spans="1:5">
      <c r="A14435" s="140"/>
      <c r="B14435" s="192"/>
      <c r="C14435" s="140"/>
      <c r="D14435" s="140"/>
      <c r="E14435" s="140"/>
    </row>
    <row r="14436" spans="1:5">
      <c r="A14436" s="140"/>
      <c r="B14436" s="192"/>
      <c r="C14436" s="140"/>
      <c r="D14436" s="140"/>
      <c r="E14436" s="140"/>
    </row>
    <row r="14437" spans="1:5">
      <c r="A14437" s="140"/>
      <c r="B14437" s="192"/>
      <c r="C14437" s="140"/>
      <c r="D14437" s="140"/>
      <c r="E14437" s="140"/>
    </row>
    <row r="14438" spans="1:5">
      <c r="A14438" s="140"/>
      <c r="B14438" s="192"/>
      <c r="C14438" s="140"/>
      <c r="D14438" s="140"/>
      <c r="E14438" s="140"/>
    </row>
    <row r="14439" spans="1:5">
      <c r="A14439" s="140"/>
      <c r="B14439" s="192"/>
      <c r="C14439" s="140"/>
      <c r="D14439" s="140"/>
      <c r="E14439" s="140"/>
    </row>
    <row r="14440" spans="1:5">
      <c r="A14440" s="140"/>
      <c r="B14440" s="192"/>
      <c r="C14440" s="140"/>
      <c r="D14440" s="140"/>
      <c r="E14440" s="140"/>
    </row>
    <row r="14441" spans="1:5">
      <c r="A14441" s="140"/>
      <c r="B14441" s="192"/>
      <c r="C14441" s="140"/>
      <c r="D14441" s="140"/>
      <c r="E14441" s="140"/>
    </row>
    <row r="14442" spans="1:5">
      <c r="A14442" s="140"/>
      <c r="B14442" s="192"/>
      <c r="C14442" s="140"/>
      <c r="D14442" s="140"/>
      <c r="E14442" s="140"/>
    </row>
    <row r="14443" spans="1:5">
      <c r="A14443" s="140"/>
      <c r="B14443" s="192"/>
      <c r="C14443" s="140"/>
      <c r="D14443" s="140"/>
      <c r="E14443" s="140"/>
    </row>
    <row r="14444" spans="1:5">
      <c r="A14444" s="140"/>
      <c r="B14444" s="192"/>
      <c r="C14444" s="140"/>
      <c r="D14444" s="140"/>
      <c r="E14444" s="140"/>
    </row>
    <row r="14445" spans="1:5">
      <c r="A14445" s="140"/>
      <c r="B14445" s="192"/>
      <c r="C14445" s="140"/>
      <c r="D14445" s="140"/>
      <c r="E14445" s="140"/>
    </row>
    <row r="14446" spans="1:5">
      <c r="A14446" s="140"/>
      <c r="B14446" s="192"/>
      <c r="C14446" s="140"/>
      <c r="D14446" s="140"/>
      <c r="E14446" s="140"/>
    </row>
    <row r="14447" spans="1:5">
      <c r="A14447" s="140"/>
      <c r="B14447" s="192"/>
      <c r="C14447" s="140"/>
      <c r="D14447" s="140"/>
      <c r="E14447" s="140"/>
    </row>
    <row r="14448" spans="1:5">
      <c r="A14448" s="140"/>
      <c r="B14448" s="192"/>
      <c r="C14448" s="140"/>
      <c r="D14448" s="140"/>
      <c r="E14448" s="140"/>
    </row>
    <row r="14449" spans="1:5">
      <c r="A14449" s="140"/>
      <c r="B14449" s="192"/>
      <c r="C14449" s="140"/>
      <c r="D14449" s="140"/>
      <c r="E14449" s="140"/>
    </row>
    <row r="14450" spans="1:5">
      <c r="A14450" s="140"/>
      <c r="B14450" s="192"/>
      <c r="C14450" s="140"/>
      <c r="D14450" s="140"/>
      <c r="E14450" s="140"/>
    </row>
    <row r="14451" spans="1:5">
      <c r="A14451" s="140"/>
      <c r="B14451" s="192"/>
      <c r="C14451" s="140"/>
      <c r="D14451" s="140"/>
      <c r="E14451" s="140"/>
    </row>
    <row r="14452" spans="1:5">
      <c r="A14452" s="140"/>
      <c r="B14452" s="192"/>
      <c r="C14452" s="140"/>
      <c r="D14452" s="140"/>
      <c r="E14452" s="140"/>
    </row>
    <row r="14453" spans="1:5">
      <c r="A14453" s="140"/>
      <c r="B14453" s="192"/>
      <c r="C14453" s="140"/>
      <c r="D14453" s="140"/>
      <c r="E14453" s="140"/>
    </row>
    <row r="14454" spans="1:5">
      <c r="A14454" s="140"/>
      <c r="B14454" s="192"/>
      <c r="C14454" s="140"/>
      <c r="D14454" s="140"/>
      <c r="E14454" s="140"/>
    </row>
    <row r="14455" spans="1:5">
      <c r="A14455" s="140"/>
      <c r="B14455" s="192"/>
      <c r="C14455" s="140"/>
      <c r="D14455" s="140"/>
      <c r="E14455" s="140"/>
    </row>
    <row r="14456" spans="1:5">
      <c r="A14456" s="140"/>
      <c r="B14456" s="192"/>
      <c r="C14456" s="140"/>
      <c r="D14456" s="140"/>
      <c r="E14456" s="140"/>
    </row>
    <row r="14457" spans="1:5">
      <c r="A14457" s="140"/>
      <c r="B14457" s="192"/>
      <c r="C14457" s="140"/>
      <c r="D14457" s="140"/>
      <c r="E14457" s="140"/>
    </row>
    <row r="14458" spans="1:5">
      <c r="A14458" s="140"/>
      <c r="B14458" s="192"/>
      <c r="C14458" s="140"/>
      <c r="D14458" s="140"/>
      <c r="E14458" s="140"/>
    </row>
    <row r="14459" spans="1:5">
      <c r="A14459" s="140"/>
      <c r="B14459" s="192"/>
      <c r="C14459" s="140"/>
      <c r="D14459" s="140"/>
      <c r="E14459" s="140"/>
    </row>
    <row r="14460" spans="1:5">
      <c r="A14460" s="140"/>
      <c r="B14460" s="192"/>
      <c r="C14460" s="140"/>
      <c r="D14460" s="140"/>
      <c r="E14460" s="140"/>
    </row>
    <row r="14461" spans="1:5">
      <c r="A14461" s="140"/>
      <c r="B14461" s="192"/>
      <c r="C14461" s="140"/>
      <c r="D14461" s="140"/>
      <c r="E14461" s="140"/>
    </row>
    <row r="14462" spans="1:5">
      <c r="A14462" s="140"/>
      <c r="B14462" s="192"/>
      <c r="C14462" s="140"/>
      <c r="D14462" s="140"/>
      <c r="E14462" s="140"/>
    </row>
    <row r="14463" spans="1:5">
      <c r="A14463" s="140"/>
      <c r="B14463" s="192"/>
      <c r="C14463" s="140"/>
      <c r="D14463" s="140"/>
      <c r="E14463" s="140"/>
    </row>
    <row r="14464" spans="1:5">
      <c r="A14464" s="140"/>
      <c r="B14464" s="192"/>
      <c r="C14464" s="140"/>
      <c r="D14464" s="140"/>
      <c r="E14464" s="140"/>
    </row>
    <row r="14465" spans="1:5">
      <c r="A14465" s="140"/>
      <c r="B14465" s="192"/>
      <c r="C14465" s="140"/>
      <c r="D14465" s="140"/>
      <c r="E14465" s="140"/>
    </row>
    <row r="14466" spans="1:5">
      <c r="A14466" s="140"/>
      <c r="B14466" s="192"/>
      <c r="C14466" s="140"/>
      <c r="D14466" s="140"/>
      <c r="E14466" s="140"/>
    </row>
    <row r="14467" spans="1:5">
      <c r="A14467" s="140"/>
      <c r="B14467" s="192"/>
      <c r="C14467" s="140"/>
      <c r="D14467" s="140"/>
      <c r="E14467" s="140"/>
    </row>
    <row r="14468" spans="1:5">
      <c r="A14468" s="140"/>
      <c r="B14468" s="192"/>
      <c r="C14468" s="140"/>
      <c r="D14468" s="140"/>
      <c r="E14468" s="140"/>
    </row>
    <row r="14469" spans="1:5">
      <c r="A14469" s="140"/>
      <c r="B14469" s="192"/>
      <c r="C14469" s="140"/>
      <c r="D14469" s="140"/>
      <c r="E14469" s="140"/>
    </row>
    <row r="14470" spans="1:5">
      <c r="A14470" s="140"/>
      <c r="B14470" s="192"/>
      <c r="C14470" s="140"/>
      <c r="D14470" s="140"/>
      <c r="E14470" s="140"/>
    </row>
    <row r="14471" spans="1:5">
      <c r="A14471" s="140"/>
      <c r="B14471" s="192"/>
      <c r="C14471" s="140"/>
      <c r="D14471" s="140"/>
      <c r="E14471" s="140"/>
    </row>
    <row r="14472" spans="1:5">
      <c r="A14472" s="140"/>
      <c r="B14472" s="192"/>
      <c r="C14472" s="140"/>
      <c r="D14472" s="140"/>
      <c r="E14472" s="140"/>
    </row>
    <row r="14473" spans="1:5">
      <c r="A14473" s="140"/>
      <c r="B14473" s="192"/>
      <c r="C14473" s="140"/>
      <c r="D14473" s="140"/>
      <c r="E14473" s="140"/>
    </row>
    <row r="14474" spans="1:5">
      <c r="A14474" s="140"/>
      <c r="B14474" s="192"/>
      <c r="C14474" s="140"/>
      <c r="D14474" s="140"/>
      <c r="E14474" s="140"/>
    </row>
    <row r="14475" spans="1:5">
      <c r="A14475" s="140"/>
      <c r="B14475" s="192"/>
      <c r="C14475" s="140"/>
      <c r="D14475" s="140"/>
      <c r="E14475" s="140"/>
    </row>
    <row r="14476" spans="1:5">
      <c r="A14476" s="140"/>
      <c r="B14476" s="192"/>
      <c r="C14476" s="140"/>
      <c r="D14476" s="140"/>
      <c r="E14476" s="140"/>
    </row>
    <row r="14477" spans="1:5">
      <c r="A14477" s="140"/>
      <c r="B14477" s="192"/>
      <c r="C14477" s="140"/>
      <c r="D14477" s="140"/>
      <c r="E14477" s="140"/>
    </row>
    <row r="14478" spans="1:5">
      <c r="A14478" s="140"/>
      <c r="B14478" s="192"/>
      <c r="C14478" s="140"/>
      <c r="D14478" s="140"/>
      <c r="E14478" s="140"/>
    </row>
    <row r="14479" spans="1:5">
      <c r="A14479" s="140"/>
      <c r="B14479" s="192"/>
      <c r="C14479" s="140"/>
      <c r="D14479" s="140"/>
      <c r="E14479" s="140"/>
    </row>
    <row r="14480" spans="1:5">
      <c r="A14480" s="140"/>
      <c r="B14480" s="192"/>
      <c r="C14480" s="140"/>
      <c r="D14480" s="140"/>
      <c r="E14480" s="140"/>
    </row>
    <row r="14481" spans="1:5">
      <c r="A14481" s="140"/>
      <c r="B14481" s="192"/>
      <c r="C14481" s="140"/>
      <c r="D14481" s="140"/>
      <c r="E14481" s="140"/>
    </row>
    <row r="14482" spans="1:5">
      <c r="A14482" s="140"/>
      <c r="B14482" s="192"/>
      <c r="C14482" s="140"/>
      <c r="D14482" s="140"/>
      <c r="E14482" s="140"/>
    </row>
    <row r="14483" spans="1:5">
      <c r="A14483" s="140"/>
      <c r="B14483" s="192"/>
      <c r="C14483" s="140"/>
      <c r="D14483" s="140"/>
      <c r="E14483" s="140"/>
    </row>
    <row r="14484" spans="1:5">
      <c r="A14484" s="140"/>
      <c r="B14484" s="192"/>
      <c r="C14484" s="140"/>
      <c r="D14484" s="140"/>
      <c r="E14484" s="140"/>
    </row>
    <row r="14485" spans="1:5">
      <c r="A14485" s="140"/>
      <c r="B14485" s="192"/>
      <c r="C14485" s="140"/>
      <c r="D14485" s="140"/>
      <c r="E14485" s="140"/>
    </row>
    <row r="14486" spans="1:5">
      <c r="A14486" s="140"/>
      <c r="B14486" s="192"/>
      <c r="C14486" s="140"/>
      <c r="D14486" s="140"/>
      <c r="E14486" s="140"/>
    </row>
    <row r="14487" spans="1:5">
      <c r="A14487" s="140"/>
      <c r="B14487" s="192"/>
      <c r="C14487" s="140"/>
      <c r="D14487" s="140"/>
      <c r="E14487" s="140"/>
    </row>
    <row r="14488" spans="1:5">
      <c r="A14488" s="140"/>
      <c r="B14488" s="192"/>
      <c r="C14488" s="140"/>
      <c r="D14488" s="140"/>
      <c r="E14488" s="140"/>
    </row>
    <row r="14489" spans="1:5">
      <c r="A14489" s="140"/>
      <c r="B14489" s="192"/>
      <c r="C14489" s="140"/>
      <c r="D14489" s="140"/>
      <c r="E14489" s="140"/>
    </row>
    <row r="14490" spans="1:5">
      <c r="A14490" s="140"/>
      <c r="B14490" s="192"/>
      <c r="C14490" s="140"/>
      <c r="D14490" s="140"/>
      <c r="E14490" s="140"/>
    </row>
    <row r="14491" spans="1:5">
      <c r="A14491" s="140"/>
      <c r="B14491" s="192"/>
      <c r="C14491" s="140"/>
      <c r="D14491" s="140"/>
      <c r="E14491" s="140"/>
    </row>
    <row r="14492" spans="1:5">
      <c r="A14492" s="140"/>
      <c r="B14492" s="192"/>
      <c r="C14492" s="140"/>
      <c r="D14492" s="140"/>
      <c r="E14492" s="140"/>
    </row>
    <row r="14493" spans="1:5">
      <c r="A14493" s="140"/>
      <c r="B14493" s="192"/>
      <c r="C14493" s="140"/>
      <c r="D14493" s="140"/>
      <c r="E14493" s="140"/>
    </row>
    <row r="14494" spans="1:5">
      <c r="A14494" s="140"/>
      <c r="B14494" s="192"/>
      <c r="C14494" s="140"/>
      <c r="D14494" s="140"/>
      <c r="E14494" s="140"/>
    </row>
    <row r="14495" spans="1:5">
      <c r="A14495" s="140"/>
      <c r="B14495" s="192"/>
      <c r="C14495" s="140"/>
      <c r="D14495" s="140"/>
      <c r="E14495" s="140"/>
    </row>
    <row r="14496" spans="1:5">
      <c r="A14496" s="140"/>
      <c r="B14496" s="192"/>
      <c r="C14496" s="140"/>
      <c r="D14496" s="140"/>
      <c r="E14496" s="140"/>
    </row>
    <row r="14497" spans="1:5">
      <c r="A14497" s="140"/>
      <c r="B14497" s="192"/>
      <c r="C14497" s="140"/>
      <c r="D14497" s="140"/>
      <c r="E14497" s="140"/>
    </row>
    <row r="14498" spans="1:5">
      <c r="A14498" s="140"/>
      <c r="B14498" s="192"/>
      <c r="C14498" s="140"/>
      <c r="D14498" s="140"/>
      <c r="E14498" s="140"/>
    </row>
    <row r="14499" spans="1:5">
      <c r="A14499" s="140"/>
      <c r="B14499" s="192"/>
      <c r="C14499" s="140"/>
      <c r="D14499" s="140"/>
      <c r="E14499" s="140"/>
    </row>
    <row r="14500" spans="1:5">
      <c r="A14500" s="140"/>
      <c r="B14500" s="192"/>
      <c r="C14500" s="140"/>
      <c r="D14500" s="140"/>
      <c r="E14500" s="140"/>
    </row>
    <row r="14501" spans="1:5">
      <c r="A14501" s="140"/>
      <c r="B14501" s="192"/>
      <c r="C14501" s="140"/>
      <c r="D14501" s="140"/>
      <c r="E14501" s="140"/>
    </row>
    <row r="14502" spans="1:5">
      <c r="A14502" s="140"/>
      <c r="B14502" s="192"/>
      <c r="C14502" s="140"/>
      <c r="D14502" s="140"/>
      <c r="E14502" s="140"/>
    </row>
    <row r="14503" spans="1:5">
      <c r="A14503" s="140"/>
      <c r="B14503" s="192"/>
      <c r="C14503" s="140"/>
      <c r="D14503" s="140"/>
      <c r="E14503" s="140"/>
    </row>
    <row r="14504" spans="1:5">
      <c r="A14504" s="140"/>
      <c r="B14504" s="192"/>
      <c r="C14504" s="140"/>
      <c r="D14504" s="140"/>
      <c r="E14504" s="140"/>
    </row>
    <row r="14505" spans="1:5">
      <c r="A14505" s="140"/>
      <c r="B14505" s="192"/>
      <c r="C14505" s="140"/>
      <c r="D14505" s="140"/>
      <c r="E14505" s="140"/>
    </row>
    <row r="14506" spans="1:5">
      <c r="A14506" s="140"/>
      <c r="B14506" s="192"/>
      <c r="C14506" s="140"/>
      <c r="D14506" s="140"/>
      <c r="E14506" s="140"/>
    </row>
    <row r="14507" spans="1:5">
      <c r="A14507" s="140"/>
      <c r="B14507" s="192"/>
      <c r="C14507" s="140"/>
      <c r="D14507" s="140"/>
      <c r="E14507" s="140"/>
    </row>
    <row r="14508" spans="1:5">
      <c r="A14508" s="140"/>
      <c r="B14508" s="192"/>
      <c r="C14508" s="140"/>
      <c r="D14508" s="140"/>
      <c r="E14508" s="140"/>
    </row>
    <row r="14509" spans="1:5">
      <c r="A14509" s="140"/>
      <c r="B14509" s="192"/>
      <c r="C14509" s="140"/>
      <c r="D14509" s="140"/>
      <c r="E14509" s="140"/>
    </row>
    <row r="14510" spans="1:5">
      <c r="A14510" s="140"/>
      <c r="B14510" s="192"/>
      <c r="C14510" s="140"/>
      <c r="D14510" s="140"/>
      <c r="E14510" s="140"/>
    </row>
    <row r="14511" spans="1:5">
      <c r="A14511" s="140"/>
      <c r="B14511" s="192"/>
      <c r="C14511" s="140"/>
      <c r="D14511" s="140"/>
      <c r="E14511" s="140"/>
    </row>
    <row r="14512" spans="1:5">
      <c r="A14512" s="140"/>
      <c r="B14512" s="192"/>
      <c r="C14512" s="140"/>
      <c r="D14512" s="140"/>
      <c r="E14512" s="140"/>
    </row>
    <row r="14513" spans="1:5">
      <c r="A14513" s="140"/>
      <c r="B14513" s="192"/>
      <c r="C14513" s="140"/>
      <c r="D14513" s="140"/>
      <c r="E14513" s="140"/>
    </row>
    <row r="14514" spans="1:5">
      <c r="A14514" s="140"/>
      <c r="B14514" s="192"/>
      <c r="C14514" s="140"/>
      <c r="D14514" s="140"/>
      <c r="E14514" s="140"/>
    </row>
    <row r="14515" spans="1:5">
      <c r="A14515" s="140"/>
      <c r="B14515" s="192"/>
      <c r="C14515" s="140"/>
      <c r="D14515" s="140"/>
      <c r="E14515" s="140"/>
    </row>
    <row r="14516" spans="1:5">
      <c r="A14516" s="140"/>
      <c r="B14516" s="192"/>
      <c r="C14516" s="140"/>
      <c r="D14516" s="140"/>
      <c r="E14516" s="140"/>
    </row>
    <row r="14517" spans="1:5">
      <c r="A14517" s="140"/>
      <c r="B14517" s="192"/>
      <c r="C14517" s="140"/>
      <c r="D14517" s="140"/>
      <c r="E14517" s="140"/>
    </row>
    <row r="14518" spans="1:5">
      <c r="A14518" s="140"/>
      <c r="B14518" s="192"/>
      <c r="C14518" s="140"/>
      <c r="D14518" s="140"/>
      <c r="E14518" s="140"/>
    </row>
    <row r="14519" spans="1:5">
      <c r="A14519" s="140"/>
      <c r="B14519" s="192"/>
      <c r="C14519" s="140"/>
      <c r="D14519" s="140"/>
      <c r="E14519" s="140"/>
    </row>
    <row r="14520" spans="1:5">
      <c r="A14520" s="140"/>
      <c r="B14520" s="192"/>
      <c r="C14520" s="140"/>
      <c r="D14520" s="140"/>
      <c r="E14520" s="140"/>
    </row>
    <row r="14521" spans="1:5">
      <c r="A14521" s="140"/>
      <c r="B14521" s="192"/>
      <c r="C14521" s="140"/>
      <c r="D14521" s="140"/>
      <c r="E14521" s="140"/>
    </row>
    <row r="14522" spans="1:5">
      <c r="A14522" s="140"/>
      <c r="B14522" s="192"/>
      <c r="C14522" s="140"/>
      <c r="D14522" s="140"/>
      <c r="E14522" s="140"/>
    </row>
    <row r="14523" spans="1:5">
      <c r="A14523" s="140"/>
      <c r="B14523" s="192"/>
      <c r="C14523" s="140"/>
      <c r="D14523" s="140"/>
      <c r="E14523" s="140"/>
    </row>
    <row r="14524" spans="1:5">
      <c r="A14524" s="140"/>
      <c r="B14524" s="192"/>
      <c r="C14524" s="140"/>
      <c r="D14524" s="140"/>
      <c r="E14524" s="140"/>
    </row>
    <row r="14525" spans="1:5">
      <c r="A14525" s="140"/>
      <c r="B14525" s="192"/>
      <c r="C14525" s="140"/>
      <c r="D14525" s="140"/>
      <c r="E14525" s="140"/>
    </row>
    <row r="14526" spans="1:5">
      <c r="A14526" s="140"/>
      <c r="B14526" s="192"/>
      <c r="C14526" s="140"/>
      <c r="D14526" s="140"/>
      <c r="E14526" s="140"/>
    </row>
    <row r="14527" spans="1:5">
      <c r="A14527" s="140"/>
      <c r="B14527" s="192"/>
      <c r="C14527" s="140"/>
      <c r="D14527" s="140"/>
      <c r="E14527" s="140"/>
    </row>
    <row r="14528" spans="1:5">
      <c r="A14528" s="140"/>
      <c r="B14528" s="192"/>
      <c r="C14528" s="140"/>
      <c r="D14528" s="140"/>
      <c r="E14528" s="140"/>
    </row>
    <row r="14529" spans="1:5">
      <c r="A14529" s="140"/>
      <c r="B14529" s="192"/>
      <c r="C14529" s="140"/>
      <c r="D14529" s="140"/>
      <c r="E14529" s="140"/>
    </row>
    <row r="14530" spans="1:5">
      <c r="A14530" s="140"/>
      <c r="B14530" s="192"/>
      <c r="C14530" s="140"/>
      <c r="D14530" s="140"/>
      <c r="E14530" s="140"/>
    </row>
    <row r="14531" spans="1:5">
      <c r="A14531" s="140"/>
      <c r="B14531" s="192"/>
      <c r="C14531" s="140"/>
      <c r="D14531" s="140"/>
      <c r="E14531" s="140"/>
    </row>
    <row r="14532" spans="1:5">
      <c r="A14532" s="140"/>
      <c r="B14532" s="192"/>
      <c r="C14532" s="140"/>
      <c r="D14532" s="140"/>
      <c r="E14532" s="140"/>
    </row>
    <row r="14533" spans="1:5">
      <c r="A14533" s="140"/>
      <c r="B14533" s="192"/>
      <c r="C14533" s="140"/>
      <c r="D14533" s="140"/>
      <c r="E14533" s="140"/>
    </row>
    <row r="14534" spans="1:5">
      <c r="A14534" s="140"/>
      <c r="B14534" s="192"/>
      <c r="C14534" s="140"/>
      <c r="D14534" s="140"/>
      <c r="E14534" s="140"/>
    </row>
    <row r="14535" spans="1:5">
      <c r="A14535" s="140"/>
      <c r="B14535" s="192"/>
      <c r="C14535" s="140"/>
      <c r="D14535" s="140"/>
      <c r="E14535" s="140"/>
    </row>
    <row r="14536" spans="1:5">
      <c r="A14536" s="140"/>
      <c r="B14536" s="192"/>
      <c r="C14536" s="140"/>
      <c r="D14536" s="140"/>
      <c r="E14536" s="140"/>
    </row>
    <row r="14537" spans="1:5">
      <c r="A14537" s="140"/>
      <c r="B14537" s="192"/>
      <c r="C14537" s="140"/>
      <c r="D14537" s="140"/>
      <c r="E14537" s="140"/>
    </row>
    <row r="14538" spans="1:5">
      <c r="A14538" s="140"/>
      <c r="B14538" s="192"/>
      <c r="C14538" s="140"/>
      <c r="D14538" s="140"/>
      <c r="E14538" s="140"/>
    </row>
    <row r="14539" spans="1:5">
      <c r="A14539" s="140"/>
      <c r="B14539" s="192"/>
      <c r="C14539" s="140"/>
      <c r="D14539" s="140"/>
      <c r="E14539" s="140"/>
    </row>
    <row r="14540" spans="1:5">
      <c r="A14540" s="140"/>
      <c r="B14540" s="192"/>
      <c r="C14540" s="140"/>
      <c r="D14540" s="140"/>
      <c r="E14540" s="140"/>
    </row>
    <row r="14541" spans="1:5">
      <c r="A14541" s="140"/>
      <c r="B14541" s="192"/>
      <c r="C14541" s="140"/>
      <c r="D14541" s="140"/>
      <c r="E14541" s="140"/>
    </row>
    <row r="14542" spans="1:5">
      <c r="A14542" s="140"/>
      <c r="B14542" s="192"/>
      <c r="C14542" s="140"/>
      <c r="D14542" s="140"/>
      <c r="E14542" s="140"/>
    </row>
    <row r="14543" spans="1:5">
      <c r="A14543" s="140"/>
      <c r="B14543" s="192"/>
      <c r="C14543" s="140"/>
      <c r="D14543" s="140"/>
      <c r="E14543" s="140"/>
    </row>
    <row r="14544" spans="1:5">
      <c r="A14544" s="140"/>
      <c r="B14544" s="192"/>
      <c r="C14544" s="140"/>
      <c r="D14544" s="140"/>
      <c r="E14544" s="140"/>
    </row>
    <row r="14545" spans="1:5">
      <c r="A14545" s="140"/>
      <c r="B14545" s="192"/>
      <c r="C14545" s="140"/>
      <c r="D14545" s="140"/>
      <c r="E14545" s="140"/>
    </row>
    <row r="14546" spans="1:5">
      <c r="A14546" s="140"/>
      <c r="B14546" s="192"/>
      <c r="C14546" s="140"/>
      <c r="D14546" s="140"/>
      <c r="E14546" s="140"/>
    </row>
    <row r="14547" spans="1:5">
      <c r="A14547" s="140"/>
      <c r="B14547" s="192"/>
      <c r="C14547" s="140"/>
      <c r="D14547" s="140"/>
      <c r="E14547" s="140"/>
    </row>
    <row r="14548" spans="1:5">
      <c r="A14548" s="140"/>
      <c r="B14548" s="192"/>
      <c r="C14548" s="140"/>
      <c r="D14548" s="140"/>
      <c r="E14548" s="140"/>
    </row>
    <row r="14549" spans="1:5">
      <c r="A14549" s="140"/>
      <c r="B14549" s="192"/>
      <c r="C14549" s="140"/>
      <c r="D14549" s="140"/>
      <c r="E14549" s="140"/>
    </row>
    <row r="14550" spans="1:5">
      <c r="A14550" s="140"/>
      <c r="B14550" s="192"/>
      <c r="C14550" s="140"/>
      <c r="D14550" s="140"/>
      <c r="E14550" s="140"/>
    </row>
    <row r="14551" spans="1:5">
      <c r="A14551" s="140"/>
      <c r="B14551" s="192"/>
      <c r="C14551" s="140"/>
      <c r="D14551" s="140"/>
      <c r="E14551" s="140"/>
    </row>
    <row r="14552" spans="1:5">
      <c r="A14552" s="140"/>
      <c r="B14552" s="192"/>
      <c r="C14552" s="140"/>
      <c r="D14552" s="140"/>
      <c r="E14552" s="140"/>
    </row>
    <row r="14553" spans="1:5">
      <c r="A14553" s="140"/>
      <c r="B14553" s="192"/>
      <c r="C14553" s="140"/>
      <c r="D14553" s="140"/>
      <c r="E14553" s="140"/>
    </row>
    <row r="14554" spans="1:5">
      <c r="A14554" s="140"/>
      <c r="B14554" s="192"/>
      <c r="C14554" s="140"/>
      <c r="D14554" s="140"/>
      <c r="E14554" s="140"/>
    </row>
    <row r="14555" spans="1:5">
      <c r="A14555" s="140"/>
      <c r="B14555" s="192"/>
      <c r="C14555" s="140"/>
      <c r="D14555" s="140"/>
      <c r="E14555" s="140"/>
    </row>
    <row r="14556" spans="1:5">
      <c r="A14556" s="140"/>
      <c r="B14556" s="192"/>
      <c r="C14556" s="140"/>
      <c r="D14556" s="140"/>
      <c r="E14556" s="140"/>
    </row>
    <row r="14557" spans="1:5">
      <c r="A14557" s="140"/>
      <c r="B14557" s="192"/>
      <c r="C14557" s="140"/>
      <c r="D14557" s="140"/>
      <c r="E14557" s="140"/>
    </row>
    <row r="14558" spans="1:5">
      <c r="A14558" s="140"/>
      <c r="B14558" s="192"/>
      <c r="C14558" s="140"/>
      <c r="D14558" s="140"/>
      <c r="E14558" s="140"/>
    </row>
    <row r="14559" spans="1:5">
      <c r="A14559" s="140"/>
      <c r="B14559" s="192"/>
      <c r="C14559" s="140"/>
      <c r="D14559" s="140"/>
      <c r="E14559" s="140"/>
    </row>
    <row r="14560" spans="1:5">
      <c r="A14560" s="140"/>
      <c r="B14560" s="192"/>
      <c r="C14560" s="140"/>
      <c r="D14560" s="140"/>
      <c r="E14560" s="140"/>
    </row>
    <row r="14561" spans="1:5">
      <c r="A14561" s="140"/>
      <c r="B14561" s="192"/>
      <c r="C14561" s="140"/>
      <c r="D14561" s="140"/>
      <c r="E14561" s="140"/>
    </row>
    <row r="14562" spans="1:5">
      <c r="A14562" s="140"/>
      <c r="B14562" s="192"/>
      <c r="C14562" s="140"/>
      <c r="D14562" s="140"/>
      <c r="E14562" s="140"/>
    </row>
    <row r="14563" spans="1:5">
      <c r="A14563" s="140"/>
      <c r="B14563" s="192"/>
      <c r="C14563" s="140"/>
      <c r="D14563" s="140"/>
      <c r="E14563" s="140"/>
    </row>
    <row r="14564" spans="1:5">
      <c r="A14564" s="140"/>
      <c r="B14564" s="192"/>
      <c r="C14564" s="140"/>
      <c r="D14564" s="140"/>
      <c r="E14564" s="140"/>
    </row>
    <row r="14565" spans="1:5">
      <c r="A14565" s="140"/>
      <c r="B14565" s="192"/>
      <c r="C14565" s="140"/>
      <c r="D14565" s="140"/>
      <c r="E14565" s="140"/>
    </row>
    <row r="14566" spans="1:5">
      <c r="A14566" s="140"/>
      <c r="B14566" s="192"/>
      <c r="C14566" s="140"/>
      <c r="D14566" s="140"/>
      <c r="E14566" s="140"/>
    </row>
    <row r="14567" spans="1:5">
      <c r="A14567" s="140"/>
      <c r="B14567" s="192"/>
      <c r="C14567" s="140"/>
      <c r="D14567" s="140"/>
      <c r="E14567" s="140"/>
    </row>
    <row r="14568" spans="1:5">
      <c r="A14568" s="140"/>
      <c r="B14568" s="192"/>
      <c r="C14568" s="140"/>
      <c r="D14568" s="140"/>
      <c r="E14568" s="140"/>
    </row>
    <row r="14569" spans="1:5">
      <c r="A14569" s="140"/>
      <c r="B14569" s="192"/>
      <c r="C14569" s="140"/>
      <c r="D14569" s="140"/>
      <c r="E14569" s="140"/>
    </row>
    <row r="14570" spans="1:5">
      <c r="A14570" s="140"/>
      <c r="B14570" s="192"/>
      <c r="C14570" s="140"/>
      <c r="D14570" s="140"/>
      <c r="E14570" s="140"/>
    </row>
    <row r="14571" spans="1:5">
      <c r="A14571" s="140"/>
      <c r="B14571" s="192"/>
      <c r="C14571" s="140"/>
      <c r="D14571" s="140"/>
      <c r="E14571" s="140"/>
    </row>
    <row r="14572" spans="1:5">
      <c r="A14572" s="140"/>
      <c r="B14572" s="192"/>
      <c r="C14572" s="140"/>
      <c r="D14572" s="140"/>
      <c r="E14572" s="140"/>
    </row>
    <row r="14573" spans="1:5">
      <c r="A14573" s="140"/>
      <c r="B14573" s="192"/>
      <c r="C14573" s="140"/>
      <c r="D14573" s="140"/>
      <c r="E14573" s="140"/>
    </row>
    <row r="14574" spans="1:5">
      <c r="A14574" s="140"/>
      <c r="B14574" s="192"/>
      <c r="C14574" s="140"/>
      <c r="D14574" s="140"/>
      <c r="E14574" s="140"/>
    </row>
    <row r="14575" spans="1:5">
      <c r="A14575" s="140"/>
      <c r="B14575" s="192"/>
      <c r="C14575" s="140"/>
      <c r="D14575" s="140"/>
      <c r="E14575" s="140"/>
    </row>
    <row r="14576" spans="1:5">
      <c r="A14576" s="140"/>
      <c r="B14576" s="192"/>
      <c r="C14576" s="140"/>
      <c r="D14576" s="140"/>
      <c r="E14576" s="140"/>
    </row>
    <row r="14577" spans="1:5">
      <c r="A14577" s="140"/>
      <c r="B14577" s="192"/>
      <c r="C14577" s="140"/>
      <c r="D14577" s="140"/>
      <c r="E14577" s="140"/>
    </row>
    <row r="14578" spans="1:5">
      <c r="A14578" s="140"/>
      <c r="B14578" s="192"/>
      <c r="C14578" s="140"/>
      <c r="D14578" s="140"/>
      <c r="E14578" s="140"/>
    </row>
    <row r="14579" spans="1:5">
      <c r="A14579" s="140"/>
      <c r="B14579" s="192"/>
      <c r="C14579" s="140"/>
      <c r="D14579" s="140"/>
      <c r="E14579" s="140"/>
    </row>
    <row r="14580" spans="1:5">
      <c r="A14580" s="140"/>
      <c r="B14580" s="192"/>
      <c r="C14580" s="140"/>
      <c r="D14580" s="140"/>
      <c r="E14580" s="140"/>
    </row>
    <row r="14581" spans="1:5">
      <c r="A14581" s="140"/>
      <c r="B14581" s="192"/>
      <c r="C14581" s="140"/>
      <c r="D14581" s="140"/>
      <c r="E14581" s="140"/>
    </row>
    <row r="14582" spans="1:5">
      <c r="A14582" s="140"/>
      <c r="B14582" s="192"/>
      <c r="C14582" s="140"/>
      <c r="D14582" s="140"/>
      <c r="E14582" s="140"/>
    </row>
    <row r="14583" spans="1:5">
      <c r="A14583" s="140"/>
      <c r="B14583" s="192"/>
      <c r="C14583" s="140"/>
      <c r="D14583" s="140"/>
      <c r="E14583" s="140"/>
    </row>
    <row r="14584" spans="1:5">
      <c r="A14584" s="140"/>
      <c r="B14584" s="192"/>
      <c r="C14584" s="140"/>
      <c r="D14584" s="140"/>
      <c r="E14584" s="140"/>
    </row>
    <row r="14585" spans="1:5">
      <c r="A14585" s="140"/>
      <c r="B14585" s="192"/>
      <c r="C14585" s="140"/>
      <c r="D14585" s="140"/>
      <c r="E14585" s="140"/>
    </row>
    <row r="14586" spans="1:5">
      <c r="A14586" s="140"/>
      <c r="B14586" s="192"/>
      <c r="C14586" s="140"/>
      <c r="D14586" s="140"/>
      <c r="E14586" s="140"/>
    </row>
    <row r="14587" spans="1:5">
      <c r="A14587" s="140"/>
      <c r="B14587" s="192"/>
      <c r="C14587" s="140"/>
      <c r="D14587" s="140"/>
      <c r="E14587" s="140"/>
    </row>
    <row r="14588" spans="1:5">
      <c r="A14588" s="140"/>
      <c r="B14588" s="192"/>
      <c r="C14588" s="140"/>
      <c r="D14588" s="140"/>
      <c r="E14588" s="140"/>
    </row>
    <row r="14589" spans="1:5">
      <c r="A14589" s="140"/>
      <c r="B14589" s="192"/>
      <c r="C14589" s="140"/>
      <c r="D14589" s="140"/>
      <c r="E14589" s="140"/>
    </row>
    <row r="14590" spans="1:5">
      <c r="A14590" s="140"/>
      <c r="B14590" s="192"/>
      <c r="C14590" s="140"/>
      <c r="D14590" s="140"/>
      <c r="E14590" s="140"/>
    </row>
    <row r="14591" spans="1:5">
      <c r="A14591" s="140"/>
      <c r="B14591" s="192"/>
      <c r="C14591" s="140"/>
      <c r="D14591" s="140"/>
      <c r="E14591" s="140"/>
    </row>
    <row r="14592" spans="1:5">
      <c r="A14592" s="140"/>
      <c r="B14592" s="192"/>
      <c r="C14592" s="140"/>
      <c r="D14592" s="140"/>
      <c r="E14592" s="140"/>
    </row>
    <row r="14593" spans="1:5">
      <c r="A14593" s="140"/>
      <c r="B14593" s="192"/>
      <c r="C14593" s="140"/>
      <c r="D14593" s="140"/>
      <c r="E14593" s="140"/>
    </row>
    <row r="14594" spans="1:5">
      <c r="A14594" s="140"/>
      <c r="B14594" s="192"/>
      <c r="C14594" s="140"/>
      <c r="D14594" s="140"/>
      <c r="E14594" s="140"/>
    </row>
    <row r="14595" spans="1:5">
      <c r="A14595" s="140"/>
      <c r="B14595" s="192"/>
      <c r="C14595" s="140"/>
      <c r="D14595" s="140"/>
      <c r="E14595" s="140"/>
    </row>
    <row r="14596" spans="1:5">
      <c r="A14596" s="140"/>
      <c r="B14596" s="192"/>
      <c r="C14596" s="140"/>
      <c r="D14596" s="140"/>
      <c r="E14596" s="140"/>
    </row>
    <row r="14597" spans="1:5">
      <c r="A14597" s="140"/>
      <c r="B14597" s="192"/>
      <c r="C14597" s="140"/>
      <c r="D14597" s="140"/>
      <c r="E14597" s="140"/>
    </row>
    <row r="14598" spans="1:5">
      <c r="A14598" s="140"/>
      <c r="B14598" s="192"/>
      <c r="C14598" s="140"/>
      <c r="D14598" s="140"/>
      <c r="E14598" s="140"/>
    </row>
    <row r="14599" spans="1:5">
      <c r="A14599" s="140"/>
      <c r="B14599" s="192"/>
      <c r="C14599" s="140"/>
      <c r="D14599" s="140"/>
      <c r="E14599" s="140"/>
    </row>
    <row r="14600" spans="1:5">
      <c r="A14600" s="140"/>
      <c r="B14600" s="192"/>
      <c r="C14600" s="140"/>
      <c r="D14600" s="140"/>
      <c r="E14600" s="140"/>
    </row>
    <row r="14601" spans="1:5">
      <c r="A14601" s="140"/>
      <c r="B14601" s="192"/>
      <c r="C14601" s="140"/>
      <c r="D14601" s="140"/>
      <c r="E14601" s="140"/>
    </row>
    <row r="14602" spans="1:5">
      <c r="A14602" s="140"/>
      <c r="B14602" s="192"/>
      <c r="C14602" s="140"/>
      <c r="D14602" s="140"/>
      <c r="E14602" s="140"/>
    </row>
    <row r="14603" spans="1:5">
      <c r="A14603" s="140"/>
      <c r="B14603" s="192"/>
      <c r="C14603" s="140"/>
      <c r="D14603" s="140"/>
      <c r="E14603" s="140"/>
    </row>
    <row r="14604" spans="1:5">
      <c r="A14604" s="140"/>
      <c r="B14604" s="192"/>
      <c r="C14604" s="140"/>
      <c r="D14604" s="140"/>
      <c r="E14604" s="140"/>
    </row>
    <row r="14605" spans="1:5">
      <c r="A14605" s="140"/>
      <c r="B14605" s="192"/>
      <c r="C14605" s="140"/>
      <c r="D14605" s="140"/>
      <c r="E14605" s="140"/>
    </row>
    <row r="14606" spans="1:5">
      <c r="A14606" s="140"/>
      <c r="B14606" s="192"/>
      <c r="C14606" s="140"/>
      <c r="D14606" s="140"/>
      <c r="E14606" s="140"/>
    </row>
    <row r="14607" spans="1:5">
      <c r="A14607" s="140"/>
      <c r="B14607" s="192"/>
      <c r="C14607" s="140"/>
      <c r="D14607" s="140"/>
      <c r="E14607" s="140"/>
    </row>
    <row r="14608" spans="1:5">
      <c r="A14608" s="140"/>
      <c r="B14608" s="192"/>
      <c r="C14608" s="140"/>
      <c r="D14608" s="140"/>
      <c r="E14608" s="140"/>
    </row>
    <row r="14609" spans="1:5">
      <c r="A14609" s="140"/>
      <c r="B14609" s="192"/>
      <c r="C14609" s="140"/>
      <c r="D14609" s="140"/>
      <c r="E14609" s="140"/>
    </row>
    <row r="14610" spans="1:5">
      <c r="A14610" s="140"/>
      <c r="B14610" s="192"/>
      <c r="C14610" s="140"/>
      <c r="D14610" s="140"/>
      <c r="E14610" s="140"/>
    </row>
    <row r="14611" spans="1:5">
      <c r="A14611" s="140"/>
      <c r="B14611" s="192"/>
      <c r="C14611" s="140"/>
      <c r="D14611" s="140"/>
      <c r="E14611" s="140"/>
    </row>
    <row r="14612" spans="1:5">
      <c r="A14612" s="140"/>
      <c r="B14612" s="192"/>
      <c r="C14612" s="140"/>
      <c r="D14612" s="140"/>
      <c r="E14612" s="140"/>
    </row>
    <row r="14613" spans="1:5">
      <c r="A14613" s="140"/>
      <c r="B14613" s="192"/>
      <c r="C14613" s="140"/>
      <c r="D14613" s="140"/>
      <c r="E14613" s="140"/>
    </row>
    <row r="14614" spans="1:5">
      <c r="A14614" s="140"/>
      <c r="B14614" s="192"/>
      <c r="C14614" s="140"/>
      <c r="D14614" s="140"/>
      <c r="E14614" s="140"/>
    </row>
    <row r="14615" spans="1:5">
      <c r="A14615" s="140"/>
      <c r="B14615" s="192"/>
      <c r="C14615" s="140"/>
      <c r="D14615" s="140"/>
      <c r="E14615" s="140"/>
    </row>
    <row r="14616" spans="1:5">
      <c r="A14616" s="140"/>
      <c r="B14616" s="192"/>
      <c r="C14616" s="140"/>
      <c r="D14616" s="140"/>
      <c r="E14616" s="140"/>
    </row>
    <row r="14617" spans="1:5">
      <c r="A14617" s="140"/>
      <c r="B14617" s="192"/>
      <c r="C14617" s="140"/>
      <c r="D14617" s="140"/>
      <c r="E14617" s="140"/>
    </row>
    <row r="14618" spans="1:5">
      <c r="A14618" s="140"/>
      <c r="B14618" s="192"/>
      <c r="C14618" s="140"/>
      <c r="D14618" s="140"/>
      <c r="E14618" s="140"/>
    </row>
    <row r="14619" spans="1:5">
      <c r="A14619" s="140"/>
      <c r="B14619" s="192"/>
      <c r="C14619" s="140"/>
      <c r="D14619" s="140"/>
      <c r="E14619" s="140"/>
    </row>
    <row r="14620" spans="1:5">
      <c r="A14620" s="140"/>
      <c r="B14620" s="192"/>
      <c r="C14620" s="140"/>
      <c r="D14620" s="140"/>
      <c r="E14620" s="140"/>
    </row>
    <row r="14621" spans="1:5">
      <c r="A14621" s="140"/>
      <c r="B14621" s="192"/>
      <c r="C14621" s="140"/>
      <c r="D14621" s="140"/>
      <c r="E14621" s="140"/>
    </row>
    <row r="14622" spans="1:5">
      <c r="A14622" s="140"/>
      <c r="B14622" s="192"/>
      <c r="C14622" s="140"/>
      <c r="D14622" s="140"/>
      <c r="E14622" s="140"/>
    </row>
    <row r="14623" spans="1:5">
      <c r="A14623" s="140"/>
      <c r="B14623" s="192"/>
      <c r="C14623" s="140"/>
      <c r="D14623" s="140"/>
      <c r="E14623" s="140"/>
    </row>
    <row r="14624" spans="1:5">
      <c r="A14624" s="140"/>
      <c r="B14624" s="192"/>
      <c r="C14624" s="140"/>
      <c r="D14624" s="140"/>
      <c r="E14624" s="140"/>
    </row>
    <row r="14625" spans="1:5">
      <c r="A14625" s="140"/>
      <c r="B14625" s="192"/>
      <c r="C14625" s="140"/>
      <c r="D14625" s="140"/>
      <c r="E14625" s="140"/>
    </row>
    <row r="14626" spans="1:5">
      <c r="A14626" s="140"/>
      <c r="B14626" s="192"/>
      <c r="C14626" s="140"/>
      <c r="D14626" s="140"/>
      <c r="E14626" s="140"/>
    </row>
    <row r="14627" spans="1:5">
      <c r="A14627" s="140"/>
      <c r="B14627" s="192"/>
      <c r="C14627" s="140"/>
      <c r="D14627" s="140"/>
      <c r="E14627" s="140"/>
    </row>
    <row r="14628" spans="1:5">
      <c r="A14628" s="140"/>
      <c r="B14628" s="192"/>
      <c r="C14628" s="140"/>
      <c r="D14628" s="140"/>
      <c r="E14628" s="140"/>
    </row>
    <row r="14629" spans="1:5">
      <c r="A14629" s="140"/>
      <c r="B14629" s="192"/>
      <c r="C14629" s="140"/>
      <c r="D14629" s="140"/>
      <c r="E14629" s="140"/>
    </row>
    <row r="14630" spans="1:5">
      <c r="A14630" s="140"/>
      <c r="B14630" s="192"/>
      <c r="C14630" s="140"/>
      <c r="D14630" s="140"/>
      <c r="E14630" s="140"/>
    </row>
    <row r="14631" spans="1:5">
      <c r="A14631" s="140"/>
      <c r="B14631" s="192"/>
      <c r="C14631" s="140"/>
      <c r="D14631" s="140"/>
      <c r="E14631" s="140"/>
    </row>
    <row r="14632" spans="1:5">
      <c r="A14632" s="140"/>
      <c r="B14632" s="192"/>
      <c r="C14632" s="140"/>
      <c r="D14632" s="140"/>
      <c r="E14632" s="140"/>
    </row>
    <row r="14633" spans="1:5">
      <c r="A14633" s="140"/>
      <c r="B14633" s="192"/>
      <c r="C14633" s="140"/>
      <c r="D14633" s="140"/>
      <c r="E14633" s="140"/>
    </row>
    <row r="14634" spans="1:5">
      <c r="A14634" s="140"/>
      <c r="B14634" s="192"/>
      <c r="C14634" s="140"/>
      <c r="D14634" s="140"/>
      <c r="E14634" s="140"/>
    </row>
    <row r="14635" spans="1:5">
      <c r="A14635" s="140"/>
      <c r="B14635" s="192"/>
      <c r="C14635" s="140"/>
      <c r="D14635" s="140"/>
      <c r="E14635" s="140"/>
    </row>
    <row r="14636" spans="1:5">
      <c r="A14636" s="140"/>
      <c r="B14636" s="192"/>
      <c r="C14636" s="140"/>
      <c r="D14636" s="140"/>
      <c r="E14636" s="140"/>
    </row>
    <row r="14637" spans="1:5">
      <c r="A14637" s="140"/>
      <c r="B14637" s="192"/>
      <c r="C14637" s="140"/>
      <c r="D14637" s="140"/>
      <c r="E14637" s="140"/>
    </row>
    <row r="14638" spans="1:5">
      <c r="A14638" s="140"/>
      <c r="B14638" s="192"/>
      <c r="C14638" s="140"/>
      <c r="D14638" s="140"/>
      <c r="E14638" s="140"/>
    </row>
    <row r="14639" spans="1:5">
      <c r="A14639" s="140"/>
      <c r="B14639" s="192"/>
      <c r="C14639" s="140"/>
      <c r="D14639" s="140"/>
      <c r="E14639" s="140"/>
    </row>
    <row r="14640" spans="1:5">
      <c r="A14640" s="140"/>
      <c r="B14640" s="192"/>
      <c r="C14640" s="140"/>
      <c r="D14640" s="140"/>
      <c r="E14640" s="140"/>
    </row>
    <row r="14641" spans="1:5">
      <c r="A14641" s="140"/>
      <c r="B14641" s="192"/>
      <c r="C14641" s="140"/>
      <c r="D14641" s="140"/>
      <c r="E14641" s="140"/>
    </row>
    <row r="14642" spans="1:5">
      <c r="A14642" s="140"/>
      <c r="B14642" s="192"/>
      <c r="C14642" s="140"/>
      <c r="D14642" s="140"/>
      <c r="E14642" s="140"/>
    </row>
    <row r="14643" spans="1:5">
      <c r="A14643" s="140"/>
      <c r="B14643" s="192"/>
      <c r="C14643" s="140"/>
      <c r="D14643" s="140"/>
      <c r="E14643" s="140"/>
    </row>
    <row r="14644" spans="1:5">
      <c r="A14644" s="140"/>
      <c r="B14644" s="192"/>
      <c r="C14644" s="140"/>
      <c r="D14644" s="140"/>
      <c r="E14644" s="140"/>
    </row>
    <row r="14645" spans="1:5">
      <c r="A14645" s="140"/>
      <c r="B14645" s="192"/>
      <c r="C14645" s="140"/>
      <c r="D14645" s="140"/>
      <c r="E14645" s="140"/>
    </row>
    <row r="14646" spans="1:5">
      <c r="A14646" s="140"/>
      <c r="B14646" s="192"/>
      <c r="C14646" s="140"/>
      <c r="D14646" s="140"/>
      <c r="E14646" s="140"/>
    </row>
    <row r="14647" spans="1:5">
      <c r="A14647" s="140"/>
      <c r="B14647" s="192"/>
      <c r="C14647" s="140"/>
      <c r="D14647" s="140"/>
      <c r="E14647" s="140"/>
    </row>
    <row r="14648" spans="1:5">
      <c r="A14648" s="140"/>
      <c r="B14648" s="192"/>
      <c r="C14648" s="140"/>
      <c r="D14648" s="140"/>
      <c r="E14648" s="140"/>
    </row>
    <row r="14649" spans="1:5">
      <c r="A14649" s="140"/>
      <c r="B14649" s="192"/>
      <c r="C14649" s="140"/>
      <c r="D14649" s="140"/>
      <c r="E14649" s="140"/>
    </row>
    <row r="14650" spans="1:5">
      <c r="A14650" s="140"/>
      <c r="B14650" s="192"/>
      <c r="C14650" s="140"/>
      <c r="D14650" s="140"/>
      <c r="E14650" s="140"/>
    </row>
    <row r="14651" spans="1:5">
      <c r="A14651" s="140"/>
      <c r="B14651" s="192"/>
      <c r="C14651" s="140"/>
      <c r="D14651" s="140"/>
      <c r="E14651" s="140"/>
    </row>
    <row r="14652" spans="1:5">
      <c r="A14652" s="140"/>
      <c r="B14652" s="192"/>
      <c r="C14652" s="140"/>
      <c r="D14652" s="140"/>
      <c r="E14652" s="140"/>
    </row>
    <row r="14653" spans="1:5">
      <c r="A14653" s="140"/>
      <c r="B14653" s="192"/>
      <c r="C14653" s="140"/>
      <c r="D14653" s="140"/>
      <c r="E14653" s="140"/>
    </row>
    <row r="14654" spans="1:5">
      <c r="A14654" s="140"/>
      <c r="B14654" s="192"/>
      <c r="C14654" s="140"/>
      <c r="D14654" s="140"/>
      <c r="E14654" s="140"/>
    </row>
    <row r="14655" spans="1:5">
      <c r="A14655" s="140"/>
      <c r="B14655" s="192"/>
      <c r="C14655" s="140"/>
      <c r="D14655" s="140"/>
      <c r="E14655" s="140"/>
    </row>
    <row r="14656" spans="1:5">
      <c r="A14656" s="140"/>
      <c r="B14656" s="192"/>
      <c r="C14656" s="140"/>
      <c r="D14656" s="140"/>
      <c r="E14656" s="140"/>
    </row>
    <row r="14657" spans="1:5">
      <c r="A14657" s="140"/>
      <c r="B14657" s="192"/>
      <c r="C14657" s="140"/>
      <c r="D14657" s="140"/>
      <c r="E14657" s="140"/>
    </row>
    <row r="14658" spans="1:5">
      <c r="A14658" s="140"/>
      <c r="B14658" s="192"/>
      <c r="C14658" s="140"/>
      <c r="D14658" s="140"/>
      <c r="E14658" s="140"/>
    </row>
    <row r="14659" spans="1:5">
      <c r="A14659" s="140"/>
      <c r="B14659" s="192"/>
      <c r="C14659" s="140"/>
      <c r="D14659" s="140"/>
      <c r="E14659" s="140"/>
    </row>
    <row r="14660" spans="1:5">
      <c r="A14660" s="140"/>
      <c r="B14660" s="192"/>
      <c r="C14660" s="140"/>
      <c r="D14660" s="140"/>
      <c r="E14660" s="140"/>
    </row>
    <row r="14661" spans="1:5">
      <c r="A14661" s="140"/>
      <c r="B14661" s="192"/>
      <c r="C14661" s="140"/>
      <c r="D14661" s="140"/>
      <c r="E14661" s="140"/>
    </row>
    <row r="14662" spans="1:5">
      <c r="A14662" s="140"/>
      <c r="B14662" s="192"/>
      <c r="C14662" s="140"/>
      <c r="D14662" s="140"/>
      <c r="E14662" s="140"/>
    </row>
    <row r="14663" spans="1:5">
      <c r="A14663" s="140"/>
      <c r="B14663" s="192"/>
      <c r="C14663" s="140"/>
      <c r="D14663" s="140"/>
      <c r="E14663" s="140"/>
    </row>
    <row r="14664" spans="1:5">
      <c r="A14664" s="140"/>
      <c r="B14664" s="192"/>
      <c r="C14664" s="140"/>
      <c r="D14664" s="140"/>
      <c r="E14664" s="140"/>
    </row>
    <row r="14665" spans="1:5">
      <c r="A14665" s="140"/>
      <c r="B14665" s="192"/>
      <c r="C14665" s="140"/>
      <c r="D14665" s="140"/>
      <c r="E14665" s="140"/>
    </row>
    <row r="14666" spans="1:5">
      <c r="A14666" s="140"/>
      <c r="B14666" s="192"/>
      <c r="C14666" s="140"/>
      <c r="D14666" s="140"/>
      <c r="E14666" s="140"/>
    </row>
    <row r="14667" spans="1:5">
      <c r="A14667" s="140"/>
      <c r="B14667" s="192"/>
      <c r="C14667" s="140"/>
      <c r="D14667" s="140"/>
      <c r="E14667" s="140"/>
    </row>
    <row r="14668" spans="1:5">
      <c r="A14668" s="140"/>
      <c r="B14668" s="192"/>
      <c r="C14668" s="140"/>
      <c r="D14668" s="140"/>
      <c r="E14668" s="140"/>
    </row>
    <row r="14669" spans="1:5">
      <c r="A14669" s="140"/>
      <c r="B14669" s="192"/>
      <c r="C14669" s="140"/>
      <c r="D14669" s="140"/>
      <c r="E14669" s="140"/>
    </row>
    <row r="14670" spans="1:5">
      <c r="A14670" s="140"/>
      <c r="B14670" s="192"/>
      <c r="C14670" s="140"/>
      <c r="D14670" s="140"/>
      <c r="E14670" s="140"/>
    </row>
    <row r="14671" spans="1:5">
      <c r="A14671" s="140"/>
      <c r="B14671" s="192"/>
      <c r="C14671" s="140"/>
      <c r="D14671" s="140"/>
      <c r="E14671" s="140"/>
    </row>
    <row r="14672" spans="1:5">
      <c r="A14672" s="140"/>
      <c r="B14672" s="192"/>
      <c r="C14672" s="140"/>
      <c r="D14672" s="140"/>
      <c r="E14672" s="140"/>
    </row>
    <row r="14673" spans="1:5">
      <c r="A14673" s="140"/>
      <c r="B14673" s="192"/>
      <c r="C14673" s="140"/>
      <c r="D14673" s="140"/>
      <c r="E14673" s="140"/>
    </row>
    <row r="14674" spans="1:5">
      <c r="A14674" s="140"/>
      <c r="B14674" s="192"/>
      <c r="C14674" s="140"/>
      <c r="D14674" s="140"/>
      <c r="E14674" s="140"/>
    </row>
    <row r="14675" spans="1:5">
      <c r="A14675" s="140"/>
      <c r="B14675" s="192"/>
      <c r="C14675" s="140"/>
      <c r="D14675" s="140"/>
      <c r="E14675" s="140"/>
    </row>
    <row r="14676" spans="1:5">
      <c r="A14676" s="140"/>
      <c r="B14676" s="192"/>
      <c r="C14676" s="140"/>
      <c r="D14676" s="140"/>
      <c r="E14676" s="140"/>
    </row>
    <row r="14677" spans="1:5">
      <c r="A14677" s="140"/>
      <c r="B14677" s="192"/>
      <c r="C14677" s="140"/>
      <c r="D14677" s="140"/>
      <c r="E14677" s="140"/>
    </row>
    <row r="14678" spans="1:5">
      <c r="A14678" s="140"/>
      <c r="B14678" s="192"/>
      <c r="C14678" s="140"/>
      <c r="D14678" s="140"/>
      <c r="E14678" s="140"/>
    </row>
    <row r="14679" spans="1:5">
      <c r="A14679" s="140"/>
      <c r="B14679" s="192"/>
      <c r="C14679" s="140"/>
      <c r="D14679" s="140"/>
      <c r="E14679" s="140"/>
    </row>
    <row r="14680" spans="1:5">
      <c r="A14680" s="140"/>
      <c r="B14680" s="192"/>
      <c r="C14680" s="140"/>
      <c r="D14680" s="140"/>
      <c r="E14680" s="140"/>
    </row>
    <row r="14681" spans="1:5">
      <c r="A14681" s="140"/>
      <c r="B14681" s="192"/>
      <c r="C14681" s="140"/>
      <c r="D14681" s="140"/>
      <c r="E14681" s="140"/>
    </row>
    <row r="14682" spans="1:5">
      <c r="A14682" s="140"/>
      <c r="B14682" s="192"/>
      <c r="C14682" s="140"/>
      <c r="D14682" s="140"/>
      <c r="E14682" s="140"/>
    </row>
    <row r="14683" spans="1:5">
      <c r="A14683" s="140"/>
      <c r="B14683" s="192"/>
      <c r="C14683" s="140"/>
      <c r="D14683" s="140"/>
      <c r="E14683" s="140"/>
    </row>
    <row r="14684" spans="1:5">
      <c r="A14684" s="140"/>
      <c r="B14684" s="192"/>
      <c r="C14684" s="140"/>
      <c r="D14684" s="140"/>
      <c r="E14684" s="140"/>
    </row>
    <row r="14685" spans="1:5">
      <c r="A14685" s="140"/>
      <c r="B14685" s="192"/>
      <c r="C14685" s="140"/>
      <c r="D14685" s="140"/>
      <c r="E14685" s="140"/>
    </row>
    <row r="14686" spans="1:5">
      <c r="A14686" s="140"/>
      <c r="B14686" s="192"/>
      <c r="C14686" s="140"/>
      <c r="D14686" s="140"/>
      <c r="E14686" s="140"/>
    </row>
    <row r="14687" spans="1:5">
      <c r="A14687" s="140"/>
      <c r="B14687" s="192"/>
      <c r="C14687" s="140"/>
      <c r="D14687" s="140"/>
      <c r="E14687" s="140"/>
    </row>
    <row r="14688" spans="1:5">
      <c r="A14688" s="140"/>
      <c r="B14688" s="192"/>
      <c r="C14688" s="140"/>
      <c r="D14688" s="140"/>
      <c r="E14688" s="140"/>
    </row>
    <row r="14689" spans="1:5">
      <c r="A14689" s="140"/>
      <c r="B14689" s="192"/>
      <c r="C14689" s="140"/>
      <c r="D14689" s="140"/>
      <c r="E14689" s="140"/>
    </row>
    <row r="14690" spans="1:5">
      <c r="A14690" s="140"/>
      <c r="B14690" s="192"/>
      <c r="C14690" s="140"/>
      <c r="D14690" s="140"/>
      <c r="E14690" s="140"/>
    </row>
    <row r="14691" spans="1:5">
      <c r="A14691" s="140"/>
      <c r="B14691" s="192"/>
      <c r="C14691" s="140"/>
      <c r="D14691" s="140"/>
      <c r="E14691" s="140"/>
    </row>
    <row r="14692" spans="1:5">
      <c r="A14692" s="140"/>
      <c r="B14692" s="192"/>
      <c r="C14692" s="140"/>
      <c r="D14692" s="140"/>
      <c r="E14692" s="140"/>
    </row>
    <row r="14693" spans="1:5">
      <c r="A14693" s="140"/>
      <c r="B14693" s="192"/>
      <c r="C14693" s="140"/>
      <c r="D14693" s="140"/>
      <c r="E14693" s="140"/>
    </row>
    <row r="14694" spans="1:5">
      <c r="A14694" s="140"/>
      <c r="B14694" s="192"/>
      <c r="C14694" s="140"/>
      <c r="D14694" s="140"/>
      <c r="E14694" s="140"/>
    </row>
    <row r="14695" spans="1:5">
      <c r="A14695" s="140"/>
      <c r="B14695" s="192"/>
      <c r="C14695" s="140"/>
      <c r="D14695" s="140"/>
      <c r="E14695" s="140"/>
    </row>
    <row r="14696" spans="1:5">
      <c r="A14696" s="140"/>
      <c r="B14696" s="192"/>
      <c r="C14696" s="140"/>
      <c r="D14696" s="140"/>
      <c r="E14696" s="140"/>
    </row>
    <row r="14697" spans="1:5">
      <c r="A14697" s="140"/>
      <c r="B14697" s="192"/>
      <c r="C14697" s="140"/>
      <c r="D14697" s="140"/>
      <c r="E14697" s="140"/>
    </row>
    <row r="14698" spans="1:5">
      <c r="A14698" s="140"/>
      <c r="B14698" s="192"/>
      <c r="C14698" s="140"/>
      <c r="D14698" s="140"/>
      <c r="E14698" s="140"/>
    </row>
    <row r="14699" spans="1:5">
      <c r="A14699" s="140"/>
      <c r="B14699" s="192"/>
      <c r="C14699" s="140"/>
      <c r="D14699" s="140"/>
      <c r="E14699" s="140"/>
    </row>
    <row r="14700" spans="1:5">
      <c r="A14700" s="140"/>
      <c r="B14700" s="192"/>
      <c r="C14700" s="140"/>
      <c r="D14700" s="140"/>
      <c r="E14700" s="140"/>
    </row>
    <row r="14701" spans="1:5">
      <c r="A14701" s="140"/>
      <c r="B14701" s="192"/>
      <c r="C14701" s="140"/>
      <c r="D14701" s="140"/>
      <c r="E14701" s="140"/>
    </row>
    <row r="14702" spans="1:5">
      <c r="A14702" s="140"/>
      <c r="B14702" s="192"/>
      <c r="C14702" s="140"/>
      <c r="D14702" s="140"/>
      <c r="E14702" s="140"/>
    </row>
    <row r="14703" spans="1:5">
      <c r="A14703" s="140"/>
      <c r="B14703" s="192"/>
      <c r="C14703" s="140"/>
      <c r="D14703" s="140"/>
      <c r="E14703" s="140"/>
    </row>
    <row r="14704" spans="1:5">
      <c r="A14704" s="140"/>
      <c r="B14704" s="192"/>
      <c r="C14704" s="140"/>
      <c r="D14704" s="140"/>
      <c r="E14704" s="140"/>
    </row>
    <row r="14705" spans="1:5">
      <c r="A14705" s="140"/>
      <c r="B14705" s="192"/>
      <c r="C14705" s="140"/>
      <c r="D14705" s="140"/>
      <c r="E14705" s="140"/>
    </row>
    <row r="14706" spans="1:5">
      <c r="A14706" s="140"/>
      <c r="B14706" s="192"/>
      <c r="C14706" s="140"/>
      <c r="D14706" s="140"/>
      <c r="E14706" s="140"/>
    </row>
    <row r="14707" spans="1:5">
      <c r="A14707" s="140"/>
      <c r="B14707" s="192"/>
      <c r="C14707" s="140"/>
      <c r="D14707" s="140"/>
      <c r="E14707" s="140"/>
    </row>
    <row r="14708" spans="1:5">
      <c r="A14708" s="140"/>
      <c r="B14708" s="192"/>
      <c r="C14708" s="140"/>
      <c r="D14708" s="140"/>
      <c r="E14708" s="140"/>
    </row>
    <row r="14709" spans="1:5">
      <c r="A14709" s="140"/>
      <c r="B14709" s="192"/>
      <c r="C14709" s="140"/>
      <c r="D14709" s="140"/>
      <c r="E14709" s="140"/>
    </row>
    <row r="14710" spans="1:5">
      <c r="A14710" s="140"/>
      <c r="B14710" s="192"/>
      <c r="C14710" s="140"/>
      <c r="D14710" s="140"/>
      <c r="E14710" s="140"/>
    </row>
    <row r="14711" spans="1:5">
      <c r="A14711" s="140"/>
      <c r="B14711" s="192"/>
      <c r="C14711" s="140"/>
      <c r="D14711" s="140"/>
      <c r="E14711" s="140"/>
    </row>
    <row r="14712" spans="1:5">
      <c r="A14712" s="140"/>
      <c r="B14712" s="192"/>
      <c r="C14712" s="140"/>
      <c r="D14712" s="140"/>
      <c r="E14712" s="140"/>
    </row>
    <row r="14713" spans="1:5">
      <c r="A14713" s="140"/>
      <c r="B14713" s="192"/>
      <c r="C14713" s="140"/>
      <c r="D14713" s="140"/>
      <c r="E14713" s="140"/>
    </row>
    <row r="14714" spans="1:5">
      <c r="A14714" s="140"/>
      <c r="B14714" s="192"/>
      <c r="C14714" s="140"/>
      <c r="D14714" s="140"/>
      <c r="E14714" s="140"/>
    </row>
    <row r="14715" spans="1:5">
      <c r="A14715" s="140"/>
      <c r="B14715" s="192"/>
      <c r="C14715" s="140"/>
      <c r="D14715" s="140"/>
      <c r="E14715" s="140"/>
    </row>
    <row r="14716" spans="1:5">
      <c r="A14716" s="140"/>
      <c r="B14716" s="192"/>
      <c r="C14716" s="140"/>
      <c r="D14716" s="140"/>
      <c r="E14716" s="140"/>
    </row>
    <row r="14717" spans="1:5">
      <c r="A14717" s="140"/>
      <c r="B14717" s="192"/>
      <c r="C14717" s="140"/>
      <c r="D14717" s="140"/>
      <c r="E14717" s="140"/>
    </row>
    <row r="14718" spans="1:5">
      <c r="A14718" s="140"/>
      <c r="B14718" s="192"/>
      <c r="C14718" s="140"/>
      <c r="D14718" s="140"/>
      <c r="E14718" s="140"/>
    </row>
    <row r="14719" spans="1:5">
      <c r="A14719" s="140"/>
      <c r="B14719" s="192"/>
      <c r="C14719" s="140"/>
      <c r="D14719" s="140"/>
      <c r="E14719" s="140"/>
    </row>
    <row r="14720" spans="1:5">
      <c r="A14720" s="140"/>
      <c r="B14720" s="192"/>
      <c r="C14720" s="140"/>
      <c r="D14720" s="140"/>
      <c r="E14720" s="140"/>
    </row>
    <row r="14721" spans="1:5">
      <c r="A14721" s="140"/>
      <c r="B14721" s="192"/>
      <c r="C14721" s="140"/>
      <c r="D14721" s="140"/>
      <c r="E14721" s="140"/>
    </row>
    <row r="14722" spans="1:5">
      <c r="A14722" s="140"/>
      <c r="B14722" s="192"/>
      <c r="C14722" s="140"/>
      <c r="D14722" s="140"/>
      <c r="E14722" s="140"/>
    </row>
    <row r="14723" spans="1:5">
      <c r="A14723" s="140"/>
      <c r="B14723" s="192"/>
      <c r="C14723" s="140"/>
      <c r="D14723" s="140"/>
      <c r="E14723" s="140"/>
    </row>
    <row r="14724" spans="1:5">
      <c r="A14724" s="140"/>
      <c r="B14724" s="192"/>
      <c r="C14724" s="140"/>
      <c r="D14724" s="140"/>
      <c r="E14724" s="140"/>
    </row>
    <row r="14725" spans="1:5">
      <c r="A14725" s="140"/>
      <c r="B14725" s="192"/>
      <c r="C14725" s="140"/>
      <c r="D14725" s="140"/>
      <c r="E14725" s="140"/>
    </row>
    <row r="14726" spans="1:5">
      <c r="A14726" s="140"/>
      <c r="B14726" s="192"/>
      <c r="C14726" s="140"/>
      <c r="D14726" s="140"/>
      <c r="E14726" s="140"/>
    </row>
    <row r="14727" spans="1:5">
      <c r="A14727" s="140"/>
      <c r="B14727" s="192"/>
      <c r="C14727" s="140"/>
      <c r="D14727" s="140"/>
      <c r="E14727" s="140"/>
    </row>
    <row r="14728" spans="1:5">
      <c r="A14728" s="140"/>
      <c r="B14728" s="192"/>
      <c r="C14728" s="140"/>
      <c r="D14728" s="140"/>
      <c r="E14728" s="140"/>
    </row>
    <row r="14729" spans="1:5">
      <c r="A14729" s="140"/>
      <c r="B14729" s="192"/>
      <c r="C14729" s="140"/>
      <c r="D14729" s="140"/>
      <c r="E14729" s="140"/>
    </row>
    <row r="14730" spans="1:5">
      <c r="A14730" s="140"/>
      <c r="B14730" s="192"/>
      <c r="C14730" s="140"/>
      <c r="D14730" s="140"/>
      <c r="E14730" s="140"/>
    </row>
    <row r="14731" spans="1:5">
      <c r="A14731" s="140"/>
      <c r="B14731" s="192"/>
      <c r="C14731" s="140"/>
      <c r="D14731" s="140"/>
      <c r="E14731" s="140"/>
    </row>
    <row r="14732" spans="1:5">
      <c r="A14732" s="140"/>
      <c r="B14732" s="192"/>
      <c r="C14732" s="140"/>
      <c r="D14732" s="140"/>
      <c r="E14732" s="140"/>
    </row>
    <row r="14733" spans="1:5">
      <c r="A14733" s="140"/>
      <c r="B14733" s="192"/>
      <c r="C14733" s="140"/>
      <c r="D14733" s="140"/>
      <c r="E14733" s="140"/>
    </row>
    <row r="14734" spans="1:5">
      <c r="A14734" s="140"/>
      <c r="B14734" s="192"/>
      <c r="C14734" s="140"/>
      <c r="D14734" s="140"/>
      <c r="E14734" s="140"/>
    </row>
    <row r="14735" spans="1:5">
      <c r="A14735" s="140"/>
      <c r="B14735" s="192"/>
      <c r="C14735" s="140"/>
      <c r="D14735" s="140"/>
      <c r="E14735" s="140"/>
    </row>
    <row r="14736" spans="1:5">
      <c r="A14736" s="140"/>
      <c r="B14736" s="192"/>
      <c r="C14736" s="140"/>
      <c r="D14736" s="140"/>
      <c r="E14736" s="140"/>
    </row>
    <row r="14737" spans="1:5">
      <c r="A14737" s="140"/>
      <c r="B14737" s="192"/>
      <c r="C14737" s="140"/>
      <c r="D14737" s="140"/>
      <c r="E14737" s="140"/>
    </row>
    <row r="14738" spans="1:5">
      <c r="A14738" s="140"/>
      <c r="B14738" s="192"/>
      <c r="C14738" s="140"/>
      <c r="D14738" s="140"/>
      <c r="E14738" s="140"/>
    </row>
    <row r="14739" spans="1:5">
      <c r="A14739" s="140"/>
      <c r="B14739" s="192"/>
      <c r="C14739" s="140"/>
      <c r="D14739" s="140"/>
      <c r="E14739" s="140"/>
    </row>
    <row r="14740" spans="1:5">
      <c r="A14740" s="140"/>
      <c r="B14740" s="192"/>
      <c r="C14740" s="140"/>
      <c r="D14740" s="140"/>
      <c r="E14740" s="140"/>
    </row>
    <row r="14741" spans="1:5">
      <c r="A14741" s="140"/>
      <c r="B14741" s="192"/>
      <c r="C14741" s="140"/>
      <c r="D14741" s="140"/>
      <c r="E14741" s="140"/>
    </row>
    <row r="14742" spans="1:5">
      <c r="A14742" s="140"/>
      <c r="B14742" s="192"/>
      <c r="C14742" s="140"/>
      <c r="D14742" s="140"/>
      <c r="E14742" s="140"/>
    </row>
    <row r="14743" spans="1:5">
      <c r="A14743" s="140"/>
      <c r="B14743" s="192"/>
      <c r="C14743" s="140"/>
      <c r="D14743" s="140"/>
      <c r="E14743" s="140"/>
    </row>
    <row r="14744" spans="1:5">
      <c r="A14744" s="140"/>
      <c r="B14744" s="192"/>
      <c r="C14744" s="140"/>
      <c r="D14744" s="140"/>
      <c r="E14744" s="140"/>
    </row>
    <row r="14745" spans="1:5">
      <c r="A14745" s="140"/>
      <c r="B14745" s="192"/>
      <c r="C14745" s="140"/>
      <c r="D14745" s="140"/>
      <c r="E14745" s="140"/>
    </row>
    <row r="14746" spans="1:5">
      <c r="A14746" s="140"/>
      <c r="B14746" s="192"/>
      <c r="C14746" s="140"/>
      <c r="D14746" s="140"/>
      <c r="E14746" s="140"/>
    </row>
    <row r="14747" spans="1:5">
      <c r="A14747" s="140"/>
      <c r="B14747" s="192"/>
      <c r="C14747" s="140"/>
      <c r="D14747" s="140"/>
      <c r="E14747" s="140"/>
    </row>
    <row r="14748" spans="1:5">
      <c r="A14748" s="140"/>
      <c r="B14748" s="192"/>
      <c r="C14748" s="140"/>
      <c r="D14748" s="140"/>
      <c r="E14748" s="140"/>
    </row>
    <row r="14749" spans="1:5">
      <c r="A14749" s="140"/>
      <c r="B14749" s="192"/>
      <c r="C14749" s="140"/>
      <c r="D14749" s="140"/>
      <c r="E14749" s="140"/>
    </row>
    <row r="14750" spans="1:5">
      <c r="A14750" s="140"/>
      <c r="B14750" s="192"/>
      <c r="C14750" s="140"/>
      <c r="D14750" s="140"/>
      <c r="E14750" s="140"/>
    </row>
    <row r="14751" spans="1:5">
      <c r="A14751" s="140"/>
      <c r="B14751" s="192"/>
      <c r="C14751" s="140"/>
      <c r="D14751" s="140"/>
      <c r="E14751" s="140"/>
    </row>
    <row r="14752" spans="1:5">
      <c r="A14752" s="140"/>
      <c r="B14752" s="192"/>
      <c r="C14752" s="140"/>
      <c r="D14752" s="140"/>
      <c r="E14752" s="140"/>
    </row>
    <row r="14753" spans="1:5">
      <c r="A14753" s="140"/>
      <c r="B14753" s="192"/>
      <c r="C14753" s="140"/>
      <c r="D14753" s="140"/>
      <c r="E14753" s="140"/>
    </row>
    <row r="14754" spans="1:5">
      <c r="A14754" s="140"/>
      <c r="B14754" s="192"/>
      <c r="C14754" s="140"/>
      <c r="D14754" s="140"/>
      <c r="E14754" s="140"/>
    </row>
    <row r="14755" spans="1:5">
      <c r="A14755" s="140"/>
      <c r="B14755" s="192"/>
      <c r="C14755" s="140"/>
      <c r="D14755" s="140"/>
      <c r="E14755" s="140"/>
    </row>
    <row r="14756" spans="1:5">
      <c r="A14756" s="140"/>
      <c r="B14756" s="192"/>
      <c r="C14756" s="140"/>
      <c r="D14756" s="140"/>
      <c r="E14756" s="140"/>
    </row>
    <row r="14757" spans="1:5">
      <c r="A14757" s="140"/>
      <c r="B14757" s="192"/>
      <c r="C14757" s="140"/>
      <c r="D14757" s="140"/>
      <c r="E14757" s="140"/>
    </row>
    <row r="14758" spans="1:5">
      <c r="A14758" s="140"/>
      <c r="B14758" s="192"/>
      <c r="C14758" s="140"/>
      <c r="D14758" s="140"/>
      <c r="E14758" s="140"/>
    </row>
    <row r="14759" spans="1:5">
      <c r="A14759" s="140"/>
      <c r="B14759" s="192"/>
      <c r="C14759" s="140"/>
      <c r="D14759" s="140"/>
      <c r="E14759" s="140"/>
    </row>
    <row r="14760" spans="1:5">
      <c r="A14760" s="140"/>
      <c r="B14760" s="192"/>
      <c r="C14760" s="140"/>
      <c r="D14760" s="140"/>
      <c r="E14760" s="140"/>
    </row>
    <row r="14761" spans="1:5">
      <c r="A14761" s="140"/>
      <c r="B14761" s="192"/>
      <c r="C14761" s="140"/>
      <c r="D14761" s="140"/>
      <c r="E14761" s="140"/>
    </row>
    <row r="14762" spans="1:5">
      <c r="A14762" s="140"/>
      <c r="B14762" s="192"/>
      <c r="C14762" s="140"/>
      <c r="D14762" s="140"/>
      <c r="E14762" s="140"/>
    </row>
    <row r="14763" spans="1:5">
      <c r="A14763" s="140"/>
      <c r="B14763" s="192"/>
      <c r="C14763" s="140"/>
      <c r="D14763" s="140"/>
      <c r="E14763" s="140"/>
    </row>
    <row r="14764" spans="1:5">
      <c r="A14764" s="140"/>
      <c r="B14764" s="192"/>
      <c r="C14764" s="140"/>
      <c r="D14764" s="140"/>
      <c r="E14764" s="140"/>
    </row>
    <row r="14765" spans="1:5">
      <c r="A14765" s="140"/>
      <c r="B14765" s="192"/>
      <c r="C14765" s="140"/>
      <c r="D14765" s="140"/>
      <c r="E14765" s="140"/>
    </row>
    <row r="14766" spans="1:5">
      <c r="A14766" s="140"/>
      <c r="B14766" s="192"/>
      <c r="C14766" s="140"/>
      <c r="D14766" s="140"/>
      <c r="E14766" s="140"/>
    </row>
    <row r="14767" spans="1:5">
      <c r="A14767" s="140"/>
      <c r="B14767" s="192"/>
      <c r="C14767" s="140"/>
      <c r="D14767" s="140"/>
      <c r="E14767" s="140"/>
    </row>
    <row r="14768" spans="1:5">
      <c r="A14768" s="140"/>
      <c r="B14768" s="192"/>
      <c r="C14768" s="140"/>
      <c r="D14768" s="140"/>
      <c r="E14768" s="140"/>
    </row>
    <row r="14769" spans="1:5">
      <c r="A14769" s="140"/>
      <c r="B14769" s="192"/>
      <c r="C14769" s="140"/>
      <c r="D14769" s="140"/>
      <c r="E14769" s="140"/>
    </row>
    <row r="14770" spans="1:5">
      <c r="A14770" s="140"/>
      <c r="B14770" s="192"/>
      <c r="C14770" s="140"/>
      <c r="D14770" s="140"/>
      <c r="E14770" s="140"/>
    </row>
    <row r="14771" spans="1:5">
      <c r="A14771" s="140"/>
      <c r="B14771" s="192"/>
      <c r="C14771" s="140"/>
      <c r="D14771" s="140"/>
      <c r="E14771" s="140"/>
    </row>
    <row r="14772" spans="1:5">
      <c r="A14772" s="140"/>
      <c r="B14772" s="192"/>
      <c r="C14772" s="140"/>
      <c r="D14772" s="140"/>
      <c r="E14772" s="140"/>
    </row>
    <row r="14773" spans="1:5">
      <c r="A14773" s="140"/>
      <c r="B14773" s="192"/>
      <c r="C14773" s="140"/>
      <c r="D14773" s="140"/>
      <c r="E14773" s="140"/>
    </row>
    <row r="14774" spans="1:5">
      <c r="A14774" s="140"/>
      <c r="B14774" s="192"/>
      <c r="C14774" s="140"/>
      <c r="D14774" s="140"/>
      <c r="E14774" s="140"/>
    </row>
    <row r="14775" spans="1:5">
      <c r="A14775" s="140"/>
      <c r="B14775" s="192"/>
      <c r="C14775" s="140"/>
      <c r="D14775" s="140"/>
      <c r="E14775" s="140"/>
    </row>
    <row r="14776" spans="1:5">
      <c r="A14776" s="140"/>
      <c r="B14776" s="192"/>
      <c r="C14776" s="140"/>
      <c r="D14776" s="140"/>
      <c r="E14776" s="140"/>
    </row>
    <row r="14777" spans="1:5">
      <c r="A14777" s="140"/>
      <c r="B14777" s="192"/>
      <c r="C14777" s="140"/>
      <c r="D14777" s="140"/>
      <c r="E14777" s="140"/>
    </row>
    <row r="14778" spans="1:5">
      <c r="A14778" s="140"/>
      <c r="B14778" s="192"/>
      <c r="C14778" s="140"/>
      <c r="D14778" s="140"/>
      <c r="E14778" s="140"/>
    </row>
    <row r="14779" spans="1:5">
      <c r="A14779" s="140"/>
      <c r="B14779" s="192"/>
      <c r="C14779" s="140"/>
      <c r="D14779" s="140"/>
      <c r="E14779" s="140"/>
    </row>
    <row r="14780" spans="1:5">
      <c r="A14780" s="140"/>
      <c r="B14780" s="192"/>
      <c r="C14780" s="140"/>
      <c r="D14780" s="140"/>
      <c r="E14780" s="140"/>
    </row>
    <row r="14781" spans="1:5">
      <c r="A14781" s="140"/>
      <c r="B14781" s="192"/>
      <c r="C14781" s="140"/>
      <c r="D14781" s="140"/>
      <c r="E14781" s="140"/>
    </row>
    <row r="14782" spans="1:5">
      <c r="A14782" s="140"/>
      <c r="B14782" s="192"/>
      <c r="C14782" s="140"/>
      <c r="D14782" s="140"/>
      <c r="E14782" s="140"/>
    </row>
    <row r="14783" spans="1:5">
      <c r="A14783" s="140"/>
      <c r="B14783" s="192"/>
      <c r="C14783" s="140"/>
      <c r="D14783" s="140"/>
      <c r="E14783" s="140"/>
    </row>
    <row r="14784" spans="1:5">
      <c r="A14784" s="140"/>
      <c r="B14784" s="192"/>
      <c r="C14784" s="140"/>
      <c r="D14784" s="140"/>
      <c r="E14784" s="140"/>
    </row>
    <row r="14785" spans="1:5">
      <c r="A14785" s="140"/>
      <c r="B14785" s="192"/>
      <c r="C14785" s="140"/>
      <c r="D14785" s="140"/>
      <c r="E14785" s="140"/>
    </row>
    <row r="14786" spans="1:5">
      <c r="A14786" s="140"/>
      <c r="B14786" s="192"/>
      <c r="C14786" s="140"/>
      <c r="D14786" s="140"/>
      <c r="E14786" s="140"/>
    </row>
    <row r="14787" spans="1:5">
      <c r="A14787" s="140"/>
      <c r="B14787" s="192"/>
      <c r="C14787" s="140"/>
      <c r="D14787" s="140"/>
      <c r="E14787" s="140"/>
    </row>
    <row r="14788" spans="1:5">
      <c r="A14788" s="140"/>
      <c r="B14788" s="192"/>
      <c r="C14788" s="140"/>
      <c r="D14788" s="140"/>
      <c r="E14788" s="140"/>
    </row>
    <row r="14789" spans="1:5">
      <c r="A14789" s="140"/>
      <c r="B14789" s="192"/>
      <c r="C14789" s="140"/>
      <c r="D14789" s="140"/>
      <c r="E14789" s="140"/>
    </row>
    <row r="14790" spans="1:5">
      <c r="A14790" s="140"/>
      <c r="B14790" s="192"/>
      <c r="C14790" s="140"/>
      <c r="D14790" s="140"/>
      <c r="E14790" s="140"/>
    </row>
    <row r="14791" spans="1:5">
      <c r="A14791" s="140"/>
      <c r="B14791" s="192"/>
      <c r="C14791" s="140"/>
      <c r="D14791" s="140"/>
      <c r="E14791" s="140"/>
    </row>
    <row r="14792" spans="1:5">
      <c r="A14792" s="140"/>
      <c r="B14792" s="192"/>
      <c r="C14792" s="140"/>
      <c r="D14792" s="140"/>
      <c r="E14792" s="140"/>
    </row>
    <row r="14793" spans="1:5">
      <c r="A14793" s="140"/>
      <c r="B14793" s="192"/>
      <c r="C14793" s="140"/>
      <c r="D14793" s="140"/>
      <c r="E14793" s="140"/>
    </row>
    <row r="14794" spans="1:5">
      <c r="A14794" s="140"/>
      <c r="B14794" s="192"/>
      <c r="C14794" s="140"/>
      <c r="D14794" s="140"/>
      <c r="E14794" s="140"/>
    </row>
    <row r="14795" spans="1:5">
      <c r="A14795" s="140"/>
      <c r="B14795" s="192"/>
      <c r="C14795" s="140"/>
      <c r="D14795" s="140"/>
      <c r="E14795" s="140"/>
    </row>
    <row r="14796" spans="1:5">
      <c r="A14796" s="140"/>
      <c r="B14796" s="192"/>
      <c r="C14796" s="140"/>
      <c r="D14796" s="140"/>
      <c r="E14796" s="140"/>
    </row>
    <row r="14797" spans="1:5">
      <c r="A14797" s="140"/>
      <c r="B14797" s="192"/>
      <c r="C14797" s="140"/>
      <c r="D14797" s="140"/>
      <c r="E14797" s="140"/>
    </row>
    <row r="14798" spans="1:5">
      <c r="A14798" s="140"/>
      <c r="B14798" s="192"/>
      <c r="C14798" s="140"/>
      <c r="D14798" s="140"/>
      <c r="E14798" s="140"/>
    </row>
    <row r="14799" spans="1:5">
      <c r="A14799" s="140"/>
      <c r="B14799" s="192"/>
      <c r="C14799" s="140"/>
      <c r="D14799" s="140"/>
      <c r="E14799" s="140"/>
    </row>
    <row r="14800" spans="1:5">
      <c r="A14800" s="140"/>
      <c r="B14800" s="192"/>
      <c r="C14800" s="140"/>
      <c r="D14800" s="140"/>
      <c r="E14800" s="140"/>
    </row>
    <row r="14801" spans="1:5">
      <c r="A14801" s="140"/>
      <c r="B14801" s="192"/>
      <c r="C14801" s="140"/>
      <c r="D14801" s="140"/>
      <c r="E14801" s="140"/>
    </row>
    <row r="14802" spans="1:5">
      <c r="A14802" s="140"/>
      <c r="B14802" s="192"/>
      <c r="C14802" s="140"/>
      <c r="D14802" s="140"/>
      <c r="E14802" s="140"/>
    </row>
    <row r="14803" spans="1:5">
      <c r="A14803" s="140"/>
      <c r="B14803" s="192"/>
      <c r="C14803" s="140"/>
      <c r="D14803" s="140"/>
      <c r="E14803" s="140"/>
    </row>
    <row r="14804" spans="1:5">
      <c r="A14804" s="140"/>
      <c r="B14804" s="192"/>
      <c r="C14804" s="140"/>
      <c r="D14804" s="140"/>
      <c r="E14804" s="140"/>
    </row>
    <row r="14805" spans="1:5">
      <c r="A14805" s="140"/>
      <c r="B14805" s="192"/>
      <c r="C14805" s="140"/>
      <c r="D14805" s="140"/>
      <c r="E14805" s="140"/>
    </row>
    <row r="14806" spans="1:5">
      <c r="A14806" s="140"/>
      <c r="B14806" s="192"/>
      <c r="C14806" s="140"/>
      <c r="D14806" s="140"/>
      <c r="E14806" s="140"/>
    </row>
    <row r="14807" spans="1:5">
      <c r="A14807" s="140"/>
      <c r="B14807" s="192"/>
      <c r="C14807" s="140"/>
      <c r="D14807" s="140"/>
      <c r="E14807" s="140"/>
    </row>
    <row r="14808" spans="1:5">
      <c r="A14808" s="140"/>
      <c r="B14808" s="192"/>
      <c r="C14808" s="140"/>
      <c r="D14808" s="140"/>
      <c r="E14808" s="140"/>
    </row>
    <row r="14809" spans="1:5">
      <c r="A14809" s="140"/>
      <c r="B14809" s="192"/>
      <c r="C14809" s="140"/>
      <c r="D14809" s="140"/>
      <c r="E14809" s="140"/>
    </row>
    <row r="14810" spans="1:5">
      <c r="A14810" s="140"/>
      <c r="B14810" s="192"/>
      <c r="C14810" s="140"/>
      <c r="D14810" s="140"/>
      <c r="E14810" s="140"/>
    </row>
    <row r="14811" spans="1:5">
      <c r="A14811" s="140"/>
      <c r="B14811" s="192"/>
      <c r="C14811" s="140"/>
      <c r="D14811" s="140"/>
      <c r="E14811" s="140"/>
    </row>
    <row r="14812" spans="1:5">
      <c r="A14812" s="140"/>
      <c r="B14812" s="192"/>
      <c r="C14812" s="140"/>
      <c r="D14812" s="140"/>
      <c r="E14812" s="140"/>
    </row>
    <row r="14813" spans="1:5">
      <c r="A14813" s="140"/>
      <c r="B14813" s="192"/>
      <c r="C14813" s="140"/>
      <c r="D14813" s="140"/>
      <c r="E14813" s="140"/>
    </row>
    <row r="14814" spans="1:5">
      <c r="A14814" s="140"/>
      <c r="B14814" s="192"/>
      <c r="C14814" s="140"/>
      <c r="D14814" s="140"/>
      <c r="E14814" s="140"/>
    </row>
    <row r="14815" spans="1:5">
      <c r="A14815" s="140"/>
      <c r="B14815" s="192"/>
      <c r="C14815" s="140"/>
      <c r="D14815" s="140"/>
      <c r="E14815" s="140"/>
    </row>
    <row r="14816" spans="1:5">
      <c r="A14816" s="140"/>
      <c r="B14816" s="192"/>
      <c r="C14816" s="140"/>
      <c r="D14816" s="140"/>
      <c r="E14816" s="140"/>
    </row>
    <row r="14817" spans="1:5">
      <c r="A14817" s="140"/>
      <c r="B14817" s="192"/>
      <c r="C14817" s="140"/>
      <c r="D14817" s="140"/>
      <c r="E14817" s="140"/>
    </row>
    <row r="14818" spans="1:5">
      <c r="A14818" s="140"/>
      <c r="B14818" s="192"/>
      <c r="C14818" s="140"/>
      <c r="D14818" s="140"/>
      <c r="E14818" s="140"/>
    </row>
    <row r="14819" spans="1:5">
      <c r="A14819" s="140"/>
      <c r="B14819" s="192"/>
      <c r="C14819" s="140"/>
      <c r="D14819" s="140"/>
      <c r="E14819" s="140"/>
    </row>
    <row r="14820" spans="1:5">
      <c r="A14820" s="140"/>
      <c r="B14820" s="192"/>
      <c r="C14820" s="140"/>
      <c r="D14820" s="140"/>
      <c r="E14820" s="140"/>
    </row>
    <row r="14821" spans="1:5">
      <c r="A14821" s="140"/>
      <c r="B14821" s="192"/>
      <c r="C14821" s="140"/>
      <c r="D14821" s="140"/>
      <c r="E14821" s="140"/>
    </row>
    <row r="14822" spans="1:5">
      <c r="A14822" s="140"/>
      <c r="B14822" s="192"/>
      <c r="C14822" s="140"/>
      <c r="D14822" s="140"/>
      <c r="E14822" s="140"/>
    </row>
    <row r="14823" spans="1:5">
      <c r="A14823" s="140"/>
      <c r="B14823" s="192"/>
      <c r="C14823" s="140"/>
      <c r="D14823" s="140"/>
      <c r="E14823" s="140"/>
    </row>
    <row r="14824" spans="1:5">
      <c r="A14824" s="140"/>
      <c r="B14824" s="192"/>
      <c r="C14824" s="140"/>
      <c r="D14824" s="140"/>
      <c r="E14824" s="140"/>
    </row>
    <row r="14825" spans="1:5">
      <c r="A14825" s="140"/>
      <c r="B14825" s="192"/>
      <c r="C14825" s="140"/>
      <c r="D14825" s="140"/>
      <c r="E14825" s="140"/>
    </row>
    <row r="14826" spans="1:5">
      <c r="A14826" s="140"/>
      <c r="B14826" s="192"/>
      <c r="C14826" s="140"/>
      <c r="D14826" s="140"/>
      <c r="E14826" s="140"/>
    </row>
    <row r="14827" spans="1:5">
      <c r="A14827" s="140"/>
      <c r="B14827" s="192"/>
      <c r="C14827" s="140"/>
      <c r="D14827" s="140"/>
      <c r="E14827" s="140"/>
    </row>
    <row r="14828" spans="1:5">
      <c r="A14828" s="140"/>
      <c r="B14828" s="192"/>
      <c r="C14828" s="140"/>
      <c r="D14828" s="140"/>
      <c r="E14828" s="140"/>
    </row>
    <row r="14829" spans="1:5">
      <c r="A14829" s="140"/>
      <c r="B14829" s="192"/>
      <c r="C14829" s="140"/>
      <c r="D14829" s="140"/>
      <c r="E14829" s="140"/>
    </row>
    <row r="14830" spans="1:5">
      <c r="A14830" s="140"/>
      <c r="B14830" s="192"/>
      <c r="C14830" s="140"/>
      <c r="D14830" s="140"/>
      <c r="E14830" s="140"/>
    </row>
    <row r="14831" spans="1:5">
      <c r="A14831" s="140"/>
      <c r="B14831" s="192"/>
      <c r="C14831" s="140"/>
      <c r="D14831" s="140"/>
      <c r="E14831" s="140"/>
    </row>
    <row r="14832" spans="1:5">
      <c r="A14832" s="140"/>
      <c r="B14832" s="192"/>
      <c r="C14832" s="140"/>
      <c r="D14832" s="140"/>
      <c r="E14832" s="140"/>
    </row>
    <row r="14833" spans="1:5">
      <c r="A14833" s="140"/>
      <c r="B14833" s="192"/>
      <c r="C14833" s="140"/>
      <c r="D14833" s="140"/>
      <c r="E14833" s="140"/>
    </row>
    <row r="14834" spans="1:5">
      <c r="A14834" s="140"/>
      <c r="B14834" s="192"/>
      <c r="C14834" s="140"/>
      <c r="D14834" s="140"/>
      <c r="E14834" s="140"/>
    </row>
    <row r="14835" spans="1:5">
      <c r="A14835" s="140"/>
      <c r="B14835" s="192"/>
      <c r="C14835" s="140"/>
      <c r="D14835" s="140"/>
      <c r="E14835" s="140"/>
    </row>
    <row r="14836" spans="1:5">
      <c r="A14836" s="140"/>
      <c r="B14836" s="192"/>
      <c r="C14836" s="140"/>
      <c r="D14836" s="140"/>
      <c r="E14836" s="140"/>
    </row>
    <row r="14837" spans="1:5">
      <c r="A14837" s="140"/>
      <c r="B14837" s="192"/>
      <c r="C14837" s="140"/>
      <c r="D14837" s="140"/>
      <c r="E14837" s="140"/>
    </row>
    <row r="14838" spans="1:5">
      <c r="A14838" s="140"/>
      <c r="B14838" s="192"/>
      <c r="C14838" s="140"/>
      <c r="D14838" s="140"/>
      <c r="E14838" s="140"/>
    </row>
    <row r="14839" spans="1:5">
      <c r="A14839" s="140"/>
      <c r="B14839" s="192"/>
      <c r="C14839" s="140"/>
      <c r="D14839" s="140"/>
      <c r="E14839" s="140"/>
    </row>
    <row r="14840" spans="1:5">
      <c r="A14840" s="140"/>
      <c r="B14840" s="192"/>
      <c r="C14840" s="140"/>
      <c r="D14840" s="140"/>
      <c r="E14840" s="140"/>
    </row>
    <row r="14841" spans="1:5">
      <c r="A14841" s="140"/>
      <c r="B14841" s="192"/>
      <c r="C14841" s="140"/>
      <c r="D14841" s="140"/>
      <c r="E14841" s="140"/>
    </row>
    <row r="14842" spans="1:5">
      <c r="A14842" s="140"/>
      <c r="B14842" s="192"/>
      <c r="C14842" s="140"/>
      <c r="D14842" s="140"/>
      <c r="E14842" s="140"/>
    </row>
    <row r="14843" spans="1:5">
      <c r="A14843" s="140"/>
      <c r="B14843" s="192"/>
      <c r="C14843" s="140"/>
      <c r="D14843" s="140"/>
      <c r="E14843" s="140"/>
    </row>
    <row r="14844" spans="1:5">
      <c r="A14844" s="140"/>
      <c r="B14844" s="192"/>
      <c r="C14844" s="140"/>
      <c r="D14844" s="140"/>
      <c r="E14844" s="140"/>
    </row>
    <row r="14845" spans="1:5">
      <c r="A14845" s="140"/>
      <c r="B14845" s="192"/>
      <c r="C14845" s="140"/>
      <c r="D14845" s="140"/>
      <c r="E14845" s="140"/>
    </row>
    <row r="14846" spans="1:5">
      <c r="A14846" s="140"/>
      <c r="B14846" s="192"/>
      <c r="C14846" s="140"/>
      <c r="D14846" s="140"/>
      <c r="E14846" s="140"/>
    </row>
    <row r="14847" spans="1:5">
      <c r="A14847" s="140"/>
      <c r="B14847" s="192"/>
      <c r="C14847" s="140"/>
      <c r="D14847" s="140"/>
      <c r="E14847" s="140"/>
    </row>
    <row r="14848" spans="1:5">
      <c r="A14848" s="140"/>
      <c r="B14848" s="192"/>
      <c r="C14848" s="140"/>
      <c r="D14848" s="140"/>
      <c r="E14848" s="140"/>
    </row>
    <row r="14849" spans="1:5">
      <c r="A14849" s="140"/>
      <c r="B14849" s="192"/>
      <c r="C14849" s="140"/>
      <c r="D14849" s="140"/>
      <c r="E14849" s="140"/>
    </row>
    <row r="14850" spans="1:5">
      <c r="A14850" s="140"/>
      <c r="B14850" s="192"/>
      <c r="C14850" s="140"/>
      <c r="D14850" s="140"/>
      <c r="E14850" s="140"/>
    </row>
    <row r="14851" spans="1:5">
      <c r="A14851" s="140"/>
      <c r="B14851" s="192"/>
      <c r="C14851" s="140"/>
      <c r="D14851" s="140"/>
      <c r="E14851" s="140"/>
    </row>
    <row r="14852" spans="1:5">
      <c r="A14852" s="140"/>
      <c r="B14852" s="192"/>
      <c r="C14852" s="140"/>
      <c r="D14852" s="140"/>
      <c r="E14852" s="140"/>
    </row>
    <row r="14853" spans="1:5">
      <c r="A14853" s="140"/>
      <c r="B14853" s="192"/>
      <c r="C14853" s="140"/>
      <c r="D14853" s="140"/>
      <c r="E14853" s="140"/>
    </row>
    <row r="14854" spans="1:5">
      <c r="A14854" s="140"/>
      <c r="B14854" s="192"/>
      <c r="C14854" s="140"/>
      <c r="D14854" s="140"/>
      <c r="E14854" s="140"/>
    </row>
    <row r="14855" spans="1:5">
      <c r="A14855" s="140"/>
      <c r="B14855" s="192"/>
      <c r="C14855" s="140"/>
      <c r="D14855" s="140"/>
      <c r="E14855" s="140"/>
    </row>
    <row r="14856" spans="1:5">
      <c r="A14856" s="140"/>
      <c r="B14856" s="192"/>
      <c r="C14856" s="140"/>
      <c r="D14856" s="140"/>
      <c r="E14856" s="140"/>
    </row>
    <row r="14857" spans="1:5">
      <c r="A14857" s="140"/>
      <c r="B14857" s="192"/>
      <c r="C14857" s="140"/>
      <c r="D14857" s="140"/>
      <c r="E14857" s="140"/>
    </row>
    <row r="14858" spans="1:5">
      <c r="A14858" s="140"/>
      <c r="B14858" s="192"/>
      <c r="C14858" s="140"/>
      <c r="D14858" s="140"/>
      <c r="E14858" s="140"/>
    </row>
    <row r="14859" spans="1:5">
      <c r="A14859" s="140"/>
      <c r="B14859" s="192"/>
      <c r="C14859" s="140"/>
      <c r="D14859" s="140"/>
      <c r="E14859" s="140"/>
    </row>
    <row r="14860" spans="1:5">
      <c r="A14860" s="140"/>
      <c r="B14860" s="192"/>
      <c r="C14860" s="140"/>
      <c r="D14860" s="140"/>
      <c r="E14860" s="140"/>
    </row>
    <row r="14861" spans="1:5">
      <c r="A14861" s="140"/>
      <c r="B14861" s="192"/>
      <c r="C14861" s="140"/>
      <c r="D14861" s="140"/>
      <c r="E14861" s="140"/>
    </row>
    <row r="14862" spans="1:5">
      <c r="A14862" s="140"/>
      <c r="B14862" s="192"/>
      <c r="C14862" s="140"/>
      <c r="D14862" s="140"/>
      <c r="E14862" s="140"/>
    </row>
    <row r="14863" spans="1:5">
      <c r="A14863" s="140"/>
      <c r="B14863" s="192"/>
      <c r="C14863" s="140"/>
      <c r="D14863" s="140"/>
      <c r="E14863" s="140"/>
    </row>
    <row r="14864" spans="1:5">
      <c r="A14864" s="140"/>
      <c r="B14864" s="192"/>
      <c r="C14864" s="140"/>
      <c r="D14864" s="140"/>
      <c r="E14864" s="140"/>
    </row>
    <row r="14865" spans="1:5">
      <c r="A14865" s="140"/>
      <c r="B14865" s="192"/>
      <c r="C14865" s="140"/>
      <c r="D14865" s="140"/>
      <c r="E14865" s="140"/>
    </row>
    <row r="14866" spans="1:5">
      <c r="A14866" s="140"/>
      <c r="B14866" s="192"/>
      <c r="C14866" s="140"/>
      <c r="D14866" s="140"/>
      <c r="E14866" s="140"/>
    </row>
    <row r="14867" spans="1:5">
      <c r="A14867" s="140"/>
      <c r="B14867" s="192"/>
      <c r="C14867" s="140"/>
      <c r="D14867" s="140"/>
      <c r="E14867" s="140"/>
    </row>
    <row r="14868" spans="1:5">
      <c r="A14868" s="140"/>
      <c r="B14868" s="192"/>
      <c r="C14868" s="140"/>
      <c r="D14868" s="140"/>
      <c r="E14868" s="140"/>
    </row>
    <row r="14869" spans="1:5">
      <c r="A14869" s="140"/>
      <c r="B14869" s="192"/>
      <c r="C14869" s="140"/>
      <c r="D14869" s="140"/>
      <c r="E14869" s="140"/>
    </row>
    <row r="14870" spans="1:5">
      <c r="A14870" s="140"/>
      <c r="B14870" s="192"/>
      <c r="C14870" s="140"/>
      <c r="D14870" s="140"/>
      <c r="E14870" s="140"/>
    </row>
    <row r="14871" spans="1:5">
      <c r="A14871" s="140"/>
      <c r="B14871" s="192"/>
      <c r="C14871" s="140"/>
      <c r="D14871" s="140"/>
      <c r="E14871" s="140"/>
    </row>
    <row r="14872" spans="1:5">
      <c r="A14872" s="140"/>
      <c r="B14872" s="192"/>
      <c r="C14872" s="140"/>
      <c r="D14872" s="140"/>
      <c r="E14872" s="140"/>
    </row>
    <row r="14873" spans="1:5">
      <c r="A14873" s="140"/>
      <c r="B14873" s="192"/>
      <c r="C14873" s="140"/>
      <c r="D14873" s="140"/>
      <c r="E14873" s="140"/>
    </row>
    <row r="14874" spans="1:5">
      <c r="A14874" s="140"/>
      <c r="B14874" s="192"/>
      <c r="C14874" s="140"/>
      <c r="D14874" s="140"/>
      <c r="E14874" s="140"/>
    </row>
    <row r="14875" spans="1:5">
      <c r="A14875" s="140"/>
      <c r="B14875" s="192"/>
      <c r="C14875" s="140"/>
      <c r="D14875" s="140"/>
      <c r="E14875" s="140"/>
    </row>
    <row r="14876" spans="1:5">
      <c r="A14876" s="140"/>
      <c r="B14876" s="192"/>
      <c r="C14876" s="140"/>
      <c r="D14876" s="140"/>
      <c r="E14876" s="140"/>
    </row>
    <row r="14877" spans="1:5">
      <c r="A14877" s="140"/>
      <c r="B14877" s="192"/>
      <c r="C14877" s="140"/>
      <c r="D14877" s="140"/>
      <c r="E14877" s="140"/>
    </row>
    <row r="14878" spans="1:5">
      <c r="A14878" s="140"/>
      <c r="B14878" s="192"/>
      <c r="C14878" s="140"/>
      <c r="D14878" s="140"/>
      <c r="E14878" s="140"/>
    </row>
    <row r="14879" spans="1:5">
      <c r="A14879" s="140"/>
      <c r="B14879" s="192"/>
      <c r="C14879" s="140"/>
      <c r="D14879" s="140"/>
      <c r="E14879" s="140"/>
    </row>
    <row r="14880" spans="1:5">
      <c r="A14880" s="140"/>
      <c r="B14880" s="192"/>
      <c r="C14880" s="140"/>
      <c r="D14880" s="140"/>
      <c r="E14880" s="140"/>
    </row>
    <row r="14881" spans="1:5">
      <c r="A14881" s="140"/>
      <c r="B14881" s="192"/>
      <c r="C14881" s="140"/>
      <c r="D14881" s="140"/>
      <c r="E14881" s="140"/>
    </row>
    <row r="14882" spans="1:5">
      <c r="A14882" s="140"/>
      <c r="B14882" s="192"/>
      <c r="C14882" s="140"/>
      <c r="D14882" s="140"/>
      <c r="E14882" s="140"/>
    </row>
    <row r="14883" spans="1:5">
      <c r="A14883" s="140"/>
      <c r="B14883" s="192"/>
      <c r="C14883" s="140"/>
      <c r="D14883" s="140"/>
      <c r="E14883" s="140"/>
    </row>
    <row r="14884" spans="1:5">
      <c r="A14884" s="140"/>
      <c r="B14884" s="192"/>
      <c r="C14884" s="140"/>
      <c r="D14884" s="140"/>
      <c r="E14884" s="140"/>
    </row>
    <row r="14885" spans="1:5">
      <c r="A14885" s="140"/>
      <c r="B14885" s="192"/>
      <c r="C14885" s="140"/>
      <c r="D14885" s="140"/>
      <c r="E14885" s="140"/>
    </row>
    <row r="14886" spans="1:5">
      <c r="A14886" s="140"/>
      <c r="B14886" s="192"/>
      <c r="C14886" s="140"/>
      <c r="D14886" s="140"/>
      <c r="E14886" s="140"/>
    </row>
    <row r="14887" spans="1:5">
      <c r="A14887" s="140"/>
      <c r="B14887" s="192"/>
      <c r="C14887" s="140"/>
      <c r="D14887" s="140"/>
      <c r="E14887" s="140"/>
    </row>
    <row r="14888" spans="1:5">
      <c r="A14888" s="140"/>
      <c r="B14888" s="192"/>
      <c r="C14888" s="140"/>
      <c r="D14888" s="140"/>
      <c r="E14888" s="140"/>
    </row>
    <row r="14889" spans="1:5">
      <c r="A14889" s="140"/>
      <c r="B14889" s="192"/>
      <c r="C14889" s="140"/>
      <c r="D14889" s="140"/>
      <c r="E14889" s="140"/>
    </row>
    <row r="14890" spans="1:5">
      <c r="A14890" s="140"/>
      <c r="B14890" s="192"/>
      <c r="C14890" s="140"/>
      <c r="D14890" s="140"/>
      <c r="E14890" s="140"/>
    </row>
    <row r="14891" spans="1:5">
      <c r="A14891" s="140"/>
      <c r="B14891" s="192"/>
      <c r="C14891" s="140"/>
      <c r="D14891" s="140"/>
      <c r="E14891" s="140"/>
    </row>
    <row r="14892" spans="1:5">
      <c r="A14892" s="140"/>
      <c r="B14892" s="192"/>
      <c r="C14892" s="140"/>
      <c r="D14892" s="140"/>
      <c r="E14892" s="140"/>
    </row>
    <row r="14893" spans="1:5">
      <c r="A14893" s="140"/>
      <c r="B14893" s="192"/>
      <c r="C14893" s="140"/>
      <c r="D14893" s="140"/>
      <c r="E14893" s="140"/>
    </row>
    <row r="14894" spans="1:5">
      <c r="A14894" s="140"/>
      <c r="B14894" s="192"/>
      <c r="C14894" s="140"/>
      <c r="D14894" s="140"/>
      <c r="E14894" s="140"/>
    </row>
    <row r="14895" spans="1:5">
      <c r="A14895" s="140"/>
      <c r="B14895" s="192"/>
      <c r="C14895" s="140"/>
      <c r="D14895" s="140"/>
      <c r="E14895" s="140"/>
    </row>
    <row r="14896" spans="1:5">
      <c r="A14896" s="140"/>
      <c r="B14896" s="192"/>
      <c r="C14896" s="140"/>
      <c r="D14896" s="140"/>
      <c r="E14896" s="140"/>
    </row>
    <row r="14897" spans="1:5">
      <c r="A14897" s="140"/>
      <c r="B14897" s="192"/>
      <c r="C14897" s="140"/>
      <c r="D14897" s="140"/>
      <c r="E14897" s="140"/>
    </row>
    <row r="14898" spans="1:5">
      <c r="A14898" s="140"/>
      <c r="B14898" s="192"/>
      <c r="C14898" s="140"/>
      <c r="D14898" s="140"/>
      <c r="E14898" s="140"/>
    </row>
    <row r="14899" spans="1:5">
      <c r="A14899" s="140"/>
      <c r="B14899" s="192"/>
      <c r="C14899" s="140"/>
      <c r="D14899" s="140"/>
      <c r="E14899" s="140"/>
    </row>
    <row r="14900" spans="1:5">
      <c r="A14900" s="140"/>
      <c r="B14900" s="192"/>
      <c r="C14900" s="140"/>
      <c r="D14900" s="140"/>
      <c r="E14900" s="140"/>
    </row>
    <row r="14901" spans="1:5">
      <c r="A14901" s="140"/>
      <c r="B14901" s="192"/>
      <c r="C14901" s="140"/>
      <c r="D14901" s="140"/>
      <c r="E14901" s="140"/>
    </row>
    <row r="14902" spans="1:5">
      <c r="A14902" s="140"/>
      <c r="B14902" s="192"/>
      <c r="C14902" s="140"/>
      <c r="D14902" s="140"/>
      <c r="E14902" s="140"/>
    </row>
    <row r="14903" spans="1:5">
      <c r="A14903" s="140"/>
      <c r="B14903" s="192"/>
      <c r="C14903" s="140"/>
      <c r="D14903" s="140"/>
      <c r="E14903" s="140"/>
    </row>
    <row r="14904" spans="1:5">
      <c r="A14904" s="140"/>
      <c r="B14904" s="192"/>
      <c r="C14904" s="140"/>
      <c r="D14904" s="140"/>
      <c r="E14904" s="140"/>
    </row>
    <row r="14905" spans="1:5">
      <c r="A14905" s="140"/>
      <c r="B14905" s="192"/>
      <c r="C14905" s="140"/>
      <c r="D14905" s="140"/>
      <c r="E14905" s="140"/>
    </row>
    <row r="14906" spans="1:5">
      <c r="A14906" s="140"/>
      <c r="B14906" s="192"/>
      <c r="C14906" s="140"/>
      <c r="D14906" s="140"/>
      <c r="E14906" s="140"/>
    </row>
    <row r="14907" spans="1:5">
      <c r="A14907" s="140"/>
      <c r="B14907" s="192"/>
      <c r="C14907" s="140"/>
      <c r="D14907" s="140"/>
      <c r="E14907" s="140"/>
    </row>
    <row r="14908" spans="1:5">
      <c r="A14908" s="140"/>
      <c r="B14908" s="192"/>
      <c r="C14908" s="140"/>
      <c r="D14908" s="140"/>
      <c r="E14908" s="140"/>
    </row>
    <row r="14909" spans="1:5">
      <c r="A14909" s="140"/>
      <c r="B14909" s="192"/>
      <c r="C14909" s="140"/>
      <c r="D14909" s="140"/>
      <c r="E14909" s="140"/>
    </row>
    <row r="14910" spans="1:5">
      <c r="A14910" s="140"/>
      <c r="B14910" s="192"/>
      <c r="C14910" s="140"/>
      <c r="D14910" s="140"/>
      <c r="E14910" s="140"/>
    </row>
    <row r="14911" spans="1:5">
      <c r="A14911" s="140"/>
      <c r="B14911" s="192"/>
      <c r="C14911" s="140"/>
      <c r="D14911" s="140"/>
      <c r="E14911" s="140"/>
    </row>
    <row r="14912" spans="1:5">
      <c r="A14912" s="140"/>
      <c r="B14912" s="192"/>
      <c r="C14912" s="140"/>
      <c r="D14912" s="140"/>
      <c r="E14912" s="140"/>
    </row>
    <row r="14913" spans="1:5">
      <c r="A14913" s="140"/>
      <c r="B14913" s="192"/>
      <c r="C14913" s="140"/>
      <c r="D14913" s="140"/>
      <c r="E14913" s="140"/>
    </row>
    <row r="14914" spans="1:5">
      <c r="A14914" s="140"/>
      <c r="B14914" s="192"/>
      <c r="C14914" s="140"/>
      <c r="D14914" s="140"/>
      <c r="E14914" s="140"/>
    </row>
    <row r="14915" spans="1:5">
      <c r="A14915" s="140"/>
      <c r="B14915" s="192"/>
      <c r="C14915" s="140"/>
      <c r="D14915" s="140"/>
      <c r="E14915" s="140"/>
    </row>
    <row r="14916" spans="1:5">
      <c r="A14916" s="140"/>
      <c r="B14916" s="192"/>
      <c r="C14916" s="140"/>
      <c r="D14916" s="140"/>
      <c r="E14916" s="140"/>
    </row>
    <row r="14917" spans="1:5">
      <c r="A14917" s="140"/>
      <c r="B14917" s="192"/>
      <c r="C14917" s="140"/>
      <c r="D14917" s="140"/>
      <c r="E14917" s="140"/>
    </row>
    <row r="14918" spans="1:5">
      <c r="A14918" s="140"/>
      <c r="B14918" s="192"/>
      <c r="C14918" s="140"/>
      <c r="D14918" s="140"/>
      <c r="E14918" s="140"/>
    </row>
    <row r="14919" spans="1:5">
      <c r="A14919" s="140"/>
      <c r="B14919" s="192"/>
      <c r="C14919" s="140"/>
      <c r="D14919" s="140"/>
      <c r="E14919" s="140"/>
    </row>
    <row r="14920" spans="1:5">
      <c r="A14920" s="140"/>
      <c r="B14920" s="192"/>
      <c r="C14920" s="140"/>
      <c r="D14920" s="140"/>
      <c r="E14920" s="140"/>
    </row>
    <row r="14921" spans="1:5">
      <c r="A14921" s="140"/>
      <c r="B14921" s="192"/>
      <c r="C14921" s="140"/>
      <c r="D14921" s="140"/>
      <c r="E14921" s="140"/>
    </row>
    <row r="14922" spans="1:5">
      <c r="A14922" s="140"/>
      <c r="B14922" s="192"/>
      <c r="C14922" s="140"/>
      <c r="D14922" s="140"/>
      <c r="E14922" s="140"/>
    </row>
    <row r="14923" spans="1:5">
      <c r="A14923" s="140"/>
      <c r="B14923" s="192"/>
      <c r="C14923" s="140"/>
      <c r="D14923" s="140"/>
      <c r="E14923" s="140"/>
    </row>
    <row r="14924" spans="1:5">
      <c r="A14924" s="140"/>
      <c r="B14924" s="192"/>
      <c r="C14924" s="140"/>
      <c r="D14924" s="140"/>
      <c r="E14924" s="140"/>
    </row>
    <row r="14925" spans="1:5">
      <c r="A14925" s="140"/>
      <c r="B14925" s="192"/>
      <c r="C14925" s="140"/>
      <c r="D14925" s="140"/>
      <c r="E14925" s="140"/>
    </row>
    <row r="14926" spans="1:5">
      <c r="A14926" s="140"/>
      <c r="B14926" s="192"/>
      <c r="C14926" s="140"/>
      <c r="D14926" s="140"/>
      <c r="E14926" s="140"/>
    </row>
    <row r="14927" spans="1:5">
      <c r="A14927" s="140"/>
      <c r="B14927" s="192"/>
      <c r="C14927" s="140"/>
      <c r="D14927" s="140"/>
      <c r="E14927" s="140"/>
    </row>
    <row r="14928" spans="1:5">
      <c r="A14928" s="140"/>
      <c r="B14928" s="192"/>
      <c r="C14928" s="140"/>
      <c r="D14928" s="140"/>
      <c r="E14928" s="140"/>
    </row>
    <row r="14929" spans="1:5">
      <c r="A14929" s="140"/>
      <c r="B14929" s="192"/>
      <c r="C14929" s="140"/>
      <c r="D14929" s="140"/>
      <c r="E14929" s="140"/>
    </row>
    <row r="14930" spans="1:5">
      <c r="A14930" s="140"/>
      <c r="B14930" s="192"/>
      <c r="C14930" s="140"/>
      <c r="D14930" s="140"/>
      <c r="E14930" s="140"/>
    </row>
    <row r="14931" spans="1:5">
      <c r="A14931" s="140"/>
      <c r="B14931" s="192"/>
      <c r="C14931" s="140"/>
      <c r="D14931" s="140"/>
      <c r="E14931" s="140"/>
    </row>
    <row r="14932" spans="1:5">
      <c r="A14932" s="140"/>
      <c r="B14932" s="192"/>
      <c r="C14932" s="140"/>
      <c r="D14932" s="140"/>
      <c r="E14932" s="140"/>
    </row>
    <row r="14933" spans="1:5">
      <c r="A14933" s="140"/>
      <c r="B14933" s="192"/>
      <c r="C14933" s="140"/>
      <c r="D14933" s="140"/>
      <c r="E14933" s="140"/>
    </row>
    <row r="14934" spans="1:5">
      <c r="A14934" s="140"/>
      <c r="B14934" s="192"/>
      <c r="C14934" s="140"/>
      <c r="D14934" s="140"/>
      <c r="E14934" s="140"/>
    </row>
    <row r="14935" spans="1:5">
      <c r="A14935" s="140"/>
      <c r="B14935" s="192"/>
      <c r="C14935" s="140"/>
      <c r="D14935" s="140"/>
      <c r="E14935" s="140"/>
    </row>
    <row r="14936" spans="1:5">
      <c r="A14936" s="140"/>
      <c r="B14936" s="192"/>
      <c r="C14936" s="140"/>
      <c r="D14936" s="140"/>
      <c r="E14936" s="140"/>
    </row>
    <row r="14937" spans="1:5">
      <c r="A14937" s="140"/>
      <c r="B14937" s="192"/>
      <c r="C14937" s="140"/>
      <c r="D14937" s="140"/>
      <c r="E14937" s="140"/>
    </row>
    <row r="14938" spans="1:5">
      <c r="A14938" s="140"/>
      <c r="B14938" s="192"/>
      <c r="C14938" s="140"/>
      <c r="D14938" s="140"/>
      <c r="E14938" s="140"/>
    </row>
    <row r="14939" spans="1:5">
      <c r="A14939" s="140"/>
      <c r="B14939" s="192"/>
      <c r="C14939" s="140"/>
      <c r="D14939" s="140"/>
      <c r="E14939" s="140"/>
    </row>
    <row r="14940" spans="1:5">
      <c r="A14940" s="140"/>
      <c r="B14940" s="192"/>
      <c r="C14940" s="140"/>
      <c r="D14940" s="140"/>
      <c r="E14940" s="140"/>
    </row>
    <row r="14941" spans="1:5">
      <c r="A14941" s="140"/>
      <c r="B14941" s="192"/>
      <c r="C14941" s="140"/>
      <c r="D14941" s="140"/>
      <c r="E14941" s="140"/>
    </row>
    <row r="14942" spans="1:5">
      <c r="A14942" s="140"/>
      <c r="B14942" s="192"/>
      <c r="C14942" s="140"/>
      <c r="D14942" s="140"/>
      <c r="E14942" s="140"/>
    </row>
    <row r="14943" spans="1:5">
      <c r="A14943" s="140"/>
      <c r="B14943" s="192"/>
      <c r="C14943" s="140"/>
      <c r="D14943" s="140"/>
      <c r="E14943" s="140"/>
    </row>
    <row r="14944" spans="1:5">
      <c r="A14944" s="140"/>
      <c r="B14944" s="192"/>
      <c r="C14944" s="140"/>
      <c r="D14944" s="140"/>
      <c r="E14944" s="140"/>
    </row>
    <row r="14945" spans="1:5">
      <c r="A14945" s="140"/>
      <c r="B14945" s="192"/>
      <c r="C14945" s="140"/>
      <c r="D14945" s="140"/>
      <c r="E14945" s="140"/>
    </row>
    <row r="14946" spans="1:5">
      <c r="A14946" s="140"/>
      <c r="B14946" s="192"/>
      <c r="C14946" s="140"/>
      <c r="D14946" s="140"/>
      <c r="E14946" s="140"/>
    </row>
    <row r="14947" spans="1:5">
      <c r="A14947" s="140"/>
      <c r="B14947" s="192"/>
      <c r="C14947" s="140"/>
      <c r="D14947" s="140"/>
      <c r="E14947" s="140"/>
    </row>
    <row r="14948" spans="1:5">
      <c r="A14948" s="140"/>
      <c r="B14948" s="192"/>
      <c r="C14948" s="140"/>
      <c r="D14948" s="140"/>
      <c r="E14948" s="140"/>
    </row>
    <row r="14949" spans="1:5">
      <c r="A14949" s="140"/>
      <c r="B14949" s="192"/>
      <c r="C14949" s="140"/>
      <c r="D14949" s="140"/>
      <c r="E14949" s="140"/>
    </row>
    <row r="14950" spans="1:5">
      <c r="A14950" s="140"/>
      <c r="B14950" s="192"/>
      <c r="C14950" s="140"/>
      <c r="D14950" s="140"/>
      <c r="E14950" s="140"/>
    </row>
    <row r="14951" spans="1:5">
      <c r="A14951" s="140"/>
      <c r="B14951" s="192"/>
      <c r="C14951" s="140"/>
      <c r="D14951" s="140"/>
      <c r="E14951" s="140"/>
    </row>
    <row r="14952" spans="1:5">
      <c r="A14952" s="140"/>
      <c r="B14952" s="192"/>
      <c r="C14952" s="140"/>
      <c r="D14952" s="140"/>
      <c r="E14952" s="140"/>
    </row>
    <row r="14953" spans="1:5">
      <c r="A14953" s="140"/>
      <c r="B14953" s="192"/>
      <c r="C14953" s="140"/>
      <c r="D14953" s="140"/>
      <c r="E14953" s="140"/>
    </row>
    <row r="14954" spans="1:5">
      <c r="A14954" s="140"/>
      <c r="B14954" s="192"/>
      <c r="C14954" s="140"/>
      <c r="D14954" s="140"/>
      <c r="E14954" s="140"/>
    </row>
    <row r="14955" spans="1:5">
      <c r="A14955" s="140"/>
      <c r="B14955" s="192"/>
      <c r="C14955" s="140"/>
      <c r="D14955" s="140"/>
      <c r="E14955" s="140"/>
    </row>
    <row r="14956" spans="1:5">
      <c r="A14956" s="140"/>
      <c r="B14956" s="192"/>
      <c r="C14956" s="140"/>
      <c r="D14956" s="140"/>
      <c r="E14956" s="140"/>
    </row>
    <row r="14957" spans="1:5">
      <c r="A14957" s="140"/>
      <c r="B14957" s="192"/>
      <c r="C14957" s="140"/>
      <c r="D14957" s="140"/>
      <c r="E14957" s="140"/>
    </row>
    <row r="14958" spans="1:5">
      <c r="A14958" s="140"/>
      <c r="B14958" s="192"/>
      <c r="C14958" s="140"/>
      <c r="D14958" s="140"/>
      <c r="E14958" s="140"/>
    </row>
    <row r="14959" spans="1:5">
      <c r="A14959" s="140"/>
      <c r="B14959" s="192"/>
      <c r="C14959" s="140"/>
      <c r="D14959" s="140"/>
      <c r="E14959" s="140"/>
    </row>
    <row r="14960" spans="1:5">
      <c r="A14960" s="140"/>
      <c r="B14960" s="192"/>
      <c r="C14960" s="140"/>
      <c r="D14960" s="140"/>
      <c r="E14960" s="140"/>
    </row>
    <row r="14961" spans="1:5">
      <c r="A14961" s="140"/>
      <c r="B14961" s="192"/>
      <c r="C14961" s="140"/>
      <c r="D14961" s="140"/>
      <c r="E14961" s="140"/>
    </row>
    <row r="14962" spans="1:5">
      <c r="A14962" s="140"/>
      <c r="B14962" s="192"/>
      <c r="C14962" s="140"/>
      <c r="D14962" s="140"/>
      <c r="E14962" s="140"/>
    </row>
    <row r="14963" spans="1:5">
      <c r="A14963" s="140"/>
      <c r="B14963" s="192"/>
      <c r="C14963" s="140"/>
      <c r="D14963" s="140"/>
      <c r="E14963" s="140"/>
    </row>
    <row r="14964" spans="1:5">
      <c r="A14964" s="140"/>
      <c r="B14964" s="192"/>
      <c r="C14964" s="140"/>
      <c r="D14964" s="140"/>
      <c r="E14964" s="140"/>
    </row>
    <row r="14965" spans="1:5">
      <c r="A14965" s="140"/>
      <c r="B14965" s="192"/>
      <c r="C14965" s="140"/>
      <c r="D14965" s="140"/>
      <c r="E14965" s="140"/>
    </row>
    <row r="14966" spans="1:5">
      <c r="A14966" s="140"/>
      <c r="B14966" s="192"/>
      <c r="C14966" s="140"/>
      <c r="D14966" s="140"/>
      <c r="E14966" s="140"/>
    </row>
    <row r="14967" spans="1:5">
      <c r="A14967" s="140"/>
      <c r="B14967" s="192"/>
      <c r="C14967" s="140"/>
      <c r="D14967" s="140"/>
      <c r="E14967" s="140"/>
    </row>
    <row r="14968" spans="1:5">
      <c r="A14968" s="140"/>
      <c r="B14968" s="192"/>
      <c r="C14968" s="140"/>
      <c r="D14968" s="140"/>
      <c r="E14968" s="140"/>
    </row>
    <row r="14969" spans="1:5">
      <c r="A14969" s="140"/>
      <c r="B14969" s="192"/>
      <c r="C14969" s="140"/>
      <c r="D14969" s="140"/>
      <c r="E14969" s="140"/>
    </row>
    <row r="14970" spans="1:5">
      <c r="A14970" s="140"/>
      <c r="B14970" s="192"/>
      <c r="C14970" s="140"/>
      <c r="D14970" s="140"/>
      <c r="E14970" s="140"/>
    </row>
    <row r="14971" spans="1:5">
      <c r="A14971" s="140"/>
      <c r="B14971" s="192"/>
      <c r="C14971" s="140"/>
      <c r="D14971" s="140"/>
      <c r="E14971" s="140"/>
    </row>
    <row r="14972" spans="1:5">
      <c r="A14972" s="140"/>
      <c r="B14972" s="192"/>
      <c r="C14972" s="140"/>
      <c r="D14972" s="140"/>
      <c r="E14972" s="140"/>
    </row>
    <row r="14973" spans="1:5">
      <c r="A14973" s="140"/>
      <c r="B14973" s="192"/>
      <c r="C14973" s="140"/>
      <c r="D14973" s="140"/>
      <c r="E14973" s="140"/>
    </row>
    <row r="14974" spans="1:5">
      <c r="A14974" s="140"/>
      <c r="B14974" s="192"/>
      <c r="C14974" s="140"/>
      <c r="D14974" s="140"/>
      <c r="E14974" s="140"/>
    </row>
    <row r="14975" spans="1:5">
      <c r="A14975" s="140"/>
      <c r="B14975" s="192"/>
      <c r="C14975" s="140"/>
      <c r="D14975" s="140"/>
      <c r="E14975" s="140"/>
    </row>
    <row r="14976" spans="1:5">
      <c r="A14976" s="140"/>
      <c r="B14976" s="192"/>
      <c r="C14976" s="140"/>
      <c r="D14976" s="140"/>
      <c r="E14976" s="140"/>
    </row>
    <row r="14977" spans="1:5">
      <c r="A14977" s="140"/>
      <c r="B14977" s="192"/>
      <c r="C14977" s="140"/>
      <c r="D14977" s="140"/>
      <c r="E14977" s="140"/>
    </row>
    <row r="14978" spans="1:5">
      <c r="A14978" s="140"/>
      <c r="B14978" s="192"/>
      <c r="C14978" s="140"/>
      <c r="D14978" s="140"/>
      <c r="E14978" s="140"/>
    </row>
    <row r="14979" spans="1:5">
      <c r="A14979" s="140"/>
      <c r="B14979" s="192"/>
      <c r="C14979" s="140"/>
      <c r="D14979" s="140"/>
      <c r="E14979" s="140"/>
    </row>
    <row r="14980" spans="1:5">
      <c r="A14980" s="140"/>
      <c r="B14980" s="192"/>
      <c r="C14980" s="140"/>
      <c r="D14980" s="140"/>
      <c r="E14980" s="140"/>
    </row>
    <row r="14981" spans="1:5">
      <c r="A14981" s="140"/>
      <c r="B14981" s="192"/>
      <c r="C14981" s="140"/>
      <c r="D14981" s="140"/>
      <c r="E14981" s="140"/>
    </row>
    <row r="14982" spans="1:5">
      <c r="A14982" s="140"/>
      <c r="B14982" s="192"/>
      <c r="C14982" s="140"/>
      <c r="D14982" s="140"/>
      <c r="E14982" s="140"/>
    </row>
    <row r="14983" spans="1:5">
      <c r="A14983" s="140"/>
      <c r="B14983" s="192"/>
      <c r="C14983" s="140"/>
      <c r="D14983" s="140"/>
      <c r="E14983" s="140"/>
    </row>
    <row r="14984" spans="1:5">
      <c r="A14984" s="140"/>
      <c r="B14984" s="192"/>
      <c r="C14984" s="140"/>
      <c r="D14984" s="140"/>
      <c r="E14984" s="140"/>
    </row>
    <row r="14985" spans="1:5">
      <c r="A14985" s="140"/>
      <c r="B14985" s="192"/>
      <c r="C14985" s="140"/>
      <c r="D14985" s="140"/>
      <c r="E14985" s="140"/>
    </row>
    <row r="14986" spans="1:5">
      <c r="A14986" s="140"/>
      <c r="B14986" s="192"/>
      <c r="C14986" s="140"/>
      <c r="D14986" s="140"/>
      <c r="E14986" s="140"/>
    </row>
    <row r="14987" spans="1:5">
      <c r="A14987" s="140"/>
      <c r="B14987" s="192"/>
      <c r="C14987" s="140"/>
      <c r="D14987" s="140"/>
      <c r="E14987" s="140"/>
    </row>
    <row r="14988" spans="1:5">
      <c r="A14988" s="140"/>
      <c r="B14988" s="192"/>
      <c r="C14988" s="140"/>
      <c r="D14988" s="140"/>
      <c r="E14988" s="140"/>
    </row>
    <row r="14989" spans="1:5">
      <c r="A14989" s="140"/>
      <c r="B14989" s="192"/>
      <c r="C14989" s="140"/>
      <c r="D14989" s="140"/>
      <c r="E14989" s="140"/>
    </row>
    <row r="14990" spans="1:5">
      <c r="A14990" s="140"/>
      <c r="B14990" s="192"/>
      <c r="C14990" s="140"/>
      <c r="D14990" s="140"/>
      <c r="E14990" s="140"/>
    </row>
    <row r="14991" spans="1:5">
      <c r="A14991" s="140"/>
      <c r="B14991" s="192"/>
      <c r="C14991" s="140"/>
      <c r="D14991" s="140"/>
      <c r="E14991" s="140"/>
    </row>
    <row r="14992" spans="1:5">
      <c r="A14992" s="140"/>
      <c r="B14992" s="192"/>
      <c r="C14992" s="140"/>
      <c r="D14992" s="140"/>
      <c r="E14992" s="140"/>
    </row>
    <row r="14993" spans="1:5">
      <c r="A14993" s="140"/>
      <c r="B14993" s="192"/>
      <c r="C14993" s="140"/>
      <c r="D14993" s="140"/>
      <c r="E14993" s="140"/>
    </row>
    <row r="14994" spans="1:5">
      <c r="A14994" s="140"/>
      <c r="B14994" s="192"/>
      <c r="C14994" s="140"/>
      <c r="D14994" s="140"/>
      <c r="E14994" s="140"/>
    </row>
    <row r="14995" spans="1:5">
      <c r="A14995" s="140"/>
      <c r="B14995" s="192"/>
      <c r="C14995" s="140"/>
      <c r="D14995" s="140"/>
      <c r="E14995" s="140"/>
    </row>
    <row r="14996" spans="1:5">
      <c r="A14996" s="140"/>
      <c r="B14996" s="192"/>
      <c r="C14996" s="140"/>
      <c r="D14996" s="140"/>
      <c r="E14996" s="140"/>
    </row>
    <row r="14997" spans="1:5">
      <c r="A14997" s="140"/>
      <c r="B14997" s="192"/>
      <c r="C14997" s="140"/>
      <c r="D14997" s="140"/>
      <c r="E14997" s="140"/>
    </row>
    <row r="14998" spans="1:5">
      <c r="A14998" s="140"/>
      <c r="B14998" s="192"/>
      <c r="C14998" s="140"/>
      <c r="D14998" s="140"/>
      <c r="E14998" s="140"/>
    </row>
    <row r="14999" spans="1:5">
      <c r="A14999" s="140"/>
      <c r="B14999" s="192"/>
      <c r="C14999" s="140"/>
      <c r="D14999" s="140"/>
      <c r="E14999" s="140"/>
    </row>
    <row r="15000" spans="1:5">
      <c r="A15000" s="140"/>
      <c r="B15000" s="192"/>
      <c r="C15000" s="140"/>
      <c r="D15000" s="140"/>
      <c r="E15000" s="140"/>
    </row>
    <row r="15001" spans="1:5">
      <c r="A15001" s="140"/>
      <c r="B15001" s="192"/>
      <c r="C15001" s="140"/>
      <c r="D15001" s="140"/>
      <c r="E15001" s="140"/>
    </row>
    <row r="15002" spans="1:5">
      <c r="A15002" s="140"/>
      <c r="B15002" s="192"/>
      <c r="C15002" s="140"/>
      <c r="D15002" s="140"/>
      <c r="E15002" s="140"/>
    </row>
    <row r="15003" spans="1:5">
      <c r="A15003" s="140"/>
      <c r="B15003" s="192"/>
      <c r="C15003" s="140"/>
      <c r="D15003" s="140"/>
      <c r="E15003" s="140"/>
    </row>
    <row r="15004" spans="1:5">
      <c r="A15004" s="140"/>
      <c r="B15004" s="192"/>
      <c r="C15004" s="140"/>
      <c r="D15004" s="140"/>
      <c r="E15004" s="140"/>
    </row>
    <row r="15005" spans="1:5">
      <c r="A15005" s="140"/>
      <c r="B15005" s="192"/>
      <c r="C15005" s="140"/>
      <c r="D15005" s="140"/>
      <c r="E15005" s="140"/>
    </row>
    <row r="15006" spans="1:5">
      <c r="A15006" s="140"/>
      <c r="B15006" s="192"/>
      <c r="C15006" s="140"/>
      <c r="D15006" s="140"/>
      <c r="E15006" s="140"/>
    </row>
    <row r="15007" spans="1:5">
      <c r="A15007" s="140"/>
      <c r="B15007" s="192"/>
      <c r="C15007" s="140"/>
      <c r="D15007" s="140"/>
      <c r="E15007" s="140"/>
    </row>
    <row r="15008" spans="1:5">
      <c r="A15008" s="140"/>
      <c r="B15008" s="192"/>
      <c r="C15008" s="140"/>
      <c r="D15008" s="140"/>
      <c r="E15008" s="140"/>
    </row>
    <row r="15009" spans="1:5">
      <c r="A15009" s="140"/>
      <c r="B15009" s="192"/>
      <c r="C15009" s="140"/>
      <c r="D15009" s="140"/>
      <c r="E15009" s="140"/>
    </row>
    <row r="15010" spans="1:5">
      <c r="A15010" s="140"/>
      <c r="B15010" s="192"/>
      <c r="C15010" s="140"/>
      <c r="D15010" s="140"/>
      <c r="E15010" s="140"/>
    </row>
    <row r="15011" spans="1:5">
      <c r="A15011" s="140"/>
      <c r="B15011" s="192"/>
      <c r="C15011" s="140"/>
      <c r="D15011" s="140"/>
      <c r="E15011" s="140"/>
    </row>
    <row r="15012" spans="1:5">
      <c r="A15012" s="140"/>
      <c r="B15012" s="192"/>
      <c r="C15012" s="140"/>
      <c r="D15012" s="140"/>
      <c r="E15012" s="140"/>
    </row>
    <row r="15013" spans="1:5">
      <c r="A15013" s="140"/>
      <c r="B15013" s="192"/>
      <c r="C15013" s="140"/>
      <c r="D15013" s="140"/>
      <c r="E15013" s="140"/>
    </row>
    <row r="15014" spans="1:5">
      <c r="A15014" s="140"/>
      <c r="B15014" s="192"/>
      <c r="C15014" s="140"/>
      <c r="D15014" s="140"/>
      <c r="E15014" s="140"/>
    </row>
    <row r="15015" spans="1:5">
      <c r="A15015" s="140"/>
      <c r="B15015" s="192"/>
      <c r="C15015" s="140"/>
      <c r="D15015" s="140"/>
      <c r="E15015" s="140"/>
    </row>
    <row r="15016" spans="1:5">
      <c r="A15016" s="140"/>
      <c r="B15016" s="192"/>
      <c r="C15016" s="140"/>
      <c r="D15016" s="140"/>
      <c r="E15016" s="140"/>
    </row>
    <row r="15017" spans="1:5">
      <c r="A15017" s="140"/>
      <c r="B15017" s="192"/>
      <c r="C15017" s="140"/>
      <c r="D15017" s="140"/>
      <c r="E15017" s="140"/>
    </row>
    <row r="15018" spans="1:5">
      <c r="A15018" s="140"/>
      <c r="B15018" s="192"/>
      <c r="C15018" s="140"/>
      <c r="D15018" s="140"/>
      <c r="E15018" s="140"/>
    </row>
    <row r="15019" spans="1:5">
      <c r="A15019" s="140"/>
      <c r="B15019" s="192"/>
      <c r="C15019" s="140"/>
      <c r="D15019" s="140"/>
      <c r="E15019" s="140"/>
    </row>
    <row r="15020" spans="1:5">
      <c r="A15020" s="140"/>
      <c r="B15020" s="192"/>
      <c r="C15020" s="140"/>
      <c r="D15020" s="140"/>
      <c r="E15020" s="140"/>
    </row>
    <row r="15021" spans="1:5">
      <c r="A15021" s="140"/>
      <c r="B15021" s="192"/>
      <c r="C15021" s="140"/>
      <c r="D15021" s="140"/>
      <c r="E15021" s="140"/>
    </row>
    <row r="15022" spans="1:5">
      <c r="A15022" s="140"/>
      <c r="B15022" s="192"/>
      <c r="C15022" s="140"/>
      <c r="D15022" s="140"/>
      <c r="E15022" s="140"/>
    </row>
    <row r="15023" spans="1:5">
      <c r="A15023" s="140"/>
      <c r="B15023" s="192"/>
      <c r="C15023" s="140"/>
      <c r="D15023" s="140"/>
      <c r="E15023" s="140"/>
    </row>
    <row r="15024" spans="1:5">
      <c r="A15024" s="140"/>
      <c r="B15024" s="192"/>
      <c r="C15024" s="140"/>
      <c r="D15024" s="140"/>
      <c r="E15024" s="140"/>
    </row>
    <row r="15025" spans="1:5">
      <c r="A15025" s="140"/>
      <c r="B15025" s="192"/>
      <c r="C15025" s="140"/>
      <c r="D15025" s="140"/>
      <c r="E15025" s="140"/>
    </row>
    <row r="15026" spans="1:5">
      <c r="A15026" s="140"/>
      <c r="B15026" s="192"/>
      <c r="C15026" s="140"/>
      <c r="D15026" s="140"/>
      <c r="E15026" s="140"/>
    </row>
    <row r="15027" spans="1:5">
      <c r="A15027" s="140"/>
      <c r="B15027" s="192"/>
      <c r="C15027" s="140"/>
      <c r="D15027" s="140"/>
      <c r="E15027" s="140"/>
    </row>
    <row r="15028" spans="1:5">
      <c r="A15028" s="140"/>
      <c r="B15028" s="192"/>
      <c r="C15028" s="140"/>
      <c r="D15028" s="140"/>
      <c r="E15028" s="140"/>
    </row>
    <row r="15029" spans="1:5">
      <c r="A15029" s="140"/>
      <c r="B15029" s="192"/>
      <c r="C15029" s="140"/>
      <c r="D15029" s="140"/>
      <c r="E15029" s="140"/>
    </row>
    <row r="15030" spans="1:5">
      <c r="A15030" s="140"/>
      <c r="B15030" s="192"/>
      <c r="C15030" s="140"/>
      <c r="D15030" s="140"/>
      <c r="E15030" s="140"/>
    </row>
    <row r="15031" spans="1:5">
      <c r="A15031" s="140"/>
      <c r="B15031" s="192"/>
      <c r="C15031" s="140"/>
      <c r="D15031" s="140"/>
      <c r="E15031" s="140"/>
    </row>
    <row r="15032" spans="1:5">
      <c r="A15032" s="140"/>
      <c r="B15032" s="192"/>
      <c r="C15032" s="140"/>
      <c r="D15032" s="140"/>
      <c r="E15032" s="140"/>
    </row>
    <row r="15033" spans="1:5">
      <c r="A15033" s="140"/>
      <c r="B15033" s="192"/>
      <c r="C15033" s="140"/>
      <c r="D15033" s="140"/>
      <c r="E15033" s="140"/>
    </row>
    <row r="15034" spans="1:5">
      <c r="A15034" s="140"/>
      <c r="B15034" s="192"/>
      <c r="C15034" s="140"/>
      <c r="D15034" s="140"/>
      <c r="E15034" s="140"/>
    </row>
    <row r="15035" spans="1:5">
      <c r="A15035" s="140"/>
      <c r="B15035" s="192"/>
      <c r="C15035" s="140"/>
      <c r="D15035" s="140"/>
      <c r="E15035" s="140"/>
    </row>
    <row r="15036" spans="1:5">
      <c r="A15036" s="140"/>
      <c r="B15036" s="192"/>
      <c r="C15036" s="140"/>
      <c r="D15036" s="140"/>
      <c r="E15036" s="140"/>
    </row>
    <row r="15037" spans="1:5">
      <c r="A15037" s="140"/>
      <c r="B15037" s="192"/>
      <c r="C15037" s="140"/>
      <c r="D15037" s="140"/>
      <c r="E15037" s="140"/>
    </row>
    <row r="15038" spans="1:5">
      <c r="A15038" s="140"/>
      <c r="B15038" s="192"/>
      <c r="C15038" s="140"/>
      <c r="D15038" s="140"/>
      <c r="E15038" s="140"/>
    </row>
    <row r="15039" spans="1:5">
      <c r="A15039" s="140"/>
      <c r="B15039" s="192"/>
      <c r="C15039" s="140"/>
      <c r="D15039" s="140"/>
      <c r="E15039" s="140"/>
    </row>
    <row r="15040" spans="1:5">
      <c r="A15040" s="140"/>
      <c r="B15040" s="192"/>
      <c r="C15040" s="140"/>
      <c r="D15040" s="140"/>
      <c r="E15040" s="140"/>
    </row>
    <row r="15041" spans="1:5">
      <c r="A15041" s="140"/>
      <c r="B15041" s="192"/>
      <c r="C15041" s="140"/>
      <c r="D15041" s="140"/>
      <c r="E15041" s="140"/>
    </row>
    <row r="15042" spans="1:5">
      <c r="A15042" s="140"/>
      <c r="B15042" s="192"/>
      <c r="C15042" s="140"/>
      <c r="D15042" s="140"/>
      <c r="E15042" s="140"/>
    </row>
    <row r="15043" spans="1:5">
      <c r="A15043" s="140"/>
      <c r="B15043" s="192"/>
      <c r="C15043" s="140"/>
      <c r="D15043" s="140"/>
      <c r="E15043" s="140"/>
    </row>
    <row r="15044" spans="1:5">
      <c r="A15044" s="140"/>
      <c r="B15044" s="192"/>
      <c r="C15044" s="140"/>
      <c r="D15044" s="140"/>
      <c r="E15044" s="140"/>
    </row>
    <row r="15045" spans="1:5">
      <c r="A15045" s="140"/>
      <c r="B15045" s="192"/>
      <c r="C15045" s="140"/>
      <c r="D15045" s="140"/>
      <c r="E15045" s="140"/>
    </row>
    <row r="15046" spans="1:5">
      <c r="A15046" s="140"/>
      <c r="B15046" s="192"/>
      <c r="C15046" s="140"/>
      <c r="D15046" s="140"/>
      <c r="E15046" s="140"/>
    </row>
    <row r="15047" spans="1:5">
      <c r="A15047" s="140"/>
      <c r="B15047" s="192"/>
      <c r="C15047" s="140"/>
      <c r="D15047" s="140"/>
      <c r="E15047" s="140"/>
    </row>
    <row r="15048" spans="1:5">
      <c r="A15048" s="140"/>
      <c r="B15048" s="192"/>
      <c r="C15048" s="140"/>
      <c r="D15048" s="140"/>
      <c r="E15048" s="140"/>
    </row>
    <row r="15049" spans="1:5">
      <c r="A15049" s="140"/>
      <c r="B15049" s="192"/>
      <c r="C15049" s="140"/>
      <c r="D15049" s="140"/>
      <c r="E15049" s="140"/>
    </row>
    <row r="15050" spans="1:5">
      <c r="A15050" s="140"/>
      <c r="B15050" s="192"/>
      <c r="C15050" s="140"/>
      <c r="D15050" s="140"/>
      <c r="E15050" s="140"/>
    </row>
    <row r="15051" spans="1:5">
      <c r="A15051" s="140"/>
      <c r="B15051" s="192"/>
      <c r="C15051" s="140"/>
      <c r="D15051" s="140"/>
      <c r="E15051" s="140"/>
    </row>
    <row r="15052" spans="1:5">
      <c r="A15052" s="140"/>
      <c r="B15052" s="192"/>
      <c r="C15052" s="140"/>
      <c r="D15052" s="140"/>
      <c r="E15052" s="140"/>
    </row>
    <row r="15053" spans="1:5">
      <c r="A15053" s="140"/>
      <c r="B15053" s="192"/>
      <c r="C15053" s="140"/>
      <c r="D15053" s="140"/>
      <c r="E15053" s="140"/>
    </row>
    <row r="15054" spans="1:5">
      <c r="A15054" s="140"/>
      <c r="B15054" s="192"/>
      <c r="C15054" s="140"/>
      <c r="D15054" s="140"/>
      <c r="E15054" s="140"/>
    </row>
    <row r="15055" spans="1:5">
      <c r="A15055" s="140"/>
      <c r="B15055" s="192"/>
      <c r="C15055" s="140"/>
      <c r="D15055" s="140"/>
      <c r="E15055" s="140"/>
    </row>
    <row r="15056" spans="1:5">
      <c r="A15056" s="140"/>
      <c r="B15056" s="192"/>
      <c r="C15056" s="140"/>
      <c r="D15056" s="140"/>
      <c r="E15056" s="140"/>
    </row>
    <row r="15057" spans="1:5">
      <c r="A15057" s="140"/>
      <c r="B15057" s="192"/>
      <c r="C15057" s="140"/>
      <c r="D15057" s="140"/>
      <c r="E15057" s="140"/>
    </row>
    <row r="15058" spans="1:5">
      <c r="A15058" s="140"/>
      <c r="B15058" s="192"/>
      <c r="C15058" s="140"/>
      <c r="D15058" s="140"/>
      <c r="E15058" s="140"/>
    </row>
    <row r="15059" spans="1:5">
      <c r="A15059" s="140"/>
      <c r="B15059" s="192"/>
      <c r="C15059" s="140"/>
      <c r="D15059" s="140"/>
      <c r="E15059" s="140"/>
    </row>
    <row r="15060" spans="1:5">
      <c r="A15060" s="140"/>
      <c r="B15060" s="192"/>
      <c r="C15060" s="140"/>
      <c r="D15060" s="140"/>
      <c r="E15060" s="140"/>
    </row>
    <row r="15061" spans="1:5">
      <c r="A15061" s="140"/>
      <c r="B15061" s="192"/>
      <c r="C15061" s="140"/>
      <c r="D15061" s="140"/>
      <c r="E15061" s="140"/>
    </row>
    <row r="15062" spans="1:5">
      <c r="A15062" s="140"/>
      <c r="B15062" s="192"/>
      <c r="C15062" s="140"/>
      <c r="D15062" s="140"/>
      <c r="E15062" s="140"/>
    </row>
    <row r="15063" spans="1:5">
      <c r="A15063" s="140"/>
      <c r="B15063" s="192"/>
      <c r="C15063" s="140"/>
      <c r="D15063" s="140"/>
      <c r="E15063" s="140"/>
    </row>
    <row r="15064" spans="1:5">
      <c r="A15064" s="140"/>
      <c r="B15064" s="192"/>
      <c r="C15064" s="140"/>
      <c r="D15064" s="140"/>
      <c r="E15064" s="140"/>
    </row>
    <row r="15065" spans="1:5">
      <c r="A15065" s="140"/>
      <c r="B15065" s="192"/>
      <c r="C15065" s="140"/>
      <c r="D15065" s="140"/>
      <c r="E15065" s="140"/>
    </row>
    <row r="15066" spans="1:5">
      <c r="A15066" s="140"/>
      <c r="B15066" s="192"/>
      <c r="C15066" s="140"/>
      <c r="D15066" s="140"/>
      <c r="E15066" s="140"/>
    </row>
    <row r="15067" spans="1:5">
      <c r="A15067" s="140"/>
      <c r="B15067" s="192"/>
      <c r="C15067" s="140"/>
      <c r="D15067" s="140"/>
      <c r="E15067" s="140"/>
    </row>
    <row r="15068" spans="1:5">
      <c r="A15068" s="140"/>
      <c r="B15068" s="192"/>
      <c r="C15068" s="140"/>
      <c r="D15068" s="140"/>
      <c r="E15068" s="140"/>
    </row>
    <row r="15069" spans="1:5">
      <c r="A15069" s="140"/>
      <c r="B15069" s="192"/>
      <c r="C15069" s="140"/>
      <c r="D15069" s="140"/>
      <c r="E15069" s="140"/>
    </row>
    <row r="15070" spans="1:5">
      <c r="A15070" s="140"/>
      <c r="B15070" s="192"/>
      <c r="C15070" s="140"/>
      <c r="D15070" s="140"/>
      <c r="E15070" s="140"/>
    </row>
    <row r="15071" spans="1:5">
      <c r="A15071" s="140"/>
      <c r="B15071" s="192"/>
      <c r="C15071" s="140"/>
      <c r="D15071" s="140"/>
      <c r="E15071" s="140"/>
    </row>
    <row r="15072" spans="1:5">
      <c r="A15072" s="140"/>
      <c r="B15072" s="192"/>
      <c r="C15072" s="140"/>
      <c r="D15072" s="140"/>
      <c r="E15072" s="140"/>
    </row>
    <row r="15073" spans="1:5">
      <c r="A15073" s="140"/>
      <c r="B15073" s="192"/>
      <c r="C15073" s="140"/>
      <c r="D15073" s="140"/>
      <c r="E15073" s="140"/>
    </row>
    <row r="15074" spans="1:5">
      <c r="A15074" s="140"/>
      <c r="B15074" s="192"/>
      <c r="C15074" s="140"/>
      <c r="D15074" s="140"/>
      <c r="E15074" s="140"/>
    </row>
    <row r="15075" spans="1:5">
      <c r="A15075" s="140"/>
      <c r="B15075" s="192"/>
      <c r="C15075" s="140"/>
      <c r="D15075" s="140"/>
      <c r="E15075" s="140"/>
    </row>
    <row r="15076" spans="1:5">
      <c r="A15076" s="140"/>
      <c r="B15076" s="192"/>
      <c r="C15076" s="140"/>
      <c r="D15076" s="140"/>
      <c r="E15076" s="140"/>
    </row>
    <row r="15077" spans="1:5">
      <c r="A15077" s="140"/>
      <c r="B15077" s="192"/>
      <c r="C15077" s="140"/>
      <c r="D15077" s="140"/>
      <c r="E15077" s="140"/>
    </row>
    <row r="15078" spans="1:5">
      <c r="A15078" s="140"/>
      <c r="B15078" s="192"/>
      <c r="C15078" s="140"/>
      <c r="D15078" s="140"/>
      <c r="E15078" s="140"/>
    </row>
    <row r="15079" spans="1:5">
      <c r="A15079" s="140"/>
      <c r="B15079" s="192"/>
      <c r="C15079" s="140"/>
      <c r="D15079" s="140"/>
      <c r="E15079" s="140"/>
    </row>
    <row r="15080" spans="1:5">
      <c r="A15080" s="140"/>
      <c r="B15080" s="192"/>
      <c r="C15080" s="140"/>
      <c r="D15080" s="140"/>
      <c r="E15080" s="140"/>
    </row>
    <row r="15081" spans="1:5">
      <c r="A15081" s="140"/>
      <c r="B15081" s="192"/>
      <c r="C15081" s="140"/>
      <c r="D15081" s="140"/>
      <c r="E15081" s="140"/>
    </row>
    <row r="15082" spans="1:5">
      <c r="A15082" s="140"/>
      <c r="B15082" s="192"/>
      <c r="C15082" s="140"/>
      <c r="D15082" s="140"/>
      <c r="E15082" s="140"/>
    </row>
    <row r="15083" spans="1:5">
      <c r="A15083" s="140"/>
      <c r="B15083" s="192"/>
      <c r="C15083" s="140"/>
      <c r="D15083" s="140"/>
      <c r="E15083" s="140"/>
    </row>
    <row r="15084" spans="1:5">
      <c r="A15084" s="140"/>
      <c r="B15084" s="192"/>
      <c r="C15084" s="140"/>
      <c r="D15084" s="140"/>
      <c r="E15084" s="140"/>
    </row>
    <row r="15085" spans="1:5">
      <c r="A15085" s="140"/>
      <c r="B15085" s="192"/>
      <c r="C15085" s="140"/>
      <c r="D15085" s="140"/>
      <c r="E15085" s="140"/>
    </row>
    <row r="15086" spans="1:5">
      <c r="A15086" s="140"/>
      <c r="B15086" s="192"/>
      <c r="C15086" s="140"/>
      <c r="D15086" s="140"/>
      <c r="E15086" s="140"/>
    </row>
    <row r="15087" spans="1:5">
      <c r="A15087" s="140"/>
      <c r="B15087" s="192"/>
      <c r="C15087" s="140"/>
      <c r="D15087" s="140"/>
      <c r="E15087" s="140"/>
    </row>
    <row r="15088" spans="1:5">
      <c r="A15088" s="140"/>
      <c r="B15088" s="192"/>
      <c r="C15088" s="140"/>
      <c r="D15088" s="140"/>
      <c r="E15088" s="140"/>
    </row>
    <row r="15089" spans="1:5">
      <c r="A15089" s="140"/>
      <c r="B15089" s="192"/>
      <c r="C15089" s="140"/>
      <c r="D15089" s="140"/>
      <c r="E15089" s="140"/>
    </row>
    <row r="15090" spans="1:5">
      <c r="A15090" s="140"/>
      <c r="B15090" s="192"/>
      <c r="C15090" s="140"/>
      <c r="D15090" s="140"/>
      <c r="E15090" s="140"/>
    </row>
    <row r="15091" spans="1:5">
      <c r="A15091" s="140"/>
      <c r="B15091" s="192"/>
      <c r="C15091" s="140"/>
      <c r="D15091" s="140"/>
      <c r="E15091" s="140"/>
    </row>
    <row r="15092" spans="1:5">
      <c r="A15092" s="140"/>
      <c r="B15092" s="192"/>
      <c r="C15092" s="140"/>
      <c r="D15092" s="140"/>
      <c r="E15092" s="140"/>
    </row>
    <row r="15093" spans="1:5">
      <c r="A15093" s="140"/>
      <c r="B15093" s="192"/>
      <c r="C15093" s="140"/>
      <c r="D15093" s="140"/>
      <c r="E15093" s="140"/>
    </row>
    <row r="15094" spans="1:5">
      <c r="A15094" s="140"/>
      <c r="B15094" s="192"/>
      <c r="C15094" s="140"/>
      <c r="D15094" s="140"/>
      <c r="E15094" s="140"/>
    </row>
    <row r="15095" spans="1:5">
      <c r="A15095" s="140"/>
      <c r="B15095" s="192"/>
      <c r="C15095" s="140"/>
      <c r="D15095" s="140"/>
      <c r="E15095" s="140"/>
    </row>
    <row r="15096" spans="1:5">
      <c r="A15096" s="140"/>
      <c r="B15096" s="192"/>
      <c r="C15096" s="140"/>
      <c r="D15096" s="140"/>
      <c r="E15096" s="140"/>
    </row>
    <row r="15097" spans="1:5">
      <c r="A15097" s="140"/>
      <c r="B15097" s="192"/>
      <c r="C15097" s="140"/>
      <c r="D15097" s="140"/>
      <c r="E15097" s="140"/>
    </row>
    <row r="15098" spans="1:5">
      <c r="A15098" s="140"/>
      <c r="B15098" s="192"/>
      <c r="C15098" s="140"/>
      <c r="D15098" s="140"/>
      <c r="E15098" s="140"/>
    </row>
    <row r="15099" spans="1:5">
      <c r="A15099" s="140"/>
      <c r="B15099" s="192"/>
      <c r="C15099" s="140"/>
      <c r="D15099" s="140"/>
      <c r="E15099" s="140"/>
    </row>
    <row r="15100" spans="1:5">
      <c r="A15100" s="140"/>
      <c r="B15100" s="192"/>
      <c r="C15100" s="140"/>
      <c r="D15100" s="140"/>
      <c r="E15100" s="140"/>
    </row>
    <row r="15101" spans="1:5">
      <c r="A15101" s="140"/>
      <c r="B15101" s="192"/>
      <c r="C15101" s="140"/>
      <c r="D15101" s="140"/>
      <c r="E15101" s="140"/>
    </row>
    <row r="15102" spans="1:5">
      <c r="A15102" s="140"/>
      <c r="B15102" s="192"/>
      <c r="C15102" s="140"/>
      <c r="D15102" s="140"/>
      <c r="E15102" s="140"/>
    </row>
    <row r="15103" spans="1:5">
      <c r="A15103" s="140"/>
      <c r="B15103" s="192"/>
      <c r="C15103" s="140"/>
      <c r="D15103" s="140"/>
      <c r="E15103" s="140"/>
    </row>
    <row r="15104" spans="1:5">
      <c r="A15104" s="140"/>
      <c r="B15104" s="192"/>
      <c r="C15104" s="140"/>
      <c r="D15104" s="140"/>
      <c r="E15104" s="140"/>
    </row>
    <row r="15105" spans="1:5">
      <c r="A15105" s="140"/>
      <c r="B15105" s="192"/>
      <c r="C15105" s="140"/>
      <c r="D15105" s="140"/>
      <c r="E15105" s="140"/>
    </row>
    <row r="15106" spans="1:5">
      <c r="A15106" s="140"/>
      <c r="B15106" s="192"/>
      <c r="C15106" s="140"/>
      <c r="D15106" s="140"/>
      <c r="E15106" s="140"/>
    </row>
    <row r="15107" spans="1:5">
      <c r="A15107" s="140"/>
      <c r="B15107" s="192"/>
      <c r="C15107" s="140"/>
      <c r="D15107" s="140"/>
      <c r="E15107" s="140"/>
    </row>
    <row r="15108" spans="1:5">
      <c r="A15108" s="140"/>
      <c r="B15108" s="192"/>
      <c r="C15108" s="140"/>
      <c r="D15108" s="140"/>
      <c r="E15108" s="140"/>
    </row>
    <row r="15109" spans="1:5">
      <c r="A15109" s="140"/>
      <c r="B15109" s="192"/>
      <c r="C15109" s="140"/>
      <c r="D15109" s="140"/>
      <c r="E15109" s="140"/>
    </row>
    <row r="15110" spans="1:5">
      <c r="A15110" s="140"/>
      <c r="B15110" s="192"/>
      <c r="C15110" s="140"/>
      <c r="D15110" s="140"/>
      <c r="E15110" s="140"/>
    </row>
    <row r="15111" spans="1:5">
      <c r="A15111" s="140"/>
      <c r="B15111" s="192"/>
      <c r="C15111" s="140"/>
      <c r="D15111" s="140"/>
      <c r="E15111" s="140"/>
    </row>
    <row r="15112" spans="1:5">
      <c r="A15112" s="140"/>
      <c r="B15112" s="192"/>
      <c r="C15112" s="140"/>
      <c r="D15112" s="140"/>
      <c r="E15112" s="140"/>
    </row>
    <row r="15113" spans="1:5">
      <c r="A15113" s="140"/>
      <c r="B15113" s="192"/>
      <c r="C15113" s="140"/>
      <c r="D15113" s="140"/>
      <c r="E15113" s="140"/>
    </row>
    <row r="15114" spans="1:5">
      <c r="A15114" s="140"/>
      <c r="B15114" s="192"/>
      <c r="C15114" s="140"/>
      <c r="D15114" s="140"/>
      <c r="E15114" s="140"/>
    </row>
    <row r="15115" spans="1:5">
      <c r="A15115" s="140"/>
      <c r="B15115" s="192"/>
      <c r="C15115" s="140"/>
      <c r="D15115" s="140"/>
      <c r="E15115" s="140"/>
    </row>
    <row r="15116" spans="1:5">
      <c r="A15116" s="140"/>
      <c r="B15116" s="192"/>
      <c r="C15116" s="140"/>
      <c r="D15116" s="140"/>
      <c r="E15116" s="140"/>
    </row>
    <row r="15117" spans="1:5">
      <c r="A15117" s="140"/>
      <c r="B15117" s="192"/>
      <c r="C15117" s="140"/>
      <c r="D15117" s="140"/>
      <c r="E15117" s="140"/>
    </row>
    <row r="15118" spans="1:5">
      <c r="A15118" s="140"/>
      <c r="B15118" s="192"/>
      <c r="C15118" s="140"/>
      <c r="D15118" s="140"/>
      <c r="E15118" s="140"/>
    </row>
    <row r="15119" spans="1:5">
      <c r="A15119" s="140"/>
      <c r="B15119" s="192"/>
      <c r="C15119" s="140"/>
      <c r="D15119" s="140"/>
      <c r="E15119" s="140"/>
    </row>
    <row r="15120" spans="1:5">
      <c r="A15120" s="140"/>
      <c r="B15120" s="192"/>
      <c r="C15120" s="140"/>
      <c r="D15120" s="140"/>
      <c r="E15120" s="140"/>
    </row>
    <row r="15121" spans="1:5">
      <c r="A15121" s="140"/>
      <c r="B15121" s="192"/>
      <c r="C15121" s="140"/>
      <c r="D15121" s="140"/>
      <c r="E15121" s="140"/>
    </row>
    <row r="15122" spans="1:5">
      <c r="A15122" s="140"/>
      <c r="B15122" s="192"/>
      <c r="C15122" s="140"/>
      <c r="D15122" s="140"/>
      <c r="E15122" s="140"/>
    </row>
    <row r="15123" spans="1:5">
      <c r="A15123" s="140"/>
      <c r="B15123" s="192"/>
      <c r="C15123" s="140"/>
      <c r="D15123" s="140"/>
      <c r="E15123" s="140"/>
    </row>
    <row r="15124" spans="1:5">
      <c r="A15124" s="140"/>
      <c r="B15124" s="192"/>
      <c r="C15124" s="140"/>
      <c r="D15124" s="140"/>
      <c r="E15124" s="140"/>
    </row>
    <row r="15125" spans="1:5">
      <c r="A15125" s="140"/>
      <c r="B15125" s="192"/>
      <c r="C15125" s="140"/>
      <c r="D15125" s="140"/>
      <c r="E15125" s="140"/>
    </row>
    <row r="15126" spans="1:5">
      <c r="A15126" s="140"/>
      <c r="B15126" s="192"/>
      <c r="C15126" s="140"/>
      <c r="D15126" s="140"/>
      <c r="E15126" s="140"/>
    </row>
    <row r="15127" spans="1:5">
      <c r="A15127" s="140"/>
      <c r="B15127" s="192"/>
      <c r="C15127" s="140"/>
      <c r="D15127" s="140"/>
      <c r="E15127" s="140"/>
    </row>
    <row r="15128" spans="1:5">
      <c r="A15128" s="140"/>
      <c r="B15128" s="192"/>
      <c r="C15128" s="140"/>
      <c r="D15128" s="140"/>
      <c r="E15128" s="140"/>
    </row>
    <row r="15129" spans="1:5">
      <c r="A15129" s="140"/>
      <c r="B15129" s="192"/>
      <c r="C15129" s="140"/>
      <c r="D15129" s="140"/>
      <c r="E15129" s="140"/>
    </row>
    <row r="15130" spans="1:5">
      <c r="A15130" s="140"/>
      <c r="B15130" s="192"/>
      <c r="C15130" s="140"/>
      <c r="D15130" s="140"/>
      <c r="E15130" s="140"/>
    </row>
    <row r="15131" spans="1:5">
      <c r="A15131" s="140"/>
      <c r="B15131" s="192"/>
      <c r="C15131" s="140"/>
      <c r="D15131" s="140"/>
      <c r="E15131" s="140"/>
    </row>
    <row r="15132" spans="1:5">
      <c r="A15132" s="140"/>
      <c r="B15132" s="192"/>
      <c r="C15132" s="140"/>
      <c r="D15132" s="140"/>
      <c r="E15132" s="140"/>
    </row>
    <row r="15133" spans="1:5">
      <c r="A15133" s="140"/>
      <c r="B15133" s="192"/>
      <c r="C15133" s="140"/>
      <c r="D15133" s="140"/>
      <c r="E15133" s="140"/>
    </row>
    <row r="15134" spans="1:5">
      <c r="A15134" s="140"/>
      <c r="B15134" s="192"/>
      <c r="C15134" s="140"/>
      <c r="D15134" s="140"/>
      <c r="E15134" s="140"/>
    </row>
    <row r="15135" spans="1:5">
      <c r="A15135" s="140"/>
      <c r="B15135" s="192"/>
      <c r="C15135" s="140"/>
      <c r="D15135" s="140"/>
      <c r="E15135" s="140"/>
    </row>
    <row r="15136" spans="1:5">
      <c r="A15136" s="140"/>
      <c r="B15136" s="192"/>
      <c r="C15136" s="140"/>
      <c r="D15136" s="140"/>
      <c r="E15136" s="140"/>
    </row>
    <row r="15137" spans="1:5">
      <c r="A15137" s="140"/>
      <c r="B15137" s="192"/>
      <c r="C15137" s="140"/>
      <c r="D15137" s="140"/>
      <c r="E15137" s="140"/>
    </row>
    <row r="15138" spans="1:5">
      <c r="A15138" s="140"/>
      <c r="B15138" s="192"/>
      <c r="C15138" s="140"/>
      <c r="D15138" s="140"/>
      <c r="E15138" s="140"/>
    </row>
    <row r="15139" spans="1:5">
      <c r="A15139" s="140"/>
      <c r="B15139" s="192"/>
      <c r="C15139" s="140"/>
      <c r="D15139" s="140"/>
      <c r="E15139" s="140"/>
    </row>
    <row r="15140" spans="1:5">
      <c r="A15140" s="140"/>
      <c r="B15140" s="192"/>
      <c r="C15140" s="140"/>
      <c r="D15140" s="140"/>
      <c r="E15140" s="140"/>
    </row>
    <row r="15141" spans="1:5">
      <c r="A15141" s="140"/>
      <c r="B15141" s="192"/>
      <c r="C15141" s="140"/>
      <c r="D15141" s="140"/>
      <c r="E15141" s="140"/>
    </row>
    <row r="15142" spans="1:5">
      <c r="A15142" s="140"/>
      <c r="B15142" s="192"/>
      <c r="C15142" s="140"/>
      <c r="D15142" s="140"/>
      <c r="E15142" s="140"/>
    </row>
    <row r="15143" spans="1:5">
      <c r="A15143" s="140"/>
      <c r="B15143" s="192"/>
      <c r="C15143" s="140"/>
      <c r="D15143" s="140"/>
      <c r="E15143" s="140"/>
    </row>
    <row r="15144" spans="1:5">
      <c r="A15144" s="140"/>
      <c r="B15144" s="192"/>
      <c r="C15144" s="140"/>
      <c r="D15144" s="140"/>
      <c r="E15144" s="140"/>
    </row>
    <row r="15145" spans="1:5">
      <c r="A15145" s="140"/>
      <c r="B15145" s="192"/>
      <c r="C15145" s="140"/>
      <c r="D15145" s="140"/>
      <c r="E15145" s="140"/>
    </row>
    <row r="15146" spans="1:5">
      <c r="A15146" s="140"/>
      <c r="B15146" s="192"/>
      <c r="C15146" s="140"/>
      <c r="D15146" s="140"/>
      <c r="E15146" s="140"/>
    </row>
    <row r="15147" spans="1:5">
      <c r="A15147" s="140"/>
      <c r="B15147" s="192"/>
      <c r="C15147" s="140"/>
      <c r="D15147" s="140"/>
      <c r="E15147" s="140"/>
    </row>
    <row r="15148" spans="1:5">
      <c r="A15148" s="140"/>
      <c r="B15148" s="192"/>
      <c r="C15148" s="140"/>
      <c r="D15148" s="140"/>
      <c r="E15148" s="140"/>
    </row>
    <row r="15149" spans="1:5">
      <c r="A15149" s="140"/>
      <c r="B15149" s="192"/>
      <c r="C15149" s="140"/>
      <c r="D15149" s="140"/>
      <c r="E15149" s="140"/>
    </row>
    <row r="15150" spans="1:5">
      <c r="A15150" s="140"/>
      <c r="B15150" s="192"/>
      <c r="C15150" s="140"/>
      <c r="D15150" s="140"/>
      <c r="E15150" s="140"/>
    </row>
    <row r="15151" spans="1:5">
      <c r="A15151" s="140"/>
      <c r="B15151" s="192"/>
      <c r="C15151" s="140"/>
      <c r="D15151" s="140"/>
      <c r="E15151" s="140"/>
    </row>
    <row r="15152" spans="1:5">
      <c r="A15152" s="140"/>
      <c r="B15152" s="192"/>
      <c r="C15152" s="140"/>
      <c r="D15152" s="140"/>
      <c r="E15152" s="140"/>
    </row>
    <row r="15153" spans="1:5">
      <c r="A15153" s="140"/>
      <c r="B15153" s="192"/>
      <c r="C15153" s="140"/>
      <c r="D15153" s="140"/>
      <c r="E15153" s="140"/>
    </row>
    <row r="15154" spans="1:5">
      <c r="A15154" s="140"/>
      <c r="B15154" s="192"/>
      <c r="C15154" s="140"/>
      <c r="D15154" s="140"/>
      <c r="E15154" s="140"/>
    </row>
    <row r="15155" spans="1:5">
      <c r="A15155" s="140"/>
      <c r="B15155" s="192"/>
      <c r="C15155" s="140"/>
      <c r="D15155" s="140"/>
      <c r="E15155" s="140"/>
    </row>
    <row r="15156" spans="1:5">
      <c r="A15156" s="140"/>
      <c r="B15156" s="192"/>
      <c r="C15156" s="140"/>
      <c r="D15156" s="140"/>
      <c r="E15156" s="140"/>
    </row>
    <row r="15157" spans="1:5">
      <c r="A15157" s="140"/>
      <c r="B15157" s="192"/>
      <c r="C15157" s="140"/>
      <c r="D15157" s="140"/>
      <c r="E15157" s="140"/>
    </row>
    <row r="15158" spans="1:5">
      <c r="A15158" s="140"/>
      <c r="B15158" s="192"/>
      <c r="C15158" s="140"/>
      <c r="D15158" s="140"/>
      <c r="E15158" s="140"/>
    </row>
    <row r="15159" spans="1:5">
      <c r="A15159" s="140"/>
      <c r="B15159" s="192"/>
      <c r="C15159" s="140"/>
      <c r="D15159" s="140"/>
      <c r="E15159" s="140"/>
    </row>
    <row r="15160" spans="1:5">
      <c r="A15160" s="140"/>
      <c r="B15160" s="192"/>
      <c r="C15160" s="140"/>
      <c r="D15160" s="140"/>
      <c r="E15160" s="140"/>
    </row>
    <row r="15161" spans="1:5">
      <c r="A15161" s="140"/>
      <c r="B15161" s="192"/>
      <c r="C15161" s="140"/>
      <c r="D15161" s="140"/>
      <c r="E15161" s="140"/>
    </row>
    <row r="15162" spans="1:5">
      <c r="A15162" s="140"/>
      <c r="B15162" s="192"/>
      <c r="C15162" s="140"/>
      <c r="D15162" s="140"/>
      <c r="E15162" s="140"/>
    </row>
    <row r="15163" spans="1:5">
      <c r="A15163" s="140"/>
      <c r="B15163" s="192"/>
      <c r="C15163" s="140"/>
      <c r="D15163" s="140"/>
      <c r="E15163" s="140"/>
    </row>
    <row r="15164" spans="1:5">
      <c r="A15164" s="140"/>
      <c r="B15164" s="192"/>
      <c r="C15164" s="140"/>
      <c r="D15164" s="140"/>
      <c r="E15164" s="140"/>
    </row>
    <row r="15165" spans="1:5">
      <c r="A15165" s="140"/>
      <c r="B15165" s="192"/>
      <c r="C15165" s="140"/>
      <c r="D15165" s="140"/>
      <c r="E15165" s="140"/>
    </row>
    <row r="15166" spans="1:5">
      <c r="A15166" s="140"/>
      <c r="B15166" s="192"/>
      <c r="C15166" s="140"/>
      <c r="D15166" s="140"/>
      <c r="E15166" s="140"/>
    </row>
    <row r="15167" spans="1:5">
      <c r="A15167" s="140"/>
      <c r="B15167" s="192"/>
      <c r="C15167" s="140"/>
      <c r="D15167" s="140"/>
      <c r="E15167" s="140"/>
    </row>
    <row r="15168" spans="1:5">
      <c r="A15168" s="140"/>
      <c r="B15168" s="192"/>
      <c r="C15168" s="140"/>
      <c r="D15168" s="140"/>
      <c r="E15168" s="140"/>
    </row>
    <row r="15169" spans="1:5">
      <c r="A15169" s="140"/>
      <c r="B15169" s="192"/>
      <c r="C15169" s="140"/>
      <c r="D15169" s="140"/>
      <c r="E15169" s="140"/>
    </row>
    <row r="15170" spans="1:5">
      <c r="A15170" s="140"/>
      <c r="B15170" s="192"/>
      <c r="C15170" s="140"/>
      <c r="D15170" s="140"/>
      <c r="E15170" s="140"/>
    </row>
    <row r="15171" spans="1:5">
      <c r="A15171" s="140"/>
      <c r="B15171" s="192"/>
      <c r="C15171" s="140"/>
      <c r="D15171" s="140"/>
      <c r="E15171" s="140"/>
    </row>
    <row r="15172" spans="1:5">
      <c r="A15172" s="140"/>
      <c r="B15172" s="192"/>
      <c r="C15172" s="140"/>
      <c r="D15172" s="140"/>
      <c r="E15172" s="140"/>
    </row>
    <row r="15173" spans="1:5">
      <c r="A15173" s="140"/>
      <c r="B15173" s="192"/>
      <c r="C15173" s="140"/>
      <c r="D15173" s="140"/>
      <c r="E15173" s="140"/>
    </row>
    <row r="15174" spans="1:5">
      <c r="A15174" s="140"/>
      <c r="B15174" s="192"/>
      <c r="C15174" s="140"/>
      <c r="D15174" s="140"/>
      <c r="E15174" s="140"/>
    </row>
    <row r="15175" spans="1:5">
      <c r="A15175" s="140"/>
      <c r="B15175" s="192"/>
      <c r="C15175" s="140"/>
      <c r="D15175" s="140"/>
      <c r="E15175" s="140"/>
    </row>
    <row r="15176" spans="1:5">
      <c r="A15176" s="140"/>
      <c r="B15176" s="192"/>
      <c r="C15176" s="140"/>
      <c r="D15176" s="140"/>
      <c r="E15176" s="140"/>
    </row>
    <row r="15177" spans="1:5">
      <c r="A15177" s="140"/>
      <c r="B15177" s="192"/>
      <c r="C15177" s="140"/>
      <c r="D15177" s="140"/>
      <c r="E15177" s="140"/>
    </row>
    <row r="15178" spans="1:5">
      <c r="A15178" s="140"/>
      <c r="B15178" s="192"/>
      <c r="C15178" s="140"/>
      <c r="D15178" s="140"/>
      <c r="E15178" s="140"/>
    </row>
    <row r="15179" spans="1:5">
      <c r="A15179" s="140"/>
      <c r="B15179" s="192"/>
      <c r="C15179" s="140"/>
      <c r="D15179" s="140"/>
      <c r="E15179" s="140"/>
    </row>
    <row r="15180" spans="1:5">
      <c r="A15180" s="140"/>
      <c r="B15180" s="192"/>
      <c r="C15180" s="140"/>
      <c r="D15180" s="140"/>
      <c r="E15180" s="140"/>
    </row>
    <row r="15181" spans="1:5">
      <c r="A15181" s="140"/>
      <c r="B15181" s="192"/>
      <c r="C15181" s="140"/>
      <c r="D15181" s="140"/>
      <c r="E15181" s="140"/>
    </row>
    <row r="15182" spans="1:5">
      <c r="A15182" s="140"/>
      <c r="B15182" s="192"/>
      <c r="C15182" s="140"/>
      <c r="D15182" s="140"/>
      <c r="E15182" s="140"/>
    </row>
    <row r="15183" spans="1:5">
      <c r="A15183" s="140"/>
      <c r="B15183" s="192"/>
      <c r="C15183" s="140"/>
      <c r="D15183" s="140"/>
      <c r="E15183" s="140"/>
    </row>
    <row r="15184" spans="1:5">
      <c r="A15184" s="140"/>
      <c r="B15184" s="192"/>
      <c r="C15184" s="140"/>
      <c r="D15184" s="140"/>
      <c r="E15184" s="140"/>
    </row>
    <row r="15185" spans="1:5">
      <c r="A15185" s="140"/>
      <c r="B15185" s="192"/>
      <c r="C15185" s="140"/>
      <c r="D15185" s="140"/>
      <c r="E15185" s="140"/>
    </row>
    <row r="15186" spans="1:5">
      <c r="A15186" s="140"/>
      <c r="B15186" s="192"/>
      <c r="C15186" s="140"/>
      <c r="D15186" s="140"/>
      <c r="E15186" s="140"/>
    </row>
    <row r="15187" spans="1:5">
      <c r="A15187" s="140"/>
      <c r="B15187" s="192"/>
      <c r="C15187" s="140"/>
      <c r="D15187" s="140"/>
      <c r="E15187" s="140"/>
    </row>
    <row r="15188" spans="1:5">
      <c r="A15188" s="140"/>
      <c r="B15188" s="192"/>
      <c r="C15188" s="140"/>
      <c r="D15188" s="140"/>
      <c r="E15188" s="140"/>
    </row>
    <row r="15189" spans="1:5">
      <c r="A15189" s="140"/>
      <c r="B15189" s="192"/>
      <c r="C15189" s="140"/>
      <c r="D15189" s="140"/>
      <c r="E15189" s="140"/>
    </row>
    <row r="15190" spans="1:5">
      <c r="A15190" s="140"/>
      <c r="B15190" s="192"/>
      <c r="C15190" s="140"/>
      <c r="D15190" s="140"/>
      <c r="E15190" s="140"/>
    </row>
    <row r="15191" spans="1:5">
      <c r="A15191" s="140"/>
      <c r="B15191" s="192"/>
      <c r="C15191" s="140"/>
      <c r="D15191" s="140"/>
      <c r="E15191" s="140"/>
    </row>
    <row r="15192" spans="1:5">
      <c r="A15192" s="140"/>
      <c r="B15192" s="192"/>
      <c r="C15192" s="140"/>
      <c r="D15192" s="140"/>
      <c r="E15192" s="140"/>
    </row>
    <row r="15193" spans="1:5">
      <c r="A15193" s="140"/>
      <c r="B15193" s="192"/>
      <c r="C15193" s="140"/>
      <c r="D15193" s="140"/>
      <c r="E15193" s="140"/>
    </row>
    <row r="15194" spans="1:5">
      <c r="A15194" s="140"/>
      <c r="B15194" s="192"/>
      <c r="C15194" s="140"/>
      <c r="D15194" s="140"/>
      <c r="E15194" s="140"/>
    </row>
    <row r="15195" spans="1:5">
      <c r="A15195" s="140"/>
      <c r="B15195" s="192"/>
      <c r="C15195" s="140"/>
      <c r="D15195" s="140"/>
      <c r="E15195" s="140"/>
    </row>
    <row r="15196" spans="1:5">
      <c r="A15196" s="140"/>
      <c r="B15196" s="192"/>
      <c r="C15196" s="140"/>
      <c r="D15196" s="140"/>
      <c r="E15196" s="140"/>
    </row>
    <row r="15197" spans="1:5">
      <c r="A15197" s="140"/>
      <c r="B15197" s="192"/>
      <c r="C15197" s="140"/>
      <c r="D15197" s="140"/>
      <c r="E15197" s="140"/>
    </row>
    <row r="15198" spans="1:5">
      <c r="A15198" s="140"/>
      <c r="B15198" s="192"/>
      <c r="C15198" s="140"/>
      <c r="D15198" s="140"/>
      <c r="E15198" s="140"/>
    </row>
    <row r="15199" spans="1:5">
      <c r="A15199" s="140"/>
      <c r="B15199" s="192"/>
      <c r="C15199" s="140"/>
      <c r="D15199" s="140"/>
      <c r="E15199" s="140"/>
    </row>
    <row r="15200" spans="1:5">
      <c r="A15200" s="140"/>
      <c r="B15200" s="192"/>
      <c r="C15200" s="140"/>
      <c r="D15200" s="140"/>
      <c r="E15200" s="140"/>
    </row>
    <row r="15201" spans="1:5">
      <c r="A15201" s="140"/>
      <c r="B15201" s="192"/>
      <c r="C15201" s="140"/>
      <c r="D15201" s="140"/>
      <c r="E15201" s="140"/>
    </row>
    <row r="15202" spans="1:5">
      <c r="A15202" s="140"/>
      <c r="B15202" s="192"/>
      <c r="C15202" s="140"/>
      <c r="D15202" s="140"/>
      <c r="E15202" s="140"/>
    </row>
    <row r="15203" spans="1:5">
      <c r="A15203" s="140"/>
      <c r="B15203" s="192"/>
      <c r="C15203" s="140"/>
      <c r="D15203" s="140"/>
      <c r="E15203" s="140"/>
    </row>
    <row r="15204" spans="1:5">
      <c r="A15204" s="140"/>
      <c r="B15204" s="192"/>
      <c r="C15204" s="140"/>
      <c r="D15204" s="140"/>
      <c r="E15204" s="140"/>
    </row>
    <row r="15205" spans="1:5">
      <c r="A15205" s="140"/>
      <c r="B15205" s="192"/>
      <c r="C15205" s="140"/>
      <c r="D15205" s="140"/>
      <c r="E15205" s="140"/>
    </row>
    <row r="15206" spans="1:5">
      <c r="A15206" s="140"/>
      <c r="B15206" s="192"/>
      <c r="C15206" s="140"/>
      <c r="D15206" s="140"/>
      <c r="E15206" s="140"/>
    </row>
    <row r="15207" spans="1:5">
      <c r="A15207" s="140"/>
      <c r="B15207" s="192"/>
      <c r="C15207" s="140"/>
      <c r="D15207" s="140"/>
      <c r="E15207" s="140"/>
    </row>
    <row r="15208" spans="1:5">
      <c r="A15208" s="140"/>
      <c r="B15208" s="192"/>
      <c r="C15208" s="140"/>
      <c r="D15208" s="140"/>
      <c r="E15208" s="140"/>
    </row>
    <row r="15209" spans="1:5">
      <c r="A15209" s="140"/>
      <c r="B15209" s="192"/>
      <c r="C15209" s="140"/>
      <c r="D15209" s="140"/>
      <c r="E15209" s="140"/>
    </row>
    <row r="15210" spans="1:5">
      <c r="A15210" s="140"/>
      <c r="B15210" s="192"/>
      <c r="C15210" s="140"/>
      <c r="D15210" s="140"/>
      <c r="E15210" s="140"/>
    </row>
    <row r="15211" spans="1:5">
      <c r="A15211" s="140"/>
      <c r="B15211" s="192"/>
      <c r="C15211" s="140"/>
      <c r="D15211" s="140"/>
      <c r="E15211" s="140"/>
    </row>
    <row r="15212" spans="1:5">
      <c r="A15212" s="140"/>
      <c r="B15212" s="192"/>
      <c r="C15212" s="140"/>
      <c r="D15212" s="140"/>
      <c r="E15212" s="140"/>
    </row>
    <row r="15213" spans="1:5">
      <c r="A15213" s="140"/>
      <c r="B15213" s="192"/>
      <c r="C15213" s="140"/>
      <c r="D15213" s="140"/>
      <c r="E15213" s="140"/>
    </row>
    <row r="15214" spans="1:5">
      <c r="A15214" s="140"/>
      <c r="B15214" s="192"/>
      <c r="C15214" s="140"/>
      <c r="D15214" s="140"/>
      <c r="E15214" s="140"/>
    </row>
    <row r="15215" spans="1:5">
      <c r="A15215" s="140"/>
      <c r="B15215" s="192"/>
      <c r="C15215" s="140"/>
      <c r="D15215" s="140"/>
      <c r="E15215" s="140"/>
    </row>
    <row r="15216" spans="1:5">
      <c r="A15216" s="140"/>
      <c r="B15216" s="192"/>
      <c r="C15216" s="140"/>
      <c r="D15216" s="140"/>
      <c r="E15216" s="140"/>
    </row>
    <row r="15217" spans="1:5">
      <c r="A15217" s="140"/>
      <c r="B15217" s="192"/>
      <c r="C15217" s="140"/>
      <c r="D15217" s="140"/>
      <c r="E15217" s="140"/>
    </row>
    <row r="15218" spans="1:5">
      <c r="A15218" s="140"/>
      <c r="B15218" s="192"/>
      <c r="C15218" s="140"/>
      <c r="D15218" s="140"/>
      <c r="E15218" s="140"/>
    </row>
    <row r="15219" spans="1:5">
      <c r="A15219" s="140"/>
      <c r="B15219" s="192"/>
      <c r="C15219" s="140"/>
      <c r="D15219" s="140"/>
      <c r="E15219" s="140"/>
    </row>
    <row r="15220" spans="1:5">
      <c r="A15220" s="140"/>
      <c r="B15220" s="192"/>
      <c r="C15220" s="140"/>
      <c r="D15220" s="140"/>
      <c r="E15220" s="140"/>
    </row>
    <row r="15221" spans="1:5">
      <c r="A15221" s="140"/>
      <c r="B15221" s="192"/>
      <c r="C15221" s="140"/>
      <c r="D15221" s="140"/>
      <c r="E15221" s="140"/>
    </row>
    <row r="15222" spans="1:5">
      <c r="A15222" s="140"/>
      <c r="B15222" s="192"/>
      <c r="C15222" s="140"/>
      <c r="D15222" s="140"/>
      <c r="E15222" s="140"/>
    </row>
    <row r="15223" spans="1:5">
      <c r="A15223" s="140"/>
      <c r="B15223" s="192"/>
      <c r="C15223" s="140"/>
      <c r="D15223" s="140"/>
      <c r="E15223" s="140"/>
    </row>
    <row r="15224" spans="1:5">
      <c r="A15224" s="140"/>
      <c r="B15224" s="192"/>
      <c r="C15224" s="140"/>
      <c r="D15224" s="140"/>
      <c r="E15224" s="140"/>
    </row>
    <row r="15225" spans="1:5">
      <c r="A15225" s="140"/>
      <c r="B15225" s="192"/>
      <c r="C15225" s="140"/>
      <c r="D15225" s="140"/>
      <c r="E15225" s="140"/>
    </row>
    <row r="15226" spans="1:5">
      <c r="A15226" s="140"/>
      <c r="B15226" s="192"/>
      <c r="C15226" s="140"/>
      <c r="D15226" s="140"/>
      <c r="E15226" s="140"/>
    </row>
    <row r="15227" spans="1:5">
      <c r="A15227" s="140"/>
      <c r="B15227" s="192"/>
      <c r="C15227" s="140"/>
      <c r="D15227" s="140"/>
      <c r="E15227" s="140"/>
    </row>
    <row r="15228" spans="1:5">
      <c r="A15228" s="140"/>
      <c r="B15228" s="192"/>
      <c r="C15228" s="140"/>
      <c r="D15228" s="140"/>
      <c r="E15228" s="140"/>
    </row>
    <row r="15229" spans="1:5">
      <c r="A15229" s="140"/>
      <c r="B15229" s="192"/>
      <c r="C15229" s="140"/>
      <c r="D15229" s="140"/>
      <c r="E15229" s="140"/>
    </row>
    <row r="15230" spans="1:5">
      <c r="A15230" s="140"/>
      <c r="B15230" s="192"/>
      <c r="C15230" s="140"/>
      <c r="D15230" s="140"/>
      <c r="E15230" s="140"/>
    </row>
    <row r="15231" spans="1:5">
      <c r="A15231" s="140"/>
      <c r="B15231" s="192"/>
      <c r="C15231" s="140"/>
      <c r="D15231" s="140"/>
      <c r="E15231" s="140"/>
    </row>
    <row r="15232" spans="1:5">
      <c r="A15232" s="140"/>
      <c r="B15232" s="192"/>
      <c r="C15232" s="140"/>
      <c r="D15232" s="140"/>
      <c r="E15232" s="140"/>
    </row>
    <row r="15233" spans="1:5">
      <c r="A15233" s="140"/>
      <c r="B15233" s="192"/>
      <c r="C15233" s="140"/>
      <c r="D15233" s="140"/>
      <c r="E15233" s="140"/>
    </row>
    <row r="15234" spans="1:5">
      <c r="A15234" s="140"/>
      <c r="B15234" s="192"/>
      <c r="C15234" s="140"/>
      <c r="D15234" s="140"/>
      <c r="E15234" s="140"/>
    </row>
    <row r="15235" spans="1:5">
      <c r="A15235" s="140"/>
      <c r="B15235" s="192"/>
      <c r="C15235" s="140"/>
      <c r="D15235" s="140"/>
      <c r="E15235" s="140"/>
    </row>
    <row r="15236" spans="1:5">
      <c r="A15236" s="140"/>
      <c r="B15236" s="192"/>
      <c r="C15236" s="140"/>
      <c r="D15236" s="140"/>
      <c r="E15236" s="140"/>
    </row>
    <row r="15237" spans="1:5">
      <c r="A15237" s="140"/>
      <c r="B15237" s="192"/>
      <c r="C15237" s="140"/>
      <c r="D15237" s="140"/>
      <c r="E15237" s="140"/>
    </row>
    <row r="15238" spans="1:5">
      <c r="A15238" s="140"/>
      <c r="B15238" s="192"/>
      <c r="C15238" s="140"/>
      <c r="D15238" s="140"/>
      <c r="E15238" s="140"/>
    </row>
    <row r="15239" spans="1:5">
      <c r="A15239" s="140"/>
      <c r="B15239" s="192"/>
      <c r="C15239" s="140"/>
      <c r="D15239" s="140"/>
      <c r="E15239" s="140"/>
    </row>
    <row r="15240" spans="1:5">
      <c r="A15240" s="140"/>
      <c r="B15240" s="192"/>
      <c r="C15240" s="140"/>
      <c r="D15240" s="140"/>
      <c r="E15240" s="140"/>
    </row>
    <row r="15241" spans="1:5">
      <c r="A15241" s="140"/>
      <c r="B15241" s="192"/>
      <c r="C15241" s="140"/>
      <c r="D15241" s="140"/>
      <c r="E15241" s="140"/>
    </row>
    <row r="15242" spans="1:5">
      <c r="A15242" s="140"/>
      <c r="B15242" s="192"/>
      <c r="C15242" s="140"/>
      <c r="D15242" s="140"/>
      <c r="E15242" s="140"/>
    </row>
    <row r="15243" spans="1:5">
      <c r="A15243" s="140"/>
      <c r="B15243" s="192"/>
      <c r="C15243" s="140"/>
      <c r="D15243" s="140"/>
      <c r="E15243" s="140"/>
    </row>
    <row r="15244" spans="1:5">
      <c r="A15244" s="140"/>
      <c r="B15244" s="192"/>
      <c r="C15244" s="140"/>
      <c r="D15244" s="140"/>
      <c r="E15244" s="140"/>
    </row>
    <row r="15245" spans="1:5">
      <c r="A15245" s="140"/>
      <c r="B15245" s="192"/>
      <c r="C15245" s="140"/>
      <c r="D15245" s="140"/>
      <c r="E15245" s="140"/>
    </row>
    <row r="15246" spans="1:5">
      <c r="A15246" s="140"/>
      <c r="B15246" s="192"/>
      <c r="C15246" s="140"/>
      <c r="D15246" s="140"/>
      <c r="E15246" s="140"/>
    </row>
    <row r="15247" spans="1:5">
      <c r="A15247" s="140"/>
      <c r="B15247" s="192"/>
      <c r="C15247" s="140"/>
      <c r="D15247" s="140"/>
      <c r="E15247" s="140"/>
    </row>
    <row r="15248" spans="1:5">
      <c r="A15248" s="140"/>
      <c r="B15248" s="192"/>
      <c r="C15248" s="140"/>
      <c r="D15248" s="140"/>
      <c r="E15248" s="140"/>
    </row>
    <row r="15249" spans="1:5">
      <c r="A15249" s="140"/>
      <c r="B15249" s="192"/>
      <c r="C15249" s="140"/>
      <c r="D15249" s="140"/>
      <c r="E15249" s="140"/>
    </row>
    <row r="15250" spans="1:5">
      <c r="A15250" s="140"/>
      <c r="B15250" s="192"/>
      <c r="C15250" s="140"/>
      <c r="D15250" s="140"/>
      <c r="E15250" s="140"/>
    </row>
    <row r="15251" spans="1:5">
      <c r="A15251" s="140"/>
      <c r="B15251" s="192"/>
      <c r="C15251" s="140"/>
      <c r="D15251" s="140"/>
      <c r="E15251" s="140"/>
    </row>
    <row r="15252" spans="1:5">
      <c r="A15252" s="140"/>
      <c r="B15252" s="192"/>
      <c r="C15252" s="140"/>
      <c r="D15252" s="140"/>
      <c r="E15252" s="140"/>
    </row>
    <row r="15253" spans="1:5">
      <c r="A15253" s="140"/>
      <c r="B15253" s="192"/>
      <c r="C15253" s="140"/>
      <c r="D15253" s="140"/>
      <c r="E15253" s="140"/>
    </row>
    <row r="15254" spans="1:5">
      <c r="A15254" s="140"/>
      <c r="B15254" s="192"/>
      <c r="C15254" s="140"/>
      <c r="D15254" s="140"/>
      <c r="E15254" s="140"/>
    </row>
    <row r="15255" spans="1:5">
      <c r="A15255" s="140"/>
      <c r="B15255" s="192"/>
      <c r="C15255" s="140"/>
      <c r="D15255" s="140"/>
      <c r="E15255" s="140"/>
    </row>
    <row r="15256" spans="1:5">
      <c r="A15256" s="140"/>
      <c r="B15256" s="192"/>
      <c r="C15256" s="140"/>
      <c r="D15256" s="140"/>
      <c r="E15256" s="140"/>
    </row>
    <row r="15257" spans="1:5">
      <c r="A15257" s="140"/>
      <c r="B15257" s="192"/>
      <c r="C15257" s="140"/>
      <c r="D15257" s="140"/>
      <c r="E15257" s="140"/>
    </row>
    <row r="15258" spans="1:5">
      <c r="A15258" s="140"/>
      <c r="B15258" s="192"/>
      <c r="C15258" s="140"/>
      <c r="D15258" s="140"/>
      <c r="E15258" s="140"/>
    </row>
    <row r="15259" spans="1:5">
      <c r="A15259" s="140"/>
      <c r="B15259" s="192"/>
      <c r="C15259" s="140"/>
      <c r="D15259" s="140"/>
      <c r="E15259" s="140"/>
    </row>
    <row r="15260" spans="1:5">
      <c r="A15260" s="140"/>
      <c r="B15260" s="192"/>
      <c r="C15260" s="140"/>
      <c r="D15260" s="140"/>
      <c r="E15260" s="140"/>
    </row>
    <row r="15261" spans="1:5">
      <c r="A15261" s="140"/>
      <c r="B15261" s="192"/>
      <c r="C15261" s="140"/>
      <c r="D15261" s="140"/>
      <c r="E15261" s="140"/>
    </row>
    <row r="15262" spans="1:5">
      <c r="A15262" s="140"/>
      <c r="B15262" s="192"/>
      <c r="C15262" s="140"/>
      <c r="D15262" s="140"/>
      <c r="E15262" s="140"/>
    </row>
    <row r="15263" spans="1:5">
      <c r="A15263" s="140"/>
      <c r="B15263" s="192"/>
      <c r="C15263" s="140"/>
      <c r="D15263" s="140"/>
      <c r="E15263" s="140"/>
    </row>
    <row r="15264" spans="1:5">
      <c r="A15264" s="140"/>
      <c r="B15264" s="192"/>
      <c r="C15264" s="140"/>
      <c r="D15264" s="140"/>
      <c r="E15264" s="140"/>
    </row>
    <row r="15265" spans="1:5">
      <c r="A15265" s="140"/>
      <c r="B15265" s="192"/>
      <c r="C15265" s="140"/>
      <c r="D15265" s="140"/>
      <c r="E15265" s="140"/>
    </row>
    <row r="15266" spans="1:5">
      <c r="A15266" s="140"/>
      <c r="B15266" s="192"/>
      <c r="C15266" s="140"/>
      <c r="D15266" s="140"/>
      <c r="E15266" s="140"/>
    </row>
    <row r="15267" spans="1:5">
      <c r="A15267" s="140"/>
      <c r="B15267" s="192"/>
      <c r="C15267" s="140"/>
      <c r="D15267" s="140"/>
      <c r="E15267" s="140"/>
    </row>
    <row r="15268" spans="1:5">
      <c r="A15268" s="140"/>
      <c r="B15268" s="192"/>
      <c r="C15268" s="140"/>
      <c r="D15268" s="140"/>
      <c r="E15268" s="140"/>
    </row>
    <row r="15269" spans="1:5">
      <c r="A15269" s="140"/>
      <c r="B15269" s="192"/>
      <c r="C15269" s="140"/>
      <c r="D15269" s="140"/>
      <c r="E15269" s="140"/>
    </row>
    <row r="15270" spans="1:5">
      <c r="A15270" s="140"/>
      <c r="B15270" s="192"/>
      <c r="C15270" s="140"/>
      <c r="D15270" s="140"/>
      <c r="E15270" s="140"/>
    </row>
    <row r="15271" spans="1:5">
      <c r="A15271" s="140"/>
      <c r="B15271" s="192"/>
      <c r="C15271" s="140"/>
      <c r="D15271" s="140"/>
      <c r="E15271" s="140"/>
    </row>
    <row r="15272" spans="1:5">
      <c r="A15272" s="140"/>
      <c r="B15272" s="192"/>
      <c r="C15272" s="140"/>
      <c r="D15272" s="140"/>
      <c r="E15272" s="140"/>
    </row>
    <row r="15273" spans="1:5">
      <c r="A15273" s="140"/>
      <c r="B15273" s="192"/>
      <c r="C15273" s="140"/>
      <c r="D15273" s="140"/>
      <c r="E15273" s="140"/>
    </row>
    <row r="15274" spans="1:5">
      <c r="A15274" s="140"/>
      <c r="B15274" s="192"/>
      <c r="C15274" s="140"/>
      <c r="D15274" s="140"/>
      <c r="E15274" s="140"/>
    </row>
    <row r="15275" spans="1:5">
      <c r="A15275" s="140"/>
      <c r="B15275" s="192"/>
      <c r="C15275" s="140"/>
      <c r="D15275" s="140"/>
      <c r="E15275" s="140"/>
    </row>
    <row r="15276" spans="1:5">
      <c r="A15276" s="140"/>
      <c r="B15276" s="192"/>
      <c r="C15276" s="140"/>
      <c r="D15276" s="140"/>
      <c r="E15276" s="140"/>
    </row>
    <row r="15277" spans="1:5">
      <c r="A15277" s="140"/>
      <c r="B15277" s="192"/>
      <c r="C15277" s="140"/>
      <c r="D15277" s="140"/>
      <c r="E15277" s="140"/>
    </row>
    <row r="15278" spans="1:5">
      <c r="A15278" s="140"/>
      <c r="B15278" s="192"/>
      <c r="C15278" s="140"/>
      <c r="D15278" s="140"/>
      <c r="E15278" s="140"/>
    </row>
    <row r="15279" spans="1:5">
      <c r="A15279" s="140"/>
      <c r="B15279" s="192"/>
      <c r="C15279" s="140"/>
      <c r="D15279" s="140"/>
      <c r="E15279" s="140"/>
    </row>
    <row r="15280" spans="1:5">
      <c r="A15280" s="140"/>
      <c r="B15280" s="192"/>
      <c r="C15280" s="140"/>
      <c r="D15280" s="140"/>
      <c r="E15280" s="140"/>
    </row>
    <row r="15281" spans="1:5">
      <c r="A15281" s="140"/>
      <c r="B15281" s="192"/>
      <c r="C15281" s="140"/>
      <c r="D15281" s="140"/>
      <c r="E15281" s="140"/>
    </row>
    <row r="15282" spans="1:5">
      <c r="A15282" s="140"/>
      <c r="B15282" s="192"/>
      <c r="C15282" s="140"/>
      <c r="D15282" s="140"/>
      <c r="E15282" s="140"/>
    </row>
    <row r="15283" spans="1:5">
      <c r="A15283" s="140"/>
      <c r="B15283" s="192"/>
      <c r="C15283" s="140"/>
      <c r="D15283" s="140"/>
      <c r="E15283" s="140"/>
    </row>
    <row r="15284" spans="1:5">
      <c r="A15284" s="140"/>
      <c r="B15284" s="192"/>
      <c r="C15284" s="140"/>
      <c r="D15284" s="140"/>
      <c r="E15284" s="140"/>
    </row>
    <row r="15285" spans="1:5">
      <c r="A15285" s="140"/>
      <c r="B15285" s="192"/>
      <c r="C15285" s="140"/>
      <c r="D15285" s="140"/>
      <c r="E15285" s="140"/>
    </row>
    <row r="15286" spans="1:5">
      <c r="A15286" s="140"/>
      <c r="B15286" s="192"/>
      <c r="C15286" s="140"/>
      <c r="D15286" s="140"/>
      <c r="E15286" s="140"/>
    </row>
    <row r="15287" spans="1:5">
      <c r="A15287" s="140"/>
      <c r="B15287" s="192"/>
      <c r="C15287" s="140"/>
      <c r="D15287" s="140"/>
      <c r="E15287" s="140"/>
    </row>
    <row r="15288" spans="1:5">
      <c r="A15288" s="140"/>
      <c r="B15288" s="192"/>
      <c r="C15288" s="140"/>
      <c r="D15288" s="140"/>
      <c r="E15288" s="140"/>
    </row>
    <row r="15289" spans="1:5">
      <c r="A15289" s="140"/>
      <c r="B15289" s="192"/>
      <c r="C15289" s="140"/>
      <c r="D15289" s="140"/>
      <c r="E15289" s="140"/>
    </row>
    <row r="15290" spans="1:5">
      <c r="A15290" s="140"/>
      <c r="B15290" s="192"/>
      <c r="C15290" s="140"/>
      <c r="D15290" s="140"/>
      <c r="E15290" s="140"/>
    </row>
    <row r="15291" spans="1:5">
      <c r="A15291" s="140"/>
      <c r="B15291" s="192"/>
      <c r="C15291" s="140"/>
      <c r="D15291" s="140"/>
      <c r="E15291" s="140"/>
    </row>
    <row r="15292" spans="1:5">
      <c r="A15292" s="140"/>
      <c r="B15292" s="192"/>
      <c r="C15292" s="140"/>
      <c r="D15292" s="140"/>
      <c r="E15292" s="140"/>
    </row>
    <row r="15293" spans="1:5">
      <c r="A15293" s="140"/>
      <c r="B15293" s="192"/>
      <c r="C15293" s="140"/>
      <c r="D15293" s="140"/>
      <c r="E15293" s="140"/>
    </row>
    <row r="15294" spans="1:5">
      <c r="A15294" s="140"/>
      <c r="B15294" s="192"/>
      <c r="C15294" s="140"/>
      <c r="D15294" s="140"/>
      <c r="E15294" s="140"/>
    </row>
    <row r="15295" spans="1:5">
      <c r="A15295" s="140"/>
      <c r="B15295" s="192"/>
      <c r="C15295" s="140"/>
      <c r="D15295" s="140"/>
      <c r="E15295" s="140"/>
    </row>
    <row r="15296" spans="1:5">
      <c r="A15296" s="140"/>
      <c r="B15296" s="192"/>
      <c r="C15296" s="140"/>
      <c r="D15296" s="140"/>
      <c r="E15296" s="140"/>
    </row>
    <row r="15297" spans="1:5">
      <c r="A15297" s="140"/>
      <c r="B15297" s="192"/>
      <c r="C15297" s="140"/>
      <c r="D15297" s="140"/>
      <c r="E15297" s="140"/>
    </row>
    <row r="15298" spans="1:5">
      <c r="A15298" s="140"/>
      <c r="B15298" s="192"/>
      <c r="C15298" s="140"/>
      <c r="D15298" s="140"/>
      <c r="E15298" s="140"/>
    </row>
    <row r="15299" spans="1:5">
      <c r="A15299" s="140"/>
      <c r="B15299" s="192"/>
      <c r="C15299" s="140"/>
      <c r="D15299" s="140"/>
      <c r="E15299" s="140"/>
    </row>
    <row r="15300" spans="1:5">
      <c r="A15300" s="140"/>
      <c r="B15300" s="192"/>
      <c r="C15300" s="140"/>
      <c r="D15300" s="140"/>
      <c r="E15300" s="140"/>
    </row>
    <row r="15301" spans="1:5">
      <c r="A15301" s="140"/>
      <c r="B15301" s="192"/>
      <c r="C15301" s="140"/>
      <c r="D15301" s="140"/>
      <c r="E15301" s="140"/>
    </row>
    <row r="15302" spans="1:5">
      <c r="A15302" s="140"/>
      <c r="B15302" s="192"/>
      <c r="C15302" s="140"/>
      <c r="D15302" s="140"/>
      <c r="E15302" s="140"/>
    </row>
    <row r="15303" spans="1:5">
      <c r="A15303" s="140"/>
      <c r="B15303" s="192"/>
      <c r="C15303" s="140"/>
      <c r="D15303" s="140"/>
      <c r="E15303" s="140"/>
    </row>
    <row r="15304" spans="1:5">
      <c r="A15304" s="140"/>
      <c r="B15304" s="192"/>
      <c r="C15304" s="140"/>
      <c r="D15304" s="140"/>
      <c r="E15304" s="140"/>
    </row>
    <row r="15305" spans="1:5">
      <c r="A15305" s="140"/>
      <c r="B15305" s="192"/>
      <c r="C15305" s="140"/>
      <c r="D15305" s="140"/>
      <c r="E15305" s="140"/>
    </row>
    <row r="15306" spans="1:5">
      <c r="A15306" s="140"/>
      <c r="B15306" s="192"/>
      <c r="C15306" s="140"/>
      <c r="D15306" s="140"/>
      <c r="E15306" s="140"/>
    </row>
    <row r="15307" spans="1:5">
      <c r="A15307" s="140"/>
      <c r="B15307" s="192"/>
      <c r="C15307" s="140"/>
      <c r="D15307" s="140"/>
      <c r="E15307" s="140"/>
    </row>
    <row r="15308" spans="1:5">
      <c r="A15308" s="140"/>
      <c r="B15308" s="192"/>
      <c r="C15308" s="140"/>
      <c r="D15308" s="140"/>
      <c r="E15308" s="140"/>
    </row>
    <row r="15309" spans="1:5">
      <c r="A15309" s="140"/>
      <c r="B15309" s="192"/>
      <c r="C15309" s="140"/>
      <c r="D15309" s="140"/>
      <c r="E15309" s="140"/>
    </row>
    <row r="15310" spans="1:5">
      <c r="A15310" s="140"/>
      <c r="B15310" s="192"/>
      <c r="C15310" s="140"/>
      <c r="D15310" s="140"/>
      <c r="E15310" s="140"/>
    </row>
    <row r="15311" spans="1:5">
      <c r="A15311" s="140"/>
      <c r="B15311" s="192"/>
      <c r="C15311" s="140"/>
      <c r="D15311" s="140"/>
      <c r="E15311" s="140"/>
    </row>
    <row r="15312" spans="1:5">
      <c r="A15312" s="140"/>
      <c r="B15312" s="192"/>
      <c r="C15312" s="140"/>
      <c r="D15312" s="140"/>
      <c r="E15312" s="140"/>
    </row>
    <row r="15313" spans="1:5">
      <c r="A15313" s="140"/>
      <c r="B15313" s="192"/>
      <c r="C15313" s="140"/>
      <c r="D15313" s="140"/>
      <c r="E15313" s="140"/>
    </row>
    <row r="15314" spans="1:5">
      <c r="A15314" s="140"/>
      <c r="B15314" s="192"/>
      <c r="C15314" s="140"/>
      <c r="D15314" s="140"/>
      <c r="E15314" s="140"/>
    </row>
    <row r="15315" spans="1:5">
      <c r="A15315" s="140"/>
      <c r="B15315" s="192"/>
      <c r="C15315" s="140"/>
      <c r="D15315" s="140"/>
      <c r="E15315" s="140"/>
    </row>
    <row r="15316" spans="1:5">
      <c r="A15316" s="140"/>
      <c r="B15316" s="192"/>
      <c r="C15316" s="140"/>
      <c r="D15316" s="140"/>
      <c r="E15316" s="140"/>
    </row>
    <row r="15317" spans="1:5">
      <c r="A15317" s="140"/>
      <c r="B15317" s="192"/>
      <c r="C15317" s="140"/>
      <c r="D15317" s="140"/>
      <c r="E15317" s="140"/>
    </row>
    <row r="15318" spans="1:5">
      <c r="A15318" s="140"/>
      <c r="B15318" s="192"/>
      <c r="C15318" s="140"/>
      <c r="D15318" s="140"/>
      <c r="E15318" s="140"/>
    </row>
    <row r="15319" spans="1:5">
      <c r="A15319" s="140"/>
      <c r="B15319" s="192"/>
      <c r="C15319" s="140"/>
      <c r="D15319" s="140"/>
      <c r="E15319" s="140"/>
    </row>
    <row r="15320" spans="1:5">
      <c r="A15320" s="140"/>
      <c r="B15320" s="192"/>
      <c r="C15320" s="140"/>
      <c r="D15320" s="140"/>
      <c r="E15320" s="140"/>
    </row>
    <row r="15321" spans="1:5">
      <c r="A15321" s="140"/>
      <c r="B15321" s="192"/>
      <c r="C15321" s="140"/>
      <c r="D15321" s="140"/>
      <c r="E15321" s="140"/>
    </row>
    <row r="15322" spans="1:5">
      <c r="A15322" s="140"/>
      <c r="B15322" s="192"/>
      <c r="C15322" s="140"/>
      <c r="D15322" s="140"/>
      <c r="E15322" s="140"/>
    </row>
    <row r="15323" spans="1:5">
      <c r="A15323" s="140"/>
      <c r="B15323" s="192"/>
      <c r="C15323" s="140"/>
      <c r="D15323" s="140"/>
      <c r="E15323" s="140"/>
    </row>
    <row r="15324" spans="1:5">
      <c r="A15324" s="140"/>
      <c r="B15324" s="192"/>
      <c r="C15324" s="140"/>
      <c r="D15324" s="140"/>
      <c r="E15324" s="140"/>
    </row>
    <row r="15325" spans="1:5">
      <c r="A15325" s="140"/>
      <c r="B15325" s="192"/>
      <c r="C15325" s="140"/>
      <c r="D15325" s="140"/>
      <c r="E15325" s="140"/>
    </row>
    <row r="15326" spans="1:5">
      <c r="A15326" s="140"/>
      <c r="B15326" s="192"/>
      <c r="C15326" s="140"/>
      <c r="D15326" s="140"/>
      <c r="E15326" s="140"/>
    </row>
    <row r="15327" spans="1:5">
      <c r="A15327" s="140"/>
      <c r="B15327" s="192"/>
      <c r="C15327" s="140"/>
      <c r="D15327" s="140"/>
      <c r="E15327" s="140"/>
    </row>
    <row r="15328" spans="1:5">
      <c r="A15328" s="140"/>
      <c r="B15328" s="192"/>
      <c r="C15328" s="140"/>
      <c r="D15328" s="140"/>
      <c r="E15328" s="140"/>
    </row>
    <row r="15329" spans="1:5">
      <c r="A15329" s="140"/>
      <c r="B15329" s="192"/>
      <c r="C15329" s="140"/>
      <c r="D15329" s="140"/>
      <c r="E15329" s="140"/>
    </row>
    <row r="15330" spans="1:5">
      <c r="A15330" s="140"/>
      <c r="B15330" s="192"/>
      <c r="C15330" s="140"/>
      <c r="D15330" s="140"/>
      <c r="E15330" s="140"/>
    </row>
    <row r="15331" spans="1:5">
      <c r="A15331" s="140"/>
      <c r="B15331" s="192"/>
      <c r="C15331" s="140"/>
      <c r="D15331" s="140"/>
      <c r="E15331" s="140"/>
    </row>
    <row r="15332" spans="1:5">
      <c r="A15332" s="140"/>
      <c r="B15332" s="192"/>
      <c r="C15332" s="140"/>
      <c r="D15332" s="140"/>
      <c r="E15332" s="140"/>
    </row>
    <row r="15333" spans="1:5">
      <c r="A15333" s="140"/>
      <c r="B15333" s="192"/>
      <c r="C15333" s="140"/>
      <c r="D15333" s="140"/>
      <c r="E15333" s="140"/>
    </row>
    <row r="15334" spans="1:5">
      <c r="A15334" s="140"/>
      <c r="B15334" s="192"/>
      <c r="C15334" s="140"/>
      <c r="D15334" s="140"/>
      <c r="E15334" s="140"/>
    </row>
    <row r="15335" spans="1:5">
      <c r="A15335" s="140"/>
      <c r="B15335" s="192"/>
      <c r="C15335" s="140"/>
      <c r="D15335" s="140"/>
      <c r="E15335" s="140"/>
    </row>
    <row r="15336" spans="1:5">
      <c r="A15336" s="140"/>
      <c r="B15336" s="192"/>
      <c r="C15336" s="140"/>
      <c r="D15336" s="140"/>
      <c r="E15336" s="140"/>
    </row>
    <row r="15337" spans="1:5">
      <c r="A15337" s="140"/>
      <c r="B15337" s="192"/>
      <c r="C15337" s="140"/>
      <c r="D15337" s="140"/>
      <c r="E15337" s="140"/>
    </row>
    <row r="15338" spans="1:5">
      <c r="A15338" s="140"/>
      <c r="B15338" s="192"/>
      <c r="C15338" s="140"/>
      <c r="D15338" s="140"/>
      <c r="E15338" s="140"/>
    </row>
    <row r="15339" spans="1:5">
      <c r="A15339" s="140"/>
      <c r="B15339" s="192"/>
      <c r="C15339" s="140"/>
      <c r="D15339" s="140"/>
      <c r="E15339" s="140"/>
    </row>
    <row r="15340" spans="1:5">
      <c r="A15340" s="140"/>
      <c r="B15340" s="192"/>
      <c r="C15340" s="140"/>
      <c r="D15340" s="140"/>
      <c r="E15340" s="140"/>
    </row>
    <row r="15341" spans="1:5">
      <c r="A15341" s="140"/>
      <c r="B15341" s="192"/>
      <c r="C15341" s="140"/>
      <c r="D15341" s="140"/>
      <c r="E15341" s="140"/>
    </row>
    <row r="15342" spans="1:5">
      <c r="A15342" s="140"/>
      <c r="B15342" s="192"/>
      <c r="C15342" s="140"/>
      <c r="D15342" s="140"/>
      <c r="E15342" s="140"/>
    </row>
    <row r="15343" spans="1:5">
      <c r="A15343" s="140"/>
      <c r="B15343" s="192"/>
      <c r="C15343" s="140"/>
      <c r="D15343" s="140"/>
      <c r="E15343" s="140"/>
    </row>
    <row r="15344" spans="1:5">
      <c r="A15344" s="140"/>
      <c r="B15344" s="192"/>
      <c r="C15344" s="140"/>
      <c r="D15344" s="140"/>
      <c r="E15344" s="140"/>
    </row>
    <row r="15345" spans="1:5">
      <c r="A15345" s="140"/>
      <c r="B15345" s="192"/>
      <c r="C15345" s="140"/>
      <c r="D15345" s="140"/>
      <c r="E15345" s="140"/>
    </row>
    <row r="15346" spans="1:5">
      <c r="A15346" s="140"/>
      <c r="B15346" s="192"/>
      <c r="C15346" s="140"/>
      <c r="D15346" s="140"/>
      <c r="E15346" s="140"/>
    </row>
    <row r="15347" spans="1:5">
      <c r="A15347" s="140"/>
      <c r="B15347" s="192"/>
      <c r="C15347" s="140"/>
      <c r="D15347" s="140"/>
      <c r="E15347" s="140"/>
    </row>
    <row r="15348" spans="1:5">
      <c r="A15348" s="140"/>
      <c r="B15348" s="192"/>
      <c r="C15348" s="140"/>
      <c r="D15348" s="140"/>
      <c r="E15348" s="140"/>
    </row>
    <row r="15349" spans="1:5">
      <c r="A15349" s="140"/>
      <c r="B15349" s="192"/>
      <c r="C15349" s="140"/>
      <c r="D15349" s="140"/>
      <c r="E15349" s="140"/>
    </row>
    <row r="15350" spans="1:5">
      <c r="A15350" s="140"/>
      <c r="B15350" s="192"/>
      <c r="C15350" s="140"/>
      <c r="D15350" s="140"/>
      <c r="E15350" s="140"/>
    </row>
    <row r="15351" spans="1:5">
      <c r="A15351" s="140"/>
      <c r="B15351" s="192"/>
      <c r="C15351" s="140"/>
      <c r="D15351" s="140"/>
      <c r="E15351" s="140"/>
    </row>
    <row r="15352" spans="1:5">
      <c r="A15352" s="140"/>
      <c r="B15352" s="192"/>
      <c r="C15352" s="140"/>
      <c r="D15352" s="140"/>
      <c r="E15352" s="140"/>
    </row>
    <row r="15353" spans="1:5">
      <c r="A15353" s="140"/>
      <c r="B15353" s="192"/>
      <c r="C15353" s="140"/>
      <c r="D15353" s="140"/>
      <c r="E15353" s="140"/>
    </row>
    <row r="15354" spans="1:5">
      <c r="A15354" s="140"/>
      <c r="B15354" s="192"/>
      <c r="C15354" s="140"/>
      <c r="D15354" s="140"/>
      <c r="E15354" s="140"/>
    </row>
    <row r="15355" spans="1:5">
      <c r="A15355" s="140"/>
      <c r="B15355" s="192"/>
      <c r="C15355" s="140"/>
      <c r="D15355" s="140"/>
      <c r="E15355" s="140"/>
    </row>
    <row r="15356" spans="1:5">
      <c r="A15356" s="140"/>
      <c r="B15356" s="192"/>
      <c r="C15356" s="140"/>
      <c r="D15356" s="140"/>
      <c r="E15356" s="140"/>
    </row>
    <row r="15357" spans="1:5">
      <c r="A15357" s="140"/>
      <c r="B15357" s="192"/>
      <c r="C15357" s="140"/>
      <c r="D15357" s="140"/>
      <c r="E15357" s="140"/>
    </row>
    <row r="15358" spans="1:5">
      <c r="A15358" s="140"/>
      <c r="B15358" s="192"/>
      <c r="C15358" s="140"/>
      <c r="D15358" s="140"/>
      <c r="E15358" s="140"/>
    </row>
    <row r="15359" spans="1:5">
      <c r="A15359" s="140"/>
      <c r="B15359" s="192"/>
      <c r="C15359" s="140"/>
      <c r="D15359" s="140"/>
      <c r="E15359" s="140"/>
    </row>
    <row r="15360" spans="1:5">
      <c r="A15360" s="140"/>
      <c r="B15360" s="192"/>
      <c r="C15360" s="140"/>
      <c r="D15360" s="140"/>
      <c r="E15360" s="140"/>
    </row>
    <row r="15361" spans="1:5">
      <c r="A15361" s="140"/>
      <c r="B15361" s="192"/>
      <c r="C15361" s="140"/>
      <c r="D15361" s="140"/>
      <c r="E15361" s="140"/>
    </row>
    <row r="15362" spans="1:5">
      <c r="A15362" s="140"/>
      <c r="B15362" s="192"/>
      <c r="C15362" s="140"/>
      <c r="D15362" s="140"/>
      <c r="E15362" s="140"/>
    </row>
    <row r="15363" spans="1:5">
      <c r="A15363" s="140"/>
      <c r="B15363" s="192"/>
      <c r="C15363" s="140"/>
      <c r="D15363" s="140"/>
      <c r="E15363" s="140"/>
    </row>
    <row r="15364" spans="1:5">
      <c r="A15364" s="140"/>
      <c r="B15364" s="192"/>
      <c r="C15364" s="140"/>
      <c r="D15364" s="140"/>
      <c r="E15364" s="140"/>
    </row>
    <row r="15365" spans="1:5">
      <c r="A15365" s="140"/>
      <c r="B15365" s="192"/>
      <c r="C15365" s="140"/>
      <c r="D15365" s="140"/>
      <c r="E15365" s="140"/>
    </row>
    <row r="15366" spans="1:5">
      <c r="A15366" s="140"/>
      <c r="B15366" s="192"/>
      <c r="C15366" s="140"/>
      <c r="D15366" s="140"/>
      <c r="E15366" s="140"/>
    </row>
    <row r="15367" spans="1:5">
      <c r="A15367" s="140"/>
      <c r="B15367" s="192"/>
      <c r="C15367" s="140"/>
      <c r="D15367" s="140"/>
      <c r="E15367" s="140"/>
    </row>
    <row r="15368" spans="1:5">
      <c r="A15368" s="140"/>
      <c r="B15368" s="192"/>
      <c r="C15368" s="140"/>
      <c r="D15368" s="140"/>
      <c r="E15368" s="140"/>
    </row>
    <row r="15369" spans="1:5">
      <c r="A15369" s="140"/>
      <c r="B15369" s="192"/>
      <c r="C15369" s="140"/>
      <c r="D15369" s="140"/>
      <c r="E15369" s="140"/>
    </row>
    <row r="15370" spans="1:5">
      <c r="A15370" s="140"/>
      <c r="B15370" s="192"/>
      <c r="C15370" s="140"/>
      <c r="D15370" s="140"/>
      <c r="E15370" s="140"/>
    </row>
    <row r="15371" spans="1:5">
      <c r="A15371" s="140"/>
      <c r="B15371" s="192"/>
      <c r="C15371" s="140"/>
      <c r="D15371" s="140"/>
      <c r="E15371" s="140"/>
    </row>
    <row r="15372" spans="1:5">
      <c r="A15372" s="140"/>
      <c r="B15372" s="192"/>
      <c r="C15372" s="140"/>
      <c r="D15372" s="140"/>
      <c r="E15372" s="140"/>
    </row>
    <row r="15373" spans="1:5">
      <c r="A15373" s="140"/>
      <c r="B15373" s="192"/>
      <c r="C15373" s="140"/>
      <c r="D15373" s="140"/>
      <c r="E15373" s="140"/>
    </row>
    <row r="15374" spans="1:5">
      <c r="A15374" s="140"/>
      <c r="B15374" s="192"/>
      <c r="C15374" s="140"/>
      <c r="D15374" s="140"/>
      <c r="E15374" s="140"/>
    </row>
    <row r="15375" spans="1:5">
      <c r="A15375" s="140"/>
      <c r="B15375" s="192"/>
      <c r="C15375" s="140"/>
      <c r="D15375" s="140"/>
      <c r="E15375" s="140"/>
    </row>
    <row r="15376" spans="1:5">
      <c r="A15376" s="140"/>
      <c r="B15376" s="192"/>
      <c r="C15376" s="140"/>
      <c r="D15376" s="140"/>
      <c r="E15376" s="140"/>
    </row>
    <row r="15377" spans="1:5">
      <c r="A15377" s="140"/>
      <c r="B15377" s="192"/>
      <c r="C15377" s="140"/>
      <c r="D15377" s="140"/>
      <c r="E15377" s="140"/>
    </row>
    <row r="15378" spans="1:5">
      <c r="A15378" s="140"/>
      <c r="B15378" s="192"/>
      <c r="C15378" s="140"/>
      <c r="D15378" s="140"/>
      <c r="E15378" s="140"/>
    </row>
    <row r="15379" spans="1:5">
      <c r="A15379" s="140"/>
      <c r="B15379" s="192"/>
      <c r="C15379" s="140"/>
      <c r="D15379" s="140"/>
      <c r="E15379" s="140"/>
    </row>
    <row r="15380" spans="1:5">
      <c r="A15380" s="140"/>
      <c r="B15380" s="192"/>
      <c r="C15380" s="140"/>
      <c r="D15380" s="140"/>
      <c r="E15380" s="140"/>
    </row>
    <row r="15381" spans="1:5">
      <c r="A15381" s="140"/>
      <c r="B15381" s="192"/>
      <c r="C15381" s="140"/>
      <c r="D15381" s="140"/>
      <c r="E15381" s="140"/>
    </row>
    <row r="15382" spans="1:5">
      <c r="A15382" s="140"/>
      <c r="B15382" s="192"/>
      <c r="C15382" s="140"/>
      <c r="D15382" s="140"/>
      <c r="E15382" s="140"/>
    </row>
    <row r="15383" spans="1:5">
      <c r="A15383" s="140"/>
      <c r="B15383" s="192"/>
      <c r="C15383" s="140"/>
      <c r="D15383" s="140"/>
      <c r="E15383" s="140"/>
    </row>
    <row r="15384" spans="1:5">
      <c r="A15384" s="140"/>
      <c r="B15384" s="192"/>
      <c r="C15384" s="140"/>
      <c r="D15384" s="140"/>
      <c r="E15384" s="140"/>
    </row>
    <row r="15385" spans="1:5">
      <c r="A15385" s="140"/>
      <c r="B15385" s="192"/>
      <c r="C15385" s="140"/>
      <c r="D15385" s="140"/>
      <c r="E15385" s="140"/>
    </row>
    <row r="15386" spans="1:5">
      <c r="A15386" s="140"/>
      <c r="B15386" s="192"/>
      <c r="C15386" s="140"/>
      <c r="D15386" s="140"/>
      <c r="E15386" s="140"/>
    </row>
    <row r="15387" spans="1:5">
      <c r="A15387" s="140"/>
      <c r="B15387" s="192"/>
      <c r="C15387" s="140"/>
      <c r="D15387" s="140"/>
      <c r="E15387" s="140"/>
    </row>
    <row r="15388" spans="1:5">
      <c r="A15388" s="140"/>
      <c r="B15388" s="192"/>
      <c r="C15388" s="140"/>
      <c r="D15388" s="140"/>
      <c r="E15388" s="140"/>
    </row>
    <row r="15389" spans="1:5">
      <c r="A15389" s="140"/>
      <c r="B15389" s="192"/>
      <c r="C15389" s="140"/>
      <c r="D15389" s="140"/>
      <c r="E15389" s="140"/>
    </row>
    <row r="15390" spans="1:5">
      <c r="A15390" s="140"/>
      <c r="B15390" s="192"/>
      <c r="C15390" s="140"/>
      <c r="D15390" s="140"/>
      <c r="E15390" s="140"/>
    </row>
    <row r="15391" spans="1:5">
      <c r="A15391" s="140"/>
      <c r="B15391" s="192"/>
      <c r="C15391" s="140"/>
      <c r="D15391" s="140"/>
      <c r="E15391" s="140"/>
    </row>
    <row r="15392" spans="1:5">
      <c r="A15392" s="140"/>
      <c r="B15392" s="192"/>
      <c r="C15392" s="140"/>
      <c r="D15392" s="140"/>
      <c r="E15392" s="140"/>
    </row>
    <row r="15393" spans="1:5">
      <c r="A15393" s="140"/>
      <c r="B15393" s="192"/>
      <c r="C15393" s="140"/>
      <c r="D15393" s="140"/>
      <c r="E15393" s="140"/>
    </row>
    <row r="15394" spans="1:5">
      <c r="A15394" s="140"/>
      <c r="B15394" s="192"/>
      <c r="C15394" s="140"/>
      <c r="D15394" s="140"/>
      <c r="E15394" s="140"/>
    </row>
    <row r="15395" spans="1:5">
      <c r="A15395" s="140"/>
      <c r="B15395" s="192"/>
      <c r="C15395" s="140"/>
      <c r="D15395" s="140"/>
      <c r="E15395" s="140"/>
    </row>
    <row r="15396" spans="1:5">
      <c r="A15396" s="140"/>
      <c r="B15396" s="192"/>
      <c r="C15396" s="140"/>
      <c r="D15396" s="140"/>
      <c r="E15396" s="140"/>
    </row>
    <row r="15397" spans="1:5">
      <c r="A15397" s="140"/>
      <c r="B15397" s="192"/>
      <c r="C15397" s="140"/>
      <c r="D15397" s="140"/>
      <c r="E15397" s="140"/>
    </row>
    <row r="15398" spans="1:5">
      <c r="A15398" s="140"/>
      <c r="B15398" s="192"/>
      <c r="C15398" s="140"/>
      <c r="D15398" s="140"/>
      <c r="E15398" s="140"/>
    </row>
    <row r="15399" spans="1:5">
      <c r="A15399" s="140"/>
      <c r="B15399" s="192"/>
      <c r="C15399" s="140"/>
      <c r="D15399" s="140"/>
      <c r="E15399" s="140"/>
    </row>
    <row r="15400" spans="1:5">
      <c r="A15400" s="140"/>
      <c r="B15400" s="192"/>
      <c r="C15400" s="140"/>
      <c r="D15400" s="140"/>
      <c r="E15400" s="140"/>
    </row>
    <row r="15401" spans="1:5">
      <c r="A15401" s="140"/>
      <c r="B15401" s="192"/>
      <c r="C15401" s="140"/>
      <c r="D15401" s="140"/>
      <c r="E15401" s="140"/>
    </row>
    <row r="15402" spans="1:5">
      <c r="A15402" s="140"/>
      <c r="B15402" s="192"/>
      <c r="C15402" s="140"/>
      <c r="D15402" s="140"/>
      <c r="E15402" s="140"/>
    </row>
    <row r="15403" spans="1:5">
      <c r="A15403" s="140"/>
      <c r="B15403" s="192"/>
      <c r="C15403" s="140"/>
      <c r="D15403" s="140"/>
      <c r="E15403" s="140"/>
    </row>
    <row r="15404" spans="1:5">
      <c r="A15404" s="140"/>
      <c r="B15404" s="192"/>
      <c r="C15404" s="140"/>
      <c r="D15404" s="140"/>
      <c r="E15404" s="140"/>
    </row>
    <row r="15405" spans="1:5">
      <c r="A15405" s="140"/>
      <c r="B15405" s="192"/>
      <c r="C15405" s="140"/>
      <c r="D15405" s="140"/>
      <c r="E15405" s="140"/>
    </row>
    <row r="15406" spans="1:5">
      <c r="A15406" s="140"/>
      <c r="B15406" s="192"/>
      <c r="C15406" s="140"/>
      <c r="D15406" s="140"/>
      <c r="E15406" s="140"/>
    </row>
    <row r="15407" spans="1:5">
      <c r="A15407" s="140"/>
      <c r="B15407" s="192"/>
      <c r="C15407" s="140"/>
      <c r="D15407" s="140"/>
      <c r="E15407" s="140"/>
    </row>
    <row r="15408" spans="1:5">
      <c r="A15408" s="140"/>
      <c r="B15408" s="192"/>
      <c r="C15408" s="140"/>
      <c r="D15408" s="140"/>
      <c r="E15408" s="140"/>
    </row>
    <row r="15409" spans="1:5">
      <c r="A15409" s="140"/>
      <c r="B15409" s="192"/>
      <c r="C15409" s="140"/>
      <c r="D15409" s="140"/>
      <c r="E15409" s="140"/>
    </row>
    <row r="15410" spans="1:5">
      <c r="A15410" s="140"/>
      <c r="B15410" s="192"/>
      <c r="C15410" s="140"/>
      <c r="D15410" s="140"/>
      <c r="E15410" s="140"/>
    </row>
    <row r="15411" spans="1:5">
      <c r="A15411" s="140"/>
      <c r="B15411" s="192"/>
      <c r="C15411" s="140"/>
      <c r="D15411" s="140"/>
      <c r="E15411" s="140"/>
    </row>
    <row r="15412" spans="1:5">
      <c r="A15412" s="140"/>
      <c r="B15412" s="192"/>
      <c r="C15412" s="140"/>
      <c r="D15412" s="140"/>
      <c r="E15412" s="140"/>
    </row>
    <row r="15413" spans="1:5">
      <c r="A15413" s="140"/>
      <c r="B15413" s="192"/>
      <c r="C15413" s="140"/>
      <c r="D15413" s="140"/>
      <c r="E15413" s="140"/>
    </row>
    <row r="15414" spans="1:5">
      <c r="A15414" s="140"/>
      <c r="B15414" s="192"/>
      <c r="C15414" s="140"/>
      <c r="D15414" s="140"/>
      <c r="E15414" s="140"/>
    </row>
    <row r="15415" spans="1:5">
      <c r="A15415" s="140"/>
      <c r="B15415" s="192"/>
      <c r="C15415" s="140"/>
      <c r="D15415" s="140"/>
      <c r="E15415" s="140"/>
    </row>
    <row r="15416" spans="1:5">
      <c r="A15416" s="140"/>
      <c r="B15416" s="192"/>
      <c r="C15416" s="140"/>
      <c r="D15416" s="140"/>
      <c r="E15416" s="140"/>
    </row>
    <row r="15417" spans="1:5">
      <c r="A15417" s="140"/>
      <c r="B15417" s="192"/>
      <c r="C15417" s="140"/>
      <c r="D15417" s="140"/>
      <c r="E15417" s="140"/>
    </row>
    <row r="15418" spans="1:5">
      <c r="A15418" s="140"/>
      <c r="B15418" s="192"/>
      <c r="C15418" s="140"/>
      <c r="D15418" s="140"/>
      <c r="E15418" s="140"/>
    </row>
    <row r="15419" spans="1:5">
      <c r="A15419" s="140"/>
      <c r="B15419" s="192"/>
      <c r="C15419" s="140"/>
      <c r="D15419" s="140"/>
      <c r="E15419" s="140"/>
    </row>
    <row r="15420" spans="1:5">
      <c r="A15420" s="140"/>
      <c r="B15420" s="192"/>
      <c r="C15420" s="140"/>
      <c r="D15420" s="140"/>
      <c r="E15420" s="140"/>
    </row>
    <row r="15421" spans="1:5">
      <c r="A15421" s="140"/>
      <c r="B15421" s="192"/>
      <c r="C15421" s="140"/>
      <c r="D15421" s="140"/>
      <c r="E15421" s="140"/>
    </row>
    <row r="15422" spans="1:5">
      <c r="A15422" s="140"/>
      <c r="B15422" s="192"/>
      <c r="C15422" s="140"/>
      <c r="D15422" s="140"/>
      <c r="E15422" s="140"/>
    </row>
    <row r="15423" spans="1:5">
      <c r="A15423" s="140"/>
      <c r="B15423" s="192"/>
      <c r="C15423" s="140"/>
      <c r="D15423" s="140"/>
      <c r="E15423" s="140"/>
    </row>
    <row r="15424" spans="1:5">
      <c r="A15424" s="140"/>
      <c r="B15424" s="192"/>
      <c r="C15424" s="140"/>
      <c r="D15424" s="140"/>
      <c r="E15424" s="140"/>
    </row>
    <row r="15425" spans="1:5">
      <c r="A15425" s="140"/>
      <c r="B15425" s="192"/>
      <c r="C15425" s="140"/>
      <c r="D15425" s="140"/>
      <c r="E15425" s="140"/>
    </row>
    <row r="15426" spans="1:5">
      <c r="A15426" s="140"/>
      <c r="B15426" s="192"/>
      <c r="C15426" s="140"/>
      <c r="D15426" s="140"/>
      <c r="E15426" s="140"/>
    </row>
    <row r="15427" spans="1:5">
      <c r="A15427" s="140"/>
      <c r="B15427" s="192"/>
      <c r="C15427" s="140"/>
      <c r="D15427" s="140"/>
      <c r="E15427" s="140"/>
    </row>
    <row r="15428" spans="1:5">
      <c r="A15428" s="140"/>
      <c r="B15428" s="192"/>
      <c r="C15428" s="140"/>
      <c r="D15428" s="140"/>
      <c r="E15428" s="140"/>
    </row>
    <row r="15429" spans="1:5">
      <c r="A15429" s="140"/>
      <c r="B15429" s="192"/>
      <c r="C15429" s="140"/>
      <c r="D15429" s="140"/>
      <c r="E15429" s="140"/>
    </row>
    <row r="15430" spans="1:5">
      <c r="A15430" s="140"/>
      <c r="B15430" s="192"/>
      <c r="C15430" s="140"/>
      <c r="D15430" s="140"/>
      <c r="E15430" s="140"/>
    </row>
    <row r="15431" spans="1:5">
      <c r="A15431" s="140"/>
      <c r="B15431" s="192"/>
      <c r="C15431" s="140"/>
      <c r="D15431" s="140"/>
      <c r="E15431" s="140"/>
    </row>
    <row r="15432" spans="1:5">
      <c r="A15432" s="140"/>
      <c r="B15432" s="192"/>
      <c r="C15432" s="140"/>
      <c r="D15432" s="140"/>
      <c r="E15432" s="140"/>
    </row>
    <row r="15433" spans="1:5">
      <c r="A15433" s="140"/>
      <c r="B15433" s="192"/>
      <c r="C15433" s="140"/>
      <c r="D15433" s="140"/>
      <c r="E15433" s="140"/>
    </row>
    <row r="15434" spans="1:5">
      <c r="A15434" s="140"/>
      <c r="B15434" s="192"/>
      <c r="C15434" s="140"/>
      <c r="D15434" s="140"/>
      <c r="E15434" s="140"/>
    </row>
    <row r="15435" spans="1:5">
      <c r="A15435" s="140"/>
      <c r="B15435" s="192"/>
      <c r="C15435" s="140"/>
      <c r="D15435" s="140"/>
      <c r="E15435" s="140"/>
    </row>
    <row r="15436" spans="1:5">
      <c r="A15436" s="140"/>
      <c r="B15436" s="192"/>
      <c r="C15436" s="140"/>
      <c r="D15436" s="140"/>
      <c r="E15436" s="140"/>
    </row>
    <row r="15437" spans="1:5">
      <c r="A15437" s="140"/>
      <c r="B15437" s="192"/>
      <c r="C15437" s="140"/>
      <c r="D15437" s="140"/>
      <c r="E15437" s="140"/>
    </row>
    <row r="15438" spans="1:5">
      <c r="A15438" s="140"/>
      <c r="B15438" s="192"/>
      <c r="C15438" s="140"/>
      <c r="D15438" s="140"/>
      <c r="E15438" s="140"/>
    </row>
    <row r="15439" spans="1:5">
      <c r="A15439" s="140"/>
      <c r="B15439" s="192"/>
      <c r="C15439" s="140"/>
      <c r="D15439" s="140"/>
      <c r="E15439" s="140"/>
    </row>
    <row r="15440" spans="1:5">
      <c r="A15440" s="140"/>
      <c r="B15440" s="192"/>
      <c r="C15440" s="140"/>
      <c r="D15440" s="140"/>
      <c r="E15440" s="140"/>
    </row>
    <row r="15441" spans="1:5">
      <c r="A15441" s="140"/>
      <c r="B15441" s="192"/>
      <c r="C15441" s="140"/>
      <c r="D15441" s="140"/>
      <c r="E15441" s="140"/>
    </row>
    <row r="15442" spans="1:5">
      <c r="A15442" s="140"/>
      <c r="B15442" s="192"/>
      <c r="C15442" s="140"/>
      <c r="D15442" s="140"/>
      <c r="E15442" s="140"/>
    </row>
    <row r="15443" spans="1:5">
      <c r="A15443" s="140"/>
      <c r="B15443" s="192"/>
      <c r="C15443" s="140"/>
      <c r="D15443" s="140"/>
      <c r="E15443" s="140"/>
    </row>
    <row r="15444" spans="1:5">
      <c r="A15444" s="140"/>
      <c r="B15444" s="192"/>
      <c r="C15444" s="140"/>
      <c r="D15444" s="140"/>
      <c r="E15444" s="140"/>
    </row>
    <row r="15445" spans="1:5">
      <c r="A15445" s="140"/>
      <c r="B15445" s="192"/>
      <c r="C15445" s="140"/>
      <c r="D15445" s="140"/>
      <c r="E15445" s="140"/>
    </row>
    <row r="15446" spans="1:5">
      <c r="A15446" s="140"/>
      <c r="B15446" s="192"/>
      <c r="C15446" s="140"/>
      <c r="D15446" s="140"/>
      <c r="E15446" s="140"/>
    </row>
    <row r="15447" spans="1:5">
      <c r="A15447" s="140"/>
      <c r="B15447" s="192"/>
      <c r="C15447" s="140"/>
      <c r="D15447" s="140"/>
      <c r="E15447" s="140"/>
    </row>
    <row r="15448" spans="1:5">
      <c r="A15448" s="140"/>
      <c r="B15448" s="192"/>
      <c r="C15448" s="140"/>
      <c r="D15448" s="140"/>
      <c r="E15448" s="140"/>
    </row>
    <row r="15449" spans="1:5">
      <c r="A15449" s="140"/>
      <c r="B15449" s="192"/>
      <c r="C15449" s="140"/>
      <c r="D15449" s="140"/>
      <c r="E15449" s="140"/>
    </row>
    <row r="15450" spans="1:5">
      <c r="A15450" s="140"/>
      <c r="B15450" s="192"/>
      <c r="C15450" s="140"/>
      <c r="D15450" s="140"/>
      <c r="E15450" s="140"/>
    </row>
    <row r="15451" spans="1:5">
      <c r="A15451" s="140"/>
      <c r="B15451" s="192"/>
      <c r="C15451" s="140"/>
      <c r="D15451" s="140"/>
      <c r="E15451" s="140"/>
    </row>
    <row r="15452" spans="1:5">
      <c r="A15452" s="140"/>
      <c r="B15452" s="192"/>
      <c r="C15452" s="140"/>
      <c r="D15452" s="140"/>
      <c r="E15452" s="140"/>
    </row>
    <row r="15453" spans="1:5">
      <c r="A15453" s="140"/>
      <c r="B15453" s="192"/>
      <c r="C15453" s="140"/>
      <c r="D15453" s="140"/>
      <c r="E15453" s="140"/>
    </row>
    <row r="15454" spans="1:5">
      <c r="A15454" s="140"/>
      <c r="B15454" s="192"/>
      <c r="C15454" s="140"/>
      <c r="D15454" s="140"/>
      <c r="E15454" s="140"/>
    </row>
    <row r="15455" spans="1:5">
      <c r="A15455" s="140"/>
      <c r="B15455" s="192"/>
      <c r="C15455" s="140"/>
      <c r="D15455" s="140"/>
      <c r="E15455" s="140"/>
    </row>
    <row r="15456" spans="1:5">
      <c r="A15456" s="140"/>
      <c r="B15456" s="192"/>
      <c r="C15456" s="140"/>
      <c r="D15456" s="140"/>
      <c r="E15456" s="140"/>
    </row>
    <row r="15457" spans="1:5">
      <c r="A15457" s="140"/>
      <c r="B15457" s="192"/>
      <c r="C15457" s="140"/>
      <c r="D15457" s="140"/>
      <c r="E15457" s="140"/>
    </row>
    <row r="15458" spans="1:5">
      <c r="A15458" s="140"/>
      <c r="B15458" s="192"/>
      <c r="C15458" s="140"/>
      <c r="D15458" s="140"/>
      <c r="E15458" s="140"/>
    </row>
    <row r="15459" spans="1:5">
      <c r="A15459" s="140"/>
      <c r="B15459" s="192"/>
      <c r="C15459" s="140"/>
      <c r="D15459" s="140"/>
      <c r="E15459" s="140"/>
    </row>
    <row r="15460" spans="1:5">
      <c r="A15460" s="140"/>
      <c r="B15460" s="192"/>
      <c r="C15460" s="140"/>
      <c r="D15460" s="140"/>
      <c r="E15460" s="140"/>
    </row>
    <row r="15461" spans="1:5">
      <c r="A15461" s="140"/>
      <c r="B15461" s="192"/>
      <c r="C15461" s="140"/>
      <c r="D15461" s="140"/>
      <c r="E15461" s="140"/>
    </row>
    <row r="15462" spans="1:5">
      <c r="A15462" s="140"/>
      <c r="B15462" s="192"/>
      <c r="C15462" s="140"/>
      <c r="D15462" s="140"/>
      <c r="E15462" s="140"/>
    </row>
    <row r="15463" spans="1:5">
      <c r="A15463" s="140"/>
      <c r="B15463" s="192"/>
      <c r="C15463" s="140"/>
      <c r="D15463" s="140"/>
      <c r="E15463" s="140"/>
    </row>
    <row r="15464" spans="1:5">
      <c r="A15464" s="140"/>
      <c r="B15464" s="192"/>
      <c r="C15464" s="140"/>
      <c r="D15464" s="140"/>
      <c r="E15464" s="140"/>
    </row>
    <row r="15465" spans="1:5">
      <c r="A15465" s="140"/>
      <c r="B15465" s="192"/>
      <c r="C15465" s="140"/>
      <c r="D15465" s="140"/>
      <c r="E15465" s="140"/>
    </row>
    <row r="15466" spans="1:5">
      <c r="A15466" s="140"/>
      <c r="B15466" s="192"/>
      <c r="C15466" s="140"/>
      <c r="D15466" s="140"/>
      <c r="E15466" s="140"/>
    </row>
    <row r="15467" spans="1:5">
      <c r="A15467" s="140"/>
      <c r="B15467" s="192"/>
      <c r="C15467" s="140"/>
      <c r="D15467" s="140"/>
      <c r="E15467" s="140"/>
    </row>
    <row r="15468" spans="1:5">
      <c r="A15468" s="140"/>
      <c r="B15468" s="192"/>
      <c r="C15468" s="140"/>
      <c r="D15468" s="140"/>
      <c r="E15468" s="140"/>
    </row>
    <row r="15469" spans="1:5">
      <c r="A15469" s="140"/>
      <c r="B15469" s="192"/>
      <c r="C15469" s="140"/>
      <c r="D15469" s="140"/>
      <c r="E15469" s="140"/>
    </row>
    <row r="15470" spans="1:5">
      <c r="A15470" s="140"/>
      <c r="B15470" s="192"/>
      <c r="C15470" s="140"/>
      <c r="D15470" s="140"/>
      <c r="E15470" s="140"/>
    </row>
    <row r="15471" spans="1:5">
      <c r="A15471" s="140"/>
      <c r="B15471" s="192"/>
      <c r="C15471" s="140"/>
      <c r="D15471" s="140"/>
      <c r="E15471" s="140"/>
    </row>
    <row r="15472" spans="1:5">
      <c r="A15472" s="140"/>
      <c r="B15472" s="192"/>
      <c r="C15472" s="140"/>
      <c r="D15472" s="140"/>
      <c r="E15472" s="140"/>
    </row>
    <row r="15473" spans="1:5">
      <c r="A15473" s="140"/>
      <c r="B15473" s="192"/>
      <c r="C15473" s="140"/>
      <c r="D15473" s="140"/>
      <c r="E15473" s="140"/>
    </row>
    <row r="15474" spans="1:5">
      <c r="A15474" s="140"/>
      <c r="B15474" s="192"/>
      <c r="C15474" s="140"/>
      <c r="D15474" s="140"/>
      <c r="E15474" s="140"/>
    </row>
    <row r="15475" spans="1:5">
      <c r="A15475" s="140"/>
      <c r="B15475" s="192"/>
      <c r="C15475" s="140"/>
      <c r="D15475" s="140"/>
      <c r="E15475" s="140"/>
    </row>
    <row r="15476" spans="1:5">
      <c r="A15476" s="140"/>
      <c r="B15476" s="192"/>
      <c r="C15476" s="140"/>
      <c r="D15476" s="140"/>
      <c r="E15476" s="140"/>
    </row>
    <row r="15477" spans="1:5">
      <c r="A15477" s="140"/>
      <c r="B15477" s="192"/>
      <c r="C15477" s="140"/>
      <c r="D15477" s="140"/>
      <c r="E15477" s="140"/>
    </row>
    <row r="15478" spans="1:5">
      <c r="A15478" s="140"/>
      <c r="B15478" s="192"/>
      <c r="C15478" s="140"/>
      <c r="D15478" s="140"/>
      <c r="E15478" s="140"/>
    </row>
    <row r="15479" spans="1:5">
      <c r="A15479" s="140"/>
      <c r="B15479" s="192"/>
      <c r="C15479" s="140"/>
      <c r="D15479" s="140"/>
      <c r="E15479" s="140"/>
    </row>
    <row r="15480" spans="1:5">
      <c r="A15480" s="140"/>
      <c r="B15480" s="192"/>
      <c r="C15480" s="140"/>
      <c r="D15480" s="140"/>
      <c r="E15480" s="140"/>
    </row>
    <row r="15481" spans="1:5">
      <c r="A15481" s="140"/>
      <c r="B15481" s="192"/>
      <c r="C15481" s="140"/>
      <c r="D15481" s="140"/>
      <c r="E15481" s="140"/>
    </row>
    <row r="15482" spans="1:5">
      <c r="A15482" s="140"/>
      <c r="B15482" s="192"/>
      <c r="C15482" s="140"/>
      <c r="D15482" s="140"/>
      <c r="E15482" s="140"/>
    </row>
    <row r="15483" spans="1:5">
      <c r="A15483" s="140"/>
      <c r="B15483" s="192"/>
      <c r="C15483" s="140"/>
      <c r="D15483" s="140"/>
      <c r="E15483" s="140"/>
    </row>
    <row r="15484" spans="1:5">
      <c r="A15484" s="140"/>
      <c r="B15484" s="192"/>
      <c r="C15484" s="140"/>
      <c r="D15484" s="140"/>
      <c r="E15484" s="140"/>
    </row>
    <row r="15485" spans="1:5">
      <c r="A15485" s="140"/>
      <c r="B15485" s="192"/>
      <c r="C15485" s="140"/>
      <c r="D15485" s="140"/>
      <c r="E15485" s="140"/>
    </row>
    <row r="15486" spans="1:5">
      <c r="A15486" s="140"/>
      <c r="B15486" s="192"/>
      <c r="C15486" s="140"/>
      <c r="D15486" s="140"/>
      <c r="E15486" s="140"/>
    </row>
    <row r="15487" spans="1:5">
      <c r="A15487" s="140"/>
      <c r="B15487" s="192"/>
      <c r="C15487" s="140"/>
      <c r="D15487" s="140"/>
      <c r="E15487" s="140"/>
    </row>
    <row r="15488" spans="1:5">
      <c r="A15488" s="140"/>
      <c r="B15488" s="192"/>
      <c r="C15488" s="140"/>
      <c r="D15488" s="140"/>
      <c r="E15488" s="140"/>
    </row>
    <row r="15489" spans="1:5">
      <c r="A15489" s="140"/>
      <c r="B15489" s="192"/>
      <c r="C15489" s="140"/>
      <c r="D15489" s="140"/>
      <c r="E15489" s="140"/>
    </row>
    <row r="15490" spans="1:5">
      <c r="A15490" s="140"/>
      <c r="B15490" s="192"/>
      <c r="C15490" s="140"/>
      <c r="D15490" s="140"/>
      <c r="E15490" s="140"/>
    </row>
    <row r="15491" spans="1:5">
      <c r="A15491" s="140"/>
      <c r="B15491" s="192"/>
      <c r="C15491" s="140"/>
      <c r="D15491" s="140"/>
      <c r="E15491" s="140"/>
    </row>
    <row r="15492" spans="1:5">
      <c r="A15492" s="140"/>
      <c r="B15492" s="192"/>
      <c r="C15492" s="140"/>
      <c r="D15492" s="140"/>
      <c r="E15492" s="140"/>
    </row>
    <row r="15493" spans="1:5">
      <c r="A15493" s="140"/>
      <c r="B15493" s="192"/>
      <c r="C15493" s="140"/>
      <c r="D15493" s="140"/>
      <c r="E15493" s="140"/>
    </row>
    <row r="15494" spans="1:5">
      <c r="A15494" s="140"/>
      <c r="B15494" s="192"/>
      <c r="C15494" s="140"/>
      <c r="D15494" s="140"/>
      <c r="E15494" s="140"/>
    </row>
    <row r="15495" spans="1:5">
      <c r="A15495" s="140"/>
      <c r="B15495" s="192"/>
      <c r="C15495" s="140"/>
      <c r="D15495" s="140"/>
      <c r="E15495" s="140"/>
    </row>
    <row r="15496" spans="1:5">
      <c r="A15496" s="140"/>
      <c r="B15496" s="192"/>
      <c r="C15496" s="140"/>
      <c r="D15496" s="140"/>
      <c r="E15496" s="140"/>
    </row>
    <row r="15497" spans="1:5">
      <c r="A15497" s="140"/>
      <c r="B15497" s="192"/>
      <c r="C15497" s="140"/>
      <c r="D15497" s="140"/>
      <c r="E15497" s="140"/>
    </row>
    <row r="15498" spans="1:5">
      <c r="A15498" s="140"/>
      <c r="B15498" s="192"/>
      <c r="C15498" s="140"/>
      <c r="D15498" s="140"/>
      <c r="E15498" s="140"/>
    </row>
    <row r="15499" spans="1:5">
      <c r="A15499" s="140"/>
      <c r="B15499" s="192"/>
      <c r="C15499" s="140"/>
      <c r="D15499" s="140"/>
      <c r="E15499" s="140"/>
    </row>
    <row r="15500" spans="1:5">
      <c r="A15500" s="140"/>
      <c r="B15500" s="192"/>
      <c r="C15500" s="140"/>
      <c r="D15500" s="140"/>
      <c r="E15500" s="140"/>
    </row>
    <row r="15501" spans="1:5">
      <c r="A15501" s="140"/>
      <c r="B15501" s="192"/>
      <c r="C15501" s="140"/>
      <c r="D15501" s="140"/>
      <c r="E15501" s="140"/>
    </row>
    <row r="15502" spans="1:5">
      <c r="A15502" s="140"/>
      <c r="B15502" s="192"/>
      <c r="C15502" s="140"/>
      <c r="D15502" s="140"/>
      <c r="E15502" s="140"/>
    </row>
    <row r="15503" spans="1:5">
      <c r="A15503" s="140"/>
      <c r="B15503" s="192"/>
      <c r="C15503" s="140"/>
      <c r="D15503" s="140"/>
      <c r="E15503" s="140"/>
    </row>
    <row r="15504" spans="1:5">
      <c r="A15504" s="140"/>
      <c r="B15504" s="192"/>
      <c r="C15504" s="140"/>
      <c r="D15504" s="140"/>
      <c r="E15504" s="140"/>
    </row>
    <row r="15505" spans="1:5">
      <c r="A15505" s="140"/>
      <c r="B15505" s="192"/>
      <c r="C15505" s="140"/>
      <c r="D15505" s="140"/>
      <c r="E15505" s="140"/>
    </row>
    <row r="15506" spans="1:5">
      <c r="A15506" s="140"/>
      <c r="B15506" s="192"/>
      <c r="C15506" s="140"/>
      <c r="D15506" s="140"/>
      <c r="E15506" s="140"/>
    </row>
    <row r="15507" spans="1:5">
      <c r="A15507" s="140"/>
      <c r="B15507" s="192"/>
      <c r="C15507" s="140"/>
      <c r="D15507" s="140"/>
      <c r="E15507" s="140"/>
    </row>
    <row r="15508" spans="1:5">
      <c r="A15508" s="140"/>
      <c r="B15508" s="192"/>
      <c r="C15508" s="140"/>
      <c r="D15508" s="140"/>
      <c r="E15508" s="140"/>
    </row>
    <row r="15509" spans="1:5">
      <c r="A15509" s="140"/>
      <c r="B15509" s="192"/>
      <c r="C15509" s="140"/>
      <c r="D15509" s="140"/>
      <c r="E15509" s="140"/>
    </row>
    <row r="15510" spans="1:5">
      <c r="A15510" s="140"/>
      <c r="B15510" s="192"/>
      <c r="C15510" s="140"/>
      <c r="D15510" s="140"/>
      <c r="E15510" s="140"/>
    </row>
    <row r="15511" spans="1:5">
      <c r="A15511" s="140"/>
      <c r="B15511" s="192"/>
      <c r="C15511" s="140"/>
      <c r="D15511" s="140"/>
      <c r="E15511" s="140"/>
    </row>
    <row r="15512" spans="1:5">
      <c r="A15512" s="140"/>
      <c r="B15512" s="192"/>
      <c r="C15512" s="140"/>
      <c r="D15512" s="140"/>
      <c r="E15512" s="140"/>
    </row>
    <row r="15513" spans="1:5">
      <c r="A15513" s="140"/>
      <c r="B15513" s="192"/>
      <c r="C15513" s="140"/>
      <c r="D15513" s="140"/>
      <c r="E15513" s="140"/>
    </row>
    <row r="15514" spans="1:5">
      <c r="A15514" s="140"/>
      <c r="B15514" s="192"/>
      <c r="C15514" s="140"/>
      <c r="D15514" s="140"/>
      <c r="E15514" s="140"/>
    </row>
    <row r="15515" spans="1:5">
      <c r="A15515" s="140"/>
      <c r="B15515" s="192"/>
      <c r="C15515" s="140"/>
      <c r="D15515" s="140"/>
      <c r="E15515" s="140"/>
    </row>
    <row r="15516" spans="1:5">
      <c r="A15516" s="140"/>
      <c r="B15516" s="192"/>
      <c r="C15516" s="140"/>
      <c r="D15516" s="140"/>
      <c r="E15516" s="140"/>
    </row>
    <row r="15517" spans="1:5">
      <c r="A15517" s="140"/>
      <c r="B15517" s="192"/>
      <c r="C15517" s="140"/>
      <c r="D15517" s="140"/>
      <c r="E15517" s="140"/>
    </row>
    <row r="15518" spans="1:5">
      <c r="A15518" s="140"/>
      <c r="B15518" s="192"/>
      <c r="C15518" s="140"/>
      <c r="D15518" s="140"/>
      <c r="E15518" s="140"/>
    </row>
    <row r="15519" spans="1:5">
      <c r="A15519" s="140"/>
      <c r="B15519" s="192"/>
      <c r="C15519" s="140"/>
      <c r="D15519" s="140"/>
      <c r="E15519" s="140"/>
    </row>
    <row r="15520" spans="1:5">
      <c r="A15520" s="140"/>
      <c r="B15520" s="192"/>
      <c r="C15520" s="140"/>
      <c r="D15520" s="140"/>
      <c r="E15520" s="140"/>
    </row>
    <row r="15521" spans="1:5">
      <c r="A15521" s="140"/>
      <c r="B15521" s="192"/>
      <c r="C15521" s="140"/>
      <c r="D15521" s="140"/>
      <c r="E15521" s="140"/>
    </row>
    <row r="15522" spans="1:5">
      <c r="A15522" s="140"/>
      <c r="B15522" s="192"/>
      <c r="C15522" s="140"/>
      <c r="D15522" s="140"/>
      <c r="E15522" s="140"/>
    </row>
    <row r="15523" spans="1:5">
      <c r="A15523" s="140"/>
      <c r="B15523" s="192"/>
      <c r="C15523" s="140"/>
      <c r="D15523" s="140"/>
      <c r="E15523" s="140"/>
    </row>
    <row r="15524" spans="1:5">
      <c r="A15524" s="140"/>
      <c r="B15524" s="192"/>
      <c r="C15524" s="140"/>
      <c r="D15524" s="140"/>
      <c r="E15524" s="140"/>
    </row>
    <row r="15525" spans="1:5">
      <c r="A15525" s="140"/>
      <c r="B15525" s="192"/>
      <c r="C15525" s="140"/>
      <c r="D15525" s="140"/>
      <c r="E15525" s="140"/>
    </row>
    <row r="15526" spans="1:5">
      <c r="A15526" s="140"/>
      <c r="B15526" s="192"/>
      <c r="C15526" s="140"/>
      <c r="D15526" s="140"/>
      <c r="E15526" s="140"/>
    </row>
    <row r="15527" spans="1:5">
      <c r="A15527" s="140"/>
      <c r="B15527" s="192"/>
      <c r="C15527" s="140"/>
      <c r="D15527" s="140"/>
      <c r="E15527" s="140"/>
    </row>
    <row r="15528" spans="1:5">
      <c r="A15528" s="140"/>
      <c r="B15528" s="192"/>
      <c r="C15528" s="140"/>
      <c r="D15528" s="140"/>
      <c r="E15528" s="140"/>
    </row>
    <row r="15529" spans="1:5">
      <c r="A15529" s="140"/>
      <c r="B15529" s="192"/>
      <c r="C15529" s="140"/>
      <c r="D15529" s="140"/>
      <c r="E15529" s="140"/>
    </row>
    <row r="15530" spans="1:5">
      <c r="A15530" s="140"/>
      <c r="B15530" s="192"/>
      <c r="C15530" s="140"/>
      <c r="D15530" s="140"/>
      <c r="E15530" s="140"/>
    </row>
    <row r="15531" spans="1:5">
      <c r="A15531" s="140"/>
      <c r="B15531" s="192"/>
      <c r="C15531" s="140"/>
      <c r="D15531" s="140"/>
      <c r="E15531" s="140"/>
    </row>
    <row r="15532" spans="1:5">
      <c r="A15532" s="140"/>
      <c r="B15532" s="192"/>
      <c r="C15532" s="140"/>
      <c r="D15532" s="140"/>
      <c r="E15532" s="140"/>
    </row>
    <row r="15533" spans="1:5">
      <c r="A15533" s="140"/>
      <c r="B15533" s="192"/>
      <c r="C15533" s="140"/>
      <c r="D15533" s="140"/>
      <c r="E15533" s="140"/>
    </row>
    <row r="15534" spans="1:5">
      <c r="A15534" s="140"/>
      <c r="B15534" s="192"/>
      <c r="C15534" s="140"/>
      <c r="D15534" s="140"/>
      <c r="E15534" s="140"/>
    </row>
    <row r="15535" spans="1:5">
      <c r="A15535" s="140"/>
      <c r="B15535" s="192"/>
      <c r="C15535" s="140"/>
      <c r="D15535" s="140"/>
      <c r="E15535" s="140"/>
    </row>
    <row r="15536" spans="1:5">
      <c r="A15536" s="140"/>
      <c r="B15536" s="192"/>
      <c r="C15536" s="140"/>
      <c r="D15536" s="140"/>
      <c r="E15536" s="140"/>
    </row>
    <row r="15537" spans="1:5">
      <c r="A15537" s="140"/>
      <c r="B15537" s="192"/>
      <c r="C15537" s="140"/>
      <c r="D15537" s="140"/>
      <c r="E15537" s="140"/>
    </row>
    <row r="15538" spans="1:5">
      <c r="A15538" s="140"/>
      <c r="B15538" s="192"/>
      <c r="C15538" s="140"/>
      <c r="D15538" s="140"/>
      <c r="E15538" s="140"/>
    </row>
    <row r="15539" spans="1:5">
      <c r="A15539" s="140"/>
      <c r="B15539" s="192"/>
      <c r="C15539" s="140"/>
      <c r="D15539" s="140"/>
      <c r="E15539" s="140"/>
    </row>
    <row r="15540" spans="1:5">
      <c r="A15540" s="140"/>
      <c r="B15540" s="192"/>
      <c r="C15540" s="140"/>
      <c r="D15540" s="140"/>
      <c r="E15540" s="140"/>
    </row>
    <row r="15541" spans="1:5">
      <c r="A15541" s="140"/>
      <c r="B15541" s="192"/>
      <c r="C15541" s="140"/>
      <c r="D15541" s="140"/>
      <c r="E15541" s="140"/>
    </row>
    <row r="15542" spans="1:5">
      <c r="A15542" s="140"/>
      <c r="B15542" s="192"/>
      <c r="C15542" s="140"/>
      <c r="D15542" s="140"/>
      <c r="E15542" s="140"/>
    </row>
    <row r="15543" spans="1:5">
      <c r="A15543" s="140"/>
      <c r="B15543" s="192"/>
      <c r="C15543" s="140"/>
      <c r="D15543" s="140"/>
      <c r="E15543" s="140"/>
    </row>
    <row r="15544" spans="1:5">
      <c r="A15544" s="140"/>
      <c r="B15544" s="192"/>
      <c r="C15544" s="140"/>
      <c r="D15544" s="140"/>
      <c r="E15544" s="140"/>
    </row>
    <row r="15545" spans="1:5">
      <c r="A15545" s="140"/>
      <c r="B15545" s="192"/>
      <c r="C15545" s="140"/>
      <c r="D15545" s="140"/>
      <c r="E15545" s="140"/>
    </row>
    <row r="15546" spans="1:5">
      <c r="A15546" s="140"/>
      <c r="B15546" s="192"/>
      <c r="C15546" s="140"/>
      <c r="D15546" s="140"/>
      <c r="E15546" s="140"/>
    </row>
    <row r="15547" spans="1:5">
      <c r="A15547" s="140"/>
      <c r="B15547" s="192"/>
      <c r="C15547" s="140"/>
      <c r="D15547" s="140"/>
      <c r="E15547" s="140"/>
    </row>
    <row r="15548" spans="1:5">
      <c r="A15548" s="140"/>
      <c r="B15548" s="192"/>
      <c r="C15548" s="140"/>
      <c r="D15548" s="140"/>
      <c r="E15548" s="140"/>
    </row>
    <row r="15549" spans="1:5">
      <c r="A15549" s="140"/>
      <c r="B15549" s="192"/>
      <c r="C15549" s="140"/>
      <c r="D15549" s="140"/>
      <c r="E15549" s="140"/>
    </row>
    <row r="15550" spans="1:5">
      <c r="A15550" s="140"/>
      <c r="B15550" s="192"/>
      <c r="C15550" s="140"/>
      <c r="D15550" s="140"/>
      <c r="E15550" s="140"/>
    </row>
    <row r="15551" spans="1:5">
      <c r="A15551" s="140"/>
      <c r="B15551" s="192"/>
      <c r="C15551" s="140"/>
      <c r="D15551" s="140"/>
      <c r="E15551" s="140"/>
    </row>
    <row r="15552" spans="1:5">
      <c r="A15552" s="140"/>
      <c r="B15552" s="192"/>
      <c r="C15552" s="140"/>
      <c r="D15552" s="140"/>
      <c r="E15552" s="140"/>
    </row>
    <row r="15553" spans="1:5">
      <c r="A15553" s="140"/>
      <c r="B15553" s="192"/>
      <c r="C15553" s="140"/>
      <c r="D15553" s="140"/>
      <c r="E15553" s="140"/>
    </row>
    <row r="15554" spans="1:5">
      <c r="A15554" s="140"/>
      <c r="B15554" s="192"/>
      <c r="C15554" s="140"/>
      <c r="D15554" s="140"/>
      <c r="E15554" s="140"/>
    </row>
    <row r="15555" spans="1:5">
      <c r="A15555" s="140"/>
      <c r="B15555" s="192"/>
      <c r="C15555" s="140"/>
      <c r="D15555" s="140"/>
      <c r="E15555" s="140"/>
    </row>
    <row r="15556" spans="1:5">
      <c r="A15556" s="140"/>
      <c r="B15556" s="192"/>
      <c r="C15556" s="140"/>
      <c r="D15556" s="140"/>
      <c r="E15556" s="140"/>
    </row>
    <row r="15557" spans="1:5">
      <c r="A15557" s="140"/>
      <c r="B15557" s="192"/>
      <c r="C15557" s="140"/>
      <c r="D15557" s="140"/>
      <c r="E15557" s="140"/>
    </row>
    <row r="15558" spans="1:5">
      <c r="A15558" s="140"/>
      <c r="B15558" s="192"/>
      <c r="C15558" s="140"/>
      <c r="D15558" s="140"/>
      <c r="E15558" s="140"/>
    </row>
    <row r="15559" spans="1:5">
      <c r="A15559" s="140"/>
      <c r="B15559" s="192"/>
      <c r="C15559" s="140"/>
      <c r="D15559" s="140"/>
      <c r="E15559" s="140"/>
    </row>
    <row r="15560" spans="1:5">
      <c r="A15560" s="140"/>
      <c r="B15560" s="192"/>
      <c r="C15560" s="140"/>
      <c r="D15560" s="140"/>
      <c r="E15560" s="140"/>
    </row>
    <row r="15561" spans="1:5">
      <c r="A15561" s="140"/>
      <c r="B15561" s="192"/>
      <c r="C15561" s="140"/>
      <c r="D15561" s="140"/>
      <c r="E15561" s="140"/>
    </row>
    <row r="15562" spans="1:5">
      <c r="A15562" s="140"/>
      <c r="B15562" s="192"/>
      <c r="C15562" s="140"/>
      <c r="D15562" s="140"/>
      <c r="E15562" s="140"/>
    </row>
    <row r="15563" spans="1:5">
      <c r="A15563" s="140"/>
      <c r="B15563" s="192"/>
      <c r="C15563" s="140"/>
      <c r="D15563" s="140"/>
      <c r="E15563" s="140"/>
    </row>
    <row r="15564" spans="1:5">
      <c r="A15564" s="140"/>
      <c r="B15564" s="192"/>
      <c r="C15564" s="140"/>
      <c r="D15564" s="140"/>
      <c r="E15564" s="140"/>
    </row>
    <row r="15565" spans="1:5">
      <c r="A15565" s="140"/>
      <c r="B15565" s="192"/>
      <c r="C15565" s="140"/>
      <c r="D15565" s="140"/>
      <c r="E15565" s="140"/>
    </row>
    <row r="15566" spans="1:5">
      <c r="A15566" s="140"/>
      <c r="B15566" s="192"/>
      <c r="C15566" s="140"/>
      <c r="D15566" s="140"/>
      <c r="E15566" s="140"/>
    </row>
    <row r="15567" spans="1:5">
      <c r="A15567" s="140"/>
      <c r="B15567" s="192"/>
      <c r="C15567" s="140"/>
      <c r="D15567" s="140"/>
      <c r="E15567" s="140"/>
    </row>
    <row r="15568" spans="1:5">
      <c r="A15568" s="140"/>
      <c r="B15568" s="192"/>
      <c r="C15568" s="140"/>
      <c r="D15568" s="140"/>
      <c r="E15568" s="140"/>
    </row>
    <row r="15569" spans="1:5">
      <c r="A15569" s="140"/>
      <c r="B15569" s="192"/>
      <c r="C15569" s="140"/>
      <c r="D15569" s="140"/>
      <c r="E15569" s="140"/>
    </row>
    <row r="15570" spans="1:5">
      <c r="A15570" s="140"/>
      <c r="B15570" s="192"/>
      <c r="C15570" s="140"/>
      <c r="D15570" s="140"/>
      <c r="E15570" s="140"/>
    </row>
    <row r="15571" spans="1:5">
      <c r="A15571" s="140"/>
      <c r="B15571" s="192"/>
      <c r="C15571" s="140"/>
      <c r="D15571" s="140"/>
      <c r="E15571" s="140"/>
    </row>
    <row r="15572" spans="1:5">
      <c r="A15572" s="140"/>
      <c r="B15572" s="192"/>
      <c r="C15572" s="140"/>
      <c r="D15572" s="140"/>
      <c r="E15572" s="140"/>
    </row>
    <row r="15573" spans="1:5">
      <c r="A15573" s="140"/>
      <c r="B15573" s="192"/>
      <c r="C15573" s="140"/>
      <c r="D15573" s="140"/>
      <c r="E15573" s="140"/>
    </row>
    <row r="15574" spans="1:5">
      <c r="A15574" s="140"/>
      <c r="B15574" s="192"/>
      <c r="C15574" s="140"/>
      <c r="D15574" s="140"/>
      <c r="E15574" s="140"/>
    </row>
    <row r="15575" spans="1:5">
      <c r="A15575" s="140"/>
      <c r="B15575" s="192"/>
      <c r="C15575" s="140"/>
      <c r="D15575" s="140"/>
      <c r="E15575" s="140"/>
    </row>
    <row r="15576" spans="1:5">
      <c r="A15576" s="140"/>
      <c r="B15576" s="192"/>
      <c r="C15576" s="140"/>
      <c r="D15576" s="140"/>
      <c r="E15576" s="140"/>
    </row>
    <row r="15577" spans="1:5">
      <c r="A15577" s="140"/>
      <c r="B15577" s="192"/>
      <c r="C15577" s="140"/>
      <c r="D15577" s="140"/>
      <c r="E15577" s="140"/>
    </row>
    <row r="15578" spans="1:5">
      <c r="A15578" s="140"/>
      <c r="B15578" s="192"/>
      <c r="C15578" s="140"/>
      <c r="D15578" s="140"/>
      <c r="E15578" s="140"/>
    </row>
    <row r="15579" spans="1:5">
      <c r="A15579" s="140"/>
      <c r="B15579" s="192"/>
      <c r="C15579" s="140"/>
      <c r="D15579" s="140"/>
      <c r="E15579" s="140"/>
    </row>
    <row r="15580" spans="1:5">
      <c r="A15580" s="140"/>
      <c r="B15580" s="192"/>
      <c r="C15580" s="140"/>
      <c r="D15580" s="140"/>
      <c r="E15580" s="140"/>
    </row>
    <row r="15581" spans="1:5">
      <c r="A15581" s="140"/>
      <c r="B15581" s="192"/>
      <c r="C15581" s="140"/>
      <c r="D15581" s="140"/>
      <c r="E15581" s="140"/>
    </row>
    <row r="15582" spans="1:5">
      <c r="A15582" s="140"/>
      <c r="B15582" s="192"/>
      <c r="C15582" s="140"/>
      <c r="D15582" s="140"/>
      <c r="E15582" s="140"/>
    </row>
    <row r="15583" spans="1:5">
      <c r="A15583" s="140"/>
      <c r="B15583" s="192"/>
      <c r="C15583" s="140"/>
      <c r="D15583" s="140"/>
      <c r="E15583" s="140"/>
    </row>
    <row r="15584" spans="1:5">
      <c r="A15584" s="140"/>
      <c r="B15584" s="192"/>
      <c r="C15584" s="140"/>
      <c r="D15584" s="140"/>
      <c r="E15584" s="140"/>
    </row>
    <row r="15585" spans="1:5">
      <c r="A15585" s="140"/>
      <c r="B15585" s="192"/>
      <c r="C15585" s="140"/>
      <c r="D15585" s="140"/>
      <c r="E15585" s="140"/>
    </row>
    <row r="15586" spans="1:5">
      <c r="A15586" s="140"/>
      <c r="B15586" s="192"/>
      <c r="C15586" s="140"/>
      <c r="D15586" s="140"/>
      <c r="E15586" s="140"/>
    </row>
    <row r="15587" spans="1:5">
      <c r="A15587" s="140"/>
      <c r="B15587" s="192"/>
      <c r="C15587" s="140"/>
      <c r="D15587" s="140"/>
      <c r="E15587" s="140"/>
    </row>
    <row r="15588" spans="1:5">
      <c r="A15588" s="140"/>
      <c r="B15588" s="192"/>
      <c r="C15588" s="140"/>
      <c r="D15588" s="140"/>
      <c r="E15588" s="140"/>
    </row>
    <row r="15589" spans="1:5">
      <c r="A15589" s="140"/>
      <c r="B15589" s="192"/>
      <c r="C15589" s="140"/>
      <c r="D15589" s="140"/>
      <c r="E15589" s="140"/>
    </row>
    <row r="15590" spans="1:5">
      <c r="A15590" s="140"/>
      <c r="B15590" s="192"/>
      <c r="C15590" s="140"/>
      <c r="D15590" s="140"/>
      <c r="E15590" s="140"/>
    </row>
    <row r="15591" spans="1:5">
      <c r="A15591" s="140"/>
      <c r="B15591" s="192"/>
      <c r="C15591" s="140"/>
      <c r="D15591" s="140"/>
      <c r="E15591" s="140"/>
    </row>
    <row r="15592" spans="1:5">
      <c r="A15592" s="140"/>
      <c r="B15592" s="192"/>
      <c r="C15592" s="140"/>
      <c r="D15592" s="140"/>
      <c r="E15592" s="140"/>
    </row>
    <row r="15593" spans="1:5">
      <c r="A15593" s="140"/>
      <c r="B15593" s="192"/>
      <c r="C15593" s="140"/>
      <c r="D15593" s="140"/>
      <c r="E15593" s="140"/>
    </row>
    <row r="15594" spans="1:5">
      <c r="A15594" s="140"/>
      <c r="B15594" s="192"/>
      <c r="C15594" s="140"/>
      <c r="D15594" s="140"/>
      <c r="E15594" s="140"/>
    </row>
    <row r="15595" spans="1:5">
      <c r="A15595" s="140"/>
      <c r="B15595" s="192"/>
      <c r="C15595" s="140"/>
      <c r="D15595" s="140"/>
      <c r="E15595" s="140"/>
    </row>
    <row r="15596" spans="1:5">
      <c r="A15596" s="140"/>
      <c r="B15596" s="192"/>
      <c r="C15596" s="140"/>
      <c r="D15596" s="140"/>
      <c r="E15596" s="140"/>
    </row>
    <row r="15597" spans="1:5">
      <c r="A15597" s="140"/>
      <c r="B15597" s="192"/>
      <c r="C15597" s="140"/>
      <c r="D15597" s="140"/>
      <c r="E15597" s="140"/>
    </row>
    <row r="15598" spans="1:5">
      <c r="A15598" s="140"/>
      <c r="B15598" s="192"/>
      <c r="C15598" s="140"/>
      <c r="D15598" s="140"/>
      <c r="E15598" s="140"/>
    </row>
    <row r="15599" spans="1:5">
      <c r="A15599" s="140"/>
      <c r="B15599" s="192"/>
      <c r="C15599" s="140"/>
      <c r="D15599" s="140"/>
      <c r="E15599" s="140"/>
    </row>
    <row r="15600" spans="1:5">
      <c r="A15600" s="140"/>
      <c r="B15600" s="192"/>
      <c r="C15600" s="140"/>
      <c r="D15600" s="140"/>
      <c r="E15600" s="140"/>
    </row>
    <row r="15601" spans="1:5">
      <c r="A15601" s="140"/>
      <c r="B15601" s="192"/>
      <c r="C15601" s="140"/>
      <c r="D15601" s="140"/>
      <c r="E15601" s="140"/>
    </row>
    <row r="15602" spans="1:5">
      <c r="A15602" s="140"/>
      <c r="B15602" s="192"/>
      <c r="C15602" s="140"/>
      <c r="D15602" s="140"/>
      <c r="E15602" s="140"/>
    </row>
    <row r="15603" spans="1:5">
      <c r="A15603" s="140"/>
      <c r="B15603" s="192"/>
      <c r="C15603" s="140"/>
      <c r="D15603" s="140"/>
      <c r="E15603" s="140"/>
    </row>
    <row r="15604" spans="1:5">
      <c r="A15604" s="140"/>
      <c r="B15604" s="192"/>
      <c r="C15604" s="140"/>
      <c r="D15604" s="140"/>
      <c r="E15604" s="140"/>
    </row>
    <row r="15605" spans="1:5">
      <c r="A15605" s="140"/>
      <c r="B15605" s="192"/>
      <c r="C15605" s="140"/>
      <c r="D15605" s="140"/>
      <c r="E15605" s="140"/>
    </row>
    <row r="15606" spans="1:5">
      <c r="A15606" s="140"/>
      <c r="B15606" s="192"/>
      <c r="C15606" s="140"/>
      <c r="D15606" s="140"/>
      <c r="E15606" s="140"/>
    </row>
    <row r="15607" spans="1:5">
      <c r="A15607" s="140"/>
      <c r="B15607" s="192"/>
      <c r="C15607" s="140"/>
      <c r="D15607" s="140"/>
      <c r="E15607" s="140"/>
    </row>
    <row r="15608" spans="1:5">
      <c r="A15608" s="140"/>
      <c r="B15608" s="192"/>
      <c r="C15608" s="140"/>
      <c r="D15608" s="140"/>
      <c r="E15608" s="140"/>
    </row>
    <row r="15609" spans="1:5">
      <c r="A15609" s="140"/>
      <c r="B15609" s="192"/>
      <c r="C15609" s="140"/>
      <c r="D15609" s="140"/>
      <c r="E15609" s="140"/>
    </row>
    <row r="15610" spans="1:5">
      <c r="A15610" s="140"/>
      <c r="B15610" s="192"/>
      <c r="C15610" s="140"/>
      <c r="D15610" s="140"/>
      <c r="E15610" s="140"/>
    </row>
    <row r="15611" spans="1:5">
      <c r="A15611" s="140"/>
      <c r="B15611" s="192"/>
      <c r="C15611" s="140"/>
      <c r="D15611" s="140"/>
      <c r="E15611" s="140"/>
    </row>
    <row r="15612" spans="1:5">
      <c r="A15612" s="140"/>
      <c r="B15612" s="192"/>
      <c r="C15612" s="140"/>
      <c r="D15612" s="140"/>
      <c r="E15612" s="140"/>
    </row>
    <row r="15613" spans="1:5">
      <c r="A15613" s="140"/>
      <c r="B15613" s="192"/>
      <c r="C15613" s="140"/>
      <c r="D15613" s="140"/>
      <c r="E15613" s="140"/>
    </row>
    <row r="15614" spans="1:5">
      <c r="A15614" s="140"/>
      <c r="B15614" s="192"/>
      <c r="C15614" s="140"/>
      <c r="D15614" s="140"/>
      <c r="E15614" s="140"/>
    </row>
    <row r="15615" spans="1:5">
      <c r="A15615" s="140"/>
      <c r="B15615" s="192"/>
      <c r="C15615" s="140"/>
      <c r="D15615" s="140"/>
      <c r="E15615" s="140"/>
    </row>
    <row r="15616" spans="1:5">
      <c r="A15616" s="140"/>
      <c r="B15616" s="192"/>
      <c r="C15616" s="140"/>
      <c r="D15616" s="140"/>
      <c r="E15616" s="140"/>
    </row>
    <row r="15617" spans="1:5">
      <c r="A15617" s="140"/>
      <c r="B15617" s="192"/>
      <c r="C15617" s="140"/>
      <c r="D15617" s="140"/>
      <c r="E15617" s="140"/>
    </row>
    <row r="15618" spans="1:5">
      <c r="A15618" s="140"/>
      <c r="B15618" s="192"/>
      <c r="C15618" s="140"/>
      <c r="D15618" s="140"/>
      <c r="E15618" s="140"/>
    </row>
    <row r="15619" spans="1:5">
      <c r="A15619" s="140"/>
      <c r="B15619" s="192"/>
      <c r="C15619" s="140"/>
      <c r="D15619" s="140"/>
      <c r="E15619" s="140"/>
    </row>
    <row r="15620" spans="1:5">
      <c r="A15620" s="140"/>
      <c r="B15620" s="192"/>
      <c r="C15620" s="140"/>
      <c r="D15620" s="140"/>
      <c r="E15620" s="140"/>
    </row>
    <row r="15621" spans="1:5">
      <c r="A15621" s="140"/>
      <c r="B15621" s="192"/>
      <c r="C15621" s="140"/>
      <c r="D15621" s="140"/>
      <c r="E15621" s="140"/>
    </row>
    <row r="15622" spans="1:5">
      <c r="A15622" s="140"/>
      <c r="B15622" s="192"/>
      <c r="C15622" s="140"/>
      <c r="D15622" s="140"/>
      <c r="E15622" s="140"/>
    </row>
    <row r="15623" spans="1:5">
      <c r="A15623" s="140"/>
      <c r="B15623" s="192"/>
      <c r="C15623" s="140"/>
      <c r="D15623" s="140"/>
      <c r="E15623" s="140"/>
    </row>
    <row r="15624" spans="1:5">
      <c r="A15624" s="140"/>
      <c r="B15624" s="192"/>
      <c r="C15624" s="140"/>
      <c r="D15624" s="140"/>
      <c r="E15624" s="140"/>
    </row>
    <row r="15625" spans="1:5">
      <c r="A15625" s="140"/>
      <c r="B15625" s="192"/>
      <c r="C15625" s="140"/>
      <c r="D15625" s="140"/>
      <c r="E15625" s="140"/>
    </row>
    <row r="15626" spans="1:5">
      <c r="A15626" s="140"/>
      <c r="B15626" s="192"/>
      <c r="C15626" s="140"/>
      <c r="D15626" s="140"/>
      <c r="E15626" s="140"/>
    </row>
    <row r="15627" spans="1:5">
      <c r="A15627" s="140"/>
      <c r="B15627" s="192"/>
      <c r="C15627" s="140"/>
      <c r="D15627" s="140"/>
      <c r="E15627" s="140"/>
    </row>
    <row r="15628" spans="1:5">
      <c r="A15628" s="140"/>
      <c r="B15628" s="192"/>
      <c r="C15628" s="140"/>
      <c r="D15628" s="140"/>
      <c r="E15628" s="140"/>
    </row>
    <row r="15629" spans="1:5">
      <c r="A15629" s="140"/>
      <c r="B15629" s="192"/>
      <c r="C15629" s="140"/>
      <c r="D15629" s="140"/>
      <c r="E15629" s="140"/>
    </row>
    <row r="15630" spans="1:5">
      <c r="A15630" s="140"/>
      <c r="B15630" s="192"/>
      <c r="C15630" s="140"/>
      <c r="D15630" s="140"/>
      <c r="E15630" s="140"/>
    </row>
    <row r="15631" spans="1:5">
      <c r="A15631" s="140"/>
      <c r="B15631" s="192"/>
      <c r="C15631" s="140"/>
      <c r="D15631" s="140"/>
      <c r="E15631" s="140"/>
    </row>
    <row r="15632" spans="1:5">
      <c r="A15632" s="140"/>
      <c r="B15632" s="192"/>
      <c r="C15632" s="140"/>
      <c r="D15632" s="140"/>
      <c r="E15632" s="140"/>
    </row>
    <row r="15633" spans="1:5">
      <c r="A15633" s="140"/>
      <c r="B15633" s="192"/>
      <c r="C15633" s="140"/>
      <c r="D15633" s="140"/>
      <c r="E15633" s="140"/>
    </row>
    <row r="15634" spans="1:5">
      <c r="A15634" s="140"/>
      <c r="B15634" s="192"/>
      <c r="C15634" s="140"/>
      <c r="D15634" s="140"/>
      <c r="E15634" s="140"/>
    </row>
    <row r="15635" spans="1:5">
      <c r="A15635" s="140"/>
      <c r="B15635" s="192"/>
      <c r="C15635" s="140"/>
      <c r="D15635" s="140"/>
      <c r="E15635" s="140"/>
    </row>
    <row r="15636" spans="1:5">
      <c r="A15636" s="140"/>
      <c r="B15636" s="192"/>
      <c r="C15636" s="140"/>
      <c r="D15636" s="140"/>
      <c r="E15636" s="140"/>
    </row>
    <row r="15637" spans="1:5">
      <c r="A15637" s="140"/>
      <c r="B15637" s="192"/>
      <c r="C15637" s="140"/>
      <c r="D15637" s="140"/>
      <c r="E15637" s="140"/>
    </row>
    <row r="15638" spans="1:5">
      <c r="A15638" s="140"/>
      <c r="B15638" s="192"/>
      <c r="C15638" s="140"/>
      <c r="D15638" s="140"/>
      <c r="E15638" s="140"/>
    </row>
    <row r="15639" spans="1:5">
      <c r="A15639" s="140"/>
      <c r="B15639" s="192"/>
      <c r="C15639" s="140"/>
      <c r="D15639" s="140"/>
      <c r="E15639" s="140"/>
    </row>
    <row r="15640" spans="1:5">
      <c r="A15640" s="140"/>
      <c r="B15640" s="192"/>
      <c r="C15640" s="140"/>
      <c r="D15640" s="140"/>
      <c r="E15640" s="140"/>
    </row>
    <row r="15641" spans="1:5">
      <c r="A15641" s="140"/>
      <c r="B15641" s="192"/>
      <c r="C15641" s="140"/>
      <c r="D15641" s="140"/>
      <c r="E15641" s="140"/>
    </row>
    <row r="15642" spans="1:5">
      <c r="A15642" s="140"/>
      <c r="B15642" s="192"/>
      <c r="C15642" s="140"/>
      <c r="D15642" s="140"/>
      <c r="E15642" s="140"/>
    </row>
    <row r="15643" spans="1:5">
      <c r="A15643" s="140"/>
      <c r="B15643" s="192"/>
      <c r="C15643" s="140"/>
      <c r="D15643" s="140"/>
      <c r="E15643" s="140"/>
    </row>
    <row r="15644" spans="1:5">
      <c r="A15644" s="140"/>
      <c r="B15644" s="192"/>
      <c r="C15644" s="140"/>
      <c r="D15644" s="140"/>
      <c r="E15644" s="140"/>
    </row>
    <row r="15645" spans="1:5">
      <c r="A15645" s="140"/>
      <c r="B15645" s="192"/>
      <c r="C15645" s="140"/>
      <c r="D15645" s="140"/>
      <c r="E15645" s="140"/>
    </row>
    <row r="15646" spans="1:5">
      <c r="A15646" s="140"/>
      <c r="B15646" s="192"/>
      <c r="C15646" s="140"/>
      <c r="D15646" s="140"/>
      <c r="E15646" s="140"/>
    </row>
    <row r="15647" spans="1:5">
      <c r="A15647" s="140"/>
      <c r="B15647" s="192"/>
      <c r="C15647" s="140"/>
      <c r="D15647" s="140"/>
      <c r="E15647" s="140"/>
    </row>
    <row r="15648" spans="1:5">
      <c r="A15648" s="140"/>
      <c r="B15648" s="192"/>
      <c r="C15648" s="140"/>
      <c r="D15648" s="140"/>
      <c r="E15648" s="140"/>
    </row>
    <row r="15649" spans="1:5">
      <c r="A15649" s="140"/>
      <c r="B15649" s="192"/>
      <c r="C15649" s="140"/>
      <c r="D15649" s="140"/>
      <c r="E15649" s="140"/>
    </row>
    <row r="15650" spans="1:5">
      <c r="A15650" s="140"/>
      <c r="B15650" s="192"/>
      <c r="C15650" s="140"/>
      <c r="D15650" s="140"/>
      <c r="E15650" s="140"/>
    </row>
    <row r="15651" spans="1:5">
      <c r="A15651" s="140"/>
      <c r="B15651" s="192"/>
      <c r="C15651" s="140"/>
      <c r="D15651" s="140"/>
      <c r="E15651" s="140"/>
    </row>
    <row r="15652" spans="1:5">
      <c r="A15652" s="140"/>
      <c r="B15652" s="192"/>
      <c r="C15652" s="140"/>
      <c r="D15652" s="140"/>
      <c r="E15652" s="140"/>
    </row>
    <row r="15653" spans="1:5">
      <c r="A15653" s="140"/>
      <c r="B15653" s="192"/>
      <c r="C15653" s="140"/>
      <c r="D15653" s="140"/>
      <c r="E15653" s="140"/>
    </row>
    <row r="15654" spans="1:5">
      <c r="A15654" s="140"/>
      <c r="B15654" s="192"/>
      <c r="C15654" s="140"/>
      <c r="D15654" s="140"/>
      <c r="E15654" s="140"/>
    </row>
    <row r="15655" spans="1:5">
      <c r="A15655" s="140"/>
      <c r="B15655" s="192"/>
      <c r="C15655" s="140"/>
      <c r="D15655" s="140"/>
      <c r="E15655" s="140"/>
    </row>
    <row r="15656" spans="1:5">
      <c r="A15656" s="140"/>
      <c r="B15656" s="192"/>
      <c r="C15656" s="140"/>
      <c r="D15656" s="140"/>
      <c r="E15656" s="140"/>
    </row>
    <row r="15657" spans="1:5">
      <c r="A15657" s="140"/>
      <c r="B15657" s="192"/>
      <c r="C15657" s="140"/>
      <c r="D15657" s="140"/>
      <c r="E15657" s="140"/>
    </row>
    <row r="15658" spans="1:5">
      <c r="A15658" s="140"/>
      <c r="B15658" s="192"/>
      <c r="C15658" s="140"/>
      <c r="D15658" s="140"/>
      <c r="E15658" s="140"/>
    </row>
    <row r="15659" spans="1:5">
      <c r="A15659" s="140"/>
      <c r="B15659" s="192"/>
      <c r="C15659" s="140"/>
      <c r="D15659" s="140"/>
      <c r="E15659" s="140"/>
    </row>
    <row r="15660" spans="1:5">
      <c r="A15660" s="140"/>
      <c r="B15660" s="192"/>
      <c r="C15660" s="140"/>
      <c r="D15660" s="140"/>
      <c r="E15660" s="140"/>
    </row>
    <row r="15661" spans="1:5">
      <c r="A15661" s="140"/>
      <c r="B15661" s="192"/>
      <c r="C15661" s="140"/>
      <c r="D15661" s="140"/>
      <c r="E15661" s="140"/>
    </row>
    <row r="15662" spans="1:5">
      <c r="A15662" s="140"/>
      <c r="B15662" s="192"/>
      <c r="C15662" s="140"/>
      <c r="D15662" s="140"/>
      <c r="E15662" s="140"/>
    </row>
    <row r="15663" spans="1:5">
      <c r="A15663" s="140"/>
      <c r="B15663" s="192"/>
      <c r="C15663" s="140"/>
      <c r="D15663" s="140"/>
      <c r="E15663" s="140"/>
    </row>
    <row r="15664" spans="1:5">
      <c r="A15664" s="140"/>
      <c r="B15664" s="192"/>
      <c r="C15664" s="140"/>
      <c r="D15664" s="140"/>
      <c r="E15664" s="140"/>
    </row>
    <row r="15665" spans="1:5">
      <c r="A15665" s="140"/>
      <c r="B15665" s="192"/>
      <c r="C15665" s="140"/>
      <c r="D15665" s="140"/>
      <c r="E15665" s="140"/>
    </row>
    <row r="15666" spans="1:5">
      <c r="A15666" s="140"/>
      <c r="B15666" s="192"/>
      <c r="C15666" s="140"/>
      <c r="D15666" s="140"/>
      <c r="E15666" s="140"/>
    </row>
    <row r="15667" spans="1:5">
      <c r="A15667" s="140"/>
      <c r="B15667" s="192"/>
      <c r="C15667" s="140"/>
      <c r="D15667" s="140"/>
      <c r="E15667" s="140"/>
    </row>
    <row r="15668" spans="1:5">
      <c r="A15668" s="140"/>
      <c r="B15668" s="192"/>
      <c r="C15668" s="140"/>
      <c r="D15668" s="140"/>
      <c r="E15668" s="140"/>
    </row>
    <row r="15669" spans="1:5">
      <c r="A15669" s="140"/>
      <c r="B15669" s="192"/>
      <c r="C15669" s="140"/>
      <c r="D15669" s="140"/>
      <c r="E15669" s="140"/>
    </row>
    <row r="15670" spans="1:5">
      <c r="A15670" s="140"/>
      <c r="B15670" s="192"/>
      <c r="C15670" s="140"/>
      <c r="D15670" s="140"/>
      <c r="E15670" s="140"/>
    </row>
    <row r="15671" spans="1:5">
      <c r="A15671" s="140"/>
      <c r="B15671" s="192"/>
      <c r="C15671" s="140"/>
      <c r="D15671" s="140"/>
      <c r="E15671" s="140"/>
    </row>
    <row r="15672" spans="1:5">
      <c r="A15672" s="140"/>
      <c r="B15672" s="192"/>
      <c r="C15672" s="140"/>
      <c r="D15672" s="140"/>
      <c r="E15672" s="140"/>
    </row>
    <row r="15673" spans="1:5">
      <c r="A15673" s="140"/>
      <c r="B15673" s="192"/>
      <c r="C15673" s="140"/>
      <c r="D15673" s="140"/>
      <c r="E15673" s="140"/>
    </row>
    <row r="15674" spans="1:5">
      <c r="A15674" s="140"/>
      <c r="B15674" s="192"/>
      <c r="C15674" s="140"/>
      <c r="D15674" s="140"/>
      <c r="E15674" s="140"/>
    </row>
    <row r="15675" spans="1:5">
      <c r="A15675" s="140"/>
      <c r="B15675" s="192"/>
      <c r="C15675" s="140"/>
      <c r="D15675" s="140"/>
      <c r="E15675" s="140"/>
    </row>
    <row r="15676" spans="1:5">
      <c r="A15676" s="140"/>
      <c r="B15676" s="192"/>
      <c r="C15676" s="140"/>
      <c r="D15676" s="140"/>
      <c r="E15676" s="140"/>
    </row>
    <row r="15677" spans="1:5">
      <c r="A15677" s="140"/>
      <c r="B15677" s="192"/>
      <c r="C15677" s="140"/>
      <c r="D15677" s="140"/>
      <c r="E15677" s="140"/>
    </row>
    <row r="15678" spans="1:5">
      <c r="A15678" s="140"/>
      <c r="B15678" s="192"/>
      <c r="C15678" s="140"/>
      <c r="D15678" s="140"/>
      <c r="E15678" s="140"/>
    </row>
    <row r="15679" spans="1:5">
      <c r="A15679" s="140"/>
      <c r="B15679" s="192"/>
      <c r="C15679" s="140"/>
      <c r="D15679" s="140"/>
      <c r="E15679" s="140"/>
    </row>
    <row r="15680" spans="1:5">
      <c r="A15680" s="140"/>
      <c r="B15680" s="192"/>
      <c r="C15680" s="140"/>
      <c r="D15680" s="140"/>
      <c r="E15680" s="140"/>
    </row>
    <row r="15681" spans="1:5">
      <c r="A15681" s="140"/>
      <c r="B15681" s="192"/>
      <c r="C15681" s="140"/>
      <c r="D15681" s="140"/>
      <c r="E15681" s="140"/>
    </row>
    <row r="15682" spans="1:5">
      <c r="A15682" s="140"/>
      <c r="B15682" s="192"/>
      <c r="C15682" s="140"/>
      <c r="D15682" s="140"/>
      <c r="E15682" s="140"/>
    </row>
    <row r="15683" spans="1:5">
      <c r="A15683" s="140"/>
      <c r="B15683" s="192"/>
      <c r="C15683" s="140"/>
      <c r="D15683" s="140"/>
      <c r="E15683" s="140"/>
    </row>
    <row r="15684" spans="1:5">
      <c r="A15684" s="140"/>
      <c r="B15684" s="192"/>
      <c r="C15684" s="140"/>
      <c r="D15684" s="140"/>
      <c r="E15684" s="140"/>
    </row>
    <row r="15685" spans="1:5">
      <c r="A15685" s="140"/>
      <c r="B15685" s="192"/>
      <c r="C15685" s="140"/>
      <c r="D15685" s="140"/>
      <c r="E15685" s="140"/>
    </row>
    <row r="15686" spans="1:5">
      <c r="A15686" s="140"/>
      <c r="B15686" s="192"/>
      <c r="C15686" s="140"/>
      <c r="D15686" s="140"/>
      <c r="E15686" s="140"/>
    </row>
    <row r="15687" spans="1:5">
      <c r="A15687" s="140"/>
      <c r="B15687" s="192"/>
      <c r="C15687" s="140"/>
      <c r="D15687" s="140"/>
      <c r="E15687" s="140"/>
    </row>
    <row r="15688" spans="1:5">
      <c r="A15688" s="140"/>
      <c r="B15688" s="192"/>
      <c r="C15688" s="140"/>
      <c r="D15688" s="140"/>
      <c r="E15688" s="140"/>
    </row>
    <row r="15689" spans="1:5">
      <c r="A15689" s="140"/>
      <c r="B15689" s="192"/>
      <c r="C15689" s="140"/>
      <c r="D15689" s="140"/>
      <c r="E15689" s="140"/>
    </row>
    <row r="15690" spans="1:5">
      <c r="A15690" s="140"/>
      <c r="B15690" s="192"/>
      <c r="C15690" s="140"/>
      <c r="D15690" s="140"/>
      <c r="E15690" s="140"/>
    </row>
    <row r="15691" spans="1:5">
      <c r="A15691" s="140"/>
      <c r="B15691" s="192"/>
      <c r="C15691" s="140"/>
      <c r="D15691" s="140"/>
      <c r="E15691" s="140"/>
    </row>
    <row r="15692" spans="1:5">
      <c r="A15692" s="140"/>
      <c r="B15692" s="192"/>
      <c r="C15692" s="140"/>
      <c r="D15692" s="140"/>
      <c r="E15692" s="140"/>
    </row>
    <row r="15693" spans="1:5">
      <c r="A15693" s="140"/>
      <c r="B15693" s="192"/>
      <c r="C15693" s="140"/>
      <c r="D15693" s="140"/>
      <c r="E15693" s="140"/>
    </row>
    <row r="15694" spans="1:5">
      <c r="A15694" s="140"/>
      <c r="B15694" s="192"/>
      <c r="C15694" s="140"/>
      <c r="D15694" s="140"/>
      <c r="E15694" s="140"/>
    </row>
    <row r="15695" spans="1:5">
      <c r="A15695" s="140"/>
      <c r="B15695" s="192"/>
      <c r="C15695" s="140"/>
      <c r="D15695" s="140"/>
      <c r="E15695" s="140"/>
    </row>
    <row r="15696" spans="1:5">
      <c r="A15696" s="140"/>
      <c r="B15696" s="192"/>
      <c r="C15696" s="140"/>
      <c r="D15696" s="140"/>
      <c r="E15696" s="140"/>
    </row>
    <row r="15697" spans="1:5">
      <c r="A15697" s="140"/>
      <c r="B15697" s="192"/>
      <c r="C15697" s="140"/>
      <c r="D15697" s="140"/>
      <c r="E15697" s="140"/>
    </row>
    <row r="15698" spans="1:5">
      <c r="A15698" s="140"/>
      <c r="B15698" s="192"/>
      <c r="C15698" s="140"/>
      <c r="D15698" s="140"/>
      <c r="E15698" s="140"/>
    </row>
    <row r="15699" spans="1:5">
      <c r="A15699" s="140"/>
      <c r="B15699" s="192"/>
      <c r="C15699" s="140"/>
      <c r="D15699" s="140"/>
      <c r="E15699" s="140"/>
    </row>
    <row r="15700" spans="1:5">
      <c r="A15700" s="140"/>
      <c r="B15700" s="192"/>
      <c r="C15700" s="140"/>
      <c r="D15700" s="140"/>
      <c r="E15700" s="140"/>
    </row>
    <row r="15701" spans="1:5">
      <c r="A15701" s="140"/>
      <c r="B15701" s="192"/>
      <c r="C15701" s="140"/>
      <c r="D15701" s="140"/>
      <c r="E15701" s="140"/>
    </row>
    <row r="15702" spans="1:5">
      <c r="A15702" s="140"/>
      <c r="B15702" s="192"/>
      <c r="C15702" s="140"/>
      <c r="D15702" s="140"/>
      <c r="E15702" s="140"/>
    </row>
    <row r="15703" spans="1:5">
      <c r="A15703" s="140"/>
      <c r="B15703" s="192"/>
      <c r="C15703" s="140"/>
      <c r="D15703" s="140"/>
      <c r="E15703" s="140"/>
    </row>
    <row r="15704" spans="1:5">
      <c r="A15704" s="140"/>
      <c r="B15704" s="192"/>
      <c r="C15704" s="140"/>
      <c r="D15704" s="140"/>
      <c r="E15704" s="140"/>
    </row>
    <row r="15705" spans="1:5">
      <c r="A15705" s="140"/>
      <c r="B15705" s="192"/>
      <c r="C15705" s="140"/>
      <c r="D15705" s="140"/>
      <c r="E15705" s="140"/>
    </row>
    <row r="15706" spans="1:5">
      <c r="A15706" s="140"/>
      <c r="B15706" s="192"/>
      <c r="C15706" s="140"/>
      <c r="D15706" s="140"/>
      <c r="E15706" s="140"/>
    </row>
    <row r="15707" spans="1:5">
      <c r="A15707" s="140"/>
      <c r="B15707" s="192"/>
      <c r="C15707" s="140"/>
      <c r="D15707" s="140"/>
      <c r="E15707" s="140"/>
    </row>
    <row r="15708" spans="1:5">
      <c r="A15708" s="140"/>
      <c r="B15708" s="192"/>
      <c r="C15708" s="140"/>
      <c r="D15708" s="140"/>
      <c r="E15708" s="140"/>
    </row>
    <row r="15709" spans="1:5">
      <c r="A15709" s="140"/>
      <c r="B15709" s="192"/>
      <c r="C15709" s="140"/>
      <c r="D15709" s="140"/>
      <c r="E15709" s="140"/>
    </row>
    <row r="15710" spans="1:5">
      <c r="A15710" s="140"/>
      <c r="B15710" s="192"/>
      <c r="C15710" s="140"/>
      <c r="D15710" s="140"/>
      <c r="E15710" s="140"/>
    </row>
    <row r="15711" spans="1:5">
      <c r="A15711" s="140"/>
      <c r="B15711" s="192"/>
      <c r="C15711" s="140"/>
      <c r="D15711" s="140"/>
      <c r="E15711" s="140"/>
    </row>
    <row r="15712" spans="1:5">
      <c r="A15712" s="140"/>
      <c r="B15712" s="192"/>
      <c r="C15712" s="140"/>
      <c r="D15712" s="140"/>
      <c r="E15712" s="140"/>
    </row>
    <row r="15713" spans="1:5">
      <c r="A15713" s="140"/>
      <c r="B15713" s="192"/>
      <c r="C15713" s="140"/>
      <c r="D15713" s="140"/>
      <c r="E15713" s="140"/>
    </row>
    <row r="15714" spans="1:5">
      <c r="A15714" s="140"/>
      <c r="B15714" s="192"/>
      <c r="C15714" s="140"/>
      <c r="D15714" s="140"/>
      <c r="E15714" s="140"/>
    </row>
    <row r="15715" spans="1:5">
      <c r="A15715" s="140"/>
      <c r="B15715" s="192"/>
      <c r="C15715" s="140"/>
      <c r="D15715" s="140"/>
      <c r="E15715" s="140"/>
    </row>
    <row r="15716" spans="1:5">
      <c r="A15716" s="140"/>
      <c r="B15716" s="192"/>
      <c r="C15716" s="140"/>
      <c r="D15716" s="140"/>
      <c r="E15716" s="140"/>
    </row>
    <row r="15717" spans="1:5">
      <c r="A15717" s="140"/>
      <c r="B15717" s="192"/>
      <c r="C15717" s="140"/>
      <c r="D15717" s="140"/>
      <c r="E15717" s="140"/>
    </row>
    <row r="15718" spans="1:5">
      <c r="A15718" s="140"/>
      <c r="B15718" s="192"/>
      <c r="C15718" s="140"/>
      <c r="D15718" s="140"/>
      <c r="E15718" s="140"/>
    </row>
    <row r="15719" spans="1:5">
      <c r="A15719" s="140"/>
      <c r="B15719" s="192"/>
      <c r="C15719" s="140"/>
      <c r="D15719" s="140"/>
      <c r="E15719" s="140"/>
    </row>
    <row r="15720" spans="1:5">
      <c r="A15720" s="140"/>
      <c r="B15720" s="192"/>
      <c r="C15720" s="140"/>
      <c r="D15720" s="140"/>
      <c r="E15720" s="140"/>
    </row>
    <row r="15721" spans="1:5">
      <c r="A15721" s="140"/>
      <c r="B15721" s="192"/>
      <c r="C15721" s="140"/>
      <c r="D15721" s="140"/>
      <c r="E15721" s="140"/>
    </row>
    <row r="15722" spans="1:5">
      <c r="A15722" s="140"/>
      <c r="B15722" s="192"/>
      <c r="C15722" s="140"/>
      <c r="D15722" s="140"/>
      <c r="E15722" s="140"/>
    </row>
    <row r="15723" spans="1:5">
      <c r="A15723" s="140"/>
      <c r="B15723" s="192"/>
      <c r="C15723" s="140"/>
      <c r="D15723" s="140"/>
      <c r="E15723" s="140"/>
    </row>
    <row r="15724" spans="1:5">
      <c r="A15724" s="140"/>
      <c r="B15724" s="192"/>
      <c r="C15724" s="140"/>
      <c r="D15724" s="140"/>
      <c r="E15724" s="140"/>
    </row>
    <row r="15725" spans="1:5">
      <c r="A15725" s="140"/>
      <c r="B15725" s="192"/>
      <c r="C15725" s="140"/>
      <c r="D15725" s="140"/>
      <c r="E15725" s="140"/>
    </row>
    <row r="15726" spans="1:5">
      <c r="A15726" s="140"/>
      <c r="B15726" s="192"/>
      <c r="C15726" s="140"/>
      <c r="D15726" s="140"/>
      <c r="E15726" s="140"/>
    </row>
    <row r="15727" spans="1:5">
      <c r="A15727" s="140"/>
      <c r="B15727" s="192"/>
      <c r="C15727" s="140"/>
      <c r="D15727" s="140"/>
      <c r="E15727" s="140"/>
    </row>
    <row r="15728" spans="1:5">
      <c r="A15728" s="140"/>
      <c r="B15728" s="192"/>
      <c r="C15728" s="140"/>
      <c r="D15728" s="140"/>
      <c r="E15728" s="140"/>
    </row>
    <row r="15729" spans="1:5">
      <c r="A15729" s="140"/>
      <c r="B15729" s="192"/>
      <c r="C15729" s="140"/>
      <c r="D15729" s="140"/>
      <c r="E15729" s="140"/>
    </row>
    <row r="15730" spans="1:5">
      <c r="A15730" s="140"/>
      <c r="B15730" s="192"/>
      <c r="C15730" s="140"/>
      <c r="D15730" s="140"/>
      <c r="E15730" s="140"/>
    </row>
    <row r="15731" spans="1:5">
      <c r="A15731" s="140"/>
      <c r="B15731" s="192"/>
      <c r="C15731" s="140"/>
      <c r="D15731" s="140"/>
      <c r="E15731" s="140"/>
    </row>
    <row r="15732" spans="1:5">
      <c r="A15732" s="140"/>
      <c r="B15732" s="192"/>
      <c r="C15732" s="140"/>
      <c r="D15732" s="140"/>
      <c r="E15732" s="140"/>
    </row>
    <row r="15733" spans="1:5">
      <c r="A15733" s="140"/>
      <c r="B15733" s="192"/>
      <c r="C15733" s="140"/>
      <c r="D15733" s="140"/>
      <c r="E15733" s="140"/>
    </row>
    <row r="15734" spans="1:5">
      <c r="A15734" s="140"/>
      <c r="B15734" s="192"/>
      <c r="C15734" s="140"/>
      <c r="D15734" s="140"/>
      <c r="E15734" s="140"/>
    </row>
    <row r="15735" spans="1:5">
      <c r="A15735" s="140"/>
      <c r="B15735" s="192"/>
      <c r="C15735" s="140"/>
      <c r="D15735" s="140"/>
      <c r="E15735" s="140"/>
    </row>
    <row r="15736" spans="1:5">
      <c r="A15736" s="140"/>
      <c r="B15736" s="192"/>
      <c r="C15736" s="140"/>
      <c r="D15736" s="140"/>
      <c r="E15736" s="140"/>
    </row>
    <row r="15737" spans="1:5">
      <c r="A15737" s="140"/>
      <c r="B15737" s="192"/>
      <c r="C15737" s="140"/>
      <c r="D15737" s="140"/>
      <c r="E15737" s="140"/>
    </row>
    <row r="15738" spans="1:5">
      <c r="A15738" s="140"/>
      <c r="B15738" s="192"/>
      <c r="C15738" s="140"/>
      <c r="D15738" s="140"/>
      <c r="E15738" s="140"/>
    </row>
    <row r="15739" spans="1:5">
      <c r="A15739" s="140"/>
      <c r="B15739" s="192"/>
      <c r="C15739" s="140"/>
      <c r="D15739" s="140"/>
      <c r="E15739" s="140"/>
    </row>
    <row r="15740" spans="1:5">
      <c r="A15740" s="140"/>
      <c r="B15740" s="192"/>
      <c r="C15740" s="140"/>
      <c r="D15740" s="140"/>
      <c r="E15740" s="140"/>
    </row>
    <row r="15741" spans="1:5">
      <c r="A15741" s="140"/>
      <c r="B15741" s="192"/>
      <c r="C15741" s="140"/>
      <c r="D15741" s="140"/>
      <c r="E15741" s="140"/>
    </row>
    <row r="15742" spans="1:5">
      <c r="A15742" s="140"/>
      <c r="B15742" s="192"/>
      <c r="C15742" s="140"/>
      <c r="D15742" s="140"/>
      <c r="E15742" s="140"/>
    </row>
    <row r="15743" spans="1:5">
      <c r="A15743" s="140"/>
      <c r="B15743" s="192"/>
      <c r="C15743" s="140"/>
      <c r="D15743" s="140"/>
      <c r="E15743" s="140"/>
    </row>
    <row r="15744" spans="1:5">
      <c r="A15744" s="140"/>
      <c r="B15744" s="192"/>
      <c r="C15744" s="140"/>
      <c r="D15744" s="140"/>
      <c r="E15744" s="140"/>
    </row>
    <row r="15745" spans="1:5">
      <c r="A15745" s="140"/>
      <c r="B15745" s="192"/>
      <c r="C15745" s="140"/>
      <c r="D15745" s="140"/>
      <c r="E15745" s="140"/>
    </row>
    <row r="15746" spans="1:5">
      <c r="A15746" s="140"/>
      <c r="B15746" s="192"/>
      <c r="C15746" s="140"/>
      <c r="D15746" s="140"/>
      <c r="E15746" s="140"/>
    </row>
    <row r="15747" spans="1:5">
      <c r="A15747" s="140"/>
      <c r="B15747" s="192"/>
      <c r="C15747" s="140"/>
      <c r="D15747" s="140"/>
      <c r="E15747" s="140"/>
    </row>
    <row r="15748" spans="1:5">
      <c r="A15748" s="140"/>
      <c r="B15748" s="192"/>
      <c r="C15748" s="140"/>
      <c r="D15748" s="140"/>
      <c r="E15748" s="140"/>
    </row>
    <row r="15749" spans="1:5">
      <c r="A15749" s="140"/>
      <c r="B15749" s="192"/>
      <c r="C15749" s="140"/>
      <c r="D15749" s="140"/>
      <c r="E15749" s="140"/>
    </row>
    <row r="15750" spans="1:5">
      <c r="A15750" s="140"/>
      <c r="B15750" s="192"/>
      <c r="C15750" s="140"/>
      <c r="D15750" s="140"/>
      <c r="E15750" s="140"/>
    </row>
    <row r="15751" spans="1:5">
      <c r="A15751" s="140"/>
      <c r="B15751" s="192"/>
      <c r="C15751" s="140"/>
      <c r="D15751" s="140"/>
      <c r="E15751" s="140"/>
    </row>
    <row r="15752" spans="1:5">
      <c r="A15752" s="140"/>
      <c r="B15752" s="192"/>
      <c r="C15752" s="140"/>
      <c r="D15752" s="140"/>
      <c r="E15752" s="140"/>
    </row>
    <row r="15753" spans="1:5">
      <c r="A15753" s="140"/>
      <c r="B15753" s="192"/>
      <c r="C15753" s="140"/>
      <c r="D15753" s="140"/>
      <c r="E15753" s="140"/>
    </row>
    <row r="15754" spans="1:5">
      <c r="A15754" s="140"/>
      <c r="B15754" s="192"/>
      <c r="C15754" s="140"/>
      <c r="D15754" s="140"/>
      <c r="E15754" s="140"/>
    </row>
    <row r="15755" spans="1:5">
      <c r="A15755" s="140"/>
      <c r="B15755" s="192"/>
      <c r="C15755" s="140"/>
      <c r="D15755" s="140"/>
      <c r="E15755" s="140"/>
    </row>
    <row r="15756" spans="1:5">
      <c r="A15756" s="140"/>
      <c r="B15756" s="192"/>
      <c r="C15756" s="140"/>
      <c r="D15756" s="140"/>
      <c r="E15756" s="140"/>
    </row>
    <row r="15757" spans="1:5">
      <c r="A15757" s="140"/>
      <c r="B15757" s="192"/>
      <c r="C15757" s="140"/>
      <c r="D15757" s="140"/>
      <c r="E15757" s="140"/>
    </row>
    <row r="15758" spans="1:5">
      <c r="A15758" s="140"/>
      <c r="B15758" s="192"/>
      <c r="C15758" s="140"/>
      <c r="D15758" s="140"/>
      <c r="E15758" s="140"/>
    </row>
    <row r="15759" spans="1:5">
      <c r="A15759" s="140"/>
      <c r="B15759" s="192"/>
      <c r="C15759" s="140"/>
      <c r="D15759" s="140"/>
      <c r="E15759" s="140"/>
    </row>
    <row r="15760" spans="1:5">
      <c r="A15760" s="140"/>
      <c r="B15760" s="192"/>
      <c r="C15760" s="140"/>
      <c r="D15760" s="140"/>
      <c r="E15760" s="140"/>
    </row>
    <row r="15761" spans="1:5">
      <c r="A15761" s="140"/>
      <c r="B15761" s="192"/>
      <c r="C15761" s="140"/>
      <c r="D15761" s="140"/>
      <c r="E15761" s="140"/>
    </row>
    <row r="15762" spans="1:5">
      <c r="A15762" s="140"/>
      <c r="B15762" s="192"/>
      <c r="C15762" s="140"/>
      <c r="D15762" s="140"/>
      <c r="E15762" s="140"/>
    </row>
    <row r="15763" spans="1:5">
      <c r="A15763" s="140"/>
      <c r="B15763" s="192"/>
      <c r="C15763" s="140"/>
      <c r="D15763" s="140"/>
      <c r="E15763" s="140"/>
    </row>
    <row r="15764" spans="1:5">
      <c r="A15764" s="140"/>
      <c r="B15764" s="192"/>
      <c r="C15764" s="140"/>
      <c r="D15764" s="140"/>
      <c r="E15764" s="140"/>
    </row>
    <row r="15765" spans="1:5">
      <c r="A15765" s="140"/>
      <c r="B15765" s="192"/>
      <c r="C15765" s="140"/>
      <c r="D15765" s="140"/>
      <c r="E15765" s="140"/>
    </row>
    <row r="15766" spans="1:5">
      <c r="A15766" s="140"/>
      <c r="B15766" s="192"/>
      <c r="C15766" s="140"/>
      <c r="D15766" s="140"/>
      <c r="E15766" s="140"/>
    </row>
    <row r="15767" spans="1:5">
      <c r="A15767" s="140"/>
      <c r="B15767" s="192"/>
      <c r="C15767" s="140"/>
      <c r="D15767" s="140"/>
      <c r="E15767" s="140"/>
    </row>
    <row r="15768" spans="1:5">
      <c r="A15768" s="140"/>
      <c r="B15768" s="192"/>
      <c r="C15768" s="140"/>
      <c r="D15768" s="140"/>
      <c r="E15768" s="140"/>
    </row>
    <row r="15769" spans="1:5">
      <c r="A15769" s="140"/>
      <c r="B15769" s="192"/>
      <c r="C15769" s="140"/>
      <c r="D15769" s="140"/>
      <c r="E15769" s="140"/>
    </row>
    <row r="15770" spans="1:5">
      <c r="A15770" s="140"/>
      <c r="B15770" s="192"/>
      <c r="C15770" s="140"/>
      <c r="D15770" s="140"/>
      <c r="E15770" s="140"/>
    </row>
    <row r="15771" spans="1:5">
      <c r="A15771" s="140"/>
      <c r="B15771" s="192"/>
      <c r="C15771" s="140"/>
      <c r="D15771" s="140"/>
      <c r="E15771" s="140"/>
    </row>
    <row r="15772" spans="1:5">
      <c r="A15772" s="140"/>
      <c r="B15772" s="192"/>
      <c r="C15772" s="140"/>
      <c r="D15772" s="140"/>
      <c r="E15772" s="140"/>
    </row>
    <row r="15773" spans="1:5">
      <c r="A15773" s="140"/>
      <c r="B15773" s="192"/>
      <c r="C15773" s="140"/>
      <c r="D15773" s="140"/>
      <c r="E15773" s="140"/>
    </row>
    <row r="15774" spans="1:5">
      <c r="A15774" s="140"/>
      <c r="B15774" s="192"/>
      <c r="C15774" s="140"/>
      <c r="D15774" s="140"/>
      <c r="E15774" s="140"/>
    </row>
    <row r="15775" spans="1:5">
      <c r="A15775" s="140"/>
      <c r="B15775" s="192"/>
      <c r="C15775" s="140"/>
      <c r="D15775" s="140"/>
      <c r="E15775" s="140"/>
    </row>
    <row r="15776" spans="1:5">
      <c r="A15776" s="140"/>
      <c r="B15776" s="192"/>
      <c r="C15776" s="140"/>
      <c r="D15776" s="140"/>
      <c r="E15776" s="140"/>
    </row>
    <row r="15777" spans="1:5">
      <c r="A15777" s="140"/>
      <c r="B15777" s="192"/>
      <c r="C15777" s="140"/>
      <c r="D15777" s="140"/>
      <c r="E15777" s="140"/>
    </row>
    <row r="15778" spans="1:5">
      <c r="A15778" s="140"/>
      <c r="B15778" s="192"/>
      <c r="C15778" s="140"/>
      <c r="D15778" s="140"/>
      <c r="E15778" s="140"/>
    </row>
    <row r="15779" spans="1:5">
      <c r="A15779" s="140"/>
      <c r="B15779" s="192"/>
      <c r="C15779" s="140"/>
      <c r="D15779" s="140"/>
      <c r="E15779" s="140"/>
    </row>
    <row r="15780" spans="1:5">
      <c r="A15780" s="140"/>
      <c r="B15780" s="192"/>
      <c r="C15780" s="140"/>
      <c r="D15780" s="140"/>
      <c r="E15780" s="140"/>
    </row>
    <row r="15781" spans="1:5">
      <c r="A15781" s="140"/>
      <c r="B15781" s="192"/>
      <c r="C15781" s="140"/>
      <c r="D15781" s="140"/>
      <c r="E15781" s="140"/>
    </row>
    <row r="15782" spans="1:5">
      <c r="A15782" s="140"/>
      <c r="B15782" s="192"/>
      <c r="C15782" s="140"/>
      <c r="D15782" s="140"/>
      <c r="E15782" s="140"/>
    </row>
    <row r="15783" spans="1:5">
      <c r="A15783" s="140"/>
      <c r="B15783" s="192"/>
      <c r="C15783" s="140"/>
      <c r="D15783" s="140"/>
      <c r="E15783" s="140"/>
    </row>
    <row r="15784" spans="1:5">
      <c r="A15784" s="140"/>
      <c r="B15784" s="192"/>
      <c r="C15784" s="140"/>
      <c r="D15784" s="140"/>
      <c r="E15784" s="140"/>
    </row>
    <row r="15785" spans="1:5">
      <c r="A15785" s="140"/>
      <c r="B15785" s="192"/>
      <c r="C15785" s="140"/>
      <c r="D15785" s="140"/>
      <c r="E15785" s="140"/>
    </row>
    <row r="15786" spans="1:5">
      <c r="A15786" s="140"/>
      <c r="B15786" s="192"/>
      <c r="C15786" s="140"/>
      <c r="D15786" s="140"/>
      <c r="E15786" s="140"/>
    </row>
    <row r="15787" spans="1:5">
      <c r="A15787" s="140"/>
      <c r="B15787" s="192"/>
      <c r="C15787" s="140"/>
      <c r="D15787" s="140"/>
      <c r="E15787" s="140"/>
    </row>
    <row r="15788" spans="1:5">
      <c r="A15788" s="140"/>
      <c r="B15788" s="192"/>
      <c r="C15788" s="140"/>
      <c r="D15788" s="140"/>
      <c r="E15788" s="140"/>
    </row>
    <row r="15789" spans="1:5">
      <c r="A15789" s="140"/>
      <c r="B15789" s="192"/>
      <c r="C15789" s="140"/>
      <c r="D15789" s="140"/>
      <c r="E15789" s="140"/>
    </row>
    <row r="15790" spans="1:5">
      <c r="A15790" s="140"/>
      <c r="B15790" s="192"/>
      <c r="C15790" s="140"/>
      <c r="D15790" s="140"/>
      <c r="E15790" s="140"/>
    </row>
    <row r="15791" spans="1:5">
      <c r="A15791" s="140"/>
      <c r="B15791" s="192"/>
      <c r="C15791" s="140"/>
      <c r="D15791" s="140"/>
      <c r="E15791" s="140"/>
    </row>
    <row r="15792" spans="1:5">
      <c r="A15792" s="140"/>
      <c r="B15792" s="192"/>
      <c r="C15792" s="140"/>
      <c r="D15792" s="140"/>
      <c r="E15792" s="140"/>
    </row>
    <row r="15793" spans="1:5">
      <c r="A15793" s="140"/>
      <c r="B15793" s="192"/>
      <c r="C15793" s="140"/>
      <c r="D15793" s="140"/>
      <c r="E15793" s="140"/>
    </row>
    <row r="15794" spans="1:5">
      <c r="A15794" s="140"/>
      <c r="B15794" s="192"/>
      <c r="C15794" s="140"/>
      <c r="D15794" s="140"/>
      <c r="E15794" s="140"/>
    </row>
    <row r="15795" spans="1:5">
      <c r="A15795" s="140"/>
      <c r="B15795" s="192"/>
      <c r="C15795" s="140"/>
      <c r="D15795" s="140"/>
      <c r="E15795" s="140"/>
    </row>
    <row r="15796" spans="1:5">
      <c r="A15796" s="140"/>
      <c r="B15796" s="192"/>
      <c r="C15796" s="140"/>
      <c r="D15796" s="140"/>
      <c r="E15796" s="140"/>
    </row>
    <row r="15797" spans="1:5">
      <c r="A15797" s="140"/>
      <c r="B15797" s="192"/>
      <c r="C15797" s="140"/>
      <c r="D15797" s="140"/>
      <c r="E15797" s="140"/>
    </row>
    <row r="15798" spans="1:5">
      <c r="A15798" s="140"/>
      <c r="B15798" s="192"/>
      <c r="C15798" s="140"/>
      <c r="D15798" s="140"/>
      <c r="E15798" s="140"/>
    </row>
    <row r="15799" spans="1:5">
      <c r="A15799" s="140"/>
      <c r="B15799" s="192"/>
      <c r="C15799" s="140"/>
      <c r="D15799" s="140"/>
      <c r="E15799" s="140"/>
    </row>
    <row r="15800" spans="1:5">
      <c r="A15800" s="140"/>
      <c r="B15800" s="192"/>
      <c r="C15800" s="140"/>
      <c r="D15800" s="140"/>
      <c r="E15800" s="140"/>
    </row>
    <row r="15801" spans="1:5">
      <c r="A15801" s="140"/>
      <c r="B15801" s="192"/>
      <c r="C15801" s="140"/>
      <c r="D15801" s="140"/>
      <c r="E15801" s="140"/>
    </row>
    <row r="15802" spans="1:5">
      <c r="A15802" s="140"/>
      <c r="B15802" s="192"/>
      <c r="C15802" s="140"/>
      <c r="D15802" s="140"/>
      <c r="E15802" s="140"/>
    </row>
    <row r="15803" spans="1:5">
      <c r="A15803" s="140"/>
      <c r="B15803" s="192"/>
      <c r="C15803" s="140"/>
      <c r="D15803" s="140"/>
      <c r="E15803" s="140"/>
    </row>
    <row r="15804" spans="1:5">
      <c r="A15804" s="140"/>
      <c r="B15804" s="192"/>
      <c r="C15804" s="140"/>
      <c r="D15804" s="140"/>
      <c r="E15804" s="140"/>
    </row>
    <row r="15805" spans="1:5">
      <c r="A15805" s="140"/>
      <c r="B15805" s="192"/>
      <c r="C15805" s="140"/>
      <c r="D15805" s="140"/>
      <c r="E15805" s="140"/>
    </row>
    <row r="15806" spans="1:5">
      <c r="A15806" s="140"/>
      <c r="B15806" s="192"/>
      <c r="C15806" s="140"/>
      <c r="D15806" s="140"/>
      <c r="E15806" s="140"/>
    </row>
    <row r="15807" spans="1:5">
      <c r="A15807" s="140"/>
      <c r="B15807" s="192"/>
      <c r="C15807" s="140"/>
      <c r="D15807" s="140"/>
      <c r="E15807" s="140"/>
    </row>
    <row r="15808" spans="1:5">
      <c r="A15808" s="140"/>
      <c r="B15808" s="192"/>
      <c r="C15808" s="140"/>
      <c r="D15808" s="140"/>
      <c r="E15808" s="140"/>
    </row>
    <row r="15809" spans="1:5">
      <c r="A15809" s="140"/>
      <c r="B15809" s="192"/>
      <c r="C15809" s="140"/>
      <c r="D15809" s="140"/>
      <c r="E15809" s="140"/>
    </row>
    <row r="15810" spans="1:5">
      <c r="A15810" s="140"/>
      <c r="B15810" s="192"/>
      <c r="C15810" s="140"/>
      <c r="D15810" s="140"/>
      <c r="E15810" s="140"/>
    </row>
    <row r="15811" spans="1:5">
      <c r="A15811" s="140"/>
      <c r="B15811" s="192"/>
      <c r="C15811" s="140"/>
      <c r="D15811" s="140"/>
      <c r="E15811" s="140"/>
    </row>
    <row r="15812" spans="1:5">
      <c r="A15812" s="140"/>
      <c r="B15812" s="192"/>
      <c r="C15812" s="140"/>
      <c r="D15812" s="140"/>
      <c r="E15812" s="140"/>
    </row>
    <row r="15813" spans="1:5">
      <c r="A15813" s="140"/>
      <c r="B15813" s="192"/>
      <c r="C15813" s="140"/>
      <c r="D15813" s="140"/>
      <c r="E15813" s="140"/>
    </row>
    <row r="15814" spans="1:5">
      <c r="A15814" s="140"/>
      <c r="B15814" s="192"/>
      <c r="C15814" s="140"/>
      <c r="D15814" s="140"/>
      <c r="E15814" s="140"/>
    </row>
    <row r="15815" spans="1:5">
      <c r="A15815" s="140"/>
      <c r="B15815" s="192"/>
      <c r="C15815" s="140"/>
      <c r="D15815" s="140"/>
      <c r="E15815" s="140"/>
    </row>
    <row r="15816" spans="1:5">
      <c r="A15816" s="140"/>
      <c r="B15816" s="192"/>
      <c r="C15816" s="140"/>
      <c r="D15816" s="140"/>
      <c r="E15816" s="140"/>
    </row>
    <row r="15817" spans="1:5">
      <c r="A15817" s="140"/>
      <c r="B15817" s="192"/>
      <c r="C15817" s="140"/>
      <c r="D15817" s="140"/>
      <c r="E15817" s="140"/>
    </row>
    <row r="15818" spans="1:5">
      <c r="A15818" s="140"/>
      <c r="B15818" s="192"/>
      <c r="C15818" s="140"/>
      <c r="D15818" s="140"/>
      <c r="E15818" s="140"/>
    </row>
    <row r="15819" spans="1:5">
      <c r="A15819" s="140"/>
      <c r="B15819" s="192"/>
      <c r="C15819" s="140"/>
      <c r="D15819" s="140"/>
      <c r="E15819" s="140"/>
    </row>
    <row r="15820" spans="1:5">
      <c r="A15820" s="140"/>
      <c r="B15820" s="192"/>
      <c r="C15820" s="140"/>
      <c r="D15820" s="140"/>
      <c r="E15820" s="140"/>
    </row>
    <row r="15821" spans="1:5">
      <c r="A15821" s="140"/>
      <c r="B15821" s="192"/>
      <c r="C15821" s="140"/>
      <c r="D15821" s="140"/>
      <c r="E15821" s="140"/>
    </row>
    <row r="15822" spans="1:5">
      <c r="A15822" s="140"/>
      <c r="B15822" s="192"/>
      <c r="C15822" s="140"/>
      <c r="D15822" s="140"/>
      <c r="E15822" s="140"/>
    </row>
    <row r="15823" spans="1:5">
      <c r="A15823" s="140"/>
      <c r="B15823" s="192"/>
      <c r="C15823" s="140"/>
      <c r="D15823" s="140"/>
      <c r="E15823" s="140"/>
    </row>
    <row r="15824" spans="1:5">
      <c r="A15824" s="140"/>
      <c r="B15824" s="192"/>
      <c r="C15824" s="140"/>
      <c r="D15824" s="140"/>
      <c r="E15824" s="140"/>
    </row>
    <row r="15825" spans="1:5">
      <c r="A15825" s="140"/>
      <c r="B15825" s="192"/>
      <c r="C15825" s="140"/>
      <c r="D15825" s="140"/>
      <c r="E15825" s="140"/>
    </row>
    <row r="15826" spans="1:5">
      <c r="A15826" s="140"/>
      <c r="B15826" s="192"/>
      <c r="C15826" s="140"/>
      <c r="D15826" s="140"/>
      <c r="E15826" s="140"/>
    </row>
    <row r="15827" spans="1:5">
      <c r="A15827" s="140"/>
      <c r="B15827" s="192"/>
      <c r="C15827" s="140"/>
      <c r="D15827" s="140"/>
      <c r="E15827" s="140"/>
    </row>
    <row r="15828" spans="1:5">
      <c r="A15828" s="140"/>
      <c r="B15828" s="192"/>
      <c r="C15828" s="140"/>
      <c r="D15828" s="140"/>
      <c r="E15828" s="140"/>
    </row>
    <row r="15829" spans="1:5">
      <c r="A15829" s="140"/>
      <c r="B15829" s="192"/>
      <c r="C15829" s="140"/>
      <c r="D15829" s="140"/>
      <c r="E15829" s="140"/>
    </row>
    <row r="15830" spans="1:5">
      <c r="A15830" s="140"/>
      <c r="B15830" s="192"/>
      <c r="C15830" s="140"/>
      <c r="D15830" s="140"/>
      <c r="E15830" s="140"/>
    </row>
    <row r="15831" spans="1:5">
      <c r="A15831" s="140"/>
      <c r="B15831" s="192"/>
      <c r="C15831" s="140"/>
      <c r="D15831" s="140"/>
      <c r="E15831" s="140"/>
    </row>
    <row r="15832" spans="1:5">
      <c r="A15832" s="140"/>
      <c r="B15832" s="192"/>
      <c r="C15832" s="140"/>
      <c r="D15832" s="140"/>
      <c r="E15832" s="140"/>
    </row>
    <row r="15833" spans="1:5">
      <c r="A15833" s="140"/>
      <c r="B15833" s="192"/>
      <c r="C15833" s="140"/>
      <c r="D15833" s="140"/>
      <c r="E15833" s="140"/>
    </row>
    <row r="15834" spans="1:5">
      <c r="A15834" s="140"/>
      <c r="B15834" s="192"/>
      <c r="C15834" s="140"/>
      <c r="D15834" s="140"/>
      <c r="E15834" s="140"/>
    </row>
    <row r="15835" spans="1:5">
      <c r="A15835" s="140"/>
      <c r="B15835" s="192"/>
      <c r="C15835" s="140"/>
      <c r="D15835" s="140"/>
      <c r="E15835" s="140"/>
    </row>
    <row r="15836" spans="1:5">
      <c r="A15836" s="140"/>
      <c r="B15836" s="192"/>
      <c r="C15836" s="140"/>
      <c r="D15836" s="140"/>
      <c r="E15836" s="140"/>
    </row>
    <row r="15837" spans="1:5">
      <c r="A15837" s="140"/>
      <c r="B15837" s="192"/>
      <c r="C15837" s="140"/>
      <c r="D15837" s="140"/>
      <c r="E15837" s="140"/>
    </row>
    <row r="15838" spans="1:5">
      <c r="A15838" s="140"/>
      <c r="B15838" s="192"/>
      <c r="C15838" s="140"/>
      <c r="D15838" s="140"/>
      <c r="E15838" s="140"/>
    </row>
    <row r="15839" spans="1:5">
      <c r="A15839" s="140"/>
      <c r="B15839" s="192"/>
      <c r="C15839" s="140"/>
      <c r="D15839" s="140"/>
      <c r="E15839" s="140"/>
    </row>
    <row r="15840" spans="1:5">
      <c r="A15840" s="140"/>
      <c r="B15840" s="192"/>
      <c r="C15840" s="140"/>
      <c r="D15840" s="140"/>
      <c r="E15840" s="140"/>
    </row>
    <row r="15841" spans="1:5">
      <c r="A15841" s="140"/>
      <c r="B15841" s="192"/>
      <c r="C15841" s="140"/>
      <c r="D15841" s="140"/>
      <c r="E15841" s="140"/>
    </row>
    <row r="15842" spans="1:5">
      <c r="A15842" s="140"/>
      <c r="B15842" s="192"/>
      <c r="C15842" s="140"/>
      <c r="D15842" s="140"/>
      <c r="E15842" s="140"/>
    </row>
    <row r="15843" spans="1:5">
      <c r="A15843" s="140"/>
      <c r="B15843" s="192"/>
      <c r="C15843" s="140"/>
      <c r="D15843" s="140"/>
      <c r="E15843" s="140"/>
    </row>
    <row r="15844" spans="1:5">
      <c r="A15844" s="140"/>
      <c r="B15844" s="192"/>
      <c r="C15844" s="140"/>
      <c r="D15844" s="140"/>
      <c r="E15844" s="140"/>
    </row>
    <row r="15845" spans="1:5">
      <c r="A15845" s="140"/>
      <c r="B15845" s="192"/>
      <c r="C15845" s="140"/>
      <c r="D15845" s="140"/>
      <c r="E15845" s="140"/>
    </row>
    <row r="15846" spans="1:5">
      <c r="A15846" s="140"/>
      <c r="B15846" s="192"/>
      <c r="C15846" s="140"/>
      <c r="D15846" s="140"/>
      <c r="E15846" s="140"/>
    </row>
    <row r="15847" spans="1:5">
      <c r="A15847" s="140"/>
      <c r="B15847" s="192"/>
      <c r="C15847" s="140"/>
      <c r="D15847" s="140"/>
      <c r="E15847" s="140"/>
    </row>
    <row r="15848" spans="1:5">
      <c r="A15848" s="140"/>
      <c r="B15848" s="192"/>
      <c r="C15848" s="140"/>
      <c r="D15848" s="140"/>
      <c r="E15848" s="140"/>
    </row>
    <row r="15849" spans="1:5">
      <c r="A15849" s="140"/>
      <c r="B15849" s="192"/>
      <c r="C15849" s="140"/>
      <c r="D15849" s="140"/>
      <c r="E15849" s="140"/>
    </row>
    <row r="15850" spans="1:5">
      <c r="A15850" s="140"/>
      <c r="B15850" s="192"/>
      <c r="C15850" s="140"/>
      <c r="D15850" s="140"/>
      <c r="E15850" s="140"/>
    </row>
    <row r="15851" spans="1:5">
      <c r="A15851" s="140"/>
      <c r="B15851" s="192"/>
      <c r="C15851" s="140"/>
      <c r="D15851" s="140"/>
      <c r="E15851" s="140"/>
    </row>
    <row r="15852" spans="1:5">
      <c r="A15852" s="140"/>
      <c r="B15852" s="192"/>
      <c r="C15852" s="140"/>
      <c r="D15852" s="140"/>
      <c r="E15852" s="140"/>
    </row>
    <row r="15853" spans="1:5">
      <c r="A15853" s="140"/>
      <c r="B15853" s="192"/>
      <c r="C15853" s="140"/>
      <c r="D15853" s="140"/>
      <c r="E15853" s="140"/>
    </row>
    <row r="15854" spans="1:5">
      <c r="A15854" s="140"/>
      <c r="B15854" s="192"/>
      <c r="C15854" s="140"/>
      <c r="D15854" s="140"/>
      <c r="E15854" s="140"/>
    </row>
    <row r="15855" spans="1:5">
      <c r="A15855" s="140"/>
      <c r="B15855" s="192"/>
      <c r="C15855" s="140"/>
      <c r="D15855" s="140"/>
      <c r="E15855" s="140"/>
    </row>
    <row r="15856" spans="1:5">
      <c r="A15856" s="140"/>
      <c r="B15856" s="192"/>
      <c r="C15856" s="140"/>
      <c r="D15856" s="140"/>
      <c r="E15856" s="140"/>
    </row>
    <row r="15857" spans="1:5">
      <c r="A15857" s="140"/>
      <c r="B15857" s="192"/>
      <c r="C15857" s="140"/>
      <c r="D15857" s="140"/>
      <c r="E15857" s="140"/>
    </row>
    <row r="15858" spans="1:5">
      <c r="A15858" s="140"/>
      <c r="B15858" s="192"/>
      <c r="C15858" s="140"/>
      <c r="D15858" s="140"/>
      <c r="E15858" s="140"/>
    </row>
    <row r="15859" spans="1:5">
      <c r="A15859" s="140"/>
      <c r="B15859" s="192"/>
      <c r="C15859" s="140"/>
      <c r="D15859" s="140"/>
      <c r="E15859" s="140"/>
    </row>
    <row r="15860" spans="1:5">
      <c r="A15860" s="140"/>
      <c r="B15860" s="192"/>
      <c r="C15860" s="140"/>
      <c r="D15860" s="140"/>
      <c r="E15860" s="140"/>
    </row>
    <row r="15861" spans="1:5">
      <c r="A15861" s="140"/>
      <c r="B15861" s="192"/>
      <c r="C15861" s="140"/>
      <c r="D15861" s="140"/>
      <c r="E15861" s="140"/>
    </row>
    <row r="15862" spans="1:5">
      <c r="A15862" s="140"/>
      <c r="B15862" s="192"/>
      <c r="C15862" s="140"/>
      <c r="D15862" s="140"/>
      <c r="E15862" s="140"/>
    </row>
    <row r="15863" spans="1:5">
      <c r="A15863" s="140"/>
      <c r="B15863" s="192"/>
      <c r="C15863" s="140"/>
      <c r="D15863" s="140"/>
      <c r="E15863" s="140"/>
    </row>
    <row r="15864" spans="1:5">
      <c r="A15864" s="140"/>
      <c r="B15864" s="192"/>
      <c r="C15864" s="140"/>
      <c r="D15864" s="140"/>
      <c r="E15864" s="140"/>
    </row>
    <row r="15865" spans="1:5">
      <c r="A15865" s="140"/>
      <c r="B15865" s="192"/>
      <c r="C15865" s="140"/>
      <c r="D15865" s="140"/>
      <c r="E15865" s="140"/>
    </row>
    <row r="15866" spans="1:5">
      <c r="A15866" s="140"/>
      <c r="B15866" s="192"/>
      <c r="C15866" s="140"/>
      <c r="D15866" s="140"/>
      <c r="E15866" s="140"/>
    </row>
    <row r="15867" spans="1:5">
      <c r="A15867" s="140"/>
      <c r="B15867" s="192"/>
      <c r="C15867" s="140"/>
      <c r="D15867" s="140"/>
      <c r="E15867" s="140"/>
    </row>
    <row r="15868" spans="1:5">
      <c r="A15868" s="140"/>
      <c r="B15868" s="192"/>
      <c r="C15868" s="140"/>
      <c r="D15868" s="140"/>
      <c r="E15868" s="140"/>
    </row>
    <row r="15869" spans="1:5">
      <c r="A15869" s="140"/>
      <c r="B15869" s="192"/>
      <c r="C15869" s="140"/>
      <c r="D15869" s="140"/>
      <c r="E15869" s="140"/>
    </row>
    <row r="15870" spans="1:5">
      <c r="A15870" s="140"/>
      <c r="B15870" s="192"/>
      <c r="C15870" s="140"/>
      <c r="D15870" s="140"/>
      <c r="E15870" s="140"/>
    </row>
    <row r="15871" spans="1:5">
      <c r="A15871" s="140"/>
      <c r="B15871" s="192"/>
      <c r="C15871" s="140"/>
      <c r="D15871" s="140"/>
      <c r="E15871" s="140"/>
    </row>
    <row r="15872" spans="1:5">
      <c r="A15872" s="140"/>
      <c r="B15872" s="192"/>
      <c r="C15872" s="140"/>
      <c r="D15872" s="140"/>
      <c r="E15872" s="140"/>
    </row>
    <row r="15873" spans="1:5">
      <c r="A15873" s="140"/>
      <c r="B15873" s="192"/>
      <c r="C15873" s="140"/>
      <c r="D15873" s="140"/>
      <c r="E15873" s="140"/>
    </row>
    <row r="15874" spans="1:5">
      <c r="A15874" s="140"/>
      <c r="B15874" s="192"/>
      <c r="C15874" s="140"/>
      <c r="D15874" s="140"/>
      <c r="E15874" s="140"/>
    </row>
    <row r="15875" spans="1:5">
      <c r="A15875" s="140"/>
      <c r="B15875" s="192"/>
      <c r="C15875" s="140"/>
      <c r="D15875" s="140"/>
      <c r="E15875" s="140"/>
    </row>
    <row r="15876" spans="1:5">
      <c r="A15876" s="140"/>
      <c r="B15876" s="192"/>
      <c r="C15876" s="140"/>
      <c r="D15876" s="140"/>
      <c r="E15876" s="140"/>
    </row>
    <row r="15877" spans="1:5">
      <c r="A15877" s="140"/>
      <c r="B15877" s="192"/>
      <c r="C15877" s="140"/>
      <c r="D15877" s="140"/>
      <c r="E15877" s="140"/>
    </row>
    <row r="15878" spans="1:5">
      <c r="A15878" s="140"/>
      <c r="B15878" s="192"/>
      <c r="C15878" s="140"/>
      <c r="D15878" s="140"/>
      <c r="E15878" s="140"/>
    </row>
    <row r="15879" spans="1:5">
      <c r="A15879" s="140"/>
      <c r="B15879" s="192"/>
      <c r="C15879" s="140"/>
      <c r="D15879" s="140"/>
      <c r="E15879" s="140"/>
    </row>
    <row r="15880" spans="1:5">
      <c r="A15880" s="140"/>
      <c r="B15880" s="192"/>
      <c r="C15880" s="140"/>
      <c r="D15880" s="140"/>
      <c r="E15880" s="140"/>
    </row>
    <row r="15881" spans="1:5">
      <c r="A15881" s="140"/>
      <c r="B15881" s="192"/>
      <c r="C15881" s="140"/>
      <c r="D15881" s="140"/>
      <c r="E15881" s="140"/>
    </row>
    <row r="15882" spans="1:5">
      <c r="A15882" s="140"/>
      <c r="B15882" s="192"/>
      <c r="C15882" s="140"/>
      <c r="D15882" s="140"/>
      <c r="E15882" s="140"/>
    </row>
    <row r="15883" spans="1:5">
      <c r="A15883" s="140"/>
      <c r="B15883" s="192"/>
      <c r="C15883" s="140"/>
      <c r="D15883" s="140"/>
      <c r="E15883" s="140"/>
    </row>
    <row r="15884" spans="1:5">
      <c r="A15884" s="140"/>
      <c r="B15884" s="192"/>
      <c r="C15884" s="140"/>
      <c r="D15884" s="140"/>
      <c r="E15884" s="140"/>
    </row>
    <row r="15885" spans="1:5">
      <c r="A15885" s="140"/>
      <c r="B15885" s="192"/>
      <c r="C15885" s="140"/>
      <c r="D15885" s="140"/>
      <c r="E15885" s="140"/>
    </row>
    <row r="15886" spans="1:5">
      <c r="A15886" s="140"/>
      <c r="B15886" s="192"/>
      <c r="C15886" s="140"/>
      <c r="D15886" s="140"/>
      <c r="E15886" s="140"/>
    </row>
    <row r="15887" spans="1:5">
      <c r="A15887" s="140"/>
      <c r="B15887" s="192"/>
      <c r="C15887" s="140"/>
      <c r="D15887" s="140"/>
      <c r="E15887" s="140"/>
    </row>
    <row r="15888" spans="1:5">
      <c r="A15888" s="140"/>
      <c r="B15888" s="192"/>
      <c r="C15888" s="140"/>
      <c r="D15888" s="140"/>
      <c r="E15888" s="140"/>
    </row>
    <row r="15889" spans="1:5">
      <c r="A15889" s="140"/>
      <c r="B15889" s="192"/>
      <c r="C15889" s="140"/>
      <c r="D15889" s="140"/>
      <c r="E15889" s="140"/>
    </row>
    <row r="15890" spans="1:5">
      <c r="A15890" s="140"/>
      <c r="B15890" s="192"/>
      <c r="C15890" s="140"/>
      <c r="D15890" s="140"/>
      <c r="E15890" s="140"/>
    </row>
    <row r="15891" spans="1:5">
      <c r="A15891" s="140"/>
      <c r="B15891" s="192"/>
      <c r="C15891" s="140"/>
      <c r="D15891" s="140"/>
      <c r="E15891" s="140"/>
    </row>
    <row r="15892" spans="1:5">
      <c r="A15892" s="140"/>
      <c r="B15892" s="192"/>
      <c r="C15892" s="140"/>
      <c r="D15892" s="140"/>
      <c r="E15892" s="140"/>
    </row>
    <row r="15893" spans="1:5">
      <c r="A15893" s="140"/>
      <c r="B15893" s="192"/>
      <c r="C15893" s="140"/>
      <c r="D15893" s="140"/>
      <c r="E15893" s="140"/>
    </row>
    <row r="15894" spans="1:5">
      <c r="A15894" s="140"/>
      <c r="B15894" s="192"/>
      <c r="C15894" s="140"/>
      <c r="D15894" s="140"/>
      <c r="E15894" s="140"/>
    </row>
    <row r="15895" spans="1:5">
      <c r="A15895" s="140"/>
      <c r="B15895" s="192"/>
      <c r="C15895" s="140"/>
      <c r="D15895" s="140"/>
      <c r="E15895" s="140"/>
    </row>
    <row r="15896" spans="1:5">
      <c r="A15896" s="140"/>
      <c r="B15896" s="192"/>
      <c r="C15896" s="140"/>
      <c r="D15896" s="140"/>
      <c r="E15896" s="140"/>
    </row>
    <row r="15897" spans="1:5">
      <c r="A15897" s="140"/>
      <c r="B15897" s="192"/>
      <c r="C15897" s="140"/>
      <c r="D15897" s="140"/>
      <c r="E15897" s="140"/>
    </row>
    <row r="15898" spans="1:5">
      <c r="A15898" s="140"/>
      <c r="B15898" s="192"/>
      <c r="C15898" s="140"/>
      <c r="D15898" s="140"/>
      <c r="E15898" s="140"/>
    </row>
    <row r="15899" spans="1:5">
      <c r="A15899" s="140"/>
      <c r="B15899" s="192"/>
      <c r="C15899" s="140"/>
      <c r="D15899" s="140"/>
      <c r="E15899" s="140"/>
    </row>
    <row r="15900" spans="1:5">
      <c r="A15900" s="140"/>
      <c r="B15900" s="192"/>
      <c r="C15900" s="140"/>
      <c r="D15900" s="140"/>
      <c r="E15900" s="140"/>
    </row>
    <row r="15901" spans="1:5">
      <c r="A15901" s="140"/>
      <c r="B15901" s="192"/>
      <c r="C15901" s="140"/>
      <c r="D15901" s="140"/>
      <c r="E15901" s="140"/>
    </row>
    <row r="15902" spans="1:5">
      <c r="A15902" s="140"/>
      <c r="B15902" s="192"/>
      <c r="C15902" s="140"/>
      <c r="D15902" s="140"/>
      <c r="E15902" s="140"/>
    </row>
    <row r="15903" spans="1:5">
      <c r="A15903" s="140"/>
      <c r="B15903" s="192"/>
      <c r="C15903" s="140"/>
      <c r="D15903" s="140"/>
      <c r="E15903" s="140"/>
    </row>
    <row r="15904" spans="1:5">
      <c r="A15904" s="140"/>
      <c r="B15904" s="192"/>
      <c r="C15904" s="140"/>
      <c r="D15904" s="140"/>
      <c r="E15904" s="140"/>
    </row>
    <row r="15905" spans="1:5">
      <c r="A15905" s="140"/>
      <c r="B15905" s="192"/>
      <c r="C15905" s="140"/>
      <c r="D15905" s="140"/>
      <c r="E15905" s="140"/>
    </row>
    <row r="15906" spans="1:5">
      <c r="A15906" s="140"/>
      <c r="B15906" s="192"/>
      <c r="C15906" s="140"/>
      <c r="D15906" s="140"/>
      <c r="E15906" s="140"/>
    </row>
    <row r="15907" spans="1:5">
      <c r="A15907" s="140"/>
      <c r="B15907" s="192"/>
      <c r="C15907" s="140"/>
      <c r="D15907" s="140"/>
      <c r="E15907" s="140"/>
    </row>
    <row r="15908" spans="1:5">
      <c r="A15908" s="140"/>
      <c r="B15908" s="192"/>
      <c r="C15908" s="140"/>
      <c r="D15908" s="140"/>
      <c r="E15908" s="140"/>
    </row>
    <row r="15909" spans="1:5">
      <c r="A15909" s="140"/>
      <c r="B15909" s="192"/>
      <c r="C15909" s="140"/>
      <c r="D15909" s="140"/>
      <c r="E15909" s="140"/>
    </row>
    <row r="15910" spans="1:5">
      <c r="A15910" s="140"/>
      <c r="B15910" s="192"/>
      <c r="C15910" s="140"/>
      <c r="D15910" s="140"/>
      <c r="E15910" s="140"/>
    </row>
    <row r="15911" spans="1:5">
      <c r="A15911" s="140"/>
      <c r="B15911" s="192"/>
      <c r="C15911" s="140"/>
      <c r="D15911" s="140"/>
      <c r="E15911" s="140"/>
    </row>
    <row r="15912" spans="1:5">
      <c r="A15912" s="140"/>
      <c r="B15912" s="192"/>
      <c r="C15912" s="140"/>
      <c r="D15912" s="140"/>
      <c r="E15912" s="140"/>
    </row>
    <row r="15913" spans="1:5">
      <c r="A15913" s="140"/>
      <c r="B15913" s="192"/>
      <c r="C15913" s="140"/>
      <c r="D15913" s="140"/>
      <c r="E15913" s="140"/>
    </row>
    <row r="15914" spans="1:5">
      <c r="A15914" s="140"/>
      <c r="B15914" s="192"/>
      <c r="C15914" s="140"/>
      <c r="D15914" s="140"/>
      <c r="E15914" s="140"/>
    </row>
    <row r="15915" spans="1:5">
      <c r="A15915" s="140"/>
      <c r="B15915" s="192"/>
      <c r="C15915" s="140"/>
      <c r="D15915" s="140"/>
      <c r="E15915" s="140"/>
    </row>
    <row r="15916" spans="1:5">
      <c r="A15916" s="140"/>
      <c r="B15916" s="192"/>
      <c r="C15916" s="140"/>
      <c r="D15916" s="140"/>
      <c r="E15916" s="140"/>
    </row>
    <row r="15917" spans="1:5">
      <c r="A15917" s="140"/>
      <c r="B15917" s="192"/>
      <c r="C15917" s="140"/>
      <c r="D15917" s="140"/>
      <c r="E15917" s="140"/>
    </row>
    <row r="15918" spans="1:5">
      <c r="A15918" s="140"/>
      <c r="B15918" s="192"/>
      <c r="C15918" s="140"/>
      <c r="D15918" s="140"/>
      <c r="E15918" s="140"/>
    </row>
    <row r="15919" spans="1:5">
      <c r="A15919" s="140"/>
      <c r="B15919" s="192"/>
      <c r="C15919" s="140"/>
      <c r="D15919" s="140"/>
      <c r="E15919" s="140"/>
    </row>
    <row r="15920" spans="1:5">
      <c r="A15920" s="140"/>
      <c r="B15920" s="192"/>
      <c r="C15920" s="140"/>
      <c r="D15920" s="140"/>
      <c r="E15920" s="140"/>
    </row>
    <row r="15921" spans="1:5">
      <c r="A15921" s="140"/>
      <c r="B15921" s="192"/>
      <c r="C15921" s="140"/>
      <c r="D15921" s="140"/>
      <c r="E15921" s="140"/>
    </row>
    <row r="15922" spans="1:5">
      <c r="A15922" s="140"/>
      <c r="B15922" s="192"/>
      <c r="C15922" s="140"/>
      <c r="D15922" s="140"/>
      <c r="E15922" s="140"/>
    </row>
    <row r="15923" spans="1:5">
      <c r="A15923" s="140"/>
      <c r="B15923" s="192"/>
      <c r="C15923" s="140"/>
      <c r="D15923" s="140"/>
      <c r="E15923" s="140"/>
    </row>
    <row r="15924" spans="1:5">
      <c r="A15924" s="140"/>
      <c r="B15924" s="192"/>
      <c r="C15924" s="140"/>
      <c r="D15924" s="140"/>
      <c r="E15924" s="140"/>
    </row>
    <row r="15925" spans="1:5">
      <c r="A15925" s="140"/>
      <c r="B15925" s="192"/>
      <c r="C15925" s="140"/>
      <c r="D15925" s="140"/>
      <c r="E15925" s="140"/>
    </row>
    <row r="15926" spans="1:5">
      <c r="A15926" s="140"/>
      <c r="B15926" s="192"/>
      <c r="C15926" s="140"/>
      <c r="D15926" s="140"/>
      <c r="E15926" s="140"/>
    </row>
    <row r="15927" spans="1:5">
      <c r="A15927" s="140"/>
      <c r="B15927" s="192"/>
      <c r="C15927" s="140"/>
      <c r="D15927" s="140"/>
      <c r="E15927" s="140"/>
    </row>
    <row r="15928" spans="1:5">
      <c r="A15928" s="140"/>
      <c r="B15928" s="192"/>
      <c r="C15928" s="140"/>
      <c r="D15928" s="140"/>
      <c r="E15928" s="140"/>
    </row>
    <row r="15929" spans="1:5">
      <c r="A15929" s="140"/>
      <c r="B15929" s="192"/>
      <c r="C15929" s="140"/>
      <c r="D15929" s="140"/>
      <c r="E15929" s="140"/>
    </row>
    <row r="15930" spans="1:5">
      <c r="A15930" s="140"/>
      <c r="B15930" s="192"/>
      <c r="C15930" s="140"/>
      <c r="D15930" s="140"/>
      <c r="E15930" s="140"/>
    </row>
    <row r="15931" spans="1:5">
      <c r="A15931" s="140"/>
      <c r="B15931" s="192"/>
      <c r="C15931" s="140"/>
      <c r="D15931" s="140"/>
      <c r="E15931" s="140"/>
    </row>
    <row r="15932" spans="1:5">
      <c r="A15932" s="140"/>
      <c r="B15932" s="192"/>
      <c r="C15932" s="140"/>
      <c r="D15932" s="140"/>
      <c r="E15932" s="140"/>
    </row>
    <row r="15933" spans="1:5">
      <c r="A15933" s="140"/>
      <c r="B15933" s="192"/>
      <c r="C15933" s="140"/>
      <c r="D15933" s="140"/>
      <c r="E15933" s="140"/>
    </row>
    <row r="15934" spans="1:5">
      <c r="A15934" s="140"/>
      <c r="B15934" s="192"/>
      <c r="C15934" s="140"/>
      <c r="D15934" s="140"/>
      <c r="E15934" s="140"/>
    </row>
    <row r="15935" spans="1:5">
      <c r="A15935" s="140"/>
      <c r="B15935" s="192"/>
      <c r="C15935" s="140"/>
      <c r="D15935" s="140"/>
      <c r="E15935" s="140"/>
    </row>
    <row r="15936" spans="1:5">
      <c r="A15936" s="140"/>
      <c r="B15936" s="192"/>
      <c r="C15936" s="140"/>
      <c r="D15936" s="140"/>
      <c r="E15936" s="140"/>
    </row>
    <row r="15937" spans="1:5">
      <c r="A15937" s="140"/>
      <c r="B15937" s="192"/>
      <c r="C15937" s="140"/>
      <c r="D15937" s="140"/>
      <c r="E15937" s="140"/>
    </row>
    <row r="15938" spans="1:5">
      <c r="A15938" s="140"/>
      <c r="B15938" s="192"/>
      <c r="C15938" s="140"/>
      <c r="D15938" s="140"/>
      <c r="E15938" s="140"/>
    </row>
    <row r="15939" spans="1:5">
      <c r="A15939" s="140"/>
      <c r="B15939" s="192"/>
      <c r="C15939" s="140"/>
      <c r="D15939" s="140"/>
      <c r="E15939" s="140"/>
    </row>
    <row r="15940" spans="1:5">
      <c r="A15940" s="140"/>
      <c r="B15940" s="192"/>
      <c r="C15940" s="140"/>
      <c r="D15940" s="140"/>
      <c r="E15940" s="140"/>
    </row>
    <row r="15941" spans="1:5">
      <c r="A15941" s="140"/>
      <c r="B15941" s="192"/>
      <c r="C15941" s="140"/>
      <c r="D15941" s="140"/>
      <c r="E15941" s="140"/>
    </row>
    <row r="15942" spans="1:5">
      <c r="A15942" s="140"/>
      <c r="B15942" s="192"/>
      <c r="C15942" s="140"/>
      <c r="D15942" s="140"/>
      <c r="E15942" s="140"/>
    </row>
    <row r="15943" spans="1:5">
      <c r="A15943" s="140"/>
      <c r="B15943" s="192"/>
      <c r="C15943" s="140"/>
      <c r="D15943" s="140"/>
      <c r="E15943" s="140"/>
    </row>
    <row r="15944" spans="1:5">
      <c r="A15944" s="140"/>
      <c r="B15944" s="192"/>
      <c r="C15944" s="140"/>
      <c r="D15944" s="140"/>
      <c r="E15944" s="140"/>
    </row>
    <row r="15945" spans="1:5">
      <c r="A15945" s="140"/>
      <c r="B15945" s="192"/>
      <c r="C15945" s="140"/>
      <c r="D15945" s="140"/>
      <c r="E15945" s="140"/>
    </row>
    <row r="15946" spans="1:5">
      <c r="A15946" s="140"/>
      <c r="B15946" s="192"/>
      <c r="C15946" s="140"/>
      <c r="D15946" s="140"/>
      <c r="E15946" s="140"/>
    </row>
    <row r="15947" spans="1:5">
      <c r="A15947" s="140"/>
      <c r="B15947" s="192"/>
      <c r="C15947" s="140"/>
      <c r="D15947" s="140"/>
      <c r="E15947" s="140"/>
    </row>
    <row r="15948" spans="1:5">
      <c r="A15948" s="140"/>
      <c r="B15948" s="192"/>
      <c r="C15948" s="140"/>
      <c r="D15948" s="140"/>
      <c r="E15948" s="140"/>
    </row>
    <row r="15949" spans="1:5">
      <c r="A15949" s="140"/>
      <c r="B15949" s="192"/>
      <c r="C15949" s="140"/>
      <c r="D15949" s="140"/>
      <c r="E15949" s="140"/>
    </row>
    <row r="15950" spans="1:5">
      <c r="A15950" s="140"/>
      <c r="B15950" s="192"/>
      <c r="C15950" s="140"/>
      <c r="D15950" s="140"/>
      <c r="E15950" s="140"/>
    </row>
    <row r="15951" spans="1:5">
      <c r="A15951" s="140"/>
      <c r="B15951" s="192"/>
      <c r="C15951" s="140"/>
      <c r="D15951" s="140"/>
      <c r="E15951" s="140"/>
    </row>
    <row r="15952" spans="1:5">
      <c r="A15952" s="140"/>
      <c r="B15952" s="192"/>
      <c r="C15952" s="140"/>
      <c r="D15952" s="140"/>
      <c r="E15952" s="140"/>
    </row>
    <row r="15953" spans="1:5">
      <c r="A15953" s="140"/>
      <c r="B15953" s="192"/>
      <c r="C15953" s="140"/>
      <c r="D15953" s="140"/>
      <c r="E15953" s="140"/>
    </row>
    <row r="15954" spans="1:5">
      <c r="A15954" s="140"/>
      <c r="B15954" s="192"/>
      <c r="C15954" s="140"/>
      <c r="D15954" s="140"/>
      <c r="E15954" s="140"/>
    </row>
    <row r="15955" spans="1:5">
      <c r="A15955" s="140"/>
      <c r="B15955" s="192"/>
      <c r="C15955" s="140"/>
      <c r="D15955" s="140"/>
      <c r="E15955" s="140"/>
    </row>
    <row r="15956" spans="1:5">
      <c r="A15956" s="140"/>
      <c r="B15956" s="192"/>
      <c r="C15956" s="140"/>
      <c r="D15956" s="140"/>
      <c r="E15956" s="140"/>
    </row>
    <row r="15957" spans="1:5">
      <c r="A15957" s="140"/>
      <c r="B15957" s="192"/>
      <c r="C15957" s="140"/>
      <c r="D15957" s="140"/>
      <c r="E15957" s="140"/>
    </row>
    <row r="15958" spans="1:5">
      <c r="A15958" s="140"/>
      <c r="B15958" s="192"/>
      <c r="C15958" s="140"/>
      <c r="D15958" s="140"/>
      <c r="E15958" s="140"/>
    </row>
    <row r="15959" spans="1:5">
      <c r="A15959" s="140"/>
      <c r="B15959" s="192"/>
      <c r="C15959" s="140"/>
      <c r="D15959" s="140"/>
      <c r="E15959" s="140"/>
    </row>
    <row r="15960" spans="1:5">
      <c r="A15960" s="140"/>
      <c r="B15960" s="192"/>
      <c r="C15960" s="140"/>
      <c r="D15960" s="140"/>
      <c r="E15960" s="140"/>
    </row>
    <row r="15961" spans="1:5">
      <c r="A15961" s="140"/>
      <c r="B15961" s="192"/>
      <c r="C15961" s="140"/>
      <c r="D15961" s="140"/>
      <c r="E15961" s="140"/>
    </row>
    <row r="15962" spans="1:5">
      <c r="A15962" s="140"/>
      <c r="B15962" s="192"/>
      <c r="C15962" s="140"/>
      <c r="D15962" s="140"/>
      <c r="E15962" s="140"/>
    </row>
    <row r="15963" spans="1:5">
      <c r="A15963" s="140"/>
      <c r="B15963" s="192"/>
      <c r="C15963" s="140"/>
      <c r="D15963" s="140"/>
      <c r="E15963" s="140"/>
    </row>
    <row r="15964" spans="1:5">
      <c r="A15964" s="140"/>
      <c r="B15964" s="192"/>
      <c r="C15964" s="140"/>
      <c r="D15964" s="140"/>
      <c r="E15964" s="140"/>
    </row>
    <row r="15965" spans="1:5">
      <c r="A15965" s="140"/>
      <c r="B15965" s="192"/>
      <c r="C15965" s="140"/>
      <c r="D15965" s="140"/>
      <c r="E15965" s="140"/>
    </row>
    <row r="15966" spans="1:5">
      <c r="A15966" s="140"/>
      <c r="B15966" s="192"/>
      <c r="C15966" s="140"/>
      <c r="D15966" s="140"/>
      <c r="E15966" s="140"/>
    </row>
    <row r="15967" spans="1:5">
      <c r="A15967" s="140"/>
      <c r="B15967" s="192"/>
      <c r="C15967" s="140"/>
      <c r="D15967" s="140"/>
      <c r="E15967" s="140"/>
    </row>
    <row r="15968" spans="1:5">
      <c r="A15968" s="140"/>
      <c r="B15968" s="192"/>
      <c r="C15968" s="140"/>
      <c r="D15968" s="140"/>
      <c r="E15968" s="140"/>
    </row>
    <row r="15969" spans="1:5">
      <c r="A15969" s="140"/>
      <c r="B15969" s="192"/>
      <c r="C15969" s="140"/>
      <c r="D15969" s="140"/>
      <c r="E15969" s="140"/>
    </row>
    <row r="15970" spans="1:5">
      <c r="A15970" s="140"/>
      <c r="B15970" s="192"/>
      <c r="C15970" s="140"/>
      <c r="D15970" s="140"/>
      <c r="E15970" s="140"/>
    </row>
    <row r="15971" spans="1:5">
      <c r="A15971" s="140"/>
      <c r="B15971" s="192"/>
      <c r="C15971" s="140"/>
      <c r="D15971" s="140"/>
      <c r="E15971" s="140"/>
    </row>
    <row r="15972" spans="1:5">
      <c r="A15972" s="140"/>
      <c r="B15972" s="192"/>
      <c r="C15972" s="140"/>
      <c r="D15972" s="140"/>
      <c r="E15972" s="140"/>
    </row>
    <row r="15973" spans="1:5">
      <c r="A15973" s="140"/>
      <c r="B15973" s="192"/>
      <c r="C15973" s="140"/>
      <c r="D15973" s="140"/>
      <c r="E15973" s="140"/>
    </row>
    <row r="15974" spans="1:5">
      <c r="A15974" s="140"/>
      <c r="B15974" s="192"/>
      <c r="C15974" s="140"/>
      <c r="D15974" s="140"/>
      <c r="E15974" s="140"/>
    </row>
    <row r="15975" spans="1:5">
      <c r="A15975" s="140"/>
      <c r="B15975" s="192"/>
      <c r="C15975" s="140"/>
      <c r="D15975" s="140"/>
      <c r="E15975" s="140"/>
    </row>
    <row r="15976" spans="1:5">
      <c r="A15976" s="140"/>
      <c r="B15976" s="192"/>
      <c r="C15976" s="140"/>
      <c r="D15976" s="140"/>
      <c r="E15976" s="140"/>
    </row>
    <row r="15977" spans="1:5">
      <c r="A15977" s="140"/>
      <c r="B15977" s="192"/>
      <c r="C15977" s="140"/>
      <c r="D15977" s="140"/>
      <c r="E15977" s="140"/>
    </row>
    <row r="15978" spans="1:5">
      <c r="A15978" s="140"/>
      <c r="B15978" s="192"/>
      <c r="C15978" s="140"/>
      <c r="D15978" s="140"/>
      <c r="E15978" s="140"/>
    </row>
    <row r="15979" spans="1:5">
      <c r="A15979" s="140"/>
      <c r="B15979" s="192"/>
      <c r="C15979" s="140"/>
      <c r="D15979" s="140"/>
      <c r="E15979" s="140"/>
    </row>
    <row r="15980" spans="1:5">
      <c r="A15980" s="140"/>
      <c r="B15980" s="192"/>
      <c r="C15980" s="140"/>
      <c r="D15980" s="140"/>
      <c r="E15980" s="140"/>
    </row>
    <row r="15981" spans="1:5">
      <c r="A15981" s="140"/>
      <c r="B15981" s="192"/>
      <c r="C15981" s="140"/>
      <c r="D15981" s="140"/>
      <c r="E15981" s="140"/>
    </row>
    <row r="15982" spans="1:5">
      <c r="A15982" s="140"/>
      <c r="B15982" s="192"/>
      <c r="C15982" s="140"/>
      <c r="D15982" s="140"/>
      <c r="E15982" s="140"/>
    </row>
    <row r="15983" spans="1:5">
      <c r="A15983" s="140"/>
      <c r="B15983" s="192"/>
      <c r="C15983" s="140"/>
      <c r="D15983" s="140"/>
      <c r="E15983" s="140"/>
    </row>
    <row r="15984" spans="1:5">
      <c r="A15984" s="140"/>
      <c r="B15984" s="192"/>
      <c r="C15984" s="140"/>
      <c r="D15984" s="140"/>
      <c r="E15984" s="140"/>
    </row>
    <row r="15985" spans="1:5">
      <c r="A15985" s="140"/>
      <c r="B15985" s="192"/>
      <c r="C15985" s="140"/>
      <c r="D15985" s="140"/>
      <c r="E15985" s="140"/>
    </row>
    <row r="15986" spans="1:5">
      <c r="A15986" s="140"/>
      <c r="B15986" s="192"/>
      <c r="C15986" s="140"/>
      <c r="D15986" s="140"/>
      <c r="E15986" s="140"/>
    </row>
    <row r="15987" spans="1:5">
      <c r="A15987" s="140"/>
      <c r="B15987" s="192"/>
      <c r="C15987" s="140"/>
      <c r="D15987" s="140"/>
      <c r="E15987" s="140"/>
    </row>
    <row r="15988" spans="1:5">
      <c r="A15988" s="140"/>
      <c r="B15988" s="192"/>
      <c r="C15988" s="140"/>
      <c r="D15988" s="140"/>
      <c r="E15988" s="140"/>
    </row>
    <row r="15989" spans="1:5">
      <c r="A15989" s="140"/>
      <c r="B15989" s="192"/>
      <c r="C15989" s="140"/>
      <c r="D15989" s="140"/>
      <c r="E15989" s="140"/>
    </row>
    <row r="15990" spans="1:5">
      <c r="A15990" s="140"/>
      <c r="B15990" s="192"/>
      <c r="C15990" s="140"/>
      <c r="D15990" s="140"/>
      <c r="E15990" s="140"/>
    </row>
    <row r="15991" spans="1:5">
      <c r="A15991" s="140"/>
      <c r="B15991" s="192"/>
      <c r="C15991" s="140"/>
      <c r="D15991" s="140"/>
      <c r="E15991" s="140"/>
    </row>
    <row r="15992" spans="1:5">
      <c r="A15992" s="140"/>
      <c r="B15992" s="192"/>
      <c r="C15992" s="140"/>
      <c r="D15992" s="140"/>
      <c r="E15992" s="140"/>
    </row>
    <row r="15993" spans="1:5">
      <c r="A15993" s="140"/>
      <c r="B15993" s="192"/>
      <c r="C15993" s="140"/>
      <c r="D15993" s="140"/>
      <c r="E15993" s="140"/>
    </row>
    <row r="15994" spans="1:5">
      <c r="A15994" s="140"/>
      <c r="B15994" s="192"/>
      <c r="C15994" s="140"/>
      <c r="D15994" s="140"/>
      <c r="E15994" s="140"/>
    </row>
    <row r="15995" spans="1:5">
      <c r="A15995" s="140"/>
      <c r="B15995" s="192"/>
      <c r="C15995" s="140"/>
      <c r="D15995" s="140"/>
      <c r="E15995" s="140"/>
    </row>
    <row r="15996" spans="1:5">
      <c r="A15996" s="140"/>
      <c r="B15996" s="192"/>
      <c r="C15996" s="140"/>
      <c r="D15996" s="140"/>
      <c r="E15996" s="140"/>
    </row>
    <row r="15997" spans="1:5">
      <c r="A15997" s="140"/>
      <c r="B15997" s="192"/>
      <c r="C15997" s="140"/>
      <c r="D15997" s="140"/>
      <c r="E15997" s="140"/>
    </row>
    <row r="15998" spans="1:5">
      <c r="A15998" s="140"/>
      <c r="B15998" s="192"/>
      <c r="C15998" s="140"/>
      <c r="D15998" s="140"/>
      <c r="E15998" s="140"/>
    </row>
    <row r="15999" spans="1:5">
      <c r="A15999" s="140"/>
      <c r="B15999" s="192"/>
      <c r="C15999" s="140"/>
      <c r="D15999" s="140"/>
      <c r="E15999" s="140"/>
    </row>
    <row r="16000" spans="1:5">
      <c r="A16000" s="140"/>
      <c r="B16000" s="192"/>
      <c r="C16000" s="140"/>
      <c r="D16000" s="140"/>
      <c r="E16000" s="140"/>
    </row>
    <row r="16001" spans="1:5">
      <c r="A16001" s="140"/>
      <c r="B16001" s="192"/>
      <c r="C16001" s="140"/>
      <c r="D16001" s="140"/>
      <c r="E16001" s="140"/>
    </row>
    <row r="16002" spans="1:5">
      <c r="A16002" s="140"/>
      <c r="B16002" s="192"/>
      <c r="C16002" s="140"/>
      <c r="D16002" s="140"/>
      <c r="E16002" s="140"/>
    </row>
    <row r="16003" spans="1:5">
      <c r="A16003" s="140"/>
      <c r="B16003" s="192"/>
      <c r="C16003" s="140"/>
      <c r="D16003" s="140"/>
      <c r="E16003" s="140"/>
    </row>
    <row r="16004" spans="1:5">
      <c r="A16004" s="140"/>
      <c r="B16004" s="192"/>
      <c r="C16004" s="140"/>
      <c r="D16004" s="140"/>
      <c r="E16004" s="140"/>
    </row>
    <row r="16005" spans="1:5">
      <c r="A16005" s="140"/>
      <c r="B16005" s="192"/>
      <c r="C16005" s="140"/>
      <c r="D16005" s="140"/>
      <c r="E16005" s="140"/>
    </row>
    <row r="16006" spans="1:5">
      <c r="A16006" s="140"/>
      <c r="B16006" s="192"/>
      <c r="C16006" s="140"/>
      <c r="D16006" s="140"/>
      <c r="E16006" s="140"/>
    </row>
    <row r="16007" spans="1:5">
      <c r="A16007" s="140"/>
      <c r="B16007" s="192"/>
      <c r="C16007" s="140"/>
      <c r="D16007" s="140"/>
      <c r="E16007" s="140"/>
    </row>
    <row r="16008" spans="1:5">
      <c r="A16008" s="140"/>
      <c r="B16008" s="192"/>
      <c r="C16008" s="140"/>
      <c r="D16008" s="140"/>
      <c r="E16008" s="140"/>
    </row>
    <row r="16009" spans="1:5">
      <c r="A16009" s="140"/>
      <c r="B16009" s="192"/>
      <c r="C16009" s="140"/>
      <c r="D16009" s="140"/>
      <c r="E16009" s="140"/>
    </row>
    <row r="16010" spans="1:5">
      <c r="A16010" s="140"/>
      <c r="B16010" s="192"/>
      <c r="C16010" s="140"/>
      <c r="D16010" s="140"/>
      <c r="E16010" s="140"/>
    </row>
    <row r="16011" spans="1:5">
      <c r="A16011" s="140"/>
      <c r="B16011" s="192"/>
      <c r="C16011" s="140"/>
      <c r="D16011" s="140"/>
      <c r="E16011" s="140"/>
    </row>
    <row r="16012" spans="1:5">
      <c r="A16012" s="140"/>
      <c r="B16012" s="192"/>
      <c r="C16012" s="140"/>
      <c r="D16012" s="140"/>
      <c r="E16012" s="140"/>
    </row>
    <row r="16013" spans="1:5">
      <c r="A16013" s="140"/>
      <c r="B16013" s="192"/>
      <c r="C16013" s="140"/>
      <c r="D16013" s="140"/>
      <c r="E16013" s="140"/>
    </row>
    <row r="16014" spans="1:5">
      <c r="A16014" s="140"/>
      <c r="B16014" s="192"/>
      <c r="C16014" s="140"/>
      <c r="D16014" s="140"/>
      <c r="E16014" s="140"/>
    </row>
    <row r="16015" spans="1:5">
      <c r="A16015" s="140"/>
      <c r="B16015" s="192"/>
      <c r="C16015" s="140"/>
      <c r="D16015" s="140"/>
      <c r="E16015" s="140"/>
    </row>
    <row r="16016" spans="1:5">
      <c r="A16016" s="140"/>
      <c r="B16016" s="192"/>
      <c r="C16016" s="140"/>
      <c r="D16016" s="140"/>
      <c r="E16016" s="140"/>
    </row>
    <row r="16017" spans="1:5">
      <c r="A16017" s="140"/>
      <c r="B16017" s="192"/>
      <c r="C16017" s="140"/>
      <c r="D16017" s="140"/>
      <c r="E16017" s="140"/>
    </row>
    <row r="16018" spans="1:5">
      <c r="A16018" s="140"/>
      <c r="B16018" s="192"/>
      <c r="C16018" s="140"/>
      <c r="D16018" s="140"/>
      <c r="E16018" s="140"/>
    </row>
    <row r="16019" spans="1:5">
      <c r="A16019" s="140"/>
      <c r="B16019" s="192"/>
      <c r="C16019" s="140"/>
      <c r="D16019" s="140"/>
      <c r="E16019" s="140"/>
    </row>
    <row r="16020" spans="1:5">
      <c r="A16020" s="140"/>
      <c r="B16020" s="192"/>
      <c r="C16020" s="140"/>
      <c r="D16020" s="140"/>
      <c r="E16020" s="140"/>
    </row>
    <row r="16021" spans="1:5">
      <c r="A16021" s="140"/>
      <c r="B16021" s="192"/>
      <c r="C16021" s="140"/>
      <c r="D16021" s="140"/>
      <c r="E16021" s="140"/>
    </row>
    <row r="16022" spans="1:5">
      <c r="A16022" s="140"/>
      <c r="B16022" s="192"/>
      <c r="C16022" s="140"/>
      <c r="D16022" s="140"/>
      <c r="E16022" s="140"/>
    </row>
    <row r="16023" spans="1:5">
      <c r="A16023" s="140"/>
      <c r="B16023" s="192"/>
      <c r="C16023" s="140"/>
      <c r="D16023" s="140"/>
      <c r="E16023" s="140"/>
    </row>
    <row r="16024" spans="1:5">
      <c r="A16024" s="140"/>
      <c r="B16024" s="192"/>
      <c r="C16024" s="140"/>
      <c r="D16024" s="140"/>
      <c r="E16024" s="140"/>
    </row>
    <row r="16025" spans="1:5">
      <c r="A16025" s="140"/>
      <c r="B16025" s="192"/>
      <c r="C16025" s="140"/>
      <c r="D16025" s="140"/>
      <c r="E16025" s="140"/>
    </row>
    <row r="16026" spans="1:5">
      <c r="A16026" s="140"/>
      <c r="B16026" s="192"/>
      <c r="C16026" s="140"/>
      <c r="D16026" s="140"/>
      <c r="E16026" s="140"/>
    </row>
    <row r="16027" spans="1:5">
      <c r="A16027" s="140"/>
      <c r="B16027" s="192"/>
      <c r="C16027" s="140"/>
      <c r="D16027" s="140"/>
      <c r="E16027" s="140"/>
    </row>
    <row r="16028" spans="1:5">
      <c r="A16028" s="140"/>
      <c r="B16028" s="192"/>
      <c r="C16028" s="140"/>
      <c r="D16028" s="140"/>
      <c r="E16028" s="140"/>
    </row>
    <row r="16029" spans="1:5">
      <c r="A16029" s="140"/>
      <c r="B16029" s="192"/>
      <c r="C16029" s="140"/>
      <c r="D16029" s="140"/>
      <c r="E16029" s="140"/>
    </row>
    <row r="16030" spans="1:5">
      <c r="A16030" s="140"/>
      <c r="B16030" s="192"/>
      <c r="C16030" s="140"/>
      <c r="D16030" s="140"/>
      <c r="E16030" s="140"/>
    </row>
    <row r="16031" spans="1:5">
      <c r="A16031" s="140"/>
      <c r="B16031" s="192"/>
      <c r="C16031" s="140"/>
      <c r="D16031" s="140"/>
      <c r="E16031" s="140"/>
    </row>
    <row r="16032" spans="1:5">
      <c r="A16032" s="140"/>
      <c r="B16032" s="192"/>
      <c r="C16032" s="140"/>
      <c r="D16032" s="140"/>
      <c r="E16032" s="140"/>
    </row>
    <row r="16033" spans="1:5">
      <c r="A16033" s="140"/>
      <c r="B16033" s="192"/>
      <c r="C16033" s="140"/>
      <c r="D16033" s="140"/>
      <c r="E16033" s="140"/>
    </row>
    <row r="16034" spans="1:5">
      <c r="A16034" s="140"/>
      <c r="B16034" s="192"/>
      <c r="C16034" s="140"/>
      <c r="D16034" s="140"/>
      <c r="E16034" s="140"/>
    </row>
    <row r="16035" spans="1:5">
      <c r="A16035" s="140"/>
      <c r="B16035" s="192"/>
      <c r="C16035" s="140"/>
      <c r="D16035" s="140"/>
      <c r="E16035" s="140"/>
    </row>
    <row r="16036" spans="1:5">
      <c r="A16036" s="140"/>
      <c r="B16036" s="192"/>
      <c r="C16036" s="140"/>
      <c r="D16036" s="140"/>
      <c r="E16036" s="140"/>
    </row>
    <row r="16037" spans="1:5">
      <c r="A16037" s="140"/>
      <c r="B16037" s="192"/>
      <c r="C16037" s="140"/>
      <c r="D16037" s="140"/>
      <c r="E16037" s="140"/>
    </row>
    <row r="16038" spans="1:5">
      <c r="A16038" s="140"/>
      <c r="B16038" s="192"/>
      <c r="C16038" s="140"/>
      <c r="D16038" s="140"/>
      <c r="E16038" s="140"/>
    </row>
    <row r="16039" spans="1:5">
      <c r="A16039" s="140"/>
      <c r="B16039" s="192"/>
      <c r="C16039" s="140"/>
      <c r="D16039" s="140"/>
      <c r="E16039" s="140"/>
    </row>
    <row r="16040" spans="1:5">
      <c r="A16040" s="140"/>
      <c r="B16040" s="192"/>
      <c r="C16040" s="140"/>
      <c r="D16040" s="140"/>
      <c r="E16040" s="140"/>
    </row>
    <row r="16041" spans="1:5">
      <c r="A16041" s="140"/>
      <c r="B16041" s="192"/>
      <c r="C16041" s="140"/>
      <c r="D16041" s="140"/>
      <c r="E16041" s="140"/>
    </row>
    <row r="16042" spans="1:5">
      <c r="A16042" s="140"/>
      <c r="B16042" s="192"/>
      <c r="C16042" s="140"/>
      <c r="D16042" s="140"/>
      <c r="E16042" s="140"/>
    </row>
    <row r="16043" spans="1:5">
      <c r="A16043" s="140"/>
      <c r="B16043" s="192"/>
      <c r="C16043" s="140"/>
      <c r="D16043" s="140"/>
      <c r="E16043" s="140"/>
    </row>
    <row r="16044" spans="1:5">
      <c r="A16044" s="140"/>
      <c r="B16044" s="192"/>
      <c r="C16044" s="140"/>
      <c r="D16044" s="140"/>
      <c r="E16044" s="140"/>
    </row>
    <row r="16045" spans="1:5">
      <c r="A16045" s="140"/>
      <c r="B16045" s="192"/>
      <c r="C16045" s="140"/>
      <c r="D16045" s="140"/>
      <c r="E16045" s="140"/>
    </row>
    <row r="16046" spans="1:5">
      <c r="A16046" s="140"/>
      <c r="B16046" s="192"/>
      <c r="C16046" s="140"/>
      <c r="D16046" s="140"/>
      <c r="E16046" s="140"/>
    </row>
    <row r="16047" spans="1:5">
      <c r="A16047" s="140"/>
      <c r="B16047" s="192"/>
      <c r="C16047" s="140"/>
      <c r="D16047" s="140"/>
      <c r="E16047" s="140"/>
    </row>
    <row r="16048" spans="1:5">
      <c r="A16048" s="140"/>
      <c r="B16048" s="192"/>
      <c r="C16048" s="140"/>
      <c r="D16048" s="140"/>
      <c r="E16048" s="140"/>
    </row>
    <row r="16049" spans="1:5">
      <c r="A16049" s="140"/>
      <c r="B16049" s="192"/>
      <c r="C16049" s="140"/>
      <c r="D16049" s="140"/>
      <c r="E16049" s="140"/>
    </row>
    <row r="16050" spans="1:5">
      <c r="A16050" s="140"/>
      <c r="B16050" s="192"/>
      <c r="C16050" s="140"/>
      <c r="D16050" s="140"/>
      <c r="E16050" s="140"/>
    </row>
    <row r="16051" spans="1:5">
      <c r="A16051" s="140"/>
      <c r="B16051" s="192"/>
      <c r="C16051" s="140"/>
      <c r="D16051" s="140"/>
      <c r="E16051" s="140"/>
    </row>
    <row r="16052" spans="1:5">
      <c r="A16052" s="140"/>
      <c r="B16052" s="192"/>
      <c r="C16052" s="140"/>
      <c r="D16052" s="140"/>
      <c r="E16052" s="140"/>
    </row>
    <row r="16053" spans="1:5">
      <c r="A16053" s="140"/>
      <c r="B16053" s="192"/>
      <c r="C16053" s="140"/>
      <c r="D16053" s="140"/>
      <c r="E16053" s="140"/>
    </row>
    <row r="16054" spans="1:5">
      <c r="A16054" s="140"/>
      <c r="B16054" s="192"/>
      <c r="C16054" s="140"/>
      <c r="D16054" s="140"/>
      <c r="E16054" s="140"/>
    </row>
    <row r="16055" spans="1:5">
      <c r="A16055" s="140"/>
      <c r="B16055" s="192"/>
      <c r="C16055" s="140"/>
      <c r="D16055" s="140"/>
      <c r="E16055" s="140"/>
    </row>
    <row r="16056" spans="1:5">
      <c r="A16056" s="140"/>
      <c r="B16056" s="192"/>
      <c r="C16056" s="140"/>
      <c r="D16056" s="140"/>
      <c r="E16056" s="140"/>
    </row>
    <row r="16057" spans="1:5">
      <c r="A16057" s="140"/>
      <c r="B16057" s="192"/>
      <c r="C16057" s="140"/>
      <c r="D16057" s="140"/>
      <c r="E16057" s="140"/>
    </row>
    <row r="16058" spans="1:5">
      <c r="A16058" s="140"/>
      <c r="B16058" s="192"/>
      <c r="C16058" s="140"/>
      <c r="D16058" s="140"/>
      <c r="E16058" s="140"/>
    </row>
    <row r="16059" spans="1:5">
      <c r="A16059" s="140"/>
      <c r="B16059" s="192"/>
      <c r="C16059" s="140"/>
      <c r="D16059" s="140"/>
      <c r="E16059" s="140"/>
    </row>
    <row r="16060" spans="1:5">
      <c r="A16060" s="140"/>
      <c r="B16060" s="192"/>
      <c r="C16060" s="140"/>
      <c r="D16060" s="140"/>
      <c r="E16060" s="140"/>
    </row>
    <row r="16061" spans="1:5">
      <c r="A16061" s="140"/>
      <c r="B16061" s="192"/>
      <c r="C16061" s="140"/>
      <c r="D16061" s="140"/>
      <c r="E16061" s="140"/>
    </row>
    <row r="16062" spans="1:5">
      <c r="A16062" s="140"/>
      <c r="B16062" s="192"/>
      <c r="C16062" s="140"/>
      <c r="D16062" s="140"/>
      <c r="E16062" s="140"/>
    </row>
    <row r="16063" spans="1:5">
      <c r="A16063" s="140"/>
      <c r="B16063" s="192"/>
      <c r="C16063" s="140"/>
      <c r="D16063" s="140"/>
      <c r="E16063" s="140"/>
    </row>
    <row r="16064" spans="1:5">
      <c r="A16064" s="140"/>
      <c r="B16064" s="192"/>
      <c r="C16064" s="140"/>
      <c r="D16064" s="140"/>
      <c r="E16064" s="140"/>
    </row>
    <row r="16065" spans="1:5">
      <c r="A16065" s="140"/>
      <c r="B16065" s="192"/>
      <c r="C16065" s="140"/>
      <c r="D16065" s="140"/>
      <c r="E16065" s="140"/>
    </row>
    <row r="16066" spans="1:5">
      <c r="A16066" s="140"/>
      <c r="B16066" s="192"/>
      <c r="C16066" s="140"/>
      <c r="D16066" s="140"/>
      <c r="E16066" s="140"/>
    </row>
    <row r="16067" spans="1:5">
      <c r="A16067" s="140"/>
      <c r="B16067" s="192"/>
      <c r="C16067" s="140"/>
      <c r="D16067" s="140"/>
      <c r="E16067" s="140"/>
    </row>
    <row r="16068" spans="1:5">
      <c r="A16068" s="140"/>
      <c r="B16068" s="192"/>
      <c r="C16068" s="140"/>
      <c r="D16068" s="140"/>
      <c r="E16068" s="140"/>
    </row>
    <row r="16069" spans="1:5">
      <c r="A16069" s="140"/>
      <c r="B16069" s="192"/>
      <c r="C16069" s="140"/>
      <c r="D16069" s="140"/>
      <c r="E16069" s="140"/>
    </row>
    <row r="16070" spans="1:5">
      <c r="A16070" s="140"/>
      <c r="B16070" s="192"/>
      <c r="C16070" s="140"/>
      <c r="D16070" s="140"/>
      <c r="E16070" s="140"/>
    </row>
    <row r="16071" spans="1:5">
      <c r="A16071" s="140"/>
      <c r="B16071" s="192"/>
      <c r="C16071" s="140"/>
      <c r="D16071" s="140"/>
      <c r="E16071" s="140"/>
    </row>
    <row r="16072" spans="1:5">
      <c r="A16072" s="140"/>
      <c r="B16072" s="192"/>
      <c r="C16072" s="140"/>
      <c r="D16072" s="140"/>
      <c r="E16072" s="140"/>
    </row>
    <row r="16073" spans="1:5">
      <c r="A16073" s="140"/>
      <c r="B16073" s="192"/>
      <c r="C16073" s="140"/>
      <c r="D16073" s="140"/>
      <c r="E16073" s="140"/>
    </row>
    <row r="16074" spans="1:5">
      <c r="A16074" s="140"/>
      <c r="B16074" s="192"/>
      <c r="C16074" s="140"/>
      <c r="D16074" s="140"/>
      <c r="E16074" s="140"/>
    </row>
    <row r="16075" spans="1:5">
      <c r="A16075" s="140"/>
      <c r="B16075" s="192"/>
      <c r="C16075" s="140"/>
      <c r="D16075" s="140"/>
      <c r="E16075" s="140"/>
    </row>
    <row r="16076" spans="1:5">
      <c r="A16076" s="140"/>
      <c r="B16076" s="192"/>
      <c r="C16076" s="140"/>
      <c r="D16076" s="140"/>
      <c r="E16076" s="140"/>
    </row>
    <row r="16077" spans="1:5">
      <c r="A16077" s="140"/>
      <c r="B16077" s="192"/>
      <c r="C16077" s="140"/>
      <c r="D16077" s="140"/>
      <c r="E16077" s="140"/>
    </row>
    <row r="16078" spans="1:5">
      <c r="A16078" s="140"/>
      <c r="B16078" s="192"/>
      <c r="C16078" s="140"/>
      <c r="D16078" s="140"/>
      <c r="E16078" s="140"/>
    </row>
    <row r="16079" spans="1:5">
      <c r="A16079" s="140"/>
      <c r="B16079" s="192"/>
      <c r="C16079" s="140"/>
      <c r="D16079" s="140"/>
      <c r="E16079" s="140"/>
    </row>
    <row r="16080" spans="1:5">
      <c r="A16080" s="140"/>
      <c r="B16080" s="192"/>
      <c r="C16080" s="140"/>
      <c r="D16080" s="140"/>
      <c r="E16080" s="140"/>
    </row>
    <row r="16081" spans="1:5">
      <c r="A16081" s="140"/>
      <c r="B16081" s="192"/>
      <c r="C16081" s="140"/>
      <c r="D16081" s="140"/>
      <c r="E16081" s="140"/>
    </row>
    <row r="16082" spans="1:5">
      <c r="A16082" s="140"/>
      <c r="B16082" s="192"/>
      <c r="C16082" s="140"/>
      <c r="D16082" s="140"/>
      <c r="E16082" s="140"/>
    </row>
    <row r="16083" spans="1:5">
      <c r="A16083" s="140"/>
      <c r="B16083" s="192"/>
      <c r="C16083" s="140"/>
      <c r="D16083" s="140"/>
      <c r="E16083" s="140"/>
    </row>
    <row r="16084" spans="1:5">
      <c r="A16084" s="140"/>
      <c r="B16084" s="192"/>
      <c r="C16084" s="140"/>
      <c r="D16084" s="140"/>
      <c r="E16084" s="140"/>
    </row>
    <row r="16085" spans="1:5">
      <c r="A16085" s="140"/>
      <c r="B16085" s="192"/>
      <c r="C16085" s="140"/>
      <c r="D16085" s="140"/>
      <c r="E16085" s="140"/>
    </row>
    <row r="16086" spans="1:5">
      <c r="A16086" s="140"/>
      <c r="B16086" s="192"/>
      <c r="C16086" s="140"/>
      <c r="D16086" s="140"/>
      <c r="E16086" s="140"/>
    </row>
    <row r="16087" spans="1:5">
      <c r="A16087" s="140"/>
      <c r="B16087" s="192"/>
      <c r="C16087" s="140"/>
      <c r="D16087" s="140"/>
      <c r="E16087" s="140"/>
    </row>
    <row r="16088" spans="1:5">
      <c r="A16088" s="140"/>
      <c r="B16088" s="192"/>
      <c r="C16088" s="140"/>
      <c r="D16088" s="140"/>
      <c r="E16088" s="140"/>
    </row>
    <row r="16089" spans="1:5">
      <c r="A16089" s="140"/>
      <c r="B16089" s="192"/>
      <c r="C16089" s="140"/>
      <c r="D16089" s="140"/>
      <c r="E16089" s="140"/>
    </row>
    <row r="16090" spans="1:5">
      <c r="A16090" s="140"/>
      <c r="B16090" s="192"/>
      <c r="C16090" s="140"/>
      <c r="D16090" s="140"/>
      <c r="E16090" s="140"/>
    </row>
    <row r="16091" spans="1:5">
      <c r="A16091" s="140"/>
      <c r="B16091" s="192"/>
      <c r="C16091" s="140"/>
      <c r="D16091" s="140"/>
      <c r="E16091" s="140"/>
    </row>
    <row r="16092" spans="1:5">
      <c r="A16092" s="140"/>
      <c r="B16092" s="192"/>
      <c r="C16092" s="140"/>
      <c r="D16092" s="140"/>
      <c r="E16092" s="140"/>
    </row>
    <row r="16093" spans="1:5">
      <c r="A16093" s="140"/>
      <c r="B16093" s="192"/>
      <c r="C16093" s="140"/>
      <c r="D16093" s="140"/>
      <c r="E16093" s="140"/>
    </row>
    <row r="16094" spans="1:5">
      <c r="A16094" s="140"/>
      <c r="B16094" s="192"/>
      <c r="C16094" s="140"/>
      <c r="D16094" s="140"/>
      <c r="E16094" s="140"/>
    </row>
    <row r="16095" spans="1:5">
      <c r="A16095" s="140"/>
      <c r="B16095" s="192"/>
      <c r="C16095" s="140"/>
      <c r="D16095" s="140"/>
      <c r="E16095" s="140"/>
    </row>
    <row r="16096" spans="1:5">
      <c r="A16096" s="140"/>
      <c r="B16096" s="192"/>
      <c r="C16096" s="140"/>
      <c r="D16096" s="140"/>
      <c r="E16096" s="140"/>
    </row>
    <row r="16097" spans="1:5">
      <c r="A16097" s="140"/>
      <c r="B16097" s="192"/>
      <c r="C16097" s="140"/>
      <c r="D16097" s="140"/>
      <c r="E16097" s="140"/>
    </row>
    <row r="16098" spans="1:5">
      <c r="A16098" s="140"/>
      <c r="B16098" s="192"/>
      <c r="C16098" s="140"/>
      <c r="D16098" s="140"/>
      <c r="E16098" s="140"/>
    </row>
    <row r="16099" spans="1:5">
      <c r="A16099" s="140"/>
      <c r="B16099" s="192"/>
      <c r="C16099" s="140"/>
      <c r="D16099" s="140"/>
      <c r="E16099" s="140"/>
    </row>
    <row r="16100" spans="1:5">
      <c r="A16100" s="140"/>
      <c r="B16100" s="192"/>
      <c r="C16100" s="140"/>
      <c r="D16100" s="140"/>
      <c r="E16100" s="140"/>
    </row>
    <row r="16101" spans="1:5">
      <c r="A16101" s="140"/>
      <c r="B16101" s="192"/>
      <c r="C16101" s="140"/>
      <c r="D16101" s="140"/>
      <c r="E16101" s="140"/>
    </row>
    <row r="16102" spans="1:5">
      <c r="A16102" s="140"/>
      <c r="B16102" s="192"/>
      <c r="C16102" s="140"/>
      <c r="D16102" s="140"/>
      <c r="E16102" s="140"/>
    </row>
    <row r="16103" spans="1:5">
      <c r="A16103" s="140"/>
      <c r="B16103" s="192"/>
      <c r="C16103" s="140"/>
      <c r="D16103" s="140"/>
      <c r="E16103" s="140"/>
    </row>
    <row r="16104" spans="1:5">
      <c r="A16104" s="140"/>
      <c r="B16104" s="192"/>
      <c r="C16104" s="140"/>
      <c r="D16104" s="140"/>
      <c r="E16104" s="140"/>
    </row>
    <row r="16105" spans="1:5">
      <c r="A16105" s="140"/>
      <c r="B16105" s="192"/>
      <c r="C16105" s="140"/>
      <c r="D16105" s="140"/>
      <c r="E16105" s="140"/>
    </row>
    <row r="16106" spans="1:5">
      <c r="A16106" s="140"/>
      <c r="B16106" s="192"/>
      <c r="C16106" s="140"/>
      <c r="D16106" s="140"/>
      <c r="E16106" s="140"/>
    </row>
    <row r="16107" spans="1:5">
      <c r="A16107" s="140"/>
      <c r="B16107" s="192"/>
      <c r="C16107" s="140"/>
      <c r="D16107" s="140"/>
      <c r="E16107" s="140"/>
    </row>
    <row r="16108" spans="1:5">
      <c r="A16108" s="140"/>
      <c r="B16108" s="192"/>
      <c r="C16108" s="140"/>
      <c r="D16108" s="140"/>
      <c r="E16108" s="140"/>
    </row>
    <row r="16109" spans="1:5">
      <c r="A16109" s="140"/>
      <c r="B16109" s="192"/>
      <c r="C16109" s="140"/>
      <c r="D16109" s="140"/>
      <c r="E16109" s="140"/>
    </row>
    <row r="16110" spans="1:5">
      <c r="A16110" s="140"/>
      <c r="B16110" s="192"/>
      <c r="C16110" s="140"/>
      <c r="D16110" s="140"/>
      <c r="E16110" s="140"/>
    </row>
    <row r="16111" spans="1:5">
      <c r="A16111" s="140"/>
      <c r="B16111" s="192"/>
      <c r="C16111" s="140"/>
      <c r="D16111" s="140"/>
      <c r="E16111" s="140"/>
    </row>
    <row r="16112" spans="1:5">
      <c r="A16112" s="140"/>
      <c r="B16112" s="192"/>
      <c r="C16112" s="140"/>
      <c r="D16112" s="140"/>
      <c r="E16112" s="140"/>
    </row>
    <row r="16113" spans="1:5">
      <c r="A16113" s="140"/>
      <c r="B16113" s="192"/>
      <c r="C16113" s="140"/>
      <c r="D16113" s="140"/>
      <c r="E16113" s="140"/>
    </row>
    <row r="16114" spans="1:5">
      <c r="A16114" s="140"/>
      <c r="B16114" s="192"/>
      <c r="C16114" s="140"/>
      <c r="D16114" s="140"/>
      <c r="E16114" s="140"/>
    </row>
    <row r="16115" spans="1:5">
      <c r="A16115" s="140"/>
      <c r="B16115" s="192"/>
      <c r="C16115" s="140"/>
      <c r="D16115" s="140"/>
      <c r="E16115" s="140"/>
    </row>
    <row r="16116" spans="1:5">
      <c r="A16116" s="140"/>
      <c r="B16116" s="192"/>
      <c r="C16116" s="140"/>
      <c r="D16116" s="140"/>
      <c r="E16116" s="140"/>
    </row>
    <row r="16117" spans="1:5">
      <c r="A16117" s="140"/>
      <c r="B16117" s="192"/>
      <c r="C16117" s="140"/>
      <c r="D16117" s="140"/>
      <c r="E16117" s="140"/>
    </row>
    <row r="16118" spans="1:5">
      <c r="A16118" s="140"/>
      <c r="B16118" s="192"/>
      <c r="C16118" s="140"/>
      <c r="D16118" s="140"/>
      <c r="E16118" s="140"/>
    </row>
    <row r="16119" spans="1:5">
      <c r="A16119" s="140"/>
      <c r="B16119" s="192"/>
      <c r="C16119" s="140"/>
      <c r="D16119" s="140"/>
      <c r="E16119" s="140"/>
    </row>
    <row r="16120" spans="1:5">
      <c r="A16120" s="140"/>
      <c r="B16120" s="192"/>
      <c r="C16120" s="140"/>
      <c r="D16120" s="140"/>
      <c r="E16120" s="140"/>
    </row>
    <row r="16121" spans="1:5">
      <c r="A16121" s="140"/>
      <c r="B16121" s="192"/>
      <c r="C16121" s="140"/>
      <c r="D16121" s="140"/>
      <c r="E16121" s="140"/>
    </row>
    <row r="16122" spans="1:5">
      <c r="A16122" s="140"/>
      <c r="B16122" s="192"/>
      <c r="C16122" s="140"/>
      <c r="D16122" s="140"/>
      <c r="E16122" s="140"/>
    </row>
    <row r="16123" spans="1:5">
      <c r="A16123" s="140"/>
      <c r="B16123" s="192"/>
      <c r="C16123" s="140"/>
      <c r="D16123" s="140"/>
      <c r="E16123" s="140"/>
    </row>
    <row r="16124" spans="1:5">
      <c r="A16124" s="140"/>
      <c r="B16124" s="192"/>
      <c r="C16124" s="140"/>
      <c r="D16124" s="140"/>
      <c r="E16124" s="140"/>
    </row>
    <row r="16125" spans="1:5">
      <c r="A16125" s="140"/>
      <c r="B16125" s="192"/>
      <c r="C16125" s="140"/>
      <c r="D16125" s="140"/>
      <c r="E16125" s="140"/>
    </row>
    <row r="16126" spans="1:5">
      <c r="A16126" s="140"/>
      <c r="B16126" s="192"/>
      <c r="C16126" s="140"/>
      <c r="D16126" s="140"/>
      <c r="E16126" s="140"/>
    </row>
    <row r="16127" spans="1:5">
      <c r="A16127" s="140"/>
      <c r="B16127" s="192"/>
      <c r="C16127" s="140"/>
      <c r="D16127" s="140"/>
      <c r="E16127" s="140"/>
    </row>
    <row r="16128" spans="1:5">
      <c r="A16128" s="140"/>
      <c r="B16128" s="192"/>
      <c r="C16128" s="140"/>
      <c r="D16128" s="140"/>
      <c r="E16128" s="140"/>
    </row>
    <row r="16129" spans="1:5">
      <c r="A16129" s="140"/>
      <c r="B16129" s="192"/>
      <c r="C16129" s="140"/>
      <c r="D16129" s="140"/>
      <c r="E16129" s="140"/>
    </row>
    <row r="16130" spans="1:5">
      <c r="A16130" s="140"/>
      <c r="B16130" s="192"/>
      <c r="C16130" s="140"/>
      <c r="D16130" s="140"/>
      <c r="E16130" s="140"/>
    </row>
    <row r="16131" spans="1:5">
      <c r="A16131" s="140"/>
      <c r="B16131" s="192"/>
      <c r="C16131" s="140"/>
      <c r="D16131" s="140"/>
      <c r="E16131" s="140"/>
    </row>
    <row r="16132" spans="1:5">
      <c r="A16132" s="140"/>
      <c r="B16132" s="192"/>
      <c r="C16132" s="140"/>
      <c r="D16132" s="140"/>
      <c r="E16132" s="140"/>
    </row>
    <row r="16133" spans="1:5">
      <c r="A16133" s="140"/>
      <c r="B16133" s="192"/>
      <c r="C16133" s="140"/>
      <c r="D16133" s="140"/>
      <c r="E16133" s="140"/>
    </row>
    <row r="16134" spans="1:5">
      <c r="A16134" s="140"/>
      <c r="B16134" s="192"/>
      <c r="C16134" s="140"/>
      <c r="D16134" s="140"/>
      <c r="E16134" s="140"/>
    </row>
    <row r="16135" spans="1:5">
      <c r="A16135" s="140"/>
      <c r="B16135" s="192"/>
      <c r="C16135" s="140"/>
      <c r="D16135" s="140"/>
      <c r="E16135" s="140"/>
    </row>
    <row r="16136" spans="1:5">
      <c r="A16136" s="140"/>
      <c r="B16136" s="192"/>
      <c r="C16136" s="140"/>
      <c r="D16136" s="140"/>
      <c r="E16136" s="140"/>
    </row>
    <row r="16137" spans="1:5">
      <c r="A16137" s="140"/>
      <c r="B16137" s="192"/>
      <c r="C16137" s="140"/>
      <c r="D16137" s="140"/>
      <c r="E16137" s="140"/>
    </row>
    <row r="16138" spans="1:5">
      <c r="A16138" s="140"/>
      <c r="B16138" s="192"/>
      <c r="C16138" s="140"/>
      <c r="D16138" s="140"/>
      <c r="E16138" s="140"/>
    </row>
    <row r="16139" spans="1:5">
      <c r="A16139" s="140"/>
      <c r="B16139" s="192"/>
      <c r="C16139" s="140"/>
      <c r="D16139" s="140"/>
      <c r="E16139" s="140"/>
    </row>
    <row r="16140" spans="1:5">
      <c r="A16140" s="140"/>
      <c r="B16140" s="192"/>
      <c r="C16140" s="140"/>
      <c r="D16140" s="140"/>
      <c r="E16140" s="140"/>
    </row>
    <row r="16141" spans="1:5">
      <c r="A16141" s="140"/>
      <c r="B16141" s="192"/>
      <c r="C16141" s="140"/>
      <c r="D16141" s="140"/>
      <c r="E16141" s="140"/>
    </row>
    <row r="16142" spans="1:5">
      <c r="A16142" s="140"/>
      <c r="B16142" s="192"/>
      <c r="C16142" s="140"/>
      <c r="D16142" s="140"/>
      <c r="E16142" s="140"/>
    </row>
    <row r="16143" spans="1:5">
      <c r="A16143" s="140"/>
      <c r="B16143" s="192"/>
      <c r="C16143" s="140"/>
      <c r="D16143" s="140"/>
      <c r="E16143" s="140"/>
    </row>
    <row r="16144" spans="1:5">
      <c r="A16144" s="140"/>
      <c r="B16144" s="192"/>
      <c r="C16144" s="140"/>
      <c r="D16144" s="140"/>
      <c r="E16144" s="140"/>
    </row>
    <row r="16145" spans="1:5">
      <c r="A16145" s="140"/>
      <c r="B16145" s="192"/>
      <c r="C16145" s="140"/>
      <c r="D16145" s="140"/>
      <c r="E16145" s="140"/>
    </row>
    <row r="16146" spans="1:5">
      <c r="A16146" s="140"/>
      <c r="B16146" s="192"/>
      <c r="C16146" s="140"/>
      <c r="D16146" s="140"/>
      <c r="E16146" s="140"/>
    </row>
    <row r="16147" spans="1:5">
      <c r="A16147" s="140"/>
      <c r="B16147" s="192"/>
      <c r="C16147" s="140"/>
      <c r="D16147" s="140"/>
      <c r="E16147" s="140"/>
    </row>
    <row r="16148" spans="1:5">
      <c r="A16148" s="140"/>
      <c r="B16148" s="192"/>
      <c r="C16148" s="140"/>
      <c r="D16148" s="140"/>
      <c r="E16148" s="140"/>
    </row>
    <row r="16149" spans="1:5">
      <c r="A16149" s="140"/>
      <c r="B16149" s="192"/>
      <c r="C16149" s="140"/>
      <c r="D16149" s="140"/>
      <c r="E16149" s="140"/>
    </row>
    <row r="16150" spans="1:5">
      <c r="A16150" s="140"/>
      <c r="B16150" s="192"/>
      <c r="C16150" s="140"/>
      <c r="D16150" s="140"/>
      <c r="E16150" s="140"/>
    </row>
    <row r="16151" spans="1:5">
      <c r="A16151" s="140"/>
      <c r="B16151" s="192"/>
      <c r="C16151" s="140"/>
      <c r="D16151" s="140"/>
      <c r="E16151" s="140"/>
    </row>
    <row r="16152" spans="1:5">
      <c r="A16152" s="140"/>
      <c r="B16152" s="192"/>
      <c r="C16152" s="140"/>
      <c r="D16152" s="140"/>
      <c r="E16152" s="140"/>
    </row>
    <row r="16153" spans="1:5">
      <c r="A16153" s="140"/>
      <c r="B16153" s="192"/>
      <c r="C16153" s="140"/>
      <c r="D16153" s="140"/>
      <c r="E16153" s="140"/>
    </row>
    <row r="16154" spans="1:5">
      <c r="A16154" s="140"/>
      <c r="B16154" s="192"/>
      <c r="C16154" s="140"/>
      <c r="D16154" s="140"/>
      <c r="E16154" s="140"/>
    </row>
    <row r="16155" spans="1:5">
      <c r="A16155" s="140"/>
      <c r="B16155" s="192"/>
      <c r="C16155" s="140"/>
      <c r="D16155" s="140"/>
      <c r="E16155" s="140"/>
    </row>
    <row r="16156" spans="1:5">
      <c r="A16156" s="140"/>
      <c r="B16156" s="192"/>
      <c r="C16156" s="140"/>
      <c r="D16156" s="140"/>
      <c r="E16156" s="140"/>
    </row>
    <row r="16157" spans="1:5">
      <c r="A16157" s="140"/>
      <c r="B16157" s="192"/>
      <c r="C16157" s="140"/>
      <c r="D16157" s="140"/>
      <c r="E16157" s="140"/>
    </row>
    <row r="16158" spans="1:5">
      <c r="A16158" s="140"/>
      <c r="B16158" s="192"/>
      <c r="C16158" s="140"/>
      <c r="D16158" s="140"/>
      <c r="E16158" s="140"/>
    </row>
    <row r="16159" spans="1:5">
      <c r="A16159" s="140"/>
      <c r="B16159" s="192"/>
      <c r="C16159" s="140"/>
      <c r="D16159" s="140"/>
      <c r="E16159" s="140"/>
    </row>
    <row r="16160" spans="1:5">
      <c r="A16160" s="140"/>
      <c r="B16160" s="192"/>
      <c r="C16160" s="140"/>
      <c r="D16160" s="140"/>
      <c r="E16160" s="140"/>
    </row>
    <row r="16161" spans="1:5">
      <c r="A16161" s="140"/>
      <c r="B16161" s="192"/>
      <c r="C16161" s="140"/>
      <c r="D16161" s="140"/>
      <c r="E16161" s="140"/>
    </row>
    <row r="16162" spans="1:5">
      <c r="A16162" s="140"/>
      <c r="B16162" s="192"/>
      <c r="C16162" s="140"/>
      <c r="D16162" s="140"/>
      <c r="E16162" s="140"/>
    </row>
    <row r="16163" spans="1:5">
      <c r="A16163" s="140"/>
      <c r="B16163" s="192"/>
      <c r="C16163" s="140"/>
      <c r="D16163" s="140"/>
      <c r="E16163" s="140"/>
    </row>
    <row r="16164" spans="1:5">
      <c r="A16164" s="140"/>
      <c r="B16164" s="192"/>
      <c r="C16164" s="140"/>
      <c r="D16164" s="140"/>
      <c r="E16164" s="140"/>
    </row>
    <row r="16165" spans="1:5">
      <c r="A16165" s="140"/>
      <c r="B16165" s="192"/>
      <c r="C16165" s="140"/>
      <c r="D16165" s="140"/>
      <c r="E16165" s="140"/>
    </row>
    <row r="16166" spans="1:5">
      <c r="A16166" s="140"/>
      <c r="B16166" s="192"/>
      <c r="C16166" s="140"/>
      <c r="D16166" s="140"/>
      <c r="E16166" s="140"/>
    </row>
    <row r="16167" spans="1:5">
      <c r="A16167" s="140"/>
      <c r="B16167" s="192"/>
      <c r="C16167" s="140"/>
      <c r="D16167" s="140"/>
      <c r="E16167" s="140"/>
    </row>
    <row r="16168" spans="1:5">
      <c r="A16168" s="140"/>
      <c r="B16168" s="192"/>
      <c r="C16168" s="140"/>
      <c r="D16168" s="140"/>
      <c r="E16168" s="140"/>
    </row>
    <row r="16169" spans="1:5">
      <c r="A16169" s="140"/>
      <c r="B16169" s="192"/>
      <c r="C16169" s="140"/>
      <c r="D16169" s="140"/>
      <c r="E16169" s="140"/>
    </row>
    <row r="16170" spans="1:5">
      <c r="A16170" s="140"/>
      <c r="B16170" s="192"/>
      <c r="C16170" s="140"/>
      <c r="D16170" s="140"/>
      <c r="E16170" s="140"/>
    </row>
    <row r="16171" spans="1:5">
      <c r="A16171" s="140"/>
      <c r="B16171" s="192"/>
      <c r="C16171" s="140"/>
      <c r="D16171" s="140"/>
      <c r="E16171" s="140"/>
    </row>
    <row r="16172" spans="1:5">
      <c r="A16172" s="140"/>
      <c r="B16172" s="192"/>
      <c r="C16172" s="140"/>
      <c r="D16172" s="140"/>
      <c r="E16172" s="140"/>
    </row>
    <row r="16173" spans="1:5">
      <c r="A16173" s="140"/>
      <c r="B16173" s="192"/>
      <c r="C16173" s="140"/>
      <c r="D16173" s="140"/>
      <c r="E16173" s="140"/>
    </row>
    <row r="16174" spans="1:5">
      <c r="A16174" s="140"/>
      <c r="B16174" s="192"/>
      <c r="C16174" s="140"/>
      <c r="D16174" s="140"/>
      <c r="E16174" s="140"/>
    </row>
    <row r="16175" spans="1:5">
      <c r="A16175" s="140"/>
      <c r="B16175" s="192"/>
      <c r="C16175" s="140"/>
      <c r="D16175" s="140"/>
      <c r="E16175" s="140"/>
    </row>
    <row r="16176" spans="1:5">
      <c r="A16176" s="140"/>
      <c r="B16176" s="192"/>
      <c r="C16176" s="140"/>
      <c r="D16176" s="140"/>
      <c r="E16176" s="140"/>
    </row>
    <row r="16177" spans="1:5">
      <c r="A16177" s="140"/>
      <c r="B16177" s="192"/>
      <c r="C16177" s="140"/>
      <c r="D16177" s="140"/>
      <c r="E16177" s="140"/>
    </row>
    <row r="16178" spans="1:5">
      <c r="A16178" s="140"/>
      <c r="B16178" s="192"/>
      <c r="C16178" s="140"/>
      <c r="D16178" s="140"/>
      <c r="E16178" s="140"/>
    </row>
    <row r="16179" spans="1:5">
      <c r="A16179" s="140"/>
      <c r="B16179" s="192"/>
      <c r="C16179" s="140"/>
      <c r="D16179" s="140"/>
      <c r="E16179" s="140"/>
    </row>
    <row r="16180" spans="1:5">
      <c r="A16180" s="140"/>
      <c r="B16180" s="192"/>
      <c r="C16180" s="140"/>
      <c r="D16180" s="140"/>
      <c r="E16180" s="140"/>
    </row>
    <row r="16181" spans="1:5">
      <c r="A16181" s="140"/>
      <c r="B16181" s="192"/>
      <c r="C16181" s="140"/>
      <c r="D16181" s="140"/>
      <c r="E16181" s="140"/>
    </row>
    <row r="16182" spans="1:5">
      <c r="A16182" s="140"/>
      <c r="B16182" s="192"/>
      <c r="C16182" s="140"/>
      <c r="D16182" s="140"/>
      <c r="E16182" s="140"/>
    </row>
    <row r="16183" spans="1:5">
      <c r="A16183" s="140"/>
      <c r="B16183" s="192"/>
      <c r="C16183" s="140"/>
      <c r="D16183" s="140"/>
      <c r="E16183" s="140"/>
    </row>
    <row r="16184" spans="1:5">
      <c r="A16184" s="140"/>
      <c r="B16184" s="192"/>
      <c r="C16184" s="140"/>
      <c r="D16184" s="140"/>
      <c r="E16184" s="140"/>
    </row>
    <row r="16185" spans="1:5">
      <c r="A16185" s="140"/>
      <c r="B16185" s="192"/>
      <c r="C16185" s="140"/>
      <c r="D16185" s="140"/>
      <c r="E16185" s="140"/>
    </row>
    <row r="16186" spans="1:5">
      <c r="A16186" s="140"/>
      <c r="B16186" s="192"/>
      <c r="C16186" s="140"/>
      <c r="D16186" s="140"/>
      <c r="E16186" s="140"/>
    </row>
    <row r="16187" spans="1:5">
      <c r="A16187" s="140"/>
      <c r="B16187" s="192"/>
      <c r="C16187" s="140"/>
      <c r="D16187" s="140"/>
      <c r="E16187" s="140"/>
    </row>
    <row r="16188" spans="1:5">
      <c r="A16188" s="140"/>
      <c r="B16188" s="192"/>
      <c r="C16188" s="140"/>
      <c r="D16188" s="140"/>
      <c r="E16188" s="140"/>
    </row>
    <row r="16189" spans="1:5">
      <c r="A16189" s="140"/>
      <c r="B16189" s="192"/>
      <c r="C16189" s="140"/>
      <c r="D16189" s="140"/>
      <c r="E16189" s="140"/>
    </row>
    <row r="16190" spans="1:5">
      <c r="A16190" s="140"/>
      <c r="B16190" s="192"/>
      <c r="C16190" s="140"/>
      <c r="D16190" s="140"/>
      <c r="E16190" s="140"/>
    </row>
    <row r="16191" spans="1:5">
      <c r="A16191" s="140"/>
      <c r="B16191" s="192"/>
      <c r="C16191" s="140"/>
      <c r="D16191" s="140"/>
      <c r="E16191" s="140"/>
    </row>
    <row r="16192" spans="1:5">
      <c r="A16192" s="140"/>
      <c r="B16192" s="192"/>
      <c r="C16192" s="140"/>
      <c r="D16192" s="140"/>
      <c r="E16192" s="140"/>
    </row>
    <row r="16193" spans="1:5">
      <c r="A16193" s="140"/>
      <c r="B16193" s="192"/>
      <c r="C16193" s="140"/>
      <c r="D16193" s="140"/>
      <c r="E16193" s="140"/>
    </row>
    <row r="16194" spans="1:5">
      <c r="A16194" s="140"/>
      <c r="B16194" s="192"/>
      <c r="C16194" s="140"/>
      <c r="D16194" s="140"/>
      <c r="E16194" s="140"/>
    </row>
    <row r="16195" spans="1:5">
      <c r="A16195" s="140"/>
      <c r="B16195" s="192"/>
      <c r="C16195" s="140"/>
      <c r="D16195" s="140"/>
      <c r="E16195" s="140"/>
    </row>
    <row r="16196" spans="1:5">
      <c r="A16196" s="140"/>
      <c r="B16196" s="192"/>
      <c r="C16196" s="140"/>
      <c r="D16196" s="140"/>
      <c r="E16196" s="140"/>
    </row>
    <row r="16197" spans="1:5">
      <c r="A16197" s="140"/>
      <c r="B16197" s="192"/>
      <c r="C16197" s="140"/>
      <c r="D16197" s="140"/>
      <c r="E16197" s="140"/>
    </row>
    <row r="16198" spans="1:5">
      <c r="A16198" s="140"/>
      <c r="B16198" s="192"/>
      <c r="C16198" s="140"/>
      <c r="D16198" s="140"/>
      <c r="E16198" s="140"/>
    </row>
    <row r="16199" spans="1:5">
      <c r="A16199" s="140"/>
      <c r="B16199" s="192"/>
      <c r="C16199" s="140"/>
      <c r="D16199" s="140"/>
      <c r="E16199" s="140"/>
    </row>
    <row r="16200" spans="1:5">
      <c r="A16200" s="140"/>
      <c r="B16200" s="192"/>
      <c r="C16200" s="140"/>
      <c r="D16200" s="140"/>
      <c r="E16200" s="140"/>
    </row>
    <row r="16201" spans="1:5">
      <c r="A16201" s="140"/>
      <c r="B16201" s="192"/>
      <c r="C16201" s="140"/>
      <c r="D16201" s="140"/>
      <c r="E16201" s="140"/>
    </row>
    <row r="16202" spans="1:5">
      <c r="A16202" s="140"/>
      <c r="B16202" s="192"/>
      <c r="C16202" s="140"/>
      <c r="D16202" s="140"/>
      <c r="E16202" s="140"/>
    </row>
    <row r="16203" spans="1:5">
      <c r="A16203" s="140"/>
      <c r="B16203" s="192"/>
      <c r="C16203" s="140"/>
      <c r="D16203" s="140"/>
      <c r="E16203" s="140"/>
    </row>
    <row r="16204" spans="1:5">
      <c r="A16204" s="140"/>
      <c r="B16204" s="192"/>
      <c r="C16204" s="140"/>
      <c r="D16204" s="140"/>
      <c r="E16204" s="140"/>
    </row>
    <row r="16205" spans="1:5">
      <c r="A16205" s="140"/>
      <c r="B16205" s="192"/>
      <c r="C16205" s="140"/>
      <c r="D16205" s="140"/>
      <c r="E16205" s="140"/>
    </row>
    <row r="16206" spans="1:5">
      <c r="A16206" s="140"/>
      <c r="B16206" s="192"/>
      <c r="C16206" s="140"/>
      <c r="D16206" s="140"/>
      <c r="E16206" s="140"/>
    </row>
    <row r="16207" spans="1:5">
      <c r="A16207" s="140"/>
      <c r="B16207" s="192"/>
      <c r="C16207" s="140"/>
      <c r="D16207" s="140"/>
      <c r="E16207" s="140"/>
    </row>
    <row r="16208" spans="1:5">
      <c r="A16208" s="140"/>
      <c r="B16208" s="192"/>
      <c r="C16208" s="140"/>
      <c r="D16208" s="140"/>
      <c r="E16208" s="140"/>
    </row>
    <row r="16209" spans="1:5">
      <c r="A16209" s="140"/>
      <c r="B16209" s="192"/>
      <c r="C16209" s="140"/>
      <c r="D16209" s="140"/>
      <c r="E16209" s="140"/>
    </row>
    <row r="16210" spans="1:5">
      <c r="A16210" s="140"/>
      <c r="B16210" s="192"/>
      <c r="C16210" s="140"/>
      <c r="D16210" s="140"/>
      <c r="E16210" s="140"/>
    </row>
    <row r="16211" spans="1:5">
      <c r="A16211" s="140"/>
      <c r="B16211" s="192"/>
      <c r="C16211" s="140"/>
      <c r="D16211" s="140"/>
      <c r="E16211" s="140"/>
    </row>
    <row r="16212" spans="1:5">
      <c r="A16212" s="140"/>
      <c r="B16212" s="192"/>
      <c r="C16212" s="140"/>
      <c r="D16212" s="140"/>
      <c r="E16212" s="140"/>
    </row>
    <row r="16213" spans="1:5">
      <c r="A16213" s="140"/>
      <c r="B16213" s="192"/>
      <c r="C16213" s="140"/>
      <c r="D16213" s="140"/>
      <c r="E16213" s="140"/>
    </row>
    <row r="16214" spans="1:5">
      <c r="A16214" s="140"/>
      <c r="B16214" s="192"/>
      <c r="C16214" s="140"/>
      <c r="D16214" s="140"/>
      <c r="E16214" s="140"/>
    </row>
    <row r="16215" spans="1:5">
      <c r="A16215" s="140"/>
      <c r="B16215" s="192"/>
      <c r="C16215" s="140"/>
      <c r="D16215" s="140"/>
      <c r="E16215" s="140"/>
    </row>
    <row r="16216" spans="1:5">
      <c r="A16216" s="140"/>
      <c r="B16216" s="192"/>
      <c r="C16216" s="140"/>
      <c r="D16216" s="140"/>
      <c r="E16216" s="140"/>
    </row>
    <row r="16217" spans="1:5">
      <c r="A16217" s="140"/>
      <c r="B16217" s="192"/>
      <c r="C16217" s="140"/>
      <c r="D16217" s="140"/>
      <c r="E16217" s="140"/>
    </row>
    <row r="16218" spans="1:5">
      <c r="A16218" s="140"/>
      <c r="B16218" s="192"/>
      <c r="C16218" s="140"/>
      <c r="D16218" s="140"/>
      <c r="E16218" s="140"/>
    </row>
    <row r="16219" spans="1:5">
      <c r="A16219" s="140"/>
      <c r="B16219" s="192"/>
      <c r="C16219" s="140"/>
      <c r="D16219" s="140"/>
      <c r="E16219" s="140"/>
    </row>
    <row r="16220" spans="1:5">
      <c r="A16220" s="140"/>
      <c r="B16220" s="192"/>
      <c r="C16220" s="140"/>
      <c r="D16220" s="140"/>
      <c r="E16220" s="140"/>
    </row>
    <row r="16221" spans="1:5">
      <c r="A16221" s="140"/>
      <c r="B16221" s="192"/>
      <c r="C16221" s="140"/>
      <c r="D16221" s="140"/>
      <c r="E16221" s="140"/>
    </row>
    <row r="16222" spans="1:5">
      <c r="A16222" s="140"/>
      <c r="B16222" s="192"/>
      <c r="C16222" s="140"/>
      <c r="D16222" s="140"/>
      <c r="E16222" s="140"/>
    </row>
    <row r="16223" spans="1:5">
      <c r="A16223" s="140"/>
      <c r="B16223" s="192"/>
      <c r="C16223" s="140"/>
      <c r="D16223" s="140"/>
      <c r="E16223" s="140"/>
    </row>
    <row r="16224" spans="1:5">
      <c r="A16224" s="140"/>
      <c r="B16224" s="192"/>
      <c r="C16224" s="140"/>
      <c r="D16224" s="140"/>
      <c r="E16224" s="140"/>
    </row>
    <row r="16225" spans="1:5">
      <c r="A16225" s="140"/>
      <c r="B16225" s="192"/>
      <c r="C16225" s="140"/>
      <c r="D16225" s="140"/>
      <c r="E16225" s="140"/>
    </row>
    <row r="16226" spans="1:5">
      <c r="A16226" s="140"/>
      <c r="B16226" s="192"/>
      <c r="C16226" s="140"/>
      <c r="D16226" s="140"/>
      <c r="E16226" s="140"/>
    </row>
    <row r="16227" spans="1:5">
      <c r="A16227" s="140"/>
      <c r="B16227" s="192"/>
      <c r="C16227" s="140"/>
      <c r="D16227" s="140"/>
      <c r="E16227" s="140"/>
    </row>
    <row r="16228" spans="1:5">
      <c r="A16228" s="140"/>
      <c r="B16228" s="192"/>
      <c r="C16228" s="140"/>
      <c r="D16228" s="140"/>
      <c r="E16228" s="140"/>
    </row>
    <row r="16229" spans="1:5">
      <c r="A16229" s="140"/>
      <c r="B16229" s="192"/>
      <c r="C16229" s="140"/>
      <c r="D16229" s="140"/>
      <c r="E16229" s="140"/>
    </row>
    <row r="16230" spans="1:5">
      <c r="A16230" s="140"/>
      <c r="B16230" s="192"/>
      <c r="C16230" s="140"/>
      <c r="D16230" s="140"/>
      <c r="E16230" s="140"/>
    </row>
    <row r="16231" spans="1:5">
      <c r="A16231" s="140"/>
      <c r="B16231" s="192"/>
      <c r="C16231" s="140"/>
      <c r="D16231" s="140"/>
      <c r="E16231" s="140"/>
    </row>
    <row r="16232" spans="1:5">
      <c r="A16232" s="140"/>
      <c r="B16232" s="192"/>
      <c r="C16232" s="140"/>
      <c r="D16232" s="140"/>
      <c r="E16232" s="140"/>
    </row>
    <row r="16233" spans="1:5">
      <c r="A16233" s="140"/>
      <c r="B16233" s="192"/>
      <c r="C16233" s="140"/>
      <c r="D16233" s="140"/>
      <c r="E16233" s="140"/>
    </row>
    <row r="16234" spans="1:5">
      <c r="A16234" s="140"/>
      <c r="B16234" s="192"/>
      <c r="C16234" s="140"/>
      <c r="D16234" s="140"/>
      <c r="E16234" s="140"/>
    </row>
    <row r="16235" spans="1:5">
      <c r="A16235" s="140"/>
      <c r="B16235" s="192"/>
      <c r="C16235" s="140"/>
      <c r="D16235" s="140"/>
      <c r="E16235" s="140"/>
    </row>
    <row r="16236" spans="1:5">
      <c r="A16236" s="140"/>
      <c r="B16236" s="192"/>
      <c r="C16236" s="140"/>
      <c r="D16236" s="140"/>
      <c r="E16236" s="140"/>
    </row>
    <row r="16237" spans="1:5">
      <c r="A16237" s="140"/>
      <c r="B16237" s="192"/>
      <c r="C16237" s="140"/>
      <c r="D16237" s="140"/>
      <c r="E16237" s="140"/>
    </row>
    <row r="16238" spans="1:5">
      <c r="A16238" s="140"/>
      <c r="B16238" s="192"/>
      <c r="C16238" s="140"/>
      <c r="D16238" s="140"/>
      <c r="E16238" s="140"/>
    </row>
    <row r="16239" spans="1:5">
      <c r="A16239" s="140"/>
      <c r="B16239" s="192"/>
      <c r="C16239" s="140"/>
      <c r="D16239" s="140"/>
      <c r="E16239" s="140"/>
    </row>
    <row r="16240" spans="1:5">
      <c r="A16240" s="140"/>
      <c r="B16240" s="192"/>
      <c r="C16240" s="140"/>
      <c r="D16240" s="140"/>
      <c r="E16240" s="140"/>
    </row>
    <row r="16241" spans="1:5">
      <c r="A16241" s="140"/>
      <c r="B16241" s="192"/>
      <c r="C16241" s="140"/>
      <c r="D16241" s="140"/>
      <c r="E16241" s="140"/>
    </row>
    <row r="16242" spans="1:5">
      <c r="A16242" s="140"/>
      <c r="B16242" s="192"/>
      <c r="C16242" s="140"/>
      <c r="D16242" s="140"/>
      <c r="E16242" s="140"/>
    </row>
    <row r="16243" spans="1:5">
      <c r="A16243" s="140"/>
      <c r="B16243" s="192"/>
      <c r="C16243" s="140"/>
      <c r="D16243" s="140"/>
      <c r="E16243" s="140"/>
    </row>
    <row r="16244" spans="1:5">
      <c r="A16244" s="140"/>
      <c r="B16244" s="192"/>
      <c r="C16244" s="140"/>
      <c r="D16244" s="140"/>
      <c r="E16244" s="140"/>
    </row>
    <row r="16245" spans="1:5">
      <c r="A16245" s="140"/>
      <c r="B16245" s="192"/>
      <c r="C16245" s="140"/>
      <c r="D16245" s="140"/>
      <c r="E16245" s="140"/>
    </row>
    <row r="16246" spans="1:5">
      <c r="A16246" s="140"/>
      <c r="B16246" s="192"/>
      <c r="C16246" s="140"/>
      <c r="D16246" s="140"/>
      <c r="E16246" s="140"/>
    </row>
    <row r="16247" spans="1:5">
      <c r="A16247" s="140"/>
      <c r="B16247" s="192"/>
      <c r="C16247" s="140"/>
      <c r="D16247" s="140"/>
      <c r="E16247" s="140"/>
    </row>
    <row r="16248" spans="1:5">
      <c r="A16248" s="140"/>
      <c r="B16248" s="192"/>
      <c r="C16248" s="140"/>
      <c r="D16248" s="140"/>
      <c r="E16248" s="140"/>
    </row>
    <row r="16249" spans="1:5">
      <c r="A16249" s="140"/>
      <c r="B16249" s="192"/>
      <c r="C16249" s="140"/>
      <c r="D16249" s="140"/>
      <c r="E16249" s="140"/>
    </row>
    <row r="16250" spans="1:5">
      <c r="A16250" s="140"/>
      <c r="B16250" s="192"/>
      <c r="C16250" s="140"/>
      <c r="D16250" s="140"/>
      <c r="E16250" s="140"/>
    </row>
    <row r="16251" spans="1:5">
      <c r="A16251" s="140"/>
      <c r="B16251" s="192"/>
      <c r="C16251" s="140"/>
      <c r="D16251" s="140"/>
      <c r="E16251" s="140"/>
    </row>
    <row r="16252" spans="1:5">
      <c r="A16252" s="140"/>
      <c r="B16252" s="192"/>
      <c r="C16252" s="140"/>
      <c r="D16252" s="140"/>
      <c r="E16252" s="140"/>
    </row>
    <row r="16253" spans="1:5">
      <c r="A16253" s="140"/>
      <c r="B16253" s="192"/>
      <c r="C16253" s="140"/>
      <c r="D16253" s="140"/>
      <c r="E16253" s="140"/>
    </row>
    <row r="16254" spans="1:5">
      <c r="A16254" s="140"/>
      <c r="B16254" s="192"/>
      <c r="C16254" s="140"/>
      <c r="D16254" s="140"/>
      <c r="E16254" s="140"/>
    </row>
    <row r="16255" spans="1:5">
      <c r="A16255" s="140"/>
      <c r="B16255" s="192"/>
      <c r="C16255" s="140"/>
      <c r="D16255" s="140"/>
      <c r="E16255" s="140"/>
    </row>
    <row r="16256" spans="1:5">
      <c r="A16256" s="140"/>
      <c r="B16256" s="192"/>
      <c r="C16256" s="140"/>
      <c r="D16256" s="140"/>
      <c r="E16256" s="140"/>
    </row>
    <row r="16257" spans="1:5">
      <c r="A16257" s="140"/>
      <c r="B16257" s="192"/>
      <c r="C16257" s="140"/>
      <c r="D16257" s="140"/>
      <c r="E16257" s="140"/>
    </row>
    <row r="16258" spans="1:5">
      <c r="A16258" s="140"/>
      <c r="B16258" s="192"/>
      <c r="C16258" s="140"/>
      <c r="D16258" s="140"/>
      <c r="E16258" s="140"/>
    </row>
    <row r="16259" spans="1:5">
      <c r="A16259" s="140"/>
      <c r="B16259" s="192"/>
      <c r="C16259" s="140"/>
      <c r="D16259" s="140"/>
      <c r="E16259" s="140"/>
    </row>
    <row r="16260" spans="1:5">
      <c r="A16260" s="140"/>
      <c r="B16260" s="192"/>
      <c r="C16260" s="140"/>
      <c r="D16260" s="140"/>
      <c r="E16260" s="140"/>
    </row>
    <row r="16261" spans="1:5">
      <c r="A16261" s="140"/>
      <c r="B16261" s="192"/>
      <c r="C16261" s="140"/>
      <c r="D16261" s="140"/>
      <c r="E16261" s="140"/>
    </row>
    <row r="16262" spans="1:5">
      <c r="A16262" s="140"/>
      <c r="B16262" s="192"/>
      <c r="C16262" s="140"/>
      <c r="D16262" s="140"/>
      <c r="E16262" s="140"/>
    </row>
    <row r="16263" spans="1:5">
      <c r="A16263" s="140"/>
      <c r="B16263" s="192"/>
      <c r="C16263" s="140"/>
      <c r="D16263" s="140"/>
      <c r="E16263" s="140"/>
    </row>
    <row r="16264" spans="1:5">
      <c r="A16264" s="140"/>
      <c r="B16264" s="192"/>
      <c r="C16264" s="140"/>
      <c r="D16264" s="140"/>
      <c r="E16264" s="140"/>
    </row>
    <row r="16265" spans="1:5">
      <c r="A16265" s="140"/>
      <c r="B16265" s="192"/>
      <c r="C16265" s="140"/>
      <c r="D16265" s="140"/>
      <c r="E16265" s="140"/>
    </row>
    <row r="16266" spans="1:5">
      <c r="A16266" s="140"/>
      <c r="B16266" s="192"/>
      <c r="C16266" s="140"/>
      <c r="D16266" s="140"/>
      <c r="E16266" s="140"/>
    </row>
    <row r="16267" spans="1:5">
      <c r="A16267" s="140"/>
      <c r="B16267" s="192"/>
      <c r="C16267" s="140"/>
      <c r="D16267" s="140"/>
      <c r="E16267" s="140"/>
    </row>
    <row r="16268" spans="1:5">
      <c r="A16268" s="140"/>
      <c r="B16268" s="192"/>
      <c r="C16268" s="140"/>
      <c r="D16268" s="140"/>
      <c r="E16268" s="140"/>
    </row>
    <row r="16269" spans="1:5">
      <c r="A16269" s="140"/>
      <c r="B16269" s="192"/>
      <c r="C16269" s="140"/>
      <c r="D16269" s="140"/>
      <c r="E16269" s="140"/>
    </row>
    <row r="16270" spans="1:5">
      <c r="A16270" s="140"/>
      <c r="B16270" s="192"/>
      <c r="C16270" s="140"/>
      <c r="D16270" s="140"/>
      <c r="E16270" s="140"/>
    </row>
    <row r="16271" spans="1:5">
      <c r="A16271" s="140"/>
      <c r="B16271" s="192"/>
      <c r="C16271" s="140"/>
      <c r="D16271" s="140"/>
      <c r="E16271" s="140"/>
    </row>
    <row r="16272" spans="1:5">
      <c r="A16272" s="140"/>
      <c r="B16272" s="192"/>
      <c r="C16272" s="140"/>
      <c r="D16272" s="140"/>
      <c r="E16272" s="140"/>
    </row>
    <row r="16273" spans="1:5">
      <c r="A16273" s="140"/>
      <c r="B16273" s="192"/>
      <c r="C16273" s="140"/>
      <c r="D16273" s="140"/>
      <c r="E16273" s="140"/>
    </row>
    <row r="16274" spans="1:5">
      <c r="A16274" s="140"/>
      <c r="B16274" s="192"/>
      <c r="C16274" s="140"/>
      <c r="D16274" s="140"/>
      <c r="E16274" s="140"/>
    </row>
    <row r="16275" spans="1:5">
      <c r="A16275" s="140"/>
      <c r="B16275" s="192"/>
      <c r="C16275" s="140"/>
      <c r="D16275" s="140"/>
      <c r="E16275" s="140"/>
    </row>
    <row r="16276" spans="1:5">
      <c r="A16276" s="140"/>
      <c r="B16276" s="192"/>
      <c r="C16276" s="140"/>
      <c r="D16276" s="140"/>
      <c r="E16276" s="140"/>
    </row>
    <row r="16277" spans="1:5">
      <c r="A16277" s="140"/>
      <c r="B16277" s="192"/>
      <c r="C16277" s="140"/>
      <c r="D16277" s="140"/>
      <c r="E16277" s="140"/>
    </row>
    <row r="16278" spans="1:5">
      <c r="A16278" s="140"/>
      <c r="B16278" s="192"/>
      <c r="C16278" s="140"/>
      <c r="D16278" s="140"/>
      <c r="E16278" s="140"/>
    </row>
    <row r="16279" spans="1:5">
      <c r="A16279" s="140"/>
      <c r="B16279" s="192"/>
      <c r="C16279" s="140"/>
      <c r="D16279" s="140"/>
      <c r="E16279" s="140"/>
    </row>
    <row r="16280" spans="1:5">
      <c r="A16280" s="140"/>
      <c r="B16280" s="192"/>
      <c r="C16280" s="140"/>
      <c r="D16280" s="140"/>
      <c r="E16280" s="140"/>
    </row>
    <row r="16281" spans="1:5">
      <c r="A16281" s="140"/>
      <c r="B16281" s="192"/>
      <c r="C16281" s="140"/>
      <c r="D16281" s="140"/>
      <c r="E16281" s="140"/>
    </row>
    <row r="16282" spans="1:5">
      <c r="A16282" s="140"/>
      <c r="B16282" s="192"/>
      <c r="C16282" s="140"/>
      <c r="D16282" s="140"/>
      <c r="E16282" s="140"/>
    </row>
    <row r="16283" spans="1:5">
      <c r="A16283" s="140"/>
      <c r="B16283" s="192"/>
      <c r="C16283" s="140"/>
      <c r="D16283" s="140"/>
      <c r="E16283" s="140"/>
    </row>
    <row r="16284" spans="1:5">
      <c r="A16284" s="140"/>
      <c r="B16284" s="192"/>
      <c r="C16284" s="140"/>
      <c r="D16284" s="140"/>
      <c r="E16284" s="140"/>
    </row>
    <row r="16285" spans="1:5">
      <c r="A16285" s="140"/>
      <c r="B16285" s="192"/>
      <c r="C16285" s="140"/>
      <c r="D16285" s="140"/>
      <c r="E16285" s="140"/>
    </row>
    <row r="16286" spans="1:5">
      <c r="A16286" s="140"/>
      <c r="B16286" s="192"/>
      <c r="C16286" s="140"/>
      <c r="D16286" s="140"/>
      <c r="E16286" s="140"/>
    </row>
    <row r="16287" spans="1:5">
      <c r="A16287" s="140"/>
      <c r="B16287" s="192"/>
      <c r="C16287" s="140"/>
      <c r="D16287" s="140"/>
      <c r="E16287" s="140"/>
    </row>
    <row r="16288" spans="1:5">
      <c r="A16288" s="140"/>
      <c r="B16288" s="192"/>
      <c r="C16288" s="140"/>
      <c r="D16288" s="140"/>
      <c r="E16288" s="140"/>
    </row>
    <row r="16289" spans="1:5">
      <c r="A16289" s="140"/>
      <c r="B16289" s="192"/>
      <c r="C16289" s="140"/>
      <c r="D16289" s="140"/>
      <c r="E16289" s="140"/>
    </row>
    <row r="16290" spans="1:5">
      <c r="A16290" s="140"/>
      <c r="B16290" s="192"/>
      <c r="C16290" s="140"/>
      <c r="D16290" s="140"/>
      <c r="E16290" s="140"/>
    </row>
    <row r="16291" spans="1:5">
      <c r="A16291" s="140"/>
      <c r="B16291" s="192"/>
      <c r="C16291" s="140"/>
      <c r="D16291" s="140"/>
      <c r="E16291" s="140"/>
    </row>
    <row r="16292" spans="1:5">
      <c r="A16292" s="140"/>
      <c r="B16292" s="192"/>
      <c r="C16292" s="140"/>
      <c r="D16292" s="140"/>
      <c r="E16292" s="140"/>
    </row>
    <row r="16293" spans="1:5">
      <c r="A16293" s="140"/>
      <c r="B16293" s="192"/>
      <c r="C16293" s="140"/>
      <c r="D16293" s="140"/>
      <c r="E16293" s="140"/>
    </row>
    <row r="16294" spans="1:5">
      <c r="A16294" s="140"/>
      <c r="B16294" s="192"/>
      <c r="C16294" s="140"/>
      <c r="D16294" s="140"/>
      <c r="E16294" s="140"/>
    </row>
    <row r="16295" spans="1:5">
      <c r="A16295" s="140"/>
      <c r="B16295" s="192"/>
      <c r="C16295" s="140"/>
      <c r="D16295" s="140"/>
      <c r="E16295" s="140"/>
    </row>
    <row r="16296" spans="1:5">
      <c r="A16296" s="140"/>
      <c r="B16296" s="192"/>
      <c r="C16296" s="140"/>
      <c r="D16296" s="140"/>
      <c r="E16296" s="140"/>
    </row>
    <row r="16297" spans="1:5">
      <c r="A16297" s="140"/>
      <c r="B16297" s="192"/>
      <c r="C16297" s="140"/>
      <c r="D16297" s="140"/>
      <c r="E16297" s="140"/>
    </row>
    <row r="16298" spans="1:5">
      <c r="A16298" s="140"/>
      <c r="B16298" s="192"/>
      <c r="C16298" s="140"/>
      <c r="D16298" s="140"/>
      <c r="E16298" s="140"/>
    </row>
    <row r="16299" spans="1:5">
      <c r="A16299" s="140"/>
      <c r="B16299" s="192"/>
      <c r="C16299" s="140"/>
      <c r="D16299" s="140"/>
      <c r="E16299" s="140"/>
    </row>
    <row r="16300" spans="1:5">
      <c r="A16300" s="140"/>
      <c r="B16300" s="192"/>
      <c r="C16300" s="140"/>
      <c r="D16300" s="140"/>
      <c r="E16300" s="140"/>
    </row>
    <row r="16301" spans="1:5">
      <c r="A16301" s="140"/>
      <c r="B16301" s="192"/>
      <c r="C16301" s="140"/>
      <c r="D16301" s="140"/>
      <c r="E16301" s="140"/>
    </row>
    <row r="16302" spans="1:5">
      <c r="A16302" s="140"/>
      <c r="B16302" s="192"/>
      <c r="C16302" s="140"/>
      <c r="D16302" s="140"/>
      <c r="E16302" s="140"/>
    </row>
    <row r="16303" spans="1:5">
      <c r="A16303" s="140"/>
      <c r="B16303" s="192"/>
      <c r="C16303" s="140"/>
      <c r="D16303" s="140"/>
      <c r="E16303" s="140"/>
    </row>
    <row r="16304" spans="1:5">
      <c r="A16304" s="140"/>
      <c r="B16304" s="192"/>
      <c r="C16304" s="140"/>
      <c r="D16304" s="140"/>
      <c r="E16304" s="140"/>
    </row>
    <row r="16305" spans="1:5">
      <c r="A16305" s="140"/>
      <c r="B16305" s="192"/>
      <c r="C16305" s="140"/>
      <c r="D16305" s="140"/>
      <c r="E16305" s="140"/>
    </row>
    <row r="16306" spans="1:5">
      <c r="A16306" s="140"/>
      <c r="B16306" s="192"/>
      <c r="C16306" s="140"/>
      <c r="D16306" s="140"/>
      <c r="E16306" s="140"/>
    </row>
    <row r="16307" spans="1:5">
      <c r="A16307" s="140"/>
      <c r="B16307" s="192"/>
      <c r="C16307" s="140"/>
      <c r="D16307" s="140"/>
      <c r="E16307" s="140"/>
    </row>
    <row r="16308" spans="1:5">
      <c r="A16308" s="140"/>
      <c r="B16308" s="192"/>
      <c r="C16308" s="140"/>
      <c r="D16308" s="140"/>
      <c r="E16308" s="140"/>
    </row>
    <row r="16309" spans="1:5">
      <c r="A16309" s="140"/>
      <c r="B16309" s="192"/>
      <c r="C16309" s="140"/>
      <c r="D16309" s="140"/>
      <c r="E16309" s="140"/>
    </row>
    <row r="16310" spans="1:5">
      <c r="A16310" s="140"/>
      <c r="B16310" s="192"/>
      <c r="C16310" s="140"/>
      <c r="D16310" s="140"/>
      <c r="E16310" s="140"/>
    </row>
    <row r="16311" spans="1:5">
      <c r="A16311" s="140"/>
      <c r="B16311" s="192"/>
      <c r="C16311" s="140"/>
      <c r="D16311" s="140"/>
      <c r="E16311" s="140"/>
    </row>
    <row r="16312" spans="1:5">
      <c r="A16312" s="140"/>
      <c r="B16312" s="192"/>
      <c r="C16312" s="140"/>
      <c r="D16312" s="140"/>
      <c r="E16312" s="140"/>
    </row>
    <row r="16313" spans="1:5">
      <c r="A16313" s="140"/>
      <c r="B16313" s="192"/>
      <c r="C16313" s="140"/>
      <c r="D16313" s="140"/>
      <c r="E16313" s="140"/>
    </row>
    <row r="16314" spans="1:5">
      <c r="A16314" s="140"/>
      <c r="B16314" s="192"/>
      <c r="C16314" s="140"/>
      <c r="D16314" s="140"/>
      <c r="E16314" s="140"/>
    </row>
    <row r="16315" spans="1:5">
      <c r="A16315" s="140"/>
      <c r="B16315" s="192"/>
      <c r="C16315" s="140"/>
      <c r="D16315" s="140"/>
      <c r="E16315" s="140"/>
    </row>
    <row r="16316" spans="1:5">
      <c r="A16316" s="140"/>
      <c r="B16316" s="192"/>
      <c r="C16316" s="140"/>
      <c r="D16316" s="140"/>
      <c r="E16316" s="140"/>
    </row>
    <row r="16317" spans="1:5">
      <c r="A16317" s="140"/>
      <c r="B16317" s="192"/>
      <c r="C16317" s="140"/>
      <c r="D16317" s="140"/>
      <c r="E16317" s="140"/>
    </row>
    <row r="16318" spans="1:5">
      <c r="A16318" s="140"/>
      <c r="B16318" s="192"/>
      <c r="C16318" s="140"/>
      <c r="D16318" s="140"/>
      <c r="E16318" s="140"/>
    </row>
    <row r="16319" spans="1:5">
      <c r="A16319" s="140"/>
      <c r="B16319" s="192"/>
      <c r="C16319" s="140"/>
      <c r="D16319" s="140"/>
      <c r="E16319" s="140"/>
    </row>
    <row r="16320" spans="1:5">
      <c r="A16320" s="140"/>
      <c r="B16320" s="192"/>
      <c r="C16320" s="140"/>
      <c r="D16320" s="140"/>
      <c r="E16320" s="140"/>
    </row>
    <row r="16321" spans="1:5">
      <c r="A16321" s="140"/>
      <c r="B16321" s="192"/>
      <c r="C16321" s="140"/>
      <c r="D16321" s="140"/>
      <c r="E16321" s="140"/>
    </row>
    <row r="16322" spans="1:5">
      <c r="A16322" s="140"/>
      <c r="B16322" s="192"/>
      <c r="C16322" s="140"/>
      <c r="D16322" s="140"/>
      <c r="E16322" s="140"/>
    </row>
    <row r="16323" spans="1:5">
      <c r="A16323" s="140"/>
      <c r="B16323" s="192"/>
      <c r="C16323" s="140"/>
      <c r="D16323" s="140"/>
      <c r="E16323" s="140"/>
    </row>
    <row r="16324" spans="1:5">
      <c r="A16324" s="140"/>
      <c r="B16324" s="192"/>
      <c r="C16324" s="140"/>
      <c r="D16324" s="140"/>
      <c r="E16324" s="140"/>
    </row>
    <row r="16325" spans="1:5">
      <c r="A16325" s="140"/>
      <c r="B16325" s="192"/>
      <c r="C16325" s="140"/>
      <c r="D16325" s="140"/>
      <c r="E16325" s="140"/>
    </row>
    <row r="16326" spans="1:5">
      <c r="A16326" s="140"/>
      <c r="B16326" s="192"/>
      <c r="C16326" s="140"/>
      <c r="D16326" s="140"/>
      <c r="E16326" s="140"/>
    </row>
    <row r="16327" spans="1:5">
      <c r="A16327" s="140"/>
      <c r="B16327" s="192"/>
      <c r="C16327" s="140"/>
      <c r="D16327" s="140"/>
      <c r="E16327" s="140"/>
    </row>
    <row r="16328" spans="1:5">
      <c r="A16328" s="140"/>
      <c r="B16328" s="192"/>
      <c r="C16328" s="140"/>
      <c r="D16328" s="140"/>
      <c r="E16328" s="140"/>
    </row>
    <row r="16329" spans="1:5">
      <c r="A16329" s="140"/>
      <c r="B16329" s="192"/>
      <c r="C16329" s="140"/>
      <c r="D16329" s="140"/>
      <c r="E16329" s="140"/>
    </row>
    <row r="16330" spans="1:5">
      <c r="A16330" s="140"/>
      <c r="B16330" s="192"/>
      <c r="C16330" s="140"/>
      <c r="D16330" s="140"/>
      <c r="E16330" s="140"/>
    </row>
    <row r="16331" spans="1:5">
      <c r="A16331" s="140"/>
      <c r="B16331" s="192"/>
      <c r="C16331" s="140"/>
      <c r="D16331" s="140"/>
      <c r="E16331" s="140"/>
    </row>
    <row r="16332" spans="1:5">
      <c r="A16332" s="140"/>
      <c r="B16332" s="192"/>
      <c r="C16332" s="140"/>
      <c r="D16332" s="140"/>
      <c r="E16332" s="140"/>
    </row>
    <row r="16333" spans="1:5">
      <c r="A16333" s="140"/>
      <c r="B16333" s="192"/>
      <c r="C16333" s="140"/>
      <c r="D16333" s="140"/>
      <c r="E16333" s="140"/>
    </row>
    <row r="16334" spans="1:5">
      <c r="A16334" s="140"/>
      <c r="B16334" s="192"/>
      <c r="C16334" s="140"/>
      <c r="D16334" s="140"/>
      <c r="E16334" s="140"/>
    </row>
    <row r="16335" spans="1:5">
      <c r="A16335" s="140"/>
      <c r="B16335" s="192"/>
      <c r="C16335" s="140"/>
      <c r="D16335" s="140"/>
      <c r="E16335" s="140"/>
    </row>
    <row r="16336" spans="1:5">
      <c r="A16336" s="140"/>
      <c r="B16336" s="192"/>
      <c r="C16336" s="140"/>
      <c r="D16336" s="140"/>
      <c r="E16336" s="140"/>
    </row>
    <row r="16337" spans="1:5">
      <c r="A16337" s="140"/>
      <c r="B16337" s="192"/>
      <c r="C16337" s="140"/>
      <c r="D16337" s="140"/>
      <c r="E16337" s="140"/>
    </row>
    <row r="16338" spans="1:5">
      <c r="A16338" s="140"/>
      <c r="B16338" s="192"/>
      <c r="C16338" s="140"/>
      <c r="D16338" s="140"/>
      <c r="E16338" s="140"/>
    </row>
    <row r="16339" spans="1:5">
      <c r="A16339" s="140"/>
      <c r="B16339" s="192"/>
      <c r="C16339" s="140"/>
      <c r="D16339" s="140"/>
      <c r="E16339" s="140"/>
    </row>
    <row r="16340" spans="1:5">
      <c r="A16340" s="140"/>
      <c r="B16340" s="192"/>
      <c r="C16340" s="140"/>
      <c r="D16340" s="140"/>
      <c r="E16340" s="140"/>
    </row>
    <row r="16341" spans="1:5">
      <c r="A16341" s="140"/>
      <c r="B16341" s="192"/>
      <c r="C16341" s="140"/>
      <c r="D16341" s="140"/>
      <c r="E16341" s="140"/>
    </row>
    <row r="16342" spans="1:5">
      <c r="A16342" s="140"/>
      <c r="B16342" s="192"/>
      <c r="C16342" s="140"/>
      <c r="D16342" s="140"/>
      <c r="E16342" s="140"/>
    </row>
    <row r="16343" spans="1:5">
      <c r="A16343" s="140"/>
      <c r="B16343" s="192"/>
      <c r="C16343" s="140"/>
      <c r="D16343" s="140"/>
      <c r="E16343" s="140"/>
    </row>
    <row r="16344" spans="1:5">
      <c r="A16344" s="140"/>
      <c r="B16344" s="192"/>
      <c r="C16344" s="140"/>
      <c r="D16344" s="140"/>
      <c r="E16344" s="140"/>
    </row>
    <row r="16345" spans="1:5">
      <c r="A16345" s="140"/>
      <c r="B16345" s="192"/>
      <c r="C16345" s="140"/>
      <c r="D16345" s="140"/>
      <c r="E16345" s="140"/>
    </row>
    <row r="16346" spans="1:5">
      <c r="A16346" s="140"/>
      <c r="B16346" s="192"/>
      <c r="C16346" s="140"/>
      <c r="D16346" s="140"/>
      <c r="E16346" s="140"/>
    </row>
    <row r="16347" spans="1:5">
      <c r="A16347" s="140"/>
      <c r="B16347" s="192"/>
      <c r="C16347" s="140"/>
      <c r="D16347" s="140"/>
      <c r="E16347" s="140"/>
    </row>
    <row r="16348" spans="1:5">
      <c r="A16348" s="140"/>
      <c r="B16348" s="192"/>
      <c r="C16348" s="140"/>
      <c r="D16348" s="140"/>
      <c r="E16348" s="140"/>
    </row>
    <row r="16349" spans="1:5">
      <c r="A16349" s="140"/>
      <c r="B16349" s="192"/>
      <c r="C16349" s="140"/>
      <c r="D16349" s="140"/>
      <c r="E16349" s="140"/>
    </row>
    <row r="16350" spans="1:5">
      <c r="A16350" s="140"/>
      <c r="B16350" s="192"/>
      <c r="C16350" s="140"/>
      <c r="D16350" s="140"/>
      <c r="E16350" s="140"/>
    </row>
    <row r="16351" spans="1:5">
      <c r="A16351" s="140"/>
      <c r="B16351" s="192"/>
      <c r="C16351" s="140"/>
      <c r="D16351" s="140"/>
      <c r="E16351" s="140"/>
    </row>
    <row r="16352" spans="1:5">
      <c r="A16352" s="140"/>
      <c r="B16352" s="192"/>
      <c r="C16352" s="140"/>
      <c r="D16352" s="140"/>
      <c r="E16352" s="140"/>
    </row>
    <row r="16353" spans="1:5">
      <c r="A16353" s="140"/>
      <c r="B16353" s="192"/>
      <c r="C16353" s="140"/>
      <c r="D16353" s="140"/>
      <c r="E16353" s="140"/>
    </row>
    <row r="16354" spans="1:5">
      <c r="A16354" s="140"/>
      <c r="B16354" s="192"/>
      <c r="C16354" s="140"/>
      <c r="D16354" s="140"/>
      <c r="E16354" s="140"/>
    </row>
    <row r="16355" spans="1:5">
      <c r="A16355" s="140"/>
      <c r="B16355" s="192"/>
      <c r="C16355" s="140"/>
      <c r="D16355" s="140"/>
      <c r="E16355" s="140"/>
    </row>
    <row r="16356" spans="1:5">
      <c r="A16356" s="140"/>
      <c r="B16356" s="192"/>
      <c r="C16356" s="140"/>
      <c r="D16356" s="140"/>
      <c r="E16356" s="140"/>
    </row>
    <row r="16357" spans="1:5">
      <c r="A16357" s="140"/>
      <c r="B16357" s="192"/>
      <c r="C16357" s="140"/>
      <c r="D16357" s="140"/>
      <c r="E16357" s="140"/>
    </row>
    <row r="16358" spans="1:5">
      <c r="A16358" s="140"/>
      <c r="B16358" s="192"/>
      <c r="C16358" s="140"/>
      <c r="D16358" s="140"/>
      <c r="E16358" s="140"/>
    </row>
    <row r="16359" spans="1:5">
      <c r="A16359" s="140"/>
      <c r="B16359" s="192"/>
      <c r="C16359" s="140"/>
      <c r="D16359" s="140"/>
      <c r="E16359" s="140"/>
    </row>
    <row r="16360" spans="1:5">
      <c r="A16360" s="140"/>
      <c r="B16360" s="192"/>
      <c r="C16360" s="140"/>
      <c r="D16360" s="140"/>
      <c r="E16360" s="140"/>
    </row>
    <row r="16361" spans="1:5">
      <c r="A16361" s="140"/>
      <c r="B16361" s="192"/>
      <c r="C16361" s="140"/>
      <c r="D16361" s="140"/>
      <c r="E16361" s="140"/>
    </row>
    <row r="16362" spans="1:5">
      <c r="A16362" s="140"/>
      <c r="B16362" s="192"/>
      <c r="C16362" s="140"/>
      <c r="D16362" s="140"/>
      <c r="E16362" s="140"/>
    </row>
    <row r="16363" spans="1:5">
      <c r="A16363" s="140"/>
      <c r="B16363" s="192"/>
      <c r="C16363" s="140"/>
      <c r="D16363" s="140"/>
      <c r="E16363" s="140"/>
    </row>
    <row r="16364" spans="1:5">
      <c r="A16364" s="140"/>
      <c r="B16364" s="192"/>
      <c r="C16364" s="140"/>
      <c r="D16364" s="140"/>
      <c r="E16364" s="140"/>
    </row>
    <row r="16365" spans="1:5">
      <c r="A16365" s="140"/>
      <c r="B16365" s="192"/>
      <c r="C16365" s="140"/>
      <c r="D16365" s="140"/>
      <c r="E16365" s="140"/>
    </row>
    <row r="16366" spans="1:5">
      <c r="A16366" s="140"/>
      <c r="B16366" s="192"/>
      <c r="C16366" s="140"/>
      <c r="D16366" s="140"/>
      <c r="E16366" s="140"/>
    </row>
    <row r="16367" spans="1:5">
      <c r="A16367" s="140"/>
      <c r="B16367" s="192"/>
      <c r="C16367" s="140"/>
      <c r="D16367" s="140"/>
      <c r="E16367" s="140"/>
    </row>
    <row r="16368" spans="1:5">
      <c r="A16368" s="140"/>
      <c r="B16368" s="192"/>
      <c r="C16368" s="140"/>
      <c r="D16368" s="140"/>
      <c r="E16368" s="140"/>
    </row>
    <row r="16369" spans="1:5">
      <c r="A16369" s="140"/>
      <c r="B16369" s="192"/>
      <c r="C16369" s="140"/>
      <c r="D16369" s="140"/>
      <c r="E16369" s="140"/>
    </row>
    <row r="16370" spans="1:5">
      <c r="A16370" s="140"/>
      <c r="B16370" s="192"/>
      <c r="C16370" s="140"/>
      <c r="D16370" s="140"/>
      <c r="E16370" s="140"/>
    </row>
    <row r="16371" spans="1:5">
      <c r="A16371" s="140"/>
      <c r="B16371" s="192"/>
      <c r="C16371" s="140"/>
      <c r="D16371" s="140"/>
      <c r="E16371" s="140"/>
    </row>
    <row r="16372" spans="1:5">
      <c r="A16372" s="140"/>
      <c r="B16372" s="192"/>
      <c r="C16372" s="140"/>
      <c r="D16372" s="140"/>
      <c r="E16372" s="140"/>
    </row>
    <row r="16373" spans="1:5">
      <c r="A16373" s="140"/>
      <c r="B16373" s="192"/>
      <c r="C16373" s="140"/>
      <c r="D16373" s="140"/>
      <c r="E16373" s="140"/>
    </row>
    <row r="16374" spans="1:5">
      <c r="A16374" s="140"/>
      <c r="B16374" s="192"/>
      <c r="C16374" s="140"/>
      <c r="D16374" s="140"/>
      <c r="E16374" s="140"/>
    </row>
    <row r="16375" spans="1:5">
      <c r="A16375" s="140"/>
      <c r="B16375" s="192"/>
      <c r="C16375" s="140"/>
      <c r="D16375" s="140"/>
      <c r="E16375" s="140"/>
    </row>
    <row r="16376" spans="1:5">
      <c r="A16376" s="140"/>
      <c r="B16376" s="192"/>
      <c r="C16376" s="140"/>
      <c r="D16376" s="140"/>
      <c r="E16376" s="140"/>
    </row>
    <row r="16377" spans="1:5">
      <c r="A16377" s="140"/>
      <c r="B16377" s="192"/>
      <c r="C16377" s="140"/>
      <c r="D16377" s="140"/>
      <c r="E16377" s="140"/>
    </row>
    <row r="16378" spans="1:5">
      <c r="A16378" s="140"/>
      <c r="B16378" s="192"/>
      <c r="C16378" s="140"/>
      <c r="D16378" s="140"/>
      <c r="E16378" s="140"/>
    </row>
    <row r="16379" spans="1:5">
      <c r="A16379" s="140"/>
      <c r="B16379" s="192"/>
      <c r="C16379" s="140"/>
      <c r="D16379" s="140"/>
      <c r="E16379" s="140"/>
    </row>
    <row r="16380" spans="1:5">
      <c r="A16380" s="140"/>
      <c r="B16380" s="192"/>
      <c r="C16380" s="140"/>
      <c r="D16380" s="140"/>
      <c r="E16380" s="140"/>
    </row>
    <row r="16381" spans="1:5">
      <c r="A16381" s="140"/>
      <c r="B16381" s="192"/>
      <c r="C16381" s="140"/>
      <c r="D16381" s="140"/>
      <c r="E16381" s="140"/>
    </row>
    <row r="16382" spans="1:5">
      <c r="A16382" s="140"/>
      <c r="B16382" s="192"/>
      <c r="C16382" s="140"/>
      <c r="D16382" s="140"/>
      <c r="E16382" s="140"/>
    </row>
    <row r="16383" spans="1:5">
      <c r="A16383" s="140"/>
      <c r="B16383" s="192"/>
      <c r="C16383" s="140"/>
      <c r="D16383" s="140"/>
      <c r="E16383" s="140"/>
    </row>
    <row r="16384" spans="1:5">
      <c r="A16384" s="140"/>
      <c r="B16384" s="192"/>
      <c r="C16384" s="140"/>
      <c r="D16384" s="140"/>
      <c r="E16384" s="140"/>
    </row>
    <row r="16385" spans="1:5">
      <c r="A16385" s="140"/>
      <c r="B16385" s="192"/>
      <c r="C16385" s="140"/>
      <c r="D16385" s="140"/>
      <c r="E16385" s="140"/>
    </row>
    <row r="16386" spans="1:5">
      <c r="A16386" s="140"/>
      <c r="B16386" s="192"/>
      <c r="C16386" s="140"/>
      <c r="D16386" s="140"/>
      <c r="E16386" s="140"/>
    </row>
    <row r="16387" spans="1:5">
      <c r="A16387" s="140"/>
      <c r="B16387" s="192"/>
      <c r="C16387" s="140"/>
      <c r="D16387" s="140"/>
      <c r="E16387" s="140"/>
    </row>
    <row r="16388" spans="1:5">
      <c r="A16388" s="140"/>
      <c r="B16388" s="192"/>
      <c r="C16388" s="140"/>
      <c r="D16388" s="140"/>
      <c r="E16388" s="140"/>
    </row>
    <row r="16389" spans="1:5">
      <c r="A16389" s="140"/>
      <c r="B16389" s="192"/>
      <c r="C16389" s="140"/>
      <c r="D16389" s="140"/>
      <c r="E16389" s="140"/>
    </row>
    <row r="16390" spans="1:5">
      <c r="A16390" s="140"/>
      <c r="B16390" s="192"/>
      <c r="C16390" s="140"/>
      <c r="D16390" s="140"/>
      <c r="E16390" s="140"/>
    </row>
    <row r="16391" spans="1:5">
      <c r="A16391" s="140"/>
      <c r="B16391" s="192"/>
      <c r="C16391" s="140"/>
      <c r="D16391" s="140"/>
      <c r="E16391" s="140"/>
    </row>
    <row r="16392" spans="1:5">
      <c r="A16392" s="140"/>
      <c r="B16392" s="192"/>
      <c r="C16392" s="140"/>
      <c r="D16392" s="140"/>
      <c r="E16392" s="140"/>
    </row>
    <row r="16393" spans="1:5">
      <c r="A16393" s="140"/>
      <c r="B16393" s="192"/>
      <c r="C16393" s="140"/>
      <c r="D16393" s="140"/>
      <c r="E16393" s="140"/>
    </row>
    <row r="16394" spans="1:5">
      <c r="A16394" s="140"/>
      <c r="B16394" s="192"/>
      <c r="C16394" s="140"/>
      <c r="D16394" s="140"/>
      <c r="E16394" s="140"/>
    </row>
    <row r="16395" spans="1:5">
      <c r="A16395" s="140"/>
      <c r="B16395" s="192"/>
      <c r="C16395" s="140"/>
      <c r="D16395" s="140"/>
      <c r="E16395" s="140"/>
    </row>
    <row r="16396" spans="1:5">
      <c r="A16396" s="140"/>
      <c r="B16396" s="192"/>
      <c r="C16396" s="140"/>
      <c r="D16396" s="140"/>
      <c r="E16396" s="140"/>
    </row>
    <row r="16397" spans="1:5">
      <c r="A16397" s="140"/>
      <c r="B16397" s="192"/>
      <c r="C16397" s="140"/>
      <c r="D16397" s="140"/>
      <c r="E16397" s="140"/>
    </row>
    <row r="16398" spans="1:5">
      <c r="A16398" s="140"/>
      <c r="B16398" s="192"/>
      <c r="C16398" s="140"/>
      <c r="D16398" s="140"/>
      <c r="E16398" s="140"/>
    </row>
    <row r="16399" spans="1:5">
      <c r="A16399" s="140"/>
      <c r="B16399" s="192"/>
      <c r="C16399" s="140"/>
      <c r="D16399" s="140"/>
      <c r="E16399" s="140"/>
    </row>
    <row r="16400" spans="1:5">
      <c r="A16400" s="140"/>
      <c r="B16400" s="192"/>
      <c r="C16400" s="140"/>
      <c r="D16400" s="140"/>
      <c r="E16400" s="140"/>
    </row>
    <row r="16401" spans="1:5">
      <c r="A16401" s="140"/>
      <c r="B16401" s="192"/>
      <c r="C16401" s="140"/>
      <c r="D16401" s="140"/>
      <c r="E16401" s="140"/>
    </row>
    <row r="16402" spans="1:5">
      <c r="A16402" s="140"/>
      <c r="B16402" s="192"/>
      <c r="C16402" s="140"/>
      <c r="D16402" s="140"/>
      <c r="E16402" s="140"/>
    </row>
    <row r="16403" spans="1:5">
      <c r="A16403" s="140"/>
      <c r="B16403" s="192"/>
      <c r="C16403" s="140"/>
      <c r="D16403" s="140"/>
      <c r="E16403" s="140"/>
    </row>
    <row r="16404" spans="1:5">
      <c r="A16404" s="140"/>
      <c r="B16404" s="192"/>
      <c r="C16404" s="140"/>
      <c r="D16404" s="140"/>
      <c r="E16404" s="140"/>
    </row>
    <row r="16405" spans="1:5">
      <c r="A16405" s="140"/>
      <c r="B16405" s="192"/>
      <c r="C16405" s="140"/>
      <c r="D16405" s="140"/>
      <c r="E16405" s="140"/>
    </row>
    <row r="16406" spans="1:5">
      <c r="A16406" s="140"/>
      <c r="B16406" s="192"/>
      <c r="C16406" s="140"/>
      <c r="D16406" s="140"/>
      <c r="E16406" s="140"/>
    </row>
    <row r="16407" spans="1:5">
      <c r="A16407" s="140"/>
      <c r="B16407" s="192"/>
      <c r="C16407" s="140"/>
      <c r="D16407" s="140"/>
      <c r="E16407" s="140"/>
    </row>
    <row r="16408" spans="1:5">
      <c r="A16408" s="140"/>
      <c r="B16408" s="192"/>
      <c r="C16408" s="140"/>
      <c r="D16408" s="140"/>
      <c r="E16408" s="140"/>
    </row>
    <row r="16409" spans="1:5">
      <c r="A16409" s="140"/>
      <c r="B16409" s="192"/>
      <c r="C16409" s="140"/>
      <c r="D16409" s="140"/>
      <c r="E16409" s="140"/>
    </row>
    <row r="16410" spans="1:5">
      <c r="A16410" s="140"/>
      <c r="B16410" s="192"/>
      <c r="C16410" s="140"/>
      <c r="D16410" s="140"/>
      <c r="E16410" s="140"/>
    </row>
    <row r="16411" spans="1:5">
      <c r="A16411" s="140"/>
      <c r="B16411" s="192"/>
      <c r="C16411" s="140"/>
      <c r="D16411" s="140"/>
      <c r="E16411" s="140"/>
    </row>
    <row r="16412" spans="1:5">
      <c r="A16412" s="140"/>
      <c r="B16412" s="192"/>
      <c r="C16412" s="140"/>
      <c r="D16412" s="140"/>
      <c r="E16412" s="140"/>
    </row>
    <row r="16413" spans="1:5">
      <c r="A16413" s="140"/>
      <c r="B16413" s="192"/>
      <c r="C16413" s="140"/>
      <c r="D16413" s="140"/>
      <c r="E16413" s="140"/>
    </row>
    <row r="16414" spans="1:5">
      <c r="A16414" s="140"/>
      <c r="B16414" s="192"/>
      <c r="C16414" s="140"/>
      <c r="D16414" s="140"/>
      <c r="E16414" s="140"/>
    </row>
    <row r="16415" spans="1:5">
      <c r="A16415" s="140"/>
      <c r="B16415" s="192"/>
      <c r="C16415" s="140"/>
      <c r="D16415" s="140"/>
      <c r="E16415" s="140"/>
    </row>
    <row r="16416" spans="1:5">
      <c r="A16416" s="140"/>
      <c r="B16416" s="192"/>
      <c r="C16416" s="140"/>
      <c r="D16416" s="140"/>
      <c r="E16416" s="140"/>
    </row>
    <row r="16417" spans="1:5">
      <c r="A16417" s="140"/>
      <c r="B16417" s="192"/>
      <c r="C16417" s="140"/>
      <c r="D16417" s="140"/>
      <c r="E16417" s="140"/>
    </row>
    <row r="16418" spans="1:5">
      <c r="A16418" s="140"/>
      <c r="B16418" s="192"/>
      <c r="C16418" s="140"/>
      <c r="D16418" s="140"/>
      <c r="E16418" s="140"/>
    </row>
    <row r="16419" spans="1:5">
      <c r="A16419" s="140"/>
      <c r="B16419" s="192"/>
      <c r="C16419" s="140"/>
      <c r="D16419" s="140"/>
      <c r="E16419" s="140"/>
    </row>
    <row r="16420" spans="1:5">
      <c r="A16420" s="140"/>
      <c r="B16420" s="192"/>
      <c r="C16420" s="140"/>
      <c r="D16420" s="140"/>
      <c r="E16420" s="140"/>
    </row>
    <row r="16421" spans="1:5">
      <c r="A16421" s="140"/>
      <c r="B16421" s="192"/>
      <c r="C16421" s="140"/>
      <c r="D16421" s="140"/>
      <c r="E16421" s="140"/>
    </row>
    <row r="16422" spans="1:5">
      <c r="A16422" s="140"/>
      <c r="B16422" s="192"/>
      <c r="C16422" s="140"/>
      <c r="D16422" s="140"/>
      <c r="E16422" s="140"/>
    </row>
    <row r="16423" spans="1:5">
      <c r="A16423" s="140"/>
      <c r="B16423" s="192"/>
      <c r="C16423" s="140"/>
      <c r="D16423" s="140"/>
      <c r="E16423" s="140"/>
    </row>
    <row r="16424" spans="1:5">
      <c r="A16424" s="140"/>
      <c r="B16424" s="192"/>
      <c r="C16424" s="140"/>
      <c r="D16424" s="140"/>
      <c r="E16424" s="140"/>
    </row>
    <row r="16425" spans="1:5">
      <c r="A16425" s="140"/>
      <c r="B16425" s="192"/>
      <c r="C16425" s="140"/>
      <c r="D16425" s="140"/>
      <c r="E16425" s="140"/>
    </row>
    <row r="16426" spans="1:5">
      <c r="A16426" s="140"/>
      <c r="B16426" s="192"/>
      <c r="C16426" s="140"/>
      <c r="D16426" s="140"/>
      <c r="E16426" s="140"/>
    </row>
    <row r="16427" spans="1:5">
      <c r="A16427" s="140"/>
      <c r="B16427" s="192"/>
      <c r="C16427" s="140"/>
      <c r="D16427" s="140"/>
      <c r="E16427" s="140"/>
    </row>
    <row r="16428" spans="1:5">
      <c r="A16428" s="140"/>
      <c r="B16428" s="192"/>
      <c r="C16428" s="140"/>
      <c r="D16428" s="140"/>
      <c r="E16428" s="140"/>
    </row>
    <row r="16429" spans="1:5">
      <c r="A16429" s="140"/>
      <c r="B16429" s="192"/>
      <c r="C16429" s="140"/>
      <c r="D16429" s="140"/>
      <c r="E16429" s="140"/>
    </row>
    <row r="16430" spans="1:5">
      <c r="A16430" s="140"/>
      <c r="B16430" s="192"/>
      <c r="C16430" s="140"/>
      <c r="D16430" s="140"/>
      <c r="E16430" s="140"/>
    </row>
    <row r="16431" spans="1:5">
      <c r="A16431" s="140"/>
      <c r="B16431" s="192"/>
      <c r="C16431" s="140"/>
      <c r="D16431" s="140"/>
      <c r="E16431" s="140"/>
    </row>
    <row r="16432" spans="1:5">
      <c r="A16432" s="140"/>
      <c r="B16432" s="192"/>
      <c r="C16432" s="140"/>
      <c r="D16432" s="140"/>
      <c r="E16432" s="140"/>
    </row>
    <row r="16433" spans="1:5">
      <c r="A16433" s="140"/>
      <c r="B16433" s="192"/>
      <c r="C16433" s="140"/>
      <c r="D16433" s="140"/>
      <c r="E16433" s="140"/>
    </row>
    <row r="16434" spans="1:5">
      <c r="A16434" s="140"/>
      <c r="B16434" s="192"/>
      <c r="C16434" s="140"/>
      <c r="D16434" s="140"/>
      <c r="E16434" s="140"/>
    </row>
    <row r="16435" spans="1:5">
      <c r="A16435" s="140"/>
      <c r="B16435" s="192"/>
      <c r="C16435" s="140"/>
      <c r="D16435" s="140"/>
      <c r="E16435" s="140"/>
    </row>
    <row r="16436" spans="1:5">
      <c r="A16436" s="140"/>
      <c r="B16436" s="192"/>
      <c r="C16436" s="140"/>
      <c r="D16436" s="140"/>
      <c r="E16436" s="140"/>
    </row>
    <row r="16437" spans="1:5">
      <c r="A16437" s="140"/>
      <c r="B16437" s="192"/>
      <c r="C16437" s="140"/>
      <c r="D16437" s="140"/>
      <c r="E16437" s="140"/>
    </row>
    <row r="16438" spans="1:5">
      <c r="A16438" s="140"/>
      <c r="B16438" s="192"/>
      <c r="C16438" s="140"/>
      <c r="D16438" s="140"/>
      <c r="E16438" s="140"/>
    </row>
    <row r="16439" spans="1:5">
      <c r="A16439" s="140"/>
      <c r="B16439" s="192"/>
      <c r="C16439" s="140"/>
      <c r="D16439" s="140"/>
      <c r="E16439" s="140"/>
    </row>
    <row r="16440" spans="1:5">
      <c r="A16440" s="140"/>
      <c r="B16440" s="192"/>
      <c r="C16440" s="140"/>
      <c r="D16440" s="140"/>
      <c r="E16440" s="140"/>
    </row>
    <row r="16441" spans="1:5">
      <c r="A16441" s="140"/>
      <c r="B16441" s="192"/>
      <c r="C16441" s="140"/>
      <c r="D16441" s="140"/>
      <c r="E16441" s="140"/>
    </row>
    <row r="16442" spans="1:5">
      <c r="A16442" s="140"/>
      <c r="B16442" s="192"/>
      <c r="C16442" s="140"/>
      <c r="D16442" s="140"/>
      <c r="E16442" s="140"/>
    </row>
    <row r="16443" spans="1:5">
      <c r="A16443" s="140"/>
      <c r="B16443" s="192"/>
      <c r="C16443" s="140"/>
      <c r="D16443" s="140"/>
      <c r="E16443" s="140"/>
    </row>
    <row r="16444" spans="1:5">
      <c r="A16444" s="140"/>
      <c r="B16444" s="192"/>
      <c r="C16444" s="140"/>
      <c r="D16444" s="140"/>
      <c r="E16444" s="140"/>
    </row>
    <row r="16445" spans="1:5">
      <c r="A16445" s="140"/>
      <c r="B16445" s="192"/>
      <c r="C16445" s="140"/>
      <c r="D16445" s="140"/>
      <c r="E16445" s="140"/>
    </row>
    <row r="16446" spans="1:5">
      <c r="A16446" s="140"/>
      <c r="B16446" s="192"/>
      <c r="C16446" s="140"/>
      <c r="D16446" s="140"/>
      <c r="E16446" s="140"/>
    </row>
    <row r="16447" spans="1:5">
      <c r="A16447" s="140"/>
      <c r="B16447" s="192"/>
      <c r="C16447" s="140"/>
      <c r="D16447" s="140"/>
      <c r="E16447" s="140"/>
    </row>
    <row r="16448" spans="1:5">
      <c r="A16448" s="140"/>
      <c r="B16448" s="192"/>
      <c r="C16448" s="140"/>
      <c r="D16448" s="140"/>
      <c r="E16448" s="140"/>
    </row>
    <row r="16449" spans="1:5">
      <c r="A16449" s="140"/>
      <c r="B16449" s="192"/>
      <c r="C16449" s="140"/>
      <c r="D16449" s="140"/>
      <c r="E16449" s="140"/>
    </row>
    <row r="16450" spans="1:5">
      <c r="A16450" s="140"/>
      <c r="B16450" s="192"/>
      <c r="C16450" s="140"/>
      <c r="D16450" s="140"/>
      <c r="E16450" s="140"/>
    </row>
    <row r="16451" spans="1:5">
      <c r="A16451" s="140"/>
      <c r="B16451" s="192"/>
      <c r="C16451" s="140"/>
      <c r="D16451" s="140"/>
      <c r="E16451" s="140"/>
    </row>
    <row r="16452" spans="1:5">
      <c r="A16452" s="140"/>
      <c r="B16452" s="192"/>
      <c r="C16452" s="140"/>
      <c r="D16452" s="140"/>
      <c r="E16452" s="140"/>
    </row>
    <row r="16453" spans="1:5">
      <c r="A16453" s="140"/>
      <c r="B16453" s="192"/>
      <c r="C16453" s="140"/>
      <c r="D16453" s="140"/>
      <c r="E16453" s="140"/>
    </row>
    <row r="16454" spans="1:5">
      <c r="A16454" s="140"/>
      <c r="B16454" s="192"/>
      <c r="C16454" s="140"/>
      <c r="D16454" s="140"/>
      <c r="E16454" s="140"/>
    </row>
    <row r="16455" spans="1:5">
      <c r="A16455" s="140"/>
      <c r="B16455" s="192"/>
      <c r="C16455" s="140"/>
      <c r="D16455" s="140"/>
      <c r="E16455" s="140"/>
    </row>
    <row r="16456" spans="1:5">
      <c r="A16456" s="140"/>
      <c r="B16456" s="192"/>
      <c r="C16456" s="140"/>
      <c r="D16456" s="140"/>
      <c r="E16456" s="140"/>
    </row>
    <row r="16457" spans="1:5">
      <c r="A16457" s="140"/>
      <c r="B16457" s="192"/>
      <c r="C16457" s="140"/>
      <c r="D16457" s="140"/>
      <c r="E16457" s="140"/>
    </row>
    <row r="16458" spans="1:5">
      <c r="A16458" s="140"/>
      <c r="B16458" s="192"/>
      <c r="C16458" s="140"/>
      <c r="D16458" s="140"/>
      <c r="E16458" s="140"/>
    </row>
    <row r="16459" spans="1:5">
      <c r="A16459" s="140"/>
      <c r="B16459" s="192"/>
      <c r="C16459" s="140"/>
      <c r="D16459" s="140"/>
      <c r="E16459" s="140"/>
    </row>
    <row r="16460" spans="1:5">
      <c r="A16460" s="140"/>
      <c r="B16460" s="192"/>
      <c r="C16460" s="140"/>
      <c r="D16460" s="140"/>
      <c r="E16460" s="140"/>
    </row>
    <row r="16461" spans="1:5">
      <c r="A16461" s="140"/>
      <c r="B16461" s="192"/>
      <c r="C16461" s="140"/>
      <c r="D16461" s="140"/>
      <c r="E16461" s="140"/>
    </row>
    <row r="16462" spans="1:5">
      <c r="A16462" s="140"/>
      <c r="B16462" s="192"/>
      <c r="C16462" s="140"/>
      <c r="D16462" s="140"/>
      <c r="E16462" s="140"/>
    </row>
    <row r="16463" spans="1:5">
      <c r="A16463" s="140"/>
      <c r="B16463" s="192"/>
      <c r="C16463" s="140"/>
      <c r="D16463" s="140"/>
      <c r="E16463" s="140"/>
    </row>
    <row r="16464" spans="1:5">
      <c r="A16464" s="140"/>
      <c r="B16464" s="192"/>
      <c r="C16464" s="140"/>
      <c r="D16464" s="140"/>
      <c r="E16464" s="140"/>
    </row>
    <row r="16465" spans="1:5">
      <c r="A16465" s="140"/>
      <c r="B16465" s="192"/>
      <c r="C16465" s="140"/>
      <c r="D16465" s="140"/>
      <c r="E16465" s="140"/>
    </row>
    <row r="16466" spans="1:5">
      <c r="A16466" s="140"/>
      <c r="B16466" s="192"/>
      <c r="C16466" s="140"/>
      <c r="D16466" s="140"/>
      <c r="E16466" s="140"/>
    </row>
    <row r="16467" spans="1:5">
      <c r="A16467" s="140"/>
      <c r="B16467" s="192"/>
      <c r="C16467" s="140"/>
      <c r="D16467" s="140"/>
      <c r="E16467" s="140"/>
    </row>
    <row r="16468" spans="1:5">
      <c r="A16468" s="140"/>
      <c r="B16468" s="192"/>
      <c r="C16468" s="140"/>
      <c r="D16468" s="140"/>
      <c r="E16468" s="140"/>
    </row>
    <row r="16469" spans="1:5">
      <c r="A16469" s="140"/>
      <c r="B16469" s="192"/>
      <c r="C16469" s="140"/>
      <c r="D16469" s="140"/>
      <c r="E16469" s="140"/>
    </row>
    <row r="16470" spans="1:5">
      <c r="A16470" s="140"/>
      <c r="B16470" s="192"/>
      <c r="C16470" s="140"/>
      <c r="D16470" s="140"/>
      <c r="E16470" s="140"/>
    </row>
    <row r="16471" spans="1:5">
      <c r="A16471" s="140"/>
      <c r="B16471" s="192"/>
      <c r="C16471" s="140"/>
      <c r="D16471" s="140"/>
      <c r="E16471" s="140"/>
    </row>
    <row r="16472" spans="1:5">
      <c r="A16472" s="140"/>
      <c r="B16472" s="192"/>
      <c r="C16472" s="140"/>
      <c r="D16472" s="140"/>
      <c r="E16472" s="140"/>
    </row>
    <row r="16473" spans="1:5">
      <c r="A16473" s="140"/>
      <c r="B16473" s="192"/>
      <c r="C16473" s="140"/>
      <c r="D16473" s="140"/>
      <c r="E16473" s="140"/>
    </row>
    <row r="16474" spans="1:5">
      <c r="A16474" s="140"/>
      <c r="B16474" s="192"/>
      <c r="C16474" s="140"/>
      <c r="D16474" s="140"/>
      <c r="E16474" s="140"/>
    </row>
    <row r="16475" spans="1:5">
      <c r="A16475" s="140"/>
      <c r="B16475" s="192"/>
      <c r="C16475" s="140"/>
      <c r="D16475" s="140"/>
      <c r="E16475" s="140"/>
    </row>
    <row r="16476" spans="1:5">
      <c r="A16476" s="140"/>
      <c r="B16476" s="192"/>
      <c r="C16476" s="140"/>
      <c r="D16476" s="140"/>
      <c r="E16476" s="140"/>
    </row>
    <row r="16477" spans="1:5">
      <c r="A16477" s="140"/>
      <c r="B16477" s="192"/>
      <c r="C16477" s="140"/>
      <c r="D16477" s="140"/>
      <c r="E16477" s="140"/>
    </row>
    <row r="16478" spans="1:5">
      <c r="A16478" s="140"/>
      <c r="B16478" s="192"/>
      <c r="C16478" s="140"/>
      <c r="D16478" s="140"/>
      <c r="E16478" s="140"/>
    </row>
    <row r="16479" spans="1:5">
      <c r="A16479" s="140"/>
      <c r="B16479" s="192"/>
      <c r="C16479" s="140"/>
      <c r="D16479" s="140"/>
      <c r="E16479" s="140"/>
    </row>
    <row r="16480" spans="1:5">
      <c r="A16480" s="140"/>
      <c r="B16480" s="192"/>
      <c r="C16480" s="140"/>
      <c r="D16480" s="140"/>
      <c r="E16480" s="140"/>
    </row>
    <row r="16481" spans="1:5">
      <c r="A16481" s="140"/>
      <c r="B16481" s="192"/>
      <c r="C16481" s="140"/>
      <c r="D16481" s="140"/>
      <c r="E16481" s="140"/>
    </row>
    <row r="16482" spans="1:5">
      <c r="A16482" s="140"/>
      <c r="B16482" s="192"/>
      <c r="C16482" s="140"/>
      <c r="D16482" s="140"/>
      <c r="E16482" s="140"/>
    </row>
    <row r="16483" spans="1:5">
      <c r="A16483" s="140"/>
      <c r="B16483" s="192"/>
      <c r="C16483" s="140"/>
      <c r="D16483" s="140"/>
      <c r="E16483" s="140"/>
    </row>
    <row r="16484" spans="1:5">
      <c r="A16484" s="140"/>
      <c r="B16484" s="192"/>
      <c r="C16484" s="140"/>
      <c r="D16484" s="140"/>
      <c r="E16484" s="140"/>
    </row>
    <row r="16485" spans="1:5">
      <c r="A16485" s="140"/>
      <c r="B16485" s="192"/>
      <c r="C16485" s="140"/>
      <c r="D16485" s="140"/>
      <c r="E16485" s="140"/>
    </row>
    <row r="16486" spans="1:5">
      <c r="A16486" s="140"/>
      <c r="B16486" s="192"/>
      <c r="C16486" s="140"/>
      <c r="D16486" s="140"/>
      <c r="E16486" s="140"/>
    </row>
    <row r="16487" spans="1:5">
      <c r="A16487" s="140"/>
      <c r="B16487" s="192"/>
      <c r="C16487" s="140"/>
      <c r="D16487" s="140"/>
      <c r="E16487" s="140"/>
    </row>
    <row r="16488" spans="1:5">
      <c r="A16488" s="140"/>
      <c r="B16488" s="192"/>
      <c r="C16488" s="140"/>
      <c r="D16488" s="140"/>
      <c r="E16488" s="140"/>
    </row>
    <row r="16489" spans="1:5">
      <c r="A16489" s="140"/>
      <c r="B16489" s="192"/>
      <c r="C16489" s="140"/>
      <c r="D16489" s="140"/>
      <c r="E16489" s="140"/>
    </row>
    <row r="16490" spans="1:5">
      <c r="A16490" s="140"/>
      <c r="B16490" s="192"/>
      <c r="C16490" s="140"/>
      <c r="D16490" s="140"/>
      <c r="E16490" s="140"/>
    </row>
    <row r="16491" spans="1:5">
      <c r="A16491" s="140"/>
      <c r="B16491" s="192"/>
      <c r="C16491" s="140"/>
      <c r="D16491" s="140"/>
      <c r="E16491" s="140"/>
    </row>
    <row r="16492" spans="1:5">
      <c r="A16492" s="140"/>
      <c r="B16492" s="192"/>
      <c r="C16492" s="140"/>
      <c r="D16492" s="140"/>
      <c r="E16492" s="140"/>
    </row>
    <row r="16493" spans="1:5">
      <c r="A16493" s="140"/>
      <c r="B16493" s="192"/>
      <c r="C16493" s="140"/>
      <c r="D16493" s="140"/>
      <c r="E16493" s="140"/>
    </row>
    <row r="16494" spans="1:5">
      <c r="A16494" s="140"/>
      <c r="B16494" s="192"/>
      <c r="C16494" s="140"/>
      <c r="D16494" s="140"/>
      <c r="E16494" s="140"/>
    </row>
    <row r="16495" spans="1:5">
      <c r="A16495" s="140"/>
      <c r="B16495" s="192"/>
      <c r="C16495" s="140"/>
      <c r="D16495" s="140"/>
      <c r="E16495" s="140"/>
    </row>
    <row r="16496" spans="1:5">
      <c r="A16496" s="140"/>
      <c r="B16496" s="192"/>
      <c r="C16496" s="140"/>
      <c r="D16496" s="140"/>
      <c r="E16496" s="140"/>
    </row>
    <row r="16497" spans="1:5">
      <c r="A16497" s="140"/>
      <c r="B16497" s="192"/>
      <c r="C16497" s="140"/>
      <c r="D16497" s="140"/>
      <c r="E16497" s="140"/>
    </row>
    <row r="16498" spans="1:5">
      <c r="A16498" s="140"/>
      <c r="B16498" s="192"/>
      <c r="C16498" s="140"/>
      <c r="D16498" s="140"/>
      <c r="E16498" s="140"/>
    </row>
    <row r="16499" spans="1:5">
      <c r="A16499" s="140"/>
      <c r="B16499" s="192"/>
      <c r="C16499" s="140"/>
      <c r="D16499" s="140"/>
      <c r="E16499" s="140"/>
    </row>
    <row r="16500" spans="1:5">
      <c r="A16500" s="140"/>
      <c r="B16500" s="192"/>
      <c r="C16500" s="140"/>
      <c r="D16500" s="140"/>
      <c r="E16500" s="140"/>
    </row>
    <row r="16501" spans="1:5">
      <c r="A16501" s="140"/>
      <c r="B16501" s="192"/>
      <c r="C16501" s="140"/>
      <c r="D16501" s="140"/>
      <c r="E16501" s="140"/>
    </row>
    <row r="16502" spans="1:5">
      <c r="A16502" s="140"/>
      <c r="B16502" s="192"/>
      <c r="C16502" s="140"/>
      <c r="D16502" s="140"/>
      <c r="E16502" s="140"/>
    </row>
    <row r="16503" spans="1:5">
      <c r="A16503" s="140"/>
      <c r="B16503" s="192"/>
      <c r="C16503" s="140"/>
      <c r="D16503" s="140"/>
      <c r="E16503" s="140"/>
    </row>
    <row r="16504" spans="1:5">
      <c r="A16504" s="140"/>
      <c r="B16504" s="192"/>
      <c r="C16504" s="140"/>
      <c r="D16504" s="140"/>
      <c r="E16504" s="140"/>
    </row>
    <row r="16505" spans="1:5">
      <c r="A16505" s="140"/>
      <c r="B16505" s="192"/>
      <c r="C16505" s="140"/>
      <c r="D16505" s="140"/>
      <c r="E16505" s="140"/>
    </row>
    <row r="16506" spans="1:5">
      <c r="A16506" s="140"/>
      <c r="B16506" s="192"/>
      <c r="C16506" s="140"/>
      <c r="D16506" s="140"/>
      <c r="E16506" s="140"/>
    </row>
    <row r="16507" spans="1:5">
      <c r="A16507" s="140"/>
      <c r="B16507" s="192"/>
      <c r="C16507" s="140"/>
      <c r="D16507" s="140"/>
      <c r="E16507" s="140"/>
    </row>
    <row r="16508" spans="1:5">
      <c r="A16508" s="140"/>
      <c r="B16508" s="192"/>
      <c r="C16508" s="140"/>
      <c r="D16508" s="140"/>
      <c r="E16508" s="140"/>
    </row>
    <row r="16509" spans="1:5">
      <c r="A16509" s="140"/>
      <c r="B16509" s="192"/>
      <c r="C16509" s="140"/>
      <c r="D16509" s="140"/>
      <c r="E16509" s="140"/>
    </row>
    <row r="16510" spans="1:5">
      <c r="A16510" s="140"/>
      <c r="B16510" s="192"/>
      <c r="C16510" s="140"/>
      <c r="D16510" s="140"/>
      <c r="E16510" s="140"/>
    </row>
    <row r="16511" spans="1:5">
      <c r="A16511" s="140"/>
      <c r="B16511" s="192"/>
      <c r="C16511" s="140"/>
      <c r="D16511" s="140"/>
      <c r="E16511" s="140"/>
    </row>
    <row r="16512" spans="1:5">
      <c r="A16512" s="140"/>
      <c r="B16512" s="192"/>
      <c r="C16512" s="140"/>
      <c r="D16512" s="140"/>
      <c r="E16512" s="140"/>
    </row>
    <row r="16513" spans="1:5">
      <c r="A16513" s="140"/>
      <c r="B16513" s="192"/>
      <c r="C16513" s="140"/>
      <c r="D16513" s="140"/>
      <c r="E16513" s="140"/>
    </row>
    <row r="16514" spans="1:5">
      <c r="A16514" s="140"/>
      <c r="B16514" s="192"/>
      <c r="C16514" s="140"/>
      <c r="D16514" s="140"/>
      <c r="E16514" s="140"/>
    </row>
    <row r="16515" spans="1:5">
      <c r="A16515" s="140"/>
      <c r="B16515" s="192"/>
      <c r="C16515" s="140"/>
      <c r="D16515" s="140"/>
      <c r="E16515" s="140"/>
    </row>
    <row r="16516" spans="1:5">
      <c r="A16516" s="140"/>
      <c r="B16516" s="192"/>
      <c r="C16516" s="140"/>
      <c r="D16516" s="140"/>
      <c r="E16516" s="140"/>
    </row>
    <row r="16517" spans="1:5">
      <c r="A16517" s="140"/>
      <c r="B16517" s="192"/>
      <c r="C16517" s="140"/>
      <c r="D16517" s="140"/>
      <c r="E16517" s="140"/>
    </row>
    <row r="16518" spans="1:5">
      <c r="A16518" s="140"/>
      <c r="B16518" s="192"/>
      <c r="C16518" s="140"/>
      <c r="D16518" s="140"/>
      <c r="E16518" s="140"/>
    </row>
    <row r="16519" spans="1:5">
      <c r="A16519" s="140"/>
      <c r="B16519" s="192"/>
      <c r="C16519" s="140"/>
      <c r="D16519" s="140"/>
      <c r="E16519" s="140"/>
    </row>
    <row r="16520" spans="1:5">
      <c r="A16520" s="140"/>
      <c r="B16520" s="192"/>
      <c r="C16520" s="140"/>
      <c r="D16520" s="140"/>
      <c r="E16520" s="140"/>
    </row>
    <row r="16521" spans="1:5">
      <c r="A16521" s="140"/>
      <c r="B16521" s="192"/>
      <c r="C16521" s="140"/>
      <c r="D16521" s="140"/>
      <c r="E16521" s="140"/>
    </row>
    <row r="16522" spans="1:5">
      <c r="A16522" s="140"/>
      <c r="B16522" s="192"/>
      <c r="C16522" s="140"/>
      <c r="D16522" s="140"/>
      <c r="E16522" s="140"/>
    </row>
    <row r="16523" spans="1:5">
      <c r="A16523" s="140"/>
      <c r="B16523" s="192"/>
      <c r="C16523" s="140"/>
      <c r="D16523" s="140"/>
      <c r="E16523" s="140"/>
    </row>
    <row r="16524" spans="1:5">
      <c r="A16524" s="140"/>
      <c r="B16524" s="192"/>
      <c r="C16524" s="140"/>
      <c r="D16524" s="140"/>
      <c r="E16524" s="140"/>
    </row>
    <row r="16525" spans="1:5">
      <c r="A16525" s="140"/>
      <c r="B16525" s="192"/>
      <c r="C16525" s="140"/>
      <c r="D16525" s="140"/>
      <c r="E16525" s="140"/>
    </row>
    <row r="16526" spans="1:5">
      <c r="A16526" s="140"/>
      <c r="B16526" s="192"/>
      <c r="C16526" s="140"/>
      <c r="D16526" s="140"/>
      <c r="E16526" s="140"/>
    </row>
    <row r="16527" spans="1:5">
      <c r="A16527" s="140"/>
      <c r="B16527" s="192"/>
      <c r="C16527" s="140"/>
      <c r="D16527" s="140"/>
      <c r="E16527" s="140"/>
    </row>
    <row r="16528" spans="1:5">
      <c r="A16528" s="140"/>
      <c r="B16528" s="192"/>
      <c r="C16528" s="140"/>
      <c r="D16528" s="140"/>
      <c r="E16528" s="140"/>
    </row>
    <row r="16529" spans="1:5">
      <c r="A16529" s="140"/>
      <c r="B16529" s="192"/>
      <c r="C16529" s="140"/>
      <c r="D16529" s="140"/>
      <c r="E16529" s="140"/>
    </row>
    <row r="16530" spans="1:5">
      <c r="A16530" s="140"/>
      <c r="B16530" s="192"/>
      <c r="C16530" s="140"/>
      <c r="D16530" s="140"/>
      <c r="E16530" s="140"/>
    </row>
    <row r="16531" spans="1:5">
      <c r="A16531" s="140"/>
      <c r="B16531" s="192"/>
      <c r="C16531" s="140"/>
      <c r="D16531" s="140"/>
      <c r="E16531" s="140"/>
    </row>
    <row r="16532" spans="1:5">
      <c r="A16532" s="140"/>
      <c r="B16532" s="192"/>
      <c r="C16532" s="140"/>
      <c r="D16532" s="140"/>
      <c r="E16532" s="140"/>
    </row>
    <row r="16533" spans="1:5">
      <c r="A16533" s="140"/>
      <c r="B16533" s="192"/>
      <c r="C16533" s="140"/>
      <c r="D16533" s="140"/>
      <c r="E16533" s="140"/>
    </row>
    <row r="16534" spans="1:5">
      <c r="A16534" s="140"/>
      <c r="B16534" s="192"/>
      <c r="C16534" s="140"/>
      <c r="D16534" s="140"/>
      <c r="E16534" s="140"/>
    </row>
    <row r="16535" spans="1:5">
      <c r="A16535" s="140"/>
      <c r="B16535" s="192"/>
      <c r="C16535" s="140"/>
      <c r="D16535" s="140"/>
      <c r="E16535" s="140"/>
    </row>
    <row r="16536" spans="1:5">
      <c r="A16536" s="140"/>
      <c r="B16536" s="192"/>
      <c r="C16536" s="140"/>
      <c r="D16536" s="140"/>
      <c r="E16536" s="140"/>
    </row>
    <row r="16537" spans="1:5">
      <c r="A16537" s="140"/>
      <c r="B16537" s="192"/>
      <c r="C16537" s="140"/>
      <c r="D16537" s="140"/>
      <c r="E16537" s="140"/>
    </row>
    <row r="16538" spans="1:5">
      <c r="A16538" s="140"/>
      <c r="B16538" s="192"/>
      <c r="C16538" s="140"/>
      <c r="D16538" s="140"/>
      <c r="E16538" s="140"/>
    </row>
    <row r="16539" spans="1:5">
      <c r="A16539" s="140"/>
      <c r="B16539" s="192"/>
      <c r="C16539" s="140"/>
      <c r="D16539" s="140"/>
      <c r="E16539" s="140"/>
    </row>
    <row r="16540" spans="1:5">
      <c r="A16540" s="140"/>
      <c r="B16540" s="192"/>
      <c r="C16540" s="140"/>
      <c r="D16540" s="140"/>
      <c r="E16540" s="140"/>
    </row>
    <row r="16541" spans="1:5">
      <c r="A16541" s="140"/>
      <c r="B16541" s="192"/>
      <c r="C16541" s="140"/>
      <c r="D16541" s="140"/>
      <c r="E16541" s="140"/>
    </row>
    <row r="16542" spans="1:5">
      <c r="A16542" s="140"/>
      <c r="B16542" s="192"/>
      <c r="C16542" s="140"/>
      <c r="D16542" s="140"/>
      <c r="E16542" s="140"/>
    </row>
    <row r="16543" spans="1:5">
      <c r="A16543" s="140"/>
      <c r="B16543" s="192"/>
      <c r="C16543" s="140"/>
      <c r="D16543" s="140"/>
      <c r="E16543" s="140"/>
    </row>
    <row r="16544" spans="1:5">
      <c r="A16544" s="140"/>
      <c r="B16544" s="192"/>
      <c r="C16544" s="140"/>
      <c r="D16544" s="140"/>
      <c r="E16544" s="140"/>
    </row>
    <row r="16545" spans="1:5">
      <c r="A16545" s="140"/>
      <c r="B16545" s="192"/>
      <c r="C16545" s="140"/>
      <c r="D16545" s="140"/>
      <c r="E16545" s="140"/>
    </row>
    <row r="16546" spans="1:5">
      <c r="A16546" s="140"/>
      <c r="B16546" s="192"/>
      <c r="C16546" s="140"/>
      <c r="D16546" s="140"/>
      <c r="E16546" s="140"/>
    </row>
    <row r="16547" spans="1:5">
      <c r="A16547" s="140"/>
      <c r="B16547" s="192"/>
      <c r="C16547" s="140"/>
      <c r="D16547" s="140"/>
      <c r="E16547" s="140"/>
    </row>
    <row r="16548" spans="1:5">
      <c r="A16548" s="140"/>
      <c r="B16548" s="192"/>
      <c r="C16548" s="140"/>
      <c r="D16548" s="140"/>
      <c r="E16548" s="140"/>
    </row>
    <row r="16549" spans="1:5">
      <c r="A16549" s="140"/>
      <c r="B16549" s="192"/>
      <c r="C16549" s="140"/>
      <c r="D16549" s="140"/>
      <c r="E16549" s="140"/>
    </row>
    <row r="16550" spans="1:5">
      <c r="A16550" s="140"/>
      <c r="B16550" s="192"/>
      <c r="C16550" s="140"/>
      <c r="D16550" s="140"/>
      <c r="E16550" s="140"/>
    </row>
    <row r="16551" spans="1:5">
      <c r="A16551" s="140"/>
      <c r="B16551" s="192"/>
      <c r="C16551" s="140"/>
      <c r="D16551" s="140"/>
      <c r="E16551" s="140"/>
    </row>
    <row r="16552" spans="1:5">
      <c r="A16552" s="140"/>
      <c r="B16552" s="192"/>
      <c r="C16552" s="140"/>
      <c r="D16552" s="140"/>
      <c r="E16552" s="140"/>
    </row>
    <row r="16553" spans="1:5">
      <c r="A16553" s="140"/>
      <c r="B16553" s="192"/>
      <c r="C16553" s="140"/>
      <c r="D16553" s="140"/>
      <c r="E16553" s="140"/>
    </row>
    <row r="16554" spans="1:5">
      <c r="A16554" s="140"/>
      <c r="B16554" s="192"/>
      <c r="C16554" s="140"/>
      <c r="D16554" s="140"/>
      <c r="E16554" s="140"/>
    </row>
    <row r="16555" spans="1:5">
      <c r="A16555" s="140"/>
      <c r="B16555" s="192"/>
      <c r="C16555" s="140"/>
      <c r="D16555" s="140"/>
      <c r="E16555" s="140"/>
    </row>
    <row r="16556" spans="1:5">
      <c r="A16556" s="140"/>
      <c r="B16556" s="192"/>
      <c r="C16556" s="140"/>
      <c r="D16556" s="140"/>
      <c r="E16556" s="140"/>
    </row>
    <row r="16557" spans="1:5">
      <c r="A16557" s="140"/>
      <c r="B16557" s="192"/>
      <c r="C16557" s="140"/>
      <c r="D16557" s="140"/>
      <c r="E16557" s="140"/>
    </row>
    <row r="16558" spans="1:5">
      <c r="A16558" s="140"/>
      <c r="B16558" s="192"/>
      <c r="C16558" s="140"/>
      <c r="D16558" s="140"/>
      <c r="E16558" s="140"/>
    </row>
    <row r="16559" spans="1:5">
      <c r="A16559" s="140"/>
      <c r="B16559" s="192"/>
      <c r="C16559" s="140"/>
      <c r="D16559" s="140"/>
      <c r="E16559" s="140"/>
    </row>
    <row r="16560" spans="1:5">
      <c r="A16560" s="140"/>
      <c r="B16560" s="192"/>
      <c r="C16560" s="140"/>
      <c r="D16560" s="140"/>
      <c r="E16560" s="140"/>
    </row>
    <row r="16561" spans="1:5">
      <c r="A16561" s="140"/>
      <c r="B16561" s="192"/>
      <c r="C16561" s="140"/>
      <c r="D16561" s="140"/>
      <c r="E16561" s="140"/>
    </row>
    <row r="16562" spans="1:5">
      <c r="A16562" s="140"/>
      <c r="B16562" s="192"/>
      <c r="C16562" s="140"/>
      <c r="D16562" s="140"/>
      <c r="E16562" s="140"/>
    </row>
    <row r="16563" spans="1:5">
      <c r="A16563" s="140"/>
      <c r="B16563" s="192"/>
      <c r="C16563" s="140"/>
      <c r="D16563" s="140"/>
      <c r="E16563" s="140"/>
    </row>
    <row r="16564" spans="1:5">
      <c r="A16564" s="140"/>
      <c r="B16564" s="192"/>
      <c r="C16564" s="140"/>
      <c r="D16564" s="140"/>
      <c r="E16564" s="140"/>
    </row>
    <row r="16565" spans="1:5">
      <c r="A16565" s="140"/>
      <c r="B16565" s="192"/>
      <c r="C16565" s="140"/>
      <c r="D16565" s="140"/>
      <c r="E16565" s="140"/>
    </row>
    <row r="16566" spans="1:5">
      <c r="A16566" s="140"/>
      <c r="B16566" s="192"/>
      <c r="C16566" s="140"/>
      <c r="D16566" s="140"/>
      <c r="E16566" s="140"/>
    </row>
    <row r="16567" spans="1:5">
      <c r="A16567" s="140"/>
      <c r="B16567" s="192"/>
      <c r="C16567" s="140"/>
      <c r="D16567" s="140"/>
      <c r="E16567" s="140"/>
    </row>
    <row r="16568" spans="1:5">
      <c r="A16568" s="140"/>
      <c r="B16568" s="192"/>
      <c r="C16568" s="140"/>
      <c r="D16568" s="140"/>
      <c r="E16568" s="140"/>
    </row>
    <row r="16569" spans="1:5">
      <c r="A16569" s="140"/>
      <c r="B16569" s="192"/>
      <c r="C16569" s="140"/>
      <c r="D16569" s="140"/>
      <c r="E16569" s="140"/>
    </row>
    <row r="16570" spans="1:5">
      <c r="A16570" s="140"/>
      <c r="B16570" s="192"/>
      <c r="C16570" s="140"/>
      <c r="D16570" s="140"/>
      <c r="E16570" s="140"/>
    </row>
    <row r="16571" spans="1:5">
      <c r="A16571" s="140"/>
      <c r="B16571" s="192"/>
      <c r="C16571" s="140"/>
      <c r="D16571" s="140"/>
      <c r="E16571" s="140"/>
    </row>
    <row r="16572" spans="1:5">
      <c r="A16572" s="140"/>
      <c r="B16572" s="192"/>
      <c r="C16572" s="140"/>
      <c r="D16572" s="140"/>
      <c r="E16572" s="140"/>
    </row>
    <row r="16573" spans="1:5">
      <c r="A16573" s="140"/>
      <c r="B16573" s="192"/>
      <c r="C16573" s="140"/>
      <c r="D16573" s="140"/>
      <c r="E16573" s="140"/>
    </row>
    <row r="16574" spans="1:5">
      <c r="A16574" s="140"/>
      <c r="B16574" s="192"/>
      <c r="C16574" s="140"/>
      <c r="D16574" s="140"/>
      <c r="E16574" s="140"/>
    </row>
    <row r="16575" spans="1:5">
      <c r="A16575" s="140"/>
      <c r="B16575" s="192"/>
      <c r="C16575" s="140"/>
      <c r="D16575" s="140"/>
      <c r="E16575" s="140"/>
    </row>
    <row r="16576" spans="1:5">
      <c r="A16576" s="140"/>
      <c r="B16576" s="192"/>
      <c r="C16576" s="140"/>
      <c r="D16576" s="140"/>
      <c r="E16576" s="140"/>
    </row>
    <row r="16577" spans="1:5">
      <c r="A16577" s="140"/>
      <c r="B16577" s="192"/>
      <c r="C16577" s="140"/>
      <c r="D16577" s="140"/>
      <c r="E16577" s="140"/>
    </row>
    <row r="16578" spans="1:5">
      <c r="A16578" s="140"/>
      <c r="B16578" s="192"/>
      <c r="C16578" s="140"/>
      <c r="D16578" s="140"/>
      <c r="E16578" s="140"/>
    </row>
    <row r="16579" spans="1:5">
      <c r="A16579" s="140"/>
      <c r="B16579" s="192"/>
      <c r="C16579" s="140"/>
      <c r="D16579" s="140"/>
      <c r="E16579" s="140"/>
    </row>
    <row r="16580" spans="1:5">
      <c r="A16580" s="140"/>
      <c r="B16580" s="192"/>
      <c r="C16580" s="140"/>
      <c r="D16580" s="140"/>
      <c r="E16580" s="140"/>
    </row>
    <row r="16581" spans="1:5">
      <c r="A16581" s="140"/>
      <c r="B16581" s="192"/>
      <c r="C16581" s="140"/>
      <c r="D16581" s="140"/>
      <c r="E16581" s="140"/>
    </row>
    <row r="16582" spans="1:5">
      <c r="A16582" s="140"/>
      <c r="B16582" s="192"/>
      <c r="C16582" s="140"/>
      <c r="D16582" s="140"/>
      <c r="E16582" s="140"/>
    </row>
    <row r="16583" spans="1:5">
      <c r="A16583" s="140"/>
      <c r="B16583" s="192"/>
      <c r="C16583" s="140"/>
      <c r="D16583" s="140"/>
      <c r="E16583" s="140"/>
    </row>
    <row r="16584" spans="1:5">
      <c r="A16584" s="140"/>
      <c r="B16584" s="192"/>
      <c r="C16584" s="140"/>
      <c r="D16584" s="140"/>
      <c r="E16584" s="140"/>
    </row>
    <row r="16585" spans="1:5">
      <c r="A16585" s="140"/>
      <c r="B16585" s="192"/>
      <c r="C16585" s="140"/>
      <c r="D16585" s="140"/>
      <c r="E16585" s="140"/>
    </row>
    <row r="16586" spans="1:5">
      <c r="A16586" s="140"/>
      <c r="B16586" s="192"/>
      <c r="C16586" s="140"/>
      <c r="D16586" s="140"/>
      <c r="E16586" s="140"/>
    </row>
    <row r="16587" spans="1:5">
      <c r="A16587" s="140"/>
      <c r="B16587" s="192"/>
      <c r="C16587" s="140"/>
      <c r="D16587" s="140"/>
      <c r="E16587" s="140"/>
    </row>
    <row r="16588" spans="1:5">
      <c r="A16588" s="140"/>
      <c r="B16588" s="192"/>
      <c r="C16588" s="140"/>
      <c r="D16588" s="140"/>
      <c r="E16588" s="140"/>
    </row>
    <row r="16589" spans="1:5">
      <c r="A16589" s="140"/>
      <c r="B16589" s="192"/>
      <c r="C16589" s="140"/>
      <c r="D16589" s="140"/>
      <c r="E16589" s="140"/>
    </row>
    <row r="16590" spans="1:5">
      <c r="A16590" s="140"/>
      <c r="B16590" s="192"/>
      <c r="C16590" s="140"/>
      <c r="D16590" s="140"/>
      <c r="E16590" s="140"/>
    </row>
    <row r="16591" spans="1:5">
      <c r="A16591" s="140"/>
      <c r="B16591" s="192"/>
      <c r="C16591" s="140"/>
      <c r="D16591" s="140"/>
      <c r="E16591" s="140"/>
    </row>
    <row r="16592" spans="1:5">
      <c r="A16592" s="140"/>
      <c r="B16592" s="192"/>
      <c r="C16592" s="140"/>
      <c r="D16592" s="140"/>
      <c r="E16592" s="140"/>
    </row>
    <row r="16593" spans="1:5">
      <c r="A16593" s="140"/>
      <c r="B16593" s="192"/>
      <c r="C16593" s="140"/>
      <c r="D16593" s="140"/>
      <c r="E16593" s="140"/>
    </row>
    <row r="16594" spans="1:5">
      <c r="A16594" s="140"/>
      <c r="B16594" s="192"/>
      <c r="C16594" s="140"/>
      <c r="D16594" s="140"/>
      <c r="E16594" s="140"/>
    </row>
    <row r="16595" spans="1:5">
      <c r="A16595" s="140"/>
      <c r="B16595" s="192"/>
      <c r="C16595" s="140"/>
      <c r="D16595" s="140"/>
      <c r="E16595" s="140"/>
    </row>
    <row r="16596" spans="1:5">
      <c r="A16596" s="140"/>
      <c r="B16596" s="192"/>
      <c r="C16596" s="140"/>
      <c r="D16596" s="140"/>
      <c r="E16596" s="140"/>
    </row>
    <row r="16597" spans="1:5">
      <c r="A16597" s="140"/>
      <c r="B16597" s="192"/>
      <c r="C16597" s="140"/>
      <c r="D16597" s="140"/>
      <c r="E16597" s="140"/>
    </row>
    <row r="16598" spans="1:5">
      <c r="A16598" s="140"/>
      <c r="B16598" s="192"/>
      <c r="C16598" s="140"/>
      <c r="D16598" s="140"/>
      <c r="E16598" s="140"/>
    </row>
    <row r="16599" spans="1:5">
      <c r="A16599" s="140"/>
      <c r="B16599" s="192"/>
      <c r="C16599" s="140"/>
      <c r="D16599" s="140"/>
      <c r="E16599" s="140"/>
    </row>
    <row r="16600" spans="1:5">
      <c r="A16600" s="140"/>
      <c r="B16600" s="192"/>
      <c r="C16600" s="140"/>
      <c r="D16600" s="140"/>
      <c r="E16600" s="140"/>
    </row>
    <row r="16601" spans="1:5">
      <c r="A16601" s="140"/>
      <c r="B16601" s="192"/>
      <c r="C16601" s="140"/>
      <c r="D16601" s="140"/>
      <c r="E16601" s="140"/>
    </row>
    <row r="16602" spans="1:5">
      <c r="A16602" s="140"/>
      <c r="B16602" s="192"/>
      <c r="C16602" s="140"/>
      <c r="D16602" s="140"/>
      <c r="E16602" s="140"/>
    </row>
    <row r="16603" spans="1:5">
      <c r="A16603" s="140"/>
      <c r="B16603" s="192"/>
      <c r="C16603" s="140"/>
      <c r="D16603" s="140"/>
      <c r="E16603" s="140"/>
    </row>
    <row r="16604" spans="1:5">
      <c r="A16604" s="140"/>
      <c r="B16604" s="192"/>
      <c r="C16604" s="140"/>
      <c r="D16604" s="140"/>
      <c r="E16604" s="140"/>
    </row>
    <row r="16605" spans="1:5">
      <c r="A16605" s="140"/>
      <c r="B16605" s="192"/>
      <c r="C16605" s="140"/>
      <c r="D16605" s="140"/>
      <c r="E16605" s="140"/>
    </row>
    <row r="16606" spans="1:5">
      <c r="A16606" s="140"/>
      <c r="B16606" s="192"/>
      <c r="C16606" s="140"/>
      <c r="D16606" s="140"/>
      <c r="E16606" s="140"/>
    </row>
    <row r="16607" spans="1:5">
      <c r="A16607" s="140"/>
      <c r="B16607" s="192"/>
      <c r="C16607" s="140"/>
      <c r="D16607" s="140"/>
      <c r="E16607" s="140"/>
    </row>
    <row r="16608" spans="1:5">
      <c r="A16608" s="140"/>
      <c r="B16608" s="192"/>
      <c r="C16608" s="140"/>
      <c r="D16608" s="140"/>
      <c r="E16608" s="140"/>
    </row>
    <row r="16609" spans="1:5">
      <c r="A16609" s="140"/>
      <c r="B16609" s="192"/>
      <c r="C16609" s="140"/>
      <c r="D16609" s="140"/>
      <c r="E16609" s="140"/>
    </row>
    <row r="16610" spans="1:5">
      <c r="A16610" s="140"/>
      <c r="B16610" s="192"/>
      <c r="C16610" s="140"/>
      <c r="D16610" s="140"/>
      <c r="E16610" s="140"/>
    </row>
    <row r="16611" spans="1:5">
      <c r="A16611" s="140"/>
      <c r="B16611" s="192"/>
      <c r="C16611" s="140"/>
      <c r="D16611" s="140"/>
      <c r="E16611" s="140"/>
    </row>
    <row r="16612" spans="1:5">
      <c r="A16612" s="140"/>
      <c r="B16612" s="192"/>
      <c r="C16612" s="140"/>
      <c r="D16612" s="140"/>
      <c r="E16612" s="140"/>
    </row>
    <row r="16613" spans="1:5">
      <c r="A16613" s="140"/>
      <c r="B16613" s="192"/>
      <c r="C16613" s="140"/>
      <c r="D16613" s="140"/>
      <c r="E16613" s="140"/>
    </row>
    <row r="16614" spans="1:5">
      <c r="A16614" s="140"/>
      <c r="B16614" s="192"/>
      <c r="C16614" s="140"/>
      <c r="D16614" s="140"/>
      <c r="E16614" s="140"/>
    </row>
    <row r="16615" spans="1:5">
      <c r="A16615" s="140"/>
      <c r="B16615" s="192"/>
      <c r="C16615" s="140"/>
      <c r="D16615" s="140"/>
      <c r="E16615" s="140"/>
    </row>
    <row r="16616" spans="1:5">
      <c r="A16616" s="140"/>
      <c r="B16616" s="192"/>
      <c r="C16616" s="140"/>
      <c r="D16616" s="140"/>
      <c r="E16616" s="140"/>
    </row>
    <row r="16617" spans="1:5">
      <c r="A16617" s="140"/>
      <c r="B16617" s="192"/>
      <c r="C16617" s="140"/>
      <c r="D16617" s="140"/>
      <c r="E16617" s="140"/>
    </row>
    <row r="16618" spans="1:5">
      <c r="A16618" s="140"/>
      <c r="B16618" s="192"/>
      <c r="C16618" s="140"/>
      <c r="D16618" s="140"/>
      <c r="E16618" s="140"/>
    </row>
    <row r="16619" spans="1:5">
      <c r="A16619" s="140"/>
      <c r="B16619" s="192"/>
      <c r="C16619" s="140"/>
      <c r="D16619" s="140"/>
      <c r="E16619" s="140"/>
    </row>
    <row r="16620" spans="1:5">
      <c r="A16620" s="140"/>
      <c r="B16620" s="192"/>
      <c r="C16620" s="140"/>
      <c r="D16620" s="140"/>
      <c r="E16620" s="140"/>
    </row>
    <row r="16621" spans="1:5">
      <c r="A16621" s="140"/>
      <c r="B16621" s="192"/>
      <c r="C16621" s="140"/>
      <c r="D16621" s="140"/>
      <c r="E16621" s="140"/>
    </row>
    <row r="16622" spans="1:5">
      <c r="A16622" s="140"/>
      <c r="B16622" s="192"/>
      <c r="C16622" s="140"/>
      <c r="D16622" s="140"/>
      <c r="E16622" s="140"/>
    </row>
    <row r="16623" spans="1:5">
      <c r="A16623" s="140"/>
      <c r="B16623" s="192"/>
      <c r="C16623" s="140"/>
      <c r="D16623" s="140"/>
      <c r="E16623" s="140"/>
    </row>
    <row r="16624" spans="1:5">
      <c r="A16624" s="140"/>
      <c r="B16624" s="192"/>
      <c r="C16624" s="140"/>
      <c r="D16624" s="140"/>
      <c r="E16624" s="140"/>
    </row>
    <row r="16625" spans="1:5">
      <c r="A16625" s="140"/>
      <c r="B16625" s="192"/>
      <c r="C16625" s="140"/>
      <c r="D16625" s="140"/>
      <c r="E16625" s="140"/>
    </row>
    <row r="16626" spans="1:5">
      <c r="A16626" s="140"/>
      <c r="B16626" s="192"/>
      <c r="C16626" s="140"/>
      <c r="D16626" s="140"/>
      <c r="E16626" s="140"/>
    </row>
    <row r="16627" spans="1:5">
      <c r="A16627" s="140"/>
      <c r="B16627" s="192"/>
      <c r="C16627" s="140"/>
      <c r="D16627" s="140"/>
      <c r="E16627" s="140"/>
    </row>
    <row r="16628" spans="1:5">
      <c r="A16628" s="140"/>
      <c r="B16628" s="192"/>
      <c r="C16628" s="140"/>
      <c r="D16628" s="140"/>
      <c r="E16628" s="140"/>
    </row>
    <row r="16629" spans="1:5">
      <c r="A16629" s="140"/>
      <c r="B16629" s="192"/>
      <c r="C16629" s="140"/>
      <c r="D16629" s="140"/>
      <c r="E16629" s="140"/>
    </row>
    <row r="16630" spans="1:5">
      <c r="A16630" s="140"/>
      <c r="B16630" s="192"/>
      <c r="C16630" s="140"/>
      <c r="D16630" s="140"/>
      <c r="E16630" s="140"/>
    </row>
    <row r="16631" spans="1:5">
      <c r="A16631" s="140"/>
      <c r="B16631" s="192"/>
      <c r="C16631" s="140"/>
      <c r="D16631" s="140"/>
      <c r="E16631" s="140"/>
    </row>
    <row r="16632" spans="1:5">
      <c r="A16632" s="140"/>
      <c r="B16632" s="192"/>
      <c r="C16632" s="140"/>
      <c r="D16632" s="140"/>
      <c r="E16632" s="140"/>
    </row>
    <row r="16633" spans="1:5">
      <c r="A16633" s="140"/>
      <c r="B16633" s="192"/>
      <c r="C16633" s="140"/>
      <c r="D16633" s="140"/>
      <c r="E16633" s="140"/>
    </row>
    <row r="16634" spans="1:5">
      <c r="A16634" s="140"/>
      <c r="B16634" s="192"/>
      <c r="C16634" s="140"/>
      <c r="D16634" s="140"/>
      <c r="E16634" s="140"/>
    </row>
    <row r="16635" spans="1:5">
      <c r="A16635" s="140"/>
      <c r="B16635" s="192"/>
      <c r="C16635" s="140"/>
      <c r="D16635" s="140"/>
      <c r="E16635" s="140"/>
    </row>
    <row r="16636" spans="1:5">
      <c r="A16636" s="140"/>
      <c r="B16636" s="192"/>
      <c r="C16636" s="140"/>
      <c r="D16636" s="140"/>
      <c r="E16636" s="140"/>
    </row>
    <row r="16637" spans="1:5">
      <c r="A16637" s="140"/>
      <c r="B16637" s="192"/>
      <c r="C16637" s="140"/>
      <c r="D16637" s="140"/>
      <c r="E16637" s="140"/>
    </row>
    <row r="16638" spans="1:5">
      <c r="A16638" s="140"/>
      <c r="B16638" s="192"/>
      <c r="C16638" s="140"/>
      <c r="D16638" s="140"/>
      <c r="E16638" s="140"/>
    </row>
    <row r="16639" spans="1:5">
      <c r="A16639" s="140"/>
      <c r="B16639" s="192"/>
      <c r="C16639" s="140"/>
      <c r="D16639" s="140"/>
      <c r="E16639" s="140"/>
    </row>
    <row r="16640" spans="1:5">
      <c r="A16640" s="140"/>
      <c r="B16640" s="192"/>
      <c r="C16640" s="140"/>
      <c r="D16640" s="140"/>
      <c r="E16640" s="140"/>
    </row>
    <row r="16641" spans="1:5">
      <c r="A16641" s="140"/>
      <c r="B16641" s="192"/>
      <c r="C16641" s="140"/>
      <c r="D16641" s="140"/>
      <c r="E16641" s="140"/>
    </row>
    <row r="16642" spans="1:5">
      <c r="A16642" s="140"/>
      <c r="B16642" s="192"/>
      <c r="C16642" s="140"/>
      <c r="D16642" s="140"/>
      <c r="E16642" s="140"/>
    </row>
    <row r="16643" spans="1:5">
      <c r="A16643" s="140"/>
      <c r="B16643" s="192"/>
      <c r="C16643" s="140"/>
      <c r="D16643" s="140"/>
      <c r="E16643" s="140"/>
    </row>
    <row r="16644" spans="1:5">
      <c r="A16644" s="140"/>
      <c r="B16644" s="192"/>
      <c r="C16644" s="140"/>
      <c r="D16644" s="140"/>
      <c r="E16644" s="140"/>
    </row>
    <row r="16645" spans="1:5">
      <c r="A16645" s="140"/>
      <c r="B16645" s="192"/>
      <c r="C16645" s="140"/>
      <c r="D16645" s="140"/>
      <c r="E16645" s="140"/>
    </row>
    <row r="16646" spans="1:5">
      <c r="A16646" s="140"/>
      <c r="B16646" s="192"/>
      <c r="C16646" s="140"/>
      <c r="D16646" s="140"/>
      <c r="E16646" s="140"/>
    </row>
    <row r="16647" spans="1:5">
      <c r="A16647" s="140"/>
      <c r="B16647" s="192"/>
      <c r="C16647" s="140"/>
      <c r="D16647" s="140"/>
      <c r="E16647" s="140"/>
    </row>
    <row r="16648" spans="1:5">
      <c r="A16648" s="140"/>
      <c r="B16648" s="192"/>
      <c r="C16648" s="140"/>
      <c r="D16648" s="140"/>
      <c r="E16648" s="140"/>
    </row>
    <row r="16649" spans="1:5">
      <c r="A16649" s="140"/>
      <c r="B16649" s="192"/>
      <c r="C16649" s="140"/>
      <c r="D16649" s="140"/>
      <c r="E16649" s="140"/>
    </row>
    <row r="16650" spans="1:5">
      <c r="A16650" s="140"/>
      <c r="B16650" s="192"/>
      <c r="C16650" s="140"/>
      <c r="D16650" s="140"/>
      <c r="E16650" s="140"/>
    </row>
    <row r="16651" spans="1:5">
      <c r="A16651" s="140"/>
      <c r="B16651" s="192"/>
      <c r="C16651" s="140"/>
      <c r="D16651" s="140"/>
      <c r="E16651" s="140"/>
    </row>
    <row r="16652" spans="1:5">
      <c r="A16652" s="140"/>
      <c r="B16652" s="192"/>
      <c r="C16652" s="140"/>
      <c r="D16652" s="140"/>
      <c r="E16652" s="140"/>
    </row>
    <row r="16653" spans="1:5">
      <c r="A16653" s="140"/>
      <c r="B16653" s="192"/>
      <c r="C16653" s="140"/>
      <c r="D16653" s="140"/>
      <c r="E16653" s="140"/>
    </row>
    <row r="16654" spans="1:5">
      <c r="A16654" s="140"/>
      <c r="B16654" s="192"/>
      <c r="C16654" s="140"/>
      <c r="D16654" s="140"/>
      <c r="E16654" s="140"/>
    </row>
    <row r="16655" spans="1:5">
      <c r="A16655" s="140"/>
      <c r="B16655" s="192"/>
      <c r="C16655" s="140"/>
      <c r="D16655" s="140"/>
      <c r="E16655" s="140"/>
    </row>
    <row r="16656" spans="1:5">
      <c r="A16656" s="140"/>
      <c r="B16656" s="192"/>
      <c r="C16656" s="140"/>
      <c r="D16656" s="140"/>
      <c r="E16656" s="140"/>
    </row>
    <row r="16657" spans="1:5">
      <c r="A16657" s="140"/>
      <c r="B16657" s="192"/>
      <c r="C16657" s="140"/>
      <c r="D16657" s="140"/>
      <c r="E16657" s="140"/>
    </row>
    <row r="16658" spans="1:5">
      <c r="A16658" s="140"/>
      <c r="B16658" s="192"/>
      <c r="C16658" s="140"/>
      <c r="D16658" s="140"/>
      <c r="E16658" s="140"/>
    </row>
    <row r="16659" spans="1:5">
      <c r="A16659" s="140"/>
      <c r="B16659" s="192"/>
      <c r="C16659" s="140"/>
      <c r="D16659" s="140"/>
      <c r="E16659" s="140"/>
    </row>
    <row r="16660" spans="1:5">
      <c r="A16660" s="140"/>
      <c r="B16660" s="192"/>
      <c r="C16660" s="140"/>
      <c r="D16660" s="140"/>
      <c r="E16660" s="140"/>
    </row>
    <row r="16661" spans="1:5">
      <c r="A16661" s="140"/>
      <c r="B16661" s="192"/>
      <c r="C16661" s="140"/>
      <c r="D16661" s="140"/>
      <c r="E16661" s="140"/>
    </row>
    <row r="16662" spans="1:5">
      <c r="A16662" s="140"/>
      <c r="B16662" s="192"/>
      <c r="C16662" s="140"/>
      <c r="D16662" s="140"/>
      <c r="E16662" s="140"/>
    </row>
    <row r="16663" spans="1:5">
      <c r="A16663" s="140"/>
      <c r="B16663" s="192"/>
      <c r="C16663" s="140"/>
      <c r="D16663" s="140"/>
      <c r="E16663" s="140"/>
    </row>
    <row r="16664" spans="1:5">
      <c r="A16664" s="140"/>
      <c r="B16664" s="192"/>
      <c r="C16664" s="140"/>
      <c r="D16664" s="140"/>
      <c r="E16664" s="140"/>
    </row>
    <row r="16665" spans="1:5">
      <c r="A16665" s="140"/>
      <c r="B16665" s="192"/>
      <c r="C16665" s="140"/>
      <c r="D16665" s="140"/>
      <c r="E16665" s="140"/>
    </row>
    <row r="16666" spans="1:5">
      <c r="A16666" s="140"/>
      <c r="B16666" s="192"/>
      <c r="C16666" s="140"/>
      <c r="D16666" s="140"/>
      <c r="E16666" s="140"/>
    </row>
    <row r="16667" spans="1:5">
      <c r="A16667" s="140"/>
      <c r="B16667" s="192"/>
      <c r="C16667" s="140"/>
      <c r="D16667" s="140"/>
      <c r="E16667" s="140"/>
    </row>
    <row r="16668" spans="1:5">
      <c r="A16668" s="140"/>
      <c r="B16668" s="192"/>
      <c r="C16668" s="140"/>
      <c r="D16668" s="140"/>
      <c r="E16668" s="140"/>
    </row>
    <row r="16669" spans="1:5">
      <c r="A16669" s="140"/>
      <c r="B16669" s="192"/>
      <c r="C16669" s="140"/>
      <c r="D16669" s="140"/>
      <c r="E16669" s="140"/>
    </row>
    <row r="16670" spans="1:5">
      <c r="A16670" s="140"/>
      <c r="B16670" s="192"/>
      <c r="C16670" s="140"/>
      <c r="D16670" s="140"/>
      <c r="E16670" s="140"/>
    </row>
    <row r="16671" spans="1:5">
      <c r="A16671" s="140"/>
      <c r="B16671" s="192"/>
      <c r="C16671" s="140"/>
      <c r="D16671" s="140"/>
      <c r="E16671" s="140"/>
    </row>
    <row r="16672" spans="1:5">
      <c r="A16672" s="140"/>
      <c r="B16672" s="192"/>
      <c r="C16672" s="140"/>
      <c r="D16672" s="140"/>
      <c r="E16672" s="140"/>
    </row>
    <row r="16673" spans="1:5">
      <c r="A16673" s="140"/>
      <c r="B16673" s="192"/>
      <c r="C16673" s="140"/>
      <c r="D16673" s="140"/>
      <c r="E16673" s="140"/>
    </row>
    <row r="16674" spans="1:5">
      <c r="A16674" s="140"/>
      <c r="B16674" s="192"/>
      <c r="C16674" s="140"/>
      <c r="D16674" s="140"/>
      <c r="E16674" s="140"/>
    </row>
    <row r="16675" spans="1:5">
      <c r="A16675" s="140"/>
      <c r="B16675" s="192"/>
      <c r="C16675" s="140"/>
      <c r="D16675" s="140"/>
      <c r="E16675" s="140"/>
    </row>
    <row r="16676" spans="1:5">
      <c r="A16676" s="140"/>
      <c r="B16676" s="192"/>
      <c r="C16676" s="140"/>
      <c r="D16676" s="140"/>
      <c r="E16676" s="140"/>
    </row>
    <row r="16677" spans="1:5">
      <c r="A16677" s="140"/>
      <c r="B16677" s="192"/>
      <c r="C16677" s="140"/>
      <c r="D16677" s="140"/>
      <c r="E16677" s="140"/>
    </row>
    <row r="16678" spans="1:5">
      <c r="A16678" s="140"/>
      <c r="B16678" s="192"/>
      <c r="C16678" s="140"/>
      <c r="D16678" s="140"/>
      <c r="E16678" s="140"/>
    </row>
    <row r="16679" spans="1:5">
      <c r="A16679" s="140"/>
      <c r="B16679" s="192"/>
      <c r="C16679" s="140"/>
      <c r="D16679" s="140"/>
      <c r="E16679" s="140"/>
    </row>
    <row r="16680" spans="1:5">
      <c r="A16680" s="140"/>
      <c r="B16680" s="192"/>
      <c r="C16680" s="140"/>
      <c r="D16680" s="140"/>
      <c r="E16680" s="140"/>
    </row>
    <row r="16681" spans="1:5">
      <c r="A16681" s="140"/>
      <c r="B16681" s="192"/>
      <c r="C16681" s="140"/>
      <c r="D16681" s="140"/>
      <c r="E16681" s="140"/>
    </row>
    <row r="16682" spans="1:5">
      <c r="A16682" s="140"/>
      <c r="B16682" s="192"/>
      <c r="C16682" s="140"/>
      <c r="D16682" s="140"/>
      <c r="E16682" s="140"/>
    </row>
    <row r="16683" spans="1:5">
      <c r="A16683" s="140"/>
      <c r="B16683" s="192"/>
      <c r="C16683" s="140"/>
      <c r="D16683" s="140"/>
      <c r="E16683" s="140"/>
    </row>
    <row r="16684" spans="1:5">
      <c r="A16684" s="140"/>
      <c r="B16684" s="192"/>
      <c r="C16684" s="140"/>
      <c r="D16684" s="140"/>
      <c r="E16684" s="140"/>
    </row>
    <row r="16685" spans="1:5">
      <c r="A16685" s="140"/>
      <c r="B16685" s="192"/>
      <c r="C16685" s="140"/>
      <c r="D16685" s="140"/>
      <c r="E16685" s="140"/>
    </row>
    <row r="16686" spans="1:5">
      <c r="A16686" s="140"/>
      <c r="B16686" s="192"/>
      <c r="C16686" s="140"/>
      <c r="D16686" s="140"/>
      <c r="E16686" s="140"/>
    </row>
    <row r="16687" spans="1:5">
      <c r="A16687" s="140"/>
      <c r="B16687" s="192"/>
      <c r="C16687" s="140"/>
      <c r="D16687" s="140"/>
      <c r="E16687" s="140"/>
    </row>
    <row r="16688" spans="1:5">
      <c r="A16688" s="140"/>
      <c r="B16688" s="192"/>
      <c r="C16688" s="140"/>
      <c r="D16688" s="140"/>
      <c r="E16688" s="140"/>
    </row>
    <row r="16689" spans="1:5">
      <c r="A16689" s="140"/>
      <c r="B16689" s="192"/>
      <c r="C16689" s="140"/>
      <c r="D16689" s="140"/>
      <c r="E16689" s="140"/>
    </row>
    <row r="16690" spans="1:5">
      <c r="A16690" s="140"/>
      <c r="B16690" s="192"/>
      <c r="C16690" s="140"/>
      <c r="D16690" s="140"/>
      <c r="E16690" s="140"/>
    </row>
    <row r="16691" spans="1:5">
      <c r="A16691" s="140"/>
      <c r="B16691" s="192"/>
      <c r="C16691" s="140"/>
      <c r="D16691" s="140"/>
      <c r="E16691" s="140"/>
    </row>
    <row r="16692" spans="1:5">
      <c r="A16692" s="140"/>
      <c r="B16692" s="192"/>
      <c r="C16692" s="140"/>
      <c r="D16692" s="140"/>
      <c r="E16692" s="140"/>
    </row>
    <row r="16693" spans="1:5">
      <c r="A16693" s="140"/>
      <c r="B16693" s="192"/>
      <c r="C16693" s="140"/>
      <c r="D16693" s="140"/>
      <c r="E16693" s="140"/>
    </row>
    <row r="16694" spans="1:5">
      <c r="A16694" s="140"/>
      <c r="B16694" s="192"/>
      <c r="C16694" s="140"/>
      <c r="D16694" s="140"/>
      <c r="E16694" s="140"/>
    </row>
    <row r="16695" spans="1:5">
      <c r="A16695" s="140"/>
      <c r="B16695" s="192"/>
      <c r="C16695" s="140"/>
      <c r="D16695" s="140"/>
      <c r="E16695" s="140"/>
    </row>
    <row r="16696" spans="1:5">
      <c r="A16696" s="140"/>
      <c r="B16696" s="192"/>
      <c r="C16696" s="140"/>
      <c r="D16696" s="140"/>
      <c r="E16696" s="140"/>
    </row>
    <row r="16697" spans="1:5">
      <c r="A16697" s="140"/>
      <c r="B16697" s="192"/>
      <c r="C16697" s="140"/>
      <c r="D16697" s="140"/>
      <c r="E16697" s="140"/>
    </row>
    <row r="16698" spans="1:5">
      <c r="A16698" s="140"/>
      <c r="B16698" s="192"/>
      <c r="C16698" s="140"/>
      <c r="D16698" s="140"/>
      <c r="E16698" s="140"/>
    </row>
    <row r="16699" spans="1:5">
      <c r="A16699" s="140"/>
      <c r="B16699" s="192"/>
      <c r="C16699" s="140"/>
      <c r="D16699" s="140"/>
      <c r="E16699" s="140"/>
    </row>
    <row r="16700" spans="1:5">
      <c r="A16700" s="140"/>
      <c r="B16700" s="192"/>
      <c r="C16700" s="140"/>
      <c r="D16700" s="140"/>
      <c r="E16700" s="140"/>
    </row>
    <row r="16701" spans="1:5">
      <c r="A16701" s="140"/>
      <c r="B16701" s="192"/>
      <c r="C16701" s="140"/>
      <c r="D16701" s="140"/>
      <c r="E16701" s="140"/>
    </row>
    <row r="16702" spans="1:5">
      <c r="A16702" s="140"/>
      <c r="B16702" s="192"/>
      <c r="C16702" s="140"/>
      <c r="D16702" s="140"/>
      <c r="E16702" s="140"/>
    </row>
    <row r="16703" spans="1:5">
      <c r="A16703" s="140"/>
      <c r="B16703" s="192"/>
      <c r="C16703" s="140"/>
      <c r="D16703" s="140"/>
      <c r="E16703" s="140"/>
    </row>
    <row r="16704" spans="1:5">
      <c r="A16704" s="140"/>
      <c r="B16704" s="192"/>
      <c r="C16704" s="140"/>
      <c r="D16704" s="140"/>
      <c r="E16704" s="140"/>
    </row>
    <row r="16705" spans="1:5">
      <c r="A16705" s="140"/>
      <c r="B16705" s="192"/>
      <c r="C16705" s="140"/>
      <c r="D16705" s="140"/>
      <c r="E16705" s="140"/>
    </row>
    <row r="16706" spans="1:5">
      <c r="A16706" s="140"/>
      <c r="B16706" s="192"/>
      <c r="C16706" s="140"/>
      <c r="D16706" s="140"/>
      <c r="E16706" s="140"/>
    </row>
    <row r="16707" spans="1:5">
      <c r="A16707" s="140"/>
      <c r="B16707" s="192"/>
      <c r="C16707" s="140"/>
      <c r="D16707" s="140"/>
      <c r="E16707" s="140"/>
    </row>
    <row r="16708" spans="1:5">
      <c r="A16708" s="140"/>
      <c r="B16708" s="192"/>
      <c r="C16708" s="140"/>
      <c r="D16708" s="140"/>
      <c r="E16708" s="140"/>
    </row>
    <row r="16709" spans="1:5">
      <c r="A16709" s="140"/>
      <c r="B16709" s="192"/>
      <c r="C16709" s="140"/>
      <c r="D16709" s="140"/>
      <c r="E16709" s="140"/>
    </row>
    <row r="16710" spans="1:5">
      <c r="A16710" s="140"/>
      <c r="B16710" s="192"/>
      <c r="C16710" s="140"/>
      <c r="D16710" s="140"/>
      <c r="E16710" s="140"/>
    </row>
    <row r="16711" spans="1:5">
      <c r="A16711" s="140"/>
      <c r="B16711" s="192"/>
      <c r="C16711" s="140"/>
      <c r="D16711" s="140"/>
      <c r="E16711" s="140"/>
    </row>
    <row r="16712" spans="1:5">
      <c r="A16712" s="140"/>
      <c r="B16712" s="192"/>
      <c r="C16712" s="140"/>
      <c r="D16712" s="140"/>
      <c r="E16712" s="140"/>
    </row>
    <row r="16713" spans="1:5">
      <c r="A16713" s="140"/>
      <c r="B16713" s="192"/>
      <c r="C16713" s="140"/>
      <c r="D16713" s="140"/>
      <c r="E16713" s="140"/>
    </row>
    <row r="16714" spans="1:5">
      <c r="A16714" s="140"/>
      <c r="B16714" s="192"/>
      <c r="C16714" s="140"/>
      <c r="D16714" s="140"/>
      <c r="E16714" s="140"/>
    </row>
    <row r="16715" spans="1:5">
      <c r="A16715" s="140"/>
      <c r="B16715" s="192"/>
      <c r="C16715" s="140"/>
      <c r="D16715" s="140"/>
      <c r="E16715" s="140"/>
    </row>
    <row r="16716" spans="1:5">
      <c r="A16716" s="140"/>
      <c r="B16716" s="192"/>
      <c r="C16716" s="140"/>
      <c r="D16716" s="140"/>
      <c r="E16716" s="140"/>
    </row>
    <row r="16717" spans="1:5">
      <c r="A16717" s="140"/>
      <c r="B16717" s="192"/>
      <c r="C16717" s="140"/>
      <c r="D16717" s="140"/>
      <c r="E16717" s="140"/>
    </row>
    <row r="16718" spans="1:5">
      <c r="A16718" s="140"/>
      <c r="B16718" s="192"/>
      <c r="C16718" s="140"/>
      <c r="D16718" s="140"/>
      <c r="E16718" s="140"/>
    </row>
    <row r="16719" spans="1:5">
      <c r="A16719" s="140"/>
      <c r="B16719" s="192"/>
      <c r="C16719" s="140"/>
      <c r="D16719" s="140"/>
      <c r="E16719" s="140"/>
    </row>
    <row r="16720" spans="1:5">
      <c r="A16720" s="140"/>
      <c r="B16720" s="192"/>
      <c r="C16720" s="140"/>
      <c r="D16720" s="140"/>
      <c r="E16720" s="140"/>
    </row>
    <row r="16721" spans="1:5">
      <c r="A16721" s="140"/>
      <c r="B16721" s="192"/>
      <c r="C16721" s="140"/>
      <c r="D16721" s="140"/>
      <c r="E16721" s="140"/>
    </row>
    <row r="16722" spans="1:5">
      <c r="A16722" s="140"/>
      <c r="B16722" s="192"/>
      <c r="C16722" s="140"/>
      <c r="D16722" s="140"/>
      <c r="E16722" s="140"/>
    </row>
    <row r="16723" spans="1:5">
      <c r="A16723" s="140"/>
      <c r="B16723" s="192"/>
      <c r="C16723" s="140"/>
      <c r="D16723" s="140"/>
      <c r="E16723" s="140"/>
    </row>
    <row r="16724" spans="1:5">
      <c r="A16724" s="140"/>
      <c r="B16724" s="192"/>
      <c r="C16724" s="140"/>
      <c r="D16724" s="140"/>
      <c r="E16724" s="140"/>
    </row>
    <row r="16725" spans="1:5">
      <c r="A16725" s="140"/>
      <c r="B16725" s="192"/>
      <c r="C16725" s="140"/>
      <c r="D16725" s="140"/>
      <c r="E16725" s="140"/>
    </row>
    <row r="16726" spans="1:5">
      <c r="A16726" s="140"/>
      <c r="B16726" s="192"/>
      <c r="C16726" s="140"/>
      <c r="D16726" s="140"/>
      <c r="E16726" s="140"/>
    </row>
    <row r="16727" spans="1:5">
      <c r="A16727" s="140"/>
      <c r="B16727" s="192"/>
      <c r="C16727" s="140"/>
      <c r="D16727" s="140"/>
      <c r="E16727" s="140"/>
    </row>
    <row r="16728" spans="1:5">
      <c r="A16728" s="140"/>
      <c r="B16728" s="192"/>
      <c r="C16728" s="140"/>
      <c r="D16728" s="140"/>
      <c r="E16728" s="140"/>
    </row>
    <row r="16729" spans="1:5">
      <c r="A16729" s="140"/>
      <c r="B16729" s="192"/>
      <c r="C16729" s="140"/>
      <c r="D16729" s="140"/>
      <c r="E16729" s="140"/>
    </row>
    <row r="16730" spans="1:5">
      <c r="A16730" s="140"/>
      <c r="B16730" s="192"/>
      <c r="C16730" s="140"/>
      <c r="D16730" s="140"/>
      <c r="E16730" s="140"/>
    </row>
    <row r="16731" spans="1:5">
      <c r="A16731" s="140"/>
      <c r="B16731" s="192"/>
      <c r="C16731" s="140"/>
      <c r="D16731" s="140"/>
      <c r="E16731" s="140"/>
    </row>
    <row r="16732" spans="1:5">
      <c r="A16732" s="140"/>
      <c r="B16732" s="192"/>
      <c r="C16732" s="140"/>
      <c r="D16732" s="140"/>
      <c r="E16732" s="140"/>
    </row>
    <row r="16733" spans="1:5">
      <c r="A16733" s="140"/>
      <c r="B16733" s="192"/>
      <c r="C16733" s="140"/>
      <c r="D16733" s="140"/>
      <c r="E16733" s="140"/>
    </row>
    <row r="16734" spans="1:5">
      <c r="A16734" s="140"/>
      <c r="B16734" s="192"/>
      <c r="C16734" s="140"/>
      <c r="D16734" s="140"/>
      <c r="E16734" s="140"/>
    </row>
    <row r="16735" spans="1:5">
      <c r="A16735" s="140"/>
      <c r="B16735" s="192"/>
      <c r="C16735" s="140"/>
      <c r="D16735" s="140"/>
      <c r="E16735" s="140"/>
    </row>
    <row r="16736" spans="1:5">
      <c r="A16736" s="140"/>
      <c r="B16736" s="192"/>
      <c r="C16736" s="140"/>
      <c r="D16736" s="140"/>
      <c r="E16736" s="140"/>
    </row>
    <row r="16737" spans="1:5">
      <c r="A16737" s="140"/>
      <c r="B16737" s="192"/>
      <c r="C16737" s="140"/>
      <c r="D16737" s="140"/>
      <c r="E16737" s="140"/>
    </row>
    <row r="16738" spans="1:5">
      <c r="A16738" s="140"/>
      <c r="B16738" s="192"/>
      <c r="C16738" s="140"/>
      <c r="D16738" s="140"/>
      <c r="E16738" s="140"/>
    </row>
    <row r="16739" spans="1:5">
      <c r="A16739" s="140"/>
      <c r="B16739" s="192"/>
      <c r="C16739" s="140"/>
      <c r="D16739" s="140"/>
      <c r="E16739" s="140"/>
    </row>
    <row r="16740" spans="1:5">
      <c r="A16740" s="140"/>
      <c r="B16740" s="192"/>
      <c r="C16740" s="140"/>
      <c r="D16740" s="140"/>
      <c r="E16740" s="140"/>
    </row>
    <row r="16741" spans="1:5">
      <c r="A16741" s="140"/>
      <c r="B16741" s="192"/>
      <c r="C16741" s="140"/>
      <c r="D16741" s="140"/>
      <c r="E16741" s="140"/>
    </row>
    <row r="16742" spans="1:5">
      <c r="A16742" s="140"/>
      <c r="B16742" s="192"/>
      <c r="C16742" s="140"/>
      <c r="D16742" s="140"/>
      <c r="E16742" s="140"/>
    </row>
    <row r="16743" spans="1:5">
      <c r="A16743" s="140"/>
      <c r="B16743" s="192"/>
      <c r="C16743" s="140"/>
      <c r="D16743" s="140"/>
      <c r="E16743" s="140"/>
    </row>
    <row r="16744" spans="1:5">
      <c r="A16744" s="140"/>
      <c r="B16744" s="192"/>
      <c r="C16744" s="140"/>
      <c r="D16744" s="140"/>
      <c r="E16744" s="140"/>
    </row>
    <row r="16745" spans="1:5">
      <c r="A16745" s="140"/>
      <c r="B16745" s="192"/>
      <c r="C16745" s="140"/>
      <c r="D16745" s="140"/>
      <c r="E16745" s="140"/>
    </row>
    <row r="16746" spans="1:5">
      <c r="A16746" s="140"/>
      <c r="B16746" s="192"/>
      <c r="C16746" s="140"/>
      <c r="D16746" s="140"/>
      <c r="E16746" s="140"/>
    </row>
    <row r="16747" spans="1:5">
      <c r="A16747" s="140"/>
      <c r="B16747" s="192"/>
      <c r="C16747" s="140"/>
      <c r="D16747" s="140"/>
      <c r="E16747" s="140"/>
    </row>
    <row r="16748" spans="1:5">
      <c r="A16748" s="140"/>
      <c r="B16748" s="192"/>
      <c r="C16748" s="140"/>
      <c r="D16748" s="140"/>
      <c r="E16748" s="140"/>
    </row>
    <row r="16749" spans="1:5">
      <c r="A16749" s="140"/>
      <c r="B16749" s="192"/>
      <c r="C16749" s="140"/>
      <c r="D16749" s="140"/>
      <c r="E16749" s="140"/>
    </row>
    <row r="16750" spans="1:5">
      <c r="A16750" s="140"/>
      <c r="B16750" s="192"/>
      <c r="C16750" s="140"/>
      <c r="D16750" s="140"/>
      <c r="E16750" s="140"/>
    </row>
    <row r="16751" spans="1:5">
      <c r="A16751" s="140"/>
      <c r="B16751" s="192"/>
      <c r="C16751" s="140"/>
      <c r="D16751" s="140"/>
      <c r="E16751" s="140"/>
    </row>
    <row r="16752" spans="1:5">
      <c r="A16752" s="140"/>
      <c r="B16752" s="192"/>
      <c r="C16752" s="140"/>
      <c r="D16752" s="140"/>
      <c r="E16752" s="140"/>
    </row>
    <row r="16753" spans="1:5">
      <c r="A16753" s="140"/>
      <c r="B16753" s="192"/>
      <c r="C16753" s="140"/>
      <c r="D16753" s="140"/>
      <c r="E16753" s="140"/>
    </row>
    <row r="16754" spans="1:5">
      <c r="A16754" s="140"/>
      <c r="B16754" s="192"/>
      <c r="C16754" s="140"/>
      <c r="D16754" s="140"/>
      <c r="E16754" s="140"/>
    </row>
    <row r="16755" spans="1:5">
      <c r="A16755" s="140"/>
      <c r="B16755" s="192"/>
      <c r="C16755" s="140"/>
      <c r="D16755" s="140"/>
      <c r="E16755" s="140"/>
    </row>
    <row r="16756" spans="1:5">
      <c r="A16756" s="140"/>
      <c r="B16756" s="192"/>
      <c r="C16756" s="140"/>
      <c r="D16756" s="140"/>
      <c r="E16756" s="140"/>
    </row>
    <row r="16757" spans="1:5">
      <c r="A16757" s="140"/>
      <c r="B16757" s="192"/>
      <c r="C16757" s="140"/>
      <c r="D16757" s="140"/>
      <c r="E16757" s="140"/>
    </row>
    <row r="16758" spans="1:5">
      <c r="A16758" s="140"/>
      <c r="B16758" s="192"/>
      <c r="C16758" s="140"/>
      <c r="D16758" s="140"/>
      <c r="E16758" s="140"/>
    </row>
    <row r="16759" spans="1:5">
      <c r="A16759" s="140"/>
      <c r="B16759" s="192"/>
      <c r="C16759" s="140"/>
      <c r="D16759" s="140"/>
      <c r="E16759" s="140"/>
    </row>
    <row r="16760" spans="1:5">
      <c r="A16760" s="140"/>
      <c r="B16760" s="192"/>
      <c r="C16760" s="140"/>
      <c r="D16760" s="140"/>
      <c r="E16760" s="140"/>
    </row>
    <row r="16761" spans="1:5">
      <c r="A16761" s="140"/>
      <c r="B16761" s="192"/>
      <c r="C16761" s="140"/>
      <c r="D16761" s="140"/>
      <c r="E16761" s="140"/>
    </row>
    <row r="16762" spans="1:5">
      <c r="A16762" s="140"/>
      <c r="B16762" s="192"/>
      <c r="C16762" s="140"/>
      <c r="D16762" s="140"/>
      <c r="E16762" s="140"/>
    </row>
    <row r="16763" spans="1:5">
      <c r="A16763" s="140"/>
      <c r="B16763" s="192"/>
      <c r="C16763" s="140"/>
      <c r="D16763" s="140"/>
      <c r="E16763" s="140"/>
    </row>
    <row r="16764" spans="1:5">
      <c r="A16764" s="140"/>
      <c r="B16764" s="192"/>
      <c r="C16764" s="140"/>
      <c r="D16764" s="140"/>
      <c r="E16764" s="140"/>
    </row>
    <row r="16765" spans="1:5">
      <c r="A16765" s="140"/>
      <c r="B16765" s="192"/>
      <c r="C16765" s="140"/>
      <c r="D16765" s="140"/>
      <c r="E16765" s="140"/>
    </row>
    <row r="16766" spans="1:5">
      <c r="A16766" s="140"/>
      <c r="B16766" s="192"/>
      <c r="C16766" s="140"/>
      <c r="D16766" s="140"/>
      <c r="E16766" s="140"/>
    </row>
    <row r="16767" spans="1:5">
      <c r="A16767" s="140"/>
      <c r="B16767" s="192"/>
      <c r="C16767" s="140"/>
      <c r="D16767" s="140"/>
      <c r="E16767" s="140"/>
    </row>
    <row r="16768" spans="1:5">
      <c r="A16768" s="140"/>
      <c r="B16768" s="192"/>
      <c r="C16768" s="140"/>
      <c r="D16768" s="140"/>
      <c r="E16768" s="140"/>
    </row>
    <row r="16769" spans="1:5">
      <c r="A16769" s="140"/>
      <c r="B16769" s="192"/>
      <c r="C16769" s="140"/>
      <c r="D16769" s="140"/>
      <c r="E16769" s="140"/>
    </row>
    <row r="16770" spans="1:5">
      <c r="A16770" s="140"/>
      <c r="B16770" s="192"/>
      <c r="C16770" s="140"/>
      <c r="D16770" s="140"/>
      <c r="E16770" s="140"/>
    </row>
    <row r="16771" spans="1:5">
      <c r="A16771" s="140"/>
      <c r="B16771" s="192"/>
      <c r="C16771" s="140"/>
      <c r="D16771" s="140"/>
      <c r="E16771" s="140"/>
    </row>
    <row r="16772" spans="1:5">
      <c r="A16772" s="140"/>
      <c r="B16772" s="192"/>
      <c r="C16772" s="140"/>
      <c r="D16772" s="140"/>
      <c r="E16772" s="140"/>
    </row>
    <row r="16773" spans="1:5">
      <c r="A16773" s="140"/>
      <c r="B16773" s="192"/>
      <c r="C16773" s="140"/>
      <c r="D16773" s="140"/>
      <c r="E16773" s="140"/>
    </row>
    <row r="16774" spans="1:5">
      <c r="A16774" s="140"/>
      <c r="B16774" s="192"/>
      <c r="C16774" s="140"/>
      <c r="D16774" s="140"/>
      <c r="E16774" s="140"/>
    </row>
    <row r="16775" spans="1:5">
      <c r="A16775" s="140"/>
      <c r="B16775" s="192"/>
      <c r="C16775" s="140"/>
      <c r="D16775" s="140"/>
      <c r="E16775" s="140"/>
    </row>
    <row r="16776" spans="1:5">
      <c r="A16776" s="140"/>
      <c r="B16776" s="192"/>
      <c r="C16776" s="140"/>
      <c r="D16776" s="140"/>
      <c r="E16776" s="140"/>
    </row>
    <row r="16777" spans="1:5">
      <c r="A16777" s="140"/>
      <c r="B16777" s="192"/>
      <c r="C16777" s="140"/>
      <c r="D16777" s="140"/>
      <c r="E16777" s="140"/>
    </row>
    <row r="16778" spans="1:5">
      <c r="A16778" s="140"/>
      <c r="B16778" s="192"/>
      <c r="C16778" s="140"/>
      <c r="D16778" s="140"/>
      <c r="E16778" s="140"/>
    </row>
    <row r="16779" spans="1:5">
      <c r="A16779" s="140"/>
      <c r="B16779" s="192"/>
      <c r="C16779" s="140"/>
      <c r="D16779" s="140"/>
      <c r="E16779" s="140"/>
    </row>
    <row r="16780" spans="1:5">
      <c r="A16780" s="140"/>
      <c r="B16780" s="192"/>
      <c r="C16780" s="140"/>
      <c r="D16780" s="140"/>
      <c r="E16780" s="140"/>
    </row>
    <row r="16781" spans="1:5">
      <c r="A16781" s="140"/>
      <c r="B16781" s="192"/>
      <c r="C16781" s="140"/>
      <c r="D16781" s="140"/>
      <c r="E16781" s="140"/>
    </row>
    <row r="16782" spans="1:5">
      <c r="A16782" s="140"/>
      <c r="B16782" s="192"/>
      <c r="C16782" s="140"/>
      <c r="D16782" s="140"/>
      <c r="E16782" s="140"/>
    </row>
    <row r="16783" spans="1:5">
      <c r="A16783" s="140"/>
      <c r="B16783" s="192"/>
      <c r="C16783" s="140"/>
      <c r="D16783" s="140"/>
      <c r="E16783" s="140"/>
    </row>
    <row r="16784" spans="1:5">
      <c r="A16784" s="140"/>
      <c r="B16784" s="192"/>
      <c r="C16784" s="140"/>
      <c r="D16784" s="140"/>
      <c r="E16784" s="140"/>
    </row>
    <row r="16785" spans="1:5">
      <c r="A16785" s="140"/>
      <c r="B16785" s="192"/>
      <c r="C16785" s="140"/>
      <c r="D16785" s="140"/>
      <c r="E16785" s="140"/>
    </row>
    <row r="16786" spans="1:5">
      <c r="A16786" s="140"/>
      <c r="B16786" s="192"/>
      <c r="C16786" s="140"/>
      <c r="D16786" s="140"/>
      <c r="E16786" s="140"/>
    </row>
    <row r="16787" spans="1:5">
      <c r="A16787" s="140"/>
      <c r="B16787" s="192"/>
      <c r="C16787" s="140"/>
      <c r="D16787" s="140"/>
      <c r="E16787" s="140"/>
    </row>
    <row r="16788" spans="1:5">
      <c r="A16788" s="140"/>
      <c r="B16788" s="192"/>
      <c r="C16788" s="140"/>
      <c r="D16788" s="140"/>
      <c r="E16788" s="140"/>
    </row>
    <row r="16789" spans="1:5">
      <c r="A16789" s="140"/>
      <c r="B16789" s="192"/>
      <c r="C16789" s="140"/>
      <c r="D16789" s="140"/>
      <c r="E16789" s="140"/>
    </row>
    <row r="16790" spans="1:5">
      <c r="A16790" s="140"/>
      <c r="B16790" s="192"/>
      <c r="C16790" s="140"/>
      <c r="D16790" s="140"/>
      <c r="E16790" s="140"/>
    </row>
    <row r="16791" spans="1:5">
      <c r="A16791" s="140"/>
      <c r="B16791" s="192"/>
      <c r="C16791" s="140"/>
      <c r="D16791" s="140"/>
      <c r="E16791" s="140"/>
    </row>
    <row r="16792" spans="1:5">
      <c r="A16792" s="140"/>
      <c r="B16792" s="192"/>
      <c r="C16792" s="140"/>
      <c r="D16792" s="140"/>
      <c r="E16792" s="140"/>
    </row>
    <row r="16793" spans="1:5">
      <c r="A16793" s="140"/>
      <c r="B16793" s="192"/>
      <c r="C16793" s="140"/>
      <c r="D16793" s="140"/>
      <c r="E16793" s="140"/>
    </row>
    <row r="16794" spans="1:5">
      <c r="A16794" s="140"/>
      <c r="B16794" s="192"/>
      <c r="C16794" s="140"/>
      <c r="D16794" s="140"/>
      <c r="E16794" s="140"/>
    </row>
    <row r="16795" spans="1:5">
      <c r="A16795" s="140"/>
      <c r="B16795" s="192"/>
      <c r="C16795" s="140"/>
      <c r="D16795" s="140"/>
      <c r="E16795" s="140"/>
    </row>
    <row r="16796" spans="1:5">
      <c r="A16796" s="140"/>
      <c r="B16796" s="192"/>
      <c r="C16796" s="140"/>
      <c r="D16796" s="140"/>
      <c r="E16796" s="140"/>
    </row>
    <row r="16797" spans="1:5">
      <c r="A16797" s="140"/>
      <c r="B16797" s="192"/>
      <c r="C16797" s="140"/>
      <c r="D16797" s="140"/>
      <c r="E16797" s="140"/>
    </row>
    <row r="16798" spans="1:5">
      <c r="A16798" s="140"/>
      <c r="B16798" s="192"/>
      <c r="C16798" s="140"/>
      <c r="D16798" s="140"/>
      <c r="E16798" s="140"/>
    </row>
    <row r="16799" spans="1:5">
      <c r="A16799" s="140"/>
      <c r="B16799" s="192"/>
      <c r="C16799" s="140"/>
      <c r="D16799" s="140"/>
      <c r="E16799" s="140"/>
    </row>
    <row r="16800" spans="1:5">
      <c r="A16800" s="140"/>
      <c r="B16800" s="192"/>
      <c r="C16800" s="140"/>
      <c r="D16800" s="140"/>
      <c r="E16800" s="140"/>
    </row>
    <row r="16801" spans="1:5">
      <c r="A16801" s="140"/>
      <c r="B16801" s="192"/>
      <c r="C16801" s="140"/>
      <c r="D16801" s="140"/>
      <c r="E16801" s="140"/>
    </row>
    <row r="16802" spans="1:5">
      <c r="A16802" s="140"/>
      <c r="B16802" s="192"/>
      <c r="C16802" s="140"/>
      <c r="D16802" s="140"/>
      <c r="E16802" s="140"/>
    </row>
    <row r="16803" spans="1:5">
      <c r="A16803" s="140"/>
      <c r="B16803" s="192"/>
      <c r="C16803" s="140"/>
      <c r="D16803" s="140"/>
      <c r="E16803" s="140"/>
    </row>
    <row r="16804" spans="1:5">
      <c r="A16804" s="140"/>
      <c r="B16804" s="192"/>
      <c r="C16804" s="140"/>
      <c r="D16804" s="140"/>
      <c r="E16804" s="140"/>
    </row>
    <row r="16805" spans="1:5">
      <c r="A16805" s="140"/>
      <c r="B16805" s="192"/>
      <c r="C16805" s="140"/>
      <c r="D16805" s="140"/>
      <c r="E16805" s="140"/>
    </row>
    <row r="16806" spans="1:5">
      <c r="A16806" s="140"/>
      <c r="B16806" s="192"/>
      <c r="C16806" s="140"/>
      <c r="D16806" s="140"/>
      <c r="E16806" s="140"/>
    </row>
    <row r="16807" spans="1:5">
      <c r="A16807" s="140"/>
      <c r="B16807" s="192"/>
      <c r="C16807" s="140"/>
      <c r="D16807" s="140"/>
      <c r="E16807" s="140"/>
    </row>
    <row r="16808" spans="1:5">
      <c r="A16808" s="140"/>
      <c r="B16808" s="192"/>
      <c r="C16808" s="140"/>
      <c r="D16808" s="140"/>
      <c r="E16808" s="140"/>
    </row>
    <row r="16809" spans="1:5">
      <c r="A16809" s="140"/>
      <c r="B16809" s="192"/>
      <c r="C16809" s="140"/>
      <c r="D16809" s="140"/>
      <c r="E16809" s="140"/>
    </row>
    <row r="16810" spans="1:5">
      <c r="A16810" s="140"/>
      <c r="B16810" s="192"/>
      <c r="C16810" s="140"/>
      <c r="D16810" s="140"/>
      <c r="E16810" s="140"/>
    </row>
    <row r="16811" spans="1:5">
      <c r="A16811" s="140"/>
      <c r="B16811" s="192"/>
      <c r="C16811" s="140"/>
      <c r="D16811" s="140"/>
      <c r="E16811" s="140"/>
    </row>
    <row r="16812" spans="1:5">
      <c r="A16812" s="140"/>
      <c r="B16812" s="192"/>
      <c r="C16812" s="140"/>
      <c r="D16812" s="140"/>
      <c r="E16812" s="140"/>
    </row>
    <row r="16813" spans="1:5">
      <c r="A16813" s="140"/>
      <c r="B16813" s="192"/>
      <c r="C16813" s="140"/>
      <c r="D16813" s="140"/>
      <c r="E16813" s="140"/>
    </row>
    <row r="16814" spans="1:5">
      <c r="A16814" s="140"/>
      <c r="B16814" s="192"/>
      <c r="C16814" s="140"/>
      <c r="D16814" s="140"/>
      <c r="E16814" s="140"/>
    </row>
    <row r="16815" spans="1:5">
      <c r="A16815" s="140"/>
      <c r="B16815" s="192"/>
      <c r="C16815" s="140"/>
      <c r="D16815" s="140"/>
      <c r="E16815" s="140"/>
    </row>
    <row r="16816" spans="1:5">
      <c r="A16816" s="140"/>
      <c r="B16816" s="192"/>
      <c r="C16816" s="140"/>
      <c r="D16816" s="140"/>
      <c r="E16816" s="140"/>
    </row>
    <row r="16817" spans="1:5">
      <c r="A16817" s="140"/>
      <c r="B16817" s="192"/>
      <c r="C16817" s="140"/>
      <c r="D16817" s="140"/>
      <c r="E16817" s="140"/>
    </row>
    <row r="16818" spans="1:5">
      <c r="A16818" s="140"/>
      <c r="B16818" s="192"/>
      <c r="C16818" s="140"/>
      <c r="D16818" s="140"/>
      <c r="E16818" s="140"/>
    </row>
    <row r="16819" spans="1:5">
      <c r="A16819" s="140"/>
      <c r="B16819" s="192"/>
      <c r="C16819" s="140"/>
      <c r="D16819" s="140"/>
      <c r="E16819" s="140"/>
    </row>
    <row r="16820" spans="1:5">
      <c r="A16820" s="140"/>
      <c r="B16820" s="192"/>
      <c r="C16820" s="140"/>
      <c r="D16820" s="140"/>
      <c r="E16820" s="140"/>
    </row>
    <row r="16821" spans="1:5">
      <c r="A16821" s="140"/>
      <c r="B16821" s="192"/>
      <c r="C16821" s="140"/>
      <c r="D16821" s="140"/>
      <c r="E16821" s="140"/>
    </row>
    <row r="16822" spans="1:5">
      <c r="A16822" s="140"/>
      <c r="B16822" s="192"/>
      <c r="C16822" s="140"/>
      <c r="D16822" s="140"/>
      <c r="E16822" s="140"/>
    </row>
    <row r="16823" spans="1:5">
      <c r="A16823" s="140"/>
      <c r="B16823" s="192"/>
      <c r="C16823" s="140"/>
      <c r="D16823" s="140"/>
      <c r="E16823" s="140"/>
    </row>
    <row r="16824" spans="1:5">
      <c r="A16824" s="140"/>
      <c r="B16824" s="192"/>
      <c r="C16824" s="140"/>
      <c r="D16824" s="140"/>
      <c r="E16824" s="140"/>
    </row>
    <row r="16825" spans="1:5">
      <c r="A16825" s="140"/>
      <c r="B16825" s="192"/>
      <c r="C16825" s="140"/>
      <c r="D16825" s="140"/>
      <c r="E16825" s="140"/>
    </row>
    <row r="16826" spans="1:5">
      <c r="A16826" s="140"/>
      <c r="B16826" s="192"/>
      <c r="C16826" s="140"/>
      <c r="D16826" s="140"/>
      <c r="E16826" s="140"/>
    </row>
    <row r="16827" spans="1:5">
      <c r="A16827" s="140"/>
      <c r="B16827" s="192"/>
      <c r="C16827" s="140"/>
      <c r="D16827" s="140"/>
      <c r="E16827" s="140"/>
    </row>
    <row r="16828" spans="1:5">
      <c r="A16828" s="140"/>
      <c r="B16828" s="192"/>
      <c r="C16828" s="140"/>
      <c r="D16828" s="140"/>
      <c r="E16828" s="140"/>
    </row>
    <row r="16829" spans="1:5">
      <c r="A16829" s="140"/>
      <c r="B16829" s="192"/>
      <c r="C16829" s="140"/>
      <c r="D16829" s="140"/>
      <c r="E16829" s="140"/>
    </row>
    <row r="16830" spans="1:5">
      <c r="A16830" s="140"/>
      <c r="B16830" s="192"/>
      <c r="C16830" s="140"/>
      <c r="D16830" s="140"/>
      <c r="E16830" s="140"/>
    </row>
    <row r="16831" spans="1:5">
      <c r="A16831" s="140"/>
      <c r="B16831" s="192"/>
      <c r="C16831" s="140"/>
      <c r="D16831" s="140"/>
      <c r="E16831" s="140"/>
    </row>
    <row r="16832" spans="1:5">
      <c r="A16832" s="140"/>
      <c r="B16832" s="192"/>
      <c r="C16832" s="140"/>
      <c r="D16832" s="140"/>
      <c r="E16832" s="140"/>
    </row>
    <row r="16833" spans="1:5">
      <c r="A16833" s="140"/>
      <c r="B16833" s="192"/>
      <c r="C16833" s="140"/>
      <c r="D16833" s="140"/>
      <c r="E16833" s="140"/>
    </row>
    <row r="16834" spans="1:5">
      <c r="A16834" s="140"/>
      <c r="B16834" s="192"/>
      <c r="C16834" s="140"/>
      <c r="D16834" s="140"/>
      <c r="E16834" s="140"/>
    </row>
    <row r="16835" spans="1:5">
      <c r="A16835" s="140"/>
      <c r="B16835" s="192"/>
      <c r="C16835" s="140"/>
      <c r="D16835" s="140"/>
      <c r="E16835" s="140"/>
    </row>
    <row r="16836" spans="1:5">
      <c r="A16836" s="140"/>
      <c r="B16836" s="192"/>
      <c r="C16836" s="140"/>
      <c r="D16836" s="140"/>
      <c r="E16836" s="140"/>
    </row>
    <row r="16837" spans="1:5">
      <c r="A16837" s="140"/>
      <c r="B16837" s="192"/>
      <c r="C16837" s="140"/>
      <c r="D16837" s="140"/>
      <c r="E16837" s="140"/>
    </row>
    <row r="16838" spans="1:5">
      <c r="A16838" s="140"/>
      <c r="B16838" s="192"/>
      <c r="C16838" s="140"/>
      <c r="D16838" s="140"/>
      <c r="E16838" s="140"/>
    </row>
    <row r="16839" spans="1:5">
      <c r="A16839" s="140"/>
      <c r="B16839" s="192"/>
      <c r="C16839" s="140"/>
      <c r="D16839" s="140"/>
      <c r="E16839" s="140"/>
    </row>
    <row r="16840" spans="1:5">
      <c r="A16840" s="140"/>
      <c r="B16840" s="192"/>
      <c r="C16840" s="140"/>
      <c r="D16840" s="140"/>
      <c r="E16840" s="140"/>
    </row>
    <row r="16841" spans="1:5">
      <c r="A16841" s="140"/>
      <c r="B16841" s="192"/>
      <c r="C16841" s="140"/>
      <c r="D16841" s="140"/>
      <c r="E16841" s="140"/>
    </row>
    <row r="16842" spans="1:5">
      <c r="A16842" s="140"/>
      <c r="B16842" s="192"/>
      <c r="C16842" s="140"/>
      <c r="D16842" s="140"/>
      <c r="E16842" s="140"/>
    </row>
    <row r="16843" spans="1:5">
      <c r="A16843" s="140"/>
      <c r="B16843" s="192"/>
      <c r="C16843" s="140"/>
      <c r="D16843" s="140"/>
      <c r="E16843" s="140"/>
    </row>
    <row r="16844" spans="1:5">
      <c r="A16844" s="140"/>
      <c r="B16844" s="192"/>
      <c r="C16844" s="140"/>
      <c r="D16844" s="140"/>
      <c r="E16844" s="140"/>
    </row>
    <row r="16845" spans="1:5">
      <c r="A16845" s="140"/>
      <c r="B16845" s="192"/>
      <c r="C16845" s="140"/>
      <c r="D16845" s="140"/>
      <c r="E16845" s="140"/>
    </row>
    <row r="16846" spans="1:5">
      <c r="A16846" s="140"/>
      <c r="B16846" s="192"/>
      <c r="C16846" s="140"/>
      <c r="D16846" s="140"/>
      <c r="E16846" s="140"/>
    </row>
    <row r="16847" spans="1:5">
      <c r="A16847" s="140"/>
      <c r="B16847" s="192"/>
      <c r="C16847" s="140"/>
      <c r="D16847" s="140"/>
      <c r="E16847" s="140"/>
    </row>
    <row r="16848" spans="1:5">
      <c r="A16848" s="140"/>
      <c r="B16848" s="192"/>
      <c r="C16848" s="140"/>
      <c r="D16848" s="140"/>
      <c r="E16848" s="140"/>
    </row>
    <row r="16849" spans="1:5">
      <c r="A16849" s="140"/>
      <c r="B16849" s="192"/>
      <c r="C16849" s="140"/>
      <c r="D16849" s="140"/>
      <c r="E16849" s="140"/>
    </row>
    <row r="16850" spans="1:5">
      <c r="A16850" s="140"/>
      <c r="B16850" s="192"/>
      <c r="C16850" s="140"/>
      <c r="D16850" s="140"/>
      <c r="E16850" s="140"/>
    </row>
    <row r="16851" spans="1:5">
      <c r="A16851" s="140"/>
      <c r="B16851" s="192"/>
      <c r="C16851" s="140"/>
      <c r="D16851" s="140"/>
      <c r="E16851" s="140"/>
    </row>
    <row r="16852" spans="1:5">
      <c r="A16852" s="140"/>
      <c r="B16852" s="192"/>
      <c r="C16852" s="140"/>
      <c r="D16852" s="140"/>
      <c r="E16852" s="140"/>
    </row>
    <row r="16853" spans="1:5">
      <c r="A16853" s="140"/>
      <c r="B16853" s="192"/>
      <c r="C16853" s="140"/>
      <c r="D16853" s="140"/>
      <c r="E16853" s="140"/>
    </row>
    <row r="16854" spans="1:5">
      <c r="A16854" s="140"/>
      <c r="B16854" s="192"/>
      <c r="C16854" s="140"/>
      <c r="D16854" s="140"/>
      <c r="E16854" s="140"/>
    </row>
    <row r="16855" spans="1:5">
      <c r="A16855" s="140"/>
      <c r="B16855" s="192"/>
      <c r="C16855" s="140"/>
      <c r="D16855" s="140"/>
      <c r="E16855" s="140"/>
    </row>
    <row r="16856" spans="1:5">
      <c r="A16856" s="140"/>
      <c r="B16856" s="192"/>
      <c r="C16856" s="140"/>
      <c r="D16856" s="140"/>
      <c r="E16856" s="140"/>
    </row>
    <row r="16857" spans="1:5">
      <c r="A16857" s="140"/>
      <c r="B16857" s="192"/>
      <c r="C16857" s="140"/>
      <c r="D16857" s="140"/>
      <c r="E16857" s="140"/>
    </row>
    <row r="16858" spans="1:5">
      <c r="A16858" s="140"/>
      <c r="B16858" s="192"/>
      <c r="C16858" s="140"/>
      <c r="D16858" s="140"/>
      <c r="E16858" s="140"/>
    </row>
    <row r="16859" spans="1:5">
      <c r="A16859" s="140"/>
      <c r="B16859" s="192"/>
      <c r="C16859" s="140"/>
      <c r="D16859" s="140"/>
      <c r="E16859" s="140"/>
    </row>
    <row r="16860" spans="1:5">
      <c r="A16860" s="140"/>
      <c r="B16860" s="192"/>
      <c r="C16860" s="140"/>
      <c r="D16860" s="140"/>
      <c r="E16860" s="140"/>
    </row>
    <row r="16861" spans="1:5">
      <c r="A16861" s="140"/>
      <c r="B16861" s="192"/>
      <c r="C16861" s="140"/>
      <c r="D16861" s="140"/>
      <c r="E16861" s="140"/>
    </row>
    <row r="16862" spans="1:5">
      <c r="A16862" s="140"/>
      <c r="B16862" s="192"/>
      <c r="C16862" s="140"/>
      <c r="D16862" s="140"/>
      <c r="E16862" s="140"/>
    </row>
    <row r="16863" spans="1:5">
      <c r="A16863" s="140"/>
      <c r="B16863" s="192"/>
      <c r="C16863" s="140"/>
      <c r="D16863" s="140"/>
      <c r="E16863" s="140"/>
    </row>
    <row r="16864" spans="1:5">
      <c r="A16864" s="140"/>
      <c r="B16864" s="192"/>
      <c r="C16864" s="140"/>
      <c r="D16864" s="140"/>
      <c r="E16864" s="140"/>
    </row>
    <row r="16865" spans="1:5">
      <c r="A16865" s="140"/>
      <c r="B16865" s="192"/>
      <c r="C16865" s="140"/>
      <c r="D16865" s="140"/>
      <c r="E16865" s="140"/>
    </row>
    <row r="16866" spans="1:5">
      <c r="A16866" s="140"/>
      <c r="B16866" s="192"/>
      <c r="C16866" s="140"/>
      <c r="D16866" s="140"/>
      <c r="E16866" s="140"/>
    </row>
    <row r="16867" spans="1:5">
      <c r="A16867" s="140"/>
      <c r="B16867" s="192"/>
      <c r="C16867" s="140"/>
      <c r="D16867" s="140"/>
      <c r="E16867" s="140"/>
    </row>
    <row r="16868" spans="1:5">
      <c r="A16868" s="140"/>
      <c r="B16868" s="192"/>
      <c r="C16868" s="140"/>
      <c r="D16868" s="140"/>
      <c r="E16868" s="140"/>
    </row>
    <row r="16869" spans="1:5">
      <c r="A16869" s="140"/>
      <c r="B16869" s="192"/>
      <c r="C16869" s="140"/>
      <c r="D16869" s="140"/>
      <c r="E16869" s="140"/>
    </row>
    <row r="16870" spans="1:5">
      <c r="A16870" s="140"/>
      <c r="B16870" s="192"/>
      <c r="C16870" s="140"/>
      <c r="D16870" s="140"/>
      <c r="E16870" s="140"/>
    </row>
    <row r="16871" spans="1:5">
      <c r="A16871" s="140"/>
      <c r="B16871" s="192"/>
      <c r="C16871" s="140"/>
      <c r="D16871" s="140"/>
      <c r="E16871" s="140"/>
    </row>
    <row r="16872" spans="1:5">
      <c r="A16872" s="140"/>
      <c r="B16872" s="192"/>
      <c r="C16872" s="140"/>
      <c r="D16872" s="140"/>
      <c r="E16872" s="140"/>
    </row>
    <row r="16873" spans="1:5">
      <c r="A16873" s="140"/>
      <c r="B16873" s="192"/>
      <c r="C16873" s="140"/>
      <c r="D16873" s="140"/>
      <c r="E16873" s="140"/>
    </row>
    <row r="16874" spans="1:5">
      <c r="A16874" s="140"/>
      <c r="B16874" s="192"/>
      <c r="C16874" s="140"/>
      <c r="D16874" s="140"/>
      <c r="E16874" s="140"/>
    </row>
    <row r="16875" spans="1:5">
      <c r="A16875" s="140"/>
      <c r="B16875" s="192"/>
      <c r="C16875" s="140"/>
      <c r="D16875" s="140"/>
      <c r="E16875" s="140"/>
    </row>
    <row r="16876" spans="1:5">
      <c r="A16876" s="140"/>
      <c r="B16876" s="192"/>
      <c r="C16876" s="140"/>
      <c r="D16876" s="140"/>
      <c r="E16876" s="140"/>
    </row>
    <row r="16877" spans="1:5">
      <c r="A16877" s="140"/>
      <c r="B16877" s="192"/>
      <c r="C16877" s="140"/>
      <c r="D16877" s="140"/>
      <c r="E16877" s="140"/>
    </row>
    <row r="16878" spans="1:5">
      <c r="A16878" s="140"/>
      <c r="B16878" s="192"/>
      <c r="C16878" s="140"/>
      <c r="D16878" s="140"/>
      <c r="E16878" s="140"/>
    </row>
    <row r="16879" spans="1:5">
      <c r="A16879" s="140"/>
      <c r="B16879" s="192"/>
      <c r="C16879" s="140"/>
      <c r="D16879" s="140"/>
      <c r="E16879" s="140"/>
    </row>
    <row r="16880" spans="1:5">
      <c r="A16880" s="140"/>
      <c r="B16880" s="192"/>
      <c r="C16880" s="140"/>
      <c r="D16880" s="140"/>
      <c r="E16880" s="140"/>
    </row>
    <row r="16881" spans="1:5">
      <c r="A16881" s="140"/>
      <c r="B16881" s="192"/>
      <c r="C16881" s="140"/>
      <c r="D16881" s="140"/>
      <c r="E16881" s="140"/>
    </row>
    <row r="16882" spans="1:5">
      <c r="A16882" s="140"/>
      <c r="B16882" s="192"/>
      <c r="C16882" s="140"/>
      <c r="D16882" s="140"/>
      <c r="E16882" s="140"/>
    </row>
    <row r="16883" spans="1:5">
      <c r="A16883" s="140"/>
      <c r="B16883" s="192"/>
      <c r="C16883" s="140"/>
      <c r="D16883" s="140"/>
      <c r="E16883" s="140"/>
    </row>
    <row r="16884" spans="1:5">
      <c r="A16884" s="140"/>
      <c r="B16884" s="192"/>
      <c r="C16884" s="140"/>
      <c r="D16884" s="140"/>
      <c r="E16884" s="140"/>
    </row>
    <row r="16885" spans="1:5">
      <c r="A16885" s="140"/>
      <c r="B16885" s="192"/>
      <c r="C16885" s="140"/>
      <c r="D16885" s="140"/>
      <c r="E16885" s="140"/>
    </row>
    <row r="16886" spans="1:5">
      <c r="A16886" s="140"/>
      <c r="B16886" s="192"/>
      <c r="C16886" s="140"/>
      <c r="D16886" s="140"/>
      <c r="E16886" s="140"/>
    </row>
    <row r="16887" spans="1:5">
      <c r="A16887" s="140"/>
      <c r="B16887" s="192"/>
      <c r="C16887" s="140"/>
      <c r="D16887" s="140"/>
      <c r="E16887" s="140"/>
    </row>
    <row r="16888" spans="1:5">
      <c r="A16888" s="140"/>
      <c r="B16888" s="192"/>
      <c r="C16888" s="140"/>
      <c r="D16888" s="140"/>
      <c r="E16888" s="140"/>
    </row>
    <row r="16889" spans="1:5">
      <c r="A16889" s="140"/>
      <c r="B16889" s="192"/>
      <c r="C16889" s="140"/>
      <c r="D16889" s="140"/>
      <c r="E16889" s="140"/>
    </row>
    <row r="16890" spans="1:5">
      <c r="A16890" s="140"/>
      <c r="B16890" s="192"/>
      <c r="C16890" s="140"/>
      <c r="D16890" s="140"/>
      <c r="E16890" s="140"/>
    </row>
    <row r="16891" spans="1:5">
      <c r="A16891" s="140"/>
      <c r="B16891" s="192"/>
      <c r="C16891" s="140"/>
      <c r="D16891" s="140"/>
      <c r="E16891" s="140"/>
    </row>
    <row r="16892" spans="1:5">
      <c r="A16892" s="140"/>
      <c r="B16892" s="192"/>
      <c r="C16892" s="140"/>
      <c r="D16892" s="140"/>
      <c r="E16892" s="140"/>
    </row>
    <row r="16893" spans="1:5">
      <c r="A16893" s="140"/>
      <c r="B16893" s="192"/>
      <c r="C16893" s="140"/>
      <c r="D16893" s="140"/>
      <c r="E16893" s="140"/>
    </row>
    <row r="16894" spans="1:5">
      <c r="A16894" s="140"/>
      <c r="B16894" s="192"/>
      <c r="C16894" s="140"/>
      <c r="D16894" s="140"/>
      <c r="E16894" s="140"/>
    </row>
    <row r="16895" spans="1:5">
      <c r="A16895" s="140"/>
      <c r="B16895" s="192"/>
      <c r="C16895" s="140"/>
      <c r="D16895" s="140"/>
      <c r="E16895" s="140"/>
    </row>
    <row r="16896" spans="1:5">
      <c r="A16896" s="140"/>
      <c r="B16896" s="192"/>
      <c r="C16896" s="140"/>
      <c r="D16896" s="140"/>
      <c r="E16896" s="140"/>
    </row>
    <row r="16897" spans="1:5">
      <c r="A16897" s="140"/>
      <c r="B16897" s="192"/>
      <c r="C16897" s="140"/>
      <c r="D16897" s="140"/>
      <c r="E16897" s="140"/>
    </row>
    <row r="16898" spans="1:5">
      <c r="A16898" s="140"/>
      <c r="B16898" s="192"/>
      <c r="C16898" s="140"/>
      <c r="D16898" s="140"/>
      <c r="E16898" s="140"/>
    </row>
    <row r="16899" spans="1:5">
      <c r="A16899" s="140"/>
      <c r="B16899" s="192"/>
      <c r="C16899" s="140"/>
      <c r="D16899" s="140"/>
      <c r="E16899" s="140"/>
    </row>
    <row r="16900" spans="1:5">
      <c r="A16900" s="140"/>
      <c r="B16900" s="192"/>
      <c r="C16900" s="140"/>
      <c r="D16900" s="140"/>
      <c r="E16900" s="140"/>
    </row>
    <row r="16901" spans="1:5">
      <c r="A16901" s="140"/>
      <c r="B16901" s="192"/>
      <c r="C16901" s="140"/>
      <c r="D16901" s="140"/>
      <c r="E16901" s="140"/>
    </row>
    <row r="16902" spans="1:5">
      <c r="A16902" s="140"/>
      <c r="B16902" s="192"/>
      <c r="C16902" s="140"/>
      <c r="D16902" s="140"/>
      <c r="E16902" s="140"/>
    </row>
    <row r="16903" spans="1:5">
      <c r="A16903" s="140"/>
      <c r="B16903" s="192"/>
      <c r="C16903" s="140"/>
      <c r="D16903" s="140"/>
      <c r="E16903" s="140"/>
    </row>
    <row r="16904" spans="1:5">
      <c r="A16904" s="140"/>
      <c r="B16904" s="192"/>
      <c r="C16904" s="140"/>
      <c r="D16904" s="140"/>
      <c r="E16904" s="140"/>
    </row>
    <row r="16905" spans="1:5">
      <c r="A16905" s="140"/>
      <c r="B16905" s="192"/>
      <c r="C16905" s="140"/>
      <c r="D16905" s="140"/>
      <c r="E16905" s="140"/>
    </row>
    <row r="16906" spans="1:5">
      <c r="A16906" s="140"/>
      <c r="B16906" s="192"/>
      <c r="C16906" s="140"/>
      <c r="D16906" s="140"/>
      <c r="E16906" s="140"/>
    </row>
    <row r="16907" spans="1:5">
      <c r="A16907" s="140"/>
      <c r="B16907" s="192"/>
      <c r="C16907" s="140"/>
      <c r="D16907" s="140"/>
      <c r="E16907" s="140"/>
    </row>
    <row r="16908" spans="1:5">
      <c r="A16908" s="140"/>
      <c r="B16908" s="192"/>
      <c r="C16908" s="140"/>
      <c r="D16908" s="140"/>
      <c r="E16908" s="140"/>
    </row>
    <row r="16909" spans="1:5">
      <c r="A16909" s="140"/>
      <c r="B16909" s="192"/>
      <c r="C16909" s="140"/>
      <c r="D16909" s="140"/>
      <c r="E16909" s="140"/>
    </row>
    <row r="16910" spans="1:5">
      <c r="A16910" s="140"/>
      <c r="B16910" s="192"/>
      <c r="C16910" s="140"/>
      <c r="D16910" s="140"/>
      <c r="E16910" s="140"/>
    </row>
    <row r="16911" spans="1:5">
      <c r="A16911" s="140"/>
      <c r="B16911" s="192"/>
      <c r="C16911" s="140"/>
      <c r="D16911" s="140"/>
      <c r="E16911" s="140"/>
    </row>
    <row r="16912" spans="1:5">
      <c r="A16912" s="140"/>
      <c r="B16912" s="192"/>
      <c r="C16912" s="140"/>
      <c r="D16912" s="140"/>
      <c r="E16912" s="140"/>
    </row>
    <row r="16913" spans="1:5">
      <c r="A16913" s="140"/>
      <c r="B16913" s="192"/>
      <c r="C16913" s="140"/>
      <c r="D16913" s="140"/>
      <c r="E16913" s="140"/>
    </row>
    <row r="16914" spans="1:5">
      <c r="A16914" s="140"/>
      <c r="B16914" s="192"/>
      <c r="C16914" s="140"/>
      <c r="D16914" s="140"/>
      <c r="E16914" s="140"/>
    </row>
    <row r="16915" spans="1:5">
      <c r="A16915" s="140"/>
      <c r="B16915" s="192"/>
      <c r="C16915" s="140"/>
      <c r="D16915" s="140"/>
      <c r="E16915" s="140"/>
    </row>
    <row r="16916" spans="1:5">
      <c r="A16916" s="140"/>
      <c r="B16916" s="192"/>
      <c r="C16916" s="140"/>
      <c r="D16916" s="140"/>
      <c r="E16916" s="140"/>
    </row>
    <row r="16917" spans="1:5">
      <c r="A16917" s="140"/>
      <c r="B16917" s="192"/>
      <c r="C16917" s="140"/>
      <c r="D16917" s="140"/>
      <c r="E16917" s="140"/>
    </row>
    <row r="16918" spans="1:5">
      <c r="A16918" s="140"/>
      <c r="B16918" s="192"/>
      <c r="C16918" s="140"/>
      <c r="D16918" s="140"/>
      <c r="E16918" s="140"/>
    </row>
    <row r="16919" spans="1:5">
      <c r="A16919" s="140"/>
      <c r="B16919" s="192"/>
      <c r="C16919" s="140"/>
      <c r="D16919" s="140"/>
      <c r="E16919" s="140"/>
    </row>
    <row r="16920" spans="1:5">
      <c r="A16920" s="140"/>
      <c r="B16920" s="192"/>
      <c r="C16920" s="140"/>
      <c r="D16920" s="140"/>
      <c r="E16920" s="140"/>
    </row>
    <row r="16921" spans="1:5">
      <c r="A16921" s="140"/>
      <c r="B16921" s="192"/>
      <c r="C16921" s="140"/>
      <c r="D16921" s="140"/>
      <c r="E16921" s="140"/>
    </row>
    <row r="16922" spans="1:5">
      <c r="A16922" s="140"/>
      <c r="B16922" s="192"/>
      <c r="C16922" s="140"/>
      <c r="D16922" s="140"/>
      <c r="E16922" s="140"/>
    </row>
    <row r="16923" spans="1:5">
      <c r="A16923" s="140"/>
      <c r="B16923" s="192"/>
      <c r="C16923" s="140"/>
      <c r="D16923" s="140"/>
      <c r="E16923" s="140"/>
    </row>
    <row r="16924" spans="1:5">
      <c r="A16924" s="140"/>
      <c r="B16924" s="192"/>
      <c r="C16924" s="140"/>
      <c r="D16924" s="140"/>
      <c r="E16924" s="140"/>
    </row>
    <row r="16925" spans="1:5">
      <c r="A16925" s="140"/>
      <c r="B16925" s="192"/>
      <c r="C16925" s="140"/>
      <c r="D16925" s="140"/>
      <c r="E16925" s="140"/>
    </row>
    <row r="16926" spans="1:5">
      <c r="A16926" s="140"/>
      <c r="B16926" s="192"/>
      <c r="C16926" s="140"/>
      <c r="D16926" s="140"/>
      <c r="E16926" s="140"/>
    </row>
    <row r="16927" spans="1:5">
      <c r="A16927" s="140"/>
      <c r="B16927" s="192"/>
      <c r="C16927" s="140"/>
      <c r="D16927" s="140"/>
      <c r="E16927" s="140"/>
    </row>
    <row r="16928" spans="1:5">
      <c r="A16928" s="140"/>
      <c r="B16928" s="192"/>
      <c r="C16928" s="140"/>
      <c r="D16928" s="140"/>
      <c r="E16928" s="140"/>
    </row>
    <row r="16929" spans="1:5">
      <c r="A16929" s="140"/>
      <c r="B16929" s="192"/>
      <c r="C16929" s="140"/>
      <c r="D16929" s="140"/>
      <c r="E16929" s="140"/>
    </row>
    <row r="16930" spans="1:5">
      <c r="A16930" s="140"/>
      <c r="B16930" s="192"/>
      <c r="C16930" s="140"/>
      <c r="D16930" s="140"/>
      <c r="E16930" s="140"/>
    </row>
    <row r="16931" spans="1:5">
      <c r="A16931" s="140"/>
      <c r="B16931" s="192"/>
      <c r="C16931" s="140"/>
      <c r="D16931" s="140"/>
      <c r="E16931" s="140"/>
    </row>
    <row r="16932" spans="1:5">
      <c r="A16932" s="140"/>
      <c r="B16932" s="192"/>
      <c r="C16932" s="140"/>
      <c r="D16932" s="140"/>
      <c r="E16932" s="140"/>
    </row>
    <row r="16933" spans="1:5">
      <c r="A16933" s="140"/>
      <c r="B16933" s="192"/>
      <c r="C16933" s="140"/>
      <c r="D16933" s="140"/>
      <c r="E16933" s="140"/>
    </row>
    <row r="16934" spans="1:5">
      <c r="A16934" s="140"/>
      <c r="B16934" s="192"/>
      <c r="C16934" s="140"/>
      <c r="D16934" s="140"/>
      <c r="E16934" s="140"/>
    </row>
    <row r="16935" spans="1:5">
      <c r="A16935" s="140"/>
      <c r="B16935" s="192"/>
      <c r="C16935" s="140"/>
      <c r="D16935" s="140"/>
      <c r="E16935" s="140"/>
    </row>
    <row r="16936" spans="1:5">
      <c r="A16936" s="140"/>
      <c r="B16936" s="192"/>
      <c r="C16936" s="140"/>
      <c r="D16936" s="140"/>
      <c r="E16936" s="140"/>
    </row>
    <row r="16937" spans="1:5">
      <c r="A16937" s="140"/>
      <c r="B16937" s="192"/>
      <c r="C16937" s="140"/>
      <c r="D16937" s="140"/>
      <c r="E16937" s="140"/>
    </row>
    <row r="16938" spans="1:5">
      <c r="A16938" s="140"/>
      <c r="B16938" s="192"/>
      <c r="C16938" s="140"/>
      <c r="D16938" s="140"/>
      <c r="E16938" s="140"/>
    </row>
    <row r="16939" spans="1:5">
      <c r="A16939" s="140"/>
      <c r="B16939" s="192"/>
      <c r="C16939" s="140"/>
      <c r="D16939" s="140"/>
      <c r="E16939" s="140"/>
    </row>
    <row r="16940" spans="1:5">
      <c r="A16940" s="140"/>
      <c r="B16940" s="192"/>
      <c r="C16940" s="140"/>
      <c r="D16940" s="140"/>
      <c r="E16940" s="140"/>
    </row>
    <row r="16941" spans="1:5">
      <c r="A16941" s="140"/>
      <c r="B16941" s="192"/>
      <c r="C16941" s="140"/>
      <c r="D16941" s="140"/>
      <c r="E16941" s="140"/>
    </row>
    <row r="16942" spans="1:5">
      <c r="A16942" s="140"/>
      <c r="B16942" s="192"/>
      <c r="C16942" s="140"/>
      <c r="D16942" s="140"/>
      <c r="E16942" s="140"/>
    </row>
    <row r="16943" spans="1:5">
      <c r="A16943" s="140"/>
      <c r="B16943" s="192"/>
      <c r="C16943" s="140"/>
      <c r="D16943" s="140"/>
      <c r="E16943" s="140"/>
    </row>
    <row r="16944" spans="1:5">
      <c r="A16944" s="140"/>
      <c r="B16944" s="192"/>
      <c r="C16944" s="140"/>
      <c r="D16944" s="140"/>
      <c r="E16944" s="140"/>
    </row>
    <row r="16945" spans="1:5">
      <c r="A16945" s="140"/>
      <c r="B16945" s="192"/>
      <c r="C16945" s="140"/>
      <c r="D16945" s="140"/>
      <c r="E16945" s="140"/>
    </row>
    <row r="16946" spans="1:5">
      <c r="A16946" s="140"/>
      <c r="B16946" s="192"/>
      <c r="C16946" s="140"/>
      <c r="D16946" s="140"/>
      <c r="E16946" s="140"/>
    </row>
    <row r="16947" spans="1:5">
      <c r="A16947" s="140"/>
      <c r="B16947" s="192"/>
      <c r="C16947" s="140"/>
      <c r="D16947" s="140"/>
      <c r="E16947" s="140"/>
    </row>
    <row r="16948" spans="1:5">
      <c r="A16948" s="140"/>
      <c r="B16948" s="192"/>
      <c r="C16948" s="140"/>
      <c r="D16948" s="140"/>
      <c r="E16948" s="140"/>
    </row>
    <row r="16949" spans="1:5">
      <c r="A16949" s="140"/>
      <c r="B16949" s="192"/>
      <c r="C16949" s="140"/>
      <c r="D16949" s="140"/>
      <c r="E16949" s="140"/>
    </row>
    <row r="16950" spans="1:5">
      <c r="A16950" s="140"/>
      <c r="B16950" s="192"/>
      <c r="C16950" s="140"/>
      <c r="D16950" s="140"/>
      <c r="E16950" s="140"/>
    </row>
    <row r="16951" spans="1:5">
      <c r="A16951" s="140"/>
      <c r="B16951" s="192"/>
      <c r="C16951" s="140"/>
      <c r="D16951" s="140"/>
      <c r="E16951" s="140"/>
    </row>
    <row r="16952" spans="1:5">
      <c r="A16952" s="140"/>
      <c r="B16952" s="192"/>
      <c r="C16952" s="140"/>
      <c r="D16952" s="140"/>
      <c r="E16952" s="140"/>
    </row>
    <row r="16953" spans="1:5">
      <c r="A16953" s="140"/>
      <c r="B16953" s="192"/>
      <c r="C16953" s="140"/>
      <c r="D16953" s="140"/>
      <c r="E16953" s="140"/>
    </row>
    <row r="16954" spans="1:5">
      <c r="A16954" s="140"/>
      <c r="B16954" s="192"/>
      <c r="C16954" s="140"/>
      <c r="D16954" s="140"/>
      <c r="E16954" s="140"/>
    </row>
    <row r="16955" spans="1:5">
      <c r="A16955" s="140"/>
      <c r="B16955" s="192"/>
      <c r="C16955" s="140"/>
      <c r="D16955" s="140"/>
      <c r="E16955" s="140"/>
    </row>
    <row r="16956" spans="1:5">
      <c r="A16956" s="140"/>
      <c r="B16956" s="192"/>
      <c r="C16956" s="140"/>
      <c r="D16956" s="140"/>
      <c r="E16956" s="140"/>
    </row>
    <row r="16957" spans="1:5">
      <c r="A16957" s="140"/>
      <c r="B16957" s="192"/>
      <c r="C16957" s="140"/>
      <c r="D16957" s="140"/>
      <c r="E16957" s="140"/>
    </row>
    <row r="16958" spans="1:5">
      <c r="A16958" s="140"/>
      <c r="B16958" s="192"/>
      <c r="C16958" s="140"/>
      <c r="D16958" s="140"/>
      <c r="E16958" s="140"/>
    </row>
    <row r="16959" spans="1:5">
      <c r="A16959" s="140"/>
      <c r="B16959" s="192"/>
      <c r="C16959" s="140"/>
      <c r="D16959" s="140"/>
      <c r="E16959" s="140"/>
    </row>
    <row r="16960" spans="1:5">
      <c r="A16960" s="140"/>
      <c r="B16960" s="192"/>
      <c r="C16960" s="140"/>
      <c r="D16960" s="140"/>
      <c r="E16960" s="140"/>
    </row>
    <row r="16961" spans="1:5">
      <c r="A16961" s="140"/>
      <c r="B16961" s="192"/>
      <c r="C16961" s="140"/>
      <c r="D16961" s="140"/>
      <c r="E16961" s="140"/>
    </row>
    <row r="16962" spans="1:5">
      <c r="A16962" s="140"/>
      <c r="B16962" s="192"/>
      <c r="C16962" s="140"/>
      <c r="D16962" s="140"/>
      <c r="E16962" s="140"/>
    </row>
    <row r="16963" spans="1:5">
      <c r="A16963" s="140"/>
      <c r="B16963" s="192"/>
      <c r="C16963" s="140"/>
      <c r="D16963" s="140"/>
      <c r="E16963" s="140"/>
    </row>
    <row r="16964" spans="1:5">
      <c r="A16964" s="140"/>
      <c r="B16964" s="192"/>
      <c r="C16964" s="140"/>
      <c r="D16964" s="140"/>
      <c r="E16964" s="140"/>
    </row>
    <row r="16965" spans="1:5">
      <c r="A16965" s="140"/>
      <c r="B16965" s="192"/>
      <c r="C16965" s="140"/>
      <c r="D16965" s="140"/>
      <c r="E16965" s="140"/>
    </row>
    <row r="16966" spans="1:5">
      <c r="A16966" s="140"/>
      <c r="B16966" s="192"/>
      <c r="C16966" s="140"/>
      <c r="D16966" s="140"/>
      <c r="E16966" s="140"/>
    </row>
    <row r="16967" spans="1:5">
      <c r="A16967" s="140"/>
      <c r="B16967" s="192"/>
      <c r="C16967" s="140"/>
      <c r="D16967" s="140"/>
      <c r="E16967" s="140"/>
    </row>
    <row r="16968" spans="1:5">
      <c r="A16968" s="140"/>
      <c r="B16968" s="192"/>
      <c r="C16968" s="140"/>
      <c r="D16968" s="140"/>
      <c r="E16968" s="140"/>
    </row>
    <row r="16969" spans="1:5">
      <c r="A16969" s="140"/>
      <c r="B16969" s="192"/>
      <c r="C16969" s="140"/>
      <c r="D16969" s="140"/>
      <c r="E16969" s="140"/>
    </row>
    <row r="16970" spans="1:5">
      <c r="A16970" s="140"/>
      <c r="B16970" s="192"/>
      <c r="C16970" s="140"/>
      <c r="D16970" s="140"/>
      <c r="E16970" s="140"/>
    </row>
    <row r="16971" spans="1:5">
      <c r="A16971" s="140"/>
      <c r="B16971" s="192"/>
      <c r="C16971" s="140"/>
      <c r="D16971" s="140"/>
      <c r="E16971" s="140"/>
    </row>
    <row r="16972" spans="1:5">
      <c r="A16972" s="140"/>
      <c r="B16972" s="192"/>
      <c r="C16972" s="140"/>
      <c r="D16972" s="140"/>
      <c r="E16972" s="140"/>
    </row>
    <row r="16973" spans="1:5">
      <c r="A16973" s="140"/>
      <c r="B16973" s="192"/>
      <c r="C16973" s="140"/>
      <c r="D16973" s="140"/>
      <c r="E16973" s="140"/>
    </row>
    <row r="16974" spans="1:5">
      <c r="A16974" s="140"/>
      <c r="B16974" s="192"/>
      <c r="C16974" s="140"/>
      <c r="D16974" s="140"/>
      <c r="E16974" s="140"/>
    </row>
    <row r="16975" spans="1:5">
      <c r="A16975" s="140"/>
      <c r="B16975" s="192"/>
      <c r="C16975" s="140"/>
      <c r="D16975" s="140"/>
      <c r="E16975" s="140"/>
    </row>
    <row r="16976" spans="1:5">
      <c r="A16976" s="140"/>
      <c r="B16976" s="192"/>
      <c r="C16976" s="140"/>
      <c r="D16976" s="140"/>
      <c r="E16976" s="140"/>
    </row>
    <row r="16977" spans="1:5">
      <c r="A16977" s="140"/>
      <c r="B16977" s="192"/>
      <c r="C16977" s="140"/>
      <c r="D16977" s="140"/>
      <c r="E16977" s="140"/>
    </row>
    <row r="16978" spans="1:5">
      <c r="A16978" s="140"/>
      <c r="B16978" s="192"/>
      <c r="C16978" s="140"/>
      <c r="D16978" s="140"/>
      <c r="E16978" s="140"/>
    </row>
    <row r="16979" spans="1:5">
      <c r="A16979" s="140"/>
      <c r="B16979" s="192"/>
      <c r="C16979" s="140"/>
      <c r="D16979" s="140"/>
      <c r="E16979" s="140"/>
    </row>
    <row r="16980" spans="1:5">
      <c r="A16980" s="140"/>
      <c r="B16980" s="192"/>
      <c r="C16980" s="140"/>
      <c r="D16980" s="140"/>
      <c r="E16980" s="140"/>
    </row>
    <row r="16981" spans="1:5">
      <c r="A16981" s="140"/>
      <c r="B16981" s="192"/>
      <c r="C16981" s="140"/>
      <c r="D16981" s="140"/>
      <c r="E16981" s="140"/>
    </row>
    <row r="16982" spans="1:5">
      <c r="A16982" s="140"/>
      <c r="B16982" s="192"/>
      <c r="C16982" s="140"/>
      <c r="D16982" s="140"/>
      <c r="E16982" s="140"/>
    </row>
    <row r="16983" spans="1:5">
      <c r="A16983" s="140"/>
      <c r="B16983" s="192"/>
      <c r="C16983" s="140"/>
      <c r="D16983" s="140"/>
      <c r="E16983" s="140"/>
    </row>
    <row r="16984" spans="1:5">
      <c r="A16984" s="140"/>
      <c r="B16984" s="192"/>
      <c r="C16984" s="140"/>
      <c r="D16984" s="140"/>
      <c r="E16984" s="140"/>
    </row>
    <row r="16985" spans="1:5">
      <c r="A16985" s="140"/>
      <c r="B16985" s="192"/>
      <c r="C16985" s="140"/>
      <c r="D16985" s="140"/>
      <c r="E16985" s="140"/>
    </row>
    <row r="16986" spans="1:5">
      <c r="A16986" s="140"/>
      <c r="B16986" s="192"/>
      <c r="C16986" s="140"/>
      <c r="D16986" s="140"/>
      <c r="E16986" s="140"/>
    </row>
    <row r="16987" spans="1:5">
      <c r="A16987" s="140"/>
      <c r="B16987" s="192"/>
      <c r="C16987" s="140"/>
      <c r="D16987" s="140"/>
      <c r="E16987" s="140"/>
    </row>
    <row r="16988" spans="1:5">
      <c r="A16988" s="140"/>
      <c r="B16988" s="192"/>
      <c r="C16988" s="140"/>
      <c r="D16988" s="140"/>
      <c r="E16988" s="140"/>
    </row>
    <row r="16989" spans="1:5">
      <c r="A16989" s="140"/>
      <c r="B16989" s="192"/>
      <c r="C16989" s="140"/>
      <c r="D16989" s="140"/>
      <c r="E16989" s="140"/>
    </row>
    <row r="16990" spans="1:5">
      <c r="A16990" s="140"/>
      <c r="B16990" s="192"/>
      <c r="C16990" s="140"/>
      <c r="D16990" s="140"/>
      <c r="E16990" s="140"/>
    </row>
    <row r="16991" spans="1:5">
      <c r="A16991" s="140"/>
      <c r="B16991" s="192"/>
      <c r="C16991" s="140"/>
      <c r="D16991" s="140"/>
      <c r="E16991" s="140"/>
    </row>
    <row r="16992" spans="1:5">
      <c r="A16992" s="140"/>
      <c r="B16992" s="192"/>
      <c r="C16992" s="140"/>
      <c r="D16992" s="140"/>
      <c r="E16992" s="140"/>
    </row>
    <row r="16993" spans="1:5">
      <c r="A16993" s="140"/>
      <c r="B16993" s="192"/>
      <c r="C16993" s="140"/>
      <c r="D16993" s="140"/>
      <c r="E16993" s="140"/>
    </row>
    <row r="16994" spans="1:5">
      <c r="A16994" s="140"/>
      <c r="B16994" s="192"/>
      <c r="C16994" s="140"/>
      <c r="D16994" s="140"/>
      <c r="E16994" s="140"/>
    </row>
    <row r="16995" spans="1:5">
      <c r="A16995" s="140"/>
      <c r="B16995" s="192"/>
      <c r="C16995" s="140"/>
      <c r="D16995" s="140"/>
      <c r="E16995" s="140"/>
    </row>
    <row r="16996" spans="1:5">
      <c r="A16996" s="140"/>
      <c r="B16996" s="192"/>
      <c r="C16996" s="140"/>
      <c r="D16996" s="140"/>
      <c r="E16996" s="140"/>
    </row>
    <row r="16997" spans="1:5">
      <c r="A16997" s="140"/>
      <c r="B16997" s="192"/>
      <c r="C16997" s="140"/>
      <c r="D16997" s="140"/>
      <c r="E16997" s="140"/>
    </row>
    <row r="16998" spans="1:5">
      <c r="A16998" s="140"/>
      <c r="B16998" s="192"/>
      <c r="C16998" s="140"/>
      <c r="D16998" s="140"/>
      <c r="E16998" s="140"/>
    </row>
    <row r="16999" spans="1:5">
      <c r="A16999" s="140"/>
      <c r="B16999" s="192"/>
      <c r="C16999" s="140"/>
      <c r="D16999" s="140"/>
      <c r="E16999" s="140"/>
    </row>
    <row r="17000" spans="1:5">
      <c r="A17000" s="140"/>
      <c r="B17000" s="192"/>
      <c r="C17000" s="140"/>
      <c r="D17000" s="140"/>
      <c r="E17000" s="140"/>
    </row>
    <row r="17001" spans="1:5">
      <c r="A17001" s="140"/>
      <c r="B17001" s="192"/>
      <c r="C17001" s="140"/>
      <c r="D17001" s="140"/>
      <c r="E17001" s="140"/>
    </row>
    <row r="17002" spans="1:5">
      <c r="A17002" s="140"/>
      <c r="B17002" s="192"/>
      <c r="C17002" s="140"/>
      <c r="D17002" s="140"/>
      <c r="E17002" s="140"/>
    </row>
    <row r="17003" spans="1:5">
      <c r="A17003" s="140"/>
      <c r="B17003" s="192"/>
      <c r="C17003" s="140"/>
      <c r="D17003" s="140"/>
      <c r="E17003" s="140"/>
    </row>
    <row r="17004" spans="1:5">
      <c r="A17004" s="140"/>
      <c r="B17004" s="192"/>
      <c r="C17004" s="140"/>
      <c r="D17004" s="140"/>
      <c r="E17004" s="140"/>
    </row>
    <row r="17005" spans="1:5">
      <c r="A17005" s="140"/>
      <c r="B17005" s="192"/>
      <c r="C17005" s="140"/>
      <c r="D17005" s="140"/>
      <c r="E17005" s="140"/>
    </row>
    <row r="17006" spans="1:5">
      <c r="A17006" s="140"/>
      <c r="B17006" s="192"/>
      <c r="C17006" s="140"/>
      <c r="D17006" s="140"/>
      <c r="E17006" s="140"/>
    </row>
    <row r="17007" spans="1:5">
      <c r="A17007" s="140"/>
      <c r="B17007" s="192"/>
      <c r="C17007" s="140"/>
      <c r="D17007" s="140"/>
      <c r="E17007" s="140"/>
    </row>
    <row r="17008" spans="1:5">
      <c r="A17008" s="140"/>
      <c r="B17008" s="192"/>
      <c r="C17008" s="140"/>
      <c r="D17008" s="140"/>
      <c r="E17008" s="140"/>
    </row>
    <row r="17009" spans="1:5">
      <c r="A17009" s="140"/>
      <c r="B17009" s="192"/>
      <c r="C17009" s="140"/>
      <c r="D17009" s="140"/>
      <c r="E17009" s="140"/>
    </row>
    <row r="17010" spans="1:5">
      <c r="A17010" s="140"/>
      <c r="B17010" s="192"/>
      <c r="C17010" s="140"/>
      <c r="D17010" s="140"/>
      <c r="E17010" s="140"/>
    </row>
    <row r="17011" spans="1:5">
      <c r="A17011" s="140"/>
      <c r="B17011" s="192"/>
      <c r="C17011" s="140"/>
      <c r="D17011" s="140"/>
      <c r="E17011" s="140"/>
    </row>
    <row r="17012" spans="1:5">
      <c r="A17012" s="140"/>
      <c r="B17012" s="192"/>
      <c r="C17012" s="140"/>
      <c r="D17012" s="140"/>
      <c r="E17012" s="140"/>
    </row>
    <row r="17013" spans="1:5">
      <c r="A17013" s="140"/>
      <c r="B17013" s="192"/>
      <c r="C17013" s="140"/>
      <c r="D17013" s="140"/>
      <c r="E17013" s="140"/>
    </row>
    <row r="17014" spans="1:5">
      <c r="A17014" s="140"/>
      <c r="B17014" s="192"/>
      <c r="C17014" s="140"/>
      <c r="D17014" s="140"/>
      <c r="E17014" s="140"/>
    </row>
    <row r="17015" spans="1:5">
      <c r="A17015" s="140"/>
      <c r="B17015" s="192"/>
      <c r="C17015" s="140"/>
      <c r="D17015" s="140"/>
      <c r="E17015" s="140"/>
    </row>
    <row r="17016" spans="1:5">
      <c r="A17016" s="140"/>
      <c r="B17016" s="192"/>
      <c r="C17016" s="140"/>
      <c r="D17016" s="140"/>
      <c r="E17016" s="140"/>
    </row>
    <row r="17017" spans="1:5">
      <c r="A17017" s="140"/>
      <c r="B17017" s="192"/>
      <c r="C17017" s="140"/>
      <c r="D17017" s="140"/>
      <c r="E17017" s="140"/>
    </row>
    <row r="17018" spans="1:5">
      <c r="A17018" s="140"/>
      <c r="B17018" s="192"/>
      <c r="C17018" s="140"/>
      <c r="D17018" s="140"/>
      <c r="E17018" s="140"/>
    </row>
    <row r="17019" spans="1:5">
      <c r="A17019" s="140"/>
      <c r="B17019" s="192"/>
      <c r="C17019" s="140"/>
      <c r="D17019" s="140"/>
      <c r="E17019" s="140"/>
    </row>
    <row r="17020" spans="1:5">
      <c r="A17020" s="140"/>
      <c r="B17020" s="192"/>
      <c r="C17020" s="140"/>
      <c r="D17020" s="140"/>
      <c r="E17020" s="140"/>
    </row>
    <row r="17021" spans="1:5">
      <c r="A17021" s="140"/>
      <c r="B17021" s="192"/>
      <c r="C17021" s="140"/>
      <c r="D17021" s="140"/>
      <c r="E17021" s="140"/>
    </row>
    <row r="17022" spans="1:5">
      <c r="A17022" s="140"/>
      <c r="B17022" s="192"/>
      <c r="C17022" s="140"/>
      <c r="D17022" s="140"/>
      <c r="E17022" s="140"/>
    </row>
    <row r="17023" spans="1:5">
      <c r="A17023" s="140"/>
      <c r="B17023" s="192"/>
      <c r="C17023" s="140"/>
      <c r="D17023" s="140"/>
      <c r="E17023" s="140"/>
    </row>
    <row r="17024" spans="1:5">
      <c r="A17024" s="140"/>
      <c r="B17024" s="192"/>
      <c r="C17024" s="140"/>
      <c r="D17024" s="140"/>
      <c r="E17024" s="140"/>
    </row>
    <row r="17025" spans="1:5">
      <c r="A17025" s="140"/>
      <c r="B17025" s="192"/>
      <c r="C17025" s="140"/>
      <c r="D17025" s="140"/>
      <c r="E17025" s="140"/>
    </row>
    <row r="17026" spans="1:5">
      <c r="A17026" s="140"/>
      <c r="B17026" s="192"/>
      <c r="C17026" s="140"/>
      <c r="D17026" s="140"/>
      <c r="E17026" s="140"/>
    </row>
    <row r="17027" spans="1:5">
      <c r="A17027" s="140"/>
      <c r="B17027" s="192"/>
      <c r="C17027" s="140"/>
      <c r="D17027" s="140"/>
      <c r="E17027" s="140"/>
    </row>
    <row r="17028" spans="1:5">
      <c r="A17028" s="140"/>
      <c r="B17028" s="192"/>
      <c r="C17028" s="140"/>
      <c r="D17028" s="140"/>
      <c r="E17028" s="140"/>
    </row>
    <row r="17029" spans="1:5">
      <c r="A17029" s="140"/>
      <c r="B17029" s="192"/>
      <c r="C17029" s="140"/>
      <c r="D17029" s="140"/>
      <c r="E17029" s="140"/>
    </row>
    <row r="17030" spans="1:5">
      <c r="A17030" s="140"/>
      <c r="B17030" s="192"/>
      <c r="C17030" s="140"/>
      <c r="D17030" s="140"/>
      <c r="E17030" s="140"/>
    </row>
    <row r="17031" spans="1:5">
      <c r="A17031" s="140"/>
      <c r="B17031" s="192"/>
      <c r="C17031" s="140"/>
      <c r="D17031" s="140"/>
      <c r="E17031" s="140"/>
    </row>
    <row r="17032" spans="1:5">
      <c r="A17032" s="140"/>
      <c r="B17032" s="192"/>
      <c r="C17032" s="140"/>
      <c r="D17032" s="140"/>
      <c r="E17032" s="140"/>
    </row>
    <row r="17033" spans="1:5">
      <c r="A17033" s="140"/>
      <c r="B17033" s="192"/>
      <c r="C17033" s="140"/>
      <c r="D17033" s="140"/>
      <c r="E17033" s="140"/>
    </row>
    <row r="17034" spans="1:5">
      <c r="A17034" s="140"/>
      <c r="B17034" s="192"/>
      <c r="C17034" s="140"/>
      <c r="D17034" s="140"/>
      <c r="E17034" s="140"/>
    </row>
    <row r="17035" spans="1:5">
      <c r="A17035" s="140"/>
      <c r="B17035" s="192"/>
      <c r="C17035" s="140"/>
      <c r="D17035" s="140"/>
      <c r="E17035" s="140"/>
    </row>
    <row r="17036" spans="1:5">
      <c r="A17036" s="140"/>
      <c r="B17036" s="192"/>
      <c r="C17036" s="140"/>
      <c r="D17036" s="140"/>
      <c r="E17036" s="140"/>
    </row>
    <row r="17037" spans="1:5">
      <c r="A17037" s="140"/>
      <c r="B17037" s="192"/>
      <c r="C17037" s="140"/>
      <c r="D17037" s="140"/>
      <c r="E17037" s="140"/>
    </row>
    <row r="17038" spans="1:5">
      <c r="A17038" s="140"/>
      <c r="B17038" s="192"/>
      <c r="C17038" s="140"/>
      <c r="D17038" s="140"/>
      <c r="E17038" s="140"/>
    </row>
    <row r="17039" spans="1:5">
      <c r="A17039" s="140"/>
      <c r="B17039" s="192"/>
      <c r="C17039" s="140"/>
      <c r="D17039" s="140"/>
      <c r="E17039" s="140"/>
    </row>
    <row r="17040" spans="1:5">
      <c r="A17040" s="140"/>
      <c r="B17040" s="192"/>
      <c r="C17040" s="140"/>
      <c r="D17040" s="140"/>
      <c r="E17040" s="140"/>
    </row>
    <row r="17041" spans="1:5">
      <c r="A17041" s="140"/>
      <c r="B17041" s="192"/>
      <c r="C17041" s="140"/>
      <c r="D17041" s="140"/>
      <c r="E17041" s="140"/>
    </row>
    <row r="17042" spans="1:5">
      <c r="A17042" s="140"/>
      <c r="B17042" s="192"/>
      <c r="C17042" s="140"/>
      <c r="D17042" s="140"/>
      <c r="E17042" s="140"/>
    </row>
    <row r="17043" spans="1:5">
      <c r="A17043" s="140"/>
      <c r="B17043" s="192"/>
      <c r="C17043" s="140"/>
      <c r="D17043" s="140"/>
      <c r="E17043" s="140"/>
    </row>
    <row r="17044" spans="1:5">
      <c r="A17044" s="140"/>
      <c r="B17044" s="192"/>
      <c r="C17044" s="140"/>
      <c r="D17044" s="140"/>
      <c r="E17044" s="140"/>
    </row>
    <row r="17045" spans="1:5">
      <c r="A17045" s="140"/>
      <c r="B17045" s="192"/>
      <c r="C17045" s="140"/>
      <c r="D17045" s="140"/>
      <c r="E17045" s="140"/>
    </row>
    <row r="17046" spans="1:5">
      <c r="A17046" s="140"/>
      <c r="B17046" s="192"/>
      <c r="C17046" s="140"/>
      <c r="D17046" s="140"/>
      <c r="E17046" s="140"/>
    </row>
    <row r="17047" spans="1:5">
      <c r="A17047" s="140"/>
      <c r="B17047" s="192"/>
      <c r="C17047" s="140"/>
      <c r="D17047" s="140"/>
      <c r="E17047" s="140"/>
    </row>
    <row r="17048" spans="1:5">
      <c r="A17048" s="140"/>
      <c r="B17048" s="192"/>
      <c r="C17048" s="140"/>
      <c r="D17048" s="140"/>
      <c r="E17048" s="140"/>
    </row>
    <row r="17049" spans="1:5">
      <c r="A17049" s="140"/>
      <c r="B17049" s="192"/>
      <c r="C17049" s="140"/>
      <c r="D17049" s="140"/>
      <c r="E17049" s="140"/>
    </row>
    <row r="17050" spans="1:5">
      <c r="A17050" s="140"/>
      <c r="B17050" s="192"/>
      <c r="C17050" s="140"/>
      <c r="D17050" s="140"/>
      <c r="E17050" s="140"/>
    </row>
    <row r="17051" spans="1:5">
      <c r="A17051" s="140"/>
      <c r="B17051" s="192"/>
      <c r="C17051" s="140"/>
      <c r="D17051" s="140"/>
      <c r="E17051" s="140"/>
    </row>
    <row r="17052" spans="1:5">
      <c r="A17052" s="140"/>
      <c r="B17052" s="192"/>
      <c r="C17052" s="140"/>
      <c r="D17052" s="140"/>
      <c r="E17052" s="140"/>
    </row>
    <row r="17053" spans="1:5">
      <c r="A17053" s="140"/>
      <c r="B17053" s="192"/>
      <c r="C17053" s="140"/>
      <c r="D17053" s="140"/>
      <c r="E17053" s="140"/>
    </row>
    <row r="17054" spans="1:5">
      <c r="A17054" s="140"/>
      <c r="B17054" s="192"/>
      <c r="C17054" s="140"/>
      <c r="D17054" s="140"/>
      <c r="E17054" s="140"/>
    </row>
    <row r="17055" spans="1:5">
      <c r="A17055" s="140"/>
      <c r="B17055" s="192"/>
      <c r="C17055" s="140"/>
      <c r="D17055" s="140"/>
      <c r="E17055" s="140"/>
    </row>
    <row r="17056" spans="1:5">
      <c r="A17056" s="140"/>
      <c r="B17056" s="192"/>
      <c r="C17056" s="140"/>
      <c r="D17056" s="140"/>
      <c r="E17056" s="140"/>
    </row>
    <row r="17057" spans="1:5">
      <c r="A17057" s="140"/>
      <c r="B17057" s="192"/>
      <c r="C17057" s="140"/>
      <c r="D17057" s="140"/>
      <c r="E17057" s="140"/>
    </row>
    <row r="17058" spans="1:5">
      <c r="A17058" s="140"/>
      <c r="B17058" s="192"/>
      <c r="C17058" s="140"/>
      <c r="D17058" s="140"/>
      <c r="E17058" s="140"/>
    </row>
    <row r="17059" spans="1:5">
      <c r="A17059" s="140"/>
      <c r="B17059" s="192"/>
      <c r="C17059" s="140"/>
      <c r="D17059" s="140"/>
      <c r="E17059" s="140"/>
    </row>
    <row r="17060" spans="1:5">
      <c r="A17060" s="140"/>
      <c r="B17060" s="192"/>
      <c r="C17060" s="140"/>
      <c r="D17060" s="140"/>
      <c r="E17060" s="140"/>
    </row>
    <row r="17061" spans="1:5">
      <c r="A17061" s="140"/>
      <c r="B17061" s="192"/>
      <c r="C17061" s="140"/>
      <c r="D17061" s="140"/>
      <c r="E17061" s="140"/>
    </row>
    <row r="17062" spans="1:5">
      <c r="A17062" s="140"/>
      <c r="B17062" s="192"/>
      <c r="C17062" s="140"/>
      <c r="D17062" s="140"/>
      <c r="E17062" s="140"/>
    </row>
    <row r="17063" spans="1:5">
      <c r="A17063" s="140"/>
      <c r="B17063" s="192"/>
      <c r="C17063" s="140"/>
      <c r="D17063" s="140"/>
      <c r="E17063" s="140"/>
    </row>
    <row r="17064" spans="1:5">
      <c r="A17064" s="140"/>
      <c r="B17064" s="192"/>
      <c r="C17064" s="140"/>
      <c r="D17064" s="140"/>
      <c r="E17064" s="140"/>
    </row>
    <row r="17065" spans="1:5">
      <c r="A17065" s="140"/>
      <c r="B17065" s="192"/>
      <c r="C17065" s="140"/>
      <c r="D17065" s="140"/>
      <c r="E17065" s="140"/>
    </row>
    <row r="17066" spans="1:5">
      <c r="A17066" s="140"/>
      <c r="B17066" s="192"/>
      <c r="C17066" s="140"/>
      <c r="D17066" s="140"/>
      <c r="E17066" s="140"/>
    </row>
    <row r="17067" spans="1:5">
      <c r="A17067" s="140"/>
      <c r="B17067" s="192"/>
      <c r="C17067" s="140"/>
      <c r="D17067" s="140"/>
      <c r="E17067" s="140"/>
    </row>
    <row r="17068" spans="1:5">
      <c r="A17068" s="140"/>
      <c r="B17068" s="192"/>
      <c r="C17068" s="140"/>
      <c r="D17068" s="140"/>
      <c r="E17068" s="140"/>
    </row>
    <row r="17069" spans="1:5">
      <c r="A17069" s="140"/>
      <c r="B17069" s="192"/>
      <c r="C17069" s="140"/>
      <c r="D17069" s="140"/>
      <c r="E17069" s="140"/>
    </row>
    <row r="17070" spans="1:5">
      <c r="A17070" s="140"/>
      <c r="B17070" s="192"/>
      <c r="C17070" s="140"/>
      <c r="D17070" s="140"/>
      <c r="E17070" s="140"/>
    </row>
    <row r="17071" spans="1:5">
      <c r="A17071" s="140"/>
      <c r="B17071" s="192"/>
      <c r="C17071" s="140"/>
      <c r="D17071" s="140"/>
      <c r="E17071" s="140"/>
    </row>
    <row r="17072" spans="1:5">
      <c r="A17072" s="140"/>
      <c r="B17072" s="192"/>
      <c r="C17072" s="140"/>
      <c r="D17072" s="140"/>
      <c r="E17072" s="140"/>
    </row>
    <row r="17073" spans="1:5">
      <c r="A17073" s="140"/>
      <c r="B17073" s="192"/>
      <c r="C17073" s="140"/>
      <c r="D17073" s="140"/>
      <c r="E17073" s="140"/>
    </row>
    <row r="17074" spans="1:5">
      <c r="A17074" s="140"/>
      <c r="B17074" s="192"/>
      <c r="C17074" s="140"/>
      <c r="D17074" s="140"/>
      <c r="E17074" s="140"/>
    </row>
    <row r="17075" spans="1:5">
      <c r="A17075" s="140"/>
      <c r="B17075" s="192"/>
      <c r="C17075" s="140"/>
      <c r="D17075" s="140"/>
      <c r="E17075" s="140"/>
    </row>
    <row r="17076" spans="1:5">
      <c r="A17076" s="140"/>
      <c r="B17076" s="192"/>
      <c r="C17076" s="140"/>
      <c r="D17076" s="140"/>
      <c r="E17076" s="140"/>
    </row>
    <row r="17077" spans="1:5">
      <c r="A17077" s="140"/>
      <c r="B17077" s="192"/>
      <c r="C17077" s="140"/>
      <c r="D17077" s="140"/>
      <c r="E17077" s="140"/>
    </row>
    <row r="17078" spans="1:5">
      <c r="A17078" s="140"/>
      <c r="B17078" s="192"/>
      <c r="C17078" s="140"/>
      <c r="D17078" s="140"/>
      <c r="E17078" s="140"/>
    </row>
    <row r="17079" spans="1:5">
      <c r="A17079" s="140"/>
      <c r="B17079" s="192"/>
      <c r="C17079" s="140"/>
      <c r="D17079" s="140"/>
      <c r="E17079" s="140"/>
    </row>
    <row r="17080" spans="1:5">
      <c r="A17080" s="140"/>
      <c r="B17080" s="192"/>
      <c r="C17080" s="140"/>
      <c r="D17080" s="140"/>
      <c r="E17080" s="140"/>
    </row>
    <row r="17081" spans="1:5">
      <c r="A17081" s="140"/>
      <c r="B17081" s="192"/>
      <c r="C17081" s="140"/>
      <c r="D17081" s="140"/>
      <c r="E17081" s="140"/>
    </row>
    <row r="17082" spans="1:5">
      <c r="A17082" s="140"/>
      <c r="B17082" s="192"/>
      <c r="C17082" s="140"/>
      <c r="D17082" s="140"/>
      <c r="E17082" s="140"/>
    </row>
    <row r="17083" spans="1:5">
      <c r="A17083" s="140"/>
      <c r="B17083" s="192"/>
      <c r="C17083" s="140"/>
      <c r="D17083" s="140"/>
      <c r="E17083" s="140"/>
    </row>
    <row r="17084" spans="1:5">
      <c r="A17084" s="140"/>
      <c r="B17084" s="192"/>
      <c r="C17084" s="140"/>
      <c r="D17084" s="140"/>
      <c r="E17084" s="140"/>
    </row>
    <row r="17085" spans="1:5">
      <c r="A17085" s="140"/>
      <c r="B17085" s="192"/>
      <c r="C17085" s="140"/>
      <c r="D17085" s="140"/>
      <c r="E17085" s="140"/>
    </row>
    <row r="17086" spans="1:5">
      <c r="A17086" s="140"/>
      <c r="B17086" s="192"/>
      <c r="C17086" s="140"/>
      <c r="D17086" s="140"/>
      <c r="E17086" s="140"/>
    </row>
    <row r="17087" spans="1:5">
      <c r="A17087" s="140"/>
      <c r="B17087" s="192"/>
      <c r="C17087" s="140"/>
      <c r="D17087" s="140"/>
      <c r="E17087" s="140"/>
    </row>
    <row r="17088" spans="1:5">
      <c r="A17088" s="140"/>
      <c r="B17088" s="192"/>
      <c r="C17088" s="140"/>
      <c r="D17088" s="140"/>
      <c r="E17088" s="140"/>
    </row>
    <row r="17089" spans="1:5">
      <c r="A17089" s="140"/>
      <c r="B17089" s="192"/>
      <c r="C17089" s="140"/>
      <c r="D17089" s="140"/>
      <c r="E17089" s="140"/>
    </row>
    <row r="17090" spans="1:5">
      <c r="A17090" s="140"/>
      <c r="B17090" s="192"/>
      <c r="C17090" s="140"/>
      <c r="D17090" s="140"/>
      <c r="E17090" s="140"/>
    </row>
    <row r="17091" spans="1:5">
      <c r="A17091" s="140"/>
      <c r="B17091" s="192"/>
      <c r="C17091" s="140"/>
      <c r="D17091" s="140"/>
      <c r="E17091" s="140"/>
    </row>
    <row r="17092" spans="1:5">
      <c r="A17092" s="140"/>
      <c r="B17092" s="192"/>
      <c r="C17092" s="140"/>
      <c r="D17092" s="140"/>
      <c r="E17092" s="140"/>
    </row>
    <row r="17093" spans="1:5">
      <c r="A17093" s="140"/>
      <c r="B17093" s="192"/>
      <c r="C17093" s="140"/>
      <c r="D17093" s="140"/>
      <c r="E17093" s="140"/>
    </row>
    <row r="17094" spans="1:5">
      <c r="A17094" s="140"/>
      <c r="B17094" s="192"/>
      <c r="C17094" s="140"/>
      <c r="D17094" s="140"/>
      <c r="E17094" s="140"/>
    </row>
    <row r="17095" spans="1:5">
      <c r="A17095" s="140"/>
      <c r="B17095" s="192"/>
      <c r="C17095" s="140"/>
      <c r="D17095" s="140"/>
      <c r="E17095" s="140"/>
    </row>
    <row r="17096" spans="1:5">
      <c r="A17096" s="140"/>
      <c r="B17096" s="192"/>
      <c r="C17096" s="140"/>
      <c r="D17096" s="140"/>
      <c r="E17096" s="140"/>
    </row>
    <row r="17097" spans="1:5">
      <c r="A17097" s="140"/>
      <c r="B17097" s="192"/>
      <c r="C17097" s="140"/>
      <c r="D17097" s="140"/>
      <c r="E17097" s="140"/>
    </row>
    <row r="17098" spans="1:5">
      <c r="A17098" s="140"/>
      <c r="B17098" s="192"/>
      <c r="C17098" s="140"/>
      <c r="D17098" s="140"/>
      <c r="E17098" s="140"/>
    </row>
    <row r="17099" spans="1:5">
      <c r="A17099" s="140"/>
      <c r="B17099" s="192"/>
      <c r="C17099" s="140"/>
      <c r="D17099" s="140"/>
      <c r="E17099" s="140"/>
    </row>
    <row r="17100" spans="1:5">
      <c r="A17100" s="140"/>
      <c r="B17100" s="192"/>
      <c r="C17100" s="140"/>
      <c r="D17100" s="140"/>
      <c r="E17100" s="140"/>
    </row>
    <row r="17101" spans="1:5">
      <c r="A17101" s="140"/>
      <c r="B17101" s="192"/>
      <c r="C17101" s="140"/>
      <c r="D17101" s="140"/>
      <c r="E17101" s="140"/>
    </row>
    <row r="17102" spans="1:5">
      <c r="A17102" s="140"/>
      <c r="B17102" s="192"/>
      <c r="C17102" s="140"/>
      <c r="D17102" s="140"/>
      <c r="E17102" s="140"/>
    </row>
    <row r="17103" spans="1:5">
      <c r="A17103" s="140"/>
      <c r="B17103" s="192"/>
      <c r="C17103" s="140"/>
      <c r="D17103" s="140"/>
      <c r="E17103" s="140"/>
    </row>
    <row r="17104" spans="1:5">
      <c r="A17104" s="140"/>
      <c r="B17104" s="192"/>
      <c r="C17104" s="140"/>
      <c r="D17104" s="140"/>
      <c r="E17104" s="140"/>
    </row>
    <row r="17105" spans="1:5">
      <c r="A17105" s="140"/>
      <c r="B17105" s="192"/>
      <c r="C17105" s="140"/>
      <c r="D17105" s="140"/>
      <c r="E17105" s="140"/>
    </row>
    <row r="17106" spans="1:5">
      <c r="A17106" s="140"/>
      <c r="B17106" s="192"/>
      <c r="C17106" s="140"/>
      <c r="D17106" s="140"/>
      <c r="E17106" s="140"/>
    </row>
    <row r="17107" spans="1:5">
      <c r="A17107" s="140"/>
      <c r="B17107" s="192"/>
      <c r="C17107" s="140"/>
      <c r="D17107" s="140"/>
      <c r="E17107" s="140"/>
    </row>
    <row r="17108" spans="1:5">
      <c r="A17108" s="140"/>
      <c r="B17108" s="192"/>
      <c r="C17108" s="140"/>
      <c r="D17108" s="140"/>
      <c r="E17108" s="140"/>
    </row>
    <row r="17109" spans="1:5">
      <c r="A17109" s="140"/>
      <c r="B17109" s="192"/>
      <c r="C17109" s="140"/>
      <c r="D17109" s="140"/>
      <c r="E17109" s="140"/>
    </row>
    <row r="17110" spans="1:5">
      <c r="A17110" s="140"/>
      <c r="B17110" s="192"/>
      <c r="C17110" s="140"/>
      <c r="D17110" s="140"/>
      <c r="E17110" s="140"/>
    </row>
    <row r="17111" spans="1:5">
      <c r="A17111" s="140"/>
      <c r="B17111" s="192"/>
      <c r="C17111" s="140"/>
      <c r="D17111" s="140"/>
      <c r="E17111" s="140"/>
    </row>
    <row r="17112" spans="1:5">
      <c r="A17112" s="140"/>
      <c r="B17112" s="192"/>
      <c r="C17112" s="140"/>
      <c r="D17112" s="140"/>
      <c r="E17112" s="140"/>
    </row>
    <row r="17113" spans="1:5">
      <c r="A17113" s="140"/>
      <c r="B17113" s="192"/>
      <c r="C17113" s="140"/>
      <c r="D17113" s="140"/>
      <c r="E17113" s="140"/>
    </row>
    <row r="17114" spans="1:5">
      <c r="A17114" s="140"/>
      <c r="B17114" s="192"/>
      <c r="C17114" s="140"/>
      <c r="D17114" s="140"/>
      <c r="E17114" s="140"/>
    </row>
    <row r="17115" spans="1:5">
      <c r="A17115" s="140"/>
      <c r="B17115" s="192"/>
      <c r="C17115" s="140"/>
      <c r="D17115" s="140"/>
      <c r="E17115" s="140"/>
    </row>
    <row r="17116" spans="1:5">
      <c r="A17116" s="140"/>
      <c r="B17116" s="192"/>
      <c r="C17116" s="140"/>
      <c r="D17116" s="140"/>
      <c r="E17116" s="140"/>
    </row>
    <row r="17117" spans="1:5">
      <c r="A17117" s="140"/>
      <c r="B17117" s="192"/>
      <c r="C17117" s="140"/>
      <c r="D17117" s="140"/>
      <c r="E17117" s="140"/>
    </row>
    <row r="17118" spans="1:5">
      <c r="A17118" s="140"/>
      <c r="B17118" s="192"/>
      <c r="C17118" s="140"/>
      <c r="D17118" s="140"/>
      <c r="E17118" s="140"/>
    </row>
    <row r="17119" spans="1:5">
      <c r="A17119" s="140"/>
      <c r="B17119" s="192"/>
      <c r="C17119" s="140"/>
      <c r="D17119" s="140"/>
      <c r="E17119" s="140"/>
    </row>
    <row r="17120" spans="1:5">
      <c r="A17120" s="140"/>
      <c r="B17120" s="192"/>
      <c r="C17120" s="140"/>
      <c r="D17120" s="140"/>
      <c r="E17120" s="140"/>
    </row>
    <row r="17121" spans="1:5">
      <c r="A17121" s="140"/>
      <c r="B17121" s="192"/>
      <c r="C17121" s="140"/>
      <c r="D17121" s="140"/>
      <c r="E17121" s="140"/>
    </row>
    <row r="17122" spans="1:5">
      <c r="A17122" s="140"/>
      <c r="B17122" s="192"/>
      <c r="C17122" s="140"/>
      <c r="D17122" s="140"/>
      <c r="E17122" s="140"/>
    </row>
    <row r="17123" spans="1:5">
      <c r="A17123" s="140"/>
      <c r="B17123" s="192"/>
      <c r="C17123" s="140"/>
      <c r="D17123" s="140"/>
      <c r="E17123" s="140"/>
    </row>
    <row r="17124" spans="1:5">
      <c r="A17124" s="140"/>
      <c r="B17124" s="192"/>
      <c r="C17124" s="140"/>
      <c r="D17124" s="140"/>
      <c r="E17124" s="140"/>
    </row>
    <row r="17125" spans="1:5">
      <c r="A17125" s="140"/>
      <c r="B17125" s="192"/>
      <c r="C17125" s="140"/>
      <c r="D17125" s="140"/>
      <c r="E17125" s="140"/>
    </row>
    <row r="17126" spans="1:5">
      <c r="A17126" s="140"/>
      <c r="B17126" s="192"/>
      <c r="C17126" s="140"/>
      <c r="D17126" s="140"/>
      <c r="E17126" s="140"/>
    </row>
    <row r="17127" spans="1:5">
      <c r="A17127" s="140"/>
      <c r="B17127" s="192"/>
      <c r="C17127" s="140"/>
      <c r="D17127" s="140"/>
      <c r="E17127" s="140"/>
    </row>
    <row r="17128" spans="1:5">
      <c r="A17128" s="140"/>
      <c r="B17128" s="192"/>
      <c r="C17128" s="140"/>
      <c r="D17128" s="140"/>
      <c r="E17128" s="140"/>
    </row>
    <row r="17129" spans="1:5">
      <c r="A17129" s="140"/>
      <c r="B17129" s="192"/>
      <c r="C17129" s="140"/>
      <c r="D17129" s="140"/>
      <c r="E17129" s="140"/>
    </row>
    <row r="17130" spans="1:5">
      <c r="A17130" s="140"/>
      <c r="B17130" s="192"/>
      <c r="C17130" s="140"/>
      <c r="D17130" s="140"/>
      <c r="E17130" s="140"/>
    </row>
    <row r="17131" spans="1:5">
      <c r="A17131" s="140"/>
      <c r="B17131" s="192"/>
      <c r="C17131" s="140"/>
      <c r="D17131" s="140"/>
      <c r="E17131" s="140"/>
    </row>
    <row r="17132" spans="1:5">
      <c r="A17132" s="140"/>
      <c r="B17132" s="192"/>
      <c r="C17132" s="140"/>
      <c r="D17132" s="140"/>
      <c r="E17132" s="140"/>
    </row>
    <row r="17133" spans="1:5">
      <c r="A17133" s="140"/>
      <c r="B17133" s="192"/>
      <c r="C17133" s="140"/>
      <c r="D17133" s="140"/>
      <c r="E17133" s="140"/>
    </row>
    <row r="17134" spans="1:5">
      <c r="A17134" s="140"/>
      <c r="B17134" s="192"/>
      <c r="C17134" s="140"/>
      <c r="D17134" s="140"/>
      <c r="E17134" s="140"/>
    </row>
    <row r="17135" spans="1:5">
      <c r="A17135" s="140"/>
      <c r="B17135" s="192"/>
      <c r="C17135" s="140"/>
      <c r="D17135" s="140"/>
      <c r="E17135" s="140"/>
    </row>
    <row r="17136" spans="1:5">
      <c r="A17136" s="140"/>
      <c r="B17136" s="192"/>
      <c r="C17136" s="140"/>
      <c r="D17136" s="140"/>
      <c r="E17136" s="140"/>
    </row>
    <row r="17137" spans="1:5">
      <c r="A17137" s="140"/>
      <c r="B17137" s="192"/>
      <c r="C17137" s="140"/>
      <c r="D17137" s="140"/>
      <c r="E17137" s="140"/>
    </row>
    <row r="17138" spans="1:5">
      <c r="A17138" s="140"/>
      <c r="B17138" s="192"/>
      <c r="C17138" s="140"/>
      <c r="D17138" s="140"/>
      <c r="E17138" s="140"/>
    </row>
    <row r="17139" spans="1:5">
      <c r="A17139" s="140"/>
      <c r="B17139" s="192"/>
      <c r="C17139" s="140"/>
      <c r="D17139" s="140"/>
      <c r="E17139" s="140"/>
    </row>
    <row r="17140" spans="1:5">
      <c r="A17140" s="140"/>
      <c r="B17140" s="192"/>
      <c r="C17140" s="140"/>
      <c r="D17140" s="140"/>
      <c r="E17140" s="140"/>
    </row>
    <row r="17141" spans="1:5">
      <c r="A17141" s="140"/>
      <c r="B17141" s="192"/>
      <c r="C17141" s="140"/>
      <c r="D17141" s="140"/>
      <c r="E17141" s="140"/>
    </row>
    <row r="17142" spans="1:5">
      <c r="A17142" s="140"/>
      <c r="B17142" s="192"/>
      <c r="C17142" s="140"/>
      <c r="D17142" s="140"/>
      <c r="E17142" s="140"/>
    </row>
    <row r="17143" spans="1:5">
      <c r="A17143" s="140"/>
      <c r="B17143" s="192"/>
      <c r="C17143" s="140"/>
      <c r="D17143" s="140"/>
      <c r="E17143" s="140"/>
    </row>
    <row r="17144" spans="1:5">
      <c r="A17144" s="140"/>
      <c r="B17144" s="192"/>
      <c r="C17144" s="140"/>
      <c r="D17144" s="140"/>
      <c r="E17144" s="140"/>
    </row>
    <row r="17145" spans="1:5">
      <c r="A17145" s="140"/>
      <c r="B17145" s="192"/>
      <c r="C17145" s="140"/>
      <c r="D17145" s="140"/>
      <c r="E17145" s="140"/>
    </row>
    <row r="17146" spans="1:5">
      <c r="A17146" s="140"/>
      <c r="B17146" s="192"/>
      <c r="C17146" s="140"/>
      <c r="D17146" s="140"/>
      <c r="E17146" s="140"/>
    </row>
    <row r="17147" spans="1:5">
      <c r="A17147" s="140"/>
      <c r="B17147" s="192"/>
      <c r="C17147" s="140"/>
      <c r="D17147" s="140"/>
      <c r="E17147" s="140"/>
    </row>
    <row r="17148" spans="1:5">
      <c r="A17148" s="140"/>
      <c r="B17148" s="192"/>
      <c r="C17148" s="140"/>
      <c r="D17148" s="140"/>
      <c r="E17148" s="140"/>
    </row>
    <row r="17149" spans="1:5">
      <c r="A17149" s="140"/>
      <c r="B17149" s="192"/>
      <c r="C17149" s="140"/>
      <c r="D17149" s="140"/>
      <c r="E17149" s="140"/>
    </row>
    <row r="17150" spans="1:5">
      <c r="A17150" s="140"/>
      <c r="B17150" s="192"/>
      <c r="C17150" s="140"/>
      <c r="D17150" s="140"/>
      <c r="E17150" s="140"/>
    </row>
    <row r="17151" spans="1:5">
      <c r="A17151" s="140"/>
      <c r="B17151" s="192"/>
      <c r="C17151" s="140"/>
      <c r="D17151" s="140"/>
      <c r="E17151" s="140"/>
    </row>
    <row r="17152" spans="1:5">
      <c r="A17152" s="140"/>
      <c r="B17152" s="192"/>
      <c r="C17152" s="140"/>
      <c r="D17152" s="140"/>
      <c r="E17152" s="140"/>
    </row>
    <row r="17153" spans="1:5">
      <c r="A17153" s="140"/>
      <c r="B17153" s="192"/>
      <c r="C17153" s="140"/>
      <c r="D17153" s="140"/>
      <c r="E17153" s="140"/>
    </row>
    <row r="17154" spans="1:5">
      <c r="A17154" s="140"/>
      <c r="B17154" s="192"/>
      <c r="C17154" s="140"/>
      <c r="D17154" s="140"/>
      <c r="E17154" s="140"/>
    </row>
    <row r="17155" spans="1:5">
      <c r="A17155" s="140"/>
      <c r="B17155" s="192"/>
      <c r="C17155" s="140"/>
      <c r="D17155" s="140"/>
      <c r="E17155" s="140"/>
    </row>
    <row r="17156" spans="1:5">
      <c r="A17156" s="140"/>
      <c r="B17156" s="192"/>
      <c r="C17156" s="140"/>
      <c r="D17156" s="140"/>
      <c r="E17156" s="140"/>
    </row>
    <row r="17157" spans="1:5">
      <c r="A17157" s="140"/>
      <c r="B17157" s="192"/>
      <c r="C17157" s="140"/>
      <c r="D17157" s="140"/>
      <c r="E17157" s="140"/>
    </row>
    <row r="17158" spans="1:5">
      <c r="A17158" s="140"/>
      <c r="B17158" s="192"/>
      <c r="C17158" s="140"/>
      <c r="D17158" s="140"/>
      <c r="E17158" s="140"/>
    </row>
    <row r="17159" spans="1:5">
      <c r="A17159" s="140"/>
      <c r="B17159" s="192"/>
      <c r="C17159" s="140"/>
      <c r="D17159" s="140"/>
      <c r="E17159" s="140"/>
    </row>
    <row r="17160" spans="1:5">
      <c r="A17160" s="140"/>
      <c r="B17160" s="192"/>
      <c r="C17160" s="140"/>
      <c r="D17160" s="140"/>
      <c r="E17160" s="140"/>
    </row>
    <row r="17161" spans="1:5">
      <c r="A17161" s="140"/>
      <c r="B17161" s="192"/>
      <c r="C17161" s="140"/>
      <c r="D17161" s="140"/>
      <c r="E17161" s="140"/>
    </row>
    <row r="17162" spans="1:5">
      <c r="A17162" s="140"/>
      <c r="B17162" s="192"/>
      <c r="C17162" s="140"/>
      <c r="D17162" s="140"/>
      <c r="E17162" s="140"/>
    </row>
    <row r="17163" spans="1:5">
      <c r="A17163" s="140"/>
      <c r="B17163" s="192"/>
      <c r="C17163" s="140"/>
      <c r="D17163" s="140"/>
      <c r="E17163" s="140"/>
    </row>
    <row r="17164" spans="1:5">
      <c r="A17164" s="140"/>
      <c r="B17164" s="192"/>
      <c r="C17164" s="140"/>
      <c r="D17164" s="140"/>
      <c r="E17164" s="140"/>
    </row>
    <row r="17165" spans="1:5">
      <c r="A17165" s="140"/>
      <c r="B17165" s="192"/>
      <c r="C17165" s="140"/>
      <c r="D17165" s="140"/>
      <c r="E17165" s="140"/>
    </row>
    <row r="17166" spans="1:5">
      <c r="A17166" s="140"/>
      <c r="B17166" s="192"/>
      <c r="C17166" s="140"/>
      <c r="D17166" s="140"/>
      <c r="E17166" s="140"/>
    </row>
    <row r="17167" spans="1:5">
      <c r="A17167" s="140"/>
      <c r="B17167" s="192"/>
      <c r="C17167" s="140"/>
      <c r="D17167" s="140"/>
      <c r="E17167" s="140"/>
    </row>
    <row r="17168" spans="1:5">
      <c r="A17168" s="140"/>
      <c r="B17168" s="192"/>
      <c r="C17168" s="140"/>
      <c r="D17168" s="140"/>
      <c r="E17168" s="140"/>
    </row>
    <row r="17169" spans="1:5">
      <c r="A17169" s="140"/>
      <c r="B17169" s="192"/>
      <c r="C17169" s="140"/>
      <c r="D17169" s="140"/>
      <c r="E17169" s="140"/>
    </row>
    <row r="17170" spans="1:5">
      <c r="A17170" s="140"/>
      <c r="B17170" s="192"/>
      <c r="C17170" s="140"/>
      <c r="D17170" s="140"/>
      <c r="E17170" s="140"/>
    </row>
    <row r="17171" spans="1:5">
      <c r="A17171" s="140"/>
      <c r="B17171" s="192"/>
      <c r="C17171" s="140"/>
      <c r="D17171" s="140"/>
      <c r="E17171" s="140"/>
    </row>
    <row r="17172" spans="1:5">
      <c r="A17172" s="140"/>
      <c r="B17172" s="192"/>
      <c r="C17172" s="140"/>
      <c r="D17172" s="140"/>
      <c r="E17172" s="140"/>
    </row>
    <row r="17173" spans="1:5">
      <c r="A17173" s="140"/>
      <c r="B17173" s="192"/>
      <c r="C17173" s="140"/>
      <c r="D17173" s="140"/>
      <c r="E17173" s="140"/>
    </row>
    <row r="17174" spans="1:5">
      <c r="A17174" s="140"/>
      <c r="B17174" s="192"/>
      <c r="C17174" s="140"/>
      <c r="D17174" s="140"/>
      <c r="E17174" s="140"/>
    </row>
    <row r="17175" spans="1:5">
      <c r="A17175" s="140"/>
      <c r="B17175" s="192"/>
      <c r="C17175" s="140"/>
      <c r="D17175" s="140"/>
      <c r="E17175" s="140"/>
    </row>
    <row r="17176" spans="1:5">
      <c r="A17176" s="140"/>
      <c r="B17176" s="192"/>
      <c r="C17176" s="140"/>
      <c r="D17176" s="140"/>
      <c r="E17176" s="140"/>
    </row>
    <row r="17177" spans="1:5">
      <c r="A17177" s="140"/>
      <c r="B17177" s="192"/>
      <c r="C17177" s="140"/>
      <c r="D17177" s="140"/>
      <c r="E17177" s="140"/>
    </row>
    <row r="17178" spans="1:5">
      <c r="A17178" s="140"/>
      <c r="B17178" s="192"/>
      <c r="C17178" s="140"/>
      <c r="D17178" s="140"/>
      <c r="E17178" s="140"/>
    </row>
    <row r="17179" spans="1:5">
      <c r="A17179" s="140"/>
      <c r="B17179" s="192"/>
      <c r="C17179" s="140"/>
      <c r="D17179" s="140"/>
      <c r="E17179" s="140"/>
    </row>
    <row r="17180" spans="1:5">
      <c r="A17180" s="140"/>
      <c r="B17180" s="192"/>
      <c r="C17180" s="140"/>
      <c r="D17180" s="140"/>
      <c r="E17180" s="140"/>
    </row>
    <row r="17181" spans="1:5">
      <c r="A17181" s="140"/>
      <c r="B17181" s="192"/>
      <c r="C17181" s="140"/>
      <c r="D17181" s="140"/>
      <c r="E17181" s="140"/>
    </row>
    <row r="17182" spans="1:5">
      <c r="A17182" s="140"/>
      <c r="B17182" s="192"/>
      <c r="C17182" s="140"/>
      <c r="D17182" s="140"/>
      <c r="E17182" s="140"/>
    </row>
    <row r="17183" spans="1:5">
      <c r="A17183" s="140"/>
      <c r="B17183" s="192"/>
      <c r="C17183" s="140"/>
      <c r="D17183" s="140"/>
      <c r="E17183" s="140"/>
    </row>
    <row r="17184" spans="1:5">
      <c r="A17184" s="140"/>
      <c r="B17184" s="192"/>
      <c r="C17184" s="140"/>
      <c r="D17184" s="140"/>
      <c r="E17184" s="140"/>
    </row>
    <row r="17185" spans="1:5">
      <c r="A17185" s="140"/>
      <c r="B17185" s="192"/>
      <c r="C17185" s="140"/>
      <c r="D17185" s="140"/>
      <c r="E17185" s="140"/>
    </row>
    <row r="17186" spans="1:5">
      <c r="A17186" s="140"/>
      <c r="B17186" s="192"/>
      <c r="C17186" s="140"/>
      <c r="D17186" s="140"/>
      <c r="E17186" s="140"/>
    </row>
    <row r="17187" spans="1:5">
      <c r="A17187" s="140"/>
      <c r="B17187" s="192"/>
      <c r="C17187" s="140"/>
      <c r="D17187" s="140"/>
      <c r="E17187" s="140"/>
    </row>
    <row r="17188" spans="1:5">
      <c r="A17188" s="140"/>
      <c r="B17188" s="192"/>
      <c r="C17188" s="140"/>
      <c r="D17188" s="140"/>
      <c r="E17188" s="140"/>
    </row>
    <row r="17189" spans="1:5">
      <c r="A17189" s="140"/>
      <c r="B17189" s="192"/>
      <c r="C17189" s="140"/>
      <c r="D17189" s="140"/>
      <c r="E17189" s="140"/>
    </row>
    <row r="17190" spans="1:5">
      <c r="A17190" s="140"/>
      <c r="B17190" s="192"/>
      <c r="C17190" s="140"/>
      <c r="D17190" s="140"/>
      <c r="E17190" s="140"/>
    </row>
    <row r="17191" spans="1:5">
      <c r="A17191" s="140"/>
      <c r="B17191" s="192"/>
      <c r="C17191" s="140"/>
      <c r="D17191" s="140"/>
      <c r="E17191" s="140"/>
    </row>
    <row r="17192" spans="1:5">
      <c r="A17192" s="140"/>
      <c r="B17192" s="192"/>
      <c r="C17192" s="140"/>
      <c r="D17192" s="140"/>
      <c r="E17192" s="140"/>
    </row>
    <row r="17193" spans="1:5">
      <c r="A17193" s="140"/>
      <c r="B17193" s="192"/>
      <c r="C17193" s="140"/>
      <c r="D17193" s="140"/>
      <c r="E17193" s="140"/>
    </row>
    <row r="17194" spans="1:5">
      <c r="A17194" s="140"/>
      <c r="B17194" s="192"/>
      <c r="C17194" s="140"/>
      <c r="D17194" s="140"/>
      <c r="E17194" s="140"/>
    </row>
    <row r="17195" spans="1:5">
      <c r="A17195" s="140"/>
      <c r="B17195" s="192"/>
      <c r="C17195" s="140"/>
      <c r="D17195" s="140"/>
      <c r="E17195" s="140"/>
    </row>
    <row r="17196" spans="1:5">
      <c r="A17196" s="140"/>
      <c r="B17196" s="192"/>
      <c r="C17196" s="140"/>
      <c r="D17196" s="140"/>
      <c r="E17196" s="140"/>
    </row>
    <row r="17197" spans="1:5">
      <c r="A17197" s="140"/>
      <c r="B17197" s="192"/>
      <c r="C17197" s="140"/>
      <c r="D17197" s="140"/>
      <c r="E17197" s="140"/>
    </row>
    <row r="17198" spans="1:5">
      <c r="A17198" s="140"/>
      <c r="B17198" s="192"/>
      <c r="C17198" s="140"/>
      <c r="D17198" s="140"/>
      <c r="E17198" s="140"/>
    </row>
    <row r="17199" spans="1:5">
      <c r="A17199" s="140"/>
      <c r="B17199" s="192"/>
      <c r="C17199" s="140"/>
      <c r="D17199" s="140"/>
      <c r="E17199" s="140"/>
    </row>
    <row r="17200" spans="1:5">
      <c r="A17200" s="140"/>
      <c r="B17200" s="192"/>
      <c r="C17200" s="140"/>
      <c r="D17200" s="140"/>
      <c r="E17200" s="140"/>
    </row>
    <row r="17201" spans="1:5">
      <c r="A17201" s="140"/>
      <c r="B17201" s="192"/>
      <c r="C17201" s="140"/>
      <c r="D17201" s="140"/>
      <c r="E17201" s="140"/>
    </row>
    <row r="17202" spans="1:5">
      <c r="A17202" s="140"/>
      <c r="B17202" s="192"/>
      <c r="C17202" s="140"/>
      <c r="D17202" s="140"/>
      <c r="E17202" s="140"/>
    </row>
    <row r="17203" spans="1:5">
      <c r="A17203" s="140"/>
      <c r="B17203" s="192"/>
      <c r="C17203" s="140"/>
      <c r="D17203" s="140"/>
      <c r="E17203" s="140"/>
    </row>
    <row r="17204" spans="1:5">
      <c r="A17204" s="140"/>
      <c r="B17204" s="192"/>
      <c r="C17204" s="140"/>
      <c r="D17204" s="140"/>
      <c r="E17204" s="140"/>
    </row>
    <row r="17205" spans="1:5">
      <c r="A17205" s="140"/>
      <c r="B17205" s="192"/>
      <c r="C17205" s="140"/>
      <c r="D17205" s="140"/>
      <c r="E17205" s="140"/>
    </row>
    <row r="17206" spans="1:5">
      <c r="A17206" s="140"/>
      <c r="B17206" s="192"/>
      <c r="C17206" s="140"/>
      <c r="D17206" s="140"/>
      <c r="E17206" s="140"/>
    </row>
    <row r="17207" spans="1:5">
      <c r="A17207" s="140"/>
      <c r="B17207" s="192"/>
      <c r="C17207" s="140"/>
      <c r="D17207" s="140"/>
      <c r="E17207" s="140"/>
    </row>
    <row r="17208" spans="1:5">
      <c r="A17208" s="140"/>
      <c r="B17208" s="192"/>
      <c r="C17208" s="140"/>
      <c r="D17208" s="140"/>
      <c r="E17208" s="140"/>
    </row>
    <row r="17209" spans="1:5">
      <c r="A17209" s="140"/>
      <c r="B17209" s="192"/>
      <c r="C17209" s="140"/>
      <c r="D17209" s="140"/>
      <c r="E17209" s="140"/>
    </row>
    <row r="17210" spans="1:5">
      <c r="A17210" s="140"/>
      <c r="B17210" s="192"/>
      <c r="C17210" s="140"/>
      <c r="D17210" s="140"/>
      <c r="E17210" s="140"/>
    </row>
    <row r="17211" spans="1:5">
      <c r="A17211" s="140"/>
      <c r="B17211" s="192"/>
      <c r="C17211" s="140"/>
      <c r="D17211" s="140"/>
      <c r="E17211" s="140"/>
    </row>
    <row r="17212" spans="1:5">
      <c r="A17212" s="140"/>
      <c r="B17212" s="192"/>
      <c r="C17212" s="140"/>
      <c r="D17212" s="140"/>
      <c r="E17212" s="140"/>
    </row>
    <row r="17213" spans="1:5">
      <c r="A17213" s="140"/>
      <c r="B17213" s="192"/>
      <c r="C17213" s="140"/>
      <c r="D17213" s="140"/>
      <c r="E17213" s="140"/>
    </row>
    <row r="17214" spans="1:5">
      <c r="A17214" s="140"/>
      <c r="B17214" s="192"/>
      <c r="C17214" s="140"/>
      <c r="D17214" s="140"/>
      <c r="E17214" s="140"/>
    </row>
    <row r="17215" spans="1:5">
      <c r="A17215" s="140"/>
      <c r="B17215" s="192"/>
      <c r="C17215" s="140"/>
      <c r="D17215" s="140"/>
      <c r="E17215" s="140"/>
    </row>
    <row r="17216" spans="1:5">
      <c r="A17216" s="140"/>
      <c r="B17216" s="192"/>
      <c r="C17216" s="140"/>
      <c r="D17216" s="140"/>
      <c r="E17216" s="140"/>
    </row>
    <row r="17217" spans="1:5">
      <c r="A17217" s="140"/>
      <c r="B17217" s="192"/>
      <c r="C17217" s="140"/>
      <c r="D17217" s="140"/>
      <c r="E17217" s="140"/>
    </row>
    <row r="17218" spans="1:5">
      <c r="A17218" s="140"/>
      <c r="B17218" s="192"/>
      <c r="C17218" s="140"/>
      <c r="D17218" s="140"/>
      <c r="E17218" s="140"/>
    </row>
    <row r="17219" spans="1:5">
      <c r="A17219" s="140"/>
      <c r="B17219" s="192"/>
      <c r="C17219" s="140"/>
      <c r="D17219" s="140"/>
      <c r="E17219" s="140"/>
    </row>
    <row r="17220" spans="1:5">
      <c r="A17220" s="140"/>
      <c r="B17220" s="192"/>
      <c r="C17220" s="140"/>
      <c r="D17220" s="140"/>
      <c r="E17220" s="140"/>
    </row>
    <row r="17221" spans="1:5">
      <c r="A17221" s="140"/>
      <c r="B17221" s="192"/>
      <c r="C17221" s="140"/>
      <c r="D17221" s="140"/>
      <c r="E17221" s="140"/>
    </row>
    <row r="17222" spans="1:5">
      <c r="A17222" s="140"/>
      <c r="B17222" s="192"/>
      <c r="C17222" s="140"/>
      <c r="D17222" s="140"/>
      <c r="E17222" s="140"/>
    </row>
    <row r="17223" spans="1:5">
      <c r="A17223" s="140"/>
      <c r="B17223" s="192"/>
      <c r="C17223" s="140"/>
      <c r="D17223" s="140"/>
      <c r="E17223" s="140"/>
    </row>
    <row r="17224" spans="1:5">
      <c r="A17224" s="140"/>
      <c r="B17224" s="192"/>
      <c r="C17224" s="140"/>
      <c r="D17224" s="140"/>
      <c r="E17224" s="140"/>
    </row>
    <row r="17225" spans="1:5">
      <c r="A17225" s="140"/>
      <c r="B17225" s="192"/>
      <c r="C17225" s="140"/>
      <c r="D17225" s="140"/>
      <c r="E17225" s="140"/>
    </row>
    <row r="17226" spans="1:5">
      <c r="A17226" s="140"/>
      <c r="B17226" s="192"/>
      <c r="C17226" s="140"/>
      <c r="D17226" s="140"/>
      <c r="E17226" s="140"/>
    </row>
    <row r="17227" spans="1:5">
      <c r="A17227" s="140"/>
      <c r="B17227" s="192"/>
      <c r="C17227" s="140"/>
      <c r="D17227" s="140"/>
      <c r="E17227" s="140"/>
    </row>
    <row r="17228" spans="1:5">
      <c r="A17228" s="140"/>
      <c r="B17228" s="192"/>
      <c r="C17228" s="140"/>
      <c r="D17228" s="140"/>
      <c r="E17228" s="140"/>
    </row>
    <row r="17229" spans="1:5">
      <c r="A17229" s="140"/>
      <c r="B17229" s="192"/>
      <c r="C17229" s="140"/>
      <c r="D17229" s="140"/>
      <c r="E17229" s="140"/>
    </row>
    <row r="17230" spans="1:5">
      <c r="A17230" s="140"/>
      <c r="B17230" s="192"/>
      <c r="C17230" s="140"/>
      <c r="D17230" s="140"/>
      <c r="E17230" s="140"/>
    </row>
    <row r="17231" spans="1:5">
      <c r="A17231" s="140"/>
      <c r="B17231" s="192"/>
      <c r="C17231" s="140"/>
      <c r="D17231" s="140"/>
      <c r="E17231" s="140"/>
    </row>
    <row r="17232" spans="1:5">
      <c r="A17232" s="140"/>
      <c r="B17232" s="192"/>
      <c r="C17232" s="140"/>
      <c r="D17232" s="140"/>
      <c r="E17232" s="140"/>
    </row>
    <row r="17233" spans="1:5">
      <c r="A17233" s="140"/>
      <c r="B17233" s="192"/>
      <c r="C17233" s="140"/>
      <c r="D17233" s="140"/>
      <c r="E17233" s="140"/>
    </row>
    <row r="17234" spans="1:5">
      <c r="A17234" s="140"/>
      <c r="B17234" s="192"/>
      <c r="C17234" s="140"/>
      <c r="D17234" s="140"/>
      <c r="E17234" s="140"/>
    </row>
    <row r="17235" spans="1:5">
      <c r="A17235" s="140"/>
      <c r="B17235" s="192"/>
      <c r="C17235" s="140"/>
      <c r="D17235" s="140"/>
      <c r="E17235" s="140"/>
    </row>
    <row r="17236" spans="1:5">
      <c r="A17236" s="140"/>
      <c r="B17236" s="192"/>
      <c r="C17236" s="140"/>
      <c r="D17236" s="140"/>
      <c r="E17236" s="140"/>
    </row>
    <row r="17237" spans="1:5">
      <c r="A17237" s="140"/>
      <c r="B17237" s="192"/>
      <c r="C17237" s="140"/>
      <c r="D17237" s="140"/>
      <c r="E17237" s="140"/>
    </row>
    <row r="17238" spans="1:5">
      <c r="A17238" s="140"/>
      <c r="B17238" s="192"/>
      <c r="C17238" s="140"/>
      <c r="D17238" s="140"/>
      <c r="E17238" s="140"/>
    </row>
    <row r="17239" spans="1:5">
      <c r="A17239" s="140"/>
      <c r="B17239" s="192"/>
      <c r="C17239" s="140"/>
      <c r="D17239" s="140"/>
      <c r="E17239" s="140"/>
    </row>
    <row r="17240" spans="1:5">
      <c r="A17240" s="140"/>
      <c r="B17240" s="192"/>
      <c r="C17240" s="140"/>
      <c r="D17240" s="140"/>
      <c r="E17240" s="140"/>
    </row>
    <row r="17241" spans="1:5">
      <c r="A17241" s="140"/>
      <c r="B17241" s="192"/>
      <c r="C17241" s="140"/>
      <c r="D17241" s="140"/>
      <c r="E17241" s="140"/>
    </row>
    <row r="17242" spans="1:5">
      <c r="A17242" s="140"/>
      <c r="B17242" s="192"/>
      <c r="C17242" s="140"/>
      <c r="D17242" s="140"/>
      <c r="E17242" s="140"/>
    </row>
    <row r="17243" spans="1:5">
      <c r="A17243" s="140"/>
      <c r="B17243" s="192"/>
      <c r="C17243" s="140"/>
      <c r="D17243" s="140"/>
      <c r="E17243" s="140"/>
    </row>
    <row r="17244" spans="1:5">
      <c r="A17244" s="140"/>
      <c r="B17244" s="192"/>
      <c r="C17244" s="140"/>
      <c r="D17244" s="140"/>
      <c r="E17244" s="140"/>
    </row>
    <row r="17245" spans="1:5">
      <c r="A17245" s="140"/>
      <c r="B17245" s="192"/>
      <c r="C17245" s="140"/>
      <c r="D17245" s="140"/>
      <c r="E17245" s="140"/>
    </row>
    <row r="17246" spans="1:5">
      <c r="A17246" s="140"/>
      <c r="B17246" s="192"/>
      <c r="C17246" s="140"/>
      <c r="D17246" s="140"/>
      <c r="E17246" s="140"/>
    </row>
    <row r="17247" spans="1:5">
      <c r="A17247" s="140"/>
      <c r="B17247" s="192"/>
      <c r="C17247" s="140"/>
      <c r="D17247" s="140"/>
      <c r="E17247" s="140"/>
    </row>
    <row r="17248" spans="1:5">
      <c r="A17248" s="140"/>
      <c r="B17248" s="192"/>
      <c r="C17248" s="140"/>
      <c r="D17248" s="140"/>
      <c r="E17248" s="140"/>
    </row>
    <row r="17249" spans="1:5">
      <c r="A17249" s="140"/>
      <c r="B17249" s="192"/>
      <c r="C17249" s="140"/>
      <c r="D17249" s="140"/>
      <c r="E17249" s="140"/>
    </row>
    <row r="17250" spans="1:5">
      <c r="A17250" s="140"/>
      <c r="B17250" s="192"/>
      <c r="C17250" s="140"/>
      <c r="D17250" s="140"/>
      <c r="E17250" s="140"/>
    </row>
    <row r="17251" spans="1:5">
      <c r="A17251" s="140"/>
      <c r="B17251" s="192"/>
      <c r="C17251" s="140"/>
      <c r="D17251" s="140"/>
      <c r="E17251" s="140"/>
    </row>
    <row r="17252" spans="1:5">
      <c r="A17252" s="140"/>
      <c r="B17252" s="192"/>
      <c r="C17252" s="140"/>
      <c r="D17252" s="140"/>
      <c r="E17252" s="140"/>
    </row>
    <row r="17253" spans="1:5">
      <c r="A17253" s="140"/>
      <c r="B17253" s="192"/>
      <c r="C17253" s="140"/>
      <c r="D17253" s="140"/>
      <c r="E17253" s="140"/>
    </row>
    <row r="17254" spans="1:5">
      <c r="A17254" s="140"/>
      <c r="B17254" s="192"/>
      <c r="C17254" s="140"/>
      <c r="D17254" s="140"/>
      <c r="E17254" s="140"/>
    </row>
    <row r="17255" spans="1:5">
      <c r="A17255" s="140"/>
      <c r="B17255" s="192"/>
      <c r="C17255" s="140"/>
      <c r="D17255" s="140"/>
      <c r="E17255" s="140"/>
    </row>
    <row r="17256" spans="1:5">
      <c r="A17256" s="140"/>
      <c r="B17256" s="192"/>
      <c r="C17256" s="140"/>
      <c r="D17256" s="140"/>
      <c r="E17256" s="140"/>
    </row>
    <row r="17257" spans="1:5">
      <c r="A17257" s="140"/>
      <c r="B17257" s="192"/>
      <c r="C17257" s="140"/>
      <c r="D17257" s="140"/>
      <c r="E17257" s="140"/>
    </row>
    <row r="17258" spans="1:5">
      <c r="A17258" s="140"/>
      <c r="B17258" s="192"/>
      <c r="C17258" s="140"/>
      <c r="D17258" s="140"/>
      <c r="E17258" s="140"/>
    </row>
    <row r="17259" spans="1:5">
      <c r="A17259" s="140"/>
      <c r="B17259" s="192"/>
      <c r="C17259" s="140"/>
      <c r="D17259" s="140"/>
      <c r="E17259" s="140"/>
    </row>
    <row r="17260" spans="1:5">
      <c r="A17260" s="140"/>
      <c r="B17260" s="192"/>
      <c r="C17260" s="140"/>
      <c r="D17260" s="140"/>
      <c r="E17260" s="140"/>
    </row>
    <row r="17261" spans="1:5">
      <c r="A17261" s="140"/>
      <c r="B17261" s="192"/>
      <c r="C17261" s="140"/>
      <c r="D17261" s="140"/>
      <c r="E17261" s="140"/>
    </row>
    <row r="17262" spans="1:5">
      <c r="A17262" s="140"/>
      <c r="B17262" s="192"/>
      <c r="C17262" s="140"/>
      <c r="D17262" s="140"/>
      <c r="E17262" s="140"/>
    </row>
    <row r="17263" spans="1:5">
      <c r="A17263" s="140"/>
      <c r="B17263" s="192"/>
      <c r="C17263" s="140"/>
      <c r="D17263" s="140"/>
      <c r="E17263" s="140"/>
    </row>
    <row r="17264" spans="1:5">
      <c r="A17264" s="140"/>
      <c r="B17264" s="192"/>
      <c r="C17264" s="140"/>
      <c r="D17264" s="140"/>
      <c r="E17264" s="140"/>
    </row>
    <row r="17265" spans="1:5">
      <c r="A17265" s="140"/>
      <c r="B17265" s="192"/>
      <c r="C17265" s="140"/>
      <c r="D17265" s="140"/>
      <c r="E17265" s="140"/>
    </row>
    <row r="17266" spans="1:5">
      <c r="A17266" s="140"/>
      <c r="B17266" s="192"/>
      <c r="C17266" s="140"/>
      <c r="D17266" s="140"/>
      <c r="E17266" s="140"/>
    </row>
    <row r="17267" spans="1:5">
      <c r="A17267" s="140"/>
      <c r="B17267" s="192"/>
      <c r="C17267" s="140"/>
      <c r="D17267" s="140"/>
      <c r="E17267" s="140"/>
    </row>
    <row r="17268" spans="1:5">
      <c r="A17268" s="140"/>
      <c r="B17268" s="192"/>
      <c r="C17268" s="140"/>
      <c r="D17268" s="140"/>
      <c r="E17268" s="140"/>
    </row>
    <row r="17269" spans="1:5">
      <c r="A17269" s="140"/>
      <c r="B17269" s="192"/>
      <c r="C17269" s="140"/>
      <c r="D17269" s="140"/>
      <c r="E17269" s="140"/>
    </row>
    <row r="17270" spans="1:5">
      <c r="A17270" s="140"/>
      <c r="B17270" s="192"/>
      <c r="C17270" s="140"/>
      <c r="D17270" s="140"/>
      <c r="E17270" s="140"/>
    </row>
    <row r="17271" spans="1:5">
      <c r="A17271" s="140"/>
      <c r="B17271" s="192"/>
      <c r="C17271" s="140"/>
      <c r="D17271" s="140"/>
      <c r="E17271" s="140"/>
    </row>
    <row r="17272" spans="1:5">
      <c r="A17272" s="140"/>
      <c r="B17272" s="192"/>
      <c r="C17272" s="140"/>
      <c r="D17272" s="140"/>
      <c r="E17272" s="140"/>
    </row>
    <row r="17273" spans="1:5">
      <c r="A17273" s="140"/>
      <c r="B17273" s="192"/>
      <c r="C17273" s="140"/>
      <c r="D17273" s="140"/>
      <c r="E17273" s="140"/>
    </row>
    <row r="17274" spans="1:5">
      <c r="A17274" s="140"/>
      <c r="B17274" s="192"/>
      <c r="C17274" s="140"/>
      <c r="D17274" s="140"/>
      <c r="E17274" s="140"/>
    </row>
    <row r="17275" spans="1:5">
      <c r="A17275" s="140"/>
      <c r="B17275" s="192"/>
      <c r="C17275" s="140"/>
      <c r="D17275" s="140"/>
      <c r="E17275" s="140"/>
    </row>
    <row r="17276" spans="1:5">
      <c r="A17276" s="140"/>
      <c r="B17276" s="192"/>
      <c r="C17276" s="140"/>
      <c r="D17276" s="140"/>
      <c r="E17276" s="140"/>
    </row>
    <row r="17277" spans="1:5">
      <c r="A17277" s="140"/>
      <c r="B17277" s="192"/>
      <c r="C17277" s="140"/>
      <c r="D17277" s="140"/>
      <c r="E17277" s="140"/>
    </row>
    <row r="17278" spans="1:5">
      <c r="A17278" s="140"/>
      <c r="B17278" s="192"/>
      <c r="C17278" s="140"/>
      <c r="D17278" s="140"/>
      <c r="E17278" s="140"/>
    </row>
    <row r="17279" spans="1:5">
      <c r="A17279" s="140"/>
      <c r="B17279" s="192"/>
      <c r="C17279" s="140"/>
      <c r="D17279" s="140"/>
      <c r="E17279" s="140"/>
    </row>
    <row r="17280" spans="1:5">
      <c r="A17280" s="140"/>
      <c r="B17280" s="192"/>
      <c r="C17280" s="140"/>
      <c r="D17280" s="140"/>
      <c r="E17280" s="140"/>
    </row>
    <row r="17281" spans="1:5">
      <c r="A17281" s="140"/>
      <c r="B17281" s="192"/>
      <c r="C17281" s="140"/>
      <c r="D17281" s="140"/>
      <c r="E17281" s="140"/>
    </row>
    <row r="17282" spans="1:5">
      <c r="A17282" s="140"/>
      <c r="B17282" s="192"/>
      <c r="C17282" s="140"/>
      <c r="D17282" s="140"/>
      <c r="E17282" s="140"/>
    </row>
    <row r="17283" spans="1:5">
      <c r="A17283" s="140"/>
      <c r="B17283" s="192"/>
      <c r="C17283" s="140"/>
      <c r="D17283" s="140"/>
      <c r="E17283" s="140"/>
    </row>
    <row r="17284" spans="1:5">
      <c r="A17284" s="140"/>
      <c r="B17284" s="192"/>
      <c r="C17284" s="140"/>
      <c r="D17284" s="140"/>
      <c r="E17284" s="140"/>
    </row>
    <row r="17285" spans="1:5">
      <c r="A17285" s="140"/>
      <c r="B17285" s="192"/>
      <c r="C17285" s="140"/>
      <c r="D17285" s="140"/>
      <c r="E17285" s="140"/>
    </row>
    <row r="17286" spans="1:5">
      <c r="A17286" s="140"/>
      <c r="B17286" s="192"/>
      <c r="C17286" s="140"/>
      <c r="D17286" s="140"/>
      <c r="E17286" s="140"/>
    </row>
    <row r="17287" spans="1:5">
      <c r="A17287" s="140"/>
      <c r="B17287" s="192"/>
      <c r="C17287" s="140"/>
      <c r="D17287" s="140"/>
      <c r="E17287" s="140"/>
    </row>
    <row r="17288" spans="1:5">
      <c r="A17288" s="140"/>
      <c r="B17288" s="192"/>
      <c r="C17288" s="140"/>
      <c r="D17288" s="140"/>
      <c r="E17288" s="140"/>
    </row>
    <row r="17289" spans="1:5">
      <c r="A17289" s="140"/>
      <c r="B17289" s="192"/>
      <c r="C17289" s="140"/>
      <c r="D17289" s="140"/>
      <c r="E17289" s="140"/>
    </row>
    <row r="17290" spans="1:5">
      <c r="A17290" s="140"/>
      <c r="B17290" s="192"/>
      <c r="C17290" s="140"/>
      <c r="D17290" s="140"/>
      <c r="E17290" s="140"/>
    </row>
    <row r="17291" spans="1:5">
      <c r="A17291" s="140"/>
      <c r="B17291" s="192"/>
      <c r="C17291" s="140"/>
      <c r="D17291" s="140"/>
      <c r="E17291" s="140"/>
    </row>
    <row r="17292" spans="1:5">
      <c r="A17292" s="140"/>
      <c r="B17292" s="192"/>
      <c r="C17292" s="140"/>
      <c r="D17292" s="140"/>
      <c r="E17292" s="140"/>
    </row>
    <row r="17293" spans="1:5">
      <c r="A17293" s="140"/>
      <c r="B17293" s="192"/>
      <c r="C17293" s="140"/>
      <c r="D17293" s="140"/>
      <c r="E17293" s="140"/>
    </row>
    <row r="17294" spans="1:5">
      <c r="A17294" s="140"/>
      <c r="B17294" s="192"/>
      <c r="C17294" s="140"/>
      <c r="D17294" s="140"/>
      <c r="E17294" s="140"/>
    </row>
    <row r="17295" spans="1:5">
      <c r="A17295" s="140"/>
      <c r="B17295" s="192"/>
      <c r="C17295" s="140"/>
      <c r="D17295" s="140"/>
      <c r="E17295" s="140"/>
    </row>
    <row r="17296" spans="1:5">
      <c r="A17296" s="140"/>
      <c r="B17296" s="192"/>
      <c r="C17296" s="140"/>
      <c r="D17296" s="140"/>
      <c r="E17296" s="140"/>
    </row>
    <row r="17297" spans="1:5">
      <c r="A17297" s="140"/>
      <c r="B17297" s="192"/>
      <c r="C17297" s="140"/>
      <c r="D17297" s="140"/>
      <c r="E17297" s="140"/>
    </row>
    <row r="17298" spans="1:5">
      <c r="A17298" s="140"/>
      <c r="B17298" s="192"/>
      <c r="C17298" s="140"/>
      <c r="D17298" s="140"/>
      <c r="E17298" s="140"/>
    </row>
    <row r="17299" spans="1:5">
      <c r="A17299" s="140"/>
      <c r="B17299" s="192"/>
      <c r="C17299" s="140"/>
      <c r="D17299" s="140"/>
      <c r="E17299" s="140"/>
    </row>
    <row r="17300" spans="1:5">
      <c r="A17300" s="140"/>
      <c r="B17300" s="192"/>
      <c r="C17300" s="140"/>
      <c r="D17300" s="140"/>
      <c r="E17300" s="140"/>
    </row>
    <row r="17301" spans="1:5">
      <c r="A17301" s="140"/>
      <c r="B17301" s="192"/>
      <c r="C17301" s="140"/>
      <c r="D17301" s="140"/>
      <c r="E17301" s="140"/>
    </row>
    <row r="17302" spans="1:5">
      <c r="A17302" s="140"/>
      <c r="B17302" s="192"/>
      <c r="C17302" s="140"/>
      <c r="D17302" s="140"/>
      <c r="E17302" s="140"/>
    </row>
    <row r="17303" spans="1:5">
      <c r="A17303" s="140"/>
      <c r="B17303" s="192"/>
      <c r="C17303" s="140"/>
      <c r="D17303" s="140"/>
      <c r="E17303" s="140"/>
    </row>
    <row r="17304" spans="1:5">
      <c r="A17304" s="140"/>
      <c r="B17304" s="192"/>
      <c r="C17304" s="140"/>
      <c r="D17304" s="140"/>
      <c r="E17304" s="140"/>
    </row>
    <row r="17305" spans="1:5">
      <c r="A17305" s="140"/>
      <c r="B17305" s="192"/>
      <c r="C17305" s="140"/>
      <c r="D17305" s="140"/>
      <c r="E17305" s="140"/>
    </row>
    <row r="17306" spans="1:5">
      <c r="A17306" s="140"/>
      <c r="B17306" s="192"/>
      <c r="C17306" s="140"/>
      <c r="D17306" s="140"/>
      <c r="E17306" s="140"/>
    </row>
    <row r="17307" spans="1:5">
      <c r="A17307" s="140"/>
      <c r="B17307" s="192"/>
      <c r="C17307" s="140"/>
      <c r="D17307" s="140"/>
      <c r="E17307" s="140"/>
    </row>
    <row r="17308" spans="1:5">
      <c r="A17308" s="140"/>
      <c r="B17308" s="192"/>
      <c r="C17308" s="140"/>
      <c r="D17308" s="140"/>
      <c r="E17308" s="140"/>
    </row>
    <row r="17309" spans="1:5">
      <c r="A17309" s="140"/>
      <c r="B17309" s="192"/>
      <c r="C17309" s="140"/>
      <c r="D17309" s="140"/>
      <c r="E17309" s="140"/>
    </row>
    <row r="17310" spans="1:5">
      <c r="A17310" s="140"/>
      <c r="B17310" s="192"/>
      <c r="C17310" s="140"/>
      <c r="D17310" s="140"/>
      <c r="E17310" s="140"/>
    </row>
    <row r="17311" spans="1:5">
      <c r="A17311" s="140"/>
      <c r="B17311" s="192"/>
      <c r="C17311" s="140"/>
      <c r="D17311" s="140"/>
      <c r="E17311" s="140"/>
    </row>
    <row r="17312" spans="1:5">
      <c r="A17312" s="140"/>
      <c r="B17312" s="192"/>
      <c r="C17312" s="140"/>
      <c r="D17312" s="140"/>
      <c r="E17312" s="140"/>
    </row>
    <row r="17313" spans="1:5">
      <c r="A17313" s="140"/>
      <c r="B17313" s="192"/>
      <c r="C17313" s="140"/>
      <c r="D17313" s="140"/>
      <c r="E17313" s="140"/>
    </row>
    <row r="17314" spans="1:5">
      <c r="A17314" s="140"/>
      <c r="B17314" s="192"/>
      <c r="C17314" s="140"/>
      <c r="D17314" s="140"/>
      <c r="E17314" s="140"/>
    </row>
    <row r="17315" spans="1:5">
      <c r="A17315" s="140"/>
      <c r="B17315" s="192"/>
      <c r="C17315" s="140"/>
      <c r="D17315" s="140"/>
      <c r="E17315" s="140"/>
    </row>
    <row r="17316" spans="1:5">
      <c r="A17316" s="140"/>
      <c r="B17316" s="192"/>
      <c r="C17316" s="140"/>
      <c r="D17316" s="140"/>
      <c r="E17316" s="140"/>
    </row>
    <row r="17317" spans="1:5">
      <c r="A17317" s="140"/>
      <c r="B17317" s="192"/>
      <c r="C17317" s="140"/>
      <c r="D17317" s="140"/>
      <c r="E17317" s="140"/>
    </row>
    <row r="17318" spans="1:5">
      <c r="A17318" s="140"/>
      <c r="B17318" s="192"/>
      <c r="C17318" s="140"/>
      <c r="D17318" s="140"/>
      <c r="E17318" s="140"/>
    </row>
    <row r="17319" spans="1:5">
      <c r="A17319" s="140"/>
      <c r="B17319" s="192"/>
      <c r="C17319" s="140"/>
      <c r="D17319" s="140"/>
      <c r="E17319" s="140"/>
    </row>
    <row r="17320" spans="1:5">
      <c r="A17320" s="140"/>
      <c r="B17320" s="192"/>
      <c r="C17320" s="140"/>
      <c r="D17320" s="140"/>
      <c r="E17320" s="140"/>
    </row>
    <row r="17321" spans="1:5">
      <c r="A17321" s="140"/>
      <c r="B17321" s="192"/>
      <c r="C17321" s="140"/>
      <c r="D17321" s="140"/>
      <c r="E17321" s="140"/>
    </row>
    <row r="17322" spans="1:5">
      <c r="A17322" s="140"/>
      <c r="B17322" s="192"/>
      <c r="C17322" s="140"/>
      <c r="D17322" s="140"/>
      <c r="E17322" s="140"/>
    </row>
    <row r="17323" spans="1:5">
      <c r="A17323" s="140"/>
      <c r="B17323" s="192"/>
      <c r="C17323" s="140"/>
      <c r="D17323" s="140"/>
      <c r="E17323" s="140"/>
    </row>
    <row r="17324" spans="1:5">
      <c r="A17324" s="140"/>
      <c r="B17324" s="192"/>
      <c r="C17324" s="140"/>
      <c r="D17324" s="140"/>
      <c r="E17324" s="140"/>
    </row>
    <row r="17325" spans="1:5">
      <c r="A17325" s="140"/>
      <c r="B17325" s="192"/>
      <c r="C17325" s="140"/>
      <c r="D17325" s="140"/>
      <c r="E17325" s="140"/>
    </row>
    <row r="17326" spans="1:5">
      <c r="A17326" s="140"/>
      <c r="B17326" s="192"/>
      <c r="C17326" s="140"/>
      <c r="D17326" s="140"/>
      <c r="E17326" s="140"/>
    </row>
    <row r="17327" spans="1:5">
      <c r="A17327" s="140"/>
      <c r="B17327" s="192"/>
      <c r="C17327" s="140"/>
      <c r="D17327" s="140"/>
      <c r="E17327" s="140"/>
    </row>
    <row r="17328" spans="1:5">
      <c r="A17328" s="140"/>
      <c r="B17328" s="192"/>
      <c r="C17328" s="140"/>
      <c r="D17328" s="140"/>
      <c r="E17328" s="140"/>
    </row>
    <row r="17329" spans="1:5">
      <c r="A17329" s="140"/>
      <c r="B17329" s="192"/>
      <c r="C17329" s="140"/>
      <c r="D17329" s="140"/>
      <c r="E17329" s="140"/>
    </row>
    <row r="17330" spans="1:5">
      <c r="A17330" s="140"/>
      <c r="B17330" s="192"/>
      <c r="C17330" s="140"/>
      <c r="D17330" s="140"/>
      <c r="E17330" s="140"/>
    </row>
    <row r="17331" spans="1:5">
      <c r="A17331" s="140"/>
      <c r="B17331" s="192"/>
      <c r="C17331" s="140"/>
      <c r="D17331" s="140"/>
      <c r="E17331" s="140"/>
    </row>
    <row r="17332" spans="1:5">
      <c r="A17332" s="140"/>
      <c r="B17332" s="192"/>
      <c r="C17332" s="140"/>
      <c r="D17332" s="140"/>
      <c r="E17332" s="140"/>
    </row>
    <row r="17333" spans="1:5">
      <c r="A17333" s="140"/>
      <c r="B17333" s="192"/>
      <c r="C17333" s="140"/>
      <c r="D17333" s="140"/>
      <c r="E17333" s="140"/>
    </row>
    <row r="17334" spans="1:5">
      <c r="A17334" s="140"/>
      <c r="B17334" s="192"/>
      <c r="C17334" s="140"/>
      <c r="D17334" s="140"/>
      <c r="E17334" s="140"/>
    </row>
    <row r="17335" spans="1:5">
      <c r="A17335" s="140"/>
      <c r="B17335" s="192"/>
      <c r="C17335" s="140"/>
      <c r="D17335" s="140"/>
      <c r="E17335" s="140"/>
    </row>
    <row r="17336" spans="1:5">
      <c r="A17336" s="140"/>
      <c r="B17336" s="192"/>
      <c r="C17336" s="140"/>
      <c r="D17336" s="140"/>
      <c r="E17336" s="140"/>
    </row>
    <row r="17337" spans="1:5">
      <c r="A17337" s="140"/>
      <c r="B17337" s="192"/>
      <c r="C17337" s="140"/>
      <c r="D17337" s="140"/>
      <c r="E17337" s="140"/>
    </row>
    <row r="17338" spans="1:5">
      <c r="A17338" s="140"/>
      <c r="B17338" s="192"/>
      <c r="C17338" s="140"/>
      <c r="D17338" s="140"/>
      <c r="E17338" s="140"/>
    </row>
    <row r="17339" spans="1:5">
      <c r="A17339" s="140"/>
      <c r="B17339" s="192"/>
      <c r="C17339" s="140"/>
      <c r="D17339" s="140"/>
      <c r="E17339" s="140"/>
    </row>
    <row r="17340" spans="1:5">
      <c r="A17340" s="140"/>
      <c r="B17340" s="192"/>
      <c r="C17340" s="140"/>
      <c r="D17340" s="140"/>
      <c r="E17340" s="140"/>
    </row>
    <row r="17341" spans="1:5">
      <c r="A17341" s="140"/>
      <c r="B17341" s="192"/>
      <c r="C17341" s="140"/>
      <c r="D17341" s="140"/>
      <c r="E17341" s="140"/>
    </row>
    <row r="17342" spans="1:5">
      <c r="A17342" s="140"/>
      <c r="B17342" s="192"/>
      <c r="C17342" s="140"/>
      <c r="D17342" s="140"/>
      <c r="E17342" s="140"/>
    </row>
    <row r="17343" spans="1:5">
      <c r="A17343" s="140"/>
      <c r="B17343" s="192"/>
      <c r="C17343" s="140"/>
      <c r="D17343" s="140"/>
      <c r="E17343" s="140"/>
    </row>
    <row r="17344" spans="1:5">
      <c r="A17344" s="140"/>
      <c r="B17344" s="192"/>
      <c r="C17344" s="140"/>
      <c r="D17344" s="140"/>
      <c r="E17344" s="140"/>
    </row>
    <row r="17345" spans="1:5">
      <c r="A17345" s="140"/>
      <c r="B17345" s="192"/>
      <c r="C17345" s="140"/>
      <c r="D17345" s="140"/>
      <c r="E17345" s="140"/>
    </row>
    <row r="17346" spans="1:5">
      <c r="A17346" s="140"/>
      <c r="B17346" s="192"/>
      <c r="C17346" s="140"/>
      <c r="D17346" s="140"/>
      <c r="E17346" s="140"/>
    </row>
    <row r="17347" spans="1:5">
      <c r="A17347" s="140"/>
      <c r="B17347" s="192"/>
      <c r="C17347" s="140"/>
      <c r="D17347" s="140"/>
      <c r="E17347" s="140"/>
    </row>
    <row r="17348" spans="1:5">
      <c r="A17348" s="140"/>
      <c r="B17348" s="192"/>
      <c r="C17348" s="140"/>
      <c r="D17348" s="140"/>
      <c r="E17348" s="140"/>
    </row>
    <row r="17349" spans="1:5">
      <c r="A17349" s="140"/>
      <c r="B17349" s="192"/>
      <c r="C17349" s="140"/>
      <c r="D17349" s="140"/>
      <c r="E17349" s="140"/>
    </row>
    <row r="17350" spans="1:5">
      <c r="A17350" s="140"/>
      <c r="B17350" s="192"/>
      <c r="C17350" s="140"/>
      <c r="D17350" s="140"/>
      <c r="E17350" s="140"/>
    </row>
    <row r="17351" spans="1:5">
      <c r="A17351" s="140"/>
      <c r="B17351" s="192"/>
      <c r="C17351" s="140"/>
      <c r="D17351" s="140"/>
      <c r="E17351" s="140"/>
    </row>
    <row r="17352" spans="1:5">
      <c r="A17352" s="140"/>
      <c r="B17352" s="192"/>
      <c r="C17352" s="140"/>
      <c r="D17352" s="140"/>
      <c r="E17352" s="140"/>
    </row>
    <row r="17353" spans="1:5">
      <c r="A17353" s="140"/>
      <c r="B17353" s="192"/>
      <c r="C17353" s="140"/>
      <c r="D17353" s="140"/>
      <c r="E17353" s="140"/>
    </row>
    <row r="17354" spans="1:5">
      <c r="A17354" s="140"/>
      <c r="B17354" s="192"/>
      <c r="C17354" s="140"/>
      <c r="D17354" s="140"/>
      <c r="E17354" s="140"/>
    </row>
    <row r="17355" spans="1:5">
      <c r="A17355" s="140"/>
      <c r="B17355" s="192"/>
      <c r="C17355" s="140"/>
      <c r="D17355" s="140"/>
      <c r="E17355" s="140"/>
    </row>
    <row r="17356" spans="1:5">
      <c r="A17356" s="140"/>
      <c r="B17356" s="192"/>
      <c r="C17356" s="140"/>
      <c r="D17356" s="140"/>
      <c r="E17356" s="140"/>
    </row>
    <row r="17357" spans="1:5">
      <c r="A17357" s="140"/>
      <c r="B17357" s="192"/>
      <c r="C17357" s="140"/>
      <c r="D17357" s="140"/>
      <c r="E17357" s="140"/>
    </row>
    <row r="17358" spans="1:5">
      <c r="A17358" s="140"/>
      <c r="B17358" s="192"/>
      <c r="C17358" s="140"/>
      <c r="D17358" s="140"/>
      <c r="E17358" s="140"/>
    </row>
    <row r="17359" spans="1:5">
      <c r="A17359" s="140"/>
      <c r="B17359" s="192"/>
      <c r="C17359" s="140"/>
      <c r="D17359" s="140"/>
      <c r="E17359" s="140"/>
    </row>
    <row r="17360" spans="1:5">
      <c r="A17360" s="140"/>
      <c r="B17360" s="192"/>
      <c r="C17360" s="140"/>
      <c r="D17360" s="140"/>
      <c r="E17360" s="140"/>
    </row>
    <row r="17361" spans="1:5">
      <c r="A17361" s="140"/>
      <c r="B17361" s="192"/>
      <c r="C17361" s="140"/>
      <c r="D17361" s="140"/>
      <c r="E17361" s="140"/>
    </row>
    <row r="17362" spans="1:5">
      <c r="A17362" s="140"/>
      <c r="B17362" s="192"/>
      <c r="C17362" s="140"/>
      <c r="D17362" s="140"/>
      <c r="E17362" s="140"/>
    </row>
    <row r="17363" spans="1:5">
      <c r="A17363" s="140"/>
      <c r="B17363" s="192"/>
      <c r="C17363" s="140"/>
      <c r="D17363" s="140"/>
      <c r="E17363" s="140"/>
    </row>
    <row r="17364" spans="1:5">
      <c r="A17364" s="140"/>
      <c r="B17364" s="192"/>
      <c r="C17364" s="140"/>
      <c r="D17364" s="140"/>
      <c r="E17364" s="140"/>
    </row>
    <row r="17365" spans="1:5">
      <c r="A17365" s="140"/>
      <c r="B17365" s="192"/>
      <c r="C17365" s="140"/>
      <c r="D17365" s="140"/>
      <c r="E17365" s="140"/>
    </row>
    <row r="17366" spans="1:5">
      <c r="A17366" s="140"/>
      <c r="B17366" s="192"/>
      <c r="C17366" s="140"/>
      <c r="D17366" s="140"/>
      <c r="E17366" s="140"/>
    </row>
    <row r="17367" spans="1:5">
      <c r="A17367" s="140"/>
      <c r="B17367" s="192"/>
      <c r="C17367" s="140"/>
      <c r="D17367" s="140"/>
      <c r="E17367" s="140"/>
    </row>
    <row r="17368" spans="1:5">
      <c r="A17368" s="140"/>
      <c r="B17368" s="192"/>
      <c r="C17368" s="140"/>
      <c r="D17368" s="140"/>
      <c r="E17368" s="140"/>
    </row>
    <row r="17369" spans="1:5">
      <c r="A17369" s="140"/>
      <c r="B17369" s="192"/>
      <c r="C17369" s="140"/>
      <c r="D17369" s="140"/>
      <c r="E17369" s="140"/>
    </row>
    <row r="17370" spans="1:5">
      <c r="A17370" s="140"/>
      <c r="B17370" s="192"/>
      <c r="C17370" s="140"/>
      <c r="D17370" s="140"/>
      <c r="E17370" s="140"/>
    </row>
    <row r="17371" spans="1:5">
      <c r="A17371" s="140"/>
      <c r="B17371" s="192"/>
      <c r="C17371" s="140"/>
      <c r="D17371" s="140"/>
      <c r="E17371" s="140"/>
    </row>
    <row r="17372" spans="1:5">
      <c r="A17372" s="140"/>
      <c r="B17372" s="192"/>
      <c r="C17372" s="140"/>
      <c r="D17372" s="140"/>
      <c r="E17372" s="140"/>
    </row>
    <row r="17373" spans="1:5">
      <c r="A17373" s="140"/>
      <c r="B17373" s="192"/>
      <c r="C17373" s="140"/>
      <c r="D17373" s="140"/>
      <c r="E17373" s="140"/>
    </row>
    <row r="17374" spans="1:5">
      <c r="A17374" s="140"/>
      <c r="B17374" s="192"/>
      <c r="C17374" s="140"/>
      <c r="D17374" s="140"/>
      <c r="E17374" s="140"/>
    </row>
    <row r="17375" spans="1:5">
      <c r="A17375" s="140"/>
      <c r="B17375" s="192"/>
      <c r="C17375" s="140"/>
      <c r="D17375" s="140"/>
      <c r="E17375" s="140"/>
    </row>
    <row r="17376" spans="1:5">
      <c r="A17376" s="140"/>
      <c r="B17376" s="192"/>
      <c r="C17376" s="140"/>
      <c r="D17376" s="140"/>
      <c r="E17376" s="140"/>
    </row>
    <row r="17377" spans="1:5">
      <c r="A17377" s="140"/>
      <c r="B17377" s="192"/>
      <c r="C17377" s="140"/>
      <c r="D17377" s="140"/>
      <c r="E17377" s="140"/>
    </row>
    <row r="17378" spans="1:5">
      <c r="A17378" s="140"/>
      <c r="B17378" s="192"/>
      <c r="C17378" s="140"/>
      <c r="D17378" s="140"/>
      <c r="E17378" s="140"/>
    </row>
    <row r="17379" spans="1:5">
      <c r="A17379" s="140"/>
      <c r="B17379" s="192"/>
      <c r="C17379" s="140"/>
      <c r="D17379" s="140"/>
      <c r="E17379" s="140"/>
    </row>
    <row r="17380" spans="1:5">
      <c r="A17380" s="140"/>
      <c r="B17380" s="192"/>
      <c r="C17380" s="140"/>
      <c r="D17380" s="140"/>
      <c r="E17380" s="140"/>
    </row>
    <row r="17381" spans="1:5">
      <c r="A17381" s="140"/>
      <c r="B17381" s="192"/>
      <c r="C17381" s="140"/>
      <c r="D17381" s="140"/>
      <c r="E17381" s="140"/>
    </row>
    <row r="17382" spans="1:5">
      <c r="A17382" s="140"/>
      <c r="B17382" s="192"/>
      <c r="C17382" s="140"/>
      <c r="D17382" s="140"/>
      <c r="E17382" s="140"/>
    </row>
    <row r="17383" spans="1:5">
      <c r="A17383" s="140"/>
      <c r="B17383" s="192"/>
      <c r="C17383" s="140"/>
      <c r="D17383" s="140"/>
      <c r="E17383" s="140"/>
    </row>
    <row r="17384" spans="1:5">
      <c r="A17384" s="140"/>
      <c r="B17384" s="192"/>
      <c r="C17384" s="140"/>
      <c r="D17384" s="140"/>
      <c r="E17384" s="140"/>
    </row>
    <row r="17385" spans="1:5">
      <c r="A17385" s="140"/>
      <c r="B17385" s="192"/>
      <c r="C17385" s="140"/>
      <c r="D17385" s="140"/>
      <c r="E17385" s="140"/>
    </row>
    <row r="17386" spans="1:5">
      <c r="A17386" s="140"/>
      <c r="B17386" s="192"/>
      <c r="C17386" s="140"/>
      <c r="D17386" s="140"/>
      <c r="E17386" s="140"/>
    </row>
    <row r="17387" spans="1:5">
      <c r="A17387" s="140"/>
      <c r="B17387" s="192"/>
      <c r="C17387" s="140"/>
      <c r="D17387" s="140"/>
      <c r="E17387" s="140"/>
    </row>
    <row r="17388" spans="1:5">
      <c r="A17388" s="140"/>
      <c r="B17388" s="192"/>
      <c r="C17388" s="140"/>
      <c r="D17388" s="140"/>
      <c r="E17388" s="140"/>
    </row>
    <row r="17389" spans="1:5">
      <c r="A17389" s="140"/>
      <c r="B17389" s="192"/>
      <c r="C17389" s="140"/>
      <c r="D17389" s="140"/>
      <c r="E17389" s="140"/>
    </row>
    <row r="17390" spans="1:5">
      <c r="A17390" s="140"/>
      <c r="B17390" s="192"/>
      <c r="C17390" s="140"/>
      <c r="D17390" s="140"/>
      <c r="E17390" s="140"/>
    </row>
    <row r="17391" spans="1:5">
      <c r="A17391" s="140"/>
      <c r="B17391" s="192"/>
      <c r="C17391" s="140"/>
      <c r="D17391" s="140"/>
      <c r="E17391" s="140"/>
    </row>
    <row r="17392" spans="1:5">
      <c r="A17392" s="140"/>
      <c r="B17392" s="192"/>
      <c r="C17392" s="140"/>
      <c r="D17392" s="140"/>
      <c r="E17392" s="140"/>
    </row>
    <row r="17393" spans="1:5">
      <c r="A17393" s="140"/>
      <c r="B17393" s="192"/>
      <c r="C17393" s="140"/>
      <c r="D17393" s="140"/>
      <c r="E17393" s="140"/>
    </row>
    <row r="17394" spans="1:5">
      <c r="A17394" s="140"/>
      <c r="B17394" s="192"/>
      <c r="C17394" s="140"/>
      <c r="D17394" s="140"/>
      <c r="E17394" s="140"/>
    </row>
    <row r="17395" spans="1:5">
      <c r="A17395" s="140"/>
      <c r="B17395" s="192"/>
      <c r="C17395" s="140"/>
      <c r="D17395" s="140"/>
      <c r="E17395" s="140"/>
    </row>
    <row r="17396" spans="1:5">
      <c r="A17396" s="140"/>
      <c r="B17396" s="192"/>
      <c r="C17396" s="140"/>
      <c r="D17396" s="140"/>
      <c r="E17396" s="140"/>
    </row>
    <row r="17397" spans="1:5">
      <c r="A17397" s="140"/>
      <c r="B17397" s="192"/>
      <c r="C17397" s="140"/>
      <c r="D17397" s="140"/>
      <c r="E17397" s="140"/>
    </row>
    <row r="17398" spans="1:5">
      <c r="A17398" s="140"/>
      <c r="B17398" s="192"/>
      <c r="C17398" s="140"/>
      <c r="D17398" s="140"/>
      <c r="E17398" s="140"/>
    </row>
    <row r="17399" spans="1:5">
      <c r="A17399" s="140"/>
      <c r="B17399" s="192"/>
      <c r="C17399" s="140"/>
      <c r="D17399" s="140"/>
      <c r="E17399" s="140"/>
    </row>
    <row r="17400" spans="1:5">
      <c r="A17400" s="140"/>
      <c r="B17400" s="192"/>
      <c r="C17400" s="140"/>
      <c r="D17400" s="140"/>
      <c r="E17400" s="140"/>
    </row>
    <row r="17401" spans="1:5">
      <c r="A17401" s="140"/>
      <c r="B17401" s="192"/>
      <c r="C17401" s="140"/>
      <c r="D17401" s="140"/>
      <c r="E17401" s="140"/>
    </row>
    <row r="17402" spans="1:5">
      <c r="A17402" s="140"/>
      <c r="B17402" s="192"/>
      <c r="C17402" s="140"/>
      <c r="D17402" s="140"/>
      <c r="E17402" s="140"/>
    </row>
    <row r="17403" spans="1:5">
      <c r="A17403" s="140"/>
      <c r="B17403" s="192"/>
      <c r="C17403" s="140"/>
      <c r="D17403" s="140"/>
      <c r="E17403" s="140"/>
    </row>
    <row r="17404" spans="1:5">
      <c r="A17404" s="140"/>
      <c r="B17404" s="192"/>
      <c r="C17404" s="140"/>
      <c r="D17404" s="140"/>
      <c r="E17404" s="140"/>
    </row>
    <row r="17405" spans="1:5">
      <c r="A17405" s="140"/>
      <c r="B17405" s="192"/>
      <c r="C17405" s="140"/>
      <c r="D17405" s="140"/>
      <c r="E17405" s="140"/>
    </row>
    <row r="17406" spans="1:5">
      <c r="A17406" s="140"/>
      <c r="B17406" s="192"/>
      <c r="C17406" s="140"/>
      <c r="D17406" s="140"/>
      <c r="E17406" s="140"/>
    </row>
    <row r="17407" spans="1:5">
      <c r="A17407" s="140"/>
      <c r="B17407" s="192"/>
      <c r="C17407" s="140"/>
      <c r="D17407" s="140"/>
      <c r="E17407" s="140"/>
    </row>
    <row r="17408" spans="1:5">
      <c r="A17408" s="140"/>
      <c r="B17408" s="192"/>
      <c r="C17408" s="140"/>
      <c r="D17408" s="140"/>
      <c r="E17408" s="140"/>
    </row>
    <row r="17409" spans="1:5">
      <c r="A17409" s="140"/>
      <c r="B17409" s="192"/>
      <c r="C17409" s="140"/>
      <c r="D17409" s="140"/>
      <c r="E17409" s="140"/>
    </row>
    <row r="17410" spans="1:5">
      <c r="A17410" s="140"/>
      <c r="B17410" s="192"/>
      <c r="C17410" s="140"/>
      <c r="D17410" s="140"/>
      <c r="E17410" s="140"/>
    </row>
    <row r="17411" spans="1:5">
      <c r="A17411" s="140"/>
      <c r="B17411" s="192"/>
      <c r="C17411" s="140"/>
      <c r="D17411" s="140"/>
      <c r="E17411" s="140"/>
    </row>
    <row r="17412" spans="1:5">
      <c r="A17412" s="140"/>
      <c r="B17412" s="192"/>
      <c r="C17412" s="140"/>
      <c r="D17412" s="140"/>
      <c r="E17412" s="140"/>
    </row>
    <row r="17413" spans="1:5">
      <c r="A17413" s="140"/>
      <c r="B17413" s="192"/>
      <c r="C17413" s="140"/>
      <c r="D17413" s="140"/>
      <c r="E17413" s="140"/>
    </row>
    <row r="17414" spans="1:5">
      <c r="A17414" s="140"/>
      <c r="B17414" s="192"/>
      <c r="C17414" s="140"/>
      <c r="D17414" s="140"/>
      <c r="E17414" s="140"/>
    </row>
    <row r="17415" spans="1:5">
      <c r="A17415" s="140"/>
      <c r="B17415" s="192"/>
      <c r="C17415" s="140"/>
      <c r="D17415" s="140"/>
      <c r="E17415" s="140"/>
    </row>
    <row r="17416" spans="1:5">
      <c r="A17416" s="140"/>
      <c r="B17416" s="192"/>
      <c r="C17416" s="140"/>
      <c r="D17416" s="140"/>
      <c r="E17416" s="140"/>
    </row>
    <row r="17417" spans="1:5">
      <c r="A17417" s="140"/>
      <c r="B17417" s="192"/>
      <c r="C17417" s="140"/>
      <c r="D17417" s="140"/>
      <c r="E17417" s="140"/>
    </row>
    <row r="17418" spans="1:5">
      <c r="A17418" s="140"/>
      <c r="B17418" s="192"/>
      <c r="C17418" s="140"/>
      <c r="D17418" s="140"/>
      <c r="E17418" s="140"/>
    </row>
    <row r="17419" spans="1:5">
      <c r="A17419" s="140"/>
      <c r="B17419" s="192"/>
      <c r="C17419" s="140"/>
      <c r="D17419" s="140"/>
      <c r="E17419" s="140"/>
    </row>
    <row r="17420" spans="1:5">
      <c r="A17420" s="140"/>
      <c r="B17420" s="192"/>
      <c r="C17420" s="140"/>
      <c r="D17420" s="140"/>
      <c r="E17420" s="140"/>
    </row>
    <row r="17421" spans="1:5">
      <c r="A17421" s="140"/>
      <c r="B17421" s="192"/>
      <c r="C17421" s="140"/>
      <c r="D17421" s="140"/>
      <c r="E17421" s="140"/>
    </row>
    <row r="17422" spans="1:5">
      <c r="A17422" s="140"/>
      <c r="B17422" s="192"/>
      <c r="C17422" s="140"/>
      <c r="D17422" s="140"/>
      <c r="E17422" s="140"/>
    </row>
    <row r="17423" spans="1:5">
      <c r="A17423" s="140"/>
      <c r="B17423" s="192"/>
      <c r="C17423" s="140"/>
      <c r="D17423" s="140"/>
      <c r="E17423" s="140"/>
    </row>
    <row r="17424" spans="1:5">
      <c r="A17424" s="140"/>
      <c r="B17424" s="192"/>
      <c r="C17424" s="140"/>
      <c r="D17424" s="140"/>
      <c r="E17424" s="140"/>
    </row>
    <row r="17425" spans="1:5">
      <c r="A17425" s="140"/>
      <c r="B17425" s="192"/>
      <c r="C17425" s="140"/>
      <c r="D17425" s="140"/>
      <c r="E17425" s="140"/>
    </row>
    <row r="17426" spans="1:5">
      <c r="A17426" s="140"/>
      <c r="B17426" s="192"/>
      <c r="C17426" s="140"/>
      <c r="D17426" s="140"/>
      <c r="E17426" s="140"/>
    </row>
    <row r="17427" spans="1:5">
      <c r="A17427" s="140"/>
      <c r="B17427" s="192"/>
      <c r="C17427" s="140"/>
      <c r="D17427" s="140"/>
      <c r="E17427" s="140"/>
    </row>
    <row r="17428" spans="1:5">
      <c r="A17428" s="140"/>
      <c r="B17428" s="192"/>
      <c r="C17428" s="140"/>
      <c r="D17428" s="140"/>
      <c r="E17428" s="140"/>
    </row>
    <row r="17429" spans="1:5">
      <c r="A17429" s="140"/>
      <c r="B17429" s="192"/>
      <c r="C17429" s="140"/>
      <c r="D17429" s="140"/>
      <c r="E17429" s="140"/>
    </row>
    <row r="17430" spans="1:5">
      <c r="A17430" s="140"/>
      <c r="B17430" s="192"/>
      <c r="C17430" s="140"/>
      <c r="D17430" s="140"/>
      <c r="E17430" s="140"/>
    </row>
    <row r="17431" spans="1:5">
      <c r="A17431" s="140"/>
      <c r="B17431" s="192"/>
      <c r="C17431" s="140"/>
      <c r="D17431" s="140"/>
      <c r="E17431" s="140"/>
    </row>
    <row r="17432" spans="1:5">
      <c r="A17432" s="140"/>
      <c r="B17432" s="192"/>
      <c r="C17432" s="140"/>
      <c r="D17432" s="140"/>
      <c r="E17432" s="140"/>
    </row>
    <row r="17433" spans="1:5">
      <c r="A17433" s="140"/>
      <c r="B17433" s="192"/>
      <c r="C17433" s="140"/>
      <c r="D17433" s="140"/>
      <c r="E17433" s="140"/>
    </row>
    <row r="17434" spans="1:5">
      <c r="A17434" s="140"/>
      <c r="B17434" s="192"/>
      <c r="C17434" s="140"/>
      <c r="D17434" s="140"/>
      <c r="E17434" s="140"/>
    </row>
    <row r="17435" spans="1:5">
      <c r="A17435" s="140"/>
      <c r="B17435" s="192"/>
      <c r="C17435" s="140"/>
      <c r="D17435" s="140"/>
      <c r="E17435" s="140"/>
    </row>
    <row r="17436" spans="1:5">
      <c r="A17436" s="140"/>
      <c r="B17436" s="192"/>
      <c r="C17436" s="140"/>
      <c r="D17436" s="140"/>
      <c r="E17436" s="140"/>
    </row>
    <row r="17437" spans="1:5">
      <c r="A17437" s="140"/>
      <c r="B17437" s="192"/>
      <c r="C17437" s="140"/>
      <c r="D17437" s="140"/>
      <c r="E17437" s="140"/>
    </row>
    <row r="17438" spans="1:5">
      <c r="A17438" s="140"/>
      <c r="B17438" s="192"/>
      <c r="C17438" s="140"/>
      <c r="D17438" s="140"/>
      <c r="E17438" s="140"/>
    </row>
    <row r="17439" spans="1:5">
      <c r="A17439" s="140"/>
      <c r="B17439" s="192"/>
      <c r="C17439" s="140"/>
      <c r="D17439" s="140"/>
      <c r="E17439" s="140"/>
    </row>
    <row r="17440" spans="1:5">
      <c r="A17440" s="140"/>
      <c r="B17440" s="192"/>
      <c r="C17440" s="140"/>
      <c r="D17440" s="140"/>
      <c r="E17440" s="140"/>
    </row>
    <row r="17441" spans="1:5">
      <c r="A17441" s="140"/>
      <c r="B17441" s="192"/>
      <c r="C17441" s="140"/>
      <c r="D17441" s="140"/>
      <c r="E17441" s="140"/>
    </row>
    <row r="17442" spans="1:5">
      <c r="A17442" s="140"/>
      <c r="B17442" s="192"/>
      <c r="C17442" s="140"/>
      <c r="D17442" s="140"/>
      <c r="E17442" s="140"/>
    </row>
    <row r="17443" spans="1:5">
      <c r="A17443" s="140"/>
      <c r="B17443" s="192"/>
      <c r="C17443" s="140"/>
      <c r="D17443" s="140"/>
      <c r="E17443" s="140"/>
    </row>
    <row r="17444" spans="1:5">
      <c r="A17444" s="140"/>
      <c r="B17444" s="192"/>
      <c r="C17444" s="140"/>
      <c r="D17444" s="140"/>
      <c r="E17444" s="140"/>
    </row>
    <row r="17445" spans="1:5">
      <c r="A17445" s="140"/>
      <c r="B17445" s="192"/>
      <c r="C17445" s="140"/>
      <c r="D17445" s="140"/>
      <c r="E17445" s="140"/>
    </row>
    <row r="17446" spans="1:5">
      <c r="A17446" s="140"/>
      <c r="B17446" s="192"/>
      <c r="C17446" s="140"/>
      <c r="D17446" s="140"/>
      <c r="E17446" s="140"/>
    </row>
    <row r="17447" spans="1:5">
      <c r="A17447" s="140"/>
      <c r="B17447" s="192"/>
      <c r="C17447" s="140"/>
      <c r="D17447" s="140"/>
      <c r="E17447" s="140"/>
    </row>
    <row r="17448" spans="1:5">
      <c r="A17448" s="140"/>
      <c r="B17448" s="192"/>
      <c r="C17448" s="140"/>
      <c r="D17448" s="140"/>
      <c r="E17448" s="140"/>
    </row>
    <row r="17449" spans="1:5">
      <c r="A17449" s="140"/>
      <c r="B17449" s="192"/>
      <c r="C17449" s="140"/>
      <c r="D17449" s="140"/>
      <c r="E17449" s="140"/>
    </row>
    <row r="17450" spans="1:5">
      <c r="A17450" s="140"/>
      <c r="B17450" s="192"/>
      <c r="C17450" s="140"/>
      <c r="D17450" s="140"/>
      <c r="E17450" s="140"/>
    </row>
    <row r="17451" spans="1:5">
      <c r="A17451" s="140"/>
      <c r="B17451" s="192"/>
      <c r="C17451" s="140"/>
      <c r="D17451" s="140"/>
      <c r="E17451" s="140"/>
    </row>
    <row r="17452" spans="1:5">
      <c r="A17452" s="140"/>
      <c r="B17452" s="192"/>
      <c r="C17452" s="140"/>
      <c r="D17452" s="140"/>
      <c r="E17452" s="140"/>
    </row>
    <row r="17453" spans="1:5">
      <c r="A17453" s="140"/>
      <c r="B17453" s="192"/>
      <c r="C17453" s="140"/>
      <c r="D17453" s="140"/>
      <c r="E17453" s="140"/>
    </row>
    <row r="17454" spans="1:5">
      <c r="A17454" s="140"/>
      <c r="B17454" s="192"/>
      <c r="C17454" s="140"/>
      <c r="D17454" s="140"/>
      <c r="E17454" s="140"/>
    </row>
    <row r="17455" spans="1:5">
      <c r="A17455" s="140"/>
      <c r="B17455" s="192"/>
      <c r="C17455" s="140"/>
      <c r="D17455" s="140"/>
      <c r="E17455" s="140"/>
    </row>
    <row r="17456" spans="1:5">
      <c r="A17456" s="140"/>
      <c r="B17456" s="192"/>
      <c r="C17456" s="140"/>
      <c r="D17456" s="140"/>
      <c r="E17456" s="140"/>
    </row>
    <row r="17457" spans="1:5">
      <c r="A17457" s="140"/>
      <c r="B17457" s="192"/>
      <c r="C17457" s="140"/>
      <c r="D17457" s="140"/>
      <c r="E17457" s="140"/>
    </row>
    <row r="17458" spans="1:5">
      <c r="A17458" s="140"/>
      <c r="B17458" s="192"/>
      <c r="C17458" s="140"/>
      <c r="D17458" s="140"/>
      <c r="E17458" s="140"/>
    </row>
    <row r="17459" spans="1:5">
      <c r="A17459" s="140"/>
      <c r="B17459" s="192"/>
      <c r="C17459" s="140"/>
      <c r="D17459" s="140"/>
      <c r="E17459" s="140"/>
    </row>
    <row r="17460" spans="1:5">
      <c r="A17460" s="140"/>
      <c r="B17460" s="192"/>
      <c r="C17460" s="140"/>
      <c r="D17460" s="140"/>
      <c r="E17460" s="140"/>
    </row>
    <row r="17461" spans="1:5">
      <c r="A17461" s="140"/>
      <c r="B17461" s="192"/>
      <c r="C17461" s="140"/>
      <c r="D17461" s="140"/>
      <c r="E17461" s="140"/>
    </row>
    <row r="17462" spans="1:5">
      <c r="A17462" s="140"/>
      <c r="B17462" s="192"/>
      <c r="C17462" s="140"/>
      <c r="D17462" s="140"/>
      <c r="E17462" s="140"/>
    </row>
    <row r="17463" spans="1:5">
      <c r="A17463" s="140"/>
      <c r="B17463" s="192"/>
      <c r="C17463" s="140"/>
      <c r="D17463" s="140"/>
      <c r="E17463" s="140"/>
    </row>
    <row r="17464" spans="1:5">
      <c r="A17464" s="140"/>
      <c r="B17464" s="192"/>
      <c r="C17464" s="140"/>
      <c r="D17464" s="140"/>
      <c r="E17464" s="140"/>
    </row>
    <row r="17465" spans="1:5">
      <c r="A17465" s="140"/>
      <c r="B17465" s="192"/>
      <c r="C17465" s="140"/>
      <c r="D17465" s="140"/>
      <c r="E17465" s="140"/>
    </row>
    <row r="17466" spans="1:5">
      <c r="A17466" s="140"/>
      <c r="B17466" s="192"/>
      <c r="C17466" s="140"/>
      <c r="D17466" s="140"/>
      <c r="E17466" s="140"/>
    </row>
    <row r="17467" spans="1:5">
      <c r="A17467" s="140"/>
      <c r="B17467" s="192"/>
      <c r="C17467" s="140"/>
      <c r="D17467" s="140"/>
      <c r="E17467" s="140"/>
    </row>
    <row r="17468" spans="1:5">
      <c r="A17468" s="140"/>
      <c r="B17468" s="192"/>
      <c r="C17468" s="140"/>
      <c r="D17468" s="140"/>
      <c r="E17468" s="140"/>
    </row>
    <row r="17469" spans="1:5">
      <c r="A17469" s="140"/>
      <c r="B17469" s="192"/>
      <c r="C17469" s="140"/>
      <c r="D17469" s="140"/>
      <c r="E17469" s="140"/>
    </row>
    <row r="17470" spans="1:5">
      <c r="A17470" s="140"/>
      <c r="B17470" s="192"/>
      <c r="C17470" s="140"/>
      <c r="D17470" s="140"/>
      <c r="E17470" s="140"/>
    </row>
    <row r="17471" spans="1:5">
      <c r="A17471" s="140"/>
      <c r="B17471" s="192"/>
      <c r="C17471" s="140"/>
      <c r="D17471" s="140"/>
      <c r="E17471" s="140"/>
    </row>
    <row r="17472" spans="1:5">
      <c r="A17472" s="140"/>
      <c r="B17472" s="192"/>
      <c r="C17472" s="140"/>
      <c r="D17472" s="140"/>
      <c r="E17472" s="140"/>
    </row>
    <row r="17473" spans="1:5">
      <c r="A17473" s="140"/>
      <c r="B17473" s="192"/>
      <c r="C17473" s="140"/>
      <c r="D17473" s="140"/>
      <c r="E17473" s="140"/>
    </row>
    <row r="17474" spans="1:5">
      <c r="A17474" s="140"/>
      <c r="B17474" s="192"/>
      <c r="C17474" s="140"/>
      <c r="D17474" s="140"/>
      <c r="E17474" s="140"/>
    </row>
    <row r="17475" spans="1:5">
      <c r="A17475" s="140"/>
      <c r="B17475" s="192"/>
      <c r="C17475" s="140"/>
      <c r="D17475" s="140"/>
      <c r="E17475" s="140"/>
    </row>
    <row r="17476" spans="1:5">
      <c r="A17476" s="140"/>
      <c r="B17476" s="192"/>
      <c r="C17476" s="140"/>
      <c r="D17476" s="140"/>
      <c r="E17476" s="140"/>
    </row>
    <row r="17477" spans="1:5">
      <c r="A17477" s="140"/>
      <c r="B17477" s="192"/>
      <c r="C17477" s="140"/>
      <c r="D17477" s="140"/>
      <c r="E17477" s="140"/>
    </row>
    <row r="17478" spans="1:5">
      <c r="A17478" s="140"/>
      <c r="B17478" s="192"/>
      <c r="C17478" s="140"/>
      <c r="D17478" s="140"/>
      <c r="E17478" s="140"/>
    </row>
    <row r="17479" spans="1:5">
      <c r="A17479" s="140"/>
      <c r="B17479" s="192"/>
      <c r="C17479" s="140"/>
      <c r="D17479" s="140"/>
      <c r="E17479" s="140"/>
    </row>
    <row r="17480" spans="1:5">
      <c r="A17480" s="140"/>
      <c r="B17480" s="192"/>
      <c r="C17480" s="140"/>
      <c r="D17480" s="140"/>
      <c r="E17480" s="140"/>
    </row>
    <row r="17481" spans="1:5">
      <c r="A17481" s="140"/>
      <c r="B17481" s="192"/>
      <c r="C17481" s="140"/>
      <c r="D17481" s="140"/>
      <c r="E17481" s="140"/>
    </row>
    <row r="17482" spans="1:5">
      <c r="A17482" s="140"/>
      <c r="B17482" s="192"/>
      <c r="C17482" s="140"/>
      <c r="D17482" s="140"/>
      <c r="E17482" s="140"/>
    </row>
    <row r="17483" spans="1:5">
      <c r="A17483" s="140"/>
      <c r="B17483" s="192"/>
      <c r="C17483" s="140"/>
      <c r="D17483" s="140"/>
      <c r="E17483" s="140"/>
    </row>
    <row r="17484" spans="1:5">
      <c r="A17484" s="140"/>
      <c r="B17484" s="192"/>
      <c r="C17484" s="140"/>
      <c r="D17484" s="140"/>
      <c r="E17484" s="140"/>
    </row>
    <row r="17485" spans="1:5">
      <c r="A17485" s="140"/>
      <c r="B17485" s="192"/>
      <c r="C17485" s="140"/>
      <c r="D17485" s="140"/>
      <c r="E17485" s="140"/>
    </row>
    <row r="17486" spans="1:5">
      <c r="A17486" s="140"/>
      <c r="B17486" s="192"/>
      <c r="C17486" s="140"/>
      <c r="D17486" s="140"/>
      <c r="E17486" s="140"/>
    </row>
    <row r="17487" spans="1:5">
      <c r="A17487" s="140"/>
      <c r="B17487" s="192"/>
      <c r="C17487" s="140"/>
      <c r="D17487" s="140"/>
      <c r="E17487" s="140"/>
    </row>
    <row r="17488" spans="1:5">
      <c r="A17488" s="140"/>
      <c r="B17488" s="192"/>
      <c r="C17488" s="140"/>
      <c r="D17488" s="140"/>
      <c r="E17488" s="140"/>
    </row>
    <row r="17489" spans="1:5">
      <c r="A17489" s="140"/>
      <c r="B17489" s="192"/>
      <c r="C17489" s="140"/>
      <c r="D17489" s="140"/>
      <c r="E17489" s="140"/>
    </row>
    <row r="17490" spans="1:5">
      <c r="A17490" s="140"/>
      <c r="B17490" s="192"/>
      <c r="C17490" s="140"/>
      <c r="D17490" s="140"/>
      <c r="E17490" s="140"/>
    </row>
    <row r="17491" spans="1:5">
      <c r="A17491" s="140"/>
      <c r="B17491" s="192"/>
      <c r="C17491" s="140"/>
      <c r="D17491" s="140"/>
      <c r="E17491" s="140"/>
    </row>
    <row r="17492" spans="1:5">
      <c r="A17492" s="140"/>
      <c r="B17492" s="192"/>
      <c r="C17492" s="140"/>
      <c r="D17492" s="140"/>
      <c r="E17492" s="140"/>
    </row>
    <row r="17493" spans="1:5">
      <c r="A17493" s="140"/>
      <c r="B17493" s="192"/>
      <c r="C17493" s="140"/>
      <c r="D17493" s="140"/>
      <c r="E17493" s="140"/>
    </row>
    <row r="17494" spans="1:5">
      <c r="A17494" s="140"/>
      <c r="B17494" s="192"/>
      <c r="C17494" s="140"/>
      <c r="D17494" s="140"/>
      <c r="E17494" s="140"/>
    </row>
    <row r="17495" spans="1:5">
      <c r="A17495" s="140"/>
      <c r="B17495" s="192"/>
      <c r="C17495" s="140"/>
      <c r="D17495" s="140"/>
      <c r="E17495" s="140"/>
    </row>
    <row r="17496" spans="1:5">
      <c r="A17496" s="140"/>
      <c r="B17496" s="192"/>
      <c r="C17496" s="140"/>
      <c r="D17496" s="140"/>
      <c r="E17496" s="140"/>
    </row>
    <row r="17497" spans="1:5">
      <c r="A17497" s="140"/>
      <c r="B17497" s="192"/>
      <c r="C17497" s="140"/>
      <c r="D17497" s="140"/>
      <c r="E17497" s="140"/>
    </row>
    <row r="17498" spans="1:5">
      <c r="A17498" s="140"/>
      <c r="B17498" s="192"/>
      <c r="C17498" s="140"/>
      <c r="D17498" s="140"/>
      <c r="E17498" s="140"/>
    </row>
    <row r="17499" spans="1:5">
      <c r="A17499" s="140"/>
      <c r="B17499" s="192"/>
      <c r="C17499" s="140"/>
      <c r="D17499" s="140"/>
      <c r="E17499" s="140"/>
    </row>
    <row r="17500" spans="1:5">
      <c r="A17500" s="140"/>
      <c r="B17500" s="192"/>
      <c r="C17500" s="140"/>
      <c r="D17500" s="140"/>
      <c r="E17500" s="140"/>
    </row>
    <row r="17501" spans="1:5">
      <c r="A17501" s="140"/>
      <c r="B17501" s="192"/>
      <c r="C17501" s="140"/>
      <c r="D17501" s="140"/>
      <c r="E17501" s="140"/>
    </row>
    <row r="17502" spans="1:5">
      <c r="A17502" s="140"/>
      <c r="B17502" s="192"/>
      <c r="C17502" s="140"/>
      <c r="D17502" s="140"/>
      <c r="E17502" s="140"/>
    </row>
    <row r="17503" spans="1:5">
      <c r="A17503" s="140"/>
      <c r="B17503" s="192"/>
      <c r="C17503" s="140"/>
      <c r="D17503" s="140"/>
      <c r="E17503" s="140"/>
    </row>
    <row r="17504" spans="1:5">
      <c r="A17504" s="140"/>
      <c r="B17504" s="192"/>
      <c r="C17504" s="140"/>
      <c r="D17504" s="140"/>
      <c r="E17504" s="140"/>
    </row>
    <row r="17505" spans="1:5">
      <c r="A17505" s="140"/>
      <c r="B17505" s="192"/>
      <c r="C17505" s="140"/>
      <c r="D17505" s="140"/>
      <c r="E17505" s="140"/>
    </row>
    <row r="17506" spans="1:5">
      <c r="A17506" s="140"/>
      <c r="B17506" s="192"/>
      <c r="C17506" s="140"/>
      <c r="D17506" s="140"/>
      <c r="E17506" s="140"/>
    </row>
    <row r="17507" spans="1:5">
      <c r="A17507" s="140"/>
      <c r="B17507" s="192"/>
      <c r="C17507" s="140"/>
      <c r="D17507" s="140"/>
      <c r="E17507" s="140"/>
    </row>
    <row r="17508" spans="1:5">
      <c r="A17508" s="140"/>
      <c r="B17508" s="192"/>
      <c r="C17508" s="140"/>
      <c r="D17508" s="140"/>
      <c r="E17508" s="140"/>
    </row>
    <row r="17509" spans="1:5">
      <c r="A17509" s="140"/>
      <c r="B17509" s="192"/>
      <c r="C17509" s="140"/>
      <c r="D17509" s="140"/>
      <c r="E17509" s="140"/>
    </row>
    <row r="17510" spans="1:5">
      <c r="A17510" s="140"/>
      <c r="B17510" s="192"/>
      <c r="C17510" s="140"/>
      <c r="D17510" s="140"/>
      <c r="E17510" s="140"/>
    </row>
    <row r="17511" spans="1:5">
      <c r="A17511" s="140"/>
      <c r="B17511" s="192"/>
      <c r="C17511" s="140"/>
      <c r="D17511" s="140"/>
      <c r="E17511" s="140"/>
    </row>
    <row r="17512" spans="1:5">
      <c r="A17512" s="140"/>
      <c r="B17512" s="192"/>
      <c r="C17512" s="140"/>
      <c r="D17512" s="140"/>
      <c r="E17512" s="140"/>
    </row>
    <row r="17513" spans="1:5">
      <c r="A17513" s="140"/>
      <c r="B17513" s="192"/>
      <c r="C17513" s="140"/>
      <c r="D17513" s="140"/>
      <c r="E17513" s="140"/>
    </row>
    <row r="17514" spans="1:5">
      <c r="A17514" s="140"/>
      <c r="B17514" s="192"/>
      <c r="C17514" s="140"/>
      <c r="D17514" s="140"/>
      <c r="E17514" s="140"/>
    </row>
    <row r="17515" spans="1:5">
      <c r="A17515" s="140"/>
      <c r="B17515" s="192"/>
      <c r="C17515" s="140"/>
      <c r="D17515" s="140"/>
      <c r="E17515" s="140"/>
    </row>
    <row r="17516" spans="1:5">
      <c r="A17516" s="140"/>
      <c r="B17516" s="192"/>
      <c r="C17516" s="140"/>
      <c r="D17516" s="140"/>
      <c r="E17516" s="140"/>
    </row>
    <row r="17517" spans="1:5">
      <c r="A17517" s="140"/>
      <c r="B17517" s="192"/>
      <c r="C17517" s="140"/>
      <c r="D17517" s="140"/>
      <c r="E17517" s="140"/>
    </row>
    <row r="17518" spans="1:5">
      <c r="A17518" s="140"/>
      <c r="B17518" s="192"/>
      <c r="C17518" s="140"/>
      <c r="D17518" s="140"/>
      <c r="E17518" s="140"/>
    </row>
    <row r="17519" spans="1:5">
      <c r="A17519" s="140"/>
      <c r="B17519" s="192"/>
      <c r="C17519" s="140"/>
      <c r="D17519" s="140"/>
      <c r="E17519" s="140"/>
    </row>
    <row r="17520" spans="1:5">
      <c r="A17520" s="140"/>
      <c r="B17520" s="192"/>
      <c r="C17520" s="140"/>
      <c r="D17520" s="140"/>
      <c r="E17520" s="140"/>
    </row>
    <row r="17521" spans="1:5">
      <c r="A17521" s="140"/>
      <c r="B17521" s="192"/>
      <c r="C17521" s="140"/>
      <c r="D17521" s="140"/>
      <c r="E17521" s="140"/>
    </row>
    <row r="17522" spans="1:5">
      <c r="A17522" s="140"/>
      <c r="B17522" s="192"/>
      <c r="C17522" s="140"/>
      <c r="D17522" s="140"/>
      <c r="E17522" s="140"/>
    </row>
    <row r="17523" spans="1:5">
      <c r="A17523" s="140"/>
      <c r="B17523" s="192"/>
      <c r="C17523" s="140"/>
      <c r="D17523" s="140"/>
      <c r="E17523" s="140"/>
    </row>
    <row r="17524" spans="1:5">
      <c r="A17524" s="140"/>
      <c r="B17524" s="192"/>
      <c r="C17524" s="140"/>
      <c r="D17524" s="140"/>
      <c r="E17524" s="140"/>
    </row>
    <row r="17525" spans="1:5">
      <c r="A17525" s="140"/>
      <c r="B17525" s="192"/>
      <c r="C17525" s="140"/>
      <c r="D17525" s="140"/>
      <c r="E17525" s="140"/>
    </row>
    <row r="17526" spans="1:5">
      <c r="A17526" s="140"/>
      <c r="B17526" s="192"/>
      <c r="C17526" s="140"/>
      <c r="D17526" s="140"/>
      <c r="E17526" s="140"/>
    </row>
    <row r="17527" spans="1:5">
      <c r="A17527" s="140"/>
      <c r="B17527" s="192"/>
      <c r="C17527" s="140"/>
      <c r="D17527" s="140"/>
      <c r="E17527" s="140"/>
    </row>
    <row r="17528" spans="1:5">
      <c r="A17528" s="140"/>
      <c r="B17528" s="192"/>
      <c r="C17528" s="140"/>
      <c r="D17528" s="140"/>
      <c r="E17528" s="140"/>
    </row>
    <row r="17529" spans="1:5">
      <c r="A17529" s="140"/>
      <c r="B17529" s="192"/>
      <c r="C17529" s="140"/>
      <c r="D17529" s="140"/>
      <c r="E17529" s="140"/>
    </row>
    <row r="17530" spans="1:5">
      <c r="A17530" s="140"/>
      <c r="B17530" s="192"/>
      <c r="C17530" s="140"/>
      <c r="D17530" s="140"/>
      <c r="E17530" s="140"/>
    </row>
    <row r="17531" spans="1:5">
      <c r="A17531" s="140"/>
      <c r="B17531" s="192"/>
      <c r="C17531" s="140"/>
      <c r="D17531" s="140"/>
      <c r="E17531" s="140"/>
    </row>
    <row r="17532" spans="1:5">
      <c r="A17532" s="140"/>
      <c r="B17532" s="192"/>
      <c r="C17532" s="140"/>
      <c r="D17532" s="140"/>
      <c r="E17532" s="140"/>
    </row>
    <row r="17533" spans="1:5">
      <c r="A17533" s="140"/>
      <c r="B17533" s="192"/>
      <c r="C17533" s="140"/>
      <c r="D17533" s="140"/>
      <c r="E17533" s="140"/>
    </row>
    <row r="17534" spans="1:5">
      <c r="A17534" s="140"/>
      <c r="B17534" s="192"/>
      <c r="C17534" s="140"/>
      <c r="D17534" s="140"/>
      <c r="E17534" s="140"/>
    </row>
    <row r="17535" spans="1:5">
      <c r="A17535" s="140"/>
      <c r="B17535" s="192"/>
      <c r="C17535" s="140"/>
      <c r="D17535" s="140"/>
      <c r="E17535" s="140"/>
    </row>
    <row r="17536" spans="1:5">
      <c r="A17536" s="140"/>
      <c r="B17536" s="192"/>
      <c r="C17536" s="140"/>
      <c r="D17536" s="140"/>
      <c r="E17536" s="140"/>
    </row>
    <row r="17537" spans="1:5">
      <c r="A17537" s="140"/>
      <c r="B17537" s="192"/>
      <c r="C17537" s="140"/>
      <c r="D17537" s="140"/>
      <c r="E17537" s="140"/>
    </row>
    <row r="17538" spans="1:5">
      <c r="A17538" s="140"/>
      <c r="B17538" s="192"/>
      <c r="C17538" s="140"/>
      <c r="D17538" s="140"/>
      <c r="E17538" s="140"/>
    </row>
    <row r="17539" spans="1:5">
      <c r="A17539" s="140"/>
      <c r="B17539" s="192"/>
      <c r="C17539" s="140"/>
      <c r="D17539" s="140"/>
      <c r="E17539" s="140"/>
    </row>
    <row r="17540" spans="1:5">
      <c r="A17540" s="140"/>
      <c r="B17540" s="192"/>
      <c r="C17540" s="140"/>
      <c r="D17540" s="140"/>
      <c r="E17540" s="140"/>
    </row>
    <row r="17541" spans="1:5">
      <c r="A17541" s="140"/>
      <c r="B17541" s="192"/>
      <c r="C17541" s="140"/>
      <c r="D17541" s="140"/>
      <c r="E17541" s="140"/>
    </row>
    <row r="17542" spans="1:5">
      <c r="A17542" s="140"/>
      <c r="B17542" s="192"/>
      <c r="C17542" s="140"/>
      <c r="D17542" s="140"/>
      <c r="E17542" s="140"/>
    </row>
    <row r="17543" spans="1:5">
      <c r="A17543" s="140"/>
      <c r="B17543" s="192"/>
      <c r="C17543" s="140"/>
      <c r="D17543" s="140"/>
      <c r="E17543" s="140"/>
    </row>
    <row r="17544" spans="1:5">
      <c r="A17544" s="140"/>
      <c r="B17544" s="192"/>
      <c r="C17544" s="140"/>
      <c r="D17544" s="140"/>
      <c r="E17544" s="140"/>
    </row>
    <row r="17545" spans="1:5">
      <c r="A17545" s="140"/>
      <c r="B17545" s="192"/>
      <c r="C17545" s="140"/>
      <c r="D17545" s="140"/>
      <c r="E17545" s="140"/>
    </row>
    <row r="17546" spans="1:5">
      <c r="A17546" s="140"/>
      <c r="B17546" s="192"/>
      <c r="C17546" s="140"/>
      <c r="D17546" s="140"/>
      <c r="E17546" s="140"/>
    </row>
    <row r="17547" spans="1:5">
      <c r="A17547" s="140"/>
      <c r="B17547" s="192"/>
      <c r="C17547" s="140"/>
      <c r="D17547" s="140"/>
      <c r="E17547" s="140"/>
    </row>
    <row r="17548" spans="1:5">
      <c r="A17548" s="140"/>
      <c r="B17548" s="192"/>
      <c r="C17548" s="140"/>
      <c r="D17548" s="140"/>
      <c r="E17548" s="140"/>
    </row>
    <row r="17549" spans="1:5">
      <c r="A17549" s="140"/>
      <c r="B17549" s="192"/>
      <c r="C17549" s="140"/>
      <c r="D17549" s="140"/>
      <c r="E17549" s="140"/>
    </row>
    <row r="17550" spans="1:5">
      <c r="A17550" s="140"/>
      <c r="B17550" s="192"/>
      <c r="C17550" s="140"/>
      <c r="D17550" s="140"/>
      <c r="E17550" s="140"/>
    </row>
    <row r="17551" spans="1:5">
      <c r="A17551" s="140"/>
      <c r="B17551" s="192"/>
      <c r="C17551" s="140"/>
      <c r="D17551" s="140"/>
      <c r="E17551" s="140"/>
    </row>
    <row r="17552" spans="1:5">
      <c r="A17552" s="140"/>
      <c r="B17552" s="192"/>
      <c r="C17552" s="140"/>
      <c r="D17552" s="140"/>
      <c r="E17552" s="140"/>
    </row>
    <row r="17553" spans="1:5">
      <c r="A17553" s="140"/>
      <c r="B17553" s="192"/>
      <c r="C17553" s="140"/>
      <c r="D17553" s="140"/>
      <c r="E17553" s="140"/>
    </row>
    <row r="17554" spans="1:5">
      <c r="A17554" s="140"/>
      <c r="B17554" s="192"/>
      <c r="C17554" s="140"/>
      <c r="D17554" s="140"/>
      <c r="E17554" s="140"/>
    </row>
    <row r="17555" spans="1:5">
      <c r="A17555" s="140"/>
      <c r="B17555" s="192"/>
      <c r="C17555" s="140"/>
      <c r="D17555" s="140"/>
      <c r="E17555" s="140"/>
    </row>
    <row r="17556" spans="1:5">
      <c r="A17556" s="140"/>
      <c r="B17556" s="192"/>
      <c r="C17556" s="140"/>
      <c r="D17556" s="140"/>
      <c r="E17556" s="140"/>
    </row>
    <row r="17557" spans="1:5">
      <c r="A17557" s="140"/>
      <c r="B17557" s="192"/>
      <c r="C17557" s="140"/>
      <c r="D17557" s="140"/>
      <c r="E17557" s="140"/>
    </row>
    <row r="17558" spans="1:5">
      <c r="A17558" s="140"/>
      <c r="B17558" s="192"/>
      <c r="C17558" s="140"/>
      <c r="D17558" s="140"/>
      <c r="E17558" s="140"/>
    </row>
    <row r="17559" spans="1:5">
      <c r="A17559" s="140"/>
      <c r="B17559" s="192"/>
      <c r="C17559" s="140"/>
      <c r="D17559" s="140"/>
      <c r="E17559" s="140"/>
    </row>
    <row r="17560" spans="1:5">
      <c r="A17560" s="140"/>
      <c r="B17560" s="192"/>
      <c r="C17560" s="140"/>
      <c r="D17560" s="140"/>
      <c r="E17560" s="140"/>
    </row>
    <row r="17561" spans="1:5">
      <c r="A17561" s="140"/>
      <c r="B17561" s="192"/>
      <c r="C17561" s="140"/>
      <c r="D17561" s="140"/>
      <c r="E17561" s="140"/>
    </row>
    <row r="17562" spans="1:5">
      <c r="A17562" s="140"/>
      <c r="B17562" s="192"/>
      <c r="C17562" s="140"/>
      <c r="D17562" s="140"/>
      <c r="E17562" s="140"/>
    </row>
    <row r="17563" spans="1:5">
      <c r="A17563" s="140"/>
      <c r="B17563" s="192"/>
      <c r="C17563" s="140"/>
      <c r="D17563" s="140"/>
      <c r="E17563" s="140"/>
    </row>
    <row r="17564" spans="1:5">
      <c r="A17564" s="140"/>
      <c r="B17564" s="192"/>
      <c r="C17564" s="140"/>
      <c r="D17564" s="140"/>
      <c r="E17564" s="140"/>
    </row>
    <row r="17565" spans="1:5">
      <c r="A17565" s="140"/>
      <c r="B17565" s="192"/>
      <c r="C17565" s="140"/>
      <c r="D17565" s="140"/>
      <c r="E17565" s="140"/>
    </row>
    <row r="17566" spans="1:5">
      <c r="A17566" s="140"/>
      <c r="B17566" s="192"/>
      <c r="C17566" s="140"/>
      <c r="D17566" s="140"/>
      <c r="E17566" s="140"/>
    </row>
    <row r="17567" spans="1:5">
      <c r="A17567" s="140"/>
      <c r="B17567" s="192"/>
      <c r="C17567" s="140"/>
      <c r="D17567" s="140"/>
      <c r="E17567" s="140"/>
    </row>
    <row r="17568" spans="1:5">
      <c r="A17568" s="140"/>
      <c r="B17568" s="192"/>
      <c r="C17568" s="140"/>
      <c r="D17568" s="140"/>
      <c r="E17568" s="140"/>
    </row>
    <row r="17569" spans="1:5">
      <c r="A17569" s="140"/>
      <c r="B17569" s="192"/>
      <c r="C17569" s="140"/>
      <c r="D17569" s="140"/>
      <c r="E17569" s="140"/>
    </row>
    <row r="17570" spans="1:5">
      <c r="A17570" s="140"/>
      <c r="B17570" s="192"/>
      <c r="C17570" s="140"/>
      <c r="D17570" s="140"/>
      <c r="E17570" s="140"/>
    </row>
    <row r="17571" spans="1:5">
      <c r="A17571" s="140"/>
      <c r="B17571" s="192"/>
      <c r="C17571" s="140"/>
      <c r="D17571" s="140"/>
      <c r="E17571" s="140"/>
    </row>
    <row r="17572" spans="1:5">
      <c r="A17572" s="140"/>
      <c r="B17572" s="192"/>
      <c r="C17572" s="140"/>
      <c r="D17572" s="140"/>
      <c r="E17572" s="140"/>
    </row>
    <row r="17573" spans="1:5">
      <c r="A17573" s="140"/>
      <c r="B17573" s="192"/>
      <c r="C17573" s="140"/>
      <c r="D17573" s="140"/>
      <c r="E17573" s="140"/>
    </row>
    <row r="17574" spans="1:5">
      <c r="A17574" s="140"/>
      <c r="B17574" s="192"/>
      <c r="C17574" s="140"/>
      <c r="D17574" s="140"/>
      <c r="E17574" s="140"/>
    </row>
    <row r="17575" spans="1:5">
      <c r="A17575" s="140"/>
      <c r="B17575" s="192"/>
      <c r="C17575" s="140"/>
      <c r="D17575" s="140"/>
      <c r="E17575" s="140"/>
    </row>
    <row r="17576" spans="1:5">
      <c r="A17576" s="140"/>
      <c r="B17576" s="192"/>
      <c r="C17576" s="140"/>
      <c r="D17576" s="140"/>
      <c r="E17576" s="140"/>
    </row>
    <row r="17577" spans="1:5">
      <c r="A17577" s="140"/>
      <c r="B17577" s="192"/>
      <c r="C17577" s="140"/>
      <c r="D17577" s="140"/>
      <c r="E17577" s="140"/>
    </row>
    <row r="17578" spans="1:5">
      <c r="A17578" s="140"/>
      <c r="B17578" s="192"/>
      <c r="C17578" s="140"/>
      <c r="D17578" s="140"/>
      <c r="E17578" s="140"/>
    </row>
    <row r="17579" spans="1:5">
      <c r="A17579" s="140"/>
      <c r="B17579" s="192"/>
      <c r="C17579" s="140"/>
      <c r="D17579" s="140"/>
      <c r="E17579" s="140"/>
    </row>
    <row r="17580" spans="1:5">
      <c r="A17580" s="140"/>
      <c r="B17580" s="192"/>
      <c r="C17580" s="140"/>
      <c r="D17580" s="140"/>
      <c r="E17580" s="140"/>
    </row>
    <row r="17581" spans="1:5">
      <c r="A17581" s="140"/>
      <c r="B17581" s="192"/>
      <c r="C17581" s="140"/>
      <c r="D17581" s="140"/>
      <c r="E17581" s="140"/>
    </row>
    <row r="17582" spans="1:5">
      <c r="A17582" s="140"/>
      <c r="B17582" s="192"/>
      <c r="C17582" s="140"/>
      <c r="D17582" s="140"/>
      <c r="E17582" s="140"/>
    </row>
    <row r="17583" spans="1:5">
      <c r="A17583" s="140"/>
      <c r="B17583" s="192"/>
      <c r="C17583" s="140"/>
      <c r="D17583" s="140"/>
      <c r="E17583" s="140"/>
    </row>
    <row r="17584" spans="1:5">
      <c r="A17584" s="140"/>
      <c r="B17584" s="192"/>
      <c r="C17584" s="140"/>
      <c r="D17584" s="140"/>
      <c r="E17584" s="140"/>
    </row>
    <row r="17585" spans="1:5">
      <c r="A17585" s="140"/>
      <c r="B17585" s="192"/>
      <c r="C17585" s="140"/>
      <c r="D17585" s="140"/>
      <c r="E17585" s="140"/>
    </row>
    <row r="17586" spans="1:5">
      <c r="A17586" s="140"/>
      <c r="B17586" s="192"/>
      <c r="C17586" s="140"/>
      <c r="D17586" s="140"/>
      <c r="E17586" s="140"/>
    </row>
    <row r="17587" spans="1:5">
      <c r="A17587" s="140"/>
      <c r="B17587" s="192"/>
      <c r="C17587" s="140"/>
      <c r="D17587" s="140"/>
      <c r="E17587" s="140"/>
    </row>
    <row r="17588" spans="1:5">
      <c r="A17588" s="140"/>
      <c r="B17588" s="192"/>
      <c r="C17588" s="140"/>
      <c r="D17588" s="140"/>
      <c r="E17588" s="140"/>
    </row>
    <row r="17589" spans="1:5">
      <c r="A17589" s="140"/>
      <c r="B17589" s="192"/>
      <c r="C17589" s="140"/>
      <c r="D17589" s="140"/>
      <c r="E17589" s="140"/>
    </row>
    <row r="17590" spans="1:5">
      <c r="A17590" s="140"/>
      <c r="B17590" s="192"/>
      <c r="C17590" s="140"/>
      <c r="D17590" s="140"/>
      <c r="E17590" s="140"/>
    </row>
    <row r="17591" spans="1:5">
      <c r="A17591" s="140"/>
      <c r="B17591" s="192"/>
      <c r="C17591" s="140"/>
      <c r="D17591" s="140"/>
      <c r="E17591" s="140"/>
    </row>
    <row r="17592" spans="1:5">
      <c r="A17592" s="140"/>
      <c r="B17592" s="192"/>
      <c r="C17592" s="140"/>
      <c r="D17592" s="140"/>
      <c r="E17592" s="140"/>
    </row>
    <row r="17593" spans="1:5">
      <c r="A17593" s="140"/>
      <c r="B17593" s="192"/>
      <c r="C17593" s="140"/>
      <c r="D17593" s="140"/>
      <c r="E17593" s="140"/>
    </row>
    <row r="17594" spans="1:5">
      <c r="A17594" s="140"/>
      <c r="B17594" s="192"/>
      <c r="C17594" s="140"/>
      <c r="D17594" s="140"/>
      <c r="E17594" s="140"/>
    </row>
    <row r="17595" spans="1:5">
      <c r="A17595" s="140"/>
      <c r="B17595" s="192"/>
      <c r="C17595" s="140"/>
      <c r="D17595" s="140"/>
      <c r="E17595" s="140"/>
    </row>
    <row r="17596" spans="1:5">
      <c r="A17596" s="140"/>
      <c r="B17596" s="192"/>
      <c r="C17596" s="140"/>
      <c r="D17596" s="140"/>
      <c r="E17596" s="140"/>
    </row>
    <row r="17597" spans="1:5">
      <c r="A17597" s="140"/>
      <c r="B17597" s="192"/>
      <c r="C17597" s="140"/>
      <c r="D17597" s="140"/>
      <c r="E17597" s="140"/>
    </row>
    <row r="17598" spans="1:5">
      <c r="A17598" s="140"/>
      <c r="B17598" s="192"/>
      <c r="C17598" s="140"/>
      <c r="D17598" s="140"/>
      <c r="E17598" s="140"/>
    </row>
    <row r="17599" spans="1:5">
      <c r="A17599" s="140"/>
      <c r="B17599" s="192"/>
      <c r="C17599" s="140"/>
      <c r="D17599" s="140"/>
      <c r="E17599" s="140"/>
    </row>
    <row r="17600" spans="1:5">
      <c r="A17600" s="140"/>
      <c r="B17600" s="192"/>
      <c r="C17600" s="140"/>
      <c r="D17600" s="140"/>
      <c r="E17600" s="140"/>
    </row>
    <row r="17601" spans="1:5">
      <c r="A17601" s="140"/>
      <c r="B17601" s="192"/>
      <c r="C17601" s="140"/>
      <c r="D17601" s="140"/>
      <c r="E17601" s="140"/>
    </row>
    <row r="17602" spans="1:5">
      <c r="A17602" s="140"/>
      <c r="B17602" s="192"/>
      <c r="C17602" s="140"/>
      <c r="D17602" s="140"/>
      <c r="E17602" s="140"/>
    </row>
    <row r="17603" spans="1:5">
      <c r="A17603" s="140"/>
      <c r="B17603" s="192"/>
      <c r="C17603" s="140"/>
      <c r="D17603" s="140"/>
      <c r="E17603" s="140"/>
    </row>
    <row r="17604" spans="1:5">
      <c r="A17604" s="140"/>
      <c r="B17604" s="192"/>
      <c r="C17604" s="140"/>
      <c r="D17604" s="140"/>
      <c r="E17604" s="140"/>
    </row>
    <row r="17605" spans="1:5">
      <c r="A17605" s="140"/>
      <c r="B17605" s="192"/>
      <c r="C17605" s="140"/>
      <c r="D17605" s="140"/>
      <c r="E17605" s="140"/>
    </row>
    <row r="17606" spans="1:5">
      <c r="A17606" s="140"/>
      <c r="B17606" s="192"/>
      <c r="C17606" s="140"/>
      <c r="D17606" s="140"/>
      <c r="E17606" s="140"/>
    </row>
    <row r="17607" spans="1:5">
      <c r="A17607" s="140"/>
      <c r="B17607" s="192"/>
      <c r="C17607" s="140"/>
      <c r="D17607" s="140"/>
      <c r="E17607" s="140"/>
    </row>
    <row r="17608" spans="1:5">
      <c r="A17608" s="140"/>
      <c r="B17608" s="192"/>
      <c r="C17608" s="140"/>
      <c r="D17608" s="140"/>
      <c r="E17608" s="140"/>
    </row>
    <row r="17609" spans="1:5">
      <c r="A17609" s="140"/>
      <c r="B17609" s="192"/>
      <c r="C17609" s="140"/>
      <c r="D17609" s="140"/>
      <c r="E17609" s="140"/>
    </row>
    <row r="17610" spans="1:5">
      <c r="A17610" s="140"/>
      <c r="B17610" s="192"/>
      <c r="C17610" s="140"/>
      <c r="D17610" s="140"/>
      <c r="E17610" s="140"/>
    </row>
    <row r="17611" spans="1:5">
      <c r="A17611" s="140"/>
      <c r="B17611" s="192"/>
      <c r="C17611" s="140"/>
      <c r="D17611" s="140"/>
      <c r="E17611" s="140"/>
    </row>
    <row r="17612" spans="1:5">
      <c r="A17612" s="140"/>
      <c r="B17612" s="192"/>
      <c r="C17612" s="140"/>
      <c r="D17612" s="140"/>
      <c r="E17612" s="140"/>
    </row>
    <row r="17613" spans="1:5">
      <c r="A17613" s="140"/>
      <c r="B17613" s="192"/>
      <c r="C17613" s="140"/>
      <c r="D17613" s="140"/>
      <c r="E17613" s="140"/>
    </row>
    <row r="17614" spans="1:5">
      <c r="A17614" s="140"/>
      <c r="B17614" s="192"/>
      <c r="C17614" s="140"/>
      <c r="D17614" s="140"/>
      <c r="E17614" s="140"/>
    </row>
    <row r="17615" spans="1:5">
      <c r="A17615" s="140"/>
      <c r="B17615" s="192"/>
      <c r="C17615" s="140"/>
      <c r="D17615" s="140"/>
      <c r="E17615" s="140"/>
    </row>
    <row r="17616" spans="1:5">
      <c r="A17616" s="140"/>
      <c r="B17616" s="192"/>
      <c r="C17616" s="140"/>
      <c r="D17616" s="140"/>
      <c r="E17616" s="140"/>
    </row>
    <row r="17617" spans="1:5">
      <c r="A17617" s="140"/>
      <c r="B17617" s="192"/>
      <c r="C17617" s="140"/>
      <c r="D17617" s="140"/>
      <c r="E17617" s="140"/>
    </row>
    <row r="17618" spans="1:5">
      <c r="A17618" s="140"/>
      <c r="B17618" s="192"/>
      <c r="C17618" s="140"/>
      <c r="D17618" s="140"/>
      <c r="E17618" s="140"/>
    </row>
    <row r="17619" spans="1:5">
      <c r="A17619" s="140"/>
      <c r="B17619" s="192"/>
      <c r="C17619" s="140"/>
      <c r="D17619" s="140"/>
      <c r="E17619" s="140"/>
    </row>
    <row r="17620" spans="1:5">
      <c r="A17620" s="140"/>
      <c r="B17620" s="192"/>
      <c r="C17620" s="140"/>
      <c r="D17620" s="140"/>
      <c r="E17620" s="140"/>
    </row>
    <row r="17621" spans="1:5">
      <c r="A17621" s="140"/>
      <c r="B17621" s="192"/>
      <c r="C17621" s="140"/>
      <c r="D17621" s="140"/>
      <c r="E17621" s="140"/>
    </row>
    <row r="17622" spans="1:5">
      <c r="A17622" s="140"/>
      <c r="B17622" s="192"/>
      <c r="C17622" s="140"/>
      <c r="D17622" s="140"/>
      <c r="E17622" s="140"/>
    </row>
    <row r="17623" spans="1:5">
      <c r="A17623" s="140"/>
      <c r="B17623" s="192"/>
      <c r="C17623" s="140"/>
      <c r="D17623" s="140"/>
      <c r="E17623" s="140"/>
    </row>
    <row r="17624" spans="1:5">
      <c r="A17624" s="140"/>
      <c r="B17624" s="192"/>
      <c r="C17624" s="140"/>
      <c r="D17624" s="140"/>
      <c r="E17624" s="140"/>
    </row>
    <row r="17625" spans="1:5">
      <c r="A17625" s="140"/>
      <c r="B17625" s="192"/>
      <c r="C17625" s="140"/>
      <c r="D17625" s="140"/>
      <c r="E17625" s="140"/>
    </row>
    <row r="17626" spans="1:5">
      <c r="A17626" s="140"/>
      <c r="B17626" s="192"/>
      <c r="C17626" s="140"/>
      <c r="D17626" s="140"/>
      <c r="E17626" s="140"/>
    </row>
    <row r="17627" spans="1:5">
      <c r="A17627" s="140"/>
      <c r="B17627" s="192"/>
      <c r="C17627" s="140"/>
      <c r="D17627" s="140"/>
      <c r="E17627" s="140"/>
    </row>
    <row r="17628" spans="1:5">
      <c r="A17628" s="140"/>
      <c r="B17628" s="192"/>
      <c r="C17628" s="140"/>
      <c r="D17628" s="140"/>
      <c r="E17628" s="140"/>
    </row>
    <row r="17629" spans="1:5">
      <c r="A17629" s="140"/>
      <c r="B17629" s="192"/>
      <c r="C17629" s="140"/>
      <c r="D17629" s="140"/>
      <c r="E17629" s="140"/>
    </row>
    <row r="17630" spans="1:5">
      <c r="A17630" s="140"/>
      <c r="B17630" s="192"/>
      <c r="C17630" s="140"/>
      <c r="D17630" s="140"/>
      <c r="E17630" s="140"/>
    </row>
    <row r="17631" spans="1:5">
      <c r="A17631" s="140"/>
      <c r="B17631" s="192"/>
      <c r="C17631" s="140"/>
      <c r="D17631" s="140"/>
      <c r="E17631" s="140"/>
    </row>
    <row r="17632" spans="1:5">
      <c r="A17632" s="140"/>
      <c r="B17632" s="192"/>
      <c r="C17632" s="140"/>
      <c r="D17632" s="140"/>
      <c r="E17632" s="140"/>
    </row>
    <row r="17633" spans="1:5">
      <c r="A17633" s="140"/>
      <c r="B17633" s="192"/>
      <c r="C17633" s="140"/>
      <c r="D17633" s="140"/>
      <c r="E17633" s="140"/>
    </row>
    <row r="17634" spans="1:5">
      <c r="A17634" s="140"/>
      <c r="B17634" s="192"/>
      <c r="C17634" s="140"/>
      <c r="D17634" s="140"/>
      <c r="E17634" s="140"/>
    </row>
    <row r="17635" spans="1:5">
      <c r="A17635" s="140"/>
      <c r="B17635" s="192"/>
      <c r="C17635" s="140"/>
      <c r="D17635" s="140"/>
      <c r="E17635" s="140"/>
    </row>
    <row r="17636" spans="1:5">
      <c r="A17636" s="140"/>
      <c r="B17636" s="192"/>
      <c r="C17636" s="140"/>
      <c r="D17636" s="140"/>
      <c r="E17636" s="140"/>
    </row>
    <row r="17637" spans="1:5">
      <c r="A17637" s="140"/>
      <c r="B17637" s="192"/>
      <c r="C17637" s="140"/>
      <c r="D17637" s="140"/>
      <c r="E17637" s="140"/>
    </row>
    <row r="17638" spans="1:5">
      <c r="A17638" s="140"/>
      <c r="B17638" s="192"/>
      <c r="C17638" s="140"/>
      <c r="D17638" s="140"/>
      <c r="E17638" s="140"/>
    </row>
    <row r="17639" spans="1:5">
      <c r="A17639" s="140"/>
      <c r="B17639" s="192"/>
      <c r="C17639" s="140"/>
      <c r="D17639" s="140"/>
      <c r="E17639" s="140"/>
    </row>
    <row r="17640" spans="1:5">
      <c r="A17640" s="140"/>
      <c r="B17640" s="192"/>
      <c r="C17640" s="140"/>
      <c r="D17640" s="140"/>
      <c r="E17640" s="140"/>
    </row>
    <row r="17641" spans="1:5">
      <c r="A17641" s="140"/>
      <c r="B17641" s="192"/>
      <c r="C17641" s="140"/>
      <c r="D17641" s="140"/>
      <c r="E17641" s="140"/>
    </row>
    <row r="17642" spans="1:5">
      <c r="A17642" s="140"/>
      <c r="B17642" s="192"/>
      <c r="C17642" s="140"/>
      <c r="D17642" s="140"/>
      <c r="E17642" s="140"/>
    </row>
    <row r="17643" spans="1:5">
      <c r="A17643" s="140"/>
      <c r="B17643" s="192"/>
      <c r="C17643" s="140"/>
      <c r="D17643" s="140"/>
      <c r="E17643" s="140"/>
    </row>
    <row r="17644" spans="1:5">
      <c r="A17644" s="140"/>
      <c r="B17644" s="192"/>
      <c r="C17644" s="140"/>
      <c r="D17644" s="140"/>
      <c r="E17644" s="140"/>
    </row>
    <row r="17645" spans="1:5">
      <c r="A17645" s="140"/>
      <c r="B17645" s="192"/>
      <c r="C17645" s="140"/>
      <c r="D17645" s="140"/>
      <c r="E17645" s="140"/>
    </row>
    <row r="17646" spans="1:5">
      <c r="A17646" s="140"/>
      <c r="B17646" s="192"/>
      <c r="C17646" s="140"/>
      <c r="D17646" s="140"/>
      <c r="E17646" s="140"/>
    </row>
    <row r="17647" spans="1:5">
      <c r="A17647" s="140"/>
      <c r="B17647" s="192"/>
      <c r="C17647" s="140"/>
      <c r="D17647" s="140"/>
      <c r="E17647" s="140"/>
    </row>
    <row r="17648" spans="1:5">
      <c r="A17648" s="140"/>
      <c r="B17648" s="192"/>
      <c r="C17648" s="140"/>
      <c r="D17648" s="140"/>
      <c r="E17648" s="140"/>
    </row>
    <row r="17649" spans="1:5">
      <c r="A17649" s="140"/>
      <c r="B17649" s="192"/>
      <c r="C17649" s="140"/>
      <c r="D17649" s="140"/>
      <c r="E17649" s="140"/>
    </row>
    <row r="17650" spans="1:5">
      <c r="A17650" s="140"/>
      <c r="B17650" s="192"/>
      <c r="C17650" s="140"/>
      <c r="D17650" s="140"/>
      <c r="E17650" s="140"/>
    </row>
    <row r="17651" spans="1:5">
      <c r="A17651" s="140"/>
      <c r="B17651" s="192"/>
      <c r="C17651" s="140"/>
      <c r="D17651" s="140"/>
      <c r="E17651" s="140"/>
    </row>
    <row r="17652" spans="1:5">
      <c r="A17652" s="140"/>
      <c r="B17652" s="192"/>
      <c r="C17652" s="140"/>
      <c r="D17652" s="140"/>
      <c r="E17652" s="140"/>
    </row>
    <row r="17653" spans="1:5">
      <c r="A17653" s="140"/>
      <c r="B17653" s="192"/>
      <c r="C17653" s="140"/>
      <c r="D17653" s="140"/>
      <c r="E17653" s="140"/>
    </row>
    <row r="17654" spans="1:5">
      <c r="A17654" s="140"/>
      <c r="B17654" s="192"/>
      <c r="C17654" s="140"/>
      <c r="D17654" s="140"/>
      <c r="E17654" s="140"/>
    </row>
    <row r="17655" spans="1:5">
      <c r="A17655" s="140"/>
      <c r="B17655" s="192"/>
      <c r="C17655" s="140"/>
      <c r="D17655" s="140"/>
      <c r="E17655" s="140"/>
    </row>
    <row r="17656" spans="1:5">
      <c r="A17656" s="140"/>
      <c r="B17656" s="192"/>
      <c r="C17656" s="140"/>
      <c r="D17656" s="140"/>
      <c r="E17656" s="140"/>
    </row>
    <row r="17657" spans="1:5">
      <c r="A17657" s="140"/>
      <c r="B17657" s="192"/>
      <c r="C17657" s="140"/>
      <c r="D17657" s="140"/>
      <c r="E17657" s="140"/>
    </row>
    <row r="17658" spans="1:5">
      <c r="A17658" s="140"/>
      <c r="B17658" s="192"/>
      <c r="C17658" s="140"/>
      <c r="D17658" s="140"/>
      <c r="E17658" s="140"/>
    </row>
    <row r="17659" spans="1:5">
      <c r="A17659" s="140"/>
      <c r="B17659" s="192"/>
      <c r="C17659" s="140"/>
      <c r="D17659" s="140"/>
      <c r="E17659" s="140"/>
    </row>
    <row r="17660" spans="1:5">
      <c r="A17660" s="140"/>
      <c r="B17660" s="192"/>
      <c r="C17660" s="140"/>
      <c r="D17660" s="140"/>
      <c r="E17660" s="140"/>
    </row>
    <row r="17661" spans="1:5">
      <c r="A17661" s="140"/>
      <c r="B17661" s="192"/>
      <c r="C17661" s="140"/>
      <c r="D17661" s="140"/>
      <c r="E17661" s="140"/>
    </row>
    <row r="17662" spans="1:5">
      <c r="A17662" s="140"/>
      <c r="B17662" s="192"/>
      <c r="C17662" s="140"/>
      <c r="D17662" s="140"/>
      <c r="E17662" s="140"/>
    </row>
    <row r="17663" spans="1:5">
      <c r="A17663" s="140"/>
      <c r="B17663" s="192"/>
      <c r="C17663" s="140"/>
      <c r="D17663" s="140"/>
      <c r="E17663" s="140"/>
    </row>
    <row r="17664" spans="1:5">
      <c r="A17664" s="140"/>
      <c r="B17664" s="192"/>
      <c r="C17664" s="140"/>
      <c r="D17664" s="140"/>
      <c r="E17664" s="140"/>
    </row>
    <row r="17665" spans="1:5">
      <c r="A17665" s="140"/>
      <c r="B17665" s="192"/>
      <c r="C17665" s="140"/>
      <c r="D17665" s="140"/>
      <c r="E17665" s="140"/>
    </row>
    <row r="17666" spans="1:5">
      <c r="A17666" s="140"/>
      <c r="B17666" s="192"/>
      <c r="C17666" s="140"/>
      <c r="D17666" s="140"/>
      <c r="E17666" s="140"/>
    </row>
    <row r="17667" spans="1:5">
      <c r="A17667" s="140"/>
      <c r="B17667" s="192"/>
      <c r="C17667" s="140"/>
      <c r="D17667" s="140"/>
      <c r="E17667" s="140"/>
    </row>
    <row r="17668" spans="1:5">
      <c r="A17668" s="140"/>
      <c r="B17668" s="192"/>
      <c r="C17668" s="140"/>
      <c r="D17668" s="140"/>
      <c r="E17668" s="140"/>
    </row>
    <row r="17669" spans="1:5">
      <c r="A17669" s="140"/>
      <c r="B17669" s="192"/>
      <c r="C17669" s="140"/>
      <c r="D17669" s="140"/>
      <c r="E17669" s="140"/>
    </row>
    <row r="17670" spans="1:5">
      <c r="A17670" s="140"/>
      <c r="B17670" s="192"/>
      <c r="C17670" s="140"/>
      <c r="D17670" s="140"/>
      <c r="E17670" s="140"/>
    </row>
    <row r="17671" spans="1:5">
      <c r="A17671" s="140"/>
      <c r="B17671" s="192"/>
      <c r="C17671" s="140"/>
      <c r="D17671" s="140"/>
      <c r="E17671" s="140"/>
    </row>
    <row r="17672" spans="1:5">
      <c r="A17672" s="140"/>
      <c r="B17672" s="192"/>
      <c r="C17672" s="140"/>
      <c r="D17672" s="140"/>
      <c r="E17672" s="140"/>
    </row>
    <row r="17673" spans="1:5">
      <c r="A17673" s="140"/>
      <c r="B17673" s="192"/>
      <c r="C17673" s="140"/>
      <c r="D17673" s="140"/>
      <c r="E17673" s="140"/>
    </row>
    <row r="17674" spans="1:5">
      <c r="A17674" s="140"/>
      <c r="B17674" s="192"/>
      <c r="C17674" s="140"/>
      <c r="D17674" s="140"/>
      <c r="E17674" s="140"/>
    </row>
    <row r="17675" spans="1:5">
      <c r="A17675" s="140"/>
      <c r="B17675" s="192"/>
      <c r="C17675" s="140"/>
      <c r="D17675" s="140"/>
      <c r="E17675" s="140"/>
    </row>
    <row r="17676" spans="1:5">
      <c r="A17676" s="140"/>
      <c r="B17676" s="192"/>
      <c r="C17676" s="140"/>
      <c r="D17676" s="140"/>
      <c r="E17676" s="140"/>
    </row>
    <row r="17677" spans="1:5">
      <c r="A17677" s="140"/>
      <c r="B17677" s="192"/>
      <c r="C17677" s="140"/>
      <c r="D17677" s="140"/>
      <c r="E17677" s="140"/>
    </row>
    <row r="17678" spans="1:5">
      <c r="A17678" s="140"/>
      <c r="B17678" s="192"/>
      <c r="C17678" s="140"/>
      <c r="D17678" s="140"/>
      <c r="E17678" s="140"/>
    </row>
    <row r="17679" spans="1:5">
      <c r="A17679" s="140"/>
      <c r="B17679" s="192"/>
      <c r="C17679" s="140"/>
      <c r="D17679" s="140"/>
      <c r="E17679" s="140"/>
    </row>
    <row r="17680" spans="1:5">
      <c r="A17680" s="140"/>
      <c r="B17680" s="192"/>
      <c r="C17680" s="140"/>
      <c r="D17680" s="140"/>
      <c r="E17680" s="140"/>
    </row>
    <row r="17681" spans="1:5">
      <c r="A17681" s="140"/>
      <c r="B17681" s="192"/>
      <c r="C17681" s="140"/>
      <c r="D17681" s="140"/>
      <c r="E17681" s="140"/>
    </row>
    <row r="17682" spans="1:5">
      <c r="A17682" s="140"/>
      <c r="B17682" s="192"/>
      <c r="C17682" s="140"/>
      <c r="D17682" s="140"/>
      <c r="E17682" s="140"/>
    </row>
    <row r="17683" spans="1:5">
      <c r="A17683" s="140"/>
      <c r="B17683" s="192"/>
      <c r="C17683" s="140"/>
      <c r="D17683" s="140"/>
      <c r="E17683" s="140"/>
    </row>
    <row r="17684" spans="1:5">
      <c r="A17684" s="140"/>
      <c r="B17684" s="192"/>
      <c r="C17684" s="140"/>
      <c r="D17684" s="140"/>
      <c r="E17684" s="140"/>
    </row>
    <row r="17685" spans="1:5">
      <c r="A17685" s="140"/>
      <c r="B17685" s="192"/>
      <c r="C17685" s="140"/>
      <c r="D17685" s="140"/>
      <c r="E17685" s="140"/>
    </row>
    <row r="17686" spans="1:5">
      <c r="A17686" s="140"/>
      <c r="B17686" s="192"/>
      <c r="C17686" s="140"/>
      <c r="D17686" s="140"/>
      <c r="E17686" s="140"/>
    </row>
    <row r="17687" spans="1:5">
      <c r="A17687" s="140"/>
      <c r="B17687" s="192"/>
      <c r="C17687" s="140"/>
      <c r="D17687" s="140"/>
      <c r="E17687" s="140"/>
    </row>
    <row r="17688" spans="1:5">
      <c r="A17688" s="140"/>
      <c r="B17688" s="192"/>
      <c r="C17688" s="140"/>
      <c r="D17688" s="140"/>
      <c r="E17688" s="140"/>
    </row>
    <row r="17689" spans="1:5">
      <c r="A17689" s="140"/>
      <c r="B17689" s="192"/>
      <c r="C17689" s="140"/>
      <c r="D17689" s="140"/>
      <c r="E17689" s="140"/>
    </row>
    <row r="17690" spans="1:5">
      <c r="A17690" s="140"/>
      <c r="B17690" s="192"/>
      <c r="C17690" s="140"/>
      <c r="D17690" s="140"/>
      <c r="E17690" s="140"/>
    </row>
    <row r="17691" spans="1:5">
      <c r="A17691" s="140"/>
      <c r="B17691" s="192"/>
      <c r="C17691" s="140"/>
      <c r="D17691" s="140"/>
      <c r="E17691" s="140"/>
    </row>
    <row r="17692" spans="1:5">
      <c r="A17692" s="140"/>
      <c r="B17692" s="192"/>
      <c r="C17692" s="140"/>
      <c r="D17692" s="140"/>
      <c r="E17692" s="140"/>
    </row>
    <row r="17693" spans="1:5">
      <c r="A17693" s="140"/>
      <c r="B17693" s="192"/>
      <c r="C17693" s="140"/>
      <c r="D17693" s="140"/>
      <c r="E17693" s="140"/>
    </row>
    <row r="17694" spans="1:5">
      <c r="A17694" s="140"/>
      <c r="B17694" s="192"/>
      <c r="C17694" s="140"/>
      <c r="D17694" s="140"/>
      <c r="E17694" s="140"/>
    </row>
    <row r="17695" spans="1:5">
      <c r="A17695" s="140"/>
      <c r="B17695" s="192"/>
      <c r="C17695" s="140"/>
      <c r="D17695" s="140"/>
      <c r="E17695" s="140"/>
    </row>
    <row r="17696" spans="1:5">
      <c r="A17696" s="140"/>
      <c r="B17696" s="192"/>
      <c r="C17696" s="140"/>
      <c r="D17696" s="140"/>
      <c r="E17696" s="140"/>
    </row>
    <row r="17697" spans="1:5">
      <c r="A17697" s="140"/>
      <c r="B17697" s="192"/>
      <c r="C17697" s="140"/>
      <c r="D17697" s="140"/>
      <c r="E17697" s="140"/>
    </row>
    <row r="17698" spans="1:5">
      <c r="A17698" s="140"/>
      <c r="B17698" s="192"/>
      <c r="C17698" s="140"/>
      <c r="D17698" s="140"/>
      <c r="E17698" s="140"/>
    </row>
    <row r="17699" spans="1:5">
      <c r="A17699" s="140"/>
      <c r="B17699" s="192"/>
      <c r="C17699" s="140"/>
      <c r="D17699" s="140"/>
      <c r="E17699" s="140"/>
    </row>
    <row r="17700" spans="1:5">
      <c r="A17700" s="140"/>
      <c r="B17700" s="192"/>
      <c r="C17700" s="140"/>
      <c r="D17700" s="140"/>
      <c r="E17700" s="140"/>
    </row>
    <row r="17701" spans="1:5">
      <c r="A17701" s="140"/>
      <c r="B17701" s="192"/>
      <c r="C17701" s="140"/>
      <c r="D17701" s="140"/>
      <c r="E17701" s="140"/>
    </row>
    <row r="17702" spans="1:5">
      <c r="A17702" s="140"/>
      <c r="B17702" s="192"/>
      <c r="C17702" s="140"/>
      <c r="D17702" s="140"/>
      <c r="E17702" s="140"/>
    </row>
    <row r="17703" spans="1:5">
      <c r="A17703" s="140"/>
      <c r="B17703" s="192"/>
      <c r="C17703" s="140"/>
      <c r="D17703" s="140"/>
      <c r="E17703" s="140"/>
    </row>
    <row r="17704" spans="1:5">
      <c r="A17704" s="140"/>
      <c r="B17704" s="192"/>
      <c r="C17704" s="140"/>
      <c r="D17704" s="140"/>
      <c r="E17704" s="140"/>
    </row>
    <row r="17705" spans="1:5">
      <c r="A17705" s="140"/>
      <c r="B17705" s="192"/>
      <c r="C17705" s="140"/>
      <c r="D17705" s="140"/>
      <c r="E17705" s="140"/>
    </row>
    <row r="17706" spans="1:5">
      <c r="A17706" s="140"/>
      <c r="B17706" s="192"/>
      <c r="C17706" s="140"/>
      <c r="D17706" s="140"/>
      <c r="E17706" s="140"/>
    </row>
    <row r="17707" spans="1:5">
      <c r="A17707" s="140"/>
      <c r="B17707" s="192"/>
      <c r="C17707" s="140"/>
      <c r="D17707" s="140"/>
      <c r="E17707" s="140"/>
    </row>
    <row r="17708" spans="1:5">
      <c r="A17708" s="140"/>
      <c r="B17708" s="192"/>
      <c r="C17708" s="140"/>
      <c r="D17708" s="140"/>
      <c r="E17708" s="140"/>
    </row>
    <row r="17709" spans="1:5">
      <c r="A17709" s="140"/>
      <c r="B17709" s="192"/>
      <c r="C17709" s="140"/>
      <c r="D17709" s="140"/>
      <c r="E17709" s="140"/>
    </row>
    <row r="17710" spans="1:5">
      <c r="A17710" s="140"/>
      <c r="B17710" s="192"/>
      <c r="C17710" s="140"/>
      <c r="D17710" s="140"/>
      <c r="E17710" s="140"/>
    </row>
    <row r="17711" spans="1:5">
      <c r="A17711" s="140"/>
      <c r="B17711" s="192"/>
      <c r="C17711" s="140"/>
      <c r="D17711" s="140"/>
      <c r="E17711" s="140"/>
    </row>
    <row r="17712" spans="1:5">
      <c r="A17712" s="140"/>
      <c r="B17712" s="192"/>
      <c r="C17712" s="140"/>
      <c r="D17712" s="140"/>
      <c r="E17712" s="140"/>
    </row>
    <row r="17713" spans="1:5">
      <c r="A17713" s="140"/>
      <c r="B17713" s="192"/>
      <c r="C17713" s="140"/>
      <c r="D17713" s="140"/>
      <c r="E17713" s="140"/>
    </row>
    <row r="17714" spans="1:5">
      <c r="A17714" s="140"/>
      <c r="B17714" s="192"/>
      <c r="C17714" s="140"/>
      <c r="D17714" s="140"/>
      <c r="E17714" s="140"/>
    </row>
    <row r="17715" spans="1:5">
      <c r="A17715" s="140"/>
      <c r="B17715" s="192"/>
      <c r="C17715" s="140"/>
      <c r="D17715" s="140"/>
      <c r="E17715" s="140"/>
    </row>
    <row r="17716" spans="1:5">
      <c r="A17716" s="140"/>
      <c r="B17716" s="192"/>
      <c r="C17716" s="140"/>
      <c r="D17716" s="140"/>
      <c r="E17716" s="140"/>
    </row>
    <row r="17717" spans="1:5">
      <c r="A17717" s="140"/>
      <c r="B17717" s="192"/>
      <c r="C17717" s="140"/>
      <c r="D17717" s="140"/>
      <c r="E17717" s="140"/>
    </row>
    <row r="17718" spans="1:5">
      <c r="A17718" s="140"/>
      <c r="B17718" s="192"/>
      <c r="C17718" s="140"/>
      <c r="D17718" s="140"/>
      <c r="E17718" s="140"/>
    </row>
    <row r="17719" spans="1:5">
      <c r="A17719" s="140"/>
      <c r="B17719" s="192"/>
      <c r="C17719" s="140"/>
      <c r="D17719" s="140"/>
      <c r="E17719" s="140"/>
    </row>
    <row r="17720" spans="1:5">
      <c r="A17720" s="140"/>
      <c r="B17720" s="192"/>
      <c r="C17720" s="140"/>
      <c r="D17720" s="140"/>
      <c r="E17720" s="140"/>
    </row>
    <row r="17721" spans="1:5">
      <c r="A17721" s="140"/>
      <c r="B17721" s="192"/>
      <c r="C17721" s="140"/>
      <c r="D17721" s="140"/>
      <c r="E17721" s="140"/>
    </row>
    <row r="17722" spans="1:5">
      <c r="A17722" s="140"/>
      <c r="B17722" s="192"/>
      <c r="C17722" s="140"/>
      <c r="D17722" s="140"/>
      <c r="E17722" s="140"/>
    </row>
    <row r="17723" spans="1:5">
      <c r="A17723" s="140"/>
      <c r="B17723" s="192"/>
      <c r="C17723" s="140"/>
      <c r="D17723" s="140"/>
      <c r="E17723" s="140"/>
    </row>
    <row r="17724" spans="1:5">
      <c r="A17724" s="140"/>
      <c r="B17724" s="192"/>
      <c r="C17724" s="140"/>
      <c r="D17724" s="140"/>
      <c r="E17724" s="140"/>
    </row>
    <row r="17725" spans="1:5">
      <c r="A17725" s="140"/>
      <c r="B17725" s="192"/>
      <c r="C17725" s="140"/>
      <c r="D17725" s="140"/>
      <c r="E17725" s="140"/>
    </row>
    <row r="17726" spans="1:5">
      <c r="A17726" s="140"/>
      <c r="B17726" s="192"/>
      <c r="C17726" s="140"/>
      <c r="D17726" s="140"/>
      <c r="E17726" s="140"/>
    </row>
    <row r="17727" spans="1:5">
      <c r="A17727" s="140"/>
      <c r="B17727" s="192"/>
      <c r="C17727" s="140"/>
      <c r="D17727" s="140"/>
      <c r="E17727" s="140"/>
    </row>
    <row r="17728" spans="1:5">
      <c r="A17728" s="140"/>
      <c r="B17728" s="192"/>
      <c r="C17728" s="140"/>
      <c r="D17728" s="140"/>
      <c r="E17728" s="140"/>
    </row>
    <row r="17729" spans="1:5">
      <c r="A17729" s="140"/>
      <c r="B17729" s="192"/>
      <c r="C17729" s="140"/>
      <c r="D17729" s="140"/>
      <c r="E17729" s="140"/>
    </row>
    <row r="17730" spans="1:5">
      <c r="A17730" s="140"/>
      <c r="B17730" s="192"/>
      <c r="C17730" s="140"/>
      <c r="D17730" s="140"/>
      <c r="E17730" s="140"/>
    </row>
    <row r="17731" spans="1:5">
      <c r="A17731" s="140"/>
      <c r="B17731" s="192"/>
      <c r="C17731" s="140"/>
      <c r="D17731" s="140"/>
      <c r="E17731" s="140"/>
    </row>
    <row r="17732" spans="1:5">
      <c r="A17732" s="140"/>
      <c r="B17732" s="192"/>
      <c r="C17732" s="140"/>
      <c r="D17732" s="140"/>
      <c r="E17732" s="140"/>
    </row>
    <row r="17733" spans="1:5">
      <c r="A17733" s="140"/>
      <c r="B17733" s="192"/>
      <c r="C17733" s="140"/>
      <c r="D17733" s="140"/>
      <c r="E17733" s="140"/>
    </row>
    <row r="17734" spans="1:5">
      <c r="A17734" s="140"/>
      <c r="B17734" s="192"/>
      <c r="C17734" s="140"/>
      <c r="D17734" s="140"/>
      <c r="E17734" s="140"/>
    </row>
    <row r="17735" spans="1:5">
      <c r="A17735" s="140"/>
      <c r="B17735" s="192"/>
      <c r="C17735" s="140"/>
      <c r="D17735" s="140"/>
      <c r="E17735" s="140"/>
    </row>
    <row r="17736" spans="1:5">
      <c r="A17736" s="140"/>
      <c r="B17736" s="192"/>
      <c r="C17736" s="140"/>
      <c r="D17736" s="140"/>
      <c r="E17736" s="140"/>
    </row>
    <row r="17737" spans="1:5">
      <c r="A17737" s="140"/>
      <c r="B17737" s="192"/>
      <c r="C17737" s="140"/>
      <c r="D17737" s="140"/>
      <c r="E17737" s="140"/>
    </row>
    <row r="17738" spans="1:5">
      <c r="A17738" s="140"/>
      <c r="B17738" s="192"/>
      <c r="C17738" s="140"/>
      <c r="D17738" s="140"/>
      <c r="E17738" s="140"/>
    </row>
    <row r="17739" spans="1:5">
      <c r="A17739" s="140"/>
      <c r="B17739" s="192"/>
      <c r="C17739" s="140"/>
      <c r="D17739" s="140"/>
      <c r="E17739" s="140"/>
    </row>
    <row r="17740" spans="1:5">
      <c r="A17740" s="140"/>
      <c r="B17740" s="192"/>
      <c r="C17740" s="140"/>
      <c r="D17740" s="140"/>
      <c r="E17740" s="140"/>
    </row>
    <row r="17741" spans="1:5">
      <c r="A17741" s="140"/>
      <c r="B17741" s="192"/>
      <c r="C17741" s="140"/>
      <c r="D17741" s="140"/>
      <c r="E17741" s="140"/>
    </row>
    <row r="17742" spans="1:5">
      <c r="A17742" s="140"/>
      <c r="B17742" s="192"/>
      <c r="C17742" s="140"/>
      <c r="D17742" s="140"/>
      <c r="E17742" s="140"/>
    </row>
    <row r="17743" spans="1:5">
      <c r="A17743" s="140"/>
      <c r="B17743" s="192"/>
      <c r="C17743" s="140"/>
      <c r="D17743" s="140"/>
      <c r="E17743" s="140"/>
    </row>
    <row r="17744" spans="1:5">
      <c r="A17744" s="140"/>
      <c r="B17744" s="192"/>
      <c r="C17744" s="140"/>
      <c r="D17744" s="140"/>
      <c r="E17744" s="140"/>
    </row>
    <row r="17745" spans="1:5">
      <c r="A17745" s="140"/>
      <c r="B17745" s="192"/>
      <c r="C17745" s="140"/>
      <c r="D17745" s="140"/>
      <c r="E17745" s="140"/>
    </row>
    <row r="17746" spans="1:5">
      <c r="A17746" s="140"/>
      <c r="B17746" s="192"/>
      <c r="C17746" s="140"/>
      <c r="D17746" s="140"/>
      <c r="E17746" s="140"/>
    </row>
    <row r="17747" spans="1:5">
      <c r="A17747" s="140"/>
      <c r="B17747" s="192"/>
      <c r="C17747" s="140"/>
      <c r="D17747" s="140"/>
      <c r="E17747" s="140"/>
    </row>
    <row r="17748" spans="1:5">
      <c r="A17748" s="140"/>
      <c r="B17748" s="192"/>
      <c r="C17748" s="140"/>
      <c r="D17748" s="140"/>
      <c r="E17748" s="140"/>
    </row>
    <row r="17749" spans="1:5">
      <c r="A17749" s="140"/>
      <c r="B17749" s="192"/>
      <c r="C17749" s="140"/>
      <c r="D17749" s="140"/>
      <c r="E17749" s="140"/>
    </row>
    <row r="17750" spans="1:5">
      <c r="A17750" s="140"/>
      <c r="B17750" s="192"/>
      <c r="C17750" s="140"/>
      <c r="D17750" s="140"/>
      <c r="E17750" s="140"/>
    </row>
    <row r="17751" spans="1:5">
      <c r="A17751" s="140"/>
      <c r="B17751" s="192"/>
      <c r="C17751" s="140"/>
      <c r="D17751" s="140"/>
      <c r="E17751" s="140"/>
    </row>
    <row r="17752" spans="1:5">
      <c r="A17752" s="140"/>
      <c r="B17752" s="192"/>
      <c r="C17752" s="140"/>
      <c r="D17752" s="140"/>
      <c r="E17752" s="140"/>
    </row>
    <row r="17753" spans="1:5">
      <c r="A17753" s="140"/>
      <c r="B17753" s="192"/>
      <c r="C17753" s="140"/>
      <c r="D17753" s="140"/>
      <c r="E17753" s="140"/>
    </row>
    <row r="17754" spans="1:5">
      <c r="A17754" s="140"/>
      <c r="B17754" s="192"/>
      <c r="C17754" s="140"/>
      <c r="D17754" s="140"/>
      <c r="E17754" s="140"/>
    </row>
    <row r="17755" spans="1:5">
      <c r="A17755" s="140"/>
      <c r="B17755" s="192"/>
      <c r="C17755" s="140"/>
      <c r="D17755" s="140"/>
      <c r="E17755" s="140"/>
    </row>
    <row r="17756" spans="1:5">
      <c r="A17756" s="140"/>
      <c r="B17756" s="192"/>
      <c r="C17756" s="140"/>
      <c r="D17756" s="140"/>
      <c r="E17756" s="140"/>
    </row>
    <row r="17757" spans="1:5">
      <c r="A17757" s="140"/>
      <c r="B17757" s="192"/>
      <c r="C17757" s="140"/>
      <c r="D17757" s="140"/>
      <c r="E17757" s="140"/>
    </row>
    <row r="17758" spans="1:5">
      <c r="A17758" s="140"/>
      <c r="B17758" s="192"/>
      <c r="C17758" s="140"/>
      <c r="D17758" s="140"/>
      <c r="E17758" s="140"/>
    </row>
    <row r="17759" spans="1:5">
      <c r="A17759" s="140"/>
      <c r="B17759" s="192"/>
      <c r="C17759" s="140"/>
      <c r="D17759" s="140"/>
      <c r="E17759" s="140"/>
    </row>
    <row r="17760" spans="1:5">
      <c r="A17760" s="140"/>
      <c r="B17760" s="192"/>
      <c r="C17760" s="140"/>
      <c r="D17760" s="140"/>
      <c r="E17760" s="140"/>
    </row>
    <row r="17761" spans="1:5">
      <c r="A17761" s="140"/>
      <c r="B17761" s="192"/>
      <c r="C17761" s="140"/>
      <c r="D17761" s="140"/>
      <c r="E17761" s="140"/>
    </row>
    <row r="17762" spans="1:5">
      <c r="A17762" s="140"/>
      <c r="B17762" s="192"/>
      <c r="C17762" s="140"/>
      <c r="D17762" s="140"/>
      <c r="E17762" s="140"/>
    </row>
    <row r="17763" spans="1:5">
      <c r="A17763" s="140"/>
      <c r="B17763" s="192"/>
      <c r="C17763" s="140"/>
      <c r="D17763" s="140"/>
      <c r="E17763" s="140"/>
    </row>
    <row r="17764" spans="1:5">
      <c r="A17764" s="140"/>
      <c r="B17764" s="192"/>
      <c r="C17764" s="140"/>
      <c r="D17764" s="140"/>
      <c r="E17764" s="140"/>
    </row>
    <row r="17765" spans="1:5">
      <c r="A17765" s="140"/>
      <c r="B17765" s="192"/>
      <c r="C17765" s="140"/>
      <c r="D17765" s="140"/>
      <c r="E17765" s="140"/>
    </row>
    <row r="17766" spans="1:5">
      <c r="A17766" s="140"/>
      <c r="B17766" s="192"/>
      <c r="C17766" s="140"/>
      <c r="D17766" s="140"/>
      <c r="E17766" s="140"/>
    </row>
    <row r="17767" spans="1:5">
      <c r="A17767" s="140"/>
      <c r="B17767" s="192"/>
      <c r="C17767" s="140"/>
      <c r="D17767" s="140"/>
      <c r="E17767" s="140"/>
    </row>
    <row r="17768" spans="1:5">
      <c r="A17768" s="140"/>
      <c r="B17768" s="192"/>
      <c r="C17768" s="140"/>
      <c r="D17768" s="140"/>
      <c r="E17768" s="140"/>
    </row>
    <row r="17769" spans="1:5">
      <c r="A17769" s="140"/>
      <c r="B17769" s="192"/>
      <c r="C17769" s="140"/>
      <c r="D17769" s="140"/>
      <c r="E17769" s="140"/>
    </row>
    <row r="17770" spans="1:5">
      <c r="A17770" s="140"/>
      <c r="B17770" s="192"/>
      <c r="C17770" s="140"/>
      <c r="D17770" s="140"/>
      <c r="E17770" s="140"/>
    </row>
    <row r="17771" spans="1:5">
      <c r="A17771" s="140"/>
      <c r="B17771" s="192"/>
      <c r="C17771" s="140"/>
      <c r="D17771" s="140"/>
      <c r="E17771" s="140"/>
    </row>
    <row r="17772" spans="1:5">
      <c r="A17772" s="140"/>
      <c r="B17772" s="192"/>
      <c r="C17772" s="140"/>
      <c r="D17772" s="140"/>
      <c r="E17772" s="140"/>
    </row>
    <row r="17773" spans="1:5">
      <c r="A17773" s="140"/>
      <c r="B17773" s="192"/>
      <c r="C17773" s="140"/>
      <c r="D17773" s="140"/>
      <c r="E17773" s="140"/>
    </row>
    <row r="17774" spans="1:5">
      <c r="A17774" s="140"/>
      <c r="B17774" s="192"/>
      <c r="C17774" s="140"/>
      <c r="D17774" s="140"/>
      <c r="E17774" s="140"/>
    </row>
    <row r="17775" spans="1:5">
      <c r="A17775" s="140"/>
      <c r="B17775" s="192"/>
      <c r="C17775" s="140"/>
      <c r="D17775" s="140"/>
      <c r="E17775" s="140"/>
    </row>
    <row r="17776" spans="1:5">
      <c r="A17776" s="140"/>
      <c r="B17776" s="192"/>
      <c r="C17776" s="140"/>
      <c r="D17776" s="140"/>
      <c r="E17776" s="140"/>
    </row>
    <row r="17777" spans="1:5">
      <c r="A17777" s="140"/>
      <c r="B17777" s="192"/>
      <c r="C17777" s="140"/>
      <c r="D17777" s="140"/>
      <c r="E17777" s="140"/>
    </row>
    <row r="17778" spans="1:5">
      <c r="A17778" s="140"/>
      <c r="B17778" s="192"/>
      <c r="C17778" s="140"/>
      <c r="D17778" s="140"/>
      <c r="E17778" s="140"/>
    </row>
    <row r="17779" spans="1:5">
      <c r="A17779" s="140"/>
      <c r="B17779" s="192"/>
      <c r="C17779" s="140"/>
      <c r="D17779" s="140"/>
      <c r="E17779" s="140"/>
    </row>
    <row r="17780" spans="1:5">
      <c r="A17780" s="140"/>
      <c r="B17780" s="192"/>
      <c r="C17780" s="140"/>
      <c r="D17780" s="140"/>
      <c r="E17780" s="140"/>
    </row>
    <row r="17781" spans="1:5">
      <c r="A17781" s="140"/>
      <c r="B17781" s="192"/>
      <c r="C17781" s="140"/>
      <c r="D17781" s="140"/>
      <c r="E17781" s="140"/>
    </row>
    <row r="17782" spans="1:5">
      <c r="A17782" s="140"/>
      <c r="B17782" s="192"/>
      <c r="C17782" s="140"/>
      <c r="D17782" s="140"/>
      <c r="E17782" s="140"/>
    </row>
    <row r="17783" spans="1:5">
      <c r="A17783" s="140"/>
      <c r="B17783" s="192"/>
      <c r="C17783" s="140"/>
      <c r="D17783" s="140"/>
      <c r="E17783" s="140"/>
    </row>
    <row r="17784" spans="1:5">
      <c r="A17784" s="140"/>
      <c r="B17784" s="192"/>
      <c r="C17784" s="140"/>
      <c r="D17784" s="140"/>
      <c r="E17784" s="140"/>
    </row>
    <row r="17785" spans="1:5">
      <c r="A17785" s="140"/>
      <c r="B17785" s="192"/>
      <c r="C17785" s="140"/>
      <c r="D17785" s="140"/>
      <c r="E17785" s="140"/>
    </row>
    <row r="17786" spans="1:5">
      <c r="A17786" s="140"/>
      <c r="B17786" s="192"/>
      <c r="C17786" s="140"/>
      <c r="D17786" s="140"/>
      <c r="E17786" s="140"/>
    </row>
    <row r="17787" spans="1:5">
      <c r="A17787" s="140"/>
      <c r="B17787" s="192"/>
      <c r="C17787" s="140"/>
      <c r="D17787" s="140"/>
      <c r="E17787" s="140"/>
    </row>
    <row r="17788" spans="1:5">
      <c r="A17788" s="140"/>
      <c r="B17788" s="192"/>
      <c r="C17788" s="140"/>
      <c r="D17788" s="140"/>
      <c r="E17788" s="140"/>
    </row>
    <row r="17789" spans="1:5">
      <c r="A17789" s="140"/>
      <c r="B17789" s="192"/>
      <c r="C17789" s="140"/>
      <c r="D17789" s="140"/>
      <c r="E17789" s="140"/>
    </row>
    <row r="17790" spans="1:5">
      <c r="A17790" s="140"/>
      <c r="B17790" s="192"/>
      <c r="C17790" s="140"/>
      <c r="D17790" s="140"/>
      <c r="E17790" s="140"/>
    </row>
    <row r="17791" spans="1:5">
      <c r="A17791" s="140"/>
      <c r="B17791" s="192"/>
      <c r="C17791" s="140"/>
      <c r="D17791" s="140"/>
      <c r="E17791" s="140"/>
    </row>
    <row r="17792" spans="1:5">
      <c r="A17792" s="140"/>
      <c r="B17792" s="192"/>
      <c r="C17792" s="140"/>
      <c r="D17792" s="140"/>
      <c r="E17792" s="140"/>
    </row>
    <row r="17793" spans="1:5">
      <c r="A17793" s="140"/>
      <c r="B17793" s="192"/>
      <c r="C17793" s="140"/>
      <c r="D17793" s="140"/>
      <c r="E17793" s="140"/>
    </row>
    <row r="17794" spans="1:5">
      <c r="A17794" s="140"/>
      <c r="B17794" s="192"/>
      <c r="C17794" s="140"/>
      <c r="D17794" s="140"/>
      <c r="E17794" s="140"/>
    </row>
    <row r="17795" spans="1:5">
      <c r="A17795" s="140"/>
      <c r="B17795" s="192"/>
      <c r="C17795" s="140"/>
      <c r="D17795" s="140"/>
      <c r="E17795" s="140"/>
    </row>
    <row r="17796" spans="1:5">
      <c r="A17796" s="140"/>
      <c r="B17796" s="192"/>
      <c r="C17796" s="140"/>
      <c r="D17796" s="140"/>
      <c r="E17796" s="140"/>
    </row>
    <row r="17797" spans="1:5">
      <c r="A17797" s="140"/>
      <c r="B17797" s="192"/>
      <c r="C17797" s="140"/>
      <c r="D17797" s="140"/>
      <c r="E17797" s="140"/>
    </row>
    <row r="17798" spans="1:5">
      <c r="A17798" s="140"/>
      <c r="B17798" s="192"/>
      <c r="C17798" s="140"/>
      <c r="D17798" s="140"/>
      <c r="E17798" s="140"/>
    </row>
    <row r="17799" spans="1:5">
      <c r="A17799" s="140"/>
      <c r="B17799" s="192"/>
      <c r="C17799" s="140"/>
      <c r="D17799" s="140"/>
      <c r="E17799" s="140"/>
    </row>
    <row r="17800" spans="1:5">
      <c r="A17800" s="140"/>
      <c r="B17800" s="192"/>
      <c r="C17800" s="140"/>
      <c r="D17800" s="140"/>
      <c r="E17800" s="140"/>
    </row>
    <row r="17801" spans="1:5">
      <c r="A17801" s="140"/>
      <c r="B17801" s="192"/>
      <c r="C17801" s="140"/>
      <c r="D17801" s="140"/>
      <c r="E17801" s="140"/>
    </row>
    <row r="17802" spans="1:5">
      <c r="A17802" s="140"/>
      <c r="B17802" s="192"/>
      <c r="C17802" s="140"/>
      <c r="D17802" s="140"/>
      <c r="E17802" s="140"/>
    </row>
    <row r="17803" spans="1:5">
      <c r="A17803" s="140"/>
      <c r="B17803" s="192"/>
      <c r="C17803" s="140"/>
      <c r="D17803" s="140"/>
      <c r="E17803" s="140"/>
    </row>
    <row r="17804" spans="1:5">
      <c r="A17804" s="140"/>
      <c r="B17804" s="192"/>
      <c r="C17804" s="140"/>
      <c r="D17804" s="140"/>
      <c r="E17804" s="140"/>
    </row>
    <row r="17805" spans="1:5">
      <c r="A17805" s="140"/>
      <c r="B17805" s="192"/>
      <c r="C17805" s="140"/>
      <c r="D17805" s="140"/>
      <c r="E17805" s="140"/>
    </row>
    <row r="17806" spans="1:5">
      <c r="A17806" s="140"/>
      <c r="B17806" s="192"/>
      <c r="C17806" s="140"/>
      <c r="D17806" s="140"/>
      <c r="E17806" s="140"/>
    </row>
    <row r="17807" spans="1:5">
      <c r="A17807" s="140"/>
      <c r="B17807" s="192"/>
      <c r="C17807" s="140"/>
      <c r="D17807" s="140"/>
      <c r="E17807" s="140"/>
    </row>
    <row r="17808" spans="1:5">
      <c r="A17808" s="140"/>
      <c r="B17808" s="192"/>
      <c r="C17808" s="140"/>
      <c r="D17808" s="140"/>
      <c r="E17808" s="140"/>
    </row>
    <row r="17809" spans="1:5">
      <c r="A17809" s="140"/>
      <c r="B17809" s="192"/>
      <c r="C17809" s="140"/>
      <c r="D17809" s="140"/>
      <c r="E17809" s="140"/>
    </row>
    <row r="17810" spans="1:5">
      <c r="A17810" s="140"/>
      <c r="B17810" s="192"/>
      <c r="C17810" s="140"/>
      <c r="D17810" s="140"/>
      <c r="E17810" s="140"/>
    </row>
    <row r="17811" spans="1:5">
      <c r="A17811" s="140"/>
      <c r="B17811" s="192"/>
      <c r="C17811" s="140"/>
      <c r="D17811" s="140"/>
      <c r="E17811" s="140"/>
    </row>
    <row r="17812" spans="1:5">
      <c r="A17812" s="140"/>
      <c r="B17812" s="192"/>
      <c r="C17812" s="140"/>
      <c r="D17812" s="140"/>
      <c r="E17812" s="140"/>
    </row>
    <row r="17813" spans="1:5">
      <c r="A17813" s="140"/>
      <c r="B17813" s="192"/>
      <c r="C17813" s="140"/>
      <c r="D17813" s="140"/>
      <c r="E17813" s="140"/>
    </row>
    <row r="17814" spans="1:5">
      <c r="A17814" s="140"/>
      <c r="B17814" s="192"/>
      <c r="C17814" s="140"/>
      <c r="D17814" s="140"/>
      <c r="E17814" s="140"/>
    </row>
    <row r="17815" spans="1:5">
      <c r="A17815" s="140"/>
      <c r="B17815" s="192"/>
      <c r="C17815" s="140"/>
      <c r="D17815" s="140"/>
      <c r="E17815" s="140"/>
    </row>
    <row r="17816" spans="1:5">
      <c r="A17816" s="140"/>
      <c r="B17816" s="192"/>
      <c r="C17816" s="140"/>
      <c r="D17816" s="140"/>
      <c r="E17816" s="140"/>
    </row>
    <row r="17817" spans="1:5">
      <c r="A17817" s="140"/>
      <c r="B17817" s="192"/>
      <c r="C17817" s="140"/>
      <c r="D17817" s="140"/>
      <c r="E17817" s="140"/>
    </row>
    <row r="17818" spans="1:5">
      <c r="A17818" s="140"/>
      <c r="B17818" s="192"/>
      <c r="C17818" s="140"/>
      <c r="D17818" s="140"/>
      <c r="E17818" s="140"/>
    </row>
    <row r="17819" spans="1:5">
      <c r="A17819" s="140"/>
      <c r="B17819" s="192"/>
      <c r="C17819" s="140"/>
      <c r="D17819" s="140"/>
      <c r="E17819" s="140"/>
    </row>
    <row r="17820" spans="1:5">
      <c r="A17820" s="140"/>
      <c r="B17820" s="192"/>
      <c r="C17820" s="140"/>
      <c r="D17820" s="140"/>
      <c r="E17820" s="140"/>
    </row>
    <row r="17821" spans="1:5">
      <c r="A17821" s="140"/>
      <c r="B17821" s="192"/>
      <c r="C17821" s="140"/>
      <c r="D17821" s="140"/>
      <c r="E17821" s="140"/>
    </row>
    <row r="17822" spans="1:5">
      <c r="A17822" s="140"/>
      <c r="B17822" s="192"/>
      <c r="C17822" s="140"/>
      <c r="D17822" s="140"/>
      <c r="E17822" s="140"/>
    </row>
    <row r="17823" spans="1:5">
      <c r="A17823" s="140"/>
      <c r="B17823" s="192"/>
      <c r="C17823" s="140"/>
      <c r="D17823" s="140"/>
      <c r="E17823" s="140"/>
    </row>
    <row r="17824" spans="1:5">
      <c r="A17824" s="140"/>
      <c r="B17824" s="192"/>
      <c r="C17824" s="140"/>
      <c r="D17824" s="140"/>
      <c r="E17824" s="140"/>
    </row>
    <row r="17825" spans="1:5">
      <c r="A17825" s="140"/>
      <c r="B17825" s="192"/>
      <c r="C17825" s="140"/>
      <c r="D17825" s="140"/>
      <c r="E17825" s="140"/>
    </row>
    <row r="17826" spans="1:5">
      <c r="A17826" s="140"/>
      <c r="B17826" s="192"/>
      <c r="C17826" s="140"/>
      <c r="D17826" s="140"/>
      <c r="E17826" s="140"/>
    </row>
    <row r="17827" spans="1:5">
      <c r="A17827" s="140"/>
      <c r="B17827" s="192"/>
      <c r="C17827" s="140"/>
      <c r="D17827" s="140"/>
      <c r="E17827" s="140"/>
    </row>
    <row r="17828" spans="1:5">
      <c r="A17828" s="140"/>
      <c r="B17828" s="192"/>
      <c r="C17828" s="140"/>
      <c r="D17828" s="140"/>
      <c r="E17828" s="140"/>
    </row>
    <row r="17829" spans="1:5">
      <c r="A17829" s="140"/>
      <c r="B17829" s="192"/>
      <c r="C17829" s="140"/>
      <c r="D17829" s="140"/>
      <c r="E17829" s="140"/>
    </row>
    <row r="17830" spans="1:5">
      <c r="A17830" s="140"/>
      <c r="B17830" s="192"/>
      <c r="C17830" s="140"/>
      <c r="D17830" s="140"/>
      <c r="E17830" s="140"/>
    </row>
    <row r="17831" spans="1:5">
      <c r="A17831" s="140"/>
      <c r="B17831" s="192"/>
      <c r="C17831" s="140"/>
      <c r="D17831" s="140"/>
      <c r="E17831" s="140"/>
    </row>
    <row r="17832" spans="1:5">
      <c r="A17832" s="140"/>
      <c r="B17832" s="192"/>
      <c r="C17832" s="140"/>
      <c r="D17832" s="140"/>
      <c r="E17832" s="140"/>
    </row>
    <row r="17833" spans="1:5">
      <c r="A17833" s="140"/>
      <c r="B17833" s="192"/>
      <c r="C17833" s="140"/>
      <c r="D17833" s="140"/>
      <c r="E17833" s="140"/>
    </row>
    <row r="17834" spans="1:5">
      <c r="A17834" s="140"/>
      <c r="B17834" s="192"/>
      <c r="C17834" s="140"/>
      <c r="D17834" s="140"/>
      <c r="E17834" s="140"/>
    </row>
    <row r="17835" spans="1:5">
      <c r="A17835" s="140"/>
      <c r="B17835" s="192"/>
      <c r="C17835" s="140"/>
      <c r="D17835" s="140"/>
      <c r="E17835" s="140"/>
    </row>
    <row r="17836" spans="1:5">
      <c r="A17836" s="140"/>
      <c r="B17836" s="192"/>
      <c r="C17836" s="140"/>
      <c r="D17836" s="140"/>
      <c r="E17836" s="140"/>
    </row>
    <row r="17837" spans="1:5">
      <c r="A17837" s="140"/>
      <c r="B17837" s="192"/>
      <c r="C17837" s="140"/>
      <c r="D17837" s="140"/>
      <c r="E17837" s="140"/>
    </row>
    <row r="17838" spans="1:5">
      <c r="A17838" s="140"/>
      <c r="B17838" s="192"/>
      <c r="C17838" s="140"/>
      <c r="D17838" s="140"/>
      <c r="E17838" s="140"/>
    </row>
    <row r="17839" spans="1:5">
      <c r="A17839" s="140"/>
      <c r="B17839" s="192"/>
      <c r="C17839" s="140"/>
      <c r="D17839" s="140"/>
      <c r="E17839" s="140"/>
    </row>
    <row r="17840" spans="1:5">
      <c r="A17840" s="140"/>
      <c r="B17840" s="192"/>
      <c r="C17840" s="140"/>
      <c r="D17840" s="140"/>
      <c r="E17840" s="140"/>
    </row>
    <row r="17841" spans="1:5">
      <c r="A17841" s="140"/>
      <c r="B17841" s="192"/>
      <c r="C17841" s="140"/>
      <c r="D17841" s="140"/>
      <c r="E17841" s="140"/>
    </row>
    <row r="17842" spans="1:5">
      <c r="A17842" s="140"/>
      <c r="B17842" s="192"/>
      <c r="C17842" s="140"/>
      <c r="D17842" s="140"/>
      <c r="E17842" s="140"/>
    </row>
    <row r="17843" spans="1:5">
      <c r="A17843" s="140"/>
      <c r="B17843" s="192"/>
      <c r="C17843" s="140"/>
      <c r="D17843" s="140"/>
      <c r="E17843" s="140"/>
    </row>
    <row r="17844" spans="1:5">
      <c r="A17844" s="140"/>
      <c r="B17844" s="192"/>
      <c r="C17844" s="140"/>
      <c r="D17844" s="140"/>
      <c r="E17844" s="140"/>
    </row>
    <row r="17845" spans="1:5">
      <c r="A17845" s="140"/>
      <c r="B17845" s="192"/>
      <c r="C17845" s="140"/>
      <c r="D17845" s="140"/>
      <c r="E17845" s="140"/>
    </row>
    <row r="17846" spans="1:5">
      <c r="A17846" s="140"/>
      <c r="B17846" s="192"/>
      <c r="C17846" s="140"/>
      <c r="D17846" s="140"/>
      <c r="E17846" s="140"/>
    </row>
    <row r="17847" spans="1:5">
      <c r="A17847" s="140"/>
      <c r="B17847" s="192"/>
      <c r="C17847" s="140"/>
      <c r="D17847" s="140"/>
      <c r="E17847" s="140"/>
    </row>
    <row r="17848" spans="1:5">
      <c r="A17848" s="140"/>
      <c r="B17848" s="192"/>
      <c r="C17848" s="140"/>
      <c r="D17848" s="140"/>
      <c r="E17848" s="140"/>
    </row>
    <row r="17849" spans="1:5">
      <c r="A17849" s="140"/>
      <c r="B17849" s="192"/>
      <c r="C17849" s="140"/>
      <c r="D17849" s="140"/>
      <c r="E17849" s="140"/>
    </row>
    <row r="17850" spans="1:5">
      <c r="A17850" s="140"/>
      <c r="B17850" s="192"/>
      <c r="C17850" s="140"/>
      <c r="D17850" s="140"/>
      <c r="E17850" s="140"/>
    </row>
    <row r="17851" spans="1:5">
      <c r="A17851" s="140"/>
      <c r="B17851" s="192"/>
      <c r="C17851" s="140"/>
      <c r="D17851" s="140"/>
      <c r="E17851" s="140"/>
    </row>
    <row r="17852" spans="1:5">
      <c r="A17852" s="140"/>
      <c r="B17852" s="192"/>
      <c r="C17852" s="140"/>
      <c r="D17852" s="140"/>
      <c r="E17852" s="140"/>
    </row>
    <row r="17853" spans="1:5">
      <c r="A17853" s="140"/>
      <c r="B17853" s="192"/>
      <c r="C17853" s="140"/>
      <c r="D17853" s="140"/>
      <c r="E17853" s="140"/>
    </row>
    <row r="17854" spans="1:5">
      <c r="A17854" s="140"/>
      <c r="B17854" s="192"/>
      <c r="C17854" s="140"/>
      <c r="D17854" s="140"/>
      <c r="E17854" s="140"/>
    </row>
    <row r="17855" spans="1:5">
      <c r="A17855" s="140"/>
      <c r="B17855" s="192"/>
      <c r="C17855" s="140"/>
      <c r="D17855" s="140"/>
      <c r="E17855" s="140"/>
    </row>
    <row r="17856" spans="1:5">
      <c r="A17856" s="140"/>
      <c r="B17856" s="192"/>
      <c r="C17856" s="140"/>
      <c r="D17856" s="140"/>
      <c r="E17856" s="140"/>
    </row>
    <row r="17857" spans="1:5">
      <c r="A17857" s="140"/>
      <c r="B17857" s="192"/>
      <c r="C17857" s="140"/>
      <c r="D17857" s="140"/>
      <c r="E17857" s="140"/>
    </row>
    <row r="17858" spans="1:5">
      <c r="A17858" s="140"/>
      <c r="B17858" s="192"/>
      <c r="C17858" s="140"/>
      <c r="D17858" s="140"/>
      <c r="E17858" s="140"/>
    </row>
    <row r="17859" spans="1:5">
      <c r="A17859" s="140"/>
      <c r="B17859" s="192"/>
      <c r="C17859" s="140"/>
      <c r="D17859" s="140"/>
      <c r="E17859" s="140"/>
    </row>
    <row r="17860" spans="1:5">
      <c r="A17860" s="140"/>
      <c r="B17860" s="192"/>
      <c r="C17860" s="140"/>
      <c r="D17860" s="140"/>
      <c r="E17860" s="140"/>
    </row>
    <row r="17861" spans="1:5">
      <c r="A17861" s="140"/>
      <c r="B17861" s="192"/>
      <c r="C17861" s="140"/>
      <c r="D17861" s="140"/>
      <c r="E17861" s="140"/>
    </row>
    <row r="17862" spans="1:5">
      <c r="A17862" s="140"/>
      <c r="B17862" s="192"/>
      <c r="C17862" s="140"/>
      <c r="D17862" s="140"/>
      <c r="E17862" s="140"/>
    </row>
    <row r="17863" spans="1:5">
      <c r="A17863" s="140"/>
      <c r="B17863" s="192"/>
      <c r="C17863" s="140"/>
      <c r="D17863" s="140"/>
      <c r="E17863" s="140"/>
    </row>
    <row r="17864" spans="1:5">
      <c r="A17864" s="140"/>
      <c r="B17864" s="192"/>
      <c r="C17864" s="140"/>
      <c r="D17864" s="140"/>
      <c r="E17864" s="140"/>
    </row>
    <row r="17865" spans="1:5">
      <c r="A17865" s="140"/>
      <c r="B17865" s="192"/>
      <c r="C17865" s="140"/>
      <c r="D17865" s="140"/>
      <c r="E17865" s="140"/>
    </row>
    <row r="17866" spans="1:5">
      <c r="A17866" s="140"/>
      <c r="B17866" s="192"/>
      <c r="C17866" s="140"/>
      <c r="D17866" s="140"/>
      <c r="E17866" s="140"/>
    </row>
    <row r="17867" spans="1:5">
      <c r="A17867" s="140"/>
      <c r="B17867" s="192"/>
      <c r="C17867" s="140"/>
      <c r="D17867" s="140"/>
      <c r="E17867" s="140"/>
    </row>
    <row r="17868" spans="1:5">
      <c r="A17868" s="140"/>
      <c r="B17868" s="192"/>
      <c r="C17868" s="140"/>
      <c r="D17868" s="140"/>
      <c r="E17868" s="140"/>
    </row>
    <row r="17869" spans="1:5">
      <c r="A17869" s="140"/>
      <c r="B17869" s="192"/>
      <c r="C17869" s="140"/>
      <c r="D17869" s="140"/>
      <c r="E17869" s="140"/>
    </row>
    <row r="17870" spans="1:5">
      <c r="A17870" s="140"/>
      <c r="B17870" s="192"/>
      <c r="C17870" s="140"/>
      <c r="D17870" s="140"/>
      <c r="E17870" s="140"/>
    </row>
    <row r="17871" spans="1:5">
      <c r="A17871" s="140"/>
      <c r="B17871" s="192"/>
      <c r="C17871" s="140"/>
      <c r="D17871" s="140"/>
      <c r="E17871" s="140"/>
    </row>
    <row r="17872" spans="1:5">
      <c r="A17872" s="140"/>
      <c r="B17872" s="192"/>
      <c r="C17872" s="140"/>
      <c r="D17872" s="140"/>
      <c r="E17872" s="140"/>
    </row>
    <row r="17873" spans="1:5">
      <c r="A17873" s="140"/>
      <c r="B17873" s="192"/>
      <c r="C17873" s="140"/>
      <c r="D17873" s="140"/>
      <c r="E17873" s="140"/>
    </row>
    <row r="17874" spans="1:5">
      <c r="A17874" s="140"/>
      <c r="B17874" s="192"/>
      <c r="C17874" s="140"/>
      <c r="D17874" s="140"/>
      <c r="E17874" s="140"/>
    </row>
    <row r="17875" spans="1:5">
      <c r="A17875" s="140"/>
      <c r="B17875" s="192"/>
      <c r="C17875" s="140"/>
      <c r="D17875" s="140"/>
      <c r="E17875" s="140"/>
    </row>
    <row r="17876" spans="1:5">
      <c r="A17876" s="140"/>
      <c r="B17876" s="192"/>
      <c r="C17876" s="140"/>
      <c r="D17876" s="140"/>
      <c r="E17876" s="140"/>
    </row>
    <row r="17877" spans="1:5">
      <c r="A17877" s="140"/>
      <c r="B17877" s="192"/>
      <c r="C17877" s="140"/>
      <c r="D17877" s="140"/>
      <c r="E17877" s="140"/>
    </row>
    <row r="17878" spans="1:5">
      <c r="A17878" s="140"/>
      <c r="B17878" s="192"/>
      <c r="C17878" s="140"/>
      <c r="D17878" s="140"/>
      <c r="E17878" s="140"/>
    </row>
    <row r="17879" spans="1:5">
      <c r="A17879" s="140"/>
      <c r="B17879" s="192"/>
      <c r="C17879" s="140"/>
      <c r="D17879" s="140"/>
      <c r="E17879" s="140"/>
    </row>
    <row r="17880" spans="1:5">
      <c r="A17880" s="140"/>
      <c r="B17880" s="192"/>
      <c r="C17880" s="140"/>
      <c r="D17880" s="140"/>
      <c r="E17880" s="140"/>
    </row>
    <row r="17881" spans="1:5">
      <c r="A17881" s="140"/>
      <c r="B17881" s="192"/>
      <c r="C17881" s="140"/>
      <c r="D17881" s="140"/>
      <c r="E17881" s="140"/>
    </row>
    <row r="17882" spans="1:5">
      <c r="A17882" s="140"/>
      <c r="B17882" s="192"/>
      <c r="C17882" s="140"/>
      <c r="D17882" s="140"/>
      <c r="E17882" s="140"/>
    </row>
    <row r="17883" spans="1:5">
      <c r="A17883" s="140"/>
      <c r="B17883" s="192"/>
      <c r="C17883" s="140"/>
      <c r="D17883" s="140"/>
      <c r="E17883" s="140"/>
    </row>
    <row r="17884" spans="1:5">
      <c r="A17884" s="140"/>
      <c r="B17884" s="192"/>
      <c r="C17884" s="140"/>
      <c r="D17884" s="140"/>
      <c r="E17884" s="140"/>
    </row>
    <row r="17885" spans="1:5">
      <c r="A17885" s="140"/>
      <c r="B17885" s="192"/>
      <c r="C17885" s="140"/>
      <c r="D17885" s="140"/>
      <c r="E17885" s="140"/>
    </row>
    <row r="17886" spans="1:5">
      <c r="A17886" s="140"/>
      <c r="B17886" s="192"/>
      <c r="C17886" s="140"/>
      <c r="D17886" s="140"/>
      <c r="E17886" s="140"/>
    </row>
    <row r="17887" spans="1:5">
      <c r="A17887" s="140"/>
      <c r="B17887" s="192"/>
      <c r="C17887" s="140"/>
      <c r="D17887" s="140"/>
      <c r="E17887" s="140"/>
    </row>
    <row r="17888" spans="1:5">
      <c r="A17888" s="140"/>
      <c r="B17888" s="192"/>
      <c r="C17888" s="140"/>
      <c r="D17888" s="140"/>
      <c r="E17888" s="140"/>
    </row>
    <row r="17889" spans="1:5">
      <c r="A17889" s="140"/>
      <c r="B17889" s="192"/>
      <c r="C17889" s="140"/>
      <c r="D17889" s="140"/>
      <c r="E17889" s="140"/>
    </row>
    <row r="17890" spans="1:5">
      <c r="A17890" s="140"/>
      <c r="B17890" s="192"/>
      <c r="C17890" s="140"/>
      <c r="D17890" s="140"/>
      <c r="E17890" s="140"/>
    </row>
    <row r="17891" spans="1:5">
      <c r="A17891" s="140"/>
      <c r="B17891" s="192"/>
      <c r="C17891" s="140"/>
      <c r="D17891" s="140"/>
      <c r="E17891" s="140"/>
    </row>
    <row r="17892" spans="1:5">
      <c r="A17892" s="140"/>
      <c r="B17892" s="192"/>
      <c r="C17892" s="140"/>
      <c r="D17892" s="140"/>
      <c r="E17892" s="140"/>
    </row>
    <row r="17893" spans="1:5">
      <c r="A17893" s="140"/>
      <c r="B17893" s="192"/>
      <c r="C17893" s="140"/>
      <c r="D17893" s="140"/>
      <c r="E17893" s="140"/>
    </row>
    <row r="17894" spans="1:5">
      <c r="A17894" s="140"/>
      <c r="B17894" s="192"/>
      <c r="C17894" s="140"/>
      <c r="D17894" s="140"/>
      <c r="E17894" s="140"/>
    </row>
    <row r="17895" spans="1:5">
      <c r="A17895" s="140"/>
      <c r="B17895" s="192"/>
      <c r="C17895" s="140"/>
      <c r="D17895" s="140"/>
      <c r="E17895" s="140"/>
    </row>
    <row r="17896" spans="1:5">
      <c r="A17896" s="140"/>
      <c r="B17896" s="192"/>
      <c r="C17896" s="140"/>
      <c r="D17896" s="140"/>
      <c r="E17896" s="140"/>
    </row>
    <row r="17897" spans="1:5">
      <c r="A17897" s="140"/>
      <c r="B17897" s="192"/>
      <c r="C17897" s="140"/>
      <c r="D17897" s="140"/>
      <c r="E17897" s="140"/>
    </row>
    <row r="17898" spans="1:5">
      <c r="A17898" s="140"/>
      <c r="B17898" s="192"/>
      <c r="C17898" s="140"/>
      <c r="D17898" s="140"/>
      <c r="E17898" s="140"/>
    </row>
    <row r="17899" spans="1:5">
      <c r="A17899" s="140"/>
      <c r="B17899" s="192"/>
      <c r="C17899" s="140"/>
      <c r="D17899" s="140"/>
      <c r="E17899" s="140"/>
    </row>
    <row r="17900" spans="1:5">
      <c r="A17900" s="140"/>
      <c r="B17900" s="192"/>
      <c r="C17900" s="140"/>
      <c r="D17900" s="140"/>
      <c r="E17900" s="140"/>
    </row>
    <row r="17901" spans="1:5">
      <c r="A17901" s="140"/>
      <c r="B17901" s="192"/>
      <c r="C17901" s="140"/>
      <c r="D17901" s="140"/>
      <c r="E17901" s="140"/>
    </row>
    <row r="17902" spans="1:5">
      <c r="A17902" s="140"/>
      <c r="B17902" s="192"/>
      <c r="C17902" s="140"/>
      <c r="D17902" s="140"/>
      <c r="E17902" s="140"/>
    </row>
    <row r="17903" spans="1:5">
      <c r="A17903" s="140"/>
      <c r="B17903" s="192"/>
      <c r="C17903" s="140"/>
      <c r="D17903" s="140"/>
      <c r="E17903" s="140"/>
    </row>
    <row r="17904" spans="1:5">
      <c r="A17904" s="140"/>
      <c r="B17904" s="192"/>
      <c r="C17904" s="140"/>
      <c r="D17904" s="140"/>
      <c r="E17904" s="140"/>
    </row>
    <row r="17905" spans="1:5">
      <c r="A17905" s="140"/>
      <c r="B17905" s="192"/>
      <c r="C17905" s="140"/>
      <c r="D17905" s="140"/>
      <c r="E17905" s="140"/>
    </row>
    <row r="17906" spans="1:5">
      <c r="A17906" s="140"/>
      <c r="B17906" s="192"/>
      <c r="C17906" s="140"/>
      <c r="D17906" s="140"/>
      <c r="E17906" s="140"/>
    </row>
    <row r="17907" spans="1:5">
      <c r="A17907" s="140"/>
      <c r="B17907" s="192"/>
      <c r="C17907" s="140"/>
      <c r="D17907" s="140"/>
      <c r="E17907" s="140"/>
    </row>
    <row r="17908" spans="1:5">
      <c r="A17908" s="140"/>
      <c r="B17908" s="192"/>
      <c r="C17908" s="140"/>
      <c r="D17908" s="140"/>
      <c r="E17908" s="140"/>
    </row>
    <row r="17909" spans="1:5">
      <c r="A17909" s="140"/>
      <c r="B17909" s="192"/>
      <c r="C17909" s="140"/>
      <c r="D17909" s="140"/>
      <c r="E17909" s="140"/>
    </row>
    <row r="17910" spans="1:5">
      <c r="A17910" s="140"/>
      <c r="B17910" s="192"/>
      <c r="C17910" s="140"/>
      <c r="D17910" s="140"/>
      <c r="E17910" s="140"/>
    </row>
    <row r="17911" spans="1:5">
      <c r="A17911" s="140"/>
      <c r="B17911" s="192"/>
      <c r="C17911" s="140"/>
      <c r="D17911" s="140"/>
      <c r="E17911" s="140"/>
    </row>
    <row r="17912" spans="1:5">
      <c r="A17912" s="140"/>
      <c r="B17912" s="192"/>
      <c r="C17912" s="140"/>
      <c r="D17912" s="140"/>
      <c r="E17912" s="140"/>
    </row>
    <row r="17913" spans="1:5">
      <c r="A17913" s="140"/>
      <c r="B17913" s="192"/>
      <c r="C17913" s="140"/>
      <c r="D17913" s="140"/>
      <c r="E17913" s="140"/>
    </row>
    <row r="17914" spans="1:5">
      <c r="A17914" s="140"/>
      <c r="B17914" s="192"/>
      <c r="C17914" s="140"/>
      <c r="D17914" s="140"/>
      <c r="E17914" s="140"/>
    </row>
    <row r="17915" spans="1:5">
      <c r="A17915" s="140"/>
      <c r="B17915" s="192"/>
      <c r="C17915" s="140"/>
      <c r="D17915" s="140"/>
      <c r="E17915" s="140"/>
    </row>
    <row r="17916" spans="1:5">
      <c r="A17916" s="140"/>
      <c r="B17916" s="192"/>
      <c r="C17916" s="140"/>
      <c r="D17916" s="140"/>
      <c r="E17916" s="140"/>
    </row>
    <row r="17917" spans="1:5">
      <c r="A17917" s="140"/>
      <c r="B17917" s="192"/>
      <c r="C17917" s="140"/>
      <c r="D17917" s="140"/>
      <c r="E17917" s="140"/>
    </row>
    <row r="17918" spans="1:5">
      <c r="A17918" s="140"/>
      <c r="B17918" s="192"/>
      <c r="C17918" s="140"/>
      <c r="D17918" s="140"/>
      <c r="E17918" s="140"/>
    </row>
    <row r="17919" spans="1:5">
      <c r="A17919" s="140"/>
      <c r="B17919" s="192"/>
      <c r="C17919" s="140"/>
      <c r="D17919" s="140"/>
      <c r="E17919" s="140"/>
    </row>
    <row r="17920" spans="1:5">
      <c r="A17920" s="140"/>
      <c r="B17920" s="192"/>
      <c r="C17920" s="140"/>
      <c r="D17920" s="140"/>
      <c r="E17920" s="140"/>
    </row>
    <row r="17921" spans="1:5">
      <c r="A17921" s="140"/>
      <c r="B17921" s="192"/>
      <c r="C17921" s="140"/>
      <c r="D17921" s="140"/>
      <c r="E17921" s="140"/>
    </row>
    <row r="17922" spans="1:5">
      <c r="A17922" s="140"/>
      <c r="B17922" s="192"/>
      <c r="C17922" s="140"/>
      <c r="D17922" s="140"/>
      <c r="E17922" s="140"/>
    </row>
    <row r="17923" spans="1:5">
      <c r="A17923" s="140"/>
      <c r="B17923" s="192"/>
      <c r="C17923" s="140"/>
      <c r="D17923" s="140"/>
      <c r="E17923" s="140"/>
    </row>
    <row r="17924" spans="1:5">
      <c r="A17924" s="140"/>
      <c r="B17924" s="192"/>
      <c r="C17924" s="140"/>
      <c r="D17924" s="140"/>
      <c r="E17924" s="140"/>
    </row>
    <row r="17925" spans="1:5">
      <c r="A17925" s="140"/>
      <c r="B17925" s="192"/>
      <c r="C17925" s="140"/>
      <c r="D17925" s="140"/>
      <c r="E17925" s="140"/>
    </row>
    <row r="17926" spans="1:5">
      <c r="A17926" s="140"/>
      <c r="B17926" s="192"/>
      <c r="C17926" s="140"/>
      <c r="D17926" s="140"/>
      <c r="E17926" s="140"/>
    </row>
    <row r="17927" spans="1:5">
      <c r="A17927" s="140"/>
      <c r="B17927" s="192"/>
      <c r="C17927" s="140"/>
      <c r="D17927" s="140"/>
      <c r="E17927" s="140"/>
    </row>
    <row r="17928" spans="1:5">
      <c r="A17928" s="140"/>
      <c r="B17928" s="192"/>
      <c r="C17928" s="140"/>
      <c r="D17928" s="140"/>
      <c r="E17928" s="140"/>
    </row>
    <row r="17929" spans="1:5">
      <c r="A17929" s="140"/>
      <c r="B17929" s="192"/>
      <c r="C17929" s="140"/>
      <c r="D17929" s="140"/>
      <c r="E17929" s="140"/>
    </row>
    <row r="17930" spans="1:5">
      <c r="A17930" s="140"/>
      <c r="B17930" s="192"/>
      <c r="C17930" s="140"/>
      <c r="D17930" s="140"/>
      <c r="E17930" s="140"/>
    </row>
    <row r="17931" spans="1:5">
      <c r="A17931" s="140"/>
      <c r="B17931" s="192"/>
      <c r="C17931" s="140"/>
      <c r="D17931" s="140"/>
      <c r="E17931" s="140"/>
    </row>
    <row r="17932" spans="1:5">
      <c r="A17932" s="140"/>
      <c r="B17932" s="192"/>
      <c r="C17932" s="140"/>
      <c r="D17932" s="140"/>
      <c r="E17932" s="140"/>
    </row>
    <row r="17933" spans="1:5">
      <c r="A17933" s="140"/>
      <c r="B17933" s="192"/>
      <c r="C17933" s="140"/>
      <c r="D17933" s="140"/>
      <c r="E17933" s="140"/>
    </row>
    <row r="17934" spans="1:5">
      <c r="A17934" s="140"/>
      <c r="B17934" s="192"/>
      <c r="C17934" s="140"/>
      <c r="D17934" s="140"/>
      <c r="E17934" s="140"/>
    </row>
    <row r="17935" spans="1:5">
      <c r="A17935" s="140"/>
      <c r="B17935" s="192"/>
      <c r="C17935" s="140"/>
      <c r="D17935" s="140"/>
      <c r="E17935" s="140"/>
    </row>
    <row r="17936" spans="1:5">
      <c r="A17936" s="140"/>
      <c r="B17936" s="192"/>
      <c r="C17936" s="140"/>
      <c r="D17936" s="140"/>
      <c r="E17936" s="140"/>
    </row>
    <row r="17937" spans="1:5">
      <c r="A17937" s="140"/>
      <c r="B17937" s="192"/>
      <c r="C17937" s="140"/>
      <c r="D17937" s="140"/>
      <c r="E17937" s="140"/>
    </row>
    <row r="17938" spans="1:5">
      <c r="A17938" s="140"/>
      <c r="B17938" s="192"/>
      <c r="C17938" s="140"/>
      <c r="D17938" s="140"/>
      <c r="E17938" s="140"/>
    </row>
    <row r="17939" spans="1:5">
      <c r="A17939" s="140"/>
      <c r="B17939" s="192"/>
      <c r="C17939" s="140"/>
      <c r="D17939" s="140"/>
      <c r="E17939" s="140"/>
    </row>
    <row r="17940" spans="1:5">
      <c r="A17940" s="140"/>
      <c r="B17940" s="192"/>
      <c r="C17940" s="140"/>
      <c r="D17940" s="140"/>
      <c r="E17940" s="140"/>
    </row>
    <row r="17941" spans="1:5">
      <c r="A17941" s="140"/>
      <c r="B17941" s="192"/>
      <c r="C17941" s="140"/>
      <c r="D17941" s="140"/>
      <c r="E17941" s="140"/>
    </row>
    <row r="17942" spans="1:5">
      <c r="A17942" s="140"/>
      <c r="B17942" s="192"/>
      <c r="C17942" s="140"/>
      <c r="D17942" s="140"/>
      <c r="E17942" s="140"/>
    </row>
    <row r="17943" spans="1:5">
      <c r="A17943" s="140"/>
      <c r="B17943" s="192"/>
      <c r="C17943" s="140"/>
      <c r="D17943" s="140"/>
      <c r="E17943" s="140"/>
    </row>
    <row r="17944" spans="1:5">
      <c r="A17944" s="140"/>
      <c r="B17944" s="192"/>
      <c r="C17944" s="140"/>
      <c r="D17944" s="140"/>
      <c r="E17944" s="140"/>
    </row>
    <row r="17945" spans="1:5">
      <c r="A17945" s="140"/>
      <c r="B17945" s="192"/>
      <c r="C17945" s="140"/>
      <c r="D17945" s="140"/>
      <c r="E17945" s="140"/>
    </row>
    <row r="17946" spans="1:5">
      <c r="A17946" s="140"/>
      <c r="B17946" s="192"/>
      <c r="C17946" s="140"/>
      <c r="D17946" s="140"/>
      <c r="E17946" s="140"/>
    </row>
    <row r="17947" spans="1:5">
      <c r="A17947" s="140"/>
      <c r="B17947" s="192"/>
      <c r="C17947" s="140"/>
      <c r="D17947" s="140"/>
      <c r="E17947" s="140"/>
    </row>
    <row r="17948" spans="1:5">
      <c r="A17948" s="140"/>
      <c r="B17948" s="192"/>
      <c r="C17948" s="140"/>
      <c r="D17948" s="140"/>
      <c r="E17948" s="140"/>
    </row>
    <row r="17949" spans="1:5">
      <c r="A17949" s="140"/>
      <c r="B17949" s="192"/>
      <c r="C17949" s="140"/>
      <c r="D17949" s="140"/>
      <c r="E17949" s="140"/>
    </row>
    <row r="17950" spans="1:5">
      <c r="A17950" s="140"/>
      <c r="B17950" s="192"/>
      <c r="C17950" s="140"/>
      <c r="D17950" s="140"/>
      <c r="E17950" s="140"/>
    </row>
    <row r="17951" spans="1:5">
      <c r="A17951" s="140"/>
      <c r="B17951" s="192"/>
      <c r="C17951" s="140"/>
      <c r="D17951" s="140"/>
      <c r="E17951" s="140"/>
    </row>
    <row r="17952" spans="1:5">
      <c r="A17952" s="140"/>
      <c r="B17952" s="192"/>
      <c r="C17952" s="140"/>
      <c r="D17952" s="140"/>
      <c r="E17952" s="140"/>
    </row>
    <row r="17953" spans="1:5">
      <c r="A17953" s="140"/>
      <c r="B17953" s="192"/>
      <c r="C17953" s="140"/>
      <c r="D17953" s="140"/>
      <c r="E17953" s="140"/>
    </row>
    <row r="17954" spans="1:5">
      <c r="A17954" s="140"/>
      <c r="B17954" s="192"/>
      <c r="C17954" s="140"/>
      <c r="D17954" s="140"/>
      <c r="E17954" s="140"/>
    </row>
    <row r="17955" spans="1:5">
      <c r="A17955" s="140"/>
      <c r="B17955" s="192"/>
      <c r="C17955" s="140"/>
      <c r="D17955" s="140"/>
      <c r="E17955" s="140"/>
    </row>
    <row r="17956" spans="1:5">
      <c r="A17956" s="140"/>
      <c r="B17956" s="192"/>
      <c r="C17956" s="140"/>
      <c r="D17956" s="140"/>
      <c r="E17956" s="140"/>
    </row>
    <row r="17957" spans="1:5">
      <c r="A17957" s="140"/>
      <c r="B17957" s="192"/>
      <c r="C17957" s="140"/>
      <c r="D17957" s="140"/>
      <c r="E17957" s="140"/>
    </row>
    <row r="17958" spans="1:5">
      <c r="A17958" s="140"/>
      <c r="B17958" s="192"/>
      <c r="C17958" s="140"/>
      <c r="D17958" s="140"/>
      <c r="E17958" s="140"/>
    </row>
    <row r="17959" spans="1:5">
      <c r="A17959" s="140"/>
      <c r="B17959" s="192"/>
      <c r="C17959" s="140"/>
      <c r="D17959" s="140"/>
      <c r="E17959" s="140"/>
    </row>
    <row r="17960" spans="1:5">
      <c r="A17960" s="140"/>
      <c r="B17960" s="192"/>
      <c r="C17960" s="140"/>
      <c r="D17960" s="140"/>
      <c r="E17960" s="140"/>
    </row>
    <row r="17961" spans="1:5">
      <c r="A17961" s="140"/>
      <c r="B17961" s="192"/>
      <c r="C17961" s="140"/>
      <c r="D17961" s="140"/>
      <c r="E17961" s="140"/>
    </row>
    <row r="17962" spans="1:5">
      <c r="A17962" s="140"/>
      <c r="B17962" s="192"/>
      <c r="C17962" s="140"/>
      <c r="D17962" s="140"/>
      <c r="E17962" s="140"/>
    </row>
    <row r="17963" spans="1:5">
      <c r="A17963" s="140"/>
      <c r="B17963" s="192"/>
      <c r="C17963" s="140"/>
      <c r="D17963" s="140"/>
      <c r="E17963" s="140"/>
    </row>
    <row r="17964" spans="1:5">
      <c r="A17964" s="140"/>
      <c r="B17964" s="192"/>
      <c r="C17964" s="140"/>
      <c r="D17964" s="140"/>
      <c r="E17964" s="140"/>
    </row>
    <row r="17965" spans="1:5">
      <c r="A17965" s="140"/>
      <c r="B17965" s="192"/>
      <c r="C17965" s="140"/>
      <c r="D17965" s="140"/>
      <c r="E17965" s="140"/>
    </row>
    <row r="17966" spans="1:5">
      <c r="A17966" s="140"/>
      <c r="B17966" s="192"/>
      <c r="C17966" s="140"/>
      <c r="D17966" s="140"/>
      <c r="E17966" s="140"/>
    </row>
    <row r="17967" spans="1:5">
      <c r="A17967" s="140"/>
      <c r="B17967" s="192"/>
      <c r="C17967" s="140"/>
      <c r="D17967" s="140"/>
      <c r="E17967" s="140"/>
    </row>
    <row r="17968" spans="1:5">
      <c r="A17968" s="140"/>
      <c r="B17968" s="192"/>
      <c r="C17968" s="140"/>
      <c r="D17968" s="140"/>
      <c r="E17968" s="140"/>
    </row>
    <row r="17969" spans="1:5">
      <c r="A17969" s="140"/>
      <c r="B17969" s="192"/>
      <c r="C17969" s="140"/>
      <c r="D17969" s="140"/>
      <c r="E17969" s="140"/>
    </row>
    <row r="17970" spans="1:5">
      <c r="A17970" s="140"/>
      <c r="B17970" s="192"/>
      <c r="C17970" s="140"/>
      <c r="D17970" s="140"/>
      <c r="E17970" s="140"/>
    </row>
    <row r="17971" spans="1:5">
      <c r="A17971" s="140"/>
      <c r="B17971" s="192"/>
      <c r="C17971" s="140"/>
      <c r="D17971" s="140"/>
      <c r="E17971" s="140"/>
    </row>
    <row r="17972" spans="1:5">
      <c r="A17972" s="140"/>
      <c r="B17972" s="192"/>
      <c r="C17972" s="140"/>
      <c r="D17972" s="140"/>
      <c r="E17972" s="140"/>
    </row>
    <row r="17973" spans="1:5">
      <c r="A17973" s="140"/>
      <c r="B17973" s="192"/>
      <c r="C17973" s="140"/>
      <c r="D17973" s="140"/>
      <c r="E17973" s="140"/>
    </row>
    <row r="17974" spans="1:5">
      <c r="A17974" s="140"/>
      <c r="B17974" s="192"/>
      <c r="C17974" s="140"/>
      <c r="D17974" s="140"/>
      <c r="E17974" s="140"/>
    </row>
    <row r="17975" spans="1:5">
      <c r="A17975" s="140"/>
      <c r="B17975" s="192"/>
      <c r="C17975" s="140"/>
      <c r="D17975" s="140"/>
      <c r="E17975" s="140"/>
    </row>
    <row r="17976" spans="1:5">
      <c r="A17976" s="140"/>
      <c r="B17976" s="192"/>
      <c r="C17976" s="140"/>
      <c r="D17976" s="140"/>
      <c r="E17976" s="140"/>
    </row>
    <row r="17977" spans="1:5">
      <c r="A17977" s="140"/>
      <c r="B17977" s="192"/>
      <c r="C17977" s="140"/>
      <c r="D17977" s="140"/>
      <c r="E17977" s="140"/>
    </row>
    <row r="17978" spans="1:5">
      <c r="A17978" s="140"/>
      <c r="B17978" s="192"/>
      <c r="C17978" s="140"/>
      <c r="D17978" s="140"/>
      <c r="E17978" s="140"/>
    </row>
    <row r="17979" spans="1:5">
      <c r="A17979" s="140"/>
      <c r="B17979" s="192"/>
      <c r="C17979" s="140"/>
      <c r="D17979" s="140"/>
      <c r="E17979" s="140"/>
    </row>
    <row r="17980" spans="1:5">
      <c r="A17980" s="140"/>
      <c r="B17980" s="192"/>
      <c r="C17980" s="140"/>
      <c r="D17980" s="140"/>
      <c r="E17980" s="140"/>
    </row>
    <row r="17981" spans="1:5">
      <c r="A17981" s="140"/>
      <c r="B17981" s="192"/>
      <c r="C17981" s="140"/>
      <c r="D17981" s="140"/>
      <c r="E17981" s="140"/>
    </row>
    <row r="17982" spans="1:5">
      <c r="A17982" s="140"/>
      <c r="B17982" s="192"/>
      <c r="C17982" s="140"/>
      <c r="D17982" s="140"/>
      <c r="E17982" s="140"/>
    </row>
    <row r="17983" spans="1:5">
      <c r="A17983" s="140"/>
      <c r="B17983" s="192"/>
      <c r="C17983" s="140"/>
      <c r="D17983" s="140"/>
      <c r="E17983" s="140"/>
    </row>
    <row r="17984" spans="1:5">
      <c r="A17984" s="140"/>
      <c r="B17984" s="192"/>
      <c r="C17984" s="140"/>
      <c r="D17984" s="140"/>
      <c r="E17984" s="140"/>
    </row>
    <row r="17985" spans="1:5">
      <c r="A17985" s="140"/>
      <c r="B17985" s="192"/>
      <c r="C17985" s="140"/>
      <c r="D17985" s="140"/>
      <c r="E17985" s="140"/>
    </row>
    <row r="17986" spans="1:5">
      <c r="A17986" s="140"/>
      <c r="B17986" s="192"/>
      <c r="C17986" s="140"/>
      <c r="D17986" s="140"/>
      <c r="E17986" s="140"/>
    </row>
    <row r="17987" spans="1:5">
      <c r="A17987" s="140"/>
      <c r="B17987" s="192"/>
      <c r="C17987" s="140"/>
      <c r="D17987" s="140"/>
      <c r="E17987" s="140"/>
    </row>
    <row r="17988" spans="1:5">
      <c r="A17988" s="140"/>
      <c r="B17988" s="192"/>
      <c r="C17988" s="140"/>
      <c r="D17988" s="140"/>
      <c r="E17988" s="140"/>
    </row>
    <row r="17989" spans="1:5">
      <c r="A17989" s="140"/>
      <c r="B17989" s="192"/>
      <c r="C17989" s="140"/>
      <c r="D17989" s="140"/>
      <c r="E17989" s="140"/>
    </row>
    <row r="17990" spans="1:5">
      <c r="A17990" s="140"/>
      <c r="B17990" s="192"/>
      <c r="C17990" s="140"/>
      <c r="D17990" s="140"/>
      <c r="E17990" s="140"/>
    </row>
    <row r="17991" spans="1:5">
      <c r="A17991" s="140"/>
      <c r="B17991" s="192"/>
      <c r="C17991" s="140"/>
      <c r="D17991" s="140"/>
      <c r="E17991" s="140"/>
    </row>
    <row r="17992" spans="1:5">
      <c r="A17992" s="140"/>
      <c r="B17992" s="192"/>
      <c r="C17992" s="140"/>
      <c r="D17992" s="140"/>
      <c r="E17992" s="140"/>
    </row>
    <row r="17993" spans="1:5">
      <c r="A17993" s="140"/>
      <c r="B17993" s="192"/>
      <c r="C17993" s="140"/>
      <c r="D17993" s="140"/>
      <c r="E17993" s="140"/>
    </row>
    <row r="17994" spans="1:5">
      <c r="A17994" s="140"/>
      <c r="B17994" s="192"/>
      <c r="C17994" s="140"/>
      <c r="D17994" s="140"/>
      <c r="E17994" s="140"/>
    </row>
    <row r="17995" spans="1:5">
      <c r="A17995" s="140"/>
      <c r="B17995" s="192"/>
      <c r="C17995" s="140"/>
      <c r="D17995" s="140"/>
      <c r="E17995" s="140"/>
    </row>
    <row r="17996" spans="1:5">
      <c r="A17996" s="140"/>
      <c r="B17996" s="192"/>
      <c r="C17996" s="140"/>
      <c r="D17996" s="140"/>
      <c r="E17996" s="140"/>
    </row>
    <row r="17997" spans="1:5">
      <c r="A17997" s="140"/>
      <c r="B17997" s="192"/>
      <c r="C17997" s="140"/>
      <c r="D17997" s="140"/>
      <c r="E17997" s="140"/>
    </row>
    <row r="17998" spans="1:5">
      <c r="A17998" s="140"/>
      <c r="B17998" s="192"/>
      <c r="C17998" s="140"/>
      <c r="D17998" s="140"/>
      <c r="E17998" s="140"/>
    </row>
    <row r="17999" spans="1:5">
      <c r="A17999" s="140"/>
      <c r="B17999" s="192"/>
      <c r="C17999" s="140"/>
      <c r="D17999" s="140"/>
      <c r="E17999" s="140"/>
    </row>
    <row r="18000" spans="1:5">
      <c r="A18000" s="140"/>
      <c r="B18000" s="192"/>
      <c r="C18000" s="140"/>
      <c r="D18000" s="140"/>
      <c r="E18000" s="140"/>
    </row>
    <row r="18001" spans="1:5">
      <c r="A18001" s="140"/>
      <c r="B18001" s="192"/>
      <c r="C18001" s="140"/>
      <c r="D18001" s="140"/>
      <c r="E18001" s="140"/>
    </row>
    <row r="18002" spans="1:5">
      <c r="A18002" s="140"/>
      <c r="B18002" s="192"/>
      <c r="C18002" s="140"/>
      <c r="D18002" s="140"/>
      <c r="E18002" s="140"/>
    </row>
    <row r="18003" spans="1:5">
      <c r="A18003" s="140"/>
      <c r="B18003" s="192"/>
      <c r="C18003" s="140"/>
      <c r="D18003" s="140"/>
      <c r="E18003" s="140"/>
    </row>
    <row r="18004" spans="1:5">
      <c r="A18004" s="140"/>
      <c r="B18004" s="192"/>
      <c r="C18004" s="140"/>
      <c r="D18004" s="140"/>
      <c r="E18004" s="140"/>
    </row>
    <row r="18005" spans="1:5">
      <c r="A18005" s="140"/>
      <c r="B18005" s="192"/>
      <c r="C18005" s="140"/>
      <c r="D18005" s="140"/>
      <c r="E18005" s="140"/>
    </row>
    <row r="18006" spans="1:5">
      <c r="A18006" s="140"/>
      <c r="B18006" s="192"/>
      <c r="C18006" s="140"/>
      <c r="D18006" s="140"/>
      <c r="E18006" s="140"/>
    </row>
    <row r="18007" spans="1:5">
      <c r="A18007" s="140"/>
      <c r="B18007" s="192"/>
      <c r="C18007" s="140"/>
      <c r="D18007" s="140"/>
      <c r="E18007" s="140"/>
    </row>
    <row r="18008" spans="1:5">
      <c r="A18008" s="140"/>
      <c r="B18008" s="192"/>
      <c r="C18008" s="140"/>
      <c r="D18008" s="140"/>
      <c r="E18008" s="140"/>
    </row>
    <row r="18009" spans="1:5">
      <c r="A18009" s="140"/>
      <c r="B18009" s="192"/>
      <c r="C18009" s="140"/>
      <c r="D18009" s="140"/>
      <c r="E18009" s="140"/>
    </row>
    <row r="18010" spans="1:5">
      <c r="A18010" s="140"/>
      <c r="B18010" s="192"/>
      <c r="C18010" s="140"/>
      <c r="D18010" s="140"/>
      <c r="E18010" s="140"/>
    </row>
    <row r="18011" spans="1:5">
      <c r="A18011" s="140"/>
      <c r="B18011" s="192"/>
      <c r="C18011" s="140"/>
      <c r="D18011" s="140"/>
      <c r="E18011" s="140"/>
    </row>
    <row r="18012" spans="1:5">
      <c r="A18012" s="140"/>
      <c r="B18012" s="192"/>
      <c r="C18012" s="140"/>
      <c r="D18012" s="140"/>
      <c r="E18012" s="140"/>
    </row>
    <row r="18013" spans="1:5">
      <c r="A18013" s="140"/>
      <c r="B18013" s="192"/>
      <c r="C18013" s="140"/>
      <c r="D18013" s="140"/>
      <c r="E18013" s="140"/>
    </row>
    <row r="18014" spans="1:5">
      <c r="A18014" s="140"/>
      <c r="B18014" s="192"/>
      <c r="C18014" s="140"/>
      <c r="D18014" s="140"/>
      <c r="E18014" s="140"/>
    </row>
    <row r="18015" spans="1:5">
      <c r="A18015" s="140"/>
      <c r="B18015" s="192"/>
      <c r="C18015" s="140"/>
      <c r="D18015" s="140"/>
      <c r="E18015" s="140"/>
    </row>
    <row r="18016" spans="1:5">
      <c r="A18016" s="140"/>
      <c r="B18016" s="192"/>
      <c r="C18016" s="140"/>
      <c r="D18016" s="140"/>
      <c r="E18016" s="140"/>
    </row>
    <row r="18017" spans="1:5">
      <c r="A18017" s="140"/>
      <c r="B18017" s="192"/>
      <c r="C18017" s="140"/>
      <c r="D18017" s="140"/>
      <c r="E18017" s="140"/>
    </row>
    <row r="18018" spans="1:5">
      <c r="A18018" s="140"/>
      <c r="B18018" s="192"/>
      <c r="C18018" s="140"/>
      <c r="D18018" s="140"/>
      <c r="E18018" s="140"/>
    </row>
    <row r="18019" spans="1:5">
      <c r="A18019" s="140"/>
      <c r="B18019" s="192"/>
      <c r="C18019" s="140"/>
      <c r="D18019" s="140"/>
      <c r="E18019" s="140"/>
    </row>
    <row r="18020" spans="1:5">
      <c r="A18020" s="140"/>
      <c r="B18020" s="192"/>
      <c r="C18020" s="140"/>
      <c r="D18020" s="140"/>
      <c r="E18020" s="140"/>
    </row>
    <row r="18021" spans="1:5">
      <c r="A18021" s="140"/>
      <c r="B18021" s="192"/>
      <c r="C18021" s="140"/>
      <c r="D18021" s="140"/>
      <c r="E18021" s="140"/>
    </row>
    <row r="18022" spans="1:5">
      <c r="A18022" s="140"/>
      <c r="B18022" s="192"/>
      <c r="C18022" s="140"/>
      <c r="D18022" s="140"/>
      <c r="E18022" s="140"/>
    </row>
    <row r="18023" spans="1:5">
      <c r="A18023" s="140"/>
      <c r="B18023" s="192"/>
      <c r="C18023" s="140"/>
      <c r="D18023" s="140"/>
      <c r="E18023" s="140"/>
    </row>
    <row r="18024" spans="1:5">
      <c r="A18024" s="140"/>
      <c r="B18024" s="192"/>
      <c r="C18024" s="140"/>
      <c r="D18024" s="140"/>
      <c r="E18024" s="140"/>
    </row>
    <row r="18025" spans="1:5">
      <c r="A18025" s="140"/>
      <c r="B18025" s="192"/>
      <c r="C18025" s="140"/>
      <c r="D18025" s="140"/>
      <c r="E18025" s="140"/>
    </row>
    <row r="18026" spans="1:5">
      <c r="A18026" s="140"/>
      <c r="B18026" s="192"/>
      <c r="C18026" s="140"/>
      <c r="D18026" s="140"/>
      <c r="E18026" s="140"/>
    </row>
    <row r="18027" spans="1:5">
      <c r="A18027" s="140"/>
      <c r="B18027" s="192"/>
      <c r="C18027" s="140"/>
      <c r="D18027" s="140"/>
      <c r="E18027" s="140"/>
    </row>
    <row r="18028" spans="1:5">
      <c r="A18028" s="140"/>
      <c r="B18028" s="192"/>
      <c r="C18028" s="140"/>
      <c r="D18028" s="140"/>
      <c r="E18028" s="140"/>
    </row>
    <row r="18029" spans="1:5">
      <c r="A18029" s="140"/>
      <c r="B18029" s="192"/>
      <c r="C18029" s="140"/>
      <c r="D18029" s="140"/>
      <c r="E18029" s="140"/>
    </row>
    <row r="18030" spans="1:5">
      <c r="A18030" s="140"/>
      <c r="B18030" s="192"/>
      <c r="C18030" s="140"/>
      <c r="D18030" s="140"/>
      <c r="E18030" s="140"/>
    </row>
    <row r="18031" spans="1:5">
      <c r="A18031" s="140"/>
      <c r="B18031" s="192"/>
      <c r="C18031" s="140"/>
      <c r="D18031" s="140"/>
      <c r="E18031" s="140"/>
    </row>
    <row r="18032" spans="1:5">
      <c r="A18032" s="140"/>
      <c r="B18032" s="192"/>
      <c r="C18032" s="140"/>
      <c r="D18032" s="140"/>
      <c r="E18032" s="140"/>
    </row>
    <row r="18033" spans="1:5">
      <c r="A18033" s="140"/>
      <c r="B18033" s="192"/>
      <c r="C18033" s="140"/>
      <c r="D18033" s="140"/>
      <c r="E18033" s="140"/>
    </row>
    <row r="18034" spans="1:5">
      <c r="A18034" s="140"/>
      <c r="B18034" s="192"/>
      <c r="C18034" s="140"/>
      <c r="D18034" s="140"/>
      <c r="E18034" s="140"/>
    </row>
    <row r="18035" spans="1:5">
      <c r="A18035" s="140"/>
      <c r="B18035" s="192"/>
      <c r="C18035" s="140"/>
      <c r="D18035" s="140"/>
      <c r="E18035" s="140"/>
    </row>
    <row r="18036" spans="1:5">
      <c r="A18036" s="140"/>
      <c r="B18036" s="192"/>
      <c r="C18036" s="140"/>
      <c r="D18036" s="140"/>
      <c r="E18036" s="140"/>
    </row>
    <row r="18037" spans="1:5">
      <c r="A18037" s="140"/>
      <c r="B18037" s="192"/>
      <c r="C18037" s="140"/>
      <c r="D18037" s="140"/>
      <c r="E18037" s="140"/>
    </row>
    <row r="18038" spans="1:5">
      <c r="A18038" s="140"/>
      <c r="B18038" s="192"/>
      <c r="C18038" s="140"/>
      <c r="D18038" s="140"/>
      <c r="E18038" s="140"/>
    </row>
    <row r="18039" spans="1:5">
      <c r="A18039" s="140"/>
      <c r="B18039" s="192"/>
      <c r="C18039" s="140"/>
      <c r="D18039" s="140"/>
      <c r="E18039" s="140"/>
    </row>
    <row r="18040" spans="1:5">
      <c r="A18040" s="140"/>
      <c r="B18040" s="192"/>
      <c r="C18040" s="140"/>
      <c r="D18040" s="140"/>
      <c r="E18040" s="140"/>
    </row>
    <row r="18041" spans="1:5">
      <c r="A18041" s="140"/>
      <c r="B18041" s="192"/>
      <c r="C18041" s="140"/>
      <c r="D18041" s="140"/>
      <c r="E18041" s="140"/>
    </row>
    <row r="18042" spans="1:5">
      <c r="A18042" s="140"/>
      <c r="B18042" s="192"/>
      <c r="C18042" s="140"/>
      <c r="D18042" s="140"/>
      <c r="E18042" s="140"/>
    </row>
    <row r="18043" spans="1:5">
      <c r="A18043" s="140"/>
      <c r="B18043" s="192"/>
      <c r="C18043" s="140"/>
      <c r="D18043" s="140"/>
      <c r="E18043" s="140"/>
    </row>
    <row r="18044" spans="1:5">
      <c r="A18044" s="140"/>
      <c r="B18044" s="192"/>
      <c r="C18044" s="140"/>
      <c r="D18044" s="140"/>
      <c r="E18044" s="140"/>
    </row>
    <row r="18045" spans="1:5">
      <c r="A18045" s="140"/>
      <c r="B18045" s="192"/>
      <c r="C18045" s="140"/>
      <c r="D18045" s="140"/>
      <c r="E18045" s="140"/>
    </row>
    <row r="18046" spans="1:5">
      <c r="A18046" s="140"/>
      <c r="B18046" s="192"/>
      <c r="C18046" s="140"/>
      <c r="D18046" s="140"/>
      <c r="E18046" s="140"/>
    </row>
    <row r="18047" spans="1:5">
      <c r="A18047" s="140"/>
      <c r="B18047" s="192"/>
      <c r="C18047" s="140"/>
      <c r="D18047" s="140"/>
      <c r="E18047" s="140"/>
    </row>
    <row r="18048" spans="1:5">
      <c r="A18048" s="140"/>
      <c r="B18048" s="192"/>
      <c r="C18048" s="140"/>
      <c r="D18048" s="140"/>
      <c r="E18048" s="140"/>
    </row>
    <row r="18049" spans="1:5">
      <c r="A18049" s="140"/>
      <c r="B18049" s="192"/>
      <c r="C18049" s="140"/>
      <c r="D18049" s="140"/>
      <c r="E18049" s="140"/>
    </row>
    <row r="18050" spans="1:5">
      <c r="A18050" s="140"/>
      <c r="B18050" s="192"/>
      <c r="C18050" s="140"/>
      <c r="D18050" s="140"/>
      <c r="E18050" s="140"/>
    </row>
    <row r="18051" spans="1:5">
      <c r="A18051" s="140"/>
      <c r="B18051" s="192"/>
      <c r="C18051" s="140"/>
      <c r="D18051" s="140"/>
      <c r="E18051" s="140"/>
    </row>
    <row r="18052" spans="1:5">
      <c r="A18052" s="140"/>
      <c r="B18052" s="192"/>
      <c r="C18052" s="140"/>
      <c r="D18052" s="140"/>
      <c r="E18052" s="140"/>
    </row>
    <row r="18053" spans="1:5">
      <c r="A18053" s="140"/>
      <c r="B18053" s="192"/>
      <c r="C18053" s="140"/>
      <c r="D18053" s="140"/>
      <c r="E18053" s="140"/>
    </row>
    <row r="18054" spans="1:5">
      <c r="A18054" s="140"/>
      <c r="B18054" s="192"/>
      <c r="C18054" s="140"/>
      <c r="D18054" s="140"/>
      <c r="E18054" s="140"/>
    </row>
    <row r="18055" spans="1:5">
      <c r="A18055" s="140"/>
      <c r="B18055" s="192"/>
      <c r="C18055" s="140"/>
      <c r="D18055" s="140"/>
      <c r="E18055" s="140"/>
    </row>
    <row r="18056" spans="1:5">
      <c r="A18056" s="140"/>
      <c r="B18056" s="192"/>
      <c r="C18056" s="140"/>
      <c r="D18056" s="140"/>
      <c r="E18056" s="140"/>
    </row>
    <row r="18057" spans="1:5">
      <c r="A18057" s="140"/>
      <c r="B18057" s="192"/>
      <c r="C18057" s="140"/>
      <c r="D18057" s="140"/>
      <c r="E18057" s="140"/>
    </row>
    <row r="18058" spans="1:5">
      <c r="A18058" s="140"/>
      <c r="B18058" s="192"/>
      <c r="C18058" s="140"/>
      <c r="D18058" s="140"/>
      <c r="E18058" s="140"/>
    </row>
    <row r="18059" spans="1:5">
      <c r="A18059" s="140"/>
      <c r="B18059" s="192"/>
      <c r="C18059" s="140"/>
      <c r="D18059" s="140"/>
      <c r="E18059" s="140"/>
    </row>
    <row r="18060" spans="1:5">
      <c r="A18060" s="140"/>
      <c r="B18060" s="192"/>
      <c r="C18060" s="140"/>
      <c r="D18060" s="140"/>
      <c r="E18060" s="140"/>
    </row>
    <row r="18061" spans="1:5">
      <c r="A18061" s="140"/>
      <c r="B18061" s="192"/>
      <c r="C18061" s="140"/>
      <c r="D18061" s="140"/>
      <c r="E18061" s="140"/>
    </row>
    <row r="18062" spans="1:5">
      <c r="A18062" s="140"/>
      <c r="B18062" s="192"/>
      <c r="C18062" s="140"/>
      <c r="D18062" s="140"/>
      <c r="E18062" s="140"/>
    </row>
    <row r="18063" spans="1:5">
      <c r="A18063" s="140"/>
      <c r="B18063" s="192"/>
      <c r="C18063" s="140"/>
      <c r="D18063" s="140"/>
      <c r="E18063" s="140"/>
    </row>
    <row r="18064" spans="1:5">
      <c r="A18064" s="140"/>
      <c r="B18064" s="192"/>
      <c r="C18064" s="140"/>
      <c r="D18064" s="140"/>
      <c r="E18064" s="140"/>
    </row>
    <row r="18065" spans="1:5">
      <c r="A18065" s="140"/>
      <c r="B18065" s="192"/>
      <c r="C18065" s="140"/>
      <c r="D18065" s="140"/>
      <c r="E18065" s="140"/>
    </row>
    <row r="18066" spans="1:5">
      <c r="A18066" s="140"/>
      <c r="B18066" s="192"/>
      <c r="C18066" s="140"/>
      <c r="D18066" s="140"/>
      <c r="E18066" s="140"/>
    </row>
    <row r="18067" spans="1:5">
      <c r="A18067" s="140"/>
      <c r="B18067" s="192"/>
      <c r="C18067" s="140"/>
      <c r="D18067" s="140"/>
      <c r="E18067" s="140"/>
    </row>
    <row r="18068" spans="1:5">
      <c r="A18068" s="140"/>
      <c r="B18068" s="192"/>
      <c r="C18068" s="140"/>
      <c r="D18068" s="140"/>
      <c r="E18068" s="140"/>
    </row>
    <row r="18069" spans="1:5">
      <c r="A18069" s="140"/>
      <c r="B18069" s="192"/>
      <c r="C18069" s="140"/>
      <c r="D18069" s="140"/>
      <c r="E18069" s="140"/>
    </row>
    <row r="18070" spans="1:5">
      <c r="A18070" s="140"/>
      <c r="B18070" s="192"/>
      <c r="C18070" s="140"/>
      <c r="D18070" s="140"/>
      <c r="E18070" s="140"/>
    </row>
    <row r="18071" spans="1:5">
      <c r="A18071" s="140"/>
      <c r="B18071" s="192"/>
      <c r="C18071" s="140"/>
      <c r="D18071" s="140"/>
      <c r="E18071" s="140"/>
    </row>
    <row r="18072" spans="1:5">
      <c r="A18072" s="140"/>
      <c r="B18072" s="192"/>
      <c r="C18072" s="140"/>
      <c r="D18072" s="140"/>
      <c r="E18072" s="140"/>
    </row>
    <row r="18073" spans="1:5">
      <c r="A18073" s="140"/>
      <c r="B18073" s="192"/>
      <c r="C18073" s="140"/>
      <c r="D18073" s="140"/>
      <c r="E18073" s="140"/>
    </row>
    <row r="18074" spans="1:5">
      <c r="A18074" s="140"/>
      <c r="B18074" s="192"/>
      <c r="C18074" s="140"/>
      <c r="D18074" s="140"/>
      <c r="E18074" s="140"/>
    </row>
    <row r="18075" spans="1:5">
      <c r="A18075" s="140"/>
      <c r="B18075" s="192"/>
      <c r="C18075" s="140"/>
      <c r="D18075" s="140"/>
      <c r="E18075" s="140"/>
    </row>
    <row r="18076" spans="1:5">
      <c r="A18076" s="140"/>
      <c r="B18076" s="192"/>
      <c r="C18076" s="140"/>
      <c r="D18076" s="140"/>
      <c r="E18076" s="140"/>
    </row>
    <row r="18077" spans="1:5">
      <c r="A18077" s="140"/>
      <c r="B18077" s="192"/>
      <c r="C18077" s="140"/>
      <c r="D18077" s="140"/>
      <c r="E18077" s="140"/>
    </row>
    <row r="18078" spans="1:5">
      <c r="A18078" s="140"/>
      <c r="B18078" s="192"/>
      <c r="C18078" s="140"/>
      <c r="D18078" s="140"/>
      <c r="E18078" s="140"/>
    </row>
    <row r="18079" spans="1:5">
      <c r="A18079" s="140"/>
      <c r="B18079" s="192"/>
      <c r="C18079" s="140"/>
      <c r="D18079" s="140"/>
      <c r="E18079" s="140"/>
    </row>
    <row r="18080" spans="1:5">
      <c r="A18080" s="140"/>
      <c r="B18080" s="192"/>
      <c r="C18080" s="140"/>
      <c r="D18080" s="140"/>
      <c r="E18080" s="140"/>
    </row>
    <row r="18081" spans="1:5">
      <c r="A18081" s="140"/>
      <c r="B18081" s="192"/>
      <c r="C18081" s="140"/>
      <c r="D18081" s="140"/>
      <c r="E18081" s="140"/>
    </row>
    <row r="18082" spans="1:5">
      <c r="A18082" s="140"/>
      <c r="B18082" s="192"/>
      <c r="C18082" s="140"/>
      <c r="D18082" s="140"/>
      <c r="E18082" s="140"/>
    </row>
    <row r="18083" spans="1:5">
      <c r="A18083" s="140"/>
      <c r="B18083" s="192"/>
      <c r="C18083" s="140"/>
      <c r="D18083" s="140"/>
      <c r="E18083" s="140"/>
    </row>
    <row r="18084" spans="1:5">
      <c r="A18084" s="140"/>
      <c r="B18084" s="192"/>
      <c r="C18084" s="140"/>
      <c r="D18084" s="140"/>
      <c r="E18084" s="140"/>
    </row>
    <row r="18085" spans="1:5">
      <c r="A18085" s="140"/>
      <c r="B18085" s="192"/>
      <c r="C18085" s="140"/>
      <c r="D18085" s="140"/>
      <c r="E18085" s="140"/>
    </row>
    <row r="18086" spans="1:5">
      <c r="A18086" s="140"/>
      <c r="B18086" s="192"/>
      <c r="C18086" s="140"/>
      <c r="D18086" s="140"/>
      <c r="E18086" s="140"/>
    </row>
    <row r="18087" spans="1:5">
      <c r="A18087" s="140"/>
      <c r="B18087" s="192"/>
      <c r="C18087" s="140"/>
      <c r="D18087" s="140"/>
      <c r="E18087" s="140"/>
    </row>
    <row r="18088" spans="1:5">
      <c r="A18088" s="140"/>
      <c r="B18088" s="192"/>
      <c r="C18088" s="140"/>
      <c r="D18088" s="140"/>
      <c r="E18088" s="140"/>
    </row>
    <row r="18089" spans="1:5">
      <c r="A18089" s="140"/>
      <c r="B18089" s="192"/>
      <c r="C18089" s="140"/>
      <c r="D18089" s="140"/>
      <c r="E18089" s="140"/>
    </row>
    <row r="18090" spans="1:5">
      <c r="A18090" s="140"/>
      <c r="B18090" s="192"/>
      <c r="C18090" s="140"/>
      <c r="D18090" s="140"/>
      <c r="E18090" s="140"/>
    </row>
    <row r="18091" spans="1:5">
      <c r="A18091" s="140"/>
      <c r="B18091" s="192"/>
      <c r="C18091" s="140"/>
      <c r="D18091" s="140"/>
      <c r="E18091" s="140"/>
    </row>
    <row r="18092" spans="1:5">
      <c r="A18092" s="140"/>
      <c r="B18092" s="192"/>
      <c r="C18092" s="140"/>
      <c r="D18092" s="140"/>
      <c r="E18092" s="140"/>
    </row>
    <row r="18093" spans="1:5">
      <c r="A18093" s="140"/>
      <c r="B18093" s="192"/>
      <c r="C18093" s="140"/>
      <c r="D18093" s="140"/>
      <c r="E18093" s="140"/>
    </row>
    <row r="18094" spans="1:5">
      <c r="A18094" s="140"/>
      <c r="B18094" s="192"/>
      <c r="C18094" s="140"/>
      <c r="D18094" s="140"/>
      <c r="E18094" s="140"/>
    </row>
    <row r="18095" spans="1:5">
      <c r="A18095" s="140"/>
      <c r="B18095" s="192"/>
      <c r="C18095" s="140"/>
      <c r="D18095" s="140"/>
      <c r="E18095" s="140"/>
    </row>
    <row r="18096" spans="1:5">
      <c r="A18096" s="140"/>
      <c r="B18096" s="192"/>
      <c r="C18096" s="140"/>
      <c r="D18096" s="140"/>
      <c r="E18096" s="140"/>
    </row>
    <row r="18097" spans="1:5">
      <c r="A18097" s="140"/>
      <c r="B18097" s="192"/>
      <c r="C18097" s="140"/>
      <c r="D18097" s="140"/>
      <c r="E18097" s="140"/>
    </row>
    <row r="18098" spans="1:5">
      <c r="A18098" s="140"/>
      <c r="B18098" s="192"/>
      <c r="C18098" s="140"/>
      <c r="D18098" s="140"/>
      <c r="E18098" s="140"/>
    </row>
    <row r="18099" spans="1:5">
      <c r="A18099" s="140"/>
      <c r="B18099" s="192"/>
      <c r="C18099" s="140"/>
      <c r="D18099" s="140"/>
      <c r="E18099" s="140"/>
    </row>
    <row r="18100" spans="1:5">
      <c r="A18100" s="140"/>
      <c r="B18100" s="192"/>
      <c r="C18100" s="140"/>
      <c r="D18100" s="140"/>
      <c r="E18100" s="140"/>
    </row>
    <row r="18101" spans="1:5">
      <c r="A18101" s="140"/>
      <c r="B18101" s="192"/>
      <c r="C18101" s="140"/>
      <c r="D18101" s="140"/>
      <c r="E18101" s="140"/>
    </row>
    <row r="18102" spans="1:5">
      <c r="A18102" s="140"/>
      <c r="B18102" s="192"/>
      <c r="C18102" s="140"/>
      <c r="D18102" s="140"/>
      <c r="E18102" s="140"/>
    </row>
    <row r="18103" spans="1:5">
      <c r="A18103" s="140"/>
      <c r="B18103" s="192"/>
      <c r="C18103" s="140"/>
      <c r="D18103" s="140"/>
      <c r="E18103" s="140"/>
    </row>
    <row r="18104" spans="1:5">
      <c r="A18104" s="140"/>
      <c r="B18104" s="192"/>
      <c r="C18104" s="140"/>
      <c r="D18104" s="140"/>
      <c r="E18104" s="140"/>
    </row>
    <row r="18105" spans="1:5">
      <c r="A18105" s="140"/>
      <c r="B18105" s="192"/>
      <c r="C18105" s="140"/>
      <c r="D18105" s="140"/>
      <c r="E18105" s="140"/>
    </row>
    <row r="18106" spans="1:5">
      <c r="A18106" s="140"/>
      <c r="B18106" s="192"/>
      <c r="C18106" s="140"/>
      <c r="D18106" s="140"/>
      <c r="E18106" s="140"/>
    </row>
    <row r="18107" spans="1:5">
      <c r="A18107" s="140"/>
      <c r="B18107" s="192"/>
      <c r="C18107" s="140"/>
      <c r="D18107" s="140"/>
      <c r="E18107" s="140"/>
    </row>
    <row r="18108" spans="1:5">
      <c r="A18108" s="140"/>
      <c r="B18108" s="192"/>
      <c r="C18108" s="140"/>
      <c r="D18108" s="140"/>
      <c r="E18108" s="140"/>
    </row>
    <row r="18109" spans="1:5">
      <c r="A18109" s="140"/>
      <c r="B18109" s="192"/>
      <c r="C18109" s="140"/>
      <c r="D18109" s="140"/>
      <c r="E18109" s="140"/>
    </row>
    <row r="18110" spans="1:5">
      <c r="A18110" s="140"/>
      <c r="B18110" s="192"/>
      <c r="C18110" s="140"/>
      <c r="D18110" s="140"/>
      <c r="E18110" s="140"/>
    </row>
    <row r="18111" spans="1:5">
      <c r="A18111" s="140"/>
      <c r="B18111" s="192"/>
      <c r="C18111" s="140"/>
      <c r="D18111" s="140"/>
      <c r="E18111" s="140"/>
    </row>
    <row r="18112" spans="1:5">
      <c r="A18112" s="140"/>
      <c r="B18112" s="192"/>
      <c r="C18112" s="140"/>
      <c r="D18112" s="140"/>
      <c r="E18112" s="140"/>
    </row>
    <row r="18113" spans="1:5">
      <c r="A18113" s="140"/>
      <c r="B18113" s="192"/>
      <c r="C18113" s="140"/>
      <c r="D18113" s="140"/>
      <c r="E18113" s="140"/>
    </row>
    <row r="18114" spans="1:5">
      <c r="A18114" s="140"/>
      <c r="B18114" s="192"/>
      <c r="C18114" s="140"/>
      <c r="D18114" s="140"/>
      <c r="E18114" s="140"/>
    </row>
    <row r="18115" spans="1:5">
      <c r="A18115" s="140"/>
      <c r="B18115" s="192"/>
      <c r="C18115" s="140"/>
      <c r="D18115" s="140"/>
      <c r="E18115" s="140"/>
    </row>
    <row r="18116" spans="1:5">
      <c r="A18116" s="140"/>
      <c r="B18116" s="192"/>
      <c r="C18116" s="140"/>
      <c r="D18116" s="140"/>
      <c r="E18116" s="140"/>
    </row>
    <row r="18117" spans="1:5">
      <c r="A18117" s="140"/>
      <c r="B18117" s="192"/>
      <c r="C18117" s="140"/>
      <c r="D18117" s="140"/>
      <c r="E18117" s="140"/>
    </row>
    <row r="18118" spans="1:5">
      <c r="A18118" s="140"/>
      <c r="B18118" s="192"/>
      <c r="C18118" s="140"/>
      <c r="D18118" s="140"/>
      <c r="E18118" s="140"/>
    </row>
    <row r="18119" spans="1:5">
      <c r="A18119" s="140"/>
      <c r="B18119" s="192"/>
      <c r="C18119" s="140"/>
      <c r="D18119" s="140"/>
      <c r="E18119" s="140"/>
    </row>
    <row r="18120" spans="1:5">
      <c r="A18120" s="140"/>
      <c r="B18120" s="192"/>
      <c r="C18120" s="140"/>
      <c r="D18120" s="140"/>
      <c r="E18120" s="140"/>
    </row>
    <row r="18121" spans="1:5">
      <c r="A18121" s="140"/>
      <c r="B18121" s="192"/>
      <c r="C18121" s="140"/>
      <c r="D18121" s="140"/>
      <c r="E18121" s="140"/>
    </row>
    <row r="18122" spans="1:5">
      <c r="A18122" s="140"/>
      <c r="B18122" s="192"/>
      <c r="C18122" s="140"/>
      <c r="D18122" s="140"/>
      <c r="E18122" s="140"/>
    </row>
    <row r="18123" spans="1:5">
      <c r="A18123" s="140"/>
      <c r="B18123" s="192"/>
      <c r="C18123" s="140"/>
      <c r="D18123" s="140"/>
      <c r="E18123" s="140"/>
    </row>
    <row r="18124" spans="1:5">
      <c r="A18124" s="140"/>
      <c r="B18124" s="192"/>
      <c r="C18124" s="140"/>
      <c r="D18124" s="140"/>
      <c r="E18124" s="140"/>
    </row>
    <row r="18125" spans="1:5">
      <c r="A18125" s="140"/>
      <c r="B18125" s="192"/>
      <c r="C18125" s="140"/>
      <c r="D18125" s="140"/>
      <c r="E18125" s="140"/>
    </row>
    <row r="18126" spans="1:5">
      <c r="A18126" s="140"/>
      <c r="B18126" s="192"/>
      <c r="C18126" s="140"/>
      <c r="D18126" s="140"/>
      <c r="E18126" s="140"/>
    </row>
    <row r="18127" spans="1:5">
      <c r="A18127" s="140"/>
      <c r="B18127" s="192"/>
      <c r="C18127" s="140"/>
      <c r="D18127" s="140"/>
      <c r="E18127" s="140"/>
    </row>
    <row r="18128" spans="1:5">
      <c r="A18128" s="140"/>
      <c r="B18128" s="192"/>
      <c r="C18128" s="140"/>
      <c r="D18128" s="140"/>
      <c r="E18128" s="140"/>
    </row>
    <row r="18129" spans="1:5">
      <c r="A18129" s="140"/>
      <c r="B18129" s="192"/>
      <c r="C18129" s="140"/>
      <c r="D18129" s="140"/>
      <c r="E18129" s="140"/>
    </row>
    <row r="18130" spans="1:5">
      <c r="A18130" s="140"/>
      <c r="B18130" s="192"/>
      <c r="C18130" s="140"/>
      <c r="D18130" s="140"/>
      <c r="E18130" s="140"/>
    </row>
    <row r="18131" spans="1:5">
      <c r="A18131" s="140"/>
      <c r="B18131" s="192"/>
      <c r="C18131" s="140"/>
      <c r="D18131" s="140"/>
      <c r="E18131" s="140"/>
    </row>
    <row r="18132" spans="1:5">
      <c r="A18132" s="140"/>
      <c r="B18132" s="192"/>
      <c r="C18132" s="140"/>
      <c r="D18132" s="140"/>
      <c r="E18132" s="140"/>
    </row>
    <row r="18133" spans="1:5">
      <c r="A18133" s="140"/>
      <c r="B18133" s="192"/>
      <c r="C18133" s="140"/>
      <c r="D18133" s="140"/>
      <c r="E18133" s="140"/>
    </row>
    <row r="18134" spans="1:5">
      <c r="A18134" s="140"/>
      <c r="B18134" s="192"/>
      <c r="C18134" s="140"/>
      <c r="D18134" s="140"/>
      <c r="E18134" s="140"/>
    </row>
    <row r="18135" spans="1:5">
      <c r="A18135" s="140"/>
      <c r="B18135" s="192"/>
      <c r="C18135" s="140"/>
      <c r="D18135" s="140"/>
      <c r="E18135" s="140"/>
    </row>
    <row r="18136" spans="1:5">
      <c r="A18136" s="140"/>
      <c r="B18136" s="192"/>
      <c r="C18136" s="140"/>
      <c r="D18136" s="140"/>
      <c r="E18136" s="140"/>
    </row>
    <row r="18137" spans="1:5">
      <c r="A18137" s="140"/>
      <c r="B18137" s="192"/>
      <c r="C18137" s="140"/>
      <c r="D18137" s="140"/>
      <c r="E18137" s="140"/>
    </row>
    <row r="18138" spans="1:5">
      <c r="A18138" s="140"/>
      <c r="B18138" s="192"/>
      <c r="C18138" s="140"/>
      <c r="D18138" s="140"/>
      <c r="E18138" s="140"/>
    </row>
    <row r="18139" spans="1:5">
      <c r="A18139" s="140"/>
      <c r="B18139" s="192"/>
      <c r="C18139" s="140"/>
      <c r="D18139" s="140"/>
      <c r="E18139" s="140"/>
    </row>
    <row r="18140" spans="1:5">
      <c r="A18140" s="140"/>
      <c r="B18140" s="192"/>
      <c r="C18140" s="140"/>
      <c r="D18140" s="140"/>
      <c r="E18140" s="140"/>
    </row>
    <row r="18141" spans="1:5">
      <c r="A18141" s="140"/>
      <c r="B18141" s="192"/>
      <c r="C18141" s="140"/>
      <c r="D18141" s="140"/>
      <c r="E18141" s="140"/>
    </row>
    <row r="18142" spans="1:5">
      <c r="A18142" s="140"/>
      <c r="B18142" s="192"/>
      <c r="C18142" s="140"/>
      <c r="D18142" s="140"/>
      <c r="E18142" s="140"/>
    </row>
    <row r="18143" spans="1:5">
      <c r="A18143" s="140"/>
      <c r="B18143" s="192"/>
      <c r="C18143" s="140"/>
      <c r="D18143" s="140"/>
      <c r="E18143" s="140"/>
    </row>
    <row r="18144" spans="1:5">
      <c r="A18144" s="140"/>
      <c r="B18144" s="192"/>
      <c r="C18144" s="140"/>
      <c r="D18144" s="140"/>
      <c r="E18144" s="140"/>
    </row>
    <row r="18145" spans="1:5">
      <c r="A18145" s="140"/>
      <c r="B18145" s="192"/>
      <c r="C18145" s="140"/>
      <c r="D18145" s="140"/>
      <c r="E18145" s="140"/>
    </row>
    <row r="18146" spans="1:5">
      <c r="A18146" s="140"/>
      <c r="B18146" s="192"/>
      <c r="C18146" s="140"/>
      <c r="D18146" s="140"/>
      <c r="E18146" s="140"/>
    </row>
    <row r="18147" spans="1:5">
      <c r="A18147" s="140"/>
      <c r="B18147" s="192"/>
      <c r="C18147" s="140"/>
      <c r="D18147" s="140"/>
      <c r="E18147" s="140"/>
    </row>
    <row r="18148" spans="1:5">
      <c r="A18148" s="140"/>
      <c r="B18148" s="192"/>
      <c r="C18148" s="140"/>
      <c r="D18148" s="140"/>
      <c r="E18148" s="140"/>
    </row>
    <row r="18149" spans="1:5">
      <c r="A18149" s="140"/>
      <c r="B18149" s="192"/>
      <c r="C18149" s="140"/>
      <c r="D18149" s="140"/>
      <c r="E18149" s="140"/>
    </row>
    <row r="18150" spans="1:5">
      <c r="A18150" s="140"/>
      <c r="B18150" s="192"/>
      <c r="C18150" s="140"/>
      <c r="D18150" s="140"/>
      <c r="E18150" s="140"/>
    </row>
    <row r="18151" spans="1:5">
      <c r="A18151" s="140"/>
      <c r="B18151" s="192"/>
      <c r="C18151" s="140"/>
      <c r="D18151" s="140"/>
      <c r="E18151" s="140"/>
    </row>
    <row r="18152" spans="1:5">
      <c r="A18152" s="140"/>
      <c r="B18152" s="192"/>
      <c r="C18152" s="140"/>
      <c r="D18152" s="140"/>
      <c r="E18152" s="140"/>
    </row>
    <row r="18153" spans="1:5">
      <c r="A18153" s="140"/>
      <c r="B18153" s="192"/>
      <c r="C18153" s="140"/>
      <c r="D18153" s="140"/>
      <c r="E18153" s="140"/>
    </row>
    <row r="18154" spans="1:5">
      <c r="A18154" s="140"/>
      <c r="B18154" s="192"/>
      <c r="C18154" s="140"/>
      <c r="D18154" s="140"/>
      <c r="E18154" s="140"/>
    </row>
    <row r="18155" spans="1:5">
      <c r="A18155" s="140"/>
      <c r="B18155" s="192"/>
      <c r="C18155" s="140"/>
      <c r="D18155" s="140"/>
      <c r="E18155" s="140"/>
    </row>
    <row r="18156" spans="1:5">
      <c r="A18156" s="140"/>
      <c r="B18156" s="192"/>
      <c r="C18156" s="140"/>
      <c r="D18156" s="140"/>
      <c r="E18156" s="140"/>
    </row>
    <row r="18157" spans="1:5">
      <c r="A18157" s="140"/>
      <c r="B18157" s="192"/>
      <c r="C18157" s="140"/>
      <c r="D18157" s="140"/>
      <c r="E18157" s="140"/>
    </row>
    <row r="18158" spans="1:5">
      <c r="A18158" s="140"/>
      <c r="B18158" s="192"/>
      <c r="C18158" s="140"/>
      <c r="D18158" s="140"/>
      <c r="E18158" s="140"/>
    </row>
    <row r="18159" spans="1:5">
      <c r="A18159" s="140"/>
      <c r="B18159" s="192"/>
      <c r="C18159" s="140"/>
      <c r="D18159" s="140"/>
      <c r="E18159" s="140"/>
    </row>
    <row r="18160" spans="1:5">
      <c r="A18160" s="140"/>
      <c r="B18160" s="192"/>
      <c r="C18160" s="140"/>
      <c r="D18160" s="140"/>
      <c r="E18160" s="140"/>
    </row>
    <row r="18161" spans="1:5">
      <c r="A18161" s="140"/>
      <c r="B18161" s="192"/>
      <c r="C18161" s="140"/>
      <c r="D18161" s="140"/>
      <c r="E18161" s="140"/>
    </row>
    <row r="18162" spans="1:5">
      <c r="A18162" s="140"/>
      <c r="B18162" s="192"/>
      <c r="C18162" s="140"/>
      <c r="D18162" s="140"/>
      <c r="E18162" s="140"/>
    </row>
    <row r="18163" spans="1:5">
      <c r="A18163" s="140"/>
      <c r="B18163" s="192"/>
      <c r="C18163" s="140"/>
      <c r="D18163" s="140"/>
      <c r="E18163" s="140"/>
    </row>
    <row r="18164" spans="1:5">
      <c r="A18164" s="140"/>
      <c r="B18164" s="192"/>
      <c r="C18164" s="140"/>
      <c r="D18164" s="140"/>
      <c r="E18164" s="140"/>
    </row>
    <row r="18165" spans="1:5">
      <c r="A18165" s="140"/>
      <c r="B18165" s="192"/>
      <c r="C18165" s="140"/>
      <c r="D18165" s="140"/>
      <c r="E18165" s="140"/>
    </row>
    <row r="18166" spans="1:5">
      <c r="A18166" s="140"/>
      <c r="B18166" s="192"/>
      <c r="C18166" s="140"/>
      <c r="D18166" s="140"/>
      <c r="E18166" s="140"/>
    </row>
    <row r="18167" spans="1:5">
      <c r="A18167" s="140"/>
      <c r="B18167" s="192"/>
      <c r="C18167" s="140"/>
      <c r="D18167" s="140"/>
      <c r="E18167" s="140"/>
    </row>
    <row r="18168" spans="1:5">
      <c r="A18168" s="140"/>
      <c r="B18168" s="192"/>
      <c r="C18168" s="140"/>
      <c r="D18168" s="140"/>
      <c r="E18168" s="140"/>
    </row>
    <row r="18169" spans="1:5">
      <c r="A18169" s="140"/>
      <c r="B18169" s="192"/>
      <c r="C18169" s="140"/>
      <c r="D18169" s="140"/>
      <c r="E18169" s="140"/>
    </row>
    <row r="18170" spans="1:5">
      <c r="A18170" s="140"/>
      <c r="B18170" s="192"/>
      <c r="C18170" s="140"/>
      <c r="D18170" s="140"/>
      <c r="E18170" s="140"/>
    </row>
    <row r="18171" spans="1:5">
      <c r="A18171" s="140"/>
      <c r="B18171" s="192"/>
      <c r="C18171" s="140"/>
      <c r="D18171" s="140"/>
      <c r="E18171" s="140"/>
    </row>
    <row r="18172" spans="1:5">
      <c r="A18172" s="140"/>
      <c r="B18172" s="192"/>
      <c r="C18172" s="140"/>
      <c r="D18172" s="140"/>
      <c r="E18172" s="140"/>
    </row>
    <row r="18173" spans="1:5">
      <c r="A18173" s="140"/>
      <c r="B18173" s="192"/>
      <c r="C18173" s="140"/>
      <c r="D18173" s="140"/>
      <c r="E18173" s="140"/>
    </row>
    <row r="18174" spans="1:5">
      <c r="A18174" s="140"/>
      <c r="B18174" s="192"/>
      <c r="C18174" s="140"/>
      <c r="D18174" s="140"/>
      <c r="E18174" s="140"/>
    </row>
    <row r="18175" spans="1:5">
      <c r="A18175" s="140"/>
      <c r="B18175" s="192"/>
      <c r="C18175" s="140"/>
      <c r="D18175" s="140"/>
      <c r="E18175" s="140"/>
    </row>
    <row r="18176" spans="1:5">
      <c r="A18176" s="140"/>
      <c r="B18176" s="192"/>
      <c r="C18176" s="140"/>
      <c r="D18176" s="140"/>
      <c r="E18176" s="140"/>
    </row>
    <row r="18177" spans="1:5">
      <c r="A18177" s="140"/>
      <c r="B18177" s="192"/>
      <c r="C18177" s="140"/>
      <c r="D18177" s="140"/>
      <c r="E18177" s="140"/>
    </row>
    <row r="18178" spans="1:5">
      <c r="A18178" s="140"/>
      <c r="B18178" s="192"/>
      <c r="C18178" s="140"/>
      <c r="D18178" s="140"/>
      <c r="E18178" s="140"/>
    </row>
    <row r="18179" spans="1:5">
      <c r="A18179" s="140"/>
      <c r="B18179" s="192"/>
      <c r="C18179" s="140"/>
      <c r="D18179" s="140"/>
      <c r="E18179" s="140"/>
    </row>
    <row r="18180" spans="1:5">
      <c r="A18180" s="140"/>
      <c r="B18180" s="192"/>
      <c r="C18180" s="140"/>
      <c r="D18180" s="140"/>
      <c r="E18180" s="140"/>
    </row>
    <row r="18181" spans="1:5">
      <c r="A18181" s="140"/>
      <c r="B18181" s="192"/>
      <c r="C18181" s="140"/>
      <c r="D18181" s="140"/>
      <c r="E18181" s="140"/>
    </row>
    <row r="18182" spans="1:5">
      <c r="A18182" s="140"/>
      <c r="B18182" s="192"/>
      <c r="C18182" s="140"/>
      <c r="D18182" s="140"/>
      <c r="E18182" s="140"/>
    </row>
    <row r="18183" spans="1:5">
      <c r="A18183" s="140"/>
      <c r="B18183" s="192"/>
      <c r="C18183" s="140"/>
      <c r="D18183" s="140"/>
      <c r="E18183" s="140"/>
    </row>
    <row r="18184" spans="1:5">
      <c r="A18184" s="140"/>
      <c r="B18184" s="192"/>
      <c r="C18184" s="140"/>
      <c r="D18184" s="140"/>
      <c r="E18184" s="140"/>
    </row>
    <row r="18185" spans="1:5">
      <c r="A18185" s="140"/>
      <c r="B18185" s="192"/>
      <c r="C18185" s="140"/>
      <c r="D18185" s="140"/>
      <c r="E18185" s="140"/>
    </row>
    <row r="18186" spans="1:5">
      <c r="A18186" s="140"/>
      <c r="B18186" s="192"/>
      <c r="C18186" s="140"/>
      <c r="D18186" s="140"/>
      <c r="E18186" s="140"/>
    </row>
    <row r="18187" spans="1:5">
      <c r="A18187" s="140"/>
      <c r="B18187" s="192"/>
      <c r="C18187" s="140"/>
      <c r="D18187" s="140"/>
      <c r="E18187" s="140"/>
    </row>
    <row r="18188" spans="1:5">
      <c r="A18188" s="140"/>
      <c r="B18188" s="192"/>
      <c r="C18188" s="140"/>
      <c r="D18188" s="140"/>
      <c r="E18188" s="140"/>
    </row>
    <row r="18189" spans="1:5">
      <c r="A18189" s="140"/>
      <c r="B18189" s="192"/>
      <c r="C18189" s="140"/>
      <c r="D18189" s="140"/>
      <c r="E18189" s="140"/>
    </row>
    <row r="18190" spans="1:5">
      <c r="A18190" s="140"/>
      <c r="B18190" s="192"/>
      <c r="C18190" s="140"/>
      <c r="D18190" s="140"/>
      <c r="E18190" s="140"/>
    </row>
    <row r="18191" spans="1:5">
      <c r="A18191" s="140"/>
      <c r="B18191" s="192"/>
      <c r="C18191" s="140"/>
      <c r="D18191" s="140"/>
      <c r="E18191" s="140"/>
    </row>
    <row r="18192" spans="1:5">
      <c r="A18192" s="140"/>
      <c r="B18192" s="192"/>
      <c r="C18192" s="140"/>
      <c r="D18192" s="140"/>
      <c r="E18192" s="140"/>
    </row>
    <row r="18193" spans="1:5">
      <c r="A18193" s="140"/>
      <c r="B18193" s="192"/>
      <c r="C18193" s="140"/>
      <c r="D18193" s="140"/>
      <c r="E18193" s="140"/>
    </row>
    <row r="18194" spans="1:5">
      <c r="A18194" s="140"/>
      <c r="B18194" s="192"/>
      <c r="C18194" s="140"/>
      <c r="D18194" s="140"/>
      <c r="E18194" s="140"/>
    </row>
    <row r="18195" spans="1:5">
      <c r="A18195" s="140"/>
      <c r="B18195" s="192"/>
      <c r="C18195" s="140"/>
      <c r="D18195" s="140"/>
      <c r="E18195" s="140"/>
    </row>
    <row r="18196" spans="1:5">
      <c r="A18196" s="140"/>
      <c r="B18196" s="192"/>
      <c r="C18196" s="140"/>
      <c r="D18196" s="140"/>
      <c r="E18196" s="140"/>
    </row>
    <row r="18197" spans="1:5">
      <c r="A18197" s="140"/>
      <c r="B18197" s="192"/>
      <c r="C18197" s="140"/>
      <c r="D18197" s="140"/>
      <c r="E18197" s="140"/>
    </row>
    <row r="18198" spans="1:5">
      <c r="A18198" s="140"/>
      <c r="B18198" s="192"/>
      <c r="C18198" s="140"/>
      <c r="D18198" s="140"/>
      <c r="E18198" s="140"/>
    </row>
    <row r="18199" spans="1:5">
      <c r="A18199" s="140"/>
      <c r="B18199" s="192"/>
      <c r="C18199" s="140"/>
      <c r="D18199" s="140"/>
      <c r="E18199" s="140"/>
    </row>
    <row r="18200" spans="1:5">
      <c r="A18200" s="140"/>
      <c r="B18200" s="192"/>
      <c r="C18200" s="140"/>
      <c r="D18200" s="140"/>
      <c r="E18200" s="140"/>
    </row>
    <row r="18201" spans="1:5">
      <c r="A18201" s="140"/>
      <c r="B18201" s="192"/>
      <c r="C18201" s="140"/>
      <c r="D18201" s="140"/>
      <c r="E18201" s="140"/>
    </row>
    <row r="18202" spans="1:5">
      <c r="A18202" s="140"/>
      <c r="B18202" s="192"/>
      <c r="C18202" s="140"/>
      <c r="D18202" s="140"/>
      <c r="E18202" s="140"/>
    </row>
    <row r="18203" spans="1:5">
      <c r="A18203" s="140"/>
      <c r="B18203" s="192"/>
      <c r="C18203" s="140"/>
      <c r="D18203" s="140"/>
      <c r="E18203" s="140"/>
    </row>
    <row r="18204" spans="1:5">
      <c r="A18204" s="140"/>
      <c r="B18204" s="192"/>
      <c r="C18204" s="140"/>
      <c r="D18204" s="140"/>
      <c r="E18204" s="140"/>
    </row>
    <row r="18205" spans="1:5">
      <c r="A18205" s="140"/>
      <c r="B18205" s="192"/>
      <c r="C18205" s="140"/>
      <c r="D18205" s="140"/>
      <c r="E18205" s="140"/>
    </row>
    <row r="18206" spans="1:5">
      <c r="A18206" s="140"/>
      <c r="B18206" s="192"/>
      <c r="C18206" s="140"/>
      <c r="D18206" s="140"/>
      <c r="E18206" s="140"/>
    </row>
    <row r="18207" spans="1:5">
      <c r="A18207" s="140"/>
      <c r="B18207" s="192"/>
      <c r="C18207" s="140"/>
      <c r="D18207" s="140"/>
      <c r="E18207" s="140"/>
    </row>
    <row r="18208" spans="1:5">
      <c r="A18208" s="140"/>
      <c r="B18208" s="192"/>
      <c r="C18208" s="140"/>
      <c r="D18208" s="140"/>
      <c r="E18208" s="140"/>
    </row>
    <row r="18209" spans="1:5">
      <c r="A18209" s="140"/>
      <c r="B18209" s="192"/>
      <c r="C18209" s="140"/>
      <c r="D18209" s="140"/>
      <c r="E18209" s="140"/>
    </row>
    <row r="18210" spans="1:5">
      <c r="A18210" s="140"/>
      <c r="B18210" s="192"/>
      <c r="C18210" s="140"/>
      <c r="D18210" s="140"/>
      <c r="E18210" s="140"/>
    </row>
    <row r="18211" spans="1:5">
      <c r="A18211" s="140"/>
      <c r="B18211" s="192"/>
      <c r="C18211" s="140"/>
      <c r="D18211" s="140"/>
      <c r="E18211" s="140"/>
    </row>
    <row r="18212" spans="1:5">
      <c r="A18212" s="140"/>
      <c r="B18212" s="192"/>
      <c r="C18212" s="140"/>
      <c r="D18212" s="140"/>
      <c r="E18212" s="140"/>
    </row>
    <row r="18213" spans="1:5">
      <c r="A18213" s="140"/>
      <c r="B18213" s="192"/>
      <c r="C18213" s="140"/>
      <c r="D18213" s="140"/>
      <c r="E18213" s="140"/>
    </row>
    <row r="18214" spans="1:5">
      <c r="A18214" s="140"/>
      <c r="B18214" s="192"/>
      <c r="C18214" s="140"/>
      <c r="D18214" s="140"/>
      <c r="E18214" s="140"/>
    </row>
    <row r="18215" spans="1:5">
      <c r="A18215" s="140"/>
      <c r="B18215" s="192"/>
      <c r="C18215" s="140"/>
      <c r="D18215" s="140"/>
      <c r="E18215" s="140"/>
    </row>
    <row r="18216" spans="1:5">
      <c r="A18216" s="140"/>
      <c r="B18216" s="192"/>
      <c r="C18216" s="140"/>
      <c r="D18216" s="140"/>
      <c r="E18216" s="140"/>
    </row>
    <row r="18217" spans="1:5">
      <c r="A18217" s="140"/>
      <c r="B18217" s="192"/>
      <c r="C18217" s="140"/>
      <c r="D18217" s="140"/>
      <c r="E18217" s="140"/>
    </row>
    <row r="18218" spans="1:5">
      <c r="A18218" s="140"/>
      <c r="B18218" s="192"/>
      <c r="C18218" s="140"/>
      <c r="D18218" s="140"/>
      <c r="E18218" s="140"/>
    </row>
    <row r="18219" spans="1:5">
      <c r="A18219" s="140"/>
      <c r="B18219" s="192"/>
      <c r="C18219" s="140"/>
      <c r="D18219" s="140"/>
      <c r="E18219" s="140"/>
    </row>
    <row r="18220" spans="1:5">
      <c r="A18220" s="140"/>
      <c r="B18220" s="192"/>
      <c r="C18220" s="140"/>
      <c r="D18220" s="140"/>
      <c r="E18220" s="140"/>
    </row>
    <row r="18221" spans="1:5">
      <c r="A18221" s="140"/>
      <c r="B18221" s="192"/>
      <c r="C18221" s="140"/>
      <c r="D18221" s="140"/>
      <c r="E18221" s="140"/>
    </row>
    <row r="18222" spans="1:5">
      <c r="A18222" s="140"/>
      <c r="B18222" s="192"/>
      <c r="C18222" s="140"/>
      <c r="D18222" s="140"/>
      <c r="E18222" s="140"/>
    </row>
    <row r="18223" spans="1:5">
      <c r="A18223" s="140"/>
      <c r="B18223" s="192"/>
      <c r="C18223" s="140"/>
      <c r="D18223" s="140"/>
      <c r="E18223" s="140"/>
    </row>
    <row r="18224" spans="1:5">
      <c r="A18224" s="140"/>
      <c r="B18224" s="192"/>
      <c r="C18224" s="140"/>
      <c r="D18224" s="140"/>
      <c r="E18224" s="140"/>
    </row>
    <row r="18225" spans="1:5">
      <c r="A18225" s="140"/>
      <c r="B18225" s="192"/>
      <c r="C18225" s="140"/>
      <c r="D18225" s="140"/>
      <c r="E18225" s="140"/>
    </row>
    <row r="18226" spans="1:5">
      <c r="A18226" s="140"/>
      <c r="B18226" s="192"/>
      <c r="C18226" s="140"/>
      <c r="D18226" s="140"/>
      <c r="E18226" s="140"/>
    </row>
    <row r="18227" spans="1:5">
      <c r="A18227" s="140"/>
      <c r="B18227" s="192"/>
      <c r="C18227" s="140"/>
      <c r="D18227" s="140"/>
      <c r="E18227" s="140"/>
    </row>
    <row r="18228" spans="1:5">
      <c r="A18228" s="140"/>
      <c r="B18228" s="192"/>
      <c r="C18228" s="140"/>
      <c r="D18228" s="140"/>
      <c r="E18228" s="140"/>
    </row>
    <row r="18229" spans="1:5">
      <c r="A18229" s="140"/>
      <c r="B18229" s="192"/>
      <c r="C18229" s="140"/>
      <c r="D18229" s="140"/>
      <c r="E18229" s="140"/>
    </row>
    <row r="18230" spans="1:5">
      <c r="A18230" s="140"/>
      <c r="B18230" s="192"/>
      <c r="C18230" s="140"/>
      <c r="D18230" s="140"/>
      <c r="E18230" s="140"/>
    </row>
    <row r="18231" spans="1:5">
      <c r="A18231" s="140"/>
      <c r="B18231" s="192"/>
      <c r="C18231" s="140"/>
      <c r="D18231" s="140"/>
      <c r="E18231" s="140"/>
    </row>
    <row r="18232" spans="1:5">
      <c r="A18232" s="140"/>
      <c r="B18232" s="192"/>
      <c r="C18232" s="140"/>
      <c r="D18232" s="140"/>
      <c r="E18232" s="140"/>
    </row>
    <row r="18233" spans="1:5">
      <c r="A18233" s="140"/>
      <c r="B18233" s="192"/>
      <c r="C18233" s="140"/>
      <c r="D18233" s="140"/>
      <c r="E18233" s="140"/>
    </row>
    <row r="18234" spans="1:5">
      <c r="A18234" s="140"/>
      <c r="B18234" s="192"/>
      <c r="C18234" s="140"/>
      <c r="D18234" s="140"/>
      <c r="E18234" s="140"/>
    </row>
    <row r="18235" spans="1:5">
      <c r="A18235" s="140"/>
      <c r="B18235" s="192"/>
      <c r="C18235" s="140"/>
      <c r="D18235" s="140"/>
      <c r="E18235" s="140"/>
    </row>
    <row r="18236" spans="1:5">
      <c r="A18236" s="140"/>
      <c r="B18236" s="192"/>
      <c r="C18236" s="140"/>
      <c r="D18236" s="140"/>
      <c r="E18236" s="140"/>
    </row>
    <row r="18237" spans="1:5">
      <c r="A18237" s="140"/>
      <c r="B18237" s="192"/>
      <c r="C18237" s="140"/>
      <c r="D18237" s="140"/>
      <c r="E18237" s="140"/>
    </row>
    <row r="18238" spans="1:5">
      <c r="A18238" s="140"/>
      <c r="B18238" s="192"/>
      <c r="C18238" s="140"/>
      <c r="D18238" s="140"/>
      <c r="E18238" s="140"/>
    </row>
    <row r="18239" spans="1:5">
      <c r="A18239" s="140"/>
      <c r="B18239" s="192"/>
      <c r="C18239" s="140"/>
      <c r="D18239" s="140"/>
      <c r="E18239" s="140"/>
    </row>
    <row r="18240" spans="1:5">
      <c r="A18240" s="140"/>
      <c r="B18240" s="192"/>
      <c r="C18240" s="140"/>
      <c r="D18240" s="140"/>
      <c r="E18240" s="140"/>
    </row>
    <row r="18241" spans="1:5">
      <c r="A18241" s="140"/>
      <c r="B18241" s="192"/>
      <c r="C18241" s="140"/>
      <c r="D18241" s="140"/>
      <c r="E18241" s="140"/>
    </row>
    <row r="18242" spans="1:5">
      <c r="A18242" s="140"/>
      <c r="B18242" s="192"/>
      <c r="C18242" s="140"/>
      <c r="D18242" s="140"/>
      <c r="E18242" s="140"/>
    </row>
    <row r="18243" spans="1:5">
      <c r="A18243" s="140"/>
      <c r="B18243" s="192"/>
      <c r="C18243" s="140"/>
      <c r="D18243" s="140"/>
      <c r="E18243" s="140"/>
    </row>
    <row r="18244" spans="1:5">
      <c r="A18244" s="140"/>
      <c r="B18244" s="192"/>
      <c r="C18244" s="140"/>
      <c r="D18244" s="140"/>
      <c r="E18244" s="140"/>
    </row>
    <row r="18245" spans="1:5">
      <c r="A18245" s="140"/>
      <c r="B18245" s="192"/>
      <c r="C18245" s="140"/>
      <c r="D18245" s="140"/>
      <c r="E18245" s="140"/>
    </row>
    <row r="18246" spans="1:5">
      <c r="A18246" s="140"/>
      <c r="B18246" s="192"/>
      <c r="C18246" s="140"/>
      <c r="D18246" s="140"/>
      <c r="E18246" s="140"/>
    </row>
    <row r="18247" spans="1:5">
      <c r="A18247" s="140"/>
      <c r="B18247" s="192"/>
      <c r="C18247" s="140"/>
      <c r="D18247" s="140"/>
      <c r="E18247" s="140"/>
    </row>
    <row r="18248" spans="1:5">
      <c r="A18248" s="140"/>
      <c r="B18248" s="192"/>
      <c r="C18248" s="140"/>
      <c r="D18248" s="140"/>
      <c r="E18248" s="140"/>
    </row>
    <row r="18249" spans="1:5">
      <c r="A18249" s="140"/>
      <c r="B18249" s="192"/>
      <c r="C18249" s="140"/>
      <c r="D18249" s="140"/>
      <c r="E18249" s="140"/>
    </row>
    <row r="18250" spans="1:5">
      <c r="A18250" s="140"/>
      <c r="B18250" s="192"/>
      <c r="C18250" s="140"/>
      <c r="D18250" s="140"/>
      <c r="E18250" s="140"/>
    </row>
    <row r="18251" spans="1:5">
      <c r="A18251" s="140"/>
      <c r="B18251" s="192"/>
      <c r="C18251" s="140"/>
      <c r="D18251" s="140"/>
      <c r="E18251" s="140"/>
    </row>
    <row r="18252" spans="1:5">
      <c r="A18252" s="140"/>
      <c r="B18252" s="192"/>
      <c r="C18252" s="140"/>
      <c r="D18252" s="140"/>
      <c r="E18252" s="140"/>
    </row>
    <row r="18253" spans="1:5">
      <c r="A18253" s="140"/>
      <c r="B18253" s="192"/>
      <c r="C18253" s="140"/>
      <c r="D18253" s="140"/>
      <c r="E18253" s="140"/>
    </row>
    <row r="18254" spans="1:5">
      <c r="A18254" s="140"/>
      <c r="B18254" s="192"/>
      <c r="C18254" s="140"/>
      <c r="D18254" s="140"/>
      <c r="E18254" s="140"/>
    </row>
    <row r="18255" spans="1:5">
      <c r="A18255" s="140"/>
      <c r="B18255" s="192"/>
      <c r="C18255" s="140"/>
      <c r="D18255" s="140"/>
      <c r="E18255" s="140"/>
    </row>
    <row r="18256" spans="1:5">
      <c r="A18256" s="140"/>
      <c r="B18256" s="192"/>
      <c r="C18256" s="140"/>
      <c r="D18256" s="140"/>
      <c r="E18256" s="140"/>
    </row>
    <row r="18257" spans="1:5">
      <c r="A18257" s="140"/>
      <c r="B18257" s="192"/>
      <c r="C18257" s="140"/>
      <c r="D18257" s="140"/>
      <c r="E18257" s="140"/>
    </row>
    <row r="18258" spans="1:5">
      <c r="A18258" s="140"/>
      <c r="B18258" s="192"/>
      <c r="C18258" s="140"/>
      <c r="D18258" s="140"/>
      <c r="E18258" s="140"/>
    </row>
    <row r="18259" spans="1:5">
      <c r="A18259" s="140"/>
      <c r="B18259" s="192"/>
      <c r="C18259" s="140"/>
      <c r="D18259" s="140"/>
      <c r="E18259" s="140"/>
    </row>
    <row r="18260" spans="1:5">
      <c r="A18260" s="140"/>
      <c r="B18260" s="192"/>
      <c r="C18260" s="140"/>
      <c r="D18260" s="140"/>
      <c r="E18260" s="140"/>
    </row>
    <row r="18261" spans="1:5">
      <c r="A18261" s="140"/>
      <c r="B18261" s="192"/>
      <c r="C18261" s="140"/>
      <c r="D18261" s="140"/>
      <c r="E18261" s="140"/>
    </row>
    <row r="18262" spans="1:5">
      <c r="A18262" s="140"/>
      <c r="B18262" s="192"/>
      <c r="C18262" s="140"/>
      <c r="D18262" s="140"/>
      <c r="E18262" s="140"/>
    </row>
    <row r="18263" spans="1:5">
      <c r="A18263" s="140"/>
      <c r="B18263" s="192"/>
      <c r="C18263" s="140"/>
      <c r="D18263" s="140"/>
      <c r="E18263" s="140"/>
    </row>
    <row r="18264" spans="1:5">
      <c r="A18264" s="140"/>
      <c r="B18264" s="192"/>
      <c r="C18264" s="140"/>
      <c r="D18264" s="140"/>
      <c r="E18264" s="140"/>
    </row>
    <row r="18265" spans="1:5">
      <c r="A18265" s="140"/>
      <c r="B18265" s="192"/>
      <c r="C18265" s="140"/>
      <c r="D18265" s="140"/>
      <c r="E18265" s="140"/>
    </row>
    <row r="18266" spans="1:5">
      <c r="A18266" s="140"/>
      <c r="B18266" s="192"/>
      <c r="C18266" s="140"/>
      <c r="D18266" s="140"/>
      <c r="E18266" s="140"/>
    </row>
    <row r="18267" spans="1:5">
      <c r="A18267" s="140"/>
      <c r="B18267" s="192"/>
      <c r="C18267" s="140"/>
      <c r="D18267" s="140"/>
      <c r="E18267" s="140"/>
    </row>
    <row r="18268" spans="1:5">
      <c r="A18268" s="140"/>
      <c r="B18268" s="192"/>
      <c r="C18268" s="140"/>
      <c r="D18268" s="140"/>
      <c r="E18268" s="140"/>
    </row>
    <row r="18269" spans="1:5">
      <c r="A18269" s="140"/>
      <c r="B18269" s="192"/>
      <c r="C18269" s="140"/>
      <c r="D18269" s="140"/>
      <c r="E18269" s="140"/>
    </row>
    <row r="18270" spans="1:5">
      <c r="A18270" s="140"/>
      <c r="B18270" s="192"/>
      <c r="C18270" s="140"/>
      <c r="D18270" s="140"/>
      <c r="E18270" s="140"/>
    </row>
    <row r="18271" spans="1:5">
      <c r="A18271" s="140"/>
      <c r="B18271" s="192"/>
      <c r="C18271" s="140"/>
      <c r="D18271" s="140"/>
      <c r="E18271" s="140"/>
    </row>
    <row r="18272" spans="1:5">
      <c r="A18272" s="140"/>
      <c r="B18272" s="192"/>
      <c r="C18272" s="140"/>
      <c r="D18272" s="140"/>
      <c r="E18272" s="140"/>
    </row>
    <row r="18273" spans="1:5">
      <c r="A18273" s="140"/>
      <c r="B18273" s="192"/>
      <c r="C18273" s="140"/>
      <c r="D18273" s="140"/>
      <c r="E18273" s="140"/>
    </row>
    <row r="18274" spans="1:5">
      <c r="A18274" s="140"/>
      <c r="B18274" s="192"/>
      <c r="C18274" s="140"/>
      <c r="D18274" s="140"/>
      <c r="E18274" s="140"/>
    </row>
    <row r="18275" spans="1:5">
      <c r="A18275" s="140"/>
      <c r="B18275" s="192"/>
      <c r="C18275" s="140"/>
      <c r="D18275" s="140"/>
      <c r="E18275" s="140"/>
    </row>
    <row r="18276" spans="1:5">
      <c r="A18276" s="140"/>
      <c r="B18276" s="192"/>
      <c r="C18276" s="140"/>
      <c r="D18276" s="140"/>
      <c r="E18276" s="140"/>
    </row>
    <row r="18277" spans="1:5">
      <c r="A18277" s="140"/>
      <c r="B18277" s="192"/>
      <c r="C18277" s="140"/>
      <c r="D18277" s="140"/>
      <c r="E18277" s="140"/>
    </row>
    <row r="18278" spans="1:5">
      <c r="A18278" s="140"/>
      <c r="B18278" s="192"/>
      <c r="C18278" s="140"/>
      <c r="D18278" s="140"/>
      <c r="E18278" s="140"/>
    </row>
    <row r="18279" spans="1:5">
      <c r="A18279" s="140"/>
      <c r="B18279" s="192"/>
      <c r="C18279" s="140"/>
      <c r="D18279" s="140"/>
      <c r="E18279" s="140"/>
    </row>
    <row r="18280" spans="1:5">
      <c r="A18280" s="140"/>
      <c r="B18280" s="192"/>
      <c r="C18280" s="140"/>
      <c r="D18280" s="140"/>
      <c r="E18280" s="140"/>
    </row>
    <row r="18281" spans="1:5">
      <c r="A18281" s="140"/>
      <c r="B18281" s="192"/>
      <c r="C18281" s="140"/>
      <c r="D18281" s="140"/>
      <c r="E18281" s="140"/>
    </row>
    <row r="18282" spans="1:5">
      <c r="A18282" s="140"/>
      <c r="B18282" s="192"/>
      <c r="C18282" s="140"/>
      <c r="D18282" s="140"/>
      <c r="E18282" s="140"/>
    </row>
    <row r="18283" spans="1:5">
      <c r="A18283" s="140"/>
      <c r="B18283" s="192"/>
      <c r="C18283" s="140"/>
      <c r="D18283" s="140"/>
      <c r="E18283" s="140"/>
    </row>
    <row r="18284" spans="1:5">
      <c r="A18284" s="140"/>
      <c r="B18284" s="192"/>
      <c r="C18284" s="140"/>
      <c r="D18284" s="140"/>
      <c r="E18284" s="140"/>
    </row>
    <row r="18285" spans="1:5">
      <c r="A18285" s="140"/>
      <c r="B18285" s="192"/>
      <c r="C18285" s="140"/>
      <c r="D18285" s="140"/>
      <c r="E18285" s="140"/>
    </row>
    <row r="18286" spans="1:5">
      <c r="A18286" s="140"/>
      <c r="B18286" s="192"/>
      <c r="C18286" s="140"/>
      <c r="D18286" s="140"/>
      <c r="E18286" s="140"/>
    </row>
    <row r="18287" spans="1:5">
      <c r="A18287" s="140"/>
      <c r="B18287" s="192"/>
      <c r="C18287" s="140"/>
      <c r="D18287" s="140"/>
      <c r="E18287" s="140"/>
    </row>
    <row r="18288" spans="1:5">
      <c r="A18288" s="140"/>
      <c r="B18288" s="192"/>
      <c r="C18288" s="140"/>
      <c r="D18288" s="140"/>
      <c r="E18288" s="140"/>
    </row>
    <row r="18289" spans="1:5">
      <c r="A18289" s="140"/>
      <c r="B18289" s="192"/>
      <c r="C18289" s="140"/>
      <c r="D18289" s="140"/>
      <c r="E18289" s="140"/>
    </row>
    <row r="18290" spans="1:5">
      <c r="A18290" s="140"/>
      <c r="B18290" s="192"/>
      <c r="C18290" s="140"/>
      <c r="D18290" s="140"/>
      <c r="E18290" s="140"/>
    </row>
    <row r="18291" spans="1:5">
      <c r="A18291" s="140"/>
      <c r="B18291" s="192"/>
      <c r="C18291" s="140"/>
      <c r="D18291" s="140"/>
      <c r="E18291" s="140"/>
    </row>
    <row r="18292" spans="1:5">
      <c r="A18292" s="140"/>
      <c r="B18292" s="192"/>
      <c r="C18292" s="140"/>
      <c r="D18292" s="140"/>
      <c r="E18292" s="140"/>
    </row>
    <row r="18293" spans="1:5">
      <c r="A18293" s="140"/>
      <c r="B18293" s="192"/>
      <c r="C18293" s="140"/>
      <c r="D18293" s="140"/>
      <c r="E18293" s="140"/>
    </row>
    <row r="18294" spans="1:5">
      <c r="A18294" s="140"/>
      <c r="B18294" s="192"/>
      <c r="C18294" s="140"/>
      <c r="D18294" s="140"/>
      <c r="E18294" s="140"/>
    </row>
    <row r="18295" spans="1:5">
      <c r="A18295" s="140"/>
      <c r="B18295" s="192"/>
      <c r="C18295" s="140"/>
      <c r="D18295" s="140"/>
      <c r="E18295" s="140"/>
    </row>
    <row r="18296" spans="1:5">
      <c r="A18296" s="140"/>
      <c r="B18296" s="192"/>
      <c r="C18296" s="140"/>
      <c r="D18296" s="140"/>
      <c r="E18296" s="140"/>
    </row>
    <row r="18297" spans="1:5">
      <c r="A18297" s="140"/>
      <c r="B18297" s="192"/>
      <c r="C18297" s="140"/>
      <c r="D18297" s="140"/>
      <c r="E18297" s="140"/>
    </row>
    <row r="18298" spans="1:5">
      <c r="A18298" s="140"/>
      <c r="B18298" s="192"/>
      <c r="C18298" s="140"/>
      <c r="D18298" s="140"/>
      <c r="E18298" s="140"/>
    </row>
    <row r="18299" spans="1:5">
      <c r="A18299" s="140"/>
      <c r="B18299" s="192"/>
      <c r="C18299" s="140"/>
      <c r="D18299" s="140"/>
      <c r="E18299" s="140"/>
    </row>
    <row r="18300" spans="1:5">
      <c r="A18300" s="140"/>
      <c r="B18300" s="192"/>
      <c r="C18300" s="140"/>
      <c r="D18300" s="140"/>
      <c r="E18300" s="140"/>
    </row>
    <row r="18301" spans="1:5">
      <c r="A18301" s="140"/>
      <c r="B18301" s="192"/>
      <c r="C18301" s="140"/>
      <c r="D18301" s="140"/>
      <c r="E18301" s="140"/>
    </row>
    <row r="18302" spans="1:5">
      <c r="A18302" s="140"/>
      <c r="B18302" s="192"/>
      <c r="C18302" s="140"/>
      <c r="D18302" s="140"/>
      <c r="E18302" s="140"/>
    </row>
    <row r="18303" spans="1:5">
      <c r="A18303" s="140"/>
      <c r="B18303" s="192"/>
      <c r="C18303" s="140"/>
      <c r="D18303" s="140"/>
      <c r="E18303" s="140"/>
    </row>
    <row r="18304" spans="1:5">
      <c r="A18304" s="140"/>
      <c r="B18304" s="192"/>
      <c r="C18304" s="140"/>
      <c r="D18304" s="140"/>
      <c r="E18304" s="140"/>
    </row>
    <row r="18305" spans="1:5">
      <c r="A18305" s="140"/>
      <c r="B18305" s="192"/>
      <c r="C18305" s="140"/>
      <c r="D18305" s="140"/>
      <c r="E18305" s="140"/>
    </row>
    <row r="18306" spans="1:5">
      <c r="A18306" s="140"/>
      <c r="B18306" s="192"/>
      <c r="C18306" s="140"/>
      <c r="D18306" s="140"/>
      <c r="E18306" s="140"/>
    </row>
    <row r="18307" spans="1:5">
      <c r="A18307" s="140"/>
      <c r="B18307" s="192"/>
      <c r="C18307" s="140"/>
      <c r="D18307" s="140"/>
      <c r="E18307" s="140"/>
    </row>
    <row r="18308" spans="1:5">
      <c r="A18308" s="140"/>
      <c r="B18308" s="192"/>
      <c r="C18308" s="140"/>
      <c r="D18308" s="140"/>
      <c r="E18308" s="140"/>
    </row>
    <row r="18309" spans="1:5">
      <c r="A18309" s="140"/>
      <c r="B18309" s="192"/>
      <c r="C18309" s="140"/>
      <c r="D18309" s="140"/>
      <c r="E18309" s="140"/>
    </row>
    <row r="18310" spans="1:5">
      <c r="A18310" s="140"/>
      <c r="B18310" s="192"/>
      <c r="C18310" s="140"/>
      <c r="D18310" s="140"/>
      <c r="E18310" s="140"/>
    </row>
    <row r="18311" spans="1:5">
      <c r="A18311" s="140"/>
      <c r="B18311" s="192"/>
      <c r="C18311" s="140"/>
      <c r="D18311" s="140"/>
      <c r="E18311" s="140"/>
    </row>
    <row r="18312" spans="1:5">
      <c r="A18312" s="140"/>
      <c r="B18312" s="192"/>
      <c r="C18312" s="140"/>
      <c r="D18312" s="140"/>
      <c r="E18312" s="140"/>
    </row>
    <row r="18313" spans="1:5">
      <c r="A18313" s="140"/>
      <c r="B18313" s="192"/>
      <c r="C18313" s="140"/>
      <c r="D18313" s="140"/>
      <c r="E18313" s="140"/>
    </row>
    <row r="18314" spans="1:5">
      <c r="A18314" s="140"/>
      <c r="B18314" s="192"/>
      <c r="C18314" s="140"/>
      <c r="D18314" s="140"/>
      <c r="E18314" s="140"/>
    </row>
    <row r="18315" spans="1:5">
      <c r="A18315" s="140"/>
      <c r="B18315" s="192"/>
      <c r="C18315" s="140"/>
      <c r="D18315" s="140"/>
      <c r="E18315" s="140"/>
    </row>
    <row r="18316" spans="1:5">
      <c r="A18316" s="140"/>
      <c r="B18316" s="192"/>
      <c r="C18316" s="140"/>
      <c r="D18316" s="140"/>
      <c r="E18316" s="140"/>
    </row>
    <row r="18317" spans="1:5">
      <c r="A18317" s="140"/>
      <c r="B18317" s="192"/>
      <c r="C18317" s="140"/>
      <c r="D18317" s="140"/>
      <c r="E18317" s="140"/>
    </row>
    <row r="18318" spans="1:5">
      <c r="A18318" s="140"/>
      <c r="B18318" s="192"/>
      <c r="C18318" s="140"/>
      <c r="D18318" s="140"/>
      <c r="E18318" s="140"/>
    </row>
    <row r="18319" spans="1:5">
      <c r="A18319" s="140"/>
      <c r="B18319" s="192"/>
      <c r="C18319" s="140"/>
      <c r="D18319" s="140"/>
      <c r="E18319" s="140"/>
    </row>
    <row r="18320" spans="1:5">
      <c r="A18320" s="140"/>
      <c r="B18320" s="192"/>
      <c r="C18320" s="140"/>
      <c r="D18320" s="140"/>
      <c r="E18320" s="140"/>
    </row>
    <row r="18321" spans="1:5">
      <c r="A18321" s="140"/>
      <c r="B18321" s="192"/>
      <c r="C18321" s="140"/>
      <c r="D18321" s="140"/>
      <c r="E18321" s="140"/>
    </row>
    <row r="18322" spans="1:5">
      <c r="A18322" s="140"/>
      <c r="B18322" s="192"/>
      <c r="C18322" s="140"/>
      <c r="D18322" s="140"/>
      <c r="E18322" s="140"/>
    </row>
    <row r="18323" spans="1:5">
      <c r="A18323" s="140"/>
      <c r="B18323" s="192"/>
      <c r="C18323" s="140"/>
      <c r="D18323" s="140"/>
      <c r="E18323" s="140"/>
    </row>
    <row r="18324" spans="1:5">
      <c r="A18324" s="140"/>
      <c r="B18324" s="192"/>
      <c r="C18324" s="140"/>
      <c r="D18324" s="140"/>
      <c r="E18324" s="140"/>
    </row>
    <row r="18325" spans="1:5">
      <c r="A18325" s="140"/>
      <c r="B18325" s="192"/>
      <c r="C18325" s="140"/>
      <c r="D18325" s="140"/>
      <c r="E18325" s="140"/>
    </row>
    <row r="18326" spans="1:5">
      <c r="A18326" s="140"/>
      <c r="B18326" s="192"/>
      <c r="C18326" s="140"/>
      <c r="D18326" s="140"/>
      <c r="E18326" s="140"/>
    </row>
    <row r="18327" spans="1:5">
      <c r="A18327" s="140"/>
      <c r="B18327" s="192"/>
      <c r="C18327" s="140"/>
      <c r="D18327" s="140"/>
      <c r="E18327" s="140"/>
    </row>
    <row r="18328" spans="1:5">
      <c r="A18328" s="140"/>
      <c r="B18328" s="192"/>
      <c r="C18328" s="140"/>
      <c r="D18328" s="140"/>
      <c r="E18328" s="140"/>
    </row>
    <row r="18329" spans="1:5">
      <c r="A18329" s="140"/>
      <c r="B18329" s="192"/>
      <c r="C18329" s="140"/>
      <c r="D18329" s="140"/>
      <c r="E18329" s="140"/>
    </row>
    <row r="18330" spans="1:5">
      <c r="A18330" s="140"/>
      <c r="B18330" s="192"/>
      <c r="C18330" s="140"/>
      <c r="D18330" s="140"/>
      <c r="E18330" s="140"/>
    </row>
    <row r="18331" spans="1:5">
      <c r="A18331" s="140"/>
      <c r="B18331" s="192"/>
      <c r="C18331" s="140"/>
      <c r="D18331" s="140"/>
      <c r="E18331" s="140"/>
    </row>
    <row r="18332" spans="1:5">
      <c r="A18332" s="140"/>
      <c r="B18332" s="192"/>
      <c r="C18332" s="140"/>
      <c r="D18332" s="140"/>
      <c r="E18332" s="140"/>
    </row>
    <row r="18333" spans="1:5">
      <c r="A18333" s="140"/>
      <c r="B18333" s="192"/>
      <c r="C18333" s="140"/>
      <c r="D18333" s="140"/>
      <c r="E18333" s="140"/>
    </row>
    <row r="18334" spans="1:5">
      <c r="A18334" s="140"/>
      <c r="B18334" s="192"/>
      <c r="C18334" s="140"/>
      <c r="D18334" s="140"/>
      <c r="E18334" s="140"/>
    </row>
    <row r="18335" spans="1:5">
      <c r="A18335" s="140"/>
      <c r="B18335" s="192"/>
      <c r="C18335" s="140"/>
      <c r="D18335" s="140"/>
      <c r="E18335" s="140"/>
    </row>
    <row r="18336" spans="1:5">
      <c r="A18336" s="140"/>
      <c r="B18336" s="192"/>
      <c r="C18336" s="140"/>
      <c r="D18336" s="140"/>
      <c r="E18336" s="140"/>
    </row>
    <row r="18337" spans="1:5">
      <c r="A18337" s="140"/>
      <c r="B18337" s="192"/>
      <c r="C18337" s="140"/>
      <c r="D18337" s="140"/>
      <c r="E18337" s="140"/>
    </row>
    <row r="18338" spans="1:5">
      <c r="A18338" s="140"/>
      <c r="B18338" s="192"/>
      <c r="C18338" s="140"/>
      <c r="D18338" s="140"/>
      <c r="E18338" s="140"/>
    </row>
    <row r="18339" spans="1:5">
      <c r="A18339" s="140"/>
      <c r="B18339" s="192"/>
      <c r="C18339" s="140"/>
      <c r="D18339" s="140"/>
      <c r="E18339" s="140"/>
    </row>
    <row r="18340" spans="1:5">
      <c r="A18340" s="140"/>
      <c r="B18340" s="192"/>
      <c r="C18340" s="140"/>
      <c r="D18340" s="140"/>
      <c r="E18340" s="140"/>
    </row>
    <row r="18341" spans="1:5">
      <c r="A18341" s="140"/>
      <c r="B18341" s="192"/>
      <c r="C18341" s="140"/>
      <c r="D18341" s="140"/>
      <c r="E18341" s="140"/>
    </row>
    <row r="18342" spans="1:5">
      <c r="A18342" s="140"/>
      <c r="B18342" s="192"/>
      <c r="C18342" s="140"/>
      <c r="D18342" s="140"/>
      <c r="E18342" s="140"/>
    </row>
    <row r="18343" spans="1:5">
      <c r="A18343" s="140"/>
      <c r="B18343" s="192"/>
      <c r="C18343" s="140"/>
      <c r="D18343" s="140"/>
      <c r="E18343" s="140"/>
    </row>
    <row r="18344" spans="1:5">
      <c r="A18344" s="140"/>
      <c r="B18344" s="192"/>
      <c r="C18344" s="140"/>
      <c r="D18344" s="140"/>
      <c r="E18344" s="140"/>
    </row>
    <row r="18345" spans="1:5">
      <c r="A18345" s="140"/>
      <c r="B18345" s="192"/>
      <c r="C18345" s="140"/>
      <c r="D18345" s="140"/>
      <c r="E18345" s="140"/>
    </row>
    <row r="18346" spans="1:5">
      <c r="A18346" s="140"/>
      <c r="B18346" s="192"/>
      <c r="C18346" s="140"/>
      <c r="D18346" s="140"/>
      <c r="E18346" s="140"/>
    </row>
    <row r="18347" spans="1:5">
      <c r="A18347" s="140"/>
      <c r="B18347" s="192"/>
      <c r="C18347" s="140"/>
      <c r="D18347" s="140"/>
      <c r="E18347" s="140"/>
    </row>
    <row r="18348" spans="1:5">
      <c r="A18348" s="140"/>
      <c r="B18348" s="192"/>
      <c r="C18348" s="140"/>
      <c r="D18348" s="140"/>
      <c r="E18348" s="140"/>
    </row>
    <row r="18349" spans="1:5">
      <c r="A18349" s="140"/>
      <c r="B18349" s="192"/>
      <c r="C18349" s="140"/>
      <c r="D18349" s="140"/>
      <c r="E18349" s="140"/>
    </row>
    <row r="18350" spans="1:5">
      <c r="A18350" s="140"/>
      <c r="B18350" s="192"/>
      <c r="C18350" s="140"/>
      <c r="D18350" s="140"/>
      <c r="E18350" s="140"/>
    </row>
    <row r="18351" spans="1:5">
      <c r="A18351" s="140"/>
      <c r="B18351" s="192"/>
      <c r="C18351" s="140"/>
      <c r="D18351" s="140"/>
      <c r="E18351" s="140"/>
    </row>
    <row r="18352" spans="1:5">
      <c r="A18352" s="140"/>
      <c r="B18352" s="192"/>
      <c r="C18352" s="140"/>
      <c r="D18352" s="140"/>
      <c r="E18352" s="140"/>
    </row>
    <row r="18353" spans="1:5">
      <c r="A18353" s="140"/>
      <c r="B18353" s="192"/>
      <c r="C18353" s="140"/>
      <c r="D18353" s="140"/>
      <c r="E18353" s="140"/>
    </row>
    <row r="18354" spans="1:5">
      <c r="A18354" s="140"/>
      <c r="B18354" s="192"/>
      <c r="C18354" s="140"/>
      <c r="D18354" s="140"/>
      <c r="E18354" s="140"/>
    </row>
    <row r="18355" spans="1:5">
      <c r="A18355" s="140"/>
      <c r="B18355" s="192"/>
      <c r="C18355" s="140"/>
      <c r="D18355" s="140"/>
      <c r="E18355" s="140"/>
    </row>
    <row r="18356" spans="1:5">
      <c r="A18356" s="140"/>
      <c r="B18356" s="192"/>
      <c r="C18356" s="140"/>
      <c r="D18356" s="140"/>
      <c r="E18356" s="140"/>
    </row>
    <row r="18357" spans="1:5">
      <c r="A18357" s="140"/>
      <c r="B18357" s="192"/>
      <c r="C18357" s="140"/>
      <c r="D18357" s="140"/>
      <c r="E18357" s="140"/>
    </row>
    <row r="18358" spans="1:5">
      <c r="A18358" s="140"/>
      <c r="B18358" s="192"/>
      <c r="C18358" s="140"/>
      <c r="D18358" s="140"/>
      <c r="E18358" s="140"/>
    </row>
    <row r="18359" spans="1:5">
      <c r="A18359" s="140"/>
      <c r="B18359" s="192"/>
      <c r="C18359" s="140"/>
      <c r="D18359" s="140"/>
      <c r="E18359" s="140"/>
    </row>
    <row r="18360" spans="1:5">
      <c r="A18360" s="140"/>
      <c r="B18360" s="192"/>
      <c r="C18360" s="140"/>
      <c r="D18360" s="140"/>
      <c r="E18360" s="140"/>
    </row>
    <row r="18361" spans="1:5">
      <c r="A18361" s="140"/>
      <c r="B18361" s="192"/>
      <c r="C18361" s="140"/>
      <c r="D18361" s="140"/>
      <c r="E18361" s="140"/>
    </row>
    <row r="18362" spans="1:5">
      <c r="A18362" s="140"/>
      <c r="B18362" s="192"/>
      <c r="C18362" s="140"/>
      <c r="D18362" s="140"/>
      <c r="E18362" s="140"/>
    </row>
    <row r="18363" spans="1:5">
      <c r="A18363" s="140"/>
      <c r="B18363" s="192"/>
      <c r="C18363" s="140"/>
      <c r="D18363" s="140"/>
      <c r="E18363" s="140"/>
    </row>
    <row r="18364" spans="1:5">
      <c r="A18364" s="140"/>
      <c r="B18364" s="192"/>
      <c r="C18364" s="140"/>
      <c r="D18364" s="140"/>
      <c r="E18364" s="140"/>
    </row>
    <row r="18365" spans="1:5">
      <c r="A18365" s="140"/>
      <c r="B18365" s="192"/>
      <c r="C18365" s="140"/>
      <c r="D18365" s="140"/>
      <c r="E18365" s="140"/>
    </row>
    <row r="18366" spans="1:5">
      <c r="A18366" s="140"/>
      <c r="B18366" s="192"/>
      <c r="C18366" s="140"/>
      <c r="D18366" s="140"/>
      <c r="E18366" s="140"/>
    </row>
    <row r="18367" spans="1:5">
      <c r="A18367" s="140"/>
      <c r="B18367" s="192"/>
      <c r="C18367" s="140"/>
      <c r="D18367" s="140"/>
      <c r="E18367" s="140"/>
    </row>
    <row r="18368" spans="1:5">
      <c r="A18368" s="140"/>
      <c r="B18368" s="192"/>
      <c r="C18368" s="140"/>
      <c r="D18368" s="140"/>
      <c r="E18368" s="140"/>
    </row>
    <row r="18369" spans="1:5">
      <c r="A18369" s="140"/>
      <c r="B18369" s="192"/>
      <c r="C18369" s="140"/>
      <c r="D18369" s="140"/>
      <c r="E18369" s="140"/>
    </row>
    <row r="18370" spans="1:5">
      <c r="A18370" s="140"/>
      <c r="B18370" s="192"/>
      <c r="C18370" s="140"/>
      <c r="D18370" s="140"/>
      <c r="E18370" s="140"/>
    </row>
    <row r="18371" spans="1:5">
      <c r="A18371" s="140"/>
      <c r="B18371" s="192"/>
      <c r="C18371" s="140"/>
      <c r="D18371" s="140"/>
      <c r="E18371" s="140"/>
    </row>
    <row r="18372" spans="1:5">
      <c r="A18372" s="140"/>
      <c r="B18372" s="192"/>
      <c r="C18372" s="140"/>
      <c r="D18372" s="140"/>
      <c r="E18372" s="140"/>
    </row>
    <row r="18373" spans="1:5">
      <c r="A18373" s="140"/>
      <c r="B18373" s="192"/>
      <c r="C18373" s="140"/>
      <c r="D18373" s="140"/>
      <c r="E18373" s="140"/>
    </row>
    <row r="18374" spans="1:5">
      <c r="A18374" s="140"/>
      <c r="B18374" s="192"/>
      <c r="C18374" s="140"/>
      <c r="D18374" s="140"/>
      <c r="E18374" s="140"/>
    </row>
    <row r="18375" spans="1:5">
      <c r="A18375" s="140"/>
      <c r="B18375" s="192"/>
      <c r="C18375" s="140"/>
      <c r="D18375" s="140"/>
      <c r="E18375" s="140"/>
    </row>
    <row r="18376" spans="1:5">
      <c r="A18376" s="140"/>
      <c r="B18376" s="192"/>
      <c r="C18376" s="140"/>
      <c r="D18376" s="140"/>
      <c r="E18376" s="140"/>
    </row>
    <row r="18377" spans="1:5">
      <c r="A18377" s="140"/>
      <c r="B18377" s="192"/>
      <c r="C18377" s="140"/>
      <c r="D18377" s="140"/>
      <c r="E18377" s="140"/>
    </row>
    <row r="18378" spans="1:5">
      <c r="A18378" s="140"/>
      <c r="B18378" s="192"/>
      <c r="C18378" s="140"/>
      <c r="D18378" s="140"/>
      <c r="E18378" s="140"/>
    </row>
    <row r="18379" spans="1:5">
      <c r="A18379" s="140"/>
      <c r="B18379" s="192"/>
      <c r="C18379" s="140"/>
      <c r="D18379" s="140"/>
      <c r="E18379" s="140"/>
    </row>
    <row r="18380" spans="1:5">
      <c r="A18380" s="140"/>
      <c r="B18380" s="192"/>
      <c r="C18380" s="140"/>
      <c r="D18380" s="140"/>
      <c r="E18380" s="140"/>
    </row>
    <row r="18381" spans="1:5">
      <c r="A18381" s="140"/>
      <c r="B18381" s="192"/>
      <c r="C18381" s="140"/>
      <c r="D18381" s="140"/>
      <c r="E18381" s="140"/>
    </row>
    <row r="18382" spans="1:5">
      <c r="A18382" s="140"/>
      <c r="B18382" s="192"/>
      <c r="C18382" s="140"/>
      <c r="D18382" s="140"/>
      <c r="E18382" s="140"/>
    </row>
    <row r="18383" spans="1:5">
      <c r="A18383" s="140"/>
      <c r="B18383" s="192"/>
      <c r="C18383" s="140"/>
      <c r="D18383" s="140"/>
      <c r="E18383" s="140"/>
    </row>
    <row r="18384" spans="1:5">
      <c r="A18384" s="140"/>
      <c r="B18384" s="192"/>
      <c r="C18384" s="140"/>
      <c r="D18384" s="140"/>
      <c r="E18384" s="140"/>
    </row>
    <row r="18385" spans="1:5">
      <c r="A18385" s="140"/>
      <c r="B18385" s="192"/>
      <c r="C18385" s="140"/>
      <c r="D18385" s="140"/>
      <c r="E18385" s="140"/>
    </row>
    <row r="18386" spans="1:5">
      <c r="A18386" s="140"/>
      <c r="B18386" s="192"/>
      <c r="C18386" s="140"/>
      <c r="D18386" s="140"/>
      <c r="E18386" s="140"/>
    </row>
    <row r="18387" spans="1:5">
      <c r="A18387" s="140"/>
      <c r="B18387" s="192"/>
      <c r="C18387" s="140"/>
      <c r="D18387" s="140"/>
      <c r="E18387" s="140"/>
    </row>
    <row r="18388" spans="1:5">
      <c r="A18388" s="140"/>
      <c r="B18388" s="192"/>
      <c r="C18388" s="140"/>
      <c r="D18388" s="140"/>
      <c r="E18388" s="140"/>
    </row>
    <row r="18389" spans="1:5">
      <c r="A18389" s="140"/>
      <c r="B18389" s="192"/>
      <c r="C18389" s="140"/>
      <c r="D18389" s="140"/>
      <c r="E18389" s="140"/>
    </row>
    <row r="18390" spans="1:5">
      <c r="A18390" s="140"/>
      <c r="B18390" s="192"/>
      <c r="C18390" s="140"/>
      <c r="D18390" s="140"/>
      <c r="E18390" s="140"/>
    </row>
    <row r="18391" spans="1:5">
      <c r="A18391" s="140"/>
      <c r="B18391" s="192"/>
      <c r="C18391" s="140"/>
      <c r="D18391" s="140"/>
      <c r="E18391" s="140"/>
    </row>
    <row r="18392" spans="1:5">
      <c r="A18392" s="140"/>
      <c r="B18392" s="192"/>
      <c r="C18392" s="140"/>
      <c r="D18392" s="140"/>
      <c r="E18392" s="140"/>
    </row>
    <row r="18393" spans="1:5">
      <c r="A18393" s="140"/>
      <c r="B18393" s="192"/>
      <c r="C18393" s="140"/>
      <c r="D18393" s="140"/>
      <c r="E18393" s="140"/>
    </row>
    <row r="18394" spans="1:5">
      <c r="A18394" s="140"/>
      <c r="B18394" s="192"/>
      <c r="C18394" s="140"/>
      <c r="D18394" s="140"/>
      <c r="E18394" s="140"/>
    </row>
    <row r="18395" spans="1:5">
      <c r="A18395" s="140"/>
      <c r="B18395" s="192"/>
      <c r="C18395" s="140"/>
      <c r="D18395" s="140"/>
      <c r="E18395" s="140"/>
    </row>
    <row r="18396" spans="1:5">
      <c r="A18396" s="140"/>
      <c r="B18396" s="192"/>
      <c r="C18396" s="140"/>
      <c r="D18396" s="140"/>
      <c r="E18396" s="140"/>
    </row>
    <row r="18397" spans="1:5">
      <c r="A18397" s="140"/>
      <c r="B18397" s="192"/>
      <c r="C18397" s="140"/>
      <c r="D18397" s="140"/>
      <c r="E18397" s="140"/>
    </row>
    <row r="18398" spans="1:5">
      <c r="A18398" s="140"/>
      <c r="B18398" s="192"/>
      <c r="C18398" s="140"/>
      <c r="D18398" s="140"/>
      <c r="E18398" s="140"/>
    </row>
    <row r="18399" spans="1:5">
      <c r="A18399" s="140"/>
      <c r="B18399" s="192"/>
      <c r="C18399" s="140"/>
      <c r="D18399" s="140"/>
      <c r="E18399" s="140"/>
    </row>
    <row r="18400" spans="1:5">
      <c r="A18400" s="140"/>
      <c r="B18400" s="192"/>
      <c r="C18400" s="140"/>
      <c r="D18400" s="140"/>
      <c r="E18400" s="140"/>
    </row>
    <row r="18401" spans="1:5">
      <c r="A18401" s="140"/>
      <c r="B18401" s="192"/>
      <c r="C18401" s="140"/>
      <c r="D18401" s="140"/>
      <c r="E18401" s="140"/>
    </row>
    <row r="18402" spans="1:5">
      <c r="A18402" s="140"/>
      <c r="B18402" s="192"/>
      <c r="C18402" s="140"/>
      <c r="D18402" s="140"/>
      <c r="E18402" s="140"/>
    </row>
    <row r="18403" spans="1:5">
      <c r="A18403" s="140"/>
      <c r="B18403" s="192"/>
      <c r="C18403" s="140"/>
      <c r="D18403" s="140"/>
      <c r="E18403" s="140"/>
    </row>
    <row r="18404" spans="1:5">
      <c r="A18404" s="140"/>
      <c r="B18404" s="192"/>
      <c r="C18404" s="140"/>
      <c r="D18404" s="140"/>
      <c r="E18404" s="140"/>
    </row>
    <row r="18405" spans="1:5">
      <c r="A18405" s="140"/>
      <c r="B18405" s="192"/>
      <c r="C18405" s="140"/>
      <c r="D18405" s="140"/>
      <c r="E18405" s="140"/>
    </row>
    <row r="18406" spans="1:5">
      <c r="A18406" s="140"/>
      <c r="B18406" s="192"/>
      <c r="C18406" s="140"/>
      <c r="D18406" s="140"/>
      <c r="E18406" s="140"/>
    </row>
    <row r="18407" spans="1:5">
      <c r="A18407" s="140"/>
      <c r="B18407" s="192"/>
      <c r="C18407" s="140"/>
      <c r="D18407" s="140"/>
      <c r="E18407" s="140"/>
    </row>
    <row r="18408" spans="1:5">
      <c r="A18408" s="140"/>
      <c r="B18408" s="192"/>
      <c r="C18408" s="140"/>
      <c r="D18408" s="140"/>
      <c r="E18408" s="140"/>
    </row>
    <row r="18409" spans="1:5">
      <c r="A18409" s="140"/>
      <c r="B18409" s="192"/>
      <c r="C18409" s="140"/>
      <c r="D18409" s="140"/>
      <c r="E18409" s="140"/>
    </row>
    <row r="18410" spans="1:5">
      <c r="A18410" s="140"/>
      <c r="B18410" s="192"/>
      <c r="C18410" s="140"/>
      <c r="D18410" s="140"/>
      <c r="E18410" s="140"/>
    </row>
    <row r="18411" spans="1:5">
      <c r="A18411" s="140"/>
      <c r="B18411" s="192"/>
      <c r="C18411" s="140"/>
      <c r="D18411" s="140"/>
      <c r="E18411" s="140"/>
    </row>
    <row r="18412" spans="1:5">
      <c r="A18412" s="140"/>
      <c r="B18412" s="192"/>
      <c r="C18412" s="140"/>
      <c r="D18412" s="140"/>
      <c r="E18412" s="140"/>
    </row>
    <row r="18413" spans="1:5">
      <c r="A18413" s="140"/>
      <c r="B18413" s="192"/>
      <c r="C18413" s="140"/>
      <c r="D18413" s="140"/>
      <c r="E18413" s="140"/>
    </row>
    <row r="18414" spans="1:5">
      <c r="A18414" s="140"/>
      <c r="B18414" s="192"/>
      <c r="C18414" s="140"/>
      <c r="D18414" s="140"/>
      <c r="E18414" s="140"/>
    </row>
    <row r="18415" spans="1:5">
      <c r="A18415" s="140"/>
      <c r="B18415" s="192"/>
      <c r="C18415" s="140"/>
      <c r="D18415" s="140"/>
      <c r="E18415" s="140"/>
    </row>
    <row r="18416" spans="1:5">
      <c r="A18416" s="140"/>
      <c r="B18416" s="192"/>
      <c r="C18416" s="140"/>
      <c r="D18416" s="140"/>
      <c r="E18416" s="140"/>
    </row>
    <row r="18417" spans="1:5">
      <c r="A18417" s="140"/>
      <c r="B18417" s="192"/>
      <c r="C18417" s="140"/>
      <c r="D18417" s="140"/>
      <c r="E18417" s="140"/>
    </row>
    <row r="18418" spans="1:5">
      <c r="A18418" s="140"/>
      <c r="B18418" s="192"/>
      <c r="C18418" s="140"/>
      <c r="D18418" s="140"/>
      <c r="E18418" s="140"/>
    </row>
    <row r="18419" spans="1:5">
      <c r="A18419" s="140"/>
      <c r="B18419" s="192"/>
      <c r="C18419" s="140"/>
      <c r="D18419" s="140"/>
      <c r="E18419" s="140"/>
    </row>
    <row r="18420" spans="1:5">
      <c r="A18420" s="140"/>
      <c r="B18420" s="192"/>
      <c r="C18420" s="140"/>
      <c r="D18420" s="140"/>
      <c r="E18420" s="140"/>
    </row>
    <row r="18421" spans="1:5">
      <c r="A18421" s="140"/>
      <c r="B18421" s="192"/>
      <c r="C18421" s="140"/>
      <c r="D18421" s="140"/>
      <c r="E18421" s="140"/>
    </row>
    <row r="18422" spans="1:5">
      <c r="A18422" s="140"/>
      <c r="B18422" s="192"/>
      <c r="C18422" s="140"/>
      <c r="D18422" s="140"/>
      <c r="E18422" s="140"/>
    </row>
    <row r="18423" spans="1:5">
      <c r="A18423" s="140"/>
      <c r="B18423" s="192"/>
      <c r="C18423" s="140"/>
      <c r="D18423" s="140"/>
      <c r="E18423" s="140"/>
    </row>
    <row r="18424" spans="1:5">
      <c r="A18424" s="140"/>
      <c r="B18424" s="192"/>
      <c r="C18424" s="140"/>
      <c r="D18424" s="140"/>
      <c r="E18424" s="140"/>
    </row>
    <row r="18425" spans="1:5">
      <c r="A18425" s="140"/>
      <c r="B18425" s="192"/>
      <c r="C18425" s="140"/>
      <c r="D18425" s="140"/>
      <c r="E18425" s="140"/>
    </row>
    <row r="18426" spans="1:5">
      <c r="A18426" s="140"/>
      <c r="B18426" s="192"/>
      <c r="C18426" s="140"/>
      <c r="D18426" s="140"/>
      <c r="E18426" s="140"/>
    </row>
    <row r="18427" spans="1:5">
      <c r="A18427" s="140"/>
      <c r="B18427" s="192"/>
      <c r="C18427" s="140"/>
      <c r="D18427" s="140"/>
      <c r="E18427" s="140"/>
    </row>
    <row r="18428" spans="1:5">
      <c r="A18428" s="140"/>
      <c r="B18428" s="192"/>
      <c r="C18428" s="140"/>
      <c r="D18428" s="140"/>
      <c r="E18428" s="140"/>
    </row>
    <row r="18429" spans="1:5">
      <c r="A18429" s="140"/>
      <c r="B18429" s="192"/>
      <c r="C18429" s="140"/>
      <c r="D18429" s="140"/>
      <c r="E18429" s="140"/>
    </row>
    <row r="18430" spans="1:5">
      <c r="A18430" s="140"/>
      <c r="B18430" s="192"/>
      <c r="C18430" s="140"/>
      <c r="D18430" s="140"/>
      <c r="E18430" s="140"/>
    </row>
    <row r="18431" spans="1:5">
      <c r="A18431" s="140"/>
      <c r="B18431" s="192"/>
      <c r="C18431" s="140"/>
      <c r="D18431" s="140"/>
      <c r="E18431" s="140"/>
    </row>
    <row r="18432" spans="1:5">
      <c r="A18432" s="140"/>
      <c r="B18432" s="192"/>
      <c r="C18432" s="140"/>
      <c r="D18432" s="140"/>
      <c r="E18432" s="140"/>
    </row>
    <row r="18433" spans="1:5">
      <c r="A18433" s="140"/>
      <c r="B18433" s="192"/>
      <c r="C18433" s="140"/>
      <c r="D18433" s="140"/>
      <c r="E18433" s="140"/>
    </row>
    <row r="18434" spans="1:5">
      <c r="A18434" s="140"/>
      <c r="B18434" s="192"/>
      <c r="C18434" s="140"/>
      <c r="D18434" s="140"/>
      <c r="E18434" s="140"/>
    </row>
    <row r="18435" spans="1:5">
      <c r="A18435" s="140"/>
      <c r="B18435" s="192"/>
      <c r="C18435" s="140"/>
      <c r="D18435" s="140"/>
      <c r="E18435" s="140"/>
    </row>
    <row r="18436" spans="1:5">
      <c r="A18436" s="140"/>
      <c r="B18436" s="192"/>
      <c r="C18436" s="140"/>
      <c r="D18436" s="140"/>
      <c r="E18436" s="140"/>
    </row>
    <row r="18437" spans="1:5">
      <c r="A18437" s="140"/>
      <c r="B18437" s="192"/>
      <c r="C18437" s="140"/>
      <c r="D18437" s="140"/>
      <c r="E18437" s="140"/>
    </row>
    <row r="18438" spans="1:5">
      <c r="A18438" s="140"/>
      <c r="B18438" s="192"/>
      <c r="C18438" s="140"/>
      <c r="D18438" s="140"/>
      <c r="E18438" s="140"/>
    </row>
    <row r="18439" spans="1:5">
      <c r="A18439" s="140"/>
      <c r="B18439" s="192"/>
      <c r="C18439" s="140"/>
      <c r="D18439" s="140"/>
      <c r="E18439" s="140"/>
    </row>
    <row r="18440" spans="1:5">
      <c r="A18440" s="140"/>
      <c r="B18440" s="192"/>
      <c r="C18440" s="140"/>
      <c r="D18440" s="140"/>
      <c r="E18440" s="140"/>
    </row>
    <row r="18441" spans="1:5">
      <c r="A18441" s="140"/>
      <c r="B18441" s="192"/>
      <c r="C18441" s="140"/>
      <c r="D18441" s="140"/>
      <c r="E18441" s="140"/>
    </row>
    <row r="18442" spans="1:5">
      <c r="A18442" s="140"/>
      <c r="B18442" s="192"/>
      <c r="C18442" s="140"/>
      <c r="D18442" s="140"/>
      <c r="E18442" s="140"/>
    </row>
    <row r="18443" spans="1:5">
      <c r="A18443" s="140"/>
      <c r="B18443" s="192"/>
      <c r="C18443" s="140"/>
      <c r="D18443" s="140"/>
      <c r="E18443" s="140"/>
    </row>
    <row r="18444" spans="1:5">
      <c r="A18444" s="140"/>
      <c r="B18444" s="192"/>
      <c r="C18444" s="140"/>
      <c r="D18444" s="140"/>
      <c r="E18444" s="140"/>
    </row>
    <row r="18445" spans="1:5">
      <c r="A18445" s="140"/>
      <c r="B18445" s="192"/>
      <c r="C18445" s="140"/>
      <c r="D18445" s="140"/>
      <c r="E18445" s="140"/>
    </row>
    <row r="18446" spans="1:5">
      <c r="A18446" s="140"/>
      <c r="B18446" s="192"/>
      <c r="C18446" s="140"/>
      <c r="D18446" s="140"/>
      <c r="E18446" s="140"/>
    </row>
    <row r="18447" spans="1:5">
      <c r="A18447" s="140"/>
      <c r="B18447" s="192"/>
      <c r="C18447" s="140"/>
      <c r="D18447" s="140"/>
      <c r="E18447" s="140"/>
    </row>
    <row r="18448" spans="1:5">
      <c r="A18448" s="140"/>
      <c r="B18448" s="192"/>
      <c r="C18448" s="140"/>
      <c r="D18448" s="140"/>
      <c r="E18448" s="140"/>
    </row>
    <row r="18449" spans="1:5">
      <c r="A18449" s="140"/>
      <c r="B18449" s="192"/>
      <c r="C18449" s="140"/>
      <c r="D18449" s="140"/>
      <c r="E18449" s="140"/>
    </row>
    <row r="18450" spans="1:5">
      <c r="A18450" s="140"/>
      <c r="B18450" s="192"/>
      <c r="C18450" s="140"/>
      <c r="D18450" s="140"/>
      <c r="E18450" s="140"/>
    </row>
    <row r="18451" spans="1:5">
      <c r="A18451" s="140"/>
      <c r="B18451" s="192"/>
      <c r="C18451" s="140"/>
      <c r="D18451" s="140"/>
      <c r="E18451" s="140"/>
    </row>
    <row r="18452" spans="1:5">
      <c r="A18452" s="140"/>
      <c r="B18452" s="192"/>
      <c r="C18452" s="140"/>
      <c r="D18452" s="140"/>
      <c r="E18452" s="140"/>
    </row>
    <row r="18453" spans="1:5">
      <c r="A18453" s="140"/>
      <c r="B18453" s="192"/>
      <c r="C18453" s="140"/>
      <c r="D18453" s="140"/>
      <c r="E18453" s="140"/>
    </row>
    <row r="18454" spans="1:5">
      <c r="A18454" s="140"/>
      <c r="B18454" s="192"/>
      <c r="C18454" s="140"/>
      <c r="D18454" s="140"/>
      <c r="E18454" s="140"/>
    </row>
    <row r="18455" spans="1:5">
      <c r="A18455" s="140"/>
      <c r="B18455" s="192"/>
      <c r="C18455" s="140"/>
      <c r="D18455" s="140"/>
      <c r="E18455" s="140"/>
    </row>
    <row r="18456" spans="1:5">
      <c r="A18456" s="140"/>
      <c r="B18456" s="192"/>
      <c r="C18456" s="140"/>
      <c r="D18456" s="140"/>
      <c r="E18456" s="140"/>
    </row>
    <row r="18457" spans="1:5">
      <c r="A18457" s="140"/>
      <c r="B18457" s="192"/>
      <c r="C18457" s="140"/>
      <c r="D18457" s="140"/>
      <c r="E18457" s="140"/>
    </row>
    <row r="18458" spans="1:5">
      <c r="A18458" s="140"/>
      <c r="B18458" s="192"/>
      <c r="C18458" s="140"/>
      <c r="D18458" s="140"/>
      <c r="E18458" s="140"/>
    </row>
    <row r="18459" spans="1:5">
      <c r="A18459" s="140"/>
      <c r="B18459" s="192"/>
      <c r="C18459" s="140"/>
      <c r="D18459" s="140"/>
      <c r="E18459" s="140"/>
    </row>
    <row r="18460" spans="1:5">
      <c r="A18460" s="140"/>
      <c r="B18460" s="192"/>
      <c r="C18460" s="140"/>
      <c r="D18460" s="140"/>
      <c r="E18460" s="140"/>
    </row>
    <row r="18461" spans="1:5">
      <c r="A18461" s="140"/>
      <c r="B18461" s="192"/>
      <c r="C18461" s="140"/>
      <c r="D18461" s="140"/>
      <c r="E18461" s="140"/>
    </row>
    <row r="18462" spans="1:5">
      <c r="A18462" s="140"/>
      <c r="B18462" s="192"/>
      <c r="C18462" s="140"/>
      <c r="D18462" s="140"/>
      <c r="E18462" s="140"/>
    </row>
    <row r="18463" spans="1:5">
      <c r="A18463" s="140"/>
      <c r="B18463" s="192"/>
      <c r="C18463" s="140"/>
      <c r="D18463" s="140"/>
      <c r="E18463" s="140"/>
    </row>
    <row r="18464" spans="1:5">
      <c r="A18464" s="140"/>
      <c r="B18464" s="192"/>
      <c r="C18464" s="140"/>
      <c r="D18464" s="140"/>
      <c r="E18464" s="140"/>
    </row>
    <row r="18465" spans="1:5">
      <c r="A18465" s="140"/>
      <c r="B18465" s="192"/>
      <c r="C18465" s="140"/>
      <c r="D18465" s="140"/>
      <c r="E18465" s="140"/>
    </row>
    <row r="18466" spans="1:5">
      <c r="A18466" s="140"/>
      <c r="B18466" s="192"/>
      <c r="C18466" s="140"/>
      <c r="D18466" s="140"/>
      <c r="E18466" s="140"/>
    </row>
    <row r="18467" spans="1:5">
      <c r="A18467" s="140"/>
      <c r="B18467" s="192"/>
      <c r="C18467" s="140"/>
      <c r="D18467" s="140"/>
      <c r="E18467" s="140"/>
    </row>
    <row r="18468" spans="1:5">
      <c r="A18468" s="140"/>
      <c r="B18468" s="192"/>
      <c r="C18468" s="140"/>
      <c r="D18468" s="140"/>
      <c r="E18468" s="140"/>
    </row>
    <row r="18469" spans="1:5">
      <c r="A18469" s="140"/>
      <c r="B18469" s="192"/>
      <c r="C18469" s="140"/>
      <c r="D18469" s="140"/>
      <c r="E18469" s="140"/>
    </row>
    <row r="18470" spans="1:5">
      <c r="A18470" s="140"/>
      <c r="B18470" s="192"/>
      <c r="C18470" s="140"/>
      <c r="D18470" s="140"/>
      <c r="E18470" s="140"/>
    </row>
    <row r="18471" spans="1:5">
      <c r="A18471" s="140"/>
      <c r="B18471" s="192"/>
      <c r="C18471" s="140"/>
      <c r="D18471" s="140"/>
      <c r="E18471" s="140"/>
    </row>
    <row r="18472" spans="1:5">
      <c r="A18472" s="140"/>
      <c r="B18472" s="192"/>
      <c r="C18472" s="140"/>
      <c r="D18472" s="140"/>
      <c r="E18472" s="140"/>
    </row>
    <row r="18473" spans="1:5">
      <c r="A18473" s="140"/>
      <c r="B18473" s="192"/>
      <c r="C18473" s="140"/>
      <c r="D18473" s="140"/>
      <c r="E18473" s="140"/>
    </row>
    <row r="18474" spans="1:5">
      <c r="A18474" s="140"/>
      <c r="B18474" s="192"/>
      <c r="C18474" s="140"/>
      <c r="D18474" s="140"/>
      <c r="E18474" s="140"/>
    </row>
    <row r="18475" spans="1:5">
      <c r="A18475" s="140"/>
      <c r="B18475" s="192"/>
      <c r="C18475" s="140"/>
      <c r="D18475" s="140"/>
      <c r="E18475" s="140"/>
    </row>
    <row r="18476" spans="1:5">
      <c r="A18476" s="140"/>
      <c r="B18476" s="192"/>
      <c r="C18476" s="140"/>
      <c r="D18476" s="140"/>
      <c r="E18476" s="140"/>
    </row>
    <row r="18477" spans="1:5">
      <c r="A18477" s="140"/>
      <c r="B18477" s="192"/>
      <c r="C18477" s="140"/>
      <c r="D18477" s="140"/>
      <c r="E18477" s="140"/>
    </row>
    <row r="18478" spans="1:5">
      <c r="A18478" s="140"/>
      <c r="B18478" s="192"/>
      <c r="C18478" s="140"/>
      <c r="D18478" s="140"/>
      <c r="E18478" s="140"/>
    </row>
    <row r="18479" spans="1:5">
      <c r="A18479" s="140"/>
      <c r="B18479" s="192"/>
      <c r="C18479" s="140"/>
      <c r="D18479" s="140"/>
      <c r="E18479" s="140"/>
    </row>
    <row r="18480" spans="1:5">
      <c r="A18480" s="140"/>
      <c r="B18480" s="192"/>
      <c r="C18480" s="140"/>
      <c r="D18480" s="140"/>
      <c r="E18480" s="140"/>
    </row>
    <row r="18481" spans="1:5">
      <c r="A18481" s="140"/>
      <c r="B18481" s="192"/>
      <c r="C18481" s="140"/>
      <c r="D18481" s="140"/>
      <c r="E18481" s="140"/>
    </row>
    <row r="18482" spans="1:5">
      <c r="A18482" s="140"/>
      <c r="B18482" s="192"/>
      <c r="C18482" s="140"/>
      <c r="D18482" s="140"/>
      <c r="E18482" s="140"/>
    </row>
    <row r="18483" spans="1:5">
      <c r="A18483" s="140"/>
      <c r="B18483" s="192"/>
      <c r="C18483" s="140"/>
      <c r="D18483" s="140"/>
      <c r="E18483" s="140"/>
    </row>
    <row r="18484" spans="1:5">
      <c r="A18484" s="140"/>
      <c r="B18484" s="192"/>
      <c r="C18484" s="140"/>
      <c r="D18484" s="140"/>
      <c r="E18484" s="140"/>
    </row>
    <row r="18485" spans="1:5">
      <c r="A18485" s="140"/>
      <c r="B18485" s="192"/>
      <c r="C18485" s="140"/>
      <c r="D18485" s="140"/>
      <c r="E18485" s="140"/>
    </row>
    <row r="18486" spans="1:5">
      <c r="A18486" s="140"/>
      <c r="B18486" s="192"/>
      <c r="C18486" s="140"/>
      <c r="D18486" s="140"/>
      <c r="E18486" s="140"/>
    </row>
    <row r="18487" spans="1:5">
      <c r="A18487" s="140"/>
      <c r="B18487" s="192"/>
      <c r="C18487" s="140"/>
      <c r="D18487" s="140"/>
      <c r="E18487" s="140"/>
    </row>
    <row r="18488" spans="1:5">
      <c r="A18488" s="140"/>
      <c r="B18488" s="192"/>
      <c r="C18488" s="140"/>
      <c r="D18488" s="140"/>
      <c r="E18488" s="140"/>
    </row>
    <row r="18489" spans="1:5">
      <c r="A18489" s="140"/>
      <c r="B18489" s="192"/>
      <c r="C18489" s="140"/>
      <c r="D18489" s="140"/>
      <c r="E18489" s="140"/>
    </row>
    <row r="18490" spans="1:5">
      <c r="A18490" s="140"/>
      <c r="B18490" s="192"/>
      <c r="C18490" s="140"/>
      <c r="D18490" s="140"/>
      <c r="E18490" s="140"/>
    </row>
    <row r="18491" spans="1:5">
      <c r="A18491" s="140"/>
      <c r="B18491" s="192"/>
      <c r="C18491" s="140"/>
      <c r="D18491" s="140"/>
      <c r="E18491" s="140"/>
    </row>
    <row r="18492" spans="1:5">
      <c r="A18492" s="140"/>
      <c r="B18492" s="192"/>
      <c r="C18492" s="140"/>
      <c r="D18492" s="140"/>
      <c r="E18492" s="140"/>
    </row>
    <row r="18493" spans="1:5">
      <c r="A18493" s="140"/>
      <c r="B18493" s="192"/>
      <c r="C18493" s="140"/>
      <c r="D18493" s="140"/>
      <c r="E18493" s="140"/>
    </row>
    <row r="18494" spans="1:5">
      <c r="A18494" s="140"/>
      <c r="B18494" s="192"/>
      <c r="C18494" s="140"/>
      <c r="D18494" s="140"/>
      <c r="E18494" s="140"/>
    </row>
    <row r="18495" spans="1:5">
      <c r="A18495" s="140"/>
      <c r="B18495" s="192"/>
      <c r="C18495" s="140"/>
      <c r="D18495" s="140"/>
      <c r="E18495" s="140"/>
    </row>
    <row r="18496" spans="1:5">
      <c r="A18496" s="140"/>
      <c r="B18496" s="192"/>
      <c r="C18496" s="140"/>
      <c r="D18496" s="140"/>
      <c r="E18496" s="140"/>
    </row>
    <row r="18497" spans="1:5">
      <c r="A18497" s="140"/>
      <c r="B18497" s="192"/>
      <c r="C18497" s="140"/>
      <c r="D18497" s="140"/>
      <c r="E18497" s="140"/>
    </row>
    <row r="18498" spans="1:5">
      <c r="A18498" s="140"/>
      <c r="B18498" s="192"/>
      <c r="C18498" s="140"/>
      <c r="D18498" s="140"/>
      <c r="E18498" s="140"/>
    </row>
    <row r="18499" spans="1:5">
      <c r="A18499" s="140"/>
      <c r="B18499" s="192"/>
      <c r="C18499" s="140"/>
      <c r="D18499" s="140"/>
      <c r="E18499" s="140"/>
    </row>
    <row r="18500" spans="1:5">
      <c r="A18500" s="140"/>
      <c r="B18500" s="192"/>
      <c r="C18500" s="140"/>
      <c r="D18500" s="140"/>
      <c r="E18500" s="140"/>
    </row>
    <row r="18501" spans="1:5">
      <c r="A18501" s="140"/>
      <c r="B18501" s="192"/>
      <c r="C18501" s="140"/>
      <c r="D18501" s="140"/>
      <c r="E18501" s="140"/>
    </row>
    <row r="18502" spans="1:5">
      <c r="A18502" s="140"/>
      <c r="B18502" s="192"/>
      <c r="C18502" s="140"/>
      <c r="D18502" s="140"/>
      <c r="E18502" s="140"/>
    </row>
    <row r="18503" spans="1:5">
      <c r="A18503" s="140"/>
      <c r="B18503" s="192"/>
      <c r="C18503" s="140"/>
      <c r="D18503" s="140"/>
      <c r="E18503" s="140"/>
    </row>
    <row r="18504" spans="1:5">
      <c r="A18504" s="140"/>
      <c r="B18504" s="192"/>
      <c r="C18504" s="140"/>
      <c r="D18504" s="140"/>
      <c r="E18504" s="140"/>
    </row>
    <row r="18505" spans="1:5">
      <c r="A18505" s="140"/>
      <c r="B18505" s="192"/>
      <c r="C18505" s="140"/>
      <c r="D18505" s="140"/>
      <c r="E18505" s="140"/>
    </row>
    <row r="18506" spans="1:5">
      <c r="A18506" s="140"/>
      <c r="B18506" s="192"/>
      <c r="C18506" s="140"/>
      <c r="D18506" s="140"/>
      <c r="E18506" s="140"/>
    </row>
    <row r="18507" spans="1:5">
      <c r="A18507" s="140"/>
      <c r="B18507" s="192"/>
      <c r="C18507" s="140"/>
      <c r="D18507" s="140"/>
      <c r="E18507" s="140"/>
    </row>
    <row r="18508" spans="1:5">
      <c r="A18508" s="140"/>
      <c r="B18508" s="192"/>
      <c r="C18508" s="140"/>
      <c r="D18508" s="140"/>
      <c r="E18508" s="140"/>
    </row>
    <row r="18509" spans="1:5">
      <c r="A18509" s="140"/>
      <c r="B18509" s="192"/>
      <c r="C18509" s="140"/>
      <c r="D18509" s="140"/>
      <c r="E18509" s="140"/>
    </row>
    <row r="18510" spans="1:5">
      <c r="A18510" s="140"/>
      <c r="B18510" s="192"/>
      <c r="C18510" s="140"/>
      <c r="D18510" s="140"/>
      <c r="E18510" s="140"/>
    </row>
    <row r="18511" spans="1:5">
      <c r="A18511" s="140"/>
      <c r="B18511" s="192"/>
      <c r="C18511" s="140"/>
      <c r="D18511" s="140"/>
      <c r="E18511" s="140"/>
    </row>
    <row r="18512" spans="1:5">
      <c r="A18512" s="140"/>
      <c r="B18512" s="192"/>
      <c r="C18512" s="140"/>
      <c r="D18512" s="140"/>
      <c r="E18512" s="140"/>
    </row>
    <row r="18513" spans="1:5">
      <c r="A18513" s="140"/>
      <c r="B18513" s="192"/>
      <c r="C18513" s="140"/>
      <c r="D18513" s="140"/>
      <c r="E18513" s="140"/>
    </row>
    <row r="18514" spans="1:5">
      <c r="A18514" s="140"/>
      <c r="B18514" s="192"/>
      <c r="C18514" s="140"/>
      <c r="D18514" s="140"/>
      <c r="E18514" s="140"/>
    </row>
    <row r="18515" spans="1:5">
      <c r="A18515" s="140"/>
      <c r="B18515" s="192"/>
      <c r="C18515" s="140"/>
      <c r="D18515" s="140"/>
      <c r="E18515" s="140"/>
    </row>
    <row r="18516" spans="1:5">
      <c r="A18516" s="140"/>
      <c r="B18516" s="192"/>
      <c r="C18516" s="140"/>
      <c r="D18516" s="140"/>
      <c r="E18516" s="140"/>
    </row>
    <row r="18517" spans="1:5">
      <c r="A18517" s="140"/>
      <c r="B18517" s="192"/>
      <c r="C18517" s="140"/>
      <c r="D18517" s="140"/>
      <c r="E18517" s="140"/>
    </row>
    <row r="18518" spans="1:5">
      <c r="A18518" s="140"/>
      <c r="B18518" s="192"/>
      <c r="C18518" s="140"/>
      <c r="D18518" s="140"/>
      <c r="E18518" s="140"/>
    </row>
    <row r="18519" spans="1:5">
      <c r="A18519" s="140"/>
      <c r="B18519" s="192"/>
      <c r="C18519" s="140"/>
      <c r="D18519" s="140"/>
      <c r="E18519" s="140"/>
    </row>
    <row r="18520" spans="1:5">
      <c r="A18520" s="140"/>
      <c r="B18520" s="192"/>
      <c r="C18520" s="140"/>
      <c r="D18520" s="140"/>
      <c r="E18520" s="140"/>
    </row>
    <row r="18521" spans="1:5">
      <c r="A18521" s="140"/>
      <c r="B18521" s="192"/>
      <c r="C18521" s="140"/>
      <c r="D18521" s="140"/>
      <c r="E18521" s="140"/>
    </row>
    <row r="18522" spans="1:5">
      <c r="A18522" s="140"/>
      <c r="B18522" s="192"/>
      <c r="C18522" s="140"/>
      <c r="D18522" s="140"/>
      <c r="E18522" s="140"/>
    </row>
    <row r="18523" spans="1:5">
      <c r="A18523" s="140"/>
      <c r="B18523" s="192"/>
      <c r="C18523" s="140"/>
      <c r="D18523" s="140"/>
      <c r="E18523" s="140"/>
    </row>
    <row r="18524" spans="1:5">
      <c r="A18524" s="140"/>
      <c r="B18524" s="192"/>
      <c r="C18524" s="140"/>
      <c r="D18524" s="140"/>
      <c r="E18524" s="140"/>
    </row>
    <row r="18525" spans="1:5">
      <c r="A18525" s="140"/>
      <c r="B18525" s="192"/>
      <c r="C18525" s="140"/>
      <c r="D18525" s="140"/>
      <c r="E18525" s="140"/>
    </row>
    <row r="18526" spans="1:5">
      <c r="A18526" s="140"/>
      <c r="B18526" s="192"/>
      <c r="C18526" s="140"/>
      <c r="D18526" s="140"/>
      <c r="E18526" s="140"/>
    </row>
    <row r="18527" spans="1:5">
      <c r="A18527" s="140"/>
      <c r="B18527" s="192"/>
      <c r="C18527" s="140"/>
      <c r="D18527" s="140"/>
      <c r="E18527" s="140"/>
    </row>
    <row r="18528" spans="1:5">
      <c r="A18528" s="140"/>
      <c r="B18528" s="192"/>
      <c r="C18528" s="140"/>
      <c r="D18528" s="140"/>
      <c r="E18528" s="140"/>
    </row>
    <row r="18529" spans="1:5">
      <c r="A18529" s="140"/>
      <c r="B18529" s="192"/>
      <c r="C18529" s="140"/>
      <c r="D18529" s="140"/>
      <c r="E18529" s="140"/>
    </row>
    <row r="18530" spans="1:5">
      <c r="A18530" s="140"/>
      <c r="B18530" s="192"/>
      <c r="C18530" s="140"/>
      <c r="D18530" s="140"/>
      <c r="E18530" s="140"/>
    </row>
    <row r="18531" spans="1:5">
      <c r="A18531" s="140"/>
      <c r="B18531" s="192"/>
      <c r="C18531" s="140"/>
      <c r="D18531" s="140"/>
      <c r="E18531" s="140"/>
    </row>
    <row r="18532" spans="1:5">
      <c r="A18532" s="140"/>
      <c r="B18532" s="192"/>
      <c r="C18532" s="140"/>
      <c r="D18532" s="140"/>
      <c r="E18532" s="140"/>
    </row>
    <row r="18533" spans="1:5">
      <c r="A18533" s="140"/>
      <c r="B18533" s="192"/>
      <c r="C18533" s="140"/>
      <c r="D18533" s="140"/>
      <c r="E18533" s="140"/>
    </row>
    <row r="18534" spans="1:5">
      <c r="A18534" s="140"/>
      <c r="B18534" s="192"/>
      <c r="C18534" s="140"/>
      <c r="D18534" s="140"/>
      <c r="E18534" s="140"/>
    </row>
    <row r="18535" spans="1:5">
      <c r="A18535" s="140"/>
      <c r="B18535" s="192"/>
      <c r="C18535" s="140"/>
      <c r="D18535" s="140"/>
      <c r="E18535" s="140"/>
    </row>
    <row r="18536" spans="1:5">
      <c r="A18536" s="140"/>
      <c r="B18536" s="192"/>
      <c r="C18536" s="140"/>
      <c r="D18536" s="140"/>
      <c r="E18536" s="140"/>
    </row>
    <row r="18537" spans="1:5">
      <c r="A18537" s="140"/>
      <c r="B18537" s="192"/>
      <c r="C18537" s="140"/>
      <c r="D18537" s="140"/>
      <c r="E18537" s="140"/>
    </row>
    <row r="18538" spans="1:5">
      <c r="A18538" s="140"/>
      <c r="B18538" s="192"/>
      <c r="C18538" s="140"/>
      <c r="D18538" s="140"/>
      <c r="E18538" s="140"/>
    </row>
    <row r="18539" spans="1:5">
      <c r="A18539" s="140"/>
      <c r="B18539" s="192"/>
      <c r="C18539" s="140"/>
      <c r="D18539" s="140"/>
      <c r="E18539" s="140"/>
    </row>
    <row r="18540" spans="1:5">
      <c r="A18540" s="140"/>
      <c r="B18540" s="192"/>
      <c r="C18540" s="140"/>
      <c r="D18540" s="140"/>
      <c r="E18540" s="140"/>
    </row>
    <row r="18541" spans="1:5">
      <c r="A18541" s="140"/>
      <c r="B18541" s="192"/>
      <c r="C18541" s="140"/>
      <c r="D18541" s="140"/>
      <c r="E18541" s="140"/>
    </row>
    <row r="18542" spans="1:5">
      <c r="A18542" s="140"/>
      <c r="B18542" s="192"/>
      <c r="C18542" s="140"/>
      <c r="D18542" s="140"/>
      <c r="E18542" s="140"/>
    </row>
    <row r="18543" spans="1:5">
      <c r="A18543" s="140"/>
      <c r="B18543" s="192"/>
      <c r="C18543" s="140"/>
      <c r="D18543" s="140"/>
      <c r="E18543" s="140"/>
    </row>
    <row r="18544" spans="1:5">
      <c r="A18544" s="140"/>
      <c r="B18544" s="192"/>
      <c r="C18544" s="140"/>
      <c r="D18544" s="140"/>
      <c r="E18544" s="140"/>
    </row>
    <row r="18545" spans="1:5">
      <c r="A18545" s="140"/>
      <c r="B18545" s="192"/>
      <c r="C18545" s="140"/>
      <c r="D18545" s="140"/>
      <c r="E18545" s="140"/>
    </row>
    <row r="18546" spans="1:5">
      <c r="A18546" s="140"/>
      <c r="B18546" s="192"/>
      <c r="C18546" s="140"/>
      <c r="D18546" s="140"/>
      <c r="E18546" s="140"/>
    </row>
    <row r="18547" spans="1:5">
      <c r="A18547" s="140"/>
      <c r="B18547" s="192"/>
      <c r="C18547" s="140"/>
      <c r="D18547" s="140"/>
      <c r="E18547" s="140"/>
    </row>
    <row r="18548" spans="1:5">
      <c r="A18548" s="140"/>
      <c r="B18548" s="192"/>
      <c r="C18548" s="140"/>
      <c r="D18548" s="140"/>
      <c r="E18548" s="140"/>
    </row>
    <row r="18549" spans="1:5">
      <c r="A18549" s="140"/>
      <c r="B18549" s="192"/>
      <c r="C18549" s="140"/>
      <c r="D18549" s="140"/>
      <c r="E18549" s="140"/>
    </row>
    <row r="18550" spans="1:5">
      <c r="A18550" s="140"/>
      <c r="B18550" s="192"/>
      <c r="C18550" s="140"/>
      <c r="D18550" s="140"/>
      <c r="E18550" s="140"/>
    </row>
    <row r="18551" spans="1:5">
      <c r="A18551" s="140"/>
      <c r="B18551" s="192"/>
      <c r="C18551" s="140"/>
      <c r="D18551" s="140"/>
      <c r="E18551" s="140"/>
    </row>
    <row r="18552" spans="1:5">
      <c r="A18552" s="140"/>
      <c r="B18552" s="192"/>
      <c r="C18552" s="140"/>
      <c r="D18552" s="140"/>
      <c r="E18552" s="140"/>
    </row>
    <row r="18553" spans="1:5">
      <c r="A18553" s="140"/>
      <c r="B18553" s="192"/>
      <c r="C18553" s="140"/>
      <c r="D18553" s="140"/>
      <c r="E18553" s="140"/>
    </row>
    <row r="18554" spans="1:5">
      <c r="A18554" s="140"/>
      <c r="B18554" s="192"/>
      <c r="C18554" s="140"/>
      <c r="D18554" s="140"/>
      <c r="E18554" s="140"/>
    </row>
    <row r="18555" spans="1:5">
      <c r="A18555" s="140"/>
      <c r="B18555" s="192"/>
      <c r="C18555" s="140"/>
      <c r="D18555" s="140"/>
      <c r="E18555" s="140"/>
    </row>
    <row r="18556" spans="1:5">
      <c r="A18556" s="140"/>
      <c r="B18556" s="192"/>
      <c r="C18556" s="140"/>
      <c r="D18556" s="140"/>
      <c r="E18556" s="140"/>
    </row>
    <row r="18557" spans="1:5">
      <c r="A18557" s="140"/>
      <c r="B18557" s="192"/>
      <c r="C18557" s="140"/>
      <c r="D18557" s="140"/>
      <c r="E18557" s="140"/>
    </row>
    <row r="18558" spans="1:5">
      <c r="A18558" s="140"/>
      <c r="B18558" s="192"/>
      <c r="C18558" s="140"/>
      <c r="D18558" s="140"/>
      <c r="E18558" s="140"/>
    </row>
    <row r="18559" spans="1:5">
      <c r="A18559" s="140"/>
      <c r="B18559" s="192"/>
      <c r="C18559" s="140"/>
      <c r="D18559" s="140"/>
      <c r="E18559" s="140"/>
    </row>
    <row r="18560" spans="1:5">
      <c r="A18560" s="140"/>
      <c r="B18560" s="192"/>
      <c r="C18560" s="140"/>
      <c r="D18560" s="140"/>
      <c r="E18560" s="140"/>
    </row>
    <row r="18561" spans="1:5">
      <c r="A18561" s="140"/>
      <c r="B18561" s="192"/>
      <c r="C18561" s="140"/>
      <c r="D18561" s="140"/>
      <c r="E18561" s="140"/>
    </row>
    <row r="18562" spans="1:5">
      <c r="A18562" s="140"/>
      <c r="B18562" s="192"/>
      <c r="C18562" s="140"/>
      <c r="D18562" s="140"/>
      <c r="E18562" s="140"/>
    </row>
    <row r="18563" spans="1:5">
      <c r="A18563" s="140"/>
      <c r="B18563" s="192"/>
      <c r="C18563" s="140"/>
      <c r="D18563" s="140"/>
      <c r="E18563" s="140"/>
    </row>
    <row r="18564" spans="1:5">
      <c r="A18564" s="140"/>
      <c r="B18564" s="192"/>
      <c r="C18564" s="140"/>
      <c r="D18564" s="140"/>
      <c r="E18564" s="140"/>
    </row>
    <row r="18565" spans="1:5">
      <c r="A18565" s="140"/>
      <c r="B18565" s="192"/>
      <c r="C18565" s="140"/>
      <c r="D18565" s="140"/>
      <c r="E18565" s="140"/>
    </row>
    <row r="18566" spans="1:5">
      <c r="A18566" s="140"/>
      <c r="B18566" s="192"/>
      <c r="C18566" s="140"/>
      <c r="D18566" s="140"/>
      <c r="E18566" s="140"/>
    </row>
    <row r="18567" spans="1:5">
      <c r="A18567" s="140"/>
      <c r="B18567" s="192"/>
      <c r="C18567" s="140"/>
      <c r="D18567" s="140"/>
      <c r="E18567" s="140"/>
    </row>
    <row r="18568" spans="1:5">
      <c r="A18568" s="140"/>
      <c r="B18568" s="192"/>
      <c r="C18568" s="140"/>
      <c r="D18568" s="140"/>
      <c r="E18568" s="140"/>
    </row>
    <row r="18569" spans="1:5">
      <c r="A18569" s="140"/>
      <c r="B18569" s="192"/>
      <c r="C18569" s="140"/>
      <c r="D18569" s="140"/>
      <c r="E18569" s="140"/>
    </row>
    <row r="18570" spans="1:5">
      <c r="A18570" s="140"/>
      <c r="B18570" s="192"/>
      <c r="C18570" s="140"/>
      <c r="D18570" s="140"/>
      <c r="E18570" s="140"/>
    </row>
    <row r="18571" spans="1:5">
      <c r="A18571" s="140"/>
      <c r="B18571" s="192"/>
      <c r="C18571" s="140"/>
      <c r="D18571" s="140"/>
      <c r="E18571" s="140"/>
    </row>
    <row r="18572" spans="1:5">
      <c r="A18572" s="140"/>
      <c r="B18572" s="192"/>
      <c r="C18572" s="140"/>
      <c r="D18572" s="140"/>
      <c r="E18572" s="140"/>
    </row>
    <row r="18573" spans="1:5">
      <c r="A18573" s="140"/>
      <c r="B18573" s="192"/>
      <c r="C18573" s="140"/>
      <c r="D18573" s="140"/>
      <c r="E18573" s="140"/>
    </row>
    <row r="18574" spans="1:5">
      <c r="A18574" s="140"/>
      <c r="B18574" s="192"/>
      <c r="C18574" s="140"/>
      <c r="D18574" s="140"/>
      <c r="E18574" s="140"/>
    </row>
    <row r="18575" spans="1:5">
      <c r="A18575" s="140"/>
      <c r="B18575" s="192"/>
      <c r="C18575" s="140"/>
      <c r="D18575" s="140"/>
      <c r="E18575" s="140"/>
    </row>
    <row r="18576" spans="1:5">
      <c r="A18576" s="140"/>
      <c r="B18576" s="192"/>
      <c r="C18576" s="140"/>
      <c r="D18576" s="140"/>
      <c r="E18576" s="140"/>
    </row>
    <row r="18577" spans="1:5">
      <c r="A18577" s="140"/>
      <c r="B18577" s="192"/>
      <c r="C18577" s="140"/>
      <c r="D18577" s="140"/>
      <c r="E18577" s="140"/>
    </row>
    <row r="18578" spans="1:5">
      <c r="A18578" s="140"/>
      <c r="B18578" s="192"/>
      <c r="C18578" s="140"/>
      <c r="D18578" s="140"/>
      <c r="E18578" s="140"/>
    </row>
    <row r="18579" spans="1:5">
      <c r="A18579" s="140"/>
      <c r="B18579" s="192"/>
      <c r="C18579" s="140"/>
      <c r="D18579" s="140"/>
      <c r="E18579" s="140"/>
    </row>
    <row r="18580" spans="1:5">
      <c r="A18580" s="140"/>
      <c r="B18580" s="192"/>
      <c r="C18580" s="140"/>
      <c r="D18580" s="140"/>
      <c r="E18580" s="140"/>
    </row>
    <row r="18581" spans="1:5">
      <c r="A18581" s="140"/>
      <c r="B18581" s="192"/>
      <c r="C18581" s="140"/>
      <c r="D18581" s="140"/>
      <c r="E18581" s="140"/>
    </row>
    <row r="18582" spans="1:5">
      <c r="A18582" s="140"/>
      <c r="B18582" s="192"/>
      <c r="C18582" s="140"/>
      <c r="D18582" s="140"/>
      <c r="E18582" s="140"/>
    </row>
    <row r="18583" spans="1:5">
      <c r="A18583" s="140"/>
      <c r="B18583" s="192"/>
      <c r="C18583" s="140"/>
      <c r="D18583" s="140"/>
      <c r="E18583" s="140"/>
    </row>
    <row r="18584" spans="1:5">
      <c r="A18584" s="140"/>
      <c r="B18584" s="192"/>
      <c r="C18584" s="140"/>
      <c r="D18584" s="140"/>
      <c r="E18584" s="140"/>
    </row>
    <row r="18585" spans="1:5">
      <c r="A18585" s="140"/>
      <c r="B18585" s="192"/>
      <c r="C18585" s="140"/>
      <c r="D18585" s="140"/>
      <c r="E18585" s="140"/>
    </row>
    <row r="18586" spans="1:5">
      <c r="A18586" s="140"/>
      <c r="B18586" s="192"/>
      <c r="C18586" s="140"/>
      <c r="D18586" s="140"/>
      <c r="E18586" s="140"/>
    </row>
    <row r="18587" spans="1:5">
      <c r="A18587" s="140"/>
      <c r="B18587" s="192"/>
      <c r="C18587" s="140"/>
      <c r="D18587" s="140"/>
      <c r="E18587" s="140"/>
    </row>
    <row r="18588" spans="1:5">
      <c r="A18588" s="140"/>
      <c r="B18588" s="192"/>
      <c r="C18588" s="140"/>
      <c r="D18588" s="140"/>
      <c r="E18588" s="140"/>
    </row>
    <row r="18589" spans="1:5">
      <c r="A18589" s="140"/>
      <c r="B18589" s="192"/>
      <c r="C18589" s="140"/>
      <c r="D18589" s="140"/>
      <c r="E18589" s="140"/>
    </row>
    <row r="18590" spans="1:5">
      <c r="A18590" s="140"/>
      <c r="B18590" s="192"/>
      <c r="C18590" s="140"/>
      <c r="D18590" s="140"/>
      <c r="E18590" s="140"/>
    </row>
    <row r="18591" spans="1:5">
      <c r="A18591" s="140"/>
      <c r="B18591" s="192"/>
      <c r="C18591" s="140"/>
      <c r="D18591" s="140"/>
      <c r="E18591" s="140"/>
    </row>
    <row r="18592" spans="1:5">
      <c r="A18592" s="140"/>
      <c r="B18592" s="192"/>
      <c r="C18592" s="140"/>
      <c r="D18592" s="140"/>
      <c r="E18592" s="140"/>
    </row>
    <row r="18593" spans="1:5">
      <c r="A18593" s="140"/>
      <c r="B18593" s="192"/>
      <c r="C18593" s="140"/>
      <c r="D18593" s="140"/>
      <c r="E18593" s="140"/>
    </row>
    <row r="18594" spans="1:5">
      <c r="A18594" s="140"/>
      <c r="B18594" s="192"/>
      <c r="C18594" s="140"/>
      <c r="D18594" s="140"/>
      <c r="E18594" s="140"/>
    </row>
    <row r="18595" spans="1:5">
      <c r="A18595" s="140"/>
      <c r="B18595" s="192"/>
      <c r="C18595" s="140"/>
      <c r="D18595" s="140"/>
      <c r="E18595" s="140"/>
    </row>
    <row r="18596" spans="1:5">
      <c r="A18596" s="140"/>
      <c r="B18596" s="192"/>
      <c r="C18596" s="140"/>
      <c r="D18596" s="140"/>
      <c r="E18596" s="140"/>
    </row>
    <row r="18597" spans="1:5">
      <c r="A18597" s="140"/>
      <c r="B18597" s="192"/>
      <c r="C18597" s="140"/>
      <c r="D18597" s="140"/>
      <c r="E18597" s="140"/>
    </row>
    <row r="18598" spans="1:5">
      <c r="A18598" s="140"/>
      <c r="B18598" s="192"/>
      <c r="C18598" s="140"/>
      <c r="D18598" s="140"/>
      <c r="E18598" s="140"/>
    </row>
    <row r="18599" spans="1:5">
      <c r="A18599" s="140"/>
      <c r="B18599" s="192"/>
      <c r="C18599" s="140"/>
      <c r="D18599" s="140"/>
      <c r="E18599" s="140"/>
    </row>
    <row r="18600" spans="1:5">
      <c r="A18600" s="140"/>
      <c r="B18600" s="192"/>
      <c r="C18600" s="140"/>
      <c r="D18600" s="140"/>
      <c r="E18600" s="140"/>
    </row>
    <row r="18601" spans="1:5">
      <c r="A18601" s="140"/>
      <c r="B18601" s="192"/>
      <c r="C18601" s="140"/>
      <c r="D18601" s="140"/>
      <c r="E18601" s="140"/>
    </row>
    <row r="18602" spans="1:5">
      <c r="A18602" s="140"/>
      <c r="B18602" s="192"/>
      <c r="C18602" s="140"/>
      <c r="D18602" s="140"/>
      <c r="E18602" s="140"/>
    </row>
    <row r="18603" spans="1:5">
      <c r="A18603" s="140"/>
      <c r="B18603" s="192"/>
      <c r="C18603" s="140"/>
      <c r="D18603" s="140"/>
      <c r="E18603" s="140"/>
    </row>
    <row r="18604" spans="1:5">
      <c r="A18604" s="140"/>
      <c r="B18604" s="192"/>
      <c r="C18604" s="140"/>
      <c r="D18604" s="140"/>
      <c r="E18604" s="140"/>
    </row>
    <row r="18605" spans="1:5">
      <c r="A18605" s="140"/>
      <c r="B18605" s="192"/>
      <c r="C18605" s="140"/>
      <c r="D18605" s="140"/>
      <c r="E18605" s="140"/>
    </row>
    <row r="18606" spans="1:5">
      <c r="A18606" s="140"/>
      <c r="B18606" s="192"/>
      <c r="C18606" s="140"/>
      <c r="D18606" s="140"/>
      <c r="E18606" s="140"/>
    </row>
    <row r="18607" spans="1:5">
      <c r="A18607" s="140"/>
      <c r="B18607" s="192"/>
      <c r="C18607" s="140"/>
      <c r="D18607" s="140"/>
      <c r="E18607" s="140"/>
    </row>
    <row r="18608" spans="1:5">
      <c r="A18608" s="140"/>
      <c r="B18608" s="192"/>
      <c r="C18608" s="140"/>
      <c r="D18608" s="140"/>
      <c r="E18608" s="140"/>
    </row>
    <row r="18609" spans="1:5">
      <c r="A18609" s="140"/>
      <c r="B18609" s="192"/>
      <c r="C18609" s="140"/>
      <c r="D18609" s="140"/>
      <c r="E18609" s="140"/>
    </row>
    <row r="18610" spans="1:5">
      <c r="A18610" s="140"/>
      <c r="B18610" s="192"/>
      <c r="C18610" s="140"/>
      <c r="D18610" s="140"/>
      <c r="E18610" s="140"/>
    </row>
    <row r="18611" spans="1:5">
      <c r="A18611" s="140"/>
      <c r="B18611" s="192"/>
      <c r="C18611" s="140"/>
      <c r="D18611" s="140"/>
      <c r="E18611" s="140"/>
    </row>
    <row r="18612" spans="1:5">
      <c r="A18612" s="140"/>
      <c r="B18612" s="192"/>
      <c r="C18612" s="140"/>
      <c r="D18612" s="140"/>
      <c r="E18612" s="140"/>
    </row>
    <row r="18613" spans="1:5">
      <c r="A18613" s="140"/>
      <c r="B18613" s="192"/>
      <c r="C18613" s="140"/>
      <c r="D18613" s="140"/>
      <c r="E18613" s="140"/>
    </row>
    <row r="18614" spans="1:5">
      <c r="A18614" s="140"/>
      <c r="B18614" s="192"/>
      <c r="C18614" s="140"/>
      <c r="D18614" s="140"/>
      <c r="E18614" s="140"/>
    </row>
    <row r="18615" spans="1:5">
      <c r="A18615" s="140"/>
      <c r="B18615" s="192"/>
      <c r="C18615" s="140"/>
      <c r="D18615" s="140"/>
      <c r="E18615" s="140"/>
    </row>
    <row r="18616" spans="1:5">
      <c r="A18616" s="140"/>
      <c r="B18616" s="192"/>
      <c r="C18616" s="140"/>
      <c r="D18616" s="140"/>
      <c r="E18616" s="140"/>
    </row>
    <row r="18617" spans="1:5">
      <c r="A18617" s="140"/>
      <c r="B18617" s="192"/>
      <c r="C18617" s="140"/>
      <c r="D18617" s="140"/>
      <c r="E18617" s="140"/>
    </row>
    <row r="18618" spans="1:5">
      <c r="A18618" s="140"/>
      <c r="B18618" s="192"/>
      <c r="C18618" s="140"/>
      <c r="D18618" s="140"/>
      <c r="E18618" s="140"/>
    </row>
    <row r="18619" spans="1:5">
      <c r="A18619" s="140"/>
      <c r="B18619" s="192"/>
      <c r="C18619" s="140"/>
      <c r="D18619" s="140"/>
      <c r="E18619" s="140"/>
    </row>
    <row r="18620" spans="1:5">
      <c r="A18620" s="140"/>
      <c r="B18620" s="192"/>
      <c r="C18620" s="140"/>
      <c r="D18620" s="140"/>
      <c r="E18620" s="140"/>
    </row>
    <row r="18621" spans="1:5">
      <c r="A18621" s="140"/>
      <c r="B18621" s="192"/>
      <c r="C18621" s="140"/>
      <c r="D18621" s="140"/>
      <c r="E18621" s="140"/>
    </row>
    <row r="18622" spans="1:5">
      <c r="A18622" s="140"/>
      <c r="B18622" s="192"/>
      <c r="C18622" s="140"/>
      <c r="D18622" s="140"/>
      <c r="E18622" s="140"/>
    </row>
    <row r="18623" spans="1:5">
      <c r="A18623" s="140"/>
      <c r="B18623" s="192"/>
      <c r="C18623" s="140"/>
      <c r="D18623" s="140"/>
      <c r="E18623" s="140"/>
    </row>
    <row r="18624" spans="1:5">
      <c r="A18624" s="140"/>
      <c r="B18624" s="192"/>
      <c r="C18624" s="140"/>
      <c r="D18624" s="140"/>
      <c r="E18624" s="140"/>
    </row>
    <row r="18625" spans="1:5">
      <c r="A18625" s="140"/>
      <c r="B18625" s="192"/>
      <c r="C18625" s="140"/>
      <c r="D18625" s="140"/>
      <c r="E18625" s="140"/>
    </row>
    <row r="18626" spans="1:5">
      <c r="A18626" s="140"/>
      <c r="B18626" s="192"/>
      <c r="C18626" s="140"/>
      <c r="D18626" s="140"/>
      <c r="E18626" s="140"/>
    </row>
    <row r="18627" spans="1:5">
      <c r="A18627" s="140"/>
      <c r="B18627" s="192"/>
      <c r="C18627" s="140"/>
      <c r="D18627" s="140"/>
      <c r="E18627" s="140"/>
    </row>
    <row r="18628" spans="1:5">
      <c r="A18628" s="140"/>
      <c r="B18628" s="192"/>
      <c r="C18628" s="140"/>
      <c r="D18628" s="140"/>
      <c r="E18628" s="140"/>
    </row>
    <row r="18629" spans="1:5">
      <c r="A18629" s="140"/>
      <c r="B18629" s="192"/>
      <c r="C18629" s="140"/>
      <c r="D18629" s="140"/>
      <c r="E18629" s="140"/>
    </row>
    <row r="18630" spans="1:5">
      <c r="A18630" s="140"/>
      <c r="B18630" s="192"/>
      <c r="C18630" s="140"/>
      <c r="D18630" s="140"/>
      <c r="E18630" s="140"/>
    </row>
    <row r="18631" spans="1:5">
      <c r="A18631" s="140"/>
      <c r="B18631" s="192"/>
      <c r="C18631" s="140"/>
      <c r="D18631" s="140"/>
      <c r="E18631" s="140"/>
    </row>
    <row r="18632" spans="1:5">
      <c r="A18632" s="140"/>
      <c r="B18632" s="192"/>
      <c r="C18632" s="140"/>
      <c r="D18632" s="140"/>
      <c r="E18632" s="140"/>
    </row>
    <row r="18633" spans="1:5">
      <c r="A18633" s="140"/>
      <c r="B18633" s="192"/>
      <c r="C18633" s="140"/>
      <c r="D18633" s="140"/>
      <c r="E18633" s="140"/>
    </row>
    <row r="18634" spans="1:5">
      <c r="A18634" s="140"/>
      <c r="B18634" s="192"/>
      <c r="C18634" s="140"/>
      <c r="D18634" s="140"/>
      <c r="E18634" s="140"/>
    </row>
    <row r="18635" spans="1:5">
      <c r="A18635" s="140"/>
      <c r="B18635" s="192"/>
      <c r="C18635" s="140"/>
      <c r="D18635" s="140"/>
      <c r="E18635" s="140"/>
    </row>
    <row r="18636" spans="1:5">
      <c r="A18636" s="140"/>
      <c r="B18636" s="192"/>
      <c r="C18636" s="140"/>
      <c r="D18636" s="140"/>
      <c r="E18636" s="140"/>
    </row>
    <row r="18637" spans="1:5">
      <c r="A18637" s="140"/>
      <c r="B18637" s="192"/>
      <c r="C18637" s="140"/>
      <c r="D18637" s="140"/>
      <c r="E18637" s="140"/>
    </row>
    <row r="18638" spans="1:5">
      <c r="A18638" s="140"/>
      <c r="B18638" s="192"/>
      <c r="C18638" s="140"/>
      <c r="D18638" s="140"/>
      <c r="E18638" s="140"/>
    </row>
    <row r="18639" spans="1:5">
      <c r="A18639" s="140"/>
      <c r="B18639" s="192"/>
      <c r="C18639" s="140"/>
      <c r="D18639" s="140"/>
      <c r="E18639" s="140"/>
    </row>
    <row r="18640" spans="1:5">
      <c r="A18640" s="140"/>
      <c r="B18640" s="192"/>
      <c r="C18640" s="140"/>
      <c r="D18640" s="140"/>
      <c r="E18640" s="140"/>
    </row>
    <row r="18641" spans="1:5">
      <c r="A18641" s="140"/>
      <c r="B18641" s="192"/>
      <c r="C18641" s="140"/>
      <c r="D18641" s="140"/>
      <c r="E18641" s="140"/>
    </row>
    <row r="18642" spans="1:5">
      <c r="A18642" s="140"/>
      <c r="B18642" s="192"/>
      <c r="C18642" s="140"/>
      <c r="D18642" s="140"/>
      <c r="E18642" s="140"/>
    </row>
    <row r="18643" spans="1:5">
      <c r="A18643" s="140"/>
      <c r="B18643" s="192"/>
      <c r="C18643" s="140"/>
      <c r="D18643" s="140"/>
      <c r="E18643" s="140"/>
    </row>
    <row r="18644" spans="1:5">
      <c r="A18644" s="140"/>
      <c r="B18644" s="192"/>
      <c r="C18644" s="140"/>
      <c r="D18644" s="140"/>
      <c r="E18644" s="140"/>
    </row>
    <row r="18645" spans="1:5">
      <c r="A18645" s="140"/>
      <c r="B18645" s="192"/>
      <c r="C18645" s="140"/>
      <c r="D18645" s="140"/>
      <c r="E18645" s="140"/>
    </row>
    <row r="18646" spans="1:5">
      <c r="A18646" s="140"/>
      <c r="B18646" s="192"/>
      <c r="C18646" s="140"/>
      <c r="D18646" s="140"/>
      <c r="E18646" s="140"/>
    </row>
    <row r="18647" spans="1:5">
      <c r="A18647" s="140"/>
      <c r="B18647" s="192"/>
      <c r="C18647" s="140"/>
      <c r="D18647" s="140"/>
      <c r="E18647" s="140"/>
    </row>
    <row r="18648" spans="1:5">
      <c r="A18648" s="140"/>
      <c r="B18648" s="192"/>
      <c r="C18648" s="140"/>
      <c r="D18648" s="140"/>
      <c r="E18648" s="140"/>
    </row>
    <row r="18649" spans="1:5">
      <c r="A18649" s="140"/>
      <c r="B18649" s="192"/>
      <c r="C18649" s="140"/>
      <c r="D18649" s="140"/>
      <c r="E18649" s="140"/>
    </row>
    <row r="18650" spans="1:5">
      <c r="A18650" s="140"/>
      <c r="B18650" s="192"/>
      <c r="C18650" s="140"/>
      <c r="D18650" s="140"/>
      <c r="E18650" s="140"/>
    </row>
    <row r="18651" spans="1:5">
      <c r="A18651" s="140"/>
      <c r="B18651" s="192"/>
      <c r="C18651" s="140"/>
      <c r="D18651" s="140"/>
      <c r="E18651" s="140"/>
    </row>
    <row r="18652" spans="1:5">
      <c r="A18652" s="140"/>
      <c r="B18652" s="192"/>
      <c r="C18652" s="140"/>
      <c r="D18652" s="140"/>
      <c r="E18652" s="140"/>
    </row>
    <row r="18653" spans="1:5">
      <c r="A18653" s="140"/>
      <c r="B18653" s="192"/>
      <c r="C18653" s="140"/>
      <c r="D18653" s="140"/>
      <c r="E18653" s="140"/>
    </row>
    <row r="18654" spans="1:5">
      <c r="A18654" s="140"/>
      <c r="B18654" s="192"/>
      <c r="C18654" s="140"/>
      <c r="D18654" s="140"/>
      <c r="E18654" s="140"/>
    </row>
    <row r="18655" spans="1:5">
      <c r="A18655" s="140"/>
      <c r="B18655" s="192"/>
      <c r="C18655" s="140"/>
      <c r="D18655" s="140"/>
      <c r="E18655" s="140"/>
    </row>
    <row r="18656" spans="1:5">
      <c r="A18656" s="140"/>
      <c r="B18656" s="192"/>
      <c r="C18656" s="140"/>
      <c r="D18656" s="140"/>
      <c r="E18656" s="140"/>
    </row>
    <row r="18657" spans="1:5">
      <c r="A18657" s="140"/>
      <c r="B18657" s="192"/>
      <c r="C18657" s="140"/>
      <c r="D18657" s="140"/>
      <c r="E18657" s="140"/>
    </row>
    <row r="18658" spans="1:5">
      <c r="A18658" s="140"/>
      <c r="B18658" s="192"/>
      <c r="C18658" s="140"/>
      <c r="D18658" s="140"/>
      <c r="E18658" s="140"/>
    </row>
    <row r="18659" spans="1:5">
      <c r="A18659" s="140"/>
      <c r="B18659" s="192"/>
      <c r="C18659" s="140"/>
      <c r="D18659" s="140"/>
      <c r="E18659" s="140"/>
    </row>
    <row r="18660" spans="1:5">
      <c r="A18660" s="140"/>
      <c r="B18660" s="192"/>
      <c r="C18660" s="140"/>
      <c r="D18660" s="140"/>
      <c r="E18660" s="140"/>
    </row>
    <row r="18661" spans="1:5">
      <c r="A18661" s="140"/>
      <c r="B18661" s="192"/>
      <c r="C18661" s="140"/>
      <c r="D18661" s="140"/>
      <c r="E18661" s="140"/>
    </row>
    <row r="18662" spans="1:5">
      <c r="A18662" s="140"/>
      <c r="B18662" s="192"/>
      <c r="C18662" s="140"/>
      <c r="D18662" s="140"/>
      <c r="E18662" s="140"/>
    </row>
    <row r="18663" spans="1:5">
      <c r="A18663" s="140"/>
      <c r="B18663" s="192"/>
      <c r="C18663" s="140"/>
      <c r="D18663" s="140"/>
      <c r="E18663" s="140"/>
    </row>
    <row r="18664" spans="1:5">
      <c r="A18664" s="140"/>
      <c r="B18664" s="192"/>
      <c r="C18664" s="140"/>
      <c r="D18664" s="140"/>
      <c r="E18664" s="140"/>
    </row>
    <row r="18665" spans="1:5">
      <c r="A18665" s="140"/>
      <c r="B18665" s="192"/>
      <c r="C18665" s="140"/>
      <c r="D18665" s="140"/>
      <c r="E18665" s="140"/>
    </row>
    <row r="18666" spans="1:5">
      <c r="A18666" s="140"/>
      <c r="B18666" s="192"/>
      <c r="C18666" s="140"/>
      <c r="D18666" s="140"/>
      <c r="E18666" s="140"/>
    </row>
    <row r="18667" spans="1:5">
      <c r="A18667" s="140"/>
      <c r="B18667" s="192"/>
      <c r="C18667" s="140"/>
      <c r="D18667" s="140"/>
      <c r="E18667" s="140"/>
    </row>
    <row r="18668" spans="1:5">
      <c r="A18668" s="140"/>
      <c r="B18668" s="192"/>
      <c r="C18668" s="140"/>
      <c r="D18668" s="140"/>
      <c r="E18668" s="140"/>
    </row>
    <row r="18669" spans="1:5">
      <c r="A18669" s="140"/>
      <c r="B18669" s="192"/>
      <c r="C18669" s="140"/>
      <c r="D18669" s="140"/>
      <c r="E18669" s="140"/>
    </row>
    <row r="18670" spans="1:5">
      <c r="A18670" s="140"/>
      <c r="B18670" s="192"/>
      <c r="C18670" s="140"/>
      <c r="D18670" s="140"/>
      <c r="E18670" s="140"/>
    </row>
    <row r="18671" spans="1:5">
      <c r="A18671" s="140"/>
      <c r="B18671" s="192"/>
      <c r="C18671" s="140"/>
      <c r="D18671" s="140"/>
      <c r="E18671" s="140"/>
    </row>
    <row r="18672" spans="1:5">
      <c r="A18672" s="140"/>
      <c r="B18672" s="192"/>
      <c r="C18672" s="140"/>
      <c r="D18672" s="140"/>
      <c r="E18672" s="140"/>
    </row>
    <row r="18673" spans="1:5">
      <c r="A18673" s="140"/>
      <c r="B18673" s="192"/>
      <c r="C18673" s="140"/>
      <c r="D18673" s="140"/>
      <c r="E18673" s="140"/>
    </row>
    <row r="18674" spans="1:5">
      <c r="A18674" s="140"/>
      <c r="B18674" s="192"/>
      <c r="C18674" s="140"/>
      <c r="D18674" s="140"/>
      <c r="E18674" s="140"/>
    </row>
    <row r="18675" spans="1:5">
      <c r="A18675" s="140"/>
      <c r="B18675" s="192"/>
      <c r="C18675" s="140"/>
      <c r="D18675" s="140"/>
      <c r="E18675" s="140"/>
    </row>
    <row r="18676" spans="1:5">
      <c r="A18676" s="140"/>
      <c r="B18676" s="192"/>
      <c r="C18676" s="140"/>
      <c r="D18676" s="140"/>
      <c r="E18676" s="140"/>
    </row>
    <row r="18677" spans="1:5">
      <c r="A18677" s="140"/>
      <c r="B18677" s="192"/>
      <c r="C18677" s="140"/>
      <c r="D18677" s="140"/>
      <c r="E18677" s="140"/>
    </row>
    <row r="18678" spans="1:5">
      <c r="A18678" s="140"/>
      <c r="B18678" s="192"/>
      <c r="C18678" s="140"/>
      <c r="D18678" s="140"/>
      <c r="E18678" s="140"/>
    </row>
    <row r="18679" spans="1:5">
      <c r="A18679" s="140"/>
      <c r="B18679" s="192"/>
      <c r="C18679" s="140"/>
      <c r="D18679" s="140"/>
      <c r="E18679" s="140"/>
    </row>
    <row r="18680" spans="1:5">
      <c r="A18680" s="140"/>
      <c r="B18680" s="192"/>
      <c r="C18680" s="140"/>
      <c r="D18680" s="140"/>
      <c r="E18680" s="140"/>
    </row>
    <row r="18681" spans="1:5">
      <c r="A18681" s="140"/>
      <c r="B18681" s="192"/>
      <c r="C18681" s="140"/>
      <c r="D18681" s="140"/>
      <c r="E18681" s="140"/>
    </row>
    <row r="18682" spans="1:5">
      <c r="A18682" s="140"/>
      <c r="B18682" s="192"/>
      <c r="C18682" s="140"/>
      <c r="D18682" s="140"/>
      <c r="E18682" s="140"/>
    </row>
    <row r="18683" spans="1:5">
      <c r="A18683" s="140"/>
      <c r="B18683" s="192"/>
      <c r="C18683" s="140"/>
      <c r="D18683" s="140"/>
      <c r="E18683" s="140"/>
    </row>
    <row r="18684" spans="1:5">
      <c r="A18684" s="140"/>
      <c r="B18684" s="192"/>
      <c r="C18684" s="140"/>
      <c r="D18684" s="140"/>
      <c r="E18684" s="140"/>
    </row>
    <row r="18685" spans="1:5">
      <c r="A18685" s="140"/>
      <c r="B18685" s="192"/>
      <c r="C18685" s="140"/>
      <c r="D18685" s="140"/>
      <c r="E18685" s="140"/>
    </row>
    <row r="18686" spans="1:5">
      <c r="A18686" s="140"/>
      <c r="B18686" s="192"/>
      <c r="C18686" s="140"/>
      <c r="D18686" s="140"/>
      <c r="E18686" s="140"/>
    </row>
    <row r="18687" spans="1:5">
      <c r="A18687" s="140"/>
      <c r="B18687" s="192"/>
      <c r="C18687" s="140"/>
      <c r="D18687" s="140"/>
      <c r="E18687" s="140"/>
    </row>
    <row r="18688" spans="1:5">
      <c r="A18688" s="140"/>
      <c r="B18688" s="192"/>
      <c r="C18688" s="140"/>
      <c r="D18688" s="140"/>
      <c r="E18688" s="140"/>
    </row>
    <row r="18689" spans="1:5">
      <c r="A18689" s="140"/>
      <c r="B18689" s="192"/>
      <c r="C18689" s="140"/>
      <c r="D18689" s="140"/>
      <c r="E18689" s="140"/>
    </row>
    <row r="18690" spans="1:5">
      <c r="A18690" s="140"/>
      <c r="B18690" s="192"/>
      <c r="C18690" s="140"/>
      <c r="D18690" s="140"/>
      <c r="E18690" s="140"/>
    </row>
    <row r="18691" spans="1:5">
      <c r="A18691" s="140"/>
      <c r="B18691" s="192"/>
      <c r="C18691" s="140"/>
      <c r="D18691" s="140"/>
      <c r="E18691" s="140"/>
    </row>
    <row r="18692" spans="1:5">
      <c r="A18692" s="140"/>
      <c r="B18692" s="192"/>
      <c r="C18692" s="140"/>
      <c r="D18692" s="140"/>
      <c r="E18692" s="140"/>
    </row>
    <row r="18693" spans="1:5">
      <c r="A18693" s="140"/>
      <c r="B18693" s="192"/>
      <c r="C18693" s="140"/>
      <c r="D18693" s="140"/>
      <c r="E18693" s="140"/>
    </row>
    <row r="18694" spans="1:5">
      <c r="A18694" s="140"/>
      <c r="B18694" s="192"/>
      <c r="C18694" s="140"/>
      <c r="D18694" s="140"/>
      <c r="E18694" s="140"/>
    </row>
    <row r="18695" spans="1:5">
      <c r="A18695" s="140"/>
      <c r="B18695" s="192"/>
      <c r="C18695" s="140"/>
      <c r="D18695" s="140"/>
      <c r="E18695" s="140"/>
    </row>
    <row r="18696" spans="1:5">
      <c r="A18696" s="140"/>
      <c r="B18696" s="192"/>
      <c r="C18696" s="140"/>
      <c r="D18696" s="140"/>
      <c r="E18696" s="140"/>
    </row>
    <row r="18697" spans="1:5">
      <c r="A18697" s="140"/>
      <c r="B18697" s="192"/>
      <c r="C18697" s="140"/>
      <c r="D18697" s="140"/>
      <c r="E18697" s="140"/>
    </row>
    <row r="18698" spans="1:5">
      <c r="A18698" s="140"/>
      <c r="B18698" s="192"/>
      <c r="C18698" s="140"/>
      <c r="D18698" s="140"/>
      <c r="E18698" s="140"/>
    </row>
    <row r="18699" spans="1:5">
      <c r="A18699" s="140"/>
      <c r="B18699" s="192"/>
      <c r="C18699" s="140"/>
      <c r="D18699" s="140"/>
      <c r="E18699" s="140"/>
    </row>
    <row r="18700" spans="1:5">
      <c r="A18700" s="140"/>
      <c r="B18700" s="192"/>
      <c r="C18700" s="140"/>
      <c r="D18700" s="140"/>
      <c r="E18700" s="140"/>
    </row>
    <row r="18701" spans="1:5">
      <c r="A18701" s="140"/>
      <c r="B18701" s="192"/>
      <c r="C18701" s="140"/>
      <c r="D18701" s="140"/>
      <c r="E18701" s="140"/>
    </row>
    <row r="18702" spans="1:5">
      <c r="A18702" s="140"/>
      <c r="B18702" s="192"/>
      <c r="C18702" s="140"/>
      <c r="D18702" s="140"/>
      <c r="E18702" s="140"/>
    </row>
    <row r="18703" spans="1:5">
      <c r="A18703" s="140"/>
      <c r="B18703" s="192"/>
      <c r="C18703" s="140"/>
      <c r="D18703" s="140"/>
      <c r="E18703" s="140"/>
    </row>
    <row r="18704" spans="1:5">
      <c r="A18704" s="140"/>
      <c r="B18704" s="192"/>
      <c r="C18704" s="140"/>
      <c r="D18704" s="140"/>
      <c r="E18704" s="140"/>
    </row>
    <row r="18705" spans="1:5">
      <c r="A18705" s="140"/>
      <c r="B18705" s="192"/>
      <c r="C18705" s="140"/>
      <c r="D18705" s="140"/>
      <c r="E18705" s="140"/>
    </row>
    <row r="18706" spans="1:5">
      <c r="A18706" s="140"/>
      <c r="B18706" s="192"/>
      <c r="C18706" s="140"/>
      <c r="D18706" s="140"/>
      <c r="E18706" s="140"/>
    </row>
    <row r="18707" spans="1:5">
      <c r="A18707" s="140"/>
      <c r="B18707" s="192"/>
      <c r="C18707" s="140"/>
      <c r="D18707" s="140"/>
      <c r="E18707" s="140"/>
    </row>
    <row r="18708" spans="1:5">
      <c r="A18708" s="140"/>
      <c r="B18708" s="192"/>
      <c r="C18708" s="140"/>
      <c r="D18708" s="140"/>
      <c r="E18708" s="140"/>
    </row>
    <row r="18709" spans="1:5">
      <c r="A18709" s="140"/>
      <c r="B18709" s="192"/>
      <c r="C18709" s="140"/>
      <c r="D18709" s="140"/>
      <c r="E18709" s="140"/>
    </row>
    <row r="18710" spans="1:5">
      <c r="A18710" s="140"/>
      <c r="B18710" s="192"/>
      <c r="C18710" s="140"/>
      <c r="D18710" s="140"/>
      <c r="E18710" s="140"/>
    </row>
    <row r="18711" spans="1:5">
      <c r="A18711" s="140"/>
      <c r="B18711" s="192"/>
      <c r="C18711" s="140"/>
      <c r="D18711" s="140"/>
      <c r="E18711" s="140"/>
    </row>
    <row r="18712" spans="1:5">
      <c r="A18712" s="140"/>
      <c r="B18712" s="192"/>
      <c r="C18712" s="140"/>
      <c r="D18712" s="140"/>
      <c r="E18712" s="140"/>
    </row>
    <row r="18713" spans="1:5">
      <c r="A18713" s="140"/>
      <c r="B18713" s="192"/>
      <c r="C18713" s="140"/>
      <c r="D18713" s="140"/>
      <c r="E18713" s="140"/>
    </row>
    <row r="18714" spans="1:5">
      <c r="A18714" s="140"/>
      <c r="B18714" s="192"/>
      <c r="C18714" s="140"/>
      <c r="D18714" s="140"/>
      <c r="E18714" s="140"/>
    </row>
    <row r="18715" spans="1:5">
      <c r="A18715" s="140"/>
      <c r="B18715" s="192"/>
      <c r="C18715" s="140"/>
      <c r="D18715" s="140"/>
      <c r="E18715" s="140"/>
    </row>
    <row r="18716" spans="1:5">
      <c r="A18716" s="140"/>
      <c r="B18716" s="192"/>
      <c r="C18716" s="140"/>
      <c r="D18716" s="140"/>
      <c r="E18716" s="140"/>
    </row>
    <row r="18717" spans="1:5">
      <c r="A18717" s="140"/>
      <c r="B18717" s="192"/>
      <c r="C18717" s="140"/>
      <c r="D18717" s="140"/>
      <c r="E18717" s="140"/>
    </row>
    <row r="18718" spans="1:5">
      <c r="A18718" s="140"/>
      <c r="B18718" s="192"/>
      <c r="C18718" s="140"/>
      <c r="D18718" s="140"/>
      <c r="E18718" s="140"/>
    </row>
    <row r="18719" spans="1:5">
      <c r="A18719" s="140"/>
      <c r="B18719" s="192"/>
      <c r="C18719" s="140"/>
      <c r="D18719" s="140"/>
      <c r="E18719" s="140"/>
    </row>
    <row r="18720" spans="1:5">
      <c r="A18720" s="140"/>
      <c r="B18720" s="192"/>
      <c r="C18720" s="140"/>
      <c r="D18720" s="140"/>
      <c r="E18720" s="140"/>
    </row>
    <row r="18721" spans="1:5">
      <c r="A18721" s="140"/>
      <c r="B18721" s="192"/>
      <c r="C18721" s="140"/>
      <c r="D18721" s="140"/>
      <c r="E18721" s="140"/>
    </row>
    <row r="18722" spans="1:5">
      <c r="A18722" s="140"/>
      <c r="B18722" s="192"/>
      <c r="C18722" s="140"/>
      <c r="D18722" s="140"/>
      <c r="E18722" s="140"/>
    </row>
    <row r="18723" spans="1:5">
      <c r="A18723" s="140"/>
      <c r="B18723" s="192"/>
      <c r="C18723" s="140"/>
      <c r="D18723" s="140"/>
      <c r="E18723" s="140"/>
    </row>
    <row r="18724" spans="1:5">
      <c r="A18724" s="140"/>
      <c r="B18724" s="192"/>
      <c r="C18724" s="140"/>
      <c r="D18724" s="140"/>
      <c r="E18724" s="140"/>
    </row>
    <row r="18725" spans="1:5">
      <c r="A18725" s="140"/>
      <c r="B18725" s="192"/>
      <c r="C18725" s="140"/>
      <c r="D18725" s="140"/>
      <c r="E18725" s="140"/>
    </row>
    <row r="18726" spans="1:5">
      <c r="A18726" s="140"/>
      <c r="B18726" s="192"/>
      <c r="C18726" s="140"/>
      <c r="D18726" s="140"/>
      <c r="E18726" s="140"/>
    </row>
    <row r="18727" spans="1:5">
      <c r="A18727" s="140"/>
      <c r="B18727" s="192"/>
      <c r="C18727" s="140"/>
      <c r="D18727" s="140"/>
      <c r="E18727" s="140"/>
    </row>
    <row r="18728" spans="1:5">
      <c r="A18728" s="140"/>
      <c r="B18728" s="192"/>
      <c r="C18728" s="140"/>
      <c r="D18728" s="140"/>
      <c r="E18728" s="140"/>
    </row>
    <row r="18729" spans="1:5">
      <c r="A18729" s="140"/>
      <c r="B18729" s="192"/>
      <c r="C18729" s="140"/>
      <c r="D18729" s="140"/>
      <c r="E18729" s="140"/>
    </row>
    <row r="18730" spans="1:5">
      <c r="A18730" s="140"/>
      <c r="B18730" s="192"/>
      <c r="C18730" s="140"/>
      <c r="D18730" s="140"/>
      <c r="E18730" s="140"/>
    </row>
    <row r="18731" spans="1:5">
      <c r="A18731" s="140"/>
      <c r="B18731" s="192"/>
      <c r="C18731" s="140"/>
      <c r="D18731" s="140"/>
      <c r="E18731" s="140"/>
    </row>
    <row r="18732" spans="1:5">
      <c r="A18732" s="140"/>
      <c r="B18732" s="192"/>
      <c r="C18732" s="140"/>
      <c r="D18732" s="140"/>
      <c r="E18732" s="140"/>
    </row>
    <row r="18733" spans="1:5">
      <c r="A18733" s="140"/>
      <c r="B18733" s="192"/>
      <c r="C18733" s="140"/>
      <c r="D18733" s="140"/>
      <c r="E18733" s="140"/>
    </row>
    <row r="18734" spans="1:5">
      <c r="A18734" s="140"/>
      <c r="B18734" s="192"/>
      <c r="C18734" s="140"/>
      <c r="D18734" s="140"/>
      <c r="E18734" s="140"/>
    </row>
    <row r="18735" spans="1:5">
      <c r="A18735" s="140"/>
      <c r="B18735" s="192"/>
      <c r="C18735" s="140"/>
      <c r="D18735" s="140"/>
      <c r="E18735" s="140"/>
    </row>
    <row r="18736" spans="1:5">
      <c r="A18736" s="140"/>
      <c r="B18736" s="192"/>
      <c r="C18736" s="140"/>
      <c r="D18736" s="140"/>
      <c r="E18736" s="140"/>
    </row>
    <row r="18737" spans="1:5">
      <c r="A18737" s="140"/>
      <c r="B18737" s="192"/>
      <c r="C18737" s="140"/>
      <c r="D18737" s="140"/>
      <c r="E18737" s="140"/>
    </row>
    <row r="18738" spans="1:5">
      <c r="A18738" s="140"/>
      <c r="B18738" s="192"/>
      <c r="C18738" s="140"/>
      <c r="D18738" s="140"/>
      <c r="E18738" s="140"/>
    </row>
    <row r="18739" spans="1:5">
      <c r="A18739" s="140"/>
      <c r="B18739" s="192"/>
      <c r="C18739" s="140"/>
      <c r="D18739" s="140"/>
      <c r="E18739" s="140"/>
    </row>
    <row r="18740" spans="1:5">
      <c r="A18740" s="140"/>
      <c r="B18740" s="192"/>
      <c r="C18740" s="140"/>
      <c r="D18740" s="140"/>
      <c r="E18740" s="140"/>
    </row>
    <row r="18741" spans="1:5">
      <c r="A18741" s="140"/>
      <c r="B18741" s="192"/>
      <c r="C18741" s="140"/>
      <c r="D18741" s="140"/>
      <c r="E18741" s="140"/>
    </row>
    <row r="18742" spans="1:5">
      <c r="A18742" s="140"/>
      <c r="B18742" s="192"/>
      <c r="C18742" s="140"/>
      <c r="D18742" s="140"/>
      <c r="E18742" s="140"/>
    </row>
    <row r="18743" spans="1:5">
      <c r="A18743" s="140"/>
      <c r="B18743" s="192"/>
      <c r="C18743" s="140"/>
      <c r="D18743" s="140"/>
      <c r="E18743" s="140"/>
    </row>
    <row r="18744" spans="1:5">
      <c r="A18744" s="140"/>
      <c r="B18744" s="192"/>
      <c r="C18744" s="140"/>
      <c r="D18744" s="140"/>
      <c r="E18744" s="140"/>
    </row>
    <row r="18745" spans="1:5">
      <c r="A18745" s="140"/>
      <c r="B18745" s="192"/>
      <c r="C18745" s="140"/>
      <c r="D18745" s="140"/>
      <c r="E18745" s="140"/>
    </row>
    <row r="18746" spans="1:5">
      <c r="A18746" s="140"/>
      <c r="B18746" s="192"/>
      <c r="C18746" s="140"/>
      <c r="D18746" s="140"/>
      <c r="E18746" s="140"/>
    </row>
    <row r="18747" spans="1:5">
      <c r="A18747" s="140"/>
      <c r="B18747" s="192"/>
      <c r="C18747" s="140"/>
      <c r="D18747" s="140"/>
      <c r="E18747" s="140"/>
    </row>
    <row r="18748" spans="1:5">
      <c r="A18748" s="140"/>
      <c r="B18748" s="192"/>
      <c r="C18748" s="140"/>
      <c r="D18748" s="140"/>
      <c r="E18748" s="140"/>
    </row>
    <row r="18749" spans="1:5">
      <c r="A18749" s="140"/>
      <c r="B18749" s="192"/>
      <c r="C18749" s="140"/>
      <c r="D18749" s="140"/>
      <c r="E18749" s="140"/>
    </row>
    <row r="18750" spans="1:5">
      <c r="A18750" s="140"/>
      <c r="B18750" s="192"/>
      <c r="C18750" s="140"/>
      <c r="D18750" s="140"/>
      <c r="E18750" s="140"/>
    </row>
    <row r="18751" spans="1:5">
      <c r="A18751" s="140"/>
      <c r="B18751" s="192"/>
      <c r="C18751" s="140"/>
      <c r="D18751" s="140"/>
      <c r="E18751" s="140"/>
    </row>
    <row r="18752" spans="1:5">
      <c r="A18752" s="140"/>
      <c r="B18752" s="192"/>
      <c r="C18752" s="140"/>
      <c r="D18752" s="140"/>
      <c r="E18752" s="140"/>
    </row>
    <row r="18753" spans="1:5">
      <c r="A18753" s="140"/>
      <c r="B18753" s="192"/>
      <c r="C18753" s="140"/>
      <c r="D18753" s="140"/>
      <c r="E18753" s="140"/>
    </row>
    <row r="18754" spans="1:5">
      <c r="A18754" s="140"/>
      <c r="B18754" s="192"/>
      <c r="C18754" s="140"/>
      <c r="D18754" s="140"/>
      <c r="E18754" s="140"/>
    </row>
    <row r="18755" spans="1:5">
      <c r="A18755" s="140"/>
      <c r="B18755" s="192"/>
      <c r="C18755" s="140"/>
      <c r="D18755" s="140"/>
      <c r="E18755" s="140"/>
    </row>
    <row r="18756" spans="1:5">
      <c r="A18756" s="140"/>
      <c r="B18756" s="192"/>
      <c r="C18756" s="140"/>
      <c r="D18756" s="140"/>
      <c r="E18756" s="140"/>
    </row>
    <row r="18757" spans="1:5">
      <c r="A18757" s="140"/>
      <c r="B18757" s="192"/>
      <c r="C18757" s="140"/>
      <c r="D18757" s="140"/>
      <c r="E18757" s="140"/>
    </row>
    <row r="18758" spans="1:5">
      <c r="A18758" s="140"/>
      <c r="B18758" s="192"/>
      <c r="C18758" s="140"/>
      <c r="D18758" s="140"/>
      <c r="E18758" s="140"/>
    </row>
    <row r="18759" spans="1:5">
      <c r="A18759" s="140"/>
      <c r="B18759" s="192"/>
      <c r="C18759" s="140"/>
      <c r="D18759" s="140"/>
      <c r="E18759" s="140"/>
    </row>
    <row r="18760" spans="1:5">
      <c r="A18760" s="140"/>
      <c r="B18760" s="192"/>
      <c r="C18760" s="140"/>
      <c r="D18760" s="140"/>
      <c r="E18760" s="140"/>
    </row>
    <row r="18761" spans="1:5">
      <c r="A18761" s="140"/>
      <c r="B18761" s="192"/>
      <c r="C18761" s="140"/>
      <c r="D18761" s="140"/>
      <c r="E18761" s="140"/>
    </row>
    <row r="18762" spans="1:5">
      <c r="A18762" s="140"/>
      <c r="B18762" s="192"/>
      <c r="C18762" s="140"/>
      <c r="D18762" s="140"/>
      <c r="E18762" s="140"/>
    </row>
    <row r="18763" spans="1:5">
      <c r="A18763" s="140"/>
      <c r="B18763" s="192"/>
      <c r="C18763" s="140"/>
      <c r="D18763" s="140"/>
      <c r="E18763" s="140"/>
    </row>
    <row r="18764" spans="1:5">
      <c r="A18764" s="140"/>
      <c r="B18764" s="192"/>
      <c r="C18764" s="140"/>
      <c r="D18764" s="140"/>
      <c r="E18764" s="140"/>
    </row>
    <row r="18765" spans="1:5">
      <c r="A18765" s="140"/>
      <c r="B18765" s="192"/>
      <c r="C18765" s="140"/>
      <c r="D18765" s="140"/>
      <c r="E18765" s="140"/>
    </row>
    <row r="18766" spans="1:5">
      <c r="A18766" s="140"/>
      <c r="B18766" s="192"/>
      <c r="C18766" s="140"/>
      <c r="D18766" s="140"/>
      <c r="E18766" s="140"/>
    </row>
    <row r="18767" spans="1:5">
      <c r="A18767" s="140"/>
      <c r="B18767" s="192"/>
      <c r="C18767" s="140"/>
      <c r="D18767" s="140"/>
      <c r="E18767" s="140"/>
    </row>
    <row r="18768" spans="1:5">
      <c r="A18768" s="140"/>
      <c r="B18768" s="192"/>
      <c r="C18768" s="140"/>
      <c r="D18768" s="140"/>
      <c r="E18768" s="140"/>
    </row>
    <row r="18769" spans="1:5">
      <c r="A18769" s="140"/>
      <c r="B18769" s="192"/>
      <c r="C18769" s="140"/>
      <c r="D18769" s="140"/>
      <c r="E18769" s="140"/>
    </row>
    <row r="18770" spans="1:5">
      <c r="A18770" s="140"/>
      <c r="B18770" s="192"/>
      <c r="C18770" s="140"/>
      <c r="D18770" s="140"/>
      <c r="E18770" s="140"/>
    </row>
    <row r="18771" spans="1:5">
      <c r="A18771" s="140"/>
      <c r="B18771" s="192"/>
      <c r="C18771" s="140"/>
      <c r="D18771" s="140"/>
      <c r="E18771" s="140"/>
    </row>
    <row r="18772" spans="1:5">
      <c r="A18772" s="140"/>
      <c r="B18772" s="192"/>
      <c r="C18772" s="140"/>
      <c r="D18772" s="140"/>
      <c r="E18772" s="140"/>
    </row>
    <row r="18773" spans="1:5">
      <c r="A18773" s="140"/>
      <c r="B18773" s="192"/>
      <c r="C18773" s="140"/>
      <c r="D18773" s="140"/>
      <c r="E18773" s="140"/>
    </row>
    <row r="18774" spans="1:5">
      <c r="A18774" s="140"/>
      <c r="B18774" s="192"/>
      <c r="C18774" s="140"/>
      <c r="D18774" s="140"/>
      <c r="E18774" s="140"/>
    </row>
    <row r="18775" spans="1:5">
      <c r="A18775" s="140"/>
      <c r="B18775" s="192"/>
      <c r="C18775" s="140"/>
      <c r="D18775" s="140"/>
      <c r="E18775" s="140"/>
    </row>
    <row r="18776" spans="1:5">
      <c r="A18776" s="140"/>
      <c r="B18776" s="192"/>
      <c r="C18776" s="140"/>
      <c r="D18776" s="140"/>
      <c r="E18776" s="140"/>
    </row>
    <row r="18777" spans="1:5">
      <c r="A18777" s="140"/>
      <c r="B18777" s="192"/>
      <c r="C18777" s="140"/>
      <c r="D18777" s="140"/>
      <c r="E18777" s="140"/>
    </row>
    <row r="18778" spans="1:5">
      <c r="A18778" s="140"/>
      <c r="B18778" s="192"/>
      <c r="C18778" s="140"/>
      <c r="D18778" s="140"/>
      <c r="E18778" s="140"/>
    </row>
    <row r="18779" spans="1:5">
      <c r="A18779" s="140"/>
      <c r="B18779" s="192"/>
      <c r="C18779" s="140"/>
      <c r="D18779" s="140"/>
      <c r="E18779" s="140"/>
    </row>
    <row r="18780" spans="1:5">
      <c r="A18780" s="140"/>
      <c r="B18780" s="192"/>
      <c r="C18780" s="140"/>
      <c r="D18780" s="140"/>
      <c r="E18780" s="140"/>
    </row>
    <row r="18781" spans="1:5">
      <c r="A18781" s="140"/>
      <c r="B18781" s="192"/>
      <c r="C18781" s="140"/>
      <c r="D18781" s="140"/>
      <c r="E18781" s="140"/>
    </row>
    <row r="18782" spans="1:5">
      <c r="A18782" s="140"/>
      <c r="B18782" s="192"/>
      <c r="C18782" s="140"/>
      <c r="D18782" s="140"/>
      <c r="E18782" s="140"/>
    </row>
    <row r="18783" spans="1:5">
      <c r="A18783" s="140"/>
      <c r="B18783" s="192"/>
      <c r="C18783" s="140"/>
      <c r="D18783" s="140"/>
      <c r="E18783" s="140"/>
    </row>
    <row r="18784" spans="1:5">
      <c r="A18784" s="140"/>
      <c r="B18784" s="192"/>
      <c r="C18784" s="140"/>
      <c r="D18784" s="140"/>
      <c r="E18784" s="140"/>
    </row>
    <row r="18785" spans="1:5">
      <c r="A18785" s="140"/>
      <c r="B18785" s="192"/>
      <c r="C18785" s="140"/>
      <c r="D18785" s="140"/>
      <c r="E18785" s="140"/>
    </row>
    <row r="18786" spans="1:5">
      <c r="A18786" s="140"/>
      <c r="B18786" s="192"/>
      <c r="C18786" s="140"/>
      <c r="D18786" s="140"/>
      <c r="E18786" s="140"/>
    </row>
    <row r="18787" spans="1:5">
      <c r="A18787" s="140"/>
      <c r="B18787" s="192"/>
      <c r="C18787" s="140"/>
      <c r="D18787" s="140"/>
      <c r="E18787" s="140"/>
    </row>
    <row r="18788" spans="1:5">
      <c r="A18788" s="140"/>
      <c r="B18788" s="192"/>
      <c r="C18788" s="140"/>
      <c r="D18788" s="140"/>
      <c r="E18788" s="140"/>
    </row>
    <row r="18789" spans="1:5">
      <c r="A18789" s="140"/>
      <c r="B18789" s="192"/>
      <c r="C18789" s="140"/>
      <c r="D18789" s="140"/>
      <c r="E18789" s="140"/>
    </row>
    <row r="18790" spans="1:5">
      <c r="A18790" s="140"/>
      <c r="B18790" s="192"/>
      <c r="C18790" s="140"/>
      <c r="D18790" s="140"/>
      <c r="E18790" s="140"/>
    </row>
    <row r="18791" spans="1:5">
      <c r="A18791" s="140"/>
      <c r="B18791" s="192"/>
      <c r="C18791" s="140"/>
      <c r="D18791" s="140"/>
      <c r="E18791" s="140"/>
    </row>
    <row r="18792" spans="1:5">
      <c r="A18792" s="140"/>
      <c r="B18792" s="192"/>
      <c r="C18792" s="140"/>
      <c r="D18792" s="140"/>
      <c r="E18792" s="140"/>
    </row>
    <row r="18793" spans="1:5">
      <c r="A18793" s="140"/>
      <c r="B18793" s="192"/>
      <c r="C18793" s="140"/>
      <c r="D18793" s="140"/>
      <c r="E18793" s="140"/>
    </row>
    <row r="18794" spans="1:5">
      <c r="A18794" s="140"/>
      <c r="B18794" s="192"/>
      <c r="C18794" s="140"/>
      <c r="D18794" s="140"/>
      <c r="E18794" s="140"/>
    </row>
    <row r="18795" spans="1:5">
      <c r="A18795" s="140"/>
      <c r="B18795" s="192"/>
      <c r="C18795" s="140"/>
      <c r="D18795" s="140"/>
      <c r="E18795" s="140"/>
    </row>
    <row r="18796" spans="1:5">
      <c r="A18796" s="140"/>
      <c r="B18796" s="192"/>
      <c r="C18796" s="140"/>
      <c r="D18796" s="140"/>
      <c r="E18796" s="140"/>
    </row>
    <row r="18797" spans="1:5">
      <c r="A18797" s="140"/>
      <c r="B18797" s="192"/>
      <c r="C18797" s="140"/>
      <c r="D18797" s="140"/>
      <c r="E18797" s="140"/>
    </row>
    <row r="18798" spans="1:5">
      <c r="A18798" s="140"/>
      <c r="B18798" s="192"/>
      <c r="C18798" s="140"/>
      <c r="D18798" s="140"/>
      <c r="E18798" s="140"/>
    </row>
    <row r="18799" spans="1:5">
      <c r="A18799" s="140"/>
      <c r="B18799" s="192"/>
      <c r="C18799" s="140"/>
      <c r="D18799" s="140"/>
      <c r="E18799" s="140"/>
    </row>
    <row r="18800" spans="1:5">
      <c r="A18800" s="140"/>
      <c r="B18800" s="192"/>
      <c r="C18800" s="140"/>
      <c r="D18800" s="140"/>
      <c r="E18800" s="140"/>
    </row>
    <row r="18801" spans="1:5">
      <c r="A18801" s="140"/>
      <c r="B18801" s="192"/>
      <c r="C18801" s="140"/>
      <c r="D18801" s="140"/>
      <c r="E18801" s="140"/>
    </row>
    <row r="18802" spans="1:5">
      <c r="A18802" s="140"/>
      <c r="B18802" s="192"/>
      <c r="C18802" s="140"/>
      <c r="D18802" s="140"/>
      <c r="E18802" s="140"/>
    </row>
    <row r="18803" spans="1:5">
      <c r="A18803" s="140"/>
      <c r="B18803" s="192"/>
      <c r="C18803" s="140"/>
      <c r="D18803" s="140"/>
      <c r="E18803" s="140"/>
    </row>
    <row r="18804" spans="1:5">
      <c r="A18804" s="140"/>
      <c r="B18804" s="192"/>
      <c r="C18804" s="140"/>
      <c r="D18804" s="140"/>
      <c r="E18804" s="140"/>
    </row>
    <row r="18805" spans="1:5">
      <c r="A18805" s="140"/>
      <c r="B18805" s="192"/>
      <c r="C18805" s="140"/>
      <c r="D18805" s="140"/>
      <c r="E18805" s="140"/>
    </row>
    <row r="18806" spans="1:5">
      <c r="A18806" s="140"/>
      <c r="B18806" s="192"/>
      <c r="C18806" s="140"/>
      <c r="D18806" s="140"/>
      <c r="E18806" s="140"/>
    </row>
    <row r="18807" spans="1:5">
      <c r="A18807" s="140"/>
      <c r="B18807" s="192"/>
      <c r="C18807" s="140"/>
      <c r="D18807" s="140"/>
      <c r="E18807" s="140"/>
    </row>
    <row r="18808" spans="1:5">
      <c r="A18808" s="140"/>
      <c r="B18808" s="192"/>
      <c r="C18808" s="140"/>
      <c r="D18808" s="140"/>
      <c r="E18808" s="140"/>
    </row>
    <row r="18809" spans="1:5">
      <c r="A18809" s="140"/>
      <c r="B18809" s="192"/>
      <c r="C18809" s="140"/>
      <c r="D18809" s="140"/>
      <c r="E18809" s="140"/>
    </row>
    <row r="18810" spans="1:5">
      <c r="A18810" s="140"/>
      <c r="B18810" s="192"/>
      <c r="C18810" s="140"/>
      <c r="D18810" s="140"/>
      <c r="E18810" s="140"/>
    </row>
    <row r="18811" spans="1:5">
      <c r="A18811" s="140"/>
      <c r="B18811" s="192"/>
      <c r="C18811" s="140"/>
      <c r="D18811" s="140"/>
      <c r="E18811" s="140"/>
    </row>
    <row r="18812" spans="1:5">
      <c r="A18812" s="140"/>
      <c r="B18812" s="192"/>
      <c r="C18812" s="140"/>
      <c r="D18812" s="140"/>
      <c r="E18812" s="140"/>
    </row>
    <row r="18813" spans="1:5">
      <c r="A18813" s="140"/>
      <c r="B18813" s="192"/>
      <c r="C18813" s="140"/>
      <c r="D18813" s="140"/>
      <c r="E18813" s="140"/>
    </row>
    <row r="18814" spans="1:5">
      <c r="A18814" s="140"/>
      <c r="B18814" s="192"/>
      <c r="C18814" s="140"/>
      <c r="D18814" s="140"/>
      <c r="E18814" s="140"/>
    </row>
    <row r="18815" spans="1:5">
      <c r="A18815" s="140"/>
      <c r="B18815" s="192"/>
      <c r="C18815" s="140"/>
      <c r="D18815" s="140"/>
      <c r="E18815" s="140"/>
    </row>
    <row r="18816" spans="1:5">
      <c r="A18816" s="140"/>
      <c r="B18816" s="192"/>
      <c r="C18816" s="140"/>
      <c r="D18816" s="140"/>
      <c r="E18816" s="140"/>
    </row>
    <row r="18817" spans="1:5">
      <c r="A18817" s="140"/>
      <c r="B18817" s="192"/>
      <c r="C18817" s="140"/>
      <c r="D18817" s="140"/>
      <c r="E18817" s="140"/>
    </row>
    <row r="18818" spans="1:5">
      <c r="A18818" s="140"/>
      <c r="B18818" s="192"/>
      <c r="C18818" s="140"/>
      <c r="D18818" s="140"/>
      <c r="E18818" s="140"/>
    </row>
    <row r="18819" spans="1:5">
      <c r="A18819" s="140"/>
      <c r="B18819" s="192"/>
      <c r="C18819" s="140"/>
      <c r="D18819" s="140"/>
      <c r="E18819" s="140"/>
    </row>
    <row r="18820" spans="1:5">
      <c r="A18820" s="140"/>
      <c r="B18820" s="192"/>
      <c r="C18820" s="140"/>
      <c r="D18820" s="140"/>
      <c r="E18820" s="140"/>
    </row>
    <row r="18821" spans="1:5">
      <c r="A18821" s="140"/>
      <c r="B18821" s="192"/>
      <c r="C18821" s="140"/>
      <c r="D18821" s="140"/>
      <c r="E18821" s="140"/>
    </row>
    <row r="18822" spans="1:5">
      <c r="A18822" s="140"/>
      <c r="B18822" s="192"/>
      <c r="C18822" s="140"/>
      <c r="D18822" s="140"/>
      <c r="E18822" s="140"/>
    </row>
    <row r="18823" spans="1:5">
      <c r="A18823" s="140"/>
      <c r="B18823" s="192"/>
      <c r="C18823" s="140"/>
      <c r="D18823" s="140"/>
      <c r="E18823" s="140"/>
    </row>
    <row r="18824" spans="1:5">
      <c r="A18824" s="140"/>
      <c r="B18824" s="192"/>
      <c r="C18824" s="140"/>
      <c r="D18824" s="140"/>
      <c r="E18824" s="140"/>
    </row>
    <row r="18825" spans="1:5">
      <c r="A18825" s="140"/>
      <c r="B18825" s="192"/>
      <c r="C18825" s="140"/>
      <c r="D18825" s="140"/>
      <c r="E18825" s="140"/>
    </row>
    <row r="18826" spans="1:5">
      <c r="A18826" s="140"/>
      <c r="B18826" s="192"/>
      <c r="C18826" s="140"/>
      <c r="D18826" s="140"/>
      <c r="E18826" s="140"/>
    </row>
    <row r="18827" spans="1:5">
      <c r="A18827" s="140"/>
      <c r="B18827" s="192"/>
      <c r="C18827" s="140"/>
      <c r="D18827" s="140"/>
      <c r="E18827" s="140"/>
    </row>
    <row r="18828" spans="1:5">
      <c r="A18828" s="140"/>
      <c r="B18828" s="192"/>
      <c r="C18828" s="140"/>
      <c r="D18828" s="140"/>
      <c r="E18828" s="140"/>
    </row>
    <row r="18829" spans="1:5">
      <c r="A18829" s="140"/>
      <c r="B18829" s="192"/>
      <c r="C18829" s="140"/>
      <c r="D18829" s="140"/>
      <c r="E18829" s="140"/>
    </row>
    <row r="18830" spans="1:5">
      <c r="A18830" s="140"/>
      <c r="B18830" s="192"/>
      <c r="C18830" s="140"/>
      <c r="D18830" s="140"/>
      <c r="E18830" s="140"/>
    </row>
    <row r="18831" spans="1:5">
      <c r="A18831" s="140"/>
      <c r="B18831" s="192"/>
      <c r="C18831" s="140"/>
      <c r="D18831" s="140"/>
      <c r="E18831" s="140"/>
    </row>
    <row r="18832" spans="1:5">
      <c r="A18832" s="140"/>
      <c r="B18832" s="192"/>
      <c r="C18832" s="140"/>
      <c r="D18832" s="140"/>
      <c r="E18832" s="140"/>
    </row>
    <row r="18833" spans="1:5">
      <c r="A18833" s="140"/>
      <c r="B18833" s="192"/>
      <c r="C18833" s="140"/>
      <c r="D18833" s="140"/>
      <c r="E18833" s="140"/>
    </row>
    <row r="18834" spans="1:5">
      <c r="A18834" s="140"/>
      <c r="B18834" s="192"/>
      <c r="C18834" s="140"/>
      <c r="D18834" s="140"/>
      <c r="E18834" s="140"/>
    </row>
    <row r="18835" spans="1:5">
      <c r="A18835" s="140"/>
      <c r="B18835" s="192"/>
      <c r="C18835" s="140"/>
      <c r="D18835" s="140"/>
      <c r="E18835" s="140"/>
    </row>
    <row r="18836" spans="1:5">
      <c r="A18836" s="140"/>
      <c r="B18836" s="192"/>
      <c r="C18836" s="140"/>
      <c r="D18836" s="140"/>
      <c r="E18836" s="140"/>
    </row>
    <row r="18837" spans="1:5">
      <c r="A18837" s="140"/>
      <c r="B18837" s="192"/>
      <c r="C18837" s="140"/>
      <c r="D18837" s="140"/>
      <c r="E18837" s="140"/>
    </row>
    <row r="18838" spans="1:5">
      <c r="A18838" s="140"/>
      <c r="B18838" s="192"/>
      <c r="C18838" s="140"/>
      <c r="D18838" s="140"/>
      <c r="E18838" s="140"/>
    </row>
    <row r="18839" spans="1:5">
      <c r="A18839" s="140"/>
      <c r="B18839" s="192"/>
      <c r="C18839" s="140"/>
      <c r="D18839" s="140"/>
      <c r="E18839" s="140"/>
    </row>
    <row r="18840" spans="1:5">
      <c r="A18840" s="140"/>
      <c r="B18840" s="192"/>
      <c r="C18840" s="140"/>
      <c r="D18840" s="140"/>
      <c r="E18840" s="140"/>
    </row>
    <row r="18841" spans="1:5">
      <c r="A18841" s="140"/>
      <c r="B18841" s="192"/>
      <c r="C18841" s="140"/>
      <c r="D18841" s="140"/>
      <c r="E18841" s="140"/>
    </row>
    <row r="18842" spans="1:5">
      <c r="A18842" s="140"/>
      <c r="B18842" s="192"/>
      <c r="C18842" s="140"/>
      <c r="D18842" s="140"/>
      <c r="E18842" s="140"/>
    </row>
    <row r="18843" spans="1:5">
      <c r="A18843" s="140"/>
      <c r="B18843" s="192"/>
      <c r="C18843" s="140"/>
      <c r="D18843" s="140"/>
      <c r="E18843" s="140"/>
    </row>
    <row r="18844" spans="1:5">
      <c r="A18844" s="140"/>
      <c r="B18844" s="192"/>
      <c r="C18844" s="140"/>
      <c r="D18844" s="140"/>
      <c r="E18844" s="140"/>
    </row>
    <row r="18845" spans="1:5">
      <c r="A18845" s="140"/>
      <c r="B18845" s="192"/>
      <c r="C18845" s="140"/>
      <c r="D18845" s="140"/>
      <c r="E18845" s="140"/>
    </row>
    <row r="18846" spans="1:5">
      <c r="A18846" s="140"/>
      <c r="B18846" s="192"/>
      <c r="C18846" s="140"/>
      <c r="D18846" s="140"/>
      <c r="E18846" s="140"/>
    </row>
    <row r="18847" spans="1:5">
      <c r="A18847" s="140"/>
      <c r="B18847" s="192"/>
      <c r="C18847" s="140"/>
      <c r="D18847" s="140"/>
      <c r="E18847" s="140"/>
    </row>
    <row r="18848" spans="1:5">
      <c r="A18848" s="140"/>
      <c r="B18848" s="192"/>
      <c r="C18848" s="140"/>
      <c r="D18848" s="140"/>
      <c r="E18848" s="140"/>
    </row>
    <row r="18849" spans="1:5">
      <c r="A18849" s="140"/>
      <c r="B18849" s="192"/>
      <c r="C18849" s="140"/>
      <c r="D18849" s="140"/>
      <c r="E18849" s="140"/>
    </row>
    <row r="18850" spans="1:5">
      <c r="A18850" s="140"/>
      <c r="B18850" s="192"/>
      <c r="C18850" s="140"/>
      <c r="D18850" s="140"/>
      <c r="E18850" s="140"/>
    </row>
    <row r="18851" spans="1:5">
      <c r="A18851" s="140"/>
      <c r="B18851" s="192"/>
      <c r="C18851" s="140"/>
      <c r="D18851" s="140"/>
      <c r="E18851" s="140"/>
    </row>
    <row r="18852" spans="1:5">
      <c r="A18852" s="140"/>
      <c r="B18852" s="192"/>
      <c r="C18852" s="140"/>
      <c r="D18852" s="140"/>
      <c r="E18852" s="140"/>
    </row>
    <row r="18853" spans="1:5">
      <c r="A18853" s="140"/>
      <c r="B18853" s="192"/>
      <c r="C18853" s="140"/>
      <c r="D18853" s="140"/>
      <c r="E18853" s="140"/>
    </row>
    <row r="18854" spans="1:5">
      <c r="A18854" s="140"/>
      <c r="B18854" s="192"/>
      <c r="C18854" s="140"/>
      <c r="D18854" s="140"/>
      <c r="E18854" s="140"/>
    </row>
    <row r="18855" spans="1:5">
      <c r="A18855" s="140"/>
      <c r="B18855" s="192"/>
      <c r="C18855" s="140"/>
      <c r="D18855" s="140"/>
      <c r="E18855" s="140"/>
    </row>
    <row r="18856" spans="1:5">
      <c r="A18856" s="140"/>
      <c r="B18856" s="192"/>
      <c r="C18856" s="140"/>
      <c r="D18856" s="140"/>
      <c r="E18856" s="140"/>
    </row>
    <row r="18857" spans="1:5">
      <c r="A18857" s="140"/>
      <c r="B18857" s="192"/>
      <c r="C18857" s="140"/>
      <c r="D18857" s="140"/>
      <c r="E18857" s="140"/>
    </row>
    <row r="18858" spans="1:5">
      <c r="A18858" s="140"/>
      <c r="B18858" s="192"/>
      <c r="C18858" s="140"/>
      <c r="D18858" s="140"/>
      <c r="E18858" s="140"/>
    </row>
    <row r="18859" spans="1:5">
      <c r="A18859" s="140"/>
      <c r="B18859" s="192"/>
      <c r="C18859" s="140"/>
      <c r="D18859" s="140"/>
      <c r="E18859" s="140"/>
    </row>
    <row r="18860" spans="1:5">
      <c r="A18860" s="140"/>
      <c r="B18860" s="192"/>
      <c r="C18860" s="140"/>
      <c r="D18860" s="140"/>
      <c r="E18860" s="140"/>
    </row>
    <row r="18861" spans="1:5">
      <c r="A18861" s="140"/>
      <c r="B18861" s="192"/>
      <c r="C18861" s="140"/>
      <c r="D18861" s="140"/>
      <c r="E18861" s="140"/>
    </row>
    <row r="18862" spans="1:5">
      <c r="A18862" s="140"/>
      <c r="B18862" s="192"/>
      <c r="C18862" s="140"/>
      <c r="D18862" s="140"/>
      <c r="E18862" s="140"/>
    </row>
    <row r="18863" spans="1:5">
      <c r="A18863" s="140"/>
      <c r="B18863" s="192"/>
      <c r="C18863" s="140"/>
      <c r="D18863" s="140"/>
      <c r="E18863" s="140"/>
    </row>
    <row r="18864" spans="1:5">
      <c r="A18864" s="140"/>
      <c r="B18864" s="192"/>
      <c r="C18864" s="140"/>
      <c r="D18864" s="140"/>
      <c r="E18864" s="140"/>
    </row>
    <row r="18865" spans="1:5">
      <c r="A18865" s="140"/>
      <c r="B18865" s="192"/>
      <c r="C18865" s="140"/>
      <c r="D18865" s="140"/>
      <c r="E18865" s="140"/>
    </row>
    <row r="18866" spans="1:5">
      <c r="A18866" s="140"/>
      <c r="B18866" s="192"/>
      <c r="C18866" s="140"/>
      <c r="D18866" s="140"/>
      <c r="E18866" s="140"/>
    </row>
    <row r="18867" spans="1:5">
      <c r="A18867" s="140"/>
      <c r="B18867" s="192"/>
      <c r="C18867" s="140"/>
      <c r="D18867" s="140"/>
      <c r="E18867" s="140"/>
    </row>
    <row r="18868" spans="1:5">
      <c r="A18868" s="140"/>
      <c r="B18868" s="192"/>
      <c r="C18868" s="140"/>
      <c r="D18868" s="140"/>
      <c r="E18868" s="140"/>
    </row>
    <row r="18869" spans="1:5">
      <c r="A18869" s="140"/>
      <c r="B18869" s="192"/>
      <c r="C18869" s="140"/>
      <c r="D18869" s="140"/>
      <c r="E18869" s="140"/>
    </row>
    <row r="18870" spans="1:5">
      <c r="A18870" s="140"/>
      <c r="B18870" s="192"/>
      <c r="C18870" s="140"/>
      <c r="D18870" s="140"/>
      <c r="E18870" s="140"/>
    </row>
    <row r="18871" spans="1:5">
      <c r="A18871" s="140"/>
      <c r="B18871" s="192"/>
      <c r="C18871" s="140"/>
      <c r="D18871" s="140"/>
      <c r="E18871" s="140"/>
    </row>
    <row r="18872" spans="1:5">
      <c r="A18872" s="140"/>
      <c r="B18872" s="192"/>
      <c r="C18872" s="140"/>
      <c r="D18872" s="140"/>
      <c r="E18872" s="140"/>
    </row>
    <row r="18873" spans="1:5">
      <c r="A18873" s="140"/>
      <c r="B18873" s="192"/>
      <c r="C18873" s="140"/>
      <c r="D18873" s="140"/>
      <c r="E18873" s="140"/>
    </row>
    <row r="18874" spans="1:5">
      <c r="A18874" s="140"/>
      <c r="B18874" s="192"/>
      <c r="C18874" s="140"/>
      <c r="D18874" s="140"/>
      <c r="E18874" s="140"/>
    </row>
    <row r="18875" spans="1:5">
      <c r="A18875" s="140"/>
      <c r="B18875" s="192"/>
      <c r="C18875" s="140"/>
      <c r="D18875" s="140"/>
      <c r="E18875" s="140"/>
    </row>
    <row r="18876" spans="1:5">
      <c r="A18876" s="140"/>
      <c r="B18876" s="192"/>
      <c r="C18876" s="140"/>
      <c r="D18876" s="140"/>
      <c r="E18876" s="140"/>
    </row>
    <row r="18877" spans="1:5">
      <c r="A18877" s="140"/>
      <c r="B18877" s="192"/>
      <c r="C18877" s="140"/>
      <c r="D18877" s="140"/>
      <c r="E18877" s="140"/>
    </row>
    <row r="18878" spans="1:5">
      <c r="A18878" s="140"/>
      <c r="B18878" s="192"/>
      <c r="C18878" s="140"/>
      <c r="D18878" s="140"/>
      <c r="E18878" s="140"/>
    </row>
    <row r="18879" spans="1:5">
      <c r="A18879" s="140"/>
      <c r="B18879" s="192"/>
      <c r="C18879" s="140"/>
      <c r="D18879" s="140"/>
      <c r="E18879" s="140"/>
    </row>
    <row r="18880" spans="1:5">
      <c r="A18880" s="140"/>
      <c r="B18880" s="192"/>
      <c r="C18880" s="140"/>
      <c r="D18880" s="140"/>
      <c r="E18880" s="140"/>
    </row>
    <row r="18881" spans="1:5">
      <c r="A18881" s="140"/>
      <c r="B18881" s="192"/>
      <c r="C18881" s="140"/>
      <c r="D18881" s="140"/>
      <c r="E18881" s="140"/>
    </row>
    <row r="18882" spans="1:5">
      <c r="A18882" s="140"/>
      <c r="B18882" s="192"/>
      <c r="C18882" s="140"/>
      <c r="D18882" s="140"/>
      <c r="E18882" s="140"/>
    </row>
    <row r="18883" spans="1:5">
      <c r="A18883" s="140"/>
      <c r="B18883" s="192"/>
      <c r="C18883" s="140"/>
      <c r="D18883" s="140"/>
      <c r="E18883" s="140"/>
    </row>
    <row r="18884" spans="1:5">
      <c r="A18884" s="140"/>
      <c r="B18884" s="192"/>
      <c r="C18884" s="140"/>
      <c r="D18884" s="140"/>
      <c r="E18884" s="140"/>
    </row>
    <row r="18885" spans="1:5">
      <c r="A18885" s="140"/>
      <c r="B18885" s="192"/>
      <c r="C18885" s="140"/>
      <c r="D18885" s="140"/>
      <c r="E18885" s="140"/>
    </row>
    <row r="18886" spans="1:5">
      <c r="A18886" s="140"/>
      <c r="B18886" s="192"/>
      <c r="C18886" s="140"/>
      <c r="D18886" s="140"/>
      <c r="E18886" s="140"/>
    </row>
    <row r="18887" spans="1:5">
      <c r="A18887" s="140"/>
      <c r="B18887" s="192"/>
      <c r="C18887" s="140"/>
      <c r="D18887" s="140"/>
      <c r="E18887" s="140"/>
    </row>
    <row r="18888" spans="1:5">
      <c r="A18888" s="140"/>
      <c r="B18888" s="192"/>
      <c r="C18888" s="140"/>
      <c r="D18888" s="140"/>
      <c r="E18888" s="140"/>
    </row>
    <row r="18889" spans="1:5">
      <c r="A18889" s="140"/>
      <c r="B18889" s="192"/>
      <c r="C18889" s="140"/>
      <c r="D18889" s="140"/>
      <c r="E18889" s="140"/>
    </row>
    <row r="18890" spans="1:5">
      <c r="A18890" s="140"/>
      <c r="B18890" s="192"/>
      <c r="C18890" s="140"/>
      <c r="D18890" s="140"/>
      <c r="E18890" s="140"/>
    </row>
    <row r="18891" spans="1:5">
      <c r="A18891" s="140"/>
      <c r="B18891" s="192"/>
      <c r="C18891" s="140"/>
      <c r="D18891" s="140"/>
      <c r="E18891" s="140"/>
    </row>
    <row r="18892" spans="1:5">
      <c r="A18892" s="140"/>
      <c r="B18892" s="192"/>
      <c r="C18892" s="140"/>
      <c r="D18892" s="140"/>
      <c r="E18892" s="140"/>
    </row>
    <row r="18893" spans="1:5">
      <c r="A18893" s="140"/>
      <c r="B18893" s="192"/>
      <c r="C18893" s="140"/>
      <c r="D18893" s="140"/>
      <c r="E18893" s="140"/>
    </row>
    <row r="18894" spans="1:5">
      <c r="A18894" s="140"/>
      <c r="B18894" s="192"/>
      <c r="C18894" s="140"/>
      <c r="D18894" s="140"/>
      <c r="E18894" s="140"/>
    </row>
    <row r="18895" spans="1:5">
      <c r="A18895" s="140"/>
      <c r="B18895" s="192"/>
      <c r="C18895" s="140"/>
      <c r="D18895" s="140"/>
      <c r="E18895" s="140"/>
    </row>
    <row r="18896" spans="1:5">
      <c r="A18896" s="140"/>
      <c r="B18896" s="192"/>
      <c r="C18896" s="140"/>
      <c r="D18896" s="140"/>
      <c r="E18896" s="140"/>
    </row>
    <row r="18897" spans="1:5">
      <c r="A18897" s="140"/>
      <c r="B18897" s="192"/>
      <c r="C18897" s="140"/>
      <c r="D18897" s="140"/>
      <c r="E18897" s="140"/>
    </row>
    <row r="18898" spans="1:5">
      <c r="A18898" s="140"/>
      <c r="B18898" s="192"/>
      <c r="C18898" s="140"/>
      <c r="D18898" s="140"/>
      <c r="E18898" s="140"/>
    </row>
    <row r="18899" spans="1:5">
      <c r="A18899" s="140"/>
      <c r="B18899" s="192"/>
      <c r="C18899" s="140"/>
      <c r="D18899" s="140"/>
      <c r="E18899" s="140"/>
    </row>
    <row r="18900" spans="1:5">
      <c r="A18900" s="140"/>
      <c r="B18900" s="192"/>
      <c r="C18900" s="140"/>
      <c r="D18900" s="140"/>
      <c r="E18900" s="140"/>
    </row>
    <row r="18901" spans="1:5">
      <c r="A18901" s="140"/>
      <c r="B18901" s="192"/>
      <c r="C18901" s="140"/>
      <c r="D18901" s="140"/>
      <c r="E18901" s="140"/>
    </row>
    <row r="18902" spans="1:5">
      <c r="A18902" s="140"/>
      <c r="B18902" s="192"/>
      <c r="C18902" s="140"/>
      <c r="D18902" s="140"/>
      <c r="E18902" s="140"/>
    </row>
    <row r="18903" spans="1:5">
      <c r="A18903" s="140"/>
      <c r="B18903" s="192"/>
      <c r="C18903" s="140"/>
      <c r="D18903" s="140"/>
      <c r="E18903" s="140"/>
    </row>
    <row r="18904" spans="1:5">
      <c r="A18904" s="140"/>
      <c r="B18904" s="192"/>
      <c r="C18904" s="140"/>
      <c r="D18904" s="140"/>
      <c r="E18904" s="140"/>
    </row>
    <row r="18905" spans="1:5">
      <c r="A18905" s="140"/>
      <c r="B18905" s="192"/>
      <c r="C18905" s="140"/>
      <c r="D18905" s="140"/>
      <c r="E18905" s="140"/>
    </row>
    <row r="18906" spans="1:5">
      <c r="A18906" s="140"/>
      <c r="B18906" s="192"/>
      <c r="C18906" s="140"/>
      <c r="D18906" s="140"/>
      <c r="E18906" s="140"/>
    </row>
    <row r="18907" spans="1:5">
      <c r="A18907" s="140"/>
      <c r="B18907" s="192"/>
      <c r="C18907" s="140"/>
      <c r="D18907" s="140"/>
      <c r="E18907" s="140"/>
    </row>
    <row r="18908" spans="1:5">
      <c r="A18908" s="140"/>
      <c r="B18908" s="192"/>
      <c r="C18908" s="140"/>
      <c r="D18908" s="140"/>
      <c r="E18908" s="140"/>
    </row>
    <row r="18909" spans="1:5">
      <c r="A18909" s="140"/>
      <c r="B18909" s="192"/>
      <c r="C18909" s="140"/>
      <c r="D18909" s="140"/>
      <c r="E18909" s="140"/>
    </row>
    <row r="18910" spans="1:5">
      <c r="A18910" s="140"/>
      <c r="B18910" s="192"/>
      <c r="C18910" s="140"/>
      <c r="D18910" s="140"/>
      <c r="E18910" s="140"/>
    </row>
    <row r="18911" spans="1:5">
      <c r="A18911" s="140"/>
      <c r="B18911" s="192"/>
      <c r="C18911" s="140"/>
      <c r="D18911" s="140"/>
      <c r="E18911" s="140"/>
    </row>
    <row r="18912" spans="1:5">
      <c r="A18912" s="140"/>
      <c r="B18912" s="192"/>
      <c r="C18912" s="140"/>
      <c r="D18912" s="140"/>
      <c r="E18912" s="140"/>
    </row>
    <row r="18913" spans="1:5">
      <c r="A18913" s="140"/>
      <c r="B18913" s="192"/>
      <c r="C18913" s="140"/>
      <c r="D18913" s="140"/>
      <c r="E18913" s="140"/>
    </row>
    <row r="18914" spans="1:5">
      <c r="A18914" s="140"/>
      <c r="B18914" s="192"/>
      <c r="C18914" s="140"/>
      <c r="D18914" s="140"/>
      <c r="E18914" s="140"/>
    </row>
    <row r="18915" spans="1:5">
      <c r="A18915" s="140"/>
      <c r="B18915" s="192"/>
      <c r="C18915" s="140"/>
      <c r="D18915" s="140"/>
      <c r="E18915" s="140"/>
    </row>
    <row r="18916" spans="1:5">
      <c r="A18916" s="140"/>
      <c r="B18916" s="192"/>
      <c r="C18916" s="140"/>
      <c r="D18916" s="140"/>
      <c r="E18916" s="140"/>
    </row>
    <row r="18917" spans="1:5">
      <c r="A18917" s="140"/>
      <c r="B18917" s="192"/>
      <c r="C18917" s="140"/>
      <c r="D18917" s="140"/>
      <c r="E18917" s="140"/>
    </row>
    <row r="18918" spans="1:5">
      <c r="A18918" s="140"/>
      <c r="B18918" s="192"/>
      <c r="C18918" s="140"/>
      <c r="D18918" s="140"/>
      <c r="E18918" s="140"/>
    </row>
    <row r="18919" spans="1:5">
      <c r="A18919" s="140"/>
      <c r="B18919" s="192"/>
      <c r="C18919" s="140"/>
      <c r="D18919" s="140"/>
      <c r="E18919" s="140"/>
    </row>
    <row r="18920" spans="1:5">
      <c r="A18920" s="140"/>
      <c r="B18920" s="192"/>
      <c r="C18920" s="140"/>
      <c r="D18920" s="140"/>
      <c r="E18920" s="140"/>
    </row>
    <row r="18921" spans="1:5">
      <c r="A18921" s="140"/>
      <c r="B18921" s="192"/>
      <c r="C18921" s="140"/>
      <c r="D18921" s="140"/>
      <c r="E18921" s="140"/>
    </row>
    <row r="18922" spans="1:5">
      <c r="A18922" s="140"/>
      <c r="B18922" s="192"/>
      <c r="C18922" s="140"/>
      <c r="D18922" s="140"/>
      <c r="E18922" s="140"/>
    </row>
    <row r="18923" spans="1:5">
      <c r="A18923" s="140"/>
      <c r="B18923" s="192"/>
      <c r="C18923" s="140"/>
      <c r="D18923" s="140"/>
      <c r="E18923" s="140"/>
    </row>
    <row r="18924" spans="1:5">
      <c r="A18924" s="140"/>
      <c r="B18924" s="192"/>
      <c r="C18924" s="140"/>
      <c r="D18924" s="140"/>
      <c r="E18924" s="140"/>
    </row>
    <row r="18925" spans="1:5">
      <c r="A18925" s="140"/>
      <c r="B18925" s="192"/>
      <c r="C18925" s="140"/>
      <c r="D18925" s="140"/>
      <c r="E18925" s="140"/>
    </row>
    <row r="18926" spans="1:5">
      <c r="A18926" s="140"/>
      <c r="B18926" s="192"/>
      <c r="C18926" s="140"/>
      <c r="D18926" s="140"/>
      <c r="E18926" s="140"/>
    </row>
    <row r="18927" spans="1:5">
      <c r="A18927" s="140"/>
      <c r="B18927" s="192"/>
      <c r="C18927" s="140"/>
      <c r="D18927" s="140"/>
      <c r="E18927" s="140"/>
    </row>
    <row r="18928" spans="1:5">
      <c r="A18928" s="140"/>
      <c r="B18928" s="192"/>
      <c r="C18928" s="140"/>
      <c r="D18928" s="140"/>
      <c r="E18928" s="140"/>
    </row>
    <row r="18929" spans="1:5">
      <c r="A18929" s="140"/>
      <c r="B18929" s="192"/>
      <c r="C18929" s="140"/>
      <c r="D18929" s="140"/>
      <c r="E18929" s="140"/>
    </row>
    <row r="18930" spans="1:5">
      <c r="A18930" s="140"/>
      <c r="B18930" s="192"/>
      <c r="C18930" s="140"/>
      <c r="D18930" s="140"/>
      <c r="E18930" s="140"/>
    </row>
    <row r="18931" spans="1:5">
      <c r="A18931" s="140"/>
      <c r="B18931" s="192"/>
      <c r="C18931" s="140"/>
      <c r="D18931" s="140"/>
      <c r="E18931" s="140"/>
    </row>
  </sheetData>
  <mergeCells count="1">
    <mergeCell ref="A1:E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1100-000000000000}">
          <x14:formula1>
            <xm:f>RM!$C$4:$C18921</xm:f>
          </x14:formula1>
          <xm:sqref>B2</xm:sqref>
        </x14:dataValidation>
      </x14:dataValidations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936"/>
  <sheetViews>
    <sheetView showGridLines="0" workbookViewId="0">
      <pane ySplit="2" topLeftCell="A3" activePane="bottomLeft" state="frozen"/>
      <selection pane="bottomLeft" activeCell="B4" sqref="B4"/>
    </sheetView>
  </sheetViews>
  <sheetFormatPr defaultColWidth="14.453125" defaultRowHeight="15" customHeight="1"/>
  <cols>
    <col min="1" max="1" width="27.453125" customWidth="1"/>
    <col min="2" max="2" width="43.7265625" customWidth="1"/>
    <col min="3" max="3" width="15.26953125" customWidth="1"/>
    <col min="4" max="4" width="36.7265625" customWidth="1"/>
    <col min="5" max="5" width="12.7265625" customWidth="1"/>
    <col min="6" max="6" width="12.1796875" customWidth="1"/>
    <col min="7" max="7" width="19.1796875" customWidth="1"/>
    <col min="8" max="8" width="8.7265625" customWidth="1"/>
    <col min="9" max="26" width="8.7265625" hidden="1" customWidth="1"/>
  </cols>
  <sheetData>
    <row r="1" spans="1:7" ht="15.5">
      <c r="A1" s="263" t="s">
        <v>1984</v>
      </c>
      <c r="B1" s="240"/>
      <c r="C1" s="240"/>
      <c r="D1" s="240"/>
      <c r="E1" s="240"/>
      <c r="F1" s="240"/>
      <c r="G1" s="240"/>
    </row>
    <row r="2" spans="1:7" ht="14.5">
      <c r="A2" s="207" t="s">
        <v>1985</v>
      </c>
      <c r="B2" s="124" t="s">
        <v>1986</v>
      </c>
      <c r="C2" s="124" t="s">
        <v>1987</v>
      </c>
      <c r="D2" s="124" t="s">
        <v>1714</v>
      </c>
      <c r="E2" s="124" t="s">
        <v>1810</v>
      </c>
      <c r="F2" s="124" t="s">
        <v>1721</v>
      </c>
      <c r="G2" s="124" t="s">
        <v>1817</v>
      </c>
    </row>
    <row r="3" spans="1:7" ht="14.5">
      <c r="A3" s="128"/>
      <c r="B3" s="87"/>
      <c r="C3" s="87"/>
      <c r="D3" s="2"/>
      <c r="E3" s="87"/>
      <c r="F3" s="208"/>
      <c r="G3" s="128"/>
    </row>
    <row r="4" spans="1:7" ht="14.5">
      <c r="A4" s="128"/>
      <c r="B4" s="128"/>
      <c r="C4" s="87"/>
      <c r="D4" s="2"/>
      <c r="E4" s="87"/>
      <c r="F4" s="208"/>
      <c r="G4" s="128"/>
    </row>
    <row r="5" spans="1:7" ht="14.5">
      <c r="A5" s="209"/>
      <c r="B5" s="128"/>
      <c r="C5" s="87"/>
      <c r="D5" s="2"/>
      <c r="E5" s="87"/>
      <c r="F5" s="208"/>
      <c r="G5" s="128"/>
    </row>
    <row r="6" spans="1:7" ht="14.5">
      <c r="A6" s="209"/>
      <c r="B6" s="128"/>
      <c r="C6" s="87"/>
      <c r="D6" s="2"/>
      <c r="E6" s="87"/>
      <c r="F6" s="208"/>
      <c r="G6" s="128"/>
    </row>
    <row r="7" spans="1:7" ht="14.5">
      <c r="A7" s="209"/>
      <c r="B7" s="128"/>
      <c r="C7" s="87"/>
      <c r="D7" s="2"/>
      <c r="E7" s="87"/>
      <c r="F7" s="208"/>
      <c r="G7" s="128"/>
    </row>
    <row r="8" spans="1:7" ht="14.5">
      <c r="A8" s="209"/>
      <c r="B8" s="128"/>
      <c r="C8" s="87"/>
      <c r="D8" s="2"/>
      <c r="E8" s="87"/>
      <c r="F8" s="208"/>
      <c r="G8" s="128"/>
    </row>
    <row r="9" spans="1:7" ht="14.5">
      <c r="A9" s="209"/>
      <c r="B9" s="128"/>
      <c r="C9" s="87"/>
      <c r="D9" s="2"/>
      <c r="E9" s="87"/>
      <c r="F9" s="208"/>
      <c r="G9" s="128"/>
    </row>
    <row r="10" spans="1:7" ht="14.5">
      <c r="A10" s="209"/>
      <c r="B10" s="128"/>
      <c r="C10" s="87"/>
      <c r="D10" s="2"/>
      <c r="E10" s="87"/>
      <c r="F10" s="208"/>
      <c r="G10" s="128"/>
    </row>
    <row r="11" spans="1:7" ht="14.5">
      <c r="A11" s="209"/>
      <c r="B11" s="128"/>
      <c r="C11" s="87"/>
      <c r="D11" s="2"/>
      <c r="E11" s="87"/>
      <c r="F11" s="208"/>
      <c r="G11" s="128"/>
    </row>
    <row r="12" spans="1:7" ht="14.5">
      <c r="A12" s="209"/>
      <c r="B12" s="128"/>
      <c r="C12" s="87"/>
      <c r="D12" s="2"/>
      <c r="E12" s="87"/>
      <c r="F12" s="208"/>
      <c r="G12" s="128"/>
    </row>
    <row r="13" spans="1:7" ht="14.5">
      <c r="A13" s="209"/>
      <c r="B13" s="128"/>
      <c r="C13" s="87"/>
      <c r="D13" s="2"/>
      <c r="E13" s="87"/>
      <c r="F13" s="208"/>
      <c r="G13" s="128"/>
    </row>
    <row r="14" spans="1:7" ht="14.5">
      <c r="A14" s="209"/>
      <c r="B14" s="128"/>
      <c r="C14" s="87"/>
      <c r="D14" s="2"/>
      <c r="E14" s="87"/>
      <c r="F14" s="208"/>
      <c r="G14" s="128"/>
    </row>
    <row r="15" spans="1:7" ht="14.5">
      <c r="A15" s="209"/>
      <c r="B15" s="128"/>
      <c r="C15" s="87"/>
      <c r="D15" s="2"/>
      <c r="E15" s="87"/>
      <c r="F15" s="208"/>
      <c r="G15" s="128"/>
    </row>
    <row r="16" spans="1:7" ht="15.75" customHeight="1">
      <c r="A16" s="209"/>
      <c r="B16" s="128"/>
      <c r="C16" s="87"/>
      <c r="D16" s="2"/>
      <c r="E16" s="87"/>
      <c r="F16" s="208"/>
      <c r="G16" s="128"/>
    </row>
    <row r="17" spans="1:7" ht="15.75" customHeight="1">
      <c r="A17" s="209"/>
      <c r="B17" s="128"/>
      <c r="C17" s="87"/>
      <c r="D17" s="2"/>
      <c r="E17" s="87"/>
      <c r="F17" s="208"/>
      <c r="G17" s="128"/>
    </row>
    <row r="18" spans="1:7" ht="15.75" customHeight="1">
      <c r="A18" s="209"/>
      <c r="B18" s="128"/>
      <c r="C18" s="87"/>
      <c r="D18" s="2"/>
      <c r="E18" s="87"/>
      <c r="F18" s="208"/>
      <c r="G18" s="128"/>
    </row>
    <row r="19" spans="1:7" ht="15.75" customHeight="1">
      <c r="A19" s="209"/>
      <c r="B19" s="128"/>
      <c r="C19" s="87"/>
      <c r="D19" s="2"/>
      <c r="E19" s="87"/>
      <c r="F19" s="208"/>
      <c r="G19" s="128"/>
    </row>
    <row r="20" spans="1:7" ht="15.75" customHeight="1">
      <c r="A20" s="209"/>
      <c r="B20" s="128"/>
      <c r="C20" s="87"/>
      <c r="D20" s="2"/>
      <c r="E20" s="87"/>
      <c r="F20" s="208"/>
      <c r="G20" s="128"/>
    </row>
    <row r="21" spans="1:7" ht="15.75" customHeight="1">
      <c r="A21" s="209"/>
      <c r="B21" s="128"/>
      <c r="C21" s="87"/>
      <c r="D21" s="2"/>
      <c r="E21" s="87"/>
      <c r="F21" s="208"/>
      <c r="G21" s="128"/>
    </row>
    <row r="22" spans="1:7" ht="15.75" customHeight="1">
      <c r="A22" s="209"/>
      <c r="B22" s="87"/>
      <c r="C22" s="87"/>
      <c r="D22" s="2"/>
      <c r="E22" s="87"/>
      <c r="F22" s="208"/>
      <c r="G22" s="128"/>
    </row>
    <row r="23" spans="1:7" ht="15.75" customHeight="1">
      <c r="A23" s="209"/>
      <c r="B23" s="87"/>
      <c r="C23" s="87"/>
      <c r="D23" s="2"/>
      <c r="E23" s="87"/>
      <c r="F23" s="208"/>
      <c r="G23" s="128"/>
    </row>
    <row r="24" spans="1:7" ht="15.75" customHeight="1">
      <c r="A24" s="87"/>
      <c r="B24" s="128"/>
      <c r="C24" s="87"/>
      <c r="D24" s="2"/>
      <c r="E24" s="87"/>
      <c r="F24" s="208"/>
      <c r="G24" s="128"/>
    </row>
    <row r="25" spans="1:7" ht="15.75" customHeight="1">
      <c r="A25" s="87"/>
      <c r="B25" s="128"/>
      <c r="C25" s="87"/>
      <c r="D25" s="2"/>
      <c r="E25" s="87"/>
      <c r="F25" s="208"/>
      <c r="G25" s="128"/>
    </row>
    <row r="26" spans="1:7" ht="15.75" customHeight="1">
      <c r="A26" s="87"/>
      <c r="B26" s="128"/>
      <c r="C26" s="87"/>
      <c r="D26" s="2"/>
      <c r="E26" s="87"/>
      <c r="F26" s="208"/>
      <c r="G26" s="128"/>
    </row>
    <row r="27" spans="1:7" ht="15.75" customHeight="1">
      <c r="A27" s="87"/>
      <c r="B27" s="128"/>
      <c r="C27" s="87"/>
      <c r="D27" s="2"/>
      <c r="E27" s="87"/>
      <c r="F27" s="208"/>
      <c r="G27" s="128"/>
    </row>
    <row r="28" spans="1:7" ht="15.75" customHeight="1">
      <c r="A28" s="87"/>
      <c r="B28" s="128"/>
      <c r="C28" s="87"/>
      <c r="D28" s="2"/>
      <c r="E28" s="87"/>
      <c r="F28" s="208"/>
      <c r="G28" s="128"/>
    </row>
    <row r="29" spans="1:7" ht="15.75" customHeight="1">
      <c r="A29" s="87"/>
      <c r="B29" s="128"/>
      <c r="C29" s="87"/>
      <c r="D29" s="2"/>
      <c r="E29" s="87"/>
      <c r="F29" s="208"/>
      <c r="G29" s="128"/>
    </row>
    <row r="30" spans="1:7" ht="15.75" customHeight="1">
      <c r="A30" s="87"/>
      <c r="B30" s="128"/>
      <c r="C30" s="87"/>
      <c r="D30" s="2"/>
      <c r="E30" s="87"/>
      <c r="F30" s="208"/>
      <c r="G30" s="128"/>
    </row>
    <row r="31" spans="1:7" ht="15.75" customHeight="1">
      <c r="A31" s="87"/>
      <c r="B31" s="128"/>
      <c r="C31" s="87"/>
      <c r="D31" s="2"/>
      <c r="E31" s="87"/>
      <c r="F31" s="208"/>
      <c r="G31" s="128"/>
    </row>
    <row r="32" spans="1:7" ht="15.75" customHeight="1">
      <c r="A32" s="87"/>
      <c r="B32" s="128"/>
      <c r="C32" s="87"/>
      <c r="D32" s="2"/>
      <c r="E32" s="87"/>
      <c r="F32" s="208"/>
      <c r="G32" s="128"/>
    </row>
    <row r="33" spans="1:7" ht="15.75" customHeight="1">
      <c r="A33" s="87"/>
      <c r="B33" s="128"/>
      <c r="C33" s="87"/>
      <c r="D33" s="2"/>
      <c r="E33" s="87"/>
      <c r="F33" s="208"/>
      <c r="G33" s="128"/>
    </row>
    <row r="34" spans="1:7" ht="15.75" customHeight="1">
      <c r="A34" s="87"/>
      <c r="B34" s="128"/>
      <c r="C34" s="87"/>
      <c r="D34" s="2"/>
      <c r="E34" s="87"/>
      <c r="F34" s="208"/>
      <c r="G34" s="128"/>
    </row>
    <row r="35" spans="1:7" ht="15.75" customHeight="1">
      <c r="A35" s="87"/>
      <c r="B35" s="128"/>
      <c r="C35" s="87"/>
      <c r="D35" s="2"/>
      <c r="E35" s="87"/>
      <c r="F35" s="208"/>
      <c r="G35" s="128"/>
    </row>
    <row r="36" spans="1:7" ht="15.75" customHeight="1">
      <c r="A36" s="87"/>
      <c r="B36" s="128"/>
      <c r="C36" s="87"/>
      <c r="D36" s="2"/>
      <c r="E36" s="87"/>
      <c r="F36" s="208"/>
      <c r="G36" s="128"/>
    </row>
    <row r="37" spans="1:7" ht="15.75" customHeight="1">
      <c r="A37" s="87"/>
      <c r="B37" s="128"/>
      <c r="C37" s="87"/>
      <c r="D37" s="2"/>
      <c r="E37" s="87"/>
      <c r="F37" s="208"/>
      <c r="G37" s="128"/>
    </row>
    <row r="38" spans="1:7" ht="15.75" customHeight="1">
      <c r="A38" s="87"/>
      <c r="B38" s="128"/>
      <c r="C38" s="87"/>
      <c r="D38" s="2"/>
      <c r="E38" s="87"/>
      <c r="F38" s="208"/>
      <c r="G38" s="128"/>
    </row>
    <row r="39" spans="1:7" ht="15.75" customHeight="1">
      <c r="A39" s="87"/>
      <c r="B39" s="87"/>
      <c r="C39" s="87"/>
      <c r="D39" s="2"/>
      <c r="E39" s="87"/>
      <c r="F39" s="208"/>
      <c r="G39" s="128"/>
    </row>
    <row r="40" spans="1:7" ht="15.75" customHeight="1">
      <c r="A40" s="87"/>
      <c r="B40" s="128"/>
      <c r="C40" s="87"/>
      <c r="D40" s="2"/>
      <c r="E40" s="87"/>
      <c r="F40" s="208"/>
      <c r="G40" s="128"/>
    </row>
    <row r="41" spans="1:7" ht="15.75" customHeight="1">
      <c r="A41" s="87"/>
      <c r="B41" s="128"/>
      <c r="C41" s="87"/>
      <c r="D41" s="2"/>
      <c r="E41" s="87"/>
      <c r="F41" s="208"/>
      <c r="G41" s="128"/>
    </row>
    <row r="42" spans="1:7" ht="15.75" customHeight="1">
      <c r="A42" s="87"/>
      <c r="B42" s="128"/>
      <c r="C42" s="87"/>
      <c r="D42" s="2"/>
      <c r="E42" s="87"/>
      <c r="F42" s="208"/>
      <c r="G42" s="128"/>
    </row>
    <row r="43" spans="1:7" ht="15.75" customHeight="1">
      <c r="A43" s="87"/>
      <c r="B43" s="128"/>
      <c r="C43" s="87"/>
      <c r="D43" s="2"/>
      <c r="E43" s="87"/>
      <c r="F43" s="208"/>
      <c r="G43" s="128"/>
    </row>
    <row r="44" spans="1:7" ht="15.75" customHeight="1">
      <c r="A44" s="87"/>
      <c r="B44" s="128"/>
      <c r="C44" s="87"/>
      <c r="D44" s="2"/>
      <c r="E44" s="87"/>
      <c r="F44" s="208"/>
      <c r="G44" s="128"/>
    </row>
    <row r="45" spans="1:7" ht="15.75" customHeight="1">
      <c r="A45" s="87"/>
      <c r="B45" s="128"/>
      <c r="C45" s="87"/>
      <c r="D45" s="2"/>
      <c r="E45" s="87"/>
      <c r="F45" s="208"/>
      <c r="G45" s="128"/>
    </row>
    <row r="46" spans="1:7" ht="15.75" customHeight="1">
      <c r="A46" s="87"/>
      <c r="B46" s="128"/>
      <c r="C46" s="87"/>
      <c r="D46" s="2"/>
      <c r="E46" s="87"/>
      <c r="F46" s="208"/>
      <c r="G46" s="128"/>
    </row>
    <row r="47" spans="1:7" ht="15.75" customHeight="1">
      <c r="A47" s="87"/>
      <c r="B47" s="128"/>
      <c r="C47" s="87"/>
      <c r="D47" s="2"/>
      <c r="E47" s="87"/>
      <c r="F47" s="208"/>
      <c r="G47" s="128"/>
    </row>
    <row r="48" spans="1:7" ht="15.75" customHeight="1">
      <c r="A48" s="87"/>
      <c r="B48" s="128"/>
      <c r="C48" s="87"/>
      <c r="D48" s="2"/>
      <c r="E48" s="87"/>
      <c r="F48" s="208"/>
      <c r="G48" s="128"/>
    </row>
    <row r="49" spans="1:7" ht="15.75" customHeight="1">
      <c r="A49" s="210"/>
      <c r="B49" s="128"/>
      <c r="C49" s="87"/>
      <c r="D49" s="2"/>
      <c r="E49" s="87"/>
      <c r="F49" s="208"/>
      <c r="G49" s="128"/>
    </row>
    <row r="50" spans="1:7" ht="15.75" customHeight="1">
      <c r="A50" s="210"/>
      <c r="B50" s="128"/>
      <c r="C50" s="87"/>
      <c r="D50" s="2"/>
      <c r="E50" s="87"/>
      <c r="F50" s="208"/>
      <c r="G50" s="128"/>
    </row>
    <row r="51" spans="1:7" ht="15.75" customHeight="1">
      <c r="A51" s="210"/>
      <c r="B51" s="128"/>
      <c r="C51" s="87"/>
      <c r="D51" s="2"/>
      <c r="E51" s="87"/>
      <c r="F51" s="208"/>
      <c r="G51" s="128"/>
    </row>
    <row r="52" spans="1:7" ht="15.75" customHeight="1">
      <c r="A52" s="210"/>
      <c r="B52" s="128"/>
      <c r="C52" s="87"/>
      <c r="D52" s="2"/>
      <c r="E52" s="87"/>
      <c r="F52" s="208"/>
      <c r="G52" s="128"/>
    </row>
    <row r="53" spans="1:7" ht="15.75" customHeight="1">
      <c r="A53" s="210"/>
      <c r="B53" s="128"/>
      <c r="C53" s="87"/>
      <c r="D53" s="2"/>
      <c r="E53" s="87"/>
      <c r="F53" s="208"/>
      <c r="G53" s="128"/>
    </row>
    <row r="54" spans="1:7" ht="15.75" customHeight="1">
      <c r="A54" s="210"/>
      <c r="B54" s="128"/>
      <c r="C54" s="87"/>
      <c r="D54" s="2"/>
      <c r="E54" s="87"/>
      <c r="F54" s="208"/>
      <c r="G54" s="128"/>
    </row>
    <row r="55" spans="1:7" ht="15.75" customHeight="1">
      <c r="A55" s="210"/>
      <c r="B55" s="129"/>
      <c r="C55" s="87"/>
      <c r="D55" s="2"/>
      <c r="E55" s="87"/>
      <c r="F55" s="211"/>
      <c r="G55" s="129"/>
    </row>
    <row r="56" spans="1:7" ht="15.75" customHeight="1">
      <c r="A56" s="210"/>
      <c r="B56" s="129"/>
      <c r="C56" s="87"/>
      <c r="D56" s="2"/>
      <c r="E56" s="87"/>
      <c r="F56" s="211"/>
      <c r="G56" s="129"/>
    </row>
    <row r="57" spans="1:7" ht="15.75" customHeight="1">
      <c r="A57" s="210"/>
      <c r="B57" s="129"/>
      <c r="C57" s="87"/>
      <c r="D57" s="2"/>
      <c r="E57" s="87"/>
      <c r="F57" s="211"/>
      <c r="G57" s="129"/>
    </row>
    <row r="58" spans="1:7" ht="15.75" customHeight="1">
      <c r="A58" s="210"/>
      <c r="B58" s="129"/>
      <c r="C58" s="87"/>
      <c r="D58" s="2"/>
      <c r="E58" s="87"/>
      <c r="F58" s="211"/>
      <c r="G58" s="129"/>
    </row>
    <row r="59" spans="1:7" ht="15.75" customHeight="1">
      <c r="A59" s="210"/>
      <c r="B59" s="129"/>
      <c r="C59" s="87"/>
      <c r="D59" s="2"/>
      <c r="E59" s="87"/>
      <c r="F59" s="211"/>
      <c r="G59" s="129"/>
    </row>
    <row r="60" spans="1:7" ht="15.75" customHeight="1">
      <c r="A60" s="210"/>
      <c r="B60" s="129"/>
      <c r="C60" s="87"/>
      <c r="D60" s="2"/>
      <c r="E60" s="87"/>
      <c r="F60" s="211"/>
      <c r="G60" s="129"/>
    </row>
    <row r="61" spans="1:7" ht="15.75" customHeight="1">
      <c r="A61" s="210"/>
      <c r="B61" s="129"/>
      <c r="C61" s="87"/>
      <c r="D61" s="2"/>
      <c r="E61" s="87"/>
      <c r="F61" s="211"/>
      <c r="G61" s="129"/>
    </row>
    <row r="62" spans="1:7" ht="15.75" customHeight="1">
      <c r="A62" s="210"/>
      <c r="B62" s="129"/>
      <c r="C62" s="87"/>
      <c r="D62" s="2"/>
      <c r="E62" s="87"/>
      <c r="F62" s="211"/>
      <c r="G62" s="129"/>
    </row>
    <row r="63" spans="1:7" ht="15.75" customHeight="1">
      <c r="A63" s="210"/>
      <c r="B63" s="129"/>
      <c r="C63" s="87"/>
      <c r="D63" s="2"/>
      <c r="E63" s="87"/>
      <c r="F63" s="211"/>
      <c r="G63" s="129"/>
    </row>
    <row r="64" spans="1:7" ht="15.75" customHeight="1">
      <c r="A64" s="210"/>
      <c r="B64" s="129"/>
      <c r="C64" s="87"/>
      <c r="D64" s="2"/>
      <c r="E64" s="87"/>
      <c r="F64" s="211"/>
      <c r="G64" s="129"/>
    </row>
    <row r="65" spans="1:7" ht="15.75" customHeight="1">
      <c r="A65" s="210"/>
      <c r="B65" s="129"/>
      <c r="C65" s="87"/>
      <c r="D65" s="2"/>
      <c r="E65" s="87"/>
      <c r="F65" s="211"/>
      <c r="G65" s="129"/>
    </row>
    <row r="66" spans="1:7" ht="15.75" customHeight="1">
      <c r="A66" s="210"/>
      <c r="B66" s="129"/>
      <c r="C66" s="87"/>
      <c r="D66" s="2"/>
      <c r="E66" s="87"/>
      <c r="F66" s="211"/>
      <c r="G66" s="129"/>
    </row>
    <row r="67" spans="1:7" ht="15.75" customHeight="1">
      <c r="A67" s="210"/>
      <c r="B67" s="129"/>
      <c r="C67" s="87"/>
      <c r="D67" s="2"/>
      <c r="E67" s="87"/>
      <c r="F67" s="211"/>
      <c r="G67" s="129"/>
    </row>
    <row r="68" spans="1:7" ht="15.75" customHeight="1">
      <c r="A68" s="210"/>
      <c r="B68" s="129"/>
      <c r="C68" s="87"/>
      <c r="D68" s="2"/>
      <c r="E68" s="87"/>
      <c r="F68" s="211"/>
      <c r="G68" s="129"/>
    </row>
    <row r="69" spans="1:7" ht="15.75" customHeight="1">
      <c r="A69" s="210"/>
      <c r="B69" s="129"/>
      <c r="C69" s="87"/>
      <c r="D69" s="2"/>
      <c r="E69" s="87"/>
      <c r="F69" s="211"/>
      <c r="G69" s="129"/>
    </row>
    <row r="70" spans="1:7" ht="15.75" customHeight="1">
      <c r="A70" s="210"/>
      <c r="B70" s="129"/>
      <c r="C70" s="87"/>
      <c r="D70" s="2"/>
      <c r="E70" s="87"/>
      <c r="F70" s="211"/>
      <c r="G70" s="129"/>
    </row>
    <row r="71" spans="1:7" ht="15.75" customHeight="1">
      <c r="A71" s="210"/>
      <c r="B71" s="129"/>
      <c r="C71" s="87"/>
      <c r="D71" s="2"/>
      <c r="E71" s="87"/>
      <c r="F71" s="211"/>
      <c r="G71" s="129"/>
    </row>
    <row r="72" spans="1:7" ht="15.75" customHeight="1">
      <c r="A72" s="210"/>
      <c r="B72" s="129"/>
      <c r="C72" s="87"/>
      <c r="D72" s="2"/>
      <c r="E72" s="87"/>
      <c r="F72" s="211"/>
      <c r="G72" s="129"/>
    </row>
    <row r="73" spans="1:7" ht="15.75" customHeight="1">
      <c r="A73" s="210"/>
      <c r="B73" s="129"/>
      <c r="C73" s="87"/>
      <c r="D73" s="2"/>
      <c r="E73" s="87"/>
      <c r="F73" s="211"/>
      <c r="G73" s="129"/>
    </row>
    <row r="74" spans="1:7" ht="15.75" customHeight="1">
      <c r="A74" s="210"/>
      <c r="B74" s="129"/>
      <c r="C74" s="87"/>
      <c r="D74" s="2"/>
      <c r="E74" s="87"/>
      <c r="F74" s="211"/>
      <c r="G74" s="129"/>
    </row>
    <row r="75" spans="1:7" ht="15.75" customHeight="1">
      <c r="A75" s="210"/>
      <c r="B75" s="129"/>
      <c r="C75" s="87"/>
      <c r="D75" s="2"/>
      <c r="E75" s="87"/>
      <c r="F75" s="211"/>
      <c r="G75" s="129"/>
    </row>
    <row r="76" spans="1:7" ht="15.75" customHeight="1">
      <c r="A76" s="210"/>
      <c r="B76" s="129"/>
      <c r="C76" s="87"/>
      <c r="D76" s="2"/>
      <c r="E76" s="87"/>
      <c r="F76" s="211"/>
      <c r="G76" s="129"/>
    </row>
    <row r="77" spans="1:7" ht="15.75" customHeight="1">
      <c r="A77" s="210"/>
      <c r="B77" s="130"/>
      <c r="C77" s="130"/>
      <c r="D77" s="2"/>
      <c r="E77" s="87"/>
      <c r="F77" s="211"/>
      <c r="G77" s="129"/>
    </row>
    <row r="78" spans="1:7" ht="15.75" customHeight="1">
      <c r="A78" s="210"/>
      <c r="B78" s="130"/>
      <c r="C78" s="130"/>
      <c r="D78" s="2"/>
      <c r="E78" s="87"/>
      <c r="F78" s="211"/>
      <c r="G78" s="129"/>
    </row>
    <row r="79" spans="1:7" ht="15.75" customHeight="1">
      <c r="A79" s="210"/>
      <c r="B79" s="130"/>
      <c r="C79" s="130"/>
      <c r="D79" s="2"/>
      <c r="E79" s="87"/>
      <c r="F79" s="211"/>
      <c r="G79" s="129"/>
    </row>
    <row r="80" spans="1:7" ht="15.75" customHeight="1">
      <c r="A80" s="210"/>
      <c r="B80" s="130"/>
      <c r="C80" s="130"/>
      <c r="D80" s="2"/>
      <c r="E80" s="87"/>
      <c r="F80" s="211"/>
      <c r="G80" s="129"/>
    </row>
    <row r="81" spans="1:7" ht="15.75" customHeight="1">
      <c r="A81" s="210"/>
      <c r="B81" s="130"/>
      <c r="C81" s="130"/>
      <c r="D81" s="2"/>
      <c r="E81" s="87"/>
      <c r="F81" s="211"/>
      <c r="G81" s="129"/>
    </row>
    <row r="82" spans="1:7" ht="15.75" customHeight="1">
      <c r="A82" s="210"/>
      <c r="B82" s="130"/>
      <c r="C82" s="130"/>
      <c r="D82" s="2"/>
      <c r="E82" s="87"/>
      <c r="F82" s="211"/>
      <c r="G82" s="129"/>
    </row>
    <row r="83" spans="1:7" ht="15.75" customHeight="1">
      <c r="A83" s="210"/>
      <c r="B83" s="130"/>
      <c r="C83" s="130"/>
      <c r="D83" s="2"/>
      <c r="E83" s="87"/>
      <c r="F83" s="211"/>
      <c r="G83" s="129"/>
    </row>
    <row r="84" spans="1:7" ht="15.75" customHeight="1">
      <c r="A84" s="210"/>
      <c r="B84" s="130"/>
      <c r="C84" s="130"/>
      <c r="D84" s="2"/>
      <c r="E84" s="87"/>
      <c r="F84" s="211"/>
      <c r="G84" s="129"/>
    </row>
    <row r="85" spans="1:7" ht="15.75" customHeight="1">
      <c r="A85" s="210"/>
      <c r="B85" s="130"/>
      <c r="C85" s="130"/>
      <c r="D85" s="2"/>
      <c r="E85" s="87"/>
      <c r="F85" s="211"/>
      <c r="G85" s="129"/>
    </row>
    <row r="86" spans="1:7" ht="15.75" customHeight="1">
      <c r="A86" s="130"/>
      <c r="B86" s="129"/>
      <c r="C86" s="130"/>
      <c r="D86" s="2"/>
      <c r="E86" s="87"/>
      <c r="F86" s="211"/>
      <c r="G86" s="129"/>
    </row>
    <row r="87" spans="1:7" ht="15.75" customHeight="1">
      <c r="A87" s="130"/>
      <c r="B87" s="129"/>
      <c r="C87" s="130"/>
      <c r="D87" s="2"/>
      <c r="E87" s="87"/>
      <c r="F87" s="211"/>
      <c r="G87" s="129"/>
    </row>
    <row r="88" spans="1:7" ht="15.75" customHeight="1">
      <c r="A88" s="130"/>
      <c r="B88" s="129"/>
      <c r="C88" s="130"/>
      <c r="D88" s="2"/>
      <c r="E88" s="87"/>
      <c r="F88" s="211"/>
      <c r="G88" s="129"/>
    </row>
    <row r="89" spans="1:7" ht="15.75" customHeight="1">
      <c r="A89" s="129"/>
      <c r="B89" s="129"/>
      <c r="C89" s="130"/>
      <c r="D89" s="2"/>
      <c r="E89" s="87"/>
      <c r="F89" s="211"/>
      <c r="G89" s="129"/>
    </row>
    <row r="90" spans="1:7" ht="15.75" customHeight="1">
      <c r="A90" s="129"/>
      <c r="B90" s="129"/>
      <c r="C90" s="130"/>
      <c r="D90" s="2"/>
      <c r="E90" s="87"/>
      <c r="F90" s="211"/>
      <c r="G90" s="129"/>
    </row>
    <row r="91" spans="1:7" ht="15.75" customHeight="1">
      <c r="A91" s="129"/>
      <c r="B91" s="129"/>
      <c r="C91" s="130"/>
      <c r="D91" s="2"/>
      <c r="E91" s="87"/>
      <c r="F91" s="211"/>
      <c r="G91" s="129"/>
    </row>
    <row r="92" spans="1:7" ht="15.75" customHeight="1">
      <c r="A92" s="129"/>
      <c r="B92" s="129"/>
      <c r="C92" s="130"/>
      <c r="D92" s="2"/>
      <c r="E92" s="87"/>
      <c r="F92" s="211"/>
      <c r="G92" s="129"/>
    </row>
    <row r="93" spans="1:7" ht="15.75" customHeight="1">
      <c r="A93" s="129"/>
      <c r="B93" s="129"/>
      <c r="C93" s="130"/>
      <c r="D93" s="2"/>
      <c r="E93" s="87"/>
      <c r="F93" s="211"/>
      <c r="G93" s="129"/>
    </row>
    <row r="94" spans="1:7" ht="15.75" customHeight="1">
      <c r="A94" s="129"/>
      <c r="B94" s="129"/>
      <c r="C94" s="130"/>
      <c r="D94" s="2"/>
      <c r="E94" s="87"/>
      <c r="F94" s="211"/>
      <c r="G94" s="129"/>
    </row>
    <row r="95" spans="1:7" ht="15.75" customHeight="1">
      <c r="A95" s="129"/>
      <c r="B95" s="129"/>
      <c r="C95" s="130"/>
      <c r="D95" s="2"/>
      <c r="E95" s="87"/>
      <c r="F95" s="211"/>
      <c r="G95" s="129"/>
    </row>
    <row r="96" spans="1:7" ht="15.75" customHeight="1">
      <c r="A96" s="129"/>
      <c r="B96" s="129"/>
      <c r="C96" s="130"/>
      <c r="D96" s="2"/>
      <c r="E96" s="87"/>
      <c r="F96" s="211"/>
      <c r="G96" s="129"/>
    </row>
    <row r="97" spans="1:7" ht="15.75" customHeight="1">
      <c r="A97" s="129"/>
      <c r="B97" s="129"/>
      <c r="C97" s="130"/>
      <c r="D97" s="2"/>
      <c r="E97" s="87"/>
      <c r="F97" s="211"/>
      <c r="G97" s="129"/>
    </row>
    <row r="98" spans="1:7" ht="15.75" customHeight="1">
      <c r="A98" s="129"/>
      <c r="B98" s="128"/>
      <c r="C98" s="130"/>
      <c r="D98" s="2"/>
      <c r="E98" s="87"/>
      <c r="F98" s="208"/>
      <c r="G98" s="128"/>
    </row>
    <row r="99" spans="1:7" ht="15.75" customHeight="1">
      <c r="A99" s="129"/>
      <c r="B99" s="128"/>
      <c r="C99" s="87"/>
      <c r="D99" s="2"/>
      <c r="E99" s="87"/>
      <c r="F99" s="208"/>
      <c r="G99" s="128"/>
    </row>
    <row r="100" spans="1:7" ht="15.75" customHeight="1">
      <c r="A100" s="129"/>
      <c r="B100" s="128"/>
      <c r="C100" s="87"/>
      <c r="D100" s="2"/>
      <c r="E100" s="87"/>
      <c r="F100" s="208"/>
      <c r="G100" s="128"/>
    </row>
    <row r="101" spans="1:7" ht="15.75" customHeight="1">
      <c r="A101" s="212" t="str">
        <f ca="1">IFERROR(__xludf.DUMMYFUNCTION("QUERY('GRN-IMP'!A17:I936,""SELECT A,B,C,D,F,G"")"),"")</f>
        <v/>
      </c>
      <c r="B101" s="212"/>
      <c r="C101" s="213"/>
      <c r="D101" s="214"/>
      <c r="E101" s="213"/>
      <c r="F101" s="215"/>
      <c r="G101" s="212"/>
    </row>
    <row r="102" spans="1:7" ht="15.75" customHeight="1">
      <c r="A102" s="128"/>
      <c r="B102" s="128"/>
      <c r="C102" s="87"/>
      <c r="D102" s="2"/>
      <c r="E102" s="87"/>
      <c r="F102" s="208"/>
      <c r="G102" s="128"/>
    </row>
    <row r="103" spans="1:7" ht="15.75" customHeight="1">
      <c r="A103" s="128"/>
      <c r="B103" s="128"/>
      <c r="C103" s="87"/>
      <c r="D103" s="2"/>
      <c r="E103" s="87"/>
      <c r="F103" s="208"/>
      <c r="G103" s="128"/>
    </row>
    <row r="104" spans="1:7" ht="15.75" customHeight="1">
      <c r="A104" s="87"/>
      <c r="B104" s="87"/>
      <c r="C104" s="87"/>
      <c r="D104" s="2"/>
      <c r="E104" s="87"/>
      <c r="F104" s="208"/>
      <c r="G104" s="128"/>
    </row>
    <row r="105" spans="1:7" ht="15.75" customHeight="1">
      <c r="A105" s="128"/>
      <c r="B105" s="128"/>
      <c r="C105" s="87"/>
      <c r="D105" s="2"/>
      <c r="E105" s="87"/>
      <c r="F105" s="208"/>
      <c r="G105" s="128"/>
    </row>
    <row r="106" spans="1:7" ht="15.75" customHeight="1">
      <c r="A106" s="128"/>
      <c r="B106" s="128"/>
      <c r="C106" s="87"/>
      <c r="D106" s="2"/>
      <c r="E106" s="87"/>
      <c r="F106" s="208"/>
      <c r="G106" s="128"/>
    </row>
    <row r="107" spans="1:7" ht="15.75" customHeight="1">
      <c r="A107" s="128"/>
      <c r="B107" s="128"/>
      <c r="C107" s="87"/>
      <c r="D107" s="2"/>
      <c r="E107" s="87"/>
      <c r="F107" s="208"/>
      <c r="G107" s="128"/>
    </row>
    <row r="108" spans="1:7" ht="15.75" customHeight="1">
      <c r="A108" s="128"/>
      <c r="B108" s="128"/>
      <c r="C108" s="87"/>
      <c r="D108" s="2"/>
      <c r="E108" s="87"/>
      <c r="F108" s="208"/>
      <c r="G108" s="128"/>
    </row>
    <row r="109" spans="1:7" ht="15.75" customHeight="1">
      <c r="A109" s="128"/>
      <c r="B109" s="128"/>
      <c r="C109" s="87"/>
      <c r="D109" s="2"/>
      <c r="E109" s="87"/>
      <c r="F109" s="208"/>
      <c r="G109" s="128"/>
    </row>
    <row r="110" spans="1:7" ht="15.75" customHeight="1">
      <c r="A110" s="128"/>
      <c r="B110" s="128"/>
      <c r="C110" s="87"/>
      <c r="D110" s="2"/>
      <c r="E110" s="87"/>
      <c r="F110" s="208"/>
      <c r="G110" s="128"/>
    </row>
    <row r="111" spans="1:7" ht="15.75" customHeight="1">
      <c r="A111" s="128"/>
      <c r="B111" s="128"/>
      <c r="C111" s="87"/>
      <c r="D111" s="2"/>
      <c r="E111" s="87"/>
      <c r="F111" s="208"/>
      <c r="G111" s="128"/>
    </row>
    <row r="112" spans="1:7" ht="15.75" customHeight="1">
      <c r="A112" s="128"/>
      <c r="B112" s="128"/>
      <c r="C112" s="87"/>
      <c r="D112" s="2"/>
      <c r="E112" s="87"/>
      <c r="F112" s="208"/>
      <c r="G112" s="128"/>
    </row>
    <row r="113" spans="1:7" ht="15.75" customHeight="1">
      <c r="A113" s="128"/>
      <c r="B113" s="128"/>
      <c r="C113" s="87"/>
      <c r="D113" s="2"/>
      <c r="E113" s="87"/>
      <c r="F113" s="208"/>
      <c r="G113" s="128"/>
    </row>
    <row r="114" spans="1:7" ht="15.75" customHeight="1">
      <c r="A114" s="128"/>
      <c r="B114" s="128"/>
      <c r="C114" s="87"/>
      <c r="D114" s="2"/>
      <c r="E114" s="87"/>
      <c r="F114" s="208"/>
      <c r="G114" s="128"/>
    </row>
    <row r="115" spans="1:7" ht="15.75" customHeight="1">
      <c r="A115" s="128"/>
      <c r="B115" s="128"/>
      <c r="C115" s="87"/>
      <c r="D115" s="2"/>
      <c r="E115" s="87"/>
      <c r="F115" s="208"/>
      <c r="G115" s="128"/>
    </row>
    <row r="116" spans="1:7" ht="15.75" customHeight="1">
      <c r="A116" s="128"/>
      <c r="B116" s="128"/>
      <c r="C116" s="87"/>
      <c r="D116" s="2"/>
      <c r="E116" s="87"/>
      <c r="F116" s="208"/>
      <c r="G116" s="128"/>
    </row>
    <row r="117" spans="1:7" ht="15.75" customHeight="1">
      <c r="A117" s="128"/>
      <c r="B117" s="128"/>
      <c r="C117" s="87"/>
      <c r="D117" s="2"/>
      <c r="E117" s="87"/>
      <c r="F117" s="208"/>
      <c r="G117" s="128"/>
    </row>
    <row r="118" spans="1:7" ht="15.75" customHeight="1">
      <c r="A118" s="128"/>
      <c r="B118" s="128"/>
      <c r="C118" s="87"/>
      <c r="D118" s="2"/>
      <c r="E118" s="87"/>
      <c r="F118" s="208"/>
      <c r="G118" s="128"/>
    </row>
    <row r="119" spans="1:7" ht="15.75" customHeight="1">
      <c r="A119" s="128"/>
      <c r="B119" s="128"/>
      <c r="C119" s="87"/>
      <c r="D119" s="2"/>
      <c r="E119" s="87"/>
      <c r="F119" s="208"/>
      <c r="G119" s="128"/>
    </row>
    <row r="120" spans="1:7" ht="15.75" customHeight="1">
      <c r="A120" s="128"/>
      <c r="B120" s="128"/>
      <c r="C120" s="87"/>
      <c r="D120" s="2"/>
      <c r="E120" s="87"/>
      <c r="F120" s="208"/>
      <c r="G120" s="128"/>
    </row>
    <row r="121" spans="1:7" ht="15.75" customHeight="1">
      <c r="A121" s="128"/>
      <c r="B121" s="128"/>
      <c r="C121" s="87"/>
      <c r="D121" s="2"/>
      <c r="E121" s="87"/>
      <c r="F121" s="208"/>
      <c r="G121" s="128"/>
    </row>
    <row r="122" spans="1:7" ht="15.75" customHeight="1">
      <c r="A122" s="128"/>
      <c r="B122" s="128"/>
      <c r="C122" s="87"/>
      <c r="D122" s="2"/>
      <c r="E122" s="87"/>
      <c r="F122" s="208"/>
      <c r="G122" s="128"/>
    </row>
    <row r="123" spans="1:7" ht="15.75" customHeight="1">
      <c r="A123" s="128"/>
      <c r="B123" s="128"/>
      <c r="C123" s="87"/>
      <c r="D123" s="2"/>
      <c r="E123" s="87"/>
      <c r="F123" s="208"/>
      <c r="G123" s="128"/>
    </row>
    <row r="124" spans="1:7" ht="15.75" customHeight="1">
      <c r="A124" s="128"/>
      <c r="B124" s="128"/>
      <c r="C124" s="87"/>
      <c r="D124" s="2"/>
      <c r="E124" s="87"/>
      <c r="F124" s="208"/>
      <c r="G124" s="128"/>
    </row>
    <row r="125" spans="1:7" ht="15.75" customHeight="1">
      <c r="A125" s="128"/>
      <c r="B125" s="128"/>
      <c r="C125" s="87"/>
      <c r="D125" s="2"/>
      <c r="E125" s="87"/>
      <c r="F125" s="208"/>
      <c r="G125" s="128"/>
    </row>
    <row r="126" spans="1:7" ht="15.75" customHeight="1">
      <c r="A126" s="128"/>
      <c r="B126" s="128"/>
      <c r="C126" s="87"/>
      <c r="D126" s="2"/>
      <c r="E126" s="87"/>
      <c r="F126" s="208"/>
      <c r="G126" s="128"/>
    </row>
    <row r="127" spans="1:7" ht="15.75" customHeight="1">
      <c r="A127" s="128"/>
      <c r="B127" s="128"/>
      <c r="C127" s="87"/>
      <c r="D127" s="2"/>
      <c r="E127" s="87"/>
      <c r="F127" s="208"/>
      <c r="G127" s="128"/>
    </row>
    <row r="128" spans="1:7" ht="15.75" customHeight="1">
      <c r="A128" s="128"/>
      <c r="B128" s="128"/>
      <c r="C128" s="87"/>
      <c r="D128" s="2"/>
      <c r="E128" s="87"/>
      <c r="F128" s="208"/>
      <c r="G128" s="128"/>
    </row>
    <row r="129" spans="1:7" ht="15.75" customHeight="1">
      <c r="A129" s="128"/>
      <c r="B129" s="128"/>
      <c r="C129" s="87"/>
      <c r="D129" s="2"/>
      <c r="E129" s="87"/>
      <c r="F129" s="208"/>
      <c r="G129" s="128"/>
    </row>
    <row r="130" spans="1:7" ht="15.75" customHeight="1">
      <c r="A130" s="128"/>
      <c r="B130" s="128"/>
      <c r="C130" s="87"/>
      <c r="D130" s="2"/>
      <c r="E130" s="87"/>
      <c r="F130" s="208"/>
      <c r="G130" s="128"/>
    </row>
    <row r="131" spans="1:7" ht="15.75" customHeight="1">
      <c r="A131" s="128"/>
      <c r="B131" s="128"/>
      <c r="C131" s="87"/>
      <c r="D131" s="2"/>
      <c r="E131" s="87"/>
      <c r="F131" s="208"/>
      <c r="G131" s="128"/>
    </row>
    <row r="132" spans="1:7" ht="15.75" customHeight="1">
      <c r="A132" s="128"/>
      <c r="B132" s="128"/>
      <c r="C132" s="87"/>
      <c r="D132" s="2"/>
      <c r="E132" s="87"/>
      <c r="F132" s="208"/>
      <c r="G132" s="128"/>
    </row>
    <row r="133" spans="1:7" ht="15.75" customHeight="1">
      <c r="A133" s="128"/>
      <c r="B133" s="128"/>
      <c r="C133" s="87"/>
      <c r="D133" s="2"/>
      <c r="E133" s="87"/>
      <c r="F133" s="208"/>
      <c r="G133" s="128"/>
    </row>
    <row r="134" spans="1:7" ht="15.75" customHeight="1">
      <c r="A134" s="128"/>
      <c r="B134" s="128"/>
      <c r="C134" s="87"/>
      <c r="D134" s="2"/>
      <c r="E134" s="87"/>
      <c r="F134" s="208"/>
      <c r="G134" s="128"/>
    </row>
    <row r="135" spans="1:7" ht="15.75" customHeight="1">
      <c r="A135" s="128"/>
      <c r="B135" s="128"/>
      <c r="C135" s="87"/>
      <c r="D135" s="2"/>
      <c r="E135" s="87"/>
      <c r="F135" s="208"/>
      <c r="G135" s="128"/>
    </row>
    <row r="136" spans="1:7" ht="15.75" customHeight="1">
      <c r="A136" s="128"/>
      <c r="B136" s="128"/>
      <c r="C136" s="87"/>
      <c r="D136" s="2"/>
      <c r="E136" s="87"/>
      <c r="F136" s="208"/>
      <c r="G136" s="128"/>
    </row>
    <row r="137" spans="1:7" ht="15.75" customHeight="1">
      <c r="A137" s="128"/>
      <c r="B137" s="128"/>
      <c r="C137" s="87"/>
      <c r="D137" s="2"/>
      <c r="E137" s="87"/>
      <c r="F137" s="208"/>
      <c r="G137" s="128"/>
    </row>
    <row r="138" spans="1:7" ht="15.75" customHeight="1">
      <c r="A138" s="128"/>
      <c r="B138" s="128"/>
      <c r="C138" s="87"/>
      <c r="D138" s="2"/>
      <c r="E138" s="87"/>
      <c r="F138" s="208"/>
      <c r="G138" s="128"/>
    </row>
    <row r="139" spans="1:7" ht="15.75" customHeight="1">
      <c r="A139" s="128"/>
      <c r="B139" s="128"/>
      <c r="C139" s="87"/>
      <c r="D139" s="2"/>
      <c r="E139" s="87"/>
      <c r="F139" s="208"/>
      <c r="G139" s="128"/>
    </row>
    <row r="140" spans="1:7" ht="15.75" customHeight="1">
      <c r="A140" s="128"/>
      <c r="B140" s="128"/>
      <c r="C140" s="87"/>
      <c r="D140" s="2"/>
      <c r="E140" s="87"/>
      <c r="F140" s="208"/>
      <c r="G140" s="128"/>
    </row>
    <row r="141" spans="1:7" ht="15.75" customHeight="1">
      <c r="A141" s="128"/>
      <c r="B141" s="128"/>
      <c r="C141" s="87"/>
      <c r="D141" s="2"/>
      <c r="E141" s="87"/>
      <c r="F141" s="208"/>
      <c r="G141" s="128"/>
    </row>
    <row r="142" spans="1:7" ht="15.75" customHeight="1">
      <c r="A142" s="128"/>
      <c r="B142" s="128"/>
      <c r="C142" s="87"/>
      <c r="D142" s="2"/>
      <c r="E142" s="87"/>
      <c r="F142" s="208"/>
      <c r="G142" s="128"/>
    </row>
    <row r="143" spans="1:7" ht="15.75" customHeight="1">
      <c r="A143" s="128"/>
      <c r="B143" s="128"/>
      <c r="C143" s="87"/>
      <c r="D143" s="2"/>
      <c r="E143" s="87"/>
      <c r="F143" s="208"/>
      <c r="G143" s="128"/>
    </row>
    <row r="144" spans="1:7" ht="15.75" customHeight="1">
      <c r="A144" s="128"/>
      <c r="B144" s="128"/>
      <c r="C144" s="87"/>
      <c r="D144" s="2"/>
      <c r="E144" s="87"/>
      <c r="F144" s="208"/>
      <c r="G144" s="128"/>
    </row>
    <row r="145" spans="1:7" ht="15.75" customHeight="1">
      <c r="A145" s="128"/>
      <c r="B145" s="128"/>
      <c r="C145" s="87"/>
      <c r="D145" s="2"/>
      <c r="E145" s="87"/>
      <c r="F145" s="208"/>
      <c r="G145" s="128"/>
    </row>
    <row r="146" spans="1:7" ht="15.75" customHeight="1">
      <c r="A146" s="128"/>
      <c r="B146" s="128"/>
      <c r="C146" s="87"/>
      <c r="D146" s="2"/>
      <c r="E146" s="87"/>
      <c r="F146" s="208"/>
      <c r="G146" s="128"/>
    </row>
    <row r="147" spans="1:7" ht="15.75" customHeight="1">
      <c r="A147" s="128"/>
      <c r="B147" s="128"/>
      <c r="C147" s="87"/>
      <c r="D147" s="2"/>
      <c r="E147" s="87"/>
      <c r="F147" s="208"/>
      <c r="G147" s="128"/>
    </row>
    <row r="148" spans="1:7" ht="15.75" customHeight="1">
      <c r="A148" s="128"/>
      <c r="B148" s="128"/>
      <c r="C148" s="87"/>
      <c r="D148" s="2"/>
      <c r="E148" s="87"/>
      <c r="F148" s="208"/>
      <c r="G148" s="128"/>
    </row>
    <row r="149" spans="1:7" ht="15.75" customHeight="1">
      <c r="A149" s="128"/>
      <c r="B149" s="128"/>
      <c r="C149" s="87"/>
      <c r="D149" s="2"/>
      <c r="E149" s="87"/>
      <c r="F149" s="208"/>
      <c r="G149" s="128"/>
    </row>
    <row r="150" spans="1:7" ht="15.75" customHeight="1">
      <c r="A150" s="128"/>
      <c r="B150" s="128"/>
      <c r="C150" s="87"/>
      <c r="D150" s="2"/>
      <c r="E150" s="87"/>
      <c r="F150" s="208"/>
      <c r="G150" s="128"/>
    </row>
    <row r="151" spans="1:7" ht="15.75" customHeight="1">
      <c r="A151" s="128"/>
      <c r="B151" s="128"/>
      <c r="C151" s="87"/>
      <c r="D151" s="2"/>
      <c r="E151" s="87"/>
      <c r="F151" s="208"/>
      <c r="G151" s="128"/>
    </row>
    <row r="152" spans="1:7" ht="15.75" customHeight="1">
      <c r="A152" s="128"/>
      <c r="B152" s="128"/>
      <c r="C152" s="87"/>
      <c r="D152" s="2"/>
      <c r="E152" s="87"/>
      <c r="F152" s="208"/>
      <c r="G152" s="128"/>
    </row>
    <row r="153" spans="1:7" ht="15.75" customHeight="1">
      <c r="A153" s="128"/>
      <c r="B153" s="128"/>
      <c r="C153" s="87"/>
      <c r="D153" s="2"/>
      <c r="E153" s="87"/>
      <c r="F153" s="208"/>
      <c r="G153" s="128"/>
    </row>
    <row r="154" spans="1:7" ht="15.75" customHeight="1">
      <c r="A154" s="128"/>
      <c r="B154" s="128"/>
      <c r="C154" s="87"/>
      <c r="D154" s="2"/>
      <c r="E154" s="87"/>
      <c r="F154" s="208"/>
      <c r="G154" s="128"/>
    </row>
    <row r="155" spans="1:7" ht="15.75" customHeight="1">
      <c r="A155" s="128"/>
      <c r="B155" s="128"/>
      <c r="C155" s="87"/>
      <c r="D155" s="2"/>
      <c r="E155" s="87"/>
      <c r="F155" s="208"/>
      <c r="G155" s="128"/>
    </row>
    <row r="156" spans="1:7" ht="15.75" customHeight="1">
      <c r="A156" s="128"/>
      <c r="B156" s="128"/>
      <c r="C156" s="87"/>
      <c r="D156" s="2"/>
      <c r="E156" s="87"/>
      <c r="F156" s="208"/>
      <c r="G156" s="128"/>
    </row>
    <row r="157" spans="1:7" ht="15.75" customHeight="1">
      <c r="A157" s="128"/>
      <c r="B157" s="128"/>
      <c r="C157" s="87"/>
      <c r="D157" s="2"/>
      <c r="E157" s="87"/>
      <c r="F157" s="208"/>
      <c r="G157" s="128"/>
    </row>
    <row r="158" spans="1:7" ht="15.75" customHeight="1">
      <c r="A158" s="128"/>
      <c r="B158" s="128"/>
      <c r="C158" s="87"/>
      <c r="D158" s="2"/>
      <c r="E158" s="87"/>
      <c r="F158" s="208"/>
      <c r="G158" s="128"/>
    </row>
    <row r="159" spans="1:7" ht="15.75" customHeight="1">
      <c r="A159" s="128"/>
      <c r="B159" s="128"/>
      <c r="C159" s="87"/>
      <c r="D159" s="2"/>
      <c r="E159" s="87"/>
      <c r="F159" s="208"/>
      <c r="G159" s="128"/>
    </row>
    <row r="160" spans="1:7" ht="15.75" customHeight="1">
      <c r="A160" s="128"/>
      <c r="B160" s="128"/>
      <c r="C160" s="87"/>
      <c r="D160" s="2"/>
      <c r="E160" s="87"/>
      <c r="F160" s="208"/>
      <c r="G160" s="128"/>
    </row>
    <row r="161" spans="1:7" ht="15.75" customHeight="1">
      <c r="A161" s="128"/>
      <c r="B161" s="128"/>
      <c r="C161" s="87"/>
      <c r="D161" s="2"/>
      <c r="E161" s="87"/>
      <c r="F161" s="208"/>
      <c r="G161" s="128"/>
    </row>
    <row r="162" spans="1:7" ht="15.75" customHeight="1">
      <c r="A162" s="128"/>
      <c r="B162" s="128"/>
      <c r="C162" s="87"/>
      <c r="D162" s="2"/>
      <c r="E162" s="87"/>
      <c r="F162" s="208"/>
      <c r="G162" s="128"/>
    </row>
    <row r="163" spans="1:7" ht="15.75" customHeight="1">
      <c r="A163" s="128"/>
      <c r="B163" s="128"/>
      <c r="C163" s="87"/>
      <c r="D163" s="2"/>
      <c r="E163" s="87"/>
      <c r="F163" s="208"/>
      <c r="G163" s="128"/>
    </row>
    <row r="164" spans="1:7" ht="15.75" customHeight="1">
      <c r="A164" s="128"/>
      <c r="B164" s="128"/>
      <c r="C164" s="87"/>
      <c r="D164" s="2"/>
      <c r="E164" s="87"/>
      <c r="F164" s="208"/>
      <c r="G164" s="128"/>
    </row>
    <row r="165" spans="1:7" ht="15.75" customHeight="1">
      <c r="A165" s="128"/>
      <c r="B165" s="128"/>
      <c r="C165" s="87"/>
      <c r="D165" s="2"/>
      <c r="E165" s="87"/>
      <c r="F165" s="208"/>
      <c r="G165" s="128"/>
    </row>
    <row r="166" spans="1:7" ht="15.75" customHeight="1">
      <c r="A166" s="128"/>
      <c r="B166" s="128"/>
      <c r="C166" s="87"/>
      <c r="D166" s="2"/>
      <c r="E166" s="87"/>
      <c r="F166" s="208"/>
      <c r="G166" s="128"/>
    </row>
    <row r="167" spans="1:7" ht="15.75" customHeight="1">
      <c r="A167" s="128"/>
      <c r="B167" s="128"/>
      <c r="C167" s="87"/>
      <c r="D167" s="2"/>
      <c r="E167" s="87"/>
      <c r="F167" s="208"/>
      <c r="G167" s="128"/>
    </row>
    <row r="168" spans="1:7" ht="15.75" customHeight="1">
      <c r="A168" s="128"/>
      <c r="B168" s="128"/>
      <c r="C168" s="87"/>
      <c r="D168" s="2"/>
      <c r="E168" s="87"/>
      <c r="F168" s="208"/>
      <c r="G168" s="128"/>
    </row>
    <row r="169" spans="1:7" ht="15.75" customHeight="1">
      <c r="A169" s="128"/>
      <c r="B169" s="128"/>
      <c r="C169" s="87"/>
      <c r="D169" s="2"/>
      <c r="E169" s="87"/>
      <c r="F169" s="208"/>
      <c r="G169" s="128"/>
    </row>
    <row r="170" spans="1:7" ht="15.75" customHeight="1">
      <c r="A170" s="128"/>
      <c r="B170" s="128"/>
      <c r="C170" s="87"/>
      <c r="D170" s="2"/>
      <c r="E170" s="87"/>
      <c r="F170" s="208"/>
      <c r="G170" s="128"/>
    </row>
    <row r="171" spans="1:7" ht="15.75" customHeight="1">
      <c r="A171" s="128"/>
      <c r="B171" s="128"/>
      <c r="C171" s="87"/>
      <c r="D171" s="2"/>
      <c r="E171" s="87"/>
      <c r="F171" s="208"/>
      <c r="G171" s="128"/>
    </row>
    <row r="172" spans="1:7" ht="15.75" customHeight="1">
      <c r="A172" s="128"/>
      <c r="B172" s="128"/>
      <c r="C172" s="87"/>
      <c r="D172" s="2"/>
      <c r="E172" s="87"/>
      <c r="F172" s="208"/>
      <c r="G172" s="128"/>
    </row>
    <row r="173" spans="1:7" ht="15.75" customHeight="1">
      <c r="A173" s="128"/>
      <c r="B173" s="128"/>
      <c r="C173" s="87"/>
      <c r="D173" s="2"/>
      <c r="E173" s="87"/>
      <c r="F173" s="208"/>
      <c r="G173" s="128"/>
    </row>
    <row r="174" spans="1:7" ht="15.75" customHeight="1">
      <c r="A174" s="128"/>
      <c r="B174" s="128"/>
      <c r="C174" s="87"/>
      <c r="D174" s="2"/>
      <c r="E174" s="87"/>
      <c r="F174" s="208"/>
      <c r="G174" s="128"/>
    </row>
    <row r="175" spans="1:7" ht="15.75" customHeight="1">
      <c r="A175" s="128"/>
      <c r="B175" s="128"/>
      <c r="C175" s="87"/>
      <c r="D175" s="2"/>
      <c r="E175" s="87"/>
      <c r="F175" s="208"/>
      <c r="G175" s="128"/>
    </row>
    <row r="176" spans="1:7" ht="15.75" customHeight="1">
      <c r="A176" s="128"/>
      <c r="B176" s="128"/>
      <c r="C176" s="87"/>
      <c r="D176" s="2"/>
      <c r="E176" s="87"/>
      <c r="F176" s="208"/>
      <c r="G176" s="128"/>
    </row>
    <row r="177" spans="1:7" ht="15.75" customHeight="1">
      <c r="A177" s="128"/>
      <c r="B177" s="128"/>
      <c r="C177" s="87"/>
      <c r="D177" s="2"/>
      <c r="E177" s="87"/>
      <c r="F177" s="208"/>
      <c r="G177" s="128"/>
    </row>
    <row r="178" spans="1:7" ht="15.75" customHeight="1">
      <c r="A178" s="128"/>
      <c r="B178" s="128"/>
      <c r="C178" s="87"/>
      <c r="D178" s="2"/>
      <c r="E178" s="87"/>
      <c r="F178" s="208"/>
      <c r="G178" s="128"/>
    </row>
    <row r="179" spans="1:7" ht="15.75" customHeight="1">
      <c r="A179" s="128"/>
      <c r="B179" s="128"/>
      <c r="C179" s="87"/>
      <c r="D179" s="2"/>
      <c r="E179" s="87"/>
      <c r="F179" s="208"/>
      <c r="G179" s="128"/>
    </row>
    <row r="180" spans="1:7" ht="15.75" customHeight="1">
      <c r="A180" s="128"/>
      <c r="B180" s="128"/>
      <c r="C180" s="87"/>
      <c r="D180" s="2"/>
      <c r="E180" s="87"/>
      <c r="F180" s="208"/>
      <c r="G180" s="128"/>
    </row>
    <row r="181" spans="1:7" ht="15.75" customHeight="1">
      <c r="A181" s="128"/>
      <c r="B181" s="128"/>
      <c r="C181" s="87"/>
      <c r="D181" s="2"/>
      <c r="E181" s="87"/>
      <c r="F181" s="208"/>
      <c r="G181" s="128"/>
    </row>
    <row r="182" spans="1:7" ht="15.75" customHeight="1">
      <c r="A182" s="128"/>
      <c r="B182" s="128"/>
      <c r="C182" s="87"/>
      <c r="D182" s="2"/>
      <c r="E182" s="87"/>
      <c r="F182" s="208"/>
      <c r="G182" s="128"/>
    </row>
    <row r="183" spans="1:7" ht="15.75" customHeight="1">
      <c r="A183" s="128"/>
      <c r="B183" s="128"/>
      <c r="C183" s="87"/>
      <c r="D183" s="2"/>
      <c r="E183" s="87"/>
      <c r="F183" s="208"/>
      <c r="G183" s="128"/>
    </row>
    <row r="184" spans="1:7" ht="15.75" customHeight="1">
      <c r="A184" s="128"/>
      <c r="B184" s="128"/>
      <c r="C184" s="87"/>
      <c r="D184" s="2"/>
      <c r="E184" s="87"/>
      <c r="F184" s="208"/>
      <c r="G184" s="128"/>
    </row>
    <row r="185" spans="1:7" ht="15.75" customHeight="1">
      <c r="A185" s="128"/>
      <c r="B185" s="128"/>
      <c r="C185" s="87"/>
      <c r="D185" s="2"/>
      <c r="E185" s="87"/>
      <c r="F185" s="208"/>
      <c r="G185" s="128"/>
    </row>
    <row r="186" spans="1:7" ht="15.75" customHeight="1">
      <c r="A186" s="128"/>
      <c r="B186" s="128"/>
      <c r="C186" s="87"/>
      <c r="D186" s="2"/>
      <c r="E186" s="87"/>
      <c r="F186" s="208"/>
      <c r="G186" s="128"/>
    </row>
    <row r="187" spans="1:7" ht="15.75" customHeight="1">
      <c r="A187" s="128"/>
      <c r="B187" s="128"/>
      <c r="C187" s="87"/>
      <c r="D187" s="2"/>
      <c r="E187" s="87"/>
      <c r="F187" s="208"/>
      <c r="G187" s="128"/>
    </row>
    <row r="188" spans="1:7" ht="15.75" customHeight="1">
      <c r="A188" s="128"/>
      <c r="B188" s="128"/>
      <c r="C188" s="87"/>
      <c r="D188" s="2"/>
      <c r="E188" s="87"/>
      <c r="F188" s="208"/>
      <c r="G188" s="128"/>
    </row>
    <row r="189" spans="1:7" ht="15.75" customHeight="1">
      <c r="A189" s="128"/>
      <c r="B189" s="128"/>
      <c r="C189" s="87"/>
      <c r="D189" s="2"/>
      <c r="E189" s="87"/>
      <c r="F189" s="208"/>
      <c r="G189" s="128"/>
    </row>
    <row r="190" spans="1:7" ht="15.75" customHeight="1">
      <c r="A190" s="128"/>
      <c r="B190" s="128"/>
      <c r="C190" s="87"/>
      <c r="D190" s="2"/>
      <c r="E190" s="87"/>
      <c r="F190" s="208"/>
      <c r="G190" s="128"/>
    </row>
    <row r="191" spans="1:7" ht="15.75" customHeight="1">
      <c r="A191" s="128"/>
      <c r="B191" s="128"/>
      <c r="C191" s="87"/>
      <c r="D191" s="2"/>
      <c r="E191" s="87"/>
      <c r="F191" s="208"/>
      <c r="G191" s="128"/>
    </row>
    <row r="192" spans="1:7" ht="15.75" customHeight="1">
      <c r="A192" s="128"/>
      <c r="B192" s="128"/>
      <c r="C192" s="87"/>
      <c r="D192" s="2"/>
      <c r="E192" s="87"/>
      <c r="F192" s="208"/>
      <c r="G192" s="128"/>
    </row>
    <row r="193" spans="1:7" ht="15.75" customHeight="1">
      <c r="A193" s="128"/>
      <c r="B193" s="128"/>
      <c r="C193" s="87"/>
      <c r="D193" s="2"/>
      <c r="E193" s="87"/>
      <c r="F193" s="208"/>
      <c r="G193" s="128"/>
    </row>
    <row r="194" spans="1:7" ht="15.75" customHeight="1">
      <c r="A194" s="128"/>
      <c r="B194" s="128"/>
      <c r="C194" s="87"/>
      <c r="D194" s="2"/>
      <c r="E194" s="87"/>
      <c r="F194" s="208"/>
      <c r="G194" s="128"/>
    </row>
    <row r="195" spans="1:7" ht="15.75" customHeight="1">
      <c r="A195" s="128"/>
      <c r="B195" s="128"/>
      <c r="C195" s="87"/>
      <c r="D195" s="2"/>
      <c r="E195" s="87"/>
      <c r="F195" s="208"/>
      <c r="G195" s="128"/>
    </row>
    <row r="196" spans="1:7" ht="15.75" customHeight="1">
      <c r="A196" s="128"/>
      <c r="B196" s="128"/>
      <c r="C196" s="87"/>
      <c r="D196" s="2"/>
      <c r="E196" s="87"/>
      <c r="F196" s="208"/>
      <c r="G196" s="128"/>
    </row>
    <row r="197" spans="1:7" ht="15.75" customHeight="1">
      <c r="A197" s="128"/>
      <c r="B197" s="128"/>
      <c r="C197" s="87"/>
      <c r="D197" s="2"/>
      <c r="E197" s="87"/>
      <c r="F197" s="208"/>
      <c r="G197" s="128"/>
    </row>
    <row r="198" spans="1:7" ht="15.75" customHeight="1">
      <c r="A198" s="128"/>
      <c r="B198" s="128"/>
      <c r="C198" s="87"/>
      <c r="D198" s="2"/>
      <c r="E198" s="87"/>
      <c r="F198" s="208"/>
      <c r="G198" s="128"/>
    </row>
    <row r="199" spans="1:7" ht="15.75" customHeight="1">
      <c r="A199" s="128"/>
      <c r="B199" s="128"/>
      <c r="C199" s="87"/>
      <c r="D199" s="2"/>
      <c r="E199" s="87"/>
      <c r="F199" s="208"/>
      <c r="G199" s="128"/>
    </row>
    <row r="200" spans="1:7" ht="15.75" customHeight="1">
      <c r="A200" s="128"/>
      <c r="B200" s="128"/>
      <c r="C200" s="87"/>
      <c r="D200" s="2"/>
      <c r="E200" s="87"/>
      <c r="F200" s="208"/>
      <c r="G200" s="128"/>
    </row>
    <row r="201" spans="1:7" ht="15.75" customHeight="1">
      <c r="A201" s="128"/>
      <c r="B201" s="128"/>
      <c r="C201" s="87"/>
      <c r="D201" s="2"/>
      <c r="E201" s="87"/>
      <c r="F201" s="208"/>
      <c r="G201" s="128"/>
    </row>
    <row r="202" spans="1:7" ht="15.75" customHeight="1">
      <c r="A202" s="128"/>
      <c r="B202" s="128"/>
      <c r="C202" s="87"/>
      <c r="D202" s="2"/>
      <c r="E202" s="87"/>
      <c r="F202" s="208"/>
      <c r="G202" s="128"/>
    </row>
    <row r="203" spans="1:7" ht="15.75" customHeight="1">
      <c r="A203" s="128"/>
      <c r="B203" s="128"/>
      <c r="C203" s="87"/>
      <c r="D203" s="2"/>
      <c r="E203" s="87"/>
      <c r="F203" s="208"/>
      <c r="G203" s="128"/>
    </row>
    <row r="204" spans="1:7" ht="15.75" customHeight="1">
      <c r="A204" s="128"/>
      <c r="B204" s="128"/>
      <c r="C204" s="87"/>
      <c r="D204" s="2"/>
      <c r="E204" s="87"/>
      <c r="F204" s="208"/>
      <c r="G204" s="128"/>
    </row>
    <row r="205" spans="1:7" ht="15.75" customHeight="1">
      <c r="A205" s="128"/>
      <c r="B205" s="128"/>
      <c r="C205" s="87"/>
      <c r="D205" s="2"/>
      <c r="E205" s="87"/>
      <c r="F205" s="208"/>
      <c r="G205" s="128"/>
    </row>
    <row r="206" spans="1:7" ht="15.75" customHeight="1">
      <c r="A206" s="128"/>
      <c r="B206" s="128"/>
      <c r="C206" s="87"/>
      <c r="D206" s="2"/>
      <c r="E206" s="87"/>
      <c r="F206" s="208"/>
      <c r="G206" s="128"/>
    </row>
    <row r="207" spans="1:7" ht="15.75" customHeight="1">
      <c r="A207" s="128"/>
      <c r="B207" s="128"/>
      <c r="C207" s="87"/>
      <c r="D207" s="2"/>
      <c r="E207" s="87"/>
      <c r="F207" s="208"/>
      <c r="G207" s="128"/>
    </row>
    <row r="208" spans="1:7" ht="15.75" customHeight="1">
      <c r="A208" s="128"/>
      <c r="B208" s="128"/>
      <c r="C208" s="87"/>
      <c r="D208" s="2"/>
      <c r="E208" s="87"/>
      <c r="F208" s="208"/>
      <c r="G208" s="128"/>
    </row>
    <row r="209" spans="1:7" ht="15.75" customHeight="1">
      <c r="A209" s="128"/>
      <c r="B209" s="128"/>
      <c r="C209" s="87"/>
      <c r="D209" s="2"/>
      <c r="E209" s="87"/>
      <c r="F209" s="208"/>
      <c r="G209" s="128"/>
    </row>
    <row r="210" spans="1:7" ht="15.75" customHeight="1">
      <c r="A210" s="128"/>
      <c r="B210" s="128"/>
      <c r="C210" s="87"/>
      <c r="D210" s="2"/>
      <c r="E210" s="87"/>
      <c r="F210" s="208"/>
      <c r="G210" s="128"/>
    </row>
    <row r="211" spans="1:7" ht="15.75" customHeight="1">
      <c r="A211" s="128"/>
      <c r="B211" s="128"/>
      <c r="C211" s="87"/>
      <c r="D211" s="2"/>
      <c r="E211" s="87"/>
      <c r="F211" s="208"/>
      <c r="G211" s="128"/>
    </row>
    <row r="212" spans="1:7" ht="15.75" customHeight="1">
      <c r="A212" s="128"/>
      <c r="B212" s="128"/>
      <c r="C212" s="87"/>
      <c r="D212" s="2"/>
      <c r="E212" s="87"/>
      <c r="F212" s="208"/>
      <c r="G212" s="128"/>
    </row>
    <row r="213" spans="1:7" ht="15.75" customHeight="1">
      <c r="A213" s="128"/>
      <c r="B213" s="128"/>
      <c r="C213" s="87"/>
      <c r="D213" s="2"/>
      <c r="E213" s="87"/>
      <c r="F213" s="208"/>
      <c r="G213" s="128"/>
    </row>
    <row r="214" spans="1:7" ht="15.75" customHeight="1">
      <c r="A214" s="128"/>
      <c r="B214" s="128"/>
      <c r="C214" s="87"/>
      <c r="D214" s="2"/>
      <c r="E214" s="87"/>
      <c r="F214" s="208"/>
      <c r="G214" s="128"/>
    </row>
    <row r="215" spans="1:7" ht="15.75" customHeight="1">
      <c r="A215" s="128"/>
      <c r="B215" s="128"/>
      <c r="C215" s="87"/>
      <c r="D215" s="2"/>
      <c r="E215" s="87"/>
      <c r="F215" s="208"/>
      <c r="G215" s="128"/>
    </row>
    <row r="216" spans="1:7" ht="15.75" customHeight="1">
      <c r="A216" s="128"/>
      <c r="B216" s="128"/>
      <c r="C216" s="87"/>
      <c r="D216" s="2"/>
      <c r="E216" s="87"/>
      <c r="F216" s="208"/>
      <c r="G216" s="128"/>
    </row>
    <row r="217" spans="1:7" ht="15.75" customHeight="1">
      <c r="A217" s="128"/>
      <c r="B217" s="128"/>
      <c r="C217" s="87"/>
      <c r="D217" s="2"/>
      <c r="E217" s="87"/>
      <c r="F217" s="208"/>
      <c r="G217" s="128"/>
    </row>
    <row r="218" spans="1:7" ht="15.75" customHeight="1">
      <c r="A218" s="128"/>
      <c r="B218" s="128"/>
      <c r="C218" s="87"/>
      <c r="D218" s="2"/>
      <c r="E218" s="87"/>
      <c r="F218" s="208"/>
      <c r="G218" s="128"/>
    </row>
    <row r="219" spans="1:7" ht="15.75" customHeight="1">
      <c r="A219" s="128"/>
      <c r="B219" s="128"/>
      <c r="C219" s="87"/>
      <c r="D219" s="2"/>
      <c r="E219" s="87"/>
      <c r="F219" s="208"/>
      <c r="G219" s="128"/>
    </row>
    <row r="220" spans="1:7" ht="15.75" customHeight="1">
      <c r="A220" s="128"/>
      <c r="B220" s="128"/>
      <c r="C220" s="87"/>
      <c r="D220" s="2"/>
      <c r="E220" s="87"/>
      <c r="F220" s="208"/>
      <c r="G220" s="128"/>
    </row>
    <row r="221" spans="1:7" ht="15.75" customHeight="1">
      <c r="A221" s="128"/>
      <c r="B221" s="128"/>
      <c r="C221" s="87"/>
      <c r="D221" s="2"/>
      <c r="E221" s="87"/>
      <c r="F221" s="208"/>
      <c r="G221" s="128"/>
    </row>
    <row r="222" spans="1:7" ht="15.75" customHeight="1">
      <c r="A222" s="128"/>
      <c r="B222" s="128"/>
      <c r="C222" s="87"/>
      <c r="D222" s="2"/>
      <c r="E222" s="87"/>
      <c r="F222" s="208"/>
      <c r="G222" s="128"/>
    </row>
    <row r="223" spans="1:7" ht="15.75" customHeight="1">
      <c r="A223" s="128"/>
      <c r="B223" s="128"/>
      <c r="C223" s="87"/>
      <c r="D223" s="2"/>
      <c r="E223" s="87"/>
      <c r="F223" s="208"/>
      <c r="G223" s="128"/>
    </row>
    <row r="224" spans="1:7" ht="15.75" customHeight="1">
      <c r="A224" s="128"/>
      <c r="B224" s="128"/>
      <c r="C224" s="87"/>
      <c r="D224" s="2"/>
      <c r="E224" s="87"/>
      <c r="F224" s="208"/>
      <c r="G224" s="128"/>
    </row>
    <row r="225" spans="1:7" ht="15.75" customHeight="1">
      <c r="A225" s="128"/>
      <c r="B225" s="128"/>
      <c r="C225" s="87"/>
      <c r="D225" s="2"/>
      <c r="E225" s="87"/>
      <c r="F225" s="208"/>
      <c r="G225" s="128"/>
    </row>
    <row r="226" spans="1:7" ht="15.75" customHeight="1">
      <c r="A226" s="128"/>
      <c r="B226" s="128"/>
      <c r="C226" s="87"/>
      <c r="D226" s="2"/>
      <c r="E226" s="87"/>
      <c r="F226" s="208"/>
      <c r="G226" s="128"/>
    </row>
    <row r="227" spans="1:7" ht="15.75" customHeight="1">
      <c r="A227" s="128"/>
      <c r="B227" s="128"/>
      <c r="C227" s="87"/>
      <c r="D227" s="2"/>
      <c r="E227" s="87"/>
      <c r="F227" s="208"/>
      <c r="G227" s="128"/>
    </row>
    <row r="228" spans="1:7" ht="15.75" customHeight="1">
      <c r="A228" s="128"/>
      <c r="B228" s="128"/>
      <c r="C228" s="87"/>
      <c r="D228" s="2"/>
      <c r="E228" s="87"/>
      <c r="F228" s="208"/>
      <c r="G228" s="128"/>
    </row>
    <row r="229" spans="1:7" ht="15.75" customHeight="1">
      <c r="A229" s="128"/>
      <c r="B229" s="128"/>
      <c r="C229" s="87"/>
      <c r="D229" s="2"/>
      <c r="E229" s="87"/>
      <c r="F229" s="208"/>
      <c r="G229" s="128"/>
    </row>
    <row r="230" spans="1:7" ht="15.75" customHeight="1">
      <c r="A230" s="128"/>
      <c r="B230" s="128"/>
      <c r="C230" s="87"/>
      <c r="D230" s="2"/>
      <c r="E230" s="87"/>
      <c r="F230" s="208"/>
      <c r="G230" s="128"/>
    </row>
    <row r="231" spans="1:7" ht="15.75" customHeight="1">
      <c r="A231" s="128"/>
      <c r="B231" s="128"/>
      <c r="C231" s="87"/>
      <c r="D231" s="2"/>
      <c r="E231" s="87"/>
      <c r="F231" s="208"/>
      <c r="G231" s="128"/>
    </row>
    <row r="232" spans="1:7" ht="15.75" customHeight="1">
      <c r="A232" s="128"/>
      <c r="B232" s="128"/>
      <c r="C232" s="87"/>
      <c r="D232" s="2"/>
      <c r="E232" s="87"/>
      <c r="F232" s="208"/>
      <c r="G232" s="128"/>
    </row>
    <row r="233" spans="1:7" ht="15.75" customHeight="1">
      <c r="A233" s="128"/>
      <c r="B233" s="128"/>
      <c r="C233" s="87"/>
      <c r="D233" s="2"/>
      <c r="E233" s="87"/>
      <c r="F233" s="208"/>
      <c r="G233" s="128"/>
    </row>
    <row r="234" spans="1:7" ht="15.75" customHeight="1">
      <c r="A234" s="128"/>
      <c r="B234" s="128"/>
      <c r="C234" s="87"/>
      <c r="D234" s="2"/>
      <c r="E234" s="87"/>
      <c r="F234" s="208"/>
      <c r="G234" s="128"/>
    </row>
    <row r="235" spans="1:7" ht="15.75" customHeight="1">
      <c r="A235" s="128"/>
      <c r="B235" s="128"/>
      <c r="C235" s="87"/>
      <c r="D235" s="2"/>
      <c r="E235" s="87"/>
      <c r="F235" s="208"/>
      <c r="G235" s="128"/>
    </row>
    <row r="236" spans="1:7" ht="15.75" customHeight="1">
      <c r="A236" s="128"/>
      <c r="B236" s="128"/>
      <c r="C236" s="87"/>
      <c r="D236" s="2"/>
      <c r="E236" s="87"/>
      <c r="F236" s="208"/>
      <c r="G236" s="128"/>
    </row>
    <row r="237" spans="1:7" ht="15.75" customHeight="1">
      <c r="A237" s="128"/>
      <c r="B237" s="128"/>
      <c r="C237" s="87"/>
      <c r="D237" s="2"/>
      <c r="E237" s="87"/>
      <c r="F237" s="208"/>
      <c r="G237" s="128"/>
    </row>
    <row r="238" spans="1:7" ht="15.75" customHeight="1">
      <c r="A238" s="128"/>
      <c r="B238" s="128"/>
      <c r="C238" s="87"/>
      <c r="D238" s="2"/>
      <c r="E238" s="87"/>
      <c r="F238" s="208"/>
      <c r="G238" s="128"/>
    </row>
    <row r="239" spans="1:7" ht="15.75" customHeight="1">
      <c r="A239" s="128"/>
      <c r="B239" s="128"/>
      <c r="C239" s="87"/>
      <c r="D239" s="2"/>
      <c r="E239" s="87"/>
      <c r="F239" s="208"/>
      <c r="G239" s="128"/>
    </row>
    <row r="240" spans="1:7" ht="15.75" customHeight="1">
      <c r="A240" s="128"/>
      <c r="B240" s="128"/>
      <c r="C240" s="87"/>
      <c r="D240" s="2"/>
      <c r="E240" s="87"/>
      <c r="F240" s="208"/>
      <c r="G240" s="128"/>
    </row>
    <row r="241" spans="1:7" ht="15.75" customHeight="1">
      <c r="A241" s="128"/>
      <c r="B241" s="128"/>
      <c r="C241" s="87"/>
      <c r="D241" s="2"/>
      <c r="E241" s="87"/>
      <c r="F241" s="208"/>
      <c r="G241" s="128"/>
    </row>
    <row r="242" spans="1:7" ht="15.75" customHeight="1">
      <c r="A242" s="128"/>
      <c r="B242" s="128"/>
      <c r="C242" s="87"/>
      <c r="D242" s="2"/>
      <c r="E242" s="87"/>
      <c r="F242" s="208"/>
      <c r="G242" s="128"/>
    </row>
    <row r="243" spans="1:7" ht="15.75" customHeight="1">
      <c r="A243" s="128"/>
      <c r="B243" s="128"/>
      <c r="C243" s="87"/>
      <c r="D243" s="2"/>
      <c r="E243" s="87"/>
      <c r="F243" s="208"/>
      <c r="G243" s="128"/>
    </row>
    <row r="244" spans="1:7" ht="15.75" customHeight="1">
      <c r="A244" s="128"/>
      <c r="B244" s="128"/>
      <c r="C244" s="87"/>
      <c r="D244" s="2"/>
      <c r="E244" s="87"/>
      <c r="F244" s="208"/>
      <c r="G244" s="128"/>
    </row>
    <row r="245" spans="1:7" ht="15.75" customHeight="1">
      <c r="A245" s="128"/>
      <c r="B245" s="128"/>
      <c r="C245" s="87"/>
      <c r="D245" s="2"/>
      <c r="E245" s="87"/>
      <c r="F245" s="208"/>
      <c r="G245" s="128"/>
    </row>
    <row r="246" spans="1:7" ht="15.75" customHeight="1">
      <c r="A246" s="128"/>
      <c r="B246" s="128"/>
      <c r="C246" s="87"/>
      <c r="D246" s="2"/>
      <c r="E246" s="87"/>
      <c r="F246" s="208"/>
      <c r="G246" s="128"/>
    </row>
    <row r="247" spans="1:7" ht="15.75" customHeight="1">
      <c r="A247" s="128"/>
      <c r="B247" s="128"/>
      <c r="C247" s="87"/>
      <c r="D247" s="2"/>
      <c r="E247" s="87"/>
      <c r="F247" s="208"/>
      <c r="G247" s="128"/>
    </row>
    <row r="248" spans="1:7" ht="15.75" customHeight="1">
      <c r="A248" s="128"/>
      <c r="B248" s="128"/>
      <c r="C248" s="87"/>
      <c r="D248" s="2"/>
      <c r="E248" s="87"/>
      <c r="F248" s="208"/>
      <c r="G248" s="128"/>
    </row>
    <row r="249" spans="1:7" ht="15.75" customHeight="1">
      <c r="A249" s="128"/>
      <c r="B249" s="128"/>
      <c r="C249" s="87"/>
      <c r="D249" s="2"/>
      <c r="E249" s="87"/>
      <c r="F249" s="208"/>
      <c r="G249" s="128"/>
    </row>
    <row r="250" spans="1:7" ht="15.75" customHeight="1">
      <c r="A250" s="128"/>
      <c r="B250" s="128"/>
      <c r="C250" s="87"/>
      <c r="D250" s="2"/>
      <c r="E250" s="87"/>
      <c r="F250" s="208"/>
      <c r="G250" s="128"/>
    </row>
    <row r="251" spans="1:7" ht="15.75" customHeight="1">
      <c r="A251" s="128"/>
      <c r="B251" s="128"/>
      <c r="C251" s="87"/>
      <c r="D251" s="2"/>
      <c r="E251" s="87"/>
      <c r="F251" s="208"/>
      <c r="G251" s="128"/>
    </row>
    <row r="252" spans="1:7" ht="15.75" customHeight="1">
      <c r="A252" s="128"/>
      <c r="B252" s="128"/>
      <c r="C252" s="87"/>
      <c r="D252" s="2"/>
      <c r="E252" s="87"/>
      <c r="F252" s="208"/>
      <c r="G252" s="128"/>
    </row>
    <row r="253" spans="1:7" ht="15.75" customHeight="1">
      <c r="A253" s="128"/>
      <c r="B253" s="128"/>
      <c r="C253" s="87"/>
      <c r="D253" s="2"/>
      <c r="E253" s="87"/>
      <c r="F253" s="208"/>
      <c r="G253" s="128"/>
    </row>
    <row r="254" spans="1:7" ht="15.75" customHeight="1">
      <c r="A254" s="128"/>
      <c r="B254" s="128"/>
      <c r="C254" s="87"/>
      <c r="D254" s="2"/>
      <c r="E254" s="87"/>
      <c r="F254" s="208"/>
      <c r="G254" s="128"/>
    </row>
    <row r="255" spans="1:7" ht="15.75" customHeight="1">
      <c r="A255" s="128"/>
      <c r="B255" s="128"/>
      <c r="C255" s="87"/>
      <c r="D255" s="2"/>
      <c r="E255" s="87"/>
      <c r="F255" s="208"/>
      <c r="G255" s="128"/>
    </row>
    <row r="256" spans="1:7" ht="15.75" customHeight="1">
      <c r="A256" s="128"/>
      <c r="B256" s="128"/>
      <c r="C256" s="87"/>
      <c r="D256" s="2"/>
      <c r="E256" s="87"/>
      <c r="F256" s="208"/>
      <c r="G256" s="128"/>
    </row>
    <row r="257" spans="1:7" ht="15.75" customHeight="1">
      <c r="A257" s="128"/>
      <c r="B257" s="128"/>
      <c r="C257" s="87"/>
      <c r="D257" s="2"/>
      <c r="E257" s="87"/>
      <c r="F257" s="208"/>
      <c r="G257" s="128"/>
    </row>
    <row r="258" spans="1:7" ht="15.75" customHeight="1">
      <c r="A258" s="128"/>
      <c r="B258" s="128"/>
      <c r="C258" s="87"/>
      <c r="D258" s="2"/>
      <c r="E258" s="87"/>
      <c r="F258" s="208"/>
      <c r="G258" s="128"/>
    </row>
    <row r="259" spans="1:7" ht="15.75" customHeight="1">
      <c r="A259" s="128"/>
      <c r="B259" s="128"/>
      <c r="C259" s="87"/>
      <c r="D259" s="2"/>
      <c r="E259" s="87"/>
      <c r="F259" s="208"/>
      <c r="G259" s="128"/>
    </row>
    <row r="260" spans="1:7" ht="15.75" customHeight="1">
      <c r="A260" s="128"/>
      <c r="B260" s="128"/>
      <c r="C260" s="87"/>
      <c r="D260" s="2"/>
      <c r="E260" s="87"/>
      <c r="F260" s="208"/>
      <c r="G260" s="128"/>
    </row>
    <row r="261" spans="1:7" ht="15.75" customHeight="1">
      <c r="A261" s="128"/>
      <c r="B261" s="128"/>
      <c r="C261" s="87"/>
      <c r="D261" s="2"/>
      <c r="E261" s="87"/>
      <c r="F261" s="208"/>
      <c r="G261" s="128"/>
    </row>
    <row r="262" spans="1:7" ht="15.75" customHeight="1">
      <c r="A262" s="128"/>
      <c r="B262" s="128"/>
      <c r="C262" s="87"/>
      <c r="D262" s="2"/>
      <c r="E262" s="87"/>
      <c r="F262" s="208"/>
      <c r="G262" s="128"/>
    </row>
    <row r="263" spans="1:7" ht="15.75" customHeight="1">
      <c r="A263" s="128"/>
      <c r="B263" s="128"/>
      <c r="C263" s="87"/>
      <c r="D263" s="2"/>
      <c r="E263" s="87"/>
      <c r="F263" s="208"/>
      <c r="G263" s="128"/>
    </row>
    <row r="264" spans="1:7" ht="15.75" customHeight="1">
      <c r="A264" s="128"/>
      <c r="B264" s="128"/>
      <c r="C264" s="87"/>
      <c r="D264" s="2"/>
      <c r="E264" s="87"/>
      <c r="F264" s="208"/>
      <c r="G264" s="128"/>
    </row>
    <row r="265" spans="1:7" ht="15.75" customHeight="1">
      <c r="A265" s="128"/>
      <c r="B265" s="128"/>
      <c r="C265" s="87"/>
      <c r="D265" s="2"/>
      <c r="E265" s="87"/>
      <c r="F265" s="208"/>
      <c r="G265" s="128"/>
    </row>
    <row r="266" spans="1:7" ht="15.75" customHeight="1">
      <c r="A266" s="128"/>
      <c r="B266" s="128"/>
      <c r="C266" s="87"/>
      <c r="D266" s="2"/>
      <c r="E266" s="87"/>
      <c r="F266" s="208"/>
      <c r="G266" s="128"/>
    </row>
    <row r="267" spans="1:7" ht="15.75" customHeight="1">
      <c r="A267" s="128"/>
      <c r="B267" s="128"/>
      <c r="C267" s="87"/>
      <c r="D267" s="2"/>
      <c r="E267" s="87"/>
      <c r="F267" s="208"/>
      <c r="G267" s="128"/>
    </row>
    <row r="268" spans="1:7" ht="15.75" customHeight="1">
      <c r="A268" s="128"/>
      <c r="B268" s="128"/>
      <c r="C268" s="87"/>
      <c r="D268" s="2"/>
      <c r="E268" s="87"/>
      <c r="F268" s="208"/>
      <c r="G268" s="128"/>
    </row>
    <row r="269" spans="1:7" ht="15.75" customHeight="1">
      <c r="A269" s="128"/>
      <c r="B269" s="128"/>
      <c r="C269" s="87"/>
      <c r="D269" s="2"/>
      <c r="E269" s="87"/>
      <c r="F269" s="208"/>
      <c r="G269" s="128"/>
    </row>
    <row r="270" spans="1:7" ht="15.75" customHeight="1">
      <c r="A270" s="128"/>
      <c r="B270" s="128"/>
      <c r="C270" s="87"/>
      <c r="D270" s="2"/>
      <c r="E270" s="87"/>
      <c r="F270" s="208"/>
      <c r="G270" s="128"/>
    </row>
    <row r="271" spans="1:7" ht="15.75" customHeight="1">
      <c r="A271" s="128"/>
      <c r="B271" s="128"/>
      <c r="C271" s="87"/>
      <c r="D271" s="2"/>
      <c r="E271" s="87"/>
      <c r="F271" s="208"/>
      <c r="G271" s="128"/>
    </row>
    <row r="272" spans="1:7" ht="15.75" customHeight="1">
      <c r="A272" s="128"/>
      <c r="B272" s="128"/>
      <c r="C272" s="87"/>
      <c r="D272" s="2"/>
      <c r="E272" s="87"/>
      <c r="F272" s="208"/>
      <c r="G272" s="128"/>
    </row>
    <row r="273" spans="1:7" ht="15.75" customHeight="1">
      <c r="A273" s="128"/>
      <c r="B273" s="128"/>
      <c r="C273" s="87"/>
      <c r="D273" s="2"/>
      <c r="E273" s="87"/>
      <c r="F273" s="208"/>
      <c r="G273" s="128"/>
    </row>
    <row r="274" spans="1:7" ht="15.75" customHeight="1">
      <c r="A274" s="128"/>
      <c r="B274" s="128"/>
      <c r="C274" s="87"/>
      <c r="D274" s="2"/>
      <c r="E274" s="87"/>
      <c r="F274" s="208"/>
      <c r="G274" s="128"/>
    </row>
    <row r="275" spans="1:7" ht="15.75" customHeight="1">
      <c r="A275" s="128"/>
      <c r="B275" s="128"/>
      <c r="C275" s="87"/>
      <c r="D275" s="2"/>
      <c r="E275" s="87"/>
      <c r="F275" s="208"/>
      <c r="G275" s="128"/>
    </row>
    <row r="276" spans="1:7" ht="15.75" customHeight="1">
      <c r="A276" s="128"/>
      <c r="B276" s="128"/>
      <c r="C276" s="87"/>
      <c r="D276" s="2"/>
      <c r="E276" s="87"/>
      <c r="F276" s="208"/>
      <c r="G276" s="128"/>
    </row>
    <row r="277" spans="1:7" ht="15.75" customHeight="1">
      <c r="A277" s="128"/>
      <c r="B277" s="128"/>
      <c r="C277" s="87"/>
      <c r="D277" s="2"/>
      <c r="E277" s="87"/>
      <c r="F277" s="208"/>
      <c r="G277" s="128"/>
    </row>
    <row r="278" spans="1:7" ht="15.75" customHeight="1">
      <c r="A278" s="128"/>
      <c r="B278" s="128"/>
      <c r="C278" s="87"/>
      <c r="D278" s="2"/>
      <c r="E278" s="87"/>
      <c r="F278" s="208"/>
      <c r="G278" s="128"/>
    </row>
    <row r="279" spans="1:7" ht="15.75" customHeight="1">
      <c r="A279" s="128"/>
      <c r="B279" s="128"/>
      <c r="C279" s="87"/>
      <c r="D279" s="2"/>
      <c r="E279" s="87"/>
      <c r="F279" s="208"/>
      <c r="G279" s="128"/>
    </row>
    <row r="280" spans="1:7" ht="15.75" customHeight="1">
      <c r="A280" s="128"/>
      <c r="B280" s="128"/>
      <c r="C280" s="87"/>
      <c r="D280" s="2"/>
      <c r="E280" s="87"/>
      <c r="F280" s="208"/>
      <c r="G280" s="128"/>
    </row>
    <row r="281" spans="1:7" ht="15.75" customHeight="1">
      <c r="A281" s="128"/>
      <c r="B281" s="128"/>
      <c r="C281" s="87"/>
      <c r="D281" s="2"/>
      <c r="E281" s="87"/>
      <c r="F281" s="208"/>
      <c r="G281" s="128"/>
    </row>
    <row r="282" spans="1:7" ht="15.75" customHeight="1">
      <c r="A282" s="128"/>
      <c r="B282" s="128"/>
      <c r="C282" s="87"/>
      <c r="D282" s="2"/>
      <c r="E282" s="87"/>
      <c r="F282" s="208"/>
      <c r="G282" s="128"/>
    </row>
    <row r="283" spans="1:7" ht="15.75" customHeight="1">
      <c r="A283" s="128"/>
      <c r="B283" s="128"/>
      <c r="C283" s="87"/>
      <c r="D283" s="2"/>
      <c r="E283" s="87"/>
      <c r="F283" s="208"/>
      <c r="G283" s="128"/>
    </row>
    <row r="284" spans="1:7" ht="15.75" customHeight="1">
      <c r="A284" s="128"/>
      <c r="B284" s="128"/>
      <c r="C284" s="87"/>
      <c r="D284" s="2"/>
      <c r="E284" s="87"/>
      <c r="F284" s="208"/>
      <c r="G284" s="128"/>
    </row>
    <row r="285" spans="1:7" ht="15.75" customHeight="1">
      <c r="A285" s="128"/>
      <c r="B285" s="128"/>
      <c r="C285" s="87"/>
      <c r="D285" s="2"/>
      <c r="E285" s="87"/>
      <c r="F285" s="208"/>
      <c r="G285" s="128"/>
    </row>
    <row r="286" spans="1:7" ht="15.75" customHeight="1">
      <c r="A286" s="128"/>
      <c r="B286" s="128"/>
      <c r="C286" s="87"/>
      <c r="D286" s="2"/>
      <c r="E286" s="87"/>
      <c r="F286" s="208"/>
      <c r="G286" s="128"/>
    </row>
    <row r="287" spans="1:7" ht="15.75" customHeight="1">
      <c r="A287" s="128"/>
      <c r="B287" s="128"/>
      <c r="C287" s="87"/>
      <c r="D287" s="2"/>
      <c r="E287" s="87"/>
      <c r="F287" s="208"/>
      <c r="G287" s="128"/>
    </row>
    <row r="288" spans="1:7" ht="15.75" customHeight="1">
      <c r="A288" s="128"/>
      <c r="B288" s="128"/>
      <c r="C288" s="87"/>
      <c r="D288" s="2"/>
      <c r="E288" s="87"/>
      <c r="F288" s="208"/>
      <c r="G288" s="128"/>
    </row>
    <row r="289" spans="1:7" ht="15.75" customHeight="1">
      <c r="A289" s="128"/>
      <c r="B289" s="128"/>
      <c r="C289" s="87"/>
      <c r="D289" s="2"/>
      <c r="E289" s="87"/>
      <c r="F289" s="208"/>
      <c r="G289" s="128"/>
    </row>
    <row r="290" spans="1:7" ht="15.75" customHeight="1">
      <c r="A290" s="128"/>
      <c r="B290" s="128"/>
      <c r="C290" s="87"/>
      <c r="D290" s="2"/>
      <c r="E290" s="87"/>
      <c r="F290" s="208"/>
      <c r="G290" s="128"/>
    </row>
    <row r="291" spans="1:7" ht="15.75" customHeight="1">
      <c r="A291" s="128"/>
      <c r="B291" s="128"/>
      <c r="C291" s="87"/>
      <c r="D291" s="2"/>
      <c r="E291" s="87"/>
      <c r="F291" s="208"/>
      <c r="G291" s="128"/>
    </row>
    <row r="292" spans="1:7" ht="15.75" customHeight="1">
      <c r="A292" s="128"/>
      <c r="B292" s="128"/>
      <c r="C292" s="87"/>
      <c r="D292" s="2"/>
      <c r="E292" s="87"/>
      <c r="F292" s="208"/>
      <c r="G292" s="128"/>
    </row>
    <row r="293" spans="1:7" ht="15.75" customHeight="1">
      <c r="A293" s="128"/>
      <c r="B293" s="128"/>
      <c r="C293" s="87"/>
      <c r="D293" s="2"/>
      <c r="E293" s="87"/>
      <c r="F293" s="208"/>
      <c r="G293" s="128"/>
    </row>
    <row r="294" spans="1:7" ht="15.75" customHeight="1">
      <c r="A294" s="128"/>
      <c r="B294" s="128"/>
      <c r="C294" s="87"/>
      <c r="D294" s="2"/>
      <c r="E294" s="87"/>
      <c r="F294" s="208"/>
      <c r="G294" s="128"/>
    </row>
    <row r="295" spans="1:7" ht="15.75" customHeight="1">
      <c r="A295" s="128"/>
      <c r="B295" s="128"/>
      <c r="C295" s="87"/>
      <c r="D295" s="2"/>
      <c r="E295" s="87"/>
      <c r="F295" s="208"/>
      <c r="G295" s="128"/>
    </row>
    <row r="296" spans="1:7" ht="15.75" customHeight="1">
      <c r="A296" s="128"/>
      <c r="B296" s="128"/>
      <c r="C296" s="87"/>
      <c r="D296" s="2"/>
      <c r="E296" s="87"/>
      <c r="F296" s="208"/>
      <c r="G296" s="128"/>
    </row>
    <row r="297" spans="1:7" ht="15.75" customHeight="1">
      <c r="A297" s="128"/>
      <c r="B297" s="128"/>
      <c r="C297" s="87"/>
      <c r="D297" s="2"/>
      <c r="E297" s="87"/>
      <c r="F297" s="208"/>
      <c r="G297" s="128"/>
    </row>
    <row r="298" spans="1:7" ht="15.75" customHeight="1">
      <c r="A298" s="128"/>
      <c r="B298" s="128"/>
      <c r="C298" s="87"/>
      <c r="D298" s="2"/>
      <c r="E298" s="87"/>
      <c r="F298" s="208"/>
      <c r="G298" s="128"/>
    </row>
    <row r="299" spans="1:7" ht="15.75" customHeight="1">
      <c r="A299" s="128"/>
      <c r="B299" s="128"/>
      <c r="C299" s="87"/>
      <c r="D299" s="2"/>
      <c r="E299" s="87"/>
      <c r="F299" s="208"/>
      <c r="G299" s="128"/>
    </row>
    <row r="300" spans="1:7" ht="15.75" customHeight="1">
      <c r="A300" s="128"/>
      <c r="B300" s="128"/>
      <c r="C300" s="87"/>
      <c r="D300" s="2"/>
      <c r="E300" s="87"/>
      <c r="F300" s="208"/>
      <c r="G300" s="128"/>
    </row>
    <row r="301" spans="1:7" ht="15.75" customHeight="1">
      <c r="A301" s="128"/>
      <c r="B301" s="128"/>
      <c r="C301" s="87"/>
      <c r="D301" s="2"/>
      <c r="E301" s="87"/>
      <c r="F301" s="208"/>
      <c r="G301" s="128"/>
    </row>
    <row r="302" spans="1:7" ht="15.75" customHeight="1">
      <c r="A302" s="128"/>
      <c r="B302" s="128"/>
      <c r="C302" s="87"/>
      <c r="D302" s="2"/>
      <c r="E302" s="87"/>
      <c r="F302" s="208"/>
      <c r="G302" s="128"/>
    </row>
    <row r="303" spans="1:7" ht="15.75" customHeight="1">
      <c r="A303" s="128"/>
      <c r="B303" s="128"/>
      <c r="C303" s="87"/>
      <c r="D303" s="2"/>
      <c r="E303" s="87"/>
      <c r="F303" s="208"/>
      <c r="G303" s="128"/>
    </row>
    <row r="304" spans="1:7" ht="15.75" customHeight="1">
      <c r="A304" s="128"/>
      <c r="B304" s="128"/>
      <c r="C304" s="87"/>
      <c r="D304" s="2"/>
      <c r="E304" s="87"/>
      <c r="F304" s="208"/>
      <c r="G304" s="128"/>
    </row>
    <row r="305" spans="1:7" ht="15.75" customHeight="1">
      <c r="A305" s="128"/>
      <c r="B305" s="128"/>
      <c r="C305" s="87"/>
      <c r="D305" s="2"/>
      <c r="E305" s="87"/>
      <c r="F305" s="208"/>
      <c r="G305" s="128"/>
    </row>
    <row r="306" spans="1:7" ht="15.75" customHeight="1">
      <c r="A306" s="128"/>
      <c r="B306" s="128"/>
      <c r="C306" s="87"/>
      <c r="D306" s="2"/>
      <c r="E306" s="87"/>
      <c r="F306" s="208"/>
      <c r="G306" s="128"/>
    </row>
    <row r="307" spans="1:7" ht="15.75" customHeight="1">
      <c r="A307" s="128"/>
      <c r="B307" s="128"/>
      <c r="C307" s="87"/>
      <c r="D307" s="2"/>
      <c r="E307" s="87"/>
      <c r="F307" s="208"/>
      <c r="G307" s="128"/>
    </row>
    <row r="308" spans="1:7" ht="15.75" customHeight="1">
      <c r="A308" s="128"/>
      <c r="B308" s="128"/>
      <c r="C308" s="87"/>
      <c r="D308" s="2"/>
      <c r="E308" s="87"/>
      <c r="F308" s="208"/>
      <c r="G308" s="128"/>
    </row>
    <row r="309" spans="1:7" ht="15.75" customHeight="1">
      <c r="A309" s="128"/>
      <c r="B309" s="128"/>
      <c r="C309" s="87"/>
      <c r="D309" s="2"/>
      <c r="E309" s="87"/>
      <c r="F309" s="208"/>
      <c r="G309" s="128"/>
    </row>
    <row r="310" spans="1:7" ht="15.75" customHeight="1">
      <c r="A310" s="128"/>
      <c r="B310" s="128"/>
      <c r="C310" s="87"/>
      <c r="D310" s="2"/>
      <c r="E310" s="87"/>
      <c r="F310" s="208"/>
      <c r="G310" s="128"/>
    </row>
    <row r="311" spans="1:7" ht="15.75" customHeight="1">
      <c r="A311" s="128"/>
      <c r="B311" s="128"/>
      <c r="C311" s="87"/>
      <c r="D311" s="2"/>
      <c r="E311" s="87"/>
      <c r="F311" s="208"/>
      <c r="G311" s="128"/>
    </row>
    <row r="312" spans="1:7" ht="15.75" customHeight="1">
      <c r="A312" s="128"/>
      <c r="B312" s="128"/>
      <c r="C312" s="87"/>
      <c r="D312" s="2"/>
      <c r="E312" s="87"/>
      <c r="F312" s="208"/>
      <c r="G312" s="128"/>
    </row>
    <row r="313" spans="1:7" ht="15.75" customHeight="1">
      <c r="A313" s="128"/>
      <c r="B313" s="128"/>
      <c r="C313" s="87"/>
      <c r="D313" s="2"/>
      <c r="E313" s="87"/>
      <c r="F313" s="208"/>
      <c r="G313" s="128"/>
    </row>
    <row r="314" spans="1:7" ht="15.75" customHeight="1">
      <c r="A314" s="128"/>
      <c r="B314" s="128"/>
      <c r="C314" s="87"/>
      <c r="D314" s="2"/>
      <c r="E314" s="87"/>
      <c r="F314" s="208"/>
      <c r="G314" s="128"/>
    </row>
    <row r="315" spans="1:7" ht="15.75" customHeight="1">
      <c r="A315" s="128"/>
      <c r="B315" s="128"/>
      <c r="C315" s="87"/>
      <c r="D315" s="2"/>
      <c r="E315" s="87"/>
      <c r="F315" s="208"/>
      <c r="G315" s="128"/>
    </row>
    <row r="316" spans="1:7" ht="15.75" customHeight="1">
      <c r="A316" s="128"/>
      <c r="B316" s="128"/>
      <c r="C316" s="87"/>
      <c r="D316" s="2"/>
      <c r="E316" s="87"/>
      <c r="F316" s="208"/>
      <c r="G316" s="128"/>
    </row>
    <row r="317" spans="1:7" ht="15.75" customHeight="1">
      <c r="A317" s="128"/>
      <c r="B317" s="128"/>
      <c r="C317" s="87"/>
      <c r="D317" s="2"/>
      <c r="E317" s="87"/>
      <c r="F317" s="208"/>
      <c r="G317" s="128"/>
    </row>
    <row r="318" spans="1:7" ht="15.75" customHeight="1">
      <c r="A318" s="128"/>
      <c r="B318" s="128"/>
      <c r="C318" s="87"/>
      <c r="D318" s="2"/>
      <c r="E318" s="87"/>
      <c r="F318" s="208"/>
      <c r="G318" s="128"/>
    </row>
    <row r="319" spans="1:7" ht="15.75" customHeight="1">
      <c r="A319" s="128"/>
      <c r="B319" s="128"/>
      <c r="C319" s="87"/>
      <c r="D319" s="2"/>
      <c r="E319" s="87"/>
      <c r="F319" s="208"/>
      <c r="G319" s="128"/>
    </row>
    <row r="320" spans="1:7" ht="15.75" customHeight="1">
      <c r="A320" s="128"/>
      <c r="B320" s="128"/>
      <c r="C320" s="87"/>
      <c r="D320" s="2"/>
      <c r="E320" s="87"/>
      <c r="F320" s="208"/>
      <c r="G320" s="128"/>
    </row>
    <row r="321" spans="1:7" ht="15.75" customHeight="1">
      <c r="A321" s="128"/>
      <c r="B321" s="128"/>
      <c r="C321" s="87"/>
      <c r="D321" s="2"/>
      <c r="E321" s="87"/>
      <c r="F321" s="208"/>
      <c r="G321" s="128"/>
    </row>
    <row r="322" spans="1:7" ht="15.75" customHeight="1">
      <c r="A322" s="128"/>
      <c r="B322" s="128"/>
      <c r="C322" s="87"/>
      <c r="D322" s="2"/>
      <c r="E322" s="87"/>
      <c r="F322" s="208"/>
      <c r="G322" s="128"/>
    </row>
    <row r="323" spans="1:7" ht="15.75" customHeight="1">
      <c r="A323" s="128"/>
      <c r="B323" s="128"/>
      <c r="C323" s="87"/>
      <c r="D323" s="2"/>
      <c r="E323" s="87"/>
      <c r="F323" s="208"/>
      <c r="G323" s="128"/>
    </row>
    <row r="324" spans="1:7" ht="15.75" customHeight="1">
      <c r="A324" s="128"/>
      <c r="B324" s="128"/>
      <c r="C324" s="87"/>
      <c r="D324" s="2"/>
      <c r="E324" s="87"/>
      <c r="F324" s="208"/>
      <c r="G324" s="128"/>
    </row>
    <row r="325" spans="1:7" ht="15.75" customHeight="1">
      <c r="A325" s="128"/>
      <c r="B325" s="128"/>
      <c r="C325" s="87"/>
      <c r="D325" s="2"/>
      <c r="E325" s="87"/>
      <c r="F325" s="208"/>
      <c r="G325" s="128"/>
    </row>
    <row r="326" spans="1:7" ht="15.75" customHeight="1">
      <c r="A326" s="128"/>
      <c r="B326" s="128"/>
      <c r="C326" s="87"/>
      <c r="D326" s="2"/>
      <c r="E326" s="87"/>
      <c r="F326" s="208"/>
      <c r="G326" s="128"/>
    </row>
    <row r="327" spans="1:7" ht="15.75" customHeight="1">
      <c r="A327" s="128"/>
      <c r="B327" s="128"/>
      <c r="C327" s="87"/>
      <c r="D327" s="2"/>
      <c r="E327" s="87"/>
      <c r="F327" s="208"/>
      <c r="G327" s="128"/>
    </row>
    <row r="328" spans="1:7" ht="15.75" customHeight="1">
      <c r="A328" s="128"/>
      <c r="B328" s="128"/>
      <c r="C328" s="87"/>
      <c r="D328" s="2"/>
      <c r="E328" s="87"/>
      <c r="F328" s="208"/>
      <c r="G328" s="128"/>
    </row>
    <row r="329" spans="1:7" ht="15.75" customHeight="1">
      <c r="A329" s="128"/>
      <c r="B329" s="128"/>
      <c r="C329" s="87"/>
      <c r="D329" s="2"/>
      <c r="E329" s="87"/>
      <c r="F329" s="208"/>
      <c r="G329" s="128"/>
    </row>
    <row r="330" spans="1:7" ht="15.75" customHeight="1">
      <c r="A330" s="128"/>
      <c r="B330" s="128"/>
      <c r="C330" s="87"/>
      <c r="D330" s="2"/>
      <c r="E330" s="87"/>
      <c r="F330" s="208"/>
      <c r="G330" s="128"/>
    </row>
    <row r="331" spans="1:7" ht="15.75" customHeight="1">
      <c r="A331" s="128"/>
      <c r="B331" s="128"/>
      <c r="C331" s="87"/>
      <c r="D331" s="2"/>
      <c r="E331" s="87"/>
      <c r="F331" s="208"/>
      <c r="G331" s="128"/>
    </row>
    <row r="332" spans="1:7" ht="15.75" customHeight="1">
      <c r="A332" s="128"/>
      <c r="B332" s="128"/>
      <c r="C332" s="87"/>
      <c r="D332" s="2"/>
      <c r="E332" s="87"/>
      <c r="F332" s="208"/>
      <c r="G332" s="128"/>
    </row>
    <row r="333" spans="1:7" ht="15.75" customHeight="1">
      <c r="A333" s="128"/>
      <c r="B333" s="128"/>
      <c r="C333" s="87"/>
      <c r="D333" s="2"/>
      <c r="E333" s="87"/>
      <c r="F333" s="208"/>
      <c r="G333" s="128"/>
    </row>
    <row r="334" spans="1:7" ht="15.75" customHeight="1">
      <c r="A334" s="128"/>
      <c r="B334" s="128"/>
      <c r="C334" s="87"/>
      <c r="D334" s="2"/>
      <c r="E334" s="87"/>
      <c r="F334" s="208"/>
      <c r="G334" s="128"/>
    </row>
    <row r="335" spans="1:7" ht="15.75" customHeight="1">
      <c r="A335" s="128"/>
      <c r="B335" s="128"/>
      <c r="C335" s="87"/>
      <c r="D335" s="2"/>
      <c r="E335" s="87"/>
      <c r="F335" s="208"/>
      <c r="G335" s="128"/>
    </row>
    <row r="336" spans="1:7" ht="15.75" customHeight="1">
      <c r="A336" s="128"/>
      <c r="B336" s="128"/>
      <c r="C336" s="87"/>
      <c r="D336" s="2"/>
      <c r="E336" s="87"/>
      <c r="F336" s="208"/>
      <c r="G336" s="128"/>
    </row>
    <row r="337" spans="1:7" ht="15.75" customHeight="1">
      <c r="A337" s="128"/>
      <c r="B337" s="128"/>
      <c r="C337" s="87"/>
      <c r="D337" s="2"/>
      <c r="E337" s="87"/>
      <c r="F337" s="208"/>
      <c r="G337" s="128"/>
    </row>
    <row r="338" spans="1:7" ht="15.75" customHeight="1">
      <c r="A338" s="128"/>
      <c r="B338" s="128"/>
      <c r="C338" s="87"/>
      <c r="D338" s="2"/>
      <c r="E338" s="87"/>
      <c r="F338" s="208"/>
      <c r="G338" s="128"/>
    </row>
    <row r="339" spans="1:7" ht="15.75" customHeight="1">
      <c r="A339" s="128"/>
      <c r="B339" s="128"/>
      <c r="C339" s="87"/>
      <c r="D339" s="2"/>
      <c r="E339" s="87"/>
      <c r="F339" s="208"/>
      <c r="G339" s="128"/>
    </row>
    <row r="340" spans="1:7" ht="15.75" customHeight="1">
      <c r="A340" s="128"/>
      <c r="B340" s="128"/>
      <c r="C340" s="87"/>
      <c r="D340" s="2"/>
      <c r="E340" s="87"/>
      <c r="F340" s="208"/>
      <c r="G340" s="128"/>
    </row>
    <row r="341" spans="1:7" ht="15.75" customHeight="1">
      <c r="A341" s="128"/>
      <c r="B341" s="128"/>
      <c r="C341" s="87"/>
      <c r="D341" s="2"/>
      <c r="E341" s="87"/>
      <c r="F341" s="208"/>
      <c r="G341" s="128"/>
    </row>
    <row r="342" spans="1:7" ht="15.75" customHeight="1">
      <c r="A342" s="128"/>
      <c r="B342" s="128"/>
      <c r="C342" s="87"/>
      <c r="D342" s="2"/>
      <c r="E342" s="87"/>
      <c r="F342" s="208"/>
      <c r="G342" s="128"/>
    </row>
    <row r="343" spans="1:7" ht="15.75" customHeight="1">
      <c r="A343" s="128"/>
      <c r="B343" s="128"/>
      <c r="C343" s="87"/>
      <c r="D343" s="2"/>
      <c r="E343" s="87"/>
      <c r="F343" s="208"/>
      <c r="G343" s="128"/>
    </row>
    <row r="344" spans="1:7" ht="15.75" customHeight="1">
      <c r="A344" s="128"/>
      <c r="B344" s="128"/>
      <c r="C344" s="87"/>
      <c r="D344" s="2"/>
      <c r="E344" s="87"/>
      <c r="F344" s="208"/>
      <c r="G344" s="128"/>
    </row>
    <row r="345" spans="1:7" ht="15.75" customHeight="1">
      <c r="A345" s="128"/>
      <c r="B345" s="128"/>
      <c r="C345" s="87"/>
      <c r="D345" s="2"/>
      <c r="E345" s="87"/>
      <c r="F345" s="208"/>
      <c r="G345" s="128"/>
    </row>
    <row r="346" spans="1:7" ht="15.75" customHeight="1">
      <c r="A346" s="128"/>
      <c r="B346" s="128"/>
      <c r="C346" s="87"/>
      <c r="D346" s="2"/>
      <c r="E346" s="87"/>
      <c r="F346" s="208"/>
      <c r="G346" s="128"/>
    </row>
    <row r="347" spans="1:7" ht="15.75" customHeight="1">
      <c r="A347" s="128"/>
      <c r="B347" s="128"/>
      <c r="C347" s="87"/>
      <c r="D347" s="2"/>
      <c r="E347" s="87"/>
      <c r="F347" s="208"/>
      <c r="G347" s="128"/>
    </row>
    <row r="348" spans="1:7" ht="15.75" customHeight="1">
      <c r="A348" s="128"/>
      <c r="B348" s="128"/>
      <c r="C348" s="87"/>
      <c r="D348" s="2"/>
      <c r="E348" s="87"/>
      <c r="F348" s="208"/>
      <c r="G348" s="128"/>
    </row>
    <row r="349" spans="1:7" ht="15.75" customHeight="1">
      <c r="A349" s="128"/>
      <c r="B349" s="128"/>
      <c r="C349" s="87"/>
      <c r="D349" s="2"/>
      <c r="E349" s="87"/>
      <c r="F349" s="208"/>
      <c r="G349" s="128"/>
    </row>
    <row r="350" spans="1:7" ht="15.75" customHeight="1">
      <c r="A350" s="128"/>
      <c r="B350" s="128"/>
      <c r="C350" s="87"/>
      <c r="D350" s="2"/>
      <c r="E350" s="87"/>
      <c r="F350" s="208"/>
      <c r="G350" s="128"/>
    </row>
    <row r="351" spans="1:7" ht="15.75" customHeight="1">
      <c r="A351" s="128"/>
      <c r="B351" s="128"/>
      <c r="C351" s="87"/>
      <c r="D351" s="2"/>
      <c r="E351" s="87"/>
      <c r="F351" s="208"/>
      <c r="G351" s="128"/>
    </row>
    <row r="352" spans="1:7" ht="15.75" customHeight="1">
      <c r="A352" s="128"/>
      <c r="B352" s="128"/>
      <c r="C352" s="87"/>
      <c r="D352" s="2"/>
      <c r="E352" s="87"/>
      <c r="F352" s="208"/>
      <c r="G352" s="128"/>
    </row>
    <row r="353" spans="1:7" ht="15.75" customHeight="1">
      <c r="A353" s="128"/>
      <c r="B353" s="128"/>
      <c r="C353" s="87"/>
      <c r="D353" s="2"/>
      <c r="E353" s="87"/>
      <c r="F353" s="208"/>
      <c r="G353" s="128"/>
    </row>
    <row r="354" spans="1:7" ht="15.75" customHeight="1">
      <c r="A354" s="128"/>
      <c r="B354" s="128"/>
      <c r="C354" s="87"/>
      <c r="D354" s="2"/>
      <c r="E354" s="87"/>
      <c r="F354" s="208"/>
      <c r="G354" s="128"/>
    </row>
    <row r="355" spans="1:7" ht="15.75" customHeight="1">
      <c r="A355" s="128"/>
      <c r="B355" s="128"/>
      <c r="C355" s="87"/>
      <c r="D355" s="2"/>
      <c r="E355" s="87"/>
      <c r="F355" s="208"/>
      <c r="G355" s="128"/>
    </row>
    <row r="356" spans="1:7" ht="15.75" customHeight="1">
      <c r="A356" s="128"/>
      <c r="B356" s="128"/>
      <c r="C356" s="87"/>
      <c r="D356" s="2"/>
      <c r="E356" s="87"/>
      <c r="F356" s="208"/>
      <c r="G356" s="128"/>
    </row>
    <row r="357" spans="1:7" ht="15.75" customHeight="1">
      <c r="A357" s="128"/>
      <c r="B357" s="128"/>
      <c r="C357" s="87"/>
      <c r="D357" s="2"/>
      <c r="E357" s="87"/>
      <c r="F357" s="208"/>
      <c r="G357" s="128"/>
    </row>
    <row r="358" spans="1:7" ht="15.75" customHeight="1">
      <c r="A358" s="128"/>
      <c r="B358" s="128"/>
      <c r="C358" s="87"/>
      <c r="D358" s="2"/>
      <c r="E358" s="87"/>
      <c r="F358" s="208"/>
      <c r="G358" s="128"/>
    </row>
    <row r="359" spans="1:7" ht="15.75" customHeight="1">
      <c r="A359" s="128"/>
      <c r="B359" s="128"/>
      <c r="C359" s="87"/>
      <c r="D359" s="2"/>
      <c r="E359" s="87"/>
      <c r="F359" s="208"/>
      <c r="G359" s="128"/>
    </row>
    <row r="360" spans="1:7" ht="15.75" customHeight="1">
      <c r="A360" s="128"/>
      <c r="B360" s="128"/>
      <c r="C360" s="87"/>
      <c r="D360" s="2"/>
      <c r="E360" s="87"/>
      <c r="F360" s="208"/>
      <c r="G360" s="128"/>
    </row>
    <row r="361" spans="1:7" ht="15.75" customHeight="1">
      <c r="A361" s="128"/>
      <c r="B361" s="128"/>
      <c r="C361" s="87"/>
      <c r="D361" s="2"/>
      <c r="E361" s="87"/>
      <c r="F361" s="208"/>
      <c r="G361" s="128"/>
    </row>
    <row r="362" spans="1:7" ht="15.75" customHeight="1">
      <c r="A362" s="128"/>
      <c r="B362" s="128"/>
      <c r="C362" s="87"/>
      <c r="D362" s="2"/>
      <c r="E362" s="87"/>
      <c r="F362" s="208"/>
      <c r="G362" s="128"/>
    </row>
    <row r="363" spans="1:7" ht="15.75" customHeight="1">
      <c r="A363" s="128"/>
      <c r="B363" s="128"/>
      <c r="C363" s="87"/>
      <c r="D363" s="2"/>
      <c r="E363" s="87"/>
      <c r="F363" s="208"/>
      <c r="G363" s="128"/>
    </row>
    <row r="364" spans="1:7" ht="15.75" customHeight="1">
      <c r="A364" s="128"/>
      <c r="B364" s="128"/>
      <c r="C364" s="87"/>
      <c r="D364" s="2"/>
      <c r="E364" s="87"/>
      <c r="F364" s="208"/>
      <c r="G364" s="128"/>
    </row>
    <row r="365" spans="1:7" ht="15.75" customHeight="1">
      <c r="A365" s="128"/>
      <c r="B365" s="128"/>
      <c r="C365" s="87"/>
      <c r="D365" s="2"/>
      <c r="E365" s="87"/>
      <c r="F365" s="208"/>
      <c r="G365" s="128"/>
    </row>
    <row r="366" spans="1:7" ht="15.75" customHeight="1">
      <c r="A366" s="128"/>
      <c r="B366" s="128"/>
      <c r="C366" s="87"/>
      <c r="D366" s="2"/>
      <c r="E366" s="87"/>
      <c r="F366" s="208"/>
      <c r="G366" s="128"/>
    </row>
    <row r="367" spans="1:7" ht="15.75" customHeight="1">
      <c r="A367" s="128"/>
      <c r="B367" s="128"/>
      <c r="C367" s="87"/>
      <c r="D367" s="2"/>
      <c r="E367" s="87"/>
      <c r="F367" s="208"/>
      <c r="G367" s="128"/>
    </row>
    <row r="368" spans="1:7" ht="15.75" customHeight="1">
      <c r="A368" s="128"/>
      <c r="B368" s="128"/>
      <c r="C368" s="87"/>
      <c r="D368" s="2"/>
      <c r="E368" s="87"/>
      <c r="F368" s="208"/>
      <c r="G368" s="128"/>
    </row>
    <row r="369" spans="1:7" ht="15.75" customHeight="1">
      <c r="A369" s="128"/>
      <c r="B369" s="128"/>
      <c r="C369" s="87"/>
      <c r="D369" s="2"/>
      <c r="E369" s="87"/>
      <c r="F369" s="208"/>
      <c r="G369" s="128"/>
    </row>
    <row r="370" spans="1:7" ht="15.75" customHeight="1">
      <c r="A370" s="128"/>
      <c r="B370" s="128"/>
      <c r="C370" s="87"/>
      <c r="D370" s="2"/>
      <c r="E370" s="87"/>
      <c r="F370" s="208"/>
      <c r="G370" s="128"/>
    </row>
    <row r="371" spans="1:7" ht="15.75" customHeight="1">
      <c r="A371" s="128"/>
      <c r="B371" s="128"/>
      <c r="C371" s="87"/>
      <c r="D371" s="2"/>
      <c r="E371" s="87"/>
      <c r="F371" s="208"/>
      <c r="G371" s="128"/>
    </row>
    <row r="372" spans="1:7" ht="15.75" customHeight="1">
      <c r="A372" s="128"/>
      <c r="B372" s="128"/>
      <c r="C372" s="87"/>
      <c r="D372" s="2"/>
      <c r="E372" s="87"/>
      <c r="F372" s="208"/>
      <c r="G372" s="128"/>
    </row>
    <row r="373" spans="1:7" ht="15.75" customHeight="1">
      <c r="A373" s="128"/>
      <c r="B373" s="128"/>
      <c r="C373" s="87"/>
      <c r="D373" s="2"/>
      <c r="E373" s="87"/>
      <c r="F373" s="208"/>
      <c r="G373" s="128"/>
    </row>
    <row r="374" spans="1:7" ht="15.75" customHeight="1">
      <c r="A374" s="128"/>
      <c r="B374" s="128"/>
      <c r="C374" s="87"/>
      <c r="D374" s="2"/>
      <c r="E374" s="87"/>
      <c r="F374" s="208"/>
      <c r="G374" s="128"/>
    </row>
    <row r="375" spans="1:7" ht="15.75" customHeight="1">
      <c r="A375" s="128"/>
      <c r="B375" s="128"/>
      <c r="C375" s="87"/>
      <c r="D375" s="2"/>
      <c r="E375" s="87"/>
      <c r="F375" s="208"/>
      <c r="G375" s="128"/>
    </row>
    <row r="376" spans="1:7" ht="15.75" customHeight="1">
      <c r="A376" s="128"/>
      <c r="B376" s="128"/>
      <c r="C376" s="87"/>
      <c r="D376" s="2"/>
      <c r="E376" s="87"/>
      <c r="F376" s="208"/>
      <c r="G376" s="128"/>
    </row>
    <row r="377" spans="1:7" ht="15.75" customHeight="1">
      <c r="A377" s="128"/>
      <c r="B377" s="128"/>
      <c r="C377" s="87"/>
      <c r="D377" s="2"/>
      <c r="E377" s="87"/>
      <c r="F377" s="208"/>
      <c r="G377" s="128"/>
    </row>
    <row r="378" spans="1:7" ht="15.75" customHeight="1">
      <c r="A378" s="128"/>
      <c r="B378" s="128"/>
      <c r="C378" s="87"/>
      <c r="D378" s="2"/>
      <c r="E378" s="87"/>
      <c r="F378" s="208"/>
      <c r="G378" s="128"/>
    </row>
    <row r="379" spans="1:7" ht="15.75" customHeight="1">
      <c r="A379" s="128"/>
      <c r="B379" s="128"/>
      <c r="C379" s="87"/>
      <c r="D379" s="2"/>
      <c r="E379" s="87"/>
      <c r="F379" s="208"/>
      <c r="G379" s="128"/>
    </row>
    <row r="380" spans="1:7" ht="15.75" customHeight="1">
      <c r="A380" s="128"/>
      <c r="B380" s="128"/>
      <c r="C380" s="87"/>
      <c r="D380" s="2"/>
      <c r="E380" s="87"/>
      <c r="F380" s="208"/>
      <c r="G380" s="128"/>
    </row>
    <row r="381" spans="1:7" ht="15.75" customHeight="1">
      <c r="A381" s="128"/>
      <c r="B381" s="128"/>
      <c r="C381" s="87"/>
      <c r="D381" s="2"/>
      <c r="E381" s="87"/>
      <c r="F381" s="208"/>
      <c r="G381" s="128"/>
    </row>
    <row r="382" spans="1:7" ht="15.75" customHeight="1">
      <c r="A382" s="128"/>
      <c r="B382" s="128"/>
      <c r="C382" s="87"/>
      <c r="D382" s="2"/>
      <c r="E382" s="87"/>
      <c r="F382" s="208"/>
      <c r="G382" s="128"/>
    </row>
    <row r="383" spans="1:7" ht="15.75" customHeight="1">
      <c r="A383" s="128"/>
      <c r="B383" s="128"/>
      <c r="C383" s="87"/>
      <c r="D383" s="2"/>
      <c r="E383" s="87"/>
      <c r="F383" s="208"/>
      <c r="G383" s="128"/>
    </row>
    <row r="384" spans="1:7" ht="15.75" customHeight="1">
      <c r="A384" s="128"/>
      <c r="B384" s="128"/>
      <c r="C384" s="87"/>
      <c r="D384" s="2"/>
      <c r="E384" s="87"/>
      <c r="F384" s="208"/>
      <c r="G384" s="128"/>
    </row>
    <row r="385" spans="1:7" ht="15.75" customHeight="1">
      <c r="A385" s="128"/>
      <c r="B385" s="128"/>
      <c r="C385" s="87"/>
      <c r="D385" s="2"/>
      <c r="E385" s="87"/>
      <c r="F385" s="208"/>
      <c r="G385" s="128"/>
    </row>
    <row r="386" spans="1:7" ht="15.75" customHeight="1">
      <c r="A386" s="128"/>
      <c r="B386" s="128"/>
      <c r="C386" s="87"/>
      <c r="D386" s="2"/>
      <c r="E386" s="87"/>
      <c r="F386" s="208"/>
      <c r="G386" s="128"/>
    </row>
    <row r="387" spans="1:7" ht="15.75" customHeight="1">
      <c r="A387" s="128"/>
      <c r="B387" s="128"/>
      <c r="C387" s="87"/>
      <c r="D387" s="2"/>
      <c r="E387" s="87"/>
      <c r="F387" s="208"/>
      <c r="G387" s="128"/>
    </row>
    <row r="388" spans="1:7" ht="15.75" customHeight="1">
      <c r="A388" s="128"/>
      <c r="B388" s="128"/>
      <c r="C388" s="87"/>
      <c r="D388" s="2"/>
      <c r="E388" s="87"/>
      <c r="F388" s="208"/>
      <c r="G388" s="128"/>
    </row>
    <row r="389" spans="1:7" ht="15.75" customHeight="1">
      <c r="A389" s="128"/>
      <c r="B389" s="128"/>
      <c r="C389" s="87"/>
      <c r="D389" s="2"/>
      <c r="E389" s="87"/>
      <c r="F389" s="208"/>
      <c r="G389" s="128"/>
    </row>
    <row r="390" spans="1:7" ht="15.75" customHeight="1">
      <c r="A390" s="128"/>
      <c r="B390" s="128"/>
      <c r="C390" s="87"/>
      <c r="D390" s="2"/>
      <c r="E390" s="87"/>
      <c r="F390" s="208"/>
      <c r="G390" s="128"/>
    </row>
    <row r="391" spans="1:7" ht="15.75" customHeight="1">
      <c r="A391" s="128"/>
      <c r="B391" s="128"/>
      <c r="C391" s="87"/>
      <c r="D391" s="2"/>
      <c r="E391" s="87"/>
      <c r="F391" s="208"/>
      <c r="G391" s="128"/>
    </row>
    <row r="392" spans="1:7" ht="15.75" customHeight="1">
      <c r="A392" s="128"/>
      <c r="B392" s="128"/>
      <c r="C392" s="87"/>
      <c r="D392" s="2"/>
      <c r="E392" s="87"/>
      <c r="F392" s="208"/>
      <c r="G392" s="128"/>
    </row>
    <row r="393" spans="1:7" ht="15.75" customHeight="1">
      <c r="A393" s="128"/>
      <c r="B393" s="128"/>
      <c r="C393" s="87"/>
      <c r="D393" s="2"/>
      <c r="E393" s="87"/>
      <c r="F393" s="208"/>
      <c r="G393" s="128"/>
    </row>
    <row r="394" spans="1:7" ht="15.75" customHeight="1">
      <c r="A394" s="128"/>
      <c r="B394" s="128"/>
      <c r="C394" s="87"/>
      <c r="D394" s="2"/>
      <c r="E394" s="87"/>
      <c r="F394" s="208"/>
      <c r="G394" s="128"/>
    </row>
    <row r="395" spans="1:7" ht="15.75" customHeight="1">
      <c r="A395" s="128"/>
      <c r="B395" s="128"/>
      <c r="C395" s="87"/>
      <c r="D395" s="2"/>
      <c r="E395" s="87"/>
      <c r="F395" s="208"/>
      <c r="G395" s="128"/>
    </row>
    <row r="396" spans="1:7" ht="15.75" customHeight="1">
      <c r="A396" s="128"/>
      <c r="B396" s="128"/>
      <c r="C396" s="87"/>
      <c r="D396" s="2"/>
      <c r="E396" s="87"/>
      <c r="F396" s="208"/>
      <c r="G396" s="128"/>
    </row>
    <row r="397" spans="1:7" ht="15.75" customHeight="1">
      <c r="A397" s="128"/>
      <c r="B397" s="128"/>
      <c r="C397" s="87"/>
      <c r="D397" s="2"/>
      <c r="E397" s="87"/>
      <c r="F397" s="208"/>
      <c r="G397" s="128"/>
    </row>
    <row r="398" spans="1:7" ht="15.75" customHeight="1">
      <c r="A398" s="128"/>
      <c r="B398" s="128"/>
      <c r="C398" s="87"/>
      <c r="D398" s="2"/>
      <c r="E398" s="87"/>
      <c r="F398" s="208"/>
      <c r="G398" s="128"/>
    </row>
    <row r="399" spans="1:7" ht="15.75" customHeight="1">
      <c r="A399" s="128"/>
      <c r="B399" s="128"/>
      <c r="C399" s="87"/>
      <c r="D399" s="2"/>
      <c r="E399" s="87"/>
      <c r="F399" s="208"/>
      <c r="G399" s="128"/>
    </row>
    <row r="400" spans="1:7" ht="15.75" customHeight="1">
      <c r="A400" s="128"/>
      <c r="B400" s="128"/>
      <c r="C400" s="87"/>
      <c r="D400" s="2"/>
      <c r="E400" s="87"/>
      <c r="F400" s="208"/>
      <c r="G400" s="128"/>
    </row>
    <row r="401" spans="1:7" ht="15.75" customHeight="1">
      <c r="A401" s="128"/>
      <c r="B401" s="128"/>
      <c r="C401" s="87"/>
      <c r="D401" s="2"/>
      <c r="E401" s="87"/>
      <c r="F401" s="208"/>
      <c r="G401" s="128"/>
    </row>
    <row r="402" spans="1:7" ht="15.75" customHeight="1">
      <c r="A402" s="128"/>
      <c r="B402" s="128"/>
      <c r="C402" s="87"/>
      <c r="D402" s="2"/>
      <c r="E402" s="87"/>
      <c r="F402" s="208"/>
      <c r="G402" s="128"/>
    </row>
    <row r="403" spans="1:7" ht="15.75" customHeight="1">
      <c r="A403" s="128"/>
      <c r="B403" s="128"/>
      <c r="C403" s="87"/>
      <c r="D403" s="2"/>
      <c r="E403" s="87"/>
      <c r="F403" s="208"/>
      <c r="G403" s="128"/>
    </row>
    <row r="404" spans="1:7" ht="15.75" customHeight="1">
      <c r="A404" s="128"/>
      <c r="B404" s="128"/>
      <c r="C404" s="87"/>
      <c r="D404" s="2"/>
      <c r="E404" s="87"/>
      <c r="F404" s="208"/>
      <c r="G404" s="128"/>
    </row>
    <row r="405" spans="1:7" ht="15.75" customHeight="1">
      <c r="A405" s="128"/>
      <c r="B405" s="128"/>
      <c r="C405" s="87"/>
      <c r="D405" s="2"/>
      <c r="E405" s="87"/>
      <c r="F405" s="208"/>
      <c r="G405" s="128"/>
    </row>
    <row r="406" spans="1:7" ht="15.75" customHeight="1">
      <c r="A406" s="128"/>
      <c r="B406" s="128"/>
      <c r="C406" s="87"/>
      <c r="D406" s="2"/>
      <c r="E406" s="87"/>
      <c r="F406" s="208"/>
      <c r="G406" s="128"/>
    </row>
    <row r="407" spans="1:7" ht="15.75" customHeight="1">
      <c r="A407" s="128"/>
      <c r="B407" s="128"/>
      <c r="C407" s="87"/>
      <c r="D407" s="2"/>
      <c r="E407" s="87"/>
      <c r="F407" s="208"/>
      <c r="G407" s="128"/>
    </row>
    <row r="408" spans="1:7" ht="15.75" customHeight="1">
      <c r="A408" s="128"/>
      <c r="B408" s="128"/>
      <c r="C408" s="87"/>
      <c r="D408" s="2"/>
      <c r="E408" s="87"/>
      <c r="F408" s="208"/>
      <c r="G408" s="128"/>
    </row>
    <row r="409" spans="1:7" ht="15.75" customHeight="1">
      <c r="A409" s="128"/>
      <c r="B409" s="128"/>
      <c r="C409" s="87"/>
      <c r="D409" s="2"/>
      <c r="E409" s="87"/>
      <c r="F409" s="208"/>
      <c r="G409" s="128"/>
    </row>
    <row r="410" spans="1:7" ht="15.75" customHeight="1">
      <c r="A410" s="128"/>
      <c r="B410" s="128"/>
      <c r="C410" s="87"/>
      <c r="D410" s="2"/>
      <c r="E410" s="87"/>
      <c r="F410" s="208"/>
      <c r="G410" s="128"/>
    </row>
    <row r="411" spans="1:7" ht="15.75" customHeight="1">
      <c r="A411" s="128"/>
      <c r="B411" s="128"/>
      <c r="C411" s="87"/>
      <c r="D411" s="2"/>
      <c r="E411" s="87"/>
      <c r="F411" s="208"/>
      <c r="G411" s="128"/>
    </row>
    <row r="412" spans="1:7" ht="15.75" customHeight="1">
      <c r="A412" s="128"/>
      <c r="B412" s="128"/>
      <c r="C412" s="87"/>
      <c r="D412" s="2"/>
      <c r="E412" s="87"/>
      <c r="F412" s="208"/>
      <c r="G412" s="128"/>
    </row>
    <row r="413" spans="1:7" ht="15.75" customHeight="1">
      <c r="A413" s="128"/>
      <c r="B413" s="128"/>
      <c r="C413" s="87"/>
      <c r="D413" s="2"/>
      <c r="E413" s="87"/>
      <c r="F413" s="208"/>
      <c r="G413" s="128"/>
    </row>
    <row r="414" spans="1:7" ht="15.75" customHeight="1">
      <c r="A414" s="128"/>
      <c r="B414" s="128"/>
      <c r="C414" s="87"/>
      <c r="D414" s="2"/>
      <c r="E414" s="87"/>
      <c r="F414" s="208"/>
      <c r="G414" s="128"/>
    </row>
    <row r="415" spans="1:7" ht="15.75" customHeight="1">
      <c r="A415" s="128"/>
      <c r="B415" s="128"/>
      <c r="C415" s="87"/>
      <c r="D415" s="2"/>
      <c r="E415" s="87"/>
      <c r="F415" s="208"/>
      <c r="G415" s="128"/>
    </row>
    <row r="416" spans="1:7" ht="15.75" customHeight="1">
      <c r="A416" s="128"/>
      <c r="B416" s="128"/>
      <c r="C416" s="87"/>
      <c r="D416" s="2"/>
      <c r="E416" s="87"/>
      <c r="F416" s="208"/>
      <c r="G416" s="128"/>
    </row>
    <row r="417" spans="1:7" ht="15.75" customHeight="1">
      <c r="A417" s="128"/>
      <c r="B417" s="128"/>
      <c r="C417" s="87"/>
      <c r="D417" s="2"/>
      <c r="E417" s="87"/>
      <c r="F417" s="208"/>
      <c r="G417" s="128"/>
    </row>
    <row r="418" spans="1:7" ht="15.75" customHeight="1">
      <c r="A418" s="128"/>
      <c r="B418" s="128"/>
      <c r="C418" s="87"/>
      <c r="D418" s="2"/>
      <c r="E418" s="87"/>
      <c r="F418" s="208"/>
      <c r="G418" s="128"/>
    </row>
    <row r="419" spans="1:7" ht="15.75" customHeight="1">
      <c r="A419" s="128"/>
      <c r="B419" s="128"/>
      <c r="C419" s="87"/>
      <c r="D419" s="2"/>
      <c r="E419" s="87"/>
      <c r="F419" s="208"/>
      <c r="G419" s="128"/>
    </row>
    <row r="420" spans="1:7" ht="15.75" customHeight="1">
      <c r="A420" s="128"/>
      <c r="B420" s="128"/>
      <c r="C420" s="87"/>
      <c r="D420" s="2"/>
      <c r="E420" s="87"/>
      <c r="F420" s="208"/>
      <c r="G420" s="128"/>
    </row>
    <row r="421" spans="1:7" ht="15.75" customHeight="1">
      <c r="A421" s="128"/>
      <c r="B421" s="128"/>
      <c r="C421" s="87"/>
      <c r="D421" s="2"/>
      <c r="E421" s="87"/>
      <c r="F421" s="208"/>
      <c r="G421" s="128"/>
    </row>
    <row r="422" spans="1:7" ht="15.75" customHeight="1">
      <c r="A422" s="128"/>
      <c r="B422" s="128"/>
      <c r="C422" s="87"/>
      <c r="D422" s="2"/>
      <c r="E422" s="87"/>
      <c r="F422" s="208"/>
      <c r="G422" s="128"/>
    </row>
    <row r="423" spans="1:7" ht="15.75" customHeight="1">
      <c r="A423" s="128"/>
      <c r="B423" s="128"/>
      <c r="C423" s="87"/>
      <c r="D423" s="2"/>
      <c r="E423" s="87"/>
      <c r="F423" s="208"/>
      <c r="G423" s="128"/>
    </row>
    <row r="424" spans="1:7" ht="15.75" customHeight="1">
      <c r="A424" s="128"/>
      <c r="B424" s="128"/>
      <c r="C424" s="87"/>
      <c r="D424" s="2"/>
      <c r="E424" s="87"/>
      <c r="F424" s="208"/>
      <c r="G424" s="128"/>
    </row>
    <row r="425" spans="1:7" ht="15.75" customHeight="1">
      <c r="A425" s="128"/>
      <c r="B425" s="128"/>
      <c r="C425" s="87"/>
      <c r="D425" s="2"/>
      <c r="E425" s="87"/>
      <c r="F425" s="208"/>
      <c r="G425" s="128"/>
    </row>
    <row r="426" spans="1:7" ht="15.75" customHeight="1">
      <c r="A426" s="128"/>
      <c r="B426" s="128"/>
      <c r="C426" s="87"/>
      <c r="D426" s="2"/>
      <c r="E426" s="87"/>
      <c r="F426" s="208"/>
      <c r="G426" s="128"/>
    </row>
    <row r="427" spans="1:7" ht="15.75" customHeight="1">
      <c r="A427" s="128"/>
      <c r="B427" s="128"/>
      <c r="C427" s="87"/>
      <c r="D427" s="2"/>
      <c r="E427" s="87"/>
      <c r="F427" s="208"/>
      <c r="G427" s="128"/>
    </row>
    <row r="428" spans="1:7" ht="15.75" customHeight="1">
      <c r="A428" s="128"/>
      <c r="B428" s="128"/>
      <c r="C428" s="87"/>
      <c r="D428" s="2"/>
      <c r="E428" s="87"/>
      <c r="F428" s="208"/>
      <c r="G428" s="128"/>
    </row>
    <row r="429" spans="1:7" ht="15.75" customHeight="1">
      <c r="A429" s="128"/>
      <c r="B429" s="128"/>
      <c r="C429" s="87"/>
      <c r="D429" s="2"/>
      <c r="E429" s="87"/>
      <c r="F429" s="208"/>
      <c r="G429" s="128"/>
    </row>
    <row r="430" spans="1:7" ht="15.75" customHeight="1">
      <c r="A430" s="128"/>
      <c r="B430" s="128"/>
      <c r="C430" s="87"/>
      <c r="D430" s="2"/>
      <c r="E430" s="87"/>
      <c r="F430" s="208"/>
      <c r="G430" s="128"/>
    </row>
    <row r="431" spans="1:7" ht="15.75" customHeight="1">
      <c r="A431" s="128"/>
      <c r="B431" s="128"/>
      <c r="C431" s="87"/>
      <c r="D431" s="2"/>
      <c r="E431" s="87"/>
      <c r="F431" s="208"/>
      <c r="G431" s="128"/>
    </row>
    <row r="432" spans="1:7" ht="15.75" customHeight="1">
      <c r="A432" s="128"/>
      <c r="B432" s="128"/>
      <c r="C432" s="87"/>
      <c r="D432" s="2"/>
      <c r="E432" s="87"/>
      <c r="F432" s="208"/>
      <c r="G432" s="128"/>
    </row>
    <row r="433" spans="1:7" ht="15.75" customHeight="1">
      <c r="A433" s="128"/>
      <c r="B433" s="128"/>
      <c r="C433" s="87"/>
      <c r="D433" s="2"/>
      <c r="E433" s="87"/>
      <c r="F433" s="208"/>
      <c r="G433" s="128"/>
    </row>
    <row r="434" spans="1:7" ht="15.75" customHeight="1">
      <c r="A434" s="128"/>
      <c r="B434" s="128"/>
      <c r="C434" s="87"/>
      <c r="D434" s="2"/>
      <c r="E434" s="87"/>
      <c r="F434" s="208"/>
      <c r="G434" s="128"/>
    </row>
    <row r="435" spans="1:7" ht="15.75" customHeight="1">
      <c r="A435" s="128"/>
      <c r="B435" s="128"/>
      <c r="C435" s="87"/>
      <c r="D435" s="2"/>
      <c r="E435" s="87"/>
      <c r="F435" s="208"/>
      <c r="G435" s="128"/>
    </row>
    <row r="436" spans="1:7" ht="15.75" customHeight="1">
      <c r="A436" s="128"/>
      <c r="B436" s="128"/>
      <c r="C436" s="87"/>
      <c r="D436" s="2"/>
      <c r="E436" s="87"/>
      <c r="F436" s="208"/>
      <c r="G436" s="128"/>
    </row>
    <row r="437" spans="1:7" ht="15.75" customHeight="1">
      <c r="A437" s="128"/>
      <c r="B437" s="128"/>
      <c r="C437" s="87"/>
      <c r="D437" s="2"/>
      <c r="E437" s="87"/>
      <c r="F437" s="208"/>
      <c r="G437" s="128"/>
    </row>
    <row r="438" spans="1:7" ht="15.75" customHeight="1">
      <c r="A438" s="128"/>
      <c r="B438" s="128"/>
      <c r="C438" s="87"/>
      <c r="D438" s="2"/>
      <c r="E438" s="87"/>
      <c r="F438" s="208"/>
      <c r="G438" s="128"/>
    </row>
    <row r="439" spans="1:7" ht="15.75" customHeight="1">
      <c r="A439" s="128"/>
      <c r="B439" s="128"/>
      <c r="C439" s="87"/>
      <c r="D439" s="2"/>
      <c r="E439" s="87"/>
      <c r="F439" s="208"/>
      <c r="G439" s="128"/>
    </row>
    <row r="440" spans="1:7" ht="15.75" customHeight="1">
      <c r="A440" s="128"/>
      <c r="B440" s="128"/>
      <c r="C440" s="87"/>
      <c r="D440" s="2"/>
      <c r="E440" s="87"/>
      <c r="F440" s="208"/>
      <c r="G440" s="128"/>
    </row>
    <row r="441" spans="1:7" ht="15.75" customHeight="1">
      <c r="A441" s="128"/>
      <c r="B441" s="128"/>
      <c r="C441" s="87"/>
      <c r="D441" s="2"/>
      <c r="E441" s="87"/>
      <c r="F441" s="208"/>
      <c r="G441" s="128"/>
    </row>
    <row r="442" spans="1:7" ht="15.75" customHeight="1">
      <c r="A442" s="128"/>
      <c r="B442" s="128"/>
      <c r="C442" s="87"/>
      <c r="D442" s="2"/>
      <c r="E442" s="87"/>
      <c r="F442" s="208"/>
      <c r="G442" s="128"/>
    </row>
    <row r="443" spans="1:7" ht="15.75" customHeight="1">
      <c r="A443" s="128"/>
      <c r="B443" s="128"/>
      <c r="C443" s="87"/>
      <c r="D443" s="2"/>
      <c r="E443" s="87"/>
      <c r="F443" s="208"/>
      <c r="G443" s="128"/>
    </row>
    <row r="444" spans="1:7" ht="15.75" customHeight="1">
      <c r="A444" s="128"/>
      <c r="B444" s="128"/>
      <c r="C444" s="87"/>
      <c r="D444" s="2"/>
      <c r="E444" s="87"/>
      <c r="F444" s="208"/>
      <c r="G444" s="128"/>
    </row>
    <row r="445" spans="1:7" ht="15.75" customHeight="1">
      <c r="A445" s="128"/>
      <c r="B445" s="128"/>
      <c r="C445" s="87"/>
      <c r="D445" s="2"/>
      <c r="E445" s="87"/>
      <c r="F445" s="208"/>
      <c r="G445" s="128"/>
    </row>
    <row r="446" spans="1:7" ht="15.75" customHeight="1">
      <c r="A446" s="128"/>
      <c r="B446" s="128"/>
      <c r="C446" s="87"/>
      <c r="D446" s="2"/>
      <c r="E446" s="87"/>
      <c r="F446" s="208"/>
      <c r="G446" s="128"/>
    </row>
    <row r="447" spans="1:7" ht="15.75" customHeight="1">
      <c r="A447" s="128"/>
      <c r="B447" s="128"/>
      <c r="C447" s="87"/>
      <c r="D447" s="2"/>
      <c r="E447" s="87"/>
      <c r="F447" s="208"/>
      <c r="G447" s="128"/>
    </row>
    <row r="448" spans="1:7" ht="15.75" customHeight="1">
      <c r="A448" s="128"/>
      <c r="B448" s="128"/>
      <c r="C448" s="87"/>
      <c r="D448" s="2"/>
      <c r="E448" s="87"/>
      <c r="F448" s="208"/>
      <c r="G448" s="128"/>
    </row>
    <row r="449" spans="1:7" ht="15.75" customHeight="1">
      <c r="A449" s="128"/>
      <c r="B449" s="128"/>
      <c r="C449" s="87"/>
      <c r="D449" s="2"/>
      <c r="E449" s="87"/>
      <c r="F449" s="208"/>
      <c r="G449" s="128"/>
    </row>
    <row r="450" spans="1:7" ht="15.75" customHeight="1">
      <c r="A450" s="128"/>
      <c r="B450" s="128"/>
      <c r="C450" s="87"/>
      <c r="D450" s="2"/>
      <c r="E450" s="87"/>
      <c r="F450" s="208"/>
      <c r="G450" s="128"/>
    </row>
    <row r="451" spans="1:7" ht="15.75" customHeight="1">
      <c r="A451" s="128"/>
      <c r="B451" s="128"/>
      <c r="C451" s="87"/>
      <c r="D451" s="2"/>
      <c r="E451" s="87"/>
      <c r="F451" s="208"/>
      <c r="G451" s="128"/>
    </row>
    <row r="452" spans="1:7" ht="15.75" customHeight="1">
      <c r="A452" s="128"/>
      <c r="B452" s="128"/>
      <c r="C452" s="87"/>
      <c r="D452" s="2"/>
      <c r="E452" s="87"/>
      <c r="F452" s="208"/>
      <c r="G452" s="128"/>
    </row>
    <row r="453" spans="1:7" ht="15.75" customHeight="1">
      <c r="A453" s="128"/>
      <c r="B453" s="128"/>
      <c r="C453" s="87"/>
      <c r="D453" s="2"/>
      <c r="E453" s="87"/>
      <c r="F453" s="208"/>
      <c r="G453" s="128"/>
    </row>
    <row r="454" spans="1:7" ht="15.75" customHeight="1">
      <c r="A454" s="128"/>
      <c r="B454" s="128"/>
      <c r="C454" s="87"/>
      <c r="D454" s="2"/>
      <c r="E454" s="87"/>
      <c r="F454" s="208"/>
      <c r="G454" s="128"/>
    </row>
    <row r="455" spans="1:7" ht="15.75" customHeight="1">
      <c r="A455" s="128"/>
      <c r="B455" s="128"/>
      <c r="C455" s="87"/>
      <c r="D455" s="2"/>
      <c r="E455" s="87"/>
      <c r="F455" s="208"/>
      <c r="G455" s="128"/>
    </row>
    <row r="456" spans="1:7" ht="15.75" customHeight="1">
      <c r="A456" s="128"/>
      <c r="B456" s="128"/>
      <c r="C456" s="87"/>
      <c r="D456" s="2"/>
      <c r="E456" s="87"/>
      <c r="F456" s="208"/>
      <c r="G456" s="128"/>
    </row>
    <row r="457" spans="1:7" ht="15.75" customHeight="1">
      <c r="A457" s="128"/>
      <c r="B457" s="128"/>
      <c r="C457" s="87"/>
      <c r="D457" s="2"/>
      <c r="E457" s="87"/>
      <c r="F457" s="208"/>
      <c r="G457" s="128"/>
    </row>
    <row r="458" spans="1:7" ht="15.75" customHeight="1">
      <c r="A458" s="128"/>
      <c r="B458" s="128"/>
      <c r="C458" s="87"/>
      <c r="D458" s="2"/>
      <c r="E458" s="87"/>
      <c r="F458" s="208"/>
      <c r="G458" s="128"/>
    </row>
    <row r="459" spans="1:7" ht="15.75" customHeight="1">
      <c r="A459" s="128"/>
      <c r="B459" s="128"/>
      <c r="C459" s="87"/>
      <c r="D459" s="2"/>
      <c r="E459" s="87"/>
      <c r="F459" s="208"/>
      <c r="G459" s="128"/>
    </row>
    <row r="460" spans="1:7" ht="15.75" customHeight="1">
      <c r="A460" s="128"/>
      <c r="B460" s="128"/>
      <c r="C460" s="87"/>
      <c r="D460" s="2"/>
      <c r="E460" s="87"/>
      <c r="F460" s="208"/>
      <c r="G460" s="128"/>
    </row>
    <row r="461" spans="1:7" ht="15.75" customHeight="1">
      <c r="A461" s="128"/>
      <c r="B461" s="128"/>
      <c r="C461" s="87"/>
      <c r="D461" s="2"/>
      <c r="E461" s="87"/>
      <c r="F461" s="208"/>
      <c r="G461" s="128"/>
    </row>
    <row r="462" spans="1:7" ht="15.75" customHeight="1">
      <c r="A462" s="128"/>
      <c r="B462" s="128"/>
      <c r="C462" s="87"/>
      <c r="D462" s="2"/>
      <c r="E462" s="87"/>
      <c r="F462" s="208"/>
      <c r="G462" s="128"/>
    </row>
    <row r="463" spans="1:7" ht="15.75" customHeight="1">
      <c r="A463" s="128"/>
      <c r="B463" s="128"/>
      <c r="C463" s="87"/>
      <c r="D463" s="2"/>
      <c r="E463" s="87"/>
      <c r="F463" s="208"/>
      <c r="G463" s="128"/>
    </row>
    <row r="464" spans="1:7" ht="15.75" customHeight="1">
      <c r="A464" s="128"/>
      <c r="B464" s="128"/>
      <c r="C464" s="87"/>
      <c r="D464" s="2"/>
      <c r="E464" s="87"/>
      <c r="F464" s="208"/>
      <c r="G464" s="128"/>
    </row>
    <row r="465" spans="1:7" ht="15.75" customHeight="1">
      <c r="A465" s="128"/>
      <c r="B465" s="128"/>
      <c r="C465" s="87"/>
      <c r="D465" s="2"/>
      <c r="E465" s="87"/>
      <c r="F465" s="208"/>
      <c r="G465" s="128"/>
    </row>
    <row r="466" spans="1:7" ht="15.75" customHeight="1">
      <c r="A466" s="128"/>
      <c r="B466" s="128"/>
      <c r="C466" s="87"/>
      <c r="D466" s="2"/>
      <c r="E466" s="87"/>
      <c r="F466" s="208"/>
      <c r="G466" s="128"/>
    </row>
    <row r="467" spans="1:7" ht="15.75" customHeight="1">
      <c r="A467" s="128"/>
      <c r="B467" s="128"/>
      <c r="C467" s="87"/>
      <c r="D467" s="2"/>
      <c r="E467" s="87"/>
      <c r="F467" s="208"/>
      <c r="G467" s="128"/>
    </row>
    <row r="468" spans="1:7" ht="15.75" customHeight="1">
      <c r="A468" s="128"/>
      <c r="B468" s="128"/>
      <c r="C468" s="87"/>
      <c r="D468" s="2"/>
      <c r="E468" s="87"/>
      <c r="F468" s="208"/>
      <c r="G468" s="128"/>
    </row>
    <row r="469" spans="1:7" ht="15.75" customHeight="1">
      <c r="A469" s="128"/>
      <c r="B469" s="128"/>
      <c r="C469" s="87"/>
      <c r="D469" s="2"/>
      <c r="E469" s="87"/>
      <c r="F469" s="208"/>
      <c r="G469" s="128"/>
    </row>
    <row r="470" spans="1:7" ht="15.75" customHeight="1">
      <c r="A470" s="128"/>
      <c r="B470" s="128"/>
      <c r="C470" s="87"/>
      <c r="D470" s="2"/>
      <c r="E470" s="87"/>
      <c r="F470" s="208"/>
      <c r="G470" s="128"/>
    </row>
    <row r="471" spans="1:7" ht="15.75" customHeight="1">
      <c r="A471" s="128"/>
      <c r="B471" s="128"/>
      <c r="C471" s="87"/>
      <c r="D471" s="2"/>
      <c r="E471" s="87"/>
      <c r="F471" s="208"/>
      <c r="G471" s="128"/>
    </row>
    <row r="472" spans="1:7" ht="15.75" customHeight="1">
      <c r="A472" s="128"/>
      <c r="B472" s="128"/>
      <c r="C472" s="87"/>
      <c r="D472" s="2"/>
      <c r="E472" s="87"/>
      <c r="F472" s="208"/>
      <c r="G472" s="128"/>
    </row>
    <row r="473" spans="1:7" ht="15.75" customHeight="1">
      <c r="A473" s="128"/>
      <c r="B473" s="128"/>
      <c r="C473" s="87"/>
      <c r="D473" s="2"/>
      <c r="E473" s="87"/>
      <c r="F473" s="208"/>
      <c r="G473" s="128"/>
    </row>
    <row r="474" spans="1:7" ht="15.75" customHeight="1">
      <c r="A474" s="128"/>
      <c r="B474" s="128"/>
      <c r="C474" s="87"/>
      <c r="D474" s="2"/>
      <c r="E474" s="87"/>
      <c r="F474" s="208"/>
      <c r="G474" s="128"/>
    </row>
    <row r="475" spans="1:7" ht="15.75" customHeight="1">
      <c r="A475" s="128"/>
      <c r="B475" s="128"/>
      <c r="C475" s="87"/>
      <c r="D475" s="2"/>
      <c r="E475" s="87"/>
      <c r="F475" s="208"/>
      <c r="G475" s="128"/>
    </row>
    <row r="476" spans="1:7" ht="15.75" customHeight="1">
      <c r="A476" s="128"/>
      <c r="B476" s="128"/>
      <c r="C476" s="87"/>
      <c r="D476" s="2"/>
      <c r="E476" s="87"/>
      <c r="F476" s="208"/>
      <c r="G476" s="128"/>
    </row>
    <row r="477" spans="1:7" ht="15.75" customHeight="1">
      <c r="A477" s="128"/>
      <c r="B477" s="128"/>
      <c r="C477" s="87"/>
      <c r="D477" s="2"/>
      <c r="E477" s="87"/>
      <c r="F477" s="208"/>
      <c r="G477" s="128"/>
    </row>
    <row r="478" spans="1:7" ht="15.75" customHeight="1">
      <c r="A478" s="128"/>
      <c r="B478" s="128"/>
      <c r="C478" s="87"/>
      <c r="D478" s="2"/>
      <c r="E478" s="87"/>
      <c r="F478" s="208"/>
      <c r="G478" s="128"/>
    </row>
    <row r="479" spans="1:7" ht="15.75" customHeight="1">
      <c r="A479" s="128"/>
      <c r="B479" s="128"/>
      <c r="C479" s="87"/>
      <c r="D479" s="2"/>
      <c r="E479" s="87"/>
      <c r="F479" s="208"/>
      <c r="G479" s="128"/>
    </row>
    <row r="480" spans="1:7" ht="15.75" customHeight="1">
      <c r="A480" s="128"/>
      <c r="B480" s="128"/>
      <c r="C480" s="87"/>
      <c r="D480" s="2"/>
      <c r="E480" s="87"/>
      <c r="F480" s="208"/>
      <c r="G480" s="128"/>
    </row>
    <row r="481" spans="1:7" ht="15.75" customHeight="1">
      <c r="A481" s="128"/>
      <c r="B481" s="128"/>
      <c r="C481" s="87"/>
      <c r="D481" s="2"/>
      <c r="E481" s="87"/>
      <c r="F481" s="208"/>
      <c r="G481" s="128"/>
    </row>
    <row r="482" spans="1:7" ht="15.75" customHeight="1">
      <c r="A482" s="128"/>
      <c r="B482" s="128"/>
      <c r="C482" s="87"/>
      <c r="D482" s="2"/>
      <c r="E482" s="87"/>
      <c r="F482" s="208"/>
      <c r="G482" s="128"/>
    </row>
    <row r="483" spans="1:7" ht="15.75" customHeight="1">
      <c r="A483" s="128"/>
      <c r="B483" s="128"/>
      <c r="C483" s="87"/>
      <c r="D483" s="2"/>
      <c r="E483" s="87"/>
      <c r="F483" s="208"/>
      <c r="G483" s="128"/>
    </row>
    <row r="484" spans="1:7" ht="15.75" customHeight="1">
      <c r="A484" s="128"/>
      <c r="B484" s="128"/>
      <c r="C484" s="87"/>
      <c r="D484" s="2"/>
      <c r="E484" s="87"/>
      <c r="F484" s="208"/>
      <c r="G484" s="128"/>
    </row>
    <row r="485" spans="1:7" ht="15.75" customHeight="1">
      <c r="A485" s="128"/>
      <c r="B485" s="128"/>
      <c r="C485" s="87"/>
      <c r="D485" s="2"/>
      <c r="E485" s="87"/>
      <c r="F485" s="208"/>
      <c r="G485" s="128"/>
    </row>
    <row r="486" spans="1:7" ht="15.75" customHeight="1">
      <c r="A486" s="128"/>
      <c r="B486" s="128"/>
      <c r="C486" s="87"/>
      <c r="D486" s="2"/>
      <c r="E486" s="87"/>
      <c r="F486" s="208"/>
      <c r="G486" s="128"/>
    </row>
    <row r="487" spans="1:7" ht="15.75" customHeight="1">
      <c r="A487" s="128"/>
      <c r="B487" s="128"/>
      <c r="C487" s="87"/>
      <c r="D487" s="2"/>
      <c r="E487" s="87"/>
      <c r="F487" s="208"/>
      <c r="G487" s="128"/>
    </row>
    <row r="488" spans="1:7" ht="15.75" customHeight="1">
      <c r="A488" s="128"/>
      <c r="B488" s="128"/>
      <c r="C488" s="87"/>
      <c r="D488" s="2"/>
      <c r="E488" s="87"/>
      <c r="F488" s="208"/>
      <c r="G488" s="128"/>
    </row>
    <row r="489" spans="1:7" ht="15.75" customHeight="1">
      <c r="A489" s="128"/>
      <c r="B489" s="128"/>
      <c r="C489" s="87"/>
      <c r="D489" s="2"/>
      <c r="E489" s="87"/>
      <c r="F489" s="208"/>
      <c r="G489" s="128"/>
    </row>
    <row r="490" spans="1:7" ht="15.75" customHeight="1">
      <c r="A490" s="128"/>
      <c r="B490" s="128"/>
      <c r="C490" s="87"/>
      <c r="D490" s="2"/>
      <c r="E490" s="87"/>
      <c r="F490" s="208"/>
      <c r="G490" s="128"/>
    </row>
    <row r="491" spans="1:7" ht="15.75" customHeight="1">
      <c r="A491" s="128"/>
      <c r="B491" s="128"/>
      <c r="C491" s="87"/>
      <c r="D491" s="2"/>
      <c r="E491" s="87"/>
      <c r="F491" s="208"/>
      <c r="G491" s="128"/>
    </row>
    <row r="492" spans="1:7" ht="15.75" customHeight="1">
      <c r="A492" s="128"/>
      <c r="B492" s="128"/>
      <c r="C492" s="87"/>
      <c r="D492" s="2"/>
      <c r="E492" s="87"/>
      <c r="F492" s="208"/>
      <c r="G492" s="128"/>
    </row>
    <row r="493" spans="1:7" ht="15.75" customHeight="1">
      <c r="A493" s="128"/>
      <c r="B493" s="128"/>
      <c r="C493" s="87"/>
      <c r="D493" s="2"/>
      <c r="E493" s="87"/>
      <c r="F493" s="208"/>
      <c r="G493" s="128"/>
    </row>
    <row r="494" spans="1:7" ht="15.75" customHeight="1">
      <c r="A494" s="128"/>
      <c r="B494" s="128"/>
      <c r="C494" s="87"/>
      <c r="D494" s="2"/>
      <c r="E494" s="87"/>
      <c r="F494" s="208"/>
      <c r="G494" s="128"/>
    </row>
    <row r="495" spans="1:7" ht="15.75" customHeight="1">
      <c r="A495" s="128"/>
      <c r="B495" s="128"/>
      <c r="C495" s="87"/>
      <c r="D495" s="2"/>
      <c r="E495" s="87"/>
      <c r="F495" s="208"/>
      <c r="G495" s="128"/>
    </row>
    <row r="496" spans="1:7" ht="15.75" customHeight="1">
      <c r="A496" s="128"/>
      <c r="B496" s="128"/>
      <c r="C496" s="87"/>
      <c r="D496" s="2"/>
      <c r="E496" s="87"/>
      <c r="F496" s="208"/>
      <c r="G496" s="128"/>
    </row>
    <row r="497" spans="1:7" ht="15.75" customHeight="1">
      <c r="A497" s="128"/>
      <c r="B497" s="128"/>
      <c r="C497" s="87"/>
      <c r="D497" s="2"/>
      <c r="E497" s="87"/>
      <c r="F497" s="208"/>
      <c r="G497" s="128"/>
    </row>
    <row r="498" spans="1:7" ht="15.75" customHeight="1">
      <c r="A498" s="128"/>
      <c r="B498" s="128"/>
      <c r="C498" s="87"/>
      <c r="D498" s="2"/>
      <c r="E498" s="87"/>
      <c r="F498" s="208"/>
      <c r="G498" s="128"/>
    </row>
    <row r="499" spans="1:7" ht="15.75" customHeight="1">
      <c r="A499" s="128"/>
      <c r="B499" s="128"/>
      <c r="C499" s="87"/>
      <c r="D499" s="2"/>
      <c r="E499" s="87"/>
      <c r="F499" s="208"/>
      <c r="G499" s="128"/>
    </row>
    <row r="500" spans="1:7" ht="15.75" customHeight="1">
      <c r="A500" s="128"/>
      <c r="B500" s="128"/>
      <c r="C500" s="87"/>
      <c r="D500" s="2"/>
      <c r="E500" s="87"/>
      <c r="F500" s="208"/>
      <c r="G500" s="128"/>
    </row>
    <row r="501" spans="1:7" ht="15.75" customHeight="1">
      <c r="A501" s="128"/>
      <c r="B501" s="128"/>
      <c r="C501" s="87"/>
      <c r="D501" s="2"/>
      <c r="E501" s="87"/>
      <c r="F501" s="208"/>
      <c r="G501" s="128"/>
    </row>
    <row r="502" spans="1:7" ht="15.75" customHeight="1">
      <c r="A502" s="128"/>
      <c r="B502" s="128"/>
      <c r="C502" s="87"/>
      <c r="D502" s="2"/>
      <c r="E502" s="87"/>
      <c r="F502" s="208"/>
      <c r="G502" s="128"/>
    </row>
    <row r="503" spans="1:7" ht="15.75" customHeight="1">
      <c r="A503" s="128"/>
      <c r="B503" s="128"/>
      <c r="C503" s="87"/>
      <c r="D503" s="2"/>
      <c r="E503" s="87"/>
      <c r="F503" s="208"/>
      <c r="G503" s="128"/>
    </row>
    <row r="504" spans="1:7" ht="15.75" customHeight="1">
      <c r="A504" s="128"/>
      <c r="B504" s="128"/>
      <c r="C504" s="87"/>
      <c r="D504" s="2"/>
      <c r="E504" s="87"/>
      <c r="F504" s="208"/>
      <c r="G504" s="128"/>
    </row>
    <row r="505" spans="1:7" ht="15.75" customHeight="1">
      <c r="A505" s="128"/>
      <c r="B505" s="128"/>
      <c r="C505" s="87"/>
      <c r="D505" s="2"/>
      <c r="E505" s="87"/>
      <c r="F505" s="208"/>
      <c r="G505" s="128"/>
    </row>
    <row r="506" spans="1:7" ht="15.75" customHeight="1">
      <c r="A506" s="128"/>
      <c r="B506" s="128"/>
      <c r="C506" s="87"/>
      <c r="D506" s="2"/>
      <c r="E506" s="87"/>
      <c r="F506" s="208"/>
      <c r="G506" s="128"/>
    </row>
    <row r="507" spans="1:7" ht="15.75" customHeight="1">
      <c r="A507" s="128"/>
      <c r="B507" s="128"/>
      <c r="C507" s="87"/>
      <c r="D507" s="2"/>
      <c r="E507" s="87"/>
      <c r="F507" s="208"/>
      <c r="G507" s="128"/>
    </row>
    <row r="508" spans="1:7" ht="15.75" customHeight="1">
      <c r="A508" s="128"/>
      <c r="B508" s="128"/>
      <c r="C508" s="87"/>
      <c r="D508" s="2"/>
      <c r="E508" s="87"/>
      <c r="F508" s="208"/>
      <c r="G508" s="128"/>
    </row>
    <row r="509" spans="1:7" ht="15.75" customHeight="1">
      <c r="A509" s="128"/>
      <c r="B509" s="128"/>
      <c r="C509" s="87"/>
      <c r="D509" s="2"/>
      <c r="E509" s="87"/>
      <c r="F509" s="208"/>
      <c r="G509" s="128"/>
    </row>
    <row r="510" spans="1:7" ht="15.75" customHeight="1">
      <c r="A510" s="128"/>
      <c r="B510" s="128"/>
      <c r="C510" s="87"/>
      <c r="D510" s="2"/>
      <c r="E510" s="87"/>
      <c r="F510" s="208"/>
      <c r="G510" s="128"/>
    </row>
    <row r="511" spans="1:7" ht="15.75" customHeight="1">
      <c r="A511" s="128"/>
      <c r="B511" s="128"/>
      <c r="C511" s="87"/>
      <c r="D511" s="2"/>
      <c r="E511" s="87"/>
      <c r="F511" s="208"/>
      <c r="G511" s="128"/>
    </row>
    <row r="512" spans="1:7" ht="15.75" customHeight="1">
      <c r="A512" s="128"/>
      <c r="B512" s="128"/>
      <c r="C512" s="87"/>
      <c r="D512" s="2"/>
      <c r="E512" s="87"/>
      <c r="F512" s="208"/>
      <c r="G512" s="128"/>
    </row>
    <row r="513" spans="1:7" ht="15.75" customHeight="1">
      <c r="A513" s="128"/>
      <c r="B513" s="128"/>
      <c r="C513" s="87"/>
      <c r="D513" s="2"/>
      <c r="E513" s="87"/>
      <c r="F513" s="208"/>
      <c r="G513" s="128"/>
    </row>
    <row r="514" spans="1:7" ht="15.75" customHeight="1">
      <c r="A514" s="128"/>
      <c r="B514" s="128"/>
      <c r="C514" s="87"/>
      <c r="D514" s="2"/>
      <c r="E514" s="87"/>
      <c r="F514" s="208"/>
      <c r="G514" s="128"/>
    </row>
    <row r="515" spans="1:7" ht="15.75" customHeight="1">
      <c r="A515" s="128"/>
      <c r="B515" s="128"/>
      <c r="C515" s="87"/>
      <c r="D515" s="2"/>
      <c r="E515" s="87"/>
      <c r="F515" s="208"/>
      <c r="G515" s="128"/>
    </row>
    <row r="516" spans="1:7" ht="15.75" customHeight="1">
      <c r="A516" s="128"/>
      <c r="B516" s="128"/>
      <c r="C516" s="87"/>
      <c r="D516" s="2"/>
      <c r="E516" s="87"/>
      <c r="F516" s="208"/>
      <c r="G516" s="128"/>
    </row>
    <row r="517" spans="1:7" ht="15.75" customHeight="1">
      <c r="A517" s="128"/>
      <c r="B517" s="128"/>
      <c r="C517" s="87"/>
      <c r="D517" s="2"/>
      <c r="E517" s="87"/>
      <c r="F517" s="208"/>
      <c r="G517" s="128"/>
    </row>
    <row r="518" spans="1:7" ht="15.75" customHeight="1">
      <c r="A518" s="128"/>
      <c r="B518" s="128"/>
      <c r="C518" s="87"/>
      <c r="D518" s="2"/>
      <c r="E518" s="87"/>
      <c r="F518" s="208"/>
      <c r="G518" s="128"/>
    </row>
    <row r="519" spans="1:7" ht="15.75" customHeight="1">
      <c r="A519" s="128"/>
      <c r="B519" s="128"/>
      <c r="C519" s="87"/>
      <c r="D519" s="2"/>
      <c r="E519" s="87"/>
      <c r="F519" s="208"/>
      <c r="G519" s="128"/>
    </row>
    <row r="520" spans="1:7" ht="15.75" customHeight="1">
      <c r="A520" s="128"/>
      <c r="B520" s="128"/>
      <c r="C520" s="87"/>
      <c r="D520" s="2"/>
      <c r="E520" s="87"/>
      <c r="F520" s="208"/>
      <c r="G520" s="128"/>
    </row>
    <row r="521" spans="1:7" ht="15.75" customHeight="1">
      <c r="A521" s="128"/>
      <c r="B521" s="128"/>
      <c r="C521" s="87"/>
      <c r="D521" s="2"/>
      <c r="E521" s="87"/>
      <c r="F521" s="208"/>
      <c r="G521" s="128"/>
    </row>
    <row r="522" spans="1:7" ht="15.75" customHeight="1">
      <c r="A522" s="128"/>
      <c r="B522" s="128"/>
      <c r="C522" s="87"/>
      <c r="D522" s="2"/>
      <c r="E522" s="87"/>
      <c r="F522" s="208"/>
      <c r="G522" s="128"/>
    </row>
    <row r="523" spans="1:7" ht="15.75" customHeight="1">
      <c r="A523" s="128"/>
      <c r="B523" s="128"/>
      <c r="C523" s="87"/>
      <c r="D523" s="2"/>
      <c r="E523" s="87"/>
      <c r="F523" s="208"/>
      <c r="G523" s="128"/>
    </row>
    <row r="524" spans="1:7" ht="15.75" customHeight="1">
      <c r="A524" s="128"/>
      <c r="B524" s="128"/>
      <c r="C524" s="87"/>
      <c r="D524" s="2"/>
      <c r="E524" s="87"/>
      <c r="F524" s="208"/>
      <c r="G524" s="128"/>
    </row>
    <row r="525" spans="1:7" ht="15.75" customHeight="1">
      <c r="A525" s="128"/>
      <c r="B525" s="128"/>
      <c r="C525" s="87"/>
      <c r="D525" s="2"/>
      <c r="E525" s="87"/>
      <c r="F525" s="208"/>
      <c r="G525" s="128"/>
    </row>
    <row r="526" spans="1:7" ht="15.75" customHeight="1">
      <c r="A526" s="128"/>
      <c r="B526" s="128"/>
      <c r="C526" s="87"/>
      <c r="D526" s="2"/>
      <c r="E526" s="87"/>
      <c r="F526" s="208"/>
      <c r="G526" s="128"/>
    </row>
    <row r="527" spans="1:7" ht="15.75" customHeight="1">
      <c r="A527" s="128"/>
      <c r="B527" s="128"/>
      <c r="C527" s="87"/>
      <c r="D527" s="2"/>
      <c r="E527" s="87"/>
      <c r="F527" s="208"/>
      <c r="G527" s="128"/>
    </row>
    <row r="528" spans="1:7" ht="15.75" customHeight="1">
      <c r="A528" s="128"/>
      <c r="B528" s="128"/>
      <c r="C528" s="87"/>
      <c r="D528" s="2"/>
      <c r="E528" s="87"/>
      <c r="F528" s="208"/>
      <c r="G528" s="128"/>
    </row>
    <row r="529" spans="1:7" ht="15.75" customHeight="1">
      <c r="A529" s="128"/>
      <c r="B529" s="128"/>
      <c r="C529" s="87"/>
      <c r="D529" s="2"/>
      <c r="E529" s="87"/>
      <c r="F529" s="208"/>
      <c r="G529" s="128"/>
    </row>
    <row r="530" spans="1:7" ht="15.75" customHeight="1">
      <c r="A530" s="128"/>
      <c r="B530" s="128"/>
      <c r="C530" s="87"/>
      <c r="D530" s="2"/>
      <c r="E530" s="87"/>
      <c r="F530" s="208"/>
      <c r="G530" s="128"/>
    </row>
    <row r="531" spans="1:7" ht="15.75" customHeight="1">
      <c r="A531" s="128"/>
      <c r="B531" s="128"/>
      <c r="C531" s="87"/>
      <c r="D531" s="2"/>
      <c r="E531" s="87"/>
      <c r="F531" s="208"/>
      <c r="G531" s="128"/>
    </row>
    <row r="532" spans="1:7" ht="15.75" customHeight="1">
      <c r="A532" s="128"/>
      <c r="B532" s="128"/>
      <c r="C532" s="87"/>
      <c r="D532" s="2"/>
      <c r="E532" s="87"/>
      <c r="F532" s="208"/>
      <c r="G532" s="128"/>
    </row>
    <row r="533" spans="1:7" ht="15.75" customHeight="1">
      <c r="A533" s="128"/>
      <c r="B533" s="128"/>
      <c r="C533" s="87"/>
      <c r="D533" s="2"/>
      <c r="E533" s="87"/>
      <c r="F533" s="208"/>
      <c r="G533" s="128"/>
    </row>
    <row r="534" spans="1:7" ht="15.75" customHeight="1">
      <c r="A534" s="128"/>
      <c r="B534" s="128"/>
      <c r="C534" s="87"/>
      <c r="D534" s="2"/>
      <c r="E534" s="87"/>
      <c r="F534" s="208"/>
      <c r="G534" s="128"/>
    </row>
    <row r="535" spans="1:7" ht="15.75" customHeight="1">
      <c r="A535" s="128"/>
      <c r="B535" s="128"/>
      <c r="C535" s="87"/>
      <c r="D535" s="2"/>
      <c r="E535" s="87"/>
      <c r="F535" s="208"/>
      <c r="G535" s="128"/>
    </row>
    <row r="536" spans="1:7" ht="15.75" customHeight="1">
      <c r="A536" s="128"/>
      <c r="B536" s="128"/>
      <c r="C536" s="87"/>
      <c r="D536" s="2"/>
      <c r="E536" s="87"/>
      <c r="F536" s="208"/>
      <c r="G536" s="128"/>
    </row>
    <row r="537" spans="1:7" ht="15.75" customHeight="1">
      <c r="A537" s="128"/>
      <c r="B537" s="128"/>
      <c r="C537" s="87"/>
      <c r="D537" s="2"/>
      <c r="E537" s="87"/>
      <c r="F537" s="208"/>
      <c r="G537" s="128"/>
    </row>
    <row r="538" spans="1:7" ht="15.75" customHeight="1">
      <c r="A538" s="128"/>
      <c r="B538" s="128"/>
      <c r="C538" s="87"/>
      <c r="D538" s="2"/>
      <c r="E538" s="87"/>
      <c r="F538" s="208"/>
      <c r="G538" s="128"/>
    </row>
    <row r="539" spans="1:7" ht="15.75" customHeight="1">
      <c r="A539" s="128"/>
      <c r="B539" s="128"/>
      <c r="C539" s="87"/>
      <c r="D539" s="2"/>
      <c r="E539" s="87"/>
      <c r="F539" s="208"/>
      <c r="G539" s="128"/>
    </row>
    <row r="540" spans="1:7" ht="15.75" customHeight="1">
      <c r="A540" s="128"/>
      <c r="B540" s="128"/>
      <c r="C540" s="87"/>
      <c r="D540" s="2"/>
      <c r="E540" s="87"/>
      <c r="F540" s="208"/>
      <c r="G540" s="128"/>
    </row>
    <row r="541" spans="1:7" ht="15.75" customHeight="1">
      <c r="A541" s="128"/>
      <c r="B541" s="128"/>
      <c r="C541" s="87"/>
      <c r="D541" s="2"/>
      <c r="E541" s="87"/>
      <c r="F541" s="208"/>
      <c r="G541" s="128"/>
    </row>
    <row r="542" spans="1:7" ht="15.75" customHeight="1">
      <c r="A542" s="128"/>
      <c r="B542" s="128"/>
      <c r="C542" s="87"/>
      <c r="D542" s="2"/>
      <c r="E542" s="87"/>
      <c r="F542" s="208"/>
      <c r="G542" s="128"/>
    </row>
    <row r="543" spans="1:7" ht="15.75" customHeight="1">
      <c r="A543" s="128"/>
      <c r="B543" s="128"/>
      <c r="C543" s="87"/>
      <c r="D543" s="2"/>
      <c r="E543" s="87"/>
      <c r="F543" s="208"/>
      <c r="G543" s="128"/>
    </row>
    <row r="544" spans="1:7" ht="15.75" customHeight="1">
      <c r="A544" s="128"/>
      <c r="B544" s="128"/>
      <c r="C544" s="87"/>
      <c r="D544" s="2"/>
      <c r="E544" s="87"/>
      <c r="F544" s="208"/>
      <c r="G544" s="128"/>
    </row>
    <row r="545" spans="1:7" ht="15.75" customHeight="1">
      <c r="A545" s="128"/>
      <c r="B545" s="128"/>
      <c r="C545" s="87"/>
      <c r="D545" s="2"/>
      <c r="E545" s="87"/>
      <c r="F545" s="208"/>
      <c r="G545" s="128"/>
    </row>
    <row r="546" spans="1:7" ht="15.75" customHeight="1">
      <c r="A546" s="128"/>
      <c r="B546" s="128"/>
      <c r="C546" s="87"/>
      <c r="D546" s="2"/>
      <c r="E546" s="87"/>
      <c r="F546" s="208"/>
      <c r="G546" s="128"/>
    </row>
    <row r="547" spans="1:7" ht="15.75" customHeight="1">
      <c r="A547" s="128"/>
      <c r="B547" s="128"/>
      <c r="C547" s="87"/>
      <c r="D547" s="2"/>
      <c r="E547" s="87"/>
      <c r="F547" s="208"/>
      <c r="G547" s="128"/>
    </row>
    <row r="548" spans="1:7" ht="15.75" customHeight="1">
      <c r="A548" s="128"/>
      <c r="B548" s="128"/>
      <c r="C548" s="87"/>
      <c r="D548" s="2"/>
      <c r="E548" s="87"/>
      <c r="F548" s="208"/>
      <c r="G548" s="128"/>
    </row>
    <row r="549" spans="1:7" ht="15.75" customHeight="1">
      <c r="A549" s="128"/>
      <c r="B549" s="128"/>
      <c r="C549" s="87"/>
      <c r="D549" s="2"/>
      <c r="E549" s="87"/>
      <c r="F549" s="208"/>
      <c r="G549" s="128"/>
    </row>
    <row r="550" spans="1:7" ht="15.75" customHeight="1">
      <c r="A550" s="128"/>
      <c r="B550" s="128"/>
      <c r="C550" s="87"/>
      <c r="D550" s="2"/>
      <c r="E550" s="87"/>
      <c r="F550" s="208"/>
      <c r="G550" s="128"/>
    </row>
    <row r="551" spans="1:7" ht="15.75" customHeight="1">
      <c r="A551" s="128"/>
      <c r="B551" s="128"/>
      <c r="C551" s="87"/>
      <c r="D551" s="2"/>
      <c r="E551" s="87"/>
      <c r="F551" s="208"/>
      <c r="G551" s="128"/>
    </row>
    <row r="552" spans="1:7" ht="15.75" customHeight="1">
      <c r="A552" s="128"/>
      <c r="B552" s="128"/>
      <c r="C552" s="87"/>
      <c r="D552" s="2"/>
      <c r="E552" s="87"/>
      <c r="F552" s="208"/>
      <c r="G552" s="128"/>
    </row>
    <row r="553" spans="1:7" ht="15.75" customHeight="1">
      <c r="A553" s="128"/>
      <c r="B553" s="128"/>
      <c r="C553" s="87"/>
      <c r="D553" s="2"/>
      <c r="E553" s="87"/>
      <c r="F553" s="208"/>
      <c r="G553" s="128"/>
    </row>
    <row r="554" spans="1:7" ht="15.75" customHeight="1">
      <c r="A554" s="128"/>
      <c r="B554" s="128"/>
      <c r="C554" s="87"/>
      <c r="D554" s="2"/>
      <c r="E554" s="87"/>
      <c r="F554" s="208"/>
      <c r="G554" s="128"/>
    </row>
    <row r="555" spans="1:7" ht="15.75" customHeight="1">
      <c r="A555" s="128"/>
      <c r="B555" s="128"/>
      <c r="C555" s="87"/>
      <c r="D555" s="2"/>
      <c r="E555" s="87"/>
      <c r="F555" s="208"/>
      <c r="G555" s="128"/>
    </row>
    <row r="556" spans="1:7" ht="15.75" customHeight="1">
      <c r="A556" s="128"/>
      <c r="B556" s="128"/>
      <c r="C556" s="87"/>
      <c r="D556" s="2"/>
      <c r="E556" s="87"/>
      <c r="F556" s="208"/>
      <c r="G556" s="128"/>
    </row>
    <row r="557" spans="1:7" ht="15.75" customHeight="1">
      <c r="A557" s="128"/>
      <c r="B557" s="128"/>
      <c r="C557" s="87"/>
      <c r="D557" s="2"/>
      <c r="E557" s="87"/>
      <c r="F557" s="208"/>
      <c r="G557" s="128"/>
    </row>
    <row r="558" spans="1:7" ht="15.75" customHeight="1">
      <c r="A558" s="128"/>
      <c r="B558" s="128"/>
      <c r="C558" s="87"/>
      <c r="D558" s="2"/>
      <c r="E558" s="87"/>
      <c r="F558" s="208"/>
      <c r="G558" s="128"/>
    </row>
    <row r="559" spans="1:7" ht="15.75" customHeight="1">
      <c r="A559" s="128"/>
      <c r="B559" s="128"/>
      <c r="C559" s="87"/>
      <c r="D559" s="2"/>
      <c r="E559" s="87"/>
      <c r="F559" s="208"/>
      <c r="G559" s="128"/>
    </row>
    <row r="560" spans="1:7" ht="15.75" customHeight="1">
      <c r="A560" s="128"/>
      <c r="B560" s="128"/>
      <c r="C560" s="87"/>
      <c r="D560" s="2"/>
      <c r="E560" s="87"/>
      <c r="F560" s="208"/>
      <c r="G560" s="128"/>
    </row>
    <row r="561" spans="1:7" ht="15.75" customHeight="1">
      <c r="A561" s="128"/>
      <c r="B561" s="128"/>
      <c r="C561" s="87"/>
      <c r="D561" s="2"/>
      <c r="E561" s="87"/>
      <c r="F561" s="208"/>
      <c r="G561" s="128"/>
    </row>
    <row r="562" spans="1:7" ht="15.75" customHeight="1">
      <c r="A562" s="128"/>
      <c r="B562" s="128"/>
      <c r="C562" s="87"/>
      <c r="D562" s="2"/>
      <c r="E562" s="87"/>
      <c r="F562" s="208"/>
      <c r="G562" s="128"/>
    </row>
    <row r="563" spans="1:7" ht="15.75" customHeight="1">
      <c r="A563" s="128"/>
      <c r="B563" s="128"/>
      <c r="C563" s="87"/>
      <c r="D563" s="2"/>
      <c r="E563" s="87"/>
      <c r="F563" s="208"/>
      <c r="G563" s="128"/>
    </row>
    <row r="564" spans="1:7" ht="15.75" customHeight="1">
      <c r="A564" s="128"/>
      <c r="B564" s="128"/>
      <c r="C564" s="87"/>
      <c r="D564" s="2"/>
      <c r="E564" s="87"/>
      <c r="F564" s="208"/>
      <c r="G564" s="128"/>
    </row>
    <row r="565" spans="1:7" ht="15.75" customHeight="1">
      <c r="A565" s="128"/>
      <c r="B565" s="128"/>
      <c r="C565" s="87"/>
      <c r="D565" s="2"/>
      <c r="E565" s="87"/>
      <c r="F565" s="208"/>
      <c r="G565" s="128"/>
    </row>
    <row r="566" spans="1:7" ht="15.75" customHeight="1">
      <c r="A566" s="128"/>
      <c r="B566" s="128"/>
      <c r="C566" s="87"/>
      <c r="D566" s="2"/>
      <c r="E566" s="87"/>
      <c r="F566" s="208"/>
      <c r="G566" s="128"/>
    </row>
    <row r="567" spans="1:7" ht="15.75" customHeight="1">
      <c r="A567" s="128"/>
      <c r="B567" s="128"/>
      <c r="C567" s="87"/>
      <c r="D567" s="2"/>
      <c r="E567" s="87"/>
      <c r="F567" s="208"/>
      <c r="G567" s="128"/>
    </row>
    <row r="568" spans="1:7" ht="15.75" customHeight="1">
      <c r="A568" s="128"/>
      <c r="B568" s="128"/>
      <c r="C568" s="87"/>
      <c r="D568" s="2"/>
      <c r="E568" s="87"/>
      <c r="F568" s="208"/>
      <c r="G568" s="128"/>
    </row>
    <row r="569" spans="1:7" ht="15.75" customHeight="1">
      <c r="A569" s="128"/>
      <c r="B569" s="128"/>
      <c r="C569" s="87"/>
      <c r="D569" s="2"/>
      <c r="E569" s="87"/>
      <c r="F569" s="208"/>
      <c r="G569" s="128"/>
    </row>
    <row r="570" spans="1:7" ht="15.75" customHeight="1">
      <c r="A570" s="128"/>
      <c r="B570" s="128"/>
      <c r="C570" s="87"/>
      <c r="D570" s="2"/>
      <c r="E570" s="87"/>
      <c r="F570" s="208"/>
      <c r="G570" s="128"/>
    </row>
    <row r="571" spans="1:7" ht="15.75" customHeight="1">
      <c r="A571" s="128"/>
      <c r="B571" s="128"/>
      <c r="C571" s="87"/>
      <c r="D571" s="2"/>
      <c r="E571" s="87"/>
      <c r="F571" s="208"/>
      <c r="G571" s="128"/>
    </row>
    <row r="572" spans="1:7" ht="15.75" customHeight="1">
      <c r="A572" s="128"/>
      <c r="B572" s="128"/>
      <c r="C572" s="87"/>
      <c r="D572" s="2"/>
      <c r="E572" s="87"/>
      <c r="F572" s="208"/>
      <c r="G572" s="128"/>
    </row>
    <row r="573" spans="1:7" ht="15.75" customHeight="1">
      <c r="A573" s="128"/>
      <c r="B573" s="128"/>
      <c r="C573" s="87"/>
      <c r="D573" s="2"/>
      <c r="E573" s="87"/>
      <c r="F573" s="208"/>
      <c r="G573" s="128"/>
    </row>
    <row r="574" spans="1:7" ht="15.75" customHeight="1">
      <c r="A574" s="128"/>
      <c r="B574" s="128"/>
      <c r="C574" s="87"/>
      <c r="D574" s="2"/>
      <c r="E574" s="87"/>
      <c r="F574" s="208"/>
      <c r="G574" s="128"/>
    </row>
    <row r="575" spans="1:7" ht="15.75" customHeight="1">
      <c r="A575" s="128"/>
      <c r="B575" s="128"/>
      <c r="C575" s="87"/>
      <c r="D575" s="2"/>
      <c r="E575" s="87"/>
      <c r="F575" s="208"/>
      <c r="G575" s="128"/>
    </row>
    <row r="576" spans="1:7" ht="15.75" customHeight="1">
      <c r="A576" s="128"/>
      <c r="B576" s="128"/>
      <c r="C576" s="87"/>
      <c r="D576" s="2"/>
      <c r="E576" s="87"/>
      <c r="F576" s="208"/>
      <c r="G576" s="128"/>
    </row>
    <row r="577" spans="1:7" ht="15.75" customHeight="1">
      <c r="A577" s="128"/>
      <c r="B577" s="128"/>
      <c r="C577" s="87"/>
      <c r="D577" s="2"/>
      <c r="E577" s="87"/>
      <c r="F577" s="208"/>
      <c r="G577" s="128"/>
    </row>
    <row r="578" spans="1:7" ht="15.75" customHeight="1">
      <c r="A578" s="128"/>
      <c r="B578" s="128"/>
      <c r="C578" s="87"/>
      <c r="D578" s="2"/>
      <c r="E578" s="87"/>
      <c r="F578" s="208"/>
      <c r="G578" s="128"/>
    </row>
    <row r="579" spans="1:7" ht="15.75" customHeight="1">
      <c r="A579" s="128"/>
      <c r="B579" s="128"/>
      <c r="C579" s="87"/>
      <c r="D579" s="2"/>
      <c r="E579" s="87"/>
      <c r="F579" s="208"/>
      <c r="G579" s="128"/>
    </row>
    <row r="580" spans="1:7" ht="15.75" customHeight="1">
      <c r="A580" s="128"/>
      <c r="B580" s="128"/>
      <c r="C580" s="87"/>
      <c r="D580" s="2"/>
      <c r="E580" s="87"/>
      <c r="F580" s="208"/>
      <c r="G580" s="128"/>
    </row>
    <row r="581" spans="1:7" ht="15.75" customHeight="1">
      <c r="A581" s="128"/>
      <c r="B581" s="128"/>
      <c r="C581" s="87"/>
      <c r="D581" s="2"/>
      <c r="E581" s="87"/>
      <c r="F581" s="208"/>
      <c r="G581" s="128"/>
    </row>
    <row r="582" spans="1:7" ht="15.75" customHeight="1">
      <c r="A582" s="128"/>
      <c r="B582" s="128"/>
      <c r="C582" s="87"/>
      <c r="D582" s="2"/>
      <c r="E582" s="87"/>
      <c r="F582" s="208"/>
      <c r="G582" s="128"/>
    </row>
    <row r="583" spans="1:7" ht="15.75" customHeight="1">
      <c r="A583" s="128"/>
      <c r="B583" s="128"/>
      <c r="C583" s="87"/>
      <c r="D583" s="2"/>
      <c r="E583" s="87"/>
      <c r="F583" s="208"/>
      <c r="G583" s="128"/>
    </row>
    <row r="584" spans="1:7" ht="15.75" customHeight="1">
      <c r="A584" s="128"/>
      <c r="B584" s="128"/>
      <c r="C584" s="87"/>
      <c r="D584" s="2"/>
      <c r="E584" s="87"/>
      <c r="F584" s="208"/>
      <c r="G584" s="128"/>
    </row>
    <row r="585" spans="1:7" ht="15.75" customHeight="1">
      <c r="A585" s="128"/>
      <c r="B585" s="128"/>
      <c r="C585" s="87"/>
      <c r="D585" s="2"/>
      <c r="E585" s="87"/>
      <c r="F585" s="208"/>
      <c r="G585" s="128"/>
    </row>
    <row r="586" spans="1:7" ht="15.75" customHeight="1">
      <c r="A586" s="128"/>
      <c r="B586" s="128"/>
      <c r="C586" s="87"/>
      <c r="D586" s="2"/>
      <c r="E586" s="87"/>
      <c r="F586" s="208"/>
      <c r="G586" s="128"/>
    </row>
    <row r="587" spans="1:7" ht="15.75" customHeight="1">
      <c r="A587" s="128"/>
      <c r="B587" s="128"/>
      <c r="C587" s="87"/>
      <c r="D587" s="2"/>
      <c r="E587" s="87"/>
      <c r="F587" s="208"/>
      <c r="G587" s="128"/>
    </row>
    <row r="588" spans="1:7" ht="15.75" customHeight="1">
      <c r="A588" s="128"/>
      <c r="B588" s="128"/>
      <c r="C588" s="87"/>
      <c r="D588" s="2"/>
      <c r="E588" s="87"/>
      <c r="F588" s="208"/>
      <c r="G588" s="128"/>
    </row>
    <row r="589" spans="1:7" ht="15.75" customHeight="1">
      <c r="A589" s="128"/>
      <c r="B589" s="128"/>
      <c r="C589" s="87"/>
      <c r="D589" s="2"/>
      <c r="E589" s="87"/>
      <c r="F589" s="208"/>
      <c r="G589" s="128"/>
    </row>
    <row r="590" spans="1:7" ht="15.75" customHeight="1">
      <c r="A590" s="128"/>
      <c r="B590" s="128"/>
      <c r="C590" s="87"/>
      <c r="D590" s="2"/>
      <c r="E590" s="87"/>
      <c r="F590" s="208"/>
      <c r="G590" s="128"/>
    </row>
    <row r="591" spans="1:7" ht="15.75" customHeight="1">
      <c r="A591" s="128"/>
      <c r="B591" s="128"/>
      <c r="C591" s="87"/>
      <c r="D591" s="2"/>
      <c r="E591" s="87"/>
      <c r="F591" s="208"/>
      <c r="G591" s="128"/>
    </row>
    <row r="592" spans="1:7" ht="15.75" customHeight="1">
      <c r="A592" s="128"/>
      <c r="B592" s="128"/>
      <c r="C592" s="87"/>
      <c r="D592" s="2"/>
      <c r="E592" s="87"/>
      <c r="F592" s="208"/>
      <c r="G592" s="128"/>
    </row>
    <row r="593" spans="1:7" ht="15.75" customHeight="1">
      <c r="A593" s="128"/>
      <c r="B593" s="128"/>
      <c r="C593" s="87"/>
      <c r="D593" s="2"/>
      <c r="E593" s="87"/>
      <c r="F593" s="208"/>
      <c r="G593" s="128"/>
    </row>
    <row r="594" spans="1:7" ht="15.75" customHeight="1">
      <c r="A594" s="128"/>
      <c r="B594" s="128"/>
      <c r="C594" s="87"/>
      <c r="D594" s="2"/>
      <c r="E594" s="87"/>
      <c r="F594" s="208"/>
      <c r="G594" s="128"/>
    </row>
    <row r="595" spans="1:7" ht="15.75" customHeight="1">
      <c r="A595" s="128"/>
      <c r="B595" s="128"/>
      <c r="C595" s="87"/>
      <c r="D595" s="2"/>
      <c r="E595" s="87"/>
      <c r="F595" s="208"/>
      <c r="G595" s="128"/>
    </row>
    <row r="596" spans="1:7" ht="15.75" customHeight="1">
      <c r="A596" s="128"/>
      <c r="B596" s="128"/>
      <c r="C596" s="87"/>
      <c r="D596" s="2"/>
      <c r="E596" s="87"/>
      <c r="F596" s="208"/>
      <c r="G596" s="128"/>
    </row>
    <row r="597" spans="1:7" ht="15.75" customHeight="1">
      <c r="A597" s="128"/>
      <c r="B597" s="128"/>
      <c r="C597" s="87"/>
      <c r="D597" s="2"/>
      <c r="E597" s="87"/>
      <c r="F597" s="208"/>
      <c r="G597" s="128"/>
    </row>
    <row r="598" spans="1:7" ht="15.75" customHeight="1">
      <c r="A598" s="128"/>
      <c r="B598" s="128"/>
      <c r="C598" s="87"/>
      <c r="D598" s="2"/>
      <c r="E598" s="87"/>
      <c r="F598" s="208"/>
      <c r="G598" s="128"/>
    </row>
    <row r="599" spans="1:7" ht="15.75" customHeight="1">
      <c r="A599" s="128"/>
      <c r="B599" s="128"/>
      <c r="C599" s="87"/>
      <c r="D599" s="2"/>
      <c r="E599" s="87"/>
      <c r="F599" s="208"/>
      <c r="G599" s="128"/>
    </row>
    <row r="600" spans="1:7" ht="15.75" customHeight="1">
      <c r="A600" s="128"/>
      <c r="B600" s="128"/>
      <c r="C600" s="87"/>
      <c r="D600" s="2"/>
      <c r="E600" s="87"/>
      <c r="F600" s="208"/>
      <c r="G600" s="128"/>
    </row>
    <row r="601" spans="1:7" ht="15.75" customHeight="1">
      <c r="A601" s="128"/>
      <c r="B601" s="128"/>
      <c r="C601" s="87"/>
      <c r="D601" s="2"/>
      <c r="E601" s="87"/>
      <c r="F601" s="208"/>
      <c r="G601" s="128"/>
    </row>
    <row r="602" spans="1:7" ht="15.75" customHeight="1">
      <c r="A602" s="128"/>
      <c r="B602" s="128"/>
      <c r="C602" s="87"/>
      <c r="D602" s="2"/>
      <c r="E602" s="87"/>
      <c r="F602" s="208"/>
      <c r="G602" s="128"/>
    </row>
    <row r="603" spans="1:7" ht="15.75" customHeight="1">
      <c r="A603" s="128"/>
      <c r="B603" s="128"/>
      <c r="C603" s="87"/>
      <c r="D603" s="2"/>
      <c r="E603" s="87"/>
      <c r="F603" s="208"/>
      <c r="G603" s="128"/>
    </row>
    <row r="604" spans="1:7" ht="15.75" customHeight="1">
      <c r="A604" s="128"/>
      <c r="B604" s="128"/>
      <c r="C604" s="87"/>
      <c r="D604" s="2"/>
      <c r="E604" s="87"/>
      <c r="F604" s="208"/>
      <c r="G604" s="128"/>
    </row>
    <row r="605" spans="1:7" ht="15.75" customHeight="1">
      <c r="A605" s="128"/>
      <c r="B605" s="128"/>
      <c r="C605" s="87"/>
      <c r="D605" s="2"/>
      <c r="E605" s="87"/>
      <c r="F605" s="208"/>
      <c r="G605" s="128"/>
    </row>
    <row r="606" spans="1:7" ht="15.75" customHeight="1">
      <c r="A606" s="128"/>
      <c r="B606" s="128"/>
      <c r="C606" s="87"/>
      <c r="D606" s="2"/>
      <c r="E606" s="87"/>
      <c r="F606" s="208"/>
      <c r="G606" s="128"/>
    </row>
    <row r="607" spans="1:7" ht="15.75" customHeight="1">
      <c r="A607" s="128"/>
      <c r="B607" s="128"/>
      <c r="C607" s="87"/>
      <c r="D607" s="2"/>
      <c r="E607" s="87"/>
      <c r="F607" s="208"/>
      <c r="G607" s="128"/>
    </row>
    <row r="608" spans="1:7" ht="15.75" customHeight="1">
      <c r="A608" s="128"/>
      <c r="B608" s="128"/>
      <c r="C608" s="87"/>
      <c r="D608" s="2"/>
      <c r="E608" s="87"/>
      <c r="F608" s="208"/>
      <c r="G608" s="128"/>
    </row>
    <row r="609" spans="1:7" ht="15.75" customHeight="1">
      <c r="A609" s="128"/>
      <c r="B609" s="128"/>
      <c r="C609" s="87"/>
      <c r="D609" s="2"/>
      <c r="E609" s="87"/>
      <c r="F609" s="208"/>
      <c r="G609" s="128"/>
    </row>
    <row r="610" spans="1:7" ht="15.75" customHeight="1">
      <c r="A610" s="128"/>
      <c r="B610" s="128"/>
      <c r="C610" s="87"/>
      <c r="D610" s="2"/>
      <c r="E610" s="87"/>
      <c r="F610" s="208"/>
      <c r="G610" s="128"/>
    </row>
    <row r="611" spans="1:7" ht="15.75" customHeight="1">
      <c r="A611" s="128"/>
      <c r="B611" s="128"/>
      <c r="C611" s="87"/>
      <c r="D611" s="2"/>
      <c r="E611" s="87"/>
      <c r="F611" s="208"/>
      <c r="G611" s="128"/>
    </row>
    <row r="612" spans="1:7" ht="15.75" customHeight="1">
      <c r="A612" s="128"/>
      <c r="B612" s="128"/>
      <c r="C612" s="87"/>
      <c r="D612" s="2"/>
      <c r="E612" s="87"/>
      <c r="F612" s="208"/>
      <c r="G612" s="128"/>
    </row>
    <row r="613" spans="1:7" ht="15.75" customHeight="1">
      <c r="A613" s="128"/>
      <c r="B613" s="128"/>
      <c r="C613" s="87"/>
      <c r="D613" s="2"/>
      <c r="E613" s="87"/>
      <c r="F613" s="208"/>
      <c r="G613" s="128"/>
    </row>
    <row r="614" spans="1:7" ht="15.75" customHeight="1">
      <c r="A614" s="128"/>
      <c r="B614" s="128"/>
      <c r="C614" s="87"/>
      <c r="D614" s="2"/>
      <c r="E614" s="87"/>
      <c r="F614" s="208"/>
      <c r="G614" s="128"/>
    </row>
    <row r="615" spans="1:7" ht="15.75" customHeight="1">
      <c r="A615" s="128"/>
      <c r="B615" s="128"/>
      <c r="C615" s="87"/>
      <c r="D615" s="2"/>
      <c r="E615" s="87"/>
      <c r="F615" s="208"/>
      <c r="G615" s="128"/>
    </row>
    <row r="616" spans="1:7" ht="15.75" customHeight="1">
      <c r="A616" s="128"/>
      <c r="B616" s="128"/>
      <c r="C616" s="87"/>
      <c r="D616" s="2"/>
      <c r="E616" s="87"/>
      <c r="F616" s="208"/>
      <c r="G616" s="128"/>
    </row>
    <row r="617" spans="1:7" ht="15.75" customHeight="1">
      <c r="A617" s="128"/>
      <c r="B617" s="128"/>
      <c r="C617" s="87"/>
      <c r="D617" s="2"/>
      <c r="E617" s="87"/>
      <c r="F617" s="208"/>
      <c r="G617" s="128"/>
    </row>
    <row r="618" spans="1:7" ht="15.75" customHeight="1">
      <c r="A618" s="128"/>
      <c r="B618" s="128"/>
      <c r="C618" s="87"/>
      <c r="D618" s="2"/>
      <c r="E618" s="87"/>
      <c r="F618" s="208"/>
      <c r="G618" s="128"/>
    </row>
    <row r="619" spans="1:7" ht="15.75" customHeight="1">
      <c r="A619" s="128"/>
      <c r="B619" s="128"/>
      <c r="C619" s="87"/>
      <c r="D619" s="2"/>
      <c r="E619" s="87"/>
      <c r="F619" s="208"/>
      <c r="G619" s="128"/>
    </row>
    <row r="620" spans="1:7" ht="15.75" customHeight="1">
      <c r="A620" s="128"/>
      <c r="B620" s="128"/>
      <c r="C620" s="87"/>
      <c r="D620" s="2"/>
      <c r="E620" s="87"/>
      <c r="F620" s="208"/>
      <c r="G620" s="128"/>
    </row>
    <row r="621" spans="1:7" ht="15.75" customHeight="1">
      <c r="A621" s="128"/>
      <c r="B621" s="128"/>
      <c r="C621" s="87"/>
      <c r="D621" s="2"/>
      <c r="E621" s="87"/>
      <c r="F621" s="208"/>
      <c r="G621" s="128"/>
    </row>
    <row r="622" spans="1:7" ht="15.75" customHeight="1">
      <c r="A622" s="128"/>
      <c r="B622" s="128"/>
      <c r="C622" s="87"/>
      <c r="D622" s="2"/>
      <c r="E622" s="87"/>
      <c r="F622" s="208"/>
      <c r="G622" s="128"/>
    </row>
    <row r="623" spans="1:7" ht="15.75" customHeight="1">
      <c r="A623" s="128"/>
      <c r="B623" s="128"/>
      <c r="C623" s="87"/>
      <c r="D623" s="2"/>
      <c r="E623" s="87"/>
      <c r="F623" s="208"/>
      <c r="G623" s="128"/>
    </row>
    <row r="624" spans="1:7" ht="15.75" customHeight="1">
      <c r="A624" s="128"/>
      <c r="B624" s="128"/>
      <c r="C624" s="87"/>
      <c r="D624" s="2"/>
      <c r="E624" s="87"/>
      <c r="F624" s="208"/>
      <c r="G624" s="128"/>
    </row>
    <row r="625" spans="1:7" ht="15.75" customHeight="1">
      <c r="A625" s="128"/>
      <c r="B625" s="128"/>
      <c r="C625" s="87"/>
      <c r="D625" s="2"/>
      <c r="E625" s="87"/>
      <c r="F625" s="208"/>
      <c r="G625" s="128"/>
    </row>
    <row r="626" spans="1:7" ht="15.75" customHeight="1">
      <c r="A626" s="128"/>
      <c r="B626" s="128"/>
      <c r="C626" s="87"/>
      <c r="D626" s="2"/>
      <c r="E626" s="87"/>
      <c r="F626" s="208"/>
      <c r="G626" s="128"/>
    </row>
    <row r="627" spans="1:7" ht="15.75" customHeight="1">
      <c r="A627" s="128"/>
      <c r="B627" s="128"/>
      <c r="C627" s="87"/>
      <c r="D627" s="2"/>
      <c r="E627" s="87"/>
      <c r="F627" s="208"/>
      <c r="G627" s="128"/>
    </row>
    <row r="628" spans="1:7" ht="15.75" customHeight="1">
      <c r="A628" s="128"/>
      <c r="B628" s="128"/>
      <c r="C628" s="87"/>
      <c r="D628" s="2"/>
      <c r="E628" s="87"/>
      <c r="F628" s="208"/>
      <c r="G628" s="128"/>
    </row>
    <row r="629" spans="1:7" ht="15.75" customHeight="1">
      <c r="A629" s="128"/>
      <c r="B629" s="128"/>
      <c r="C629" s="87"/>
      <c r="D629" s="2"/>
      <c r="E629" s="87"/>
      <c r="F629" s="208"/>
      <c r="G629" s="128"/>
    </row>
    <row r="630" spans="1:7" ht="15.75" customHeight="1">
      <c r="A630" s="128"/>
      <c r="B630" s="128"/>
      <c r="C630" s="87"/>
      <c r="D630" s="2"/>
      <c r="E630" s="87"/>
      <c r="F630" s="208"/>
      <c r="G630" s="128"/>
    </row>
    <row r="631" spans="1:7" ht="15.75" customHeight="1">
      <c r="A631" s="128"/>
      <c r="B631" s="128"/>
      <c r="C631" s="87"/>
      <c r="D631" s="2"/>
      <c r="E631" s="87"/>
      <c r="F631" s="208"/>
      <c r="G631" s="128"/>
    </row>
    <row r="632" spans="1:7" ht="15.75" customHeight="1">
      <c r="A632" s="128"/>
      <c r="B632" s="128"/>
      <c r="C632" s="87"/>
      <c r="D632" s="2"/>
      <c r="E632" s="87"/>
      <c r="F632" s="208"/>
      <c r="G632" s="128"/>
    </row>
    <row r="633" spans="1:7" ht="15.75" customHeight="1">
      <c r="A633" s="128"/>
      <c r="B633" s="128"/>
      <c r="C633" s="87"/>
      <c r="D633" s="2"/>
      <c r="E633" s="87"/>
      <c r="F633" s="208"/>
      <c r="G633" s="128"/>
    </row>
    <row r="634" spans="1:7" ht="15.75" customHeight="1">
      <c r="A634" s="128"/>
      <c r="B634" s="128"/>
      <c r="C634" s="87"/>
      <c r="D634" s="2"/>
      <c r="E634" s="87"/>
      <c r="F634" s="208"/>
      <c r="G634" s="128"/>
    </row>
    <row r="635" spans="1:7" ht="15.75" customHeight="1">
      <c r="A635" s="128"/>
      <c r="B635" s="128"/>
      <c r="C635" s="87"/>
      <c r="D635" s="2"/>
      <c r="E635" s="87"/>
      <c r="F635" s="208"/>
      <c r="G635" s="128"/>
    </row>
    <row r="636" spans="1:7" ht="15.75" customHeight="1">
      <c r="A636" s="128"/>
      <c r="B636" s="128"/>
      <c r="C636" s="87"/>
      <c r="D636" s="2"/>
      <c r="E636" s="87"/>
      <c r="F636" s="208"/>
      <c r="G636" s="128"/>
    </row>
    <row r="637" spans="1:7" ht="15.75" customHeight="1">
      <c r="A637" s="128"/>
      <c r="B637" s="128"/>
      <c r="C637" s="87"/>
      <c r="D637" s="2"/>
      <c r="E637" s="87"/>
      <c r="F637" s="208"/>
      <c r="G637" s="128"/>
    </row>
    <row r="638" spans="1:7" ht="15.75" customHeight="1">
      <c r="A638" s="128"/>
      <c r="B638" s="128"/>
      <c r="C638" s="87"/>
      <c r="D638" s="2"/>
      <c r="E638" s="87"/>
      <c r="F638" s="208"/>
      <c r="G638" s="128"/>
    </row>
    <row r="639" spans="1:7" ht="15.75" customHeight="1">
      <c r="A639" s="128"/>
      <c r="B639" s="128"/>
      <c r="C639" s="87"/>
      <c r="D639" s="2"/>
      <c r="E639" s="87"/>
      <c r="F639" s="208"/>
      <c r="G639" s="128"/>
    </row>
    <row r="640" spans="1:7" ht="15.75" customHeight="1">
      <c r="A640" s="128"/>
      <c r="B640" s="128"/>
      <c r="C640" s="87"/>
      <c r="D640" s="2"/>
      <c r="E640" s="87"/>
      <c r="F640" s="208"/>
      <c r="G640" s="128"/>
    </row>
    <row r="641" spans="1:7" ht="15.75" customHeight="1">
      <c r="A641" s="128"/>
      <c r="B641" s="128"/>
      <c r="C641" s="87"/>
      <c r="D641" s="2"/>
      <c r="E641" s="87"/>
      <c r="F641" s="208"/>
      <c r="G641" s="128"/>
    </row>
    <row r="642" spans="1:7" ht="15.75" customHeight="1">
      <c r="A642" s="128"/>
      <c r="B642" s="128"/>
      <c r="C642" s="87"/>
      <c r="D642" s="2"/>
      <c r="E642" s="87"/>
      <c r="F642" s="208"/>
      <c r="G642" s="128"/>
    </row>
    <row r="643" spans="1:7" ht="15.75" customHeight="1">
      <c r="A643" s="128"/>
      <c r="B643" s="128"/>
      <c r="C643" s="87"/>
      <c r="D643" s="2"/>
      <c r="E643" s="87"/>
      <c r="F643" s="208"/>
      <c r="G643" s="128"/>
    </row>
    <row r="644" spans="1:7" ht="15.75" customHeight="1">
      <c r="A644" s="128"/>
      <c r="B644" s="128"/>
      <c r="C644" s="87"/>
      <c r="D644" s="2"/>
      <c r="E644" s="87"/>
      <c r="F644" s="208"/>
      <c r="G644" s="128"/>
    </row>
    <row r="645" spans="1:7" ht="15.75" customHeight="1">
      <c r="A645" s="128"/>
      <c r="B645" s="128"/>
      <c r="C645" s="87"/>
      <c r="D645" s="2"/>
      <c r="E645" s="87"/>
      <c r="F645" s="208"/>
      <c r="G645" s="128"/>
    </row>
    <row r="646" spans="1:7" ht="15.75" customHeight="1">
      <c r="A646" s="128"/>
      <c r="B646" s="128"/>
      <c r="C646" s="87"/>
      <c r="D646" s="2"/>
      <c r="E646" s="87"/>
      <c r="F646" s="208"/>
      <c r="G646" s="128"/>
    </row>
    <row r="647" spans="1:7" ht="15.75" customHeight="1">
      <c r="A647" s="128"/>
      <c r="B647" s="128"/>
      <c r="C647" s="87"/>
      <c r="D647" s="2"/>
      <c r="E647" s="87"/>
      <c r="F647" s="208"/>
      <c r="G647" s="128"/>
    </row>
    <row r="648" spans="1:7" ht="15.75" customHeight="1">
      <c r="A648" s="128"/>
      <c r="B648" s="128"/>
      <c r="C648" s="87"/>
      <c r="D648" s="2"/>
      <c r="E648" s="87"/>
      <c r="F648" s="208"/>
      <c r="G648" s="128"/>
    </row>
    <row r="649" spans="1:7" ht="15.75" customHeight="1">
      <c r="A649" s="128"/>
      <c r="B649" s="128"/>
      <c r="C649" s="87"/>
      <c r="D649" s="2"/>
      <c r="E649" s="87"/>
      <c r="F649" s="208"/>
      <c r="G649" s="128"/>
    </row>
    <row r="650" spans="1:7" ht="15.75" customHeight="1">
      <c r="A650" s="128"/>
      <c r="B650" s="128"/>
      <c r="C650" s="87"/>
      <c r="D650" s="2"/>
      <c r="E650" s="87"/>
      <c r="F650" s="208"/>
      <c r="G650" s="128"/>
    </row>
    <row r="651" spans="1:7" ht="15.75" customHeight="1">
      <c r="A651" s="128"/>
      <c r="B651" s="128"/>
      <c r="C651" s="87"/>
      <c r="D651" s="2"/>
      <c r="E651" s="87"/>
      <c r="F651" s="208"/>
      <c r="G651" s="128"/>
    </row>
    <row r="652" spans="1:7" ht="15.75" customHeight="1">
      <c r="A652" s="128"/>
      <c r="B652" s="128"/>
      <c r="C652" s="87"/>
      <c r="D652" s="2"/>
      <c r="E652" s="87"/>
      <c r="F652" s="208"/>
      <c r="G652" s="128"/>
    </row>
    <row r="653" spans="1:7" ht="15.75" customHeight="1">
      <c r="A653" s="128"/>
      <c r="B653" s="128"/>
      <c r="C653" s="87"/>
      <c r="D653" s="2"/>
      <c r="E653" s="87"/>
      <c r="F653" s="208"/>
      <c r="G653" s="128"/>
    </row>
    <row r="654" spans="1:7" ht="15.75" customHeight="1">
      <c r="A654" s="128"/>
      <c r="B654" s="128"/>
      <c r="C654" s="87"/>
      <c r="D654" s="2"/>
      <c r="E654" s="87"/>
      <c r="F654" s="208"/>
      <c r="G654" s="128"/>
    </row>
    <row r="655" spans="1:7" ht="15.75" customHeight="1">
      <c r="A655" s="128"/>
      <c r="B655" s="128"/>
      <c r="C655" s="87"/>
      <c r="D655" s="2"/>
      <c r="E655" s="87"/>
      <c r="F655" s="208"/>
      <c r="G655" s="128"/>
    </row>
    <row r="656" spans="1:7" ht="15.75" customHeight="1">
      <c r="A656" s="128"/>
      <c r="B656" s="128"/>
      <c r="C656" s="87"/>
      <c r="D656" s="2"/>
      <c r="E656" s="87"/>
      <c r="F656" s="208"/>
      <c r="G656" s="128"/>
    </row>
    <row r="657" spans="1:7" ht="15.75" customHeight="1">
      <c r="A657" s="128"/>
      <c r="B657" s="128"/>
      <c r="C657" s="87"/>
      <c r="D657" s="2"/>
      <c r="E657" s="87"/>
      <c r="F657" s="208"/>
      <c r="G657" s="128"/>
    </row>
    <row r="658" spans="1:7" ht="15.75" customHeight="1">
      <c r="A658" s="128"/>
      <c r="B658" s="128"/>
      <c r="C658" s="87"/>
      <c r="D658" s="2"/>
      <c r="E658" s="87"/>
      <c r="F658" s="208"/>
      <c r="G658" s="128"/>
    </row>
    <row r="659" spans="1:7" ht="15.75" customHeight="1">
      <c r="A659" s="128"/>
      <c r="B659" s="128"/>
      <c r="C659" s="87"/>
      <c r="D659" s="2"/>
      <c r="E659" s="87"/>
      <c r="F659" s="208"/>
      <c r="G659" s="128"/>
    </row>
    <row r="660" spans="1:7" ht="15.75" customHeight="1">
      <c r="A660" s="128"/>
      <c r="B660" s="128"/>
      <c r="C660" s="87"/>
      <c r="D660" s="2"/>
      <c r="E660" s="87"/>
      <c r="F660" s="208"/>
      <c r="G660" s="128"/>
    </row>
    <row r="661" spans="1:7" ht="15.75" customHeight="1">
      <c r="A661" s="128"/>
      <c r="B661" s="128"/>
      <c r="C661" s="87"/>
      <c r="D661" s="2"/>
      <c r="E661" s="87"/>
      <c r="F661" s="208"/>
      <c r="G661" s="128"/>
    </row>
    <row r="662" spans="1:7" ht="15.75" customHeight="1">
      <c r="A662" s="128"/>
      <c r="B662" s="128"/>
      <c r="C662" s="87"/>
      <c r="D662" s="2"/>
      <c r="E662" s="87"/>
      <c r="F662" s="208"/>
      <c r="G662" s="128"/>
    </row>
    <row r="663" spans="1:7" ht="15.75" customHeight="1">
      <c r="A663" s="128"/>
      <c r="B663" s="128"/>
      <c r="C663" s="87"/>
      <c r="D663" s="2"/>
      <c r="E663" s="87"/>
      <c r="F663" s="208"/>
      <c r="G663" s="128"/>
    </row>
    <row r="664" spans="1:7" ht="15.75" customHeight="1">
      <c r="A664" s="128"/>
      <c r="B664" s="128"/>
      <c r="C664" s="87"/>
      <c r="D664" s="2"/>
      <c r="E664" s="87"/>
      <c r="F664" s="208"/>
      <c r="G664" s="128"/>
    </row>
    <row r="665" spans="1:7" ht="15.75" customHeight="1">
      <c r="A665" s="128"/>
      <c r="B665" s="128"/>
      <c r="C665" s="87"/>
      <c r="D665" s="2"/>
      <c r="E665" s="87"/>
      <c r="F665" s="208"/>
      <c r="G665" s="128"/>
    </row>
    <row r="666" spans="1:7" ht="15.75" customHeight="1">
      <c r="A666" s="128"/>
      <c r="B666" s="128"/>
      <c r="C666" s="87"/>
      <c r="D666" s="2"/>
      <c r="E666" s="87"/>
      <c r="F666" s="208"/>
      <c r="G666" s="128"/>
    </row>
    <row r="667" spans="1:7" ht="15.75" customHeight="1">
      <c r="A667" s="128"/>
      <c r="B667" s="128"/>
      <c r="C667" s="87"/>
      <c r="D667" s="2"/>
      <c r="E667" s="87"/>
      <c r="F667" s="208"/>
      <c r="G667" s="128"/>
    </row>
    <row r="668" spans="1:7" ht="15.75" customHeight="1">
      <c r="A668" s="128"/>
      <c r="B668" s="128"/>
      <c r="C668" s="87"/>
      <c r="D668" s="2"/>
      <c r="E668" s="87"/>
      <c r="F668" s="208"/>
      <c r="G668" s="128"/>
    </row>
    <row r="669" spans="1:7" ht="15.75" customHeight="1">
      <c r="A669" s="128"/>
      <c r="B669" s="128"/>
      <c r="C669" s="87"/>
      <c r="D669" s="2"/>
      <c r="E669" s="87"/>
      <c r="F669" s="208"/>
      <c r="G669" s="128"/>
    </row>
    <row r="670" spans="1:7" ht="15.75" customHeight="1">
      <c r="A670" s="128"/>
      <c r="B670" s="128"/>
      <c r="C670" s="87"/>
      <c r="D670" s="2"/>
      <c r="E670" s="87"/>
      <c r="F670" s="208"/>
      <c r="G670" s="128"/>
    </row>
    <row r="671" spans="1:7" ht="15.75" customHeight="1">
      <c r="A671" s="128"/>
      <c r="B671" s="128"/>
      <c r="C671" s="87"/>
      <c r="D671" s="2"/>
      <c r="E671" s="87"/>
      <c r="F671" s="208"/>
      <c r="G671" s="128"/>
    </row>
    <row r="672" spans="1:7" ht="15.75" customHeight="1">
      <c r="A672" s="128"/>
      <c r="B672" s="128"/>
      <c r="C672" s="87"/>
      <c r="D672" s="2"/>
      <c r="E672" s="87"/>
      <c r="F672" s="208"/>
      <c r="G672" s="128"/>
    </row>
    <row r="673" spans="1:7" ht="15.75" customHeight="1">
      <c r="A673" s="128"/>
      <c r="B673" s="128"/>
      <c r="C673" s="87"/>
      <c r="D673" s="2"/>
      <c r="E673" s="87"/>
      <c r="F673" s="208"/>
      <c r="G673" s="128"/>
    </row>
    <row r="674" spans="1:7" ht="15.75" customHeight="1">
      <c r="A674" s="128"/>
      <c r="B674" s="128"/>
      <c r="C674" s="87"/>
      <c r="D674" s="2"/>
      <c r="E674" s="87"/>
      <c r="F674" s="208"/>
      <c r="G674" s="128"/>
    </row>
    <row r="675" spans="1:7" ht="15.75" customHeight="1">
      <c r="A675" s="128"/>
      <c r="B675" s="128"/>
      <c r="C675" s="87"/>
      <c r="D675" s="2"/>
      <c r="E675" s="87"/>
      <c r="F675" s="208"/>
      <c r="G675" s="128"/>
    </row>
    <row r="676" spans="1:7" ht="15.75" customHeight="1">
      <c r="A676" s="128"/>
      <c r="B676" s="128"/>
      <c r="C676" s="87"/>
      <c r="D676" s="2"/>
      <c r="E676" s="87"/>
      <c r="F676" s="208"/>
      <c r="G676" s="128"/>
    </row>
    <row r="677" spans="1:7" ht="15.75" customHeight="1">
      <c r="A677" s="128"/>
      <c r="B677" s="128"/>
      <c r="C677" s="87"/>
      <c r="D677" s="2"/>
      <c r="E677" s="87"/>
      <c r="F677" s="208"/>
      <c r="G677" s="128"/>
    </row>
    <row r="678" spans="1:7" ht="15.75" customHeight="1">
      <c r="A678" s="128"/>
      <c r="B678" s="128"/>
      <c r="C678" s="87"/>
      <c r="D678" s="2"/>
      <c r="E678" s="87"/>
      <c r="F678" s="208"/>
      <c r="G678" s="128"/>
    </row>
    <row r="679" spans="1:7" ht="15.75" customHeight="1">
      <c r="A679" s="128"/>
      <c r="B679" s="128"/>
      <c r="C679" s="87"/>
      <c r="D679" s="2"/>
      <c r="E679" s="87"/>
      <c r="F679" s="208"/>
      <c r="G679" s="128"/>
    </row>
    <row r="680" spans="1:7" ht="15.75" customHeight="1">
      <c r="A680" s="128"/>
      <c r="B680" s="128"/>
      <c r="C680" s="87"/>
      <c r="D680" s="2"/>
      <c r="E680" s="87"/>
      <c r="F680" s="208"/>
      <c r="G680" s="128"/>
    </row>
    <row r="681" spans="1:7" ht="15.75" customHeight="1">
      <c r="A681" s="128"/>
      <c r="B681" s="128"/>
      <c r="C681" s="87"/>
      <c r="D681" s="2"/>
      <c r="E681" s="87"/>
      <c r="F681" s="208"/>
      <c r="G681" s="128"/>
    </row>
    <row r="682" spans="1:7" ht="15.75" customHeight="1">
      <c r="A682" s="128"/>
      <c r="B682" s="128"/>
      <c r="C682" s="87"/>
      <c r="D682" s="2"/>
      <c r="E682" s="87"/>
      <c r="F682" s="208"/>
      <c r="G682" s="128"/>
    </row>
    <row r="683" spans="1:7" ht="15.75" customHeight="1">
      <c r="A683" s="128"/>
      <c r="B683" s="128"/>
      <c r="C683" s="87"/>
      <c r="D683" s="2"/>
      <c r="E683" s="87"/>
      <c r="F683" s="208"/>
      <c r="G683" s="128"/>
    </row>
    <row r="684" spans="1:7" ht="15.75" customHeight="1">
      <c r="A684" s="128"/>
      <c r="B684" s="128"/>
      <c r="C684" s="87"/>
      <c r="D684" s="2"/>
      <c r="E684" s="87"/>
      <c r="F684" s="208"/>
      <c r="G684" s="128"/>
    </row>
    <row r="685" spans="1:7" ht="15.75" customHeight="1">
      <c r="A685" s="128"/>
      <c r="B685" s="128"/>
      <c r="C685" s="87"/>
      <c r="D685" s="2"/>
      <c r="E685" s="87"/>
      <c r="F685" s="208"/>
      <c r="G685" s="128"/>
    </row>
    <row r="686" spans="1:7" ht="15.75" customHeight="1">
      <c r="A686" s="128"/>
      <c r="B686" s="128"/>
      <c r="C686" s="87"/>
      <c r="D686" s="2"/>
      <c r="E686" s="87"/>
      <c r="F686" s="208"/>
      <c r="G686" s="128"/>
    </row>
    <row r="687" spans="1:7" ht="15.75" customHeight="1">
      <c r="A687" s="128"/>
      <c r="B687" s="128"/>
      <c r="C687" s="87"/>
      <c r="D687" s="2"/>
      <c r="E687" s="87"/>
      <c r="F687" s="208"/>
      <c r="G687" s="128"/>
    </row>
    <row r="688" spans="1:7" ht="15.75" customHeight="1">
      <c r="A688" s="128"/>
      <c r="B688" s="128"/>
      <c r="C688" s="87"/>
      <c r="D688" s="2"/>
      <c r="E688" s="87"/>
      <c r="F688" s="208"/>
      <c r="G688" s="128"/>
    </row>
    <row r="689" spans="1:7" ht="15.75" customHeight="1">
      <c r="A689" s="128"/>
      <c r="B689" s="128"/>
      <c r="C689" s="87"/>
      <c r="D689" s="2"/>
      <c r="E689" s="87"/>
      <c r="F689" s="208"/>
      <c r="G689" s="128"/>
    </row>
    <row r="690" spans="1:7" ht="15.75" customHeight="1">
      <c r="A690" s="128"/>
      <c r="B690" s="128"/>
      <c r="C690" s="87"/>
      <c r="D690" s="2"/>
      <c r="E690" s="87"/>
      <c r="F690" s="208"/>
      <c r="G690" s="128"/>
    </row>
    <row r="691" spans="1:7" ht="15.75" customHeight="1">
      <c r="A691" s="128"/>
      <c r="B691" s="128"/>
      <c r="C691" s="87"/>
      <c r="D691" s="2"/>
      <c r="E691" s="87"/>
      <c r="F691" s="208"/>
      <c r="G691" s="128"/>
    </row>
    <row r="692" spans="1:7" ht="15.75" customHeight="1">
      <c r="A692" s="128"/>
      <c r="B692" s="128"/>
      <c r="C692" s="87"/>
      <c r="D692" s="2"/>
      <c r="E692" s="87"/>
      <c r="F692" s="208"/>
      <c r="G692" s="128"/>
    </row>
    <row r="693" spans="1:7" ht="15.75" customHeight="1">
      <c r="A693" s="128"/>
      <c r="B693" s="128"/>
      <c r="C693" s="87"/>
      <c r="D693" s="2"/>
      <c r="E693" s="87"/>
      <c r="F693" s="208"/>
      <c r="G693" s="128"/>
    </row>
    <row r="694" spans="1:7" ht="15.75" customHeight="1">
      <c r="A694" s="128"/>
      <c r="B694" s="128"/>
      <c r="C694" s="87"/>
      <c r="D694" s="2"/>
      <c r="E694" s="87"/>
      <c r="F694" s="208"/>
      <c r="G694" s="128"/>
    </row>
    <row r="695" spans="1:7" ht="15.75" customHeight="1">
      <c r="A695" s="128"/>
      <c r="B695" s="128"/>
      <c r="C695" s="87"/>
      <c r="D695" s="2"/>
      <c r="E695" s="87"/>
      <c r="F695" s="208"/>
      <c r="G695" s="128"/>
    </row>
    <row r="696" spans="1:7" ht="15.75" customHeight="1">
      <c r="A696" s="128"/>
      <c r="B696" s="128"/>
      <c r="C696" s="87"/>
      <c r="D696" s="2"/>
      <c r="E696" s="87"/>
      <c r="F696" s="208"/>
      <c r="G696" s="128"/>
    </row>
    <row r="697" spans="1:7" ht="15.75" customHeight="1">
      <c r="A697" s="128"/>
      <c r="B697" s="128"/>
      <c r="C697" s="87"/>
      <c r="D697" s="2"/>
      <c r="E697" s="87"/>
      <c r="F697" s="208"/>
      <c r="G697" s="128"/>
    </row>
    <row r="698" spans="1:7" ht="15.75" customHeight="1">
      <c r="A698" s="128"/>
      <c r="B698" s="128"/>
      <c r="C698" s="87"/>
      <c r="D698" s="2"/>
      <c r="E698" s="87"/>
      <c r="F698" s="208"/>
      <c r="G698" s="128"/>
    </row>
    <row r="699" spans="1:7" ht="15.75" customHeight="1">
      <c r="A699" s="128"/>
      <c r="B699" s="128"/>
      <c r="C699" s="87"/>
      <c r="D699" s="2"/>
      <c r="E699" s="87"/>
      <c r="F699" s="208"/>
      <c r="G699" s="128"/>
    </row>
    <row r="700" spans="1:7" ht="15.75" customHeight="1">
      <c r="A700" s="128"/>
      <c r="B700" s="128"/>
      <c r="C700" s="87"/>
      <c r="D700" s="2"/>
      <c r="E700" s="87"/>
      <c r="F700" s="208"/>
      <c r="G700" s="128"/>
    </row>
    <row r="701" spans="1:7" ht="15.75" customHeight="1">
      <c r="A701" s="128"/>
      <c r="B701" s="128"/>
      <c r="C701" s="87"/>
      <c r="D701" s="2"/>
      <c r="E701" s="87"/>
      <c r="F701" s="208"/>
      <c r="G701" s="128"/>
    </row>
    <row r="702" spans="1:7" ht="15.75" customHeight="1">
      <c r="A702" s="128"/>
      <c r="B702" s="128"/>
      <c r="C702" s="87"/>
      <c r="D702" s="2"/>
      <c r="E702" s="87"/>
      <c r="F702" s="208"/>
      <c r="G702" s="128"/>
    </row>
    <row r="703" spans="1:7" ht="15.75" customHeight="1">
      <c r="A703" s="128"/>
      <c r="B703" s="128"/>
      <c r="C703" s="87"/>
      <c r="D703" s="2"/>
      <c r="E703" s="87"/>
      <c r="F703" s="208"/>
      <c r="G703" s="128"/>
    </row>
    <row r="704" spans="1:7" ht="15.75" customHeight="1">
      <c r="A704" s="128"/>
      <c r="B704" s="128"/>
      <c r="C704" s="87"/>
      <c r="D704" s="2"/>
      <c r="E704" s="87"/>
      <c r="F704" s="208"/>
      <c r="G704" s="128"/>
    </row>
    <row r="705" spans="1:7" ht="15.75" customHeight="1">
      <c r="A705" s="128"/>
      <c r="B705" s="128"/>
      <c r="C705" s="87"/>
      <c r="D705" s="2"/>
      <c r="E705" s="87"/>
      <c r="F705" s="208"/>
      <c r="G705" s="128"/>
    </row>
    <row r="706" spans="1:7" ht="15.75" customHeight="1">
      <c r="A706" s="128"/>
      <c r="B706" s="128"/>
      <c r="C706" s="87"/>
      <c r="D706" s="2"/>
      <c r="E706" s="87"/>
      <c r="F706" s="208"/>
      <c r="G706" s="128"/>
    </row>
    <row r="707" spans="1:7" ht="15.75" customHeight="1">
      <c r="A707" s="128"/>
      <c r="B707" s="128"/>
      <c r="C707" s="87"/>
      <c r="D707" s="2"/>
      <c r="E707" s="87"/>
      <c r="F707" s="208"/>
      <c r="G707" s="128"/>
    </row>
    <row r="708" spans="1:7" ht="15.75" customHeight="1">
      <c r="A708" s="128"/>
      <c r="B708" s="128"/>
      <c r="C708" s="87"/>
      <c r="D708" s="2"/>
      <c r="E708" s="87"/>
      <c r="F708" s="208"/>
      <c r="G708" s="128"/>
    </row>
    <row r="709" spans="1:7" ht="15.75" customHeight="1">
      <c r="A709" s="128"/>
      <c r="B709" s="128"/>
      <c r="C709" s="87"/>
      <c r="D709" s="2"/>
      <c r="E709" s="87"/>
      <c r="F709" s="208"/>
      <c r="G709" s="128"/>
    </row>
    <row r="710" spans="1:7" ht="15.75" customHeight="1">
      <c r="A710" s="128"/>
      <c r="B710" s="128"/>
      <c r="C710" s="87"/>
      <c r="D710" s="2"/>
      <c r="E710" s="87"/>
      <c r="F710" s="208"/>
      <c r="G710" s="128"/>
    </row>
    <row r="711" spans="1:7" ht="15.75" customHeight="1">
      <c r="A711" s="128"/>
      <c r="B711" s="128"/>
      <c r="C711" s="87"/>
      <c r="D711" s="2"/>
      <c r="E711" s="87"/>
      <c r="F711" s="208"/>
      <c r="G711" s="128"/>
    </row>
    <row r="712" spans="1:7" ht="15.75" customHeight="1">
      <c r="A712" s="128"/>
      <c r="B712" s="128"/>
      <c r="C712" s="87"/>
      <c r="D712" s="2"/>
      <c r="E712" s="87"/>
      <c r="F712" s="208"/>
      <c r="G712" s="128"/>
    </row>
    <row r="713" spans="1:7" ht="15.75" customHeight="1">
      <c r="A713" s="128"/>
      <c r="B713" s="128"/>
      <c r="C713" s="87"/>
      <c r="D713" s="2"/>
      <c r="E713" s="87"/>
      <c r="F713" s="208"/>
      <c r="G713" s="128"/>
    </row>
    <row r="714" spans="1:7" ht="15.75" customHeight="1">
      <c r="A714" s="128"/>
      <c r="B714" s="128"/>
      <c r="C714" s="87"/>
      <c r="D714" s="2"/>
      <c r="E714" s="87"/>
      <c r="F714" s="208"/>
      <c r="G714" s="128"/>
    </row>
    <row r="715" spans="1:7" ht="15.75" customHeight="1">
      <c r="A715" s="128"/>
      <c r="B715" s="128"/>
      <c r="C715" s="87"/>
      <c r="D715" s="2"/>
      <c r="E715" s="87"/>
      <c r="F715" s="208"/>
      <c r="G715" s="128"/>
    </row>
    <row r="716" spans="1:7" ht="15.75" customHeight="1">
      <c r="A716" s="128"/>
      <c r="B716" s="128"/>
      <c r="C716" s="87"/>
      <c r="D716" s="2"/>
      <c r="E716" s="87"/>
      <c r="F716" s="208"/>
      <c r="G716" s="128"/>
    </row>
    <row r="717" spans="1:7" ht="15.75" customHeight="1">
      <c r="A717" s="128"/>
      <c r="B717" s="128"/>
      <c r="C717" s="87"/>
      <c r="D717" s="2"/>
      <c r="E717" s="87"/>
      <c r="F717" s="208"/>
      <c r="G717" s="128"/>
    </row>
    <row r="718" spans="1:7" ht="15.75" customHeight="1">
      <c r="A718" s="128"/>
      <c r="B718" s="128"/>
      <c r="C718" s="87"/>
      <c r="D718" s="2"/>
      <c r="E718" s="87"/>
      <c r="F718" s="208"/>
      <c r="G718" s="128"/>
    </row>
    <row r="719" spans="1:7" ht="15.75" customHeight="1">
      <c r="A719" s="128"/>
      <c r="B719" s="128"/>
      <c r="C719" s="87"/>
      <c r="D719" s="2"/>
      <c r="E719" s="87"/>
      <c r="F719" s="208"/>
      <c r="G719" s="128"/>
    </row>
    <row r="720" spans="1:7" ht="15.75" customHeight="1">
      <c r="A720" s="128"/>
      <c r="B720" s="128"/>
      <c r="C720" s="87"/>
      <c r="D720" s="2"/>
      <c r="E720" s="87"/>
      <c r="F720" s="208"/>
      <c r="G720" s="128"/>
    </row>
    <row r="721" spans="1:7" ht="15.75" customHeight="1">
      <c r="A721" s="128"/>
      <c r="B721" s="128"/>
      <c r="C721" s="87"/>
      <c r="D721" s="2"/>
      <c r="E721" s="87"/>
      <c r="F721" s="208"/>
      <c r="G721" s="128"/>
    </row>
    <row r="722" spans="1:7" ht="15.75" customHeight="1">
      <c r="A722" s="128"/>
      <c r="B722" s="128"/>
      <c r="C722" s="87"/>
      <c r="D722" s="2"/>
      <c r="E722" s="87"/>
      <c r="F722" s="208"/>
      <c r="G722" s="128"/>
    </row>
    <row r="723" spans="1:7" ht="15.75" customHeight="1">
      <c r="A723" s="128"/>
      <c r="B723" s="128"/>
      <c r="C723" s="87"/>
      <c r="D723" s="2"/>
      <c r="E723" s="87"/>
      <c r="F723" s="208"/>
      <c r="G723" s="128"/>
    </row>
    <row r="724" spans="1:7" ht="15.75" customHeight="1">
      <c r="A724" s="128"/>
      <c r="B724" s="128"/>
      <c r="C724" s="87"/>
      <c r="D724" s="2"/>
      <c r="E724" s="87"/>
      <c r="F724" s="208"/>
      <c r="G724" s="128"/>
    </row>
    <row r="725" spans="1:7" ht="15.75" customHeight="1">
      <c r="A725" s="128"/>
      <c r="B725" s="128"/>
      <c r="C725" s="87"/>
      <c r="D725" s="2"/>
      <c r="E725" s="87"/>
      <c r="F725" s="208"/>
      <c r="G725" s="128"/>
    </row>
    <row r="726" spans="1:7" ht="15.75" customHeight="1">
      <c r="A726" s="128"/>
      <c r="B726" s="128"/>
      <c r="C726" s="87"/>
      <c r="D726" s="2"/>
      <c r="E726" s="87"/>
      <c r="F726" s="208"/>
      <c r="G726" s="128"/>
    </row>
    <row r="727" spans="1:7" ht="15.75" customHeight="1">
      <c r="A727" s="128"/>
      <c r="B727" s="128"/>
      <c r="C727" s="87"/>
      <c r="D727" s="2"/>
      <c r="E727" s="87"/>
      <c r="F727" s="208"/>
      <c r="G727" s="128"/>
    </row>
    <row r="728" spans="1:7" ht="15.75" customHeight="1">
      <c r="A728" s="128"/>
      <c r="B728" s="128"/>
      <c r="C728" s="87"/>
      <c r="D728" s="2"/>
      <c r="E728" s="87"/>
      <c r="F728" s="208"/>
      <c r="G728" s="128"/>
    </row>
    <row r="729" spans="1:7" ht="15.75" customHeight="1">
      <c r="A729" s="128"/>
      <c r="B729" s="128"/>
      <c r="C729" s="87"/>
      <c r="D729" s="2"/>
      <c r="E729" s="87"/>
      <c r="F729" s="208"/>
      <c r="G729" s="128"/>
    </row>
    <row r="730" spans="1:7" ht="15.75" customHeight="1">
      <c r="A730" s="128"/>
      <c r="B730" s="128"/>
      <c r="C730" s="87"/>
      <c r="D730" s="2"/>
      <c r="E730" s="87"/>
      <c r="F730" s="208"/>
      <c r="G730" s="128"/>
    </row>
    <row r="731" spans="1:7" ht="15.75" customHeight="1">
      <c r="A731" s="128"/>
      <c r="B731" s="128"/>
      <c r="C731" s="87"/>
      <c r="D731" s="2"/>
      <c r="E731" s="87"/>
      <c r="F731" s="208"/>
      <c r="G731" s="128"/>
    </row>
    <row r="732" spans="1:7" ht="15.75" customHeight="1">
      <c r="A732" s="128"/>
      <c r="B732" s="128"/>
      <c r="C732" s="87"/>
      <c r="D732" s="2"/>
      <c r="E732" s="87"/>
      <c r="F732" s="208"/>
      <c r="G732" s="128"/>
    </row>
    <row r="733" spans="1:7" ht="15.75" customHeight="1">
      <c r="A733" s="128"/>
      <c r="B733" s="128"/>
      <c r="C733" s="87"/>
      <c r="D733" s="2"/>
      <c r="E733" s="87"/>
      <c r="F733" s="208"/>
      <c r="G733" s="128"/>
    </row>
    <row r="734" spans="1:7" ht="15.75" customHeight="1">
      <c r="A734" s="128"/>
      <c r="B734" s="128"/>
      <c r="C734" s="87"/>
      <c r="D734" s="2"/>
      <c r="E734" s="87"/>
      <c r="F734" s="208"/>
      <c r="G734" s="128"/>
    </row>
    <row r="735" spans="1:7" ht="15.75" customHeight="1">
      <c r="A735" s="128"/>
      <c r="B735" s="128"/>
      <c r="C735" s="87"/>
      <c r="D735" s="2"/>
      <c r="E735" s="87"/>
      <c r="F735" s="208"/>
      <c r="G735" s="128"/>
    </row>
    <row r="736" spans="1:7" ht="15.75" customHeight="1">
      <c r="A736" s="128"/>
      <c r="B736" s="128"/>
      <c r="C736" s="87"/>
      <c r="D736" s="2"/>
      <c r="E736" s="87"/>
      <c r="F736" s="208"/>
      <c r="G736" s="128"/>
    </row>
    <row r="737" spans="1:7" ht="15.75" customHeight="1">
      <c r="A737" s="128"/>
      <c r="B737" s="128"/>
      <c r="C737" s="87"/>
      <c r="D737" s="2"/>
      <c r="E737" s="87"/>
      <c r="F737" s="208"/>
      <c r="G737" s="128"/>
    </row>
    <row r="738" spans="1:7" ht="15.75" customHeight="1">
      <c r="A738" s="128"/>
      <c r="B738" s="128"/>
      <c r="C738" s="87"/>
      <c r="D738" s="2"/>
      <c r="E738" s="87"/>
      <c r="F738" s="208"/>
      <c r="G738" s="128"/>
    </row>
    <row r="739" spans="1:7" ht="15.75" customHeight="1">
      <c r="A739" s="128"/>
      <c r="B739" s="128"/>
      <c r="C739" s="87"/>
      <c r="D739" s="2"/>
      <c r="E739" s="87"/>
      <c r="F739" s="208"/>
      <c r="G739" s="128"/>
    </row>
    <row r="740" spans="1:7" ht="15.75" customHeight="1">
      <c r="A740" s="128"/>
      <c r="B740" s="128"/>
      <c r="C740" s="87"/>
      <c r="D740" s="2"/>
      <c r="E740" s="87"/>
      <c r="F740" s="208"/>
      <c r="G740" s="128"/>
    </row>
    <row r="741" spans="1:7" ht="15.75" customHeight="1">
      <c r="A741" s="128"/>
      <c r="B741" s="128"/>
      <c r="C741" s="87"/>
      <c r="D741" s="2"/>
      <c r="E741" s="87"/>
      <c r="F741" s="208"/>
      <c r="G741" s="128"/>
    </row>
    <row r="742" spans="1:7" ht="15.75" customHeight="1">
      <c r="A742" s="128"/>
      <c r="B742" s="128"/>
      <c r="C742" s="87"/>
      <c r="D742" s="2"/>
      <c r="E742" s="87"/>
      <c r="F742" s="208"/>
      <c r="G742" s="128"/>
    </row>
    <row r="743" spans="1:7" ht="15.75" customHeight="1">
      <c r="A743" s="128"/>
      <c r="B743" s="128"/>
      <c r="C743" s="87"/>
      <c r="D743" s="2"/>
      <c r="E743" s="87"/>
      <c r="F743" s="208"/>
      <c r="G743" s="128"/>
    </row>
    <row r="744" spans="1:7" ht="15.75" customHeight="1">
      <c r="A744" s="128"/>
      <c r="B744" s="128"/>
      <c r="C744" s="87"/>
      <c r="D744" s="2"/>
      <c r="E744" s="87"/>
      <c r="F744" s="208"/>
      <c r="G744" s="128"/>
    </row>
    <row r="745" spans="1:7" ht="15.75" customHeight="1">
      <c r="A745" s="128"/>
      <c r="B745" s="128"/>
      <c r="C745" s="87"/>
      <c r="D745" s="2"/>
      <c r="E745" s="87"/>
      <c r="F745" s="208"/>
      <c r="G745" s="128"/>
    </row>
    <row r="746" spans="1:7" ht="15.75" customHeight="1">
      <c r="A746" s="128"/>
      <c r="B746" s="128"/>
      <c r="C746" s="87"/>
      <c r="D746" s="2"/>
      <c r="E746" s="87"/>
      <c r="F746" s="208"/>
      <c r="G746" s="128"/>
    </row>
    <row r="747" spans="1:7" ht="15.75" customHeight="1">
      <c r="A747" s="128"/>
      <c r="B747" s="128"/>
      <c r="C747" s="87"/>
      <c r="D747" s="2"/>
      <c r="E747" s="87"/>
      <c r="F747" s="208"/>
      <c r="G747" s="128"/>
    </row>
    <row r="748" spans="1:7" ht="15.75" customHeight="1">
      <c r="A748" s="128"/>
      <c r="B748" s="128"/>
      <c r="C748" s="87"/>
      <c r="D748" s="2"/>
      <c r="E748" s="87"/>
      <c r="F748" s="208"/>
      <c r="G748" s="128"/>
    </row>
    <row r="749" spans="1:7" ht="15.75" customHeight="1">
      <c r="A749" s="128"/>
      <c r="B749" s="128"/>
      <c r="C749" s="87"/>
      <c r="D749" s="2"/>
      <c r="E749" s="87"/>
      <c r="F749" s="208"/>
      <c r="G749" s="128"/>
    </row>
    <row r="750" spans="1:7" ht="15.75" customHeight="1">
      <c r="A750" s="128"/>
      <c r="B750" s="128"/>
      <c r="C750" s="87"/>
      <c r="D750" s="2"/>
      <c r="E750" s="87"/>
      <c r="F750" s="208"/>
      <c r="G750" s="128"/>
    </row>
    <row r="751" spans="1:7" ht="15.75" customHeight="1">
      <c r="A751" s="128"/>
      <c r="B751" s="128"/>
      <c r="C751" s="87"/>
      <c r="D751" s="2"/>
      <c r="E751" s="87"/>
      <c r="F751" s="208"/>
      <c r="G751" s="128"/>
    </row>
    <row r="752" spans="1:7" ht="15.75" customHeight="1">
      <c r="A752" s="128"/>
      <c r="B752" s="128"/>
      <c r="C752" s="87"/>
      <c r="D752" s="2"/>
      <c r="E752" s="87"/>
      <c r="F752" s="208"/>
      <c r="G752" s="128"/>
    </row>
    <row r="753" spans="1:7" ht="15.75" customHeight="1">
      <c r="A753" s="128"/>
      <c r="B753" s="128"/>
      <c r="C753" s="87"/>
      <c r="D753" s="2"/>
      <c r="E753" s="87"/>
      <c r="F753" s="208"/>
      <c r="G753" s="128"/>
    </row>
    <row r="754" spans="1:7" ht="15.75" customHeight="1">
      <c r="A754" s="128"/>
      <c r="B754" s="128"/>
      <c r="C754" s="87"/>
      <c r="D754" s="2"/>
      <c r="E754" s="87"/>
      <c r="F754" s="208"/>
      <c r="G754" s="128"/>
    </row>
    <row r="755" spans="1:7" ht="15.75" customHeight="1">
      <c r="A755" s="128"/>
      <c r="B755" s="128"/>
      <c r="C755" s="87"/>
      <c r="D755" s="2"/>
      <c r="E755" s="87"/>
      <c r="F755" s="208"/>
      <c r="G755" s="128"/>
    </row>
    <row r="756" spans="1:7" ht="15.75" customHeight="1">
      <c r="A756" s="128"/>
      <c r="B756" s="128"/>
      <c r="C756" s="87"/>
      <c r="D756" s="2"/>
      <c r="E756" s="87"/>
      <c r="F756" s="208"/>
      <c r="G756" s="128"/>
    </row>
    <row r="757" spans="1:7" ht="15.75" customHeight="1">
      <c r="A757" s="128"/>
      <c r="B757" s="128"/>
      <c r="C757" s="87"/>
      <c r="D757" s="2"/>
      <c r="E757" s="87"/>
      <c r="F757" s="208"/>
      <c r="G757" s="128"/>
    </row>
    <row r="758" spans="1:7" ht="15.75" customHeight="1">
      <c r="A758" s="128"/>
      <c r="B758" s="128"/>
      <c r="C758" s="87"/>
      <c r="D758" s="2"/>
      <c r="E758" s="87"/>
      <c r="F758" s="208"/>
      <c r="G758" s="128"/>
    </row>
    <row r="759" spans="1:7" ht="15.75" customHeight="1">
      <c r="A759" s="128"/>
      <c r="B759" s="128"/>
      <c r="C759" s="87"/>
      <c r="D759" s="2"/>
      <c r="E759" s="87"/>
      <c r="F759" s="208"/>
      <c r="G759" s="128"/>
    </row>
    <row r="760" spans="1:7" ht="15.75" customHeight="1">
      <c r="A760" s="128"/>
      <c r="B760" s="128"/>
      <c r="C760" s="87"/>
      <c r="D760" s="2"/>
      <c r="E760" s="87"/>
      <c r="F760" s="208"/>
      <c r="G760" s="128"/>
    </row>
    <row r="761" spans="1:7" ht="15.75" customHeight="1">
      <c r="A761" s="128"/>
      <c r="B761" s="128"/>
      <c r="C761" s="87"/>
      <c r="D761" s="2"/>
      <c r="E761" s="87"/>
      <c r="F761" s="208"/>
      <c r="G761" s="128"/>
    </row>
    <row r="762" spans="1:7" ht="15.75" customHeight="1">
      <c r="A762" s="128"/>
      <c r="B762" s="128"/>
      <c r="C762" s="87"/>
      <c r="D762" s="2"/>
      <c r="E762" s="87"/>
      <c r="F762" s="208"/>
      <c r="G762" s="128"/>
    </row>
    <row r="763" spans="1:7" ht="15.75" customHeight="1">
      <c r="A763" s="128"/>
      <c r="B763" s="128"/>
      <c r="C763" s="87"/>
      <c r="D763" s="2"/>
      <c r="E763" s="87"/>
      <c r="F763" s="208"/>
      <c r="G763" s="128"/>
    </row>
    <row r="764" spans="1:7" ht="15.75" customHeight="1">
      <c r="A764" s="128"/>
      <c r="B764" s="128"/>
      <c r="C764" s="87"/>
      <c r="D764" s="2"/>
      <c r="E764" s="87"/>
      <c r="F764" s="208"/>
      <c r="G764" s="128"/>
    </row>
    <row r="765" spans="1:7" ht="15.75" customHeight="1">
      <c r="A765" s="128"/>
      <c r="B765" s="128"/>
      <c r="C765" s="87"/>
      <c r="D765" s="2"/>
      <c r="E765" s="87"/>
      <c r="F765" s="208"/>
      <c r="G765" s="128"/>
    </row>
    <row r="766" spans="1:7" ht="15.75" customHeight="1">
      <c r="A766" s="128"/>
      <c r="B766" s="128"/>
      <c r="C766" s="87"/>
      <c r="D766" s="2"/>
      <c r="E766" s="87"/>
      <c r="F766" s="208"/>
      <c r="G766" s="128"/>
    </row>
    <row r="767" spans="1:7" ht="15.75" customHeight="1">
      <c r="A767" s="128"/>
      <c r="B767" s="128"/>
      <c r="C767" s="87"/>
      <c r="D767" s="2"/>
      <c r="E767" s="87"/>
      <c r="F767" s="208"/>
      <c r="G767" s="128"/>
    </row>
    <row r="768" spans="1:7" ht="15.75" customHeight="1">
      <c r="A768" s="128"/>
      <c r="B768" s="128"/>
      <c r="C768" s="87"/>
      <c r="D768" s="2"/>
      <c r="E768" s="87"/>
      <c r="F768" s="208"/>
      <c r="G768" s="128"/>
    </row>
    <row r="769" spans="1:7" ht="15.75" customHeight="1">
      <c r="A769" s="128"/>
      <c r="B769" s="128"/>
      <c r="C769" s="87"/>
      <c r="D769" s="2"/>
      <c r="E769" s="87"/>
      <c r="F769" s="208"/>
      <c r="G769" s="128"/>
    </row>
    <row r="770" spans="1:7" ht="15.75" customHeight="1">
      <c r="A770" s="128"/>
      <c r="B770" s="128"/>
      <c r="C770" s="87"/>
      <c r="D770" s="2"/>
      <c r="E770" s="87"/>
      <c r="F770" s="208"/>
      <c r="G770" s="128"/>
    </row>
    <row r="771" spans="1:7" ht="15.75" customHeight="1">
      <c r="A771" s="128"/>
      <c r="B771" s="128"/>
      <c r="C771" s="87"/>
      <c r="D771" s="2"/>
      <c r="E771" s="87"/>
      <c r="F771" s="208"/>
      <c r="G771" s="128"/>
    </row>
    <row r="772" spans="1:7" ht="15.75" customHeight="1">
      <c r="A772" s="128"/>
      <c r="B772" s="128"/>
      <c r="C772" s="87"/>
      <c r="D772" s="2"/>
      <c r="E772" s="87"/>
      <c r="F772" s="208"/>
      <c r="G772" s="128"/>
    </row>
    <row r="773" spans="1:7" ht="15.75" customHeight="1">
      <c r="A773" s="128"/>
      <c r="B773" s="128"/>
      <c r="C773" s="87"/>
      <c r="D773" s="2"/>
      <c r="E773" s="87"/>
      <c r="F773" s="208"/>
      <c r="G773" s="128"/>
    </row>
    <row r="774" spans="1:7" ht="15.75" customHeight="1">
      <c r="A774" s="128"/>
      <c r="B774" s="128"/>
      <c r="C774" s="87"/>
      <c r="D774" s="2"/>
      <c r="E774" s="87"/>
      <c r="F774" s="208"/>
      <c r="G774" s="128"/>
    </row>
    <row r="775" spans="1:7" ht="15.75" customHeight="1">
      <c r="A775" s="128"/>
      <c r="B775" s="128"/>
      <c r="C775" s="87"/>
      <c r="D775" s="2"/>
      <c r="E775" s="87"/>
      <c r="F775" s="208"/>
      <c r="G775" s="128"/>
    </row>
    <row r="776" spans="1:7" ht="15.75" customHeight="1">
      <c r="A776" s="128"/>
      <c r="B776" s="128"/>
      <c r="C776" s="87"/>
      <c r="D776" s="2"/>
      <c r="E776" s="87"/>
      <c r="F776" s="208"/>
      <c r="G776" s="128"/>
    </row>
    <row r="777" spans="1:7" ht="15.75" customHeight="1">
      <c r="A777" s="128"/>
      <c r="B777" s="128"/>
      <c r="C777" s="87"/>
      <c r="D777" s="2"/>
      <c r="E777" s="87"/>
      <c r="F777" s="208"/>
      <c r="G777" s="128"/>
    </row>
    <row r="778" spans="1:7" ht="15.75" customHeight="1">
      <c r="A778" s="128"/>
      <c r="B778" s="128"/>
      <c r="C778" s="87"/>
      <c r="D778" s="2"/>
      <c r="E778" s="87"/>
      <c r="F778" s="208"/>
      <c r="G778" s="128"/>
    </row>
    <row r="779" spans="1:7" ht="15.75" customHeight="1">
      <c r="A779" s="128"/>
      <c r="B779" s="128"/>
      <c r="C779" s="87"/>
      <c r="D779" s="2"/>
      <c r="E779" s="87"/>
      <c r="F779" s="208"/>
      <c r="G779" s="128"/>
    </row>
    <row r="780" spans="1:7" ht="15.75" customHeight="1">
      <c r="A780" s="128"/>
      <c r="B780" s="128"/>
      <c r="C780" s="87"/>
      <c r="D780" s="2"/>
      <c r="E780" s="87"/>
      <c r="F780" s="208"/>
      <c r="G780" s="128"/>
    </row>
    <row r="781" spans="1:7" ht="15.75" customHeight="1">
      <c r="A781" s="128"/>
      <c r="B781" s="128"/>
      <c r="C781" s="87"/>
      <c r="D781" s="2"/>
      <c r="E781" s="87"/>
      <c r="F781" s="208"/>
      <c r="G781" s="128"/>
    </row>
    <row r="782" spans="1:7" ht="15.75" customHeight="1">
      <c r="A782" s="128"/>
      <c r="B782" s="128"/>
      <c r="C782" s="87"/>
      <c r="D782" s="2"/>
      <c r="E782" s="87"/>
      <c r="F782" s="208"/>
      <c r="G782" s="128"/>
    </row>
    <row r="783" spans="1:7" ht="15.75" customHeight="1">
      <c r="A783" s="128"/>
      <c r="B783" s="128"/>
      <c r="C783" s="87"/>
      <c r="D783" s="2"/>
      <c r="E783" s="87"/>
      <c r="F783" s="208"/>
      <c r="G783" s="128"/>
    </row>
    <row r="784" spans="1:7" ht="15.75" customHeight="1">
      <c r="A784" s="128"/>
      <c r="B784" s="128"/>
      <c r="C784" s="87"/>
      <c r="D784" s="2"/>
      <c r="E784" s="87"/>
      <c r="F784" s="208"/>
      <c r="G784" s="128"/>
    </row>
    <row r="785" spans="1:7" ht="15.75" customHeight="1">
      <c r="A785" s="128"/>
      <c r="B785" s="128"/>
      <c r="C785" s="87"/>
      <c r="D785" s="2"/>
      <c r="E785" s="87"/>
      <c r="F785" s="208"/>
      <c r="G785" s="128"/>
    </row>
    <row r="786" spans="1:7" ht="15.75" customHeight="1">
      <c r="A786" s="128"/>
      <c r="B786" s="128"/>
      <c r="C786" s="87"/>
      <c r="D786" s="2"/>
      <c r="E786" s="87"/>
      <c r="F786" s="208"/>
      <c r="G786" s="128"/>
    </row>
    <row r="787" spans="1:7" ht="15.75" customHeight="1">
      <c r="A787" s="128"/>
      <c r="B787" s="128"/>
      <c r="C787" s="87"/>
      <c r="D787" s="2"/>
      <c r="E787" s="87"/>
      <c r="F787" s="208"/>
      <c r="G787" s="128"/>
    </row>
    <row r="788" spans="1:7" ht="15.75" customHeight="1">
      <c r="A788" s="128"/>
      <c r="B788" s="128"/>
      <c r="C788" s="87"/>
      <c r="D788" s="2"/>
      <c r="E788" s="87"/>
      <c r="F788" s="208"/>
      <c r="G788" s="128"/>
    </row>
    <row r="789" spans="1:7" ht="15.75" customHeight="1">
      <c r="A789" s="128"/>
      <c r="B789" s="128"/>
      <c r="C789" s="87"/>
      <c r="D789" s="2"/>
      <c r="E789" s="87"/>
      <c r="F789" s="208"/>
      <c r="G789" s="128"/>
    </row>
    <row r="790" spans="1:7" ht="15.75" customHeight="1">
      <c r="A790" s="128"/>
      <c r="B790" s="128"/>
      <c r="C790" s="87"/>
      <c r="D790" s="2"/>
      <c r="E790" s="87"/>
      <c r="F790" s="208"/>
      <c r="G790" s="128"/>
    </row>
    <row r="791" spans="1:7" ht="15.75" customHeight="1">
      <c r="A791" s="128"/>
      <c r="B791" s="128"/>
      <c r="C791" s="87"/>
      <c r="D791" s="2"/>
      <c r="E791" s="87"/>
      <c r="F791" s="208"/>
      <c r="G791" s="128"/>
    </row>
    <row r="792" spans="1:7" ht="15.75" customHeight="1">
      <c r="A792" s="128"/>
      <c r="B792" s="128"/>
      <c r="C792" s="87"/>
      <c r="D792" s="2"/>
      <c r="E792" s="87"/>
      <c r="F792" s="208"/>
      <c r="G792" s="128"/>
    </row>
    <row r="793" spans="1:7" ht="15.75" customHeight="1">
      <c r="A793" s="128"/>
      <c r="B793" s="128"/>
      <c r="C793" s="87"/>
      <c r="D793" s="2"/>
      <c r="E793" s="87"/>
      <c r="F793" s="208"/>
      <c r="G793" s="128"/>
    </row>
    <row r="794" spans="1:7" ht="15.75" customHeight="1">
      <c r="A794" s="128"/>
      <c r="B794" s="128"/>
      <c r="C794" s="87"/>
      <c r="D794" s="2"/>
      <c r="E794" s="87"/>
      <c r="F794" s="208"/>
      <c r="G794" s="128"/>
    </row>
    <row r="795" spans="1:7" ht="15.75" customHeight="1">
      <c r="A795" s="128"/>
      <c r="B795" s="128"/>
      <c r="C795" s="87"/>
      <c r="D795" s="2"/>
      <c r="E795" s="87"/>
      <c r="F795" s="208"/>
      <c r="G795" s="128"/>
    </row>
    <row r="796" spans="1:7" ht="15.75" customHeight="1">
      <c r="A796" s="128"/>
      <c r="B796" s="128"/>
      <c r="C796" s="87"/>
      <c r="D796" s="2"/>
      <c r="E796" s="87"/>
      <c r="F796" s="208"/>
      <c r="G796" s="128"/>
    </row>
    <row r="797" spans="1:7" ht="15.75" customHeight="1">
      <c r="A797" s="128"/>
      <c r="B797" s="128"/>
      <c r="C797" s="87"/>
      <c r="D797" s="2"/>
      <c r="E797" s="87"/>
      <c r="F797" s="208"/>
      <c r="G797" s="128"/>
    </row>
    <row r="798" spans="1:7" ht="15.75" customHeight="1">
      <c r="A798" s="128"/>
      <c r="B798" s="128"/>
      <c r="C798" s="87"/>
      <c r="D798" s="2"/>
      <c r="E798" s="87"/>
      <c r="F798" s="208"/>
      <c r="G798" s="128"/>
    </row>
    <row r="799" spans="1:7" ht="15.75" customHeight="1">
      <c r="A799" s="128"/>
      <c r="B799" s="128"/>
      <c r="C799" s="87"/>
      <c r="D799" s="2"/>
      <c r="E799" s="87"/>
      <c r="F799" s="208"/>
      <c r="G799" s="128"/>
    </row>
    <row r="800" spans="1:7" ht="15.75" customHeight="1">
      <c r="A800" s="128"/>
      <c r="B800" s="128"/>
      <c r="C800" s="87"/>
      <c r="D800" s="2"/>
      <c r="E800" s="87"/>
      <c r="F800" s="208"/>
      <c r="G800" s="128"/>
    </row>
    <row r="801" spans="1:7" ht="15.75" customHeight="1">
      <c r="A801" s="128"/>
      <c r="B801" s="128"/>
      <c r="C801" s="87"/>
      <c r="D801" s="2"/>
      <c r="E801" s="87"/>
      <c r="F801" s="208"/>
      <c r="G801" s="128"/>
    </row>
    <row r="802" spans="1:7" ht="15.75" customHeight="1">
      <c r="A802" s="128"/>
      <c r="B802" s="128"/>
      <c r="C802" s="87"/>
      <c r="D802" s="2"/>
      <c r="E802" s="87"/>
      <c r="F802" s="208"/>
      <c r="G802" s="128"/>
    </row>
    <row r="803" spans="1:7" ht="15.75" customHeight="1">
      <c r="A803" s="128"/>
      <c r="B803" s="128"/>
      <c r="C803" s="87"/>
      <c r="D803" s="2"/>
      <c r="E803" s="87"/>
      <c r="F803" s="208"/>
      <c r="G803" s="128"/>
    </row>
    <row r="804" spans="1:7" ht="15.75" customHeight="1">
      <c r="A804" s="128"/>
      <c r="B804" s="128"/>
      <c r="C804" s="87"/>
      <c r="D804" s="2"/>
      <c r="E804" s="87"/>
      <c r="F804" s="208"/>
      <c r="G804" s="128"/>
    </row>
    <row r="805" spans="1:7" ht="15.75" customHeight="1">
      <c r="A805" s="128"/>
      <c r="B805" s="128"/>
      <c r="C805" s="87"/>
      <c r="D805" s="2"/>
      <c r="E805" s="87"/>
      <c r="F805" s="208"/>
      <c r="G805" s="128"/>
    </row>
    <row r="806" spans="1:7" ht="15.75" customHeight="1">
      <c r="A806" s="128"/>
      <c r="B806" s="128"/>
      <c r="C806" s="87"/>
      <c r="D806" s="2"/>
      <c r="E806" s="87"/>
      <c r="F806" s="208"/>
      <c r="G806" s="128"/>
    </row>
    <row r="807" spans="1:7" ht="15.75" customHeight="1">
      <c r="A807" s="128"/>
      <c r="B807" s="128"/>
      <c r="C807" s="87"/>
      <c r="D807" s="2"/>
      <c r="E807" s="87"/>
      <c r="F807" s="208"/>
      <c r="G807" s="128"/>
    </row>
    <row r="808" spans="1:7" ht="15.75" customHeight="1">
      <c r="A808" s="128"/>
      <c r="B808" s="128"/>
      <c r="C808" s="87"/>
      <c r="D808" s="2"/>
      <c r="E808" s="87"/>
      <c r="F808" s="208"/>
      <c r="G808" s="128"/>
    </row>
    <row r="809" spans="1:7" ht="15.75" customHeight="1">
      <c r="A809" s="128"/>
      <c r="B809" s="128"/>
      <c r="C809" s="87"/>
      <c r="D809" s="2"/>
      <c r="E809" s="87"/>
      <c r="F809" s="208"/>
      <c r="G809" s="128"/>
    </row>
    <row r="810" spans="1:7" ht="15.75" customHeight="1">
      <c r="A810" s="128"/>
      <c r="B810" s="128"/>
      <c r="C810" s="87"/>
      <c r="D810" s="2"/>
      <c r="E810" s="87"/>
      <c r="F810" s="208"/>
      <c r="G810" s="128"/>
    </row>
    <row r="811" spans="1:7" ht="15.75" customHeight="1">
      <c r="A811" s="128"/>
      <c r="B811" s="128"/>
      <c r="C811" s="87"/>
      <c r="D811" s="2"/>
      <c r="E811" s="87"/>
      <c r="F811" s="208"/>
      <c r="G811" s="128"/>
    </row>
    <row r="812" spans="1:7" ht="15.75" customHeight="1">
      <c r="A812" s="128"/>
      <c r="B812" s="128"/>
      <c r="C812" s="87"/>
      <c r="D812" s="2"/>
      <c r="E812" s="87"/>
      <c r="F812" s="208"/>
      <c r="G812" s="128"/>
    </row>
    <row r="813" spans="1:7" ht="15.75" customHeight="1">
      <c r="A813" s="128"/>
      <c r="B813" s="128"/>
      <c r="C813" s="87"/>
      <c r="D813" s="2"/>
      <c r="E813" s="87"/>
      <c r="F813" s="208"/>
      <c r="G813" s="128"/>
    </row>
    <row r="814" spans="1:7" ht="15.75" customHeight="1">
      <c r="A814" s="128"/>
      <c r="B814" s="128"/>
      <c r="C814" s="87"/>
      <c r="D814" s="2"/>
      <c r="E814" s="87"/>
      <c r="F814" s="208"/>
      <c r="G814" s="128"/>
    </row>
    <row r="815" spans="1:7" ht="15.75" customHeight="1">
      <c r="A815" s="128"/>
      <c r="B815" s="128"/>
      <c r="C815" s="87"/>
      <c r="D815" s="2"/>
      <c r="E815" s="87"/>
      <c r="F815" s="208"/>
      <c r="G815" s="128"/>
    </row>
    <row r="816" spans="1:7" ht="15.75" customHeight="1">
      <c r="A816" s="128"/>
      <c r="B816" s="128"/>
      <c r="C816" s="87"/>
      <c r="D816" s="2"/>
      <c r="E816" s="87"/>
      <c r="F816" s="208"/>
      <c r="G816" s="128"/>
    </row>
    <row r="817" spans="1:7" ht="15.75" customHeight="1">
      <c r="A817" s="128"/>
      <c r="B817" s="128"/>
      <c r="C817" s="87"/>
      <c r="D817" s="2"/>
      <c r="E817" s="87"/>
      <c r="F817" s="208"/>
      <c r="G817" s="128"/>
    </row>
    <row r="818" spans="1:7" ht="15.75" customHeight="1">
      <c r="A818" s="128"/>
      <c r="B818" s="128"/>
      <c r="C818" s="87"/>
      <c r="D818" s="2"/>
      <c r="E818" s="87"/>
      <c r="F818" s="208"/>
      <c r="G818" s="128"/>
    </row>
    <row r="819" spans="1:7" ht="15.75" customHeight="1">
      <c r="A819" s="128"/>
      <c r="B819" s="128"/>
      <c r="C819" s="87"/>
      <c r="D819" s="2"/>
      <c r="E819" s="87"/>
      <c r="F819" s="208"/>
      <c r="G819" s="128"/>
    </row>
    <row r="820" spans="1:7" ht="15.75" customHeight="1">
      <c r="A820" s="128"/>
      <c r="B820" s="128"/>
      <c r="C820" s="87"/>
      <c r="D820" s="2"/>
      <c r="E820" s="87"/>
      <c r="F820" s="208"/>
      <c r="G820" s="128"/>
    </row>
    <row r="821" spans="1:7" ht="15.75" customHeight="1">
      <c r="A821" s="128"/>
      <c r="B821" s="128"/>
      <c r="C821" s="87"/>
      <c r="D821" s="2"/>
      <c r="E821" s="87"/>
      <c r="F821" s="208"/>
      <c r="G821" s="128"/>
    </row>
    <row r="822" spans="1:7" ht="15.75" customHeight="1">
      <c r="A822" s="128"/>
      <c r="B822" s="128"/>
      <c r="C822" s="87"/>
      <c r="D822" s="2"/>
      <c r="E822" s="87"/>
      <c r="F822" s="208"/>
      <c r="G822" s="128"/>
    </row>
    <row r="823" spans="1:7" ht="15.75" customHeight="1">
      <c r="A823" s="128"/>
      <c r="B823" s="128"/>
      <c r="C823" s="87"/>
      <c r="D823" s="2"/>
      <c r="E823" s="87"/>
      <c r="F823" s="208"/>
      <c r="G823" s="128"/>
    </row>
    <row r="824" spans="1:7" ht="15.75" customHeight="1">
      <c r="A824" s="128"/>
      <c r="B824" s="128"/>
      <c r="C824" s="87"/>
      <c r="D824" s="2"/>
      <c r="E824" s="87"/>
      <c r="F824" s="208"/>
      <c r="G824" s="128"/>
    </row>
    <row r="825" spans="1:7" ht="15.75" customHeight="1">
      <c r="A825" s="128"/>
      <c r="B825" s="128"/>
      <c r="C825" s="87"/>
      <c r="D825" s="2"/>
      <c r="E825" s="87"/>
      <c r="F825" s="208"/>
      <c r="G825" s="128"/>
    </row>
    <row r="826" spans="1:7" ht="15.75" customHeight="1">
      <c r="A826" s="128"/>
      <c r="B826" s="128"/>
      <c r="C826" s="87"/>
      <c r="D826" s="2"/>
      <c r="E826" s="87"/>
      <c r="F826" s="208"/>
      <c r="G826" s="128"/>
    </row>
    <row r="827" spans="1:7" ht="15.75" customHeight="1">
      <c r="A827" s="128"/>
      <c r="B827" s="128"/>
      <c r="C827" s="87"/>
      <c r="D827" s="2"/>
      <c r="E827" s="87"/>
      <c r="F827" s="208"/>
      <c r="G827" s="128"/>
    </row>
    <row r="828" spans="1:7" ht="15.75" customHeight="1">
      <c r="A828" s="128"/>
      <c r="B828" s="128"/>
      <c r="C828" s="87"/>
      <c r="D828" s="2"/>
      <c r="E828" s="87"/>
      <c r="F828" s="208"/>
      <c r="G828" s="128"/>
    </row>
    <row r="829" spans="1:7" ht="15.75" customHeight="1">
      <c r="A829" s="128"/>
      <c r="B829" s="128"/>
      <c r="C829" s="87"/>
      <c r="D829" s="2"/>
      <c r="E829" s="87"/>
      <c r="F829" s="208"/>
      <c r="G829" s="128"/>
    </row>
    <row r="830" spans="1:7" ht="15.75" customHeight="1">
      <c r="A830" s="128"/>
      <c r="B830" s="128"/>
      <c r="C830" s="87"/>
      <c r="D830" s="2"/>
      <c r="E830" s="87"/>
      <c r="F830" s="208"/>
      <c r="G830" s="128"/>
    </row>
    <row r="831" spans="1:7" ht="15.75" customHeight="1">
      <c r="A831" s="128"/>
      <c r="B831" s="128"/>
      <c r="C831" s="87"/>
      <c r="D831" s="2"/>
      <c r="E831" s="87"/>
      <c r="F831" s="208"/>
      <c r="G831" s="128"/>
    </row>
    <row r="832" spans="1:7" ht="15.75" customHeight="1">
      <c r="A832" s="128"/>
      <c r="B832" s="128"/>
      <c r="C832" s="87"/>
      <c r="D832" s="2"/>
      <c r="E832" s="87"/>
      <c r="F832" s="208"/>
      <c r="G832" s="128"/>
    </row>
    <row r="833" spans="1:7" ht="15.75" customHeight="1">
      <c r="A833" s="128"/>
      <c r="B833" s="128"/>
      <c r="C833" s="87"/>
      <c r="D833" s="2"/>
      <c r="E833" s="87"/>
      <c r="F833" s="208"/>
      <c r="G833" s="128"/>
    </row>
    <row r="834" spans="1:7" ht="15.75" customHeight="1">
      <c r="A834" s="128"/>
      <c r="B834" s="128"/>
      <c r="C834" s="87"/>
      <c r="D834" s="2"/>
      <c r="E834" s="87"/>
      <c r="F834" s="208"/>
      <c r="G834" s="128"/>
    </row>
    <row r="835" spans="1:7" ht="15.75" customHeight="1">
      <c r="A835" s="128"/>
      <c r="B835" s="128"/>
      <c r="C835" s="87"/>
      <c r="D835" s="2"/>
      <c r="E835" s="87"/>
      <c r="F835" s="208"/>
      <c r="G835" s="128"/>
    </row>
    <row r="836" spans="1:7" ht="15.75" customHeight="1">
      <c r="A836" s="128"/>
      <c r="B836" s="128"/>
      <c r="C836" s="87"/>
      <c r="D836" s="2"/>
      <c r="E836" s="87"/>
      <c r="F836" s="208"/>
      <c r="G836" s="128"/>
    </row>
    <row r="837" spans="1:7" ht="15.75" customHeight="1">
      <c r="A837" s="128"/>
      <c r="B837" s="128"/>
      <c r="C837" s="87"/>
      <c r="D837" s="2"/>
      <c r="E837" s="87"/>
      <c r="F837" s="208"/>
      <c r="G837" s="128"/>
    </row>
    <row r="838" spans="1:7" ht="15.75" customHeight="1">
      <c r="A838" s="128"/>
      <c r="B838" s="128"/>
      <c r="C838" s="87"/>
      <c r="D838" s="2"/>
      <c r="E838" s="87"/>
      <c r="F838" s="208"/>
      <c r="G838" s="128"/>
    </row>
    <row r="839" spans="1:7" ht="15.75" customHeight="1">
      <c r="A839" s="128"/>
      <c r="B839" s="128"/>
      <c r="C839" s="87"/>
      <c r="D839" s="2"/>
      <c r="E839" s="87"/>
      <c r="F839" s="208"/>
      <c r="G839" s="128"/>
    </row>
    <row r="840" spans="1:7" ht="15.75" customHeight="1">
      <c r="A840" s="128"/>
      <c r="B840" s="128"/>
      <c r="C840" s="87"/>
      <c r="D840" s="2"/>
      <c r="E840" s="87"/>
      <c r="F840" s="208"/>
      <c r="G840" s="128"/>
    </row>
    <row r="841" spans="1:7" ht="15.75" customHeight="1">
      <c r="A841" s="128"/>
      <c r="B841" s="128"/>
      <c r="C841" s="87"/>
      <c r="D841" s="2"/>
      <c r="E841" s="87"/>
      <c r="F841" s="208"/>
      <c r="G841" s="128"/>
    </row>
    <row r="842" spans="1:7" ht="15.75" customHeight="1">
      <c r="A842" s="128"/>
      <c r="B842" s="128"/>
      <c r="C842" s="87"/>
      <c r="D842" s="2"/>
      <c r="E842" s="87"/>
      <c r="F842" s="208"/>
      <c r="G842" s="128"/>
    </row>
    <row r="843" spans="1:7" ht="15.75" customHeight="1">
      <c r="A843" s="128"/>
      <c r="B843" s="128"/>
      <c r="C843" s="87"/>
      <c r="D843" s="2"/>
      <c r="E843" s="87"/>
      <c r="F843" s="208"/>
      <c r="G843" s="128"/>
    </row>
    <row r="844" spans="1:7" ht="15.75" customHeight="1">
      <c r="A844" s="128"/>
      <c r="B844" s="128"/>
      <c r="C844" s="87"/>
      <c r="D844" s="2"/>
      <c r="E844" s="87"/>
      <c r="F844" s="208"/>
      <c r="G844" s="128"/>
    </row>
    <row r="845" spans="1:7" ht="15.75" customHeight="1">
      <c r="A845" s="128"/>
      <c r="B845" s="128"/>
      <c r="C845" s="87"/>
      <c r="D845" s="2"/>
      <c r="E845" s="87"/>
      <c r="F845" s="208"/>
      <c r="G845" s="128"/>
    </row>
    <row r="846" spans="1:7" ht="15.75" customHeight="1">
      <c r="A846" s="128"/>
      <c r="B846" s="128"/>
      <c r="C846" s="87"/>
      <c r="D846" s="2"/>
      <c r="E846" s="87"/>
      <c r="F846" s="208"/>
      <c r="G846" s="128"/>
    </row>
    <row r="847" spans="1:7" ht="15.75" customHeight="1">
      <c r="A847" s="128"/>
      <c r="B847" s="128"/>
      <c r="C847" s="87"/>
      <c r="D847" s="2"/>
      <c r="E847" s="87"/>
      <c r="F847" s="208"/>
      <c r="G847" s="128"/>
    </row>
    <row r="848" spans="1:7" ht="15.75" customHeight="1">
      <c r="A848" s="128"/>
      <c r="B848" s="128"/>
      <c r="C848" s="87"/>
      <c r="D848" s="2"/>
      <c r="E848" s="87"/>
      <c r="F848" s="208"/>
      <c r="G848" s="128"/>
    </row>
    <row r="849" spans="1:7" ht="15.75" customHeight="1">
      <c r="A849" s="128"/>
      <c r="B849" s="128"/>
      <c r="C849" s="87"/>
      <c r="D849" s="2"/>
      <c r="E849" s="87"/>
      <c r="F849" s="208"/>
      <c r="G849" s="128"/>
    </row>
    <row r="850" spans="1:7" ht="15.75" customHeight="1">
      <c r="A850" s="128"/>
      <c r="B850" s="128"/>
      <c r="C850" s="87"/>
      <c r="D850" s="2"/>
      <c r="E850" s="87"/>
      <c r="F850" s="208"/>
      <c r="G850" s="128"/>
    </row>
    <row r="851" spans="1:7" ht="15.75" customHeight="1">
      <c r="A851" s="128"/>
      <c r="B851" s="128"/>
      <c r="C851" s="87"/>
      <c r="D851" s="2"/>
      <c r="E851" s="87"/>
      <c r="F851" s="208"/>
      <c r="G851" s="128"/>
    </row>
    <row r="852" spans="1:7" ht="15.75" customHeight="1">
      <c r="A852" s="128"/>
      <c r="B852" s="128"/>
      <c r="C852" s="87"/>
      <c r="D852" s="2"/>
      <c r="E852" s="87"/>
      <c r="F852" s="208"/>
      <c r="G852" s="128"/>
    </row>
    <row r="853" spans="1:7" ht="15.75" customHeight="1">
      <c r="A853" s="128"/>
      <c r="B853" s="128"/>
      <c r="C853" s="87"/>
      <c r="D853" s="2"/>
      <c r="E853" s="87"/>
      <c r="F853" s="208"/>
      <c r="G853" s="128"/>
    </row>
    <row r="854" spans="1:7" ht="15.75" customHeight="1">
      <c r="A854" s="128"/>
      <c r="B854" s="128"/>
      <c r="C854" s="87"/>
      <c r="D854" s="2"/>
      <c r="E854" s="87"/>
      <c r="F854" s="208"/>
      <c r="G854" s="128"/>
    </row>
    <row r="855" spans="1:7" ht="15.75" customHeight="1">
      <c r="A855" s="128"/>
      <c r="B855" s="128"/>
      <c r="C855" s="87"/>
      <c r="D855" s="2"/>
      <c r="E855" s="87"/>
      <c r="F855" s="208"/>
      <c r="G855" s="128"/>
    </row>
    <row r="856" spans="1:7" ht="15.75" customHeight="1">
      <c r="A856" s="128"/>
      <c r="B856" s="128"/>
      <c r="C856" s="87"/>
      <c r="D856" s="2"/>
      <c r="E856" s="87"/>
      <c r="F856" s="208"/>
      <c r="G856" s="128"/>
    </row>
    <row r="857" spans="1:7" ht="15.75" customHeight="1">
      <c r="A857" s="128"/>
      <c r="B857" s="128"/>
      <c r="C857" s="87"/>
      <c r="D857" s="2"/>
      <c r="E857" s="87"/>
      <c r="F857" s="208"/>
      <c r="G857" s="128"/>
    </row>
    <row r="858" spans="1:7" ht="15.75" customHeight="1">
      <c r="A858" s="128"/>
      <c r="B858" s="128"/>
      <c r="C858" s="87"/>
      <c r="D858" s="2"/>
      <c r="E858" s="87"/>
      <c r="F858" s="208"/>
      <c r="G858" s="128"/>
    </row>
    <row r="859" spans="1:7" ht="15.75" customHeight="1">
      <c r="A859" s="128"/>
      <c r="B859" s="128"/>
      <c r="C859" s="87"/>
      <c r="D859" s="2"/>
      <c r="E859" s="87"/>
      <c r="F859" s="208"/>
      <c r="G859" s="128"/>
    </row>
    <row r="860" spans="1:7" ht="15.75" customHeight="1">
      <c r="A860" s="128"/>
      <c r="B860" s="128"/>
      <c r="C860" s="87"/>
      <c r="D860" s="2"/>
      <c r="E860" s="87"/>
      <c r="F860" s="208"/>
      <c r="G860" s="128"/>
    </row>
    <row r="861" spans="1:7" ht="15.75" customHeight="1">
      <c r="A861" s="128"/>
      <c r="B861" s="128"/>
      <c r="C861" s="87"/>
      <c r="D861" s="2"/>
      <c r="E861" s="87"/>
      <c r="F861" s="208"/>
      <c r="G861" s="128"/>
    </row>
    <row r="862" spans="1:7" ht="15.75" customHeight="1">
      <c r="A862" s="128"/>
      <c r="B862" s="128"/>
      <c r="C862" s="87"/>
      <c r="D862" s="2"/>
      <c r="E862" s="87"/>
      <c r="F862" s="208"/>
      <c r="G862" s="128"/>
    </row>
    <row r="863" spans="1:7" ht="15.75" customHeight="1">
      <c r="A863" s="128"/>
      <c r="B863" s="128"/>
      <c r="C863" s="87"/>
      <c r="D863" s="2"/>
      <c r="E863" s="87"/>
      <c r="F863" s="208"/>
      <c r="G863" s="128"/>
    </row>
    <row r="864" spans="1:7" ht="15.75" customHeight="1">
      <c r="A864" s="128"/>
      <c r="B864" s="128"/>
      <c r="C864" s="87"/>
      <c r="D864" s="2"/>
      <c r="E864" s="87"/>
      <c r="F864" s="208"/>
      <c r="G864" s="128"/>
    </row>
    <row r="865" spans="1:7" ht="15.75" customHeight="1">
      <c r="A865" s="128"/>
      <c r="B865" s="128"/>
      <c r="C865" s="87"/>
      <c r="D865" s="2"/>
      <c r="E865" s="87"/>
      <c r="F865" s="208"/>
      <c r="G865" s="128"/>
    </row>
    <row r="866" spans="1:7" ht="15.75" customHeight="1">
      <c r="A866" s="128"/>
      <c r="B866" s="128"/>
      <c r="C866" s="87"/>
      <c r="D866" s="2"/>
      <c r="E866" s="87"/>
      <c r="F866" s="208"/>
      <c r="G866" s="128"/>
    </row>
    <row r="867" spans="1:7" ht="15.75" customHeight="1">
      <c r="A867" s="128"/>
      <c r="B867" s="128"/>
      <c r="C867" s="87"/>
      <c r="D867" s="2"/>
      <c r="E867" s="87"/>
      <c r="F867" s="208"/>
      <c r="G867" s="128"/>
    </row>
    <row r="868" spans="1:7" ht="15.75" customHeight="1">
      <c r="A868" s="128"/>
      <c r="B868" s="128"/>
      <c r="C868" s="87"/>
      <c r="D868" s="2"/>
      <c r="E868" s="87"/>
      <c r="F868" s="208"/>
      <c r="G868" s="128"/>
    </row>
    <row r="869" spans="1:7" ht="15.75" customHeight="1">
      <c r="A869" s="128"/>
      <c r="B869" s="128"/>
      <c r="C869" s="87"/>
      <c r="D869" s="2"/>
      <c r="E869" s="87"/>
      <c r="F869" s="208"/>
      <c r="G869" s="128"/>
    </row>
    <row r="870" spans="1:7" ht="15.75" customHeight="1">
      <c r="A870" s="128"/>
      <c r="B870" s="128"/>
      <c r="C870" s="87"/>
      <c r="D870" s="2"/>
      <c r="E870" s="87"/>
      <c r="F870" s="208"/>
      <c r="G870" s="128"/>
    </row>
    <row r="871" spans="1:7" ht="15.75" customHeight="1">
      <c r="A871" s="128"/>
      <c r="B871" s="128"/>
      <c r="C871" s="87"/>
      <c r="D871" s="2"/>
      <c r="E871" s="87"/>
      <c r="F871" s="208"/>
      <c r="G871" s="128"/>
    </row>
    <row r="872" spans="1:7" ht="15.75" customHeight="1">
      <c r="A872" s="128"/>
      <c r="B872" s="128"/>
      <c r="C872" s="87"/>
      <c r="D872" s="2"/>
      <c r="E872" s="87"/>
      <c r="F872" s="208"/>
      <c r="G872" s="128"/>
    </row>
    <row r="873" spans="1:7" ht="15.75" customHeight="1">
      <c r="A873" s="128"/>
      <c r="B873" s="128"/>
      <c r="C873" s="87"/>
      <c r="D873" s="2"/>
      <c r="E873" s="87"/>
      <c r="F873" s="208"/>
      <c r="G873" s="128"/>
    </row>
    <row r="874" spans="1:7" ht="15.75" customHeight="1">
      <c r="A874" s="128"/>
      <c r="B874" s="128"/>
      <c r="C874" s="87"/>
      <c r="D874" s="2"/>
      <c r="E874" s="87"/>
      <c r="F874" s="208"/>
      <c r="G874" s="128"/>
    </row>
    <row r="875" spans="1:7" ht="15.75" customHeight="1">
      <c r="A875" s="128"/>
      <c r="B875" s="128"/>
      <c r="C875" s="87"/>
      <c r="D875" s="2"/>
      <c r="E875" s="87"/>
      <c r="F875" s="208"/>
      <c r="G875" s="128"/>
    </row>
    <row r="876" spans="1:7" ht="15.75" customHeight="1">
      <c r="A876" s="128"/>
      <c r="B876" s="128"/>
      <c r="C876" s="87"/>
      <c r="D876" s="2"/>
      <c r="E876" s="87"/>
      <c r="F876" s="208"/>
      <c r="G876" s="128"/>
    </row>
    <row r="877" spans="1:7" ht="15.75" customHeight="1">
      <c r="A877" s="128"/>
      <c r="B877" s="128"/>
      <c r="C877" s="87"/>
      <c r="D877" s="2"/>
      <c r="E877" s="87"/>
      <c r="F877" s="208"/>
      <c r="G877" s="128"/>
    </row>
    <row r="878" spans="1:7" ht="15.75" customHeight="1">
      <c r="A878" s="128"/>
      <c r="B878" s="128"/>
      <c r="C878" s="87"/>
      <c r="D878" s="2"/>
      <c r="E878" s="87"/>
      <c r="F878" s="208"/>
      <c r="G878" s="128"/>
    </row>
    <row r="879" spans="1:7" ht="15.75" customHeight="1">
      <c r="A879" s="128"/>
      <c r="B879" s="128"/>
      <c r="C879" s="87"/>
      <c r="D879" s="2"/>
      <c r="E879" s="87"/>
      <c r="F879" s="208"/>
      <c r="G879" s="128"/>
    </row>
    <row r="880" spans="1:7" ht="15.75" customHeight="1">
      <c r="A880" s="128"/>
      <c r="B880" s="128"/>
      <c r="C880" s="87"/>
      <c r="D880" s="2"/>
      <c r="E880" s="87"/>
      <c r="F880" s="208"/>
      <c r="G880" s="128"/>
    </row>
    <row r="881" spans="1:7" ht="15.75" customHeight="1">
      <c r="A881" s="128"/>
      <c r="B881" s="128"/>
      <c r="C881" s="87"/>
      <c r="D881" s="2"/>
      <c r="E881" s="87"/>
      <c r="F881" s="208"/>
      <c r="G881" s="128"/>
    </row>
    <row r="882" spans="1:7" ht="15.75" customHeight="1">
      <c r="A882" s="128"/>
      <c r="B882" s="128"/>
      <c r="C882" s="87"/>
      <c r="D882" s="2"/>
      <c r="E882" s="87"/>
      <c r="F882" s="208"/>
      <c r="G882" s="128"/>
    </row>
    <row r="883" spans="1:7" ht="15.75" customHeight="1">
      <c r="A883" s="128"/>
      <c r="B883" s="128"/>
      <c r="C883" s="87"/>
      <c r="D883" s="2"/>
      <c r="E883" s="87"/>
      <c r="F883" s="208"/>
      <c r="G883" s="128"/>
    </row>
    <row r="884" spans="1:7" ht="15.75" customHeight="1">
      <c r="A884" s="128"/>
      <c r="B884" s="128"/>
      <c r="C884" s="87"/>
      <c r="D884" s="2"/>
      <c r="E884" s="87"/>
      <c r="F884" s="208"/>
      <c r="G884" s="128"/>
    </row>
    <row r="885" spans="1:7" ht="15.75" customHeight="1">
      <c r="A885" s="128"/>
      <c r="B885" s="128"/>
      <c r="C885" s="87"/>
      <c r="D885" s="2"/>
      <c r="E885" s="87"/>
      <c r="F885" s="208"/>
      <c r="G885" s="128"/>
    </row>
    <row r="886" spans="1:7" ht="15.75" customHeight="1">
      <c r="A886" s="128"/>
      <c r="B886" s="128"/>
      <c r="C886" s="87"/>
      <c r="D886" s="2"/>
      <c r="E886" s="87"/>
      <c r="F886" s="208"/>
      <c r="G886" s="128"/>
    </row>
    <row r="887" spans="1:7" ht="15.75" customHeight="1">
      <c r="A887" s="128"/>
      <c r="B887" s="128"/>
      <c r="C887" s="87"/>
      <c r="D887" s="2"/>
      <c r="E887" s="87"/>
      <c r="F887" s="208"/>
      <c r="G887" s="128"/>
    </row>
    <row r="888" spans="1:7" ht="15.75" customHeight="1">
      <c r="A888" s="128"/>
      <c r="B888" s="128"/>
      <c r="C888" s="87"/>
      <c r="D888" s="2"/>
      <c r="E888" s="87"/>
      <c r="F888" s="208"/>
      <c r="G888" s="128"/>
    </row>
    <row r="889" spans="1:7" ht="15.75" customHeight="1">
      <c r="A889" s="128"/>
      <c r="B889" s="128"/>
      <c r="C889" s="87"/>
      <c r="D889" s="2"/>
      <c r="E889" s="87"/>
      <c r="F889" s="208"/>
      <c r="G889" s="128"/>
    </row>
    <row r="890" spans="1:7" ht="15.75" customHeight="1">
      <c r="A890" s="128"/>
      <c r="B890" s="128"/>
      <c r="C890" s="87"/>
      <c r="D890" s="2"/>
      <c r="E890" s="87"/>
      <c r="F890" s="208"/>
      <c r="G890" s="128"/>
    </row>
    <row r="891" spans="1:7" ht="15.75" customHeight="1">
      <c r="A891" s="128"/>
      <c r="B891" s="128"/>
      <c r="C891" s="87"/>
      <c r="D891" s="2"/>
      <c r="E891" s="87"/>
      <c r="F891" s="208"/>
      <c r="G891" s="128"/>
    </row>
    <row r="892" spans="1:7" ht="15.75" customHeight="1">
      <c r="A892" s="128"/>
      <c r="B892" s="128"/>
      <c r="C892" s="87"/>
      <c r="D892" s="2"/>
      <c r="E892" s="87"/>
      <c r="F892" s="208"/>
      <c r="G892" s="128"/>
    </row>
    <row r="893" spans="1:7" ht="15.75" customHeight="1">
      <c r="A893" s="128"/>
      <c r="B893" s="128"/>
      <c r="C893" s="87"/>
      <c r="D893" s="2"/>
      <c r="E893" s="87"/>
      <c r="F893" s="208"/>
      <c r="G893" s="128"/>
    </row>
    <row r="894" spans="1:7" ht="15.75" customHeight="1">
      <c r="A894" s="128"/>
      <c r="B894" s="128"/>
      <c r="C894" s="87"/>
      <c r="D894" s="2"/>
      <c r="E894" s="87"/>
      <c r="F894" s="208"/>
      <c r="G894" s="128"/>
    </row>
    <row r="895" spans="1:7" ht="15.75" customHeight="1">
      <c r="A895" s="128"/>
      <c r="B895" s="128"/>
      <c r="C895" s="87"/>
      <c r="D895" s="2"/>
      <c r="E895" s="87"/>
      <c r="F895" s="208"/>
      <c r="G895" s="128"/>
    </row>
    <row r="896" spans="1:7" ht="15.75" customHeight="1">
      <c r="A896" s="128"/>
      <c r="B896" s="128"/>
      <c r="C896" s="87"/>
      <c r="D896" s="2"/>
      <c r="E896" s="87"/>
      <c r="F896" s="208"/>
      <c r="G896" s="128"/>
    </row>
    <row r="897" spans="1:7" ht="15.75" customHeight="1">
      <c r="A897" s="128"/>
      <c r="B897" s="128"/>
      <c r="C897" s="87"/>
      <c r="D897" s="2"/>
      <c r="E897" s="87"/>
      <c r="F897" s="208"/>
      <c r="G897" s="128"/>
    </row>
    <row r="898" spans="1:7" ht="15.75" customHeight="1">
      <c r="A898" s="128"/>
      <c r="B898" s="128"/>
      <c r="C898" s="87"/>
      <c r="D898" s="2"/>
      <c r="E898" s="87"/>
      <c r="F898" s="208"/>
      <c r="G898" s="128"/>
    </row>
    <row r="899" spans="1:7" ht="15.75" customHeight="1">
      <c r="A899" s="128"/>
      <c r="B899" s="128"/>
      <c r="C899" s="87"/>
      <c r="D899" s="2"/>
      <c r="E899" s="87"/>
      <c r="F899" s="208"/>
      <c r="G899" s="128"/>
    </row>
    <row r="900" spans="1:7" ht="15.75" customHeight="1">
      <c r="A900" s="128"/>
      <c r="B900" s="128"/>
      <c r="C900" s="87"/>
      <c r="D900" s="2"/>
      <c r="E900" s="87"/>
      <c r="F900" s="208"/>
      <c r="G900" s="128"/>
    </row>
    <row r="901" spans="1:7" ht="15.75" customHeight="1">
      <c r="A901" s="128"/>
      <c r="B901" s="128"/>
      <c r="C901" s="87"/>
      <c r="D901" s="2"/>
      <c r="E901" s="87"/>
      <c r="F901" s="208"/>
      <c r="G901" s="128"/>
    </row>
    <row r="902" spans="1:7" ht="15.75" customHeight="1">
      <c r="A902" s="128"/>
      <c r="B902" s="128"/>
      <c r="C902" s="87"/>
      <c r="D902" s="2"/>
      <c r="E902" s="87"/>
      <c r="F902" s="208"/>
      <c r="G902" s="128"/>
    </row>
    <row r="903" spans="1:7" ht="15.75" customHeight="1">
      <c r="A903" s="128"/>
      <c r="B903" s="128"/>
      <c r="C903" s="87"/>
      <c r="D903" s="2"/>
      <c r="E903" s="87"/>
      <c r="F903" s="208"/>
      <c r="G903" s="128"/>
    </row>
    <row r="904" spans="1:7" ht="15.75" customHeight="1">
      <c r="A904" s="128"/>
      <c r="B904" s="128"/>
      <c r="C904" s="87"/>
      <c r="D904" s="2"/>
      <c r="E904" s="87"/>
      <c r="F904" s="208"/>
      <c r="G904" s="128"/>
    </row>
    <row r="905" spans="1:7" ht="15.75" customHeight="1">
      <c r="A905" s="128"/>
      <c r="B905" s="128"/>
      <c r="C905" s="87"/>
      <c r="D905" s="2"/>
      <c r="E905" s="87"/>
      <c r="F905" s="208"/>
      <c r="G905" s="128"/>
    </row>
    <row r="906" spans="1:7" ht="15.75" customHeight="1">
      <c r="A906" s="128"/>
      <c r="B906" s="128"/>
      <c r="C906" s="87"/>
      <c r="D906" s="2"/>
      <c r="E906" s="87"/>
      <c r="F906" s="208"/>
      <c r="G906" s="128"/>
    </row>
    <row r="907" spans="1:7" ht="15.75" customHeight="1">
      <c r="A907" s="128"/>
      <c r="B907" s="128"/>
      <c r="C907" s="87"/>
      <c r="D907" s="2"/>
      <c r="E907" s="87"/>
      <c r="F907" s="208"/>
      <c r="G907" s="128"/>
    </row>
    <row r="908" spans="1:7" ht="15.75" customHeight="1">
      <c r="A908" s="128"/>
      <c r="B908" s="128"/>
      <c r="C908" s="87"/>
      <c r="D908" s="2"/>
      <c r="E908" s="87"/>
      <c r="F908" s="208"/>
      <c r="G908" s="128"/>
    </row>
    <row r="909" spans="1:7" ht="15.75" customHeight="1">
      <c r="A909" s="128"/>
      <c r="B909" s="128"/>
      <c r="C909" s="87"/>
      <c r="D909" s="2"/>
      <c r="E909" s="87"/>
      <c r="F909" s="208"/>
      <c r="G909" s="128"/>
    </row>
    <row r="910" spans="1:7" ht="15.75" customHeight="1">
      <c r="A910" s="128"/>
      <c r="B910" s="128"/>
      <c r="C910" s="87"/>
      <c r="D910" s="2"/>
      <c r="E910" s="87"/>
      <c r="F910" s="208"/>
      <c r="G910" s="128"/>
    </row>
    <row r="911" spans="1:7" ht="15.75" customHeight="1">
      <c r="A911" s="128"/>
      <c r="B911" s="128"/>
      <c r="C911" s="87"/>
      <c r="D911" s="2"/>
      <c r="E911" s="87"/>
      <c r="F911" s="208"/>
      <c r="G911" s="128"/>
    </row>
    <row r="912" spans="1:7" ht="15.75" customHeight="1">
      <c r="A912" s="128"/>
      <c r="B912" s="128"/>
      <c r="C912" s="87"/>
      <c r="D912" s="2"/>
      <c r="E912" s="87"/>
      <c r="F912" s="208"/>
      <c r="G912" s="128"/>
    </row>
    <row r="913" spans="1:7" ht="15.75" customHeight="1">
      <c r="A913" s="128"/>
      <c r="B913" s="128"/>
      <c r="C913" s="87"/>
      <c r="D913" s="2"/>
      <c r="E913" s="87"/>
      <c r="F913" s="208"/>
      <c r="G913" s="128"/>
    </row>
    <row r="914" spans="1:7" ht="15.75" customHeight="1">
      <c r="A914" s="128"/>
      <c r="B914" s="128"/>
      <c r="C914" s="87"/>
      <c r="D914" s="2"/>
      <c r="E914" s="87"/>
      <c r="F914" s="208"/>
      <c r="G914" s="128"/>
    </row>
    <row r="915" spans="1:7" ht="15.75" customHeight="1">
      <c r="A915" s="128"/>
      <c r="B915" s="128"/>
      <c r="C915" s="87"/>
      <c r="D915" s="2"/>
      <c r="E915" s="87"/>
      <c r="F915" s="208"/>
      <c r="G915" s="128"/>
    </row>
    <row r="916" spans="1:7" ht="15.75" customHeight="1">
      <c r="A916" s="128"/>
      <c r="B916" s="128"/>
      <c r="C916" s="87"/>
      <c r="D916" s="2"/>
      <c r="E916" s="87"/>
      <c r="F916" s="208"/>
      <c r="G916" s="128"/>
    </row>
    <row r="917" spans="1:7" ht="15.75" customHeight="1">
      <c r="A917" s="128"/>
      <c r="B917" s="128"/>
      <c r="C917" s="87"/>
      <c r="D917" s="2"/>
      <c r="E917" s="87"/>
      <c r="F917" s="208"/>
      <c r="G917" s="128"/>
    </row>
    <row r="918" spans="1:7" ht="15.75" customHeight="1">
      <c r="A918" s="128"/>
      <c r="B918" s="128"/>
      <c r="C918" s="87"/>
      <c r="D918" s="2"/>
      <c r="E918" s="87"/>
      <c r="F918" s="208"/>
      <c r="G918" s="128"/>
    </row>
    <row r="919" spans="1:7" ht="15.75" customHeight="1">
      <c r="A919" s="128"/>
      <c r="B919" s="128"/>
      <c r="C919" s="87"/>
      <c r="D919" s="2"/>
      <c r="E919" s="87"/>
      <c r="F919" s="208"/>
      <c r="G919" s="128"/>
    </row>
    <row r="920" spans="1:7" ht="15.75" customHeight="1">
      <c r="A920" s="128"/>
      <c r="B920" s="128"/>
      <c r="C920" s="87"/>
      <c r="D920" s="2"/>
      <c r="E920" s="87"/>
      <c r="F920" s="208"/>
      <c r="G920" s="128"/>
    </row>
    <row r="921" spans="1:7" ht="15.75" customHeight="1">
      <c r="A921" s="128"/>
      <c r="B921" s="128"/>
      <c r="C921" s="87"/>
      <c r="D921" s="2"/>
      <c r="E921" s="87"/>
      <c r="F921" s="208"/>
      <c r="G921" s="128"/>
    </row>
    <row r="922" spans="1:7" ht="15.75" customHeight="1">
      <c r="A922" s="128"/>
      <c r="B922" s="128"/>
      <c r="C922" s="87"/>
      <c r="D922" s="2"/>
      <c r="E922" s="87"/>
      <c r="F922" s="208"/>
      <c r="G922" s="128"/>
    </row>
    <row r="923" spans="1:7" ht="15.75" customHeight="1">
      <c r="A923" s="128"/>
      <c r="B923" s="128"/>
      <c r="C923" s="87"/>
      <c r="D923" s="2"/>
      <c r="E923" s="87"/>
      <c r="F923" s="208"/>
      <c r="G923" s="128"/>
    </row>
    <row r="924" spans="1:7" ht="15.75" customHeight="1">
      <c r="A924" s="128"/>
      <c r="B924" s="128"/>
      <c r="C924" s="87"/>
      <c r="D924" s="2"/>
      <c r="E924" s="87"/>
      <c r="F924" s="208"/>
      <c r="G924" s="128"/>
    </row>
    <row r="925" spans="1:7" ht="15.75" customHeight="1">
      <c r="A925" s="128"/>
      <c r="B925" s="128"/>
      <c r="C925" s="87"/>
      <c r="D925" s="2"/>
      <c r="E925" s="87"/>
      <c r="F925" s="208"/>
      <c r="G925" s="128"/>
    </row>
    <row r="926" spans="1:7" ht="15.75" customHeight="1">
      <c r="A926" s="128"/>
      <c r="B926" s="128"/>
      <c r="C926" s="87"/>
      <c r="D926" s="2"/>
      <c r="E926" s="87"/>
      <c r="F926" s="208"/>
      <c r="G926" s="128"/>
    </row>
    <row r="927" spans="1:7" ht="15.75" customHeight="1">
      <c r="A927" s="128"/>
      <c r="B927" s="128"/>
      <c r="C927" s="87"/>
      <c r="D927" s="2"/>
      <c r="E927" s="87"/>
      <c r="F927" s="208"/>
      <c r="G927" s="128"/>
    </row>
    <row r="928" spans="1:7" ht="15.75" customHeight="1">
      <c r="A928" s="128"/>
      <c r="B928" s="128"/>
      <c r="C928" s="87"/>
      <c r="D928" s="2"/>
      <c r="E928" s="87"/>
      <c r="F928" s="208"/>
      <c r="G928" s="128"/>
    </row>
    <row r="929" spans="1:7" ht="15.75" customHeight="1">
      <c r="A929" s="128"/>
      <c r="B929" s="128"/>
      <c r="C929" s="87"/>
      <c r="D929" s="2"/>
      <c r="E929" s="87"/>
      <c r="F929" s="208"/>
      <c r="G929" s="128"/>
    </row>
    <row r="930" spans="1:7" ht="15.75" customHeight="1">
      <c r="A930" s="128"/>
      <c r="B930" s="128"/>
      <c r="C930" s="87"/>
      <c r="D930" s="2"/>
      <c r="E930" s="87"/>
      <c r="F930" s="208"/>
      <c r="G930" s="128"/>
    </row>
    <row r="931" spans="1:7" ht="15.75" customHeight="1">
      <c r="A931" s="128"/>
      <c r="B931" s="128"/>
      <c r="C931" s="87"/>
      <c r="D931" s="2"/>
      <c r="E931" s="87"/>
      <c r="F931" s="208"/>
      <c r="G931" s="128"/>
    </row>
    <row r="932" spans="1:7" ht="15.75" customHeight="1">
      <c r="A932" s="128"/>
      <c r="B932" s="128"/>
      <c r="C932" s="87"/>
      <c r="D932" s="2"/>
      <c r="E932" s="87"/>
      <c r="F932" s="208"/>
      <c r="G932" s="128"/>
    </row>
    <row r="933" spans="1:7" ht="15.75" customHeight="1">
      <c r="A933" s="128"/>
      <c r="B933" s="128"/>
      <c r="C933" s="87"/>
      <c r="D933" s="2"/>
      <c r="E933" s="87"/>
      <c r="F933" s="208"/>
      <c r="G933" s="128"/>
    </row>
    <row r="934" spans="1:7" ht="15.75" customHeight="1">
      <c r="A934" s="128"/>
      <c r="B934" s="128"/>
      <c r="C934" s="87"/>
      <c r="D934" s="2"/>
      <c r="E934" s="87"/>
      <c r="F934" s="208"/>
      <c r="G934" s="128"/>
    </row>
    <row r="935" spans="1:7" ht="15.75" customHeight="1">
      <c r="A935" s="128"/>
      <c r="B935" s="128"/>
      <c r="C935" s="87"/>
      <c r="D935" s="2"/>
      <c r="E935" s="87"/>
      <c r="F935" s="208"/>
      <c r="G935" s="128"/>
    </row>
    <row r="936" spans="1:7" ht="15.75" customHeight="1">
      <c r="A936" s="128"/>
      <c r="B936" s="128"/>
      <c r="C936" s="87"/>
      <c r="D936" s="2"/>
      <c r="E936" s="87"/>
      <c r="F936" s="208"/>
      <c r="G936" s="128"/>
    </row>
  </sheetData>
  <mergeCells count="1">
    <mergeCell ref="A1:G1"/>
  </mergeCells>
  <pageMargins left="0.7" right="0.7" top="0.75" bottom="0.75" header="0" footer="0"/>
  <pageSetup orientation="portrait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1200-000000000000}">
          <x14:formula1>
            <xm:f>RM!$C$4:$C926</xm:f>
          </x14:formula1>
          <xm:sqref>D3:D936</xm:sqref>
        </x14:dataValidation>
      </x14:dataValidations>
    </ext>
  </extLst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001"/>
  <sheetViews>
    <sheetView showGridLines="0" workbookViewId="0">
      <pane ySplit="2" topLeftCell="A3" activePane="bottomLeft" state="frozen"/>
      <selection pane="bottomLeft" activeCell="B4" sqref="B4"/>
    </sheetView>
  </sheetViews>
  <sheetFormatPr defaultColWidth="14.453125" defaultRowHeight="15" customHeight="1"/>
  <cols>
    <col min="1" max="1" width="6.81640625" customWidth="1"/>
    <col min="2" max="2" width="37.1796875" customWidth="1"/>
    <col min="3" max="3" width="14.54296875" customWidth="1"/>
    <col min="4" max="4" width="15.26953125" customWidth="1"/>
    <col min="5" max="5" width="52.7265625" customWidth="1"/>
  </cols>
  <sheetData>
    <row r="1" spans="1:5">
      <c r="A1" s="62"/>
      <c r="B1" s="62" t="s">
        <v>1988</v>
      </c>
      <c r="C1" s="216"/>
      <c r="D1" s="152" t="s">
        <v>1989</v>
      </c>
      <c r="E1" s="152"/>
    </row>
    <row r="2" spans="1:5">
      <c r="A2" s="6" t="s">
        <v>1440</v>
      </c>
      <c r="B2" s="153" t="s">
        <v>1990</v>
      </c>
      <c r="C2" s="153" t="s">
        <v>1830</v>
      </c>
      <c r="D2" s="153" t="s">
        <v>1</v>
      </c>
      <c r="E2" s="153" t="s">
        <v>1831</v>
      </c>
    </row>
    <row r="3" spans="1:5">
      <c r="A3" s="69">
        <f t="shared" ref="A3:A257" si="0">IF(B3="","",ROW()-2)</f>
        <v>1</v>
      </c>
      <c r="B3" s="119" t="s">
        <v>1446</v>
      </c>
      <c r="C3" s="19"/>
      <c r="D3" s="139" t="s">
        <v>3</v>
      </c>
      <c r="E3" s="138"/>
    </row>
    <row r="4" spans="1:5">
      <c r="A4" s="69">
        <f t="shared" si="0"/>
        <v>2</v>
      </c>
      <c r="B4" s="119" t="s">
        <v>1586</v>
      </c>
      <c r="C4" s="217"/>
      <c r="D4" s="139" t="s">
        <v>3</v>
      </c>
      <c r="E4" s="141"/>
    </row>
    <row r="5" spans="1:5">
      <c r="A5" s="69">
        <f t="shared" si="0"/>
        <v>3</v>
      </c>
      <c r="B5" s="119" t="s">
        <v>93</v>
      </c>
      <c r="C5" s="19"/>
      <c r="D5" s="139" t="s">
        <v>3</v>
      </c>
      <c r="E5" s="138"/>
    </row>
    <row r="6" spans="1:5">
      <c r="A6" s="69">
        <f t="shared" si="0"/>
        <v>4</v>
      </c>
      <c r="B6" s="119" t="s">
        <v>1539</v>
      </c>
      <c r="C6" s="217"/>
      <c r="D6" s="139" t="s">
        <v>3</v>
      </c>
      <c r="E6" s="141"/>
    </row>
    <row r="7" spans="1:5">
      <c r="A7" s="69">
        <f t="shared" si="0"/>
        <v>5</v>
      </c>
      <c r="B7" s="119" t="s">
        <v>1479</v>
      </c>
      <c r="C7" s="217"/>
      <c r="D7" s="139" t="s">
        <v>3</v>
      </c>
      <c r="E7" s="141"/>
    </row>
    <row r="8" spans="1:5">
      <c r="A8" s="69">
        <f t="shared" si="0"/>
        <v>6</v>
      </c>
      <c r="B8" s="119" t="s">
        <v>1498</v>
      </c>
      <c r="C8" s="19"/>
      <c r="D8" s="139" t="s">
        <v>3</v>
      </c>
      <c r="E8" s="138"/>
    </row>
    <row r="9" spans="1:5">
      <c r="A9" s="69">
        <f t="shared" si="0"/>
        <v>7</v>
      </c>
      <c r="B9" s="119" t="s">
        <v>1500</v>
      </c>
      <c r="C9" s="217"/>
      <c r="D9" s="139" t="s">
        <v>3</v>
      </c>
      <c r="E9" s="141"/>
    </row>
    <row r="10" spans="1:5">
      <c r="A10" s="69">
        <f t="shared" si="0"/>
        <v>8</v>
      </c>
      <c r="B10" s="119" t="s">
        <v>1511</v>
      </c>
      <c r="C10" s="19"/>
      <c r="D10" s="139" t="s">
        <v>3</v>
      </c>
      <c r="E10" s="138"/>
    </row>
    <row r="11" spans="1:5">
      <c r="A11" s="69">
        <f t="shared" si="0"/>
        <v>9</v>
      </c>
      <c r="B11" s="119" t="s">
        <v>91</v>
      </c>
      <c r="C11" s="217"/>
      <c r="D11" s="139" t="s">
        <v>3</v>
      </c>
      <c r="E11" s="141"/>
    </row>
    <row r="12" spans="1:5">
      <c r="A12" s="69">
        <f t="shared" si="0"/>
        <v>10</v>
      </c>
      <c r="B12" s="119" t="s">
        <v>1541</v>
      </c>
      <c r="C12" s="19"/>
      <c r="D12" s="139" t="s">
        <v>3</v>
      </c>
      <c r="E12" s="138"/>
    </row>
    <row r="13" spans="1:5">
      <c r="A13" s="69">
        <f t="shared" si="0"/>
        <v>11</v>
      </c>
      <c r="B13" s="119" t="s">
        <v>1550</v>
      </c>
      <c r="C13" s="217"/>
      <c r="D13" s="139" t="s">
        <v>3</v>
      </c>
      <c r="E13" s="141"/>
    </row>
    <row r="14" spans="1:5">
      <c r="A14" s="69">
        <f t="shared" si="0"/>
        <v>12</v>
      </c>
      <c r="B14" s="119" t="s">
        <v>1600</v>
      </c>
      <c r="C14" s="19"/>
      <c r="D14" s="139" t="s">
        <v>3</v>
      </c>
      <c r="E14" s="138"/>
    </row>
    <row r="15" spans="1:5">
      <c r="A15" s="69">
        <f t="shared" si="0"/>
        <v>13</v>
      </c>
      <c r="B15" s="119" t="s">
        <v>1468</v>
      </c>
      <c r="C15" s="217"/>
      <c r="D15" s="139" t="s">
        <v>3</v>
      </c>
      <c r="E15" s="141"/>
    </row>
    <row r="16" spans="1:5">
      <c r="A16" s="69">
        <f t="shared" si="0"/>
        <v>14</v>
      </c>
      <c r="B16" s="119" t="s">
        <v>1478</v>
      </c>
      <c r="C16" s="19"/>
      <c r="D16" s="139" t="s">
        <v>3</v>
      </c>
      <c r="E16" s="138"/>
    </row>
    <row r="17" spans="1:5">
      <c r="A17" s="69">
        <f t="shared" si="0"/>
        <v>15</v>
      </c>
      <c r="B17" s="119" t="s">
        <v>1605</v>
      </c>
      <c r="C17" s="217"/>
      <c r="D17" s="139" t="s">
        <v>3</v>
      </c>
      <c r="E17" s="141"/>
    </row>
    <row r="18" spans="1:5">
      <c r="A18" s="69">
        <f t="shared" si="0"/>
        <v>16</v>
      </c>
      <c r="B18" s="119" t="s">
        <v>1610</v>
      </c>
      <c r="C18" s="19"/>
      <c r="D18" s="139" t="s">
        <v>3</v>
      </c>
      <c r="E18" s="138"/>
    </row>
    <row r="19" spans="1:5">
      <c r="A19" s="69">
        <f t="shared" si="0"/>
        <v>17</v>
      </c>
      <c r="B19" s="141" t="s">
        <v>1519</v>
      </c>
      <c r="C19" s="217"/>
      <c r="D19" s="139" t="s">
        <v>3</v>
      </c>
      <c r="E19" s="141"/>
    </row>
    <row r="20" spans="1:5">
      <c r="A20" s="69">
        <f t="shared" si="0"/>
        <v>18</v>
      </c>
      <c r="B20" s="138" t="s">
        <v>1579</v>
      </c>
      <c r="C20" s="19"/>
      <c r="D20" s="139" t="s">
        <v>3</v>
      </c>
      <c r="E20" s="138"/>
    </row>
    <row r="21" spans="1:5">
      <c r="A21" s="69">
        <f t="shared" si="0"/>
        <v>19</v>
      </c>
      <c r="B21" s="141" t="s">
        <v>1587</v>
      </c>
      <c r="C21" s="217"/>
      <c r="D21" s="139" t="s">
        <v>3</v>
      </c>
      <c r="E21" s="141"/>
    </row>
    <row r="22" spans="1:5">
      <c r="A22" s="69">
        <f t="shared" si="0"/>
        <v>20</v>
      </c>
      <c r="B22" s="141" t="s">
        <v>1590</v>
      </c>
      <c r="C22" s="19"/>
      <c r="D22" s="139" t="s">
        <v>3</v>
      </c>
      <c r="E22" s="138"/>
    </row>
    <row r="23" spans="1:5">
      <c r="A23" s="69">
        <f t="shared" si="0"/>
        <v>21</v>
      </c>
      <c r="B23" s="141" t="s">
        <v>1593</v>
      </c>
      <c r="C23" s="217"/>
      <c r="D23" s="139" t="s">
        <v>3</v>
      </c>
      <c r="E23" s="141"/>
    </row>
    <row r="24" spans="1:5">
      <c r="A24" s="69">
        <f t="shared" si="0"/>
        <v>22</v>
      </c>
      <c r="B24" s="141" t="s">
        <v>1599</v>
      </c>
      <c r="C24" s="19"/>
      <c r="D24" s="139" t="s">
        <v>3</v>
      </c>
      <c r="E24" s="138"/>
    </row>
    <row r="25" spans="1:5">
      <c r="A25" s="69">
        <f t="shared" si="0"/>
        <v>23</v>
      </c>
      <c r="B25" s="141" t="s">
        <v>1612</v>
      </c>
      <c r="C25" s="217"/>
      <c r="D25" s="139" t="s">
        <v>3</v>
      </c>
      <c r="E25" s="141"/>
    </row>
    <row r="26" spans="1:5">
      <c r="A26" s="69">
        <f t="shared" si="0"/>
        <v>24</v>
      </c>
      <c r="B26" s="138" t="s">
        <v>1616</v>
      </c>
      <c r="C26" s="19"/>
      <c r="D26" s="139" t="s">
        <v>3</v>
      </c>
      <c r="E26" s="138"/>
    </row>
    <row r="27" spans="1:5">
      <c r="A27" s="69">
        <f t="shared" si="0"/>
        <v>25</v>
      </c>
      <c r="B27" s="141" t="s">
        <v>112</v>
      </c>
      <c r="C27" s="217"/>
      <c r="D27" s="139" t="s">
        <v>3</v>
      </c>
      <c r="E27" s="141"/>
    </row>
    <row r="28" spans="1:5">
      <c r="A28" s="69">
        <f t="shared" si="0"/>
        <v>26</v>
      </c>
      <c r="B28" s="138" t="s">
        <v>87</v>
      </c>
      <c r="C28" s="19"/>
      <c r="D28" s="139" t="s">
        <v>3</v>
      </c>
      <c r="E28" s="138"/>
    </row>
    <row r="29" spans="1:5">
      <c r="A29" s="69">
        <f t="shared" si="0"/>
        <v>27</v>
      </c>
      <c r="B29" s="141" t="s">
        <v>107</v>
      </c>
      <c r="C29" s="217"/>
      <c r="D29" s="139" t="s">
        <v>3</v>
      </c>
      <c r="E29" s="141"/>
    </row>
    <row r="30" spans="1:5">
      <c r="A30" s="69">
        <f t="shared" si="0"/>
        <v>28</v>
      </c>
      <c r="B30" s="138" t="s">
        <v>1661</v>
      </c>
      <c r="C30" s="19"/>
      <c r="D30" s="139" t="s">
        <v>3</v>
      </c>
      <c r="E30" s="138"/>
    </row>
    <row r="31" spans="1:5">
      <c r="A31" s="69">
        <f t="shared" si="0"/>
        <v>29</v>
      </c>
      <c r="B31" s="141" t="s">
        <v>1672</v>
      </c>
      <c r="C31" s="217"/>
      <c r="D31" s="139" t="s">
        <v>3</v>
      </c>
      <c r="E31" s="141"/>
    </row>
    <row r="32" spans="1:5">
      <c r="A32" s="69">
        <f t="shared" si="0"/>
        <v>30</v>
      </c>
      <c r="B32" s="138" t="s">
        <v>1676</v>
      </c>
      <c r="C32" s="19"/>
      <c r="D32" s="139" t="s">
        <v>3</v>
      </c>
      <c r="E32" s="138"/>
    </row>
    <row r="33" spans="1:5">
      <c r="A33" s="69">
        <f t="shared" si="0"/>
        <v>31</v>
      </c>
      <c r="B33" s="141" t="s">
        <v>1689</v>
      </c>
      <c r="C33" s="217"/>
      <c r="D33" s="139" t="s">
        <v>3</v>
      </c>
      <c r="E33" s="141"/>
    </row>
    <row r="34" spans="1:5">
      <c r="A34" s="69">
        <f t="shared" si="0"/>
        <v>32</v>
      </c>
      <c r="B34" s="138" t="s">
        <v>1695</v>
      </c>
      <c r="C34" s="19"/>
      <c r="D34" s="139" t="s">
        <v>3</v>
      </c>
      <c r="E34" s="138"/>
    </row>
    <row r="35" spans="1:5">
      <c r="A35" s="69">
        <f t="shared" si="0"/>
        <v>33</v>
      </c>
      <c r="B35" s="141" t="s">
        <v>1698</v>
      </c>
      <c r="C35" s="217"/>
      <c r="D35" s="139" t="s">
        <v>3</v>
      </c>
      <c r="E35" s="141"/>
    </row>
    <row r="36" spans="1:5">
      <c r="A36" s="69">
        <f t="shared" si="0"/>
        <v>34</v>
      </c>
      <c r="B36" s="138" t="s">
        <v>1701</v>
      </c>
      <c r="C36" s="19"/>
      <c r="D36" s="139" t="s">
        <v>3</v>
      </c>
      <c r="E36" s="138"/>
    </row>
    <row r="37" spans="1:5">
      <c r="A37" s="69">
        <f t="shared" si="0"/>
        <v>35</v>
      </c>
      <c r="B37" s="141" t="s">
        <v>1703</v>
      </c>
      <c r="C37" s="217"/>
      <c r="D37" s="139" t="s">
        <v>3</v>
      </c>
      <c r="E37" s="141"/>
    </row>
    <row r="38" spans="1:5">
      <c r="A38" s="69" t="str">
        <f t="shared" si="0"/>
        <v/>
      </c>
      <c r="B38" s="138"/>
      <c r="C38" s="19"/>
      <c r="D38" s="139"/>
      <c r="E38" s="138"/>
    </row>
    <row r="39" spans="1:5">
      <c r="A39" s="69" t="str">
        <f t="shared" si="0"/>
        <v/>
      </c>
      <c r="B39" s="141"/>
      <c r="C39" s="217"/>
      <c r="D39" s="139"/>
      <c r="E39" s="141"/>
    </row>
    <row r="40" spans="1:5">
      <c r="A40" s="69" t="str">
        <f t="shared" si="0"/>
        <v/>
      </c>
      <c r="B40" s="138"/>
      <c r="C40" s="19"/>
      <c r="D40" s="139"/>
      <c r="E40" s="138"/>
    </row>
    <row r="41" spans="1:5">
      <c r="A41" s="69" t="str">
        <f t="shared" si="0"/>
        <v/>
      </c>
      <c r="B41" s="141"/>
      <c r="C41" s="217"/>
      <c r="D41" s="139"/>
      <c r="E41" s="141"/>
    </row>
    <row r="42" spans="1:5">
      <c r="A42" s="69" t="str">
        <f t="shared" si="0"/>
        <v/>
      </c>
      <c r="B42" s="138"/>
      <c r="C42" s="19"/>
      <c r="D42" s="139"/>
      <c r="E42" s="138"/>
    </row>
    <row r="43" spans="1:5">
      <c r="A43" s="69" t="str">
        <f t="shared" si="0"/>
        <v/>
      </c>
      <c r="B43" s="141"/>
      <c r="C43" s="217"/>
      <c r="D43" s="139"/>
      <c r="E43" s="141"/>
    </row>
    <row r="44" spans="1:5">
      <c r="A44" s="69" t="str">
        <f t="shared" si="0"/>
        <v/>
      </c>
      <c r="B44" s="138"/>
      <c r="C44" s="19"/>
      <c r="D44" s="139"/>
      <c r="E44" s="138"/>
    </row>
    <row r="45" spans="1:5">
      <c r="A45" s="69" t="str">
        <f t="shared" si="0"/>
        <v/>
      </c>
      <c r="B45" s="141"/>
      <c r="C45" s="217"/>
      <c r="D45" s="139"/>
      <c r="E45" s="141"/>
    </row>
    <row r="46" spans="1:5">
      <c r="A46" s="69" t="str">
        <f t="shared" si="0"/>
        <v/>
      </c>
      <c r="B46" s="138"/>
      <c r="C46" s="19"/>
      <c r="D46" s="139"/>
      <c r="E46" s="138"/>
    </row>
    <row r="47" spans="1:5">
      <c r="A47" s="69" t="str">
        <f t="shared" si="0"/>
        <v/>
      </c>
      <c r="B47" s="141"/>
      <c r="C47" s="217"/>
      <c r="D47" s="139"/>
      <c r="E47" s="141"/>
    </row>
    <row r="48" spans="1:5">
      <c r="A48" s="69" t="str">
        <f t="shared" si="0"/>
        <v/>
      </c>
      <c r="B48" s="138"/>
      <c r="C48" s="19"/>
      <c r="D48" s="139"/>
      <c r="E48" s="138"/>
    </row>
    <row r="49" spans="1:5">
      <c r="A49" s="69" t="str">
        <f t="shared" si="0"/>
        <v/>
      </c>
      <c r="B49" s="141"/>
      <c r="C49" s="217"/>
      <c r="D49" s="139"/>
      <c r="E49" s="141"/>
    </row>
    <row r="50" spans="1:5">
      <c r="A50" s="69" t="str">
        <f t="shared" si="0"/>
        <v/>
      </c>
      <c r="B50" s="138"/>
      <c r="C50" s="19"/>
      <c r="D50" s="139"/>
      <c r="E50" s="138"/>
    </row>
    <row r="51" spans="1:5">
      <c r="A51" s="69" t="str">
        <f t="shared" si="0"/>
        <v/>
      </c>
      <c r="B51" s="141"/>
      <c r="C51" s="217"/>
      <c r="D51" s="139"/>
      <c r="E51" s="141"/>
    </row>
    <row r="52" spans="1:5">
      <c r="A52" s="69" t="str">
        <f t="shared" si="0"/>
        <v/>
      </c>
      <c r="B52" s="138"/>
      <c r="C52" s="19"/>
      <c r="D52" s="139"/>
      <c r="E52" s="138"/>
    </row>
    <row r="53" spans="1:5">
      <c r="A53" s="69" t="str">
        <f t="shared" si="0"/>
        <v/>
      </c>
      <c r="B53" s="141"/>
      <c r="C53" s="217"/>
      <c r="D53" s="139"/>
      <c r="E53" s="141"/>
    </row>
    <row r="54" spans="1:5">
      <c r="A54" s="69" t="str">
        <f t="shared" si="0"/>
        <v/>
      </c>
      <c r="B54" s="138"/>
      <c r="C54" s="19"/>
      <c r="D54" s="139"/>
      <c r="E54" s="138"/>
    </row>
    <row r="55" spans="1:5">
      <c r="A55" s="69" t="str">
        <f t="shared" si="0"/>
        <v/>
      </c>
      <c r="B55" s="141"/>
      <c r="C55" s="217"/>
      <c r="D55" s="139"/>
      <c r="E55" s="141"/>
    </row>
    <row r="56" spans="1:5">
      <c r="A56" s="69" t="str">
        <f t="shared" si="0"/>
        <v/>
      </c>
      <c r="B56" s="138"/>
      <c r="C56" s="19"/>
      <c r="D56" s="139"/>
      <c r="E56" s="138"/>
    </row>
    <row r="57" spans="1:5">
      <c r="A57" s="69" t="str">
        <f t="shared" si="0"/>
        <v/>
      </c>
      <c r="B57" s="141"/>
      <c r="C57" s="217"/>
      <c r="D57" s="139"/>
      <c r="E57" s="141"/>
    </row>
    <row r="58" spans="1:5">
      <c r="A58" s="69" t="str">
        <f t="shared" si="0"/>
        <v/>
      </c>
      <c r="B58" s="138"/>
      <c r="C58" s="19"/>
      <c r="D58" s="139"/>
      <c r="E58" s="138"/>
    </row>
    <row r="59" spans="1:5">
      <c r="A59" s="69" t="str">
        <f t="shared" si="0"/>
        <v/>
      </c>
      <c r="B59" s="141"/>
      <c r="C59" s="217"/>
      <c r="D59" s="139"/>
      <c r="E59" s="141"/>
    </row>
    <row r="60" spans="1:5">
      <c r="A60" s="69" t="str">
        <f t="shared" si="0"/>
        <v/>
      </c>
      <c r="B60" s="138"/>
      <c r="C60" s="19"/>
      <c r="D60" s="139"/>
      <c r="E60" s="138"/>
    </row>
    <row r="61" spans="1:5">
      <c r="A61" s="69" t="str">
        <f t="shared" si="0"/>
        <v/>
      </c>
      <c r="B61" s="141"/>
      <c r="C61" s="217"/>
      <c r="D61" s="139"/>
      <c r="E61" s="141"/>
    </row>
    <row r="62" spans="1:5">
      <c r="A62" s="69" t="str">
        <f t="shared" si="0"/>
        <v/>
      </c>
      <c r="B62" s="138"/>
      <c r="C62" s="19"/>
      <c r="D62" s="139"/>
      <c r="E62" s="138"/>
    </row>
    <row r="63" spans="1:5">
      <c r="A63" s="69" t="str">
        <f t="shared" si="0"/>
        <v/>
      </c>
      <c r="B63" s="141"/>
      <c r="C63" s="217"/>
      <c r="D63" s="139"/>
      <c r="E63" s="141"/>
    </row>
    <row r="64" spans="1:5">
      <c r="A64" s="69" t="str">
        <f t="shared" si="0"/>
        <v/>
      </c>
      <c r="B64" s="138"/>
      <c r="C64" s="19"/>
      <c r="D64" s="139"/>
      <c r="E64" s="138"/>
    </row>
    <row r="65" spans="1:5">
      <c r="A65" s="69" t="str">
        <f t="shared" si="0"/>
        <v/>
      </c>
      <c r="B65" s="141"/>
      <c r="C65" s="217"/>
      <c r="D65" s="139"/>
      <c r="E65" s="141"/>
    </row>
    <row r="66" spans="1:5">
      <c r="A66" s="69" t="str">
        <f t="shared" si="0"/>
        <v/>
      </c>
      <c r="B66" s="138"/>
      <c r="C66" s="19"/>
      <c r="D66" s="139"/>
      <c r="E66" s="138"/>
    </row>
    <row r="67" spans="1:5">
      <c r="A67" s="69" t="str">
        <f t="shared" si="0"/>
        <v/>
      </c>
      <c r="B67" s="141"/>
      <c r="C67" s="217"/>
      <c r="D67" s="139"/>
      <c r="E67" s="141"/>
    </row>
    <row r="68" spans="1:5">
      <c r="A68" s="69" t="str">
        <f t="shared" si="0"/>
        <v/>
      </c>
      <c r="B68" s="138"/>
      <c r="C68" s="19"/>
      <c r="D68" s="139"/>
      <c r="E68" s="138"/>
    </row>
    <row r="69" spans="1:5">
      <c r="A69" s="69" t="str">
        <f t="shared" si="0"/>
        <v/>
      </c>
      <c r="B69" s="141"/>
      <c r="C69" s="217"/>
      <c r="D69" s="139"/>
      <c r="E69" s="141"/>
    </row>
    <row r="70" spans="1:5">
      <c r="A70" s="69" t="str">
        <f t="shared" si="0"/>
        <v/>
      </c>
      <c r="B70" s="138"/>
      <c r="C70" s="19"/>
      <c r="D70" s="139"/>
      <c r="E70" s="138"/>
    </row>
    <row r="71" spans="1:5">
      <c r="A71" s="69" t="str">
        <f t="shared" si="0"/>
        <v/>
      </c>
      <c r="B71" s="141"/>
      <c r="C71" s="217"/>
      <c r="D71" s="139"/>
      <c r="E71" s="141"/>
    </row>
    <row r="72" spans="1:5">
      <c r="A72" s="69" t="str">
        <f t="shared" si="0"/>
        <v/>
      </c>
      <c r="B72" s="138"/>
      <c r="C72" s="19"/>
      <c r="D72" s="139"/>
      <c r="E72" s="138"/>
    </row>
    <row r="73" spans="1:5">
      <c r="A73" s="69" t="str">
        <f t="shared" si="0"/>
        <v/>
      </c>
      <c r="B73" s="141"/>
      <c r="C73" s="217"/>
      <c r="D73" s="139"/>
      <c r="E73" s="141"/>
    </row>
    <row r="74" spans="1:5">
      <c r="A74" s="69" t="str">
        <f t="shared" si="0"/>
        <v/>
      </c>
      <c r="B74" s="138"/>
      <c r="C74" s="19"/>
      <c r="D74" s="139"/>
      <c r="E74" s="138"/>
    </row>
    <row r="75" spans="1:5">
      <c r="A75" s="69" t="str">
        <f t="shared" si="0"/>
        <v/>
      </c>
      <c r="B75" s="141"/>
      <c r="C75" s="217"/>
      <c r="D75" s="139"/>
      <c r="E75" s="141"/>
    </row>
    <row r="76" spans="1:5">
      <c r="A76" s="69" t="str">
        <f t="shared" si="0"/>
        <v/>
      </c>
      <c r="B76" s="138"/>
      <c r="C76" s="19"/>
      <c r="D76" s="139"/>
      <c r="E76" s="138"/>
    </row>
    <row r="77" spans="1:5">
      <c r="A77" s="69" t="str">
        <f t="shared" si="0"/>
        <v/>
      </c>
      <c r="B77" s="141"/>
      <c r="C77" s="217"/>
      <c r="D77" s="139"/>
      <c r="E77" s="141"/>
    </row>
    <row r="78" spans="1:5">
      <c r="A78" s="69" t="str">
        <f t="shared" si="0"/>
        <v/>
      </c>
      <c r="B78" s="138"/>
      <c r="C78" s="19"/>
      <c r="D78" s="139"/>
      <c r="E78" s="138"/>
    </row>
    <row r="79" spans="1:5">
      <c r="A79" s="69" t="str">
        <f t="shared" si="0"/>
        <v/>
      </c>
      <c r="B79" s="141"/>
      <c r="C79" s="217"/>
      <c r="D79" s="139"/>
      <c r="E79" s="141"/>
    </row>
    <row r="80" spans="1:5">
      <c r="A80" s="69" t="str">
        <f t="shared" si="0"/>
        <v/>
      </c>
      <c r="B80" s="138"/>
      <c r="C80" s="19"/>
      <c r="D80" s="139"/>
      <c r="E80" s="138"/>
    </row>
    <row r="81" spans="1:5">
      <c r="A81" s="69" t="str">
        <f t="shared" si="0"/>
        <v/>
      </c>
      <c r="B81" s="141"/>
      <c r="C81" s="217"/>
      <c r="D81" s="139"/>
      <c r="E81" s="141"/>
    </row>
    <row r="82" spans="1:5">
      <c r="A82" s="69" t="str">
        <f t="shared" si="0"/>
        <v/>
      </c>
      <c r="B82" s="138"/>
      <c r="C82" s="19"/>
      <c r="D82" s="139"/>
      <c r="E82" s="138"/>
    </row>
    <row r="83" spans="1:5">
      <c r="A83" s="69" t="str">
        <f t="shared" si="0"/>
        <v/>
      </c>
      <c r="B83" s="141"/>
      <c r="C83" s="217"/>
      <c r="D83" s="139"/>
      <c r="E83" s="141"/>
    </row>
    <row r="84" spans="1:5">
      <c r="A84" s="69" t="str">
        <f t="shared" si="0"/>
        <v/>
      </c>
      <c r="B84" s="138"/>
      <c r="C84" s="19"/>
      <c r="D84" s="139"/>
      <c r="E84" s="138"/>
    </row>
    <row r="85" spans="1:5">
      <c r="A85" s="69" t="str">
        <f t="shared" si="0"/>
        <v/>
      </c>
      <c r="B85" s="141"/>
      <c r="C85" s="217"/>
      <c r="D85" s="139"/>
      <c r="E85" s="141"/>
    </row>
    <row r="86" spans="1:5">
      <c r="A86" s="69" t="str">
        <f t="shared" si="0"/>
        <v/>
      </c>
      <c r="B86" s="138"/>
      <c r="C86" s="19"/>
      <c r="D86" s="139"/>
      <c r="E86" s="138"/>
    </row>
    <row r="87" spans="1:5">
      <c r="A87" s="69" t="str">
        <f t="shared" si="0"/>
        <v/>
      </c>
      <c r="B87" s="141"/>
      <c r="C87" s="217"/>
      <c r="D87" s="139"/>
      <c r="E87" s="141"/>
    </row>
    <row r="88" spans="1:5">
      <c r="A88" s="69" t="str">
        <f t="shared" si="0"/>
        <v/>
      </c>
      <c r="B88" s="138"/>
      <c r="C88" s="19"/>
      <c r="D88" s="139"/>
      <c r="E88" s="138"/>
    </row>
    <row r="89" spans="1:5">
      <c r="A89" s="69" t="str">
        <f t="shared" si="0"/>
        <v/>
      </c>
      <c r="B89" s="141"/>
      <c r="C89" s="217"/>
      <c r="D89" s="139"/>
      <c r="E89" s="141"/>
    </row>
    <row r="90" spans="1:5">
      <c r="A90" s="69" t="str">
        <f t="shared" si="0"/>
        <v/>
      </c>
      <c r="B90" s="138"/>
      <c r="C90" s="19"/>
      <c r="D90" s="139"/>
      <c r="E90" s="138"/>
    </row>
    <row r="91" spans="1:5">
      <c r="A91" s="69" t="str">
        <f t="shared" si="0"/>
        <v/>
      </c>
      <c r="B91" s="141"/>
      <c r="C91" s="217"/>
      <c r="D91" s="139"/>
      <c r="E91" s="141"/>
    </row>
    <row r="92" spans="1:5">
      <c r="A92" s="69" t="str">
        <f t="shared" si="0"/>
        <v/>
      </c>
      <c r="B92" s="138"/>
      <c r="C92" s="19"/>
      <c r="D92" s="139"/>
      <c r="E92" s="138"/>
    </row>
    <row r="93" spans="1:5">
      <c r="A93" s="69" t="str">
        <f t="shared" si="0"/>
        <v/>
      </c>
      <c r="B93" s="141"/>
      <c r="C93" s="217"/>
      <c r="D93" s="139"/>
      <c r="E93" s="141"/>
    </row>
    <row r="94" spans="1:5">
      <c r="A94" s="69" t="str">
        <f t="shared" si="0"/>
        <v/>
      </c>
      <c r="B94" s="138"/>
      <c r="C94" s="19"/>
      <c r="D94" s="139"/>
      <c r="E94" s="138"/>
    </row>
    <row r="95" spans="1:5">
      <c r="A95" s="69" t="str">
        <f t="shared" si="0"/>
        <v/>
      </c>
      <c r="B95" s="141"/>
      <c r="C95" s="217"/>
      <c r="D95" s="139"/>
      <c r="E95" s="141"/>
    </row>
    <row r="96" spans="1:5">
      <c r="A96" s="69" t="str">
        <f t="shared" si="0"/>
        <v/>
      </c>
      <c r="B96" s="138"/>
      <c r="C96" s="19"/>
      <c r="D96" s="139"/>
      <c r="E96" s="138"/>
    </row>
    <row r="97" spans="1:5">
      <c r="A97" s="69" t="str">
        <f t="shared" si="0"/>
        <v/>
      </c>
      <c r="B97" s="141"/>
      <c r="C97" s="217"/>
      <c r="D97" s="139"/>
      <c r="E97" s="141"/>
    </row>
    <row r="98" spans="1:5">
      <c r="A98" s="69" t="str">
        <f t="shared" si="0"/>
        <v/>
      </c>
      <c r="B98" s="138"/>
      <c r="C98" s="19"/>
      <c r="D98" s="139"/>
      <c r="E98" s="138"/>
    </row>
    <row r="99" spans="1:5">
      <c r="A99" s="69" t="str">
        <f t="shared" si="0"/>
        <v/>
      </c>
      <c r="B99" s="141"/>
      <c r="C99" s="217"/>
      <c r="D99" s="139"/>
      <c r="E99" s="141"/>
    </row>
    <row r="100" spans="1:5">
      <c r="A100" s="69" t="str">
        <f t="shared" si="0"/>
        <v/>
      </c>
      <c r="B100" s="138"/>
      <c r="C100" s="19"/>
      <c r="D100" s="139"/>
      <c r="E100" s="138"/>
    </row>
    <row r="101" spans="1:5">
      <c r="A101" s="69" t="str">
        <f t="shared" si="0"/>
        <v/>
      </c>
      <c r="B101" s="141"/>
      <c r="C101" s="217"/>
      <c r="D101" s="139"/>
      <c r="E101" s="141"/>
    </row>
    <row r="102" spans="1:5">
      <c r="A102" s="69" t="str">
        <f t="shared" si="0"/>
        <v/>
      </c>
      <c r="B102" s="138"/>
      <c r="C102" s="19"/>
      <c r="D102" s="139"/>
      <c r="E102" s="138"/>
    </row>
    <row r="103" spans="1:5">
      <c r="A103" s="69" t="str">
        <f t="shared" si="0"/>
        <v/>
      </c>
      <c r="B103" s="141"/>
      <c r="C103" s="217"/>
      <c r="D103" s="139"/>
      <c r="E103" s="141"/>
    </row>
    <row r="104" spans="1:5">
      <c r="A104" s="69" t="str">
        <f t="shared" si="0"/>
        <v/>
      </c>
      <c r="B104" s="138"/>
      <c r="C104" s="19"/>
      <c r="D104" s="139"/>
      <c r="E104" s="138"/>
    </row>
    <row r="105" spans="1:5">
      <c r="A105" s="69" t="str">
        <f t="shared" si="0"/>
        <v/>
      </c>
      <c r="B105" s="141"/>
      <c r="C105" s="217"/>
      <c r="D105" s="139"/>
      <c r="E105" s="141"/>
    </row>
    <row r="106" spans="1:5">
      <c r="A106" s="69" t="str">
        <f t="shared" si="0"/>
        <v/>
      </c>
      <c r="B106" s="138"/>
      <c r="C106" s="19"/>
      <c r="D106" s="139"/>
      <c r="E106" s="138"/>
    </row>
    <row r="107" spans="1:5">
      <c r="A107" s="69" t="str">
        <f t="shared" si="0"/>
        <v/>
      </c>
      <c r="B107" s="141"/>
      <c r="C107" s="217"/>
      <c r="D107" s="139"/>
      <c r="E107" s="141"/>
    </row>
    <row r="108" spans="1:5">
      <c r="A108" s="69" t="str">
        <f t="shared" si="0"/>
        <v/>
      </c>
      <c r="B108" s="138"/>
      <c r="C108" s="19"/>
      <c r="D108" s="139"/>
      <c r="E108" s="138"/>
    </row>
    <row r="109" spans="1:5">
      <c r="A109" s="69" t="str">
        <f t="shared" si="0"/>
        <v/>
      </c>
      <c r="B109" s="141"/>
      <c r="C109" s="217"/>
      <c r="D109" s="139"/>
      <c r="E109" s="141"/>
    </row>
    <row r="110" spans="1:5">
      <c r="A110" s="69" t="str">
        <f t="shared" si="0"/>
        <v/>
      </c>
      <c r="B110" s="138"/>
      <c r="C110" s="19"/>
      <c r="D110" s="139"/>
      <c r="E110" s="138"/>
    </row>
    <row r="111" spans="1:5">
      <c r="A111" s="69" t="str">
        <f t="shared" si="0"/>
        <v/>
      </c>
      <c r="B111" s="141"/>
      <c r="C111" s="217"/>
      <c r="D111" s="139"/>
      <c r="E111" s="141"/>
    </row>
    <row r="112" spans="1:5">
      <c r="A112" s="69" t="str">
        <f t="shared" si="0"/>
        <v/>
      </c>
      <c r="B112" s="138"/>
      <c r="C112" s="19"/>
      <c r="D112" s="139"/>
      <c r="E112" s="138"/>
    </row>
    <row r="113" spans="1:5">
      <c r="A113" s="69" t="str">
        <f t="shared" si="0"/>
        <v/>
      </c>
      <c r="B113" s="141"/>
      <c r="C113" s="217"/>
      <c r="D113" s="139"/>
      <c r="E113" s="141"/>
    </row>
    <row r="114" spans="1:5">
      <c r="A114" s="69" t="str">
        <f t="shared" si="0"/>
        <v/>
      </c>
      <c r="B114" s="138"/>
      <c r="C114" s="19"/>
      <c r="D114" s="139"/>
      <c r="E114" s="138"/>
    </row>
    <row r="115" spans="1:5">
      <c r="A115" s="69" t="str">
        <f t="shared" si="0"/>
        <v/>
      </c>
      <c r="B115" s="141"/>
      <c r="C115" s="217"/>
      <c r="D115" s="139"/>
      <c r="E115" s="141"/>
    </row>
    <row r="116" spans="1:5">
      <c r="A116" s="69" t="str">
        <f t="shared" si="0"/>
        <v/>
      </c>
      <c r="B116" s="138"/>
      <c r="C116" s="19"/>
      <c r="D116" s="139"/>
      <c r="E116" s="138"/>
    </row>
    <row r="117" spans="1:5">
      <c r="A117" s="69" t="str">
        <f t="shared" si="0"/>
        <v/>
      </c>
      <c r="B117" s="141"/>
      <c r="C117" s="217"/>
      <c r="D117" s="139"/>
      <c r="E117" s="141"/>
    </row>
    <row r="118" spans="1:5">
      <c r="A118" s="69" t="str">
        <f t="shared" si="0"/>
        <v/>
      </c>
      <c r="B118" s="138"/>
      <c r="C118" s="19"/>
      <c r="D118" s="139"/>
      <c r="E118" s="138"/>
    </row>
    <row r="119" spans="1:5">
      <c r="A119" s="69" t="str">
        <f t="shared" si="0"/>
        <v/>
      </c>
      <c r="B119" s="141"/>
      <c r="C119" s="217"/>
      <c r="D119" s="139"/>
      <c r="E119" s="141"/>
    </row>
    <row r="120" spans="1:5">
      <c r="A120" s="69" t="str">
        <f t="shared" si="0"/>
        <v/>
      </c>
      <c r="B120" s="138"/>
      <c r="C120" s="19"/>
      <c r="D120" s="139"/>
      <c r="E120" s="138"/>
    </row>
    <row r="121" spans="1:5">
      <c r="A121" s="69" t="str">
        <f t="shared" si="0"/>
        <v/>
      </c>
      <c r="B121" s="141"/>
      <c r="C121" s="217"/>
      <c r="D121" s="139"/>
      <c r="E121" s="141"/>
    </row>
    <row r="122" spans="1:5">
      <c r="A122" s="69" t="str">
        <f t="shared" si="0"/>
        <v/>
      </c>
      <c r="B122" s="138"/>
      <c r="C122" s="19"/>
      <c r="D122" s="139"/>
      <c r="E122" s="138"/>
    </row>
    <row r="123" spans="1:5">
      <c r="A123" s="69" t="str">
        <f t="shared" si="0"/>
        <v/>
      </c>
      <c r="B123" s="141"/>
      <c r="C123" s="217"/>
      <c r="D123" s="139"/>
      <c r="E123" s="141"/>
    </row>
    <row r="124" spans="1:5">
      <c r="A124" s="69" t="str">
        <f t="shared" si="0"/>
        <v/>
      </c>
      <c r="B124" s="138"/>
      <c r="C124" s="19"/>
      <c r="D124" s="139"/>
      <c r="E124" s="138"/>
    </row>
    <row r="125" spans="1:5">
      <c r="A125" s="69" t="str">
        <f t="shared" si="0"/>
        <v/>
      </c>
      <c r="B125" s="141"/>
      <c r="C125" s="217"/>
      <c r="D125" s="139"/>
      <c r="E125" s="141"/>
    </row>
    <row r="126" spans="1:5">
      <c r="A126" s="69" t="str">
        <f t="shared" si="0"/>
        <v/>
      </c>
      <c r="B126" s="138"/>
      <c r="C126" s="19"/>
      <c r="D126" s="139"/>
      <c r="E126" s="138"/>
    </row>
    <row r="127" spans="1:5">
      <c r="A127" s="69" t="str">
        <f t="shared" si="0"/>
        <v/>
      </c>
      <c r="B127" s="141"/>
      <c r="C127" s="217"/>
      <c r="D127" s="139"/>
      <c r="E127" s="141"/>
    </row>
    <row r="128" spans="1:5">
      <c r="A128" s="69" t="str">
        <f t="shared" si="0"/>
        <v/>
      </c>
      <c r="B128" s="138"/>
      <c r="C128" s="19"/>
      <c r="D128" s="139"/>
      <c r="E128" s="138"/>
    </row>
    <row r="129" spans="1:5">
      <c r="A129" s="69" t="str">
        <f t="shared" si="0"/>
        <v/>
      </c>
      <c r="B129" s="141"/>
      <c r="C129" s="217"/>
      <c r="D129" s="139"/>
      <c r="E129" s="141"/>
    </row>
    <row r="130" spans="1:5">
      <c r="A130" s="69" t="str">
        <f t="shared" si="0"/>
        <v/>
      </c>
      <c r="B130" s="138"/>
      <c r="C130" s="19"/>
      <c r="D130" s="139"/>
      <c r="E130" s="138"/>
    </row>
    <row r="131" spans="1:5">
      <c r="A131" s="69" t="str">
        <f t="shared" si="0"/>
        <v/>
      </c>
      <c r="B131" s="141"/>
      <c r="C131" s="217"/>
      <c r="D131" s="139"/>
      <c r="E131" s="141"/>
    </row>
    <row r="132" spans="1:5">
      <c r="A132" s="69" t="str">
        <f t="shared" si="0"/>
        <v/>
      </c>
      <c r="B132" s="138"/>
      <c r="C132" s="19"/>
      <c r="D132" s="139"/>
      <c r="E132" s="138"/>
    </row>
    <row r="133" spans="1:5">
      <c r="A133" s="69" t="str">
        <f t="shared" si="0"/>
        <v/>
      </c>
      <c r="B133" s="141"/>
      <c r="C133" s="217"/>
      <c r="D133" s="139"/>
      <c r="E133" s="141"/>
    </row>
    <row r="134" spans="1:5">
      <c r="A134" s="69" t="str">
        <f t="shared" si="0"/>
        <v/>
      </c>
      <c r="B134" s="138"/>
      <c r="C134" s="19"/>
      <c r="D134" s="139"/>
      <c r="E134" s="138"/>
    </row>
    <row r="135" spans="1:5">
      <c r="A135" s="69" t="str">
        <f t="shared" si="0"/>
        <v/>
      </c>
      <c r="B135" s="141"/>
      <c r="C135" s="217"/>
      <c r="D135" s="139"/>
      <c r="E135" s="141"/>
    </row>
    <row r="136" spans="1:5">
      <c r="A136" s="69" t="str">
        <f t="shared" si="0"/>
        <v/>
      </c>
      <c r="B136" s="138"/>
      <c r="C136" s="19"/>
      <c r="D136" s="139"/>
      <c r="E136" s="138"/>
    </row>
    <row r="137" spans="1:5">
      <c r="A137" s="69" t="str">
        <f t="shared" si="0"/>
        <v/>
      </c>
      <c r="B137" s="141"/>
      <c r="C137" s="217"/>
      <c r="D137" s="139"/>
      <c r="E137" s="141"/>
    </row>
    <row r="138" spans="1:5">
      <c r="A138" s="69" t="str">
        <f t="shared" si="0"/>
        <v/>
      </c>
      <c r="B138" s="138"/>
      <c r="C138" s="19"/>
      <c r="D138" s="139"/>
      <c r="E138" s="138"/>
    </row>
    <row r="139" spans="1:5">
      <c r="A139" s="69" t="str">
        <f t="shared" si="0"/>
        <v/>
      </c>
      <c r="B139" s="141"/>
      <c r="C139" s="217"/>
      <c r="D139" s="139"/>
      <c r="E139" s="141"/>
    </row>
    <row r="140" spans="1:5">
      <c r="A140" s="69" t="str">
        <f t="shared" si="0"/>
        <v/>
      </c>
      <c r="B140" s="138"/>
      <c r="C140" s="19"/>
      <c r="D140" s="139"/>
      <c r="E140" s="138"/>
    </row>
    <row r="141" spans="1:5">
      <c r="A141" s="69" t="str">
        <f t="shared" si="0"/>
        <v/>
      </c>
      <c r="B141" s="141"/>
      <c r="C141" s="217"/>
      <c r="D141" s="139"/>
      <c r="E141" s="141"/>
    </row>
    <row r="142" spans="1:5">
      <c r="A142" s="69" t="str">
        <f t="shared" si="0"/>
        <v/>
      </c>
      <c r="B142" s="138"/>
      <c r="C142" s="19"/>
      <c r="D142" s="139"/>
      <c r="E142" s="138"/>
    </row>
    <row r="143" spans="1:5">
      <c r="A143" s="69" t="str">
        <f t="shared" si="0"/>
        <v/>
      </c>
      <c r="B143" s="141"/>
      <c r="C143" s="217"/>
      <c r="D143" s="139"/>
      <c r="E143" s="141"/>
    </row>
    <row r="144" spans="1:5">
      <c r="A144" s="69" t="str">
        <f t="shared" si="0"/>
        <v/>
      </c>
      <c r="B144" s="138"/>
      <c r="C144" s="19"/>
      <c r="D144" s="139"/>
      <c r="E144" s="138"/>
    </row>
    <row r="145" spans="1:5">
      <c r="A145" s="69" t="str">
        <f t="shared" si="0"/>
        <v/>
      </c>
      <c r="B145" s="141"/>
      <c r="C145" s="217"/>
      <c r="D145" s="139"/>
      <c r="E145" s="141"/>
    </row>
    <row r="146" spans="1:5">
      <c r="A146" s="69" t="str">
        <f t="shared" si="0"/>
        <v/>
      </c>
      <c r="B146" s="138"/>
      <c r="C146" s="19"/>
      <c r="D146" s="139"/>
      <c r="E146" s="138"/>
    </row>
    <row r="147" spans="1:5">
      <c r="A147" s="69" t="str">
        <f t="shared" si="0"/>
        <v/>
      </c>
      <c r="B147" s="141"/>
      <c r="C147" s="217"/>
      <c r="D147" s="139"/>
      <c r="E147" s="141"/>
    </row>
    <row r="148" spans="1:5">
      <c r="A148" s="69" t="str">
        <f t="shared" si="0"/>
        <v/>
      </c>
      <c r="B148" s="138"/>
      <c r="C148" s="19"/>
      <c r="D148" s="139"/>
      <c r="E148" s="138"/>
    </row>
    <row r="149" spans="1:5">
      <c r="A149" s="69" t="str">
        <f t="shared" si="0"/>
        <v/>
      </c>
      <c r="B149" s="141"/>
      <c r="C149" s="217"/>
      <c r="D149" s="139"/>
      <c r="E149" s="141"/>
    </row>
    <row r="150" spans="1:5">
      <c r="A150" s="69" t="str">
        <f t="shared" si="0"/>
        <v/>
      </c>
      <c r="B150" s="138"/>
      <c r="C150" s="19"/>
      <c r="D150" s="139"/>
      <c r="E150" s="138"/>
    </row>
    <row r="151" spans="1:5">
      <c r="A151" s="69" t="str">
        <f t="shared" si="0"/>
        <v/>
      </c>
      <c r="B151" s="141"/>
      <c r="C151" s="217"/>
      <c r="D151" s="139"/>
      <c r="E151" s="141"/>
    </row>
    <row r="152" spans="1:5">
      <c r="A152" s="69" t="str">
        <f t="shared" si="0"/>
        <v/>
      </c>
      <c r="B152" s="138"/>
      <c r="C152" s="19"/>
      <c r="D152" s="139"/>
      <c r="E152" s="138"/>
    </row>
    <row r="153" spans="1:5">
      <c r="A153" s="69" t="str">
        <f t="shared" si="0"/>
        <v/>
      </c>
      <c r="B153" s="141"/>
      <c r="C153" s="217"/>
      <c r="D153" s="139"/>
      <c r="E153" s="141"/>
    </row>
    <row r="154" spans="1:5">
      <c r="A154" s="69" t="str">
        <f t="shared" si="0"/>
        <v/>
      </c>
      <c r="B154" s="138"/>
      <c r="C154" s="19"/>
      <c r="D154" s="139"/>
      <c r="E154" s="138"/>
    </row>
    <row r="155" spans="1:5">
      <c r="A155" s="69" t="str">
        <f t="shared" si="0"/>
        <v/>
      </c>
      <c r="B155" s="141"/>
      <c r="C155" s="217"/>
      <c r="D155" s="139"/>
      <c r="E155" s="141"/>
    </row>
    <row r="156" spans="1:5">
      <c r="A156" s="69" t="str">
        <f t="shared" si="0"/>
        <v/>
      </c>
      <c r="B156" s="138"/>
      <c r="C156" s="19"/>
      <c r="D156" s="139"/>
      <c r="E156" s="138"/>
    </row>
    <row r="157" spans="1:5">
      <c r="A157" s="69" t="str">
        <f t="shared" si="0"/>
        <v/>
      </c>
      <c r="B157" s="141"/>
      <c r="C157" s="217"/>
      <c r="D157" s="139"/>
      <c r="E157" s="141"/>
    </row>
    <row r="158" spans="1:5">
      <c r="A158" s="69" t="str">
        <f t="shared" si="0"/>
        <v/>
      </c>
      <c r="B158" s="138"/>
      <c r="C158" s="19"/>
      <c r="D158" s="139"/>
      <c r="E158" s="138"/>
    </row>
    <row r="159" spans="1:5">
      <c r="A159" s="69" t="str">
        <f t="shared" si="0"/>
        <v/>
      </c>
      <c r="B159" s="141"/>
      <c r="C159" s="217"/>
      <c r="D159" s="139"/>
      <c r="E159" s="141"/>
    </row>
    <row r="160" spans="1:5">
      <c r="A160" s="69" t="str">
        <f t="shared" si="0"/>
        <v/>
      </c>
      <c r="B160" s="138"/>
      <c r="C160" s="19"/>
      <c r="D160" s="139"/>
      <c r="E160" s="138"/>
    </row>
    <row r="161" spans="1:5">
      <c r="A161" s="69" t="str">
        <f t="shared" si="0"/>
        <v/>
      </c>
      <c r="B161" s="141"/>
      <c r="C161" s="217"/>
      <c r="D161" s="139"/>
      <c r="E161" s="141"/>
    </row>
    <row r="162" spans="1:5">
      <c r="A162" s="69" t="str">
        <f t="shared" si="0"/>
        <v/>
      </c>
      <c r="B162" s="138"/>
      <c r="C162" s="19"/>
      <c r="D162" s="139"/>
      <c r="E162" s="138"/>
    </row>
    <row r="163" spans="1:5">
      <c r="A163" s="69" t="str">
        <f t="shared" si="0"/>
        <v/>
      </c>
      <c r="B163" s="141"/>
      <c r="C163" s="217"/>
      <c r="D163" s="139"/>
      <c r="E163" s="141"/>
    </row>
    <row r="164" spans="1:5">
      <c r="A164" s="69" t="str">
        <f t="shared" si="0"/>
        <v/>
      </c>
      <c r="B164" s="138"/>
      <c r="C164" s="19"/>
      <c r="D164" s="139"/>
      <c r="E164" s="138"/>
    </row>
    <row r="165" spans="1:5">
      <c r="A165" s="69" t="str">
        <f t="shared" si="0"/>
        <v/>
      </c>
      <c r="B165" s="141"/>
      <c r="C165" s="217"/>
      <c r="D165" s="139"/>
      <c r="E165" s="141"/>
    </row>
    <row r="166" spans="1:5">
      <c r="A166" s="69" t="str">
        <f t="shared" si="0"/>
        <v/>
      </c>
      <c r="B166" s="138"/>
      <c r="C166" s="19"/>
      <c r="D166" s="139"/>
      <c r="E166" s="138"/>
    </row>
    <row r="167" spans="1:5">
      <c r="A167" s="69" t="str">
        <f t="shared" si="0"/>
        <v/>
      </c>
      <c r="B167" s="141"/>
      <c r="C167" s="217"/>
      <c r="D167" s="139"/>
      <c r="E167" s="141"/>
    </row>
    <row r="168" spans="1:5">
      <c r="A168" s="69" t="str">
        <f t="shared" si="0"/>
        <v/>
      </c>
      <c r="B168" s="138"/>
      <c r="C168" s="19"/>
      <c r="D168" s="139"/>
      <c r="E168" s="138"/>
    </row>
    <row r="169" spans="1:5">
      <c r="A169" s="69" t="str">
        <f t="shared" si="0"/>
        <v/>
      </c>
      <c r="B169" s="141"/>
      <c r="C169" s="217"/>
      <c r="D169" s="139"/>
      <c r="E169" s="141"/>
    </row>
    <row r="170" spans="1:5">
      <c r="A170" s="69" t="str">
        <f t="shared" si="0"/>
        <v/>
      </c>
      <c r="B170" s="138"/>
      <c r="C170" s="19"/>
      <c r="D170" s="139"/>
      <c r="E170" s="138"/>
    </row>
    <row r="171" spans="1:5">
      <c r="A171" s="69" t="str">
        <f t="shared" si="0"/>
        <v/>
      </c>
      <c r="B171" s="141"/>
      <c r="C171" s="217"/>
      <c r="D171" s="139"/>
      <c r="E171" s="141"/>
    </row>
    <row r="172" spans="1:5">
      <c r="A172" s="69" t="str">
        <f t="shared" si="0"/>
        <v/>
      </c>
      <c r="B172" s="138"/>
      <c r="C172" s="19"/>
      <c r="D172" s="139"/>
      <c r="E172" s="138"/>
    </row>
    <row r="173" spans="1:5">
      <c r="A173" s="69" t="str">
        <f t="shared" si="0"/>
        <v/>
      </c>
      <c r="B173" s="141"/>
      <c r="C173" s="217"/>
      <c r="D173" s="139"/>
      <c r="E173" s="141"/>
    </row>
    <row r="174" spans="1:5">
      <c r="A174" s="69" t="str">
        <f t="shared" si="0"/>
        <v/>
      </c>
      <c r="B174" s="138"/>
      <c r="C174" s="19"/>
      <c r="D174" s="139"/>
      <c r="E174" s="138"/>
    </row>
    <row r="175" spans="1:5">
      <c r="A175" s="69" t="str">
        <f t="shared" si="0"/>
        <v/>
      </c>
      <c r="B175" s="141"/>
      <c r="C175" s="217"/>
      <c r="D175" s="139"/>
      <c r="E175" s="141"/>
    </row>
    <row r="176" spans="1:5">
      <c r="A176" s="69" t="str">
        <f t="shared" si="0"/>
        <v/>
      </c>
      <c r="B176" s="138"/>
      <c r="C176" s="19"/>
      <c r="D176" s="139"/>
      <c r="E176" s="138"/>
    </row>
    <row r="177" spans="1:5">
      <c r="A177" s="69" t="str">
        <f t="shared" si="0"/>
        <v/>
      </c>
      <c r="B177" s="141"/>
      <c r="C177" s="217"/>
      <c r="D177" s="139"/>
      <c r="E177" s="141"/>
    </row>
    <row r="178" spans="1:5">
      <c r="A178" s="69" t="str">
        <f t="shared" si="0"/>
        <v/>
      </c>
      <c r="B178" s="138"/>
      <c r="C178" s="19"/>
      <c r="D178" s="139"/>
      <c r="E178" s="138"/>
    </row>
    <row r="179" spans="1:5">
      <c r="A179" s="69" t="str">
        <f t="shared" si="0"/>
        <v/>
      </c>
      <c r="B179" s="141"/>
      <c r="C179" s="217"/>
      <c r="D179" s="139"/>
      <c r="E179" s="141"/>
    </row>
    <row r="180" spans="1:5">
      <c r="A180" s="69" t="str">
        <f t="shared" si="0"/>
        <v/>
      </c>
      <c r="B180" s="138"/>
      <c r="C180" s="19"/>
      <c r="D180" s="139"/>
      <c r="E180" s="138"/>
    </row>
    <row r="181" spans="1:5">
      <c r="A181" s="69" t="str">
        <f t="shared" si="0"/>
        <v/>
      </c>
      <c r="B181" s="141"/>
      <c r="C181" s="217"/>
      <c r="D181" s="139"/>
      <c r="E181" s="141"/>
    </row>
    <row r="182" spans="1:5">
      <c r="A182" s="69" t="str">
        <f t="shared" si="0"/>
        <v/>
      </c>
      <c r="B182" s="138"/>
      <c r="C182" s="19"/>
      <c r="D182" s="139"/>
      <c r="E182" s="138"/>
    </row>
    <row r="183" spans="1:5">
      <c r="A183" s="69" t="str">
        <f t="shared" si="0"/>
        <v/>
      </c>
      <c r="B183" s="141"/>
      <c r="C183" s="217"/>
      <c r="D183" s="139"/>
      <c r="E183" s="141"/>
    </row>
    <row r="184" spans="1:5">
      <c r="A184" s="69" t="str">
        <f t="shared" si="0"/>
        <v/>
      </c>
      <c r="B184" s="138"/>
      <c r="C184" s="19"/>
      <c r="D184" s="139"/>
      <c r="E184" s="138"/>
    </row>
    <row r="185" spans="1:5">
      <c r="A185" s="69" t="str">
        <f t="shared" si="0"/>
        <v/>
      </c>
      <c r="B185" s="141"/>
      <c r="C185" s="217"/>
      <c r="D185" s="139"/>
      <c r="E185" s="141"/>
    </row>
    <row r="186" spans="1:5">
      <c r="A186" s="69" t="str">
        <f t="shared" si="0"/>
        <v/>
      </c>
      <c r="B186" s="138"/>
      <c r="C186" s="19"/>
      <c r="D186" s="139"/>
      <c r="E186" s="138"/>
    </row>
    <row r="187" spans="1:5">
      <c r="A187" s="69" t="str">
        <f t="shared" si="0"/>
        <v/>
      </c>
      <c r="B187" s="141"/>
      <c r="C187" s="217"/>
      <c r="D187" s="139"/>
      <c r="E187" s="141"/>
    </row>
    <row r="188" spans="1:5">
      <c r="A188" s="69" t="str">
        <f t="shared" si="0"/>
        <v/>
      </c>
      <c r="B188" s="138"/>
      <c r="C188" s="19"/>
      <c r="D188" s="139"/>
      <c r="E188" s="138"/>
    </row>
    <row r="189" spans="1:5">
      <c r="A189" s="69" t="str">
        <f t="shared" si="0"/>
        <v/>
      </c>
      <c r="B189" s="141"/>
      <c r="C189" s="217"/>
      <c r="D189" s="139"/>
      <c r="E189" s="141"/>
    </row>
    <row r="190" spans="1:5">
      <c r="A190" s="69" t="str">
        <f t="shared" si="0"/>
        <v/>
      </c>
      <c r="B190" s="138"/>
      <c r="C190" s="19"/>
      <c r="D190" s="139"/>
      <c r="E190" s="138"/>
    </row>
    <row r="191" spans="1:5">
      <c r="A191" s="69" t="str">
        <f t="shared" si="0"/>
        <v/>
      </c>
      <c r="B191" s="141"/>
      <c r="C191" s="217"/>
      <c r="D191" s="139"/>
      <c r="E191" s="141"/>
    </row>
    <row r="192" spans="1:5">
      <c r="A192" s="69" t="str">
        <f t="shared" si="0"/>
        <v/>
      </c>
      <c r="B192" s="138"/>
      <c r="C192" s="19"/>
      <c r="D192" s="139"/>
      <c r="E192" s="138"/>
    </row>
    <row r="193" spans="1:5">
      <c r="A193" s="69" t="str">
        <f t="shared" si="0"/>
        <v/>
      </c>
      <c r="B193" s="141"/>
      <c r="C193" s="217"/>
      <c r="D193" s="139"/>
      <c r="E193" s="141"/>
    </row>
    <row r="194" spans="1:5">
      <c r="A194" s="69" t="str">
        <f t="shared" si="0"/>
        <v/>
      </c>
      <c r="B194" s="138"/>
      <c r="C194" s="19"/>
      <c r="D194" s="139"/>
      <c r="E194" s="138"/>
    </row>
    <row r="195" spans="1:5">
      <c r="A195" s="69" t="str">
        <f t="shared" si="0"/>
        <v/>
      </c>
      <c r="B195" s="141"/>
      <c r="C195" s="217"/>
      <c r="D195" s="139"/>
      <c r="E195" s="141"/>
    </row>
    <row r="196" spans="1:5">
      <c r="A196" s="69" t="str">
        <f t="shared" si="0"/>
        <v/>
      </c>
      <c r="B196" s="138"/>
      <c r="C196" s="19"/>
      <c r="D196" s="139"/>
      <c r="E196" s="138"/>
    </row>
    <row r="197" spans="1:5">
      <c r="A197" s="69" t="str">
        <f t="shared" si="0"/>
        <v/>
      </c>
      <c r="B197" s="141"/>
      <c r="C197" s="217"/>
      <c r="D197" s="139"/>
      <c r="E197" s="141"/>
    </row>
    <row r="198" spans="1:5">
      <c r="A198" s="69" t="str">
        <f t="shared" si="0"/>
        <v/>
      </c>
      <c r="B198" s="138"/>
      <c r="C198" s="19"/>
      <c r="D198" s="139"/>
      <c r="E198" s="138"/>
    </row>
    <row r="199" spans="1:5">
      <c r="A199" s="69" t="str">
        <f t="shared" si="0"/>
        <v/>
      </c>
      <c r="B199" s="141"/>
      <c r="C199" s="217"/>
      <c r="D199" s="139"/>
      <c r="E199" s="141"/>
    </row>
    <row r="200" spans="1:5">
      <c r="A200" s="69" t="str">
        <f t="shared" si="0"/>
        <v/>
      </c>
      <c r="B200" s="138"/>
      <c r="C200" s="19"/>
      <c r="D200" s="139"/>
      <c r="E200" s="138"/>
    </row>
    <row r="201" spans="1:5">
      <c r="A201" s="69" t="str">
        <f t="shared" si="0"/>
        <v/>
      </c>
      <c r="B201" s="141"/>
      <c r="C201" s="217"/>
      <c r="D201" s="139"/>
      <c r="E201" s="141"/>
    </row>
    <row r="202" spans="1:5">
      <c r="A202" s="69" t="str">
        <f t="shared" si="0"/>
        <v/>
      </c>
      <c r="B202" s="138"/>
      <c r="C202" s="19"/>
      <c r="D202" s="139"/>
      <c r="E202" s="138"/>
    </row>
    <row r="203" spans="1:5">
      <c r="A203" s="69" t="str">
        <f t="shared" si="0"/>
        <v/>
      </c>
      <c r="B203" s="141"/>
      <c r="C203" s="217"/>
      <c r="D203" s="139"/>
      <c r="E203" s="141"/>
    </row>
    <row r="204" spans="1:5">
      <c r="A204" s="69" t="str">
        <f t="shared" si="0"/>
        <v/>
      </c>
      <c r="B204" s="138"/>
      <c r="C204" s="19"/>
      <c r="D204" s="139"/>
      <c r="E204" s="138"/>
    </row>
    <row r="205" spans="1:5">
      <c r="A205" s="69" t="str">
        <f t="shared" si="0"/>
        <v/>
      </c>
      <c r="B205" s="141"/>
      <c r="C205" s="217"/>
      <c r="D205" s="139"/>
      <c r="E205" s="141"/>
    </row>
    <row r="206" spans="1:5">
      <c r="A206" s="69" t="str">
        <f t="shared" si="0"/>
        <v/>
      </c>
      <c r="B206" s="138"/>
      <c r="C206" s="19"/>
      <c r="D206" s="139"/>
      <c r="E206" s="138"/>
    </row>
    <row r="207" spans="1:5">
      <c r="A207" s="69" t="str">
        <f t="shared" si="0"/>
        <v/>
      </c>
      <c r="B207" s="141"/>
      <c r="C207" s="217"/>
      <c r="D207" s="139"/>
      <c r="E207" s="141"/>
    </row>
    <row r="208" spans="1:5">
      <c r="A208" s="69" t="str">
        <f t="shared" si="0"/>
        <v/>
      </c>
      <c r="B208" s="138"/>
      <c r="C208" s="19"/>
      <c r="D208" s="139"/>
      <c r="E208" s="138"/>
    </row>
    <row r="209" spans="1:5">
      <c r="A209" s="69" t="str">
        <f t="shared" si="0"/>
        <v/>
      </c>
      <c r="B209" s="141"/>
      <c r="C209" s="217"/>
      <c r="D209" s="139"/>
      <c r="E209" s="141"/>
    </row>
    <row r="210" spans="1:5">
      <c r="A210" s="69" t="str">
        <f t="shared" si="0"/>
        <v/>
      </c>
      <c r="B210" s="138"/>
      <c r="C210" s="19"/>
      <c r="D210" s="139"/>
      <c r="E210" s="138"/>
    </row>
    <row r="211" spans="1:5">
      <c r="A211" s="69" t="str">
        <f t="shared" si="0"/>
        <v/>
      </c>
      <c r="B211" s="141"/>
      <c r="C211" s="217"/>
      <c r="D211" s="139"/>
      <c r="E211" s="141"/>
    </row>
    <row r="212" spans="1:5">
      <c r="A212" s="69" t="str">
        <f t="shared" si="0"/>
        <v/>
      </c>
      <c r="B212" s="138"/>
      <c r="C212" s="19"/>
      <c r="D212" s="139"/>
      <c r="E212" s="138"/>
    </row>
    <row r="213" spans="1:5">
      <c r="A213" s="69" t="str">
        <f t="shared" si="0"/>
        <v/>
      </c>
      <c r="B213" s="141"/>
      <c r="C213" s="217"/>
      <c r="D213" s="139"/>
      <c r="E213" s="141"/>
    </row>
    <row r="214" spans="1:5">
      <c r="A214" s="69" t="str">
        <f t="shared" si="0"/>
        <v/>
      </c>
      <c r="B214" s="138"/>
      <c r="C214" s="19"/>
      <c r="D214" s="139"/>
      <c r="E214" s="138"/>
    </row>
    <row r="215" spans="1:5">
      <c r="A215" s="69" t="str">
        <f t="shared" si="0"/>
        <v/>
      </c>
      <c r="B215" s="141"/>
      <c r="C215" s="217"/>
      <c r="D215" s="139"/>
      <c r="E215" s="141"/>
    </row>
    <row r="216" spans="1:5">
      <c r="A216" s="69" t="str">
        <f t="shared" si="0"/>
        <v/>
      </c>
      <c r="B216" s="138"/>
      <c r="C216" s="19"/>
      <c r="D216" s="139"/>
      <c r="E216" s="138"/>
    </row>
    <row r="217" spans="1:5">
      <c r="A217" s="69" t="str">
        <f t="shared" si="0"/>
        <v/>
      </c>
      <c r="B217" s="141"/>
      <c r="C217" s="217"/>
      <c r="D217" s="139"/>
      <c r="E217" s="141"/>
    </row>
    <row r="218" spans="1:5">
      <c r="A218" s="69" t="str">
        <f t="shared" si="0"/>
        <v/>
      </c>
      <c r="B218" s="138"/>
      <c r="C218" s="19"/>
      <c r="D218" s="139"/>
      <c r="E218" s="138"/>
    </row>
    <row r="219" spans="1:5">
      <c r="A219" s="69" t="str">
        <f t="shared" si="0"/>
        <v/>
      </c>
      <c r="B219" s="141"/>
      <c r="C219" s="217"/>
      <c r="D219" s="139"/>
      <c r="E219" s="141"/>
    </row>
    <row r="220" spans="1:5">
      <c r="A220" s="69" t="str">
        <f t="shared" si="0"/>
        <v/>
      </c>
      <c r="B220" s="138"/>
      <c r="C220" s="19"/>
      <c r="D220" s="139"/>
      <c r="E220" s="138"/>
    </row>
    <row r="221" spans="1:5">
      <c r="A221" s="69" t="str">
        <f t="shared" si="0"/>
        <v/>
      </c>
      <c r="B221" s="141"/>
      <c r="C221" s="217"/>
      <c r="D221" s="139"/>
      <c r="E221" s="141"/>
    </row>
    <row r="222" spans="1:5">
      <c r="A222" s="69" t="str">
        <f t="shared" si="0"/>
        <v/>
      </c>
      <c r="B222" s="138"/>
      <c r="C222" s="19"/>
      <c r="D222" s="139"/>
      <c r="E222" s="138"/>
    </row>
    <row r="223" spans="1:5">
      <c r="A223" s="69" t="str">
        <f t="shared" si="0"/>
        <v/>
      </c>
      <c r="B223" s="141"/>
      <c r="C223" s="217"/>
      <c r="D223" s="139"/>
      <c r="E223" s="141"/>
    </row>
    <row r="224" spans="1:5">
      <c r="A224" s="69" t="str">
        <f t="shared" si="0"/>
        <v/>
      </c>
      <c r="B224" s="138"/>
      <c r="C224" s="19"/>
      <c r="D224" s="139"/>
      <c r="E224" s="138"/>
    </row>
    <row r="225" spans="1:5">
      <c r="A225" s="69" t="str">
        <f t="shared" si="0"/>
        <v/>
      </c>
      <c r="B225" s="141"/>
      <c r="C225" s="217"/>
      <c r="D225" s="139"/>
      <c r="E225" s="141"/>
    </row>
    <row r="226" spans="1:5">
      <c r="A226" s="69" t="str">
        <f t="shared" si="0"/>
        <v/>
      </c>
      <c r="B226" s="138"/>
      <c r="C226" s="19"/>
      <c r="D226" s="139"/>
      <c r="E226" s="138"/>
    </row>
    <row r="227" spans="1:5">
      <c r="A227" s="69" t="str">
        <f t="shared" si="0"/>
        <v/>
      </c>
      <c r="B227" s="141"/>
      <c r="C227" s="217"/>
      <c r="D227" s="139"/>
      <c r="E227" s="141"/>
    </row>
    <row r="228" spans="1:5">
      <c r="A228" s="69" t="str">
        <f t="shared" si="0"/>
        <v/>
      </c>
      <c r="B228" s="138"/>
      <c r="C228" s="19"/>
      <c r="D228" s="139"/>
      <c r="E228" s="138"/>
    </row>
    <row r="229" spans="1:5">
      <c r="A229" s="69" t="str">
        <f t="shared" si="0"/>
        <v/>
      </c>
      <c r="B229" s="141"/>
      <c r="C229" s="217"/>
      <c r="D229" s="139"/>
      <c r="E229" s="141"/>
    </row>
    <row r="230" spans="1:5">
      <c r="A230" s="69" t="str">
        <f t="shared" si="0"/>
        <v/>
      </c>
      <c r="B230" s="138"/>
      <c r="C230" s="19"/>
      <c r="D230" s="139"/>
      <c r="E230" s="138"/>
    </row>
    <row r="231" spans="1:5">
      <c r="A231" s="69" t="str">
        <f t="shared" si="0"/>
        <v/>
      </c>
      <c r="B231" s="141"/>
      <c r="C231" s="217"/>
      <c r="D231" s="139"/>
      <c r="E231" s="141"/>
    </row>
    <row r="232" spans="1:5">
      <c r="A232" s="69" t="str">
        <f t="shared" si="0"/>
        <v/>
      </c>
      <c r="B232" s="138"/>
      <c r="C232" s="19"/>
      <c r="D232" s="139"/>
      <c r="E232" s="138"/>
    </row>
    <row r="233" spans="1:5">
      <c r="A233" s="69" t="str">
        <f t="shared" si="0"/>
        <v/>
      </c>
      <c r="B233" s="141"/>
      <c r="C233" s="217"/>
      <c r="D233" s="139"/>
      <c r="E233" s="141"/>
    </row>
    <row r="234" spans="1:5">
      <c r="A234" s="69" t="str">
        <f t="shared" si="0"/>
        <v/>
      </c>
      <c r="B234" s="138"/>
      <c r="C234" s="19"/>
      <c r="D234" s="139"/>
      <c r="E234" s="138"/>
    </row>
    <row r="235" spans="1:5">
      <c r="A235" s="69" t="str">
        <f t="shared" si="0"/>
        <v/>
      </c>
      <c r="B235" s="141"/>
      <c r="C235" s="217"/>
      <c r="D235" s="139"/>
      <c r="E235" s="141"/>
    </row>
    <row r="236" spans="1:5">
      <c r="A236" s="69" t="str">
        <f t="shared" si="0"/>
        <v/>
      </c>
      <c r="B236" s="138"/>
      <c r="C236" s="19"/>
      <c r="D236" s="139"/>
      <c r="E236" s="138"/>
    </row>
    <row r="237" spans="1:5">
      <c r="A237" s="69" t="str">
        <f t="shared" si="0"/>
        <v/>
      </c>
      <c r="B237" s="141"/>
      <c r="C237" s="217"/>
      <c r="D237" s="139"/>
      <c r="E237" s="141"/>
    </row>
    <row r="238" spans="1:5">
      <c r="A238" s="69" t="str">
        <f t="shared" si="0"/>
        <v/>
      </c>
      <c r="B238" s="138"/>
      <c r="C238" s="19"/>
      <c r="D238" s="139"/>
      <c r="E238" s="138"/>
    </row>
    <row r="239" spans="1:5">
      <c r="A239" s="69" t="str">
        <f t="shared" si="0"/>
        <v/>
      </c>
      <c r="B239" s="141"/>
      <c r="C239" s="217"/>
      <c r="D239" s="139"/>
      <c r="E239" s="141"/>
    </row>
    <row r="240" spans="1:5">
      <c r="A240" s="69" t="str">
        <f t="shared" si="0"/>
        <v/>
      </c>
      <c r="B240" s="138"/>
      <c r="C240" s="19"/>
      <c r="D240" s="139"/>
      <c r="E240" s="138"/>
    </row>
    <row r="241" spans="1:5">
      <c r="A241" s="69" t="str">
        <f t="shared" si="0"/>
        <v/>
      </c>
      <c r="B241" s="141"/>
      <c r="C241" s="217"/>
      <c r="D241" s="139"/>
      <c r="E241" s="141"/>
    </row>
    <row r="242" spans="1:5">
      <c r="A242" s="69" t="str">
        <f t="shared" si="0"/>
        <v/>
      </c>
      <c r="B242" s="138"/>
      <c r="C242" s="19"/>
      <c r="D242" s="139"/>
      <c r="E242" s="138"/>
    </row>
    <row r="243" spans="1:5">
      <c r="A243" s="69" t="str">
        <f t="shared" si="0"/>
        <v/>
      </c>
      <c r="B243" s="141"/>
      <c r="C243" s="217"/>
      <c r="D243" s="139"/>
      <c r="E243" s="141"/>
    </row>
    <row r="244" spans="1:5">
      <c r="A244" s="69" t="str">
        <f t="shared" si="0"/>
        <v/>
      </c>
      <c r="B244" s="138"/>
      <c r="C244" s="19"/>
      <c r="D244" s="139"/>
      <c r="E244" s="138"/>
    </row>
    <row r="245" spans="1:5">
      <c r="A245" s="69" t="str">
        <f t="shared" si="0"/>
        <v/>
      </c>
      <c r="B245" s="141"/>
      <c r="C245" s="217"/>
      <c r="D245" s="139"/>
      <c r="E245" s="141"/>
    </row>
    <row r="246" spans="1:5">
      <c r="A246" s="69" t="str">
        <f t="shared" si="0"/>
        <v/>
      </c>
      <c r="B246" s="138"/>
      <c r="C246" s="19"/>
      <c r="D246" s="139"/>
      <c r="E246" s="138"/>
    </row>
    <row r="247" spans="1:5">
      <c r="A247" s="69" t="str">
        <f t="shared" si="0"/>
        <v/>
      </c>
      <c r="B247" s="141"/>
      <c r="C247" s="217"/>
      <c r="D247" s="139"/>
      <c r="E247" s="141"/>
    </row>
    <row r="248" spans="1:5">
      <c r="A248" s="69" t="str">
        <f t="shared" si="0"/>
        <v/>
      </c>
      <c r="B248" s="138"/>
      <c r="C248" s="19"/>
      <c r="D248" s="139"/>
      <c r="E248" s="138"/>
    </row>
    <row r="249" spans="1:5">
      <c r="A249" s="69" t="str">
        <f t="shared" si="0"/>
        <v/>
      </c>
      <c r="B249" s="141"/>
      <c r="C249" s="217"/>
      <c r="D249" s="139"/>
      <c r="E249" s="141"/>
    </row>
    <row r="250" spans="1:5">
      <c r="A250" s="69" t="str">
        <f t="shared" si="0"/>
        <v/>
      </c>
      <c r="B250" s="138"/>
      <c r="C250" s="19"/>
      <c r="D250" s="139"/>
      <c r="E250" s="138"/>
    </row>
    <row r="251" spans="1:5">
      <c r="A251" s="69" t="str">
        <f t="shared" si="0"/>
        <v/>
      </c>
      <c r="B251" s="141"/>
      <c r="C251" s="217"/>
      <c r="D251" s="139"/>
      <c r="E251" s="141"/>
    </row>
    <row r="252" spans="1:5">
      <c r="A252" s="69" t="str">
        <f t="shared" si="0"/>
        <v/>
      </c>
      <c r="B252" s="138"/>
      <c r="C252" s="19"/>
      <c r="D252" s="139"/>
      <c r="E252" s="138"/>
    </row>
    <row r="253" spans="1:5">
      <c r="A253" s="69" t="str">
        <f t="shared" si="0"/>
        <v/>
      </c>
      <c r="B253" s="141"/>
      <c r="C253" s="217"/>
      <c r="D253" s="139"/>
      <c r="E253" s="141"/>
    </row>
    <row r="254" spans="1:5">
      <c r="A254" s="69" t="str">
        <f t="shared" si="0"/>
        <v/>
      </c>
      <c r="B254" s="138"/>
      <c r="C254" s="19"/>
      <c r="D254" s="139"/>
      <c r="E254" s="138"/>
    </row>
    <row r="255" spans="1:5">
      <c r="A255" s="69" t="str">
        <f t="shared" si="0"/>
        <v/>
      </c>
      <c r="B255" s="141"/>
      <c r="C255" s="217"/>
      <c r="D255" s="139"/>
      <c r="E255" s="141"/>
    </row>
    <row r="256" spans="1:5">
      <c r="A256" s="69" t="str">
        <f t="shared" si="0"/>
        <v/>
      </c>
      <c r="B256" s="138"/>
      <c r="C256" s="19"/>
      <c r="D256" s="139"/>
      <c r="E256" s="138"/>
    </row>
    <row r="257" spans="1:5">
      <c r="A257" s="69" t="str">
        <f t="shared" si="0"/>
        <v/>
      </c>
      <c r="B257" s="141"/>
      <c r="C257" s="217"/>
      <c r="D257" s="139"/>
      <c r="E257" s="141"/>
    </row>
    <row r="258" spans="1:5">
      <c r="A258" s="69" t="str">
        <f t="shared" ref="A258:A512" si="1">IF(B258="","",ROW()-2)</f>
        <v/>
      </c>
      <c r="B258" s="138"/>
      <c r="C258" s="19"/>
      <c r="D258" s="139"/>
      <c r="E258" s="138"/>
    </row>
    <row r="259" spans="1:5">
      <c r="A259" s="69" t="str">
        <f t="shared" si="1"/>
        <v/>
      </c>
      <c r="B259" s="141"/>
      <c r="C259" s="217"/>
      <c r="D259" s="139"/>
      <c r="E259" s="141"/>
    </row>
    <row r="260" spans="1:5">
      <c r="A260" s="69" t="str">
        <f t="shared" si="1"/>
        <v/>
      </c>
      <c r="B260" s="138"/>
      <c r="C260" s="19"/>
      <c r="D260" s="139"/>
      <c r="E260" s="138"/>
    </row>
    <row r="261" spans="1:5">
      <c r="A261" s="69" t="str">
        <f t="shared" si="1"/>
        <v/>
      </c>
      <c r="B261" s="141"/>
      <c r="C261" s="217"/>
      <c r="D261" s="139"/>
      <c r="E261" s="141"/>
    </row>
    <row r="262" spans="1:5">
      <c r="A262" s="69" t="str">
        <f t="shared" si="1"/>
        <v/>
      </c>
      <c r="B262" s="138"/>
      <c r="C262" s="19"/>
      <c r="D262" s="139"/>
      <c r="E262" s="138"/>
    </row>
    <row r="263" spans="1:5">
      <c r="A263" s="69" t="str">
        <f t="shared" si="1"/>
        <v/>
      </c>
      <c r="B263" s="141"/>
      <c r="C263" s="217"/>
      <c r="D263" s="139"/>
      <c r="E263" s="141"/>
    </row>
    <row r="264" spans="1:5">
      <c r="A264" s="69" t="str">
        <f t="shared" si="1"/>
        <v/>
      </c>
      <c r="B264" s="138"/>
      <c r="C264" s="19"/>
      <c r="D264" s="139"/>
      <c r="E264" s="138"/>
    </row>
    <row r="265" spans="1:5">
      <c r="A265" s="69" t="str">
        <f t="shared" si="1"/>
        <v/>
      </c>
      <c r="B265" s="141"/>
      <c r="C265" s="217"/>
      <c r="D265" s="139"/>
      <c r="E265" s="141"/>
    </row>
    <row r="266" spans="1:5">
      <c r="A266" s="69" t="str">
        <f t="shared" si="1"/>
        <v/>
      </c>
      <c r="B266" s="138"/>
      <c r="C266" s="19"/>
      <c r="D266" s="139"/>
      <c r="E266" s="138"/>
    </row>
    <row r="267" spans="1:5">
      <c r="A267" s="69" t="str">
        <f t="shared" si="1"/>
        <v/>
      </c>
      <c r="B267" s="141"/>
      <c r="C267" s="217"/>
      <c r="D267" s="139"/>
      <c r="E267" s="141"/>
    </row>
    <row r="268" spans="1:5">
      <c r="A268" s="69" t="str">
        <f t="shared" si="1"/>
        <v/>
      </c>
      <c r="B268" s="138"/>
      <c r="C268" s="19"/>
      <c r="D268" s="139"/>
      <c r="E268" s="138"/>
    </row>
    <row r="269" spans="1:5">
      <c r="A269" s="69" t="str">
        <f t="shared" si="1"/>
        <v/>
      </c>
      <c r="B269" s="141"/>
      <c r="C269" s="217"/>
      <c r="D269" s="139"/>
      <c r="E269" s="141"/>
    </row>
    <row r="270" spans="1:5">
      <c r="A270" s="69" t="str">
        <f t="shared" si="1"/>
        <v/>
      </c>
      <c r="B270" s="138"/>
      <c r="C270" s="19"/>
      <c r="D270" s="139"/>
      <c r="E270" s="138"/>
    </row>
    <row r="271" spans="1:5">
      <c r="A271" s="69" t="str">
        <f t="shared" si="1"/>
        <v/>
      </c>
      <c r="B271" s="141"/>
      <c r="C271" s="217"/>
      <c r="D271" s="139"/>
      <c r="E271" s="141"/>
    </row>
    <row r="272" spans="1:5">
      <c r="A272" s="69" t="str">
        <f t="shared" si="1"/>
        <v/>
      </c>
      <c r="B272" s="138"/>
      <c r="C272" s="19"/>
      <c r="D272" s="139"/>
      <c r="E272" s="138"/>
    </row>
    <row r="273" spans="1:5">
      <c r="A273" s="69" t="str">
        <f t="shared" si="1"/>
        <v/>
      </c>
      <c r="B273" s="141"/>
      <c r="C273" s="217"/>
      <c r="D273" s="139"/>
      <c r="E273" s="141"/>
    </row>
    <row r="274" spans="1:5">
      <c r="A274" s="69" t="str">
        <f t="shared" si="1"/>
        <v/>
      </c>
      <c r="B274" s="138"/>
      <c r="C274" s="19"/>
      <c r="D274" s="139"/>
      <c r="E274" s="138"/>
    </row>
    <row r="275" spans="1:5">
      <c r="A275" s="69" t="str">
        <f t="shared" si="1"/>
        <v/>
      </c>
      <c r="B275" s="141"/>
      <c r="C275" s="217"/>
      <c r="D275" s="139"/>
      <c r="E275" s="141"/>
    </row>
    <row r="276" spans="1:5">
      <c r="A276" s="69" t="str">
        <f t="shared" si="1"/>
        <v/>
      </c>
      <c r="B276" s="138"/>
      <c r="C276" s="19"/>
      <c r="D276" s="139"/>
      <c r="E276" s="138"/>
    </row>
    <row r="277" spans="1:5">
      <c r="A277" s="69" t="str">
        <f t="shared" si="1"/>
        <v/>
      </c>
      <c r="B277" s="141"/>
      <c r="C277" s="217"/>
      <c r="D277" s="139"/>
      <c r="E277" s="141"/>
    </row>
    <row r="278" spans="1:5">
      <c r="A278" s="69" t="str">
        <f t="shared" si="1"/>
        <v/>
      </c>
      <c r="B278" s="138"/>
      <c r="C278" s="19"/>
      <c r="D278" s="139"/>
      <c r="E278" s="138"/>
    </row>
    <row r="279" spans="1:5">
      <c r="A279" s="69" t="str">
        <f t="shared" si="1"/>
        <v/>
      </c>
      <c r="B279" s="141"/>
      <c r="C279" s="217"/>
      <c r="D279" s="139"/>
      <c r="E279" s="141"/>
    </row>
    <row r="280" spans="1:5">
      <c r="A280" s="69" t="str">
        <f t="shared" si="1"/>
        <v/>
      </c>
      <c r="B280" s="138"/>
      <c r="C280" s="19"/>
      <c r="D280" s="139"/>
      <c r="E280" s="138"/>
    </row>
    <row r="281" spans="1:5">
      <c r="A281" s="69" t="str">
        <f t="shared" si="1"/>
        <v/>
      </c>
      <c r="B281" s="141"/>
      <c r="C281" s="217"/>
      <c r="D281" s="139"/>
      <c r="E281" s="141"/>
    </row>
    <row r="282" spans="1:5">
      <c r="A282" s="69" t="str">
        <f t="shared" si="1"/>
        <v/>
      </c>
      <c r="B282" s="138"/>
      <c r="C282" s="19"/>
      <c r="D282" s="139"/>
      <c r="E282" s="138"/>
    </row>
    <row r="283" spans="1:5">
      <c r="A283" s="69" t="str">
        <f t="shared" si="1"/>
        <v/>
      </c>
      <c r="B283" s="141"/>
      <c r="C283" s="217"/>
      <c r="D283" s="139"/>
      <c r="E283" s="141"/>
    </row>
    <row r="284" spans="1:5">
      <c r="A284" s="69" t="str">
        <f t="shared" si="1"/>
        <v/>
      </c>
      <c r="B284" s="138"/>
      <c r="C284" s="19"/>
      <c r="D284" s="139"/>
      <c r="E284" s="138"/>
    </row>
    <row r="285" spans="1:5">
      <c r="A285" s="69" t="str">
        <f t="shared" si="1"/>
        <v/>
      </c>
      <c r="B285" s="141"/>
      <c r="C285" s="217"/>
      <c r="D285" s="139"/>
      <c r="E285" s="141"/>
    </row>
    <row r="286" spans="1:5">
      <c r="A286" s="69" t="str">
        <f t="shared" si="1"/>
        <v/>
      </c>
      <c r="B286" s="138"/>
      <c r="C286" s="19"/>
      <c r="D286" s="139"/>
      <c r="E286" s="138"/>
    </row>
    <row r="287" spans="1:5">
      <c r="A287" s="69" t="str">
        <f t="shared" si="1"/>
        <v/>
      </c>
      <c r="B287" s="141"/>
      <c r="C287" s="217"/>
      <c r="D287" s="139"/>
      <c r="E287" s="141"/>
    </row>
    <row r="288" spans="1:5">
      <c r="A288" s="69" t="str">
        <f t="shared" si="1"/>
        <v/>
      </c>
      <c r="B288" s="138"/>
      <c r="C288" s="19"/>
      <c r="D288" s="139"/>
      <c r="E288" s="138"/>
    </row>
    <row r="289" spans="1:5">
      <c r="A289" s="69" t="str">
        <f t="shared" si="1"/>
        <v/>
      </c>
      <c r="B289" s="141"/>
      <c r="C289" s="217"/>
      <c r="D289" s="139"/>
      <c r="E289" s="141"/>
    </row>
    <row r="290" spans="1:5">
      <c r="A290" s="69" t="str">
        <f t="shared" si="1"/>
        <v/>
      </c>
      <c r="B290" s="138"/>
      <c r="C290" s="19"/>
      <c r="D290" s="139"/>
      <c r="E290" s="138"/>
    </row>
    <row r="291" spans="1:5">
      <c r="A291" s="69" t="str">
        <f t="shared" si="1"/>
        <v/>
      </c>
      <c r="B291" s="141"/>
      <c r="C291" s="217"/>
      <c r="D291" s="139"/>
      <c r="E291" s="141"/>
    </row>
    <row r="292" spans="1:5">
      <c r="A292" s="69" t="str">
        <f t="shared" si="1"/>
        <v/>
      </c>
      <c r="B292" s="138"/>
      <c r="C292" s="19"/>
      <c r="D292" s="139"/>
      <c r="E292" s="138"/>
    </row>
    <row r="293" spans="1:5">
      <c r="A293" s="69" t="str">
        <f t="shared" si="1"/>
        <v/>
      </c>
      <c r="B293" s="141"/>
      <c r="C293" s="217"/>
      <c r="D293" s="139"/>
      <c r="E293" s="141"/>
    </row>
    <row r="294" spans="1:5">
      <c r="A294" s="69" t="str">
        <f t="shared" si="1"/>
        <v/>
      </c>
      <c r="B294" s="138"/>
      <c r="C294" s="19"/>
      <c r="D294" s="139"/>
      <c r="E294" s="138"/>
    </row>
    <row r="295" spans="1:5">
      <c r="A295" s="69" t="str">
        <f t="shared" si="1"/>
        <v/>
      </c>
      <c r="B295" s="141"/>
      <c r="C295" s="217"/>
      <c r="D295" s="139"/>
      <c r="E295" s="141"/>
    </row>
    <row r="296" spans="1:5">
      <c r="A296" s="69" t="str">
        <f t="shared" si="1"/>
        <v/>
      </c>
      <c r="B296" s="138"/>
      <c r="C296" s="19"/>
      <c r="D296" s="139"/>
      <c r="E296" s="138"/>
    </row>
    <row r="297" spans="1:5">
      <c r="A297" s="69" t="str">
        <f t="shared" si="1"/>
        <v/>
      </c>
      <c r="B297" s="141"/>
      <c r="C297" s="217"/>
      <c r="D297" s="139"/>
      <c r="E297" s="141"/>
    </row>
    <row r="298" spans="1:5">
      <c r="A298" s="69" t="str">
        <f t="shared" si="1"/>
        <v/>
      </c>
      <c r="B298" s="138"/>
      <c r="C298" s="19"/>
      <c r="D298" s="139"/>
      <c r="E298" s="138"/>
    </row>
    <row r="299" spans="1:5">
      <c r="A299" s="69" t="str">
        <f t="shared" si="1"/>
        <v/>
      </c>
      <c r="B299" s="141"/>
      <c r="C299" s="217"/>
      <c r="D299" s="139"/>
      <c r="E299" s="141"/>
    </row>
    <row r="300" spans="1:5">
      <c r="A300" s="69" t="str">
        <f t="shared" si="1"/>
        <v/>
      </c>
      <c r="B300" s="138"/>
      <c r="C300" s="19"/>
      <c r="D300" s="139"/>
      <c r="E300" s="138"/>
    </row>
    <row r="301" spans="1:5">
      <c r="A301" s="69" t="str">
        <f t="shared" si="1"/>
        <v/>
      </c>
      <c r="B301" s="141"/>
      <c r="C301" s="217"/>
      <c r="D301" s="139"/>
      <c r="E301" s="141"/>
    </row>
    <row r="302" spans="1:5">
      <c r="A302" s="69" t="str">
        <f t="shared" si="1"/>
        <v/>
      </c>
      <c r="B302" s="138"/>
      <c r="C302" s="19"/>
      <c r="D302" s="139"/>
      <c r="E302" s="138"/>
    </row>
    <row r="303" spans="1:5">
      <c r="A303" s="69" t="str">
        <f t="shared" si="1"/>
        <v/>
      </c>
      <c r="B303" s="141"/>
      <c r="C303" s="217"/>
      <c r="D303" s="139"/>
      <c r="E303" s="141"/>
    </row>
    <row r="304" spans="1:5">
      <c r="A304" s="69" t="str">
        <f t="shared" si="1"/>
        <v/>
      </c>
      <c r="B304" s="138"/>
      <c r="C304" s="19"/>
      <c r="D304" s="139"/>
      <c r="E304" s="138"/>
    </row>
    <row r="305" spans="1:5">
      <c r="A305" s="69" t="str">
        <f t="shared" si="1"/>
        <v/>
      </c>
      <c r="B305" s="141"/>
      <c r="C305" s="217"/>
      <c r="D305" s="139"/>
      <c r="E305" s="141"/>
    </row>
    <row r="306" spans="1:5">
      <c r="A306" s="69" t="str">
        <f t="shared" si="1"/>
        <v/>
      </c>
      <c r="B306" s="138"/>
      <c r="C306" s="19"/>
      <c r="D306" s="139"/>
      <c r="E306" s="138"/>
    </row>
    <row r="307" spans="1:5">
      <c r="A307" s="69" t="str">
        <f t="shared" si="1"/>
        <v/>
      </c>
      <c r="B307" s="141"/>
      <c r="C307" s="217"/>
      <c r="D307" s="139"/>
      <c r="E307" s="141"/>
    </row>
    <row r="308" spans="1:5">
      <c r="A308" s="69" t="str">
        <f t="shared" si="1"/>
        <v/>
      </c>
      <c r="B308" s="138"/>
      <c r="C308" s="19"/>
      <c r="D308" s="139"/>
      <c r="E308" s="138"/>
    </row>
    <row r="309" spans="1:5">
      <c r="A309" s="69" t="str">
        <f t="shared" si="1"/>
        <v/>
      </c>
      <c r="B309" s="141"/>
      <c r="C309" s="217"/>
      <c r="D309" s="139"/>
      <c r="E309" s="141"/>
    </row>
    <row r="310" spans="1:5">
      <c r="A310" s="69" t="str">
        <f t="shared" si="1"/>
        <v/>
      </c>
      <c r="B310" s="138"/>
      <c r="C310" s="19"/>
      <c r="D310" s="139"/>
      <c r="E310" s="138"/>
    </row>
    <row r="311" spans="1:5">
      <c r="A311" s="69" t="str">
        <f t="shared" si="1"/>
        <v/>
      </c>
      <c r="B311" s="141"/>
      <c r="C311" s="217"/>
      <c r="D311" s="139"/>
      <c r="E311" s="141"/>
    </row>
    <row r="312" spans="1:5">
      <c r="A312" s="69" t="str">
        <f t="shared" si="1"/>
        <v/>
      </c>
      <c r="B312" s="138"/>
      <c r="C312" s="19"/>
      <c r="D312" s="139"/>
      <c r="E312" s="138"/>
    </row>
    <row r="313" spans="1:5">
      <c r="A313" s="69" t="str">
        <f t="shared" si="1"/>
        <v/>
      </c>
      <c r="B313" s="141"/>
      <c r="C313" s="217"/>
      <c r="D313" s="139"/>
      <c r="E313" s="141"/>
    </row>
    <row r="314" spans="1:5">
      <c r="A314" s="69" t="str">
        <f t="shared" si="1"/>
        <v/>
      </c>
      <c r="B314" s="138"/>
      <c r="C314" s="19"/>
      <c r="D314" s="139"/>
      <c r="E314" s="138"/>
    </row>
    <row r="315" spans="1:5">
      <c r="A315" s="69" t="str">
        <f t="shared" si="1"/>
        <v/>
      </c>
      <c r="B315" s="141"/>
      <c r="C315" s="217"/>
      <c r="D315" s="139"/>
      <c r="E315" s="141"/>
    </row>
    <row r="316" spans="1:5">
      <c r="A316" s="69" t="str">
        <f t="shared" si="1"/>
        <v/>
      </c>
      <c r="B316" s="138"/>
      <c r="C316" s="19"/>
      <c r="D316" s="139"/>
      <c r="E316" s="138"/>
    </row>
    <row r="317" spans="1:5">
      <c r="A317" s="69" t="str">
        <f t="shared" si="1"/>
        <v/>
      </c>
      <c r="B317" s="141"/>
      <c r="C317" s="217"/>
      <c r="D317" s="139"/>
      <c r="E317" s="141"/>
    </row>
    <row r="318" spans="1:5">
      <c r="A318" s="69" t="str">
        <f t="shared" si="1"/>
        <v/>
      </c>
      <c r="B318" s="138"/>
      <c r="C318" s="19"/>
      <c r="D318" s="139"/>
      <c r="E318" s="138"/>
    </row>
    <row r="319" spans="1:5">
      <c r="A319" s="69" t="str">
        <f t="shared" si="1"/>
        <v/>
      </c>
      <c r="B319" s="141"/>
      <c r="C319" s="217"/>
      <c r="D319" s="139"/>
      <c r="E319" s="141"/>
    </row>
    <row r="320" spans="1:5">
      <c r="A320" s="69" t="str">
        <f t="shared" si="1"/>
        <v/>
      </c>
      <c r="B320" s="138"/>
      <c r="C320" s="19"/>
      <c r="D320" s="139"/>
      <c r="E320" s="138"/>
    </row>
    <row r="321" spans="1:5">
      <c r="A321" s="69" t="str">
        <f t="shared" si="1"/>
        <v/>
      </c>
      <c r="B321" s="141"/>
      <c r="C321" s="217"/>
      <c r="D321" s="139"/>
      <c r="E321" s="141"/>
    </row>
    <row r="322" spans="1:5">
      <c r="A322" s="69" t="str">
        <f t="shared" si="1"/>
        <v/>
      </c>
      <c r="B322" s="138"/>
      <c r="C322" s="19"/>
      <c r="D322" s="139"/>
      <c r="E322" s="138"/>
    </row>
    <row r="323" spans="1:5">
      <c r="A323" s="69" t="str">
        <f t="shared" si="1"/>
        <v/>
      </c>
      <c r="B323" s="141"/>
      <c r="C323" s="217"/>
      <c r="D323" s="139"/>
      <c r="E323" s="141"/>
    </row>
    <row r="324" spans="1:5">
      <c r="A324" s="69" t="str">
        <f t="shared" si="1"/>
        <v/>
      </c>
      <c r="B324" s="138"/>
      <c r="C324" s="19"/>
      <c r="D324" s="139"/>
      <c r="E324" s="138"/>
    </row>
    <row r="325" spans="1:5">
      <c r="A325" s="69" t="str">
        <f t="shared" si="1"/>
        <v/>
      </c>
      <c r="B325" s="141"/>
      <c r="C325" s="217"/>
      <c r="D325" s="139"/>
      <c r="E325" s="141"/>
    </row>
    <row r="326" spans="1:5">
      <c r="A326" s="69" t="str">
        <f t="shared" si="1"/>
        <v/>
      </c>
      <c r="B326" s="138"/>
      <c r="C326" s="19"/>
      <c r="D326" s="139"/>
      <c r="E326" s="138"/>
    </row>
    <row r="327" spans="1:5">
      <c r="A327" s="69" t="str">
        <f t="shared" si="1"/>
        <v/>
      </c>
      <c r="B327" s="141"/>
      <c r="C327" s="217"/>
      <c r="D327" s="139"/>
      <c r="E327" s="141"/>
    </row>
    <row r="328" spans="1:5">
      <c r="A328" s="69" t="str">
        <f t="shared" si="1"/>
        <v/>
      </c>
      <c r="B328" s="138"/>
      <c r="C328" s="19"/>
      <c r="D328" s="139"/>
      <c r="E328" s="138"/>
    </row>
    <row r="329" spans="1:5">
      <c r="A329" s="69" t="str">
        <f t="shared" si="1"/>
        <v/>
      </c>
      <c r="B329" s="141"/>
      <c r="C329" s="217"/>
      <c r="D329" s="139"/>
      <c r="E329" s="141"/>
    </row>
    <row r="330" spans="1:5">
      <c r="A330" s="69" t="str">
        <f t="shared" si="1"/>
        <v/>
      </c>
      <c r="B330" s="138"/>
      <c r="C330" s="19"/>
      <c r="D330" s="139"/>
      <c r="E330" s="138"/>
    </row>
    <row r="331" spans="1:5">
      <c r="A331" s="69" t="str">
        <f t="shared" si="1"/>
        <v/>
      </c>
      <c r="B331" s="141"/>
      <c r="C331" s="217"/>
      <c r="D331" s="139"/>
      <c r="E331" s="141"/>
    </row>
    <row r="332" spans="1:5">
      <c r="A332" s="69" t="str">
        <f t="shared" si="1"/>
        <v/>
      </c>
      <c r="B332" s="138"/>
      <c r="C332" s="19"/>
      <c r="D332" s="139"/>
      <c r="E332" s="138"/>
    </row>
    <row r="333" spans="1:5">
      <c r="A333" s="69" t="str">
        <f t="shared" si="1"/>
        <v/>
      </c>
      <c r="B333" s="141"/>
      <c r="C333" s="217"/>
      <c r="D333" s="139"/>
      <c r="E333" s="141"/>
    </row>
    <row r="334" spans="1:5">
      <c r="A334" s="69" t="str">
        <f t="shared" si="1"/>
        <v/>
      </c>
      <c r="B334" s="138"/>
      <c r="C334" s="19"/>
      <c r="D334" s="139"/>
      <c r="E334" s="138"/>
    </row>
    <row r="335" spans="1:5">
      <c r="A335" s="69" t="str">
        <f t="shared" si="1"/>
        <v/>
      </c>
      <c r="B335" s="141"/>
      <c r="C335" s="217"/>
      <c r="D335" s="139"/>
      <c r="E335" s="141"/>
    </row>
    <row r="336" spans="1:5">
      <c r="A336" s="69" t="str">
        <f t="shared" si="1"/>
        <v/>
      </c>
      <c r="B336" s="138"/>
      <c r="C336" s="19"/>
      <c r="D336" s="139"/>
      <c r="E336" s="138"/>
    </row>
    <row r="337" spans="1:5">
      <c r="A337" s="69" t="str">
        <f t="shared" si="1"/>
        <v/>
      </c>
      <c r="B337" s="141"/>
      <c r="C337" s="217"/>
      <c r="D337" s="139"/>
      <c r="E337" s="141"/>
    </row>
    <row r="338" spans="1:5">
      <c r="A338" s="69" t="str">
        <f t="shared" si="1"/>
        <v/>
      </c>
      <c r="B338" s="138"/>
      <c r="C338" s="19"/>
      <c r="D338" s="139"/>
      <c r="E338" s="138"/>
    </row>
    <row r="339" spans="1:5">
      <c r="A339" s="69" t="str">
        <f t="shared" si="1"/>
        <v/>
      </c>
      <c r="B339" s="141"/>
      <c r="C339" s="217"/>
      <c r="D339" s="139"/>
      <c r="E339" s="141"/>
    </row>
    <row r="340" spans="1:5">
      <c r="A340" s="69" t="str">
        <f t="shared" si="1"/>
        <v/>
      </c>
      <c r="B340" s="138"/>
      <c r="C340" s="19"/>
      <c r="D340" s="139"/>
      <c r="E340" s="138"/>
    </row>
    <row r="341" spans="1:5">
      <c r="A341" s="69" t="str">
        <f t="shared" si="1"/>
        <v/>
      </c>
      <c r="B341" s="141"/>
      <c r="C341" s="217"/>
      <c r="D341" s="139"/>
      <c r="E341" s="141"/>
    </row>
    <row r="342" spans="1:5">
      <c r="A342" s="69" t="str">
        <f t="shared" si="1"/>
        <v/>
      </c>
      <c r="B342" s="138"/>
      <c r="C342" s="19"/>
      <c r="D342" s="139"/>
      <c r="E342" s="138"/>
    </row>
    <row r="343" spans="1:5">
      <c r="A343" s="69" t="str">
        <f t="shared" si="1"/>
        <v/>
      </c>
      <c r="B343" s="141"/>
      <c r="C343" s="217"/>
      <c r="D343" s="139"/>
      <c r="E343" s="141"/>
    </row>
    <row r="344" spans="1:5">
      <c r="A344" s="69" t="str">
        <f t="shared" si="1"/>
        <v/>
      </c>
      <c r="B344" s="138"/>
      <c r="C344" s="19"/>
      <c r="D344" s="139"/>
      <c r="E344" s="138"/>
    </row>
    <row r="345" spans="1:5">
      <c r="A345" s="69" t="str">
        <f t="shared" si="1"/>
        <v/>
      </c>
      <c r="B345" s="141"/>
      <c r="C345" s="217"/>
      <c r="D345" s="139"/>
      <c r="E345" s="141"/>
    </row>
    <row r="346" spans="1:5">
      <c r="A346" s="69" t="str">
        <f t="shared" si="1"/>
        <v/>
      </c>
      <c r="B346" s="138"/>
      <c r="C346" s="19"/>
      <c r="D346" s="139"/>
      <c r="E346" s="138"/>
    </row>
    <row r="347" spans="1:5">
      <c r="A347" s="69" t="str">
        <f t="shared" si="1"/>
        <v/>
      </c>
      <c r="B347" s="141"/>
      <c r="C347" s="217"/>
      <c r="D347" s="139"/>
      <c r="E347" s="141"/>
    </row>
    <row r="348" spans="1:5">
      <c r="A348" s="69" t="str">
        <f t="shared" si="1"/>
        <v/>
      </c>
      <c r="B348" s="138"/>
      <c r="C348" s="19"/>
      <c r="D348" s="139"/>
      <c r="E348" s="138"/>
    </row>
    <row r="349" spans="1:5">
      <c r="A349" s="69" t="str">
        <f t="shared" si="1"/>
        <v/>
      </c>
      <c r="B349" s="141"/>
      <c r="C349" s="217"/>
      <c r="D349" s="139"/>
      <c r="E349" s="141"/>
    </row>
    <row r="350" spans="1:5">
      <c r="A350" s="69" t="str">
        <f t="shared" si="1"/>
        <v/>
      </c>
      <c r="B350" s="138"/>
      <c r="C350" s="19"/>
      <c r="D350" s="139"/>
      <c r="E350" s="138"/>
    </row>
    <row r="351" spans="1:5">
      <c r="A351" s="69" t="str">
        <f t="shared" si="1"/>
        <v/>
      </c>
      <c r="B351" s="141"/>
      <c r="C351" s="217"/>
      <c r="D351" s="139"/>
      <c r="E351" s="141"/>
    </row>
    <row r="352" spans="1:5">
      <c r="A352" s="69" t="str">
        <f t="shared" si="1"/>
        <v/>
      </c>
      <c r="B352" s="138"/>
      <c r="C352" s="19"/>
      <c r="D352" s="139"/>
      <c r="E352" s="138"/>
    </row>
    <row r="353" spans="1:5">
      <c r="A353" s="69" t="str">
        <f t="shared" si="1"/>
        <v/>
      </c>
      <c r="B353" s="141"/>
      <c r="C353" s="217"/>
      <c r="D353" s="139"/>
      <c r="E353" s="141"/>
    </row>
    <row r="354" spans="1:5">
      <c r="A354" s="69" t="str">
        <f t="shared" si="1"/>
        <v/>
      </c>
      <c r="B354" s="138"/>
      <c r="C354" s="19"/>
      <c r="D354" s="139"/>
      <c r="E354" s="138"/>
    </row>
    <row r="355" spans="1:5">
      <c r="A355" s="69" t="str">
        <f t="shared" si="1"/>
        <v/>
      </c>
      <c r="B355" s="141"/>
      <c r="C355" s="217"/>
      <c r="D355" s="139"/>
      <c r="E355" s="141"/>
    </row>
    <row r="356" spans="1:5">
      <c r="A356" s="69" t="str">
        <f t="shared" si="1"/>
        <v/>
      </c>
      <c r="B356" s="138"/>
      <c r="C356" s="19"/>
      <c r="D356" s="139"/>
      <c r="E356" s="138"/>
    </row>
    <row r="357" spans="1:5">
      <c r="A357" s="69" t="str">
        <f t="shared" si="1"/>
        <v/>
      </c>
      <c r="B357" s="141"/>
      <c r="C357" s="217"/>
      <c r="D357" s="139"/>
      <c r="E357" s="141"/>
    </row>
    <row r="358" spans="1:5">
      <c r="A358" s="69" t="str">
        <f t="shared" si="1"/>
        <v/>
      </c>
      <c r="B358" s="138"/>
      <c r="C358" s="19"/>
      <c r="D358" s="139"/>
      <c r="E358" s="138"/>
    </row>
    <row r="359" spans="1:5">
      <c r="A359" s="69" t="str">
        <f t="shared" si="1"/>
        <v/>
      </c>
      <c r="B359" s="141"/>
      <c r="C359" s="217"/>
      <c r="D359" s="139"/>
      <c r="E359" s="141"/>
    </row>
    <row r="360" spans="1:5">
      <c r="A360" s="69" t="str">
        <f t="shared" si="1"/>
        <v/>
      </c>
      <c r="B360" s="138"/>
      <c r="C360" s="19"/>
      <c r="D360" s="139"/>
      <c r="E360" s="138"/>
    </row>
    <row r="361" spans="1:5">
      <c r="A361" s="69" t="str">
        <f t="shared" si="1"/>
        <v/>
      </c>
      <c r="B361" s="141"/>
      <c r="C361" s="217"/>
      <c r="D361" s="139"/>
      <c r="E361" s="141"/>
    </row>
    <row r="362" spans="1:5">
      <c r="A362" s="69" t="str">
        <f t="shared" si="1"/>
        <v/>
      </c>
      <c r="B362" s="138"/>
      <c r="C362" s="19"/>
      <c r="D362" s="139"/>
      <c r="E362" s="138"/>
    </row>
    <row r="363" spans="1:5">
      <c r="A363" s="69" t="str">
        <f t="shared" si="1"/>
        <v/>
      </c>
      <c r="B363" s="141"/>
      <c r="C363" s="217"/>
      <c r="D363" s="139"/>
      <c r="E363" s="141"/>
    </row>
    <row r="364" spans="1:5">
      <c r="A364" s="69" t="str">
        <f t="shared" si="1"/>
        <v/>
      </c>
      <c r="B364" s="138"/>
      <c r="C364" s="19"/>
      <c r="D364" s="139"/>
      <c r="E364" s="138"/>
    </row>
    <row r="365" spans="1:5">
      <c r="A365" s="69" t="str">
        <f t="shared" si="1"/>
        <v/>
      </c>
      <c r="B365" s="141"/>
      <c r="C365" s="217"/>
      <c r="D365" s="139"/>
      <c r="E365" s="141"/>
    </row>
    <row r="366" spans="1:5">
      <c r="A366" s="69" t="str">
        <f t="shared" si="1"/>
        <v/>
      </c>
      <c r="B366" s="138"/>
      <c r="C366" s="19"/>
      <c r="D366" s="139"/>
      <c r="E366" s="138"/>
    </row>
    <row r="367" spans="1:5">
      <c r="A367" s="69" t="str">
        <f t="shared" si="1"/>
        <v/>
      </c>
      <c r="B367" s="141"/>
      <c r="C367" s="217"/>
      <c r="D367" s="139"/>
      <c r="E367" s="141"/>
    </row>
    <row r="368" spans="1:5">
      <c r="A368" s="69" t="str">
        <f t="shared" si="1"/>
        <v/>
      </c>
      <c r="B368" s="138"/>
      <c r="C368" s="19"/>
      <c r="D368" s="139"/>
      <c r="E368" s="138"/>
    </row>
    <row r="369" spans="1:5">
      <c r="A369" s="69" t="str">
        <f t="shared" si="1"/>
        <v/>
      </c>
      <c r="B369" s="141"/>
      <c r="C369" s="217"/>
      <c r="D369" s="139"/>
      <c r="E369" s="141"/>
    </row>
    <row r="370" spans="1:5">
      <c r="A370" s="69" t="str">
        <f t="shared" si="1"/>
        <v/>
      </c>
      <c r="B370" s="138"/>
      <c r="C370" s="19"/>
      <c r="D370" s="139"/>
      <c r="E370" s="138"/>
    </row>
    <row r="371" spans="1:5">
      <c r="A371" s="69" t="str">
        <f t="shared" si="1"/>
        <v/>
      </c>
      <c r="B371" s="141"/>
      <c r="C371" s="217"/>
      <c r="D371" s="139"/>
      <c r="E371" s="141"/>
    </row>
    <row r="372" spans="1:5">
      <c r="A372" s="69" t="str">
        <f t="shared" si="1"/>
        <v/>
      </c>
      <c r="B372" s="138"/>
      <c r="C372" s="19"/>
      <c r="D372" s="139"/>
      <c r="E372" s="138"/>
    </row>
    <row r="373" spans="1:5">
      <c r="A373" s="69" t="str">
        <f t="shared" si="1"/>
        <v/>
      </c>
      <c r="B373" s="141"/>
      <c r="C373" s="217"/>
      <c r="D373" s="139"/>
      <c r="E373" s="141"/>
    </row>
    <row r="374" spans="1:5">
      <c r="A374" s="69" t="str">
        <f t="shared" si="1"/>
        <v/>
      </c>
      <c r="B374" s="138"/>
      <c r="C374" s="19"/>
      <c r="D374" s="139"/>
      <c r="E374" s="138"/>
    </row>
    <row r="375" spans="1:5">
      <c r="A375" s="69" t="str">
        <f t="shared" si="1"/>
        <v/>
      </c>
      <c r="B375" s="141"/>
      <c r="C375" s="217"/>
      <c r="D375" s="139"/>
      <c r="E375" s="141"/>
    </row>
    <row r="376" spans="1:5">
      <c r="A376" s="69" t="str">
        <f t="shared" si="1"/>
        <v/>
      </c>
      <c r="B376" s="138"/>
      <c r="C376" s="19"/>
      <c r="D376" s="139"/>
      <c r="E376" s="138"/>
    </row>
    <row r="377" spans="1:5">
      <c r="A377" s="69" t="str">
        <f t="shared" si="1"/>
        <v/>
      </c>
      <c r="B377" s="141"/>
      <c r="C377" s="217"/>
      <c r="D377" s="139"/>
      <c r="E377" s="141"/>
    </row>
    <row r="378" spans="1:5">
      <c r="A378" s="69" t="str">
        <f t="shared" si="1"/>
        <v/>
      </c>
      <c r="B378" s="138"/>
      <c r="C378" s="19"/>
      <c r="D378" s="139"/>
      <c r="E378" s="138"/>
    </row>
    <row r="379" spans="1:5">
      <c r="A379" s="69" t="str">
        <f t="shared" si="1"/>
        <v/>
      </c>
      <c r="B379" s="141"/>
      <c r="C379" s="217"/>
      <c r="D379" s="139"/>
      <c r="E379" s="141"/>
    </row>
    <row r="380" spans="1:5">
      <c r="A380" s="69" t="str">
        <f t="shared" si="1"/>
        <v/>
      </c>
      <c r="B380" s="138"/>
      <c r="C380" s="19"/>
      <c r="D380" s="139"/>
      <c r="E380" s="138"/>
    </row>
    <row r="381" spans="1:5">
      <c r="A381" s="69" t="str">
        <f t="shared" si="1"/>
        <v/>
      </c>
      <c r="B381" s="141"/>
      <c r="C381" s="217"/>
      <c r="D381" s="139"/>
      <c r="E381" s="141"/>
    </row>
    <row r="382" spans="1:5">
      <c r="A382" s="69" t="str">
        <f t="shared" si="1"/>
        <v/>
      </c>
      <c r="B382" s="138"/>
      <c r="C382" s="19"/>
      <c r="D382" s="139"/>
      <c r="E382" s="138"/>
    </row>
    <row r="383" spans="1:5">
      <c r="A383" s="69" t="str">
        <f t="shared" si="1"/>
        <v/>
      </c>
      <c r="B383" s="141"/>
      <c r="C383" s="217"/>
      <c r="D383" s="139"/>
      <c r="E383" s="141"/>
    </row>
    <row r="384" spans="1:5">
      <c r="A384" s="69" t="str">
        <f t="shared" si="1"/>
        <v/>
      </c>
      <c r="B384" s="138"/>
      <c r="C384" s="19"/>
      <c r="D384" s="139"/>
      <c r="E384" s="138"/>
    </row>
    <row r="385" spans="1:5">
      <c r="A385" s="69" t="str">
        <f t="shared" si="1"/>
        <v/>
      </c>
      <c r="B385" s="141"/>
      <c r="C385" s="217"/>
      <c r="D385" s="139"/>
      <c r="E385" s="141"/>
    </row>
    <row r="386" spans="1:5">
      <c r="A386" s="69" t="str">
        <f t="shared" si="1"/>
        <v/>
      </c>
      <c r="B386" s="138"/>
      <c r="C386" s="19"/>
      <c r="D386" s="139"/>
      <c r="E386" s="138"/>
    </row>
    <row r="387" spans="1:5">
      <c r="A387" s="69" t="str">
        <f t="shared" si="1"/>
        <v/>
      </c>
      <c r="B387" s="141"/>
      <c r="C387" s="217"/>
      <c r="D387" s="139"/>
      <c r="E387" s="141"/>
    </row>
    <row r="388" spans="1:5">
      <c r="A388" s="69" t="str">
        <f t="shared" si="1"/>
        <v/>
      </c>
      <c r="B388" s="138"/>
      <c r="C388" s="19"/>
      <c r="D388" s="139"/>
      <c r="E388" s="138"/>
    </row>
    <row r="389" spans="1:5">
      <c r="A389" s="69" t="str">
        <f t="shared" si="1"/>
        <v/>
      </c>
      <c r="B389" s="141"/>
      <c r="C389" s="217"/>
      <c r="D389" s="139"/>
      <c r="E389" s="141"/>
    </row>
    <row r="390" spans="1:5">
      <c r="A390" s="69" t="str">
        <f t="shared" si="1"/>
        <v/>
      </c>
      <c r="B390" s="138"/>
      <c r="C390" s="19"/>
      <c r="D390" s="139"/>
      <c r="E390" s="138"/>
    </row>
    <row r="391" spans="1:5">
      <c r="A391" s="69" t="str">
        <f t="shared" si="1"/>
        <v/>
      </c>
      <c r="B391" s="141"/>
      <c r="C391" s="217"/>
      <c r="D391" s="139"/>
      <c r="E391" s="141"/>
    </row>
    <row r="392" spans="1:5">
      <c r="A392" s="69" t="str">
        <f t="shared" si="1"/>
        <v/>
      </c>
      <c r="B392" s="138"/>
      <c r="C392" s="19"/>
      <c r="D392" s="139"/>
      <c r="E392" s="138"/>
    </row>
    <row r="393" spans="1:5">
      <c r="A393" s="69" t="str">
        <f t="shared" si="1"/>
        <v/>
      </c>
      <c r="B393" s="141"/>
      <c r="C393" s="217"/>
      <c r="D393" s="139"/>
      <c r="E393" s="141"/>
    </row>
    <row r="394" spans="1:5">
      <c r="A394" s="69" t="str">
        <f t="shared" si="1"/>
        <v/>
      </c>
      <c r="B394" s="138"/>
      <c r="C394" s="19"/>
      <c r="D394" s="139"/>
      <c r="E394" s="138"/>
    </row>
    <row r="395" spans="1:5">
      <c r="A395" s="69" t="str">
        <f t="shared" si="1"/>
        <v/>
      </c>
      <c r="B395" s="141"/>
      <c r="C395" s="217"/>
      <c r="D395" s="139"/>
      <c r="E395" s="141"/>
    </row>
    <row r="396" spans="1:5">
      <c r="A396" s="69" t="str">
        <f t="shared" si="1"/>
        <v/>
      </c>
      <c r="B396" s="138"/>
      <c r="C396" s="19"/>
      <c r="D396" s="139"/>
      <c r="E396" s="138"/>
    </row>
    <row r="397" spans="1:5">
      <c r="A397" s="69" t="str">
        <f t="shared" si="1"/>
        <v/>
      </c>
      <c r="B397" s="141"/>
      <c r="C397" s="217"/>
      <c r="D397" s="139"/>
      <c r="E397" s="141"/>
    </row>
    <row r="398" spans="1:5">
      <c r="A398" s="69" t="str">
        <f t="shared" si="1"/>
        <v/>
      </c>
      <c r="B398" s="138"/>
      <c r="C398" s="19"/>
      <c r="D398" s="139"/>
      <c r="E398" s="138"/>
    </row>
    <row r="399" spans="1:5">
      <c r="A399" s="69" t="str">
        <f t="shared" si="1"/>
        <v/>
      </c>
      <c r="B399" s="141"/>
      <c r="C399" s="217"/>
      <c r="D399" s="139"/>
      <c r="E399" s="141"/>
    </row>
    <row r="400" spans="1:5">
      <c r="A400" s="69" t="str">
        <f t="shared" si="1"/>
        <v/>
      </c>
      <c r="B400" s="138"/>
      <c r="C400" s="19"/>
      <c r="D400" s="139"/>
      <c r="E400" s="138"/>
    </row>
    <row r="401" spans="1:5">
      <c r="A401" s="69" t="str">
        <f t="shared" si="1"/>
        <v/>
      </c>
      <c r="B401" s="141"/>
      <c r="C401" s="217"/>
      <c r="D401" s="139"/>
      <c r="E401" s="141"/>
    </row>
    <row r="402" spans="1:5">
      <c r="A402" s="69" t="str">
        <f t="shared" si="1"/>
        <v/>
      </c>
      <c r="B402" s="138"/>
      <c r="C402" s="19"/>
      <c r="D402" s="139"/>
      <c r="E402" s="138"/>
    </row>
    <row r="403" spans="1:5">
      <c r="A403" s="69" t="str">
        <f t="shared" si="1"/>
        <v/>
      </c>
      <c r="B403" s="141"/>
      <c r="C403" s="217"/>
      <c r="D403" s="139"/>
      <c r="E403" s="141"/>
    </row>
    <row r="404" spans="1:5">
      <c r="A404" s="69" t="str">
        <f t="shared" si="1"/>
        <v/>
      </c>
      <c r="B404" s="138"/>
      <c r="C404" s="19"/>
      <c r="D404" s="139"/>
      <c r="E404" s="138"/>
    </row>
    <row r="405" spans="1:5">
      <c r="A405" s="69" t="str">
        <f t="shared" si="1"/>
        <v/>
      </c>
      <c r="B405" s="141"/>
      <c r="C405" s="217"/>
      <c r="D405" s="139"/>
      <c r="E405" s="141"/>
    </row>
    <row r="406" spans="1:5">
      <c r="A406" s="69" t="str">
        <f t="shared" si="1"/>
        <v/>
      </c>
      <c r="B406" s="138"/>
      <c r="C406" s="19"/>
      <c r="D406" s="139"/>
      <c r="E406" s="138"/>
    </row>
    <row r="407" spans="1:5">
      <c r="A407" s="69" t="str">
        <f t="shared" si="1"/>
        <v/>
      </c>
      <c r="B407" s="141"/>
      <c r="C407" s="217"/>
      <c r="D407" s="139"/>
      <c r="E407" s="141"/>
    </row>
    <row r="408" spans="1:5">
      <c r="A408" s="69" t="str">
        <f t="shared" si="1"/>
        <v/>
      </c>
      <c r="B408" s="138"/>
      <c r="C408" s="19"/>
      <c r="D408" s="139"/>
      <c r="E408" s="138"/>
    </row>
    <row r="409" spans="1:5">
      <c r="A409" s="69" t="str">
        <f t="shared" si="1"/>
        <v/>
      </c>
      <c r="B409" s="141"/>
      <c r="C409" s="217"/>
      <c r="D409" s="139"/>
      <c r="E409" s="141"/>
    </row>
    <row r="410" spans="1:5">
      <c r="A410" s="69" t="str">
        <f t="shared" si="1"/>
        <v/>
      </c>
      <c r="B410" s="138"/>
      <c r="C410" s="19"/>
      <c r="D410" s="139"/>
      <c r="E410" s="138"/>
    </row>
    <row r="411" spans="1:5">
      <c r="A411" s="69" t="str">
        <f t="shared" si="1"/>
        <v/>
      </c>
      <c r="B411" s="141"/>
      <c r="C411" s="217"/>
      <c r="D411" s="139"/>
      <c r="E411" s="141"/>
    </row>
    <row r="412" spans="1:5">
      <c r="A412" s="69" t="str">
        <f t="shared" si="1"/>
        <v/>
      </c>
      <c r="B412" s="138"/>
      <c r="C412" s="19"/>
      <c r="D412" s="139"/>
      <c r="E412" s="138"/>
    </row>
    <row r="413" spans="1:5">
      <c r="A413" s="69" t="str">
        <f t="shared" si="1"/>
        <v/>
      </c>
      <c r="B413" s="141"/>
      <c r="C413" s="217"/>
      <c r="D413" s="139"/>
      <c r="E413" s="141"/>
    </row>
    <row r="414" spans="1:5">
      <c r="A414" s="69" t="str">
        <f t="shared" si="1"/>
        <v/>
      </c>
      <c r="B414" s="138"/>
      <c r="C414" s="19"/>
      <c r="D414" s="139"/>
      <c r="E414" s="138"/>
    </row>
    <row r="415" spans="1:5">
      <c r="A415" s="69" t="str">
        <f t="shared" si="1"/>
        <v/>
      </c>
      <c r="B415" s="141"/>
      <c r="C415" s="217"/>
      <c r="D415" s="139"/>
      <c r="E415" s="141"/>
    </row>
    <row r="416" spans="1:5">
      <c r="A416" s="69" t="str">
        <f t="shared" si="1"/>
        <v/>
      </c>
      <c r="B416" s="138"/>
      <c r="C416" s="19"/>
      <c r="D416" s="139"/>
      <c r="E416" s="138"/>
    </row>
    <row r="417" spans="1:5">
      <c r="A417" s="69" t="str">
        <f t="shared" si="1"/>
        <v/>
      </c>
      <c r="B417" s="141"/>
      <c r="C417" s="217"/>
      <c r="D417" s="139"/>
      <c r="E417" s="141"/>
    </row>
    <row r="418" spans="1:5">
      <c r="A418" s="69" t="str">
        <f t="shared" si="1"/>
        <v/>
      </c>
      <c r="B418" s="138"/>
      <c r="C418" s="19"/>
      <c r="D418" s="139"/>
      <c r="E418" s="138"/>
    </row>
    <row r="419" spans="1:5">
      <c r="A419" s="69" t="str">
        <f t="shared" si="1"/>
        <v/>
      </c>
      <c r="B419" s="141"/>
      <c r="C419" s="217"/>
      <c r="D419" s="139"/>
      <c r="E419" s="141"/>
    </row>
    <row r="420" spans="1:5">
      <c r="A420" s="69" t="str">
        <f t="shared" si="1"/>
        <v/>
      </c>
      <c r="B420" s="138"/>
      <c r="C420" s="19"/>
      <c r="D420" s="139"/>
      <c r="E420" s="138"/>
    </row>
    <row r="421" spans="1:5">
      <c r="A421" s="69" t="str">
        <f t="shared" si="1"/>
        <v/>
      </c>
      <c r="B421" s="141"/>
      <c r="C421" s="217"/>
      <c r="D421" s="139"/>
      <c r="E421" s="141"/>
    </row>
    <row r="422" spans="1:5">
      <c r="A422" s="69" t="str">
        <f t="shared" si="1"/>
        <v/>
      </c>
      <c r="B422" s="138"/>
      <c r="C422" s="19"/>
      <c r="D422" s="139"/>
      <c r="E422" s="138"/>
    </row>
    <row r="423" spans="1:5">
      <c r="A423" s="69" t="str">
        <f t="shared" si="1"/>
        <v/>
      </c>
      <c r="B423" s="141"/>
      <c r="C423" s="217"/>
      <c r="D423" s="139"/>
      <c r="E423" s="141"/>
    </row>
    <row r="424" spans="1:5">
      <c r="A424" s="69" t="str">
        <f t="shared" si="1"/>
        <v/>
      </c>
      <c r="B424" s="138"/>
      <c r="C424" s="19"/>
      <c r="D424" s="139"/>
      <c r="E424" s="138"/>
    </row>
    <row r="425" spans="1:5">
      <c r="A425" s="69" t="str">
        <f t="shared" si="1"/>
        <v/>
      </c>
      <c r="B425" s="141"/>
      <c r="C425" s="217"/>
      <c r="D425" s="139"/>
      <c r="E425" s="141"/>
    </row>
    <row r="426" spans="1:5">
      <c r="A426" s="69" t="str">
        <f t="shared" si="1"/>
        <v/>
      </c>
      <c r="B426" s="138"/>
      <c r="C426" s="19"/>
      <c r="D426" s="139"/>
      <c r="E426" s="138"/>
    </row>
    <row r="427" spans="1:5">
      <c r="A427" s="69" t="str">
        <f t="shared" si="1"/>
        <v/>
      </c>
      <c r="B427" s="141"/>
      <c r="C427" s="217"/>
      <c r="D427" s="139"/>
      <c r="E427" s="141"/>
    </row>
    <row r="428" spans="1:5">
      <c r="A428" s="69" t="str">
        <f t="shared" si="1"/>
        <v/>
      </c>
      <c r="B428" s="138"/>
      <c r="C428" s="19"/>
      <c r="D428" s="139"/>
      <c r="E428" s="138"/>
    </row>
    <row r="429" spans="1:5">
      <c r="A429" s="69" t="str">
        <f t="shared" si="1"/>
        <v/>
      </c>
      <c r="B429" s="141"/>
      <c r="C429" s="217"/>
      <c r="D429" s="139"/>
      <c r="E429" s="141"/>
    </row>
    <row r="430" spans="1:5">
      <c r="A430" s="69" t="str">
        <f t="shared" si="1"/>
        <v/>
      </c>
      <c r="B430" s="138"/>
      <c r="C430" s="19"/>
      <c r="D430" s="139"/>
      <c r="E430" s="138"/>
    </row>
    <row r="431" spans="1:5">
      <c r="A431" s="69" t="str">
        <f t="shared" si="1"/>
        <v/>
      </c>
      <c r="B431" s="141"/>
      <c r="C431" s="217"/>
      <c r="D431" s="139"/>
      <c r="E431" s="141"/>
    </row>
    <row r="432" spans="1:5">
      <c r="A432" s="69" t="str">
        <f t="shared" si="1"/>
        <v/>
      </c>
      <c r="B432" s="138"/>
      <c r="C432" s="19"/>
      <c r="D432" s="139"/>
      <c r="E432" s="138"/>
    </row>
    <row r="433" spans="1:5">
      <c r="A433" s="69" t="str">
        <f t="shared" si="1"/>
        <v/>
      </c>
      <c r="B433" s="141"/>
      <c r="C433" s="217"/>
      <c r="D433" s="139"/>
      <c r="E433" s="141"/>
    </row>
    <row r="434" spans="1:5">
      <c r="A434" s="69" t="str">
        <f t="shared" si="1"/>
        <v/>
      </c>
      <c r="B434" s="138"/>
      <c r="C434" s="19"/>
      <c r="D434" s="139"/>
      <c r="E434" s="138"/>
    </row>
    <row r="435" spans="1:5">
      <c r="A435" s="69" t="str">
        <f t="shared" si="1"/>
        <v/>
      </c>
      <c r="B435" s="141"/>
      <c r="C435" s="217"/>
      <c r="D435" s="139"/>
      <c r="E435" s="141"/>
    </row>
    <row r="436" spans="1:5">
      <c r="A436" s="69" t="str">
        <f t="shared" si="1"/>
        <v/>
      </c>
      <c r="B436" s="138"/>
      <c r="C436" s="19"/>
      <c r="D436" s="139"/>
      <c r="E436" s="138"/>
    </row>
    <row r="437" spans="1:5">
      <c r="A437" s="69" t="str">
        <f t="shared" si="1"/>
        <v/>
      </c>
      <c r="B437" s="141"/>
      <c r="C437" s="217"/>
      <c r="D437" s="139"/>
      <c r="E437" s="141"/>
    </row>
    <row r="438" spans="1:5">
      <c r="A438" s="69" t="str">
        <f t="shared" si="1"/>
        <v/>
      </c>
      <c r="B438" s="138"/>
      <c r="C438" s="19"/>
      <c r="D438" s="139"/>
      <c r="E438" s="138"/>
    </row>
    <row r="439" spans="1:5">
      <c r="A439" s="69" t="str">
        <f t="shared" si="1"/>
        <v/>
      </c>
      <c r="B439" s="141"/>
      <c r="C439" s="217"/>
      <c r="D439" s="139"/>
      <c r="E439" s="141"/>
    </row>
    <row r="440" spans="1:5">
      <c r="A440" s="69" t="str">
        <f t="shared" si="1"/>
        <v/>
      </c>
      <c r="B440" s="138"/>
      <c r="C440" s="19"/>
      <c r="D440" s="139"/>
      <c r="E440" s="138"/>
    </row>
    <row r="441" spans="1:5">
      <c r="A441" s="69" t="str">
        <f t="shared" si="1"/>
        <v/>
      </c>
      <c r="B441" s="141"/>
      <c r="C441" s="217"/>
      <c r="D441" s="139"/>
      <c r="E441" s="141"/>
    </row>
    <row r="442" spans="1:5">
      <c r="A442" s="69" t="str">
        <f t="shared" si="1"/>
        <v/>
      </c>
      <c r="B442" s="138"/>
      <c r="C442" s="19"/>
      <c r="D442" s="139"/>
      <c r="E442" s="138"/>
    </row>
    <row r="443" spans="1:5">
      <c r="A443" s="69" t="str">
        <f t="shared" si="1"/>
        <v/>
      </c>
      <c r="B443" s="141"/>
      <c r="C443" s="217"/>
      <c r="D443" s="139"/>
      <c r="E443" s="141"/>
    </row>
    <row r="444" spans="1:5">
      <c r="A444" s="69" t="str">
        <f t="shared" si="1"/>
        <v/>
      </c>
      <c r="B444" s="138"/>
      <c r="C444" s="19"/>
      <c r="D444" s="139"/>
      <c r="E444" s="138"/>
    </row>
    <row r="445" spans="1:5">
      <c r="A445" s="69" t="str">
        <f t="shared" si="1"/>
        <v/>
      </c>
      <c r="B445" s="141"/>
      <c r="C445" s="217"/>
      <c r="D445" s="139"/>
      <c r="E445" s="141"/>
    </row>
    <row r="446" spans="1:5">
      <c r="A446" s="69" t="str">
        <f t="shared" si="1"/>
        <v/>
      </c>
      <c r="B446" s="138"/>
      <c r="C446" s="19"/>
      <c r="D446" s="139"/>
      <c r="E446" s="138"/>
    </row>
    <row r="447" spans="1:5">
      <c r="A447" s="69" t="str">
        <f t="shared" si="1"/>
        <v/>
      </c>
      <c r="B447" s="141"/>
      <c r="C447" s="217"/>
      <c r="D447" s="139"/>
      <c r="E447" s="141"/>
    </row>
    <row r="448" spans="1:5">
      <c r="A448" s="69" t="str">
        <f t="shared" si="1"/>
        <v/>
      </c>
      <c r="B448" s="138"/>
      <c r="C448" s="19"/>
      <c r="D448" s="139"/>
      <c r="E448" s="138"/>
    </row>
    <row r="449" spans="1:5">
      <c r="A449" s="69" t="str">
        <f t="shared" si="1"/>
        <v/>
      </c>
      <c r="B449" s="141"/>
      <c r="C449" s="217"/>
      <c r="D449" s="139"/>
      <c r="E449" s="141"/>
    </row>
    <row r="450" spans="1:5">
      <c r="A450" s="69" t="str">
        <f t="shared" si="1"/>
        <v/>
      </c>
      <c r="B450" s="138"/>
      <c r="C450" s="19"/>
      <c r="D450" s="139"/>
      <c r="E450" s="138"/>
    </row>
    <row r="451" spans="1:5">
      <c r="A451" s="69" t="str">
        <f t="shared" si="1"/>
        <v/>
      </c>
      <c r="B451" s="141"/>
      <c r="C451" s="217"/>
      <c r="D451" s="139"/>
      <c r="E451" s="141"/>
    </row>
    <row r="452" spans="1:5">
      <c r="A452" s="69" t="str">
        <f t="shared" si="1"/>
        <v/>
      </c>
      <c r="B452" s="138"/>
      <c r="C452" s="19"/>
      <c r="D452" s="139"/>
      <c r="E452" s="138"/>
    </row>
    <row r="453" spans="1:5">
      <c r="A453" s="69" t="str">
        <f t="shared" si="1"/>
        <v/>
      </c>
      <c r="B453" s="141"/>
      <c r="C453" s="217"/>
      <c r="D453" s="139"/>
      <c r="E453" s="141"/>
    </row>
    <row r="454" spans="1:5">
      <c r="A454" s="69" t="str">
        <f t="shared" si="1"/>
        <v/>
      </c>
      <c r="B454" s="138"/>
      <c r="C454" s="19"/>
      <c r="D454" s="139"/>
      <c r="E454" s="138"/>
    </row>
    <row r="455" spans="1:5">
      <c r="A455" s="69" t="str">
        <f t="shared" si="1"/>
        <v/>
      </c>
      <c r="B455" s="141"/>
      <c r="C455" s="217"/>
      <c r="D455" s="139"/>
      <c r="E455" s="141"/>
    </row>
    <row r="456" spans="1:5">
      <c r="A456" s="69" t="str">
        <f t="shared" si="1"/>
        <v/>
      </c>
      <c r="B456" s="138"/>
      <c r="C456" s="19"/>
      <c r="D456" s="139"/>
      <c r="E456" s="138"/>
    </row>
    <row r="457" spans="1:5">
      <c r="A457" s="69" t="str">
        <f t="shared" si="1"/>
        <v/>
      </c>
      <c r="B457" s="141"/>
      <c r="C457" s="217"/>
      <c r="D457" s="139"/>
      <c r="E457" s="141"/>
    </row>
    <row r="458" spans="1:5">
      <c r="A458" s="69" t="str">
        <f t="shared" si="1"/>
        <v/>
      </c>
      <c r="B458" s="138"/>
      <c r="C458" s="19"/>
      <c r="D458" s="139"/>
      <c r="E458" s="138"/>
    </row>
    <row r="459" spans="1:5">
      <c r="A459" s="69" t="str">
        <f t="shared" si="1"/>
        <v/>
      </c>
      <c r="B459" s="141"/>
      <c r="C459" s="217"/>
      <c r="D459" s="139"/>
      <c r="E459" s="141"/>
    </row>
    <row r="460" spans="1:5">
      <c r="A460" s="69" t="str">
        <f t="shared" si="1"/>
        <v/>
      </c>
      <c r="B460" s="138"/>
      <c r="C460" s="19"/>
      <c r="D460" s="139"/>
      <c r="E460" s="138"/>
    </row>
    <row r="461" spans="1:5">
      <c r="A461" s="69" t="str">
        <f t="shared" si="1"/>
        <v/>
      </c>
      <c r="B461" s="141"/>
      <c r="C461" s="217"/>
      <c r="D461" s="139"/>
      <c r="E461" s="141"/>
    </row>
    <row r="462" spans="1:5">
      <c r="A462" s="69" t="str">
        <f t="shared" si="1"/>
        <v/>
      </c>
      <c r="B462" s="138"/>
      <c r="C462" s="19"/>
      <c r="D462" s="139"/>
      <c r="E462" s="138"/>
    </row>
    <row r="463" spans="1:5">
      <c r="A463" s="69" t="str">
        <f t="shared" si="1"/>
        <v/>
      </c>
      <c r="B463" s="141"/>
      <c r="C463" s="217"/>
      <c r="D463" s="139"/>
      <c r="E463" s="141"/>
    </row>
    <row r="464" spans="1:5">
      <c r="A464" s="69" t="str">
        <f t="shared" si="1"/>
        <v/>
      </c>
      <c r="B464" s="138"/>
      <c r="C464" s="19"/>
      <c r="D464" s="139"/>
      <c r="E464" s="138"/>
    </row>
    <row r="465" spans="1:5">
      <c r="A465" s="69" t="str">
        <f t="shared" si="1"/>
        <v/>
      </c>
      <c r="B465" s="141"/>
      <c r="C465" s="217"/>
      <c r="D465" s="139"/>
      <c r="E465" s="141"/>
    </row>
    <row r="466" spans="1:5">
      <c r="A466" s="69" t="str">
        <f t="shared" si="1"/>
        <v/>
      </c>
      <c r="B466" s="138"/>
      <c r="C466" s="19"/>
      <c r="D466" s="139"/>
      <c r="E466" s="138"/>
    </row>
    <row r="467" spans="1:5">
      <c r="A467" s="69" t="str">
        <f t="shared" si="1"/>
        <v/>
      </c>
      <c r="B467" s="141"/>
      <c r="C467" s="217"/>
      <c r="D467" s="139"/>
      <c r="E467" s="141"/>
    </row>
    <row r="468" spans="1:5">
      <c r="A468" s="69" t="str">
        <f t="shared" si="1"/>
        <v/>
      </c>
      <c r="B468" s="138"/>
      <c r="C468" s="19"/>
      <c r="D468" s="139"/>
      <c r="E468" s="138"/>
    </row>
    <row r="469" spans="1:5">
      <c r="A469" s="69" t="str">
        <f t="shared" si="1"/>
        <v/>
      </c>
      <c r="B469" s="141"/>
      <c r="C469" s="217"/>
      <c r="D469" s="139"/>
      <c r="E469" s="141"/>
    </row>
    <row r="470" spans="1:5">
      <c r="A470" s="69" t="str">
        <f t="shared" si="1"/>
        <v/>
      </c>
      <c r="B470" s="138"/>
      <c r="C470" s="19"/>
      <c r="D470" s="139"/>
      <c r="E470" s="138"/>
    </row>
    <row r="471" spans="1:5">
      <c r="A471" s="69" t="str">
        <f t="shared" si="1"/>
        <v/>
      </c>
      <c r="B471" s="141"/>
      <c r="C471" s="217"/>
      <c r="D471" s="139"/>
      <c r="E471" s="141"/>
    </row>
    <row r="472" spans="1:5">
      <c r="A472" s="69" t="str">
        <f t="shared" si="1"/>
        <v/>
      </c>
      <c r="B472" s="138"/>
      <c r="C472" s="19"/>
      <c r="D472" s="139"/>
      <c r="E472" s="138"/>
    </row>
    <row r="473" spans="1:5">
      <c r="A473" s="69" t="str">
        <f t="shared" si="1"/>
        <v/>
      </c>
      <c r="B473" s="141"/>
      <c r="C473" s="217"/>
      <c r="D473" s="139"/>
      <c r="E473" s="141"/>
    </row>
    <row r="474" spans="1:5">
      <c r="A474" s="69" t="str">
        <f t="shared" si="1"/>
        <v/>
      </c>
      <c r="B474" s="138"/>
      <c r="C474" s="19"/>
      <c r="D474" s="139"/>
      <c r="E474" s="138"/>
    </row>
    <row r="475" spans="1:5">
      <c r="A475" s="69" t="str">
        <f t="shared" si="1"/>
        <v/>
      </c>
      <c r="B475" s="141"/>
      <c r="C475" s="217"/>
      <c r="D475" s="139"/>
      <c r="E475" s="141"/>
    </row>
    <row r="476" spans="1:5">
      <c r="A476" s="69" t="str">
        <f t="shared" si="1"/>
        <v/>
      </c>
      <c r="B476" s="138"/>
      <c r="C476" s="19"/>
      <c r="D476" s="139"/>
      <c r="E476" s="138"/>
    </row>
    <row r="477" spans="1:5">
      <c r="A477" s="69" t="str">
        <f t="shared" si="1"/>
        <v/>
      </c>
      <c r="B477" s="141"/>
      <c r="C477" s="217"/>
      <c r="D477" s="139"/>
      <c r="E477" s="141"/>
    </row>
    <row r="478" spans="1:5">
      <c r="A478" s="69" t="str">
        <f t="shared" si="1"/>
        <v/>
      </c>
      <c r="B478" s="138"/>
      <c r="C478" s="19"/>
      <c r="D478" s="139"/>
      <c r="E478" s="138"/>
    </row>
    <row r="479" spans="1:5">
      <c r="A479" s="69" t="str">
        <f t="shared" si="1"/>
        <v/>
      </c>
      <c r="B479" s="141"/>
      <c r="C479" s="217"/>
      <c r="D479" s="139"/>
      <c r="E479" s="141"/>
    </row>
    <row r="480" spans="1:5">
      <c r="A480" s="69" t="str">
        <f t="shared" si="1"/>
        <v/>
      </c>
      <c r="B480" s="138"/>
      <c r="C480" s="19"/>
      <c r="D480" s="139"/>
      <c r="E480" s="138"/>
    </row>
    <row r="481" spans="1:5">
      <c r="A481" s="69" t="str">
        <f t="shared" si="1"/>
        <v/>
      </c>
      <c r="B481" s="141"/>
      <c r="C481" s="217"/>
      <c r="D481" s="139"/>
      <c r="E481" s="141"/>
    </row>
    <row r="482" spans="1:5">
      <c r="A482" s="69" t="str">
        <f t="shared" si="1"/>
        <v/>
      </c>
      <c r="B482" s="138"/>
      <c r="C482" s="19"/>
      <c r="D482" s="139"/>
      <c r="E482" s="138"/>
    </row>
    <row r="483" spans="1:5">
      <c r="A483" s="69" t="str">
        <f t="shared" si="1"/>
        <v/>
      </c>
      <c r="B483" s="141"/>
      <c r="C483" s="217"/>
      <c r="D483" s="139"/>
      <c r="E483" s="141"/>
    </row>
    <row r="484" spans="1:5">
      <c r="A484" s="69" t="str">
        <f t="shared" si="1"/>
        <v/>
      </c>
      <c r="B484" s="138"/>
      <c r="C484" s="19"/>
      <c r="D484" s="139"/>
      <c r="E484" s="138"/>
    </row>
    <row r="485" spans="1:5">
      <c r="A485" s="69" t="str">
        <f t="shared" si="1"/>
        <v/>
      </c>
      <c r="B485" s="141"/>
      <c r="C485" s="217"/>
      <c r="D485" s="139"/>
      <c r="E485" s="141"/>
    </row>
    <row r="486" spans="1:5">
      <c r="A486" s="69" t="str">
        <f t="shared" si="1"/>
        <v/>
      </c>
      <c r="B486" s="138"/>
      <c r="C486" s="19"/>
      <c r="D486" s="139"/>
      <c r="E486" s="138"/>
    </row>
    <row r="487" spans="1:5">
      <c r="A487" s="69" t="str">
        <f t="shared" si="1"/>
        <v/>
      </c>
      <c r="B487" s="141"/>
      <c r="C487" s="217"/>
      <c r="D487" s="139"/>
      <c r="E487" s="141"/>
    </row>
    <row r="488" spans="1:5">
      <c r="A488" s="69" t="str">
        <f t="shared" si="1"/>
        <v/>
      </c>
      <c r="B488" s="138"/>
      <c r="C488" s="19"/>
      <c r="D488" s="139"/>
      <c r="E488" s="138"/>
    </row>
    <row r="489" spans="1:5">
      <c r="A489" s="69" t="str">
        <f t="shared" si="1"/>
        <v/>
      </c>
      <c r="B489" s="141"/>
      <c r="C489" s="217"/>
      <c r="D489" s="139"/>
      <c r="E489" s="141"/>
    </row>
    <row r="490" spans="1:5">
      <c r="A490" s="69" t="str">
        <f t="shared" si="1"/>
        <v/>
      </c>
      <c r="B490" s="138"/>
      <c r="C490" s="19"/>
      <c r="D490" s="139"/>
      <c r="E490" s="138"/>
    </row>
    <row r="491" spans="1:5">
      <c r="A491" s="69" t="str">
        <f t="shared" si="1"/>
        <v/>
      </c>
      <c r="B491" s="141"/>
      <c r="C491" s="217"/>
      <c r="D491" s="139"/>
      <c r="E491" s="141"/>
    </row>
    <row r="492" spans="1:5">
      <c r="A492" s="69" t="str">
        <f t="shared" si="1"/>
        <v/>
      </c>
      <c r="B492" s="138"/>
      <c r="C492" s="19"/>
      <c r="D492" s="139"/>
      <c r="E492" s="138"/>
    </row>
    <row r="493" spans="1:5">
      <c r="A493" s="69" t="str">
        <f t="shared" si="1"/>
        <v/>
      </c>
      <c r="B493" s="141"/>
      <c r="C493" s="217"/>
      <c r="D493" s="139"/>
      <c r="E493" s="141"/>
    </row>
    <row r="494" spans="1:5">
      <c r="A494" s="69" t="str">
        <f t="shared" si="1"/>
        <v/>
      </c>
      <c r="B494" s="138"/>
      <c r="C494" s="19"/>
      <c r="D494" s="139"/>
      <c r="E494" s="138"/>
    </row>
    <row r="495" spans="1:5">
      <c r="A495" s="69" t="str">
        <f t="shared" si="1"/>
        <v/>
      </c>
      <c r="B495" s="141"/>
      <c r="C495" s="217"/>
      <c r="D495" s="139"/>
      <c r="E495" s="141"/>
    </row>
    <row r="496" spans="1:5">
      <c r="A496" s="69" t="str">
        <f t="shared" si="1"/>
        <v/>
      </c>
      <c r="B496" s="138"/>
      <c r="C496" s="19"/>
      <c r="D496" s="139"/>
      <c r="E496" s="138"/>
    </row>
    <row r="497" spans="1:5">
      <c r="A497" s="69" t="str">
        <f t="shared" si="1"/>
        <v/>
      </c>
      <c r="B497" s="141"/>
      <c r="C497" s="217"/>
      <c r="D497" s="139"/>
      <c r="E497" s="141"/>
    </row>
    <row r="498" spans="1:5">
      <c r="A498" s="69" t="str">
        <f t="shared" si="1"/>
        <v/>
      </c>
      <c r="B498" s="138"/>
      <c r="C498" s="19"/>
      <c r="D498" s="139"/>
      <c r="E498" s="138"/>
    </row>
    <row r="499" spans="1:5">
      <c r="A499" s="69" t="str">
        <f t="shared" si="1"/>
        <v/>
      </c>
      <c r="B499" s="141"/>
      <c r="C499" s="217"/>
      <c r="D499" s="139"/>
      <c r="E499" s="141"/>
    </row>
    <row r="500" spans="1:5">
      <c r="A500" s="69" t="str">
        <f t="shared" si="1"/>
        <v/>
      </c>
      <c r="B500" s="138"/>
      <c r="C500" s="19"/>
      <c r="D500" s="139"/>
      <c r="E500" s="138"/>
    </row>
    <row r="501" spans="1:5">
      <c r="A501" s="69" t="str">
        <f t="shared" si="1"/>
        <v/>
      </c>
      <c r="B501" s="141"/>
      <c r="C501" s="217"/>
      <c r="D501" s="139"/>
      <c r="E501" s="141"/>
    </row>
    <row r="502" spans="1:5">
      <c r="A502" s="69" t="str">
        <f t="shared" si="1"/>
        <v/>
      </c>
      <c r="B502" s="138"/>
      <c r="C502" s="19"/>
      <c r="D502" s="139"/>
      <c r="E502" s="138"/>
    </row>
    <row r="503" spans="1:5">
      <c r="A503" s="69" t="str">
        <f t="shared" si="1"/>
        <v/>
      </c>
      <c r="B503" s="141"/>
      <c r="C503" s="217"/>
      <c r="D503" s="139"/>
      <c r="E503" s="141"/>
    </row>
    <row r="504" spans="1:5">
      <c r="A504" s="69" t="str">
        <f t="shared" si="1"/>
        <v/>
      </c>
      <c r="B504" s="138"/>
      <c r="C504" s="19"/>
      <c r="D504" s="139"/>
      <c r="E504" s="138"/>
    </row>
    <row r="505" spans="1:5">
      <c r="A505" s="69" t="str">
        <f t="shared" si="1"/>
        <v/>
      </c>
      <c r="B505" s="141"/>
      <c r="C505" s="217"/>
      <c r="D505" s="139"/>
      <c r="E505" s="141"/>
    </row>
    <row r="506" spans="1:5">
      <c r="A506" s="69" t="str">
        <f t="shared" si="1"/>
        <v/>
      </c>
      <c r="B506" s="138"/>
      <c r="C506" s="19"/>
      <c r="D506" s="139"/>
      <c r="E506" s="138"/>
    </row>
    <row r="507" spans="1:5">
      <c r="A507" s="69" t="str">
        <f t="shared" si="1"/>
        <v/>
      </c>
      <c r="B507" s="141"/>
      <c r="C507" s="217"/>
      <c r="D507" s="139"/>
      <c r="E507" s="141"/>
    </row>
    <row r="508" spans="1:5">
      <c r="A508" s="69" t="str">
        <f t="shared" si="1"/>
        <v/>
      </c>
      <c r="B508" s="138"/>
      <c r="C508" s="19"/>
      <c r="D508" s="139"/>
      <c r="E508" s="138"/>
    </row>
    <row r="509" spans="1:5">
      <c r="A509" s="69" t="str">
        <f t="shared" si="1"/>
        <v/>
      </c>
      <c r="B509" s="141"/>
      <c r="C509" s="217"/>
      <c r="D509" s="139"/>
      <c r="E509" s="141"/>
    </row>
    <row r="510" spans="1:5">
      <c r="A510" s="69" t="str">
        <f t="shared" si="1"/>
        <v/>
      </c>
      <c r="B510" s="138"/>
      <c r="C510" s="19"/>
      <c r="D510" s="139"/>
      <c r="E510" s="138"/>
    </row>
    <row r="511" spans="1:5">
      <c r="A511" s="69" t="str">
        <f t="shared" si="1"/>
        <v/>
      </c>
      <c r="B511" s="141"/>
      <c r="C511" s="217"/>
      <c r="D511" s="139"/>
      <c r="E511" s="141"/>
    </row>
    <row r="512" spans="1:5">
      <c r="A512" s="69" t="str">
        <f t="shared" si="1"/>
        <v/>
      </c>
      <c r="B512" s="138"/>
      <c r="C512" s="19"/>
      <c r="D512" s="139"/>
      <c r="E512" s="138"/>
    </row>
    <row r="513" spans="1:5">
      <c r="A513" s="69" t="str">
        <f t="shared" ref="A513:A767" si="2">IF(B513="","",ROW()-2)</f>
        <v/>
      </c>
      <c r="B513" s="141"/>
      <c r="C513" s="217"/>
      <c r="D513" s="139"/>
      <c r="E513" s="141"/>
    </row>
    <row r="514" spans="1:5">
      <c r="A514" s="69" t="str">
        <f t="shared" si="2"/>
        <v/>
      </c>
      <c r="B514" s="138"/>
      <c r="C514" s="19"/>
      <c r="D514" s="139"/>
      <c r="E514" s="138"/>
    </row>
    <row r="515" spans="1:5">
      <c r="A515" s="69" t="str">
        <f t="shared" si="2"/>
        <v/>
      </c>
      <c r="B515" s="141"/>
      <c r="C515" s="217"/>
      <c r="D515" s="139"/>
      <c r="E515" s="141"/>
    </row>
    <row r="516" spans="1:5">
      <c r="A516" s="69" t="str">
        <f t="shared" si="2"/>
        <v/>
      </c>
      <c r="B516" s="138"/>
      <c r="C516" s="19"/>
      <c r="D516" s="139"/>
      <c r="E516" s="138"/>
    </row>
    <row r="517" spans="1:5">
      <c r="A517" s="69" t="str">
        <f t="shared" si="2"/>
        <v/>
      </c>
      <c r="B517" s="141"/>
      <c r="C517" s="217"/>
      <c r="D517" s="139"/>
      <c r="E517" s="141"/>
    </row>
    <row r="518" spans="1:5">
      <c r="A518" s="69" t="str">
        <f t="shared" si="2"/>
        <v/>
      </c>
      <c r="B518" s="138"/>
      <c r="C518" s="19"/>
      <c r="D518" s="139"/>
      <c r="E518" s="138"/>
    </row>
    <row r="519" spans="1:5">
      <c r="A519" s="69" t="str">
        <f t="shared" si="2"/>
        <v/>
      </c>
      <c r="B519" s="141"/>
      <c r="C519" s="217"/>
      <c r="D519" s="139"/>
      <c r="E519" s="141"/>
    </row>
    <row r="520" spans="1:5">
      <c r="A520" s="69" t="str">
        <f t="shared" si="2"/>
        <v/>
      </c>
      <c r="B520" s="138"/>
      <c r="C520" s="19"/>
      <c r="D520" s="139"/>
      <c r="E520" s="138"/>
    </row>
    <row r="521" spans="1:5">
      <c r="A521" s="69" t="str">
        <f t="shared" si="2"/>
        <v/>
      </c>
      <c r="B521" s="141"/>
      <c r="C521" s="217"/>
      <c r="D521" s="139"/>
      <c r="E521" s="141"/>
    </row>
    <row r="522" spans="1:5">
      <c r="A522" s="69" t="str">
        <f t="shared" si="2"/>
        <v/>
      </c>
      <c r="B522" s="138"/>
      <c r="C522" s="19"/>
      <c r="D522" s="139"/>
      <c r="E522" s="138"/>
    </row>
    <row r="523" spans="1:5">
      <c r="A523" s="69" t="str">
        <f t="shared" si="2"/>
        <v/>
      </c>
      <c r="B523" s="141"/>
      <c r="C523" s="217"/>
      <c r="D523" s="139"/>
      <c r="E523" s="141"/>
    </row>
    <row r="524" spans="1:5">
      <c r="A524" s="69" t="str">
        <f t="shared" si="2"/>
        <v/>
      </c>
      <c r="B524" s="138"/>
      <c r="C524" s="19"/>
      <c r="D524" s="139"/>
      <c r="E524" s="138"/>
    </row>
    <row r="525" spans="1:5">
      <c r="A525" s="69" t="str">
        <f t="shared" si="2"/>
        <v/>
      </c>
      <c r="B525" s="141"/>
      <c r="C525" s="217"/>
      <c r="D525" s="139"/>
      <c r="E525" s="141"/>
    </row>
    <row r="526" spans="1:5">
      <c r="A526" s="69" t="str">
        <f t="shared" si="2"/>
        <v/>
      </c>
      <c r="B526" s="138"/>
      <c r="C526" s="19"/>
      <c r="D526" s="139"/>
      <c r="E526" s="138"/>
    </row>
    <row r="527" spans="1:5">
      <c r="A527" s="69" t="str">
        <f t="shared" si="2"/>
        <v/>
      </c>
      <c r="B527" s="141"/>
      <c r="C527" s="217"/>
      <c r="D527" s="139"/>
      <c r="E527" s="141"/>
    </row>
    <row r="528" spans="1:5">
      <c r="A528" s="69" t="str">
        <f t="shared" si="2"/>
        <v/>
      </c>
      <c r="B528" s="138"/>
      <c r="C528" s="19"/>
      <c r="D528" s="139"/>
      <c r="E528" s="138"/>
    </row>
    <row r="529" spans="1:5">
      <c r="A529" s="69" t="str">
        <f t="shared" si="2"/>
        <v/>
      </c>
      <c r="B529" s="141"/>
      <c r="C529" s="217"/>
      <c r="D529" s="139"/>
      <c r="E529" s="141"/>
    </row>
    <row r="530" spans="1:5">
      <c r="A530" s="69" t="str">
        <f t="shared" si="2"/>
        <v/>
      </c>
      <c r="B530" s="138"/>
      <c r="C530" s="19"/>
      <c r="D530" s="139"/>
      <c r="E530" s="138"/>
    </row>
    <row r="531" spans="1:5">
      <c r="A531" s="69" t="str">
        <f t="shared" si="2"/>
        <v/>
      </c>
      <c r="B531" s="141"/>
      <c r="C531" s="217"/>
      <c r="D531" s="139"/>
      <c r="E531" s="141"/>
    </row>
    <row r="532" spans="1:5">
      <c r="A532" s="69" t="str">
        <f t="shared" si="2"/>
        <v/>
      </c>
      <c r="B532" s="138"/>
      <c r="C532" s="19"/>
      <c r="D532" s="139"/>
      <c r="E532" s="138"/>
    </row>
    <row r="533" spans="1:5">
      <c r="A533" s="69" t="str">
        <f t="shared" si="2"/>
        <v/>
      </c>
      <c r="B533" s="141"/>
      <c r="C533" s="217"/>
      <c r="D533" s="139"/>
      <c r="E533" s="141"/>
    </row>
    <row r="534" spans="1:5">
      <c r="A534" s="69" t="str">
        <f t="shared" si="2"/>
        <v/>
      </c>
      <c r="B534" s="138"/>
      <c r="C534" s="19"/>
      <c r="D534" s="139"/>
      <c r="E534" s="138"/>
    </row>
    <row r="535" spans="1:5">
      <c r="A535" s="69" t="str">
        <f t="shared" si="2"/>
        <v/>
      </c>
      <c r="B535" s="141"/>
      <c r="C535" s="217"/>
      <c r="D535" s="139"/>
      <c r="E535" s="141"/>
    </row>
    <row r="536" spans="1:5">
      <c r="A536" s="69" t="str">
        <f t="shared" si="2"/>
        <v/>
      </c>
      <c r="B536" s="138"/>
      <c r="C536" s="19"/>
      <c r="D536" s="139"/>
      <c r="E536" s="138"/>
    </row>
    <row r="537" spans="1:5">
      <c r="A537" s="69" t="str">
        <f t="shared" si="2"/>
        <v/>
      </c>
      <c r="B537" s="141"/>
      <c r="C537" s="217"/>
      <c r="D537" s="139"/>
      <c r="E537" s="141"/>
    </row>
    <row r="538" spans="1:5">
      <c r="A538" s="69" t="str">
        <f t="shared" si="2"/>
        <v/>
      </c>
      <c r="B538" s="138"/>
      <c r="C538" s="19"/>
      <c r="D538" s="139"/>
      <c r="E538" s="138"/>
    </row>
    <row r="539" spans="1:5">
      <c r="A539" s="69" t="str">
        <f t="shared" si="2"/>
        <v/>
      </c>
      <c r="B539" s="141"/>
      <c r="C539" s="217"/>
      <c r="D539" s="139"/>
      <c r="E539" s="141"/>
    </row>
    <row r="540" spans="1:5">
      <c r="A540" s="69" t="str">
        <f t="shared" si="2"/>
        <v/>
      </c>
      <c r="B540" s="138"/>
      <c r="C540" s="19"/>
      <c r="D540" s="139"/>
      <c r="E540" s="138"/>
    </row>
    <row r="541" spans="1:5">
      <c r="A541" s="69" t="str">
        <f t="shared" si="2"/>
        <v/>
      </c>
      <c r="B541" s="141"/>
      <c r="C541" s="217"/>
      <c r="D541" s="139"/>
      <c r="E541" s="141"/>
    </row>
    <row r="542" spans="1:5">
      <c r="A542" s="69" t="str">
        <f t="shared" si="2"/>
        <v/>
      </c>
      <c r="B542" s="138"/>
      <c r="C542" s="19"/>
      <c r="D542" s="139"/>
      <c r="E542" s="138"/>
    </row>
    <row r="543" spans="1:5">
      <c r="A543" s="69" t="str">
        <f t="shared" si="2"/>
        <v/>
      </c>
      <c r="B543" s="141"/>
      <c r="C543" s="217"/>
      <c r="D543" s="139"/>
      <c r="E543" s="141"/>
    </row>
    <row r="544" spans="1:5">
      <c r="A544" s="69" t="str">
        <f t="shared" si="2"/>
        <v/>
      </c>
      <c r="B544" s="138"/>
      <c r="C544" s="19"/>
      <c r="D544" s="139"/>
      <c r="E544" s="138"/>
    </row>
    <row r="545" spans="1:5">
      <c r="A545" s="69" t="str">
        <f t="shared" si="2"/>
        <v/>
      </c>
      <c r="B545" s="141"/>
      <c r="C545" s="217"/>
      <c r="D545" s="139"/>
      <c r="E545" s="141"/>
    </row>
    <row r="546" spans="1:5">
      <c r="A546" s="69" t="str">
        <f t="shared" si="2"/>
        <v/>
      </c>
      <c r="B546" s="138"/>
      <c r="C546" s="19"/>
      <c r="D546" s="139"/>
      <c r="E546" s="138"/>
    </row>
    <row r="547" spans="1:5">
      <c r="A547" s="69" t="str">
        <f t="shared" si="2"/>
        <v/>
      </c>
      <c r="B547" s="141"/>
      <c r="C547" s="217"/>
      <c r="D547" s="139"/>
      <c r="E547" s="141"/>
    </row>
    <row r="548" spans="1:5">
      <c r="A548" s="69" t="str">
        <f t="shared" si="2"/>
        <v/>
      </c>
      <c r="B548" s="138"/>
      <c r="C548" s="19"/>
      <c r="D548" s="139"/>
      <c r="E548" s="138"/>
    </row>
    <row r="549" spans="1:5">
      <c r="A549" s="69" t="str">
        <f t="shared" si="2"/>
        <v/>
      </c>
      <c r="B549" s="141"/>
      <c r="C549" s="217"/>
      <c r="D549" s="139"/>
      <c r="E549" s="141"/>
    </row>
    <row r="550" spans="1:5">
      <c r="A550" s="69" t="str">
        <f t="shared" si="2"/>
        <v/>
      </c>
      <c r="B550" s="138"/>
      <c r="C550" s="19"/>
      <c r="D550" s="139"/>
      <c r="E550" s="138"/>
    </row>
    <row r="551" spans="1:5">
      <c r="A551" s="69" t="str">
        <f t="shared" si="2"/>
        <v/>
      </c>
      <c r="B551" s="141"/>
      <c r="C551" s="217"/>
      <c r="D551" s="139"/>
      <c r="E551" s="141"/>
    </row>
    <row r="552" spans="1:5">
      <c r="A552" s="69" t="str">
        <f t="shared" si="2"/>
        <v/>
      </c>
      <c r="B552" s="138"/>
      <c r="C552" s="19"/>
      <c r="D552" s="139"/>
      <c r="E552" s="138"/>
    </row>
    <row r="553" spans="1:5">
      <c r="A553" s="69" t="str">
        <f t="shared" si="2"/>
        <v/>
      </c>
      <c r="B553" s="141"/>
      <c r="C553" s="217"/>
      <c r="D553" s="139"/>
      <c r="E553" s="141"/>
    </row>
    <row r="554" spans="1:5">
      <c r="A554" s="69" t="str">
        <f t="shared" si="2"/>
        <v/>
      </c>
      <c r="B554" s="138"/>
      <c r="C554" s="19"/>
      <c r="D554" s="139"/>
      <c r="E554" s="138"/>
    </row>
    <row r="555" spans="1:5">
      <c r="A555" s="69" t="str">
        <f t="shared" si="2"/>
        <v/>
      </c>
      <c r="B555" s="141"/>
      <c r="C555" s="217"/>
      <c r="D555" s="139"/>
      <c r="E555" s="141"/>
    </row>
    <row r="556" spans="1:5">
      <c r="A556" s="69" t="str">
        <f t="shared" si="2"/>
        <v/>
      </c>
      <c r="B556" s="138"/>
      <c r="C556" s="19"/>
      <c r="D556" s="139"/>
      <c r="E556" s="138"/>
    </row>
    <row r="557" spans="1:5">
      <c r="A557" s="69" t="str">
        <f t="shared" si="2"/>
        <v/>
      </c>
      <c r="B557" s="141"/>
      <c r="C557" s="217"/>
      <c r="D557" s="139"/>
      <c r="E557" s="141"/>
    </row>
    <row r="558" spans="1:5">
      <c r="A558" s="69" t="str">
        <f t="shared" si="2"/>
        <v/>
      </c>
      <c r="B558" s="138"/>
      <c r="C558" s="19"/>
      <c r="D558" s="139"/>
      <c r="E558" s="138"/>
    </row>
    <row r="559" spans="1:5">
      <c r="A559" s="69" t="str">
        <f t="shared" si="2"/>
        <v/>
      </c>
      <c r="B559" s="141"/>
      <c r="C559" s="217"/>
      <c r="D559" s="139"/>
      <c r="E559" s="141"/>
    </row>
    <row r="560" spans="1:5">
      <c r="A560" s="69" t="str">
        <f t="shared" si="2"/>
        <v/>
      </c>
      <c r="B560" s="138"/>
      <c r="C560" s="19"/>
      <c r="D560" s="139"/>
      <c r="E560" s="138"/>
    </row>
    <row r="561" spans="1:5">
      <c r="A561" s="69" t="str">
        <f t="shared" si="2"/>
        <v/>
      </c>
      <c r="B561" s="141"/>
      <c r="C561" s="217"/>
      <c r="D561" s="139"/>
      <c r="E561" s="141"/>
    </row>
    <row r="562" spans="1:5">
      <c r="A562" s="69" t="str">
        <f t="shared" si="2"/>
        <v/>
      </c>
      <c r="B562" s="138"/>
      <c r="C562" s="19"/>
      <c r="D562" s="139"/>
      <c r="E562" s="138"/>
    </row>
    <row r="563" spans="1:5">
      <c r="A563" s="69" t="str">
        <f t="shared" si="2"/>
        <v/>
      </c>
      <c r="B563" s="141"/>
      <c r="C563" s="217"/>
      <c r="D563" s="139"/>
      <c r="E563" s="141"/>
    </row>
    <row r="564" spans="1:5">
      <c r="A564" s="69" t="str">
        <f t="shared" si="2"/>
        <v/>
      </c>
      <c r="B564" s="138"/>
      <c r="C564" s="19"/>
      <c r="D564" s="139"/>
      <c r="E564" s="138"/>
    </row>
    <row r="565" spans="1:5">
      <c r="A565" s="69" t="str">
        <f t="shared" si="2"/>
        <v/>
      </c>
      <c r="B565" s="141"/>
      <c r="C565" s="217"/>
      <c r="D565" s="139"/>
      <c r="E565" s="141"/>
    </row>
    <row r="566" spans="1:5">
      <c r="A566" s="69" t="str">
        <f t="shared" si="2"/>
        <v/>
      </c>
      <c r="B566" s="138"/>
      <c r="C566" s="19"/>
      <c r="D566" s="139"/>
      <c r="E566" s="138"/>
    </row>
    <row r="567" spans="1:5">
      <c r="A567" s="69" t="str">
        <f t="shared" si="2"/>
        <v/>
      </c>
      <c r="B567" s="141"/>
      <c r="C567" s="217"/>
      <c r="D567" s="139"/>
      <c r="E567" s="141"/>
    </row>
    <row r="568" spans="1:5">
      <c r="A568" s="69" t="str">
        <f t="shared" si="2"/>
        <v/>
      </c>
      <c r="B568" s="138"/>
      <c r="C568" s="19"/>
      <c r="D568" s="139"/>
      <c r="E568" s="138"/>
    </row>
    <row r="569" spans="1:5">
      <c r="A569" s="69" t="str">
        <f t="shared" si="2"/>
        <v/>
      </c>
      <c r="B569" s="141"/>
      <c r="C569" s="217"/>
      <c r="D569" s="139"/>
      <c r="E569" s="141"/>
    </row>
    <row r="570" spans="1:5">
      <c r="A570" s="69" t="str">
        <f t="shared" si="2"/>
        <v/>
      </c>
      <c r="B570" s="138"/>
      <c r="C570" s="19"/>
      <c r="D570" s="139"/>
      <c r="E570" s="138"/>
    </row>
    <row r="571" spans="1:5">
      <c r="A571" s="69" t="str">
        <f t="shared" si="2"/>
        <v/>
      </c>
      <c r="B571" s="141"/>
      <c r="C571" s="217"/>
      <c r="D571" s="139"/>
      <c r="E571" s="141"/>
    </row>
    <row r="572" spans="1:5">
      <c r="A572" s="69" t="str">
        <f t="shared" si="2"/>
        <v/>
      </c>
      <c r="B572" s="138"/>
      <c r="C572" s="19"/>
      <c r="D572" s="139"/>
      <c r="E572" s="138"/>
    </row>
    <row r="573" spans="1:5">
      <c r="A573" s="69" t="str">
        <f t="shared" si="2"/>
        <v/>
      </c>
      <c r="B573" s="141"/>
      <c r="C573" s="217"/>
      <c r="D573" s="139"/>
      <c r="E573" s="141"/>
    </row>
    <row r="574" spans="1:5">
      <c r="A574" s="69" t="str">
        <f t="shared" si="2"/>
        <v/>
      </c>
      <c r="B574" s="138"/>
      <c r="C574" s="19"/>
      <c r="D574" s="139"/>
      <c r="E574" s="138"/>
    </row>
    <row r="575" spans="1:5">
      <c r="A575" s="69" t="str">
        <f t="shared" si="2"/>
        <v/>
      </c>
      <c r="B575" s="141"/>
      <c r="C575" s="217"/>
      <c r="D575" s="139"/>
      <c r="E575" s="141"/>
    </row>
    <row r="576" spans="1:5">
      <c r="A576" s="69" t="str">
        <f t="shared" si="2"/>
        <v/>
      </c>
      <c r="B576" s="138"/>
      <c r="C576" s="19"/>
      <c r="D576" s="139"/>
      <c r="E576" s="138"/>
    </row>
    <row r="577" spans="1:5">
      <c r="A577" s="69" t="str">
        <f t="shared" si="2"/>
        <v/>
      </c>
      <c r="B577" s="141"/>
      <c r="C577" s="217"/>
      <c r="D577" s="139"/>
      <c r="E577" s="141"/>
    </row>
    <row r="578" spans="1:5">
      <c r="A578" s="69" t="str">
        <f t="shared" si="2"/>
        <v/>
      </c>
      <c r="B578" s="138"/>
      <c r="C578" s="19"/>
      <c r="D578" s="139"/>
      <c r="E578" s="138"/>
    </row>
    <row r="579" spans="1:5">
      <c r="A579" s="69" t="str">
        <f t="shared" si="2"/>
        <v/>
      </c>
      <c r="B579" s="141"/>
      <c r="C579" s="217"/>
      <c r="D579" s="139"/>
      <c r="E579" s="141"/>
    </row>
    <row r="580" spans="1:5">
      <c r="A580" s="69" t="str">
        <f t="shared" si="2"/>
        <v/>
      </c>
      <c r="B580" s="138"/>
      <c r="C580" s="19"/>
      <c r="D580" s="139"/>
      <c r="E580" s="138"/>
    </row>
    <row r="581" spans="1:5">
      <c r="A581" s="69" t="str">
        <f t="shared" si="2"/>
        <v/>
      </c>
      <c r="B581" s="141"/>
      <c r="C581" s="217"/>
      <c r="D581" s="139"/>
      <c r="E581" s="141"/>
    </row>
    <row r="582" spans="1:5">
      <c r="A582" s="69" t="str">
        <f t="shared" si="2"/>
        <v/>
      </c>
      <c r="B582" s="138"/>
      <c r="C582" s="19"/>
      <c r="D582" s="139"/>
      <c r="E582" s="138"/>
    </row>
    <row r="583" spans="1:5">
      <c r="A583" s="69" t="str">
        <f t="shared" si="2"/>
        <v/>
      </c>
      <c r="B583" s="141"/>
      <c r="C583" s="217"/>
      <c r="D583" s="139"/>
      <c r="E583" s="141"/>
    </row>
    <row r="584" spans="1:5">
      <c r="A584" s="69" t="str">
        <f t="shared" si="2"/>
        <v/>
      </c>
      <c r="B584" s="138"/>
      <c r="C584" s="19"/>
      <c r="D584" s="139"/>
      <c r="E584" s="138"/>
    </row>
    <row r="585" spans="1:5">
      <c r="A585" s="69" t="str">
        <f t="shared" si="2"/>
        <v/>
      </c>
      <c r="B585" s="141"/>
      <c r="C585" s="217"/>
      <c r="D585" s="139"/>
      <c r="E585" s="141"/>
    </row>
    <row r="586" spans="1:5">
      <c r="A586" s="69" t="str">
        <f t="shared" si="2"/>
        <v/>
      </c>
      <c r="B586" s="138"/>
      <c r="C586" s="19"/>
      <c r="D586" s="139"/>
      <c r="E586" s="138"/>
    </row>
    <row r="587" spans="1:5">
      <c r="A587" s="69" t="str">
        <f t="shared" si="2"/>
        <v/>
      </c>
      <c r="B587" s="141"/>
      <c r="C587" s="217"/>
      <c r="D587" s="139"/>
      <c r="E587" s="141"/>
    </row>
    <row r="588" spans="1:5">
      <c r="A588" s="69" t="str">
        <f t="shared" si="2"/>
        <v/>
      </c>
      <c r="B588" s="138"/>
      <c r="C588" s="19"/>
      <c r="D588" s="139"/>
      <c r="E588" s="138"/>
    </row>
    <row r="589" spans="1:5">
      <c r="A589" s="69" t="str">
        <f t="shared" si="2"/>
        <v/>
      </c>
      <c r="B589" s="141"/>
      <c r="C589" s="217"/>
      <c r="D589" s="139"/>
      <c r="E589" s="141"/>
    </row>
    <row r="590" spans="1:5">
      <c r="A590" s="69" t="str">
        <f t="shared" si="2"/>
        <v/>
      </c>
      <c r="B590" s="138"/>
      <c r="C590" s="19"/>
      <c r="D590" s="139"/>
      <c r="E590" s="138"/>
    </row>
    <row r="591" spans="1:5">
      <c r="A591" s="69" t="str">
        <f t="shared" si="2"/>
        <v/>
      </c>
      <c r="B591" s="141"/>
      <c r="C591" s="217"/>
      <c r="D591" s="139"/>
      <c r="E591" s="141"/>
    </row>
    <row r="592" spans="1:5">
      <c r="A592" s="69" t="str">
        <f t="shared" si="2"/>
        <v/>
      </c>
      <c r="B592" s="138"/>
      <c r="C592" s="19"/>
      <c r="D592" s="139"/>
      <c r="E592" s="138"/>
    </row>
    <row r="593" spans="1:5">
      <c r="A593" s="69" t="str">
        <f t="shared" si="2"/>
        <v/>
      </c>
      <c r="B593" s="141"/>
      <c r="C593" s="217"/>
      <c r="D593" s="139"/>
      <c r="E593" s="141"/>
    </row>
    <row r="594" spans="1:5">
      <c r="A594" s="69" t="str">
        <f t="shared" si="2"/>
        <v/>
      </c>
      <c r="B594" s="138"/>
      <c r="C594" s="19"/>
      <c r="D594" s="139"/>
      <c r="E594" s="138"/>
    </row>
    <row r="595" spans="1:5">
      <c r="A595" s="69" t="str">
        <f t="shared" si="2"/>
        <v/>
      </c>
      <c r="B595" s="141"/>
      <c r="C595" s="217"/>
      <c r="D595" s="139"/>
      <c r="E595" s="141"/>
    </row>
    <row r="596" spans="1:5">
      <c r="A596" s="69" t="str">
        <f t="shared" si="2"/>
        <v/>
      </c>
      <c r="B596" s="138"/>
      <c r="C596" s="19"/>
      <c r="D596" s="139"/>
      <c r="E596" s="138"/>
    </row>
    <row r="597" spans="1:5">
      <c r="A597" s="69" t="str">
        <f t="shared" si="2"/>
        <v/>
      </c>
      <c r="B597" s="141"/>
      <c r="C597" s="217"/>
      <c r="D597" s="139"/>
      <c r="E597" s="141"/>
    </row>
    <row r="598" spans="1:5">
      <c r="A598" s="69" t="str">
        <f t="shared" si="2"/>
        <v/>
      </c>
      <c r="B598" s="138"/>
      <c r="C598" s="19"/>
      <c r="D598" s="139"/>
      <c r="E598" s="138"/>
    </row>
    <row r="599" spans="1:5">
      <c r="A599" s="69" t="str">
        <f t="shared" si="2"/>
        <v/>
      </c>
      <c r="B599" s="141"/>
      <c r="C599" s="217"/>
      <c r="D599" s="139"/>
      <c r="E599" s="141"/>
    </row>
    <row r="600" spans="1:5">
      <c r="A600" s="69" t="str">
        <f t="shared" si="2"/>
        <v/>
      </c>
      <c r="B600" s="138"/>
      <c r="C600" s="19"/>
      <c r="D600" s="139"/>
      <c r="E600" s="138"/>
    </row>
    <row r="601" spans="1:5">
      <c r="A601" s="69" t="str">
        <f t="shared" si="2"/>
        <v/>
      </c>
      <c r="B601" s="141"/>
      <c r="C601" s="217"/>
      <c r="D601" s="139"/>
      <c r="E601" s="141"/>
    </row>
    <row r="602" spans="1:5">
      <c r="A602" s="69" t="str">
        <f t="shared" si="2"/>
        <v/>
      </c>
      <c r="B602" s="138"/>
      <c r="C602" s="19"/>
      <c r="D602" s="139"/>
      <c r="E602" s="138"/>
    </row>
    <row r="603" spans="1:5">
      <c r="A603" s="69" t="str">
        <f t="shared" si="2"/>
        <v/>
      </c>
      <c r="B603" s="141"/>
      <c r="C603" s="217"/>
      <c r="D603" s="139"/>
      <c r="E603" s="141"/>
    </row>
    <row r="604" spans="1:5">
      <c r="A604" s="69" t="str">
        <f t="shared" si="2"/>
        <v/>
      </c>
      <c r="B604" s="138"/>
      <c r="C604" s="19"/>
      <c r="D604" s="139"/>
      <c r="E604" s="138"/>
    </row>
    <row r="605" spans="1:5">
      <c r="A605" s="69" t="str">
        <f t="shared" si="2"/>
        <v/>
      </c>
      <c r="B605" s="141"/>
      <c r="C605" s="217"/>
      <c r="D605" s="139"/>
      <c r="E605" s="141"/>
    </row>
    <row r="606" spans="1:5">
      <c r="A606" s="69" t="str">
        <f t="shared" si="2"/>
        <v/>
      </c>
      <c r="B606" s="138"/>
      <c r="C606" s="19"/>
      <c r="D606" s="139"/>
      <c r="E606" s="138"/>
    </row>
    <row r="607" spans="1:5">
      <c r="A607" s="69" t="str">
        <f t="shared" si="2"/>
        <v/>
      </c>
      <c r="B607" s="141"/>
      <c r="C607" s="217"/>
      <c r="D607" s="139"/>
      <c r="E607" s="141"/>
    </row>
    <row r="608" spans="1:5">
      <c r="A608" s="69" t="str">
        <f t="shared" si="2"/>
        <v/>
      </c>
      <c r="B608" s="138"/>
      <c r="C608" s="19"/>
      <c r="D608" s="139"/>
      <c r="E608" s="138"/>
    </row>
    <row r="609" spans="1:5">
      <c r="A609" s="69" t="str">
        <f t="shared" si="2"/>
        <v/>
      </c>
      <c r="B609" s="141"/>
      <c r="C609" s="217"/>
      <c r="D609" s="139"/>
      <c r="E609" s="141"/>
    </row>
    <row r="610" spans="1:5">
      <c r="A610" s="69" t="str">
        <f t="shared" si="2"/>
        <v/>
      </c>
      <c r="B610" s="138"/>
      <c r="C610" s="19"/>
      <c r="D610" s="139"/>
      <c r="E610" s="138"/>
    </row>
    <row r="611" spans="1:5">
      <c r="A611" s="69" t="str">
        <f t="shared" si="2"/>
        <v/>
      </c>
      <c r="B611" s="141"/>
      <c r="C611" s="217"/>
      <c r="D611" s="139"/>
      <c r="E611" s="141"/>
    </row>
    <row r="612" spans="1:5">
      <c r="A612" s="69" t="str">
        <f t="shared" si="2"/>
        <v/>
      </c>
      <c r="B612" s="138"/>
      <c r="C612" s="19"/>
      <c r="D612" s="139"/>
      <c r="E612" s="138"/>
    </row>
    <row r="613" spans="1:5">
      <c r="A613" s="69" t="str">
        <f t="shared" si="2"/>
        <v/>
      </c>
      <c r="B613" s="141"/>
      <c r="C613" s="217"/>
      <c r="D613" s="139"/>
      <c r="E613" s="141"/>
    </row>
    <row r="614" spans="1:5">
      <c r="A614" s="69" t="str">
        <f t="shared" si="2"/>
        <v/>
      </c>
      <c r="B614" s="138"/>
      <c r="C614" s="19"/>
      <c r="D614" s="139"/>
      <c r="E614" s="138"/>
    </row>
    <row r="615" spans="1:5">
      <c r="A615" s="69" t="str">
        <f t="shared" si="2"/>
        <v/>
      </c>
      <c r="B615" s="141"/>
      <c r="C615" s="217"/>
      <c r="D615" s="139"/>
      <c r="E615" s="141"/>
    </row>
    <row r="616" spans="1:5">
      <c r="A616" s="69" t="str">
        <f t="shared" si="2"/>
        <v/>
      </c>
      <c r="B616" s="138"/>
      <c r="C616" s="19"/>
      <c r="D616" s="139"/>
      <c r="E616" s="138"/>
    </row>
    <row r="617" spans="1:5">
      <c r="A617" s="69" t="str">
        <f t="shared" si="2"/>
        <v/>
      </c>
      <c r="B617" s="141"/>
      <c r="C617" s="217"/>
      <c r="D617" s="139"/>
      <c r="E617" s="141"/>
    </row>
    <row r="618" spans="1:5">
      <c r="A618" s="69" t="str">
        <f t="shared" si="2"/>
        <v/>
      </c>
      <c r="B618" s="138"/>
      <c r="C618" s="19"/>
      <c r="D618" s="139"/>
      <c r="E618" s="138"/>
    </row>
    <row r="619" spans="1:5">
      <c r="A619" s="69" t="str">
        <f t="shared" si="2"/>
        <v/>
      </c>
      <c r="B619" s="141"/>
      <c r="C619" s="217"/>
      <c r="D619" s="139"/>
      <c r="E619" s="141"/>
    </row>
    <row r="620" spans="1:5">
      <c r="A620" s="69" t="str">
        <f t="shared" si="2"/>
        <v/>
      </c>
      <c r="B620" s="138"/>
      <c r="C620" s="19"/>
      <c r="D620" s="139"/>
      <c r="E620" s="138"/>
    </row>
    <row r="621" spans="1:5">
      <c r="A621" s="69" t="str">
        <f t="shared" si="2"/>
        <v/>
      </c>
      <c r="B621" s="141"/>
      <c r="C621" s="217"/>
      <c r="D621" s="139"/>
      <c r="E621" s="141"/>
    </row>
    <row r="622" spans="1:5">
      <c r="A622" s="69" t="str">
        <f t="shared" si="2"/>
        <v/>
      </c>
      <c r="B622" s="138"/>
      <c r="C622" s="19"/>
      <c r="D622" s="139"/>
      <c r="E622" s="138"/>
    </row>
    <row r="623" spans="1:5">
      <c r="A623" s="69" t="str">
        <f t="shared" si="2"/>
        <v/>
      </c>
      <c r="B623" s="141"/>
      <c r="C623" s="217"/>
      <c r="D623" s="139"/>
      <c r="E623" s="141"/>
    </row>
    <row r="624" spans="1:5">
      <c r="A624" s="69" t="str">
        <f t="shared" si="2"/>
        <v/>
      </c>
      <c r="B624" s="138"/>
      <c r="C624" s="19"/>
      <c r="D624" s="139"/>
      <c r="E624" s="138"/>
    </row>
    <row r="625" spans="1:5">
      <c r="A625" s="69" t="str">
        <f t="shared" si="2"/>
        <v/>
      </c>
      <c r="B625" s="141"/>
      <c r="C625" s="217"/>
      <c r="D625" s="139"/>
      <c r="E625" s="141"/>
    </row>
    <row r="626" spans="1:5">
      <c r="A626" s="69" t="str">
        <f t="shared" si="2"/>
        <v/>
      </c>
      <c r="B626" s="138"/>
      <c r="C626" s="19"/>
      <c r="D626" s="139"/>
      <c r="E626" s="138"/>
    </row>
    <row r="627" spans="1:5">
      <c r="A627" s="69" t="str">
        <f t="shared" si="2"/>
        <v/>
      </c>
      <c r="B627" s="141"/>
      <c r="C627" s="217"/>
      <c r="D627" s="139"/>
      <c r="E627" s="141"/>
    </row>
    <row r="628" spans="1:5">
      <c r="A628" s="69" t="str">
        <f t="shared" si="2"/>
        <v/>
      </c>
      <c r="B628" s="138"/>
      <c r="C628" s="19"/>
      <c r="D628" s="139"/>
      <c r="E628" s="138"/>
    </row>
    <row r="629" spans="1:5">
      <c r="A629" s="69" t="str">
        <f t="shared" si="2"/>
        <v/>
      </c>
      <c r="B629" s="141"/>
      <c r="C629" s="217"/>
      <c r="D629" s="139"/>
      <c r="E629" s="141"/>
    </row>
    <row r="630" spans="1:5">
      <c r="A630" s="69" t="str">
        <f t="shared" si="2"/>
        <v/>
      </c>
      <c r="B630" s="138"/>
      <c r="C630" s="19"/>
      <c r="D630" s="139"/>
      <c r="E630" s="138"/>
    </row>
    <row r="631" spans="1:5">
      <c r="A631" s="69" t="str">
        <f t="shared" si="2"/>
        <v/>
      </c>
      <c r="B631" s="141"/>
      <c r="C631" s="217"/>
      <c r="D631" s="139"/>
      <c r="E631" s="141"/>
    </row>
    <row r="632" spans="1:5">
      <c r="A632" s="69" t="str">
        <f t="shared" si="2"/>
        <v/>
      </c>
      <c r="B632" s="138"/>
      <c r="C632" s="19"/>
      <c r="D632" s="139"/>
      <c r="E632" s="138"/>
    </row>
    <row r="633" spans="1:5">
      <c r="A633" s="69" t="str">
        <f t="shared" si="2"/>
        <v/>
      </c>
      <c r="B633" s="141"/>
      <c r="C633" s="217"/>
      <c r="D633" s="139"/>
      <c r="E633" s="141"/>
    </row>
    <row r="634" spans="1:5">
      <c r="A634" s="69" t="str">
        <f t="shared" si="2"/>
        <v/>
      </c>
      <c r="B634" s="138"/>
      <c r="C634" s="19"/>
      <c r="D634" s="139"/>
      <c r="E634" s="138"/>
    </row>
    <row r="635" spans="1:5">
      <c r="A635" s="69" t="str">
        <f t="shared" si="2"/>
        <v/>
      </c>
      <c r="B635" s="141"/>
      <c r="C635" s="217"/>
      <c r="D635" s="139"/>
      <c r="E635" s="141"/>
    </row>
    <row r="636" spans="1:5">
      <c r="A636" s="69" t="str">
        <f t="shared" si="2"/>
        <v/>
      </c>
      <c r="B636" s="138"/>
      <c r="C636" s="19"/>
      <c r="D636" s="139"/>
      <c r="E636" s="138"/>
    </row>
    <row r="637" spans="1:5">
      <c r="A637" s="69" t="str">
        <f t="shared" si="2"/>
        <v/>
      </c>
      <c r="B637" s="141"/>
      <c r="C637" s="217"/>
      <c r="D637" s="139"/>
      <c r="E637" s="141"/>
    </row>
    <row r="638" spans="1:5">
      <c r="A638" s="69" t="str">
        <f t="shared" si="2"/>
        <v/>
      </c>
      <c r="B638" s="138"/>
      <c r="C638" s="19"/>
      <c r="D638" s="139"/>
      <c r="E638" s="138"/>
    </row>
    <row r="639" spans="1:5">
      <c r="A639" s="69" t="str">
        <f t="shared" si="2"/>
        <v/>
      </c>
      <c r="B639" s="141"/>
      <c r="C639" s="217"/>
      <c r="D639" s="139"/>
      <c r="E639" s="141"/>
    </row>
    <row r="640" spans="1:5">
      <c r="A640" s="69" t="str">
        <f t="shared" si="2"/>
        <v/>
      </c>
      <c r="B640" s="138"/>
      <c r="C640" s="19"/>
      <c r="D640" s="139"/>
      <c r="E640" s="138"/>
    </row>
    <row r="641" spans="1:5">
      <c r="A641" s="69" t="str">
        <f t="shared" si="2"/>
        <v/>
      </c>
      <c r="B641" s="141"/>
      <c r="C641" s="217"/>
      <c r="D641" s="139"/>
      <c r="E641" s="141"/>
    </row>
    <row r="642" spans="1:5">
      <c r="A642" s="69" t="str">
        <f t="shared" si="2"/>
        <v/>
      </c>
      <c r="B642" s="138"/>
      <c r="C642" s="19"/>
      <c r="D642" s="139"/>
      <c r="E642" s="138"/>
    </row>
    <row r="643" spans="1:5">
      <c r="A643" s="69" t="str">
        <f t="shared" si="2"/>
        <v/>
      </c>
      <c r="B643" s="141"/>
      <c r="C643" s="217"/>
      <c r="D643" s="139"/>
      <c r="E643" s="141"/>
    </row>
    <row r="644" spans="1:5">
      <c r="A644" s="69" t="str">
        <f t="shared" si="2"/>
        <v/>
      </c>
      <c r="B644" s="138"/>
      <c r="C644" s="19"/>
      <c r="D644" s="139"/>
      <c r="E644" s="138"/>
    </row>
    <row r="645" spans="1:5">
      <c r="A645" s="69" t="str">
        <f t="shared" si="2"/>
        <v/>
      </c>
      <c r="B645" s="141"/>
      <c r="C645" s="217"/>
      <c r="D645" s="139"/>
      <c r="E645" s="141"/>
    </row>
    <row r="646" spans="1:5">
      <c r="A646" s="69" t="str">
        <f t="shared" si="2"/>
        <v/>
      </c>
      <c r="B646" s="138"/>
      <c r="C646" s="19"/>
      <c r="D646" s="139"/>
      <c r="E646" s="138"/>
    </row>
    <row r="647" spans="1:5">
      <c r="A647" s="69" t="str">
        <f t="shared" si="2"/>
        <v/>
      </c>
      <c r="B647" s="141"/>
      <c r="C647" s="217"/>
      <c r="D647" s="139"/>
      <c r="E647" s="141"/>
    </row>
    <row r="648" spans="1:5">
      <c r="A648" s="69" t="str">
        <f t="shared" si="2"/>
        <v/>
      </c>
      <c r="B648" s="138"/>
      <c r="C648" s="19"/>
      <c r="D648" s="139"/>
      <c r="E648" s="138"/>
    </row>
    <row r="649" spans="1:5">
      <c r="A649" s="69" t="str">
        <f t="shared" si="2"/>
        <v/>
      </c>
      <c r="B649" s="141"/>
      <c r="C649" s="217"/>
      <c r="D649" s="139"/>
      <c r="E649" s="141"/>
    </row>
    <row r="650" spans="1:5">
      <c r="A650" s="69" t="str">
        <f t="shared" si="2"/>
        <v/>
      </c>
      <c r="B650" s="138"/>
      <c r="C650" s="19"/>
      <c r="D650" s="139"/>
      <c r="E650" s="138"/>
    </row>
    <row r="651" spans="1:5">
      <c r="A651" s="69" t="str">
        <f t="shared" si="2"/>
        <v/>
      </c>
      <c r="B651" s="141"/>
      <c r="C651" s="217"/>
      <c r="D651" s="139"/>
      <c r="E651" s="141"/>
    </row>
    <row r="652" spans="1:5">
      <c r="A652" s="69" t="str">
        <f t="shared" si="2"/>
        <v/>
      </c>
      <c r="B652" s="138"/>
      <c r="C652" s="19"/>
      <c r="D652" s="139"/>
      <c r="E652" s="138"/>
    </row>
    <row r="653" spans="1:5">
      <c r="A653" s="69" t="str">
        <f t="shared" si="2"/>
        <v/>
      </c>
      <c r="B653" s="141"/>
      <c r="C653" s="217"/>
      <c r="D653" s="139"/>
      <c r="E653" s="141"/>
    </row>
    <row r="654" spans="1:5">
      <c r="A654" s="69" t="str">
        <f t="shared" si="2"/>
        <v/>
      </c>
      <c r="B654" s="138"/>
      <c r="C654" s="19"/>
      <c r="D654" s="139"/>
      <c r="E654" s="138"/>
    </row>
    <row r="655" spans="1:5">
      <c r="A655" s="69" t="str">
        <f t="shared" si="2"/>
        <v/>
      </c>
      <c r="B655" s="141"/>
      <c r="C655" s="217"/>
      <c r="D655" s="139"/>
      <c r="E655" s="141"/>
    </row>
    <row r="656" spans="1:5">
      <c r="A656" s="69" t="str">
        <f t="shared" si="2"/>
        <v/>
      </c>
      <c r="B656" s="138"/>
      <c r="C656" s="19"/>
      <c r="D656" s="139"/>
      <c r="E656" s="138"/>
    </row>
    <row r="657" spans="1:5">
      <c r="A657" s="69" t="str">
        <f t="shared" si="2"/>
        <v/>
      </c>
      <c r="B657" s="141"/>
      <c r="C657" s="217"/>
      <c r="D657" s="139"/>
      <c r="E657" s="141"/>
    </row>
    <row r="658" spans="1:5">
      <c r="A658" s="69" t="str">
        <f t="shared" si="2"/>
        <v/>
      </c>
      <c r="B658" s="138"/>
      <c r="C658" s="19"/>
      <c r="D658" s="139"/>
      <c r="E658" s="138"/>
    </row>
    <row r="659" spans="1:5">
      <c r="A659" s="69" t="str">
        <f t="shared" si="2"/>
        <v/>
      </c>
      <c r="B659" s="141"/>
      <c r="C659" s="217"/>
      <c r="D659" s="139"/>
      <c r="E659" s="141"/>
    </row>
    <row r="660" spans="1:5">
      <c r="A660" s="69" t="str">
        <f t="shared" si="2"/>
        <v/>
      </c>
      <c r="B660" s="138"/>
      <c r="C660" s="19"/>
      <c r="D660" s="139"/>
      <c r="E660" s="138"/>
    </row>
    <row r="661" spans="1:5">
      <c r="A661" s="69" t="str">
        <f t="shared" si="2"/>
        <v/>
      </c>
      <c r="B661" s="141"/>
      <c r="C661" s="217"/>
      <c r="D661" s="139"/>
      <c r="E661" s="141"/>
    </row>
    <row r="662" spans="1:5">
      <c r="A662" s="69" t="str">
        <f t="shared" si="2"/>
        <v/>
      </c>
      <c r="B662" s="138"/>
      <c r="C662" s="19"/>
      <c r="D662" s="139"/>
      <c r="E662" s="138"/>
    </row>
    <row r="663" spans="1:5">
      <c r="A663" s="69" t="str">
        <f t="shared" si="2"/>
        <v/>
      </c>
      <c r="B663" s="141"/>
      <c r="C663" s="217"/>
      <c r="D663" s="139"/>
      <c r="E663" s="141"/>
    </row>
    <row r="664" spans="1:5">
      <c r="A664" s="69" t="str">
        <f t="shared" si="2"/>
        <v/>
      </c>
      <c r="B664" s="138"/>
      <c r="C664" s="19"/>
      <c r="D664" s="139"/>
      <c r="E664" s="138"/>
    </row>
    <row r="665" spans="1:5">
      <c r="A665" s="69" t="str">
        <f t="shared" si="2"/>
        <v/>
      </c>
      <c r="B665" s="141"/>
      <c r="C665" s="217"/>
      <c r="D665" s="139"/>
      <c r="E665" s="141"/>
    </row>
    <row r="666" spans="1:5">
      <c r="A666" s="69" t="str">
        <f t="shared" si="2"/>
        <v/>
      </c>
      <c r="B666" s="138"/>
      <c r="C666" s="19"/>
      <c r="D666" s="139"/>
      <c r="E666" s="138"/>
    </row>
    <row r="667" spans="1:5">
      <c r="A667" s="69" t="str">
        <f t="shared" si="2"/>
        <v/>
      </c>
      <c r="B667" s="141"/>
      <c r="C667" s="217"/>
      <c r="D667" s="139"/>
      <c r="E667" s="141"/>
    </row>
    <row r="668" spans="1:5">
      <c r="A668" s="69" t="str">
        <f t="shared" si="2"/>
        <v/>
      </c>
      <c r="B668" s="138"/>
      <c r="C668" s="19"/>
      <c r="D668" s="139"/>
      <c r="E668" s="138"/>
    </row>
    <row r="669" spans="1:5">
      <c r="A669" s="69" t="str">
        <f t="shared" si="2"/>
        <v/>
      </c>
      <c r="B669" s="141"/>
      <c r="C669" s="217"/>
      <c r="D669" s="139"/>
      <c r="E669" s="141"/>
    </row>
    <row r="670" spans="1:5">
      <c r="A670" s="69" t="str">
        <f t="shared" si="2"/>
        <v/>
      </c>
      <c r="B670" s="138"/>
      <c r="C670" s="19"/>
      <c r="D670" s="139"/>
      <c r="E670" s="138"/>
    </row>
    <row r="671" spans="1:5">
      <c r="A671" s="69" t="str">
        <f t="shared" si="2"/>
        <v/>
      </c>
      <c r="B671" s="141"/>
      <c r="C671" s="217"/>
      <c r="D671" s="139"/>
      <c r="E671" s="141"/>
    </row>
    <row r="672" spans="1:5">
      <c r="A672" s="69" t="str">
        <f t="shared" si="2"/>
        <v/>
      </c>
      <c r="B672" s="138"/>
      <c r="C672" s="19"/>
      <c r="D672" s="139"/>
      <c r="E672" s="138"/>
    </row>
    <row r="673" spans="1:5">
      <c r="A673" s="69" t="str">
        <f t="shared" si="2"/>
        <v/>
      </c>
      <c r="B673" s="141"/>
      <c r="C673" s="217"/>
      <c r="D673" s="139"/>
      <c r="E673" s="141"/>
    </row>
    <row r="674" spans="1:5">
      <c r="A674" s="69" t="str">
        <f t="shared" si="2"/>
        <v/>
      </c>
      <c r="B674" s="138"/>
      <c r="C674" s="19"/>
      <c r="D674" s="139"/>
      <c r="E674" s="138"/>
    </row>
    <row r="675" spans="1:5">
      <c r="A675" s="69" t="str">
        <f t="shared" si="2"/>
        <v/>
      </c>
      <c r="B675" s="141"/>
      <c r="C675" s="217"/>
      <c r="D675" s="139"/>
      <c r="E675" s="141"/>
    </row>
    <row r="676" spans="1:5">
      <c r="A676" s="69" t="str">
        <f t="shared" si="2"/>
        <v/>
      </c>
      <c r="B676" s="138"/>
      <c r="C676" s="19"/>
      <c r="D676" s="139"/>
      <c r="E676" s="138"/>
    </row>
    <row r="677" spans="1:5">
      <c r="A677" s="69" t="str">
        <f t="shared" si="2"/>
        <v/>
      </c>
      <c r="B677" s="141"/>
      <c r="C677" s="217"/>
      <c r="D677" s="139"/>
      <c r="E677" s="141"/>
    </row>
    <row r="678" spans="1:5">
      <c r="A678" s="69" t="str">
        <f t="shared" si="2"/>
        <v/>
      </c>
      <c r="B678" s="138"/>
      <c r="C678" s="19"/>
      <c r="D678" s="139"/>
      <c r="E678" s="138"/>
    </row>
    <row r="679" spans="1:5">
      <c r="A679" s="69" t="str">
        <f t="shared" si="2"/>
        <v/>
      </c>
      <c r="B679" s="141"/>
      <c r="C679" s="217"/>
      <c r="D679" s="139"/>
      <c r="E679" s="141"/>
    </row>
    <row r="680" spans="1:5">
      <c r="A680" s="69" t="str">
        <f t="shared" si="2"/>
        <v/>
      </c>
      <c r="B680" s="138"/>
      <c r="C680" s="19"/>
      <c r="D680" s="139"/>
      <c r="E680" s="138"/>
    </row>
    <row r="681" spans="1:5">
      <c r="A681" s="69" t="str">
        <f t="shared" si="2"/>
        <v/>
      </c>
      <c r="B681" s="141"/>
      <c r="C681" s="217"/>
      <c r="D681" s="139"/>
      <c r="E681" s="141"/>
    </row>
    <row r="682" spans="1:5">
      <c r="A682" s="69" t="str">
        <f t="shared" si="2"/>
        <v/>
      </c>
      <c r="B682" s="138"/>
      <c r="C682" s="19"/>
      <c r="D682" s="139"/>
      <c r="E682" s="138"/>
    </row>
    <row r="683" spans="1:5">
      <c r="A683" s="69" t="str">
        <f t="shared" si="2"/>
        <v/>
      </c>
      <c r="B683" s="141"/>
      <c r="C683" s="217"/>
      <c r="D683" s="139"/>
      <c r="E683" s="141"/>
    </row>
    <row r="684" spans="1:5">
      <c r="A684" s="69" t="str">
        <f t="shared" si="2"/>
        <v/>
      </c>
      <c r="B684" s="138"/>
      <c r="C684" s="19"/>
      <c r="D684" s="139"/>
      <c r="E684" s="138"/>
    </row>
    <row r="685" spans="1:5">
      <c r="A685" s="69" t="str">
        <f t="shared" si="2"/>
        <v/>
      </c>
      <c r="B685" s="141"/>
      <c r="C685" s="217"/>
      <c r="D685" s="139"/>
      <c r="E685" s="141"/>
    </row>
    <row r="686" spans="1:5">
      <c r="A686" s="69" t="str">
        <f t="shared" si="2"/>
        <v/>
      </c>
      <c r="B686" s="138"/>
      <c r="C686" s="19"/>
      <c r="D686" s="139"/>
      <c r="E686" s="138"/>
    </row>
    <row r="687" spans="1:5">
      <c r="A687" s="69" t="str">
        <f t="shared" si="2"/>
        <v/>
      </c>
      <c r="B687" s="141"/>
      <c r="C687" s="217"/>
      <c r="D687" s="139"/>
      <c r="E687" s="141"/>
    </row>
    <row r="688" spans="1:5">
      <c r="A688" s="69" t="str">
        <f t="shared" si="2"/>
        <v/>
      </c>
      <c r="B688" s="138"/>
      <c r="C688" s="19"/>
      <c r="D688" s="139"/>
      <c r="E688" s="138"/>
    </row>
    <row r="689" spans="1:5">
      <c r="A689" s="69" t="str">
        <f t="shared" si="2"/>
        <v/>
      </c>
      <c r="B689" s="141"/>
      <c r="C689" s="217"/>
      <c r="D689" s="139"/>
      <c r="E689" s="141"/>
    </row>
    <row r="690" spans="1:5">
      <c r="A690" s="69" t="str">
        <f t="shared" si="2"/>
        <v/>
      </c>
      <c r="B690" s="138"/>
      <c r="C690" s="19"/>
      <c r="D690" s="139"/>
      <c r="E690" s="138"/>
    </row>
    <row r="691" spans="1:5">
      <c r="A691" s="69" t="str">
        <f t="shared" si="2"/>
        <v/>
      </c>
      <c r="B691" s="141"/>
      <c r="C691" s="217"/>
      <c r="D691" s="139"/>
      <c r="E691" s="141"/>
    </row>
    <row r="692" spans="1:5">
      <c r="A692" s="69" t="str">
        <f t="shared" si="2"/>
        <v/>
      </c>
      <c r="B692" s="138"/>
      <c r="C692" s="19"/>
      <c r="D692" s="139"/>
      <c r="E692" s="138"/>
    </row>
    <row r="693" spans="1:5">
      <c r="A693" s="69" t="str">
        <f t="shared" si="2"/>
        <v/>
      </c>
      <c r="B693" s="141"/>
      <c r="C693" s="217"/>
      <c r="D693" s="139"/>
      <c r="E693" s="141"/>
    </row>
    <row r="694" spans="1:5">
      <c r="A694" s="69" t="str">
        <f t="shared" si="2"/>
        <v/>
      </c>
      <c r="B694" s="138"/>
      <c r="C694" s="19"/>
      <c r="D694" s="139"/>
      <c r="E694" s="138"/>
    </row>
    <row r="695" spans="1:5">
      <c r="A695" s="69" t="str">
        <f t="shared" si="2"/>
        <v/>
      </c>
      <c r="B695" s="141"/>
      <c r="C695" s="217"/>
      <c r="D695" s="139"/>
      <c r="E695" s="141"/>
    </row>
    <row r="696" spans="1:5">
      <c r="A696" s="69" t="str">
        <f t="shared" si="2"/>
        <v/>
      </c>
      <c r="B696" s="138"/>
      <c r="C696" s="19"/>
      <c r="D696" s="139"/>
      <c r="E696" s="138"/>
    </row>
    <row r="697" spans="1:5">
      <c r="A697" s="69" t="str">
        <f t="shared" si="2"/>
        <v/>
      </c>
      <c r="B697" s="141"/>
      <c r="C697" s="217"/>
      <c r="D697" s="139"/>
      <c r="E697" s="141"/>
    </row>
    <row r="698" spans="1:5">
      <c r="A698" s="69" t="str">
        <f t="shared" si="2"/>
        <v/>
      </c>
      <c r="B698" s="138"/>
      <c r="C698" s="19"/>
      <c r="D698" s="139"/>
      <c r="E698" s="138"/>
    </row>
    <row r="699" spans="1:5">
      <c r="A699" s="69" t="str">
        <f t="shared" si="2"/>
        <v/>
      </c>
      <c r="B699" s="141"/>
      <c r="C699" s="217"/>
      <c r="D699" s="139"/>
      <c r="E699" s="141"/>
    </row>
    <row r="700" spans="1:5">
      <c r="A700" s="69" t="str">
        <f t="shared" si="2"/>
        <v/>
      </c>
      <c r="B700" s="138"/>
      <c r="C700" s="19"/>
      <c r="D700" s="139"/>
      <c r="E700" s="138"/>
    </row>
    <row r="701" spans="1:5">
      <c r="A701" s="69" t="str">
        <f t="shared" si="2"/>
        <v/>
      </c>
      <c r="B701" s="141"/>
      <c r="C701" s="217"/>
      <c r="D701" s="139"/>
      <c r="E701" s="141"/>
    </row>
    <row r="702" spans="1:5">
      <c r="A702" s="69" t="str">
        <f t="shared" si="2"/>
        <v/>
      </c>
      <c r="B702" s="138"/>
      <c r="C702" s="19"/>
      <c r="D702" s="139"/>
      <c r="E702" s="138"/>
    </row>
    <row r="703" spans="1:5">
      <c r="A703" s="69" t="str">
        <f t="shared" si="2"/>
        <v/>
      </c>
      <c r="B703" s="141"/>
      <c r="C703" s="217"/>
      <c r="D703" s="139"/>
      <c r="E703" s="141"/>
    </row>
    <row r="704" spans="1:5">
      <c r="A704" s="69" t="str">
        <f t="shared" si="2"/>
        <v/>
      </c>
      <c r="B704" s="138"/>
      <c r="C704" s="19"/>
      <c r="D704" s="139"/>
      <c r="E704" s="138"/>
    </row>
    <row r="705" spans="1:5">
      <c r="A705" s="69" t="str">
        <f t="shared" si="2"/>
        <v/>
      </c>
      <c r="B705" s="141"/>
      <c r="C705" s="217"/>
      <c r="D705" s="139"/>
      <c r="E705" s="141"/>
    </row>
    <row r="706" spans="1:5">
      <c r="A706" s="69" t="str">
        <f t="shared" si="2"/>
        <v/>
      </c>
      <c r="B706" s="138"/>
      <c r="C706" s="19"/>
      <c r="D706" s="139"/>
      <c r="E706" s="138"/>
    </row>
    <row r="707" spans="1:5">
      <c r="A707" s="69" t="str">
        <f t="shared" si="2"/>
        <v/>
      </c>
      <c r="B707" s="141"/>
      <c r="C707" s="217"/>
      <c r="D707" s="139"/>
      <c r="E707" s="141"/>
    </row>
    <row r="708" spans="1:5">
      <c r="A708" s="69" t="str">
        <f t="shared" si="2"/>
        <v/>
      </c>
      <c r="B708" s="138"/>
      <c r="C708" s="19"/>
      <c r="D708" s="139"/>
      <c r="E708" s="138"/>
    </row>
    <row r="709" spans="1:5">
      <c r="A709" s="69" t="str">
        <f t="shared" si="2"/>
        <v/>
      </c>
      <c r="B709" s="141"/>
      <c r="C709" s="217"/>
      <c r="D709" s="139"/>
      <c r="E709" s="141"/>
    </row>
    <row r="710" spans="1:5">
      <c r="A710" s="69" t="str">
        <f t="shared" si="2"/>
        <v/>
      </c>
      <c r="B710" s="138"/>
      <c r="C710" s="19"/>
      <c r="D710" s="139"/>
      <c r="E710" s="138"/>
    </row>
    <row r="711" spans="1:5">
      <c r="A711" s="69" t="str">
        <f t="shared" si="2"/>
        <v/>
      </c>
      <c r="B711" s="141"/>
      <c r="C711" s="217"/>
      <c r="D711" s="139"/>
      <c r="E711" s="141"/>
    </row>
    <row r="712" spans="1:5">
      <c r="A712" s="69" t="str">
        <f t="shared" si="2"/>
        <v/>
      </c>
      <c r="B712" s="138"/>
      <c r="C712" s="19"/>
      <c r="D712" s="139"/>
      <c r="E712" s="138"/>
    </row>
    <row r="713" spans="1:5">
      <c r="A713" s="69" t="str">
        <f t="shared" si="2"/>
        <v/>
      </c>
      <c r="B713" s="141"/>
      <c r="C713" s="217"/>
      <c r="D713" s="139"/>
      <c r="E713" s="141"/>
    </row>
    <row r="714" spans="1:5">
      <c r="A714" s="69" t="str">
        <f t="shared" si="2"/>
        <v/>
      </c>
      <c r="B714" s="138"/>
      <c r="C714" s="19"/>
      <c r="D714" s="139"/>
      <c r="E714" s="138"/>
    </row>
    <row r="715" spans="1:5">
      <c r="A715" s="69" t="str">
        <f t="shared" si="2"/>
        <v/>
      </c>
      <c r="B715" s="141"/>
      <c r="C715" s="217"/>
      <c r="D715" s="139"/>
      <c r="E715" s="141"/>
    </row>
    <row r="716" spans="1:5">
      <c r="A716" s="69" t="str">
        <f t="shared" si="2"/>
        <v/>
      </c>
      <c r="B716" s="138"/>
      <c r="C716" s="19"/>
      <c r="D716" s="139"/>
      <c r="E716" s="138"/>
    </row>
    <row r="717" spans="1:5">
      <c r="A717" s="69" t="str">
        <f t="shared" si="2"/>
        <v/>
      </c>
      <c r="B717" s="141"/>
      <c r="C717" s="217"/>
      <c r="D717" s="139"/>
      <c r="E717" s="141"/>
    </row>
    <row r="718" spans="1:5">
      <c r="A718" s="69" t="str">
        <f t="shared" si="2"/>
        <v/>
      </c>
      <c r="B718" s="138"/>
      <c r="C718" s="19"/>
      <c r="D718" s="139"/>
      <c r="E718" s="138"/>
    </row>
    <row r="719" spans="1:5">
      <c r="A719" s="69" t="str">
        <f t="shared" si="2"/>
        <v/>
      </c>
      <c r="B719" s="141"/>
      <c r="C719" s="217"/>
      <c r="D719" s="139"/>
      <c r="E719" s="141"/>
    </row>
    <row r="720" spans="1:5">
      <c r="A720" s="69" t="str">
        <f t="shared" si="2"/>
        <v/>
      </c>
      <c r="B720" s="138"/>
      <c r="C720" s="19"/>
      <c r="D720" s="139"/>
      <c r="E720" s="138"/>
    </row>
    <row r="721" spans="1:5">
      <c r="A721" s="69" t="str">
        <f t="shared" si="2"/>
        <v/>
      </c>
      <c r="B721" s="141"/>
      <c r="C721" s="217"/>
      <c r="D721" s="139"/>
      <c r="E721" s="141"/>
    </row>
    <row r="722" spans="1:5">
      <c r="A722" s="69" t="str">
        <f t="shared" si="2"/>
        <v/>
      </c>
      <c r="B722" s="138"/>
      <c r="C722" s="19"/>
      <c r="D722" s="139"/>
      <c r="E722" s="138"/>
    </row>
    <row r="723" spans="1:5">
      <c r="A723" s="69" t="str">
        <f t="shared" si="2"/>
        <v/>
      </c>
      <c r="B723" s="141"/>
      <c r="C723" s="217"/>
      <c r="D723" s="139"/>
      <c r="E723" s="141"/>
    </row>
    <row r="724" spans="1:5">
      <c r="A724" s="69" t="str">
        <f t="shared" si="2"/>
        <v/>
      </c>
      <c r="B724" s="138"/>
      <c r="C724" s="19"/>
      <c r="D724" s="139"/>
      <c r="E724" s="138"/>
    </row>
    <row r="725" spans="1:5">
      <c r="A725" s="69" t="str">
        <f t="shared" si="2"/>
        <v/>
      </c>
      <c r="B725" s="141"/>
      <c r="C725" s="217"/>
      <c r="D725" s="139"/>
      <c r="E725" s="141"/>
    </row>
    <row r="726" spans="1:5">
      <c r="A726" s="69" t="str">
        <f t="shared" si="2"/>
        <v/>
      </c>
      <c r="B726" s="138"/>
      <c r="C726" s="19"/>
      <c r="D726" s="139"/>
      <c r="E726" s="138"/>
    </row>
    <row r="727" spans="1:5">
      <c r="A727" s="69" t="str">
        <f t="shared" si="2"/>
        <v/>
      </c>
      <c r="B727" s="141"/>
      <c r="C727" s="217"/>
      <c r="D727" s="139"/>
      <c r="E727" s="141"/>
    </row>
    <row r="728" spans="1:5">
      <c r="A728" s="69" t="str">
        <f t="shared" si="2"/>
        <v/>
      </c>
      <c r="B728" s="138"/>
      <c r="C728" s="19"/>
      <c r="D728" s="139"/>
      <c r="E728" s="138"/>
    </row>
    <row r="729" spans="1:5">
      <c r="A729" s="69" t="str">
        <f t="shared" si="2"/>
        <v/>
      </c>
      <c r="B729" s="141"/>
      <c r="C729" s="217"/>
      <c r="D729" s="139"/>
      <c r="E729" s="141"/>
    </row>
    <row r="730" spans="1:5">
      <c r="A730" s="69" t="str">
        <f t="shared" si="2"/>
        <v/>
      </c>
      <c r="B730" s="138"/>
      <c r="C730" s="19"/>
      <c r="D730" s="139"/>
      <c r="E730" s="138"/>
    </row>
    <row r="731" spans="1:5">
      <c r="A731" s="69" t="str">
        <f t="shared" si="2"/>
        <v/>
      </c>
      <c r="B731" s="141"/>
      <c r="C731" s="217"/>
      <c r="D731" s="139"/>
      <c r="E731" s="141"/>
    </row>
    <row r="732" spans="1:5">
      <c r="A732" s="69" t="str">
        <f t="shared" si="2"/>
        <v/>
      </c>
      <c r="B732" s="138"/>
      <c r="C732" s="19"/>
      <c r="D732" s="139"/>
      <c r="E732" s="138"/>
    </row>
    <row r="733" spans="1:5">
      <c r="A733" s="69" t="str">
        <f t="shared" si="2"/>
        <v/>
      </c>
      <c r="B733" s="141"/>
      <c r="C733" s="217"/>
      <c r="D733" s="139"/>
      <c r="E733" s="141"/>
    </row>
    <row r="734" spans="1:5">
      <c r="A734" s="69" t="str">
        <f t="shared" si="2"/>
        <v/>
      </c>
      <c r="B734" s="138"/>
      <c r="C734" s="19"/>
      <c r="D734" s="139"/>
      <c r="E734" s="138"/>
    </row>
    <row r="735" spans="1:5">
      <c r="A735" s="69" t="str">
        <f t="shared" si="2"/>
        <v/>
      </c>
      <c r="B735" s="141"/>
      <c r="C735" s="217"/>
      <c r="D735" s="139"/>
      <c r="E735" s="141"/>
    </row>
    <row r="736" spans="1:5">
      <c r="A736" s="69" t="str">
        <f t="shared" si="2"/>
        <v/>
      </c>
      <c r="B736" s="138"/>
      <c r="C736" s="19"/>
      <c r="D736" s="139"/>
      <c r="E736" s="138"/>
    </row>
    <row r="737" spans="1:5">
      <c r="A737" s="69" t="str">
        <f t="shared" si="2"/>
        <v/>
      </c>
      <c r="B737" s="141"/>
      <c r="C737" s="217"/>
      <c r="D737" s="139"/>
      <c r="E737" s="141"/>
    </row>
    <row r="738" spans="1:5">
      <c r="A738" s="69" t="str">
        <f t="shared" si="2"/>
        <v/>
      </c>
      <c r="B738" s="138"/>
      <c r="C738" s="19"/>
      <c r="D738" s="139"/>
      <c r="E738" s="138"/>
    </row>
    <row r="739" spans="1:5">
      <c r="A739" s="69" t="str">
        <f t="shared" si="2"/>
        <v/>
      </c>
      <c r="B739" s="141"/>
      <c r="C739" s="217"/>
      <c r="D739" s="139"/>
      <c r="E739" s="141"/>
    </row>
    <row r="740" spans="1:5">
      <c r="A740" s="69" t="str">
        <f t="shared" si="2"/>
        <v/>
      </c>
      <c r="B740" s="138"/>
      <c r="C740" s="19"/>
      <c r="D740" s="139"/>
      <c r="E740" s="138"/>
    </row>
    <row r="741" spans="1:5">
      <c r="A741" s="69" t="str">
        <f t="shared" si="2"/>
        <v/>
      </c>
      <c r="B741" s="141"/>
      <c r="C741" s="217"/>
      <c r="D741" s="139"/>
      <c r="E741" s="141"/>
    </row>
    <row r="742" spans="1:5">
      <c r="A742" s="69" t="str">
        <f t="shared" si="2"/>
        <v/>
      </c>
      <c r="B742" s="138"/>
      <c r="C742" s="19"/>
      <c r="D742" s="139"/>
      <c r="E742" s="138"/>
    </row>
    <row r="743" spans="1:5">
      <c r="A743" s="69" t="str">
        <f t="shared" si="2"/>
        <v/>
      </c>
      <c r="B743" s="141"/>
      <c r="C743" s="217"/>
      <c r="D743" s="139"/>
      <c r="E743" s="141"/>
    </row>
    <row r="744" spans="1:5">
      <c r="A744" s="69" t="str">
        <f t="shared" si="2"/>
        <v/>
      </c>
      <c r="B744" s="138"/>
      <c r="C744" s="19"/>
      <c r="D744" s="139"/>
      <c r="E744" s="138"/>
    </row>
    <row r="745" spans="1:5">
      <c r="A745" s="69" t="str">
        <f t="shared" si="2"/>
        <v/>
      </c>
      <c r="B745" s="141"/>
      <c r="C745" s="217"/>
      <c r="D745" s="139"/>
      <c r="E745" s="141"/>
    </row>
    <row r="746" spans="1:5">
      <c r="A746" s="69" t="str">
        <f t="shared" si="2"/>
        <v/>
      </c>
      <c r="B746" s="138"/>
      <c r="C746" s="19"/>
      <c r="D746" s="139"/>
      <c r="E746" s="138"/>
    </row>
    <row r="747" spans="1:5">
      <c r="A747" s="69" t="str">
        <f t="shared" si="2"/>
        <v/>
      </c>
      <c r="B747" s="141"/>
      <c r="C747" s="217"/>
      <c r="D747" s="139"/>
      <c r="E747" s="141"/>
    </row>
    <row r="748" spans="1:5">
      <c r="A748" s="69" t="str">
        <f t="shared" si="2"/>
        <v/>
      </c>
      <c r="B748" s="138"/>
      <c r="C748" s="19"/>
      <c r="D748" s="139"/>
      <c r="E748" s="138"/>
    </row>
    <row r="749" spans="1:5">
      <c r="A749" s="69" t="str">
        <f t="shared" si="2"/>
        <v/>
      </c>
      <c r="B749" s="141"/>
      <c r="C749" s="217"/>
      <c r="D749" s="139"/>
      <c r="E749" s="141"/>
    </row>
    <row r="750" spans="1:5">
      <c r="A750" s="69" t="str">
        <f t="shared" si="2"/>
        <v/>
      </c>
      <c r="B750" s="138"/>
      <c r="C750" s="19"/>
      <c r="D750" s="139"/>
      <c r="E750" s="138"/>
    </row>
    <row r="751" spans="1:5">
      <c r="A751" s="69" t="str">
        <f t="shared" si="2"/>
        <v/>
      </c>
      <c r="B751" s="141"/>
      <c r="C751" s="217"/>
      <c r="D751" s="139"/>
      <c r="E751" s="141"/>
    </row>
    <row r="752" spans="1:5">
      <c r="A752" s="69" t="str">
        <f t="shared" si="2"/>
        <v/>
      </c>
      <c r="B752" s="138"/>
      <c r="C752" s="19"/>
      <c r="D752" s="139"/>
      <c r="E752" s="138"/>
    </row>
    <row r="753" spans="1:5">
      <c r="A753" s="69" t="str">
        <f t="shared" si="2"/>
        <v/>
      </c>
      <c r="B753" s="141"/>
      <c r="C753" s="217"/>
      <c r="D753" s="139"/>
      <c r="E753" s="141"/>
    </row>
    <row r="754" spans="1:5">
      <c r="A754" s="69" t="str">
        <f t="shared" si="2"/>
        <v/>
      </c>
      <c r="B754" s="138"/>
      <c r="C754" s="19"/>
      <c r="D754" s="139"/>
      <c r="E754" s="138"/>
    </row>
    <row r="755" spans="1:5">
      <c r="A755" s="69" t="str">
        <f t="shared" si="2"/>
        <v/>
      </c>
      <c r="B755" s="141"/>
      <c r="C755" s="217"/>
      <c r="D755" s="139"/>
      <c r="E755" s="141"/>
    </row>
    <row r="756" spans="1:5">
      <c r="A756" s="69" t="str">
        <f t="shared" si="2"/>
        <v/>
      </c>
      <c r="B756" s="138"/>
      <c r="C756" s="19"/>
      <c r="D756" s="139"/>
      <c r="E756" s="138"/>
    </row>
    <row r="757" spans="1:5">
      <c r="A757" s="69" t="str">
        <f t="shared" si="2"/>
        <v/>
      </c>
      <c r="B757" s="141"/>
      <c r="C757" s="217"/>
      <c r="D757" s="139"/>
      <c r="E757" s="141"/>
    </row>
    <row r="758" spans="1:5">
      <c r="A758" s="69" t="str">
        <f t="shared" si="2"/>
        <v/>
      </c>
      <c r="B758" s="138"/>
      <c r="C758" s="19"/>
      <c r="D758" s="139"/>
      <c r="E758" s="138"/>
    </row>
    <row r="759" spans="1:5">
      <c r="A759" s="69" t="str">
        <f t="shared" si="2"/>
        <v/>
      </c>
      <c r="B759" s="141"/>
      <c r="C759" s="217"/>
      <c r="D759" s="139"/>
      <c r="E759" s="141"/>
    </row>
    <row r="760" spans="1:5">
      <c r="A760" s="69" t="str">
        <f t="shared" si="2"/>
        <v/>
      </c>
      <c r="B760" s="138"/>
      <c r="C760" s="19"/>
      <c r="D760" s="139"/>
      <c r="E760" s="138"/>
    </row>
    <row r="761" spans="1:5">
      <c r="A761" s="69" t="str">
        <f t="shared" si="2"/>
        <v/>
      </c>
      <c r="B761" s="141"/>
      <c r="C761" s="217"/>
      <c r="D761" s="139"/>
      <c r="E761" s="141"/>
    </row>
    <row r="762" spans="1:5">
      <c r="A762" s="69" t="str">
        <f t="shared" si="2"/>
        <v/>
      </c>
      <c r="B762" s="138"/>
      <c r="C762" s="19"/>
      <c r="D762" s="139"/>
      <c r="E762" s="138"/>
    </row>
    <row r="763" spans="1:5">
      <c r="A763" s="69" t="str">
        <f t="shared" si="2"/>
        <v/>
      </c>
      <c r="B763" s="141"/>
      <c r="C763" s="217"/>
      <c r="D763" s="139"/>
      <c r="E763" s="141"/>
    </row>
    <row r="764" spans="1:5">
      <c r="A764" s="69" t="str">
        <f t="shared" si="2"/>
        <v/>
      </c>
      <c r="B764" s="138"/>
      <c r="C764" s="19"/>
      <c r="D764" s="139"/>
      <c r="E764" s="138"/>
    </row>
    <row r="765" spans="1:5">
      <c r="A765" s="69" t="str">
        <f t="shared" si="2"/>
        <v/>
      </c>
      <c r="B765" s="141"/>
      <c r="C765" s="217"/>
      <c r="D765" s="139"/>
      <c r="E765" s="141"/>
    </row>
    <row r="766" spans="1:5">
      <c r="A766" s="69" t="str">
        <f t="shared" si="2"/>
        <v/>
      </c>
      <c r="B766" s="138"/>
      <c r="C766" s="19"/>
      <c r="D766" s="139"/>
      <c r="E766" s="138"/>
    </row>
    <row r="767" spans="1:5">
      <c r="A767" s="69" t="str">
        <f t="shared" si="2"/>
        <v/>
      </c>
      <c r="B767" s="141"/>
      <c r="C767" s="217"/>
      <c r="D767" s="139"/>
      <c r="E767" s="141"/>
    </row>
    <row r="768" spans="1:5">
      <c r="A768" s="69" t="str">
        <f t="shared" ref="A768:A1001" si="3">IF(B768="","",ROW()-2)</f>
        <v/>
      </c>
      <c r="B768" s="138"/>
      <c r="C768" s="19"/>
      <c r="D768" s="139"/>
      <c r="E768" s="138"/>
    </row>
    <row r="769" spans="1:5">
      <c r="A769" s="69" t="str">
        <f t="shared" si="3"/>
        <v/>
      </c>
      <c r="B769" s="141"/>
      <c r="C769" s="217"/>
      <c r="D769" s="139"/>
      <c r="E769" s="141"/>
    </row>
    <row r="770" spans="1:5">
      <c r="A770" s="69" t="str">
        <f t="shared" si="3"/>
        <v/>
      </c>
      <c r="B770" s="138"/>
      <c r="C770" s="19"/>
      <c r="D770" s="139"/>
      <c r="E770" s="138"/>
    </row>
    <row r="771" spans="1:5">
      <c r="A771" s="69" t="str">
        <f t="shared" si="3"/>
        <v/>
      </c>
      <c r="B771" s="141"/>
      <c r="C771" s="217"/>
      <c r="D771" s="139"/>
      <c r="E771" s="141"/>
    </row>
    <row r="772" spans="1:5">
      <c r="A772" s="69" t="str">
        <f t="shared" si="3"/>
        <v/>
      </c>
      <c r="B772" s="138"/>
      <c r="C772" s="19"/>
      <c r="D772" s="139"/>
      <c r="E772" s="138"/>
    </row>
    <row r="773" spans="1:5">
      <c r="A773" s="69" t="str">
        <f t="shared" si="3"/>
        <v/>
      </c>
      <c r="B773" s="141"/>
      <c r="C773" s="217"/>
      <c r="D773" s="139"/>
      <c r="E773" s="141"/>
    </row>
    <row r="774" spans="1:5">
      <c r="A774" s="69" t="str">
        <f t="shared" si="3"/>
        <v/>
      </c>
      <c r="B774" s="138"/>
      <c r="C774" s="19"/>
      <c r="D774" s="139"/>
      <c r="E774" s="138"/>
    </row>
    <row r="775" spans="1:5">
      <c r="A775" s="69" t="str">
        <f t="shared" si="3"/>
        <v/>
      </c>
      <c r="B775" s="141"/>
      <c r="C775" s="217"/>
      <c r="D775" s="139"/>
      <c r="E775" s="141"/>
    </row>
    <row r="776" spans="1:5">
      <c r="A776" s="69" t="str">
        <f t="shared" si="3"/>
        <v/>
      </c>
      <c r="B776" s="138"/>
      <c r="C776" s="19"/>
      <c r="D776" s="139"/>
      <c r="E776" s="138"/>
    </row>
    <row r="777" spans="1:5">
      <c r="A777" s="69" t="str">
        <f t="shared" si="3"/>
        <v/>
      </c>
      <c r="B777" s="141"/>
      <c r="C777" s="217"/>
      <c r="D777" s="139"/>
      <c r="E777" s="141"/>
    </row>
    <row r="778" spans="1:5">
      <c r="A778" s="69" t="str">
        <f t="shared" si="3"/>
        <v/>
      </c>
      <c r="B778" s="138"/>
      <c r="C778" s="19"/>
      <c r="D778" s="139"/>
      <c r="E778" s="138"/>
    </row>
    <row r="779" spans="1:5">
      <c r="A779" s="69" t="str">
        <f t="shared" si="3"/>
        <v/>
      </c>
      <c r="B779" s="141"/>
      <c r="C779" s="217"/>
      <c r="D779" s="139"/>
      <c r="E779" s="141"/>
    </row>
    <row r="780" spans="1:5">
      <c r="A780" s="69" t="str">
        <f t="shared" si="3"/>
        <v/>
      </c>
      <c r="B780" s="138"/>
      <c r="C780" s="19"/>
      <c r="D780" s="139"/>
      <c r="E780" s="138"/>
    </row>
    <row r="781" spans="1:5">
      <c r="A781" s="69" t="str">
        <f t="shared" si="3"/>
        <v/>
      </c>
      <c r="B781" s="141"/>
      <c r="C781" s="217"/>
      <c r="D781" s="139"/>
      <c r="E781" s="141"/>
    </row>
    <row r="782" spans="1:5">
      <c r="A782" s="69" t="str">
        <f t="shared" si="3"/>
        <v/>
      </c>
      <c r="B782" s="138"/>
      <c r="C782" s="19"/>
      <c r="D782" s="139"/>
      <c r="E782" s="138"/>
    </row>
    <row r="783" spans="1:5">
      <c r="A783" s="69" t="str">
        <f t="shared" si="3"/>
        <v/>
      </c>
      <c r="B783" s="141"/>
      <c r="C783" s="217"/>
      <c r="D783" s="139"/>
      <c r="E783" s="141"/>
    </row>
    <row r="784" spans="1:5">
      <c r="A784" s="69" t="str">
        <f t="shared" si="3"/>
        <v/>
      </c>
      <c r="B784" s="138"/>
      <c r="C784" s="19"/>
      <c r="D784" s="139"/>
      <c r="E784" s="138"/>
    </row>
    <row r="785" spans="1:5">
      <c r="A785" s="69" t="str">
        <f t="shared" si="3"/>
        <v/>
      </c>
      <c r="B785" s="141"/>
      <c r="C785" s="217"/>
      <c r="D785" s="139"/>
      <c r="E785" s="141"/>
    </row>
    <row r="786" spans="1:5">
      <c r="A786" s="69" t="str">
        <f t="shared" si="3"/>
        <v/>
      </c>
      <c r="B786" s="138"/>
      <c r="C786" s="19"/>
      <c r="D786" s="139"/>
      <c r="E786" s="138"/>
    </row>
    <row r="787" spans="1:5">
      <c r="A787" s="69" t="str">
        <f t="shared" si="3"/>
        <v/>
      </c>
      <c r="B787" s="141"/>
      <c r="C787" s="217"/>
      <c r="D787" s="139"/>
      <c r="E787" s="141"/>
    </row>
    <row r="788" spans="1:5">
      <c r="A788" s="69" t="str">
        <f t="shared" si="3"/>
        <v/>
      </c>
      <c r="B788" s="138"/>
      <c r="C788" s="19"/>
      <c r="D788" s="139"/>
      <c r="E788" s="138"/>
    </row>
    <row r="789" spans="1:5">
      <c r="A789" s="69" t="str">
        <f t="shared" si="3"/>
        <v/>
      </c>
      <c r="B789" s="141"/>
      <c r="C789" s="217"/>
      <c r="D789" s="139"/>
      <c r="E789" s="141"/>
    </row>
    <row r="790" spans="1:5">
      <c r="A790" s="69" t="str">
        <f t="shared" si="3"/>
        <v/>
      </c>
      <c r="B790" s="138"/>
      <c r="C790" s="19"/>
      <c r="D790" s="139"/>
      <c r="E790" s="138"/>
    </row>
    <row r="791" spans="1:5">
      <c r="A791" s="69" t="str">
        <f t="shared" si="3"/>
        <v/>
      </c>
      <c r="B791" s="141"/>
      <c r="C791" s="217"/>
      <c r="D791" s="139"/>
      <c r="E791" s="141"/>
    </row>
    <row r="792" spans="1:5">
      <c r="A792" s="69" t="str">
        <f t="shared" si="3"/>
        <v/>
      </c>
      <c r="B792" s="138"/>
      <c r="C792" s="19"/>
      <c r="D792" s="139"/>
      <c r="E792" s="138"/>
    </row>
    <row r="793" spans="1:5">
      <c r="A793" s="69" t="str">
        <f t="shared" si="3"/>
        <v/>
      </c>
      <c r="B793" s="141"/>
      <c r="C793" s="217"/>
      <c r="D793" s="139"/>
      <c r="E793" s="141"/>
    </row>
    <row r="794" spans="1:5">
      <c r="A794" s="69" t="str">
        <f t="shared" si="3"/>
        <v/>
      </c>
      <c r="B794" s="138"/>
      <c r="C794" s="19"/>
      <c r="D794" s="139"/>
      <c r="E794" s="138"/>
    </row>
    <row r="795" spans="1:5">
      <c r="A795" s="69" t="str">
        <f t="shared" si="3"/>
        <v/>
      </c>
      <c r="B795" s="141"/>
      <c r="C795" s="217"/>
      <c r="D795" s="139"/>
      <c r="E795" s="141"/>
    </row>
    <row r="796" spans="1:5">
      <c r="A796" s="69" t="str">
        <f t="shared" si="3"/>
        <v/>
      </c>
      <c r="B796" s="138"/>
      <c r="C796" s="19"/>
      <c r="D796" s="139"/>
      <c r="E796" s="138"/>
    </row>
    <row r="797" spans="1:5">
      <c r="A797" s="69" t="str">
        <f t="shared" si="3"/>
        <v/>
      </c>
      <c r="B797" s="141"/>
      <c r="C797" s="217"/>
      <c r="D797" s="139"/>
      <c r="E797" s="141"/>
    </row>
    <row r="798" spans="1:5">
      <c r="A798" s="69" t="str">
        <f t="shared" si="3"/>
        <v/>
      </c>
      <c r="B798" s="138"/>
      <c r="C798" s="19"/>
      <c r="D798" s="139"/>
      <c r="E798" s="138"/>
    </row>
    <row r="799" spans="1:5">
      <c r="A799" s="69" t="str">
        <f t="shared" si="3"/>
        <v/>
      </c>
      <c r="B799" s="141"/>
      <c r="C799" s="217"/>
      <c r="D799" s="139"/>
      <c r="E799" s="141"/>
    </row>
    <row r="800" spans="1:5">
      <c r="A800" s="69" t="str">
        <f t="shared" si="3"/>
        <v/>
      </c>
      <c r="B800" s="138"/>
      <c r="C800" s="19"/>
      <c r="D800" s="139"/>
      <c r="E800" s="138"/>
    </row>
    <row r="801" spans="1:5">
      <c r="A801" s="69" t="str">
        <f t="shared" si="3"/>
        <v/>
      </c>
      <c r="B801" s="141"/>
      <c r="C801" s="217"/>
      <c r="D801" s="139"/>
      <c r="E801" s="141"/>
    </row>
    <row r="802" spans="1:5">
      <c r="A802" s="69" t="str">
        <f t="shared" si="3"/>
        <v/>
      </c>
      <c r="B802" s="138"/>
      <c r="C802" s="19"/>
      <c r="D802" s="139"/>
      <c r="E802" s="138"/>
    </row>
    <row r="803" spans="1:5">
      <c r="A803" s="69" t="str">
        <f t="shared" si="3"/>
        <v/>
      </c>
      <c r="B803" s="141"/>
      <c r="C803" s="217"/>
      <c r="D803" s="139"/>
      <c r="E803" s="141"/>
    </row>
    <row r="804" spans="1:5">
      <c r="A804" s="69" t="str">
        <f t="shared" si="3"/>
        <v/>
      </c>
      <c r="B804" s="138"/>
      <c r="C804" s="19"/>
      <c r="D804" s="139"/>
      <c r="E804" s="138"/>
    </row>
    <row r="805" spans="1:5">
      <c r="A805" s="69" t="str">
        <f t="shared" si="3"/>
        <v/>
      </c>
      <c r="B805" s="141"/>
      <c r="C805" s="217"/>
      <c r="D805" s="139"/>
      <c r="E805" s="141"/>
    </row>
    <row r="806" spans="1:5">
      <c r="A806" s="69" t="str">
        <f t="shared" si="3"/>
        <v/>
      </c>
      <c r="B806" s="138"/>
      <c r="C806" s="19"/>
      <c r="D806" s="139"/>
      <c r="E806" s="138"/>
    </row>
    <row r="807" spans="1:5">
      <c r="A807" s="69" t="str">
        <f t="shared" si="3"/>
        <v/>
      </c>
      <c r="B807" s="141"/>
      <c r="C807" s="217"/>
      <c r="D807" s="139"/>
      <c r="E807" s="141"/>
    </row>
    <row r="808" spans="1:5">
      <c r="A808" s="69" t="str">
        <f t="shared" si="3"/>
        <v/>
      </c>
      <c r="B808" s="138"/>
      <c r="C808" s="19"/>
      <c r="D808" s="139"/>
      <c r="E808" s="138"/>
    </row>
    <row r="809" spans="1:5">
      <c r="A809" s="69" t="str">
        <f t="shared" si="3"/>
        <v/>
      </c>
      <c r="B809" s="141"/>
      <c r="C809" s="217"/>
      <c r="D809" s="139"/>
      <c r="E809" s="141"/>
    </row>
    <row r="810" spans="1:5">
      <c r="A810" s="69" t="str">
        <f t="shared" si="3"/>
        <v/>
      </c>
      <c r="B810" s="138"/>
      <c r="C810" s="19"/>
      <c r="D810" s="139"/>
      <c r="E810" s="138"/>
    </row>
    <row r="811" spans="1:5">
      <c r="A811" s="69" t="str">
        <f t="shared" si="3"/>
        <v/>
      </c>
      <c r="B811" s="141"/>
      <c r="C811" s="217"/>
      <c r="D811" s="139"/>
      <c r="E811" s="141"/>
    </row>
    <row r="812" spans="1:5">
      <c r="A812" s="69" t="str">
        <f t="shared" si="3"/>
        <v/>
      </c>
      <c r="B812" s="138"/>
      <c r="C812" s="19"/>
      <c r="D812" s="139"/>
      <c r="E812" s="138"/>
    </row>
    <row r="813" spans="1:5">
      <c r="A813" s="69" t="str">
        <f t="shared" si="3"/>
        <v/>
      </c>
      <c r="B813" s="141"/>
      <c r="C813" s="217"/>
      <c r="D813" s="139"/>
      <c r="E813" s="141"/>
    </row>
    <row r="814" spans="1:5">
      <c r="A814" s="69" t="str">
        <f t="shared" si="3"/>
        <v/>
      </c>
      <c r="B814" s="138"/>
      <c r="C814" s="19"/>
      <c r="D814" s="139"/>
      <c r="E814" s="138"/>
    </row>
    <row r="815" spans="1:5">
      <c r="A815" s="69" t="str">
        <f t="shared" si="3"/>
        <v/>
      </c>
      <c r="B815" s="141"/>
      <c r="C815" s="217"/>
      <c r="D815" s="139"/>
      <c r="E815" s="141"/>
    </row>
    <row r="816" spans="1:5">
      <c r="A816" s="69" t="str">
        <f t="shared" si="3"/>
        <v/>
      </c>
      <c r="B816" s="138"/>
      <c r="C816" s="19"/>
      <c r="D816" s="139"/>
      <c r="E816" s="138"/>
    </row>
    <row r="817" spans="1:5">
      <c r="A817" s="69" t="str">
        <f t="shared" si="3"/>
        <v/>
      </c>
      <c r="B817" s="141"/>
      <c r="C817" s="217"/>
      <c r="D817" s="139"/>
      <c r="E817" s="141"/>
    </row>
    <row r="818" spans="1:5">
      <c r="A818" s="69" t="str">
        <f t="shared" si="3"/>
        <v/>
      </c>
      <c r="B818" s="138"/>
      <c r="C818" s="19"/>
      <c r="D818" s="139"/>
      <c r="E818" s="138"/>
    </row>
    <row r="819" spans="1:5">
      <c r="A819" s="69" t="str">
        <f t="shared" si="3"/>
        <v/>
      </c>
      <c r="B819" s="141"/>
      <c r="C819" s="217"/>
      <c r="D819" s="139"/>
      <c r="E819" s="141"/>
    </row>
    <row r="820" spans="1:5">
      <c r="A820" s="69" t="str">
        <f t="shared" si="3"/>
        <v/>
      </c>
      <c r="B820" s="138"/>
      <c r="C820" s="19"/>
      <c r="D820" s="139"/>
      <c r="E820" s="138"/>
    </row>
    <row r="821" spans="1:5">
      <c r="A821" s="69" t="str">
        <f t="shared" si="3"/>
        <v/>
      </c>
      <c r="B821" s="141"/>
      <c r="C821" s="217"/>
      <c r="D821" s="139"/>
      <c r="E821" s="141"/>
    </row>
    <row r="822" spans="1:5">
      <c r="A822" s="69" t="str">
        <f t="shared" si="3"/>
        <v/>
      </c>
      <c r="B822" s="138"/>
      <c r="C822" s="19"/>
      <c r="D822" s="139"/>
      <c r="E822" s="138"/>
    </row>
    <row r="823" spans="1:5">
      <c r="A823" s="69" t="str">
        <f t="shared" si="3"/>
        <v/>
      </c>
      <c r="B823" s="141"/>
      <c r="C823" s="217"/>
      <c r="D823" s="139"/>
      <c r="E823" s="141"/>
    </row>
    <row r="824" spans="1:5">
      <c r="A824" s="69" t="str">
        <f t="shared" si="3"/>
        <v/>
      </c>
      <c r="B824" s="138"/>
      <c r="C824" s="19"/>
      <c r="D824" s="139"/>
      <c r="E824" s="138"/>
    </row>
    <row r="825" spans="1:5">
      <c r="A825" s="69" t="str">
        <f t="shared" si="3"/>
        <v/>
      </c>
      <c r="B825" s="141"/>
      <c r="C825" s="217"/>
      <c r="D825" s="139"/>
      <c r="E825" s="141"/>
    </row>
    <row r="826" spans="1:5">
      <c r="A826" s="69" t="str">
        <f t="shared" si="3"/>
        <v/>
      </c>
      <c r="B826" s="138"/>
      <c r="C826" s="19"/>
      <c r="D826" s="139"/>
      <c r="E826" s="138"/>
    </row>
    <row r="827" spans="1:5">
      <c r="A827" s="69" t="str">
        <f t="shared" si="3"/>
        <v/>
      </c>
      <c r="B827" s="141"/>
      <c r="C827" s="217"/>
      <c r="D827" s="139"/>
      <c r="E827" s="141"/>
    </row>
    <row r="828" spans="1:5">
      <c r="A828" s="69" t="str">
        <f t="shared" si="3"/>
        <v/>
      </c>
      <c r="B828" s="138"/>
      <c r="C828" s="19"/>
      <c r="D828" s="139"/>
      <c r="E828" s="138"/>
    </row>
    <row r="829" spans="1:5">
      <c r="A829" s="69" t="str">
        <f t="shared" si="3"/>
        <v/>
      </c>
      <c r="B829" s="141"/>
      <c r="C829" s="217"/>
      <c r="D829" s="139"/>
      <c r="E829" s="141"/>
    </row>
    <row r="830" spans="1:5">
      <c r="A830" s="69" t="str">
        <f t="shared" si="3"/>
        <v/>
      </c>
      <c r="B830" s="138"/>
      <c r="C830" s="19"/>
      <c r="D830" s="139"/>
      <c r="E830" s="138"/>
    </row>
    <row r="831" spans="1:5">
      <c r="A831" s="69" t="str">
        <f t="shared" si="3"/>
        <v/>
      </c>
      <c r="B831" s="141"/>
      <c r="C831" s="217"/>
      <c r="D831" s="139"/>
      <c r="E831" s="141"/>
    </row>
    <row r="832" spans="1:5">
      <c r="A832" s="69" t="str">
        <f t="shared" si="3"/>
        <v/>
      </c>
      <c r="B832" s="138"/>
      <c r="C832" s="19"/>
      <c r="D832" s="139"/>
      <c r="E832" s="138"/>
    </row>
    <row r="833" spans="1:5">
      <c r="A833" s="69" t="str">
        <f t="shared" si="3"/>
        <v/>
      </c>
      <c r="B833" s="141"/>
      <c r="C833" s="217"/>
      <c r="D833" s="139"/>
      <c r="E833" s="141"/>
    </row>
    <row r="834" spans="1:5">
      <c r="A834" s="69" t="str">
        <f t="shared" si="3"/>
        <v/>
      </c>
      <c r="B834" s="138"/>
      <c r="C834" s="19"/>
      <c r="D834" s="139"/>
      <c r="E834" s="138"/>
    </row>
    <row r="835" spans="1:5">
      <c r="A835" s="69" t="str">
        <f t="shared" si="3"/>
        <v/>
      </c>
      <c r="B835" s="141"/>
      <c r="C835" s="217"/>
      <c r="D835" s="139"/>
      <c r="E835" s="141"/>
    </row>
    <row r="836" spans="1:5">
      <c r="A836" s="69" t="str">
        <f t="shared" si="3"/>
        <v/>
      </c>
      <c r="B836" s="138"/>
      <c r="C836" s="19"/>
      <c r="D836" s="139"/>
      <c r="E836" s="138"/>
    </row>
    <row r="837" spans="1:5">
      <c r="A837" s="69" t="str">
        <f t="shared" si="3"/>
        <v/>
      </c>
      <c r="B837" s="141"/>
      <c r="C837" s="217"/>
      <c r="D837" s="139"/>
      <c r="E837" s="141"/>
    </row>
    <row r="838" spans="1:5">
      <c r="A838" s="69" t="str">
        <f t="shared" si="3"/>
        <v/>
      </c>
      <c r="B838" s="138"/>
      <c r="C838" s="19"/>
      <c r="D838" s="139"/>
      <c r="E838" s="138"/>
    </row>
    <row r="839" spans="1:5">
      <c r="A839" s="69" t="str">
        <f t="shared" si="3"/>
        <v/>
      </c>
      <c r="B839" s="141"/>
      <c r="C839" s="217"/>
      <c r="D839" s="139"/>
      <c r="E839" s="141"/>
    </row>
    <row r="840" spans="1:5">
      <c r="A840" s="69" t="str">
        <f t="shared" si="3"/>
        <v/>
      </c>
      <c r="B840" s="138"/>
      <c r="C840" s="19"/>
      <c r="D840" s="139"/>
      <c r="E840" s="138"/>
    </row>
    <row r="841" spans="1:5">
      <c r="A841" s="69" t="str">
        <f t="shared" si="3"/>
        <v/>
      </c>
      <c r="B841" s="141"/>
      <c r="C841" s="217"/>
      <c r="D841" s="139"/>
      <c r="E841" s="141"/>
    </row>
    <row r="842" spans="1:5">
      <c r="A842" s="69" t="str">
        <f t="shared" si="3"/>
        <v/>
      </c>
      <c r="B842" s="138"/>
      <c r="C842" s="19"/>
      <c r="D842" s="139"/>
      <c r="E842" s="138"/>
    </row>
    <row r="843" spans="1:5">
      <c r="A843" s="69" t="str">
        <f t="shared" si="3"/>
        <v/>
      </c>
      <c r="B843" s="141"/>
      <c r="C843" s="217"/>
      <c r="D843" s="139"/>
      <c r="E843" s="141"/>
    </row>
    <row r="844" spans="1:5">
      <c r="A844" s="69" t="str">
        <f t="shared" si="3"/>
        <v/>
      </c>
      <c r="B844" s="138"/>
      <c r="C844" s="19"/>
      <c r="D844" s="139"/>
      <c r="E844" s="138"/>
    </row>
    <row r="845" spans="1:5">
      <c r="A845" s="69" t="str">
        <f t="shared" si="3"/>
        <v/>
      </c>
      <c r="B845" s="141"/>
      <c r="C845" s="217"/>
      <c r="D845" s="139"/>
      <c r="E845" s="141"/>
    </row>
    <row r="846" spans="1:5">
      <c r="A846" s="69" t="str">
        <f t="shared" si="3"/>
        <v/>
      </c>
      <c r="B846" s="138"/>
      <c r="C846" s="19"/>
      <c r="D846" s="139"/>
      <c r="E846" s="138"/>
    </row>
    <row r="847" spans="1:5">
      <c r="A847" s="69" t="str">
        <f t="shared" si="3"/>
        <v/>
      </c>
      <c r="B847" s="141"/>
      <c r="C847" s="217"/>
      <c r="D847" s="139"/>
      <c r="E847" s="141"/>
    </row>
    <row r="848" spans="1:5">
      <c r="A848" s="69" t="str">
        <f t="shared" si="3"/>
        <v/>
      </c>
      <c r="B848" s="138"/>
      <c r="C848" s="19"/>
      <c r="D848" s="139"/>
      <c r="E848" s="138"/>
    </row>
    <row r="849" spans="1:5">
      <c r="A849" s="69" t="str">
        <f t="shared" si="3"/>
        <v/>
      </c>
      <c r="B849" s="141"/>
      <c r="C849" s="217"/>
      <c r="D849" s="139"/>
      <c r="E849" s="141"/>
    </row>
    <row r="850" spans="1:5">
      <c r="A850" s="69" t="str">
        <f t="shared" si="3"/>
        <v/>
      </c>
      <c r="B850" s="138"/>
      <c r="C850" s="19"/>
      <c r="D850" s="139"/>
      <c r="E850" s="138"/>
    </row>
    <row r="851" spans="1:5">
      <c r="A851" s="69" t="str">
        <f t="shared" si="3"/>
        <v/>
      </c>
      <c r="B851" s="141"/>
      <c r="C851" s="217"/>
      <c r="D851" s="139"/>
      <c r="E851" s="141"/>
    </row>
    <row r="852" spans="1:5">
      <c r="A852" s="69" t="str">
        <f t="shared" si="3"/>
        <v/>
      </c>
      <c r="B852" s="138"/>
      <c r="C852" s="19"/>
      <c r="D852" s="139"/>
      <c r="E852" s="138"/>
    </row>
    <row r="853" spans="1:5">
      <c r="A853" s="69" t="str">
        <f t="shared" si="3"/>
        <v/>
      </c>
      <c r="B853" s="141"/>
      <c r="C853" s="217"/>
      <c r="D853" s="139"/>
      <c r="E853" s="141"/>
    </row>
    <row r="854" spans="1:5">
      <c r="A854" s="69" t="str">
        <f t="shared" si="3"/>
        <v/>
      </c>
      <c r="B854" s="138"/>
      <c r="C854" s="19"/>
      <c r="D854" s="139"/>
      <c r="E854" s="138"/>
    </row>
    <row r="855" spans="1:5">
      <c r="A855" s="69" t="str">
        <f t="shared" si="3"/>
        <v/>
      </c>
      <c r="B855" s="141"/>
      <c r="C855" s="217"/>
      <c r="D855" s="139"/>
      <c r="E855" s="141"/>
    </row>
    <row r="856" spans="1:5">
      <c r="A856" s="69" t="str">
        <f t="shared" si="3"/>
        <v/>
      </c>
      <c r="B856" s="138"/>
      <c r="C856" s="19"/>
      <c r="D856" s="139"/>
      <c r="E856" s="138"/>
    </row>
    <row r="857" spans="1:5">
      <c r="A857" s="69" t="str">
        <f t="shared" si="3"/>
        <v/>
      </c>
      <c r="B857" s="141"/>
      <c r="C857" s="217"/>
      <c r="D857" s="139"/>
      <c r="E857" s="141"/>
    </row>
    <row r="858" spans="1:5">
      <c r="A858" s="69" t="str">
        <f t="shared" si="3"/>
        <v/>
      </c>
      <c r="B858" s="138"/>
      <c r="C858" s="19"/>
      <c r="D858" s="139"/>
      <c r="E858" s="138"/>
    </row>
    <row r="859" spans="1:5">
      <c r="A859" s="69" t="str">
        <f t="shared" si="3"/>
        <v/>
      </c>
      <c r="B859" s="141"/>
      <c r="C859" s="217"/>
      <c r="D859" s="139"/>
      <c r="E859" s="141"/>
    </row>
    <row r="860" spans="1:5">
      <c r="A860" s="69" t="str">
        <f t="shared" si="3"/>
        <v/>
      </c>
      <c r="B860" s="138"/>
      <c r="C860" s="19"/>
      <c r="D860" s="139"/>
      <c r="E860" s="138"/>
    </row>
    <row r="861" spans="1:5">
      <c r="A861" s="69" t="str">
        <f t="shared" si="3"/>
        <v/>
      </c>
      <c r="B861" s="141"/>
      <c r="C861" s="217"/>
      <c r="D861" s="139"/>
      <c r="E861" s="141"/>
    </row>
    <row r="862" spans="1:5">
      <c r="A862" s="69" t="str">
        <f t="shared" si="3"/>
        <v/>
      </c>
      <c r="B862" s="138"/>
      <c r="C862" s="19"/>
      <c r="D862" s="139"/>
      <c r="E862" s="138"/>
    </row>
    <row r="863" spans="1:5">
      <c r="A863" s="69" t="str">
        <f t="shared" si="3"/>
        <v/>
      </c>
      <c r="B863" s="141"/>
      <c r="C863" s="217"/>
      <c r="D863" s="139"/>
      <c r="E863" s="141"/>
    </row>
    <row r="864" spans="1:5">
      <c r="A864" s="69" t="str">
        <f t="shared" si="3"/>
        <v/>
      </c>
      <c r="B864" s="138"/>
      <c r="C864" s="19"/>
      <c r="D864" s="139"/>
      <c r="E864" s="138"/>
    </row>
    <row r="865" spans="1:5">
      <c r="A865" s="69" t="str">
        <f t="shared" si="3"/>
        <v/>
      </c>
      <c r="B865" s="141"/>
      <c r="C865" s="217"/>
      <c r="D865" s="139"/>
      <c r="E865" s="141"/>
    </row>
    <row r="866" spans="1:5">
      <c r="A866" s="69" t="str">
        <f t="shared" si="3"/>
        <v/>
      </c>
      <c r="B866" s="138"/>
      <c r="C866" s="19"/>
      <c r="D866" s="139"/>
      <c r="E866" s="138"/>
    </row>
    <row r="867" spans="1:5">
      <c r="A867" s="69" t="str">
        <f t="shared" si="3"/>
        <v/>
      </c>
      <c r="B867" s="141"/>
      <c r="C867" s="217"/>
      <c r="D867" s="139"/>
      <c r="E867" s="141"/>
    </row>
    <row r="868" spans="1:5">
      <c r="A868" s="69" t="str">
        <f t="shared" si="3"/>
        <v/>
      </c>
      <c r="B868" s="138"/>
      <c r="C868" s="19"/>
      <c r="D868" s="139"/>
      <c r="E868" s="138"/>
    </row>
    <row r="869" spans="1:5">
      <c r="A869" s="69" t="str">
        <f t="shared" si="3"/>
        <v/>
      </c>
      <c r="B869" s="141"/>
      <c r="C869" s="217"/>
      <c r="D869" s="139"/>
      <c r="E869" s="141"/>
    </row>
    <row r="870" spans="1:5">
      <c r="A870" s="69" t="str">
        <f t="shared" si="3"/>
        <v/>
      </c>
      <c r="B870" s="138"/>
      <c r="C870" s="19"/>
      <c r="D870" s="139"/>
      <c r="E870" s="138"/>
    </row>
    <row r="871" spans="1:5">
      <c r="A871" s="69" t="str">
        <f t="shared" si="3"/>
        <v/>
      </c>
      <c r="B871" s="141"/>
      <c r="C871" s="217"/>
      <c r="D871" s="139"/>
      <c r="E871" s="141"/>
    </row>
    <row r="872" spans="1:5">
      <c r="A872" s="69" t="str">
        <f t="shared" si="3"/>
        <v/>
      </c>
      <c r="B872" s="138"/>
      <c r="C872" s="19"/>
      <c r="D872" s="139"/>
      <c r="E872" s="138"/>
    </row>
    <row r="873" spans="1:5">
      <c r="A873" s="69" t="str">
        <f t="shared" si="3"/>
        <v/>
      </c>
      <c r="B873" s="141"/>
      <c r="C873" s="217"/>
      <c r="D873" s="139"/>
      <c r="E873" s="141"/>
    </row>
    <row r="874" spans="1:5">
      <c r="A874" s="69" t="str">
        <f t="shared" si="3"/>
        <v/>
      </c>
      <c r="B874" s="138"/>
      <c r="C874" s="19"/>
      <c r="D874" s="139"/>
      <c r="E874" s="138"/>
    </row>
    <row r="875" spans="1:5">
      <c r="A875" s="69" t="str">
        <f t="shared" si="3"/>
        <v/>
      </c>
      <c r="B875" s="141"/>
      <c r="C875" s="217"/>
      <c r="D875" s="139"/>
      <c r="E875" s="141"/>
    </row>
    <row r="876" spans="1:5">
      <c r="A876" s="69" t="str">
        <f t="shared" si="3"/>
        <v/>
      </c>
      <c r="B876" s="138"/>
      <c r="C876" s="19"/>
      <c r="D876" s="139"/>
      <c r="E876" s="138"/>
    </row>
    <row r="877" spans="1:5">
      <c r="A877" s="69" t="str">
        <f t="shared" si="3"/>
        <v/>
      </c>
      <c r="B877" s="141"/>
      <c r="C877" s="217"/>
      <c r="D877" s="139"/>
      <c r="E877" s="141"/>
    </row>
    <row r="878" spans="1:5">
      <c r="A878" s="69" t="str">
        <f t="shared" si="3"/>
        <v/>
      </c>
      <c r="B878" s="138"/>
      <c r="C878" s="19"/>
      <c r="D878" s="139"/>
      <c r="E878" s="138"/>
    </row>
    <row r="879" spans="1:5">
      <c r="A879" s="69" t="str">
        <f t="shared" si="3"/>
        <v/>
      </c>
      <c r="B879" s="141"/>
      <c r="C879" s="217"/>
      <c r="D879" s="139"/>
      <c r="E879" s="141"/>
    </row>
    <row r="880" spans="1:5">
      <c r="A880" s="69" t="str">
        <f t="shared" si="3"/>
        <v/>
      </c>
      <c r="B880" s="138"/>
      <c r="C880" s="19"/>
      <c r="D880" s="139"/>
      <c r="E880" s="138"/>
    </row>
    <row r="881" spans="1:5">
      <c r="A881" s="69" t="str">
        <f t="shared" si="3"/>
        <v/>
      </c>
      <c r="B881" s="141"/>
      <c r="C881" s="217"/>
      <c r="D881" s="139"/>
      <c r="E881" s="141"/>
    </row>
    <row r="882" spans="1:5">
      <c r="A882" s="69" t="str">
        <f t="shared" si="3"/>
        <v/>
      </c>
      <c r="B882" s="138"/>
      <c r="C882" s="19"/>
      <c r="D882" s="139"/>
      <c r="E882" s="138"/>
    </row>
    <row r="883" spans="1:5">
      <c r="A883" s="69" t="str">
        <f t="shared" si="3"/>
        <v/>
      </c>
      <c r="B883" s="141"/>
      <c r="C883" s="217"/>
      <c r="D883" s="139"/>
      <c r="E883" s="141"/>
    </row>
    <row r="884" spans="1:5">
      <c r="A884" s="69" t="str">
        <f t="shared" si="3"/>
        <v/>
      </c>
      <c r="B884" s="138"/>
      <c r="C884" s="19"/>
      <c r="D884" s="139"/>
      <c r="E884" s="138"/>
    </row>
    <row r="885" spans="1:5">
      <c r="A885" s="69" t="str">
        <f t="shared" si="3"/>
        <v/>
      </c>
      <c r="B885" s="141"/>
      <c r="C885" s="217"/>
      <c r="D885" s="139"/>
      <c r="E885" s="141"/>
    </row>
    <row r="886" spans="1:5">
      <c r="A886" s="69" t="str">
        <f t="shared" si="3"/>
        <v/>
      </c>
      <c r="B886" s="138"/>
      <c r="C886" s="19"/>
      <c r="D886" s="139"/>
      <c r="E886" s="138"/>
    </row>
    <row r="887" spans="1:5">
      <c r="A887" s="69" t="str">
        <f t="shared" si="3"/>
        <v/>
      </c>
      <c r="B887" s="141"/>
      <c r="C887" s="217"/>
      <c r="D887" s="139"/>
      <c r="E887" s="141"/>
    </row>
    <row r="888" spans="1:5">
      <c r="A888" s="69" t="str">
        <f t="shared" si="3"/>
        <v/>
      </c>
      <c r="B888" s="138"/>
      <c r="C888" s="19"/>
      <c r="D888" s="139"/>
      <c r="E888" s="138"/>
    </row>
    <row r="889" spans="1:5">
      <c r="A889" s="69" t="str">
        <f t="shared" si="3"/>
        <v/>
      </c>
      <c r="B889" s="141"/>
      <c r="C889" s="217"/>
      <c r="D889" s="139"/>
      <c r="E889" s="141"/>
    </row>
    <row r="890" spans="1:5">
      <c r="A890" s="69" t="str">
        <f t="shared" si="3"/>
        <v/>
      </c>
      <c r="B890" s="138"/>
      <c r="C890" s="19"/>
      <c r="D890" s="139"/>
      <c r="E890" s="138"/>
    </row>
    <row r="891" spans="1:5">
      <c r="A891" s="69" t="str">
        <f t="shared" si="3"/>
        <v/>
      </c>
      <c r="B891" s="141"/>
      <c r="C891" s="217"/>
      <c r="D891" s="139"/>
      <c r="E891" s="141"/>
    </row>
    <row r="892" spans="1:5">
      <c r="A892" s="69" t="str">
        <f t="shared" si="3"/>
        <v/>
      </c>
      <c r="B892" s="138"/>
      <c r="C892" s="19"/>
      <c r="D892" s="139"/>
      <c r="E892" s="138"/>
    </row>
    <row r="893" spans="1:5">
      <c r="A893" s="69" t="str">
        <f t="shared" si="3"/>
        <v/>
      </c>
      <c r="B893" s="141"/>
      <c r="C893" s="217"/>
      <c r="D893" s="139"/>
      <c r="E893" s="141"/>
    </row>
    <row r="894" spans="1:5">
      <c r="A894" s="69" t="str">
        <f t="shared" si="3"/>
        <v/>
      </c>
      <c r="B894" s="138"/>
      <c r="C894" s="19"/>
      <c r="D894" s="139"/>
      <c r="E894" s="138"/>
    </row>
    <row r="895" spans="1:5">
      <c r="A895" s="69" t="str">
        <f t="shared" si="3"/>
        <v/>
      </c>
      <c r="B895" s="141"/>
      <c r="C895" s="217"/>
      <c r="D895" s="139"/>
      <c r="E895" s="141"/>
    </row>
    <row r="896" spans="1:5">
      <c r="A896" s="69" t="str">
        <f t="shared" si="3"/>
        <v/>
      </c>
      <c r="B896" s="138"/>
      <c r="C896" s="19"/>
      <c r="D896" s="139"/>
      <c r="E896" s="138"/>
    </row>
    <row r="897" spans="1:5">
      <c r="A897" s="69" t="str">
        <f t="shared" si="3"/>
        <v/>
      </c>
      <c r="B897" s="141"/>
      <c r="C897" s="217"/>
      <c r="D897" s="139"/>
      <c r="E897" s="141"/>
    </row>
    <row r="898" spans="1:5">
      <c r="A898" s="69" t="str">
        <f t="shared" si="3"/>
        <v/>
      </c>
      <c r="B898" s="138"/>
      <c r="C898" s="19"/>
      <c r="D898" s="139"/>
      <c r="E898" s="138"/>
    </row>
    <row r="899" spans="1:5">
      <c r="A899" s="69" t="str">
        <f t="shared" si="3"/>
        <v/>
      </c>
      <c r="B899" s="141"/>
      <c r="C899" s="217"/>
      <c r="D899" s="139"/>
      <c r="E899" s="141"/>
    </row>
    <row r="900" spans="1:5">
      <c r="A900" s="69" t="str">
        <f t="shared" si="3"/>
        <v/>
      </c>
      <c r="B900" s="138"/>
      <c r="C900" s="19"/>
      <c r="D900" s="139"/>
      <c r="E900" s="138"/>
    </row>
    <row r="901" spans="1:5">
      <c r="A901" s="69" t="str">
        <f t="shared" si="3"/>
        <v/>
      </c>
      <c r="B901" s="141"/>
      <c r="C901" s="217"/>
      <c r="D901" s="139"/>
      <c r="E901" s="141"/>
    </row>
    <row r="902" spans="1:5">
      <c r="A902" s="69" t="str">
        <f t="shared" si="3"/>
        <v/>
      </c>
      <c r="B902" s="138"/>
      <c r="C902" s="19"/>
      <c r="D902" s="139"/>
      <c r="E902" s="138"/>
    </row>
    <row r="903" spans="1:5">
      <c r="A903" s="69" t="str">
        <f t="shared" si="3"/>
        <v/>
      </c>
      <c r="B903" s="141"/>
      <c r="C903" s="217"/>
      <c r="D903" s="139"/>
      <c r="E903" s="141"/>
    </row>
    <row r="904" spans="1:5">
      <c r="A904" s="69" t="str">
        <f t="shared" si="3"/>
        <v/>
      </c>
      <c r="B904" s="138"/>
      <c r="C904" s="19"/>
      <c r="D904" s="139"/>
      <c r="E904" s="138"/>
    </row>
    <row r="905" spans="1:5">
      <c r="A905" s="69" t="str">
        <f t="shared" si="3"/>
        <v/>
      </c>
      <c r="B905" s="141"/>
      <c r="C905" s="217"/>
      <c r="D905" s="139"/>
      <c r="E905" s="141"/>
    </row>
    <row r="906" spans="1:5">
      <c r="A906" s="69" t="str">
        <f t="shared" si="3"/>
        <v/>
      </c>
      <c r="B906" s="138"/>
      <c r="C906" s="19"/>
      <c r="D906" s="139"/>
      <c r="E906" s="138"/>
    </row>
    <row r="907" spans="1:5">
      <c r="A907" s="69" t="str">
        <f t="shared" si="3"/>
        <v/>
      </c>
      <c r="B907" s="141"/>
      <c r="C907" s="217"/>
      <c r="D907" s="139"/>
      <c r="E907" s="141"/>
    </row>
    <row r="908" spans="1:5">
      <c r="A908" s="69" t="str">
        <f t="shared" si="3"/>
        <v/>
      </c>
      <c r="B908" s="138"/>
      <c r="C908" s="19"/>
      <c r="D908" s="139"/>
      <c r="E908" s="138"/>
    </row>
    <row r="909" spans="1:5">
      <c r="A909" s="69" t="str">
        <f t="shared" si="3"/>
        <v/>
      </c>
      <c r="B909" s="141"/>
      <c r="C909" s="217"/>
      <c r="D909" s="139"/>
      <c r="E909" s="141"/>
    </row>
    <row r="910" spans="1:5">
      <c r="A910" s="69" t="str">
        <f t="shared" si="3"/>
        <v/>
      </c>
      <c r="B910" s="138"/>
      <c r="C910" s="19"/>
      <c r="D910" s="139"/>
      <c r="E910" s="138"/>
    </row>
    <row r="911" spans="1:5">
      <c r="A911" s="69" t="str">
        <f t="shared" si="3"/>
        <v/>
      </c>
      <c r="B911" s="141"/>
      <c r="C911" s="217"/>
      <c r="D911" s="139"/>
      <c r="E911" s="141"/>
    </row>
    <row r="912" spans="1:5">
      <c r="A912" s="69" t="str">
        <f t="shared" si="3"/>
        <v/>
      </c>
      <c r="B912" s="138"/>
      <c r="C912" s="19"/>
      <c r="D912" s="139"/>
      <c r="E912" s="138"/>
    </row>
    <row r="913" spans="1:5">
      <c r="A913" s="69" t="str">
        <f t="shared" si="3"/>
        <v/>
      </c>
      <c r="B913" s="141"/>
      <c r="C913" s="217"/>
      <c r="D913" s="139"/>
      <c r="E913" s="141"/>
    </row>
    <row r="914" spans="1:5">
      <c r="A914" s="69" t="str">
        <f t="shared" si="3"/>
        <v/>
      </c>
      <c r="B914" s="138"/>
      <c r="C914" s="19"/>
      <c r="D914" s="139"/>
      <c r="E914" s="138"/>
    </row>
    <row r="915" spans="1:5">
      <c r="A915" s="69" t="str">
        <f t="shared" si="3"/>
        <v/>
      </c>
      <c r="B915" s="141"/>
      <c r="C915" s="217"/>
      <c r="D915" s="139"/>
      <c r="E915" s="141"/>
    </row>
    <row r="916" spans="1:5">
      <c r="A916" s="69" t="str">
        <f t="shared" si="3"/>
        <v/>
      </c>
      <c r="B916" s="138"/>
      <c r="C916" s="19"/>
      <c r="D916" s="139"/>
      <c r="E916" s="138"/>
    </row>
    <row r="917" spans="1:5">
      <c r="A917" s="69" t="str">
        <f t="shared" si="3"/>
        <v/>
      </c>
      <c r="B917" s="141"/>
      <c r="C917" s="217"/>
      <c r="D917" s="139"/>
      <c r="E917" s="141"/>
    </row>
    <row r="918" spans="1:5">
      <c r="A918" s="69" t="str">
        <f t="shared" si="3"/>
        <v/>
      </c>
      <c r="B918" s="138"/>
      <c r="C918" s="19"/>
      <c r="D918" s="139"/>
      <c r="E918" s="138"/>
    </row>
    <row r="919" spans="1:5">
      <c r="A919" s="69" t="str">
        <f t="shared" si="3"/>
        <v/>
      </c>
      <c r="B919" s="141"/>
      <c r="C919" s="217"/>
      <c r="D919" s="139"/>
      <c r="E919" s="141"/>
    </row>
    <row r="920" spans="1:5">
      <c r="A920" s="69" t="str">
        <f t="shared" si="3"/>
        <v/>
      </c>
      <c r="B920" s="138"/>
      <c r="C920" s="19"/>
      <c r="D920" s="139"/>
      <c r="E920" s="138"/>
    </row>
    <row r="921" spans="1:5">
      <c r="A921" s="69" t="str">
        <f t="shared" si="3"/>
        <v/>
      </c>
      <c r="B921" s="141"/>
      <c r="C921" s="217"/>
      <c r="D921" s="139"/>
      <c r="E921" s="141"/>
    </row>
    <row r="922" spans="1:5">
      <c r="A922" s="69" t="str">
        <f t="shared" si="3"/>
        <v/>
      </c>
      <c r="B922" s="138"/>
      <c r="C922" s="19"/>
      <c r="D922" s="139"/>
      <c r="E922" s="138"/>
    </row>
    <row r="923" spans="1:5">
      <c r="A923" s="69" t="str">
        <f t="shared" si="3"/>
        <v/>
      </c>
      <c r="B923" s="141"/>
      <c r="C923" s="217"/>
      <c r="D923" s="139"/>
      <c r="E923" s="141"/>
    </row>
    <row r="924" spans="1:5">
      <c r="A924" s="69" t="str">
        <f t="shared" si="3"/>
        <v/>
      </c>
      <c r="B924" s="138"/>
      <c r="C924" s="19"/>
      <c r="D924" s="139"/>
      <c r="E924" s="138"/>
    </row>
    <row r="925" spans="1:5">
      <c r="A925" s="69" t="str">
        <f t="shared" si="3"/>
        <v/>
      </c>
      <c r="B925" s="141"/>
      <c r="C925" s="217"/>
      <c r="D925" s="139"/>
      <c r="E925" s="141"/>
    </row>
    <row r="926" spans="1:5">
      <c r="A926" s="69" t="str">
        <f t="shared" si="3"/>
        <v/>
      </c>
      <c r="B926" s="138"/>
      <c r="C926" s="19"/>
      <c r="D926" s="139"/>
      <c r="E926" s="138"/>
    </row>
    <row r="927" spans="1:5">
      <c r="A927" s="69" t="str">
        <f t="shared" si="3"/>
        <v/>
      </c>
      <c r="B927" s="141"/>
      <c r="C927" s="217"/>
      <c r="D927" s="139"/>
      <c r="E927" s="141"/>
    </row>
    <row r="928" spans="1:5">
      <c r="A928" s="69" t="str">
        <f t="shared" si="3"/>
        <v/>
      </c>
      <c r="B928" s="138"/>
      <c r="C928" s="19"/>
      <c r="D928" s="139"/>
      <c r="E928" s="138"/>
    </row>
    <row r="929" spans="1:5">
      <c r="A929" s="69" t="str">
        <f t="shared" si="3"/>
        <v/>
      </c>
      <c r="B929" s="141"/>
      <c r="C929" s="217"/>
      <c r="D929" s="139"/>
      <c r="E929" s="141"/>
    </row>
    <row r="930" spans="1:5">
      <c r="A930" s="69" t="str">
        <f t="shared" si="3"/>
        <v/>
      </c>
      <c r="B930" s="138"/>
      <c r="C930" s="19"/>
      <c r="D930" s="139"/>
      <c r="E930" s="138"/>
    </row>
    <row r="931" spans="1:5">
      <c r="A931" s="69" t="str">
        <f t="shared" si="3"/>
        <v/>
      </c>
      <c r="B931" s="141"/>
      <c r="C931" s="217"/>
      <c r="D931" s="139"/>
      <c r="E931" s="141"/>
    </row>
    <row r="932" spans="1:5">
      <c r="A932" s="69" t="str">
        <f t="shared" si="3"/>
        <v/>
      </c>
      <c r="B932" s="138"/>
      <c r="C932" s="19"/>
      <c r="D932" s="139"/>
      <c r="E932" s="138"/>
    </row>
    <row r="933" spans="1:5">
      <c r="A933" s="69" t="str">
        <f t="shared" si="3"/>
        <v/>
      </c>
      <c r="B933" s="141"/>
      <c r="C933" s="217"/>
      <c r="D933" s="139"/>
      <c r="E933" s="141"/>
    </row>
    <row r="934" spans="1:5">
      <c r="A934" s="69" t="str">
        <f t="shared" si="3"/>
        <v/>
      </c>
      <c r="B934" s="138"/>
      <c r="C934" s="19"/>
      <c r="D934" s="139"/>
      <c r="E934" s="138"/>
    </row>
    <row r="935" spans="1:5">
      <c r="A935" s="69" t="str">
        <f t="shared" si="3"/>
        <v/>
      </c>
      <c r="B935" s="141"/>
      <c r="C935" s="217"/>
      <c r="D935" s="139"/>
      <c r="E935" s="141"/>
    </row>
    <row r="936" spans="1:5">
      <c r="A936" s="69" t="str">
        <f t="shared" si="3"/>
        <v/>
      </c>
      <c r="B936" s="138"/>
      <c r="C936" s="19"/>
      <c r="D936" s="139"/>
      <c r="E936" s="138"/>
    </row>
    <row r="937" spans="1:5">
      <c r="A937" s="69" t="str">
        <f t="shared" si="3"/>
        <v/>
      </c>
      <c r="B937" s="141"/>
      <c r="C937" s="217"/>
      <c r="D937" s="139"/>
      <c r="E937" s="141"/>
    </row>
    <row r="938" spans="1:5">
      <c r="A938" s="69" t="str">
        <f t="shared" si="3"/>
        <v/>
      </c>
      <c r="B938" s="138"/>
      <c r="C938" s="19"/>
      <c r="D938" s="139"/>
      <c r="E938" s="138"/>
    </row>
    <row r="939" spans="1:5">
      <c r="A939" s="69" t="str">
        <f t="shared" si="3"/>
        <v/>
      </c>
      <c r="B939" s="141"/>
      <c r="C939" s="217"/>
      <c r="D939" s="139"/>
      <c r="E939" s="141"/>
    </row>
    <row r="940" spans="1:5">
      <c r="A940" s="69" t="str">
        <f t="shared" si="3"/>
        <v/>
      </c>
      <c r="B940" s="138"/>
      <c r="C940" s="19"/>
      <c r="D940" s="139"/>
      <c r="E940" s="138"/>
    </row>
    <row r="941" spans="1:5">
      <c r="A941" s="69" t="str">
        <f t="shared" si="3"/>
        <v/>
      </c>
      <c r="B941" s="141"/>
      <c r="C941" s="217"/>
      <c r="D941" s="139"/>
      <c r="E941" s="141"/>
    </row>
    <row r="942" spans="1:5">
      <c r="A942" s="69" t="str">
        <f t="shared" si="3"/>
        <v/>
      </c>
      <c r="B942" s="138"/>
      <c r="C942" s="19"/>
      <c r="D942" s="139"/>
      <c r="E942" s="138"/>
    </row>
    <row r="943" spans="1:5">
      <c r="A943" s="69" t="str">
        <f t="shared" si="3"/>
        <v/>
      </c>
      <c r="B943" s="141"/>
      <c r="C943" s="217"/>
      <c r="D943" s="139"/>
      <c r="E943" s="141"/>
    </row>
    <row r="944" spans="1:5">
      <c r="A944" s="69" t="str">
        <f t="shared" si="3"/>
        <v/>
      </c>
      <c r="B944" s="138"/>
      <c r="C944" s="19"/>
      <c r="D944" s="139"/>
      <c r="E944" s="138"/>
    </row>
    <row r="945" spans="1:5">
      <c r="A945" s="69" t="str">
        <f t="shared" si="3"/>
        <v/>
      </c>
      <c r="B945" s="141"/>
      <c r="C945" s="217"/>
      <c r="D945" s="139"/>
      <c r="E945" s="141"/>
    </row>
    <row r="946" spans="1:5">
      <c r="A946" s="69" t="str">
        <f t="shared" si="3"/>
        <v/>
      </c>
      <c r="B946" s="138"/>
      <c r="C946" s="19"/>
      <c r="D946" s="139"/>
      <c r="E946" s="138"/>
    </row>
    <row r="947" spans="1:5">
      <c r="A947" s="69" t="str">
        <f t="shared" si="3"/>
        <v/>
      </c>
      <c r="B947" s="141"/>
      <c r="C947" s="217"/>
      <c r="D947" s="139"/>
      <c r="E947" s="141"/>
    </row>
    <row r="948" spans="1:5">
      <c r="A948" s="69" t="str">
        <f t="shared" si="3"/>
        <v/>
      </c>
      <c r="B948" s="138"/>
      <c r="C948" s="19"/>
      <c r="D948" s="139"/>
      <c r="E948" s="138"/>
    </row>
    <row r="949" spans="1:5">
      <c r="A949" s="69" t="str">
        <f t="shared" si="3"/>
        <v/>
      </c>
      <c r="B949" s="141"/>
      <c r="C949" s="217"/>
      <c r="D949" s="139"/>
      <c r="E949" s="141"/>
    </row>
    <row r="950" spans="1:5">
      <c r="A950" s="69" t="str">
        <f t="shared" si="3"/>
        <v/>
      </c>
      <c r="B950" s="138"/>
      <c r="C950" s="19"/>
      <c r="D950" s="139"/>
      <c r="E950" s="138"/>
    </row>
    <row r="951" spans="1:5">
      <c r="A951" s="69" t="str">
        <f t="shared" si="3"/>
        <v/>
      </c>
      <c r="B951" s="141"/>
      <c r="C951" s="217"/>
      <c r="D951" s="139"/>
      <c r="E951" s="141"/>
    </row>
    <row r="952" spans="1:5">
      <c r="A952" s="69" t="str">
        <f t="shared" si="3"/>
        <v/>
      </c>
      <c r="B952" s="138"/>
      <c r="C952" s="19"/>
      <c r="D952" s="139"/>
      <c r="E952" s="138"/>
    </row>
    <row r="953" spans="1:5">
      <c r="A953" s="69" t="str">
        <f t="shared" si="3"/>
        <v/>
      </c>
      <c r="B953" s="141"/>
      <c r="C953" s="217"/>
      <c r="D953" s="139"/>
      <c r="E953" s="141"/>
    </row>
    <row r="954" spans="1:5">
      <c r="A954" s="69" t="str">
        <f t="shared" si="3"/>
        <v/>
      </c>
      <c r="B954" s="138"/>
      <c r="C954" s="19"/>
      <c r="D954" s="139"/>
      <c r="E954" s="138"/>
    </row>
    <row r="955" spans="1:5">
      <c r="A955" s="69" t="str">
        <f t="shared" si="3"/>
        <v/>
      </c>
      <c r="B955" s="141"/>
      <c r="C955" s="217"/>
      <c r="D955" s="139"/>
      <c r="E955" s="141"/>
    </row>
    <row r="956" spans="1:5">
      <c r="A956" s="69" t="str">
        <f t="shared" si="3"/>
        <v/>
      </c>
      <c r="B956" s="138"/>
      <c r="C956" s="19"/>
      <c r="D956" s="139"/>
      <c r="E956" s="138"/>
    </row>
    <row r="957" spans="1:5">
      <c r="A957" s="69" t="str">
        <f t="shared" si="3"/>
        <v/>
      </c>
      <c r="B957" s="141"/>
      <c r="C957" s="217"/>
      <c r="D957" s="139"/>
      <c r="E957" s="141"/>
    </row>
    <row r="958" spans="1:5">
      <c r="A958" s="69" t="str">
        <f t="shared" si="3"/>
        <v/>
      </c>
      <c r="B958" s="138"/>
      <c r="C958" s="19"/>
      <c r="D958" s="139"/>
      <c r="E958" s="138"/>
    </row>
    <row r="959" spans="1:5">
      <c r="A959" s="69" t="str">
        <f t="shared" si="3"/>
        <v/>
      </c>
      <c r="B959" s="141"/>
      <c r="C959" s="217"/>
      <c r="D959" s="139"/>
      <c r="E959" s="141"/>
    </row>
    <row r="960" spans="1:5">
      <c r="A960" s="69" t="str">
        <f t="shared" si="3"/>
        <v/>
      </c>
      <c r="B960" s="138"/>
      <c r="C960" s="19"/>
      <c r="D960" s="139"/>
      <c r="E960" s="138"/>
    </row>
    <row r="961" spans="1:5">
      <c r="A961" s="69" t="str">
        <f t="shared" si="3"/>
        <v/>
      </c>
      <c r="B961" s="141"/>
      <c r="C961" s="217"/>
      <c r="D961" s="139"/>
      <c r="E961" s="141"/>
    </row>
    <row r="962" spans="1:5">
      <c r="A962" s="69" t="str">
        <f t="shared" si="3"/>
        <v/>
      </c>
      <c r="B962" s="138"/>
      <c r="C962" s="19"/>
      <c r="D962" s="139"/>
      <c r="E962" s="138"/>
    </row>
    <row r="963" spans="1:5">
      <c r="A963" s="69" t="str">
        <f t="shared" si="3"/>
        <v/>
      </c>
      <c r="B963" s="141"/>
      <c r="C963" s="217"/>
      <c r="D963" s="139"/>
      <c r="E963" s="141"/>
    </row>
    <row r="964" spans="1:5">
      <c r="A964" s="69" t="str">
        <f t="shared" si="3"/>
        <v/>
      </c>
      <c r="B964" s="138"/>
      <c r="C964" s="19"/>
      <c r="D964" s="139"/>
      <c r="E964" s="138"/>
    </row>
    <row r="965" spans="1:5">
      <c r="A965" s="69" t="str">
        <f t="shared" si="3"/>
        <v/>
      </c>
      <c r="B965" s="141"/>
      <c r="C965" s="217"/>
      <c r="D965" s="139"/>
      <c r="E965" s="141"/>
    </row>
    <row r="966" spans="1:5">
      <c r="A966" s="69" t="str">
        <f t="shared" si="3"/>
        <v/>
      </c>
      <c r="B966" s="138"/>
      <c r="C966" s="19"/>
      <c r="D966" s="139"/>
      <c r="E966" s="138"/>
    </row>
    <row r="967" spans="1:5">
      <c r="A967" s="69" t="str">
        <f t="shared" si="3"/>
        <v/>
      </c>
      <c r="B967" s="141"/>
      <c r="C967" s="217"/>
      <c r="D967" s="139"/>
      <c r="E967" s="141"/>
    </row>
    <row r="968" spans="1:5">
      <c r="A968" s="69" t="str">
        <f t="shared" si="3"/>
        <v/>
      </c>
      <c r="B968" s="138"/>
      <c r="C968" s="19"/>
      <c r="D968" s="139"/>
      <c r="E968" s="138"/>
    </row>
    <row r="969" spans="1:5">
      <c r="A969" s="69" t="str">
        <f t="shared" si="3"/>
        <v/>
      </c>
      <c r="B969" s="141"/>
      <c r="C969" s="217"/>
      <c r="D969" s="139"/>
      <c r="E969" s="141"/>
    </row>
    <row r="970" spans="1:5">
      <c r="A970" s="69" t="str">
        <f t="shared" si="3"/>
        <v/>
      </c>
      <c r="B970" s="138"/>
      <c r="C970" s="19"/>
      <c r="D970" s="139"/>
      <c r="E970" s="138"/>
    </row>
    <row r="971" spans="1:5">
      <c r="A971" s="69" t="str">
        <f t="shared" si="3"/>
        <v/>
      </c>
      <c r="B971" s="141"/>
      <c r="C971" s="217"/>
      <c r="D971" s="139"/>
      <c r="E971" s="141"/>
    </row>
    <row r="972" spans="1:5">
      <c r="A972" s="69" t="str">
        <f t="shared" si="3"/>
        <v/>
      </c>
      <c r="B972" s="138"/>
      <c r="C972" s="19"/>
      <c r="D972" s="139"/>
      <c r="E972" s="138"/>
    </row>
    <row r="973" spans="1:5">
      <c r="A973" s="69" t="str">
        <f t="shared" si="3"/>
        <v/>
      </c>
      <c r="B973" s="141"/>
      <c r="C973" s="217"/>
      <c r="D973" s="139"/>
      <c r="E973" s="141"/>
    </row>
    <row r="974" spans="1:5">
      <c r="A974" s="69" t="str">
        <f t="shared" si="3"/>
        <v/>
      </c>
      <c r="B974" s="138"/>
      <c r="C974" s="19"/>
      <c r="D974" s="139"/>
      <c r="E974" s="138"/>
    </row>
    <row r="975" spans="1:5">
      <c r="A975" s="69" t="str">
        <f t="shared" si="3"/>
        <v/>
      </c>
      <c r="B975" s="141"/>
      <c r="C975" s="217"/>
      <c r="D975" s="139"/>
      <c r="E975" s="141"/>
    </row>
    <row r="976" spans="1:5">
      <c r="A976" s="69" t="str">
        <f t="shared" si="3"/>
        <v/>
      </c>
      <c r="B976" s="138"/>
      <c r="C976" s="19"/>
      <c r="D976" s="139"/>
      <c r="E976" s="138"/>
    </row>
    <row r="977" spans="1:5">
      <c r="A977" s="69" t="str">
        <f t="shared" si="3"/>
        <v/>
      </c>
      <c r="B977" s="141"/>
      <c r="C977" s="217"/>
      <c r="D977" s="139"/>
      <c r="E977" s="141"/>
    </row>
    <row r="978" spans="1:5">
      <c r="A978" s="69" t="str">
        <f t="shared" si="3"/>
        <v/>
      </c>
      <c r="B978" s="138"/>
      <c r="C978" s="19"/>
      <c r="D978" s="139"/>
      <c r="E978" s="138"/>
    </row>
    <row r="979" spans="1:5">
      <c r="A979" s="69" t="str">
        <f t="shared" si="3"/>
        <v/>
      </c>
      <c r="B979" s="141"/>
      <c r="C979" s="217"/>
      <c r="D979" s="139"/>
      <c r="E979" s="141"/>
    </row>
    <row r="980" spans="1:5">
      <c r="A980" s="69" t="str">
        <f t="shared" si="3"/>
        <v/>
      </c>
      <c r="B980" s="138"/>
      <c r="C980" s="19"/>
      <c r="D980" s="139"/>
      <c r="E980" s="138"/>
    </row>
    <row r="981" spans="1:5">
      <c r="A981" s="69" t="str">
        <f t="shared" si="3"/>
        <v/>
      </c>
      <c r="B981" s="141"/>
      <c r="C981" s="217"/>
      <c r="D981" s="139"/>
      <c r="E981" s="141"/>
    </row>
    <row r="982" spans="1:5">
      <c r="A982" s="69" t="str">
        <f t="shared" si="3"/>
        <v/>
      </c>
      <c r="B982" s="138"/>
      <c r="C982" s="19"/>
      <c r="D982" s="139"/>
      <c r="E982" s="138"/>
    </row>
    <row r="983" spans="1:5">
      <c r="A983" s="69" t="str">
        <f t="shared" si="3"/>
        <v/>
      </c>
      <c r="B983" s="141"/>
      <c r="C983" s="217"/>
      <c r="D983" s="139"/>
      <c r="E983" s="141"/>
    </row>
    <row r="984" spans="1:5">
      <c r="A984" s="69" t="str">
        <f t="shared" si="3"/>
        <v/>
      </c>
      <c r="B984" s="138"/>
      <c r="C984" s="19"/>
      <c r="D984" s="139"/>
      <c r="E984" s="138"/>
    </row>
    <row r="985" spans="1:5">
      <c r="A985" s="69" t="str">
        <f t="shared" si="3"/>
        <v/>
      </c>
      <c r="B985" s="141"/>
      <c r="C985" s="217"/>
      <c r="D985" s="139"/>
      <c r="E985" s="141"/>
    </row>
    <row r="986" spans="1:5">
      <c r="A986" s="69" t="str">
        <f t="shared" si="3"/>
        <v/>
      </c>
      <c r="B986" s="138"/>
      <c r="C986" s="19"/>
      <c r="D986" s="139"/>
      <c r="E986" s="138"/>
    </row>
    <row r="987" spans="1:5">
      <c r="A987" s="69" t="str">
        <f t="shared" si="3"/>
        <v/>
      </c>
      <c r="B987" s="141"/>
      <c r="C987" s="217"/>
      <c r="D987" s="139"/>
      <c r="E987" s="141"/>
    </row>
    <row r="988" spans="1:5">
      <c r="A988" s="69" t="str">
        <f t="shared" si="3"/>
        <v/>
      </c>
      <c r="B988" s="138"/>
      <c r="C988" s="19"/>
      <c r="D988" s="139"/>
      <c r="E988" s="138"/>
    </row>
    <row r="989" spans="1:5">
      <c r="A989" s="69" t="str">
        <f t="shared" si="3"/>
        <v/>
      </c>
      <c r="B989" s="141"/>
      <c r="C989" s="217"/>
      <c r="D989" s="139"/>
      <c r="E989" s="141"/>
    </row>
    <row r="990" spans="1:5">
      <c r="A990" s="69" t="str">
        <f t="shared" si="3"/>
        <v/>
      </c>
      <c r="B990" s="138"/>
      <c r="C990" s="19"/>
      <c r="D990" s="139"/>
      <c r="E990" s="138"/>
    </row>
    <row r="991" spans="1:5">
      <c r="A991" s="69" t="str">
        <f t="shared" si="3"/>
        <v/>
      </c>
      <c r="B991" s="141"/>
      <c r="C991" s="217"/>
      <c r="D991" s="139"/>
      <c r="E991" s="141"/>
    </row>
    <row r="992" spans="1:5">
      <c r="A992" s="69" t="str">
        <f t="shared" si="3"/>
        <v/>
      </c>
      <c r="B992" s="138"/>
      <c r="C992" s="19"/>
      <c r="D992" s="139"/>
      <c r="E992" s="138"/>
    </row>
    <row r="993" spans="1:5">
      <c r="A993" s="69" t="str">
        <f t="shared" si="3"/>
        <v/>
      </c>
      <c r="B993" s="141"/>
      <c r="C993" s="217"/>
      <c r="D993" s="139"/>
      <c r="E993" s="141"/>
    </row>
    <row r="994" spans="1:5">
      <c r="A994" s="69" t="str">
        <f t="shared" si="3"/>
        <v/>
      </c>
      <c r="B994" s="138"/>
      <c r="C994" s="19"/>
      <c r="D994" s="139"/>
      <c r="E994" s="138"/>
    </row>
    <row r="995" spans="1:5">
      <c r="A995" s="69" t="str">
        <f t="shared" si="3"/>
        <v/>
      </c>
      <c r="B995" s="141"/>
      <c r="C995" s="217"/>
      <c r="D995" s="139"/>
      <c r="E995" s="141"/>
    </row>
    <row r="996" spans="1:5">
      <c r="A996" s="69" t="str">
        <f t="shared" si="3"/>
        <v/>
      </c>
      <c r="B996" s="138"/>
      <c r="C996" s="19"/>
      <c r="D996" s="139"/>
      <c r="E996" s="138"/>
    </row>
    <row r="997" spans="1:5">
      <c r="A997" s="69" t="str">
        <f t="shared" si="3"/>
        <v/>
      </c>
      <c r="B997" s="141"/>
      <c r="C997" s="217"/>
      <c r="D997" s="139"/>
      <c r="E997" s="141"/>
    </row>
    <row r="998" spans="1:5">
      <c r="A998" s="69" t="str">
        <f t="shared" si="3"/>
        <v/>
      </c>
      <c r="B998" s="138"/>
      <c r="C998" s="19"/>
      <c r="D998" s="139"/>
      <c r="E998" s="138"/>
    </row>
    <row r="999" spans="1:5">
      <c r="A999" s="69" t="str">
        <f t="shared" si="3"/>
        <v/>
      </c>
      <c r="B999" s="141"/>
      <c r="C999" s="217"/>
      <c r="D999" s="139"/>
      <c r="E999" s="141"/>
    </row>
    <row r="1000" spans="1:5">
      <c r="A1000" s="69" t="str">
        <f t="shared" si="3"/>
        <v/>
      </c>
      <c r="B1000" s="138"/>
      <c r="C1000" s="19"/>
      <c r="D1000" s="139"/>
      <c r="E1000" s="138"/>
    </row>
    <row r="1001" spans="1:5">
      <c r="A1001" s="69" t="str">
        <f t="shared" si="3"/>
        <v/>
      </c>
      <c r="B1001" s="141"/>
      <c r="C1001" s="217"/>
      <c r="D1001" s="139"/>
      <c r="E1001" s="141"/>
    </row>
  </sheetData>
  <conditionalFormatting sqref="A3:A1001">
    <cfRule type="expression" dxfId="7" priority="2">
      <formula>$S3="YES"</formula>
    </cfRule>
  </conditionalFormatting>
  <conditionalFormatting sqref="B3:B18">
    <cfRule type="expression" dxfId="6" priority="1">
      <formula>$R3="YES"</formula>
    </cfRule>
  </conditionalFormatting>
  <dataValidations count="1">
    <dataValidation type="list" allowBlank="1" sqref="D3:D1001" xr:uid="{00000000-0002-0000-1300-000000000000}">
      <formula1>#REF!</formula1>
    </dataValidation>
  </dataValidations>
  <pageMargins left="0.7" right="0.7" top="0.75" bottom="0.75" header="0" footer="0"/>
  <pageSetup orientation="portrait"/>
  <rowBreaks count="1" manualBreakCount="1">
    <brk id="59" man="1"/>
  </rowBreaks>
  <colBreaks count="2" manualBreakCount="2">
    <brk man="1"/>
    <brk id="5" man="1"/>
  </colBreaks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995"/>
  <sheetViews>
    <sheetView showGridLines="0" workbookViewId="0">
      <pane ySplit="2" topLeftCell="A3" activePane="bottomLeft" state="frozen"/>
      <selection pane="bottomLeft" activeCell="B4" sqref="B4"/>
    </sheetView>
  </sheetViews>
  <sheetFormatPr defaultColWidth="14.453125" defaultRowHeight="15" customHeight="1"/>
  <cols>
    <col min="1" max="1" width="18.453125" customWidth="1"/>
    <col min="2" max="2" width="29.26953125" customWidth="1"/>
    <col min="3" max="3" width="35.7265625" customWidth="1"/>
    <col min="4" max="4" width="12.7265625" customWidth="1"/>
    <col min="5" max="5" width="35.54296875" customWidth="1"/>
    <col min="6" max="26" width="8.7265625" hidden="1" customWidth="1"/>
  </cols>
  <sheetData>
    <row r="1" spans="1:26" ht="15.5">
      <c r="A1" s="246" t="s">
        <v>1991</v>
      </c>
      <c r="B1" s="240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</row>
    <row r="2" spans="1:26" ht="14.5">
      <c r="A2" s="135" t="s">
        <v>1992</v>
      </c>
      <c r="B2" s="135" t="s">
        <v>1993</v>
      </c>
      <c r="C2" s="135" t="s">
        <v>1994</v>
      </c>
      <c r="D2" s="135" t="s">
        <v>1810</v>
      </c>
      <c r="E2" s="135" t="s">
        <v>1817</v>
      </c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</row>
    <row r="3" spans="1:26" ht="14.5">
      <c r="A3" s="218" t="s">
        <v>1995</v>
      </c>
      <c r="B3" s="137" t="s">
        <v>1996</v>
      </c>
      <c r="C3" s="137" t="s">
        <v>1802</v>
      </c>
      <c r="D3" s="136">
        <v>0</v>
      </c>
      <c r="E3" s="137" t="s">
        <v>1997</v>
      </c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>
        <f>IF(B3="","",SUMIFS('PR-BOM'!$D$3:$D995,'PR-BOM'!$C$3:$C995,C3,'PR-BOM'!$B$3:$B995,B3))</f>
        <v>0</v>
      </c>
    </row>
    <row r="4" spans="1:26" ht="14.5">
      <c r="A4" s="218" t="s">
        <v>1995</v>
      </c>
      <c r="B4" s="137" t="s">
        <v>1998</v>
      </c>
      <c r="C4" s="137" t="s">
        <v>1802</v>
      </c>
      <c r="D4" s="136">
        <v>10</v>
      </c>
      <c r="E4" s="137" t="s">
        <v>1999</v>
      </c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>
        <f>IF(B4="","",SUMIFS('PR-BOM'!$D$3:$D995,'PR-BOM'!$C$3:$C995,C4,'PR-BOM'!$B$3:$B995,B4))</f>
        <v>10</v>
      </c>
    </row>
    <row r="5" spans="1:26" ht="14.5">
      <c r="A5" s="218" t="s">
        <v>2000</v>
      </c>
      <c r="B5" s="137" t="s">
        <v>2001</v>
      </c>
      <c r="C5" s="137" t="s">
        <v>1802</v>
      </c>
      <c r="D5" s="136">
        <v>5</v>
      </c>
      <c r="E5" s="137" t="s">
        <v>1999</v>
      </c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>
        <f>IF(B5="","",SUMIFS('PR-BOM'!$D$3:$D995,'PR-BOM'!$C$3:$C995,C5,'PR-BOM'!$B$3:$B995,B5))</f>
        <v>5</v>
      </c>
    </row>
    <row r="6" spans="1:26" ht="14.5">
      <c r="A6" s="218" t="s">
        <v>2002</v>
      </c>
      <c r="B6" s="137" t="s">
        <v>2003</v>
      </c>
      <c r="C6" s="137" t="s">
        <v>1802</v>
      </c>
      <c r="D6" s="136">
        <v>10</v>
      </c>
      <c r="E6" s="137" t="s">
        <v>1999</v>
      </c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>
        <f>IF(B6="","",SUMIFS('PR-BOM'!$D$3:$D995,'PR-BOM'!$C$3:$C995,C6,'PR-BOM'!$B$3:$B995,B6))</f>
        <v>10</v>
      </c>
    </row>
    <row r="7" spans="1:26" ht="14.5">
      <c r="A7" s="218" t="s">
        <v>2004</v>
      </c>
      <c r="B7" s="137" t="s">
        <v>2005</v>
      </c>
      <c r="C7" s="137" t="s">
        <v>1802</v>
      </c>
      <c r="D7" s="136">
        <v>14</v>
      </c>
      <c r="E7" s="137" t="s">
        <v>2006</v>
      </c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>
        <f>IF(B7="","",SUMIFS('PR-BOM'!$D$3:$D995,'PR-BOM'!$C$3:$C995,C7,'PR-BOM'!$B$3:$B995,B7))</f>
        <v>20</v>
      </c>
    </row>
    <row r="8" spans="1:26" ht="14.5">
      <c r="A8" s="218" t="s">
        <v>2004</v>
      </c>
      <c r="B8" s="137" t="s">
        <v>2007</v>
      </c>
      <c r="C8" s="137" t="s">
        <v>1802</v>
      </c>
      <c r="D8" s="136">
        <v>2</v>
      </c>
      <c r="E8" s="137" t="s">
        <v>2008</v>
      </c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>
        <f>IF(B8="","",SUMIFS('PR-BOM'!$D$3:$D995,'PR-BOM'!$C$3:$C995,C8,'PR-BOM'!$B$3:$B995,B8))</f>
        <v>37</v>
      </c>
    </row>
    <row r="9" spans="1:26" ht="14.5">
      <c r="A9" s="219"/>
      <c r="B9" s="137"/>
      <c r="C9" s="137"/>
      <c r="D9" s="136"/>
      <c r="E9" s="137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 t="str">
        <f>IF(B9="","",SUMIFS('PR-BOM'!$D$3:$D995,'PR-BOM'!$C$3:$C995,C9,'PR-BOM'!$B$3:$B995,B9))</f>
        <v/>
      </c>
    </row>
    <row r="10" spans="1:26" ht="14.5">
      <c r="A10" s="219"/>
      <c r="B10" s="137"/>
      <c r="C10" s="137"/>
      <c r="D10" s="136"/>
      <c r="E10" s="137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 t="str">
        <f>IF(B10="","",SUMIFS('PR-BOM'!$D$3:$D995,'PR-BOM'!$C$3:$C995,C10,'PR-BOM'!$B$3:$B995,B10))</f>
        <v/>
      </c>
    </row>
    <row r="11" spans="1:26" ht="14.5">
      <c r="A11" s="219"/>
      <c r="B11" s="137"/>
      <c r="C11" s="137"/>
      <c r="D11" s="136"/>
      <c r="E11" s="137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 t="str">
        <f>IF(B11="","",SUMIFS('PR-BOM'!$D$3:$D995,'PR-BOM'!$C$3:$C995,C11,'PR-BOM'!$B$3:$B995,B11))</f>
        <v/>
      </c>
    </row>
    <row r="12" spans="1:26" ht="14.5">
      <c r="A12" s="219"/>
      <c r="B12" s="137"/>
      <c r="C12" s="137"/>
      <c r="D12" s="136"/>
      <c r="E12" s="137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 t="str">
        <f>IF(B12="","",SUMIFS('PR-BOM'!$D$3:$D995,'PR-BOM'!$C$3:$C995,C12,'PR-BOM'!$B$3:$B995,B12))</f>
        <v/>
      </c>
    </row>
    <row r="13" spans="1:26" ht="14.5">
      <c r="A13" s="219"/>
      <c r="B13" s="137"/>
      <c r="C13" s="137"/>
      <c r="D13" s="136"/>
      <c r="E13" s="137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 t="str">
        <f>IF(B13="","",SUMIFS('PR-BOM'!$D$3:$D995,'PR-BOM'!$C$3:$C995,C13,'PR-BOM'!$B$3:$B995,B13))</f>
        <v/>
      </c>
    </row>
    <row r="14" spans="1:26" ht="14.5">
      <c r="A14" s="219"/>
      <c r="B14" s="137"/>
      <c r="C14" s="137"/>
      <c r="D14" s="136"/>
      <c r="E14" s="137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 t="str">
        <f>IF(B14="","",SUMIFS('PR-BOM'!$D$3:$D995,'PR-BOM'!$C$3:$C995,C14,'PR-BOM'!$B$3:$B995,B14))</f>
        <v/>
      </c>
    </row>
    <row r="15" spans="1:26" ht="14.5">
      <c r="A15" s="219"/>
      <c r="B15" s="137"/>
      <c r="C15" s="137"/>
      <c r="D15" s="136"/>
      <c r="E15" s="137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 t="str">
        <f>IF(B15="","",SUMIFS('PR-BOM'!$D$3:$D995,'PR-BOM'!$C$3:$C995,C15,'PR-BOM'!$B$3:$B995,B15))</f>
        <v/>
      </c>
    </row>
    <row r="16" spans="1:26" ht="15.75" customHeight="1">
      <c r="A16" s="219"/>
      <c r="B16" s="137"/>
      <c r="C16" s="137"/>
      <c r="D16" s="136"/>
      <c r="E16" s="137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 t="str">
        <f>IF(B16="","",SUMIFS('PR-BOM'!$D$3:$D995,'PR-BOM'!$C$3:$C995,C16,'PR-BOM'!$B$3:$B995,B16))</f>
        <v/>
      </c>
    </row>
    <row r="17" spans="1:26" ht="15.75" customHeight="1">
      <c r="A17" s="219"/>
      <c r="B17" s="137"/>
      <c r="C17" s="137"/>
      <c r="D17" s="136"/>
      <c r="E17" s="137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 t="str">
        <f>IF(B17="","",SUMIFS('PR-BOM'!$D$3:$D995,'PR-BOM'!$C$3:$C995,C17,'PR-BOM'!$B$3:$B995,B17))</f>
        <v/>
      </c>
    </row>
    <row r="18" spans="1:26" ht="15.75" customHeight="1">
      <c r="A18" s="219"/>
      <c r="B18" s="137"/>
      <c r="C18" s="137"/>
      <c r="D18" s="136"/>
      <c r="E18" s="137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 t="str">
        <f>IF(B18="","",SUMIFS('PR-BOM'!$D$3:$D995,'PR-BOM'!$C$3:$C995,C18,'PR-BOM'!$B$3:$B995,B18))</f>
        <v/>
      </c>
    </row>
    <row r="19" spans="1:26" ht="15.75" customHeight="1">
      <c r="A19" s="219"/>
      <c r="B19" s="137"/>
      <c r="C19" s="137"/>
      <c r="D19" s="136"/>
      <c r="E19" s="137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 t="str">
        <f>IF(B19="","",SUMIFS('PR-BOM'!$D$3:$D995,'PR-BOM'!$C$3:$C995,C19,'PR-BOM'!$B$3:$B995,B19))</f>
        <v/>
      </c>
    </row>
    <row r="20" spans="1:26" ht="15.75" customHeight="1">
      <c r="A20" s="219"/>
      <c r="B20" s="137"/>
      <c r="C20" s="137"/>
      <c r="D20" s="136"/>
      <c r="E20" s="137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 t="str">
        <f>IF(B20="","",SUMIFS('PR-BOM'!$D$3:$D995,'PR-BOM'!$C$3:$C995,C20,'PR-BOM'!$B$3:$B995,B20))</f>
        <v/>
      </c>
    </row>
    <row r="21" spans="1:26" ht="15.75" customHeight="1">
      <c r="A21" s="219"/>
      <c r="B21" s="137"/>
      <c r="C21" s="137"/>
      <c r="D21" s="136"/>
      <c r="E21" s="137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 t="str">
        <f>IF(B21="","",SUMIFS('PR-BOM'!$D$3:$D995,'PR-BOM'!$C$3:$C995,C21,'PR-BOM'!$B$3:$B995,B21))</f>
        <v/>
      </c>
    </row>
    <row r="22" spans="1:26" ht="15.75" customHeight="1">
      <c r="A22" s="219"/>
      <c r="B22" s="137"/>
      <c r="C22" s="137"/>
      <c r="D22" s="136"/>
      <c r="E22" s="137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 t="str">
        <f>IF(B22="","",SUMIFS('PR-BOM'!$D$3:$D995,'PR-BOM'!$C$3:$C995,C22,'PR-BOM'!$B$3:$B995,B22))</f>
        <v/>
      </c>
    </row>
    <row r="23" spans="1:26" ht="15.75" customHeight="1">
      <c r="A23" s="219"/>
      <c r="B23" s="137"/>
      <c r="C23" s="137"/>
      <c r="D23" s="136"/>
      <c r="E23" s="137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 t="str">
        <f>IF(B23="","",SUMIFS('PR-BOM'!$D$3:$D995,'PR-BOM'!$C$3:$C995,C23,'PR-BOM'!$B$3:$B995,B23))</f>
        <v/>
      </c>
    </row>
    <row r="24" spans="1:26" ht="15.75" customHeight="1">
      <c r="A24" s="219"/>
      <c r="B24" s="137"/>
      <c r="C24" s="137"/>
      <c r="D24" s="136"/>
      <c r="E24" s="137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 t="str">
        <f>IF(B24="","",SUMIFS('PR-BOM'!$D$3:$D995,'PR-BOM'!$C$3:$C995,C24,'PR-BOM'!$B$3:$B995,B24))</f>
        <v/>
      </c>
    </row>
    <row r="25" spans="1:26" ht="15.75" customHeight="1">
      <c r="A25" s="219"/>
      <c r="B25" s="137"/>
      <c r="C25" s="137"/>
      <c r="D25" s="136"/>
      <c r="E25" s="137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 t="str">
        <f>IF(B25="","",SUMIFS('PR-BOM'!$D$3:$D995,'PR-BOM'!$C$3:$C995,C25,'PR-BOM'!$B$3:$B995,B25))</f>
        <v/>
      </c>
    </row>
    <row r="26" spans="1:26" ht="15.75" customHeight="1">
      <c r="A26" s="219"/>
      <c r="B26" s="137"/>
      <c r="C26" s="137"/>
      <c r="D26" s="136"/>
      <c r="E26" s="137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 t="str">
        <f>IF(B26="","",SUMIFS('PR-BOM'!$D$3:$D995,'PR-BOM'!$C$3:$C995,C26,'PR-BOM'!$B$3:$B995,B26))</f>
        <v/>
      </c>
    </row>
    <row r="27" spans="1:26" ht="15.75" customHeight="1">
      <c r="A27" s="219"/>
      <c r="B27" s="137"/>
      <c r="C27" s="137"/>
      <c r="D27" s="136"/>
      <c r="E27" s="137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 t="str">
        <f>IF(B27="","",SUMIFS('PR-BOM'!$D$3:$D995,'PR-BOM'!$C$3:$C995,C27,'PR-BOM'!$B$3:$B995,B27))</f>
        <v/>
      </c>
    </row>
    <row r="28" spans="1:26" ht="15.75" customHeight="1">
      <c r="A28" s="219"/>
      <c r="B28" s="137"/>
      <c r="C28" s="137"/>
      <c r="D28" s="136"/>
      <c r="E28" s="137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 t="str">
        <f>IF(B28="","",SUMIFS('PR-BOM'!$D$3:$D995,'PR-BOM'!$C$3:$C995,C28,'PR-BOM'!$B$3:$B995,B28))</f>
        <v/>
      </c>
    </row>
    <row r="29" spans="1:26" ht="15.75" customHeight="1">
      <c r="A29" s="219"/>
      <c r="B29" s="137"/>
      <c r="C29" s="137"/>
      <c r="D29" s="136"/>
      <c r="E29" s="137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 t="str">
        <f>IF(B29="","",SUMIFS('PR-BOM'!$D$3:$D995,'PR-BOM'!$C$3:$C995,C29,'PR-BOM'!$B$3:$B995,B29))</f>
        <v/>
      </c>
    </row>
    <row r="30" spans="1:26" ht="15.75" customHeight="1">
      <c r="A30" s="219"/>
      <c r="B30" s="137"/>
      <c r="C30" s="137"/>
      <c r="D30" s="136"/>
      <c r="E30" s="137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 t="str">
        <f>IF(B30="","",SUMIFS('PR-BOM'!$D$3:$D995,'PR-BOM'!$C$3:$C995,C30,'PR-BOM'!$B$3:$B995,B30))</f>
        <v/>
      </c>
    </row>
    <row r="31" spans="1:26" ht="15.75" customHeight="1">
      <c r="A31" s="219"/>
      <c r="B31" s="137"/>
      <c r="C31" s="137"/>
      <c r="D31" s="136"/>
      <c r="E31" s="137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 t="str">
        <f>IF(B31="","",SUMIFS('PR-BOM'!$D$3:$D995,'PR-BOM'!$C$3:$C995,C31,'PR-BOM'!$B$3:$B995,B31))</f>
        <v/>
      </c>
    </row>
    <row r="32" spans="1:26" ht="15.75" customHeight="1">
      <c r="A32" s="220"/>
      <c r="B32" s="137"/>
      <c r="C32" s="137"/>
      <c r="D32" s="136"/>
      <c r="E32" s="137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 t="str">
        <f>IF(B32="","",SUMIFS('PR-BOM'!$D$3:$D995,'PR-BOM'!$C$3:$C995,C32,'PR-BOM'!$B$3:$B995,B32))</f>
        <v/>
      </c>
    </row>
    <row r="33" spans="1:26" ht="15.75" customHeight="1">
      <c r="A33" s="220"/>
      <c r="B33" s="137"/>
      <c r="C33" s="137"/>
      <c r="D33" s="136"/>
      <c r="E33" s="137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 t="str">
        <f>IF(B33="","",SUMIFS('PR-BOM'!$D$3:$D995,'PR-BOM'!$C$3:$C995,C33,'PR-BOM'!$B$3:$B995,B33))</f>
        <v/>
      </c>
    </row>
    <row r="34" spans="1:26" ht="15.75" customHeight="1">
      <c r="A34" s="220"/>
      <c r="B34" s="137"/>
      <c r="C34" s="137"/>
      <c r="D34" s="136"/>
      <c r="E34" s="137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 t="str">
        <f>IF(B34="","",SUMIFS('PR-BOM'!$D$3:$D995,'PR-BOM'!$C$3:$C995,C34,'PR-BOM'!$B$3:$B995,B34))</f>
        <v/>
      </c>
    </row>
    <row r="35" spans="1:26" ht="15.75" customHeight="1">
      <c r="A35" s="220"/>
      <c r="B35" s="137"/>
      <c r="C35" s="137"/>
      <c r="D35" s="136"/>
      <c r="E35" s="137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 t="str">
        <f>IF(B35="","",SUMIFS('PR-BOM'!$D$3:$D995,'PR-BOM'!$C$3:$C995,C35,'PR-BOM'!$B$3:$B995,B35))</f>
        <v/>
      </c>
    </row>
    <row r="36" spans="1:26" ht="15.75" customHeight="1">
      <c r="A36" s="220"/>
      <c r="B36" s="137"/>
      <c r="C36" s="137"/>
      <c r="D36" s="136"/>
      <c r="E36" s="137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 t="str">
        <f>IF(B36="","",SUMIFS('PR-BOM'!$D$3:$D995,'PR-BOM'!$C$3:$C995,C36,'PR-BOM'!$B$3:$B995,B36))</f>
        <v/>
      </c>
    </row>
    <row r="37" spans="1:26" ht="15.75" customHeight="1">
      <c r="A37" s="220"/>
      <c r="B37" s="137"/>
      <c r="C37" s="137"/>
      <c r="D37" s="136"/>
      <c r="E37" s="137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 t="str">
        <f>IF(B37="","",SUMIFS('PR-BOM'!$D$3:$D995,'PR-BOM'!$C$3:$C995,C37,'PR-BOM'!$B$3:$B995,B37))</f>
        <v/>
      </c>
    </row>
    <row r="38" spans="1:26" ht="15.75" customHeight="1">
      <c r="A38" s="220"/>
      <c r="B38" s="137"/>
      <c r="C38" s="137"/>
      <c r="D38" s="136"/>
      <c r="E38" s="137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 t="str">
        <f>IF(B38="","",SUMIFS('PR-BOM'!$D$3:$D995,'PR-BOM'!$C$3:$C995,C38,'PR-BOM'!$B$3:$B995,B38))</f>
        <v/>
      </c>
    </row>
    <row r="39" spans="1:26" ht="15.75" customHeight="1">
      <c r="A39" s="220"/>
      <c r="B39" s="137"/>
      <c r="C39" s="137"/>
      <c r="D39" s="136"/>
      <c r="E39" s="137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 t="str">
        <f>IF(B39="","",SUMIFS('PR-BOM'!$D$3:$D995,'PR-BOM'!$C$3:$C995,C39,'PR-BOM'!$B$3:$B995,B39))</f>
        <v/>
      </c>
    </row>
    <row r="40" spans="1:26" ht="15.75" customHeight="1">
      <c r="A40" s="220"/>
      <c r="B40" s="137"/>
      <c r="C40" s="137"/>
      <c r="D40" s="136"/>
      <c r="E40" s="137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 t="str">
        <f>IF(B40="","",SUMIFS('PR-BOM'!$D$3:$D995,'PR-BOM'!$C$3:$C995,C40,'PR-BOM'!$B$3:$B995,B40))</f>
        <v/>
      </c>
    </row>
    <row r="41" spans="1:26" ht="15.75" customHeight="1">
      <c r="A41" s="220"/>
      <c r="B41" s="137"/>
      <c r="C41" s="137"/>
      <c r="D41" s="136"/>
      <c r="E41" s="137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 t="str">
        <f>IF(B41="","",SUMIFS('PR-BOM'!$D$3:$D995,'PR-BOM'!$C$3:$C995,C41,'PR-BOM'!$B$3:$B995,B41))</f>
        <v/>
      </c>
    </row>
    <row r="42" spans="1:26" ht="15.75" customHeight="1">
      <c r="A42" s="220"/>
      <c r="B42" s="137"/>
      <c r="C42" s="137"/>
      <c r="D42" s="136"/>
      <c r="E42" s="137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 t="str">
        <f>IF(B42="","",SUMIFS('PR-BOM'!$D$3:$D995,'PR-BOM'!$C$3:$C995,C42,'PR-BOM'!$B$3:$B995,B42))</f>
        <v/>
      </c>
    </row>
    <row r="43" spans="1:26" ht="15.75" customHeight="1">
      <c r="A43" s="220"/>
      <c r="B43" s="137"/>
      <c r="C43" s="137"/>
      <c r="D43" s="136"/>
      <c r="E43" s="137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 t="str">
        <f>IF(B43="","",SUMIFS('PR-BOM'!$D$3:$D995,'PR-BOM'!$C$3:$C995,C43,'PR-BOM'!$B$3:$B995,B43))</f>
        <v/>
      </c>
    </row>
    <row r="44" spans="1:26" ht="15.75" customHeight="1">
      <c r="A44" s="220"/>
      <c r="B44" s="137"/>
      <c r="C44" s="137"/>
      <c r="D44" s="136"/>
      <c r="E44" s="137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 t="str">
        <f>IF(B44="","",SUMIFS('PR-BOM'!$D$3:$D995,'PR-BOM'!$C$3:$C995,C44,'PR-BOM'!$B$3:$B995,B44))</f>
        <v/>
      </c>
    </row>
    <row r="45" spans="1:26" ht="15.75" customHeight="1">
      <c r="A45" s="220"/>
      <c r="B45" s="137"/>
      <c r="C45" s="137"/>
      <c r="D45" s="136"/>
      <c r="E45" s="137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 t="str">
        <f>IF(B45="","",SUMIFS('PR-BOM'!$D$3:$D995,'PR-BOM'!$C$3:$C995,C45,'PR-BOM'!$B$3:$B995,B45))</f>
        <v/>
      </c>
    </row>
    <row r="46" spans="1:26" ht="15.75" customHeight="1">
      <c r="A46" s="220"/>
      <c r="B46" s="137"/>
      <c r="C46" s="137"/>
      <c r="D46" s="136"/>
      <c r="E46" s="137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 t="str">
        <f>IF(B46="","",SUMIFS('PR-BOM'!$D$3:$D995,'PR-BOM'!$C$3:$C995,C46,'PR-BOM'!$B$3:$B995,B46))</f>
        <v/>
      </c>
    </row>
    <row r="47" spans="1:26" ht="15.75" customHeight="1">
      <c r="A47" s="220"/>
      <c r="B47" s="137"/>
      <c r="C47" s="137"/>
      <c r="D47" s="136"/>
      <c r="E47" s="137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 t="str">
        <f>IF(B47="","",SUMIFS('PR-BOM'!$D$3:$D995,'PR-BOM'!$C$3:$C995,C47,'PR-BOM'!$B$3:$B995,B47))</f>
        <v/>
      </c>
    </row>
    <row r="48" spans="1:26" ht="15.75" customHeight="1">
      <c r="A48" s="220"/>
      <c r="B48" s="137"/>
      <c r="C48" s="137"/>
      <c r="D48" s="136"/>
      <c r="E48" s="137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 t="str">
        <f>IF(B48="","",SUMIFS('PR-BOM'!$D$3:$D995,'PR-BOM'!$C$3:$C995,C48,'PR-BOM'!$B$3:$B995,B48))</f>
        <v/>
      </c>
    </row>
    <row r="49" spans="1:26" ht="15.75" customHeight="1">
      <c r="A49" s="220"/>
      <c r="B49" s="137"/>
      <c r="C49" s="137"/>
      <c r="D49" s="136"/>
      <c r="E49" s="137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 t="str">
        <f>IF(B49="","",SUMIFS('PR-BOM'!$D$3:$D995,'PR-BOM'!$C$3:$C995,C49,'PR-BOM'!$B$3:$B995,B49))</f>
        <v/>
      </c>
    </row>
    <row r="50" spans="1:26" ht="15.75" customHeight="1">
      <c r="A50" s="220"/>
      <c r="B50" s="137"/>
      <c r="C50" s="137"/>
      <c r="D50" s="136"/>
      <c r="E50" s="137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 t="str">
        <f>IF(B50="","",SUMIFS('PR-BOM'!$D$3:$D995,'PR-BOM'!$C$3:$C995,C50,'PR-BOM'!$B$3:$B995,B50))</f>
        <v/>
      </c>
    </row>
    <row r="51" spans="1:26" ht="15.75" customHeight="1">
      <c r="A51" s="220"/>
      <c r="B51" s="137"/>
      <c r="C51" s="137"/>
      <c r="D51" s="136"/>
      <c r="E51" s="137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 t="str">
        <f>IF(B51="","",SUMIFS('PR-BOM'!$D$3:$D995,'PR-BOM'!$C$3:$C995,C51,'PR-BOM'!$B$3:$B995,B51))</f>
        <v/>
      </c>
    </row>
    <row r="52" spans="1:26" ht="15.75" customHeight="1">
      <c r="A52" s="220"/>
      <c r="B52" s="137"/>
      <c r="C52" s="137"/>
      <c r="D52" s="136"/>
      <c r="E52" s="137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 t="str">
        <f>IF(B52="","",SUMIFS('PR-BOM'!$D$3:$D995,'PR-BOM'!$C$3:$C995,C52,'PR-BOM'!$B$3:$B995,B52))</f>
        <v/>
      </c>
    </row>
    <row r="53" spans="1:26" ht="15.75" customHeight="1">
      <c r="A53" s="220"/>
      <c r="B53" s="137"/>
      <c r="C53" s="137"/>
      <c r="D53" s="136"/>
      <c r="E53" s="137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 t="str">
        <f>IF(B53="","",SUMIFS('PR-BOM'!$D$3:$D995,'PR-BOM'!$C$3:$C995,C53,'PR-BOM'!$B$3:$B995,B53))</f>
        <v/>
      </c>
    </row>
    <row r="54" spans="1:26" ht="15.75" customHeight="1">
      <c r="A54" s="220"/>
      <c r="B54" s="137"/>
      <c r="C54" s="137"/>
      <c r="D54" s="136"/>
      <c r="E54" s="137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 t="str">
        <f>IF(B54="","",SUMIFS('PR-BOM'!$D$3:$D995,'PR-BOM'!$C$3:$C995,C54,'PR-BOM'!$B$3:$B995,B54))</f>
        <v/>
      </c>
    </row>
    <row r="55" spans="1:26" ht="15.75" customHeight="1">
      <c r="A55" s="220"/>
      <c r="B55" s="137"/>
      <c r="C55" s="137"/>
      <c r="D55" s="136"/>
      <c r="E55" s="137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 t="str">
        <f>IF(B55="","",SUMIFS('PR-BOM'!$D$3:$D995,'PR-BOM'!$C$3:$C995,C55,'PR-BOM'!$B$3:$B995,B55))</f>
        <v/>
      </c>
    </row>
    <row r="56" spans="1:26" ht="15.75" customHeight="1">
      <c r="A56" s="220"/>
      <c r="B56" s="137"/>
      <c r="C56" s="137"/>
      <c r="D56" s="136"/>
      <c r="E56" s="137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 t="str">
        <f>IF(B56="","",SUMIFS('PR-BOM'!$D$3:$D995,'PR-BOM'!$C$3:$C995,C56,'PR-BOM'!$B$3:$B995,B56))</f>
        <v/>
      </c>
    </row>
    <row r="57" spans="1:26" ht="15.75" customHeight="1">
      <c r="A57" s="220"/>
      <c r="B57" s="137"/>
      <c r="C57" s="137"/>
      <c r="D57" s="136"/>
      <c r="E57" s="137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 t="str">
        <f>IF(B57="","",SUMIFS('PR-BOM'!$D$3:$D995,'PR-BOM'!$C$3:$C995,C57,'PR-BOM'!$B$3:$B995,B57))</f>
        <v/>
      </c>
    </row>
    <row r="58" spans="1:26" ht="15.75" customHeight="1">
      <c r="A58" s="220"/>
      <c r="B58" s="137"/>
      <c r="C58" s="137"/>
      <c r="D58" s="136"/>
      <c r="E58" s="137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 t="str">
        <f>IF(B58="","",SUMIFS('PR-BOM'!$D$3:$D995,'PR-BOM'!$C$3:$C995,C58,'PR-BOM'!$B$3:$B995,B58))</f>
        <v/>
      </c>
    </row>
    <row r="59" spans="1:26" ht="15.75" customHeight="1">
      <c r="A59" s="220"/>
      <c r="B59" s="137"/>
      <c r="C59" s="137"/>
      <c r="D59" s="136"/>
      <c r="E59" s="137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 t="str">
        <f>IF(B59="","",SUMIFS('PR-BOM'!$D$3:$D995,'PR-BOM'!$C$3:$C995,C59,'PR-BOM'!$B$3:$B995,B59))</f>
        <v/>
      </c>
    </row>
    <row r="60" spans="1:26" ht="15.75" customHeight="1">
      <c r="A60" s="220"/>
      <c r="B60" s="137"/>
      <c r="C60" s="137"/>
      <c r="D60" s="136"/>
      <c r="E60" s="137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 t="str">
        <f>IF(B60="","",SUMIFS('PR-BOM'!$D$3:$D995,'PR-BOM'!$C$3:$C995,C60,'PR-BOM'!$B$3:$B995,B60))</f>
        <v/>
      </c>
    </row>
    <row r="61" spans="1:26" ht="15.75" customHeight="1">
      <c r="A61" s="220"/>
      <c r="B61" s="137"/>
      <c r="C61" s="137"/>
      <c r="D61" s="136"/>
      <c r="E61" s="137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 t="str">
        <f>IF(B61="","",SUMIFS('PR-BOM'!$D$3:$D995,'PR-BOM'!$C$3:$C995,C61,'PR-BOM'!$B$3:$B995,B61))</f>
        <v/>
      </c>
    </row>
    <row r="62" spans="1:26" ht="15.75" customHeight="1">
      <c r="A62" s="220"/>
      <c r="B62" s="137"/>
      <c r="C62" s="137"/>
      <c r="D62" s="136"/>
      <c r="E62" s="137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 t="str">
        <f>IF(B62="","",SUMIFS('PR-BOM'!$D$3:$D995,'PR-BOM'!$C$3:$C995,C62,'PR-BOM'!$B$3:$B995,B62))</f>
        <v/>
      </c>
    </row>
    <row r="63" spans="1:26" ht="15.75" customHeight="1">
      <c r="A63" s="220"/>
      <c r="B63" s="137"/>
      <c r="C63" s="137"/>
      <c r="D63" s="136"/>
      <c r="E63" s="137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 t="str">
        <f>IF(B63="","",SUMIFS('PR-BOM'!$D$3:$D995,'PR-BOM'!$C$3:$C995,C63,'PR-BOM'!$B$3:$B995,B63))</f>
        <v/>
      </c>
    </row>
    <row r="64" spans="1:26" ht="15.75" customHeight="1">
      <c r="A64" s="220"/>
      <c r="B64" s="137"/>
      <c r="C64" s="137"/>
      <c r="D64" s="136"/>
      <c r="E64" s="137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 t="str">
        <f>IF(B64="","",SUMIFS('PR-BOM'!$D$3:$D995,'PR-BOM'!$C$3:$C995,C64,'PR-BOM'!$B$3:$B995,B64))</f>
        <v/>
      </c>
    </row>
    <row r="65" spans="1:26" ht="15.75" customHeight="1">
      <c r="A65" s="220"/>
      <c r="B65" s="137"/>
      <c r="C65" s="137"/>
      <c r="D65" s="136"/>
      <c r="E65" s="137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 t="str">
        <f>IF(B65="","",SUMIFS('PR-BOM'!$D$3:$D995,'PR-BOM'!$C$3:$C995,C65,'PR-BOM'!$B$3:$B995,B65))</f>
        <v/>
      </c>
    </row>
    <row r="66" spans="1:26" ht="15.75" customHeight="1">
      <c r="A66" s="220"/>
      <c r="B66" s="137"/>
      <c r="C66" s="137"/>
      <c r="D66" s="136"/>
      <c r="E66" s="137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 t="str">
        <f>IF(B66="","",SUMIFS('PR-BOM'!$D$3:$D995,'PR-BOM'!$C$3:$C995,C66,'PR-BOM'!$B$3:$B995,B66))</f>
        <v/>
      </c>
    </row>
    <row r="67" spans="1:26" ht="15.75" customHeight="1">
      <c r="A67" s="220"/>
      <c r="B67" s="137"/>
      <c r="C67" s="137"/>
      <c r="D67" s="136"/>
      <c r="E67" s="137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 t="str">
        <f>IF(B67="","",SUMIFS('PR-BOM'!$D$3:$D995,'PR-BOM'!$C$3:$C995,C67,'PR-BOM'!$B$3:$B995,B67))</f>
        <v/>
      </c>
    </row>
    <row r="68" spans="1:26" ht="15.75" customHeight="1">
      <c r="A68" s="220"/>
      <c r="B68" s="137"/>
      <c r="C68" s="137"/>
      <c r="D68" s="136"/>
      <c r="E68" s="137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 t="str">
        <f>IF(B68="","",SUMIFS('PR-BOM'!$D$3:$D995,'PR-BOM'!$C$3:$C995,C68,'PR-BOM'!$B$3:$B995,B68))</f>
        <v/>
      </c>
    </row>
    <row r="69" spans="1:26" ht="15.75" customHeight="1">
      <c r="A69" s="220"/>
      <c r="B69" s="137"/>
      <c r="C69" s="137"/>
      <c r="D69" s="136"/>
      <c r="E69" s="137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 t="str">
        <f>IF(B69="","",SUMIFS('PR-BOM'!$D$3:$D995,'PR-BOM'!$C$3:$C995,C69,'PR-BOM'!$B$3:$B995,B69))</f>
        <v/>
      </c>
    </row>
    <row r="70" spans="1:26" ht="15.75" customHeight="1">
      <c r="A70" s="220"/>
      <c r="B70" s="137"/>
      <c r="C70" s="137"/>
      <c r="D70" s="136"/>
      <c r="E70" s="137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 t="str">
        <f>IF(B70="","",SUMIFS('PR-BOM'!$D$3:$D995,'PR-BOM'!$C$3:$C995,C70,'PR-BOM'!$B$3:$B995,B70))</f>
        <v/>
      </c>
    </row>
    <row r="71" spans="1:26" ht="15.75" customHeight="1">
      <c r="A71" s="220"/>
      <c r="B71" s="137"/>
      <c r="C71" s="137"/>
      <c r="D71" s="136"/>
      <c r="E71" s="137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 t="str">
        <f>IF(B71="","",SUMIFS('PR-BOM'!$D$3:$D995,'PR-BOM'!$C$3:$C995,C71,'PR-BOM'!$B$3:$B995,B71))</f>
        <v/>
      </c>
    </row>
    <row r="72" spans="1:26" ht="15.75" customHeight="1">
      <c r="A72" s="220"/>
      <c r="B72" s="137"/>
      <c r="C72" s="137"/>
      <c r="D72" s="136"/>
      <c r="E72" s="137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 t="str">
        <f>IF(B72="","",SUMIFS('PR-BOM'!$D$3:$D995,'PR-BOM'!$C$3:$C995,C72,'PR-BOM'!$B$3:$B995,B72))</f>
        <v/>
      </c>
    </row>
    <row r="73" spans="1:26" ht="15.75" customHeight="1">
      <c r="A73" s="220"/>
      <c r="B73" s="137"/>
      <c r="C73" s="137"/>
      <c r="D73" s="136"/>
      <c r="E73" s="137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 t="str">
        <f>IF(B73="","",SUMIFS('PR-BOM'!$D$3:$D995,'PR-BOM'!$C$3:$C995,C73,'PR-BOM'!$B$3:$B995,B73))</f>
        <v/>
      </c>
    </row>
    <row r="74" spans="1:26" ht="15.75" customHeight="1">
      <c r="A74" s="220"/>
      <c r="B74" s="137"/>
      <c r="C74" s="137"/>
      <c r="D74" s="136"/>
      <c r="E74" s="137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 t="str">
        <f>IF(B74="","",SUMIFS('PR-BOM'!$D$3:$D995,'PR-BOM'!$C$3:$C995,C74,'PR-BOM'!$B$3:$B995,B74))</f>
        <v/>
      </c>
    </row>
    <row r="75" spans="1:26" ht="15.75" customHeight="1">
      <c r="A75" s="220"/>
      <c r="B75" s="137"/>
      <c r="C75" s="137"/>
      <c r="D75" s="136"/>
      <c r="E75" s="137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 t="str">
        <f>IF(B75="","",SUMIFS('PR-BOM'!$D$3:$D995,'PR-BOM'!$C$3:$C995,C75,'PR-BOM'!$B$3:$B995,B75))</f>
        <v/>
      </c>
    </row>
    <row r="76" spans="1:26" ht="15.75" customHeight="1">
      <c r="A76" s="220"/>
      <c r="B76" s="137"/>
      <c r="C76" s="137"/>
      <c r="D76" s="136"/>
      <c r="E76" s="137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 t="str">
        <f>IF(B76="","",SUMIFS('PR-BOM'!$D$3:$D995,'PR-BOM'!$C$3:$C995,C76,'PR-BOM'!$B$3:$B995,B76))</f>
        <v/>
      </c>
    </row>
    <row r="77" spans="1:26" ht="15.75" customHeight="1">
      <c r="A77" s="220"/>
      <c r="B77" s="137"/>
      <c r="C77" s="137"/>
      <c r="D77" s="136"/>
      <c r="E77" s="137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 t="str">
        <f>IF(B77="","",SUMIFS('PR-BOM'!$D$3:$D995,'PR-BOM'!$C$3:$C995,C77,'PR-BOM'!$B$3:$B995,B77))</f>
        <v/>
      </c>
    </row>
    <row r="78" spans="1:26" ht="15.75" customHeight="1">
      <c r="A78" s="220"/>
      <c r="B78" s="137"/>
      <c r="C78" s="137"/>
      <c r="D78" s="136"/>
      <c r="E78" s="137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 t="str">
        <f>IF(B78="","",SUMIFS('PR-BOM'!$D$3:$D995,'PR-BOM'!$C$3:$C995,C78,'PR-BOM'!$B$3:$B995,B78))</f>
        <v/>
      </c>
    </row>
    <row r="79" spans="1:26" ht="15.75" customHeight="1">
      <c r="A79" s="220"/>
      <c r="B79" s="137"/>
      <c r="C79" s="137"/>
      <c r="D79" s="136"/>
      <c r="E79" s="137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 t="str">
        <f>IF(B79="","",SUMIFS('PR-BOM'!$D$3:$D995,'PR-BOM'!$C$3:$C995,C79,'PR-BOM'!$B$3:$B995,B79))</f>
        <v/>
      </c>
    </row>
    <row r="80" spans="1:26" ht="15.75" customHeight="1">
      <c r="A80" s="220"/>
      <c r="B80" s="137"/>
      <c r="C80" s="137"/>
      <c r="D80" s="136"/>
      <c r="E80" s="137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 t="str">
        <f>IF(B80="","",SUMIFS('PR-BOM'!$D$3:$D995,'PR-BOM'!$C$3:$C995,C80,'PR-BOM'!$B$3:$B995,B80))</f>
        <v/>
      </c>
    </row>
    <row r="81" spans="1:26" ht="15.75" customHeight="1">
      <c r="A81" s="220"/>
      <c r="B81" s="137"/>
      <c r="C81" s="137"/>
      <c r="D81" s="136"/>
      <c r="E81" s="137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 t="str">
        <f>IF(B81="","",SUMIFS('PR-BOM'!$D$3:$D995,'PR-BOM'!$C$3:$C995,C81,'PR-BOM'!$B$3:$B995,B81))</f>
        <v/>
      </c>
    </row>
    <row r="82" spans="1:26" ht="15.75" customHeight="1">
      <c r="A82" s="220"/>
      <c r="B82" s="137"/>
      <c r="C82" s="137"/>
      <c r="D82" s="136"/>
      <c r="E82" s="137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 t="str">
        <f>IF(B82="","",SUMIFS('PR-BOM'!$D$3:$D995,'PR-BOM'!$C$3:$C995,C82,'PR-BOM'!$B$3:$B995,B82))</f>
        <v/>
      </c>
    </row>
    <row r="83" spans="1:26" ht="15.75" customHeight="1">
      <c r="A83" s="220"/>
      <c r="B83" s="137"/>
      <c r="C83" s="137"/>
      <c r="D83" s="136"/>
      <c r="E83" s="137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 t="str">
        <f>IF(B83="","",SUMIFS('PR-BOM'!$D$3:$D995,'PR-BOM'!$C$3:$C995,C83,'PR-BOM'!$B$3:$B995,B83))</f>
        <v/>
      </c>
    </row>
    <row r="84" spans="1:26" ht="15.75" customHeight="1">
      <c r="A84" s="220"/>
      <c r="B84" s="137"/>
      <c r="C84" s="137"/>
      <c r="D84" s="136"/>
      <c r="E84" s="137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 t="str">
        <f>IF(B84="","",SUMIFS('PR-BOM'!$D$3:$D995,'PR-BOM'!$C$3:$C995,C84,'PR-BOM'!$B$3:$B995,B84))</f>
        <v/>
      </c>
    </row>
    <row r="85" spans="1:26" ht="15.75" customHeight="1">
      <c r="A85" s="220"/>
      <c r="B85" s="137"/>
      <c r="C85" s="137"/>
      <c r="D85" s="136"/>
      <c r="E85" s="137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 t="str">
        <f>IF(B85="","",SUMIFS('PR-BOM'!$D$3:$D995,'PR-BOM'!$C$3:$C995,C85,'PR-BOM'!$B$3:$B995,B85))</f>
        <v/>
      </c>
    </row>
    <row r="86" spans="1:26" ht="15.75" customHeight="1">
      <c r="A86" s="220"/>
      <c r="B86" s="137"/>
      <c r="C86" s="137"/>
      <c r="D86" s="136"/>
      <c r="E86" s="137"/>
      <c r="F86" s="133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 t="str">
        <f>IF(B86="","",SUMIFS('PR-BOM'!$D$3:$D995,'PR-BOM'!$C$3:$C995,C86,'PR-BOM'!$B$3:$B995,B86))</f>
        <v/>
      </c>
    </row>
    <row r="87" spans="1:26" ht="15.75" customHeight="1">
      <c r="A87" s="220"/>
      <c r="B87" s="137"/>
      <c r="C87" s="137"/>
      <c r="D87" s="136"/>
      <c r="E87" s="137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 t="str">
        <f>IF(B87="","",SUMIFS('PR-BOM'!$D$3:$D995,'PR-BOM'!$C$3:$C995,C87,'PR-BOM'!$B$3:$B995,B87))</f>
        <v/>
      </c>
    </row>
    <row r="88" spans="1:26" ht="15.75" customHeight="1">
      <c r="A88" s="220"/>
      <c r="B88" s="137"/>
      <c r="C88" s="137"/>
      <c r="D88" s="136"/>
      <c r="E88" s="137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 t="str">
        <f>IF(B88="","",SUMIFS('PR-BOM'!$D$3:$D995,'PR-BOM'!$C$3:$C995,C88,'PR-BOM'!$B$3:$B995,B88))</f>
        <v/>
      </c>
    </row>
    <row r="89" spans="1:26" ht="15.75" customHeight="1">
      <c r="A89" s="220"/>
      <c r="B89" s="137"/>
      <c r="C89" s="137"/>
      <c r="D89" s="136"/>
      <c r="E89" s="137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 t="str">
        <f>IF(B89="","",SUMIFS('PR-BOM'!$D$3:$D995,'PR-BOM'!$C$3:$C995,C89,'PR-BOM'!$B$3:$B995,B89))</f>
        <v/>
      </c>
    </row>
    <row r="90" spans="1:26" ht="15.75" customHeight="1">
      <c r="A90" s="220"/>
      <c r="B90" s="137"/>
      <c r="C90" s="137"/>
      <c r="D90" s="136"/>
      <c r="E90" s="137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 t="str">
        <f>IF(B90="","",SUMIFS('PR-BOM'!$D$3:$D995,'PR-BOM'!$C$3:$C995,C90,'PR-BOM'!$B$3:$B995,B90))</f>
        <v/>
      </c>
    </row>
    <row r="91" spans="1:26" ht="15.75" customHeight="1">
      <c r="A91" s="220"/>
      <c r="B91" s="137"/>
      <c r="C91" s="137"/>
      <c r="D91" s="136"/>
      <c r="E91" s="137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 t="str">
        <f>IF(B91="","",SUMIFS('PR-BOM'!$D$3:$D995,'PR-BOM'!$C$3:$C995,C91,'PR-BOM'!$B$3:$B995,B91))</f>
        <v/>
      </c>
    </row>
    <row r="92" spans="1:26" ht="15.75" customHeight="1">
      <c r="A92" s="220"/>
      <c r="B92" s="137"/>
      <c r="C92" s="137"/>
      <c r="D92" s="136"/>
      <c r="E92" s="137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 t="str">
        <f>IF(B92="","",SUMIFS('PR-BOM'!$D$3:$D995,'PR-BOM'!$C$3:$C995,C92,'PR-BOM'!$B$3:$B995,B92))</f>
        <v/>
      </c>
    </row>
    <row r="93" spans="1:26" ht="15.75" customHeight="1">
      <c r="A93" s="220"/>
      <c r="B93" s="137"/>
      <c r="C93" s="137"/>
      <c r="D93" s="136"/>
      <c r="E93" s="137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 t="str">
        <f>IF(B93="","",SUMIFS('PR-BOM'!$D$3:$D995,'PR-BOM'!$C$3:$C995,C93,'PR-BOM'!$B$3:$B995,B93))</f>
        <v/>
      </c>
    </row>
    <row r="94" spans="1:26" ht="15.75" customHeight="1">
      <c r="A94" s="220"/>
      <c r="B94" s="137"/>
      <c r="C94" s="137"/>
      <c r="D94" s="136"/>
      <c r="E94" s="137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 t="str">
        <f>IF(B94="","",SUMIFS('PR-BOM'!$D$3:$D995,'PR-BOM'!$C$3:$C995,C94,'PR-BOM'!$B$3:$B995,B94))</f>
        <v/>
      </c>
    </row>
    <row r="95" spans="1:26" ht="15.75" customHeight="1">
      <c r="A95" s="220"/>
      <c r="B95" s="137"/>
      <c r="C95" s="137"/>
      <c r="D95" s="136"/>
      <c r="E95" s="137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 t="str">
        <f>IF(B95="","",SUMIFS('PR-BOM'!$D$3:$D995,'PR-BOM'!$C$3:$C995,C95,'PR-BOM'!$B$3:$B995,B95))</f>
        <v/>
      </c>
    </row>
    <row r="96" spans="1:26" ht="15.75" customHeight="1">
      <c r="A96" s="220"/>
      <c r="B96" s="137"/>
      <c r="C96" s="137"/>
      <c r="D96" s="136"/>
      <c r="E96" s="137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 t="str">
        <f>IF(B96="","",SUMIFS('PR-BOM'!$D$3:$D995,'PR-BOM'!$C$3:$C995,C96,'PR-BOM'!$B$3:$B995,B96))</f>
        <v/>
      </c>
    </row>
    <row r="97" spans="1:26" ht="15.75" customHeight="1">
      <c r="A97" s="220"/>
      <c r="B97" s="137"/>
      <c r="C97" s="137"/>
      <c r="D97" s="136"/>
      <c r="E97" s="137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 t="str">
        <f>IF(B97="","",SUMIFS('PR-BOM'!$D$3:$D995,'PR-BOM'!$C$3:$C995,C97,'PR-BOM'!$B$3:$B995,B97))</f>
        <v/>
      </c>
    </row>
    <row r="98" spans="1:26" ht="15.75" customHeight="1">
      <c r="A98" s="220"/>
      <c r="B98" s="137"/>
      <c r="C98" s="137"/>
      <c r="D98" s="136"/>
      <c r="E98" s="137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 t="str">
        <f>IF(B98="","",SUMIFS('PR-BOM'!$D$3:$D995,'PR-BOM'!$C$3:$C995,C98,'PR-BOM'!$B$3:$B995,B98))</f>
        <v/>
      </c>
    </row>
    <row r="99" spans="1:26" ht="15.75" customHeight="1">
      <c r="A99" s="220"/>
      <c r="B99" s="137"/>
      <c r="C99" s="137"/>
      <c r="D99" s="136"/>
      <c r="E99" s="137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 t="str">
        <f>IF(B99="","",SUMIFS('PR-BOM'!$D$3:$D995,'PR-BOM'!$C$3:$C995,C99,'PR-BOM'!$B$3:$B995,B99))</f>
        <v/>
      </c>
    </row>
    <row r="100" spans="1:26" ht="15.75" customHeight="1">
      <c r="A100" s="220"/>
      <c r="B100" s="137"/>
      <c r="C100" s="137"/>
      <c r="D100" s="136"/>
      <c r="E100" s="137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 t="str">
        <f>IF(B100="","",SUMIFS('PR-BOM'!$D$3:$D995,'PR-BOM'!$C$3:$C995,C100,'PR-BOM'!$B$3:$B995,B100))</f>
        <v/>
      </c>
    </row>
    <row r="101" spans="1:26" ht="15.75" customHeight="1">
      <c r="A101" s="220"/>
      <c r="B101" s="137"/>
      <c r="C101" s="137"/>
      <c r="D101" s="136"/>
      <c r="E101" s="137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 t="str">
        <f>IF(B101="","",SUMIFS('PR-BOM'!$D$3:$D995,'PR-BOM'!$C$3:$C995,C101,'PR-BOM'!$B$3:$B995,B101))</f>
        <v/>
      </c>
    </row>
    <row r="102" spans="1:26" ht="15.75" customHeight="1">
      <c r="A102" s="220"/>
      <c r="B102" s="137"/>
      <c r="C102" s="137"/>
      <c r="D102" s="136"/>
      <c r="E102" s="137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 t="str">
        <f>IF(B102="","",SUMIFS('PR-BOM'!$D$3:$D995,'PR-BOM'!$C$3:$C995,C102,'PR-BOM'!$B$3:$B995,B102))</f>
        <v/>
      </c>
    </row>
    <row r="103" spans="1:26" ht="15.75" customHeight="1">
      <c r="A103" s="220"/>
      <c r="B103" s="137"/>
      <c r="C103" s="137"/>
      <c r="D103" s="136"/>
      <c r="E103" s="137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 t="str">
        <f>IF(B103="","",SUMIFS('PR-BOM'!$D$3:$D995,'PR-BOM'!$C$3:$C995,C103,'PR-BOM'!$B$3:$B995,B103))</f>
        <v/>
      </c>
    </row>
    <row r="104" spans="1:26" ht="15.75" customHeight="1">
      <c r="A104" s="220"/>
      <c r="B104" s="137"/>
      <c r="C104" s="137"/>
      <c r="D104" s="136"/>
      <c r="E104" s="137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 t="str">
        <f>IF(B104="","",SUMIFS('PR-BOM'!$D$3:$D995,'PR-BOM'!$C$3:$C995,C104,'PR-BOM'!$B$3:$B995,B104))</f>
        <v/>
      </c>
    </row>
    <row r="105" spans="1:26" ht="15.75" customHeight="1">
      <c r="A105" s="220"/>
      <c r="B105" s="137"/>
      <c r="C105" s="137"/>
      <c r="D105" s="136"/>
      <c r="E105" s="137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 t="str">
        <f>IF(B105="","",SUMIFS('PR-BOM'!$D$3:$D995,'PR-BOM'!$C$3:$C995,C105,'PR-BOM'!$B$3:$B995,B105))</f>
        <v/>
      </c>
    </row>
    <row r="106" spans="1:26" ht="15.75" customHeight="1">
      <c r="A106" s="220"/>
      <c r="B106" s="137"/>
      <c r="C106" s="137"/>
      <c r="D106" s="136"/>
      <c r="E106" s="137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 t="str">
        <f>IF(B106="","",SUMIFS('PR-BOM'!$D$3:$D995,'PR-BOM'!$C$3:$C995,C106,'PR-BOM'!$B$3:$B995,B106))</f>
        <v/>
      </c>
    </row>
    <row r="107" spans="1:26" ht="15.75" customHeight="1">
      <c r="A107" s="220"/>
      <c r="B107" s="137"/>
      <c r="C107" s="137"/>
      <c r="D107" s="136"/>
      <c r="E107" s="137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 t="str">
        <f>IF(B107="","",SUMIFS('PR-BOM'!$D$3:$D995,'PR-BOM'!$C$3:$C995,C107,'PR-BOM'!$B$3:$B995,B107))</f>
        <v/>
      </c>
    </row>
    <row r="108" spans="1:26" ht="15.75" customHeight="1">
      <c r="A108" s="220"/>
      <c r="B108" s="137"/>
      <c r="C108" s="137"/>
      <c r="D108" s="136"/>
      <c r="E108" s="137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 t="str">
        <f>IF(B108="","",SUMIFS('PR-BOM'!$D$3:$D995,'PR-BOM'!$C$3:$C995,C108,'PR-BOM'!$B$3:$B995,B108))</f>
        <v/>
      </c>
    </row>
    <row r="109" spans="1:26" ht="15.75" customHeight="1">
      <c r="A109" s="220"/>
      <c r="B109" s="137"/>
      <c r="C109" s="137"/>
      <c r="D109" s="136"/>
      <c r="E109" s="137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 t="str">
        <f>IF(B109="","",SUMIFS('PR-BOM'!$D$3:$D995,'PR-BOM'!$C$3:$C995,C109,'PR-BOM'!$B$3:$B995,B109))</f>
        <v/>
      </c>
    </row>
    <row r="110" spans="1:26" ht="15.75" customHeight="1">
      <c r="A110" s="220"/>
      <c r="B110" s="137"/>
      <c r="C110" s="137"/>
      <c r="D110" s="136"/>
      <c r="E110" s="137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 t="str">
        <f>IF(B110="","",SUMIFS('PR-BOM'!$D$3:$D995,'PR-BOM'!$C$3:$C995,C110,'PR-BOM'!$B$3:$B995,B110))</f>
        <v/>
      </c>
    </row>
    <row r="111" spans="1:26" ht="15.75" customHeight="1">
      <c r="A111" s="220"/>
      <c r="B111" s="137"/>
      <c r="C111" s="137"/>
      <c r="D111" s="136"/>
      <c r="E111" s="137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 t="str">
        <f>IF(B111="","",SUMIFS('PR-BOM'!$D$3:$D995,'PR-BOM'!$C$3:$C995,C111,'PR-BOM'!$B$3:$B995,B111))</f>
        <v/>
      </c>
    </row>
    <row r="112" spans="1:26" ht="15.75" customHeight="1">
      <c r="A112" s="220"/>
      <c r="B112" s="137"/>
      <c r="C112" s="137"/>
      <c r="D112" s="136"/>
      <c r="E112" s="137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 t="str">
        <f>IF(B112="","",SUMIFS('PR-BOM'!$D$3:$D995,'PR-BOM'!$C$3:$C995,C112,'PR-BOM'!$B$3:$B995,B112))</f>
        <v/>
      </c>
    </row>
    <row r="113" spans="1:26" ht="15.75" customHeight="1">
      <c r="A113" s="220"/>
      <c r="B113" s="137"/>
      <c r="C113" s="137"/>
      <c r="D113" s="136"/>
      <c r="E113" s="137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 t="str">
        <f>IF(B113="","",SUMIFS('PR-BOM'!$D$3:$D995,'PR-BOM'!$C$3:$C995,C113,'PR-BOM'!$B$3:$B995,B113))</f>
        <v/>
      </c>
    </row>
    <row r="114" spans="1:26" ht="15.75" customHeight="1">
      <c r="A114" s="220"/>
      <c r="B114" s="137"/>
      <c r="C114" s="137"/>
      <c r="D114" s="136"/>
      <c r="E114" s="137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 t="str">
        <f>IF(B114="","",SUMIFS('PR-BOM'!$D$3:$D995,'PR-BOM'!$C$3:$C995,C114,'PR-BOM'!$B$3:$B995,B114))</f>
        <v/>
      </c>
    </row>
    <row r="115" spans="1:26" ht="15.75" customHeight="1">
      <c r="A115" s="220"/>
      <c r="B115" s="137"/>
      <c r="C115" s="137"/>
      <c r="D115" s="136"/>
      <c r="E115" s="137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 t="str">
        <f>IF(B115="","",SUMIFS('PR-BOM'!$D$3:$D995,'PR-BOM'!$C$3:$C995,C115,'PR-BOM'!$B$3:$B995,B115))</f>
        <v/>
      </c>
    </row>
    <row r="116" spans="1:26" ht="15.75" customHeight="1">
      <c r="A116" s="220"/>
      <c r="B116" s="137"/>
      <c r="C116" s="137"/>
      <c r="D116" s="136"/>
      <c r="E116" s="137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 t="str">
        <f>IF(B116="","",SUMIFS('PR-BOM'!$D$3:$D995,'PR-BOM'!$C$3:$C995,C116,'PR-BOM'!$B$3:$B995,B116))</f>
        <v/>
      </c>
    </row>
    <row r="117" spans="1:26" ht="15.75" customHeight="1">
      <c r="A117" s="220"/>
      <c r="B117" s="137"/>
      <c r="C117" s="137"/>
      <c r="D117" s="136"/>
      <c r="E117" s="137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 t="str">
        <f>IF(B117="","",SUMIFS('PR-BOM'!$D$3:$D995,'PR-BOM'!$C$3:$C995,C117,'PR-BOM'!$B$3:$B995,B117))</f>
        <v/>
      </c>
    </row>
    <row r="118" spans="1:26" ht="15.75" customHeight="1">
      <c r="A118" s="220"/>
      <c r="B118" s="137"/>
      <c r="C118" s="137"/>
      <c r="D118" s="136"/>
      <c r="E118" s="137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 t="str">
        <f>IF(B118="","",SUMIFS('PR-BOM'!$D$3:$D995,'PR-BOM'!$C$3:$C995,C118,'PR-BOM'!$B$3:$B995,B118))</f>
        <v/>
      </c>
    </row>
    <row r="119" spans="1:26" ht="15.75" customHeight="1">
      <c r="A119" s="220"/>
      <c r="B119" s="137"/>
      <c r="C119" s="137"/>
      <c r="D119" s="136"/>
      <c r="E119" s="137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 t="str">
        <f>IF(B119="","",SUMIFS('PR-BOM'!$D$3:$D995,'PR-BOM'!$C$3:$C995,C119,'PR-BOM'!$B$3:$B995,B119))</f>
        <v/>
      </c>
    </row>
    <row r="120" spans="1:26" ht="15.75" customHeight="1">
      <c r="A120" s="220"/>
      <c r="B120" s="137"/>
      <c r="C120" s="137"/>
      <c r="D120" s="136"/>
      <c r="E120" s="137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 t="str">
        <f>IF(B120="","",SUMIFS('PR-BOM'!$D$3:$D995,'PR-BOM'!$C$3:$C995,C120,'PR-BOM'!$B$3:$B995,B120))</f>
        <v/>
      </c>
    </row>
    <row r="121" spans="1:26" ht="15.75" customHeight="1">
      <c r="A121" s="220"/>
      <c r="B121" s="137"/>
      <c r="C121" s="137"/>
      <c r="D121" s="136"/>
      <c r="E121" s="137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 t="str">
        <f>IF(B121="","",SUMIFS('PR-BOM'!$D$3:$D995,'PR-BOM'!$C$3:$C995,C121,'PR-BOM'!$B$3:$B995,B121))</f>
        <v/>
      </c>
    </row>
    <row r="122" spans="1:26" ht="15.75" customHeight="1">
      <c r="A122" s="220"/>
      <c r="B122" s="137"/>
      <c r="C122" s="137"/>
      <c r="D122" s="136"/>
      <c r="E122" s="137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 t="str">
        <f>IF(B122="","",SUMIFS('PR-BOM'!$D$3:$D995,'PR-BOM'!$C$3:$C995,C122,'PR-BOM'!$B$3:$B995,B122))</f>
        <v/>
      </c>
    </row>
    <row r="123" spans="1:26" ht="15.75" customHeight="1">
      <c r="A123" s="220"/>
      <c r="B123" s="137"/>
      <c r="C123" s="137"/>
      <c r="D123" s="136"/>
      <c r="E123" s="137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 t="str">
        <f>IF(B123="","",SUMIFS('PR-BOM'!$D$3:$D995,'PR-BOM'!$C$3:$C995,C123,'PR-BOM'!$B$3:$B995,B123))</f>
        <v/>
      </c>
    </row>
    <row r="124" spans="1:26" ht="15.75" customHeight="1">
      <c r="A124" s="220"/>
      <c r="B124" s="137"/>
      <c r="C124" s="137"/>
      <c r="D124" s="136"/>
      <c r="E124" s="137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 t="str">
        <f>IF(B124="","",SUMIFS('PR-BOM'!$D$3:$D995,'PR-BOM'!$C$3:$C995,C124,'PR-BOM'!$B$3:$B995,B124))</f>
        <v/>
      </c>
    </row>
    <row r="125" spans="1:26" ht="15.75" customHeight="1">
      <c r="A125" s="220"/>
      <c r="B125" s="137"/>
      <c r="C125" s="137"/>
      <c r="D125" s="136"/>
      <c r="E125" s="137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 t="str">
        <f>IF(B125="","",SUMIFS('PR-BOM'!$D$3:$D995,'PR-BOM'!$C$3:$C995,C125,'PR-BOM'!$B$3:$B995,B125))</f>
        <v/>
      </c>
    </row>
    <row r="126" spans="1:26" ht="15.75" customHeight="1">
      <c r="A126" s="220"/>
      <c r="B126" s="137"/>
      <c r="C126" s="137"/>
      <c r="D126" s="136"/>
      <c r="E126" s="137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 t="str">
        <f>IF(B126="","",SUMIFS('PR-BOM'!$D$3:$D995,'PR-BOM'!$C$3:$C995,C126,'PR-BOM'!$B$3:$B995,B126))</f>
        <v/>
      </c>
    </row>
    <row r="127" spans="1:26" ht="15.75" customHeight="1">
      <c r="A127" s="220"/>
      <c r="B127" s="137"/>
      <c r="C127" s="137"/>
      <c r="D127" s="136"/>
      <c r="E127" s="137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 t="str">
        <f>IF(B127="","",SUMIFS('PR-BOM'!$D$3:$D995,'PR-BOM'!$C$3:$C995,C127,'PR-BOM'!$B$3:$B995,B127))</f>
        <v/>
      </c>
    </row>
    <row r="128" spans="1:26" ht="15.75" customHeight="1">
      <c r="A128" s="220"/>
      <c r="B128" s="137"/>
      <c r="C128" s="137"/>
      <c r="D128" s="136"/>
      <c r="E128" s="137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 t="str">
        <f>IF(B128="","",SUMIFS('PR-BOM'!$D$3:$D995,'PR-BOM'!$C$3:$C995,C128,'PR-BOM'!$B$3:$B995,B128))</f>
        <v/>
      </c>
    </row>
    <row r="129" spans="1:26" ht="15.75" customHeight="1">
      <c r="A129" s="220"/>
      <c r="B129" s="137"/>
      <c r="C129" s="137"/>
      <c r="D129" s="136"/>
      <c r="E129" s="137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 t="str">
        <f>IF(B129="","",SUMIFS('PR-BOM'!$D$3:$D995,'PR-BOM'!$C$3:$C995,C129,'PR-BOM'!$B$3:$B995,B129))</f>
        <v/>
      </c>
    </row>
    <row r="130" spans="1:26" ht="15.75" customHeight="1">
      <c r="A130" s="220"/>
      <c r="B130" s="137"/>
      <c r="C130" s="137"/>
      <c r="D130" s="136"/>
      <c r="E130" s="137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 t="str">
        <f>IF(B130="","",SUMIFS('PR-BOM'!$D$3:$D995,'PR-BOM'!$C$3:$C995,C130,'PR-BOM'!$B$3:$B995,B130))</f>
        <v/>
      </c>
    </row>
    <row r="131" spans="1:26" ht="15.75" customHeight="1">
      <c r="A131" s="220"/>
      <c r="B131" s="137"/>
      <c r="C131" s="137"/>
      <c r="D131" s="136"/>
      <c r="E131" s="137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 t="str">
        <f>IF(B131="","",SUMIFS('PR-BOM'!$D$3:$D995,'PR-BOM'!$C$3:$C995,C131,'PR-BOM'!$B$3:$B995,B131))</f>
        <v/>
      </c>
    </row>
    <row r="132" spans="1:26" ht="15.75" customHeight="1">
      <c r="A132" s="220"/>
      <c r="B132" s="137"/>
      <c r="C132" s="137"/>
      <c r="D132" s="136"/>
      <c r="E132" s="137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 t="str">
        <f>IF(B132="","",SUMIFS('PR-BOM'!$D$3:$D995,'PR-BOM'!$C$3:$C995,C132,'PR-BOM'!$B$3:$B995,B132))</f>
        <v/>
      </c>
    </row>
    <row r="133" spans="1:26" ht="15.75" customHeight="1">
      <c r="A133" s="220"/>
      <c r="B133" s="137"/>
      <c r="C133" s="137"/>
      <c r="D133" s="136"/>
      <c r="E133" s="137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 t="str">
        <f>IF(B133="","",SUMIFS('PR-BOM'!$D$3:$D995,'PR-BOM'!$C$3:$C995,C133,'PR-BOM'!$B$3:$B995,B133))</f>
        <v/>
      </c>
    </row>
    <row r="134" spans="1:26" ht="15.75" customHeight="1">
      <c r="A134" s="220"/>
      <c r="B134" s="137"/>
      <c r="C134" s="137"/>
      <c r="D134" s="136"/>
      <c r="E134" s="137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 t="str">
        <f>IF(B134="","",SUMIFS('PR-BOM'!$D$3:$D995,'PR-BOM'!$C$3:$C995,C134,'PR-BOM'!$B$3:$B995,B134))</f>
        <v/>
      </c>
    </row>
    <row r="135" spans="1:26" ht="15.75" customHeight="1">
      <c r="A135" s="220"/>
      <c r="B135" s="137"/>
      <c r="C135" s="137"/>
      <c r="D135" s="136"/>
      <c r="E135" s="137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 t="str">
        <f>IF(B135="","",SUMIFS('PR-BOM'!$D$3:$D995,'PR-BOM'!$C$3:$C995,C135,'PR-BOM'!$B$3:$B995,B135))</f>
        <v/>
      </c>
    </row>
    <row r="136" spans="1:26" ht="15.75" customHeight="1">
      <c r="A136" s="220"/>
      <c r="B136" s="137"/>
      <c r="C136" s="137"/>
      <c r="D136" s="136"/>
      <c r="E136" s="137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 t="str">
        <f>IF(B136="","",SUMIFS('PR-BOM'!$D$3:$D995,'PR-BOM'!$C$3:$C995,C136,'PR-BOM'!$B$3:$B995,B136))</f>
        <v/>
      </c>
    </row>
    <row r="137" spans="1:26" ht="15.75" customHeight="1">
      <c r="A137" s="220"/>
      <c r="B137" s="137"/>
      <c r="C137" s="137"/>
      <c r="D137" s="136"/>
      <c r="E137" s="137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 t="str">
        <f>IF(B137="","",SUMIFS('PR-BOM'!$D$3:$D995,'PR-BOM'!$C$3:$C995,C137,'PR-BOM'!$B$3:$B995,B137))</f>
        <v/>
      </c>
    </row>
    <row r="138" spans="1:26" ht="15.75" customHeight="1">
      <c r="A138" s="220"/>
      <c r="B138" s="137"/>
      <c r="C138" s="137"/>
      <c r="D138" s="136"/>
      <c r="E138" s="137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 t="str">
        <f>IF(B138="","",SUMIFS('PR-BOM'!$D$3:$D995,'PR-BOM'!$C$3:$C995,C138,'PR-BOM'!$B$3:$B995,B138))</f>
        <v/>
      </c>
    </row>
    <row r="139" spans="1:26" ht="15.75" customHeight="1">
      <c r="A139" s="220"/>
      <c r="B139" s="137"/>
      <c r="C139" s="137"/>
      <c r="D139" s="136"/>
      <c r="E139" s="137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 t="str">
        <f>IF(B139="","",SUMIFS('PR-BOM'!$D$3:$D995,'PR-BOM'!$C$3:$C995,C139,'PR-BOM'!$B$3:$B995,B139))</f>
        <v/>
      </c>
    </row>
    <row r="140" spans="1:26" ht="15.75" customHeight="1">
      <c r="A140" s="220"/>
      <c r="B140" s="137"/>
      <c r="C140" s="137"/>
      <c r="D140" s="136"/>
      <c r="E140" s="137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 t="str">
        <f>IF(B140="","",SUMIFS('PR-BOM'!$D$3:$D995,'PR-BOM'!$C$3:$C995,C140,'PR-BOM'!$B$3:$B995,B140))</f>
        <v/>
      </c>
    </row>
    <row r="141" spans="1:26" ht="15.75" customHeight="1">
      <c r="A141" s="220"/>
      <c r="B141" s="137"/>
      <c r="C141" s="137"/>
      <c r="D141" s="136"/>
      <c r="E141" s="137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 t="str">
        <f>IF(B141="","",SUMIFS('PR-BOM'!$D$3:$D995,'PR-BOM'!$C$3:$C995,C141,'PR-BOM'!$B$3:$B995,B141))</f>
        <v/>
      </c>
    </row>
    <row r="142" spans="1:26" ht="15.75" customHeight="1">
      <c r="A142" s="220"/>
      <c r="B142" s="137"/>
      <c r="C142" s="137"/>
      <c r="D142" s="136"/>
      <c r="E142" s="137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 t="str">
        <f>IF(B142="","",SUMIFS('PR-BOM'!$D$3:$D995,'PR-BOM'!$C$3:$C995,C142,'PR-BOM'!$B$3:$B995,B142))</f>
        <v/>
      </c>
    </row>
    <row r="143" spans="1:26" ht="15.75" customHeight="1">
      <c r="A143" s="220"/>
      <c r="B143" s="137"/>
      <c r="C143" s="137"/>
      <c r="D143" s="136"/>
      <c r="E143" s="137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 t="str">
        <f>IF(B143="","",SUMIFS('PR-BOM'!$D$3:$D995,'PR-BOM'!$C$3:$C995,C143,'PR-BOM'!$B$3:$B995,B143))</f>
        <v/>
      </c>
    </row>
    <row r="144" spans="1:26" ht="15.75" customHeight="1">
      <c r="A144" s="220"/>
      <c r="B144" s="137"/>
      <c r="C144" s="137"/>
      <c r="D144" s="136"/>
      <c r="E144" s="137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 t="str">
        <f>IF(B144="","",SUMIFS('PR-BOM'!$D$3:$D995,'PR-BOM'!$C$3:$C995,C144,'PR-BOM'!$B$3:$B995,B144))</f>
        <v/>
      </c>
    </row>
    <row r="145" spans="1:26" ht="15.75" customHeight="1">
      <c r="A145" s="220"/>
      <c r="B145" s="137"/>
      <c r="C145" s="137"/>
      <c r="D145" s="136"/>
      <c r="E145" s="137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 t="str">
        <f>IF(B145="","",SUMIFS('PR-BOM'!$D$3:$D995,'PR-BOM'!$C$3:$C995,C145,'PR-BOM'!$B$3:$B995,B145))</f>
        <v/>
      </c>
    </row>
    <row r="146" spans="1:26" ht="15.75" customHeight="1">
      <c r="A146" s="220"/>
      <c r="B146" s="137"/>
      <c r="C146" s="137"/>
      <c r="D146" s="136"/>
      <c r="E146" s="137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 t="str">
        <f>IF(B146="","",SUMIFS('PR-BOM'!$D$3:$D995,'PR-BOM'!$C$3:$C995,C146,'PR-BOM'!$B$3:$B995,B146))</f>
        <v/>
      </c>
    </row>
    <row r="147" spans="1:26" ht="15.75" customHeight="1">
      <c r="A147" s="220"/>
      <c r="B147" s="137"/>
      <c r="C147" s="137"/>
      <c r="D147" s="136"/>
      <c r="E147" s="137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 t="str">
        <f>IF(B147="","",SUMIFS('PR-BOM'!$D$3:$D995,'PR-BOM'!$C$3:$C995,C147,'PR-BOM'!$B$3:$B995,B147))</f>
        <v/>
      </c>
    </row>
    <row r="148" spans="1:26" ht="15.75" customHeight="1">
      <c r="A148" s="220"/>
      <c r="B148" s="137"/>
      <c r="C148" s="137"/>
      <c r="D148" s="136"/>
      <c r="E148" s="137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 t="str">
        <f>IF(B148="","",SUMIFS('PR-BOM'!$D$3:$D995,'PR-BOM'!$C$3:$C995,C148,'PR-BOM'!$B$3:$B995,B148))</f>
        <v/>
      </c>
    </row>
    <row r="149" spans="1:26" ht="15.75" customHeight="1">
      <c r="A149" s="220"/>
      <c r="B149" s="137"/>
      <c r="C149" s="137"/>
      <c r="D149" s="136"/>
      <c r="E149" s="137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 t="str">
        <f>IF(B149="","",SUMIFS('PR-BOM'!$D$3:$D995,'PR-BOM'!$C$3:$C995,C149,'PR-BOM'!$B$3:$B995,B149))</f>
        <v/>
      </c>
    </row>
    <row r="150" spans="1:26" ht="15.75" customHeight="1">
      <c r="A150" s="220"/>
      <c r="B150" s="137"/>
      <c r="C150" s="137"/>
      <c r="D150" s="136"/>
      <c r="E150" s="137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 t="str">
        <f>IF(B150="","",SUMIFS('PR-BOM'!$D$3:$D995,'PR-BOM'!$C$3:$C995,C150,'PR-BOM'!$B$3:$B995,B150))</f>
        <v/>
      </c>
    </row>
    <row r="151" spans="1:26" ht="15.75" customHeight="1">
      <c r="A151" s="220"/>
      <c r="B151" s="137"/>
      <c r="C151" s="137"/>
      <c r="D151" s="136"/>
      <c r="E151" s="137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 t="str">
        <f>IF(B151="","",SUMIFS('PR-BOM'!$D$3:$D995,'PR-BOM'!$C$3:$C995,C151,'PR-BOM'!$B$3:$B995,B151))</f>
        <v/>
      </c>
    </row>
    <row r="152" spans="1:26" ht="15.75" customHeight="1">
      <c r="A152" s="220"/>
      <c r="B152" s="137"/>
      <c r="C152" s="137"/>
      <c r="D152" s="136"/>
      <c r="E152" s="137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 t="str">
        <f>IF(B152="","",SUMIFS('PR-BOM'!$D$3:$D995,'PR-BOM'!$C$3:$C995,C152,'PR-BOM'!$B$3:$B995,B152))</f>
        <v/>
      </c>
    </row>
    <row r="153" spans="1:26" ht="15.75" customHeight="1">
      <c r="A153" s="220"/>
      <c r="B153" s="137"/>
      <c r="C153" s="137"/>
      <c r="D153" s="136"/>
      <c r="E153" s="137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 t="str">
        <f>IF(B153="","",SUMIFS('PR-BOM'!$D$3:$D995,'PR-BOM'!$C$3:$C995,C153,'PR-BOM'!$B$3:$B995,B153))</f>
        <v/>
      </c>
    </row>
    <row r="154" spans="1:26" ht="15.75" customHeight="1">
      <c r="A154" s="220"/>
      <c r="B154" s="137"/>
      <c r="C154" s="137"/>
      <c r="D154" s="136"/>
      <c r="E154" s="137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 t="str">
        <f>IF(B154="","",SUMIFS('PR-BOM'!$D$3:$D995,'PR-BOM'!$C$3:$C995,C154,'PR-BOM'!$B$3:$B995,B154))</f>
        <v/>
      </c>
    </row>
    <row r="155" spans="1:26" ht="15.75" customHeight="1">
      <c r="A155" s="220"/>
      <c r="B155" s="137"/>
      <c r="C155" s="137"/>
      <c r="D155" s="136"/>
      <c r="E155" s="137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 t="str">
        <f>IF(B155="","",SUMIFS('PR-BOM'!$D$3:$D995,'PR-BOM'!$C$3:$C995,C155,'PR-BOM'!$B$3:$B995,B155))</f>
        <v/>
      </c>
    </row>
    <row r="156" spans="1:26" ht="15.75" customHeight="1">
      <c r="A156" s="220"/>
      <c r="B156" s="137"/>
      <c r="C156" s="137"/>
      <c r="D156" s="136"/>
      <c r="E156" s="137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 t="str">
        <f>IF(B156="","",SUMIFS('PR-BOM'!$D$3:$D995,'PR-BOM'!$C$3:$C995,C156,'PR-BOM'!$B$3:$B995,B156))</f>
        <v/>
      </c>
    </row>
    <row r="157" spans="1:26" ht="15.75" customHeight="1">
      <c r="A157" s="220"/>
      <c r="B157" s="137"/>
      <c r="C157" s="137"/>
      <c r="D157" s="136"/>
      <c r="E157" s="137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 t="str">
        <f>IF(B157="","",SUMIFS('PR-BOM'!$D$3:$D995,'PR-BOM'!$C$3:$C995,C157,'PR-BOM'!$B$3:$B995,B157))</f>
        <v/>
      </c>
    </row>
    <row r="158" spans="1:26" ht="15.75" customHeight="1">
      <c r="A158" s="220"/>
      <c r="B158" s="137"/>
      <c r="C158" s="137"/>
      <c r="D158" s="136"/>
      <c r="E158" s="137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 t="str">
        <f>IF(B158="","",SUMIFS('PR-BOM'!$D$3:$D995,'PR-BOM'!$C$3:$C995,C158,'PR-BOM'!$B$3:$B995,B158))</f>
        <v/>
      </c>
    </row>
    <row r="159" spans="1:26" ht="15.75" customHeight="1">
      <c r="A159" s="220"/>
      <c r="B159" s="137"/>
      <c r="C159" s="137"/>
      <c r="D159" s="136"/>
      <c r="E159" s="137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 t="str">
        <f>IF(B159="","",SUMIFS('PR-BOM'!$D$3:$D995,'PR-BOM'!$C$3:$C995,C159,'PR-BOM'!$B$3:$B995,B159))</f>
        <v/>
      </c>
    </row>
    <row r="160" spans="1:26" ht="15.75" customHeight="1">
      <c r="A160" s="220"/>
      <c r="B160" s="137"/>
      <c r="C160" s="137"/>
      <c r="D160" s="136"/>
      <c r="E160" s="137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 t="str">
        <f>IF(B160="","",SUMIFS('PR-BOM'!$D$3:$D995,'PR-BOM'!$C$3:$C995,C160,'PR-BOM'!$B$3:$B995,B160))</f>
        <v/>
      </c>
    </row>
    <row r="161" spans="1:26" ht="15.75" customHeight="1">
      <c r="A161" s="220"/>
      <c r="B161" s="137"/>
      <c r="C161" s="137"/>
      <c r="D161" s="136"/>
      <c r="E161" s="137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 t="str">
        <f>IF(B161="","",SUMIFS('PR-BOM'!$D$3:$D995,'PR-BOM'!$C$3:$C995,C161,'PR-BOM'!$B$3:$B995,B161))</f>
        <v/>
      </c>
    </row>
    <row r="162" spans="1:26" ht="15.75" customHeight="1">
      <c r="A162" s="220"/>
      <c r="B162" s="137"/>
      <c r="C162" s="137"/>
      <c r="D162" s="136"/>
      <c r="E162" s="137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 t="str">
        <f>IF(B162="","",SUMIFS('PR-BOM'!$D$3:$D995,'PR-BOM'!$C$3:$C995,C162,'PR-BOM'!$B$3:$B995,B162))</f>
        <v/>
      </c>
    </row>
    <row r="163" spans="1:26" ht="15.75" customHeight="1">
      <c r="A163" s="220"/>
      <c r="B163" s="137"/>
      <c r="C163" s="137"/>
      <c r="D163" s="136"/>
      <c r="E163" s="137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 t="str">
        <f>IF(B163="","",SUMIFS('PR-BOM'!$D$3:$D995,'PR-BOM'!$C$3:$C995,C163,'PR-BOM'!$B$3:$B995,B163))</f>
        <v/>
      </c>
    </row>
    <row r="164" spans="1:26" ht="15.75" customHeight="1">
      <c r="A164" s="220"/>
      <c r="B164" s="137"/>
      <c r="C164" s="137"/>
      <c r="D164" s="136"/>
      <c r="E164" s="137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 t="str">
        <f>IF(B164="","",SUMIFS('PR-BOM'!$D$3:$D995,'PR-BOM'!$C$3:$C995,C164,'PR-BOM'!$B$3:$B995,B164))</f>
        <v/>
      </c>
    </row>
    <row r="165" spans="1:26" ht="15.75" customHeight="1">
      <c r="A165" s="220"/>
      <c r="B165" s="137"/>
      <c r="C165" s="137"/>
      <c r="D165" s="136"/>
      <c r="E165" s="137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 t="str">
        <f>IF(B165="","",SUMIFS('PR-BOM'!$D$3:$D995,'PR-BOM'!$C$3:$C995,C165,'PR-BOM'!$B$3:$B995,B165))</f>
        <v/>
      </c>
    </row>
    <row r="166" spans="1:26" ht="15.75" customHeight="1">
      <c r="A166" s="220"/>
      <c r="B166" s="137"/>
      <c r="C166" s="137"/>
      <c r="D166" s="136"/>
      <c r="E166" s="137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 t="str">
        <f>IF(B166="","",SUMIFS('PR-BOM'!$D$3:$D995,'PR-BOM'!$C$3:$C995,C166,'PR-BOM'!$B$3:$B995,B166))</f>
        <v/>
      </c>
    </row>
    <row r="167" spans="1:26" ht="15.75" customHeight="1">
      <c r="A167" s="220"/>
      <c r="B167" s="137"/>
      <c r="C167" s="137"/>
      <c r="D167" s="136"/>
      <c r="E167" s="137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 t="str">
        <f>IF(B167="","",SUMIFS('PR-BOM'!$D$3:$D995,'PR-BOM'!$C$3:$C995,C167,'PR-BOM'!$B$3:$B995,B167))</f>
        <v/>
      </c>
    </row>
    <row r="168" spans="1:26" ht="15.75" customHeight="1">
      <c r="A168" s="220"/>
      <c r="B168" s="137"/>
      <c r="C168" s="137"/>
      <c r="D168" s="136"/>
      <c r="E168" s="137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 t="str">
        <f>IF(B168="","",SUMIFS('PR-BOM'!$D$3:$D995,'PR-BOM'!$C$3:$C995,C168,'PR-BOM'!$B$3:$B995,B168))</f>
        <v/>
      </c>
    </row>
    <row r="169" spans="1:26" ht="15.75" customHeight="1">
      <c r="A169" s="220"/>
      <c r="B169" s="137"/>
      <c r="C169" s="137"/>
      <c r="D169" s="136"/>
      <c r="E169" s="137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 t="str">
        <f>IF(B169="","",SUMIFS('PR-BOM'!$D$3:$D995,'PR-BOM'!$C$3:$C995,C169,'PR-BOM'!$B$3:$B995,B169))</f>
        <v/>
      </c>
    </row>
    <row r="170" spans="1:26" ht="15.75" customHeight="1">
      <c r="A170" s="220"/>
      <c r="B170" s="137"/>
      <c r="C170" s="137"/>
      <c r="D170" s="136"/>
      <c r="E170" s="137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 t="str">
        <f>IF(B170="","",SUMIFS('PR-BOM'!$D$3:$D995,'PR-BOM'!$C$3:$C995,C170,'PR-BOM'!$B$3:$B995,B170))</f>
        <v/>
      </c>
    </row>
    <row r="171" spans="1:26" ht="15.75" customHeight="1">
      <c r="A171" s="220"/>
      <c r="B171" s="137"/>
      <c r="C171" s="137"/>
      <c r="D171" s="136"/>
      <c r="E171" s="137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 t="str">
        <f>IF(B171="","",SUMIFS('PR-BOM'!$D$3:$D995,'PR-BOM'!$C$3:$C995,C171,'PR-BOM'!$B$3:$B995,B171))</f>
        <v/>
      </c>
    </row>
    <row r="172" spans="1:26" ht="15.75" customHeight="1">
      <c r="A172" s="220"/>
      <c r="B172" s="137"/>
      <c r="C172" s="137"/>
      <c r="D172" s="136"/>
      <c r="E172" s="137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 t="str">
        <f>IF(B172="","",SUMIFS('PR-BOM'!$D$3:$D995,'PR-BOM'!$C$3:$C995,C172,'PR-BOM'!$B$3:$B995,B172))</f>
        <v/>
      </c>
    </row>
    <row r="173" spans="1:26" ht="15.75" customHeight="1">
      <c r="A173" s="220"/>
      <c r="B173" s="137"/>
      <c r="C173" s="137"/>
      <c r="D173" s="136"/>
      <c r="E173" s="137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 t="str">
        <f>IF(B173="","",SUMIFS('PR-BOM'!$D$3:$D995,'PR-BOM'!$C$3:$C995,C173,'PR-BOM'!$B$3:$B995,B173))</f>
        <v/>
      </c>
    </row>
    <row r="174" spans="1:26" ht="15.75" customHeight="1">
      <c r="A174" s="220"/>
      <c r="B174" s="137"/>
      <c r="C174" s="137"/>
      <c r="D174" s="136"/>
      <c r="E174" s="137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 t="str">
        <f>IF(B174="","",SUMIFS('PR-BOM'!$D$3:$D995,'PR-BOM'!$C$3:$C995,C174,'PR-BOM'!$B$3:$B995,B174))</f>
        <v/>
      </c>
    </row>
    <row r="175" spans="1:26" ht="15.75" customHeight="1">
      <c r="A175" s="220"/>
      <c r="B175" s="137"/>
      <c r="C175" s="137"/>
      <c r="D175" s="136"/>
      <c r="E175" s="137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 t="str">
        <f>IF(B175="","",SUMIFS('PR-BOM'!$D$3:$D995,'PR-BOM'!$C$3:$C995,C175,'PR-BOM'!$B$3:$B995,B175))</f>
        <v/>
      </c>
    </row>
    <row r="176" spans="1:26" ht="15.75" customHeight="1">
      <c r="A176" s="220"/>
      <c r="B176" s="137"/>
      <c r="C176" s="137"/>
      <c r="D176" s="136"/>
      <c r="E176" s="137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 t="str">
        <f>IF(B176="","",SUMIFS('PR-BOM'!$D$3:$D995,'PR-BOM'!$C$3:$C995,C176,'PR-BOM'!$B$3:$B995,B176))</f>
        <v/>
      </c>
    </row>
    <row r="177" spans="1:26" ht="15.75" customHeight="1">
      <c r="A177" s="220"/>
      <c r="B177" s="137"/>
      <c r="C177" s="137"/>
      <c r="D177" s="136"/>
      <c r="E177" s="137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 t="str">
        <f>IF(B177="","",SUMIFS('PR-BOM'!$D$3:$D995,'PR-BOM'!$C$3:$C995,C177,'PR-BOM'!$B$3:$B995,B177))</f>
        <v/>
      </c>
    </row>
    <row r="178" spans="1:26" ht="15.75" customHeight="1">
      <c r="A178" s="220"/>
      <c r="B178" s="137"/>
      <c r="C178" s="137"/>
      <c r="D178" s="136"/>
      <c r="E178" s="137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 t="str">
        <f>IF(B178="","",SUMIFS('PR-BOM'!$D$3:$D995,'PR-BOM'!$C$3:$C995,C178,'PR-BOM'!$B$3:$B995,B178))</f>
        <v/>
      </c>
    </row>
    <row r="179" spans="1:26" ht="15.75" customHeight="1">
      <c r="A179" s="220"/>
      <c r="B179" s="137"/>
      <c r="C179" s="137"/>
      <c r="D179" s="136"/>
      <c r="E179" s="137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 t="str">
        <f>IF(B179="","",SUMIFS('PR-BOM'!$D$3:$D995,'PR-BOM'!$C$3:$C995,C179,'PR-BOM'!$B$3:$B995,B179))</f>
        <v/>
      </c>
    </row>
    <row r="180" spans="1:26" ht="15.75" customHeight="1">
      <c r="A180" s="220"/>
      <c r="B180" s="137"/>
      <c r="C180" s="137"/>
      <c r="D180" s="136"/>
      <c r="E180" s="137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 t="str">
        <f>IF(B180="","",SUMIFS('PR-BOM'!$D$3:$D995,'PR-BOM'!$C$3:$C995,C180,'PR-BOM'!$B$3:$B995,B180))</f>
        <v/>
      </c>
    </row>
    <row r="181" spans="1:26" ht="15.75" customHeight="1">
      <c r="A181" s="220"/>
      <c r="B181" s="137"/>
      <c r="C181" s="137"/>
      <c r="D181" s="136"/>
      <c r="E181" s="137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 t="str">
        <f>IF(B181="","",SUMIFS('PR-BOM'!$D$3:$D995,'PR-BOM'!$C$3:$C995,C181,'PR-BOM'!$B$3:$B995,B181))</f>
        <v/>
      </c>
    </row>
    <row r="182" spans="1:26" ht="15.75" customHeight="1">
      <c r="A182" s="220"/>
      <c r="B182" s="137"/>
      <c r="C182" s="137"/>
      <c r="D182" s="136"/>
      <c r="E182" s="137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 t="str">
        <f>IF(B182="","",SUMIFS('PR-BOM'!$D$3:$D995,'PR-BOM'!$C$3:$C995,C182,'PR-BOM'!$B$3:$B995,B182))</f>
        <v/>
      </c>
    </row>
    <row r="183" spans="1:26" ht="15.75" customHeight="1">
      <c r="A183" s="220"/>
      <c r="B183" s="137"/>
      <c r="C183" s="137"/>
      <c r="D183" s="136"/>
      <c r="E183" s="137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 t="str">
        <f>IF(B183="","",SUMIFS('PR-BOM'!$D$3:$D995,'PR-BOM'!$C$3:$C995,C183,'PR-BOM'!$B$3:$B995,B183))</f>
        <v/>
      </c>
    </row>
    <row r="184" spans="1:26" ht="15.75" customHeight="1">
      <c r="A184" s="220"/>
      <c r="B184" s="137"/>
      <c r="C184" s="137"/>
      <c r="D184" s="136"/>
      <c r="E184" s="137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 t="str">
        <f>IF(B184="","",SUMIFS('PR-BOM'!$D$3:$D995,'PR-BOM'!$C$3:$C995,C184,'PR-BOM'!$B$3:$B995,B184))</f>
        <v/>
      </c>
    </row>
    <row r="185" spans="1:26" ht="15.75" customHeight="1">
      <c r="A185" s="220"/>
      <c r="B185" s="137"/>
      <c r="C185" s="137"/>
      <c r="D185" s="136"/>
      <c r="E185" s="137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 t="str">
        <f>IF(B185="","",SUMIFS('PR-BOM'!$D$3:$D995,'PR-BOM'!$C$3:$C995,C185,'PR-BOM'!$B$3:$B995,B185))</f>
        <v/>
      </c>
    </row>
    <row r="186" spans="1:26" ht="15.75" customHeight="1">
      <c r="A186" s="220"/>
      <c r="B186" s="137"/>
      <c r="C186" s="137"/>
      <c r="D186" s="136"/>
      <c r="E186" s="137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 t="str">
        <f>IF(B186="","",SUMIFS('PR-BOM'!$D$3:$D995,'PR-BOM'!$C$3:$C995,C186,'PR-BOM'!$B$3:$B995,B186))</f>
        <v/>
      </c>
    </row>
    <row r="187" spans="1:26" ht="15.75" customHeight="1">
      <c r="A187" s="220"/>
      <c r="B187" s="137"/>
      <c r="C187" s="137"/>
      <c r="D187" s="136"/>
      <c r="E187" s="137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 t="str">
        <f>IF(B187="","",SUMIFS('PR-BOM'!$D$3:$D995,'PR-BOM'!$C$3:$C995,C187,'PR-BOM'!$B$3:$B995,B187))</f>
        <v/>
      </c>
    </row>
    <row r="188" spans="1:26" ht="15.75" customHeight="1">
      <c r="A188" s="220"/>
      <c r="B188" s="137"/>
      <c r="C188" s="137"/>
      <c r="D188" s="136"/>
      <c r="E188" s="137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 t="str">
        <f>IF(B188="","",SUMIFS('PR-BOM'!$D$3:$D995,'PR-BOM'!$C$3:$C995,C188,'PR-BOM'!$B$3:$B995,B188))</f>
        <v/>
      </c>
    </row>
    <row r="189" spans="1:26" ht="15.75" customHeight="1">
      <c r="A189" s="220"/>
      <c r="B189" s="137"/>
      <c r="C189" s="137"/>
      <c r="D189" s="136"/>
      <c r="E189" s="137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 t="str">
        <f>IF(B189="","",SUMIFS('PR-BOM'!$D$3:$D995,'PR-BOM'!$C$3:$C995,C189,'PR-BOM'!$B$3:$B995,B189))</f>
        <v/>
      </c>
    </row>
    <row r="190" spans="1:26" ht="15.75" customHeight="1">
      <c r="A190" s="220"/>
      <c r="B190" s="137"/>
      <c r="C190" s="137"/>
      <c r="D190" s="136"/>
      <c r="E190" s="137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 t="str">
        <f>IF(B190="","",SUMIFS('PR-BOM'!$D$3:$D995,'PR-BOM'!$C$3:$C995,C190,'PR-BOM'!$B$3:$B995,B190))</f>
        <v/>
      </c>
    </row>
    <row r="191" spans="1:26" ht="15.75" customHeight="1">
      <c r="A191" s="220"/>
      <c r="B191" s="137"/>
      <c r="C191" s="137"/>
      <c r="D191" s="136"/>
      <c r="E191" s="137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 t="str">
        <f>IF(B191="","",SUMIFS('PR-BOM'!$D$3:$D995,'PR-BOM'!$C$3:$C995,C191,'PR-BOM'!$B$3:$B995,B191))</f>
        <v/>
      </c>
    </row>
    <row r="192" spans="1:26" ht="15.75" customHeight="1">
      <c r="A192" s="220"/>
      <c r="B192" s="137"/>
      <c r="C192" s="137"/>
      <c r="D192" s="136"/>
      <c r="E192" s="137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 t="str">
        <f>IF(B192="","",SUMIFS('PR-BOM'!$D$3:$D995,'PR-BOM'!$C$3:$C995,C192,'PR-BOM'!$B$3:$B995,B192))</f>
        <v/>
      </c>
    </row>
    <row r="193" spans="1:26" ht="15.75" customHeight="1">
      <c r="A193" s="220"/>
      <c r="B193" s="137"/>
      <c r="C193" s="137"/>
      <c r="D193" s="136"/>
      <c r="E193" s="137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 t="str">
        <f>IF(B193="","",SUMIFS('PR-BOM'!$D$3:$D995,'PR-BOM'!$C$3:$C995,C193,'PR-BOM'!$B$3:$B995,B193))</f>
        <v/>
      </c>
    </row>
    <row r="194" spans="1:26" ht="15.75" customHeight="1">
      <c r="A194" s="220"/>
      <c r="B194" s="137"/>
      <c r="C194" s="137"/>
      <c r="D194" s="136"/>
      <c r="E194" s="137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 t="str">
        <f>IF(B194="","",SUMIFS('PR-BOM'!$D$3:$D995,'PR-BOM'!$C$3:$C995,C194,'PR-BOM'!$B$3:$B995,B194))</f>
        <v/>
      </c>
    </row>
    <row r="195" spans="1:26" ht="15.75" customHeight="1">
      <c r="A195" s="220"/>
      <c r="B195" s="137"/>
      <c r="C195" s="137"/>
      <c r="D195" s="136"/>
      <c r="E195" s="137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 t="str">
        <f>IF(B195="","",SUMIFS('PR-BOM'!$D$3:$D995,'PR-BOM'!$C$3:$C995,C195,'PR-BOM'!$B$3:$B995,B195))</f>
        <v/>
      </c>
    </row>
    <row r="196" spans="1:26" ht="15.75" customHeight="1">
      <c r="A196" s="220"/>
      <c r="B196" s="137"/>
      <c r="C196" s="137"/>
      <c r="D196" s="136"/>
      <c r="E196" s="137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 t="str">
        <f>IF(B196="","",SUMIFS('PR-BOM'!$D$3:$D995,'PR-BOM'!$C$3:$C995,C196,'PR-BOM'!$B$3:$B995,B196))</f>
        <v/>
      </c>
    </row>
    <row r="197" spans="1:26" ht="15.75" customHeight="1">
      <c r="A197" s="220"/>
      <c r="B197" s="137"/>
      <c r="C197" s="137"/>
      <c r="D197" s="136"/>
      <c r="E197" s="137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 t="str">
        <f>IF(B197="","",SUMIFS('PR-BOM'!$D$3:$D995,'PR-BOM'!$C$3:$C995,C197,'PR-BOM'!$B$3:$B995,B197))</f>
        <v/>
      </c>
    </row>
    <row r="198" spans="1:26" ht="15.75" customHeight="1">
      <c r="A198" s="220"/>
      <c r="B198" s="137"/>
      <c r="C198" s="137"/>
      <c r="D198" s="136"/>
      <c r="E198" s="137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 t="str">
        <f>IF(B198="","",SUMIFS('PR-BOM'!$D$3:$D995,'PR-BOM'!$C$3:$C995,C198,'PR-BOM'!$B$3:$B995,B198))</f>
        <v/>
      </c>
    </row>
    <row r="199" spans="1:26" ht="15.75" customHeight="1">
      <c r="A199" s="220"/>
      <c r="B199" s="137"/>
      <c r="C199" s="137"/>
      <c r="D199" s="136"/>
      <c r="E199" s="137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 t="str">
        <f>IF(B199="","",SUMIFS('PR-BOM'!$D$3:$D995,'PR-BOM'!$C$3:$C995,C199,'PR-BOM'!$B$3:$B995,B199))</f>
        <v/>
      </c>
    </row>
    <row r="200" spans="1:26" ht="15.75" customHeight="1">
      <c r="A200" s="220"/>
      <c r="B200" s="137"/>
      <c r="C200" s="137"/>
      <c r="D200" s="136"/>
      <c r="E200" s="137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 t="str">
        <f>IF(B200="","",SUMIFS('PR-BOM'!$D$3:$D995,'PR-BOM'!$C$3:$C995,C200,'PR-BOM'!$B$3:$B995,B200))</f>
        <v/>
      </c>
    </row>
    <row r="201" spans="1:26" ht="15.75" customHeight="1">
      <c r="A201" s="220"/>
      <c r="B201" s="137"/>
      <c r="C201" s="137"/>
      <c r="D201" s="136"/>
      <c r="E201" s="137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 t="str">
        <f>IF(B201="","",SUMIFS('PR-BOM'!$D$3:$D995,'PR-BOM'!$C$3:$C995,C201,'PR-BOM'!$B$3:$B995,B201))</f>
        <v/>
      </c>
    </row>
    <row r="202" spans="1:26" ht="15.75" customHeight="1">
      <c r="A202" s="220"/>
      <c r="B202" s="137"/>
      <c r="C202" s="137"/>
      <c r="D202" s="136"/>
      <c r="E202" s="137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 t="str">
        <f>IF(B202="","",SUMIFS('PR-BOM'!$D$3:$D995,'PR-BOM'!$C$3:$C995,C202,'PR-BOM'!$B$3:$B995,B202))</f>
        <v/>
      </c>
    </row>
    <row r="203" spans="1:26" ht="15.75" customHeight="1">
      <c r="A203" s="220"/>
      <c r="B203" s="137"/>
      <c r="C203" s="137"/>
      <c r="D203" s="136"/>
      <c r="E203" s="137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 t="str">
        <f>IF(B203="","",SUMIFS('PR-BOM'!$D$3:$D995,'PR-BOM'!$C$3:$C995,C203,'PR-BOM'!$B$3:$B995,B203))</f>
        <v/>
      </c>
    </row>
    <row r="204" spans="1:26" ht="15.75" customHeight="1">
      <c r="A204" s="220"/>
      <c r="B204" s="137"/>
      <c r="C204" s="137"/>
      <c r="D204" s="136"/>
      <c r="E204" s="137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 t="str">
        <f>IF(B204="","",SUMIFS('PR-BOM'!$D$3:$D995,'PR-BOM'!$C$3:$C995,C204,'PR-BOM'!$B$3:$B995,B204))</f>
        <v/>
      </c>
    </row>
    <row r="205" spans="1:26" ht="15.75" customHeight="1">
      <c r="A205" s="220"/>
      <c r="B205" s="137"/>
      <c r="C205" s="137"/>
      <c r="D205" s="136"/>
      <c r="E205" s="137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 t="str">
        <f>IF(B205="","",SUMIFS('PR-BOM'!$D$3:$D995,'PR-BOM'!$C$3:$C995,C205,'PR-BOM'!$B$3:$B995,B205))</f>
        <v/>
      </c>
    </row>
    <row r="206" spans="1:26" ht="15.75" customHeight="1">
      <c r="A206" s="220"/>
      <c r="B206" s="137"/>
      <c r="C206" s="137"/>
      <c r="D206" s="136"/>
      <c r="E206" s="137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 t="str">
        <f>IF(B206="","",SUMIFS('PR-BOM'!$D$3:$D995,'PR-BOM'!$C$3:$C995,C206,'PR-BOM'!$B$3:$B995,B206))</f>
        <v/>
      </c>
    </row>
    <row r="207" spans="1:26" ht="15.75" customHeight="1">
      <c r="A207" s="220"/>
      <c r="B207" s="137"/>
      <c r="C207" s="137"/>
      <c r="D207" s="136"/>
      <c r="E207" s="137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 t="str">
        <f>IF(B207="","",SUMIFS('PR-BOM'!$D$3:$D995,'PR-BOM'!$C$3:$C995,C207,'PR-BOM'!$B$3:$B995,B207))</f>
        <v/>
      </c>
    </row>
    <row r="208" spans="1:26" ht="15.75" customHeight="1">
      <c r="A208" s="220"/>
      <c r="B208" s="137"/>
      <c r="C208" s="137"/>
      <c r="D208" s="136"/>
      <c r="E208" s="137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 t="str">
        <f>IF(B208="","",SUMIFS('PR-BOM'!$D$3:$D995,'PR-BOM'!$C$3:$C995,C208,'PR-BOM'!$B$3:$B995,B208))</f>
        <v/>
      </c>
    </row>
    <row r="209" spans="1:26" ht="15.75" customHeight="1">
      <c r="A209" s="220"/>
      <c r="B209" s="137"/>
      <c r="C209" s="137"/>
      <c r="D209" s="136"/>
      <c r="E209" s="137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 t="str">
        <f>IF(B209="","",SUMIFS('PR-BOM'!$D$3:$D995,'PR-BOM'!$C$3:$C995,C209,'PR-BOM'!$B$3:$B995,B209))</f>
        <v/>
      </c>
    </row>
    <row r="210" spans="1:26" ht="15.75" customHeight="1">
      <c r="A210" s="220"/>
      <c r="B210" s="137"/>
      <c r="C210" s="137"/>
      <c r="D210" s="136"/>
      <c r="E210" s="137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 t="str">
        <f>IF(B210="","",SUMIFS('PR-BOM'!$D$3:$D995,'PR-BOM'!$C$3:$C995,C210,'PR-BOM'!$B$3:$B995,B210))</f>
        <v/>
      </c>
    </row>
    <row r="211" spans="1:26" ht="15.75" customHeight="1">
      <c r="A211" s="220"/>
      <c r="B211" s="137"/>
      <c r="C211" s="137"/>
      <c r="D211" s="136"/>
      <c r="E211" s="137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 t="str">
        <f>IF(B211="","",SUMIFS('PR-BOM'!$D$3:$D995,'PR-BOM'!$C$3:$C995,C211,'PR-BOM'!$B$3:$B995,B211))</f>
        <v/>
      </c>
    </row>
    <row r="212" spans="1:26" ht="15.75" customHeight="1">
      <c r="A212" s="220"/>
      <c r="B212" s="137"/>
      <c r="C212" s="137"/>
      <c r="D212" s="136"/>
      <c r="E212" s="137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 t="str">
        <f>IF(B212="","",SUMIFS('PR-BOM'!$D$3:$D995,'PR-BOM'!$C$3:$C995,C212,'PR-BOM'!$B$3:$B995,B212))</f>
        <v/>
      </c>
    </row>
    <row r="213" spans="1:26" ht="15.75" customHeight="1">
      <c r="A213" s="220"/>
      <c r="B213" s="137"/>
      <c r="C213" s="137"/>
      <c r="D213" s="136"/>
      <c r="E213" s="137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 t="str">
        <f>IF(B213="","",SUMIFS('PR-BOM'!$D$3:$D995,'PR-BOM'!$C$3:$C995,C213,'PR-BOM'!$B$3:$B995,B213))</f>
        <v/>
      </c>
    </row>
    <row r="214" spans="1:26" ht="15.75" customHeight="1">
      <c r="A214" s="220"/>
      <c r="B214" s="137"/>
      <c r="C214" s="137"/>
      <c r="D214" s="136"/>
      <c r="E214" s="137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 t="str">
        <f>IF(B214="","",SUMIFS('PR-BOM'!$D$3:$D995,'PR-BOM'!$C$3:$C995,C214,'PR-BOM'!$B$3:$B995,B214))</f>
        <v/>
      </c>
    </row>
    <row r="215" spans="1:26" ht="15.75" customHeight="1">
      <c r="A215" s="220"/>
      <c r="B215" s="137"/>
      <c r="C215" s="137"/>
      <c r="D215" s="136"/>
      <c r="E215" s="137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 t="str">
        <f>IF(B215="","",SUMIFS('PR-BOM'!$D$3:$D995,'PR-BOM'!$C$3:$C995,C215,'PR-BOM'!$B$3:$B995,B215))</f>
        <v/>
      </c>
    </row>
    <row r="216" spans="1:26" ht="15.75" customHeight="1">
      <c r="A216" s="220"/>
      <c r="B216" s="137"/>
      <c r="C216" s="137"/>
      <c r="D216" s="136"/>
      <c r="E216" s="137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 t="str">
        <f>IF(B216="","",SUMIFS('PR-BOM'!$D$3:$D995,'PR-BOM'!$C$3:$C995,C216,'PR-BOM'!$B$3:$B995,B216))</f>
        <v/>
      </c>
    </row>
    <row r="217" spans="1:26" ht="15.75" customHeight="1">
      <c r="A217" s="220"/>
      <c r="B217" s="137"/>
      <c r="C217" s="137"/>
      <c r="D217" s="136"/>
      <c r="E217" s="137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 t="str">
        <f>IF(B217="","",SUMIFS('PR-BOM'!$D$3:$D995,'PR-BOM'!$C$3:$C995,C217,'PR-BOM'!$B$3:$B995,B217))</f>
        <v/>
      </c>
    </row>
    <row r="218" spans="1:26" ht="15.75" customHeight="1">
      <c r="A218" s="220"/>
      <c r="B218" s="137"/>
      <c r="C218" s="137"/>
      <c r="D218" s="136"/>
      <c r="E218" s="137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 t="str">
        <f>IF(B218="","",SUMIFS('PR-BOM'!$D$3:$D995,'PR-BOM'!$C$3:$C995,C218,'PR-BOM'!$B$3:$B995,B218))</f>
        <v/>
      </c>
    </row>
    <row r="219" spans="1:26" ht="15.75" customHeight="1">
      <c r="A219" s="220"/>
      <c r="B219" s="137"/>
      <c r="C219" s="137"/>
      <c r="D219" s="136"/>
      <c r="E219" s="137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 t="str">
        <f>IF(B219="","",SUMIFS('PR-BOM'!$D$3:$D995,'PR-BOM'!$C$3:$C995,C219,'PR-BOM'!$B$3:$B995,B219))</f>
        <v/>
      </c>
    </row>
    <row r="220" spans="1:26" ht="15.75" customHeight="1">
      <c r="A220" s="220"/>
      <c r="B220" s="137"/>
      <c r="C220" s="137"/>
      <c r="D220" s="136"/>
      <c r="E220" s="137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 t="str">
        <f>IF(B220="","",SUMIFS('PR-BOM'!$D$3:$D995,'PR-BOM'!$C$3:$C995,C220,'PR-BOM'!$B$3:$B995,B220))</f>
        <v/>
      </c>
    </row>
    <row r="221" spans="1:26" ht="15.75" customHeight="1">
      <c r="A221" s="220"/>
      <c r="B221" s="137"/>
      <c r="C221" s="137"/>
      <c r="D221" s="136"/>
      <c r="E221" s="137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 t="str">
        <f>IF(B221="","",SUMIFS('PR-BOM'!$D$3:$D995,'PR-BOM'!$C$3:$C995,C221,'PR-BOM'!$B$3:$B995,B221))</f>
        <v/>
      </c>
    </row>
    <row r="222" spans="1:26" ht="15.75" customHeight="1">
      <c r="A222" s="220"/>
      <c r="B222" s="137"/>
      <c r="C222" s="137"/>
      <c r="D222" s="136"/>
      <c r="E222" s="137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 t="str">
        <f>IF(B222="","",SUMIFS('PR-BOM'!$D$3:$D995,'PR-BOM'!$C$3:$C995,C222,'PR-BOM'!$B$3:$B995,B222))</f>
        <v/>
      </c>
    </row>
    <row r="223" spans="1:26" ht="15.75" customHeight="1">
      <c r="A223" s="220"/>
      <c r="B223" s="137"/>
      <c r="C223" s="137"/>
      <c r="D223" s="136"/>
      <c r="E223" s="137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 t="str">
        <f>IF(B223="","",SUMIFS('PR-BOM'!$D$3:$D995,'PR-BOM'!$C$3:$C995,C223,'PR-BOM'!$B$3:$B995,B223))</f>
        <v/>
      </c>
    </row>
    <row r="224" spans="1:26" ht="15.75" customHeight="1">
      <c r="A224" s="220"/>
      <c r="B224" s="137"/>
      <c r="C224" s="137"/>
      <c r="D224" s="136"/>
      <c r="E224" s="137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 t="str">
        <f>IF(B224="","",SUMIFS('PR-BOM'!$D$3:$D995,'PR-BOM'!$C$3:$C995,C224,'PR-BOM'!$B$3:$B995,B224))</f>
        <v/>
      </c>
    </row>
    <row r="225" spans="1:26" ht="15.75" customHeight="1">
      <c r="A225" s="220"/>
      <c r="B225" s="137"/>
      <c r="C225" s="137"/>
      <c r="D225" s="136"/>
      <c r="E225" s="137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 t="str">
        <f>IF(B225="","",SUMIFS('PR-BOM'!$D$3:$D995,'PR-BOM'!$C$3:$C995,C225,'PR-BOM'!$B$3:$B995,B225))</f>
        <v/>
      </c>
    </row>
    <row r="226" spans="1:26" ht="15.75" customHeight="1">
      <c r="A226" s="220"/>
      <c r="B226" s="137"/>
      <c r="C226" s="137"/>
      <c r="D226" s="136"/>
      <c r="E226" s="137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 t="str">
        <f>IF(B226="","",SUMIFS('PR-BOM'!$D$3:$D995,'PR-BOM'!$C$3:$C995,C226,'PR-BOM'!$B$3:$B995,B226))</f>
        <v/>
      </c>
    </row>
    <row r="227" spans="1:26" ht="15.75" customHeight="1">
      <c r="A227" s="220"/>
      <c r="B227" s="137"/>
      <c r="C227" s="137"/>
      <c r="D227" s="136"/>
      <c r="E227" s="137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 t="str">
        <f>IF(B227="","",SUMIFS('PR-BOM'!$D$3:$D995,'PR-BOM'!$C$3:$C995,C227,'PR-BOM'!$B$3:$B995,B227))</f>
        <v/>
      </c>
    </row>
    <row r="228" spans="1:26" ht="15.75" customHeight="1">
      <c r="A228" s="220"/>
      <c r="B228" s="137"/>
      <c r="C228" s="137"/>
      <c r="D228" s="136"/>
      <c r="E228" s="137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 t="str">
        <f>IF(B228="","",SUMIFS('PR-BOM'!$D$3:$D995,'PR-BOM'!$C$3:$C995,C228,'PR-BOM'!$B$3:$B995,B228))</f>
        <v/>
      </c>
    </row>
    <row r="229" spans="1:26" ht="15.75" customHeight="1">
      <c r="A229" s="220"/>
      <c r="B229" s="137"/>
      <c r="C229" s="137"/>
      <c r="D229" s="136"/>
      <c r="E229" s="137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 t="str">
        <f>IF(B229="","",SUMIFS('PR-BOM'!$D$3:$D995,'PR-BOM'!$C$3:$C995,C229,'PR-BOM'!$B$3:$B995,B229))</f>
        <v/>
      </c>
    </row>
    <row r="230" spans="1:26" ht="15.75" customHeight="1">
      <c r="A230" s="220"/>
      <c r="B230" s="137"/>
      <c r="C230" s="137"/>
      <c r="D230" s="136"/>
      <c r="E230" s="137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 t="str">
        <f>IF(B230="","",SUMIFS('PR-BOM'!$D$3:$D995,'PR-BOM'!$C$3:$C995,C230,'PR-BOM'!$B$3:$B995,B230))</f>
        <v/>
      </c>
    </row>
    <row r="231" spans="1:26" ht="15.75" customHeight="1">
      <c r="A231" s="220"/>
      <c r="B231" s="137"/>
      <c r="C231" s="137"/>
      <c r="D231" s="136"/>
      <c r="E231" s="137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 t="str">
        <f>IF(B231="","",SUMIFS('PR-BOM'!$D$3:$D995,'PR-BOM'!$C$3:$C995,C231,'PR-BOM'!$B$3:$B995,B231))</f>
        <v/>
      </c>
    </row>
    <row r="232" spans="1:26" ht="15.75" customHeight="1">
      <c r="A232" s="220"/>
      <c r="B232" s="137"/>
      <c r="C232" s="137"/>
      <c r="D232" s="136"/>
      <c r="E232" s="137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 t="str">
        <f>IF(B232="","",SUMIFS('PR-BOM'!$D$3:$D995,'PR-BOM'!$C$3:$C995,C232,'PR-BOM'!$B$3:$B995,B232))</f>
        <v/>
      </c>
    </row>
    <row r="233" spans="1:26" ht="15.75" customHeight="1">
      <c r="A233" s="220"/>
      <c r="B233" s="137"/>
      <c r="C233" s="137"/>
      <c r="D233" s="136"/>
      <c r="E233" s="137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 t="str">
        <f>IF(B233="","",SUMIFS('PR-BOM'!$D$3:$D995,'PR-BOM'!$C$3:$C995,C233,'PR-BOM'!$B$3:$B995,B233))</f>
        <v/>
      </c>
    </row>
    <row r="234" spans="1:26" ht="15.75" customHeight="1">
      <c r="A234" s="220"/>
      <c r="B234" s="137"/>
      <c r="C234" s="137"/>
      <c r="D234" s="136"/>
      <c r="E234" s="137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 t="str">
        <f>IF(B234="","",SUMIFS('PR-BOM'!$D$3:$D995,'PR-BOM'!$C$3:$C995,C234,'PR-BOM'!$B$3:$B995,B234))</f>
        <v/>
      </c>
    </row>
    <row r="235" spans="1:26" ht="15.75" customHeight="1">
      <c r="A235" s="220"/>
      <c r="B235" s="137"/>
      <c r="C235" s="137"/>
      <c r="D235" s="136"/>
      <c r="E235" s="137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 t="str">
        <f>IF(B235="","",SUMIFS('PR-BOM'!$D$3:$D995,'PR-BOM'!$C$3:$C995,C235,'PR-BOM'!$B$3:$B995,B235))</f>
        <v/>
      </c>
    </row>
    <row r="236" spans="1:26" ht="15.75" customHeight="1">
      <c r="A236" s="220"/>
      <c r="B236" s="137"/>
      <c r="C236" s="137"/>
      <c r="D236" s="136"/>
      <c r="E236" s="137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 t="str">
        <f>IF(B236="","",SUMIFS('PR-BOM'!$D$3:$D995,'PR-BOM'!$C$3:$C995,C236,'PR-BOM'!$B$3:$B995,B236))</f>
        <v/>
      </c>
    </row>
    <row r="237" spans="1:26" ht="15.75" customHeight="1">
      <c r="A237" s="220"/>
      <c r="B237" s="137"/>
      <c r="C237" s="137"/>
      <c r="D237" s="136"/>
      <c r="E237" s="137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 t="str">
        <f>IF(B237="","",SUMIFS('PR-BOM'!$D$3:$D995,'PR-BOM'!$C$3:$C995,C237,'PR-BOM'!$B$3:$B995,B237))</f>
        <v/>
      </c>
    </row>
    <row r="238" spans="1:26" ht="15.75" customHeight="1">
      <c r="A238" s="220"/>
      <c r="B238" s="137"/>
      <c r="C238" s="137"/>
      <c r="D238" s="136"/>
      <c r="E238" s="137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 t="str">
        <f>IF(B238="","",SUMIFS('PR-BOM'!$D$3:$D995,'PR-BOM'!$C$3:$C995,C238,'PR-BOM'!$B$3:$B995,B238))</f>
        <v/>
      </c>
    </row>
    <row r="239" spans="1:26" ht="15.75" customHeight="1">
      <c r="A239" s="220"/>
      <c r="B239" s="137"/>
      <c r="C239" s="137"/>
      <c r="D239" s="136"/>
      <c r="E239" s="137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 t="str">
        <f>IF(B239="","",SUMIFS('PR-BOM'!$D$3:$D995,'PR-BOM'!$C$3:$C995,C239,'PR-BOM'!$B$3:$B995,B239))</f>
        <v/>
      </c>
    </row>
    <row r="240" spans="1:26" ht="15.75" customHeight="1">
      <c r="A240" s="220"/>
      <c r="B240" s="137"/>
      <c r="C240" s="137"/>
      <c r="D240" s="136"/>
      <c r="E240" s="137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 t="str">
        <f>IF(B240="","",SUMIFS('PR-BOM'!$D$3:$D995,'PR-BOM'!$C$3:$C995,C240,'PR-BOM'!$B$3:$B995,B240))</f>
        <v/>
      </c>
    </row>
    <row r="241" spans="1:26" ht="15.75" customHeight="1">
      <c r="A241" s="220"/>
      <c r="B241" s="137"/>
      <c r="C241" s="137"/>
      <c r="D241" s="136"/>
      <c r="E241" s="137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 t="str">
        <f>IF(B241="","",SUMIFS('PR-BOM'!$D$3:$D995,'PR-BOM'!$C$3:$C995,C241,'PR-BOM'!$B$3:$B995,B241))</f>
        <v/>
      </c>
    </row>
    <row r="242" spans="1:26" ht="15.75" customHeight="1">
      <c r="A242" s="220"/>
      <c r="B242" s="137"/>
      <c r="C242" s="137"/>
      <c r="D242" s="136"/>
      <c r="E242" s="137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 t="str">
        <f>IF(B242="","",SUMIFS('PR-BOM'!$D$3:$D995,'PR-BOM'!$C$3:$C995,C242,'PR-BOM'!$B$3:$B995,B242))</f>
        <v/>
      </c>
    </row>
    <row r="243" spans="1:26" ht="15.75" customHeight="1">
      <c r="A243" s="220"/>
      <c r="B243" s="137"/>
      <c r="C243" s="137"/>
      <c r="D243" s="136"/>
      <c r="E243" s="137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 t="str">
        <f>IF(B243="","",SUMIFS('PR-BOM'!$D$3:$D995,'PR-BOM'!$C$3:$C995,C243,'PR-BOM'!$B$3:$B995,B243))</f>
        <v/>
      </c>
    </row>
    <row r="244" spans="1:26" ht="15.75" customHeight="1">
      <c r="A244" s="220"/>
      <c r="B244" s="137"/>
      <c r="C244" s="137"/>
      <c r="D244" s="136"/>
      <c r="E244" s="137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 t="str">
        <f>IF(B244="","",SUMIFS('PR-BOM'!$D$3:$D995,'PR-BOM'!$C$3:$C995,C244,'PR-BOM'!$B$3:$B995,B244))</f>
        <v/>
      </c>
    </row>
    <row r="245" spans="1:26" ht="15.75" customHeight="1">
      <c r="A245" s="220"/>
      <c r="B245" s="137"/>
      <c r="C245" s="137"/>
      <c r="D245" s="136"/>
      <c r="E245" s="137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 t="str">
        <f>IF(B245="","",SUMIFS('PR-BOM'!$D$3:$D995,'PR-BOM'!$C$3:$C995,C245,'PR-BOM'!$B$3:$B995,B245))</f>
        <v/>
      </c>
    </row>
    <row r="246" spans="1:26" ht="15.75" customHeight="1">
      <c r="A246" s="220"/>
      <c r="B246" s="137"/>
      <c r="C246" s="137"/>
      <c r="D246" s="136"/>
      <c r="E246" s="137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 t="str">
        <f>IF(B246="","",SUMIFS('PR-BOM'!$D$3:$D995,'PR-BOM'!$C$3:$C995,C246,'PR-BOM'!$B$3:$B995,B246))</f>
        <v/>
      </c>
    </row>
    <row r="247" spans="1:26" ht="15.75" customHeight="1">
      <c r="A247" s="220"/>
      <c r="B247" s="137"/>
      <c r="C247" s="137"/>
      <c r="D247" s="136"/>
      <c r="E247" s="137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 t="str">
        <f>IF(B247="","",SUMIFS('PR-BOM'!$D$3:$D995,'PR-BOM'!$C$3:$C995,C247,'PR-BOM'!$B$3:$B995,B247))</f>
        <v/>
      </c>
    </row>
    <row r="248" spans="1:26" ht="15.75" customHeight="1">
      <c r="A248" s="220"/>
      <c r="B248" s="137"/>
      <c r="C248" s="137"/>
      <c r="D248" s="136"/>
      <c r="E248" s="137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 t="str">
        <f>IF(B248="","",SUMIFS('PR-BOM'!$D$3:$D995,'PR-BOM'!$C$3:$C995,C248,'PR-BOM'!$B$3:$B995,B248))</f>
        <v/>
      </c>
    </row>
    <row r="249" spans="1:26" ht="15.75" customHeight="1">
      <c r="A249" s="220"/>
      <c r="B249" s="137"/>
      <c r="C249" s="137"/>
      <c r="D249" s="136"/>
      <c r="E249" s="137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 t="str">
        <f>IF(B249="","",SUMIFS('PR-BOM'!$D$3:$D995,'PR-BOM'!$C$3:$C995,C249,'PR-BOM'!$B$3:$B995,B249))</f>
        <v/>
      </c>
    </row>
    <row r="250" spans="1:26" ht="15.75" customHeight="1">
      <c r="A250" s="220"/>
      <c r="B250" s="137"/>
      <c r="C250" s="137"/>
      <c r="D250" s="136"/>
      <c r="E250" s="137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 t="str">
        <f>IF(B250="","",SUMIFS('PR-BOM'!$D$3:$D995,'PR-BOM'!$C$3:$C995,C250,'PR-BOM'!$B$3:$B995,B250))</f>
        <v/>
      </c>
    </row>
    <row r="251" spans="1:26" ht="15.75" customHeight="1">
      <c r="A251" s="220"/>
      <c r="B251" s="137"/>
      <c r="C251" s="137"/>
      <c r="D251" s="136"/>
      <c r="E251" s="137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 t="str">
        <f>IF(B251="","",SUMIFS('PR-BOM'!$D$3:$D995,'PR-BOM'!$C$3:$C995,C251,'PR-BOM'!$B$3:$B995,B251))</f>
        <v/>
      </c>
    </row>
    <row r="252" spans="1:26" ht="15.75" customHeight="1">
      <c r="A252" s="220"/>
      <c r="B252" s="137"/>
      <c r="C252" s="137"/>
      <c r="D252" s="136"/>
      <c r="E252" s="137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 t="str">
        <f>IF(B252="","",SUMIFS('PR-BOM'!$D$3:$D995,'PR-BOM'!$C$3:$C995,C252,'PR-BOM'!$B$3:$B995,B252))</f>
        <v/>
      </c>
    </row>
    <row r="253" spans="1:26" ht="15.75" customHeight="1">
      <c r="A253" s="220"/>
      <c r="B253" s="137"/>
      <c r="C253" s="137"/>
      <c r="D253" s="136"/>
      <c r="E253" s="137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 t="str">
        <f>IF(B253="","",SUMIFS('PR-BOM'!$D$3:$D995,'PR-BOM'!$C$3:$C995,C253,'PR-BOM'!$B$3:$B995,B253))</f>
        <v/>
      </c>
    </row>
    <row r="254" spans="1:26" ht="15.75" customHeight="1">
      <c r="A254" s="220"/>
      <c r="B254" s="137"/>
      <c r="C254" s="137"/>
      <c r="D254" s="136"/>
      <c r="E254" s="137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 t="str">
        <f>IF(B254="","",SUMIFS('PR-BOM'!$D$3:$D995,'PR-BOM'!$C$3:$C995,C254,'PR-BOM'!$B$3:$B995,B254))</f>
        <v/>
      </c>
    </row>
    <row r="255" spans="1:26" ht="15.75" customHeight="1">
      <c r="A255" s="220"/>
      <c r="B255" s="137"/>
      <c r="C255" s="137"/>
      <c r="D255" s="136"/>
      <c r="E255" s="137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 t="str">
        <f>IF(B255="","",SUMIFS('PR-BOM'!$D$3:$D995,'PR-BOM'!$C$3:$C995,C255,'PR-BOM'!$B$3:$B995,B255))</f>
        <v/>
      </c>
    </row>
    <row r="256" spans="1:26" ht="15.75" customHeight="1">
      <c r="A256" s="220"/>
      <c r="B256" s="137"/>
      <c r="C256" s="137"/>
      <c r="D256" s="136"/>
      <c r="E256" s="137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 t="str">
        <f>IF(B256="","",SUMIFS('PR-BOM'!$D$3:$D995,'PR-BOM'!$C$3:$C995,C256,'PR-BOM'!$B$3:$B995,B256))</f>
        <v/>
      </c>
    </row>
    <row r="257" spans="1:26" ht="15.75" customHeight="1">
      <c r="A257" s="220"/>
      <c r="B257" s="137"/>
      <c r="C257" s="137"/>
      <c r="D257" s="136"/>
      <c r="E257" s="137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 t="str">
        <f>IF(B257="","",SUMIFS('PR-BOM'!$D$3:$D995,'PR-BOM'!$C$3:$C995,C257,'PR-BOM'!$B$3:$B995,B257))</f>
        <v/>
      </c>
    </row>
    <row r="258" spans="1:26" ht="15.75" customHeight="1">
      <c r="A258" s="220"/>
      <c r="B258" s="137"/>
      <c r="C258" s="137"/>
      <c r="D258" s="136"/>
      <c r="E258" s="137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 t="str">
        <f>IF(B258="","",SUMIFS('PR-BOM'!$D$3:$D995,'PR-BOM'!$C$3:$C995,C258,'PR-BOM'!$B$3:$B995,B258))</f>
        <v/>
      </c>
    </row>
    <row r="259" spans="1:26" ht="15.75" customHeight="1">
      <c r="A259" s="220"/>
      <c r="B259" s="137"/>
      <c r="C259" s="137"/>
      <c r="D259" s="136"/>
      <c r="E259" s="137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 t="str">
        <f>IF(B259="","",SUMIFS('PR-BOM'!$D$3:$D995,'PR-BOM'!$C$3:$C995,C259,'PR-BOM'!$B$3:$B995,B259))</f>
        <v/>
      </c>
    </row>
    <row r="260" spans="1:26" ht="15.75" customHeight="1">
      <c r="A260" s="220"/>
      <c r="B260" s="137"/>
      <c r="C260" s="137"/>
      <c r="D260" s="136"/>
      <c r="E260" s="137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 t="str">
        <f>IF(B260="","",SUMIFS('PR-BOM'!$D$3:$D995,'PR-BOM'!$C$3:$C995,C260,'PR-BOM'!$B$3:$B995,B260))</f>
        <v/>
      </c>
    </row>
    <row r="261" spans="1:26" ht="15.75" customHeight="1">
      <c r="A261" s="220"/>
      <c r="B261" s="137"/>
      <c r="C261" s="137"/>
      <c r="D261" s="136"/>
      <c r="E261" s="137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 t="str">
        <f>IF(B261="","",SUMIFS('PR-BOM'!$D$3:$D995,'PR-BOM'!$C$3:$C995,C261,'PR-BOM'!$B$3:$B995,B261))</f>
        <v/>
      </c>
    </row>
    <row r="262" spans="1:26" ht="15.75" customHeight="1">
      <c r="A262" s="220"/>
      <c r="B262" s="137"/>
      <c r="C262" s="137"/>
      <c r="D262" s="136"/>
      <c r="E262" s="137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 t="str">
        <f>IF(B262="","",SUMIFS('PR-BOM'!$D$3:$D995,'PR-BOM'!$C$3:$C995,C262,'PR-BOM'!$B$3:$B995,B262))</f>
        <v/>
      </c>
    </row>
    <row r="263" spans="1:26" ht="15.75" customHeight="1">
      <c r="A263" s="220"/>
      <c r="B263" s="137"/>
      <c r="C263" s="137"/>
      <c r="D263" s="136"/>
      <c r="E263" s="137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 t="str">
        <f>IF(B263="","",SUMIFS('PR-BOM'!$D$3:$D995,'PR-BOM'!$C$3:$C995,C263,'PR-BOM'!$B$3:$B995,B263))</f>
        <v/>
      </c>
    </row>
    <row r="264" spans="1:26" ht="15.75" customHeight="1">
      <c r="A264" s="220"/>
      <c r="B264" s="137"/>
      <c r="C264" s="137"/>
      <c r="D264" s="136"/>
      <c r="E264" s="137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 t="str">
        <f>IF(B264="","",SUMIFS('PR-BOM'!$D$3:$D995,'PR-BOM'!$C$3:$C995,C264,'PR-BOM'!$B$3:$B995,B264))</f>
        <v/>
      </c>
    </row>
    <row r="265" spans="1:26" ht="15.75" customHeight="1">
      <c r="A265" s="220"/>
      <c r="B265" s="137"/>
      <c r="C265" s="137"/>
      <c r="D265" s="136"/>
      <c r="E265" s="137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 t="str">
        <f>IF(B265="","",SUMIFS('PR-BOM'!$D$3:$D995,'PR-BOM'!$C$3:$C995,C265,'PR-BOM'!$B$3:$B995,B265))</f>
        <v/>
      </c>
    </row>
    <row r="266" spans="1:26" ht="15.75" customHeight="1">
      <c r="A266" s="220"/>
      <c r="B266" s="137"/>
      <c r="C266" s="137"/>
      <c r="D266" s="136"/>
      <c r="E266" s="137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 t="str">
        <f>IF(B266="","",SUMIFS('PR-BOM'!$D$3:$D995,'PR-BOM'!$C$3:$C995,C266,'PR-BOM'!$B$3:$B995,B266))</f>
        <v/>
      </c>
    </row>
    <row r="267" spans="1:26" ht="15.75" customHeight="1">
      <c r="A267" s="220"/>
      <c r="B267" s="137"/>
      <c r="C267" s="137"/>
      <c r="D267" s="136"/>
      <c r="E267" s="137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 t="str">
        <f>IF(B267="","",SUMIFS('PR-BOM'!$D$3:$D995,'PR-BOM'!$C$3:$C995,C267,'PR-BOM'!$B$3:$B995,B267))</f>
        <v/>
      </c>
    </row>
    <row r="268" spans="1:26" ht="15.75" customHeight="1">
      <c r="A268" s="220"/>
      <c r="B268" s="137"/>
      <c r="C268" s="137"/>
      <c r="D268" s="136"/>
      <c r="E268" s="137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 t="str">
        <f>IF(B268="","",SUMIFS('PR-BOM'!$D$3:$D995,'PR-BOM'!$C$3:$C995,C268,'PR-BOM'!$B$3:$B995,B268))</f>
        <v/>
      </c>
    </row>
    <row r="269" spans="1:26" ht="15.75" customHeight="1">
      <c r="A269" s="220"/>
      <c r="B269" s="137"/>
      <c r="C269" s="137"/>
      <c r="D269" s="136"/>
      <c r="E269" s="137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 t="str">
        <f>IF(B269="","",SUMIFS('PR-BOM'!$D$3:$D995,'PR-BOM'!$C$3:$C995,C269,'PR-BOM'!$B$3:$B995,B269))</f>
        <v/>
      </c>
    </row>
    <row r="270" spans="1:26" ht="15.75" customHeight="1">
      <c r="A270" s="220"/>
      <c r="B270" s="137"/>
      <c r="C270" s="137"/>
      <c r="D270" s="136"/>
      <c r="E270" s="137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 t="str">
        <f>IF(B270="","",SUMIFS('PR-BOM'!$D$3:$D995,'PR-BOM'!$C$3:$C995,C270,'PR-BOM'!$B$3:$B995,B270))</f>
        <v/>
      </c>
    </row>
    <row r="271" spans="1:26" ht="15.75" customHeight="1">
      <c r="A271" s="220"/>
      <c r="B271" s="137"/>
      <c r="C271" s="137"/>
      <c r="D271" s="136"/>
      <c r="E271" s="137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 t="str">
        <f>IF(B271="","",SUMIFS('PR-BOM'!$D$3:$D995,'PR-BOM'!$C$3:$C995,C271,'PR-BOM'!$B$3:$B995,B271))</f>
        <v/>
      </c>
    </row>
    <row r="272" spans="1:26" ht="15.75" customHeight="1">
      <c r="A272" s="220"/>
      <c r="B272" s="137"/>
      <c r="C272" s="137"/>
      <c r="D272" s="136"/>
      <c r="E272" s="137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 t="str">
        <f>IF(B272="","",SUMIFS('PR-BOM'!$D$3:$D995,'PR-BOM'!$C$3:$C995,C272,'PR-BOM'!$B$3:$B995,B272))</f>
        <v/>
      </c>
    </row>
    <row r="273" spans="1:26" ht="15.75" customHeight="1">
      <c r="A273" s="220"/>
      <c r="B273" s="137"/>
      <c r="C273" s="137"/>
      <c r="D273" s="136"/>
      <c r="E273" s="137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 t="str">
        <f>IF(B273="","",SUMIFS('PR-BOM'!$D$3:$D995,'PR-BOM'!$C$3:$C995,C273,'PR-BOM'!$B$3:$B995,B273))</f>
        <v/>
      </c>
    </row>
    <row r="274" spans="1:26" ht="15.75" customHeight="1">
      <c r="A274" s="220"/>
      <c r="B274" s="137"/>
      <c r="C274" s="137"/>
      <c r="D274" s="136"/>
      <c r="E274" s="137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 t="str">
        <f>IF(B274="","",SUMIFS('PR-BOM'!$D$3:$D995,'PR-BOM'!$C$3:$C995,C274,'PR-BOM'!$B$3:$B995,B274))</f>
        <v/>
      </c>
    </row>
    <row r="275" spans="1:26" ht="15.75" customHeight="1">
      <c r="A275" s="220"/>
      <c r="B275" s="137"/>
      <c r="C275" s="137"/>
      <c r="D275" s="136"/>
      <c r="E275" s="137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 t="str">
        <f>IF(B275="","",SUMIFS('PR-BOM'!$D$3:$D995,'PR-BOM'!$C$3:$C995,C275,'PR-BOM'!$B$3:$B995,B275))</f>
        <v/>
      </c>
    </row>
    <row r="276" spans="1:26" ht="15.75" customHeight="1">
      <c r="A276" s="220"/>
      <c r="B276" s="137"/>
      <c r="C276" s="137"/>
      <c r="D276" s="136"/>
      <c r="E276" s="137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 t="str">
        <f>IF(B276="","",SUMIFS('PR-BOM'!$D$3:$D995,'PR-BOM'!$C$3:$C995,C276,'PR-BOM'!$B$3:$B995,B276))</f>
        <v/>
      </c>
    </row>
    <row r="277" spans="1:26" ht="15.75" customHeight="1">
      <c r="A277" s="220"/>
      <c r="B277" s="137"/>
      <c r="C277" s="137"/>
      <c r="D277" s="136"/>
      <c r="E277" s="137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 t="str">
        <f>IF(B277="","",SUMIFS('PR-BOM'!$D$3:$D995,'PR-BOM'!$C$3:$C995,C277,'PR-BOM'!$B$3:$B995,B277))</f>
        <v/>
      </c>
    </row>
    <row r="278" spans="1:26" ht="15.75" customHeight="1">
      <c r="A278" s="220"/>
      <c r="B278" s="137"/>
      <c r="C278" s="137"/>
      <c r="D278" s="136"/>
      <c r="E278" s="137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 t="str">
        <f>IF(B278="","",SUMIFS('PR-BOM'!$D$3:$D995,'PR-BOM'!$C$3:$C995,C278,'PR-BOM'!$B$3:$B995,B278))</f>
        <v/>
      </c>
    </row>
    <row r="279" spans="1:26" ht="15.75" customHeight="1">
      <c r="A279" s="220"/>
      <c r="B279" s="137"/>
      <c r="C279" s="137"/>
      <c r="D279" s="136"/>
      <c r="E279" s="137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 t="str">
        <f>IF(B279="","",SUMIFS('PR-BOM'!$D$3:$D995,'PR-BOM'!$C$3:$C995,C279,'PR-BOM'!$B$3:$B995,B279))</f>
        <v/>
      </c>
    </row>
    <row r="280" spans="1:26" ht="15.75" customHeight="1">
      <c r="A280" s="220"/>
      <c r="B280" s="137"/>
      <c r="C280" s="137"/>
      <c r="D280" s="136"/>
      <c r="E280" s="137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 t="str">
        <f>IF(B280="","",SUMIFS('PR-BOM'!$D$3:$D995,'PR-BOM'!$C$3:$C995,C280,'PR-BOM'!$B$3:$B995,B280))</f>
        <v/>
      </c>
    </row>
    <row r="281" spans="1:26" ht="15.75" customHeight="1">
      <c r="A281" s="220"/>
      <c r="B281" s="137"/>
      <c r="C281" s="137"/>
      <c r="D281" s="136"/>
      <c r="E281" s="137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 t="str">
        <f>IF(B281="","",SUMIFS('PR-BOM'!$D$3:$D995,'PR-BOM'!$C$3:$C995,C281,'PR-BOM'!$B$3:$B995,B281))</f>
        <v/>
      </c>
    </row>
    <row r="282" spans="1:26" ht="15.75" customHeight="1">
      <c r="A282" s="220"/>
      <c r="B282" s="137"/>
      <c r="C282" s="137"/>
      <c r="D282" s="136"/>
      <c r="E282" s="137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 t="str">
        <f>IF(B282="","",SUMIFS('PR-BOM'!$D$3:$D995,'PR-BOM'!$C$3:$C995,C282,'PR-BOM'!$B$3:$B995,B282))</f>
        <v/>
      </c>
    </row>
    <row r="283" spans="1:26" ht="15.75" customHeight="1">
      <c r="A283" s="220"/>
      <c r="B283" s="137"/>
      <c r="C283" s="137"/>
      <c r="D283" s="136"/>
      <c r="E283" s="137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 t="str">
        <f>IF(B283="","",SUMIFS('PR-BOM'!$D$3:$D995,'PR-BOM'!$C$3:$C995,C283,'PR-BOM'!$B$3:$B995,B283))</f>
        <v/>
      </c>
    </row>
    <row r="284" spans="1:26" ht="15.75" customHeight="1">
      <c r="A284" s="220"/>
      <c r="B284" s="137"/>
      <c r="C284" s="137"/>
      <c r="D284" s="136"/>
      <c r="E284" s="137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 t="str">
        <f>IF(B284="","",SUMIFS('PR-BOM'!$D$3:$D995,'PR-BOM'!$C$3:$C995,C284,'PR-BOM'!$B$3:$B995,B284))</f>
        <v/>
      </c>
    </row>
    <row r="285" spans="1:26" ht="15.75" customHeight="1">
      <c r="A285" s="220"/>
      <c r="B285" s="137"/>
      <c r="C285" s="137"/>
      <c r="D285" s="136"/>
      <c r="E285" s="137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 t="str">
        <f>IF(B285="","",SUMIFS('PR-BOM'!$D$3:$D995,'PR-BOM'!$C$3:$C995,C285,'PR-BOM'!$B$3:$B995,B285))</f>
        <v/>
      </c>
    </row>
    <row r="286" spans="1:26" ht="15.75" customHeight="1">
      <c r="A286" s="220"/>
      <c r="B286" s="137"/>
      <c r="C286" s="137"/>
      <c r="D286" s="136"/>
      <c r="E286" s="137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 t="str">
        <f>IF(B286="","",SUMIFS('PR-BOM'!$D$3:$D995,'PR-BOM'!$C$3:$C995,C286,'PR-BOM'!$B$3:$B995,B286))</f>
        <v/>
      </c>
    </row>
    <row r="287" spans="1:26" ht="15.75" customHeight="1">
      <c r="A287" s="220"/>
      <c r="B287" s="137"/>
      <c r="C287" s="137"/>
      <c r="D287" s="136"/>
      <c r="E287" s="137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 t="str">
        <f>IF(B287="","",SUMIFS('PR-BOM'!$D$3:$D995,'PR-BOM'!$C$3:$C995,C287,'PR-BOM'!$B$3:$B995,B287))</f>
        <v/>
      </c>
    </row>
    <row r="288" spans="1:26" ht="15.75" customHeight="1">
      <c r="A288" s="220"/>
      <c r="B288" s="137"/>
      <c r="C288" s="137"/>
      <c r="D288" s="136"/>
      <c r="E288" s="137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 t="str">
        <f>IF(B288="","",SUMIFS('PR-BOM'!$D$3:$D995,'PR-BOM'!$C$3:$C995,C288,'PR-BOM'!$B$3:$B995,B288))</f>
        <v/>
      </c>
    </row>
    <row r="289" spans="1:26" ht="15.75" customHeight="1">
      <c r="A289" s="220"/>
      <c r="B289" s="137"/>
      <c r="C289" s="137"/>
      <c r="D289" s="136"/>
      <c r="E289" s="137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 t="str">
        <f>IF(B289="","",SUMIFS('PR-BOM'!$D$3:$D995,'PR-BOM'!$C$3:$C995,C289,'PR-BOM'!$B$3:$B995,B289))</f>
        <v/>
      </c>
    </row>
    <row r="290" spans="1:26" ht="15.75" customHeight="1">
      <c r="A290" s="220"/>
      <c r="B290" s="137"/>
      <c r="C290" s="137"/>
      <c r="D290" s="136"/>
      <c r="E290" s="137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 t="str">
        <f>IF(B290="","",SUMIFS('PR-BOM'!$D$3:$D995,'PR-BOM'!$C$3:$C995,C290,'PR-BOM'!$B$3:$B995,B290))</f>
        <v/>
      </c>
    </row>
    <row r="291" spans="1:26" ht="15.75" customHeight="1">
      <c r="A291" s="220"/>
      <c r="B291" s="137"/>
      <c r="C291" s="137"/>
      <c r="D291" s="136"/>
      <c r="E291" s="137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 t="str">
        <f>IF(B291="","",SUMIFS('PR-BOM'!$D$3:$D995,'PR-BOM'!$C$3:$C995,C291,'PR-BOM'!$B$3:$B995,B291))</f>
        <v/>
      </c>
    </row>
    <row r="292" spans="1:26" ht="15.75" customHeight="1">
      <c r="A292" s="220"/>
      <c r="B292" s="137"/>
      <c r="C292" s="137"/>
      <c r="D292" s="136"/>
      <c r="E292" s="137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 t="str">
        <f>IF(B292="","",SUMIFS('PR-BOM'!$D$3:$D995,'PR-BOM'!$C$3:$C995,C292,'PR-BOM'!$B$3:$B995,B292))</f>
        <v/>
      </c>
    </row>
    <row r="293" spans="1:26" ht="15.75" customHeight="1">
      <c r="A293" s="220"/>
      <c r="B293" s="137"/>
      <c r="C293" s="137"/>
      <c r="D293" s="136"/>
      <c r="E293" s="137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 t="str">
        <f>IF(B293="","",SUMIFS('PR-BOM'!$D$3:$D995,'PR-BOM'!$C$3:$C995,C293,'PR-BOM'!$B$3:$B995,B293))</f>
        <v/>
      </c>
    </row>
    <row r="294" spans="1:26" ht="15.75" customHeight="1">
      <c r="A294" s="220"/>
      <c r="B294" s="137"/>
      <c r="C294" s="137"/>
      <c r="D294" s="136"/>
      <c r="E294" s="137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 t="str">
        <f>IF(B294="","",SUMIFS('PR-BOM'!$D$3:$D995,'PR-BOM'!$C$3:$C995,C294,'PR-BOM'!$B$3:$B995,B294))</f>
        <v/>
      </c>
    </row>
    <row r="295" spans="1:26" ht="15.75" customHeight="1">
      <c r="A295" s="220"/>
      <c r="B295" s="137"/>
      <c r="C295" s="137"/>
      <c r="D295" s="136"/>
      <c r="E295" s="137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 t="str">
        <f>IF(B295="","",SUMIFS('PR-BOM'!$D$3:$D995,'PR-BOM'!$C$3:$C995,C295,'PR-BOM'!$B$3:$B995,B295))</f>
        <v/>
      </c>
    </row>
    <row r="296" spans="1:26" ht="15.75" customHeight="1">
      <c r="A296" s="220"/>
      <c r="B296" s="137"/>
      <c r="C296" s="137"/>
      <c r="D296" s="136"/>
      <c r="E296" s="137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 t="str">
        <f>IF(B296="","",SUMIFS('PR-BOM'!$D$3:$D995,'PR-BOM'!$C$3:$C995,C296,'PR-BOM'!$B$3:$B995,B296))</f>
        <v/>
      </c>
    </row>
    <row r="297" spans="1:26" ht="15.75" customHeight="1">
      <c r="A297" s="220"/>
      <c r="B297" s="137"/>
      <c r="C297" s="137"/>
      <c r="D297" s="136"/>
      <c r="E297" s="137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 t="str">
        <f>IF(B297="","",SUMIFS('PR-BOM'!$D$3:$D995,'PR-BOM'!$C$3:$C995,C297,'PR-BOM'!$B$3:$B995,B297))</f>
        <v/>
      </c>
    </row>
    <row r="298" spans="1:26" ht="15.75" customHeight="1">
      <c r="A298" s="220"/>
      <c r="B298" s="137"/>
      <c r="C298" s="137"/>
      <c r="D298" s="136"/>
      <c r="E298" s="137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 t="str">
        <f>IF(B298="","",SUMIFS('PR-BOM'!$D$3:$D995,'PR-BOM'!$C$3:$C995,C298,'PR-BOM'!$B$3:$B995,B298))</f>
        <v/>
      </c>
    </row>
    <row r="299" spans="1:26" ht="15.75" customHeight="1">
      <c r="A299" s="220"/>
      <c r="B299" s="137"/>
      <c r="C299" s="137"/>
      <c r="D299" s="136"/>
      <c r="E299" s="137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 t="str">
        <f>IF(B299="","",SUMIFS('PR-BOM'!$D$3:$D995,'PR-BOM'!$C$3:$C995,C299,'PR-BOM'!$B$3:$B995,B299))</f>
        <v/>
      </c>
    </row>
    <row r="300" spans="1:26" ht="15.75" customHeight="1">
      <c r="A300" s="220"/>
      <c r="B300" s="137"/>
      <c r="C300" s="137"/>
      <c r="D300" s="136"/>
      <c r="E300" s="137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 t="str">
        <f>IF(B300="","",SUMIFS('PR-BOM'!$D$3:$D995,'PR-BOM'!$C$3:$C995,C300,'PR-BOM'!$B$3:$B995,B300))</f>
        <v/>
      </c>
    </row>
    <row r="301" spans="1:26" ht="15.75" customHeight="1">
      <c r="A301" s="220"/>
      <c r="B301" s="137"/>
      <c r="C301" s="137"/>
      <c r="D301" s="136"/>
      <c r="E301" s="137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 t="str">
        <f>IF(B301="","",SUMIFS('PR-BOM'!$D$3:$D995,'PR-BOM'!$C$3:$C995,C301,'PR-BOM'!$B$3:$B995,B301))</f>
        <v/>
      </c>
    </row>
    <row r="302" spans="1:26" ht="15.75" customHeight="1">
      <c r="A302" s="220"/>
      <c r="B302" s="137"/>
      <c r="C302" s="137"/>
      <c r="D302" s="136"/>
      <c r="E302" s="137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 t="str">
        <f>IF(B302="","",SUMIFS('PR-BOM'!$D$3:$D995,'PR-BOM'!$C$3:$C995,C302,'PR-BOM'!$B$3:$B995,B302))</f>
        <v/>
      </c>
    </row>
    <row r="303" spans="1:26" ht="15.75" customHeight="1">
      <c r="A303" s="220"/>
      <c r="B303" s="137"/>
      <c r="C303" s="137"/>
      <c r="D303" s="136"/>
      <c r="E303" s="137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 t="str">
        <f>IF(B303="","",SUMIFS('PR-BOM'!$D$3:$D995,'PR-BOM'!$C$3:$C995,C303,'PR-BOM'!$B$3:$B995,B303))</f>
        <v/>
      </c>
    </row>
    <row r="304" spans="1:26" ht="15.75" customHeight="1">
      <c r="A304" s="220"/>
      <c r="B304" s="137"/>
      <c r="C304" s="137"/>
      <c r="D304" s="136"/>
      <c r="E304" s="137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 t="str">
        <f>IF(B304="","",SUMIFS('PR-BOM'!$D$3:$D995,'PR-BOM'!$C$3:$C995,C304,'PR-BOM'!$B$3:$B995,B304))</f>
        <v/>
      </c>
    </row>
    <row r="305" spans="1:26" ht="15.75" customHeight="1">
      <c r="A305" s="220"/>
      <c r="B305" s="137"/>
      <c r="C305" s="137"/>
      <c r="D305" s="136"/>
      <c r="E305" s="137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 t="str">
        <f>IF(B305="","",SUMIFS('PR-BOM'!$D$3:$D995,'PR-BOM'!$C$3:$C995,C305,'PR-BOM'!$B$3:$B995,B305))</f>
        <v/>
      </c>
    </row>
    <row r="306" spans="1:26" ht="15.75" customHeight="1">
      <c r="A306" s="220"/>
      <c r="B306" s="137"/>
      <c r="C306" s="137"/>
      <c r="D306" s="136"/>
      <c r="E306" s="137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 t="str">
        <f>IF(B306="","",SUMIFS('PR-BOM'!$D$3:$D995,'PR-BOM'!$C$3:$C995,C306,'PR-BOM'!$B$3:$B995,B306))</f>
        <v/>
      </c>
    </row>
    <row r="307" spans="1:26" ht="15.75" customHeight="1">
      <c r="A307" s="220"/>
      <c r="B307" s="137"/>
      <c r="C307" s="137"/>
      <c r="D307" s="136"/>
      <c r="E307" s="137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 t="str">
        <f>IF(B307="","",SUMIFS('PR-BOM'!$D$3:$D995,'PR-BOM'!$C$3:$C995,C307,'PR-BOM'!$B$3:$B995,B307))</f>
        <v/>
      </c>
    </row>
    <row r="308" spans="1:26" ht="15.75" customHeight="1">
      <c r="A308" s="220"/>
      <c r="B308" s="137"/>
      <c r="C308" s="137"/>
      <c r="D308" s="136"/>
      <c r="E308" s="137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 t="str">
        <f>IF(B308="","",SUMIFS('PR-BOM'!$D$3:$D995,'PR-BOM'!$C$3:$C995,C308,'PR-BOM'!$B$3:$B995,B308))</f>
        <v/>
      </c>
    </row>
    <row r="309" spans="1:26" ht="15.75" customHeight="1">
      <c r="A309" s="220"/>
      <c r="B309" s="137"/>
      <c r="C309" s="137"/>
      <c r="D309" s="136"/>
      <c r="E309" s="137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 t="str">
        <f>IF(B309="","",SUMIFS('PR-BOM'!$D$3:$D995,'PR-BOM'!$C$3:$C995,C309,'PR-BOM'!$B$3:$B995,B309))</f>
        <v/>
      </c>
    </row>
    <row r="310" spans="1:26" ht="15.75" customHeight="1">
      <c r="A310" s="220"/>
      <c r="B310" s="137"/>
      <c r="C310" s="137"/>
      <c r="D310" s="136"/>
      <c r="E310" s="137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 t="str">
        <f>IF(B310="","",SUMIFS('PR-BOM'!$D$3:$D995,'PR-BOM'!$C$3:$C995,C310,'PR-BOM'!$B$3:$B995,B310))</f>
        <v/>
      </c>
    </row>
    <row r="311" spans="1:26" ht="15.75" customHeight="1">
      <c r="A311" s="220"/>
      <c r="B311" s="137"/>
      <c r="C311" s="137"/>
      <c r="D311" s="136"/>
      <c r="E311" s="137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 t="str">
        <f>IF(B311="","",SUMIFS('PR-BOM'!$D$3:$D995,'PR-BOM'!$C$3:$C995,C311,'PR-BOM'!$B$3:$B995,B311))</f>
        <v/>
      </c>
    </row>
    <row r="312" spans="1:26" ht="15.75" customHeight="1">
      <c r="A312" s="220"/>
      <c r="B312" s="137"/>
      <c r="C312" s="137"/>
      <c r="D312" s="136"/>
      <c r="E312" s="137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 t="str">
        <f>IF(B312="","",SUMIFS('PR-BOM'!$D$3:$D995,'PR-BOM'!$C$3:$C995,C312,'PR-BOM'!$B$3:$B995,B312))</f>
        <v/>
      </c>
    </row>
    <row r="313" spans="1:26" ht="15.75" customHeight="1">
      <c r="A313" s="220"/>
      <c r="B313" s="137"/>
      <c r="C313" s="137"/>
      <c r="D313" s="136"/>
      <c r="E313" s="137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 t="str">
        <f>IF(B313="","",SUMIFS('PR-BOM'!$D$3:$D995,'PR-BOM'!$C$3:$C995,C313,'PR-BOM'!$B$3:$B995,B313))</f>
        <v/>
      </c>
    </row>
    <row r="314" spans="1:26" ht="15.75" customHeight="1">
      <c r="A314" s="220"/>
      <c r="B314" s="137"/>
      <c r="C314" s="137"/>
      <c r="D314" s="136"/>
      <c r="E314" s="137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 t="str">
        <f>IF(B314="","",SUMIFS('PR-BOM'!$D$3:$D995,'PR-BOM'!$C$3:$C995,C314,'PR-BOM'!$B$3:$B995,B314))</f>
        <v/>
      </c>
    </row>
    <row r="315" spans="1:26" ht="15.75" customHeight="1">
      <c r="A315" s="220"/>
      <c r="B315" s="137"/>
      <c r="C315" s="137"/>
      <c r="D315" s="136"/>
      <c r="E315" s="137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 t="str">
        <f>IF(B315="","",SUMIFS('PR-BOM'!$D$3:$D995,'PR-BOM'!$C$3:$C995,C315,'PR-BOM'!$B$3:$B995,B315))</f>
        <v/>
      </c>
    </row>
    <row r="316" spans="1:26" ht="15.75" customHeight="1">
      <c r="A316" s="220"/>
      <c r="B316" s="137"/>
      <c r="C316" s="137"/>
      <c r="D316" s="136"/>
      <c r="E316" s="137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 t="str">
        <f>IF(B316="","",SUMIFS('PR-BOM'!$D$3:$D995,'PR-BOM'!$C$3:$C995,C316,'PR-BOM'!$B$3:$B995,B316))</f>
        <v/>
      </c>
    </row>
    <row r="317" spans="1:26" ht="15.75" customHeight="1">
      <c r="A317" s="220"/>
      <c r="B317" s="137"/>
      <c r="C317" s="137"/>
      <c r="D317" s="136"/>
      <c r="E317" s="137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 t="str">
        <f>IF(B317="","",SUMIFS('PR-BOM'!$D$3:$D995,'PR-BOM'!$C$3:$C995,C317,'PR-BOM'!$B$3:$B995,B317))</f>
        <v/>
      </c>
    </row>
    <row r="318" spans="1:26" ht="15.75" customHeight="1">
      <c r="A318" s="220"/>
      <c r="B318" s="137"/>
      <c r="C318" s="137"/>
      <c r="D318" s="136"/>
      <c r="E318" s="137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 t="str">
        <f>IF(B318="","",SUMIFS('PR-BOM'!$D$3:$D995,'PR-BOM'!$C$3:$C995,C318,'PR-BOM'!$B$3:$B995,B318))</f>
        <v/>
      </c>
    </row>
    <row r="319" spans="1:26" ht="15.75" customHeight="1">
      <c r="A319" s="220"/>
      <c r="B319" s="137"/>
      <c r="C319" s="137"/>
      <c r="D319" s="136"/>
      <c r="E319" s="137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 t="str">
        <f>IF(B319="","",SUMIFS('PR-BOM'!$D$3:$D995,'PR-BOM'!$C$3:$C995,C319,'PR-BOM'!$B$3:$B995,B319))</f>
        <v/>
      </c>
    </row>
    <row r="320" spans="1:26" ht="15.75" customHeight="1">
      <c r="A320" s="220"/>
      <c r="B320" s="137"/>
      <c r="C320" s="137"/>
      <c r="D320" s="136"/>
      <c r="E320" s="137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 t="str">
        <f>IF(B320="","",SUMIFS('PR-BOM'!$D$3:$D995,'PR-BOM'!$C$3:$C995,C320,'PR-BOM'!$B$3:$B995,B320))</f>
        <v/>
      </c>
    </row>
    <row r="321" spans="1:26" ht="15.75" customHeight="1">
      <c r="A321" s="220"/>
      <c r="B321" s="137"/>
      <c r="C321" s="137"/>
      <c r="D321" s="136"/>
      <c r="E321" s="137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 t="str">
        <f>IF(B321="","",SUMIFS('PR-BOM'!$D$3:$D995,'PR-BOM'!$C$3:$C995,C321,'PR-BOM'!$B$3:$B995,B321))</f>
        <v/>
      </c>
    </row>
    <row r="322" spans="1:26" ht="15.75" customHeight="1">
      <c r="A322" s="220"/>
      <c r="B322" s="137"/>
      <c r="C322" s="137"/>
      <c r="D322" s="136"/>
      <c r="E322" s="137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 t="str">
        <f>IF(B322="","",SUMIFS('PR-BOM'!$D$3:$D995,'PR-BOM'!$C$3:$C995,C322,'PR-BOM'!$B$3:$B995,B322))</f>
        <v/>
      </c>
    </row>
    <row r="323" spans="1:26" ht="15.75" customHeight="1">
      <c r="A323" s="220"/>
      <c r="B323" s="137"/>
      <c r="C323" s="137"/>
      <c r="D323" s="136"/>
      <c r="E323" s="137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 t="str">
        <f>IF(B323="","",SUMIFS('PR-BOM'!$D$3:$D995,'PR-BOM'!$C$3:$C995,C323,'PR-BOM'!$B$3:$B995,B323))</f>
        <v/>
      </c>
    </row>
    <row r="324" spans="1:26" ht="15.75" customHeight="1">
      <c r="A324" s="220"/>
      <c r="B324" s="137"/>
      <c r="C324" s="137"/>
      <c r="D324" s="136"/>
      <c r="E324" s="137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 t="str">
        <f>IF(B324="","",SUMIFS('PR-BOM'!$D$3:$D995,'PR-BOM'!$C$3:$C995,C324,'PR-BOM'!$B$3:$B995,B324))</f>
        <v/>
      </c>
    </row>
    <row r="325" spans="1:26" ht="15.75" customHeight="1">
      <c r="A325" s="220"/>
      <c r="B325" s="137"/>
      <c r="C325" s="137"/>
      <c r="D325" s="136"/>
      <c r="E325" s="137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 t="str">
        <f>IF(B325="","",SUMIFS('PR-BOM'!$D$3:$D995,'PR-BOM'!$C$3:$C995,C325,'PR-BOM'!$B$3:$B995,B325))</f>
        <v/>
      </c>
    </row>
    <row r="326" spans="1:26" ht="15.75" customHeight="1">
      <c r="A326" s="220"/>
      <c r="B326" s="137"/>
      <c r="C326" s="137"/>
      <c r="D326" s="136"/>
      <c r="E326" s="137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 t="str">
        <f>IF(B326="","",SUMIFS('PR-BOM'!$D$3:$D995,'PR-BOM'!$C$3:$C995,C326,'PR-BOM'!$B$3:$B995,B326))</f>
        <v/>
      </c>
    </row>
    <row r="327" spans="1:26" ht="15.75" customHeight="1">
      <c r="A327" s="220"/>
      <c r="B327" s="137"/>
      <c r="C327" s="137"/>
      <c r="D327" s="136"/>
      <c r="E327" s="137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 t="str">
        <f>IF(B327="","",SUMIFS('PR-BOM'!$D$3:$D995,'PR-BOM'!$C$3:$C995,C327,'PR-BOM'!$B$3:$B995,B327))</f>
        <v/>
      </c>
    </row>
    <row r="328" spans="1:26" ht="15.75" customHeight="1">
      <c r="A328" s="220"/>
      <c r="B328" s="137"/>
      <c r="C328" s="137"/>
      <c r="D328" s="136"/>
      <c r="E328" s="137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 t="str">
        <f>IF(B328="","",SUMIFS('PR-BOM'!$D$3:$D995,'PR-BOM'!$C$3:$C995,C328,'PR-BOM'!$B$3:$B995,B328))</f>
        <v/>
      </c>
    </row>
    <row r="329" spans="1:26" ht="15.75" customHeight="1">
      <c r="A329" s="220"/>
      <c r="B329" s="137"/>
      <c r="C329" s="137"/>
      <c r="D329" s="136"/>
      <c r="E329" s="137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 t="str">
        <f>IF(B329="","",SUMIFS('PR-BOM'!$D$3:$D995,'PR-BOM'!$C$3:$C995,C329,'PR-BOM'!$B$3:$B995,B329))</f>
        <v/>
      </c>
    </row>
    <row r="330" spans="1:26" ht="15.75" customHeight="1">
      <c r="A330" s="220"/>
      <c r="B330" s="137"/>
      <c r="C330" s="137"/>
      <c r="D330" s="136"/>
      <c r="E330" s="137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 t="str">
        <f>IF(B330="","",SUMIFS('PR-BOM'!$D$3:$D995,'PR-BOM'!$C$3:$C995,C330,'PR-BOM'!$B$3:$B995,B330))</f>
        <v/>
      </c>
    </row>
    <row r="331" spans="1:26" ht="15.75" customHeight="1">
      <c r="A331" s="220"/>
      <c r="B331" s="137"/>
      <c r="C331" s="137"/>
      <c r="D331" s="136"/>
      <c r="E331" s="137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 t="str">
        <f>IF(B331="","",SUMIFS('PR-BOM'!$D$3:$D995,'PR-BOM'!$C$3:$C995,C331,'PR-BOM'!$B$3:$B995,B331))</f>
        <v/>
      </c>
    </row>
    <row r="332" spans="1:26" ht="15.75" customHeight="1">
      <c r="A332" s="220"/>
      <c r="B332" s="137"/>
      <c r="C332" s="137"/>
      <c r="D332" s="136"/>
      <c r="E332" s="137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 t="str">
        <f>IF(B332="","",SUMIFS('PR-BOM'!$D$3:$D995,'PR-BOM'!$C$3:$C995,C332,'PR-BOM'!$B$3:$B995,B332))</f>
        <v/>
      </c>
    </row>
    <row r="333" spans="1:26" ht="15.75" customHeight="1">
      <c r="A333" s="220"/>
      <c r="B333" s="137"/>
      <c r="C333" s="137"/>
      <c r="D333" s="136"/>
      <c r="E333" s="137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 t="str">
        <f>IF(B333="","",SUMIFS('PR-BOM'!$D$3:$D995,'PR-BOM'!$C$3:$C995,C333,'PR-BOM'!$B$3:$B995,B333))</f>
        <v/>
      </c>
    </row>
    <row r="334" spans="1:26" ht="15.75" customHeight="1">
      <c r="A334" s="220"/>
      <c r="B334" s="137"/>
      <c r="C334" s="137"/>
      <c r="D334" s="136"/>
      <c r="E334" s="137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 t="str">
        <f>IF(B334="","",SUMIFS('PR-BOM'!$D$3:$D995,'PR-BOM'!$C$3:$C995,C334,'PR-BOM'!$B$3:$B995,B334))</f>
        <v/>
      </c>
    </row>
    <row r="335" spans="1:26" ht="15.75" customHeight="1">
      <c r="A335" s="220"/>
      <c r="B335" s="137"/>
      <c r="C335" s="137"/>
      <c r="D335" s="136"/>
      <c r="E335" s="137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 t="str">
        <f>IF(B335="","",SUMIFS('PR-BOM'!$D$3:$D995,'PR-BOM'!$C$3:$C995,C335,'PR-BOM'!$B$3:$B995,B335))</f>
        <v/>
      </c>
    </row>
    <row r="336" spans="1:26" ht="15.75" customHeight="1">
      <c r="A336" s="220"/>
      <c r="B336" s="137"/>
      <c r="C336" s="137"/>
      <c r="D336" s="136"/>
      <c r="E336" s="137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 t="str">
        <f>IF(B336="","",SUMIFS('PR-BOM'!$D$3:$D995,'PR-BOM'!$C$3:$C995,C336,'PR-BOM'!$B$3:$B995,B336))</f>
        <v/>
      </c>
    </row>
    <row r="337" spans="1:26" ht="15.75" customHeight="1">
      <c r="A337" s="220"/>
      <c r="B337" s="137"/>
      <c r="C337" s="137"/>
      <c r="D337" s="136"/>
      <c r="E337" s="137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 t="str">
        <f>IF(B337="","",SUMIFS('PR-BOM'!$D$3:$D995,'PR-BOM'!$C$3:$C995,C337,'PR-BOM'!$B$3:$B995,B337))</f>
        <v/>
      </c>
    </row>
    <row r="338" spans="1:26" ht="15.75" customHeight="1">
      <c r="A338" s="220"/>
      <c r="B338" s="137"/>
      <c r="C338" s="137"/>
      <c r="D338" s="136"/>
      <c r="E338" s="137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 t="str">
        <f>IF(B338="","",SUMIFS('PR-BOM'!$D$3:$D995,'PR-BOM'!$C$3:$C995,C338,'PR-BOM'!$B$3:$B995,B338))</f>
        <v/>
      </c>
    </row>
    <row r="339" spans="1:26" ht="15.75" customHeight="1">
      <c r="A339" s="220"/>
      <c r="B339" s="137"/>
      <c r="C339" s="137"/>
      <c r="D339" s="136"/>
      <c r="E339" s="137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 t="str">
        <f>IF(B339="","",SUMIFS('PR-BOM'!$D$3:$D995,'PR-BOM'!$C$3:$C995,C339,'PR-BOM'!$B$3:$B995,B339))</f>
        <v/>
      </c>
    </row>
    <row r="340" spans="1:26" ht="15.75" customHeight="1">
      <c r="A340" s="220"/>
      <c r="B340" s="137"/>
      <c r="C340" s="137"/>
      <c r="D340" s="136"/>
      <c r="E340" s="137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 t="str">
        <f>IF(B340="","",SUMIFS('PR-BOM'!$D$3:$D995,'PR-BOM'!$C$3:$C995,C340,'PR-BOM'!$B$3:$B995,B340))</f>
        <v/>
      </c>
    </row>
    <row r="341" spans="1:26" ht="15.75" customHeight="1">
      <c r="A341" s="220"/>
      <c r="B341" s="137"/>
      <c r="C341" s="137"/>
      <c r="D341" s="136"/>
      <c r="E341" s="137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 t="str">
        <f>IF(B341="","",SUMIFS('PR-BOM'!$D$3:$D995,'PR-BOM'!$C$3:$C995,C341,'PR-BOM'!$B$3:$B995,B341))</f>
        <v/>
      </c>
    </row>
    <row r="342" spans="1:26" ht="15.75" customHeight="1">
      <c r="A342" s="220"/>
      <c r="B342" s="137"/>
      <c r="C342" s="137"/>
      <c r="D342" s="136"/>
      <c r="E342" s="137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 t="str">
        <f>IF(B342="","",SUMIFS('PR-BOM'!$D$3:$D995,'PR-BOM'!$C$3:$C995,C342,'PR-BOM'!$B$3:$B995,B342))</f>
        <v/>
      </c>
    </row>
    <row r="343" spans="1:26" ht="15.75" customHeight="1">
      <c r="A343" s="220"/>
      <c r="B343" s="137"/>
      <c r="C343" s="137"/>
      <c r="D343" s="136"/>
      <c r="E343" s="137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 t="str">
        <f>IF(B343="","",SUMIFS('PR-BOM'!$D$3:$D995,'PR-BOM'!$C$3:$C995,C343,'PR-BOM'!$B$3:$B995,B343))</f>
        <v/>
      </c>
    </row>
    <row r="344" spans="1:26" ht="15.75" customHeight="1">
      <c r="A344" s="220"/>
      <c r="B344" s="137"/>
      <c r="C344" s="137"/>
      <c r="D344" s="136"/>
      <c r="E344" s="137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 t="str">
        <f>IF(B344="","",SUMIFS('PR-BOM'!$D$3:$D995,'PR-BOM'!$C$3:$C995,C344,'PR-BOM'!$B$3:$B995,B344))</f>
        <v/>
      </c>
    </row>
    <row r="345" spans="1:26" ht="15.75" customHeight="1">
      <c r="A345" s="220"/>
      <c r="B345" s="137"/>
      <c r="C345" s="137"/>
      <c r="D345" s="136"/>
      <c r="E345" s="137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 t="str">
        <f>IF(B345="","",SUMIFS('PR-BOM'!$D$3:$D995,'PR-BOM'!$C$3:$C995,C345,'PR-BOM'!$B$3:$B995,B345))</f>
        <v/>
      </c>
    </row>
    <row r="346" spans="1:26" ht="15.75" customHeight="1">
      <c r="A346" s="220"/>
      <c r="B346" s="137"/>
      <c r="C346" s="137"/>
      <c r="D346" s="136"/>
      <c r="E346" s="137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 t="str">
        <f>IF(B346="","",SUMIFS('PR-BOM'!$D$3:$D995,'PR-BOM'!$C$3:$C995,C346,'PR-BOM'!$B$3:$B995,B346))</f>
        <v/>
      </c>
    </row>
    <row r="347" spans="1:26" ht="15.75" customHeight="1">
      <c r="A347" s="220"/>
      <c r="B347" s="137"/>
      <c r="C347" s="137"/>
      <c r="D347" s="136"/>
      <c r="E347" s="137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 t="str">
        <f>IF(B347="","",SUMIFS('PR-BOM'!$D$3:$D995,'PR-BOM'!$C$3:$C995,C347,'PR-BOM'!$B$3:$B995,B347))</f>
        <v/>
      </c>
    </row>
    <row r="348" spans="1:26" ht="15.75" customHeight="1">
      <c r="A348" s="220"/>
      <c r="B348" s="137"/>
      <c r="C348" s="137"/>
      <c r="D348" s="136"/>
      <c r="E348" s="137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 t="str">
        <f>IF(B348="","",SUMIFS('PR-BOM'!$D$3:$D995,'PR-BOM'!$C$3:$C995,C348,'PR-BOM'!$B$3:$B995,B348))</f>
        <v/>
      </c>
    </row>
    <row r="349" spans="1:26" ht="15.75" customHeight="1">
      <c r="A349" s="220"/>
      <c r="B349" s="137"/>
      <c r="C349" s="137"/>
      <c r="D349" s="136"/>
      <c r="E349" s="137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 t="str">
        <f>IF(B349="","",SUMIFS('PR-BOM'!$D$3:$D995,'PR-BOM'!$C$3:$C995,C349,'PR-BOM'!$B$3:$B995,B349))</f>
        <v/>
      </c>
    </row>
    <row r="350" spans="1:26" ht="15.75" customHeight="1">
      <c r="A350" s="220"/>
      <c r="B350" s="137"/>
      <c r="C350" s="137"/>
      <c r="D350" s="136"/>
      <c r="E350" s="137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 t="str">
        <f>IF(B350="","",SUMIFS('PR-BOM'!$D$3:$D995,'PR-BOM'!$C$3:$C995,C350,'PR-BOM'!$B$3:$B995,B350))</f>
        <v/>
      </c>
    </row>
    <row r="351" spans="1:26" ht="15.75" customHeight="1">
      <c r="A351" s="220"/>
      <c r="B351" s="137"/>
      <c r="C351" s="137"/>
      <c r="D351" s="136"/>
      <c r="E351" s="137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 t="str">
        <f>IF(B351="","",SUMIFS('PR-BOM'!$D$3:$D995,'PR-BOM'!$C$3:$C995,C351,'PR-BOM'!$B$3:$B995,B351))</f>
        <v/>
      </c>
    </row>
    <row r="352" spans="1:26" ht="15.75" customHeight="1">
      <c r="A352" s="220"/>
      <c r="B352" s="137"/>
      <c r="C352" s="137"/>
      <c r="D352" s="136"/>
      <c r="E352" s="137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 t="str">
        <f>IF(B352="","",SUMIFS('PR-BOM'!$D$3:$D995,'PR-BOM'!$C$3:$C995,C352,'PR-BOM'!$B$3:$B995,B352))</f>
        <v/>
      </c>
    </row>
    <row r="353" spans="1:26" ht="15.75" customHeight="1">
      <c r="A353" s="220"/>
      <c r="B353" s="137"/>
      <c r="C353" s="137"/>
      <c r="D353" s="136"/>
      <c r="E353" s="137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 t="str">
        <f>IF(B353="","",SUMIFS('PR-BOM'!$D$3:$D995,'PR-BOM'!$C$3:$C995,C353,'PR-BOM'!$B$3:$B995,B353))</f>
        <v/>
      </c>
    </row>
    <row r="354" spans="1:26" ht="15.75" customHeight="1">
      <c r="A354" s="220"/>
      <c r="B354" s="137"/>
      <c r="C354" s="137"/>
      <c r="D354" s="136"/>
      <c r="E354" s="137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 t="str">
        <f>IF(B354="","",SUMIFS('PR-BOM'!$D$3:$D995,'PR-BOM'!$C$3:$C995,C354,'PR-BOM'!$B$3:$B995,B354))</f>
        <v/>
      </c>
    </row>
    <row r="355" spans="1:26" ht="15.75" customHeight="1">
      <c r="A355" s="220"/>
      <c r="B355" s="137"/>
      <c r="C355" s="137"/>
      <c r="D355" s="136"/>
      <c r="E355" s="137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 t="str">
        <f>IF(B355="","",SUMIFS('PR-BOM'!$D$3:$D995,'PR-BOM'!$C$3:$C995,C355,'PR-BOM'!$B$3:$B995,B355))</f>
        <v/>
      </c>
    </row>
    <row r="356" spans="1:26" ht="15.75" customHeight="1">
      <c r="A356" s="220"/>
      <c r="B356" s="137"/>
      <c r="C356" s="137"/>
      <c r="D356" s="136"/>
      <c r="E356" s="137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 t="str">
        <f>IF(B356="","",SUMIFS('PR-BOM'!$D$3:$D995,'PR-BOM'!$C$3:$C995,C356,'PR-BOM'!$B$3:$B995,B356))</f>
        <v/>
      </c>
    </row>
    <row r="357" spans="1:26" ht="15.75" customHeight="1">
      <c r="A357" s="220"/>
      <c r="B357" s="137"/>
      <c r="C357" s="137"/>
      <c r="D357" s="136"/>
      <c r="E357" s="137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 t="str">
        <f>IF(B357="","",SUMIFS('PR-BOM'!$D$3:$D995,'PR-BOM'!$C$3:$C995,C357,'PR-BOM'!$B$3:$B995,B357))</f>
        <v/>
      </c>
    </row>
    <row r="358" spans="1:26" ht="15.75" customHeight="1">
      <c r="A358" s="220"/>
      <c r="B358" s="137"/>
      <c r="C358" s="137"/>
      <c r="D358" s="136"/>
      <c r="E358" s="137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 t="str">
        <f>IF(B358="","",SUMIFS('PR-BOM'!$D$3:$D995,'PR-BOM'!$C$3:$C995,C358,'PR-BOM'!$B$3:$B995,B358))</f>
        <v/>
      </c>
    </row>
    <row r="359" spans="1:26" ht="15.75" customHeight="1">
      <c r="A359" s="220"/>
      <c r="B359" s="137"/>
      <c r="C359" s="137"/>
      <c r="D359" s="136"/>
      <c r="E359" s="137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 t="str">
        <f>IF(B359="","",SUMIFS('PR-BOM'!$D$3:$D995,'PR-BOM'!$C$3:$C995,C359,'PR-BOM'!$B$3:$B995,B359))</f>
        <v/>
      </c>
    </row>
    <row r="360" spans="1:26" ht="15.75" customHeight="1">
      <c r="A360" s="220"/>
      <c r="B360" s="137"/>
      <c r="C360" s="137"/>
      <c r="D360" s="136"/>
      <c r="E360" s="137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 t="str">
        <f>IF(B360="","",SUMIFS('PR-BOM'!$D$3:$D995,'PR-BOM'!$C$3:$C995,C360,'PR-BOM'!$B$3:$B995,B360))</f>
        <v/>
      </c>
    </row>
    <row r="361" spans="1:26" ht="15.75" customHeight="1">
      <c r="A361" s="220"/>
      <c r="B361" s="137"/>
      <c r="C361" s="137"/>
      <c r="D361" s="136"/>
      <c r="E361" s="137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 t="str">
        <f>IF(B361="","",SUMIFS('PR-BOM'!$D$3:$D995,'PR-BOM'!$C$3:$C995,C361,'PR-BOM'!$B$3:$B995,B361))</f>
        <v/>
      </c>
    </row>
    <row r="362" spans="1:26" ht="15.75" customHeight="1">
      <c r="A362" s="220"/>
      <c r="B362" s="137"/>
      <c r="C362" s="137"/>
      <c r="D362" s="136"/>
      <c r="E362" s="137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 t="str">
        <f>IF(B362="","",SUMIFS('PR-BOM'!$D$3:$D995,'PR-BOM'!$C$3:$C995,C362,'PR-BOM'!$B$3:$B995,B362))</f>
        <v/>
      </c>
    </row>
    <row r="363" spans="1:26" ht="15.75" customHeight="1">
      <c r="A363" s="220"/>
      <c r="B363" s="137"/>
      <c r="C363" s="137"/>
      <c r="D363" s="136"/>
      <c r="E363" s="137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 t="str">
        <f>IF(B363="","",SUMIFS('PR-BOM'!$D$3:$D995,'PR-BOM'!$C$3:$C995,C363,'PR-BOM'!$B$3:$B995,B363))</f>
        <v/>
      </c>
    </row>
    <row r="364" spans="1:26" ht="15.75" customHeight="1">
      <c r="A364" s="220"/>
      <c r="B364" s="137"/>
      <c r="C364" s="137"/>
      <c r="D364" s="136"/>
      <c r="E364" s="137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 t="str">
        <f>IF(B364="","",SUMIFS('PR-BOM'!$D$3:$D995,'PR-BOM'!$C$3:$C995,C364,'PR-BOM'!$B$3:$B995,B364))</f>
        <v/>
      </c>
    </row>
    <row r="365" spans="1:26" ht="15.75" customHeight="1">
      <c r="A365" s="220"/>
      <c r="B365" s="137"/>
      <c r="C365" s="137"/>
      <c r="D365" s="136"/>
      <c r="E365" s="137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 t="str">
        <f>IF(B365="","",SUMIFS('PR-BOM'!$D$3:$D995,'PR-BOM'!$C$3:$C995,C365,'PR-BOM'!$B$3:$B995,B365))</f>
        <v/>
      </c>
    </row>
    <row r="366" spans="1:26" ht="15.75" customHeight="1">
      <c r="A366" s="220"/>
      <c r="B366" s="137"/>
      <c r="C366" s="137"/>
      <c r="D366" s="136"/>
      <c r="E366" s="137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 t="str">
        <f>IF(B366="","",SUMIFS('PR-BOM'!$D$3:$D995,'PR-BOM'!$C$3:$C995,C366,'PR-BOM'!$B$3:$B995,B366))</f>
        <v/>
      </c>
    </row>
    <row r="367" spans="1:26" ht="15.75" customHeight="1">
      <c r="A367" s="220"/>
      <c r="B367" s="137"/>
      <c r="C367" s="137"/>
      <c r="D367" s="136"/>
      <c r="E367" s="137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 t="str">
        <f>IF(B367="","",SUMIFS('PR-BOM'!$D$3:$D995,'PR-BOM'!$C$3:$C995,C367,'PR-BOM'!$B$3:$B995,B367))</f>
        <v/>
      </c>
    </row>
    <row r="368" spans="1:26" ht="15.75" customHeight="1">
      <c r="A368" s="220"/>
      <c r="B368" s="137"/>
      <c r="C368" s="137"/>
      <c r="D368" s="136"/>
      <c r="E368" s="137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 t="str">
        <f>IF(B368="","",SUMIFS('PR-BOM'!$D$3:$D995,'PR-BOM'!$C$3:$C995,C368,'PR-BOM'!$B$3:$B995,B368))</f>
        <v/>
      </c>
    </row>
    <row r="369" spans="1:26" ht="15.75" customHeight="1">
      <c r="A369" s="220"/>
      <c r="B369" s="137"/>
      <c r="C369" s="137"/>
      <c r="D369" s="136"/>
      <c r="E369" s="137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 t="str">
        <f>IF(B369="","",SUMIFS('PR-BOM'!$D$3:$D995,'PR-BOM'!$C$3:$C995,C369,'PR-BOM'!$B$3:$B995,B369))</f>
        <v/>
      </c>
    </row>
    <row r="370" spans="1:26" ht="15.75" customHeight="1">
      <c r="A370" s="220"/>
      <c r="B370" s="137"/>
      <c r="C370" s="137"/>
      <c r="D370" s="136"/>
      <c r="E370" s="137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 t="str">
        <f>IF(B370="","",SUMIFS('PR-BOM'!$D$3:$D995,'PR-BOM'!$C$3:$C995,C370,'PR-BOM'!$B$3:$B995,B370))</f>
        <v/>
      </c>
    </row>
    <row r="371" spans="1:26" ht="15.75" customHeight="1">
      <c r="A371" s="220"/>
      <c r="B371" s="137"/>
      <c r="C371" s="137"/>
      <c r="D371" s="136"/>
      <c r="E371" s="137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 t="str">
        <f>IF(B371="","",SUMIFS('PR-BOM'!$D$3:$D995,'PR-BOM'!$C$3:$C995,C371,'PR-BOM'!$B$3:$B995,B371))</f>
        <v/>
      </c>
    </row>
    <row r="372" spans="1:26" ht="15.75" customHeight="1">
      <c r="A372" s="220"/>
      <c r="B372" s="137"/>
      <c r="C372" s="137"/>
      <c r="D372" s="136"/>
      <c r="E372" s="137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 t="str">
        <f>IF(B372="","",SUMIFS('PR-BOM'!$D$3:$D995,'PR-BOM'!$C$3:$C995,C372,'PR-BOM'!$B$3:$B995,B372))</f>
        <v/>
      </c>
    </row>
    <row r="373" spans="1:26" ht="15.75" customHeight="1">
      <c r="A373" s="220"/>
      <c r="B373" s="137"/>
      <c r="C373" s="137"/>
      <c r="D373" s="136"/>
      <c r="E373" s="137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 t="str">
        <f>IF(B373="","",SUMIFS('PR-BOM'!$D$3:$D995,'PR-BOM'!$C$3:$C995,C373,'PR-BOM'!$B$3:$B995,B373))</f>
        <v/>
      </c>
    </row>
    <row r="374" spans="1:26" ht="15.75" customHeight="1">
      <c r="A374" s="220"/>
      <c r="B374" s="137"/>
      <c r="C374" s="137"/>
      <c r="D374" s="136"/>
      <c r="E374" s="137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 t="str">
        <f>IF(B374="","",SUMIFS('PR-BOM'!$D$3:$D995,'PR-BOM'!$C$3:$C995,C374,'PR-BOM'!$B$3:$B995,B374))</f>
        <v/>
      </c>
    </row>
    <row r="375" spans="1:26" ht="15.75" customHeight="1">
      <c r="A375" s="220"/>
      <c r="B375" s="137"/>
      <c r="C375" s="137"/>
      <c r="D375" s="136"/>
      <c r="E375" s="137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 t="str">
        <f>IF(B375="","",SUMIFS('PR-BOM'!$D$3:$D995,'PR-BOM'!$C$3:$C995,C375,'PR-BOM'!$B$3:$B995,B375))</f>
        <v/>
      </c>
    </row>
    <row r="376" spans="1:26" ht="15.75" customHeight="1">
      <c r="A376" s="220"/>
      <c r="B376" s="137"/>
      <c r="C376" s="137"/>
      <c r="D376" s="136"/>
      <c r="E376" s="137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 t="str">
        <f>IF(B376="","",SUMIFS('PR-BOM'!$D$3:$D995,'PR-BOM'!$C$3:$C995,C376,'PR-BOM'!$B$3:$B995,B376))</f>
        <v/>
      </c>
    </row>
    <row r="377" spans="1:26" ht="15.75" customHeight="1">
      <c r="A377" s="220"/>
      <c r="B377" s="137"/>
      <c r="C377" s="137"/>
      <c r="D377" s="136"/>
      <c r="E377" s="137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 t="str">
        <f>IF(B377="","",SUMIFS('PR-BOM'!$D$3:$D995,'PR-BOM'!$C$3:$C995,C377,'PR-BOM'!$B$3:$B995,B377))</f>
        <v/>
      </c>
    </row>
    <row r="378" spans="1:26" ht="15.75" customHeight="1">
      <c r="A378" s="220"/>
      <c r="B378" s="137"/>
      <c r="C378" s="137"/>
      <c r="D378" s="136"/>
      <c r="E378" s="137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 t="str">
        <f>IF(B378="","",SUMIFS('PR-BOM'!$D$3:$D995,'PR-BOM'!$C$3:$C995,C378,'PR-BOM'!$B$3:$B995,B378))</f>
        <v/>
      </c>
    </row>
    <row r="379" spans="1:26" ht="15.75" customHeight="1">
      <c r="A379" s="220"/>
      <c r="B379" s="137"/>
      <c r="C379" s="137"/>
      <c r="D379" s="136"/>
      <c r="E379" s="137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 t="str">
        <f>IF(B379="","",SUMIFS('PR-BOM'!$D$3:$D995,'PR-BOM'!$C$3:$C995,C379,'PR-BOM'!$B$3:$B995,B379))</f>
        <v/>
      </c>
    </row>
    <row r="380" spans="1:26" ht="15.75" customHeight="1">
      <c r="A380" s="220"/>
      <c r="B380" s="137"/>
      <c r="C380" s="137"/>
      <c r="D380" s="136"/>
      <c r="E380" s="137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 t="str">
        <f>IF(B380="","",SUMIFS('PR-BOM'!$D$3:$D995,'PR-BOM'!$C$3:$C995,C380,'PR-BOM'!$B$3:$B995,B380))</f>
        <v/>
      </c>
    </row>
    <row r="381" spans="1:26" ht="15.75" customHeight="1">
      <c r="A381" s="220"/>
      <c r="B381" s="137"/>
      <c r="C381" s="137"/>
      <c r="D381" s="136"/>
      <c r="E381" s="137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 t="str">
        <f>IF(B381="","",SUMIFS('PR-BOM'!$D$3:$D995,'PR-BOM'!$C$3:$C995,C381,'PR-BOM'!$B$3:$B995,B381))</f>
        <v/>
      </c>
    </row>
    <row r="382" spans="1:26" ht="15.75" customHeight="1">
      <c r="A382" s="220"/>
      <c r="B382" s="137"/>
      <c r="C382" s="137"/>
      <c r="D382" s="136"/>
      <c r="E382" s="137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 t="str">
        <f>IF(B382="","",SUMIFS('PR-BOM'!$D$3:$D995,'PR-BOM'!$C$3:$C995,C382,'PR-BOM'!$B$3:$B995,B382))</f>
        <v/>
      </c>
    </row>
    <row r="383" spans="1:26" ht="15.75" customHeight="1">
      <c r="A383" s="220"/>
      <c r="B383" s="137"/>
      <c r="C383" s="137"/>
      <c r="D383" s="136"/>
      <c r="E383" s="137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 t="str">
        <f>IF(B383="","",SUMIFS('PR-BOM'!$D$3:$D995,'PR-BOM'!$C$3:$C995,C383,'PR-BOM'!$B$3:$B995,B383))</f>
        <v/>
      </c>
    </row>
    <row r="384" spans="1:26" ht="15.75" customHeight="1">
      <c r="A384" s="220"/>
      <c r="B384" s="137"/>
      <c r="C384" s="137"/>
      <c r="D384" s="136"/>
      <c r="E384" s="137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 t="str">
        <f>IF(B384="","",SUMIFS('PR-BOM'!$D$3:$D995,'PR-BOM'!$C$3:$C995,C384,'PR-BOM'!$B$3:$B995,B384))</f>
        <v/>
      </c>
    </row>
    <row r="385" spans="1:26" ht="15.75" customHeight="1">
      <c r="A385" s="220"/>
      <c r="B385" s="137"/>
      <c r="C385" s="137"/>
      <c r="D385" s="136"/>
      <c r="E385" s="137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 t="str">
        <f>IF(B385="","",SUMIFS('PR-BOM'!$D$3:$D995,'PR-BOM'!$C$3:$C995,C385,'PR-BOM'!$B$3:$B995,B385))</f>
        <v/>
      </c>
    </row>
    <row r="386" spans="1:26" ht="15.75" customHeight="1">
      <c r="A386" s="220"/>
      <c r="B386" s="137"/>
      <c r="C386" s="137"/>
      <c r="D386" s="136"/>
      <c r="E386" s="137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 t="str">
        <f>IF(B386="","",SUMIFS('PR-BOM'!$D$3:$D995,'PR-BOM'!$C$3:$C995,C386,'PR-BOM'!$B$3:$B995,B386))</f>
        <v/>
      </c>
    </row>
    <row r="387" spans="1:26" ht="15.75" customHeight="1">
      <c r="A387" s="220"/>
      <c r="B387" s="137"/>
      <c r="C387" s="137"/>
      <c r="D387" s="136"/>
      <c r="E387" s="137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 t="str">
        <f>IF(B387="","",SUMIFS('PR-BOM'!$D$3:$D995,'PR-BOM'!$C$3:$C995,C387,'PR-BOM'!$B$3:$B995,B387))</f>
        <v/>
      </c>
    </row>
    <row r="388" spans="1:26" ht="15.75" customHeight="1">
      <c r="A388" s="220"/>
      <c r="B388" s="137"/>
      <c r="C388" s="137"/>
      <c r="D388" s="136"/>
      <c r="E388" s="137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 t="str">
        <f>IF(B388="","",SUMIFS('PR-BOM'!$D$3:$D995,'PR-BOM'!$C$3:$C995,C388,'PR-BOM'!$B$3:$B995,B388))</f>
        <v/>
      </c>
    </row>
    <row r="389" spans="1:26" ht="15.75" customHeight="1">
      <c r="A389" s="220"/>
      <c r="B389" s="137"/>
      <c r="C389" s="137"/>
      <c r="D389" s="136"/>
      <c r="E389" s="137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 t="str">
        <f>IF(B389="","",SUMIFS('PR-BOM'!$D$3:$D995,'PR-BOM'!$C$3:$C995,C389,'PR-BOM'!$B$3:$B995,B389))</f>
        <v/>
      </c>
    </row>
    <row r="390" spans="1:26" ht="15.75" customHeight="1">
      <c r="A390" s="220"/>
      <c r="B390" s="137"/>
      <c r="C390" s="137"/>
      <c r="D390" s="136"/>
      <c r="E390" s="137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 t="str">
        <f>IF(B390="","",SUMIFS('PR-BOM'!$D$3:$D995,'PR-BOM'!$C$3:$C995,C390,'PR-BOM'!$B$3:$B995,B390))</f>
        <v/>
      </c>
    </row>
    <row r="391" spans="1:26" ht="15.75" customHeight="1">
      <c r="A391" s="220"/>
      <c r="B391" s="137"/>
      <c r="C391" s="137"/>
      <c r="D391" s="136"/>
      <c r="E391" s="137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 t="str">
        <f>IF(B391="","",SUMIFS('PR-BOM'!$D$3:$D995,'PR-BOM'!$C$3:$C995,C391,'PR-BOM'!$B$3:$B995,B391))</f>
        <v/>
      </c>
    </row>
    <row r="392" spans="1:26" ht="15.75" customHeight="1">
      <c r="A392" s="220"/>
      <c r="B392" s="137"/>
      <c r="C392" s="137"/>
      <c r="D392" s="136"/>
      <c r="E392" s="137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 t="str">
        <f>IF(B392="","",SUMIFS('PR-BOM'!$D$3:$D995,'PR-BOM'!$C$3:$C995,C392,'PR-BOM'!$B$3:$B995,B392))</f>
        <v/>
      </c>
    </row>
    <row r="393" spans="1:26" ht="15.75" customHeight="1">
      <c r="A393" s="220"/>
      <c r="B393" s="137"/>
      <c r="C393" s="137"/>
      <c r="D393" s="136"/>
      <c r="E393" s="137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 t="str">
        <f>IF(B393="","",SUMIFS('PR-BOM'!$D$3:$D995,'PR-BOM'!$C$3:$C995,C393,'PR-BOM'!$B$3:$B995,B393))</f>
        <v/>
      </c>
    </row>
    <row r="394" spans="1:26" ht="15.75" customHeight="1">
      <c r="A394" s="220"/>
      <c r="B394" s="137"/>
      <c r="C394" s="137"/>
      <c r="D394" s="136"/>
      <c r="E394" s="137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 t="str">
        <f>IF(B394="","",SUMIFS('PR-BOM'!$D$3:$D995,'PR-BOM'!$C$3:$C995,C394,'PR-BOM'!$B$3:$B995,B394))</f>
        <v/>
      </c>
    </row>
    <row r="395" spans="1:26" ht="15.75" customHeight="1">
      <c r="A395" s="220"/>
      <c r="B395" s="137"/>
      <c r="C395" s="137"/>
      <c r="D395" s="136"/>
      <c r="E395" s="137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 t="str">
        <f>IF(B395="","",SUMIFS('PR-BOM'!$D$3:$D995,'PR-BOM'!$C$3:$C995,C395,'PR-BOM'!$B$3:$B995,B395))</f>
        <v/>
      </c>
    </row>
    <row r="396" spans="1:26" ht="15.75" customHeight="1">
      <c r="A396" s="220"/>
      <c r="B396" s="137"/>
      <c r="C396" s="137"/>
      <c r="D396" s="136"/>
      <c r="E396" s="137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 t="str">
        <f>IF(B396="","",SUMIFS('PR-BOM'!$D$3:$D995,'PR-BOM'!$C$3:$C995,C396,'PR-BOM'!$B$3:$B995,B396))</f>
        <v/>
      </c>
    </row>
    <row r="397" spans="1:26" ht="15.75" customHeight="1">
      <c r="A397" s="220"/>
      <c r="B397" s="137"/>
      <c r="C397" s="137"/>
      <c r="D397" s="136"/>
      <c r="E397" s="137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 t="str">
        <f>IF(B397="","",SUMIFS('PR-BOM'!$D$3:$D995,'PR-BOM'!$C$3:$C995,C397,'PR-BOM'!$B$3:$B995,B397))</f>
        <v/>
      </c>
    </row>
    <row r="398" spans="1:26" ht="15.75" customHeight="1">
      <c r="A398" s="220"/>
      <c r="B398" s="137"/>
      <c r="C398" s="137"/>
      <c r="D398" s="136"/>
      <c r="E398" s="137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 t="str">
        <f>IF(B398="","",SUMIFS('PR-BOM'!$D$3:$D995,'PR-BOM'!$C$3:$C995,C398,'PR-BOM'!$B$3:$B995,B398))</f>
        <v/>
      </c>
    </row>
    <row r="399" spans="1:26" ht="15.75" customHeight="1">
      <c r="A399" s="220"/>
      <c r="B399" s="137"/>
      <c r="C399" s="137"/>
      <c r="D399" s="136"/>
      <c r="E399" s="137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 t="str">
        <f>IF(B399="","",SUMIFS('PR-BOM'!$D$3:$D995,'PR-BOM'!$C$3:$C995,C399,'PR-BOM'!$B$3:$B995,B399))</f>
        <v/>
      </c>
    </row>
    <row r="400" spans="1:26" ht="15.75" customHeight="1">
      <c r="A400" s="220"/>
      <c r="B400" s="137"/>
      <c r="C400" s="137"/>
      <c r="D400" s="136"/>
      <c r="E400" s="137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 t="str">
        <f>IF(B400="","",SUMIFS('PR-BOM'!$D$3:$D995,'PR-BOM'!$C$3:$C995,C400,'PR-BOM'!$B$3:$B995,B400))</f>
        <v/>
      </c>
    </row>
    <row r="401" spans="1:26" ht="15.75" customHeight="1">
      <c r="A401" s="220"/>
      <c r="B401" s="137"/>
      <c r="C401" s="137"/>
      <c r="D401" s="136"/>
      <c r="E401" s="137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 t="str">
        <f>IF(B401="","",SUMIFS('PR-BOM'!$D$3:$D995,'PR-BOM'!$C$3:$C995,C401,'PR-BOM'!$B$3:$B995,B401))</f>
        <v/>
      </c>
    </row>
    <row r="402" spans="1:26" ht="15.75" customHeight="1">
      <c r="A402" s="220"/>
      <c r="B402" s="137"/>
      <c r="C402" s="137"/>
      <c r="D402" s="136"/>
      <c r="E402" s="137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 t="str">
        <f>IF(B402="","",SUMIFS('PR-BOM'!$D$3:$D995,'PR-BOM'!$C$3:$C995,C402,'PR-BOM'!$B$3:$B995,B402))</f>
        <v/>
      </c>
    </row>
    <row r="403" spans="1:26" ht="15.75" customHeight="1">
      <c r="A403" s="220"/>
      <c r="B403" s="137"/>
      <c r="C403" s="137"/>
      <c r="D403" s="136"/>
      <c r="E403" s="137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 t="str">
        <f>IF(B403="","",SUMIFS('PR-BOM'!$D$3:$D995,'PR-BOM'!$C$3:$C995,C403,'PR-BOM'!$B$3:$B995,B403))</f>
        <v/>
      </c>
    </row>
    <row r="404" spans="1:26" ht="15.75" customHeight="1">
      <c r="A404" s="220"/>
      <c r="B404" s="137"/>
      <c r="C404" s="137"/>
      <c r="D404" s="136"/>
      <c r="E404" s="137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 t="str">
        <f>IF(B404="","",SUMIFS('PR-BOM'!$D$3:$D995,'PR-BOM'!$C$3:$C995,C404,'PR-BOM'!$B$3:$B995,B404))</f>
        <v/>
      </c>
    </row>
    <row r="405" spans="1:26" ht="15.75" customHeight="1">
      <c r="A405" s="220"/>
      <c r="B405" s="137"/>
      <c r="C405" s="137"/>
      <c r="D405" s="136"/>
      <c r="E405" s="137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 t="str">
        <f>IF(B405="","",SUMIFS('PR-BOM'!$D$3:$D995,'PR-BOM'!$C$3:$C995,C405,'PR-BOM'!$B$3:$B995,B405))</f>
        <v/>
      </c>
    </row>
    <row r="406" spans="1:26" ht="15.75" customHeight="1">
      <c r="A406" s="220"/>
      <c r="B406" s="137"/>
      <c r="C406" s="137"/>
      <c r="D406" s="136"/>
      <c r="E406" s="137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 t="str">
        <f>IF(B406="","",SUMIFS('PR-BOM'!$D$3:$D995,'PR-BOM'!$C$3:$C995,C406,'PR-BOM'!$B$3:$B995,B406))</f>
        <v/>
      </c>
    </row>
    <row r="407" spans="1:26" ht="15.75" customHeight="1">
      <c r="A407" s="220"/>
      <c r="B407" s="137"/>
      <c r="C407" s="137"/>
      <c r="D407" s="136"/>
      <c r="E407" s="137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 t="str">
        <f>IF(B407="","",SUMIFS('PR-BOM'!$D$3:$D995,'PR-BOM'!$C$3:$C995,C407,'PR-BOM'!$B$3:$B995,B407))</f>
        <v/>
      </c>
    </row>
    <row r="408" spans="1:26" ht="15.75" customHeight="1">
      <c r="A408" s="220"/>
      <c r="B408" s="137"/>
      <c r="C408" s="137"/>
      <c r="D408" s="136"/>
      <c r="E408" s="137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 t="str">
        <f>IF(B408="","",SUMIFS('PR-BOM'!$D$3:$D995,'PR-BOM'!$C$3:$C995,C408,'PR-BOM'!$B$3:$B995,B408))</f>
        <v/>
      </c>
    </row>
    <row r="409" spans="1:26" ht="15.75" customHeight="1">
      <c r="A409" s="220"/>
      <c r="B409" s="137"/>
      <c r="C409" s="137"/>
      <c r="D409" s="136"/>
      <c r="E409" s="137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 t="str">
        <f>IF(B409="","",SUMIFS('PR-BOM'!$D$3:$D995,'PR-BOM'!$C$3:$C995,C409,'PR-BOM'!$B$3:$B995,B409))</f>
        <v/>
      </c>
    </row>
    <row r="410" spans="1:26" ht="15.75" customHeight="1">
      <c r="A410" s="220"/>
      <c r="B410" s="137"/>
      <c r="C410" s="137"/>
      <c r="D410" s="136"/>
      <c r="E410" s="137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 t="str">
        <f>IF(B410="","",SUMIFS('PR-BOM'!$D$3:$D995,'PR-BOM'!$C$3:$C995,C410,'PR-BOM'!$B$3:$B995,B410))</f>
        <v/>
      </c>
    </row>
    <row r="411" spans="1:26" ht="15.75" customHeight="1">
      <c r="A411" s="220"/>
      <c r="B411" s="137"/>
      <c r="C411" s="137"/>
      <c r="D411" s="136"/>
      <c r="E411" s="137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 t="str">
        <f>IF(B411="","",SUMIFS('PR-BOM'!$D$3:$D995,'PR-BOM'!$C$3:$C995,C411,'PR-BOM'!$B$3:$B995,B411))</f>
        <v/>
      </c>
    </row>
    <row r="412" spans="1:26" ht="15.75" customHeight="1">
      <c r="A412" s="220"/>
      <c r="B412" s="137"/>
      <c r="C412" s="137"/>
      <c r="D412" s="136"/>
      <c r="E412" s="137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 t="str">
        <f>IF(B412="","",SUMIFS('PR-BOM'!$D$3:$D995,'PR-BOM'!$C$3:$C995,C412,'PR-BOM'!$B$3:$B995,B412))</f>
        <v/>
      </c>
    </row>
    <row r="413" spans="1:26" ht="15.75" customHeight="1">
      <c r="A413" s="220"/>
      <c r="B413" s="137"/>
      <c r="C413" s="137"/>
      <c r="D413" s="136"/>
      <c r="E413" s="137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 t="str">
        <f>IF(B413="","",SUMIFS('PR-BOM'!$D$3:$D995,'PR-BOM'!$C$3:$C995,C413,'PR-BOM'!$B$3:$B995,B413))</f>
        <v/>
      </c>
    </row>
    <row r="414" spans="1:26" ht="15.75" customHeight="1">
      <c r="A414" s="220"/>
      <c r="B414" s="137"/>
      <c r="C414" s="137"/>
      <c r="D414" s="136"/>
      <c r="E414" s="137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 t="str">
        <f>IF(B414="","",SUMIFS('PR-BOM'!$D$3:$D995,'PR-BOM'!$C$3:$C995,C414,'PR-BOM'!$B$3:$B995,B414))</f>
        <v/>
      </c>
    </row>
    <row r="415" spans="1:26" ht="15.75" customHeight="1">
      <c r="A415" s="220"/>
      <c r="B415" s="137"/>
      <c r="C415" s="137"/>
      <c r="D415" s="136"/>
      <c r="E415" s="137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 t="str">
        <f>IF(B415="","",SUMIFS('PR-BOM'!$D$3:$D995,'PR-BOM'!$C$3:$C995,C415,'PR-BOM'!$B$3:$B995,B415))</f>
        <v/>
      </c>
    </row>
    <row r="416" spans="1:26" ht="15.75" customHeight="1">
      <c r="A416" s="220"/>
      <c r="B416" s="137"/>
      <c r="C416" s="137"/>
      <c r="D416" s="136"/>
      <c r="E416" s="137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 t="str">
        <f>IF(B416="","",SUMIFS('PR-BOM'!$D$3:$D995,'PR-BOM'!$C$3:$C995,C416,'PR-BOM'!$B$3:$B995,B416))</f>
        <v/>
      </c>
    </row>
    <row r="417" spans="1:26" ht="15.75" customHeight="1">
      <c r="A417" s="220"/>
      <c r="B417" s="137"/>
      <c r="C417" s="137"/>
      <c r="D417" s="136"/>
      <c r="E417" s="137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 t="str">
        <f>IF(B417="","",SUMIFS('PR-BOM'!$D$3:$D995,'PR-BOM'!$C$3:$C995,C417,'PR-BOM'!$B$3:$B995,B417))</f>
        <v/>
      </c>
    </row>
    <row r="418" spans="1:26" ht="15.75" customHeight="1">
      <c r="A418" s="220"/>
      <c r="B418" s="137"/>
      <c r="C418" s="137"/>
      <c r="D418" s="136"/>
      <c r="E418" s="137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 t="str">
        <f>IF(B418="","",SUMIFS('PR-BOM'!$D$3:$D995,'PR-BOM'!$C$3:$C995,C418,'PR-BOM'!$B$3:$B995,B418))</f>
        <v/>
      </c>
    </row>
    <row r="419" spans="1:26" ht="15.75" customHeight="1">
      <c r="A419" s="220"/>
      <c r="B419" s="137"/>
      <c r="C419" s="137"/>
      <c r="D419" s="136"/>
      <c r="E419" s="137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 t="str">
        <f>IF(B419="","",SUMIFS('PR-BOM'!$D$3:$D995,'PR-BOM'!$C$3:$C995,C419,'PR-BOM'!$B$3:$B995,B419))</f>
        <v/>
      </c>
    </row>
    <row r="420" spans="1:26" ht="15.75" customHeight="1">
      <c r="A420" s="220"/>
      <c r="B420" s="137"/>
      <c r="C420" s="137"/>
      <c r="D420" s="136"/>
      <c r="E420" s="137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 t="str">
        <f>IF(B420="","",SUMIFS('PR-BOM'!$D$3:$D995,'PR-BOM'!$C$3:$C995,C420,'PR-BOM'!$B$3:$B995,B420))</f>
        <v/>
      </c>
    </row>
    <row r="421" spans="1:26" ht="15.75" customHeight="1">
      <c r="A421" s="220"/>
      <c r="B421" s="137"/>
      <c r="C421" s="137"/>
      <c r="D421" s="136"/>
      <c r="E421" s="137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 t="str">
        <f>IF(B421="","",SUMIFS('PR-BOM'!$D$3:$D995,'PR-BOM'!$C$3:$C995,C421,'PR-BOM'!$B$3:$B995,B421))</f>
        <v/>
      </c>
    </row>
    <row r="422" spans="1:26" ht="15.75" customHeight="1">
      <c r="A422" s="220"/>
      <c r="B422" s="137"/>
      <c r="C422" s="137"/>
      <c r="D422" s="136"/>
      <c r="E422" s="137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 t="str">
        <f>IF(B422="","",SUMIFS('PR-BOM'!$D$3:$D995,'PR-BOM'!$C$3:$C995,C422,'PR-BOM'!$B$3:$B995,B422))</f>
        <v/>
      </c>
    </row>
    <row r="423" spans="1:26" ht="15.75" customHeight="1">
      <c r="A423" s="220"/>
      <c r="B423" s="137"/>
      <c r="C423" s="137"/>
      <c r="D423" s="136"/>
      <c r="E423" s="137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 t="str">
        <f>IF(B423="","",SUMIFS('PR-BOM'!$D$3:$D995,'PR-BOM'!$C$3:$C995,C423,'PR-BOM'!$B$3:$B995,B423))</f>
        <v/>
      </c>
    </row>
    <row r="424" spans="1:26" ht="15.75" customHeight="1">
      <c r="A424" s="220"/>
      <c r="B424" s="137"/>
      <c r="C424" s="137"/>
      <c r="D424" s="136"/>
      <c r="E424" s="137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 t="str">
        <f>IF(B424="","",SUMIFS('PR-BOM'!$D$3:$D995,'PR-BOM'!$C$3:$C995,C424,'PR-BOM'!$B$3:$B995,B424))</f>
        <v/>
      </c>
    </row>
    <row r="425" spans="1:26" ht="15.75" customHeight="1">
      <c r="A425" s="220"/>
      <c r="B425" s="137"/>
      <c r="C425" s="137"/>
      <c r="D425" s="136"/>
      <c r="E425" s="137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 t="str">
        <f>IF(B425="","",SUMIFS('PR-BOM'!$D$3:$D995,'PR-BOM'!$C$3:$C995,C425,'PR-BOM'!$B$3:$B995,B425))</f>
        <v/>
      </c>
    </row>
    <row r="426" spans="1:26" ht="15.75" customHeight="1">
      <c r="A426" s="220"/>
      <c r="B426" s="137"/>
      <c r="C426" s="137"/>
      <c r="D426" s="136"/>
      <c r="E426" s="137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 t="str">
        <f>IF(B426="","",SUMIFS('PR-BOM'!$D$3:$D995,'PR-BOM'!$C$3:$C995,C426,'PR-BOM'!$B$3:$B995,B426))</f>
        <v/>
      </c>
    </row>
    <row r="427" spans="1:26" ht="15.75" customHeight="1">
      <c r="A427" s="220"/>
      <c r="B427" s="137"/>
      <c r="C427" s="137"/>
      <c r="D427" s="136"/>
      <c r="E427" s="137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 t="str">
        <f>IF(B427="","",SUMIFS('PR-BOM'!$D$3:$D995,'PR-BOM'!$C$3:$C995,C427,'PR-BOM'!$B$3:$B995,B427))</f>
        <v/>
      </c>
    </row>
    <row r="428" spans="1:26" ht="15.75" customHeight="1">
      <c r="A428" s="220"/>
      <c r="B428" s="137"/>
      <c r="C428" s="137"/>
      <c r="D428" s="136"/>
      <c r="E428" s="137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 t="str">
        <f>IF(B428="","",SUMIFS('PR-BOM'!$D$3:$D995,'PR-BOM'!$C$3:$C995,C428,'PR-BOM'!$B$3:$B995,B428))</f>
        <v/>
      </c>
    </row>
    <row r="429" spans="1:26" ht="15.75" customHeight="1">
      <c r="A429" s="220"/>
      <c r="B429" s="137"/>
      <c r="C429" s="137"/>
      <c r="D429" s="136"/>
      <c r="E429" s="137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 t="str">
        <f>IF(B429="","",SUMIFS('PR-BOM'!$D$3:$D995,'PR-BOM'!$C$3:$C995,C429,'PR-BOM'!$B$3:$B995,B429))</f>
        <v/>
      </c>
    </row>
    <row r="430" spans="1:26" ht="15.75" customHeight="1">
      <c r="A430" s="220"/>
      <c r="B430" s="137"/>
      <c r="C430" s="137"/>
      <c r="D430" s="136"/>
      <c r="E430" s="137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 t="str">
        <f>IF(B430="","",SUMIFS('PR-BOM'!$D$3:$D995,'PR-BOM'!$C$3:$C995,C430,'PR-BOM'!$B$3:$B995,B430))</f>
        <v/>
      </c>
    </row>
    <row r="431" spans="1:26" ht="15.75" customHeight="1">
      <c r="A431" s="220"/>
      <c r="B431" s="137"/>
      <c r="C431" s="137"/>
      <c r="D431" s="136"/>
      <c r="E431" s="137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 t="str">
        <f>IF(B431="","",SUMIFS('PR-BOM'!$D$3:$D995,'PR-BOM'!$C$3:$C995,C431,'PR-BOM'!$B$3:$B995,B431))</f>
        <v/>
      </c>
    </row>
    <row r="432" spans="1:26" ht="15.75" customHeight="1">
      <c r="A432" s="220"/>
      <c r="B432" s="137"/>
      <c r="C432" s="137"/>
      <c r="D432" s="136"/>
      <c r="E432" s="137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 t="str">
        <f>IF(B432="","",SUMIFS('PR-BOM'!$D$3:$D995,'PR-BOM'!$C$3:$C995,C432,'PR-BOM'!$B$3:$B995,B432))</f>
        <v/>
      </c>
    </row>
    <row r="433" spans="1:26" ht="15.75" customHeight="1">
      <c r="A433" s="220"/>
      <c r="B433" s="137"/>
      <c r="C433" s="137"/>
      <c r="D433" s="136"/>
      <c r="E433" s="137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 t="str">
        <f>IF(B433="","",SUMIFS('PR-BOM'!$D$3:$D995,'PR-BOM'!$C$3:$C995,C433,'PR-BOM'!$B$3:$B995,B433))</f>
        <v/>
      </c>
    </row>
    <row r="434" spans="1:26" ht="15.75" customHeight="1">
      <c r="A434" s="220"/>
      <c r="B434" s="137"/>
      <c r="C434" s="137"/>
      <c r="D434" s="136"/>
      <c r="E434" s="137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 t="str">
        <f>IF(B434="","",SUMIFS('PR-BOM'!$D$3:$D995,'PR-BOM'!$C$3:$C995,C434,'PR-BOM'!$B$3:$B995,B434))</f>
        <v/>
      </c>
    </row>
    <row r="435" spans="1:26" ht="15.75" customHeight="1">
      <c r="A435" s="220"/>
      <c r="B435" s="137"/>
      <c r="C435" s="137"/>
      <c r="D435" s="136"/>
      <c r="E435" s="137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 t="str">
        <f>IF(B435="","",SUMIFS('PR-BOM'!$D$3:$D995,'PR-BOM'!$C$3:$C995,C435,'PR-BOM'!$B$3:$B995,B435))</f>
        <v/>
      </c>
    </row>
    <row r="436" spans="1:26" ht="15.75" customHeight="1">
      <c r="A436" s="220"/>
      <c r="B436" s="137"/>
      <c r="C436" s="137"/>
      <c r="D436" s="136"/>
      <c r="E436" s="137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 t="str">
        <f>IF(B436="","",SUMIFS('PR-BOM'!$D$3:$D995,'PR-BOM'!$C$3:$C995,C436,'PR-BOM'!$B$3:$B995,B436))</f>
        <v/>
      </c>
    </row>
    <row r="437" spans="1:26" ht="15.75" customHeight="1">
      <c r="A437" s="220"/>
      <c r="B437" s="137"/>
      <c r="C437" s="137"/>
      <c r="D437" s="136"/>
      <c r="E437" s="137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 t="str">
        <f>IF(B437="","",SUMIFS('PR-BOM'!$D$3:$D995,'PR-BOM'!$C$3:$C995,C437,'PR-BOM'!$B$3:$B995,B437))</f>
        <v/>
      </c>
    </row>
    <row r="438" spans="1:26" ht="15.75" customHeight="1">
      <c r="A438" s="220"/>
      <c r="B438" s="137"/>
      <c r="C438" s="137"/>
      <c r="D438" s="136"/>
      <c r="E438" s="137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 t="str">
        <f>IF(B438="","",SUMIFS('PR-BOM'!$D$3:$D995,'PR-BOM'!$C$3:$C995,C438,'PR-BOM'!$B$3:$B995,B438))</f>
        <v/>
      </c>
    </row>
    <row r="439" spans="1:26" ht="15.75" customHeight="1">
      <c r="A439" s="220"/>
      <c r="B439" s="137"/>
      <c r="C439" s="137"/>
      <c r="D439" s="136"/>
      <c r="E439" s="137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 t="str">
        <f>IF(B439="","",SUMIFS('PR-BOM'!$D$3:$D995,'PR-BOM'!$C$3:$C995,C439,'PR-BOM'!$B$3:$B995,B439))</f>
        <v/>
      </c>
    </row>
    <row r="440" spans="1:26" ht="15.75" customHeight="1">
      <c r="A440" s="220"/>
      <c r="B440" s="137"/>
      <c r="C440" s="137"/>
      <c r="D440" s="136"/>
      <c r="E440" s="137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 t="str">
        <f>IF(B440="","",SUMIFS('PR-BOM'!$D$3:$D995,'PR-BOM'!$C$3:$C995,C440,'PR-BOM'!$B$3:$B995,B440))</f>
        <v/>
      </c>
    </row>
    <row r="441" spans="1:26" ht="15.75" customHeight="1">
      <c r="A441" s="220"/>
      <c r="B441" s="137"/>
      <c r="C441" s="137"/>
      <c r="D441" s="136"/>
      <c r="E441" s="137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 t="str">
        <f>IF(B441="","",SUMIFS('PR-BOM'!$D$3:$D995,'PR-BOM'!$C$3:$C995,C441,'PR-BOM'!$B$3:$B995,B441))</f>
        <v/>
      </c>
    </row>
    <row r="442" spans="1:26" ht="15.75" customHeight="1">
      <c r="A442" s="220"/>
      <c r="B442" s="137"/>
      <c r="C442" s="137"/>
      <c r="D442" s="136"/>
      <c r="E442" s="137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 t="str">
        <f>IF(B442="","",SUMIFS('PR-BOM'!$D$3:$D995,'PR-BOM'!$C$3:$C995,C442,'PR-BOM'!$B$3:$B995,B442))</f>
        <v/>
      </c>
    </row>
    <row r="443" spans="1:26" ht="15.75" customHeight="1">
      <c r="A443" s="220"/>
      <c r="B443" s="137"/>
      <c r="C443" s="137"/>
      <c r="D443" s="136"/>
      <c r="E443" s="137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 t="str">
        <f>IF(B443="","",SUMIFS('PR-BOM'!$D$3:$D995,'PR-BOM'!$C$3:$C995,C443,'PR-BOM'!$B$3:$B995,B443))</f>
        <v/>
      </c>
    </row>
    <row r="444" spans="1:26" ht="15.75" customHeight="1">
      <c r="A444" s="220"/>
      <c r="B444" s="137"/>
      <c r="C444" s="137"/>
      <c r="D444" s="136"/>
      <c r="E444" s="137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 t="str">
        <f>IF(B444="","",SUMIFS('PR-BOM'!$D$3:$D995,'PR-BOM'!$C$3:$C995,C444,'PR-BOM'!$B$3:$B995,B444))</f>
        <v/>
      </c>
    </row>
    <row r="445" spans="1:26" ht="15.75" customHeight="1">
      <c r="A445" s="220"/>
      <c r="B445" s="137"/>
      <c r="C445" s="137"/>
      <c r="D445" s="136"/>
      <c r="E445" s="137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 t="str">
        <f>IF(B445="","",SUMIFS('PR-BOM'!$D$3:$D995,'PR-BOM'!$C$3:$C995,C445,'PR-BOM'!$B$3:$B995,B445))</f>
        <v/>
      </c>
    </row>
    <row r="446" spans="1:26" ht="15.75" customHeight="1">
      <c r="A446" s="220"/>
      <c r="B446" s="137"/>
      <c r="C446" s="137"/>
      <c r="D446" s="136"/>
      <c r="E446" s="137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 t="str">
        <f>IF(B446="","",SUMIFS('PR-BOM'!$D$3:$D995,'PR-BOM'!$C$3:$C995,C446,'PR-BOM'!$B$3:$B995,B446))</f>
        <v/>
      </c>
    </row>
    <row r="447" spans="1:26" ht="15.75" customHeight="1">
      <c r="A447" s="220"/>
      <c r="B447" s="137"/>
      <c r="C447" s="137"/>
      <c r="D447" s="136"/>
      <c r="E447" s="137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 t="str">
        <f>IF(B447="","",SUMIFS('PR-BOM'!$D$3:$D995,'PR-BOM'!$C$3:$C995,C447,'PR-BOM'!$B$3:$B995,B447))</f>
        <v/>
      </c>
    </row>
    <row r="448" spans="1:26" ht="15.75" customHeight="1">
      <c r="A448" s="220"/>
      <c r="B448" s="137"/>
      <c r="C448" s="137"/>
      <c r="D448" s="136"/>
      <c r="E448" s="137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 t="str">
        <f>IF(B448="","",SUMIFS('PR-BOM'!$D$3:$D995,'PR-BOM'!$C$3:$C995,C448,'PR-BOM'!$B$3:$B995,B448))</f>
        <v/>
      </c>
    </row>
    <row r="449" spans="1:26" ht="15.75" customHeight="1">
      <c r="A449" s="220"/>
      <c r="B449" s="137"/>
      <c r="C449" s="137"/>
      <c r="D449" s="136"/>
      <c r="E449" s="137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 t="str">
        <f>IF(B449="","",SUMIFS('PR-BOM'!$D$3:$D995,'PR-BOM'!$C$3:$C995,C449,'PR-BOM'!$B$3:$B995,B449))</f>
        <v/>
      </c>
    </row>
    <row r="450" spans="1:26" ht="15.75" customHeight="1">
      <c r="A450" s="220"/>
      <c r="B450" s="137"/>
      <c r="C450" s="137"/>
      <c r="D450" s="136"/>
      <c r="E450" s="137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 t="str">
        <f>IF(B450="","",SUMIFS('PR-BOM'!$D$3:$D995,'PR-BOM'!$C$3:$C995,C450,'PR-BOM'!$B$3:$B995,B450))</f>
        <v/>
      </c>
    </row>
    <row r="451" spans="1:26" ht="15.75" customHeight="1">
      <c r="A451" s="220"/>
      <c r="B451" s="137"/>
      <c r="C451" s="137"/>
      <c r="D451" s="136"/>
      <c r="E451" s="137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 t="str">
        <f>IF(B451="","",SUMIFS('PR-BOM'!$D$3:$D995,'PR-BOM'!$C$3:$C995,C451,'PR-BOM'!$B$3:$B995,B451))</f>
        <v/>
      </c>
    </row>
    <row r="452" spans="1:26" ht="15.75" customHeight="1">
      <c r="A452" s="220"/>
      <c r="B452" s="137"/>
      <c r="C452" s="137"/>
      <c r="D452" s="136"/>
      <c r="E452" s="137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 t="str">
        <f>IF(B452="","",SUMIFS('PR-BOM'!$D$3:$D995,'PR-BOM'!$C$3:$C995,C452,'PR-BOM'!$B$3:$B995,B452))</f>
        <v/>
      </c>
    </row>
    <row r="453" spans="1:26" ht="15.75" customHeight="1">
      <c r="A453" s="220"/>
      <c r="B453" s="137"/>
      <c r="C453" s="137"/>
      <c r="D453" s="136"/>
      <c r="E453" s="137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 t="str">
        <f>IF(B453="","",SUMIFS('PR-BOM'!$D$3:$D995,'PR-BOM'!$C$3:$C995,C453,'PR-BOM'!$B$3:$B995,B453))</f>
        <v/>
      </c>
    </row>
    <row r="454" spans="1:26" ht="15.75" customHeight="1">
      <c r="A454" s="220"/>
      <c r="B454" s="137"/>
      <c r="C454" s="137"/>
      <c r="D454" s="136"/>
      <c r="E454" s="137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 t="str">
        <f>IF(B454="","",SUMIFS('PR-BOM'!$D$3:$D995,'PR-BOM'!$C$3:$C995,C454,'PR-BOM'!$B$3:$B995,B454))</f>
        <v/>
      </c>
    </row>
    <row r="455" spans="1:26" ht="15.75" customHeight="1">
      <c r="A455" s="220"/>
      <c r="B455" s="137"/>
      <c r="C455" s="137"/>
      <c r="D455" s="136"/>
      <c r="E455" s="137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 t="str">
        <f>IF(B455="","",SUMIFS('PR-BOM'!$D$3:$D995,'PR-BOM'!$C$3:$C995,C455,'PR-BOM'!$B$3:$B995,B455))</f>
        <v/>
      </c>
    </row>
    <row r="456" spans="1:26" ht="15.75" customHeight="1">
      <c r="A456" s="220"/>
      <c r="B456" s="137"/>
      <c r="C456" s="137"/>
      <c r="D456" s="136"/>
      <c r="E456" s="137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 t="str">
        <f>IF(B456="","",SUMIFS('PR-BOM'!$D$3:$D995,'PR-BOM'!$C$3:$C995,C456,'PR-BOM'!$B$3:$B995,B456))</f>
        <v/>
      </c>
    </row>
    <row r="457" spans="1:26" ht="15.75" customHeight="1">
      <c r="A457" s="220"/>
      <c r="B457" s="137"/>
      <c r="C457" s="137"/>
      <c r="D457" s="136"/>
      <c r="E457" s="137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 t="str">
        <f>IF(B457="","",SUMIFS('PR-BOM'!$D$3:$D995,'PR-BOM'!$C$3:$C995,C457,'PR-BOM'!$B$3:$B995,B457))</f>
        <v/>
      </c>
    </row>
    <row r="458" spans="1:26" ht="15.75" customHeight="1">
      <c r="A458" s="220"/>
      <c r="B458" s="137"/>
      <c r="C458" s="137"/>
      <c r="D458" s="136"/>
      <c r="E458" s="137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 t="str">
        <f>IF(B458="","",SUMIFS('PR-BOM'!$D$3:$D995,'PR-BOM'!$C$3:$C995,C458,'PR-BOM'!$B$3:$B995,B458))</f>
        <v/>
      </c>
    </row>
    <row r="459" spans="1:26" ht="15.75" customHeight="1">
      <c r="A459" s="220"/>
      <c r="B459" s="137"/>
      <c r="C459" s="137"/>
      <c r="D459" s="136"/>
      <c r="E459" s="137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 t="str">
        <f>IF(B459="","",SUMIFS('PR-BOM'!$D$3:$D995,'PR-BOM'!$C$3:$C995,C459,'PR-BOM'!$B$3:$B995,B459))</f>
        <v/>
      </c>
    </row>
    <row r="460" spans="1:26" ht="15.75" customHeight="1">
      <c r="A460" s="220"/>
      <c r="B460" s="137"/>
      <c r="C460" s="137"/>
      <c r="D460" s="136"/>
      <c r="E460" s="137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 t="str">
        <f>IF(B460="","",SUMIFS('PR-BOM'!$D$3:$D995,'PR-BOM'!$C$3:$C995,C460,'PR-BOM'!$B$3:$B995,B460))</f>
        <v/>
      </c>
    </row>
    <row r="461" spans="1:26" ht="15.75" customHeight="1">
      <c r="A461" s="220"/>
      <c r="B461" s="137"/>
      <c r="C461" s="137"/>
      <c r="D461" s="136"/>
      <c r="E461" s="137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 t="str">
        <f>IF(B461="","",SUMIFS('PR-BOM'!$D$3:$D995,'PR-BOM'!$C$3:$C995,C461,'PR-BOM'!$B$3:$B995,B461))</f>
        <v/>
      </c>
    </row>
    <row r="462" spans="1:26" ht="15.75" customHeight="1">
      <c r="A462" s="220"/>
      <c r="B462" s="137"/>
      <c r="C462" s="137"/>
      <c r="D462" s="136"/>
      <c r="E462" s="137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 t="str">
        <f>IF(B462="","",SUMIFS('PR-BOM'!$D$3:$D995,'PR-BOM'!$C$3:$C995,C462,'PR-BOM'!$B$3:$B995,B462))</f>
        <v/>
      </c>
    </row>
    <row r="463" spans="1:26" ht="15.75" customHeight="1">
      <c r="A463" s="220"/>
      <c r="B463" s="137"/>
      <c r="C463" s="137"/>
      <c r="D463" s="136"/>
      <c r="E463" s="137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 t="str">
        <f>IF(B463="","",SUMIFS('PR-BOM'!$D$3:$D995,'PR-BOM'!$C$3:$C995,C463,'PR-BOM'!$B$3:$B995,B463))</f>
        <v/>
      </c>
    </row>
    <row r="464" spans="1:26" ht="15.75" customHeight="1">
      <c r="A464" s="220"/>
      <c r="B464" s="137"/>
      <c r="C464" s="137"/>
      <c r="D464" s="136"/>
      <c r="E464" s="137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 t="str">
        <f>IF(B464="","",SUMIFS('PR-BOM'!$D$3:$D995,'PR-BOM'!$C$3:$C995,C464,'PR-BOM'!$B$3:$B995,B464))</f>
        <v/>
      </c>
    </row>
    <row r="465" spans="1:26" ht="15.75" customHeight="1">
      <c r="A465" s="220"/>
      <c r="B465" s="137"/>
      <c r="C465" s="137"/>
      <c r="D465" s="136"/>
      <c r="E465" s="137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 t="str">
        <f>IF(B465="","",SUMIFS('PR-BOM'!$D$3:$D995,'PR-BOM'!$C$3:$C995,C465,'PR-BOM'!$B$3:$B995,B465))</f>
        <v/>
      </c>
    </row>
    <row r="466" spans="1:26" ht="15.75" customHeight="1">
      <c r="A466" s="220"/>
      <c r="B466" s="137"/>
      <c r="C466" s="137"/>
      <c r="D466" s="136"/>
      <c r="E466" s="137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 t="str">
        <f>IF(B466="","",SUMIFS('PR-BOM'!$D$3:$D995,'PR-BOM'!$C$3:$C995,C466,'PR-BOM'!$B$3:$B995,B466))</f>
        <v/>
      </c>
    </row>
    <row r="467" spans="1:26" ht="15.75" customHeight="1">
      <c r="A467" s="220"/>
      <c r="B467" s="137"/>
      <c r="C467" s="137"/>
      <c r="D467" s="136"/>
      <c r="E467" s="137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 t="str">
        <f>IF(B467="","",SUMIFS('PR-BOM'!$D$3:$D995,'PR-BOM'!$C$3:$C995,C467,'PR-BOM'!$B$3:$B995,B467))</f>
        <v/>
      </c>
    </row>
    <row r="468" spans="1:26" ht="15.75" customHeight="1">
      <c r="A468" s="220"/>
      <c r="B468" s="137"/>
      <c r="C468" s="137"/>
      <c r="D468" s="136"/>
      <c r="E468" s="137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 t="str">
        <f>IF(B468="","",SUMIFS('PR-BOM'!$D$3:$D995,'PR-BOM'!$C$3:$C995,C468,'PR-BOM'!$B$3:$B995,B468))</f>
        <v/>
      </c>
    </row>
    <row r="469" spans="1:26" ht="15.75" customHeight="1">
      <c r="A469" s="220"/>
      <c r="B469" s="137"/>
      <c r="C469" s="137"/>
      <c r="D469" s="136"/>
      <c r="E469" s="137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 t="str">
        <f>IF(B469="","",SUMIFS('PR-BOM'!$D$3:$D995,'PR-BOM'!$C$3:$C995,C469,'PR-BOM'!$B$3:$B995,B469))</f>
        <v/>
      </c>
    </row>
    <row r="470" spans="1:26" ht="15.75" customHeight="1">
      <c r="A470" s="220"/>
      <c r="B470" s="137"/>
      <c r="C470" s="137"/>
      <c r="D470" s="136"/>
      <c r="E470" s="137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 t="str">
        <f>IF(B470="","",SUMIFS('PR-BOM'!$D$3:$D995,'PR-BOM'!$C$3:$C995,C470,'PR-BOM'!$B$3:$B995,B470))</f>
        <v/>
      </c>
    </row>
    <row r="471" spans="1:26" ht="15.75" customHeight="1">
      <c r="A471" s="220"/>
      <c r="B471" s="137"/>
      <c r="C471" s="137"/>
      <c r="D471" s="136"/>
      <c r="E471" s="137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 t="str">
        <f>IF(B471="","",SUMIFS('PR-BOM'!$D$3:$D995,'PR-BOM'!$C$3:$C995,C471,'PR-BOM'!$B$3:$B995,B471))</f>
        <v/>
      </c>
    </row>
    <row r="472" spans="1:26" ht="15.75" customHeight="1">
      <c r="A472" s="220"/>
      <c r="B472" s="137"/>
      <c r="C472" s="137"/>
      <c r="D472" s="136"/>
      <c r="E472" s="137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 t="str">
        <f>IF(B472="","",SUMIFS('PR-BOM'!$D$3:$D995,'PR-BOM'!$C$3:$C995,C472,'PR-BOM'!$B$3:$B995,B472))</f>
        <v/>
      </c>
    </row>
    <row r="473" spans="1:26" ht="15.75" customHeight="1">
      <c r="A473" s="220"/>
      <c r="B473" s="137"/>
      <c r="C473" s="137"/>
      <c r="D473" s="136"/>
      <c r="E473" s="137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 t="str">
        <f>IF(B473="","",SUMIFS('PR-BOM'!$D$3:$D995,'PR-BOM'!$C$3:$C995,C473,'PR-BOM'!$B$3:$B995,B473))</f>
        <v/>
      </c>
    </row>
    <row r="474" spans="1:26" ht="15.75" customHeight="1">
      <c r="A474" s="220"/>
      <c r="B474" s="137"/>
      <c r="C474" s="137"/>
      <c r="D474" s="136"/>
      <c r="E474" s="137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 t="str">
        <f>IF(B474="","",SUMIFS('PR-BOM'!$D$3:$D995,'PR-BOM'!$C$3:$C995,C474,'PR-BOM'!$B$3:$B995,B474))</f>
        <v/>
      </c>
    </row>
    <row r="475" spans="1:26" ht="15.75" customHeight="1">
      <c r="A475" s="220"/>
      <c r="B475" s="137"/>
      <c r="C475" s="137"/>
      <c r="D475" s="136"/>
      <c r="E475" s="137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 t="str">
        <f>IF(B475="","",SUMIFS('PR-BOM'!$D$3:$D995,'PR-BOM'!$C$3:$C995,C475,'PR-BOM'!$B$3:$B995,B475))</f>
        <v/>
      </c>
    </row>
    <row r="476" spans="1:26" ht="15.75" customHeight="1">
      <c r="A476" s="220"/>
      <c r="B476" s="137"/>
      <c r="C476" s="137"/>
      <c r="D476" s="136"/>
      <c r="E476" s="137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 t="str">
        <f>IF(B476="","",SUMIFS('PR-BOM'!$D$3:$D995,'PR-BOM'!$C$3:$C995,C476,'PR-BOM'!$B$3:$B995,B476))</f>
        <v/>
      </c>
    </row>
    <row r="477" spans="1:26" ht="15.75" customHeight="1">
      <c r="A477" s="220"/>
      <c r="B477" s="137"/>
      <c r="C477" s="137"/>
      <c r="D477" s="136"/>
      <c r="E477" s="137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 t="str">
        <f>IF(B477="","",SUMIFS('PR-BOM'!$D$3:$D995,'PR-BOM'!$C$3:$C995,C477,'PR-BOM'!$B$3:$B995,B477))</f>
        <v/>
      </c>
    </row>
    <row r="478" spans="1:26" ht="15.75" customHeight="1">
      <c r="A478" s="220"/>
      <c r="B478" s="137"/>
      <c r="C478" s="137"/>
      <c r="D478" s="136"/>
      <c r="E478" s="137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 t="str">
        <f>IF(B478="","",SUMIFS('PR-BOM'!$D$3:$D995,'PR-BOM'!$C$3:$C995,C478,'PR-BOM'!$B$3:$B995,B478))</f>
        <v/>
      </c>
    </row>
    <row r="479" spans="1:26" ht="15.75" customHeight="1">
      <c r="A479" s="220"/>
      <c r="B479" s="137"/>
      <c r="C479" s="137"/>
      <c r="D479" s="136"/>
      <c r="E479" s="137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 t="str">
        <f>IF(B479="","",SUMIFS('PR-BOM'!$D$3:$D995,'PR-BOM'!$C$3:$C995,C479,'PR-BOM'!$B$3:$B995,B479))</f>
        <v/>
      </c>
    </row>
    <row r="480" spans="1:26" ht="15.75" customHeight="1">
      <c r="A480" s="220"/>
      <c r="B480" s="137"/>
      <c r="C480" s="137"/>
      <c r="D480" s="136"/>
      <c r="E480" s="137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 t="str">
        <f>IF(B480="","",SUMIFS('PR-BOM'!$D$3:$D995,'PR-BOM'!$C$3:$C995,C480,'PR-BOM'!$B$3:$B995,B480))</f>
        <v/>
      </c>
    </row>
    <row r="481" spans="1:26" ht="15.75" customHeight="1">
      <c r="A481" s="220"/>
      <c r="B481" s="137"/>
      <c r="C481" s="137"/>
      <c r="D481" s="136"/>
      <c r="E481" s="137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 t="str">
        <f>IF(B481="","",SUMIFS('PR-BOM'!$D$3:$D995,'PR-BOM'!$C$3:$C995,C481,'PR-BOM'!$B$3:$B995,B481))</f>
        <v/>
      </c>
    </row>
    <row r="482" spans="1:26" ht="15.75" customHeight="1">
      <c r="A482" s="220"/>
      <c r="B482" s="137"/>
      <c r="C482" s="137"/>
      <c r="D482" s="136"/>
      <c r="E482" s="137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 t="str">
        <f>IF(B482="","",SUMIFS('PR-BOM'!$D$3:$D995,'PR-BOM'!$C$3:$C995,C482,'PR-BOM'!$B$3:$B995,B482))</f>
        <v/>
      </c>
    </row>
    <row r="483" spans="1:26" ht="15.75" customHeight="1">
      <c r="A483" s="220"/>
      <c r="B483" s="137"/>
      <c r="C483" s="137"/>
      <c r="D483" s="136"/>
      <c r="E483" s="137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 t="str">
        <f>IF(B483="","",SUMIFS('PR-BOM'!$D$3:$D995,'PR-BOM'!$C$3:$C995,C483,'PR-BOM'!$B$3:$B995,B483))</f>
        <v/>
      </c>
    </row>
    <row r="484" spans="1:26" ht="15.75" customHeight="1">
      <c r="A484" s="220"/>
      <c r="B484" s="137"/>
      <c r="C484" s="137"/>
      <c r="D484" s="136"/>
      <c r="E484" s="137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 t="str">
        <f>IF(B484="","",SUMIFS('PR-BOM'!$D$3:$D995,'PR-BOM'!$C$3:$C995,C484,'PR-BOM'!$B$3:$B995,B484))</f>
        <v/>
      </c>
    </row>
    <row r="485" spans="1:26" ht="15.75" customHeight="1">
      <c r="A485" s="220"/>
      <c r="B485" s="137"/>
      <c r="C485" s="137"/>
      <c r="D485" s="136"/>
      <c r="E485" s="137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 t="str">
        <f>IF(B485="","",SUMIFS('PR-BOM'!$D$3:$D995,'PR-BOM'!$C$3:$C995,C485,'PR-BOM'!$B$3:$B995,B485))</f>
        <v/>
      </c>
    </row>
    <row r="486" spans="1:26" ht="15.75" customHeight="1">
      <c r="A486" s="220"/>
      <c r="B486" s="137"/>
      <c r="C486" s="137"/>
      <c r="D486" s="136"/>
      <c r="E486" s="137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 t="str">
        <f>IF(B486="","",SUMIFS('PR-BOM'!$D$3:$D995,'PR-BOM'!$C$3:$C995,C486,'PR-BOM'!$B$3:$B995,B486))</f>
        <v/>
      </c>
    </row>
    <row r="487" spans="1:26" ht="15.75" customHeight="1">
      <c r="A487" s="220"/>
      <c r="B487" s="137"/>
      <c r="C487" s="137"/>
      <c r="D487" s="136"/>
      <c r="E487" s="137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 t="str">
        <f>IF(B487="","",SUMIFS('PR-BOM'!$D$3:$D995,'PR-BOM'!$C$3:$C995,C487,'PR-BOM'!$B$3:$B995,B487))</f>
        <v/>
      </c>
    </row>
    <row r="488" spans="1:26" ht="15.75" customHeight="1">
      <c r="A488" s="220"/>
      <c r="B488" s="137"/>
      <c r="C488" s="137"/>
      <c r="D488" s="136"/>
      <c r="E488" s="137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 t="str">
        <f>IF(B488="","",SUMIFS('PR-BOM'!$D$3:$D995,'PR-BOM'!$C$3:$C995,C488,'PR-BOM'!$B$3:$B995,B488))</f>
        <v/>
      </c>
    </row>
    <row r="489" spans="1:26" ht="15.75" customHeight="1">
      <c r="A489" s="220"/>
      <c r="B489" s="137"/>
      <c r="C489" s="137"/>
      <c r="D489" s="136"/>
      <c r="E489" s="137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 t="str">
        <f>IF(B489="","",SUMIFS('PR-BOM'!$D$3:$D995,'PR-BOM'!$C$3:$C995,C489,'PR-BOM'!$B$3:$B995,B489))</f>
        <v/>
      </c>
    </row>
    <row r="490" spans="1:26" ht="15.75" customHeight="1">
      <c r="A490" s="220"/>
      <c r="B490" s="137"/>
      <c r="C490" s="137"/>
      <c r="D490" s="136"/>
      <c r="E490" s="137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 t="str">
        <f>IF(B490="","",SUMIFS('PR-BOM'!$D$3:$D995,'PR-BOM'!$C$3:$C995,C490,'PR-BOM'!$B$3:$B995,B490))</f>
        <v/>
      </c>
    </row>
    <row r="491" spans="1:26" ht="15.75" customHeight="1">
      <c r="A491" s="220"/>
      <c r="B491" s="137"/>
      <c r="C491" s="137"/>
      <c r="D491" s="136"/>
      <c r="E491" s="137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 t="str">
        <f>IF(B491="","",SUMIFS('PR-BOM'!$D$3:$D995,'PR-BOM'!$C$3:$C995,C491,'PR-BOM'!$B$3:$B995,B491))</f>
        <v/>
      </c>
    </row>
    <row r="492" spans="1:26" ht="15.75" customHeight="1">
      <c r="A492" s="220"/>
      <c r="B492" s="137"/>
      <c r="C492" s="137"/>
      <c r="D492" s="136"/>
      <c r="E492" s="137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 t="str">
        <f>IF(B492="","",SUMIFS('PR-BOM'!$D$3:$D995,'PR-BOM'!$C$3:$C995,C492,'PR-BOM'!$B$3:$B995,B492))</f>
        <v/>
      </c>
    </row>
    <row r="493" spans="1:26" ht="15.75" customHeight="1">
      <c r="A493" s="220"/>
      <c r="B493" s="137"/>
      <c r="C493" s="137"/>
      <c r="D493" s="136"/>
      <c r="E493" s="137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 t="str">
        <f>IF(B493="","",SUMIFS('PR-BOM'!$D$3:$D995,'PR-BOM'!$C$3:$C995,C493,'PR-BOM'!$B$3:$B995,B493))</f>
        <v/>
      </c>
    </row>
    <row r="494" spans="1:26" ht="15.75" customHeight="1">
      <c r="A494" s="220"/>
      <c r="B494" s="137"/>
      <c r="C494" s="137"/>
      <c r="D494" s="136"/>
      <c r="E494" s="137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 t="str">
        <f>IF(B494="","",SUMIFS('PR-BOM'!$D$3:$D995,'PR-BOM'!$C$3:$C995,C494,'PR-BOM'!$B$3:$B995,B494))</f>
        <v/>
      </c>
    </row>
    <row r="495" spans="1:26" ht="15.75" customHeight="1">
      <c r="A495" s="220"/>
      <c r="B495" s="137"/>
      <c r="C495" s="137"/>
      <c r="D495" s="136"/>
      <c r="E495" s="137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 t="str">
        <f>IF(B495="","",SUMIFS('PR-BOM'!$D$3:$D995,'PR-BOM'!$C$3:$C995,C495,'PR-BOM'!$B$3:$B995,B495))</f>
        <v/>
      </c>
    </row>
    <row r="496" spans="1:26" ht="15.75" customHeight="1">
      <c r="A496" s="220"/>
      <c r="B496" s="137"/>
      <c r="C496" s="137"/>
      <c r="D496" s="136"/>
      <c r="E496" s="137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 t="str">
        <f>IF(B496="","",SUMIFS('PR-BOM'!$D$3:$D995,'PR-BOM'!$C$3:$C995,C496,'PR-BOM'!$B$3:$B995,B496))</f>
        <v/>
      </c>
    </row>
    <row r="497" spans="1:26" ht="15.75" customHeight="1">
      <c r="A497" s="220"/>
      <c r="B497" s="137"/>
      <c r="C497" s="137"/>
      <c r="D497" s="136"/>
      <c r="E497" s="137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 t="str">
        <f>IF(B497="","",SUMIFS('PR-BOM'!$D$3:$D995,'PR-BOM'!$C$3:$C995,C497,'PR-BOM'!$B$3:$B995,B497))</f>
        <v/>
      </c>
    </row>
    <row r="498" spans="1:26" ht="15.75" customHeight="1">
      <c r="A498" s="220"/>
      <c r="B498" s="137"/>
      <c r="C498" s="137"/>
      <c r="D498" s="136"/>
      <c r="E498" s="137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 t="str">
        <f>IF(B498="","",SUMIFS('PR-BOM'!$D$3:$D995,'PR-BOM'!$C$3:$C995,C498,'PR-BOM'!$B$3:$B995,B498))</f>
        <v/>
      </c>
    </row>
    <row r="499" spans="1:26" ht="15.75" customHeight="1">
      <c r="A499" s="220"/>
      <c r="B499" s="137"/>
      <c r="C499" s="137"/>
      <c r="D499" s="136"/>
      <c r="E499" s="137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 t="str">
        <f>IF(B499="","",SUMIFS('PR-BOM'!$D$3:$D995,'PR-BOM'!$C$3:$C995,C499,'PR-BOM'!$B$3:$B995,B499))</f>
        <v/>
      </c>
    </row>
    <row r="500" spans="1:26" ht="15.75" customHeight="1">
      <c r="A500" s="220"/>
      <c r="B500" s="137"/>
      <c r="C500" s="137"/>
      <c r="D500" s="136"/>
      <c r="E500" s="137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 t="str">
        <f>IF(B500="","",SUMIFS('PR-BOM'!$D$3:$D995,'PR-BOM'!$C$3:$C995,C500,'PR-BOM'!$B$3:$B995,B500))</f>
        <v/>
      </c>
    </row>
    <row r="501" spans="1:26" ht="15.75" customHeight="1">
      <c r="A501" s="220"/>
      <c r="B501" s="137"/>
      <c r="C501" s="137"/>
      <c r="D501" s="136"/>
      <c r="E501" s="137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 t="str">
        <f>IF(B501="","",SUMIFS('PR-BOM'!$D$3:$D995,'PR-BOM'!$C$3:$C995,C501,'PR-BOM'!$B$3:$B995,B501))</f>
        <v/>
      </c>
    </row>
    <row r="502" spans="1:26" ht="15.75" customHeight="1">
      <c r="A502" s="220"/>
      <c r="B502" s="137"/>
      <c r="C502" s="137"/>
      <c r="D502" s="136"/>
      <c r="E502" s="137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 t="str">
        <f>IF(B502="","",SUMIFS('PR-BOM'!$D$3:$D995,'PR-BOM'!$C$3:$C995,C502,'PR-BOM'!$B$3:$B995,B502))</f>
        <v/>
      </c>
    </row>
    <row r="503" spans="1:26" ht="15.75" customHeight="1">
      <c r="A503" s="220"/>
      <c r="B503" s="137"/>
      <c r="C503" s="137"/>
      <c r="D503" s="136"/>
      <c r="E503" s="137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 t="str">
        <f>IF(B503="","",SUMIFS('PR-BOM'!$D$3:$D995,'PR-BOM'!$C$3:$C995,C503,'PR-BOM'!$B$3:$B995,B503))</f>
        <v/>
      </c>
    </row>
    <row r="504" spans="1:26" ht="15.75" customHeight="1">
      <c r="A504" s="220"/>
      <c r="B504" s="137"/>
      <c r="C504" s="137"/>
      <c r="D504" s="136"/>
      <c r="E504" s="137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 t="str">
        <f>IF(B504="","",SUMIFS('PR-BOM'!$D$3:$D995,'PR-BOM'!$C$3:$C995,C504,'PR-BOM'!$B$3:$B995,B504))</f>
        <v/>
      </c>
    </row>
    <row r="505" spans="1:26" ht="15.75" customHeight="1">
      <c r="A505" s="220"/>
      <c r="B505" s="137"/>
      <c r="C505" s="137"/>
      <c r="D505" s="136"/>
      <c r="E505" s="137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 t="str">
        <f>IF(B505="","",SUMIFS('PR-BOM'!$D$3:$D995,'PR-BOM'!$C$3:$C995,C505,'PR-BOM'!$B$3:$B995,B505))</f>
        <v/>
      </c>
    </row>
    <row r="506" spans="1:26" ht="15.75" customHeight="1">
      <c r="A506" s="220"/>
      <c r="B506" s="137"/>
      <c r="C506" s="137"/>
      <c r="D506" s="136"/>
      <c r="E506" s="137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 t="str">
        <f>IF(B506="","",SUMIFS('PR-BOM'!$D$3:$D995,'PR-BOM'!$C$3:$C995,C506,'PR-BOM'!$B$3:$B995,B506))</f>
        <v/>
      </c>
    </row>
    <row r="507" spans="1:26" ht="15.75" customHeight="1">
      <c r="A507" s="220"/>
      <c r="B507" s="137"/>
      <c r="C507" s="137"/>
      <c r="D507" s="136"/>
      <c r="E507" s="137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 t="str">
        <f>IF(B507="","",SUMIFS('PR-BOM'!$D$3:$D995,'PR-BOM'!$C$3:$C995,C507,'PR-BOM'!$B$3:$B995,B507))</f>
        <v/>
      </c>
    </row>
    <row r="508" spans="1:26" ht="15.75" customHeight="1">
      <c r="A508" s="220"/>
      <c r="B508" s="137"/>
      <c r="C508" s="137"/>
      <c r="D508" s="136"/>
      <c r="E508" s="137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 t="str">
        <f>IF(B508="","",SUMIFS('PR-BOM'!$D$3:$D995,'PR-BOM'!$C$3:$C995,C508,'PR-BOM'!$B$3:$B995,B508))</f>
        <v/>
      </c>
    </row>
    <row r="509" spans="1:26" ht="15.75" customHeight="1">
      <c r="A509" s="220"/>
      <c r="B509" s="137"/>
      <c r="C509" s="137"/>
      <c r="D509" s="136"/>
      <c r="E509" s="137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 t="str">
        <f>IF(B509="","",SUMIFS('PR-BOM'!$D$3:$D995,'PR-BOM'!$C$3:$C995,C509,'PR-BOM'!$B$3:$B995,B509))</f>
        <v/>
      </c>
    </row>
    <row r="510" spans="1:26" ht="15.75" customHeight="1">
      <c r="A510" s="220"/>
      <c r="B510" s="137"/>
      <c r="C510" s="137"/>
      <c r="D510" s="136"/>
      <c r="E510" s="137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 t="str">
        <f>IF(B510="","",SUMIFS('PR-BOM'!$D$3:$D995,'PR-BOM'!$C$3:$C995,C510,'PR-BOM'!$B$3:$B995,B510))</f>
        <v/>
      </c>
    </row>
    <row r="511" spans="1:26" ht="15.75" customHeight="1">
      <c r="A511" s="220"/>
      <c r="B511" s="137"/>
      <c r="C511" s="137"/>
      <c r="D511" s="136"/>
      <c r="E511" s="137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 t="str">
        <f>IF(B511="","",SUMIFS('PR-BOM'!$D$3:$D995,'PR-BOM'!$C$3:$C995,C511,'PR-BOM'!$B$3:$B995,B511))</f>
        <v/>
      </c>
    </row>
    <row r="512" spans="1:26" ht="15.75" customHeight="1">
      <c r="A512" s="220"/>
      <c r="B512" s="137"/>
      <c r="C512" s="137"/>
      <c r="D512" s="136"/>
      <c r="E512" s="137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 t="str">
        <f>IF(B512="","",SUMIFS('PR-BOM'!$D$3:$D995,'PR-BOM'!$C$3:$C995,C512,'PR-BOM'!$B$3:$B995,B512))</f>
        <v/>
      </c>
    </row>
    <row r="513" spans="1:26" ht="15.75" customHeight="1">
      <c r="A513" s="220"/>
      <c r="B513" s="137"/>
      <c r="C513" s="137"/>
      <c r="D513" s="136"/>
      <c r="E513" s="137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 t="str">
        <f>IF(B513="","",SUMIFS('PR-BOM'!$D$3:$D995,'PR-BOM'!$C$3:$C995,C513,'PR-BOM'!$B$3:$B995,B513))</f>
        <v/>
      </c>
    </row>
    <row r="514" spans="1:26" ht="15.75" customHeight="1">
      <c r="A514" s="220"/>
      <c r="B514" s="137"/>
      <c r="C514" s="137"/>
      <c r="D514" s="136"/>
      <c r="E514" s="137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 t="str">
        <f>IF(B514="","",SUMIFS('PR-BOM'!$D$3:$D995,'PR-BOM'!$C$3:$C995,C514,'PR-BOM'!$B$3:$B995,B514))</f>
        <v/>
      </c>
    </row>
    <row r="515" spans="1:26" ht="15.75" customHeight="1">
      <c r="A515" s="220"/>
      <c r="B515" s="137"/>
      <c r="C515" s="137"/>
      <c r="D515" s="136"/>
      <c r="E515" s="137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 t="str">
        <f>IF(B515="","",SUMIFS('PR-BOM'!$D$3:$D995,'PR-BOM'!$C$3:$C995,C515,'PR-BOM'!$B$3:$B995,B515))</f>
        <v/>
      </c>
    </row>
    <row r="516" spans="1:26" ht="15.75" customHeight="1">
      <c r="A516" s="220"/>
      <c r="B516" s="137"/>
      <c r="C516" s="137"/>
      <c r="D516" s="136"/>
      <c r="E516" s="137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 t="str">
        <f>IF(B516="","",SUMIFS('PR-BOM'!$D$3:$D995,'PR-BOM'!$C$3:$C995,C516,'PR-BOM'!$B$3:$B995,B516))</f>
        <v/>
      </c>
    </row>
    <row r="517" spans="1:26" ht="15.75" customHeight="1">
      <c r="A517" s="220"/>
      <c r="B517" s="137"/>
      <c r="C517" s="137"/>
      <c r="D517" s="136"/>
      <c r="E517" s="137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 t="str">
        <f>IF(B517="","",SUMIFS('PR-BOM'!$D$3:$D995,'PR-BOM'!$C$3:$C995,C517,'PR-BOM'!$B$3:$B995,B517))</f>
        <v/>
      </c>
    </row>
    <row r="518" spans="1:26" ht="15.75" customHeight="1">
      <c r="A518" s="220"/>
      <c r="B518" s="137"/>
      <c r="C518" s="137"/>
      <c r="D518" s="136"/>
      <c r="E518" s="137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 t="str">
        <f>IF(B518="","",SUMIFS('PR-BOM'!$D$3:$D995,'PR-BOM'!$C$3:$C995,C518,'PR-BOM'!$B$3:$B995,B518))</f>
        <v/>
      </c>
    </row>
    <row r="519" spans="1:26" ht="15.75" customHeight="1">
      <c r="A519" s="220"/>
      <c r="B519" s="137"/>
      <c r="C519" s="137"/>
      <c r="D519" s="136"/>
      <c r="E519" s="137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 t="str">
        <f>IF(B519="","",SUMIFS('PR-BOM'!$D$3:$D995,'PR-BOM'!$C$3:$C995,C519,'PR-BOM'!$B$3:$B995,B519))</f>
        <v/>
      </c>
    </row>
    <row r="520" spans="1:26" ht="15.75" customHeight="1">
      <c r="A520" s="220"/>
      <c r="B520" s="137"/>
      <c r="C520" s="137"/>
      <c r="D520" s="136"/>
      <c r="E520" s="137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 t="str">
        <f>IF(B520="","",SUMIFS('PR-BOM'!$D$3:$D995,'PR-BOM'!$C$3:$C995,C520,'PR-BOM'!$B$3:$B995,B520))</f>
        <v/>
      </c>
    </row>
    <row r="521" spans="1:26" ht="15.75" customHeight="1">
      <c r="A521" s="220"/>
      <c r="B521" s="137"/>
      <c r="C521" s="137"/>
      <c r="D521" s="136"/>
      <c r="E521" s="137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 t="str">
        <f>IF(B521="","",SUMIFS('PR-BOM'!$D$3:$D995,'PR-BOM'!$C$3:$C995,C521,'PR-BOM'!$B$3:$B995,B521))</f>
        <v/>
      </c>
    </row>
    <row r="522" spans="1:26" ht="15.75" customHeight="1">
      <c r="A522" s="220"/>
      <c r="B522" s="137"/>
      <c r="C522" s="137"/>
      <c r="D522" s="136"/>
      <c r="E522" s="137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 t="str">
        <f>IF(B522="","",SUMIFS('PR-BOM'!$D$3:$D995,'PR-BOM'!$C$3:$C995,C522,'PR-BOM'!$B$3:$B995,B522))</f>
        <v/>
      </c>
    </row>
    <row r="523" spans="1:26" ht="15.75" customHeight="1">
      <c r="A523" s="220"/>
      <c r="B523" s="137"/>
      <c r="C523" s="137"/>
      <c r="D523" s="136"/>
      <c r="E523" s="137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 t="str">
        <f>IF(B523="","",SUMIFS('PR-BOM'!$D$3:$D995,'PR-BOM'!$C$3:$C995,C523,'PR-BOM'!$B$3:$B995,B523))</f>
        <v/>
      </c>
    </row>
    <row r="524" spans="1:26" ht="15.75" customHeight="1">
      <c r="A524" s="220"/>
      <c r="B524" s="137"/>
      <c r="C524" s="137"/>
      <c r="D524" s="136"/>
      <c r="E524" s="137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 t="str">
        <f>IF(B524="","",SUMIFS('PR-BOM'!$D$3:$D995,'PR-BOM'!$C$3:$C995,C524,'PR-BOM'!$B$3:$B995,B524))</f>
        <v/>
      </c>
    </row>
    <row r="525" spans="1:26" ht="15.75" customHeight="1">
      <c r="A525" s="220"/>
      <c r="B525" s="137"/>
      <c r="C525" s="137"/>
      <c r="D525" s="136"/>
      <c r="E525" s="137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 t="str">
        <f>IF(B525="","",SUMIFS('PR-BOM'!$D$3:$D995,'PR-BOM'!$C$3:$C995,C525,'PR-BOM'!$B$3:$B995,B525))</f>
        <v/>
      </c>
    </row>
    <row r="526" spans="1:26" ht="15.75" customHeight="1">
      <c r="A526" s="220"/>
      <c r="B526" s="137"/>
      <c r="C526" s="137"/>
      <c r="D526" s="136"/>
      <c r="E526" s="137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 t="str">
        <f>IF(B526="","",SUMIFS('PR-BOM'!$D$3:$D995,'PR-BOM'!$C$3:$C995,C526,'PR-BOM'!$B$3:$B995,B526))</f>
        <v/>
      </c>
    </row>
    <row r="527" spans="1:26" ht="15.75" customHeight="1">
      <c r="A527" s="220"/>
      <c r="B527" s="137"/>
      <c r="C527" s="137"/>
      <c r="D527" s="136"/>
      <c r="E527" s="137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 t="str">
        <f>IF(B527="","",SUMIFS('PR-BOM'!$D$3:$D995,'PR-BOM'!$C$3:$C995,C527,'PR-BOM'!$B$3:$B995,B527))</f>
        <v/>
      </c>
    </row>
    <row r="528" spans="1:26" ht="15.75" customHeight="1">
      <c r="A528" s="220"/>
      <c r="B528" s="137"/>
      <c r="C528" s="137"/>
      <c r="D528" s="136"/>
      <c r="E528" s="137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 t="str">
        <f>IF(B528="","",SUMIFS('PR-BOM'!$D$3:$D995,'PR-BOM'!$C$3:$C995,C528,'PR-BOM'!$B$3:$B995,B528))</f>
        <v/>
      </c>
    </row>
    <row r="529" spans="1:26" ht="15.75" customHeight="1">
      <c r="A529" s="220"/>
      <c r="B529" s="137"/>
      <c r="C529" s="137"/>
      <c r="D529" s="136"/>
      <c r="E529" s="137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 t="str">
        <f>IF(B529="","",SUMIFS('PR-BOM'!$D$3:$D995,'PR-BOM'!$C$3:$C995,C529,'PR-BOM'!$B$3:$B995,B529))</f>
        <v/>
      </c>
    </row>
    <row r="530" spans="1:26" ht="15.75" customHeight="1">
      <c r="A530" s="220"/>
      <c r="B530" s="137"/>
      <c r="C530" s="137"/>
      <c r="D530" s="136"/>
      <c r="E530" s="137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 t="str">
        <f>IF(B530="","",SUMIFS('PR-BOM'!$D$3:$D995,'PR-BOM'!$C$3:$C995,C530,'PR-BOM'!$B$3:$B995,B530))</f>
        <v/>
      </c>
    </row>
    <row r="531" spans="1:26" ht="15.75" customHeight="1">
      <c r="A531" s="220"/>
      <c r="B531" s="137"/>
      <c r="C531" s="137"/>
      <c r="D531" s="136"/>
      <c r="E531" s="137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 t="str">
        <f>IF(B531="","",SUMIFS('PR-BOM'!$D$3:$D995,'PR-BOM'!$C$3:$C995,C531,'PR-BOM'!$B$3:$B995,B531))</f>
        <v/>
      </c>
    </row>
    <row r="532" spans="1:26" ht="15.75" customHeight="1">
      <c r="A532" s="220"/>
      <c r="B532" s="137"/>
      <c r="C532" s="137"/>
      <c r="D532" s="136"/>
      <c r="E532" s="137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 t="str">
        <f>IF(B532="","",SUMIFS('PR-BOM'!$D$3:$D995,'PR-BOM'!$C$3:$C995,C532,'PR-BOM'!$B$3:$B995,B532))</f>
        <v/>
      </c>
    </row>
    <row r="533" spans="1:26" ht="15.75" customHeight="1">
      <c r="A533" s="220"/>
      <c r="B533" s="137"/>
      <c r="C533" s="137"/>
      <c r="D533" s="136"/>
      <c r="E533" s="137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 t="str">
        <f>IF(B533="","",SUMIFS('PR-BOM'!$D$3:$D995,'PR-BOM'!$C$3:$C995,C533,'PR-BOM'!$B$3:$B995,B533))</f>
        <v/>
      </c>
    </row>
    <row r="534" spans="1:26" ht="15.75" customHeight="1">
      <c r="A534" s="220"/>
      <c r="B534" s="137"/>
      <c r="C534" s="137"/>
      <c r="D534" s="136"/>
      <c r="E534" s="137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 t="str">
        <f>IF(B534="","",SUMIFS('PR-BOM'!$D$3:$D995,'PR-BOM'!$C$3:$C995,C534,'PR-BOM'!$B$3:$B995,B534))</f>
        <v/>
      </c>
    </row>
    <row r="535" spans="1:26" ht="15.75" customHeight="1">
      <c r="A535" s="220"/>
      <c r="B535" s="137"/>
      <c r="C535" s="137"/>
      <c r="D535" s="136"/>
      <c r="E535" s="137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 t="str">
        <f>IF(B535="","",SUMIFS('PR-BOM'!$D$3:$D995,'PR-BOM'!$C$3:$C995,C535,'PR-BOM'!$B$3:$B995,B535))</f>
        <v/>
      </c>
    </row>
    <row r="536" spans="1:26" ht="15.75" customHeight="1">
      <c r="A536" s="220"/>
      <c r="B536" s="137"/>
      <c r="C536" s="137"/>
      <c r="D536" s="136"/>
      <c r="E536" s="137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 t="str">
        <f>IF(B536="","",SUMIFS('PR-BOM'!$D$3:$D995,'PR-BOM'!$C$3:$C995,C536,'PR-BOM'!$B$3:$B995,B536))</f>
        <v/>
      </c>
    </row>
    <row r="537" spans="1:26" ht="15.75" customHeight="1">
      <c r="A537" s="220"/>
      <c r="B537" s="137"/>
      <c r="C537" s="137"/>
      <c r="D537" s="136"/>
      <c r="E537" s="137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 t="str">
        <f>IF(B537="","",SUMIFS('PR-BOM'!$D$3:$D995,'PR-BOM'!$C$3:$C995,C537,'PR-BOM'!$B$3:$B995,B537))</f>
        <v/>
      </c>
    </row>
    <row r="538" spans="1:26" ht="15.75" customHeight="1">
      <c r="A538" s="220"/>
      <c r="B538" s="137"/>
      <c r="C538" s="137"/>
      <c r="D538" s="136"/>
      <c r="E538" s="137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 t="str">
        <f>IF(B538="","",SUMIFS('PR-BOM'!$D$3:$D995,'PR-BOM'!$C$3:$C995,C538,'PR-BOM'!$B$3:$B995,B538))</f>
        <v/>
      </c>
    </row>
    <row r="539" spans="1:26" ht="15.75" customHeight="1">
      <c r="A539" s="220"/>
      <c r="B539" s="137"/>
      <c r="C539" s="137"/>
      <c r="D539" s="136"/>
      <c r="E539" s="137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 t="str">
        <f>IF(B539="","",SUMIFS('PR-BOM'!$D$3:$D995,'PR-BOM'!$C$3:$C995,C539,'PR-BOM'!$B$3:$B995,B539))</f>
        <v/>
      </c>
    </row>
    <row r="540" spans="1:26" ht="15.75" customHeight="1">
      <c r="A540" s="220"/>
      <c r="B540" s="137"/>
      <c r="C540" s="137"/>
      <c r="D540" s="136"/>
      <c r="E540" s="137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 t="str">
        <f>IF(B540="","",SUMIFS('PR-BOM'!$D$3:$D995,'PR-BOM'!$C$3:$C995,C540,'PR-BOM'!$B$3:$B995,B540))</f>
        <v/>
      </c>
    </row>
    <row r="541" spans="1:26" ht="15.75" customHeight="1">
      <c r="A541" s="220"/>
      <c r="B541" s="137"/>
      <c r="C541" s="137"/>
      <c r="D541" s="136"/>
      <c r="E541" s="137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 t="str">
        <f>IF(B541="","",SUMIFS('PR-BOM'!$D$3:$D995,'PR-BOM'!$C$3:$C995,C541,'PR-BOM'!$B$3:$B995,B541))</f>
        <v/>
      </c>
    </row>
    <row r="542" spans="1:26" ht="15.75" customHeight="1">
      <c r="A542" s="220"/>
      <c r="B542" s="137"/>
      <c r="C542" s="137"/>
      <c r="D542" s="136"/>
      <c r="E542" s="137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 t="str">
        <f>IF(B542="","",SUMIFS('PR-BOM'!$D$3:$D995,'PR-BOM'!$C$3:$C995,C542,'PR-BOM'!$B$3:$B995,B542))</f>
        <v/>
      </c>
    </row>
    <row r="543" spans="1:26" ht="15.75" customHeight="1">
      <c r="A543" s="220"/>
      <c r="B543" s="137"/>
      <c r="C543" s="137"/>
      <c r="D543" s="136"/>
      <c r="E543" s="137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 t="str">
        <f>IF(B543="","",SUMIFS('PR-BOM'!$D$3:$D995,'PR-BOM'!$C$3:$C995,C543,'PR-BOM'!$B$3:$B995,B543))</f>
        <v/>
      </c>
    </row>
    <row r="544" spans="1:26" ht="15.75" customHeight="1">
      <c r="A544" s="220"/>
      <c r="B544" s="137"/>
      <c r="C544" s="137"/>
      <c r="D544" s="136"/>
      <c r="E544" s="137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 t="str">
        <f>IF(B544="","",SUMIFS('PR-BOM'!$D$3:$D995,'PR-BOM'!$C$3:$C995,C544,'PR-BOM'!$B$3:$B995,B544))</f>
        <v/>
      </c>
    </row>
    <row r="545" spans="1:26" ht="15.75" customHeight="1">
      <c r="A545" s="220"/>
      <c r="B545" s="137"/>
      <c r="C545" s="137"/>
      <c r="D545" s="136"/>
      <c r="E545" s="137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 t="str">
        <f>IF(B545="","",SUMIFS('PR-BOM'!$D$3:$D995,'PR-BOM'!$C$3:$C995,C545,'PR-BOM'!$B$3:$B995,B545))</f>
        <v/>
      </c>
    </row>
    <row r="546" spans="1:26" ht="15.75" customHeight="1">
      <c r="A546" s="220"/>
      <c r="B546" s="137"/>
      <c r="C546" s="137"/>
      <c r="D546" s="136"/>
      <c r="E546" s="137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 t="str">
        <f>IF(B546="","",SUMIFS('PR-BOM'!$D$3:$D995,'PR-BOM'!$C$3:$C995,C546,'PR-BOM'!$B$3:$B995,B546))</f>
        <v/>
      </c>
    </row>
    <row r="547" spans="1:26" ht="15.75" customHeight="1">
      <c r="A547" s="220"/>
      <c r="B547" s="137"/>
      <c r="C547" s="137"/>
      <c r="D547" s="136"/>
      <c r="E547" s="137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 t="str">
        <f>IF(B547="","",SUMIFS('PR-BOM'!$D$3:$D995,'PR-BOM'!$C$3:$C995,C547,'PR-BOM'!$B$3:$B995,B547))</f>
        <v/>
      </c>
    </row>
    <row r="548" spans="1:26" ht="15.75" customHeight="1">
      <c r="A548" s="220"/>
      <c r="B548" s="137"/>
      <c r="C548" s="137"/>
      <c r="D548" s="136"/>
      <c r="E548" s="137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 t="str">
        <f>IF(B548="","",SUMIFS('PR-BOM'!$D$3:$D995,'PR-BOM'!$C$3:$C995,C548,'PR-BOM'!$B$3:$B995,B548))</f>
        <v/>
      </c>
    </row>
    <row r="549" spans="1:26" ht="15.75" customHeight="1">
      <c r="A549" s="220"/>
      <c r="B549" s="137"/>
      <c r="C549" s="137"/>
      <c r="D549" s="136"/>
      <c r="E549" s="137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 t="str">
        <f>IF(B549="","",SUMIFS('PR-BOM'!$D$3:$D995,'PR-BOM'!$C$3:$C995,C549,'PR-BOM'!$B$3:$B995,B549))</f>
        <v/>
      </c>
    </row>
    <row r="550" spans="1:26" ht="15.75" customHeight="1">
      <c r="A550" s="220"/>
      <c r="B550" s="137"/>
      <c r="C550" s="137"/>
      <c r="D550" s="136"/>
      <c r="E550" s="137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 t="str">
        <f>IF(B550="","",SUMIFS('PR-BOM'!$D$3:$D995,'PR-BOM'!$C$3:$C995,C550,'PR-BOM'!$B$3:$B995,B550))</f>
        <v/>
      </c>
    </row>
    <row r="551" spans="1:26" ht="15.75" customHeight="1">
      <c r="A551" s="220"/>
      <c r="B551" s="137"/>
      <c r="C551" s="137"/>
      <c r="D551" s="136"/>
      <c r="E551" s="137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 t="str">
        <f>IF(B551="","",SUMIFS('PR-BOM'!$D$3:$D995,'PR-BOM'!$C$3:$C995,C551,'PR-BOM'!$B$3:$B995,B551))</f>
        <v/>
      </c>
    </row>
    <row r="552" spans="1:26" ht="15.75" customHeight="1">
      <c r="A552" s="220"/>
      <c r="B552" s="137"/>
      <c r="C552" s="137"/>
      <c r="D552" s="136"/>
      <c r="E552" s="137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 t="str">
        <f>IF(B552="","",SUMIFS('PR-BOM'!$D$3:$D995,'PR-BOM'!$C$3:$C995,C552,'PR-BOM'!$B$3:$B995,B552))</f>
        <v/>
      </c>
    </row>
    <row r="553" spans="1:26" ht="15.75" customHeight="1">
      <c r="A553" s="220"/>
      <c r="B553" s="137"/>
      <c r="C553" s="137"/>
      <c r="D553" s="136"/>
      <c r="E553" s="137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 t="str">
        <f>IF(B553="","",SUMIFS('PR-BOM'!$D$3:$D995,'PR-BOM'!$C$3:$C995,C553,'PR-BOM'!$B$3:$B995,B553))</f>
        <v/>
      </c>
    </row>
    <row r="554" spans="1:26" ht="15.75" customHeight="1">
      <c r="A554" s="220"/>
      <c r="B554" s="137"/>
      <c r="C554" s="137"/>
      <c r="D554" s="136"/>
      <c r="E554" s="137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 t="str">
        <f>IF(B554="","",SUMIFS('PR-BOM'!$D$3:$D995,'PR-BOM'!$C$3:$C995,C554,'PR-BOM'!$B$3:$B995,B554))</f>
        <v/>
      </c>
    </row>
    <row r="555" spans="1:26" ht="15.75" customHeight="1">
      <c r="A555" s="220"/>
      <c r="B555" s="137"/>
      <c r="C555" s="137"/>
      <c r="D555" s="136"/>
      <c r="E555" s="137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 t="str">
        <f>IF(B555="","",SUMIFS('PR-BOM'!$D$3:$D995,'PR-BOM'!$C$3:$C995,C555,'PR-BOM'!$B$3:$B995,B555))</f>
        <v/>
      </c>
    </row>
    <row r="556" spans="1:26" ht="15.75" customHeight="1">
      <c r="A556" s="220"/>
      <c r="B556" s="137"/>
      <c r="C556" s="137"/>
      <c r="D556" s="136"/>
      <c r="E556" s="137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 t="str">
        <f>IF(B556="","",SUMIFS('PR-BOM'!$D$3:$D995,'PR-BOM'!$C$3:$C995,C556,'PR-BOM'!$B$3:$B995,B556))</f>
        <v/>
      </c>
    </row>
    <row r="557" spans="1:26" ht="15.75" customHeight="1">
      <c r="A557" s="220"/>
      <c r="B557" s="137"/>
      <c r="C557" s="137"/>
      <c r="D557" s="136"/>
      <c r="E557" s="137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 t="str">
        <f>IF(B557="","",SUMIFS('PR-BOM'!$D$3:$D995,'PR-BOM'!$C$3:$C995,C557,'PR-BOM'!$B$3:$B995,B557))</f>
        <v/>
      </c>
    </row>
    <row r="558" spans="1:26" ht="15.75" customHeight="1">
      <c r="A558" s="220"/>
      <c r="B558" s="137"/>
      <c r="C558" s="137"/>
      <c r="D558" s="136"/>
      <c r="E558" s="137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 t="str">
        <f>IF(B558="","",SUMIFS('PR-BOM'!$D$3:$D995,'PR-BOM'!$C$3:$C995,C558,'PR-BOM'!$B$3:$B995,B558))</f>
        <v/>
      </c>
    </row>
    <row r="559" spans="1:26" ht="15.75" customHeight="1">
      <c r="A559" s="220"/>
      <c r="B559" s="137"/>
      <c r="C559" s="137"/>
      <c r="D559" s="136"/>
      <c r="E559" s="137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 t="str">
        <f>IF(B559="","",SUMIFS('PR-BOM'!$D$3:$D995,'PR-BOM'!$C$3:$C995,C559,'PR-BOM'!$B$3:$B995,B559))</f>
        <v/>
      </c>
    </row>
    <row r="560" spans="1:26" ht="15.75" customHeight="1">
      <c r="A560" s="220"/>
      <c r="B560" s="137"/>
      <c r="C560" s="137"/>
      <c r="D560" s="136"/>
      <c r="E560" s="137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 t="str">
        <f>IF(B560="","",SUMIFS('PR-BOM'!$D$3:$D995,'PR-BOM'!$C$3:$C995,C560,'PR-BOM'!$B$3:$B995,B560))</f>
        <v/>
      </c>
    </row>
    <row r="561" spans="1:26" ht="15.75" customHeight="1">
      <c r="A561" s="220"/>
      <c r="B561" s="137"/>
      <c r="C561" s="137"/>
      <c r="D561" s="136"/>
      <c r="E561" s="137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 t="str">
        <f>IF(B561="","",SUMIFS('PR-BOM'!$D$3:$D995,'PR-BOM'!$C$3:$C995,C561,'PR-BOM'!$B$3:$B995,B561))</f>
        <v/>
      </c>
    </row>
    <row r="562" spans="1:26" ht="15.75" customHeight="1">
      <c r="A562" s="220"/>
      <c r="B562" s="137"/>
      <c r="C562" s="137"/>
      <c r="D562" s="136"/>
      <c r="E562" s="137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 t="str">
        <f>IF(B562="","",SUMIFS('PR-BOM'!$D$3:$D995,'PR-BOM'!$C$3:$C995,C562,'PR-BOM'!$B$3:$B995,B562))</f>
        <v/>
      </c>
    </row>
    <row r="563" spans="1:26" ht="15.75" customHeight="1">
      <c r="A563" s="220"/>
      <c r="B563" s="137"/>
      <c r="C563" s="137"/>
      <c r="D563" s="136"/>
      <c r="E563" s="137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 t="str">
        <f>IF(B563="","",SUMIFS('PR-BOM'!$D$3:$D995,'PR-BOM'!$C$3:$C995,C563,'PR-BOM'!$B$3:$B995,B563))</f>
        <v/>
      </c>
    </row>
    <row r="564" spans="1:26" ht="15.75" customHeight="1">
      <c r="A564" s="220"/>
      <c r="B564" s="137"/>
      <c r="C564" s="137"/>
      <c r="D564" s="136"/>
      <c r="E564" s="137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 t="str">
        <f>IF(B564="","",SUMIFS('PR-BOM'!$D$3:$D995,'PR-BOM'!$C$3:$C995,C564,'PR-BOM'!$B$3:$B995,B564))</f>
        <v/>
      </c>
    </row>
    <row r="565" spans="1:26" ht="15.75" customHeight="1">
      <c r="A565" s="220"/>
      <c r="B565" s="137"/>
      <c r="C565" s="137"/>
      <c r="D565" s="136"/>
      <c r="E565" s="137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 t="str">
        <f>IF(B565="","",SUMIFS('PR-BOM'!$D$3:$D995,'PR-BOM'!$C$3:$C995,C565,'PR-BOM'!$B$3:$B995,B565))</f>
        <v/>
      </c>
    </row>
    <row r="566" spans="1:26" ht="15.75" customHeight="1">
      <c r="A566" s="220"/>
      <c r="B566" s="137"/>
      <c r="C566" s="137"/>
      <c r="D566" s="136"/>
      <c r="E566" s="137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 t="str">
        <f>IF(B566="","",SUMIFS('PR-BOM'!$D$3:$D995,'PR-BOM'!$C$3:$C995,C566,'PR-BOM'!$B$3:$B995,B566))</f>
        <v/>
      </c>
    </row>
    <row r="567" spans="1:26" ht="15.75" customHeight="1">
      <c r="A567" s="220"/>
      <c r="B567" s="137"/>
      <c r="C567" s="137"/>
      <c r="D567" s="136"/>
      <c r="E567" s="137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 t="str">
        <f>IF(B567="","",SUMIFS('PR-BOM'!$D$3:$D995,'PR-BOM'!$C$3:$C995,C567,'PR-BOM'!$B$3:$B995,B567))</f>
        <v/>
      </c>
    </row>
    <row r="568" spans="1:26" ht="15.75" customHeight="1">
      <c r="A568" s="220"/>
      <c r="B568" s="137"/>
      <c r="C568" s="137"/>
      <c r="D568" s="136"/>
      <c r="E568" s="137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 t="str">
        <f>IF(B568="","",SUMIFS('PR-BOM'!$D$3:$D995,'PR-BOM'!$C$3:$C995,C568,'PR-BOM'!$B$3:$B995,B568))</f>
        <v/>
      </c>
    </row>
    <row r="569" spans="1:26" ht="15.75" customHeight="1">
      <c r="A569" s="220"/>
      <c r="B569" s="137"/>
      <c r="C569" s="137"/>
      <c r="D569" s="136"/>
      <c r="E569" s="137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 t="str">
        <f>IF(B569="","",SUMIFS('PR-BOM'!$D$3:$D995,'PR-BOM'!$C$3:$C995,C569,'PR-BOM'!$B$3:$B995,B569))</f>
        <v/>
      </c>
    </row>
    <row r="570" spans="1:26" ht="15.75" customHeight="1">
      <c r="A570" s="220"/>
      <c r="B570" s="137"/>
      <c r="C570" s="137"/>
      <c r="D570" s="136"/>
      <c r="E570" s="137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 t="str">
        <f>IF(B570="","",SUMIFS('PR-BOM'!$D$3:$D995,'PR-BOM'!$C$3:$C995,C570,'PR-BOM'!$B$3:$B995,B570))</f>
        <v/>
      </c>
    </row>
    <row r="571" spans="1:26" ht="15.75" customHeight="1">
      <c r="A571" s="220"/>
      <c r="B571" s="137"/>
      <c r="C571" s="137"/>
      <c r="D571" s="136"/>
      <c r="E571" s="137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 t="str">
        <f>IF(B571="","",SUMIFS('PR-BOM'!$D$3:$D995,'PR-BOM'!$C$3:$C995,C571,'PR-BOM'!$B$3:$B995,B571))</f>
        <v/>
      </c>
    </row>
    <row r="572" spans="1:26" ht="15.75" customHeight="1">
      <c r="A572" s="220"/>
      <c r="B572" s="137"/>
      <c r="C572" s="137"/>
      <c r="D572" s="136"/>
      <c r="E572" s="137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 t="str">
        <f>IF(B572="","",SUMIFS('PR-BOM'!$D$3:$D995,'PR-BOM'!$C$3:$C995,C572,'PR-BOM'!$B$3:$B995,B572))</f>
        <v/>
      </c>
    </row>
    <row r="573" spans="1:26" ht="15.75" customHeight="1">
      <c r="A573" s="220"/>
      <c r="B573" s="137"/>
      <c r="C573" s="137"/>
      <c r="D573" s="136"/>
      <c r="E573" s="137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 t="str">
        <f>IF(B573="","",SUMIFS('PR-BOM'!$D$3:$D995,'PR-BOM'!$C$3:$C995,C573,'PR-BOM'!$B$3:$B995,B573))</f>
        <v/>
      </c>
    </row>
    <row r="574" spans="1:26" ht="15.75" customHeight="1">
      <c r="A574" s="220"/>
      <c r="B574" s="137"/>
      <c r="C574" s="137"/>
      <c r="D574" s="136"/>
      <c r="E574" s="137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 t="str">
        <f>IF(B574="","",SUMIFS('PR-BOM'!$D$3:$D995,'PR-BOM'!$C$3:$C995,C574,'PR-BOM'!$B$3:$B995,B574))</f>
        <v/>
      </c>
    </row>
    <row r="575" spans="1:26" ht="15.75" customHeight="1">
      <c r="A575" s="220"/>
      <c r="B575" s="137"/>
      <c r="C575" s="137"/>
      <c r="D575" s="136"/>
      <c r="E575" s="137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 t="str">
        <f>IF(B575="","",SUMIFS('PR-BOM'!$D$3:$D995,'PR-BOM'!$C$3:$C995,C575,'PR-BOM'!$B$3:$B995,B575))</f>
        <v/>
      </c>
    </row>
    <row r="576" spans="1:26" ht="15.75" customHeight="1">
      <c r="A576" s="220"/>
      <c r="B576" s="137"/>
      <c r="C576" s="137"/>
      <c r="D576" s="136"/>
      <c r="E576" s="137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 t="str">
        <f>IF(B576="","",SUMIFS('PR-BOM'!$D$3:$D995,'PR-BOM'!$C$3:$C995,C576,'PR-BOM'!$B$3:$B995,B576))</f>
        <v/>
      </c>
    </row>
    <row r="577" spans="1:26" ht="15.75" customHeight="1">
      <c r="A577" s="220"/>
      <c r="B577" s="137"/>
      <c r="C577" s="137"/>
      <c r="D577" s="136"/>
      <c r="E577" s="137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 t="str">
        <f>IF(B577="","",SUMIFS('PR-BOM'!$D$3:$D995,'PR-BOM'!$C$3:$C995,C577,'PR-BOM'!$B$3:$B995,B577))</f>
        <v/>
      </c>
    </row>
    <row r="578" spans="1:26" ht="15.75" customHeight="1">
      <c r="A578" s="220"/>
      <c r="B578" s="137"/>
      <c r="C578" s="137"/>
      <c r="D578" s="136"/>
      <c r="E578" s="137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 t="str">
        <f>IF(B578="","",SUMIFS('PR-BOM'!$D$3:$D995,'PR-BOM'!$C$3:$C995,C578,'PR-BOM'!$B$3:$B995,B578))</f>
        <v/>
      </c>
    </row>
    <row r="579" spans="1:26" ht="15.75" customHeight="1">
      <c r="A579" s="220"/>
      <c r="B579" s="137"/>
      <c r="C579" s="137"/>
      <c r="D579" s="136"/>
      <c r="E579" s="137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 t="str">
        <f>IF(B579="","",SUMIFS('PR-BOM'!$D$3:$D995,'PR-BOM'!$C$3:$C995,C579,'PR-BOM'!$B$3:$B995,B579))</f>
        <v/>
      </c>
    </row>
    <row r="580" spans="1:26" ht="15.75" customHeight="1">
      <c r="A580" s="220"/>
      <c r="B580" s="137"/>
      <c r="C580" s="137"/>
      <c r="D580" s="136"/>
      <c r="E580" s="137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 t="str">
        <f>IF(B580="","",SUMIFS('PR-BOM'!$D$3:$D995,'PR-BOM'!$C$3:$C995,C580,'PR-BOM'!$B$3:$B995,B580))</f>
        <v/>
      </c>
    </row>
    <row r="581" spans="1:26" ht="15.75" customHeight="1">
      <c r="A581" s="220"/>
      <c r="B581" s="137"/>
      <c r="C581" s="137"/>
      <c r="D581" s="136"/>
      <c r="E581" s="137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 t="str">
        <f>IF(B581="","",SUMIFS('PR-BOM'!$D$3:$D995,'PR-BOM'!$C$3:$C995,C581,'PR-BOM'!$B$3:$B995,B581))</f>
        <v/>
      </c>
    </row>
    <row r="582" spans="1:26" ht="15.75" customHeight="1">
      <c r="A582" s="220"/>
      <c r="B582" s="137"/>
      <c r="C582" s="137"/>
      <c r="D582" s="136"/>
      <c r="E582" s="137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 t="str">
        <f>IF(B582="","",SUMIFS('PR-BOM'!$D$3:$D995,'PR-BOM'!$C$3:$C995,C582,'PR-BOM'!$B$3:$B995,B582))</f>
        <v/>
      </c>
    </row>
    <row r="583" spans="1:26" ht="15.75" customHeight="1">
      <c r="A583" s="220"/>
      <c r="B583" s="137"/>
      <c r="C583" s="137"/>
      <c r="D583" s="136"/>
      <c r="E583" s="137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 t="str">
        <f>IF(B583="","",SUMIFS('PR-BOM'!$D$3:$D995,'PR-BOM'!$C$3:$C995,C583,'PR-BOM'!$B$3:$B995,B583))</f>
        <v/>
      </c>
    </row>
    <row r="584" spans="1:26" ht="15.75" customHeight="1">
      <c r="A584" s="220"/>
      <c r="B584" s="137"/>
      <c r="C584" s="137"/>
      <c r="D584" s="136"/>
      <c r="E584" s="137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 t="str">
        <f>IF(B584="","",SUMIFS('PR-BOM'!$D$3:$D995,'PR-BOM'!$C$3:$C995,C584,'PR-BOM'!$B$3:$B995,B584))</f>
        <v/>
      </c>
    </row>
    <row r="585" spans="1:26" ht="15.75" customHeight="1">
      <c r="A585" s="220"/>
      <c r="B585" s="137"/>
      <c r="C585" s="137"/>
      <c r="D585" s="136"/>
      <c r="E585" s="137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 t="str">
        <f>IF(B585="","",SUMIFS('PR-BOM'!$D$3:$D995,'PR-BOM'!$C$3:$C995,C585,'PR-BOM'!$B$3:$B995,B585))</f>
        <v/>
      </c>
    </row>
    <row r="586" spans="1:26" ht="15.75" customHeight="1">
      <c r="A586" s="220"/>
      <c r="B586" s="137"/>
      <c r="C586" s="137"/>
      <c r="D586" s="136"/>
      <c r="E586" s="137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 t="str">
        <f>IF(B586="","",SUMIFS('PR-BOM'!$D$3:$D995,'PR-BOM'!$C$3:$C995,C586,'PR-BOM'!$B$3:$B995,B586))</f>
        <v/>
      </c>
    </row>
    <row r="587" spans="1:26" ht="15.75" customHeight="1">
      <c r="A587" s="220"/>
      <c r="B587" s="137"/>
      <c r="C587" s="137"/>
      <c r="D587" s="136"/>
      <c r="E587" s="137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 t="str">
        <f>IF(B587="","",SUMIFS('PR-BOM'!$D$3:$D995,'PR-BOM'!$C$3:$C995,C587,'PR-BOM'!$B$3:$B995,B587))</f>
        <v/>
      </c>
    </row>
    <row r="588" spans="1:26" ht="15.75" customHeight="1">
      <c r="A588" s="220"/>
      <c r="B588" s="137"/>
      <c r="C588" s="137"/>
      <c r="D588" s="136"/>
      <c r="E588" s="137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 t="str">
        <f>IF(B588="","",SUMIFS('PR-BOM'!$D$3:$D995,'PR-BOM'!$C$3:$C995,C588,'PR-BOM'!$B$3:$B995,B588))</f>
        <v/>
      </c>
    </row>
    <row r="589" spans="1:26" ht="15.75" customHeight="1">
      <c r="A589" s="220"/>
      <c r="B589" s="137"/>
      <c r="C589" s="137"/>
      <c r="D589" s="136"/>
      <c r="E589" s="137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 t="str">
        <f>IF(B589="","",SUMIFS('PR-BOM'!$D$3:$D995,'PR-BOM'!$C$3:$C995,C589,'PR-BOM'!$B$3:$B995,B589))</f>
        <v/>
      </c>
    </row>
    <row r="590" spans="1:26" ht="15.75" customHeight="1">
      <c r="A590" s="220"/>
      <c r="B590" s="137"/>
      <c r="C590" s="137"/>
      <c r="D590" s="136"/>
      <c r="E590" s="137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 t="str">
        <f>IF(B590="","",SUMIFS('PR-BOM'!$D$3:$D995,'PR-BOM'!$C$3:$C995,C590,'PR-BOM'!$B$3:$B995,B590))</f>
        <v/>
      </c>
    </row>
    <row r="591" spans="1:26" ht="15.75" customHeight="1">
      <c r="A591" s="220"/>
      <c r="B591" s="137"/>
      <c r="C591" s="137"/>
      <c r="D591" s="136"/>
      <c r="E591" s="137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 t="str">
        <f>IF(B591="","",SUMIFS('PR-BOM'!$D$3:$D995,'PR-BOM'!$C$3:$C995,C591,'PR-BOM'!$B$3:$B995,B591))</f>
        <v/>
      </c>
    </row>
    <row r="592" spans="1:26" ht="15.75" customHeight="1">
      <c r="A592" s="220"/>
      <c r="B592" s="137"/>
      <c r="C592" s="137"/>
      <c r="D592" s="136"/>
      <c r="E592" s="137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 t="str">
        <f>IF(B592="","",SUMIFS('PR-BOM'!$D$3:$D995,'PR-BOM'!$C$3:$C995,C592,'PR-BOM'!$B$3:$B995,B592))</f>
        <v/>
      </c>
    </row>
    <row r="593" spans="1:26" ht="15.75" customHeight="1">
      <c r="A593" s="220"/>
      <c r="B593" s="137"/>
      <c r="C593" s="137"/>
      <c r="D593" s="136"/>
      <c r="E593" s="137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 t="str">
        <f>IF(B593="","",SUMIFS('PR-BOM'!$D$3:$D995,'PR-BOM'!$C$3:$C995,C593,'PR-BOM'!$B$3:$B995,B593))</f>
        <v/>
      </c>
    </row>
    <row r="594" spans="1:26" ht="15.75" customHeight="1">
      <c r="A594" s="220"/>
      <c r="B594" s="137"/>
      <c r="C594" s="137"/>
      <c r="D594" s="136"/>
      <c r="E594" s="137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 t="str">
        <f>IF(B594="","",SUMIFS('PR-BOM'!$D$3:$D995,'PR-BOM'!$C$3:$C995,C594,'PR-BOM'!$B$3:$B995,B594))</f>
        <v/>
      </c>
    </row>
    <row r="595" spans="1:26" ht="15.75" customHeight="1">
      <c r="A595" s="220"/>
      <c r="B595" s="137"/>
      <c r="C595" s="137"/>
      <c r="D595" s="136"/>
      <c r="E595" s="137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 t="str">
        <f>IF(B595="","",SUMIFS('PR-BOM'!$D$3:$D995,'PR-BOM'!$C$3:$C995,C595,'PR-BOM'!$B$3:$B995,B595))</f>
        <v/>
      </c>
    </row>
    <row r="596" spans="1:26" ht="15.75" customHeight="1">
      <c r="A596" s="220"/>
      <c r="B596" s="137"/>
      <c r="C596" s="137"/>
      <c r="D596" s="136"/>
      <c r="E596" s="137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 t="str">
        <f>IF(B596="","",SUMIFS('PR-BOM'!$D$3:$D995,'PR-BOM'!$C$3:$C995,C596,'PR-BOM'!$B$3:$B995,B596))</f>
        <v/>
      </c>
    </row>
    <row r="597" spans="1:26" ht="15.75" customHeight="1">
      <c r="A597" s="220"/>
      <c r="B597" s="137"/>
      <c r="C597" s="137"/>
      <c r="D597" s="136"/>
      <c r="E597" s="137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 t="str">
        <f>IF(B597="","",SUMIFS('PR-BOM'!$D$3:$D995,'PR-BOM'!$C$3:$C995,C597,'PR-BOM'!$B$3:$B995,B597))</f>
        <v/>
      </c>
    </row>
    <row r="598" spans="1:26" ht="15.75" customHeight="1">
      <c r="A598" s="220"/>
      <c r="B598" s="137"/>
      <c r="C598" s="137"/>
      <c r="D598" s="136"/>
      <c r="E598" s="137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 t="str">
        <f>IF(B598="","",SUMIFS('PR-BOM'!$D$3:$D995,'PR-BOM'!$C$3:$C995,C598,'PR-BOM'!$B$3:$B995,B598))</f>
        <v/>
      </c>
    </row>
    <row r="599" spans="1:26" ht="15.75" customHeight="1">
      <c r="A599" s="220"/>
      <c r="B599" s="137"/>
      <c r="C599" s="137"/>
      <c r="D599" s="136"/>
      <c r="E599" s="137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 t="str">
        <f>IF(B599="","",SUMIFS('PR-BOM'!$D$3:$D995,'PR-BOM'!$C$3:$C995,C599,'PR-BOM'!$B$3:$B995,B599))</f>
        <v/>
      </c>
    </row>
    <row r="600" spans="1:26" ht="15.75" customHeight="1">
      <c r="A600" s="220"/>
      <c r="B600" s="137"/>
      <c r="C600" s="137"/>
      <c r="D600" s="136"/>
      <c r="E600" s="137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 t="str">
        <f>IF(B600="","",SUMIFS('PR-BOM'!$D$3:$D995,'PR-BOM'!$C$3:$C995,C600,'PR-BOM'!$B$3:$B995,B600))</f>
        <v/>
      </c>
    </row>
    <row r="601" spans="1:26" ht="15.75" customHeight="1">
      <c r="A601" s="220"/>
      <c r="B601" s="137"/>
      <c r="C601" s="137"/>
      <c r="D601" s="136"/>
      <c r="E601" s="137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 t="str">
        <f>IF(B601="","",SUMIFS('PR-BOM'!$D$3:$D995,'PR-BOM'!$C$3:$C995,C601,'PR-BOM'!$B$3:$B995,B601))</f>
        <v/>
      </c>
    </row>
    <row r="602" spans="1:26" ht="15.75" customHeight="1">
      <c r="A602" s="220"/>
      <c r="B602" s="137"/>
      <c r="C602" s="137"/>
      <c r="D602" s="136"/>
      <c r="E602" s="137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 t="str">
        <f>IF(B602="","",SUMIFS('PR-BOM'!$D$3:$D995,'PR-BOM'!$C$3:$C995,C602,'PR-BOM'!$B$3:$B995,B602))</f>
        <v/>
      </c>
    </row>
    <row r="603" spans="1:26" ht="15.75" customHeight="1">
      <c r="A603" s="220"/>
      <c r="B603" s="137"/>
      <c r="C603" s="137"/>
      <c r="D603" s="136"/>
      <c r="E603" s="137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 t="str">
        <f>IF(B603="","",SUMIFS('PR-BOM'!$D$3:$D995,'PR-BOM'!$C$3:$C995,C603,'PR-BOM'!$B$3:$B995,B603))</f>
        <v/>
      </c>
    </row>
    <row r="604" spans="1:26" ht="15.75" customHeight="1">
      <c r="A604" s="220"/>
      <c r="B604" s="137"/>
      <c r="C604" s="137"/>
      <c r="D604" s="136"/>
      <c r="E604" s="137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 t="str">
        <f>IF(B604="","",SUMIFS('PR-BOM'!$D$3:$D995,'PR-BOM'!$C$3:$C995,C604,'PR-BOM'!$B$3:$B995,B604))</f>
        <v/>
      </c>
    </row>
    <row r="605" spans="1:26" ht="15.75" customHeight="1">
      <c r="A605" s="220"/>
      <c r="B605" s="137"/>
      <c r="C605" s="137"/>
      <c r="D605" s="136"/>
      <c r="E605" s="137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 t="str">
        <f>IF(B605="","",SUMIFS('PR-BOM'!$D$3:$D995,'PR-BOM'!$C$3:$C995,C605,'PR-BOM'!$B$3:$B995,B605))</f>
        <v/>
      </c>
    </row>
    <row r="606" spans="1:26" ht="15.75" customHeight="1">
      <c r="A606" s="220"/>
      <c r="B606" s="137"/>
      <c r="C606" s="137"/>
      <c r="D606" s="136"/>
      <c r="E606" s="137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 t="str">
        <f>IF(B606="","",SUMIFS('PR-BOM'!$D$3:$D995,'PR-BOM'!$C$3:$C995,C606,'PR-BOM'!$B$3:$B995,B606))</f>
        <v/>
      </c>
    </row>
    <row r="607" spans="1:26" ht="15.75" customHeight="1">
      <c r="A607" s="220"/>
      <c r="B607" s="137"/>
      <c r="C607" s="137"/>
      <c r="D607" s="136"/>
      <c r="E607" s="137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 t="str">
        <f>IF(B607="","",SUMIFS('PR-BOM'!$D$3:$D995,'PR-BOM'!$C$3:$C995,C607,'PR-BOM'!$B$3:$B995,B607))</f>
        <v/>
      </c>
    </row>
    <row r="608" spans="1:26" ht="15.75" customHeight="1">
      <c r="A608" s="220"/>
      <c r="B608" s="137"/>
      <c r="C608" s="137"/>
      <c r="D608" s="136"/>
      <c r="E608" s="137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 t="str">
        <f>IF(B608="","",SUMIFS('PR-BOM'!$D$3:$D995,'PR-BOM'!$C$3:$C995,C608,'PR-BOM'!$B$3:$B995,B608))</f>
        <v/>
      </c>
    </row>
    <row r="609" spans="1:26" ht="15.75" customHeight="1">
      <c r="A609" s="220"/>
      <c r="B609" s="137"/>
      <c r="C609" s="137"/>
      <c r="D609" s="136"/>
      <c r="E609" s="137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 t="str">
        <f>IF(B609="","",SUMIFS('PR-BOM'!$D$3:$D995,'PR-BOM'!$C$3:$C995,C609,'PR-BOM'!$B$3:$B995,B609))</f>
        <v/>
      </c>
    </row>
    <row r="610" spans="1:26" ht="15.75" customHeight="1">
      <c r="A610" s="220"/>
      <c r="B610" s="137"/>
      <c r="C610" s="137"/>
      <c r="D610" s="136"/>
      <c r="E610" s="137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 t="str">
        <f>IF(B610="","",SUMIFS('PR-BOM'!$D$3:$D995,'PR-BOM'!$C$3:$C995,C610,'PR-BOM'!$B$3:$B995,B610))</f>
        <v/>
      </c>
    </row>
    <row r="611" spans="1:26" ht="15.75" customHeight="1">
      <c r="A611" s="220"/>
      <c r="B611" s="137"/>
      <c r="C611" s="137"/>
      <c r="D611" s="136"/>
      <c r="E611" s="137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 t="str">
        <f>IF(B611="","",SUMIFS('PR-BOM'!$D$3:$D995,'PR-BOM'!$C$3:$C995,C611,'PR-BOM'!$B$3:$B995,B611))</f>
        <v/>
      </c>
    </row>
    <row r="612" spans="1:26" ht="15.75" customHeight="1">
      <c r="A612" s="220"/>
      <c r="B612" s="137"/>
      <c r="C612" s="137"/>
      <c r="D612" s="136"/>
      <c r="E612" s="137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 t="str">
        <f>IF(B612="","",SUMIFS('PR-BOM'!$D$3:$D995,'PR-BOM'!$C$3:$C995,C612,'PR-BOM'!$B$3:$B995,B612))</f>
        <v/>
      </c>
    </row>
    <row r="613" spans="1:26" ht="15.75" customHeight="1">
      <c r="A613" s="220"/>
      <c r="B613" s="137"/>
      <c r="C613" s="137"/>
      <c r="D613" s="136"/>
      <c r="E613" s="137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 t="str">
        <f>IF(B613="","",SUMIFS('PR-BOM'!$D$3:$D995,'PR-BOM'!$C$3:$C995,C613,'PR-BOM'!$B$3:$B995,B613))</f>
        <v/>
      </c>
    </row>
    <row r="614" spans="1:26" ht="15.75" customHeight="1">
      <c r="A614" s="220"/>
      <c r="B614" s="137"/>
      <c r="C614" s="137"/>
      <c r="D614" s="136"/>
      <c r="E614" s="137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 t="str">
        <f>IF(B614="","",SUMIFS('PR-BOM'!$D$3:$D995,'PR-BOM'!$C$3:$C995,C614,'PR-BOM'!$B$3:$B995,B614))</f>
        <v/>
      </c>
    </row>
    <row r="615" spans="1:26" ht="15.75" customHeight="1">
      <c r="A615" s="220"/>
      <c r="B615" s="137"/>
      <c r="C615" s="137"/>
      <c r="D615" s="136"/>
      <c r="E615" s="137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 t="str">
        <f>IF(B615="","",SUMIFS('PR-BOM'!$D$3:$D995,'PR-BOM'!$C$3:$C995,C615,'PR-BOM'!$B$3:$B995,B615))</f>
        <v/>
      </c>
    </row>
    <row r="616" spans="1:26" ht="15.75" customHeight="1">
      <c r="A616" s="220"/>
      <c r="B616" s="137"/>
      <c r="C616" s="137"/>
      <c r="D616" s="136"/>
      <c r="E616" s="137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 t="str">
        <f>IF(B616="","",SUMIFS('PR-BOM'!$D$3:$D995,'PR-BOM'!$C$3:$C995,C616,'PR-BOM'!$B$3:$B995,B616))</f>
        <v/>
      </c>
    </row>
    <row r="617" spans="1:26" ht="15.75" customHeight="1">
      <c r="A617" s="220"/>
      <c r="B617" s="137"/>
      <c r="C617" s="137"/>
      <c r="D617" s="136"/>
      <c r="E617" s="137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 t="str">
        <f>IF(B617="","",SUMIFS('PR-BOM'!$D$3:$D995,'PR-BOM'!$C$3:$C995,C617,'PR-BOM'!$B$3:$B995,B617))</f>
        <v/>
      </c>
    </row>
    <row r="618" spans="1:26" ht="15.75" customHeight="1">
      <c r="A618" s="220"/>
      <c r="B618" s="137"/>
      <c r="C618" s="137"/>
      <c r="D618" s="136"/>
      <c r="E618" s="137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 t="str">
        <f>IF(B618="","",SUMIFS('PR-BOM'!$D$3:$D995,'PR-BOM'!$C$3:$C995,C618,'PR-BOM'!$B$3:$B995,B618))</f>
        <v/>
      </c>
    </row>
    <row r="619" spans="1:26" ht="15.75" customHeight="1">
      <c r="A619" s="220"/>
      <c r="B619" s="137"/>
      <c r="C619" s="137"/>
      <c r="D619" s="136"/>
      <c r="E619" s="137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 t="str">
        <f>IF(B619="","",SUMIFS('PR-BOM'!$D$3:$D995,'PR-BOM'!$C$3:$C995,C619,'PR-BOM'!$B$3:$B995,B619))</f>
        <v/>
      </c>
    </row>
    <row r="620" spans="1:26" ht="15.75" customHeight="1">
      <c r="A620" s="220"/>
      <c r="B620" s="137"/>
      <c r="C620" s="137"/>
      <c r="D620" s="136"/>
      <c r="E620" s="137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 t="str">
        <f>IF(B620="","",SUMIFS('PR-BOM'!$D$3:$D995,'PR-BOM'!$C$3:$C995,C620,'PR-BOM'!$B$3:$B995,B620))</f>
        <v/>
      </c>
    </row>
    <row r="621" spans="1:26" ht="15.75" customHeight="1">
      <c r="A621" s="220"/>
      <c r="B621" s="137"/>
      <c r="C621" s="137"/>
      <c r="D621" s="136"/>
      <c r="E621" s="137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 t="str">
        <f>IF(B621="","",SUMIFS('PR-BOM'!$D$3:$D995,'PR-BOM'!$C$3:$C995,C621,'PR-BOM'!$B$3:$B995,B621))</f>
        <v/>
      </c>
    </row>
    <row r="622" spans="1:26" ht="15.75" customHeight="1">
      <c r="A622" s="220"/>
      <c r="B622" s="137"/>
      <c r="C622" s="137"/>
      <c r="D622" s="136"/>
      <c r="E622" s="137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 t="str">
        <f>IF(B622="","",SUMIFS('PR-BOM'!$D$3:$D995,'PR-BOM'!$C$3:$C995,C622,'PR-BOM'!$B$3:$B995,B622))</f>
        <v/>
      </c>
    </row>
    <row r="623" spans="1:26" ht="15.75" customHeight="1">
      <c r="A623" s="220"/>
      <c r="B623" s="137"/>
      <c r="C623" s="137"/>
      <c r="D623" s="136"/>
      <c r="E623" s="137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 t="str">
        <f>IF(B623="","",SUMIFS('PR-BOM'!$D$3:$D995,'PR-BOM'!$C$3:$C995,C623,'PR-BOM'!$B$3:$B995,B623))</f>
        <v/>
      </c>
    </row>
    <row r="624" spans="1:26" ht="15.75" customHeight="1">
      <c r="A624" s="220"/>
      <c r="B624" s="137"/>
      <c r="C624" s="137"/>
      <c r="D624" s="136"/>
      <c r="E624" s="137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 t="str">
        <f>IF(B624="","",SUMIFS('PR-BOM'!$D$3:$D995,'PR-BOM'!$C$3:$C995,C624,'PR-BOM'!$B$3:$B995,B624))</f>
        <v/>
      </c>
    </row>
    <row r="625" spans="1:26" ht="15.75" customHeight="1">
      <c r="A625" s="220"/>
      <c r="B625" s="137"/>
      <c r="C625" s="137"/>
      <c r="D625" s="136"/>
      <c r="E625" s="137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 t="str">
        <f>IF(B625="","",SUMIFS('PR-BOM'!$D$3:$D995,'PR-BOM'!$C$3:$C995,C625,'PR-BOM'!$B$3:$B995,B625))</f>
        <v/>
      </c>
    </row>
    <row r="626" spans="1:26" ht="15.75" customHeight="1">
      <c r="A626" s="220"/>
      <c r="B626" s="137"/>
      <c r="C626" s="137"/>
      <c r="D626" s="136"/>
      <c r="E626" s="137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 t="str">
        <f>IF(B626="","",SUMIFS('PR-BOM'!$D$3:$D995,'PR-BOM'!$C$3:$C995,C626,'PR-BOM'!$B$3:$B995,B626))</f>
        <v/>
      </c>
    </row>
    <row r="627" spans="1:26" ht="15.75" customHeight="1">
      <c r="A627" s="220"/>
      <c r="B627" s="137"/>
      <c r="C627" s="137"/>
      <c r="D627" s="136"/>
      <c r="E627" s="137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 t="str">
        <f>IF(B627="","",SUMIFS('PR-BOM'!$D$3:$D995,'PR-BOM'!$C$3:$C995,C627,'PR-BOM'!$B$3:$B995,B627))</f>
        <v/>
      </c>
    </row>
    <row r="628" spans="1:26" ht="15.75" customHeight="1">
      <c r="A628" s="220"/>
      <c r="B628" s="137"/>
      <c r="C628" s="137"/>
      <c r="D628" s="136"/>
      <c r="E628" s="137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 t="str">
        <f>IF(B628="","",SUMIFS('PR-BOM'!$D$3:$D995,'PR-BOM'!$C$3:$C995,C628,'PR-BOM'!$B$3:$B995,B628))</f>
        <v/>
      </c>
    </row>
    <row r="629" spans="1:26" ht="15.75" customHeight="1">
      <c r="A629" s="220"/>
      <c r="B629" s="137"/>
      <c r="C629" s="137"/>
      <c r="D629" s="136"/>
      <c r="E629" s="137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 t="str">
        <f>IF(B629="","",SUMIFS('PR-BOM'!$D$3:$D995,'PR-BOM'!$C$3:$C995,C629,'PR-BOM'!$B$3:$B995,B629))</f>
        <v/>
      </c>
    </row>
    <row r="630" spans="1:26" ht="15.75" customHeight="1">
      <c r="A630" s="220"/>
      <c r="B630" s="137"/>
      <c r="C630" s="137"/>
      <c r="D630" s="136"/>
      <c r="E630" s="137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 t="str">
        <f>IF(B630="","",SUMIFS('PR-BOM'!$D$3:$D995,'PR-BOM'!$C$3:$C995,C630,'PR-BOM'!$B$3:$B995,B630))</f>
        <v/>
      </c>
    </row>
    <row r="631" spans="1:26" ht="15.75" customHeight="1">
      <c r="A631" s="220"/>
      <c r="B631" s="137"/>
      <c r="C631" s="137"/>
      <c r="D631" s="136"/>
      <c r="E631" s="137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 t="str">
        <f>IF(B631="","",SUMIFS('PR-BOM'!$D$3:$D995,'PR-BOM'!$C$3:$C995,C631,'PR-BOM'!$B$3:$B995,B631))</f>
        <v/>
      </c>
    </row>
    <row r="632" spans="1:26" ht="15.75" customHeight="1">
      <c r="A632" s="220"/>
      <c r="B632" s="137"/>
      <c r="C632" s="137"/>
      <c r="D632" s="136"/>
      <c r="E632" s="137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 t="str">
        <f>IF(B632="","",SUMIFS('PR-BOM'!$D$3:$D995,'PR-BOM'!$C$3:$C995,C632,'PR-BOM'!$B$3:$B995,B632))</f>
        <v/>
      </c>
    </row>
    <row r="633" spans="1:26" ht="15.75" customHeight="1">
      <c r="A633" s="220"/>
      <c r="B633" s="137"/>
      <c r="C633" s="137"/>
      <c r="D633" s="136"/>
      <c r="E633" s="137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 t="str">
        <f>IF(B633="","",SUMIFS('PR-BOM'!$D$3:$D995,'PR-BOM'!$C$3:$C995,C633,'PR-BOM'!$B$3:$B995,B633))</f>
        <v/>
      </c>
    </row>
    <row r="634" spans="1:26" ht="15.75" customHeight="1">
      <c r="A634" s="220"/>
      <c r="B634" s="137"/>
      <c r="C634" s="137"/>
      <c r="D634" s="136"/>
      <c r="E634" s="137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 t="str">
        <f>IF(B634="","",SUMIFS('PR-BOM'!$D$3:$D995,'PR-BOM'!$C$3:$C995,C634,'PR-BOM'!$B$3:$B995,B634))</f>
        <v/>
      </c>
    </row>
    <row r="635" spans="1:26" ht="15.75" customHeight="1">
      <c r="A635" s="220"/>
      <c r="B635" s="137"/>
      <c r="C635" s="137"/>
      <c r="D635" s="136"/>
      <c r="E635" s="137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 t="str">
        <f>IF(B635="","",SUMIFS('PR-BOM'!$D$3:$D995,'PR-BOM'!$C$3:$C995,C635,'PR-BOM'!$B$3:$B995,B635))</f>
        <v/>
      </c>
    </row>
    <row r="636" spans="1:26" ht="15.75" customHeight="1">
      <c r="A636" s="220"/>
      <c r="B636" s="137"/>
      <c r="C636" s="137"/>
      <c r="D636" s="136"/>
      <c r="E636" s="137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 t="str">
        <f>IF(B636="","",SUMIFS('PR-BOM'!$D$3:$D995,'PR-BOM'!$C$3:$C995,C636,'PR-BOM'!$B$3:$B995,B636))</f>
        <v/>
      </c>
    </row>
    <row r="637" spans="1:26" ht="15.75" customHeight="1">
      <c r="A637" s="220"/>
      <c r="B637" s="137"/>
      <c r="C637" s="137"/>
      <c r="D637" s="136"/>
      <c r="E637" s="137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 t="str">
        <f>IF(B637="","",SUMIFS('PR-BOM'!$D$3:$D995,'PR-BOM'!$C$3:$C995,C637,'PR-BOM'!$B$3:$B995,B637))</f>
        <v/>
      </c>
    </row>
    <row r="638" spans="1:26" ht="15.75" customHeight="1">
      <c r="A638" s="220"/>
      <c r="B638" s="137"/>
      <c r="C638" s="137"/>
      <c r="D638" s="136"/>
      <c r="E638" s="137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 t="str">
        <f>IF(B638="","",SUMIFS('PR-BOM'!$D$3:$D995,'PR-BOM'!$C$3:$C995,C638,'PR-BOM'!$B$3:$B995,B638))</f>
        <v/>
      </c>
    </row>
    <row r="639" spans="1:26" ht="15.75" customHeight="1">
      <c r="A639" s="220"/>
      <c r="B639" s="137"/>
      <c r="C639" s="137"/>
      <c r="D639" s="136"/>
      <c r="E639" s="137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 t="str">
        <f>IF(B639="","",SUMIFS('PR-BOM'!$D$3:$D995,'PR-BOM'!$C$3:$C995,C639,'PR-BOM'!$B$3:$B995,B639))</f>
        <v/>
      </c>
    </row>
    <row r="640" spans="1:26" ht="15.75" customHeight="1">
      <c r="A640" s="220"/>
      <c r="B640" s="137"/>
      <c r="C640" s="137"/>
      <c r="D640" s="136"/>
      <c r="E640" s="137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 t="str">
        <f>IF(B640="","",SUMIFS('PR-BOM'!$D$3:$D995,'PR-BOM'!$C$3:$C995,C640,'PR-BOM'!$B$3:$B995,B640))</f>
        <v/>
      </c>
    </row>
    <row r="641" spans="1:26" ht="15.75" customHeight="1">
      <c r="A641" s="220"/>
      <c r="B641" s="137"/>
      <c r="C641" s="137"/>
      <c r="D641" s="136"/>
      <c r="E641" s="137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 t="str">
        <f>IF(B641="","",SUMIFS('PR-BOM'!$D$3:$D995,'PR-BOM'!$C$3:$C995,C641,'PR-BOM'!$B$3:$B995,B641))</f>
        <v/>
      </c>
    </row>
    <row r="642" spans="1:26" ht="15.75" customHeight="1">
      <c r="A642" s="220"/>
      <c r="B642" s="137"/>
      <c r="C642" s="137"/>
      <c r="D642" s="136"/>
      <c r="E642" s="137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 t="str">
        <f>IF(B642="","",SUMIFS('PR-BOM'!$D$3:$D995,'PR-BOM'!$C$3:$C995,C642,'PR-BOM'!$B$3:$B995,B642))</f>
        <v/>
      </c>
    </row>
    <row r="643" spans="1:26" ht="15.75" customHeight="1">
      <c r="A643" s="220"/>
      <c r="B643" s="137"/>
      <c r="C643" s="137"/>
      <c r="D643" s="136"/>
      <c r="E643" s="137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 t="str">
        <f>IF(B643="","",SUMIFS('PR-BOM'!$D$3:$D995,'PR-BOM'!$C$3:$C995,C643,'PR-BOM'!$B$3:$B995,B643))</f>
        <v/>
      </c>
    </row>
    <row r="644" spans="1:26" ht="15.75" customHeight="1">
      <c r="A644" s="220"/>
      <c r="B644" s="137"/>
      <c r="C644" s="137"/>
      <c r="D644" s="136"/>
      <c r="E644" s="137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 t="str">
        <f>IF(B644="","",SUMIFS('PR-BOM'!$D$3:$D995,'PR-BOM'!$C$3:$C995,C644,'PR-BOM'!$B$3:$B995,B644))</f>
        <v/>
      </c>
    </row>
    <row r="645" spans="1:26" ht="15.75" customHeight="1">
      <c r="A645" s="220"/>
      <c r="B645" s="137"/>
      <c r="C645" s="137"/>
      <c r="D645" s="136"/>
      <c r="E645" s="137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 t="str">
        <f>IF(B645="","",SUMIFS('PR-BOM'!$D$3:$D995,'PR-BOM'!$C$3:$C995,C645,'PR-BOM'!$B$3:$B995,B645))</f>
        <v/>
      </c>
    </row>
    <row r="646" spans="1:26" ht="15.75" customHeight="1">
      <c r="A646" s="220"/>
      <c r="B646" s="137"/>
      <c r="C646" s="137"/>
      <c r="D646" s="136"/>
      <c r="E646" s="137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 t="str">
        <f>IF(B646="","",SUMIFS('PR-BOM'!$D$3:$D995,'PR-BOM'!$C$3:$C995,C646,'PR-BOM'!$B$3:$B995,B646))</f>
        <v/>
      </c>
    </row>
    <row r="647" spans="1:26" ht="15.75" customHeight="1">
      <c r="A647" s="220"/>
      <c r="B647" s="137"/>
      <c r="C647" s="137"/>
      <c r="D647" s="136"/>
      <c r="E647" s="137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 t="str">
        <f>IF(B647="","",SUMIFS('PR-BOM'!$D$3:$D995,'PR-BOM'!$C$3:$C995,C647,'PR-BOM'!$B$3:$B995,B647))</f>
        <v/>
      </c>
    </row>
    <row r="648" spans="1:26" ht="15.75" customHeight="1">
      <c r="A648" s="220"/>
      <c r="B648" s="137"/>
      <c r="C648" s="137"/>
      <c r="D648" s="136"/>
      <c r="E648" s="137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 t="str">
        <f>IF(B648="","",SUMIFS('PR-BOM'!$D$3:$D995,'PR-BOM'!$C$3:$C995,C648,'PR-BOM'!$B$3:$B995,B648))</f>
        <v/>
      </c>
    </row>
    <row r="649" spans="1:26" ht="15.75" customHeight="1">
      <c r="A649" s="220"/>
      <c r="B649" s="137"/>
      <c r="C649" s="137"/>
      <c r="D649" s="136"/>
      <c r="E649" s="137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 t="str">
        <f>IF(B649="","",SUMIFS('PR-BOM'!$D$3:$D995,'PR-BOM'!$C$3:$C995,C649,'PR-BOM'!$B$3:$B995,B649))</f>
        <v/>
      </c>
    </row>
    <row r="650" spans="1:26" ht="15.75" customHeight="1">
      <c r="A650" s="220"/>
      <c r="B650" s="137"/>
      <c r="C650" s="137"/>
      <c r="D650" s="136"/>
      <c r="E650" s="137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 t="str">
        <f>IF(B650="","",SUMIFS('PR-BOM'!$D$3:$D995,'PR-BOM'!$C$3:$C995,C650,'PR-BOM'!$B$3:$B995,B650))</f>
        <v/>
      </c>
    </row>
    <row r="651" spans="1:26" ht="15.75" customHeight="1">
      <c r="A651" s="220"/>
      <c r="B651" s="137"/>
      <c r="C651" s="137"/>
      <c r="D651" s="136"/>
      <c r="E651" s="137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 t="str">
        <f>IF(B651="","",SUMIFS('PR-BOM'!$D$3:$D995,'PR-BOM'!$C$3:$C995,C651,'PR-BOM'!$B$3:$B995,B651))</f>
        <v/>
      </c>
    </row>
    <row r="652" spans="1:26" ht="15.75" customHeight="1">
      <c r="A652" s="220"/>
      <c r="B652" s="137"/>
      <c r="C652" s="137"/>
      <c r="D652" s="136"/>
      <c r="E652" s="137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 t="str">
        <f>IF(B652="","",SUMIFS('PR-BOM'!$D$3:$D995,'PR-BOM'!$C$3:$C995,C652,'PR-BOM'!$B$3:$B995,B652))</f>
        <v/>
      </c>
    </row>
    <row r="653" spans="1:26" ht="15.75" customHeight="1">
      <c r="A653" s="220"/>
      <c r="B653" s="137"/>
      <c r="C653" s="137"/>
      <c r="D653" s="136"/>
      <c r="E653" s="137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 t="str">
        <f>IF(B653="","",SUMIFS('PR-BOM'!$D$3:$D995,'PR-BOM'!$C$3:$C995,C653,'PR-BOM'!$B$3:$B995,B653))</f>
        <v/>
      </c>
    </row>
    <row r="654" spans="1:26" ht="15.75" customHeight="1">
      <c r="A654" s="220"/>
      <c r="B654" s="137"/>
      <c r="C654" s="137"/>
      <c r="D654" s="136"/>
      <c r="E654" s="137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 t="str">
        <f>IF(B654="","",SUMIFS('PR-BOM'!$D$3:$D995,'PR-BOM'!$C$3:$C995,C654,'PR-BOM'!$B$3:$B995,B654))</f>
        <v/>
      </c>
    </row>
    <row r="655" spans="1:26" ht="15.75" customHeight="1">
      <c r="A655" s="220"/>
      <c r="B655" s="137"/>
      <c r="C655" s="137"/>
      <c r="D655" s="136"/>
      <c r="E655" s="137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 t="str">
        <f>IF(B655="","",SUMIFS('PR-BOM'!$D$3:$D995,'PR-BOM'!$C$3:$C995,C655,'PR-BOM'!$B$3:$B995,B655))</f>
        <v/>
      </c>
    </row>
    <row r="656" spans="1:26" ht="15.75" customHeight="1">
      <c r="A656" s="220"/>
      <c r="B656" s="137"/>
      <c r="C656" s="137"/>
      <c r="D656" s="136"/>
      <c r="E656" s="137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 t="str">
        <f>IF(B656="","",SUMIFS('PR-BOM'!$D$3:$D995,'PR-BOM'!$C$3:$C995,C656,'PR-BOM'!$B$3:$B995,B656))</f>
        <v/>
      </c>
    </row>
    <row r="657" spans="1:26" ht="15.75" customHeight="1">
      <c r="A657" s="220"/>
      <c r="B657" s="137"/>
      <c r="C657" s="137"/>
      <c r="D657" s="136"/>
      <c r="E657" s="137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 t="str">
        <f>IF(B657="","",SUMIFS('PR-BOM'!$D$3:$D995,'PR-BOM'!$C$3:$C995,C657,'PR-BOM'!$B$3:$B995,B657))</f>
        <v/>
      </c>
    </row>
    <row r="658" spans="1:26" ht="15.75" customHeight="1">
      <c r="A658" s="220"/>
      <c r="B658" s="137"/>
      <c r="C658" s="137"/>
      <c r="D658" s="136"/>
      <c r="E658" s="137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 t="str">
        <f>IF(B658="","",SUMIFS('PR-BOM'!$D$3:$D995,'PR-BOM'!$C$3:$C995,C658,'PR-BOM'!$B$3:$B995,B658))</f>
        <v/>
      </c>
    </row>
    <row r="659" spans="1:26" ht="15.75" customHeight="1">
      <c r="A659" s="220"/>
      <c r="B659" s="137"/>
      <c r="C659" s="137"/>
      <c r="D659" s="136"/>
      <c r="E659" s="137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 t="str">
        <f>IF(B659="","",SUMIFS('PR-BOM'!$D$3:$D995,'PR-BOM'!$C$3:$C995,C659,'PR-BOM'!$B$3:$B995,B659))</f>
        <v/>
      </c>
    </row>
    <row r="660" spans="1:26" ht="15.75" customHeight="1">
      <c r="A660" s="220"/>
      <c r="B660" s="137"/>
      <c r="C660" s="137"/>
      <c r="D660" s="136"/>
      <c r="E660" s="137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 t="str">
        <f>IF(B660="","",SUMIFS('PR-BOM'!$D$3:$D995,'PR-BOM'!$C$3:$C995,C660,'PR-BOM'!$B$3:$B995,B660))</f>
        <v/>
      </c>
    </row>
    <row r="661" spans="1:26" ht="15.75" customHeight="1">
      <c r="A661" s="220"/>
      <c r="B661" s="137"/>
      <c r="C661" s="137"/>
      <c r="D661" s="136"/>
      <c r="E661" s="137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 t="str">
        <f>IF(B661="","",SUMIFS('PR-BOM'!$D$3:$D995,'PR-BOM'!$C$3:$C995,C661,'PR-BOM'!$B$3:$B995,B661))</f>
        <v/>
      </c>
    </row>
    <row r="662" spans="1:26" ht="15.75" customHeight="1">
      <c r="A662" s="220"/>
      <c r="B662" s="137"/>
      <c r="C662" s="137"/>
      <c r="D662" s="136"/>
      <c r="E662" s="137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 t="str">
        <f>IF(B662="","",SUMIFS('PR-BOM'!$D$3:$D995,'PR-BOM'!$C$3:$C995,C662,'PR-BOM'!$B$3:$B995,B662))</f>
        <v/>
      </c>
    </row>
    <row r="663" spans="1:26" ht="15.75" customHeight="1">
      <c r="A663" s="220"/>
      <c r="B663" s="137"/>
      <c r="C663" s="137"/>
      <c r="D663" s="136"/>
      <c r="E663" s="137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 t="str">
        <f>IF(B663="","",SUMIFS('PR-BOM'!$D$3:$D995,'PR-BOM'!$C$3:$C995,C663,'PR-BOM'!$B$3:$B995,B663))</f>
        <v/>
      </c>
    </row>
    <row r="664" spans="1:26" ht="15.75" customHeight="1">
      <c r="A664" s="220"/>
      <c r="B664" s="137"/>
      <c r="C664" s="137"/>
      <c r="D664" s="136"/>
      <c r="E664" s="137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 t="str">
        <f>IF(B664="","",SUMIFS('PR-BOM'!$D$3:$D995,'PR-BOM'!$C$3:$C995,C664,'PR-BOM'!$B$3:$B995,B664))</f>
        <v/>
      </c>
    </row>
    <row r="665" spans="1:26" ht="15.75" customHeight="1">
      <c r="A665" s="220"/>
      <c r="B665" s="137"/>
      <c r="C665" s="137"/>
      <c r="D665" s="136"/>
      <c r="E665" s="137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 t="str">
        <f>IF(B665="","",SUMIFS('PR-BOM'!$D$3:$D995,'PR-BOM'!$C$3:$C995,C665,'PR-BOM'!$B$3:$B995,B665))</f>
        <v/>
      </c>
    </row>
    <row r="666" spans="1:26" ht="15.75" customHeight="1">
      <c r="A666" s="220"/>
      <c r="B666" s="137"/>
      <c r="C666" s="137"/>
      <c r="D666" s="136"/>
      <c r="E666" s="137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 t="str">
        <f>IF(B666="","",SUMIFS('PR-BOM'!$D$3:$D995,'PR-BOM'!$C$3:$C995,C666,'PR-BOM'!$B$3:$B995,B666))</f>
        <v/>
      </c>
    </row>
    <row r="667" spans="1:26" ht="15.75" customHeight="1">
      <c r="A667" s="220"/>
      <c r="B667" s="137"/>
      <c r="C667" s="137"/>
      <c r="D667" s="136"/>
      <c r="E667" s="137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 t="str">
        <f>IF(B667="","",SUMIFS('PR-BOM'!$D$3:$D995,'PR-BOM'!$C$3:$C995,C667,'PR-BOM'!$B$3:$B995,B667))</f>
        <v/>
      </c>
    </row>
    <row r="668" spans="1:26" ht="15.75" customHeight="1">
      <c r="A668" s="220"/>
      <c r="B668" s="137"/>
      <c r="C668" s="137"/>
      <c r="D668" s="136"/>
      <c r="E668" s="137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 t="str">
        <f>IF(B668="","",SUMIFS('PR-BOM'!$D$3:$D995,'PR-BOM'!$C$3:$C995,C668,'PR-BOM'!$B$3:$B995,B668))</f>
        <v/>
      </c>
    </row>
    <row r="669" spans="1:26" ht="15.75" customHeight="1">
      <c r="A669" s="220"/>
      <c r="B669" s="137"/>
      <c r="C669" s="137"/>
      <c r="D669" s="136"/>
      <c r="E669" s="137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 t="str">
        <f>IF(B669="","",SUMIFS('PR-BOM'!$D$3:$D995,'PR-BOM'!$C$3:$C995,C669,'PR-BOM'!$B$3:$B995,B669))</f>
        <v/>
      </c>
    </row>
    <row r="670" spans="1:26" ht="15.75" customHeight="1">
      <c r="A670" s="220"/>
      <c r="B670" s="137"/>
      <c r="C670" s="137"/>
      <c r="D670" s="136"/>
      <c r="E670" s="137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 t="str">
        <f>IF(B670="","",SUMIFS('PR-BOM'!$D$3:$D995,'PR-BOM'!$C$3:$C995,C670,'PR-BOM'!$B$3:$B995,B670))</f>
        <v/>
      </c>
    </row>
    <row r="671" spans="1:26" ht="15.75" customHeight="1">
      <c r="A671" s="220"/>
      <c r="B671" s="137"/>
      <c r="C671" s="137"/>
      <c r="D671" s="136"/>
      <c r="E671" s="137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 t="str">
        <f>IF(B671="","",SUMIFS('PR-BOM'!$D$3:$D995,'PR-BOM'!$C$3:$C995,C671,'PR-BOM'!$B$3:$B995,B671))</f>
        <v/>
      </c>
    </row>
    <row r="672" spans="1:26" ht="15.75" customHeight="1">
      <c r="A672" s="220"/>
      <c r="B672" s="137"/>
      <c r="C672" s="137"/>
      <c r="D672" s="136"/>
      <c r="E672" s="137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 t="str">
        <f>IF(B672="","",SUMIFS('PR-BOM'!$D$3:$D995,'PR-BOM'!$C$3:$C995,C672,'PR-BOM'!$B$3:$B995,B672))</f>
        <v/>
      </c>
    </row>
    <row r="673" spans="1:26" ht="15.75" customHeight="1">
      <c r="A673" s="220"/>
      <c r="B673" s="137"/>
      <c r="C673" s="137"/>
      <c r="D673" s="136"/>
      <c r="E673" s="137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 t="str">
        <f>IF(B673="","",SUMIFS('PR-BOM'!$D$3:$D995,'PR-BOM'!$C$3:$C995,C673,'PR-BOM'!$B$3:$B995,B673))</f>
        <v/>
      </c>
    </row>
    <row r="674" spans="1:26" ht="15.75" customHeight="1">
      <c r="A674" s="220"/>
      <c r="B674" s="137"/>
      <c r="C674" s="137"/>
      <c r="D674" s="136"/>
      <c r="E674" s="137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 t="str">
        <f>IF(B674="","",SUMIFS('PR-BOM'!$D$3:$D995,'PR-BOM'!$C$3:$C995,C674,'PR-BOM'!$B$3:$B995,B674))</f>
        <v/>
      </c>
    </row>
    <row r="675" spans="1:26" ht="15.75" customHeight="1">
      <c r="A675" s="220"/>
      <c r="B675" s="137"/>
      <c r="C675" s="137"/>
      <c r="D675" s="136"/>
      <c r="E675" s="137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 t="str">
        <f>IF(B675="","",SUMIFS('PR-BOM'!$D$3:$D995,'PR-BOM'!$C$3:$C995,C675,'PR-BOM'!$B$3:$B995,B675))</f>
        <v/>
      </c>
    </row>
    <row r="676" spans="1:26" ht="15.75" customHeight="1">
      <c r="A676" s="220"/>
      <c r="B676" s="137"/>
      <c r="C676" s="137"/>
      <c r="D676" s="136"/>
      <c r="E676" s="137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 t="str">
        <f>IF(B676="","",SUMIFS('PR-BOM'!$D$3:$D995,'PR-BOM'!$C$3:$C995,C676,'PR-BOM'!$B$3:$B995,B676))</f>
        <v/>
      </c>
    </row>
    <row r="677" spans="1:26" ht="15.75" customHeight="1">
      <c r="A677" s="220"/>
      <c r="B677" s="137"/>
      <c r="C677" s="137"/>
      <c r="D677" s="136"/>
      <c r="E677" s="137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 t="str">
        <f>IF(B677="","",SUMIFS('PR-BOM'!$D$3:$D995,'PR-BOM'!$C$3:$C995,C677,'PR-BOM'!$B$3:$B995,B677))</f>
        <v/>
      </c>
    </row>
    <row r="678" spans="1:26" ht="15.75" customHeight="1">
      <c r="A678" s="220"/>
      <c r="B678" s="137"/>
      <c r="C678" s="137"/>
      <c r="D678" s="136"/>
      <c r="E678" s="137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 t="str">
        <f>IF(B678="","",SUMIFS('PR-BOM'!$D$3:$D995,'PR-BOM'!$C$3:$C995,C678,'PR-BOM'!$B$3:$B995,B678))</f>
        <v/>
      </c>
    </row>
    <row r="679" spans="1:26" ht="15.75" customHeight="1">
      <c r="A679" s="220"/>
      <c r="B679" s="137"/>
      <c r="C679" s="137"/>
      <c r="D679" s="136"/>
      <c r="E679" s="137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 t="str">
        <f>IF(B679="","",SUMIFS('PR-BOM'!$D$3:$D995,'PR-BOM'!$C$3:$C995,C679,'PR-BOM'!$B$3:$B995,B679))</f>
        <v/>
      </c>
    </row>
    <row r="680" spans="1:26" ht="15.75" customHeight="1">
      <c r="A680" s="220"/>
      <c r="B680" s="137"/>
      <c r="C680" s="137"/>
      <c r="D680" s="136"/>
      <c r="E680" s="137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 t="str">
        <f>IF(B680="","",SUMIFS('PR-BOM'!$D$3:$D995,'PR-BOM'!$C$3:$C995,C680,'PR-BOM'!$B$3:$B995,B680))</f>
        <v/>
      </c>
    </row>
    <row r="681" spans="1:26" ht="15.75" customHeight="1">
      <c r="A681" s="220"/>
      <c r="B681" s="137"/>
      <c r="C681" s="137"/>
      <c r="D681" s="136"/>
      <c r="E681" s="137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 t="str">
        <f>IF(B681="","",SUMIFS('PR-BOM'!$D$3:$D995,'PR-BOM'!$C$3:$C995,C681,'PR-BOM'!$B$3:$B995,B681))</f>
        <v/>
      </c>
    </row>
    <row r="682" spans="1:26" ht="15.75" customHeight="1">
      <c r="A682" s="220"/>
      <c r="B682" s="137"/>
      <c r="C682" s="137"/>
      <c r="D682" s="136"/>
      <c r="E682" s="137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 t="str">
        <f>IF(B682="","",SUMIFS('PR-BOM'!$D$3:$D995,'PR-BOM'!$C$3:$C995,C682,'PR-BOM'!$B$3:$B995,B682))</f>
        <v/>
      </c>
    </row>
    <row r="683" spans="1:26" ht="15.75" customHeight="1">
      <c r="A683" s="220"/>
      <c r="B683" s="137"/>
      <c r="C683" s="137"/>
      <c r="D683" s="136"/>
      <c r="E683" s="137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 t="str">
        <f>IF(B683="","",SUMIFS('PR-BOM'!$D$3:$D995,'PR-BOM'!$C$3:$C995,C683,'PR-BOM'!$B$3:$B995,B683))</f>
        <v/>
      </c>
    </row>
    <row r="684" spans="1:26" ht="15.75" customHeight="1">
      <c r="A684" s="220"/>
      <c r="B684" s="137"/>
      <c r="C684" s="137"/>
      <c r="D684" s="136"/>
      <c r="E684" s="137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 t="str">
        <f>IF(B684="","",SUMIFS('PR-BOM'!$D$3:$D995,'PR-BOM'!$C$3:$C995,C684,'PR-BOM'!$B$3:$B995,B684))</f>
        <v/>
      </c>
    </row>
    <row r="685" spans="1:26" ht="15.75" customHeight="1">
      <c r="A685" s="220"/>
      <c r="B685" s="137"/>
      <c r="C685" s="137"/>
      <c r="D685" s="136"/>
      <c r="E685" s="137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 t="str">
        <f>IF(B685="","",SUMIFS('PR-BOM'!$D$3:$D995,'PR-BOM'!$C$3:$C995,C685,'PR-BOM'!$B$3:$B995,B685))</f>
        <v/>
      </c>
    </row>
    <row r="686" spans="1:26" ht="15.75" customHeight="1">
      <c r="A686" s="220"/>
      <c r="B686" s="137"/>
      <c r="C686" s="137"/>
      <c r="D686" s="136"/>
      <c r="E686" s="137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 t="str">
        <f>IF(B686="","",SUMIFS('PR-BOM'!$D$3:$D995,'PR-BOM'!$C$3:$C995,C686,'PR-BOM'!$B$3:$B995,B686))</f>
        <v/>
      </c>
    </row>
    <row r="687" spans="1:26" ht="15.75" customHeight="1">
      <c r="A687" s="220"/>
      <c r="B687" s="137"/>
      <c r="C687" s="137"/>
      <c r="D687" s="136"/>
      <c r="E687" s="137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 t="str">
        <f>IF(B687="","",SUMIFS('PR-BOM'!$D$3:$D995,'PR-BOM'!$C$3:$C995,C687,'PR-BOM'!$B$3:$B995,B687))</f>
        <v/>
      </c>
    </row>
    <row r="688" spans="1:26" ht="15.75" customHeight="1">
      <c r="A688" s="220"/>
      <c r="B688" s="137"/>
      <c r="C688" s="137"/>
      <c r="D688" s="136"/>
      <c r="E688" s="137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 t="str">
        <f>IF(B688="","",SUMIFS('PR-BOM'!$D$3:$D995,'PR-BOM'!$C$3:$C995,C688,'PR-BOM'!$B$3:$B995,B688))</f>
        <v/>
      </c>
    </row>
    <row r="689" spans="1:26" ht="15.75" customHeight="1">
      <c r="A689" s="220"/>
      <c r="B689" s="137"/>
      <c r="C689" s="137"/>
      <c r="D689" s="136"/>
      <c r="E689" s="137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 t="str">
        <f>IF(B689="","",SUMIFS('PR-BOM'!$D$3:$D995,'PR-BOM'!$C$3:$C995,C689,'PR-BOM'!$B$3:$B995,B689))</f>
        <v/>
      </c>
    </row>
    <row r="690" spans="1:26" ht="15.75" customHeight="1">
      <c r="A690" s="220"/>
      <c r="B690" s="137"/>
      <c r="C690" s="137"/>
      <c r="D690" s="136"/>
      <c r="E690" s="137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 t="str">
        <f>IF(B690="","",SUMIFS('PR-BOM'!$D$3:$D995,'PR-BOM'!$C$3:$C995,C690,'PR-BOM'!$B$3:$B995,B690))</f>
        <v/>
      </c>
    </row>
    <row r="691" spans="1:26" ht="15.75" customHeight="1">
      <c r="A691" s="220"/>
      <c r="B691" s="137"/>
      <c r="C691" s="137"/>
      <c r="D691" s="136"/>
      <c r="E691" s="137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 t="str">
        <f>IF(B691="","",SUMIFS('PR-BOM'!$D$3:$D995,'PR-BOM'!$C$3:$C995,C691,'PR-BOM'!$B$3:$B995,B691))</f>
        <v/>
      </c>
    </row>
    <row r="692" spans="1:26" ht="15.75" customHeight="1">
      <c r="A692" s="220"/>
      <c r="B692" s="137"/>
      <c r="C692" s="137"/>
      <c r="D692" s="136"/>
      <c r="E692" s="137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 t="str">
        <f>IF(B692="","",SUMIFS('PR-BOM'!$D$3:$D995,'PR-BOM'!$C$3:$C995,C692,'PR-BOM'!$B$3:$B995,B692))</f>
        <v/>
      </c>
    </row>
    <row r="693" spans="1:26" ht="15.75" customHeight="1">
      <c r="A693" s="220"/>
      <c r="B693" s="137"/>
      <c r="C693" s="137"/>
      <c r="D693" s="136"/>
      <c r="E693" s="137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 t="str">
        <f>IF(B693="","",SUMIFS('PR-BOM'!$D$3:$D995,'PR-BOM'!$C$3:$C995,C693,'PR-BOM'!$B$3:$B995,B693))</f>
        <v/>
      </c>
    </row>
    <row r="694" spans="1:26" ht="15.75" customHeight="1">
      <c r="A694" s="220"/>
      <c r="B694" s="137"/>
      <c r="C694" s="137"/>
      <c r="D694" s="136"/>
      <c r="E694" s="137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 t="str">
        <f>IF(B694="","",SUMIFS('PR-BOM'!$D$3:$D995,'PR-BOM'!$C$3:$C995,C694,'PR-BOM'!$B$3:$B995,B694))</f>
        <v/>
      </c>
    </row>
    <row r="695" spans="1:26" ht="15.75" customHeight="1">
      <c r="A695" s="220"/>
      <c r="B695" s="137"/>
      <c r="C695" s="137"/>
      <c r="D695" s="136"/>
      <c r="E695" s="137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 t="str">
        <f>IF(B695="","",SUMIFS('PR-BOM'!$D$3:$D995,'PR-BOM'!$C$3:$C995,C695,'PR-BOM'!$B$3:$B995,B695))</f>
        <v/>
      </c>
    </row>
    <row r="696" spans="1:26" ht="15.75" customHeight="1">
      <c r="A696" s="220"/>
      <c r="B696" s="137"/>
      <c r="C696" s="137"/>
      <c r="D696" s="136"/>
      <c r="E696" s="137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 t="str">
        <f>IF(B696="","",SUMIFS('PR-BOM'!$D$3:$D995,'PR-BOM'!$C$3:$C995,C696,'PR-BOM'!$B$3:$B995,B696))</f>
        <v/>
      </c>
    </row>
    <row r="697" spans="1:26" ht="15.75" customHeight="1">
      <c r="A697" s="220"/>
      <c r="B697" s="137"/>
      <c r="C697" s="137"/>
      <c r="D697" s="136"/>
      <c r="E697" s="137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 t="str">
        <f>IF(B697="","",SUMIFS('PR-BOM'!$D$3:$D995,'PR-BOM'!$C$3:$C995,C697,'PR-BOM'!$B$3:$B995,B697))</f>
        <v/>
      </c>
    </row>
    <row r="698" spans="1:26" ht="15.75" customHeight="1">
      <c r="A698" s="220"/>
      <c r="B698" s="137"/>
      <c r="C698" s="137"/>
      <c r="D698" s="136"/>
      <c r="E698" s="137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 t="str">
        <f>IF(B698="","",SUMIFS('PR-BOM'!$D$3:$D995,'PR-BOM'!$C$3:$C995,C698,'PR-BOM'!$B$3:$B995,B698))</f>
        <v/>
      </c>
    </row>
    <row r="699" spans="1:26" ht="15.75" customHeight="1">
      <c r="A699" s="220"/>
      <c r="B699" s="137"/>
      <c r="C699" s="137"/>
      <c r="D699" s="136"/>
      <c r="E699" s="137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 t="str">
        <f>IF(B699="","",SUMIFS('PR-BOM'!$D$3:$D995,'PR-BOM'!$C$3:$C995,C699,'PR-BOM'!$B$3:$B995,B699))</f>
        <v/>
      </c>
    </row>
    <row r="700" spans="1:26" ht="15.75" customHeight="1">
      <c r="A700" s="220"/>
      <c r="B700" s="137"/>
      <c r="C700" s="137"/>
      <c r="D700" s="136"/>
      <c r="E700" s="137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 t="str">
        <f>IF(B700="","",SUMIFS('PR-BOM'!$D$3:$D995,'PR-BOM'!$C$3:$C995,C700,'PR-BOM'!$B$3:$B995,B700))</f>
        <v/>
      </c>
    </row>
    <row r="701" spans="1:26" ht="15.75" customHeight="1">
      <c r="A701" s="220"/>
      <c r="B701" s="137"/>
      <c r="C701" s="137"/>
      <c r="D701" s="136"/>
      <c r="E701" s="137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 t="str">
        <f>IF(B701="","",SUMIFS('PR-BOM'!$D$3:$D995,'PR-BOM'!$C$3:$C995,C701,'PR-BOM'!$B$3:$B995,B701))</f>
        <v/>
      </c>
    </row>
    <row r="702" spans="1:26" ht="15.75" customHeight="1">
      <c r="A702" s="220"/>
      <c r="B702" s="137"/>
      <c r="C702" s="137"/>
      <c r="D702" s="136"/>
      <c r="E702" s="137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 t="str">
        <f>IF(B702="","",SUMIFS('PR-BOM'!$D$3:$D995,'PR-BOM'!$C$3:$C995,C702,'PR-BOM'!$B$3:$B995,B702))</f>
        <v/>
      </c>
    </row>
    <row r="703" spans="1:26" ht="15.75" customHeight="1">
      <c r="A703" s="220"/>
      <c r="B703" s="137"/>
      <c r="C703" s="137"/>
      <c r="D703" s="136"/>
      <c r="E703" s="137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 t="str">
        <f>IF(B703="","",SUMIFS('PR-BOM'!$D$3:$D995,'PR-BOM'!$C$3:$C995,C703,'PR-BOM'!$B$3:$B995,B703))</f>
        <v/>
      </c>
    </row>
    <row r="704" spans="1:26" ht="15.75" customHeight="1">
      <c r="A704" s="220"/>
      <c r="B704" s="137"/>
      <c r="C704" s="137"/>
      <c r="D704" s="136"/>
      <c r="E704" s="137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 t="str">
        <f>IF(B704="","",SUMIFS('PR-BOM'!$D$3:$D995,'PR-BOM'!$C$3:$C995,C704,'PR-BOM'!$B$3:$B995,B704))</f>
        <v/>
      </c>
    </row>
    <row r="705" spans="1:26" ht="15.75" customHeight="1">
      <c r="A705" s="220"/>
      <c r="B705" s="137"/>
      <c r="C705" s="137"/>
      <c r="D705" s="136"/>
      <c r="E705" s="137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 t="str">
        <f>IF(B705="","",SUMIFS('PR-BOM'!$D$3:$D995,'PR-BOM'!$C$3:$C995,C705,'PR-BOM'!$B$3:$B995,B705))</f>
        <v/>
      </c>
    </row>
    <row r="706" spans="1:26" ht="15.75" customHeight="1">
      <c r="A706" s="220"/>
      <c r="B706" s="137"/>
      <c r="C706" s="137"/>
      <c r="D706" s="136"/>
      <c r="E706" s="137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 t="str">
        <f>IF(B706="","",SUMIFS('PR-BOM'!$D$3:$D995,'PR-BOM'!$C$3:$C995,C706,'PR-BOM'!$B$3:$B995,B706))</f>
        <v/>
      </c>
    </row>
    <row r="707" spans="1:26" ht="15.75" customHeight="1">
      <c r="A707" s="220"/>
      <c r="B707" s="137"/>
      <c r="C707" s="137"/>
      <c r="D707" s="136"/>
      <c r="E707" s="137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 t="str">
        <f>IF(B707="","",SUMIFS('PR-BOM'!$D$3:$D995,'PR-BOM'!$C$3:$C995,C707,'PR-BOM'!$B$3:$B995,B707))</f>
        <v/>
      </c>
    </row>
    <row r="708" spans="1:26" ht="15.75" customHeight="1">
      <c r="A708" s="220"/>
      <c r="B708" s="137"/>
      <c r="C708" s="137"/>
      <c r="D708" s="136"/>
      <c r="E708" s="137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 t="str">
        <f>IF(B708="","",SUMIFS('PR-BOM'!$D$3:$D995,'PR-BOM'!$C$3:$C995,C708,'PR-BOM'!$B$3:$B995,B708))</f>
        <v/>
      </c>
    </row>
    <row r="709" spans="1:26" ht="15.75" customHeight="1">
      <c r="A709" s="220"/>
      <c r="B709" s="137"/>
      <c r="C709" s="137"/>
      <c r="D709" s="136"/>
      <c r="E709" s="137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 t="str">
        <f>IF(B709="","",SUMIFS('PR-BOM'!$D$3:$D995,'PR-BOM'!$C$3:$C995,C709,'PR-BOM'!$B$3:$B995,B709))</f>
        <v/>
      </c>
    </row>
    <row r="710" spans="1:26" ht="15.75" customHeight="1">
      <c r="A710" s="220"/>
      <c r="B710" s="137"/>
      <c r="C710" s="137"/>
      <c r="D710" s="136"/>
      <c r="E710" s="137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 t="str">
        <f>IF(B710="","",SUMIFS('PR-BOM'!$D$3:$D995,'PR-BOM'!$C$3:$C995,C710,'PR-BOM'!$B$3:$B995,B710))</f>
        <v/>
      </c>
    </row>
    <row r="711" spans="1:26" ht="15.75" customHeight="1">
      <c r="A711" s="220"/>
      <c r="B711" s="137"/>
      <c r="C711" s="137"/>
      <c r="D711" s="136"/>
      <c r="E711" s="137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 t="str">
        <f>IF(B711="","",SUMIFS('PR-BOM'!$D$3:$D995,'PR-BOM'!$C$3:$C995,C711,'PR-BOM'!$B$3:$B995,B711))</f>
        <v/>
      </c>
    </row>
    <row r="712" spans="1:26" ht="15.75" customHeight="1">
      <c r="A712" s="220"/>
      <c r="B712" s="137"/>
      <c r="C712" s="137"/>
      <c r="D712" s="136"/>
      <c r="E712" s="137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 t="str">
        <f>IF(B712="","",SUMIFS('PR-BOM'!$D$3:$D995,'PR-BOM'!$C$3:$C995,C712,'PR-BOM'!$B$3:$B995,B712))</f>
        <v/>
      </c>
    </row>
    <row r="713" spans="1:26" ht="15.75" customHeight="1">
      <c r="A713" s="220"/>
      <c r="B713" s="137"/>
      <c r="C713" s="137"/>
      <c r="D713" s="136"/>
      <c r="E713" s="137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 t="str">
        <f>IF(B713="","",SUMIFS('PR-BOM'!$D$3:$D995,'PR-BOM'!$C$3:$C995,C713,'PR-BOM'!$B$3:$B995,B713))</f>
        <v/>
      </c>
    </row>
    <row r="714" spans="1:26" ht="15.75" customHeight="1">
      <c r="A714" s="220"/>
      <c r="B714" s="137"/>
      <c r="C714" s="137"/>
      <c r="D714" s="136"/>
      <c r="E714" s="137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 t="str">
        <f>IF(B714="","",SUMIFS('PR-BOM'!$D$3:$D995,'PR-BOM'!$C$3:$C995,C714,'PR-BOM'!$B$3:$B995,B714))</f>
        <v/>
      </c>
    </row>
    <row r="715" spans="1:26" ht="15.75" customHeight="1">
      <c r="A715" s="220"/>
      <c r="B715" s="137"/>
      <c r="C715" s="137"/>
      <c r="D715" s="136"/>
      <c r="E715" s="137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 t="str">
        <f>IF(B715="","",SUMIFS('PR-BOM'!$D$3:$D995,'PR-BOM'!$C$3:$C995,C715,'PR-BOM'!$B$3:$B995,B715))</f>
        <v/>
      </c>
    </row>
    <row r="716" spans="1:26" ht="15.75" customHeight="1">
      <c r="A716" s="220"/>
      <c r="B716" s="137"/>
      <c r="C716" s="137"/>
      <c r="D716" s="136"/>
      <c r="E716" s="137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 t="str">
        <f>IF(B716="","",SUMIFS('PR-BOM'!$D$3:$D995,'PR-BOM'!$C$3:$C995,C716,'PR-BOM'!$B$3:$B995,B716))</f>
        <v/>
      </c>
    </row>
    <row r="717" spans="1:26" ht="15.75" customHeight="1">
      <c r="A717" s="220"/>
      <c r="B717" s="137"/>
      <c r="C717" s="137"/>
      <c r="D717" s="136"/>
      <c r="E717" s="137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 t="str">
        <f>IF(B717="","",SUMIFS('PR-BOM'!$D$3:$D995,'PR-BOM'!$C$3:$C995,C717,'PR-BOM'!$B$3:$B995,B717))</f>
        <v/>
      </c>
    </row>
    <row r="718" spans="1:26" ht="15.75" customHeight="1">
      <c r="A718" s="220"/>
      <c r="B718" s="137"/>
      <c r="C718" s="137"/>
      <c r="D718" s="136"/>
      <c r="E718" s="137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 t="str">
        <f>IF(B718="","",SUMIFS('PR-BOM'!$D$3:$D995,'PR-BOM'!$C$3:$C995,C718,'PR-BOM'!$B$3:$B995,B718))</f>
        <v/>
      </c>
    </row>
    <row r="719" spans="1:26" ht="15.75" customHeight="1">
      <c r="A719" s="220"/>
      <c r="B719" s="137"/>
      <c r="C719" s="137"/>
      <c r="D719" s="136"/>
      <c r="E719" s="137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 t="str">
        <f>IF(B719="","",SUMIFS('PR-BOM'!$D$3:$D995,'PR-BOM'!$C$3:$C995,C719,'PR-BOM'!$B$3:$B995,B719))</f>
        <v/>
      </c>
    </row>
    <row r="720" spans="1:26" ht="15.75" customHeight="1">
      <c r="A720" s="220"/>
      <c r="B720" s="137"/>
      <c r="C720" s="137"/>
      <c r="D720" s="136"/>
      <c r="E720" s="137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 t="str">
        <f>IF(B720="","",SUMIFS('PR-BOM'!$D$3:$D995,'PR-BOM'!$C$3:$C995,C720,'PR-BOM'!$B$3:$B995,B720))</f>
        <v/>
      </c>
    </row>
    <row r="721" spans="1:26" ht="15.75" customHeight="1">
      <c r="A721" s="220"/>
      <c r="B721" s="137"/>
      <c r="C721" s="137"/>
      <c r="D721" s="136"/>
      <c r="E721" s="137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 t="str">
        <f>IF(B721="","",SUMIFS('PR-BOM'!$D$3:$D995,'PR-BOM'!$C$3:$C995,C721,'PR-BOM'!$B$3:$B995,B721))</f>
        <v/>
      </c>
    </row>
    <row r="722" spans="1:26" ht="15.75" customHeight="1">
      <c r="A722" s="220"/>
      <c r="B722" s="137"/>
      <c r="C722" s="137"/>
      <c r="D722" s="136"/>
      <c r="E722" s="137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 t="str">
        <f>IF(B722="","",SUMIFS('PR-BOM'!$D$3:$D995,'PR-BOM'!$C$3:$C995,C722,'PR-BOM'!$B$3:$B995,B722))</f>
        <v/>
      </c>
    </row>
    <row r="723" spans="1:26" ht="15.75" customHeight="1">
      <c r="A723" s="220"/>
      <c r="B723" s="137"/>
      <c r="C723" s="137"/>
      <c r="D723" s="136"/>
      <c r="E723" s="137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 t="str">
        <f>IF(B723="","",SUMIFS('PR-BOM'!$D$3:$D995,'PR-BOM'!$C$3:$C995,C723,'PR-BOM'!$B$3:$B995,B723))</f>
        <v/>
      </c>
    </row>
    <row r="724" spans="1:26" ht="15.75" customHeight="1">
      <c r="A724" s="220"/>
      <c r="B724" s="137"/>
      <c r="C724" s="137"/>
      <c r="D724" s="136"/>
      <c r="E724" s="137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 t="str">
        <f>IF(B724="","",SUMIFS('PR-BOM'!$D$3:$D995,'PR-BOM'!$C$3:$C995,C724,'PR-BOM'!$B$3:$B995,B724))</f>
        <v/>
      </c>
    </row>
    <row r="725" spans="1:26" ht="15.75" customHeight="1">
      <c r="A725" s="220"/>
      <c r="B725" s="137"/>
      <c r="C725" s="137"/>
      <c r="D725" s="136"/>
      <c r="E725" s="137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 t="str">
        <f>IF(B725="","",SUMIFS('PR-BOM'!$D$3:$D995,'PR-BOM'!$C$3:$C995,C725,'PR-BOM'!$B$3:$B995,B725))</f>
        <v/>
      </c>
    </row>
    <row r="726" spans="1:26" ht="15.75" customHeight="1">
      <c r="A726" s="220"/>
      <c r="B726" s="137"/>
      <c r="C726" s="137"/>
      <c r="D726" s="136"/>
      <c r="E726" s="137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 t="str">
        <f>IF(B726="","",SUMIFS('PR-BOM'!$D$3:$D995,'PR-BOM'!$C$3:$C995,C726,'PR-BOM'!$B$3:$B995,B726))</f>
        <v/>
      </c>
    </row>
    <row r="727" spans="1:26" ht="15.75" customHeight="1">
      <c r="A727" s="220"/>
      <c r="B727" s="137"/>
      <c r="C727" s="137"/>
      <c r="D727" s="136"/>
      <c r="E727" s="137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 t="str">
        <f>IF(B727="","",SUMIFS('PR-BOM'!$D$3:$D995,'PR-BOM'!$C$3:$C995,C727,'PR-BOM'!$B$3:$B995,B727))</f>
        <v/>
      </c>
    </row>
    <row r="728" spans="1:26" ht="15.75" customHeight="1">
      <c r="A728" s="220"/>
      <c r="B728" s="137"/>
      <c r="C728" s="137"/>
      <c r="D728" s="136"/>
      <c r="E728" s="137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 t="str">
        <f>IF(B728="","",SUMIFS('PR-BOM'!$D$3:$D995,'PR-BOM'!$C$3:$C995,C728,'PR-BOM'!$B$3:$B995,B728))</f>
        <v/>
      </c>
    </row>
    <row r="729" spans="1:26" ht="15.75" customHeight="1">
      <c r="A729" s="220"/>
      <c r="B729" s="137"/>
      <c r="C729" s="137"/>
      <c r="D729" s="136"/>
      <c r="E729" s="137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 t="str">
        <f>IF(B729="","",SUMIFS('PR-BOM'!$D$3:$D995,'PR-BOM'!$C$3:$C995,C729,'PR-BOM'!$B$3:$B995,B729))</f>
        <v/>
      </c>
    </row>
    <row r="730" spans="1:26" ht="15.75" customHeight="1">
      <c r="A730" s="220"/>
      <c r="B730" s="137"/>
      <c r="C730" s="137"/>
      <c r="D730" s="136"/>
      <c r="E730" s="137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 t="str">
        <f>IF(B730="","",SUMIFS('PR-BOM'!$D$3:$D995,'PR-BOM'!$C$3:$C995,C730,'PR-BOM'!$B$3:$B995,B730))</f>
        <v/>
      </c>
    </row>
    <row r="731" spans="1:26" ht="15.75" customHeight="1">
      <c r="A731" s="220"/>
      <c r="B731" s="137"/>
      <c r="C731" s="137"/>
      <c r="D731" s="136"/>
      <c r="E731" s="137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 t="str">
        <f>IF(B731="","",SUMIFS('PR-BOM'!$D$3:$D995,'PR-BOM'!$C$3:$C995,C731,'PR-BOM'!$B$3:$B995,B731))</f>
        <v/>
      </c>
    </row>
    <row r="732" spans="1:26" ht="15.75" customHeight="1">
      <c r="A732" s="220"/>
      <c r="B732" s="137"/>
      <c r="C732" s="137"/>
      <c r="D732" s="136"/>
      <c r="E732" s="137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 t="str">
        <f>IF(B732="","",SUMIFS('PR-BOM'!$D$3:$D995,'PR-BOM'!$C$3:$C995,C732,'PR-BOM'!$B$3:$B995,B732))</f>
        <v/>
      </c>
    </row>
    <row r="733" spans="1:26" ht="15.75" customHeight="1">
      <c r="A733" s="220"/>
      <c r="B733" s="137"/>
      <c r="C733" s="137"/>
      <c r="D733" s="136"/>
      <c r="E733" s="137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 t="str">
        <f>IF(B733="","",SUMIFS('PR-BOM'!$D$3:$D995,'PR-BOM'!$C$3:$C995,C733,'PR-BOM'!$B$3:$B995,B733))</f>
        <v/>
      </c>
    </row>
    <row r="734" spans="1:26" ht="15.75" customHeight="1">
      <c r="A734" s="220"/>
      <c r="B734" s="137"/>
      <c r="C734" s="137"/>
      <c r="D734" s="136"/>
      <c r="E734" s="137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 t="str">
        <f>IF(B734="","",SUMIFS('PR-BOM'!$D$3:$D995,'PR-BOM'!$C$3:$C995,C734,'PR-BOM'!$B$3:$B995,B734))</f>
        <v/>
      </c>
    </row>
    <row r="735" spans="1:26" ht="15.75" customHeight="1">
      <c r="A735" s="220"/>
      <c r="B735" s="137"/>
      <c r="C735" s="137"/>
      <c r="D735" s="136"/>
      <c r="E735" s="137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 t="str">
        <f>IF(B735="","",SUMIFS('PR-BOM'!$D$3:$D995,'PR-BOM'!$C$3:$C995,C735,'PR-BOM'!$B$3:$B995,B735))</f>
        <v/>
      </c>
    </row>
    <row r="736" spans="1:26" ht="15.75" customHeight="1">
      <c r="A736" s="220"/>
      <c r="B736" s="137"/>
      <c r="C736" s="137"/>
      <c r="D736" s="136"/>
      <c r="E736" s="137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 t="str">
        <f>IF(B736="","",SUMIFS('PR-BOM'!$D$3:$D995,'PR-BOM'!$C$3:$C995,C736,'PR-BOM'!$B$3:$B995,B736))</f>
        <v/>
      </c>
    </row>
    <row r="737" spans="1:26" ht="15.75" customHeight="1">
      <c r="A737" s="220"/>
      <c r="B737" s="137"/>
      <c r="C737" s="137"/>
      <c r="D737" s="136"/>
      <c r="E737" s="137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 t="str">
        <f>IF(B737="","",SUMIFS('PR-BOM'!$D$3:$D995,'PR-BOM'!$C$3:$C995,C737,'PR-BOM'!$B$3:$B995,B737))</f>
        <v/>
      </c>
    </row>
    <row r="738" spans="1:26" ht="15.75" customHeight="1">
      <c r="A738" s="220"/>
      <c r="B738" s="137"/>
      <c r="C738" s="137"/>
      <c r="D738" s="136"/>
      <c r="E738" s="137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 t="str">
        <f>IF(B738="","",SUMIFS('PR-BOM'!$D$3:$D995,'PR-BOM'!$C$3:$C995,C738,'PR-BOM'!$B$3:$B995,B738))</f>
        <v/>
      </c>
    </row>
    <row r="739" spans="1:26" ht="15.75" customHeight="1">
      <c r="A739" s="220"/>
      <c r="B739" s="137"/>
      <c r="C739" s="137"/>
      <c r="D739" s="136"/>
      <c r="E739" s="137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 t="str">
        <f>IF(B739="","",SUMIFS('PR-BOM'!$D$3:$D995,'PR-BOM'!$C$3:$C995,C739,'PR-BOM'!$B$3:$B995,B739))</f>
        <v/>
      </c>
    </row>
    <row r="740" spans="1:26" ht="15.75" customHeight="1">
      <c r="A740" s="220"/>
      <c r="B740" s="137"/>
      <c r="C740" s="137"/>
      <c r="D740" s="136"/>
      <c r="E740" s="137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 t="str">
        <f>IF(B740="","",SUMIFS('PR-BOM'!$D$3:$D995,'PR-BOM'!$C$3:$C995,C740,'PR-BOM'!$B$3:$B995,B740))</f>
        <v/>
      </c>
    </row>
    <row r="741" spans="1:26" ht="15.75" customHeight="1">
      <c r="A741" s="220"/>
      <c r="B741" s="137"/>
      <c r="C741" s="137"/>
      <c r="D741" s="136"/>
      <c r="E741" s="137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 t="str">
        <f>IF(B741="","",SUMIFS('PR-BOM'!$D$3:$D995,'PR-BOM'!$C$3:$C995,C741,'PR-BOM'!$B$3:$B995,B741))</f>
        <v/>
      </c>
    </row>
    <row r="742" spans="1:26" ht="15.75" customHeight="1">
      <c r="A742" s="220"/>
      <c r="B742" s="137"/>
      <c r="C742" s="137"/>
      <c r="D742" s="136"/>
      <c r="E742" s="137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 t="str">
        <f>IF(B742="","",SUMIFS('PR-BOM'!$D$3:$D995,'PR-BOM'!$C$3:$C995,C742,'PR-BOM'!$B$3:$B995,B742))</f>
        <v/>
      </c>
    </row>
    <row r="743" spans="1:26" ht="15.75" customHeight="1">
      <c r="A743" s="220"/>
      <c r="B743" s="137"/>
      <c r="C743" s="137"/>
      <c r="D743" s="136"/>
      <c r="E743" s="137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 t="str">
        <f>IF(B743="","",SUMIFS('PR-BOM'!$D$3:$D995,'PR-BOM'!$C$3:$C995,C743,'PR-BOM'!$B$3:$B995,B743))</f>
        <v/>
      </c>
    </row>
    <row r="744" spans="1:26" ht="15.75" customHeight="1">
      <c r="A744" s="220"/>
      <c r="B744" s="137"/>
      <c r="C744" s="137"/>
      <c r="D744" s="136"/>
      <c r="E744" s="137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 t="str">
        <f>IF(B744="","",SUMIFS('PR-BOM'!$D$3:$D995,'PR-BOM'!$C$3:$C995,C744,'PR-BOM'!$B$3:$B995,B744))</f>
        <v/>
      </c>
    </row>
    <row r="745" spans="1:26" ht="15.75" customHeight="1">
      <c r="A745" s="220"/>
      <c r="B745" s="137"/>
      <c r="C745" s="137"/>
      <c r="D745" s="136"/>
      <c r="E745" s="137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 t="str">
        <f>IF(B745="","",SUMIFS('PR-BOM'!$D$3:$D995,'PR-BOM'!$C$3:$C995,C745,'PR-BOM'!$B$3:$B995,B745))</f>
        <v/>
      </c>
    </row>
    <row r="746" spans="1:26" ht="15.75" customHeight="1">
      <c r="A746" s="220"/>
      <c r="B746" s="137"/>
      <c r="C746" s="137"/>
      <c r="D746" s="136"/>
      <c r="E746" s="137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 t="str">
        <f>IF(B746="","",SUMIFS('PR-BOM'!$D$3:$D995,'PR-BOM'!$C$3:$C995,C746,'PR-BOM'!$B$3:$B995,B746))</f>
        <v/>
      </c>
    </row>
    <row r="747" spans="1:26" ht="15.75" customHeight="1">
      <c r="A747" s="220"/>
      <c r="B747" s="137"/>
      <c r="C747" s="137"/>
      <c r="D747" s="136"/>
      <c r="E747" s="137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 t="str">
        <f>IF(B747="","",SUMIFS('PR-BOM'!$D$3:$D995,'PR-BOM'!$C$3:$C995,C747,'PR-BOM'!$B$3:$B995,B747))</f>
        <v/>
      </c>
    </row>
    <row r="748" spans="1:26" ht="15.75" customHeight="1">
      <c r="A748" s="220"/>
      <c r="B748" s="137"/>
      <c r="C748" s="137"/>
      <c r="D748" s="136"/>
      <c r="E748" s="137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 t="str">
        <f>IF(B748="","",SUMIFS('PR-BOM'!$D$3:$D995,'PR-BOM'!$C$3:$C995,C748,'PR-BOM'!$B$3:$B995,B748))</f>
        <v/>
      </c>
    </row>
    <row r="749" spans="1:26" ht="15.75" customHeight="1">
      <c r="A749" s="220"/>
      <c r="B749" s="137"/>
      <c r="C749" s="137"/>
      <c r="D749" s="136"/>
      <c r="E749" s="137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 t="str">
        <f>IF(B749="","",SUMIFS('PR-BOM'!$D$3:$D995,'PR-BOM'!$C$3:$C995,C749,'PR-BOM'!$B$3:$B995,B749))</f>
        <v/>
      </c>
    </row>
    <row r="750" spans="1:26" ht="15.75" customHeight="1">
      <c r="A750" s="220"/>
      <c r="B750" s="137"/>
      <c r="C750" s="137"/>
      <c r="D750" s="136"/>
      <c r="E750" s="137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 t="str">
        <f>IF(B750="","",SUMIFS('PR-BOM'!$D$3:$D995,'PR-BOM'!$C$3:$C995,C750,'PR-BOM'!$B$3:$B995,B750))</f>
        <v/>
      </c>
    </row>
    <row r="751" spans="1:26" ht="15.75" customHeight="1">
      <c r="A751" s="220"/>
      <c r="B751" s="137"/>
      <c r="C751" s="137"/>
      <c r="D751" s="136"/>
      <c r="E751" s="137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 t="str">
        <f>IF(B751="","",SUMIFS('PR-BOM'!$D$3:$D995,'PR-BOM'!$C$3:$C995,C751,'PR-BOM'!$B$3:$B995,B751))</f>
        <v/>
      </c>
    </row>
    <row r="752" spans="1:26" ht="15.75" customHeight="1">
      <c r="A752" s="220"/>
      <c r="B752" s="137"/>
      <c r="C752" s="137"/>
      <c r="D752" s="136"/>
      <c r="E752" s="137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 t="str">
        <f>IF(B752="","",SUMIFS('PR-BOM'!$D$3:$D995,'PR-BOM'!$C$3:$C995,C752,'PR-BOM'!$B$3:$B995,B752))</f>
        <v/>
      </c>
    </row>
    <row r="753" spans="1:26" ht="15.75" customHeight="1">
      <c r="A753" s="220"/>
      <c r="B753" s="137"/>
      <c r="C753" s="137"/>
      <c r="D753" s="136"/>
      <c r="E753" s="137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 t="str">
        <f>IF(B753="","",SUMIFS('PR-BOM'!$D$3:$D995,'PR-BOM'!$C$3:$C995,C753,'PR-BOM'!$B$3:$B995,B753))</f>
        <v/>
      </c>
    </row>
    <row r="754" spans="1:26" ht="15.75" customHeight="1">
      <c r="A754" s="220"/>
      <c r="B754" s="137"/>
      <c r="C754" s="137"/>
      <c r="D754" s="136"/>
      <c r="E754" s="137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 t="str">
        <f>IF(B754="","",SUMIFS('PR-BOM'!$D$3:$D995,'PR-BOM'!$C$3:$C995,C754,'PR-BOM'!$B$3:$B995,B754))</f>
        <v/>
      </c>
    </row>
    <row r="755" spans="1:26" ht="15.75" customHeight="1">
      <c r="A755" s="220"/>
      <c r="B755" s="137"/>
      <c r="C755" s="137"/>
      <c r="D755" s="136"/>
      <c r="E755" s="137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 t="str">
        <f>IF(B755="","",SUMIFS('PR-BOM'!$D$3:$D995,'PR-BOM'!$C$3:$C995,C755,'PR-BOM'!$B$3:$B995,B755))</f>
        <v/>
      </c>
    </row>
    <row r="756" spans="1:26" ht="15.75" customHeight="1">
      <c r="A756" s="220"/>
      <c r="B756" s="137"/>
      <c r="C756" s="137"/>
      <c r="D756" s="136"/>
      <c r="E756" s="137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 t="str">
        <f>IF(B756="","",SUMIFS('PR-BOM'!$D$3:$D995,'PR-BOM'!$C$3:$C995,C756,'PR-BOM'!$B$3:$B995,B756))</f>
        <v/>
      </c>
    </row>
    <row r="757" spans="1:26" ht="15.75" customHeight="1">
      <c r="A757" s="220"/>
      <c r="B757" s="137"/>
      <c r="C757" s="137"/>
      <c r="D757" s="136"/>
      <c r="E757" s="137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 t="str">
        <f>IF(B757="","",SUMIFS('PR-BOM'!$D$3:$D995,'PR-BOM'!$C$3:$C995,C757,'PR-BOM'!$B$3:$B995,B757))</f>
        <v/>
      </c>
    </row>
    <row r="758" spans="1:26" ht="15.75" customHeight="1">
      <c r="A758" s="220"/>
      <c r="B758" s="137"/>
      <c r="C758" s="137"/>
      <c r="D758" s="136"/>
      <c r="E758" s="137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 t="str">
        <f>IF(B758="","",SUMIFS('PR-BOM'!$D$3:$D995,'PR-BOM'!$C$3:$C995,C758,'PR-BOM'!$B$3:$B995,B758))</f>
        <v/>
      </c>
    </row>
    <row r="759" spans="1:26" ht="15.75" customHeight="1">
      <c r="A759" s="220"/>
      <c r="B759" s="137"/>
      <c r="C759" s="137"/>
      <c r="D759" s="136"/>
      <c r="E759" s="137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 t="str">
        <f>IF(B759="","",SUMIFS('PR-BOM'!$D$3:$D995,'PR-BOM'!$C$3:$C995,C759,'PR-BOM'!$B$3:$B995,B759))</f>
        <v/>
      </c>
    </row>
    <row r="760" spans="1:26" ht="15.75" customHeight="1">
      <c r="A760" s="220"/>
      <c r="B760" s="137"/>
      <c r="C760" s="137"/>
      <c r="D760" s="136"/>
      <c r="E760" s="137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 t="str">
        <f>IF(B760="","",SUMIFS('PR-BOM'!$D$3:$D995,'PR-BOM'!$C$3:$C995,C760,'PR-BOM'!$B$3:$B995,B760))</f>
        <v/>
      </c>
    </row>
    <row r="761" spans="1:26" ht="15.75" customHeight="1">
      <c r="A761" s="220"/>
      <c r="B761" s="137"/>
      <c r="C761" s="137"/>
      <c r="D761" s="136"/>
      <c r="E761" s="137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 t="str">
        <f>IF(B761="","",SUMIFS('PR-BOM'!$D$3:$D995,'PR-BOM'!$C$3:$C995,C761,'PR-BOM'!$B$3:$B995,B761))</f>
        <v/>
      </c>
    </row>
    <row r="762" spans="1:26" ht="15.75" customHeight="1">
      <c r="A762" s="220"/>
      <c r="B762" s="137"/>
      <c r="C762" s="137"/>
      <c r="D762" s="136"/>
      <c r="E762" s="137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 t="str">
        <f>IF(B762="","",SUMIFS('PR-BOM'!$D$3:$D995,'PR-BOM'!$C$3:$C995,C762,'PR-BOM'!$B$3:$B995,B762))</f>
        <v/>
      </c>
    </row>
    <row r="763" spans="1:26" ht="15.75" customHeight="1">
      <c r="A763" s="220"/>
      <c r="B763" s="137"/>
      <c r="C763" s="137"/>
      <c r="D763" s="136"/>
      <c r="E763" s="137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 t="str">
        <f>IF(B763="","",SUMIFS('PR-BOM'!$D$3:$D995,'PR-BOM'!$C$3:$C995,C763,'PR-BOM'!$B$3:$B995,B763))</f>
        <v/>
      </c>
    </row>
    <row r="764" spans="1:26" ht="15.75" customHeight="1">
      <c r="A764" s="220"/>
      <c r="B764" s="137"/>
      <c r="C764" s="137"/>
      <c r="D764" s="136"/>
      <c r="E764" s="137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 t="str">
        <f>IF(B764="","",SUMIFS('PR-BOM'!$D$3:$D995,'PR-BOM'!$C$3:$C995,C764,'PR-BOM'!$B$3:$B995,B764))</f>
        <v/>
      </c>
    </row>
    <row r="765" spans="1:26" ht="15.75" customHeight="1">
      <c r="A765" s="220"/>
      <c r="B765" s="137"/>
      <c r="C765" s="137"/>
      <c r="D765" s="136"/>
      <c r="E765" s="137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 t="str">
        <f>IF(B765="","",SUMIFS('PR-BOM'!$D$3:$D995,'PR-BOM'!$C$3:$C995,C765,'PR-BOM'!$B$3:$B995,B765))</f>
        <v/>
      </c>
    </row>
    <row r="766" spans="1:26" ht="15.75" customHeight="1">
      <c r="A766" s="220"/>
      <c r="B766" s="137"/>
      <c r="C766" s="137"/>
      <c r="D766" s="136"/>
      <c r="E766" s="137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 t="str">
        <f>IF(B766="","",SUMIFS('PR-BOM'!$D$3:$D995,'PR-BOM'!$C$3:$C995,C766,'PR-BOM'!$B$3:$B995,B766))</f>
        <v/>
      </c>
    </row>
    <row r="767" spans="1:26" ht="15.75" customHeight="1">
      <c r="A767" s="220"/>
      <c r="B767" s="137"/>
      <c r="C767" s="137"/>
      <c r="D767" s="136"/>
      <c r="E767" s="137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 t="str">
        <f>IF(B767="","",SUMIFS('PR-BOM'!$D$3:$D995,'PR-BOM'!$C$3:$C995,C767,'PR-BOM'!$B$3:$B995,B767))</f>
        <v/>
      </c>
    </row>
    <row r="768" spans="1:26" ht="15.75" customHeight="1">
      <c r="A768" s="220"/>
      <c r="B768" s="137"/>
      <c r="C768" s="137"/>
      <c r="D768" s="136"/>
      <c r="E768" s="137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 t="str">
        <f>IF(B768="","",SUMIFS('PR-BOM'!$D$3:$D995,'PR-BOM'!$C$3:$C995,C768,'PR-BOM'!$B$3:$B995,B768))</f>
        <v/>
      </c>
    </row>
    <row r="769" spans="1:26" ht="15.75" customHeight="1">
      <c r="A769" s="220"/>
      <c r="B769" s="137"/>
      <c r="C769" s="137"/>
      <c r="D769" s="136"/>
      <c r="E769" s="137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 t="str">
        <f>IF(B769="","",SUMIFS('PR-BOM'!$D$3:$D995,'PR-BOM'!$C$3:$C995,C769,'PR-BOM'!$B$3:$B995,B769))</f>
        <v/>
      </c>
    </row>
    <row r="770" spans="1:26" ht="15.75" customHeight="1">
      <c r="A770" s="220"/>
      <c r="B770" s="137"/>
      <c r="C770" s="137"/>
      <c r="D770" s="136"/>
      <c r="E770" s="137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 t="str">
        <f>IF(B770="","",SUMIFS('PR-BOM'!$D$3:$D995,'PR-BOM'!$C$3:$C995,C770,'PR-BOM'!$B$3:$B995,B770))</f>
        <v/>
      </c>
    </row>
    <row r="771" spans="1:26" ht="15.75" customHeight="1">
      <c r="A771" s="220"/>
      <c r="B771" s="137"/>
      <c r="C771" s="137"/>
      <c r="D771" s="136"/>
      <c r="E771" s="137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 t="str">
        <f>IF(B771="","",SUMIFS('PR-BOM'!$D$3:$D995,'PR-BOM'!$C$3:$C995,C771,'PR-BOM'!$B$3:$B995,B771))</f>
        <v/>
      </c>
    </row>
    <row r="772" spans="1:26" ht="15.75" customHeight="1">
      <c r="A772" s="220"/>
      <c r="B772" s="137"/>
      <c r="C772" s="137"/>
      <c r="D772" s="136"/>
      <c r="E772" s="137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 t="str">
        <f>IF(B772="","",SUMIFS('PR-BOM'!$D$3:$D995,'PR-BOM'!$C$3:$C995,C772,'PR-BOM'!$B$3:$B995,B772))</f>
        <v/>
      </c>
    </row>
    <row r="773" spans="1:26" ht="15.75" customHeight="1">
      <c r="A773" s="220"/>
      <c r="B773" s="137"/>
      <c r="C773" s="137"/>
      <c r="D773" s="136"/>
      <c r="E773" s="137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 t="str">
        <f>IF(B773="","",SUMIFS('PR-BOM'!$D$3:$D995,'PR-BOM'!$C$3:$C995,C773,'PR-BOM'!$B$3:$B995,B773))</f>
        <v/>
      </c>
    </row>
    <row r="774" spans="1:26" ht="15.75" customHeight="1">
      <c r="A774" s="220"/>
      <c r="B774" s="137"/>
      <c r="C774" s="137"/>
      <c r="D774" s="136"/>
      <c r="E774" s="137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 t="str">
        <f>IF(B774="","",SUMIFS('PR-BOM'!$D$3:$D995,'PR-BOM'!$C$3:$C995,C774,'PR-BOM'!$B$3:$B995,B774))</f>
        <v/>
      </c>
    </row>
    <row r="775" spans="1:26" ht="15.75" customHeight="1">
      <c r="A775" s="220"/>
      <c r="B775" s="137"/>
      <c r="C775" s="137"/>
      <c r="D775" s="136"/>
      <c r="E775" s="137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 t="str">
        <f>IF(B775="","",SUMIFS('PR-BOM'!$D$3:$D995,'PR-BOM'!$C$3:$C995,C775,'PR-BOM'!$B$3:$B995,B775))</f>
        <v/>
      </c>
    </row>
    <row r="776" spans="1:26" ht="15.75" customHeight="1">
      <c r="A776" s="220"/>
      <c r="B776" s="137"/>
      <c r="C776" s="137"/>
      <c r="D776" s="136"/>
      <c r="E776" s="137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 t="str">
        <f>IF(B776="","",SUMIFS('PR-BOM'!$D$3:$D995,'PR-BOM'!$C$3:$C995,C776,'PR-BOM'!$B$3:$B995,B776))</f>
        <v/>
      </c>
    </row>
    <row r="777" spans="1:26" ht="15.75" customHeight="1">
      <c r="A777" s="220"/>
      <c r="B777" s="137"/>
      <c r="C777" s="137"/>
      <c r="D777" s="136"/>
      <c r="E777" s="137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 t="str">
        <f>IF(B777="","",SUMIFS('PR-BOM'!$D$3:$D995,'PR-BOM'!$C$3:$C995,C777,'PR-BOM'!$B$3:$B995,B777))</f>
        <v/>
      </c>
    </row>
    <row r="778" spans="1:26" ht="15.75" customHeight="1">
      <c r="A778" s="220"/>
      <c r="B778" s="137"/>
      <c r="C778" s="137"/>
      <c r="D778" s="136"/>
      <c r="E778" s="137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 t="str">
        <f>IF(B778="","",SUMIFS('PR-BOM'!$D$3:$D995,'PR-BOM'!$C$3:$C995,C778,'PR-BOM'!$B$3:$B995,B778))</f>
        <v/>
      </c>
    </row>
    <row r="779" spans="1:26" ht="15.75" customHeight="1">
      <c r="A779" s="220"/>
      <c r="B779" s="137"/>
      <c r="C779" s="137"/>
      <c r="D779" s="136"/>
      <c r="E779" s="137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 t="str">
        <f>IF(B779="","",SUMIFS('PR-BOM'!$D$3:$D995,'PR-BOM'!$C$3:$C995,C779,'PR-BOM'!$B$3:$B995,B779))</f>
        <v/>
      </c>
    </row>
    <row r="780" spans="1:26" ht="15.75" customHeight="1">
      <c r="A780" s="220"/>
      <c r="B780" s="137"/>
      <c r="C780" s="137"/>
      <c r="D780" s="136"/>
      <c r="E780" s="137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 t="str">
        <f>IF(B780="","",SUMIFS('PR-BOM'!$D$3:$D995,'PR-BOM'!$C$3:$C995,C780,'PR-BOM'!$B$3:$B995,B780))</f>
        <v/>
      </c>
    </row>
    <row r="781" spans="1:26" ht="15.75" customHeight="1">
      <c r="A781" s="220"/>
      <c r="B781" s="137"/>
      <c r="C781" s="137"/>
      <c r="D781" s="136"/>
      <c r="E781" s="137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 t="str">
        <f>IF(B781="","",SUMIFS('PR-BOM'!$D$3:$D995,'PR-BOM'!$C$3:$C995,C781,'PR-BOM'!$B$3:$B995,B781))</f>
        <v/>
      </c>
    </row>
    <row r="782" spans="1:26" ht="15.75" customHeight="1">
      <c r="A782" s="220"/>
      <c r="B782" s="137"/>
      <c r="C782" s="137"/>
      <c r="D782" s="136"/>
      <c r="E782" s="137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 t="str">
        <f>IF(B782="","",SUMIFS('PR-BOM'!$D$3:$D995,'PR-BOM'!$C$3:$C995,C782,'PR-BOM'!$B$3:$B995,B782))</f>
        <v/>
      </c>
    </row>
    <row r="783" spans="1:26" ht="15.75" customHeight="1">
      <c r="A783" s="220"/>
      <c r="B783" s="137"/>
      <c r="C783" s="137"/>
      <c r="D783" s="136"/>
      <c r="E783" s="137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 t="str">
        <f>IF(B783="","",SUMIFS('PR-BOM'!$D$3:$D995,'PR-BOM'!$C$3:$C995,C783,'PR-BOM'!$B$3:$B995,B783))</f>
        <v/>
      </c>
    </row>
    <row r="784" spans="1:26" ht="15.75" customHeight="1">
      <c r="A784" s="220"/>
      <c r="B784" s="137"/>
      <c r="C784" s="137"/>
      <c r="D784" s="136"/>
      <c r="E784" s="137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 t="str">
        <f>IF(B784="","",SUMIFS('PR-BOM'!$D$3:$D995,'PR-BOM'!$C$3:$C995,C784,'PR-BOM'!$B$3:$B995,B784))</f>
        <v/>
      </c>
    </row>
    <row r="785" spans="1:26" ht="15.75" customHeight="1">
      <c r="A785" s="220"/>
      <c r="B785" s="137"/>
      <c r="C785" s="137"/>
      <c r="D785" s="136"/>
      <c r="E785" s="137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 t="str">
        <f>IF(B785="","",SUMIFS('PR-BOM'!$D$3:$D995,'PR-BOM'!$C$3:$C995,C785,'PR-BOM'!$B$3:$B995,B785))</f>
        <v/>
      </c>
    </row>
    <row r="786" spans="1:26" ht="15.75" customHeight="1">
      <c r="A786" s="220"/>
      <c r="B786" s="137"/>
      <c r="C786" s="137"/>
      <c r="D786" s="136"/>
      <c r="E786" s="137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 t="str">
        <f>IF(B786="","",SUMIFS('PR-BOM'!$D$3:$D995,'PR-BOM'!$C$3:$C995,C786,'PR-BOM'!$B$3:$B995,B786))</f>
        <v/>
      </c>
    </row>
    <row r="787" spans="1:26" ht="15.75" customHeight="1">
      <c r="A787" s="220"/>
      <c r="B787" s="137"/>
      <c r="C787" s="137"/>
      <c r="D787" s="136"/>
      <c r="E787" s="137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 t="str">
        <f>IF(B787="","",SUMIFS('PR-BOM'!$D$3:$D995,'PR-BOM'!$C$3:$C995,C787,'PR-BOM'!$B$3:$B995,B787))</f>
        <v/>
      </c>
    </row>
    <row r="788" spans="1:26" ht="15.75" customHeight="1">
      <c r="A788" s="220"/>
      <c r="B788" s="137"/>
      <c r="C788" s="137"/>
      <c r="D788" s="136"/>
      <c r="E788" s="137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 t="str">
        <f>IF(B788="","",SUMIFS('PR-BOM'!$D$3:$D995,'PR-BOM'!$C$3:$C995,C788,'PR-BOM'!$B$3:$B995,B788))</f>
        <v/>
      </c>
    </row>
    <row r="789" spans="1:26" ht="15.75" customHeight="1">
      <c r="A789" s="220"/>
      <c r="B789" s="137"/>
      <c r="C789" s="137"/>
      <c r="D789" s="136"/>
      <c r="E789" s="137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 t="str">
        <f>IF(B789="","",SUMIFS('PR-BOM'!$D$3:$D995,'PR-BOM'!$C$3:$C995,C789,'PR-BOM'!$B$3:$B995,B789))</f>
        <v/>
      </c>
    </row>
    <row r="790" spans="1:26" ht="15.75" customHeight="1">
      <c r="A790" s="220"/>
      <c r="B790" s="137"/>
      <c r="C790" s="137"/>
      <c r="D790" s="136"/>
      <c r="E790" s="137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 t="str">
        <f>IF(B790="","",SUMIFS('PR-BOM'!$D$3:$D995,'PR-BOM'!$C$3:$C995,C790,'PR-BOM'!$B$3:$B995,B790))</f>
        <v/>
      </c>
    </row>
    <row r="791" spans="1:26" ht="15.75" customHeight="1">
      <c r="A791" s="220"/>
      <c r="B791" s="137"/>
      <c r="C791" s="137"/>
      <c r="D791" s="136"/>
      <c r="E791" s="137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 t="str">
        <f>IF(B791="","",SUMIFS('PR-BOM'!$D$3:$D995,'PR-BOM'!$C$3:$C995,C791,'PR-BOM'!$B$3:$B995,B791))</f>
        <v/>
      </c>
    </row>
    <row r="792" spans="1:26" ht="15.75" customHeight="1">
      <c r="A792" s="220"/>
      <c r="B792" s="137"/>
      <c r="C792" s="137"/>
      <c r="D792" s="136"/>
      <c r="E792" s="137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 t="str">
        <f>IF(B792="","",SUMIFS('PR-BOM'!$D$3:$D995,'PR-BOM'!$C$3:$C995,C792,'PR-BOM'!$B$3:$B995,B792))</f>
        <v/>
      </c>
    </row>
    <row r="793" spans="1:26" ht="15.75" customHeight="1">
      <c r="A793" s="220"/>
      <c r="B793" s="137"/>
      <c r="C793" s="137"/>
      <c r="D793" s="136"/>
      <c r="E793" s="137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 t="str">
        <f>IF(B793="","",SUMIFS('PR-BOM'!$D$3:$D995,'PR-BOM'!$C$3:$C995,C793,'PR-BOM'!$B$3:$B995,B793))</f>
        <v/>
      </c>
    </row>
    <row r="794" spans="1:26" ht="15.75" customHeight="1">
      <c r="A794" s="220"/>
      <c r="B794" s="137"/>
      <c r="C794" s="137"/>
      <c r="D794" s="136"/>
      <c r="E794" s="137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 t="str">
        <f>IF(B794="","",SUMIFS('PR-BOM'!$D$3:$D995,'PR-BOM'!$C$3:$C995,C794,'PR-BOM'!$B$3:$B995,B794))</f>
        <v/>
      </c>
    </row>
    <row r="795" spans="1:26" ht="15.75" customHeight="1">
      <c r="A795" s="220"/>
      <c r="B795" s="137"/>
      <c r="C795" s="137"/>
      <c r="D795" s="136"/>
      <c r="E795" s="137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 t="str">
        <f>IF(B795="","",SUMIFS('PR-BOM'!$D$3:$D995,'PR-BOM'!$C$3:$C995,C795,'PR-BOM'!$B$3:$B995,B795))</f>
        <v/>
      </c>
    </row>
    <row r="796" spans="1:26" ht="15.75" customHeight="1">
      <c r="A796" s="220"/>
      <c r="B796" s="137"/>
      <c r="C796" s="137"/>
      <c r="D796" s="136"/>
      <c r="E796" s="137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 t="str">
        <f>IF(B796="","",SUMIFS('PR-BOM'!$D$3:$D995,'PR-BOM'!$C$3:$C995,C796,'PR-BOM'!$B$3:$B995,B796))</f>
        <v/>
      </c>
    </row>
    <row r="797" spans="1:26" ht="15.75" customHeight="1">
      <c r="A797" s="220"/>
      <c r="B797" s="137"/>
      <c r="C797" s="137"/>
      <c r="D797" s="136"/>
      <c r="E797" s="137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 t="str">
        <f>IF(B797="","",SUMIFS('PR-BOM'!$D$3:$D995,'PR-BOM'!$C$3:$C995,C797,'PR-BOM'!$B$3:$B995,B797))</f>
        <v/>
      </c>
    </row>
    <row r="798" spans="1:26" ht="15.75" customHeight="1">
      <c r="A798" s="220"/>
      <c r="B798" s="137"/>
      <c r="C798" s="137"/>
      <c r="D798" s="136"/>
      <c r="E798" s="137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 t="str">
        <f>IF(B798="","",SUMIFS('PR-BOM'!$D$3:$D995,'PR-BOM'!$C$3:$C995,C798,'PR-BOM'!$B$3:$B995,B798))</f>
        <v/>
      </c>
    </row>
    <row r="799" spans="1:26" ht="15.75" customHeight="1">
      <c r="A799" s="220"/>
      <c r="B799" s="137"/>
      <c r="C799" s="137"/>
      <c r="D799" s="136"/>
      <c r="E799" s="137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 t="str">
        <f>IF(B799="","",SUMIFS('PR-BOM'!$D$3:$D995,'PR-BOM'!$C$3:$C995,C799,'PR-BOM'!$B$3:$B995,B799))</f>
        <v/>
      </c>
    </row>
    <row r="800" spans="1:26" ht="15.75" customHeight="1">
      <c r="A800" s="220"/>
      <c r="B800" s="137"/>
      <c r="C800" s="137"/>
      <c r="D800" s="136"/>
      <c r="E800" s="137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 t="str">
        <f>IF(B800="","",SUMIFS('PR-BOM'!$D$3:$D995,'PR-BOM'!$C$3:$C995,C800,'PR-BOM'!$B$3:$B995,B800))</f>
        <v/>
      </c>
    </row>
    <row r="801" spans="1:26" ht="15.75" customHeight="1">
      <c r="A801" s="220"/>
      <c r="B801" s="137"/>
      <c r="C801" s="137"/>
      <c r="D801" s="136"/>
      <c r="E801" s="137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 t="str">
        <f>IF(B801="","",SUMIFS('PR-BOM'!$D$3:$D995,'PR-BOM'!$C$3:$C995,C801,'PR-BOM'!$B$3:$B995,B801))</f>
        <v/>
      </c>
    </row>
    <row r="802" spans="1:26" ht="15.75" customHeight="1">
      <c r="A802" s="220"/>
      <c r="B802" s="137"/>
      <c r="C802" s="137"/>
      <c r="D802" s="136"/>
      <c r="E802" s="137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 t="str">
        <f>IF(B802="","",SUMIFS('PR-BOM'!$D$3:$D995,'PR-BOM'!$C$3:$C995,C802,'PR-BOM'!$B$3:$B995,B802))</f>
        <v/>
      </c>
    </row>
    <row r="803" spans="1:26" ht="15.75" customHeight="1">
      <c r="A803" s="220"/>
      <c r="B803" s="137"/>
      <c r="C803" s="137"/>
      <c r="D803" s="136"/>
      <c r="E803" s="137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 t="str">
        <f>IF(B803="","",SUMIFS('PR-BOM'!$D$3:$D995,'PR-BOM'!$C$3:$C995,C803,'PR-BOM'!$B$3:$B995,B803))</f>
        <v/>
      </c>
    </row>
    <row r="804" spans="1:26" ht="15.75" customHeight="1">
      <c r="A804" s="220"/>
      <c r="B804" s="137"/>
      <c r="C804" s="137"/>
      <c r="D804" s="136"/>
      <c r="E804" s="137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 t="str">
        <f>IF(B804="","",SUMIFS('PR-BOM'!$D$3:$D995,'PR-BOM'!$C$3:$C995,C804,'PR-BOM'!$B$3:$B995,B804))</f>
        <v/>
      </c>
    </row>
    <row r="805" spans="1:26" ht="15.75" customHeight="1">
      <c r="A805" s="220"/>
      <c r="B805" s="137"/>
      <c r="C805" s="137"/>
      <c r="D805" s="136"/>
      <c r="E805" s="137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 t="str">
        <f>IF(B805="","",SUMIFS('PR-BOM'!$D$3:$D995,'PR-BOM'!$C$3:$C995,C805,'PR-BOM'!$B$3:$B995,B805))</f>
        <v/>
      </c>
    </row>
    <row r="806" spans="1:26" ht="15.75" customHeight="1">
      <c r="A806" s="220"/>
      <c r="B806" s="137"/>
      <c r="C806" s="137"/>
      <c r="D806" s="136"/>
      <c r="E806" s="137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 t="str">
        <f>IF(B806="","",SUMIFS('PR-BOM'!$D$3:$D995,'PR-BOM'!$C$3:$C995,C806,'PR-BOM'!$B$3:$B995,B806))</f>
        <v/>
      </c>
    </row>
    <row r="807" spans="1:26" ht="15.75" customHeight="1">
      <c r="A807" s="220"/>
      <c r="B807" s="137"/>
      <c r="C807" s="137"/>
      <c r="D807" s="136"/>
      <c r="E807" s="137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 t="str">
        <f>IF(B807="","",SUMIFS('PR-BOM'!$D$3:$D995,'PR-BOM'!$C$3:$C995,C807,'PR-BOM'!$B$3:$B995,B807))</f>
        <v/>
      </c>
    </row>
    <row r="808" spans="1:26" ht="15.75" customHeight="1">
      <c r="A808" s="220"/>
      <c r="B808" s="137"/>
      <c r="C808" s="137"/>
      <c r="D808" s="136"/>
      <c r="E808" s="137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 t="str">
        <f>IF(B808="","",SUMIFS('PR-BOM'!$D$3:$D995,'PR-BOM'!$C$3:$C995,C808,'PR-BOM'!$B$3:$B995,B808))</f>
        <v/>
      </c>
    </row>
    <row r="809" spans="1:26" ht="15.75" customHeight="1">
      <c r="A809" s="220"/>
      <c r="B809" s="137"/>
      <c r="C809" s="137"/>
      <c r="D809" s="136"/>
      <c r="E809" s="137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 t="str">
        <f>IF(B809="","",SUMIFS('PR-BOM'!$D$3:$D995,'PR-BOM'!$C$3:$C995,C809,'PR-BOM'!$B$3:$B995,B809))</f>
        <v/>
      </c>
    </row>
    <row r="810" spans="1:26" ht="15.75" customHeight="1">
      <c r="A810" s="220"/>
      <c r="B810" s="137"/>
      <c r="C810" s="137"/>
      <c r="D810" s="136"/>
      <c r="E810" s="137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 t="str">
        <f>IF(B810="","",SUMIFS('PR-BOM'!$D$3:$D995,'PR-BOM'!$C$3:$C995,C810,'PR-BOM'!$B$3:$B995,B810))</f>
        <v/>
      </c>
    </row>
    <row r="811" spans="1:26" ht="15.75" customHeight="1">
      <c r="A811" s="220"/>
      <c r="B811" s="137"/>
      <c r="C811" s="137"/>
      <c r="D811" s="136"/>
      <c r="E811" s="137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 t="str">
        <f>IF(B811="","",SUMIFS('PR-BOM'!$D$3:$D995,'PR-BOM'!$C$3:$C995,C811,'PR-BOM'!$B$3:$B995,B811))</f>
        <v/>
      </c>
    </row>
    <row r="812" spans="1:26" ht="15.75" customHeight="1">
      <c r="A812" s="220"/>
      <c r="B812" s="137"/>
      <c r="C812" s="137"/>
      <c r="D812" s="136"/>
      <c r="E812" s="137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 t="str">
        <f>IF(B812="","",SUMIFS('PR-BOM'!$D$3:$D995,'PR-BOM'!$C$3:$C995,C812,'PR-BOM'!$B$3:$B995,B812))</f>
        <v/>
      </c>
    </row>
    <row r="813" spans="1:26" ht="15.75" customHeight="1">
      <c r="A813" s="220"/>
      <c r="B813" s="137"/>
      <c r="C813" s="137"/>
      <c r="D813" s="136"/>
      <c r="E813" s="137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 t="str">
        <f>IF(B813="","",SUMIFS('PR-BOM'!$D$3:$D995,'PR-BOM'!$C$3:$C995,C813,'PR-BOM'!$B$3:$B995,B813))</f>
        <v/>
      </c>
    </row>
    <row r="814" spans="1:26" ht="15.75" customHeight="1">
      <c r="A814" s="220"/>
      <c r="B814" s="137"/>
      <c r="C814" s="137"/>
      <c r="D814" s="136"/>
      <c r="E814" s="137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 t="str">
        <f>IF(B814="","",SUMIFS('PR-BOM'!$D$3:$D995,'PR-BOM'!$C$3:$C995,C814,'PR-BOM'!$B$3:$B995,B814))</f>
        <v/>
      </c>
    </row>
    <row r="815" spans="1:26" ht="15.75" customHeight="1">
      <c r="A815" s="220"/>
      <c r="B815" s="137"/>
      <c r="C815" s="137"/>
      <c r="D815" s="136"/>
      <c r="E815" s="137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 t="str">
        <f>IF(B815="","",SUMIFS('PR-BOM'!$D$3:$D995,'PR-BOM'!$C$3:$C995,C815,'PR-BOM'!$B$3:$B995,B815))</f>
        <v/>
      </c>
    </row>
    <row r="816" spans="1:26" ht="15.75" customHeight="1">
      <c r="A816" s="220"/>
      <c r="B816" s="137"/>
      <c r="C816" s="137"/>
      <c r="D816" s="136"/>
      <c r="E816" s="137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 t="str">
        <f>IF(B816="","",SUMIFS('PR-BOM'!$D$3:$D995,'PR-BOM'!$C$3:$C995,C816,'PR-BOM'!$B$3:$B995,B816))</f>
        <v/>
      </c>
    </row>
    <row r="817" spans="1:26" ht="15.75" customHeight="1">
      <c r="A817" s="220"/>
      <c r="B817" s="137"/>
      <c r="C817" s="137"/>
      <c r="D817" s="136"/>
      <c r="E817" s="137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 t="str">
        <f>IF(B817="","",SUMIFS('PR-BOM'!$D$3:$D995,'PR-BOM'!$C$3:$C995,C817,'PR-BOM'!$B$3:$B995,B817))</f>
        <v/>
      </c>
    </row>
    <row r="818" spans="1:26" ht="15.75" customHeight="1">
      <c r="A818" s="220"/>
      <c r="B818" s="137"/>
      <c r="C818" s="137"/>
      <c r="D818" s="136"/>
      <c r="E818" s="137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 t="str">
        <f>IF(B818="","",SUMIFS('PR-BOM'!$D$3:$D995,'PR-BOM'!$C$3:$C995,C818,'PR-BOM'!$B$3:$B995,B818))</f>
        <v/>
      </c>
    </row>
    <row r="819" spans="1:26" ht="15.75" customHeight="1">
      <c r="A819" s="220"/>
      <c r="B819" s="137"/>
      <c r="C819" s="137"/>
      <c r="D819" s="136"/>
      <c r="E819" s="137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 t="str">
        <f>IF(B819="","",SUMIFS('PR-BOM'!$D$3:$D995,'PR-BOM'!$C$3:$C995,C819,'PR-BOM'!$B$3:$B995,B819))</f>
        <v/>
      </c>
    </row>
    <row r="820" spans="1:26" ht="15.75" customHeight="1">
      <c r="A820" s="220"/>
      <c r="B820" s="137"/>
      <c r="C820" s="137"/>
      <c r="D820" s="136"/>
      <c r="E820" s="137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 t="str">
        <f>IF(B820="","",SUMIFS('PR-BOM'!$D$3:$D995,'PR-BOM'!$C$3:$C995,C820,'PR-BOM'!$B$3:$B995,B820))</f>
        <v/>
      </c>
    </row>
    <row r="821" spans="1:26" ht="15.75" customHeight="1">
      <c r="A821" s="220"/>
      <c r="B821" s="137"/>
      <c r="C821" s="137"/>
      <c r="D821" s="136"/>
      <c r="E821" s="137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 t="str">
        <f>IF(B821="","",SUMIFS('PR-BOM'!$D$3:$D995,'PR-BOM'!$C$3:$C995,C821,'PR-BOM'!$B$3:$B995,B821))</f>
        <v/>
      </c>
    </row>
    <row r="822" spans="1:26" ht="15.75" customHeight="1">
      <c r="A822" s="220"/>
      <c r="B822" s="137"/>
      <c r="C822" s="137"/>
      <c r="D822" s="136"/>
      <c r="E822" s="137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 t="str">
        <f>IF(B822="","",SUMIFS('PR-BOM'!$D$3:$D995,'PR-BOM'!$C$3:$C995,C822,'PR-BOM'!$B$3:$B995,B822))</f>
        <v/>
      </c>
    </row>
    <row r="823" spans="1:26" ht="15.75" customHeight="1">
      <c r="A823" s="220"/>
      <c r="B823" s="137"/>
      <c r="C823" s="137"/>
      <c r="D823" s="136"/>
      <c r="E823" s="137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 t="str">
        <f>IF(B823="","",SUMIFS('PR-BOM'!$D$3:$D995,'PR-BOM'!$C$3:$C995,C823,'PR-BOM'!$B$3:$B995,B823))</f>
        <v/>
      </c>
    </row>
    <row r="824" spans="1:26" ht="15.75" customHeight="1">
      <c r="A824" s="220"/>
      <c r="B824" s="137"/>
      <c r="C824" s="137"/>
      <c r="D824" s="136"/>
      <c r="E824" s="137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 t="str">
        <f>IF(B824="","",SUMIFS('PR-BOM'!$D$3:$D995,'PR-BOM'!$C$3:$C995,C824,'PR-BOM'!$B$3:$B995,B824))</f>
        <v/>
      </c>
    </row>
    <row r="825" spans="1:26" ht="15.75" customHeight="1">
      <c r="A825" s="220"/>
      <c r="B825" s="137"/>
      <c r="C825" s="137"/>
      <c r="D825" s="136"/>
      <c r="E825" s="137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 t="str">
        <f>IF(B825="","",SUMIFS('PR-BOM'!$D$3:$D995,'PR-BOM'!$C$3:$C995,C825,'PR-BOM'!$B$3:$B995,B825))</f>
        <v/>
      </c>
    </row>
    <row r="826" spans="1:26" ht="15.75" customHeight="1">
      <c r="A826" s="220"/>
      <c r="B826" s="137"/>
      <c r="C826" s="137"/>
      <c r="D826" s="136"/>
      <c r="E826" s="137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 t="str">
        <f>IF(B826="","",SUMIFS('PR-BOM'!$D$3:$D995,'PR-BOM'!$C$3:$C995,C826,'PR-BOM'!$B$3:$B995,B826))</f>
        <v/>
      </c>
    </row>
    <row r="827" spans="1:26" ht="15.75" customHeight="1">
      <c r="A827" s="220"/>
      <c r="B827" s="137"/>
      <c r="C827" s="137"/>
      <c r="D827" s="136"/>
      <c r="E827" s="137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 t="str">
        <f>IF(B827="","",SUMIFS('PR-BOM'!$D$3:$D995,'PR-BOM'!$C$3:$C995,C827,'PR-BOM'!$B$3:$B995,B827))</f>
        <v/>
      </c>
    </row>
    <row r="828" spans="1:26" ht="15.75" customHeight="1">
      <c r="A828" s="220"/>
      <c r="B828" s="137"/>
      <c r="C828" s="137"/>
      <c r="D828" s="136"/>
      <c r="E828" s="137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 t="str">
        <f>IF(B828="","",SUMIFS('PR-BOM'!$D$3:$D995,'PR-BOM'!$C$3:$C995,C828,'PR-BOM'!$B$3:$B995,B828))</f>
        <v/>
      </c>
    </row>
    <row r="829" spans="1:26" ht="15.75" customHeight="1">
      <c r="A829" s="220"/>
      <c r="B829" s="137"/>
      <c r="C829" s="137"/>
      <c r="D829" s="136"/>
      <c r="E829" s="137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 t="str">
        <f>IF(B829="","",SUMIFS('PR-BOM'!$D$3:$D995,'PR-BOM'!$C$3:$C995,C829,'PR-BOM'!$B$3:$B995,B829))</f>
        <v/>
      </c>
    </row>
    <row r="830" spans="1:26" ht="15.75" customHeight="1">
      <c r="A830" s="220"/>
      <c r="B830" s="137"/>
      <c r="C830" s="137"/>
      <c r="D830" s="136"/>
      <c r="E830" s="137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 t="str">
        <f>IF(B830="","",SUMIFS('PR-BOM'!$D$3:$D995,'PR-BOM'!$C$3:$C995,C830,'PR-BOM'!$B$3:$B995,B830))</f>
        <v/>
      </c>
    </row>
    <row r="831" spans="1:26" ht="15.75" customHeight="1">
      <c r="A831" s="220"/>
      <c r="B831" s="137"/>
      <c r="C831" s="137"/>
      <c r="D831" s="136"/>
      <c r="E831" s="137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 t="str">
        <f>IF(B831="","",SUMIFS('PR-BOM'!$D$3:$D995,'PR-BOM'!$C$3:$C995,C831,'PR-BOM'!$B$3:$B995,B831))</f>
        <v/>
      </c>
    </row>
    <row r="832" spans="1:26" ht="15.75" customHeight="1">
      <c r="A832" s="220"/>
      <c r="B832" s="137"/>
      <c r="C832" s="137"/>
      <c r="D832" s="136"/>
      <c r="E832" s="137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 t="str">
        <f>IF(B832="","",SUMIFS('PR-BOM'!$D$3:$D995,'PR-BOM'!$C$3:$C995,C832,'PR-BOM'!$B$3:$B995,B832))</f>
        <v/>
      </c>
    </row>
    <row r="833" spans="1:26" ht="15.75" customHeight="1">
      <c r="A833" s="220"/>
      <c r="B833" s="137"/>
      <c r="C833" s="137"/>
      <c r="D833" s="136"/>
      <c r="E833" s="137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 t="str">
        <f>IF(B833="","",SUMIFS('PR-BOM'!$D$3:$D995,'PR-BOM'!$C$3:$C995,C833,'PR-BOM'!$B$3:$B995,B833))</f>
        <v/>
      </c>
    </row>
    <row r="834" spans="1:26" ht="15.75" customHeight="1">
      <c r="A834" s="220"/>
      <c r="B834" s="137"/>
      <c r="C834" s="137"/>
      <c r="D834" s="136"/>
      <c r="E834" s="137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 t="str">
        <f>IF(B834="","",SUMIFS('PR-BOM'!$D$3:$D995,'PR-BOM'!$C$3:$C995,C834,'PR-BOM'!$B$3:$B995,B834))</f>
        <v/>
      </c>
    </row>
    <row r="835" spans="1:26" ht="15.75" customHeight="1">
      <c r="A835" s="220"/>
      <c r="B835" s="137"/>
      <c r="C835" s="137"/>
      <c r="D835" s="136"/>
      <c r="E835" s="137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 t="str">
        <f>IF(B835="","",SUMIFS('PR-BOM'!$D$3:$D995,'PR-BOM'!$C$3:$C995,C835,'PR-BOM'!$B$3:$B995,B835))</f>
        <v/>
      </c>
    </row>
    <row r="836" spans="1:26" ht="15.75" customHeight="1">
      <c r="A836" s="220"/>
      <c r="B836" s="137"/>
      <c r="C836" s="137"/>
      <c r="D836" s="136"/>
      <c r="E836" s="137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 t="str">
        <f>IF(B836="","",SUMIFS('PR-BOM'!$D$3:$D995,'PR-BOM'!$C$3:$C995,C836,'PR-BOM'!$B$3:$B995,B836))</f>
        <v/>
      </c>
    </row>
    <row r="837" spans="1:26" ht="15.75" customHeight="1">
      <c r="A837" s="220"/>
      <c r="B837" s="137"/>
      <c r="C837" s="137"/>
      <c r="D837" s="136"/>
      <c r="E837" s="137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 t="str">
        <f>IF(B837="","",SUMIFS('PR-BOM'!$D$3:$D995,'PR-BOM'!$C$3:$C995,C837,'PR-BOM'!$B$3:$B995,B837))</f>
        <v/>
      </c>
    </row>
    <row r="838" spans="1:26" ht="15.75" customHeight="1">
      <c r="A838" s="220"/>
      <c r="B838" s="137"/>
      <c r="C838" s="137"/>
      <c r="D838" s="136"/>
      <c r="E838" s="137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 t="str">
        <f>IF(B838="","",SUMIFS('PR-BOM'!$D$3:$D995,'PR-BOM'!$C$3:$C995,C838,'PR-BOM'!$B$3:$B995,B838))</f>
        <v/>
      </c>
    </row>
    <row r="839" spans="1:26" ht="15.75" customHeight="1">
      <c r="A839" s="220"/>
      <c r="B839" s="137"/>
      <c r="C839" s="137"/>
      <c r="D839" s="136"/>
      <c r="E839" s="137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 t="str">
        <f>IF(B839="","",SUMIFS('PR-BOM'!$D$3:$D995,'PR-BOM'!$C$3:$C995,C839,'PR-BOM'!$B$3:$B995,B839))</f>
        <v/>
      </c>
    </row>
    <row r="840" spans="1:26" ht="15.75" customHeight="1">
      <c r="A840" s="220"/>
      <c r="B840" s="137"/>
      <c r="C840" s="137"/>
      <c r="D840" s="136"/>
      <c r="E840" s="137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 t="str">
        <f>IF(B840="","",SUMIFS('PR-BOM'!$D$3:$D995,'PR-BOM'!$C$3:$C995,C840,'PR-BOM'!$B$3:$B995,B840))</f>
        <v/>
      </c>
    </row>
    <row r="841" spans="1:26" ht="15.75" customHeight="1">
      <c r="A841" s="220"/>
      <c r="B841" s="137"/>
      <c r="C841" s="137"/>
      <c r="D841" s="136"/>
      <c r="E841" s="137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 t="str">
        <f>IF(B841="","",SUMIFS('PR-BOM'!$D$3:$D995,'PR-BOM'!$C$3:$C995,C841,'PR-BOM'!$B$3:$B995,B841))</f>
        <v/>
      </c>
    </row>
    <row r="842" spans="1:26" ht="15.75" customHeight="1">
      <c r="A842" s="220"/>
      <c r="B842" s="137"/>
      <c r="C842" s="137"/>
      <c r="D842" s="136"/>
      <c r="E842" s="137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 t="str">
        <f>IF(B842="","",SUMIFS('PR-BOM'!$D$3:$D995,'PR-BOM'!$C$3:$C995,C842,'PR-BOM'!$B$3:$B995,B842))</f>
        <v/>
      </c>
    </row>
    <row r="843" spans="1:26" ht="15.75" customHeight="1">
      <c r="A843" s="220"/>
      <c r="B843" s="137"/>
      <c r="C843" s="137"/>
      <c r="D843" s="136"/>
      <c r="E843" s="137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 t="str">
        <f>IF(B843="","",SUMIFS('PR-BOM'!$D$3:$D995,'PR-BOM'!$C$3:$C995,C843,'PR-BOM'!$B$3:$B995,B843))</f>
        <v/>
      </c>
    </row>
    <row r="844" spans="1:26" ht="15.75" customHeight="1">
      <c r="A844" s="220"/>
      <c r="B844" s="137"/>
      <c r="C844" s="137"/>
      <c r="D844" s="136"/>
      <c r="E844" s="137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 t="str">
        <f>IF(B844="","",SUMIFS('PR-BOM'!$D$3:$D995,'PR-BOM'!$C$3:$C995,C844,'PR-BOM'!$B$3:$B995,B844))</f>
        <v/>
      </c>
    </row>
    <row r="845" spans="1:26" ht="15.75" customHeight="1">
      <c r="A845" s="220"/>
      <c r="B845" s="137"/>
      <c r="C845" s="137"/>
      <c r="D845" s="136"/>
      <c r="E845" s="137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 t="str">
        <f>IF(B845="","",SUMIFS('PR-BOM'!$D$3:$D995,'PR-BOM'!$C$3:$C995,C845,'PR-BOM'!$B$3:$B995,B845))</f>
        <v/>
      </c>
    </row>
    <row r="846" spans="1:26" ht="15.75" customHeight="1">
      <c r="A846" s="220"/>
      <c r="B846" s="137"/>
      <c r="C846" s="137"/>
      <c r="D846" s="136"/>
      <c r="E846" s="137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 t="str">
        <f>IF(B846="","",SUMIFS('PR-BOM'!$D$3:$D995,'PR-BOM'!$C$3:$C995,C846,'PR-BOM'!$B$3:$B995,B846))</f>
        <v/>
      </c>
    </row>
    <row r="847" spans="1:26" ht="15.75" customHeight="1">
      <c r="A847" s="220"/>
      <c r="B847" s="137"/>
      <c r="C847" s="137"/>
      <c r="D847" s="136"/>
      <c r="E847" s="137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 t="str">
        <f>IF(B847="","",SUMIFS('PR-BOM'!$D$3:$D995,'PR-BOM'!$C$3:$C995,C847,'PR-BOM'!$B$3:$B995,B847))</f>
        <v/>
      </c>
    </row>
    <row r="848" spans="1:26" ht="15.75" customHeight="1">
      <c r="A848" s="220"/>
      <c r="B848" s="137"/>
      <c r="C848" s="137"/>
      <c r="D848" s="136"/>
      <c r="E848" s="137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 t="str">
        <f>IF(B848="","",SUMIFS('PR-BOM'!$D$3:$D995,'PR-BOM'!$C$3:$C995,C848,'PR-BOM'!$B$3:$B995,B848))</f>
        <v/>
      </c>
    </row>
    <row r="849" spans="1:26" ht="15.75" customHeight="1">
      <c r="A849" s="220"/>
      <c r="B849" s="137"/>
      <c r="C849" s="137"/>
      <c r="D849" s="136"/>
      <c r="E849" s="137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 t="str">
        <f>IF(B849="","",SUMIFS('PR-BOM'!$D$3:$D995,'PR-BOM'!$C$3:$C995,C849,'PR-BOM'!$B$3:$B995,B849))</f>
        <v/>
      </c>
    </row>
    <row r="850" spans="1:26" ht="15.75" customHeight="1">
      <c r="A850" s="220"/>
      <c r="B850" s="137"/>
      <c r="C850" s="137"/>
      <c r="D850" s="136"/>
      <c r="E850" s="137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 t="str">
        <f>IF(B850="","",SUMIFS('PR-BOM'!$D$3:$D995,'PR-BOM'!$C$3:$C995,C850,'PR-BOM'!$B$3:$B995,B850))</f>
        <v/>
      </c>
    </row>
    <row r="851" spans="1:26" ht="15.75" customHeight="1">
      <c r="A851" s="220"/>
      <c r="B851" s="137"/>
      <c r="C851" s="137"/>
      <c r="D851" s="136"/>
      <c r="E851" s="137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 t="str">
        <f>IF(B851="","",SUMIFS('PR-BOM'!$D$3:$D995,'PR-BOM'!$C$3:$C995,C851,'PR-BOM'!$B$3:$B995,B851))</f>
        <v/>
      </c>
    </row>
    <row r="852" spans="1:26" ht="15.75" customHeight="1">
      <c r="A852" s="220"/>
      <c r="B852" s="137"/>
      <c r="C852" s="137"/>
      <c r="D852" s="136"/>
      <c r="E852" s="137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 t="str">
        <f>IF(B852="","",SUMIFS('PR-BOM'!$D$3:$D995,'PR-BOM'!$C$3:$C995,C852,'PR-BOM'!$B$3:$B995,B852))</f>
        <v/>
      </c>
    </row>
    <row r="853" spans="1:26" ht="15.75" customHeight="1">
      <c r="A853" s="220"/>
      <c r="B853" s="137"/>
      <c r="C853" s="137"/>
      <c r="D853" s="136"/>
      <c r="E853" s="137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 t="str">
        <f>IF(B853="","",SUMIFS('PR-BOM'!$D$3:$D995,'PR-BOM'!$C$3:$C995,C853,'PR-BOM'!$B$3:$B995,B853))</f>
        <v/>
      </c>
    </row>
    <row r="854" spans="1:26" ht="15.75" customHeight="1">
      <c r="A854" s="220"/>
      <c r="B854" s="137"/>
      <c r="C854" s="137"/>
      <c r="D854" s="136"/>
      <c r="E854" s="137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 t="str">
        <f>IF(B854="","",SUMIFS('PR-BOM'!$D$3:$D995,'PR-BOM'!$C$3:$C995,C854,'PR-BOM'!$B$3:$B995,B854))</f>
        <v/>
      </c>
    </row>
    <row r="855" spans="1:26" ht="15.75" customHeight="1">
      <c r="A855" s="220"/>
      <c r="B855" s="137"/>
      <c r="C855" s="137"/>
      <c r="D855" s="136"/>
      <c r="E855" s="137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 t="str">
        <f>IF(B855="","",SUMIFS('PR-BOM'!$D$3:$D995,'PR-BOM'!$C$3:$C995,C855,'PR-BOM'!$B$3:$B995,B855))</f>
        <v/>
      </c>
    </row>
    <row r="856" spans="1:26" ht="15.75" customHeight="1">
      <c r="A856" s="220"/>
      <c r="B856" s="137"/>
      <c r="C856" s="137"/>
      <c r="D856" s="136"/>
      <c r="E856" s="137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 t="str">
        <f>IF(B856="","",SUMIFS('PR-BOM'!$D$3:$D995,'PR-BOM'!$C$3:$C995,C856,'PR-BOM'!$B$3:$B995,B856))</f>
        <v/>
      </c>
    </row>
    <row r="857" spans="1:26" ht="15.75" customHeight="1">
      <c r="A857" s="220"/>
      <c r="B857" s="137"/>
      <c r="C857" s="137"/>
      <c r="D857" s="136"/>
      <c r="E857" s="137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 t="str">
        <f>IF(B857="","",SUMIFS('PR-BOM'!$D$3:$D995,'PR-BOM'!$C$3:$C995,C857,'PR-BOM'!$B$3:$B995,B857))</f>
        <v/>
      </c>
    </row>
    <row r="858" spans="1:26" ht="15.75" customHeight="1">
      <c r="A858" s="220"/>
      <c r="B858" s="137"/>
      <c r="C858" s="137"/>
      <c r="D858" s="136"/>
      <c r="E858" s="137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 t="str">
        <f>IF(B858="","",SUMIFS('PR-BOM'!$D$3:$D995,'PR-BOM'!$C$3:$C995,C858,'PR-BOM'!$B$3:$B995,B858))</f>
        <v/>
      </c>
    </row>
    <row r="859" spans="1:26" ht="15.75" customHeight="1">
      <c r="A859" s="220"/>
      <c r="B859" s="137"/>
      <c r="C859" s="137"/>
      <c r="D859" s="136"/>
      <c r="E859" s="137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 t="str">
        <f>IF(B859="","",SUMIFS('PR-BOM'!$D$3:$D995,'PR-BOM'!$C$3:$C995,C859,'PR-BOM'!$B$3:$B995,B859))</f>
        <v/>
      </c>
    </row>
    <row r="860" spans="1:26" ht="15.75" customHeight="1">
      <c r="A860" s="220"/>
      <c r="B860" s="137"/>
      <c r="C860" s="137"/>
      <c r="D860" s="136"/>
      <c r="E860" s="137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 t="str">
        <f>IF(B860="","",SUMIFS('PR-BOM'!$D$3:$D995,'PR-BOM'!$C$3:$C995,C860,'PR-BOM'!$B$3:$B995,B860))</f>
        <v/>
      </c>
    </row>
    <row r="861" spans="1:26" ht="15.75" customHeight="1">
      <c r="A861" s="220"/>
      <c r="B861" s="137"/>
      <c r="C861" s="137"/>
      <c r="D861" s="136"/>
      <c r="E861" s="137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 t="str">
        <f>IF(B861="","",SUMIFS('PR-BOM'!$D$3:$D995,'PR-BOM'!$C$3:$C995,C861,'PR-BOM'!$B$3:$B995,B861))</f>
        <v/>
      </c>
    </row>
    <row r="862" spans="1:26" ht="15.75" customHeight="1">
      <c r="A862" s="220"/>
      <c r="B862" s="137"/>
      <c r="C862" s="137"/>
      <c r="D862" s="136"/>
      <c r="E862" s="137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 t="str">
        <f>IF(B862="","",SUMIFS('PR-BOM'!$D$3:$D995,'PR-BOM'!$C$3:$C995,C862,'PR-BOM'!$B$3:$B995,B862))</f>
        <v/>
      </c>
    </row>
    <row r="863" spans="1:26" ht="15.75" customHeight="1">
      <c r="A863" s="220"/>
      <c r="B863" s="137"/>
      <c r="C863" s="137"/>
      <c r="D863" s="136"/>
      <c r="E863" s="137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 t="str">
        <f>IF(B863="","",SUMIFS('PR-BOM'!$D$3:$D995,'PR-BOM'!$C$3:$C995,C863,'PR-BOM'!$B$3:$B995,B863))</f>
        <v/>
      </c>
    </row>
    <row r="864" spans="1:26" ht="15.75" customHeight="1">
      <c r="A864" s="220"/>
      <c r="B864" s="137"/>
      <c r="C864" s="137"/>
      <c r="D864" s="136"/>
      <c r="E864" s="137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 t="str">
        <f>IF(B864="","",SUMIFS('PR-BOM'!$D$3:$D995,'PR-BOM'!$C$3:$C995,C864,'PR-BOM'!$B$3:$B995,B864))</f>
        <v/>
      </c>
    </row>
    <row r="865" spans="1:26" ht="15.75" customHeight="1">
      <c r="A865" s="220"/>
      <c r="B865" s="137"/>
      <c r="C865" s="137"/>
      <c r="D865" s="136"/>
      <c r="E865" s="137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 t="str">
        <f>IF(B865="","",SUMIFS('PR-BOM'!$D$3:$D995,'PR-BOM'!$C$3:$C995,C865,'PR-BOM'!$B$3:$B995,B865))</f>
        <v/>
      </c>
    </row>
    <row r="866" spans="1:26" ht="15.75" customHeight="1">
      <c r="A866" s="220"/>
      <c r="B866" s="137"/>
      <c r="C866" s="137"/>
      <c r="D866" s="136"/>
      <c r="E866" s="137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 t="str">
        <f>IF(B866="","",SUMIFS('PR-BOM'!$D$3:$D995,'PR-BOM'!$C$3:$C995,C866,'PR-BOM'!$B$3:$B995,B866))</f>
        <v/>
      </c>
    </row>
    <row r="867" spans="1:26" ht="15.75" customHeight="1">
      <c r="A867" s="220"/>
      <c r="B867" s="137"/>
      <c r="C867" s="137"/>
      <c r="D867" s="136"/>
      <c r="E867" s="137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 t="str">
        <f>IF(B867="","",SUMIFS('PR-BOM'!$D$3:$D995,'PR-BOM'!$C$3:$C995,C867,'PR-BOM'!$B$3:$B995,B867))</f>
        <v/>
      </c>
    </row>
    <row r="868" spans="1:26" ht="15.75" customHeight="1">
      <c r="A868" s="220"/>
      <c r="B868" s="137"/>
      <c r="C868" s="137"/>
      <c r="D868" s="136"/>
      <c r="E868" s="137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 t="str">
        <f>IF(B868="","",SUMIFS('PR-BOM'!$D$3:$D995,'PR-BOM'!$C$3:$C995,C868,'PR-BOM'!$B$3:$B995,B868))</f>
        <v/>
      </c>
    </row>
    <row r="869" spans="1:26" ht="15.75" customHeight="1">
      <c r="A869" s="220"/>
      <c r="B869" s="137"/>
      <c r="C869" s="137"/>
      <c r="D869" s="136"/>
      <c r="E869" s="137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 t="str">
        <f>IF(B869="","",SUMIFS('PR-BOM'!$D$3:$D995,'PR-BOM'!$C$3:$C995,C869,'PR-BOM'!$B$3:$B995,B869))</f>
        <v/>
      </c>
    </row>
    <row r="870" spans="1:26" ht="15.75" customHeight="1">
      <c r="A870" s="220"/>
      <c r="B870" s="137"/>
      <c r="C870" s="137"/>
      <c r="D870" s="136"/>
      <c r="E870" s="137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 t="str">
        <f>IF(B870="","",SUMIFS('PR-BOM'!$D$3:$D995,'PR-BOM'!$C$3:$C995,C870,'PR-BOM'!$B$3:$B995,B870))</f>
        <v/>
      </c>
    </row>
    <row r="871" spans="1:26" ht="15.75" customHeight="1">
      <c r="A871" s="220"/>
      <c r="B871" s="137"/>
      <c r="C871" s="137"/>
      <c r="D871" s="136"/>
      <c r="E871" s="137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 t="str">
        <f>IF(B871="","",SUMIFS('PR-BOM'!$D$3:$D995,'PR-BOM'!$C$3:$C995,C871,'PR-BOM'!$B$3:$B995,B871))</f>
        <v/>
      </c>
    </row>
    <row r="872" spans="1:26" ht="15.75" customHeight="1">
      <c r="A872" s="220"/>
      <c r="B872" s="137"/>
      <c r="C872" s="137"/>
      <c r="D872" s="136"/>
      <c r="E872" s="137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 t="str">
        <f>IF(B872="","",SUMIFS('PR-BOM'!$D$3:$D995,'PR-BOM'!$C$3:$C995,C872,'PR-BOM'!$B$3:$B995,B872))</f>
        <v/>
      </c>
    </row>
    <row r="873" spans="1:26" ht="15.75" customHeight="1">
      <c r="A873" s="220"/>
      <c r="B873" s="137"/>
      <c r="C873" s="137"/>
      <c r="D873" s="136"/>
      <c r="E873" s="137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 t="str">
        <f>IF(B873="","",SUMIFS('PR-BOM'!$D$3:$D995,'PR-BOM'!$C$3:$C995,C873,'PR-BOM'!$B$3:$B995,B873))</f>
        <v/>
      </c>
    </row>
    <row r="874" spans="1:26" ht="15.75" customHeight="1">
      <c r="A874" s="220"/>
      <c r="B874" s="137"/>
      <c r="C874" s="137"/>
      <c r="D874" s="136"/>
      <c r="E874" s="137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 t="str">
        <f>IF(B874="","",SUMIFS('PR-BOM'!$D$3:$D995,'PR-BOM'!$C$3:$C995,C874,'PR-BOM'!$B$3:$B995,B874))</f>
        <v/>
      </c>
    </row>
    <row r="875" spans="1:26" ht="15.75" customHeight="1">
      <c r="A875" s="220"/>
      <c r="B875" s="137"/>
      <c r="C875" s="137"/>
      <c r="D875" s="136"/>
      <c r="E875" s="137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 t="str">
        <f>IF(B875="","",SUMIFS('PR-BOM'!$D$3:$D995,'PR-BOM'!$C$3:$C995,C875,'PR-BOM'!$B$3:$B995,B875))</f>
        <v/>
      </c>
    </row>
    <row r="876" spans="1:26" ht="15.75" customHeight="1">
      <c r="A876" s="220"/>
      <c r="B876" s="137"/>
      <c r="C876" s="137"/>
      <c r="D876" s="136"/>
      <c r="E876" s="137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 t="str">
        <f>IF(B876="","",SUMIFS('PR-BOM'!$D$3:$D995,'PR-BOM'!$C$3:$C995,C876,'PR-BOM'!$B$3:$B995,B876))</f>
        <v/>
      </c>
    </row>
    <row r="877" spans="1:26" ht="15.75" customHeight="1">
      <c r="A877" s="220"/>
      <c r="B877" s="137"/>
      <c r="C877" s="137"/>
      <c r="D877" s="136"/>
      <c r="E877" s="137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 t="str">
        <f>IF(B877="","",SUMIFS('PR-BOM'!$D$3:$D995,'PR-BOM'!$C$3:$C995,C877,'PR-BOM'!$B$3:$B995,B877))</f>
        <v/>
      </c>
    </row>
    <row r="878" spans="1:26" ht="15.75" customHeight="1">
      <c r="A878" s="220"/>
      <c r="B878" s="137"/>
      <c r="C878" s="137"/>
      <c r="D878" s="136"/>
      <c r="E878" s="137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 t="str">
        <f>IF(B878="","",SUMIFS('PR-BOM'!$D$3:$D995,'PR-BOM'!$C$3:$C995,C878,'PR-BOM'!$B$3:$B995,B878))</f>
        <v/>
      </c>
    </row>
    <row r="879" spans="1:26" ht="15.75" customHeight="1">
      <c r="A879" s="220"/>
      <c r="B879" s="137"/>
      <c r="C879" s="137"/>
      <c r="D879" s="136"/>
      <c r="E879" s="137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 t="str">
        <f>IF(B879="","",SUMIFS('PR-BOM'!$D$3:$D995,'PR-BOM'!$C$3:$C995,C879,'PR-BOM'!$B$3:$B995,B879))</f>
        <v/>
      </c>
    </row>
    <row r="880" spans="1:26" ht="15.75" customHeight="1">
      <c r="A880" s="220"/>
      <c r="B880" s="137"/>
      <c r="C880" s="137"/>
      <c r="D880" s="136"/>
      <c r="E880" s="137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 t="str">
        <f>IF(B880="","",SUMIFS('PR-BOM'!$D$3:$D995,'PR-BOM'!$C$3:$C995,C880,'PR-BOM'!$B$3:$B995,B880))</f>
        <v/>
      </c>
    </row>
    <row r="881" spans="1:26" ht="15.75" customHeight="1">
      <c r="A881" s="220"/>
      <c r="B881" s="137"/>
      <c r="C881" s="137"/>
      <c r="D881" s="136"/>
      <c r="E881" s="137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 t="str">
        <f>IF(B881="","",SUMIFS('PR-BOM'!$D$3:$D995,'PR-BOM'!$C$3:$C995,C881,'PR-BOM'!$B$3:$B995,B881))</f>
        <v/>
      </c>
    </row>
    <row r="882" spans="1:26" ht="15.75" customHeight="1">
      <c r="A882" s="220"/>
      <c r="B882" s="137"/>
      <c r="C882" s="137"/>
      <c r="D882" s="136"/>
      <c r="E882" s="137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 t="str">
        <f>IF(B882="","",SUMIFS('PR-BOM'!$D$3:$D995,'PR-BOM'!$C$3:$C995,C882,'PR-BOM'!$B$3:$B995,B882))</f>
        <v/>
      </c>
    </row>
    <row r="883" spans="1:26" ht="15.75" customHeight="1">
      <c r="A883" s="220"/>
      <c r="B883" s="137"/>
      <c r="C883" s="137"/>
      <c r="D883" s="136"/>
      <c r="E883" s="137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 t="str">
        <f>IF(B883="","",SUMIFS('PR-BOM'!$D$3:$D995,'PR-BOM'!$C$3:$C995,C883,'PR-BOM'!$B$3:$B995,B883))</f>
        <v/>
      </c>
    </row>
    <row r="884" spans="1:26" ht="15.75" customHeight="1">
      <c r="A884" s="220"/>
      <c r="B884" s="137"/>
      <c r="C884" s="137"/>
      <c r="D884" s="136"/>
      <c r="E884" s="137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 t="str">
        <f>IF(B884="","",SUMIFS('PR-BOM'!$D$3:$D995,'PR-BOM'!$C$3:$C995,C884,'PR-BOM'!$B$3:$B995,B884))</f>
        <v/>
      </c>
    </row>
    <row r="885" spans="1:26" ht="15.75" customHeight="1">
      <c r="A885" s="220"/>
      <c r="B885" s="137"/>
      <c r="C885" s="137"/>
      <c r="D885" s="136"/>
      <c r="E885" s="137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 t="str">
        <f>IF(B885="","",SUMIFS('PR-BOM'!$D$3:$D995,'PR-BOM'!$C$3:$C995,C885,'PR-BOM'!$B$3:$B995,B885))</f>
        <v/>
      </c>
    </row>
    <row r="886" spans="1:26" ht="15.75" customHeight="1">
      <c r="A886" s="220"/>
      <c r="B886" s="137"/>
      <c r="C886" s="137"/>
      <c r="D886" s="136"/>
      <c r="E886" s="137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 t="str">
        <f>IF(B886="","",SUMIFS('PR-BOM'!$D$3:$D995,'PR-BOM'!$C$3:$C995,C886,'PR-BOM'!$B$3:$B995,B886))</f>
        <v/>
      </c>
    </row>
    <row r="887" spans="1:26" ht="15.75" customHeight="1">
      <c r="A887" s="220"/>
      <c r="B887" s="137"/>
      <c r="C887" s="137"/>
      <c r="D887" s="136"/>
      <c r="E887" s="137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 t="str">
        <f>IF(B887="","",SUMIFS('PR-BOM'!$D$3:$D995,'PR-BOM'!$C$3:$C995,C887,'PR-BOM'!$B$3:$B995,B887))</f>
        <v/>
      </c>
    </row>
    <row r="888" spans="1:26" ht="15.75" customHeight="1">
      <c r="A888" s="220"/>
      <c r="B888" s="137"/>
      <c r="C888" s="137"/>
      <c r="D888" s="136"/>
      <c r="E888" s="137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 t="str">
        <f>IF(B888="","",SUMIFS('PR-BOM'!$D$3:$D995,'PR-BOM'!$C$3:$C995,C888,'PR-BOM'!$B$3:$B995,B888))</f>
        <v/>
      </c>
    </row>
    <row r="889" spans="1:26" ht="15.75" customHeight="1">
      <c r="A889" s="220"/>
      <c r="B889" s="137"/>
      <c r="C889" s="137"/>
      <c r="D889" s="136"/>
      <c r="E889" s="137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 t="str">
        <f>IF(B889="","",SUMIFS('PR-BOM'!$D$3:$D995,'PR-BOM'!$C$3:$C995,C889,'PR-BOM'!$B$3:$B995,B889))</f>
        <v/>
      </c>
    </row>
    <row r="890" spans="1:26" ht="15.75" customHeight="1">
      <c r="A890" s="220"/>
      <c r="B890" s="137"/>
      <c r="C890" s="137"/>
      <c r="D890" s="136"/>
      <c r="E890" s="137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 t="str">
        <f>IF(B890="","",SUMIFS('PR-BOM'!$D$3:$D995,'PR-BOM'!$C$3:$C995,C890,'PR-BOM'!$B$3:$B995,B890))</f>
        <v/>
      </c>
    </row>
    <row r="891" spans="1:26" ht="15.75" customHeight="1">
      <c r="A891" s="220"/>
      <c r="B891" s="137"/>
      <c r="C891" s="137"/>
      <c r="D891" s="136"/>
      <c r="E891" s="137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 t="str">
        <f>IF(B891="","",SUMIFS('PR-BOM'!$D$3:$D995,'PR-BOM'!$C$3:$C995,C891,'PR-BOM'!$B$3:$B995,B891))</f>
        <v/>
      </c>
    </row>
    <row r="892" spans="1:26" ht="15.75" customHeight="1">
      <c r="A892" s="220"/>
      <c r="B892" s="137"/>
      <c r="C892" s="137"/>
      <c r="D892" s="136"/>
      <c r="E892" s="137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 t="str">
        <f>IF(B892="","",SUMIFS('PR-BOM'!$D$3:$D995,'PR-BOM'!$C$3:$C995,C892,'PR-BOM'!$B$3:$B995,B892))</f>
        <v/>
      </c>
    </row>
    <row r="893" spans="1:26" ht="15.75" customHeight="1">
      <c r="A893" s="220"/>
      <c r="B893" s="137"/>
      <c r="C893" s="137"/>
      <c r="D893" s="136"/>
      <c r="E893" s="137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 t="str">
        <f>IF(B893="","",SUMIFS('PR-BOM'!$D$3:$D995,'PR-BOM'!$C$3:$C995,C893,'PR-BOM'!$B$3:$B995,B893))</f>
        <v/>
      </c>
    </row>
    <row r="894" spans="1:26" ht="15.75" customHeight="1">
      <c r="A894" s="220"/>
      <c r="B894" s="137"/>
      <c r="C894" s="137"/>
      <c r="D894" s="136"/>
      <c r="E894" s="137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 t="str">
        <f>IF(B894="","",SUMIFS('PR-BOM'!$D$3:$D995,'PR-BOM'!$C$3:$C995,C894,'PR-BOM'!$B$3:$B995,B894))</f>
        <v/>
      </c>
    </row>
    <row r="895" spans="1:26" ht="15.75" customHeight="1">
      <c r="A895" s="220"/>
      <c r="B895" s="137"/>
      <c r="C895" s="137"/>
      <c r="D895" s="136"/>
      <c r="E895" s="137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 t="str">
        <f>IF(B895="","",SUMIFS('PR-BOM'!$D$3:$D995,'PR-BOM'!$C$3:$C995,C895,'PR-BOM'!$B$3:$B995,B895))</f>
        <v/>
      </c>
    </row>
    <row r="896" spans="1:26" ht="15.75" customHeight="1">
      <c r="A896" s="220"/>
      <c r="B896" s="137"/>
      <c r="C896" s="137"/>
      <c r="D896" s="136"/>
      <c r="E896" s="137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 t="str">
        <f>IF(B896="","",SUMIFS('PR-BOM'!$D$3:$D995,'PR-BOM'!$C$3:$C995,C896,'PR-BOM'!$B$3:$B995,B896))</f>
        <v/>
      </c>
    </row>
    <row r="897" spans="1:26" ht="15.75" customHeight="1">
      <c r="A897" s="220"/>
      <c r="B897" s="137"/>
      <c r="C897" s="137"/>
      <c r="D897" s="136"/>
      <c r="E897" s="137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 t="str">
        <f>IF(B897="","",SUMIFS('PR-BOM'!$D$3:$D995,'PR-BOM'!$C$3:$C995,C897,'PR-BOM'!$B$3:$B995,B897))</f>
        <v/>
      </c>
    </row>
    <row r="898" spans="1:26" ht="15.75" customHeight="1">
      <c r="A898" s="220"/>
      <c r="B898" s="137"/>
      <c r="C898" s="137"/>
      <c r="D898" s="136"/>
      <c r="E898" s="137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 t="str">
        <f>IF(B898="","",SUMIFS('PR-BOM'!$D$3:$D995,'PR-BOM'!$C$3:$C995,C898,'PR-BOM'!$B$3:$B995,B898))</f>
        <v/>
      </c>
    </row>
    <row r="899" spans="1:26" ht="15.75" customHeight="1">
      <c r="A899" s="220"/>
      <c r="B899" s="137"/>
      <c r="C899" s="137"/>
      <c r="D899" s="136"/>
      <c r="E899" s="137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 t="str">
        <f>IF(B899="","",SUMIFS('PR-BOM'!$D$3:$D995,'PR-BOM'!$C$3:$C995,C899,'PR-BOM'!$B$3:$B995,B899))</f>
        <v/>
      </c>
    </row>
    <row r="900" spans="1:26" ht="15.75" customHeight="1">
      <c r="A900" s="220"/>
      <c r="B900" s="137"/>
      <c r="C900" s="137"/>
      <c r="D900" s="136"/>
      <c r="E900" s="137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 t="str">
        <f>IF(B900="","",SUMIFS('PR-BOM'!$D$3:$D995,'PR-BOM'!$C$3:$C995,C900,'PR-BOM'!$B$3:$B995,B900))</f>
        <v/>
      </c>
    </row>
    <row r="901" spans="1:26" ht="15.75" customHeight="1">
      <c r="A901" s="220"/>
      <c r="B901" s="137"/>
      <c r="C901" s="137"/>
      <c r="D901" s="136"/>
      <c r="E901" s="137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 t="str">
        <f>IF(B901="","",SUMIFS('PR-BOM'!$D$3:$D995,'PR-BOM'!$C$3:$C995,C901,'PR-BOM'!$B$3:$B995,B901))</f>
        <v/>
      </c>
    </row>
    <row r="902" spans="1:26" ht="15.75" customHeight="1">
      <c r="A902" s="220"/>
      <c r="B902" s="137"/>
      <c r="C902" s="137"/>
      <c r="D902" s="136"/>
      <c r="E902" s="137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 t="str">
        <f>IF(B902="","",SUMIFS('PR-BOM'!$D$3:$D995,'PR-BOM'!$C$3:$C995,C902,'PR-BOM'!$B$3:$B995,B902))</f>
        <v/>
      </c>
    </row>
    <row r="903" spans="1:26" ht="15.75" customHeight="1">
      <c r="A903" s="220"/>
      <c r="B903" s="137"/>
      <c r="C903" s="137"/>
      <c r="D903" s="136"/>
      <c r="E903" s="137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 t="str">
        <f>IF(B903="","",SUMIFS('PR-BOM'!$D$3:$D995,'PR-BOM'!$C$3:$C995,C903,'PR-BOM'!$B$3:$B995,B903))</f>
        <v/>
      </c>
    </row>
    <row r="904" spans="1:26" ht="15.75" customHeight="1">
      <c r="A904" s="220"/>
      <c r="B904" s="137"/>
      <c r="C904" s="137"/>
      <c r="D904" s="136"/>
      <c r="E904" s="137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 t="str">
        <f>IF(B904="","",SUMIFS('PR-BOM'!$D$3:$D995,'PR-BOM'!$C$3:$C995,C904,'PR-BOM'!$B$3:$B995,B904))</f>
        <v/>
      </c>
    </row>
    <row r="905" spans="1:26" ht="15.75" customHeight="1">
      <c r="A905" s="220"/>
      <c r="B905" s="137"/>
      <c r="C905" s="137"/>
      <c r="D905" s="136"/>
      <c r="E905" s="137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 t="str">
        <f>IF(B905="","",SUMIFS('PR-BOM'!$D$3:$D995,'PR-BOM'!$C$3:$C995,C905,'PR-BOM'!$B$3:$B995,B905))</f>
        <v/>
      </c>
    </row>
    <row r="906" spans="1:26" ht="15.75" customHeight="1">
      <c r="A906" s="220"/>
      <c r="B906" s="137"/>
      <c r="C906" s="137"/>
      <c r="D906" s="136"/>
      <c r="E906" s="137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 t="str">
        <f>IF(B906="","",SUMIFS('PR-BOM'!$D$3:$D995,'PR-BOM'!$C$3:$C995,C906,'PR-BOM'!$B$3:$B995,B906))</f>
        <v/>
      </c>
    </row>
    <row r="907" spans="1:26" ht="15.75" customHeight="1">
      <c r="A907" s="220"/>
      <c r="B907" s="137"/>
      <c r="C907" s="137"/>
      <c r="D907" s="136"/>
      <c r="E907" s="137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 t="str">
        <f>IF(B907="","",SUMIFS('PR-BOM'!$D$3:$D995,'PR-BOM'!$C$3:$C995,C907,'PR-BOM'!$B$3:$B995,B907))</f>
        <v/>
      </c>
    </row>
    <row r="908" spans="1:26" ht="15.75" customHeight="1">
      <c r="A908" s="220"/>
      <c r="B908" s="137"/>
      <c r="C908" s="137"/>
      <c r="D908" s="136"/>
      <c r="E908" s="137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 t="str">
        <f>IF(B908="","",SUMIFS('PR-BOM'!$D$3:$D995,'PR-BOM'!$C$3:$C995,C908,'PR-BOM'!$B$3:$B995,B908))</f>
        <v/>
      </c>
    </row>
    <row r="909" spans="1:26" ht="15.75" customHeight="1">
      <c r="A909" s="220"/>
      <c r="B909" s="137"/>
      <c r="C909" s="137"/>
      <c r="D909" s="136"/>
      <c r="E909" s="137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 t="str">
        <f>IF(B909="","",SUMIFS('PR-BOM'!$D$3:$D995,'PR-BOM'!$C$3:$C995,C909,'PR-BOM'!$B$3:$B995,B909))</f>
        <v/>
      </c>
    </row>
    <row r="910" spans="1:26" ht="15.75" customHeight="1">
      <c r="A910" s="220"/>
      <c r="B910" s="137"/>
      <c r="C910" s="137"/>
      <c r="D910" s="136"/>
      <c r="E910" s="137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 t="str">
        <f>IF(B910="","",SUMIFS('PR-BOM'!$D$3:$D995,'PR-BOM'!$C$3:$C995,C910,'PR-BOM'!$B$3:$B995,B910))</f>
        <v/>
      </c>
    </row>
    <row r="911" spans="1:26" ht="15.75" customHeight="1">
      <c r="A911" s="220"/>
      <c r="B911" s="137"/>
      <c r="C911" s="137"/>
      <c r="D911" s="136"/>
      <c r="E911" s="137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 t="str">
        <f>IF(B911="","",SUMIFS('PR-BOM'!$D$3:$D995,'PR-BOM'!$C$3:$C995,C911,'PR-BOM'!$B$3:$B995,B911))</f>
        <v/>
      </c>
    </row>
    <row r="912" spans="1:26" ht="15.75" customHeight="1">
      <c r="A912" s="220"/>
      <c r="B912" s="137"/>
      <c r="C912" s="137"/>
      <c r="D912" s="136"/>
      <c r="E912" s="137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 t="str">
        <f>IF(B912="","",SUMIFS('PR-BOM'!$D$3:$D995,'PR-BOM'!$C$3:$C995,C912,'PR-BOM'!$B$3:$B995,B912))</f>
        <v/>
      </c>
    </row>
    <row r="913" spans="1:26" ht="15.75" customHeight="1">
      <c r="A913" s="220"/>
      <c r="B913" s="137"/>
      <c r="C913" s="137"/>
      <c r="D913" s="136"/>
      <c r="E913" s="137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 t="str">
        <f>IF(B913="","",SUMIFS('PR-BOM'!$D$3:$D995,'PR-BOM'!$C$3:$C995,C913,'PR-BOM'!$B$3:$B995,B913))</f>
        <v/>
      </c>
    </row>
    <row r="914" spans="1:26" ht="15.75" customHeight="1">
      <c r="A914" s="220"/>
      <c r="B914" s="137"/>
      <c r="C914" s="137"/>
      <c r="D914" s="136"/>
      <c r="E914" s="137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 t="str">
        <f>IF(B914="","",SUMIFS('PR-BOM'!$D$3:$D995,'PR-BOM'!$C$3:$C995,C914,'PR-BOM'!$B$3:$B995,B914))</f>
        <v/>
      </c>
    </row>
    <row r="915" spans="1:26" ht="15.75" customHeight="1">
      <c r="A915" s="220"/>
      <c r="B915" s="137"/>
      <c r="C915" s="137"/>
      <c r="D915" s="136"/>
      <c r="E915" s="137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 t="str">
        <f>IF(B915="","",SUMIFS('PR-BOM'!$D$3:$D995,'PR-BOM'!$C$3:$C995,C915,'PR-BOM'!$B$3:$B995,B915))</f>
        <v/>
      </c>
    </row>
    <row r="916" spans="1:26" ht="15.75" customHeight="1">
      <c r="A916" s="220"/>
      <c r="B916" s="137"/>
      <c r="C916" s="137"/>
      <c r="D916" s="136"/>
      <c r="E916" s="137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 t="str">
        <f>IF(B916="","",SUMIFS('PR-BOM'!$D$3:$D995,'PR-BOM'!$C$3:$C995,C916,'PR-BOM'!$B$3:$B995,B916))</f>
        <v/>
      </c>
    </row>
    <row r="917" spans="1:26" ht="15.75" customHeight="1">
      <c r="A917" s="220"/>
      <c r="B917" s="137"/>
      <c r="C917" s="137"/>
      <c r="D917" s="136"/>
      <c r="E917" s="137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 t="str">
        <f>IF(B917="","",SUMIFS('PR-BOM'!$D$3:$D995,'PR-BOM'!$C$3:$C995,C917,'PR-BOM'!$B$3:$B995,B917))</f>
        <v/>
      </c>
    </row>
    <row r="918" spans="1:26" ht="15.75" customHeight="1">
      <c r="A918" s="220"/>
      <c r="B918" s="137"/>
      <c r="C918" s="137"/>
      <c r="D918" s="136"/>
      <c r="E918" s="137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 t="str">
        <f>IF(B918="","",SUMIFS('PR-BOM'!$D$3:$D995,'PR-BOM'!$C$3:$C995,C918,'PR-BOM'!$B$3:$B995,B918))</f>
        <v/>
      </c>
    </row>
    <row r="919" spans="1:26" ht="15.75" customHeight="1">
      <c r="A919" s="220"/>
      <c r="B919" s="137"/>
      <c r="C919" s="137"/>
      <c r="D919" s="136"/>
      <c r="E919" s="137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 t="str">
        <f>IF(B919="","",SUMIFS('PR-BOM'!$D$3:$D995,'PR-BOM'!$C$3:$C995,C919,'PR-BOM'!$B$3:$B995,B919))</f>
        <v/>
      </c>
    </row>
    <row r="920" spans="1:26" ht="15.75" customHeight="1">
      <c r="A920" s="220"/>
      <c r="B920" s="137"/>
      <c r="C920" s="137"/>
      <c r="D920" s="136"/>
      <c r="E920" s="137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 t="str">
        <f>IF(B920="","",SUMIFS('PR-BOM'!$D$3:$D995,'PR-BOM'!$C$3:$C995,C920,'PR-BOM'!$B$3:$B995,B920))</f>
        <v/>
      </c>
    </row>
    <row r="921" spans="1:26" ht="15.75" customHeight="1">
      <c r="A921" s="220"/>
      <c r="B921" s="137"/>
      <c r="C921" s="137"/>
      <c r="D921" s="136"/>
      <c r="E921" s="137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 t="str">
        <f>IF(B921="","",SUMIFS('PR-BOM'!$D$3:$D995,'PR-BOM'!$C$3:$C995,C921,'PR-BOM'!$B$3:$B995,B921))</f>
        <v/>
      </c>
    </row>
    <row r="922" spans="1:26" ht="15.75" customHeight="1">
      <c r="A922" s="220"/>
      <c r="B922" s="137"/>
      <c r="C922" s="137"/>
      <c r="D922" s="136"/>
      <c r="E922" s="137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 t="str">
        <f>IF(B922="","",SUMIFS('PR-BOM'!$D$3:$D995,'PR-BOM'!$C$3:$C995,C922,'PR-BOM'!$B$3:$B995,B922))</f>
        <v/>
      </c>
    </row>
    <row r="923" spans="1:26" ht="15.75" customHeight="1">
      <c r="A923" s="220"/>
      <c r="B923" s="137"/>
      <c r="C923" s="137"/>
      <c r="D923" s="136"/>
      <c r="E923" s="137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 t="str">
        <f>IF(B923="","",SUMIFS('PR-BOM'!$D$3:$D995,'PR-BOM'!$C$3:$C995,C923,'PR-BOM'!$B$3:$B995,B923))</f>
        <v/>
      </c>
    </row>
    <row r="924" spans="1:26" ht="15.75" customHeight="1">
      <c r="A924" s="220"/>
      <c r="B924" s="137"/>
      <c r="C924" s="137"/>
      <c r="D924" s="136"/>
      <c r="E924" s="137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 t="str">
        <f>IF(B924="","",SUMIFS('PR-BOM'!$D$3:$D995,'PR-BOM'!$C$3:$C995,C924,'PR-BOM'!$B$3:$B995,B924))</f>
        <v/>
      </c>
    </row>
    <row r="925" spans="1:26" ht="15.75" customHeight="1">
      <c r="A925" s="220"/>
      <c r="B925" s="137"/>
      <c r="C925" s="137"/>
      <c r="D925" s="136"/>
      <c r="E925" s="137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 t="str">
        <f>IF(B925="","",SUMIFS('PR-BOM'!$D$3:$D995,'PR-BOM'!$C$3:$C995,C925,'PR-BOM'!$B$3:$B995,B925))</f>
        <v/>
      </c>
    </row>
    <row r="926" spans="1:26" ht="15.75" customHeight="1">
      <c r="A926" s="220"/>
      <c r="B926" s="137"/>
      <c r="C926" s="137"/>
      <c r="D926" s="136"/>
      <c r="E926" s="137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 t="str">
        <f>IF(B926="","",SUMIFS('PR-BOM'!$D$3:$D995,'PR-BOM'!$C$3:$C995,C926,'PR-BOM'!$B$3:$B995,B926))</f>
        <v/>
      </c>
    </row>
    <row r="927" spans="1:26" ht="15.75" customHeight="1">
      <c r="A927" s="220"/>
      <c r="B927" s="137"/>
      <c r="C927" s="137"/>
      <c r="D927" s="136"/>
      <c r="E927" s="137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 t="str">
        <f>IF(B927="","",SUMIFS('PR-BOM'!$D$3:$D995,'PR-BOM'!$C$3:$C995,C927,'PR-BOM'!$B$3:$B995,B927))</f>
        <v/>
      </c>
    </row>
    <row r="928" spans="1:26" ht="15.75" customHeight="1">
      <c r="A928" s="220"/>
      <c r="B928" s="137"/>
      <c r="C928" s="137"/>
      <c r="D928" s="136"/>
      <c r="E928" s="137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 t="str">
        <f>IF(B928="","",SUMIFS('PR-BOM'!$D$3:$D995,'PR-BOM'!$C$3:$C995,C928,'PR-BOM'!$B$3:$B995,B928))</f>
        <v/>
      </c>
    </row>
    <row r="929" spans="1:26" ht="15.75" customHeight="1">
      <c r="A929" s="220"/>
      <c r="B929" s="137"/>
      <c r="C929" s="137"/>
      <c r="D929" s="136"/>
      <c r="E929" s="137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 t="str">
        <f>IF(B929="","",SUMIFS('PR-BOM'!$D$3:$D995,'PR-BOM'!$C$3:$C995,C929,'PR-BOM'!$B$3:$B995,B929))</f>
        <v/>
      </c>
    </row>
    <row r="930" spans="1:26" ht="15.75" customHeight="1">
      <c r="A930" s="220"/>
      <c r="B930" s="137"/>
      <c r="C930" s="137"/>
      <c r="D930" s="136"/>
      <c r="E930" s="137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 t="str">
        <f>IF(B930="","",SUMIFS('PR-BOM'!$D$3:$D995,'PR-BOM'!$C$3:$C995,C930,'PR-BOM'!$B$3:$B995,B930))</f>
        <v/>
      </c>
    </row>
    <row r="931" spans="1:26" ht="15.75" customHeight="1">
      <c r="A931" s="220"/>
      <c r="B931" s="137"/>
      <c r="C931" s="137"/>
      <c r="D931" s="136"/>
      <c r="E931" s="137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 t="str">
        <f>IF(B931="","",SUMIFS('PR-BOM'!$D$3:$D995,'PR-BOM'!$C$3:$C995,C931,'PR-BOM'!$B$3:$B995,B931))</f>
        <v/>
      </c>
    </row>
    <row r="932" spans="1:26" ht="15.75" customHeight="1">
      <c r="A932" s="220"/>
      <c r="B932" s="137"/>
      <c r="C932" s="137"/>
      <c r="D932" s="136"/>
      <c r="E932" s="137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 t="str">
        <f>IF(B932="","",SUMIFS('PR-BOM'!$D$3:$D995,'PR-BOM'!$C$3:$C995,C932,'PR-BOM'!$B$3:$B995,B932))</f>
        <v/>
      </c>
    </row>
    <row r="933" spans="1:26" ht="15.75" customHeight="1">
      <c r="A933" s="220"/>
      <c r="B933" s="137"/>
      <c r="C933" s="137"/>
      <c r="D933" s="136"/>
      <c r="E933" s="137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 t="str">
        <f>IF(B933="","",SUMIFS('PR-BOM'!$D$3:$D995,'PR-BOM'!$C$3:$C995,C933,'PR-BOM'!$B$3:$B995,B933))</f>
        <v/>
      </c>
    </row>
    <row r="934" spans="1:26" ht="15.75" customHeight="1">
      <c r="A934" s="220"/>
      <c r="B934" s="137"/>
      <c r="C934" s="137"/>
      <c r="D934" s="136"/>
      <c r="E934" s="137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 t="str">
        <f>IF(B934="","",SUMIFS('PR-BOM'!$D$3:$D995,'PR-BOM'!$C$3:$C995,C934,'PR-BOM'!$B$3:$B995,B934))</f>
        <v/>
      </c>
    </row>
    <row r="935" spans="1:26" ht="15.75" customHeight="1">
      <c r="A935" s="220"/>
      <c r="B935" s="137"/>
      <c r="C935" s="137"/>
      <c r="D935" s="136"/>
      <c r="E935" s="137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 t="str">
        <f>IF(B935="","",SUMIFS('PR-BOM'!$D$3:$D995,'PR-BOM'!$C$3:$C995,C935,'PR-BOM'!$B$3:$B995,B935))</f>
        <v/>
      </c>
    </row>
    <row r="936" spans="1:26" ht="15.75" customHeight="1">
      <c r="A936" s="220"/>
      <c r="B936" s="137"/>
      <c r="C936" s="137"/>
      <c r="D936" s="136"/>
      <c r="E936" s="137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 t="str">
        <f>IF(B936="","",SUMIFS('PR-BOM'!$D$3:$D995,'PR-BOM'!$C$3:$C995,C936,'PR-BOM'!$B$3:$B995,B936))</f>
        <v/>
      </c>
    </row>
    <row r="937" spans="1:26" ht="15.75" customHeight="1">
      <c r="A937" s="220"/>
      <c r="B937" s="137"/>
      <c r="C937" s="137"/>
      <c r="D937" s="136"/>
      <c r="E937" s="137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 t="str">
        <f>IF(B937="","",SUMIFS('PR-BOM'!$D$3:$D995,'PR-BOM'!$C$3:$C995,C937,'PR-BOM'!$B$3:$B995,B937))</f>
        <v/>
      </c>
    </row>
    <row r="938" spans="1:26" ht="15.75" customHeight="1">
      <c r="A938" s="220"/>
      <c r="B938" s="137"/>
      <c r="C938" s="137"/>
      <c r="D938" s="136"/>
      <c r="E938" s="137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 t="str">
        <f>IF(B938="","",SUMIFS('PR-BOM'!$D$3:$D995,'PR-BOM'!$C$3:$C995,C938,'PR-BOM'!$B$3:$B995,B938))</f>
        <v/>
      </c>
    </row>
    <row r="939" spans="1:26" ht="15.75" customHeight="1">
      <c r="A939" s="220"/>
      <c r="B939" s="137"/>
      <c r="C939" s="137"/>
      <c r="D939" s="136"/>
      <c r="E939" s="137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 t="str">
        <f>IF(B939="","",SUMIFS('PR-BOM'!$D$3:$D995,'PR-BOM'!$C$3:$C995,C939,'PR-BOM'!$B$3:$B995,B939))</f>
        <v/>
      </c>
    </row>
    <row r="940" spans="1:26" ht="15.75" customHeight="1">
      <c r="A940" s="220"/>
      <c r="B940" s="137"/>
      <c r="C940" s="137"/>
      <c r="D940" s="136"/>
      <c r="E940" s="137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 t="str">
        <f>IF(B940="","",SUMIFS('PR-BOM'!$D$3:$D995,'PR-BOM'!$C$3:$C995,C940,'PR-BOM'!$B$3:$B995,B940))</f>
        <v/>
      </c>
    </row>
    <row r="941" spans="1:26" ht="15.75" customHeight="1">
      <c r="A941" s="220"/>
      <c r="B941" s="137"/>
      <c r="C941" s="137"/>
      <c r="D941" s="136"/>
      <c r="E941" s="137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 t="str">
        <f>IF(B941="","",SUMIFS('PR-BOM'!$D$3:$D995,'PR-BOM'!$C$3:$C995,C941,'PR-BOM'!$B$3:$B995,B941))</f>
        <v/>
      </c>
    </row>
    <row r="942" spans="1:26" ht="15.75" customHeight="1">
      <c r="A942" s="220"/>
      <c r="B942" s="137"/>
      <c r="C942" s="137"/>
      <c r="D942" s="136"/>
      <c r="E942" s="137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 t="str">
        <f>IF(B942="","",SUMIFS('PR-BOM'!$D$3:$D995,'PR-BOM'!$C$3:$C995,C942,'PR-BOM'!$B$3:$B995,B942))</f>
        <v/>
      </c>
    </row>
    <row r="943" spans="1:26" ht="15.75" customHeight="1">
      <c r="A943" s="220"/>
      <c r="B943" s="137"/>
      <c r="C943" s="137"/>
      <c r="D943" s="136"/>
      <c r="E943" s="137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 t="str">
        <f>IF(B943="","",SUMIFS('PR-BOM'!$D$3:$D995,'PR-BOM'!$C$3:$C995,C943,'PR-BOM'!$B$3:$B995,B943))</f>
        <v/>
      </c>
    </row>
    <row r="944" spans="1:26" ht="15.75" customHeight="1">
      <c r="A944" s="220"/>
      <c r="B944" s="137"/>
      <c r="C944" s="137"/>
      <c r="D944" s="136"/>
      <c r="E944" s="137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 t="str">
        <f>IF(B944="","",SUMIFS('PR-BOM'!$D$3:$D995,'PR-BOM'!$C$3:$C995,C944,'PR-BOM'!$B$3:$B995,B944))</f>
        <v/>
      </c>
    </row>
    <row r="945" spans="1:26" ht="15.75" customHeight="1">
      <c r="A945" s="220"/>
      <c r="B945" s="137"/>
      <c r="C945" s="137"/>
      <c r="D945" s="136"/>
      <c r="E945" s="137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 t="str">
        <f>IF(B945="","",SUMIFS('PR-BOM'!$D$3:$D995,'PR-BOM'!$C$3:$C995,C945,'PR-BOM'!$B$3:$B995,B945))</f>
        <v/>
      </c>
    </row>
    <row r="946" spans="1:26" ht="15.75" customHeight="1">
      <c r="A946" s="220"/>
      <c r="B946" s="137"/>
      <c r="C946" s="137"/>
      <c r="D946" s="136"/>
      <c r="E946" s="137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 t="str">
        <f>IF(B946="","",SUMIFS('PR-BOM'!$D$3:$D995,'PR-BOM'!$C$3:$C995,C946,'PR-BOM'!$B$3:$B995,B946))</f>
        <v/>
      </c>
    </row>
    <row r="947" spans="1:26" ht="15.75" customHeight="1">
      <c r="A947" s="220"/>
      <c r="B947" s="137"/>
      <c r="C947" s="137"/>
      <c r="D947" s="136"/>
      <c r="E947" s="137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 t="str">
        <f>IF(B947="","",SUMIFS('PR-BOM'!$D$3:$D995,'PR-BOM'!$C$3:$C995,C947,'PR-BOM'!$B$3:$B995,B947))</f>
        <v/>
      </c>
    </row>
    <row r="948" spans="1:26" ht="15.75" customHeight="1">
      <c r="A948" s="220"/>
      <c r="B948" s="137"/>
      <c r="C948" s="137"/>
      <c r="D948" s="136"/>
      <c r="E948" s="137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 t="str">
        <f>IF(B948="","",SUMIFS('PR-BOM'!$D$3:$D995,'PR-BOM'!$C$3:$C995,C948,'PR-BOM'!$B$3:$B995,B948))</f>
        <v/>
      </c>
    </row>
    <row r="949" spans="1:26" ht="15.75" customHeight="1">
      <c r="A949" s="220"/>
      <c r="B949" s="137"/>
      <c r="C949" s="137"/>
      <c r="D949" s="136"/>
      <c r="E949" s="137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 t="str">
        <f>IF(B949="","",SUMIFS('PR-BOM'!$D$3:$D995,'PR-BOM'!$C$3:$C995,C949,'PR-BOM'!$B$3:$B995,B949))</f>
        <v/>
      </c>
    </row>
    <row r="950" spans="1:26" ht="15.75" customHeight="1">
      <c r="A950" s="220"/>
      <c r="B950" s="137"/>
      <c r="C950" s="137"/>
      <c r="D950" s="136"/>
      <c r="E950" s="137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 t="str">
        <f>IF(B950="","",SUMIFS('PR-BOM'!$D$3:$D995,'PR-BOM'!$C$3:$C995,C950,'PR-BOM'!$B$3:$B995,B950))</f>
        <v/>
      </c>
    </row>
    <row r="951" spans="1:26" ht="15.75" customHeight="1">
      <c r="A951" s="220"/>
      <c r="B951" s="137"/>
      <c r="C951" s="137"/>
      <c r="D951" s="136"/>
      <c r="E951" s="137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 t="str">
        <f>IF(B951="","",SUMIFS('PR-BOM'!$D$3:$D995,'PR-BOM'!$C$3:$C995,C951,'PR-BOM'!$B$3:$B995,B951))</f>
        <v/>
      </c>
    </row>
    <row r="952" spans="1:26" ht="15.75" customHeight="1">
      <c r="A952" s="220"/>
      <c r="B952" s="137"/>
      <c r="C952" s="137"/>
      <c r="D952" s="136"/>
      <c r="E952" s="137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 t="str">
        <f>IF(B952="","",SUMIFS('PR-BOM'!$D$3:$D995,'PR-BOM'!$C$3:$C995,C952,'PR-BOM'!$B$3:$B995,B952))</f>
        <v/>
      </c>
    </row>
    <row r="953" spans="1:26" ht="15.75" customHeight="1">
      <c r="A953" s="220"/>
      <c r="B953" s="137"/>
      <c r="C953" s="137"/>
      <c r="D953" s="136"/>
      <c r="E953" s="137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 t="str">
        <f>IF(B953="","",SUMIFS('PR-BOM'!$D$3:$D995,'PR-BOM'!$C$3:$C995,C953,'PR-BOM'!$B$3:$B995,B953))</f>
        <v/>
      </c>
    </row>
    <row r="954" spans="1:26" ht="15.75" customHeight="1">
      <c r="A954" s="220"/>
      <c r="B954" s="137"/>
      <c r="C954" s="137"/>
      <c r="D954" s="136"/>
      <c r="E954" s="137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 t="str">
        <f>IF(B954="","",SUMIFS('PR-BOM'!$D$3:$D995,'PR-BOM'!$C$3:$C995,C954,'PR-BOM'!$B$3:$B995,B954))</f>
        <v/>
      </c>
    </row>
    <row r="955" spans="1:26" ht="15.75" customHeight="1">
      <c r="A955" s="220"/>
      <c r="B955" s="137"/>
      <c r="C955" s="137"/>
      <c r="D955" s="136"/>
      <c r="E955" s="137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 t="str">
        <f>IF(B955="","",SUMIFS('PR-BOM'!$D$3:$D995,'PR-BOM'!$C$3:$C995,C955,'PR-BOM'!$B$3:$B995,B955))</f>
        <v/>
      </c>
    </row>
    <row r="956" spans="1:26" ht="15.75" customHeight="1">
      <c r="A956" s="220"/>
      <c r="B956" s="137"/>
      <c r="C956" s="137"/>
      <c r="D956" s="136"/>
      <c r="E956" s="137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 t="str">
        <f>IF(B956="","",SUMIFS('PR-BOM'!$D$3:$D995,'PR-BOM'!$C$3:$C995,C956,'PR-BOM'!$B$3:$B995,B956))</f>
        <v/>
      </c>
    </row>
    <row r="957" spans="1:26" ht="15.75" customHeight="1">
      <c r="A957" s="220"/>
      <c r="B957" s="137"/>
      <c r="C957" s="137"/>
      <c r="D957" s="136"/>
      <c r="E957" s="137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 t="str">
        <f>IF(B957="","",SUMIFS('PR-BOM'!$D$3:$D995,'PR-BOM'!$C$3:$C995,C957,'PR-BOM'!$B$3:$B995,B957))</f>
        <v/>
      </c>
    </row>
    <row r="958" spans="1:26" ht="15.75" customHeight="1">
      <c r="A958" s="220"/>
      <c r="B958" s="137"/>
      <c r="C958" s="137"/>
      <c r="D958" s="136"/>
      <c r="E958" s="137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 t="str">
        <f>IF(B958="","",SUMIFS('PR-BOM'!$D$3:$D995,'PR-BOM'!$C$3:$C995,C958,'PR-BOM'!$B$3:$B995,B958))</f>
        <v/>
      </c>
    </row>
    <row r="959" spans="1:26" ht="15.75" customHeight="1">
      <c r="A959" s="220"/>
      <c r="B959" s="137"/>
      <c r="C959" s="137"/>
      <c r="D959" s="136"/>
      <c r="E959" s="137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 t="str">
        <f>IF(B959="","",SUMIFS('PR-BOM'!$D$3:$D995,'PR-BOM'!$C$3:$C995,C959,'PR-BOM'!$B$3:$B995,B959))</f>
        <v/>
      </c>
    </row>
    <row r="960" spans="1:26" ht="15.75" customHeight="1">
      <c r="A960" s="220"/>
      <c r="B960" s="137"/>
      <c r="C960" s="137"/>
      <c r="D960" s="136"/>
      <c r="E960" s="137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 t="str">
        <f>IF(B960="","",SUMIFS('PR-BOM'!$D$3:$D995,'PR-BOM'!$C$3:$C995,C960,'PR-BOM'!$B$3:$B995,B960))</f>
        <v/>
      </c>
    </row>
    <row r="961" spans="1:26" ht="15.75" customHeight="1">
      <c r="A961" s="220"/>
      <c r="B961" s="137"/>
      <c r="C961" s="137"/>
      <c r="D961" s="136"/>
      <c r="E961" s="137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 t="str">
        <f>IF(B961="","",SUMIFS('PR-BOM'!$D$3:$D995,'PR-BOM'!$C$3:$C995,C961,'PR-BOM'!$B$3:$B995,B961))</f>
        <v/>
      </c>
    </row>
    <row r="962" spans="1:26" ht="15.75" customHeight="1">
      <c r="A962" s="220"/>
      <c r="B962" s="137"/>
      <c r="C962" s="137"/>
      <c r="D962" s="136"/>
      <c r="E962" s="137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 t="str">
        <f>IF(B962="","",SUMIFS('PR-BOM'!$D$3:$D995,'PR-BOM'!$C$3:$C995,C962,'PR-BOM'!$B$3:$B995,B962))</f>
        <v/>
      </c>
    </row>
    <row r="963" spans="1:26" ht="15.75" customHeight="1">
      <c r="A963" s="220"/>
      <c r="B963" s="137"/>
      <c r="C963" s="137"/>
      <c r="D963" s="136"/>
      <c r="E963" s="137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 t="str">
        <f>IF(B963="","",SUMIFS('PR-BOM'!$D$3:$D995,'PR-BOM'!$C$3:$C995,C963,'PR-BOM'!$B$3:$B995,B963))</f>
        <v/>
      </c>
    </row>
    <row r="964" spans="1:26" ht="15.75" customHeight="1">
      <c r="A964" s="220"/>
      <c r="B964" s="137"/>
      <c r="C964" s="137"/>
      <c r="D964" s="136"/>
      <c r="E964" s="137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 t="str">
        <f>IF(B964="","",SUMIFS('PR-BOM'!$D$3:$D995,'PR-BOM'!$C$3:$C995,C964,'PR-BOM'!$B$3:$B995,B964))</f>
        <v/>
      </c>
    </row>
    <row r="965" spans="1:26" ht="15.75" customHeight="1">
      <c r="A965" s="220"/>
      <c r="B965" s="137"/>
      <c r="C965" s="137"/>
      <c r="D965" s="136"/>
      <c r="E965" s="137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 t="str">
        <f>IF(B965="","",SUMIFS('PR-BOM'!$D$3:$D995,'PR-BOM'!$C$3:$C995,C965,'PR-BOM'!$B$3:$B995,B965))</f>
        <v/>
      </c>
    </row>
    <row r="966" spans="1:26" ht="15.75" customHeight="1">
      <c r="A966" s="220"/>
      <c r="B966" s="137"/>
      <c r="C966" s="137"/>
      <c r="D966" s="136"/>
      <c r="E966" s="137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 t="str">
        <f>IF(B966="","",SUMIFS('PR-BOM'!$D$3:$D995,'PR-BOM'!$C$3:$C995,C966,'PR-BOM'!$B$3:$B995,B966))</f>
        <v/>
      </c>
    </row>
    <row r="967" spans="1:26" ht="15.75" customHeight="1">
      <c r="A967" s="220"/>
      <c r="B967" s="137"/>
      <c r="C967" s="137"/>
      <c r="D967" s="136"/>
      <c r="E967" s="137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 t="str">
        <f>IF(B967="","",SUMIFS('PR-BOM'!$D$3:$D995,'PR-BOM'!$C$3:$C995,C967,'PR-BOM'!$B$3:$B995,B967))</f>
        <v/>
      </c>
    </row>
    <row r="968" spans="1:26" ht="15.75" customHeight="1">
      <c r="A968" s="220"/>
      <c r="B968" s="137"/>
      <c r="C968" s="137"/>
      <c r="D968" s="136"/>
      <c r="E968" s="137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 t="str">
        <f>IF(B968="","",SUMIFS('PR-BOM'!$D$3:$D995,'PR-BOM'!$C$3:$C995,C968,'PR-BOM'!$B$3:$B995,B968))</f>
        <v/>
      </c>
    </row>
    <row r="969" spans="1:26" ht="15.75" customHeight="1">
      <c r="A969" s="220"/>
      <c r="B969" s="137"/>
      <c r="C969" s="137"/>
      <c r="D969" s="136"/>
      <c r="E969" s="137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 t="str">
        <f>IF(B969="","",SUMIFS('PR-BOM'!$D$3:$D995,'PR-BOM'!$C$3:$C995,C969,'PR-BOM'!$B$3:$B995,B969))</f>
        <v/>
      </c>
    </row>
    <row r="970" spans="1:26" ht="15.75" customHeight="1">
      <c r="A970" s="220"/>
      <c r="B970" s="137"/>
      <c r="C970" s="137"/>
      <c r="D970" s="136"/>
      <c r="E970" s="137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 t="str">
        <f>IF(B970="","",SUMIFS('PR-BOM'!$D$3:$D995,'PR-BOM'!$C$3:$C995,C970,'PR-BOM'!$B$3:$B995,B970))</f>
        <v/>
      </c>
    </row>
    <row r="971" spans="1:26" ht="15.75" customHeight="1">
      <c r="A971" s="220"/>
      <c r="B971" s="137"/>
      <c r="C971" s="137"/>
      <c r="D971" s="136"/>
      <c r="E971" s="137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 t="str">
        <f>IF(B971="","",SUMIFS('PR-BOM'!$D$3:$D995,'PR-BOM'!$C$3:$C995,C971,'PR-BOM'!$B$3:$B995,B971))</f>
        <v/>
      </c>
    </row>
    <row r="972" spans="1:26" ht="15.75" customHeight="1">
      <c r="A972" s="220"/>
      <c r="B972" s="137"/>
      <c r="C972" s="137"/>
      <c r="D972" s="136"/>
      <c r="E972" s="137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 t="str">
        <f>IF(B972="","",SUMIFS('PR-BOM'!$D$3:$D995,'PR-BOM'!$C$3:$C995,C972,'PR-BOM'!$B$3:$B995,B972))</f>
        <v/>
      </c>
    </row>
    <row r="973" spans="1:26" ht="15.75" customHeight="1">
      <c r="A973" s="220"/>
      <c r="B973" s="137"/>
      <c r="C973" s="137"/>
      <c r="D973" s="136"/>
      <c r="E973" s="137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 t="str">
        <f>IF(B973="","",SUMIFS('PR-BOM'!$D$3:$D995,'PR-BOM'!$C$3:$C995,C973,'PR-BOM'!$B$3:$B995,B973))</f>
        <v/>
      </c>
    </row>
    <row r="974" spans="1:26" ht="15.75" customHeight="1">
      <c r="A974" s="220"/>
      <c r="B974" s="137"/>
      <c r="C974" s="137"/>
      <c r="D974" s="136"/>
      <c r="E974" s="137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 t="str">
        <f>IF(B974="","",SUMIFS('PR-BOM'!$D$3:$D995,'PR-BOM'!$C$3:$C995,C974,'PR-BOM'!$B$3:$B995,B974))</f>
        <v/>
      </c>
    </row>
    <row r="975" spans="1:26" ht="15.75" customHeight="1">
      <c r="A975" s="220"/>
      <c r="B975" s="137"/>
      <c r="C975" s="137"/>
      <c r="D975" s="136"/>
      <c r="E975" s="137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 t="str">
        <f>IF(B975="","",SUMIFS('PR-BOM'!$D$3:$D995,'PR-BOM'!$C$3:$C995,C975,'PR-BOM'!$B$3:$B995,B975))</f>
        <v/>
      </c>
    </row>
    <row r="976" spans="1:26" ht="15.75" customHeight="1">
      <c r="A976" s="220"/>
      <c r="B976" s="137"/>
      <c r="C976" s="137"/>
      <c r="D976" s="136"/>
      <c r="E976" s="137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 t="str">
        <f>IF(B976="","",SUMIFS('PR-BOM'!$D$3:$D995,'PR-BOM'!$C$3:$C995,C976,'PR-BOM'!$B$3:$B995,B976))</f>
        <v/>
      </c>
    </row>
    <row r="977" spans="1:26" ht="15.75" customHeight="1">
      <c r="A977" s="220"/>
      <c r="B977" s="137"/>
      <c r="C977" s="137"/>
      <c r="D977" s="136"/>
      <c r="E977" s="137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 t="str">
        <f>IF(B977="","",SUMIFS('PR-BOM'!$D$3:$D995,'PR-BOM'!$C$3:$C995,C977,'PR-BOM'!$B$3:$B995,B977))</f>
        <v/>
      </c>
    </row>
    <row r="978" spans="1:26" ht="15.75" customHeight="1">
      <c r="A978" s="220"/>
      <c r="B978" s="137"/>
      <c r="C978" s="137"/>
      <c r="D978" s="136"/>
      <c r="E978" s="137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 t="str">
        <f>IF(B978="","",SUMIFS('PR-BOM'!$D$3:$D995,'PR-BOM'!$C$3:$C995,C978,'PR-BOM'!$B$3:$B995,B978))</f>
        <v/>
      </c>
    </row>
    <row r="979" spans="1:26" ht="15.75" customHeight="1">
      <c r="A979" s="220"/>
      <c r="B979" s="137"/>
      <c r="C979" s="137"/>
      <c r="D979" s="136"/>
      <c r="E979" s="137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 t="str">
        <f>IF(B979="","",SUMIFS('PR-BOM'!$D$3:$D995,'PR-BOM'!$C$3:$C995,C979,'PR-BOM'!$B$3:$B995,B979))</f>
        <v/>
      </c>
    </row>
    <row r="980" spans="1:26" ht="15.75" customHeight="1">
      <c r="A980" s="220"/>
      <c r="B980" s="137"/>
      <c r="C980" s="137"/>
      <c r="D980" s="136"/>
      <c r="E980" s="137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 t="str">
        <f>IF(B980="","",SUMIFS('PR-BOM'!$D$3:$D995,'PR-BOM'!$C$3:$C995,C980,'PR-BOM'!$B$3:$B995,B980))</f>
        <v/>
      </c>
    </row>
    <row r="981" spans="1:26" ht="15.75" customHeight="1">
      <c r="A981" s="220"/>
      <c r="B981" s="137"/>
      <c r="C981" s="137"/>
      <c r="D981" s="136"/>
      <c r="E981" s="137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 t="str">
        <f>IF(B981="","",SUMIFS('PR-BOM'!$D$3:$D995,'PR-BOM'!$C$3:$C995,C981,'PR-BOM'!$B$3:$B995,B981))</f>
        <v/>
      </c>
    </row>
    <row r="982" spans="1:26" ht="15.75" customHeight="1">
      <c r="A982" s="220"/>
      <c r="B982" s="137"/>
      <c r="C982" s="137"/>
      <c r="D982" s="136"/>
      <c r="E982" s="137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 t="str">
        <f>IF(B982="","",SUMIFS('PR-BOM'!$D$3:$D995,'PR-BOM'!$C$3:$C995,C982,'PR-BOM'!$B$3:$B995,B982))</f>
        <v/>
      </c>
    </row>
    <row r="983" spans="1:26" ht="15.75" customHeight="1">
      <c r="A983" s="220"/>
      <c r="B983" s="137"/>
      <c r="C983" s="137"/>
      <c r="D983" s="136"/>
      <c r="E983" s="137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 t="str">
        <f>IF(B983="","",SUMIFS('PR-BOM'!$D$3:$D995,'PR-BOM'!$C$3:$C995,C983,'PR-BOM'!$B$3:$B995,B983))</f>
        <v/>
      </c>
    </row>
    <row r="984" spans="1:26" ht="15.75" customHeight="1">
      <c r="A984" s="220"/>
      <c r="B984" s="137"/>
      <c r="C984" s="137"/>
      <c r="D984" s="136"/>
      <c r="E984" s="137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 t="str">
        <f>IF(B984="","",SUMIFS('PR-BOM'!$D$3:$D995,'PR-BOM'!$C$3:$C995,C984,'PR-BOM'!$B$3:$B995,B984))</f>
        <v/>
      </c>
    </row>
    <row r="985" spans="1:26" ht="15.75" customHeight="1">
      <c r="A985" s="220"/>
      <c r="B985" s="137"/>
      <c r="C985" s="137"/>
      <c r="D985" s="136"/>
      <c r="E985" s="137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 t="str">
        <f>IF(B985="","",SUMIFS('PR-BOM'!$D$3:$D995,'PR-BOM'!$C$3:$C995,C985,'PR-BOM'!$B$3:$B995,B985))</f>
        <v/>
      </c>
    </row>
    <row r="986" spans="1:26" ht="15.75" customHeight="1">
      <c r="A986" s="220"/>
      <c r="B986" s="137"/>
      <c r="C986" s="137"/>
      <c r="D986" s="136"/>
      <c r="E986" s="137"/>
      <c r="F986" s="133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 t="str">
        <f>IF(B986="","",SUMIFS('PR-BOM'!$D$3:$D995,'PR-BOM'!$C$3:$C995,C986,'PR-BOM'!$B$3:$B995,B986))</f>
        <v/>
      </c>
    </row>
    <row r="987" spans="1:26" ht="15.75" customHeight="1">
      <c r="A987" s="220"/>
      <c r="B987" s="137"/>
      <c r="C987" s="137"/>
      <c r="D987" s="136"/>
      <c r="E987" s="137"/>
      <c r="F987" s="133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 t="str">
        <f>IF(B987="","",SUMIFS('PR-BOM'!$D$3:$D995,'PR-BOM'!$C$3:$C995,C987,'PR-BOM'!$B$3:$B995,B987))</f>
        <v/>
      </c>
    </row>
    <row r="988" spans="1:26" ht="15.75" customHeight="1">
      <c r="A988" s="220"/>
      <c r="B988" s="137"/>
      <c r="C988" s="137"/>
      <c r="D988" s="136"/>
      <c r="E988" s="137"/>
      <c r="F988" s="133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 t="str">
        <f>IF(B988="","",SUMIFS('PR-BOM'!$D$3:$D995,'PR-BOM'!$C$3:$C995,C988,'PR-BOM'!$B$3:$B995,B988))</f>
        <v/>
      </c>
    </row>
    <row r="989" spans="1:26" ht="15.75" customHeight="1">
      <c r="A989" s="220"/>
      <c r="B989" s="137"/>
      <c r="C989" s="137"/>
      <c r="D989" s="136"/>
      <c r="E989" s="137"/>
      <c r="F989" s="133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 t="str">
        <f>IF(B989="","",SUMIFS('PR-BOM'!$D$3:$D995,'PR-BOM'!$C$3:$C995,C989,'PR-BOM'!$B$3:$B995,B989))</f>
        <v/>
      </c>
    </row>
    <row r="990" spans="1:26" ht="15.75" customHeight="1">
      <c r="A990" s="220"/>
      <c r="B990" s="137"/>
      <c r="C990" s="137"/>
      <c r="D990" s="136"/>
      <c r="E990" s="137"/>
      <c r="F990" s="133"/>
      <c r="G990" s="133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 t="str">
        <f>IF(B990="","",SUMIFS('PR-BOM'!$D$3:$D995,'PR-BOM'!$C$3:$C995,C990,'PR-BOM'!$B$3:$B995,B990))</f>
        <v/>
      </c>
    </row>
    <row r="991" spans="1:26" ht="15.75" customHeight="1">
      <c r="A991" s="220"/>
      <c r="B991" s="137"/>
      <c r="C991" s="137"/>
      <c r="D991" s="136"/>
      <c r="E991" s="137"/>
      <c r="F991" s="133"/>
      <c r="G991" s="133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 t="str">
        <f>IF(B991="","",SUMIFS('PR-BOM'!$D$3:$D995,'PR-BOM'!$C$3:$C995,C991,'PR-BOM'!$B$3:$B995,B991))</f>
        <v/>
      </c>
    </row>
    <row r="992" spans="1:26" ht="15.75" customHeight="1">
      <c r="A992" s="220"/>
      <c r="B992" s="137"/>
      <c r="C992" s="137"/>
      <c r="D992" s="136"/>
      <c r="E992" s="137"/>
      <c r="F992" s="133"/>
      <c r="G992" s="133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 t="str">
        <f>IF(B992="","",SUMIFS('PR-BOM'!$D$3:$D995,'PR-BOM'!$C$3:$C995,C992,'PR-BOM'!$B$3:$B995,B992))</f>
        <v/>
      </c>
    </row>
    <row r="993" spans="1:26" ht="15.75" customHeight="1">
      <c r="A993" s="220"/>
      <c r="B993" s="137"/>
      <c r="C993" s="137"/>
      <c r="D993" s="136"/>
      <c r="E993" s="137"/>
      <c r="F993" s="133"/>
      <c r="G993" s="133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 t="str">
        <f>IF(B993="","",SUMIFS('PR-BOM'!$D$3:$D995,'PR-BOM'!$C$3:$C995,C993,'PR-BOM'!$B$3:$B995,B993))</f>
        <v/>
      </c>
    </row>
    <row r="994" spans="1:26" ht="15.75" customHeight="1">
      <c r="A994" s="220"/>
      <c r="B994" s="137"/>
      <c r="C994" s="137"/>
      <c r="D994" s="136"/>
      <c r="E994" s="137"/>
      <c r="F994" s="133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 t="str">
        <f>IF(B994="","",SUMIFS('PR-BOM'!$D$3:$D995,'PR-BOM'!$C$3:$C995,C994,'PR-BOM'!$B$3:$B995,B994))</f>
        <v/>
      </c>
    </row>
    <row r="995" spans="1:26" ht="15.75" customHeight="1">
      <c r="A995" s="220"/>
      <c r="B995" s="137"/>
      <c r="C995" s="137"/>
      <c r="D995" s="136"/>
      <c r="E995" s="137"/>
      <c r="F995" s="133"/>
      <c r="G995" s="133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 t="str">
        <f>IF(B995="","",SUMIFS('PR-BOM'!$D$3:$D995,'PR-BOM'!$C$3:$C995,C995,'PR-BOM'!$B$3:$B995,B995))</f>
        <v/>
      </c>
    </row>
  </sheetData>
  <mergeCells count="1">
    <mergeCell ref="A1:B1"/>
  </mergeCells>
  <pageMargins left="0.7" right="0.7" top="0.75" bottom="0.75" header="0" footer="0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1400-000000000000}">
          <x14:formula1>
            <xm:f>Projects!$B$2:$B995</xm:f>
          </x14:formula1>
          <xm:sqref>B3:B995</xm:sqref>
        </x14:dataValidation>
        <x14:dataValidation type="list" allowBlank="1" showErrorMessage="1" xr:uid="{00000000-0002-0000-1400-000001000000}">
          <x14:formula1>
            <xm:f>CombineFG!$H$2:$H995</xm:f>
          </x14:formula1>
          <xm:sqref>C3:C995</xm:sqref>
        </x14:dataValidation>
      </x14:dataValidations>
    </ext>
  </extLst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AB999"/>
  <sheetViews>
    <sheetView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/>
  <cols>
    <col min="1" max="1" width="4.54296875" customWidth="1"/>
    <col min="2" max="2" width="29.453125" customWidth="1"/>
    <col min="3" max="3" width="17.7265625" customWidth="1"/>
    <col min="4" max="4" width="15.1796875" customWidth="1"/>
    <col min="5" max="5" width="16.81640625" customWidth="1"/>
    <col min="6" max="6" width="20.1796875" customWidth="1"/>
    <col min="7" max="28" width="14.453125" hidden="1"/>
  </cols>
  <sheetData>
    <row r="1" spans="1:5">
      <c r="A1" s="9" t="s">
        <v>2009</v>
      </c>
      <c r="B1" s="221" t="s">
        <v>2010</v>
      </c>
      <c r="C1" s="221" t="s">
        <v>2011</v>
      </c>
      <c r="D1" s="221" t="s">
        <v>2012</v>
      </c>
      <c r="E1" s="221" t="s">
        <v>2013</v>
      </c>
    </row>
    <row r="2" spans="1:5">
      <c r="A2" s="222">
        <f>IF(B2="","", ROW()-1)</f>
        <v>1</v>
      </c>
      <c r="B2" s="223" t="s">
        <v>2014</v>
      </c>
      <c r="C2" s="139" t="s">
        <v>1802</v>
      </c>
      <c r="D2" s="202" t="s">
        <v>2015</v>
      </c>
      <c r="E2" s="202"/>
    </row>
    <row r="3" spans="1:5">
      <c r="A3" s="222">
        <v>2</v>
      </c>
      <c r="B3" s="224" t="s">
        <v>2016</v>
      </c>
      <c r="C3" s="139" t="s">
        <v>1802</v>
      </c>
      <c r="D3" s="202" t="s">
        <v>2017</v>
      </c>
      <c r="E3" s="202"/>
    </row>
    <row r="4" spans="1:5">
      <c r="A4" s="222">
        <v>3</v>
      </c>
      <c r="B4" s="224" t="s">
        <v>1996</v>
      </c>
      <c r="C4" s="139" t="s">
        <v>1802</v>
      </c>
      <c r="D4" s="202" t="s">
        <v>2018</v>
      </c>
      <c r="E4" s="202"/>
    </row>
    <row r="5" spans="1:5">
      <c r="A5" s="222">
        <v>4</v>
      </c>
      <c r="B5" s="224" t="s">
        <v>1998</v>
      </c>
      <c r="C5" s="139" t="s">
        <v>1802</v>
      </c>
      <c r="D5" s="202" t="s">
        <v>2019</v>
      </c>
      <c r="E5" s="202"/>
    </row>
    <row r="6" spans="1:5">
      <c r="A6" s="222">
        <v>5</v>
      </c>
      <c r="B6" s="224" t="s">
        <v>2001</v>
      </c>
      <c r="C6" s="139" t="s">
        <v>1802</v>
      </c>
      <c r="D6" s="202" t="s">
        <v>2020</v>
      </c>
      <c r="E6" s="202"/>
    </row>
    <row r="7" spans="1:5">
      <c r="A7" s="222">
        <v>6</v>
      </c>
      <c r="B7" s="224" t="s">
        <v>2003</v>
      </c>
      <c r="C7" s="139" t="s">
        <v>1802</v>
      </c>
      <c r="D7" s="202" t="s">
        <v>2021</v>
      </c>
      <c r="E7" s="202"/>
    </row>
    <row r="8" spans="1:5">
      <c r="A8" s="222">
        <v>7</v>
      </c>
      <c r="B8" s="223" t="s">
        <v>2005</v>
      </c>
      <c r="C8" s="139" t="s">
        <v>1802</v>
      </c>
      <c r="D8" s="202" t="s">
        <v>2022</v>
      </c>
      <c r="E8" s="202"/>
    </row>
    <row r="9" spans="1:5">
      <c r="A9" s="222">
        <f t="shared" ref="A9:A263" si="0">IF(B9="","", ROW()-1)</f>
        <v>8</v>
      </c>
      <c r="B9" s="223" t="s">
        <v>2007</v>
      </c>
      <c r="C9" s="139" t="s">
        <v>1802</v>
      </c>
      <c r="D9" s="202" t="s">
        <v>2023</v>
      </c>
      <c r="E9" s="202"/>
    </row>
    <row r="10" spans="1:5">
      <c r="A10" s="222" t="str">
        <f t="shared" si="0"/>
        <v/>
      </c>
      <c r="B10" s="223"/>
      <c r="C10" s="139"/>
      <c r="D10" s="225"/>
      <c r="E10" s="202"/>
    </row>
    <row r="11" spans="1:5">
      <c r="A11" s="222" t="str">
        <f t="shared" si="0"/>
        <v/>
      </c>
      <c r="B11" s="223"/>
      <c r="C11" s="139"/>
      <c r="D11" s="225"/>
      <c r="E11" s="202"/>
    </row>
    <row r="12" spans="1:5">
      <c r="A12" s="222" t="str">
        <f t="shared" si="0"/>
        <v/>
      </c>
      <c r="B12" s="223"/>
      <c r="C12" s="139"/>
      <c r="D12" s="225"/>
      <c r="E12" s="202"/>
    </row>
    <row r="13" spans="1:5">
      <c r="A13" s="222" t="str">
        <f t="shared" si="0"/>
        <v/>
      </c>
      <c r="B13" s="223"/>
      <c r="C13" s="139"/>
      <c r="D13" s="225"/>
      <c r="E13" s="202"/>
    </row>
    <row r="14" spans="1:5">
      <c r="A14" s="222" t="str">
        <f t="shared" si="0"/>
        <v/>
      </c>
      <c r="B14" s="223"/>
      <c r="C14" s="139"/>
      <c r="D14" s="225"/>
      <c r="E14" s="202"/>
    </row>
    <row r="15" spans="1:5">
      <c r="A15" s="222" t="str">
        <f t="shared" si="0"/>
        <v/>
      </c>
      <c r="B15" s="223"/>
      <c r="C15" s="139"/>
      <c r="D15" s="225"/>
      <c r="E15" s="202"/>
    </row>
    <row r="16" spans="1:5">
      <c r="A16" s="222" t="str">
        <f t="shared" si="0"/>
        <v/>
      </c>
      <c r="B16" s="223"/>
      <c r="C16" s="139"/>
      <c r="D16" s="225"/>
      <c r="E16" s="202"/>
    </row>
    <row r="17" spans="1:5">
      <c r="A17" s="222" t="str">
        <f t="shared" si="0"/>
        <v/>
      </c>
      <c r="B17" s="223"/>
      <c r="C17" s="139"/>
      <c r="D17" s="225"/>
      <c r="E17" s="202"/>
    </row>
    <row r="18" spans="1:5">
      <c r="A18" s="222" t="str">
        <f t="shared" si="0"/>
        <v/>
      </c>
      <c r="B18" s="223"/>
      <c r="C18" s="139"/>
      <c r="D18" s="225"/>
      <c r="E18" s="202"/>
    </row>
    <row r="19" spans="1:5">
      <c r="A19" s="222" t="str">
        <f t="shared" si="0"/>
        <v/>
      </c>
      <c r="B19" s="223"/>
      <c r="C19" s="139"/>
      <c r="D19" s="225"/>
      <c r="E19" s="202"/>
    </row>
    <row r="20" spans="1:5">
      <c r="A20" s="222" t="str">
        <f t="shared" si="0"/>
        <v/>
      </c>
      <c r="B20" s="223"/>
      <c r="C20" s="139"/>
      <c r="D20" s="225"/>
      <c r="E20" s="202"/>
    </row>
    <row r="21" spans="1:5">
      <c r="A21" s="222" t="str">
        <f t="shared" si="0"/>
        <v/>
      </c>
      <c r="B21" s="223"/>
      <c r="C21" s="139"/>
      <c r="D21" s="225"/>
      <c r="E21" s="202"/>
    </row>
    <row r="22" spans="1:5">
      <c r="A22" s="222" t="str">
        <f t="shared" si="0"/>
        <v/>
      </c>
      <c r="B22" s="223"/>
      <c r="C22" s="139"/>
      <c r="D22" s="225"/>
      <c r="E22" s="202"/>
    </row>
    <row r="23" spans="1:5">
      <c r="A23" s="222" t="str">
        <f t="shared" si="0"/>
        <v/>
      </c>
      <c r="B23" s="223"/>
      <c r="C23" s="139"/>
      <c r="D23" s="225"/>
      <c r="E23" s="202"/>
    </row>
    <row r="24" spans="1:5">
      <c r="A24" s="222" t="str">
        <f t="shared" si="0"/>
        <v/>
      </c>
      <c r="B24" s="223"/>
      <c r="C24" s="139"/>
      <c r="D24" s="225"/>
      <c r="E24" s="202"/>
    </row>
    <row r="25" spans="1:5">
      <c r="A25" s="222" t="str">
        <f t="shared" si="0"/>
        <v/>
      </c>
      <c r="B25" s="223"/>
      <c r="C25" s="139"/>
      <c r="D25" s="225"/>
      <c r="E25" s="202"/>
    </row>
    <row r="26" spans="1:5">
      <c r="A26" s="222" t="str">
        <f t="shared" si="0"/>
        <v/>
      </c>
      <c r="B26" s="223"/>
      <c r="C26" s="139"/>
      <c r="D26" s="225"/>
      <c r="E26" s="202"/>
    </row>
    <row r="27" spans="1:5">
      <c r="A27" s="222" t="str">
        <f t="shared" si="0"/>
        <v/>
      </c>
      <c r="B27" s="223"/>
      <c r="C27" s="139"/>
      <c r="D27" s="225"/>
      <c r="E27" s="202"/>
    </row>
    <row r="28" spans="1:5">
      <c r="A28" s="222" t="str">
        <f t="shared" si="0"/>
        <v/>
      </c>
      <c r="B28" s="223"/>
      <c r="C28" s="139"/>
      <c r="D28" s="225"/>
      <c r="E28" s="202"/>
    </row>
    <row r="29" spans="1:5">
      <c r="A29" s="222" t="str">
        <f t="shared" si="0"/>
        <v/>
      </c>
      <c r="B29" s="223"/>
      <c r="C29" s="139"/>
      <c r="D29" s="225"/>
      <c r="E29" s="202"/>
    </row>
    <row r="30" spans="1:5">
      <c r="A30" s="222" t="str">
        <f t="shared" si="0"/>
        <v/>
      </c>
      <c r="B30" s="223"/>
      <c r="C30" s="139"/>
      <c r="D30" s="225"/>
      <c r="E30" s="202"/>
    </row>
    <row r="31" spans="1:5">
      <c r="A31" s="222" t="str">
        <f t="shared" si="0"/>
        <v/>
      </c>
      <c r="B31" s="223"/>
      <c r="C31" s="139"/>
      <c r="D31" s="225"/>
      <c r="E31" s="202"/>
    </row>
    <row r="32" spans="1:5">
      <c r="A32" s="222" t="str">
        <f t="shared" si="0"/>
        <v/>
      </c>
      <c r="B32" s="223"/>
      <c r="C32" s="139"/>
      <c r="D32" s="225"/>
      <c r="E32" s="202"/>
    </row>
    <row r="33" spans="1:5">
      <c r="A33" s="222" t="str">
        <f t="shared" si="0"/>
        <v/>
      </c>
      <c r="B33" s="223"/>
      <c r="C33" s="139"/>
      <c r="D33" s="225"/>
      <c r="E33" s="202"/>
    </row>
    <row r="34" spans="1:5">
      <c r="A34" s="222" t="str">
        <f t="shared" si="0"/>
        <v/>
      </c>
      <c r="B34" s="223"/>
      <c r="C34" s="139"/>
      <c r="D34" s="225"/>
      <c r="E34" s="202"/>
    </row>
    <row r="35" spans="1:5">
      <c r="A35" s="222" t="str">
        <f t="shared" si="0"/>
        <v/>
      </c>
      <c r="B35" s="223"/>
      <c r="C35" s="139"/>
      <c r="D35" s="225"/>
      <c r="E35" s="202"/>
    </row>
    <row r="36" spans="1:5">
      <c r="A36" s="222" t="str">
        <f t="shared" si="0"/>
        <v/>
      </c>
      <c r="B36" s="223"/>
      <c r="C36" s="139"/>
      <c r="D36" s="225"/>
      <c r="E36" s="202"/>
    </row>
    <row r="37" spans="1:5">
      <c r="A37" s="222" t="str">
        <f t="shared" si="0"/>
        <v/>
      </c>
      <c r="B37" s="223"/>
      <c r="C37" s="139"/>
      <c r="D37" s="225"/>
      <c r="E37" s="202"/>
    </row>
    <row r="38" spans="1:5">
      <c r="A38" s="222" t="str">
        <f t="shared" si="0"/>
        <v/>
      </c>
      <c r="B38" s="223"/>
      <c r="C38" s="139"/>
      <c r="D38" s="225"/>
      <c r="E38" s="202"/>
    </row>
    <row r="39" spans="1:5">
      <c r="A39" s="222" t="str">
        <f t="shared" si="0"/>
        <v/>
      </c>
      <c r="B39" s="223"/>
      <c r="C39" s="139"/>
      <c r="D39" s="225"/>
      <c r="E39" s="202"/>
    </row>
    <row r="40" spans="1:5">
      <c r="A40" s="222" t="str">
        <f t="shared" si="0"/>
        <v/>
      </c>
      <c r="B40" s="223"/>
      <c r="C40" s="139"/>
      <c r="D40" s="225"/>
      <c r="E40" s="202"/>
    </row>
    <row r="41" spans="1:5">
      <c r="A41" s="222" t="str">
        <f t="shared" si="0"/>
        <v/>
      </c>
      <c r="B41" s="223"/>
      <c r="C41" s="139"/>
      <c r="D41" s="225"/>
      <c r="E41" s="202"/>
    </row>
    <row r="42" spans="1:5">
      <c r="A42" s="222" t="str">
        <f t="shared" si="0"/>
        <v/>
      </c>
      <c r="B42" s="223"/>
      <c r="C42" s="139"/>
      <c r="D42" s="225"/>
      <c r="E42" s="202"/>
    </row>
    <row r="43" spans="1:5">
      <c r="A43" s="222" t="str">
        <f t="shared" si="0"/>
        <v/>
      </c>
      <c r="B43" s="223"/>
      <c r="C43" s="139"/>
      <c r="D43" s="225"/>
      <c r="E43" s="202"/>
    </row>
    <row r="44" spans="1:5">
      <c r="A44" s="222" t="str">
        <f t="shared" si="0"/>
        <v/>
      </c>
      <c r="B44" s="223"/>
      <c r="C44" s="139"/>
      <c r="D44" s="225"/>
      <c r="E44" s="202"/>
    </row>
    <row r="45" spans="1:5">
      <c r="A45" s="222" t="str">
        <f t="shared" si="0"/>
        <v/>
      </c>
      <c r="B45" s="223"/>
      <c r="C45" s="139"/>
      <c r="D45" s="225"/>
      <c r="E45" s="202"/>
    </row>
    <row r="46" spans="1:5">
      <c r="A46" s="222" t="str">
        <f t="shared" si="0"/>
        <v/>
      </c>
      <c r="B46" s="223"/>
      <c r="C46" s="139"/>
      <c r="D46" s="225"/>
      <c r="E46" s="202"/>
    </row>
    <row r="47" spans="1:5">
      <c r="A47" s="222" t="str">
        <f t="shared" si="0"/>
        <v/>
      </c>
      <c r="B47" s="223"/>
      <c r="C47" s="139"/>
      <c r="D47" s="225"/>
      <c r="E47" s="202"/>
    </row>
    <row r="48" spans="1:5">
      <c r="A48" s="222" t="str">
        <f t="shared" si="0"/>
        <v/>
      </c>
      <c r="B48" s="223"/>
      <c r="C48" s="139"/>
      <c r="D48" s="225"/>
      <c r="E48" s="202"/>
    </row>
    <row r="49" spans="1:5">
      <c r="A49" s="222" t="str">
        <f t="shared" si="0"/>
        <v/>
      </c>
      <c r="B49" s="223"/>
      <c r="C49" s="139"/>
      <c r="D49" s="225"/>
      <c r="E49" s="202"/>
    </row>
    <row r="50" spans="1:5">
      <c r="A50" s="222" t="str">
        <f t="shared" si="0"/>
        <v/>
      </c>
      <c r="B50" s="223"/>
      <c r="C50" s="139"/>
      <c r="D50" s="225"/>
      <c r="E50" s="202"/>
    </row>
    <row r="51" spans="1:5">
      <c r="A51" s="222" t="str">
        <f t="shared" si="0"/>
        <v/>
      </c>
      <c r="B51" s="223"/>
      <c r="C51" s="139"/>
      <c r="D51" s="225"/>
      <c r="E51" s="202"/>
    </row>
    <row r="52" spans="1:5">
      <c r="A52" s="222" t="str">
        <f t="shared" si="0"/>
        <v/>
      </c>
      <c r="B52" s="223"/>
      <c r="C52" s="139"/>
      <c r="D52" s="225"/>
      <c r="E52" s="202"/>
    </row>
    <row r="53" spans="1:5">
      <c r="A53" s="222" t="str">
        <f t="shared" si="0"/>
        <v/>
      </c>
      <c r="B53" s="223"/>
      <c r="C53" s="139"/>
      <c r="D53" s="225"/>
      <c r="E53" s="202"/>
    </row>
    <row r="54" spans="1:5">
      <c r="A54" s="222" t="str">
        <f t="shared" si="0"/>
        <v/>
      </c>
      <c r="B54" s="223"/>
      <c r="C54" s="139"/>
      <c r="D54" s="225"/>
      <c r="E54" s="202"/>
    </row>
    <row r="55" spans="1:5">
      <c r="A55" s="222" t="str">
        <f t="shared" si="0"/>
        <v/>
      </c>
      <c r="B55" s="223"/>
      <c r="C55" s="139"/>
      <c r="D55" s="225"/>
      <c r="E55" s="202"/>
    </row>
    <row r="56" spans="1:5">
      <c r="A56" s="222" t="str">
        <f t="shared" si="0"/>
        <v/>
      </c>
      <c r="B56" s="223"/>
      <c r="C56" s="139"/>
      <c r="D56" s="225"/>
      <c r="E56" s="202"/>
    </row>
    <row r="57" spans="1:5">
      <c r="A57" s="222" t="str">
        <f t="shared" si="0"/>
        <v/>
      </c>
      <c r="B57" s="223"/>
      <c r="C57" s="139"/>
      <c r="D57" s="225"/>
      <c r="E57" s="202"/>
    </row>
    <row r="58" spans="1:5">
      <c r="A58" s="222" t="str">
        <f t="shared" si="0"/>
        <v/>
      </c>
      <c r="B58" s="223"/>
      <c r="C58" s="139"/>
      <c r="D58" s="225"/>
      <c r="E58" s="202"/>
    </row>
    <row r="59" spans="1:5">
      <c r="A59" s="222" t="str">
        <f t="shared" si="0"/>
        <v/>
      </c>
      <c r="B59" s="223"/>
      <c r="C59" s="139"/>
      <c r="D59" s="225"/>
      <c r="E59" s="202"/>
    </row>
    <row r="60" spans="1:5">
      <c r="A60" s="222" t="str">
        <f t="shared" si="0"/>
        <v/>
      </c>
      <c r="B60" s="223"/>
      <c r="C60" s="139"/>
      <c r="D60" s="225"/>
      <c r="E60" s="202"/>
    </row>
    <row r="61" spans="1:5">
      <c r="A61" s="222" t="str">
        <f t="shared" si="0"/>
        <v/>
      </c>
      <c r="B61" s="223"/>
      <c r="C61" s="139"/>
      <c r="D61" s="225"/>
      <c r="E61" s="202"/>
    </row>
    <row r="62" spans="1:5">
      <c r="A62" s="222" t="str">
        <f t="shared" si="0"/>
        <v/>
      </c>
      <c r="B62" s="223"/>
      <c r="C62" s="139"/>
      <c r="D62" s="225"/>
      <c r="E62" s="202"/>
    </row>
    <row r="63" spans="1:5">
      <c r="A63" s="222" t="str">
        <f t="shared" si="0"/>
        <v/>
      </c>
      <c r="B63" s="223"/>
      <c r="C63" s="139"/>
      <c r="D63" s="225"/>
      <c r="E63" s="202"/>
    </row>
    <row r="64" spans="1:5">
      <c r="A64" s="222" t="str">
        <f t="shared" si="0"/>
        <v/>
      </c>
      <c r="B64" s="223"/>
      <c r="C64" s="139"/>
      <c r="D64" s="225"/>
      <c r="E64" s="202"/>
    </row>
    <row r="65" spans="1:5">
      <c r="A65" s="222" t="str">
        <f t="shared" si="0"/>
        <v/>
      </c>
      <c r="B65" s="223"/>
      <c r="C65" s="139"/>
      <c r="D65" s="225"/>
      <c r="E65" s="202"/>
    </row>
    <row r="66" spans="1:5">
      <c r="A66" s="222" t="str">
        <f t="shared" si="0"/>
        <v/>
      </c>
      <c r="B66" s="223"/>
      <c r="C66" s="139"/>
      <c r="D66" s="225"/>
      <c r="E66" s="202"/>
    </row>
    <row r="67" spans="1:5">
      <c r="A67" s="222" t="str">
        <f t="shared" si="0"/>
        <v/>
      </c>
      <c r="B67" s="223"/>
      <c r="C67" s="139"/>
      <c r="D67" s="225"/>
      <c r="E67" s="202"/>
    </row>
    <row r="68" spans="1:5">
      <c r="A68" s="222" t="str">
        <f t="shared" si="0"/>
        <v/>
      </c>
      <c r="B68" s="223"/>
      <c r="C68" s="139"/>
      <c r="D68" s="225"/>
      <c r="E68" s="202"/>
    </row>
    <row r="69" spans="1:5">
      <c r="A69" s="222" t="str">
        <f t="shared" si="0"/>
        <v/>
      </c>
      <c r="B69" s="223"/>
      <c r="C69" s="139"/>
      <c r="D69" s="225"/>
      <c r="E69" s="202"/>
    </row>
    <row r="70" spans="1:5">
      <c r="A70" s="222" t="str">
        <f t="shared" si="0"/>
        <v/>
      </c>
      <c r="B70" s="223"/>
      <c r="C70" s="139"/>
      <c r="D70" s="225"/>
      <c r="E70" s="202"/>
    </row>
    <row r="71" spans="1:5">
      <c r="A71" s="222" t="str">
        <f t="shared" si="0"/>
        <v/>
      </c>
      <c r="B71" s="223"/>
      <c r="C71" s="139"/>
      <c r="D71" s="225"/>
      <c r="E71" s="202"/>
    </row>
    <row r="72" spans="1:5">
      <c r="A72" s="222" t="str">
        <f t="shared" si="0"/>
        <v/>
      </c>
      <c r="B72" s="223"/>
      <c r="C72" s="139"/>
      <c r="D72" s="225"/>
      <c r="E72" s="202"/>
    </row>
    <row r="73" spans="1:5">
      <c r="A73" s="222" t="str">
        <f t="shared" si="0"/>
        <v/>
      </c>
      <c r="B73" s="223"/>
      <c r="C73" s="139"/>
      <c r="D73" s="225"/>
      <c r="E73" s="202"/>
    </row>
    <row r="74" spans="1:5">
      <c r="A74" s="222" t="str">
        <f t="shared" si="0"/>
        <v/>
      </c>
      <c r="B74" s="223"/>
      <c r="C74" s="139"/>
      <c r="D74" s="225"/>
      <c r="E74" s="202"/>
    </row>
    <row r="75" spans="1:5">
      <c r="A75" s="222" t="str">
        <f t="shared" si="0"/>
        <v/>
      </c>
      <c r="B75" s="223"/>
      <c r="C75" s="139"/>
      <c r="D75" s="225"/>
      <c r="E75" s="202"/>
    </row>
    <row r="76" spans="1:5">
      <c r="A76" s="222" t="str">
        <f t="shared" si="0"/>
        <v/>
      </c>
      <c r="B76" s="223"/>
      <c r="C76" s="139"/>
      <c r="D76" s="225"/>
      <c r="E76" s="202"/>
    </row>
    <row r="77" spans="1:5">
      <c r="A77" s="222" t="str">
        <f t="shared" si="0"/>
        <v/>
      </c>
      <c r="B77" s="223"/>
      <c r="C77" s="139"/>
      <c r="D77" s="225"/>
      <c r="E77" s="202"/>
    </row>
    <row r="78" spans="1:5">
      <c r="A78" s="222" t="str">
        <f t="shared" si="0"/>
        <v/>
      </c>
      <c r="B78" s="223"/>
      <c r="C78" s="139"/>
      <c r="D78" s="225"/>
      <c r="E78" s="202"/>
    </row>
    <row r="79" spans="1:5">
      <c r="A79" s="222" t="str">
        <f t="shared" si="0"/>
        <v/>
      </c>
      <c r="B79" s="223"/>
      <c r="C79" s="139"/>
      <c r="D79" s="225"/>
      <c r="E79" s="202"/>
    </row>
    <row r="80" spans="1:5">
      <c r="A80" s="222" t="str">
        <f t="shared" si="0"/>
        <v/>
      </c>
      <c r="B80" s="223"/>
      <c r="C80" s="139"/>
      <c r="D80" s="225"/>
      <c r="E80" s="202"/>
    </row>
    <row r="81" spans="1:5">
      <c r="A81" s="222" t="str">
        <f t="shared" si="0"/>
        <v/>
      </c>
      <c r="B81" s="223"/>
      <c r="C81" s="139"/>
      <c r="D81" s="225"/>
      <c r="E81" s="202"/>
    </row>
    <row r="82" spans="1:5">
      <c r="A82" s="222" t="str">
        <f t="shared" si="0"/>
        <v/>
      </c>
      <c r="B82" s="223"/>
      <c r="C82" s="139"/>
      <c r="D82" s="225"/>
      <c r="E82" s="202"/>
    </row>
    <row r="83" spans="1:5">
      <c r="A83" s="222" t="str">
        <f t="shared" si="0"/>
        <v/>
      </c>
      <c r="B83" s="223"/>
      <c r="C83" s="139"/>
      <c r="D83" s="225"/>
      <c r="E83" s="202"/>
    </row>
    <row r="84" spans="1:5">
      <c r="A84" s="222" t="str">
        <f t="shared" si="0"/>
        <v/>
      </c>
      <c r="B84" s="223"/>
      <c r="C84" s="139"/>
      <c r="D84" s="225"/>
      <c r="E84" s="202"/>
    </row>
    <row r="85" spans="1:5">
      <c r="A85" s="222" t="str">
        <f t="shared" si="0"/>
        <v/>
      </c>
      <c r="B85" s="223"/>
      <c r="C85" s="139"/>
      <c r="D85" s="225"/>
      <c r="E85" s="202"/>
    </row>
    <row r="86" spans="1:5">
      <c r="A86" s="222" t="str">
        <f t="shared" si="0"/>
        <v/>
      </c>
      <c r="B86" s="223"/>
      <c r="C86" s="139"/>
      <c r="D86" s="225"/>
      <c r="E86" s="202"/>
    </row>
    <row r="87" spans="1:5">
      <c r="A87" s="222" t="str">
        <f t="shared" si="0"/>
        <v/>
      </c>
      <c r="B87" s="223"/>
      <c r="C87" s="139"/>
      <c r="D87" s="225"/>
      <c r="E87" s="202"/>
    </row>
    <row r="88" spans="1:5">
      <c r="A88" s="222" t="str">
        <f t="shared" si="0"/>
        <v/>
      </c>
      <c r="B88" s="223"/>
      <c r="C88" s="139"/>
      <c r="D88" s="225"/>
      <c r="E88" s="202"/>
    </row>
    <row r="89" spans="1:5">
      <c r="A89" s="222" t="str">
        <f t="shared" si="0"/>
        <v/>
      </c>
      <c r="B89" s="223"/>
      <c r="C89" s="139"/>
      <c r="D89" s="225"/>
      <c r="E89" s="202"/>
    </row>
    <row r="90" spans="1:5">
      <c r="A90" s="222" t="str">
        <f t="shared" si="0"/>
        <v/>
      </c>
      <c r="B90" s="223"/>
      <c r="C90" s="139"/>
      <c r="D90" s="225"/>
      <c r="E90" s="202"/>
    </row>
    <row r="91" spans="1:5">
      <c r="A91" s="222" t="str">
        <f t="shared" si="0"/>
        <v/>
      </c>
      <c r="B91" s="223"/>
      <c r="C91" s="139"/>
      <c r="D91" s="225"/>
      <c r="E91" s="202"/>
    </row>
    <row r="92" spans="1:5">
      <c r="A92" s="222" t="str">
        <f t="shared" si="0"/>
        <v/>
      </c>
      <c r="B92" s="223"/>
      <c r="C92" s="139"/>
      <c r="D92" s="225"/>
      <c r="E92" s="202"/>
    </row>
    <row r="93" spans="1:5">
      <c r="A93" s="222" t="str">
        <f t="shared" si="0"/>
        <v/>
      </c>
      <c r="B93" s="223"/>
      <c r="C93" s="139"/>
      <c r="D93" s="225"/>
      <c r="E93" s="202"/>
    </row>
    <row r="94" spans="1:5">
      <c r="A94" s="222" t="str">
        <f t="shared" si="0"/>
        <v/>
      </c>
      <c r="B94" s="223"/>
      <c r="C94" s="139"/>
      <c r="D94" s="225"/>
      <c r="E94" s="202"/>
    </row>
    <row r="95" spans="1:5">
      <c r="A95" s="222" t="str">
        <f t="shared" si="0"/>
        <v/>
      </c>
      <c r="B95" s="223"/>
      <c r="C95" s="139"/>
      <c r="D95" s="225"/>
      <c r="E95" s="202"/>
    </row>
    <row r="96" spans="1:5">
      <c r="A96" s="222" t="str">
        <f t="shared" si="0"/>
        <v/>
      </c>
      <c r="B96" s="223"/>
      <c r="C96" s="139"/>
      <c r="D96" s="225"/>
      <c r="E96" s="202"/>
    </row>
    <row r="97" spans="1:5">
      <c r="A97" s="222" t="str">
        <f t="shared" si="0"/>
        <v/>
      </c>
      <c r="B97" s="223"/>
      <c r="C97" s="139"/>
      <c r="D97" s="225"/>
      <c r="E97" s="202"/>
    </row>
    <row r="98" spans="1:5">
      <c r="A98" s="222" t="str">
        <f t="shared" si="0"/>
        <v/>
      </c>
      <c r="B98" s="223"/>
      <c r="C98" s="139"/>
      <c r="D98" s="225"/>
      <c r="E98" s="202"/>
    </row>
    <row r="99" spans="1:5">
      <c r="A99" s="222" t="str">
        <f t="shared" si="0"/>
        <v/>
      </c>
      <c r="B99" s="223"/>
      <c r="C99" s="139"/>
      <c r="D99" s="225"/>
      <c r="E99" s="202"/>
    </row>
    <row r="100" spans="1:5">
      <c r="A100" s="222" t="str">
        <f t="shared" si="0"/>
        <v/>
      </c>
      <c r="B100" s="223"/>
      <c r="C100" s="139"/>
      <c r="D100" s="225"/>
      <c r="E100" s="202"/>
    </row>
    <row r="101" spans="1:5">
      <c r="A101" s="222" t="str">
        <f t="shared" si="0"/>
        <v/>
      </c>
      <c r="B101" s="223"/>
      <c r="C101" s="139"/>
      <c r="D101" s="225"/>
      <c r="E101" s="202"/>
    </row>
    <row r="102" spans="1:5">
      <c r="A102" s="222" t="str">
        <f t="shared" si="0"/>
        <v/>
      </c>
      <c r="B102" s="223"/>
      <c r="C102" s="139"/>
      <c r="D102" s="225"/>
      <c r="E102" s="202"/>
    </row>
    <row r="103" spans="1:5">
      <c r="A103" s="222" t="str">
        <f t="shared" si="0"/>
        <v/>
      </c>
      <c r="B103" s="223"/>
      <c r="C103" s="139"/>
      <c r="D103" s="225"/>
      <c r="E103" s="202"/>
    </row>
    <row r="104" spans="1:5">
      <c r="A104" s="222" t="str">
        <f t="shared" si="0"/>
        <v/>
      </c>
      <c r="B104" s="223"/>
      <c r="C104" s="139"/>
      <c r="D104" s="225"/>
      <c r="E104" s="202"/>
    </row>
    <row r="105" spans="1:5">
      <c r="A105" s="222" t="str">
        <f t="shared" si="0"/>
        <v/>
      </c>
      <c r="B105" s="223"/>
      <c r="C105" s="139"/>
      <c r="D105" s="225"/>
      <c r="E105" s="202"/>
    </row>
    <row r="106" spans="1:5">
      <c r="A106" s="222" t="str">
        <f t="shared" si="0"/>
        <v/>
      </c>
      <c r="B106" s="223"/>
      <c r="C106" s="139"/>
      <c r="D106" s="225"/>
      <c r="E106" s="202"/>
    </row>
    <row r="107" spans="1:5">
      <c r="A107" s="222" t="str">
        <f t="shared" si="0"/>
        <v/>
      </c>
      <c r="B107" s="223"/>
      <c r="C107" s="139"/>
      <c r="D107" s="225"/>
      <c r="E107" s="202"/>
    </row>
    <row r="108" spans="1:5">
      <c r="A108" s="222" t="str">
        <f t="shared" si="0"/>
        <v/>
      </c>
      <c r="B108" s="223"/>
      <c r="C108" s="139"/>
      <c r="D108" s="225"/>
      <c r="E108" s="202"/>
    </row>
    <row r="109" spans="1:5">
      <c r="A109" s="222" t="str">
        <f t="shared" si="0"/>
        <v/>
      </c>
      <c r="B109" s="223"/>
      <c r="C109" s="139"/>
      <c r="D109" s="225"/>
      <c r="E109" s="202"/>
    </row>
    <row r="110" spans="1:5">
      <c r="A110" s="222" t="str">
        <f t="shared" si="0"/>
        <v/>
      </c>
      <c r="B110" s="223"/>
      <c r="C110" s="139"/>
      <c r="D110" s="225"/>
      <c r="E110" s="202"/>
    </row>
    <row r="111" spans="1:5">
      <c r="A111" s="222" t="str">
        <f t="shared" si="0"/>
        <v/>
      </c>
      <c r="B111" s="223"/>
      <c r="C111" s="139"/>
      <c r="D111" s="225"/>
      <c r="E111" s="202"/>
    </row>
    <row r="112" spans="1:5">
      <c r="A112" s="222" t="str">
        <f t="shared" si="0"/>
        <v/>
      </c>
      <c r="B112" s="223"/>
      <c r="C112" s="139"/>
      <c r="D112" s="225"/>
      <c r="E112" s="202"/>
    </row>
    <row r="113" spans="1:5">
      <c r="A113" s="222" t="str">
        <f t="shared" si="0"/>
        <v/>
      </c>
      <c r="B113" s="223"/>
      <c r="C113" s="139"/>
      <c r="D113" s="225"/>
      <c r="E113" s="202"/>
    </row>
    <row r="114" spans="1:5">
      <c r="A114" s="222" t="str">
        <f t="shared" si="0"/>
        <v/>
      </c>
      <c r="B114" s="223"/>
      <c r="C114" s="139"/>
      <c r="D114" s="225"/>
      <c r="E114" s="202"/>
    </row>
    <row r="115" spans="1:5">
      <c r="A115" s="222" t="str">
        <f t="shared" si="0"/>
        <v/>
      </c>
      <c r="B115" s="223"/>
      <c r="C115" s="139"/>
      <c r="D115" s="225"/>
      <c r="E115" s="202"/>
    </row>
    <row r="116" spans="1:5">
      <c r="A116" s="222" t="str">
        <f t="shared" si="0"/>
        <v/>
      </c>
      <c r="B116" s="223"/>
      <c r="C116" s="139"/>
      <c r="D116" s="225"/>
      <c r="E116" s="202"/>
    </row>
    <row r="117" spans="1:5">
      <c r="A117" s="222" t="str">
        <f t="shared" si="0"/>
        <v/>
      </c>
      <c r="B117" s="223"/>
      <c r="C117" s="139"/>
      <c r="D117" s="225"/>
      <c r="E117" s="202"/>
    </row>
    <row r="118" spans="1:5">
      <c r="A118" s="222" t="str">
        <f t="shared" si="0"/>
        <v/>
      </c>
      <c r="B118" s="223"/>
      <c r="C118" s="139"/>
      <c r="D118" s="225"/>
      <c r="E118" s="202"/>
    </row>
    <row r="119" spans="1:5">
      <c r="A119" s="222" t="str">
        <f t="shared" si="0"/>
        <v/>
      </c>
      <c r="B119" s="223"/>
      <c r="C119" s="139"/>
      <c r="D119" s="225"/>
      <c r="E119" s="202"/>
    </row>
    <row r="120" spans="1:5">
      <c r="A120" s="222" t="str">
        <f t="shared" si="0"/>
        <v/>
      </c>
      <c r="B120" s="223"/>
      <c r="C120" s="139"/>
      <c r="D120" s="225"/>
      <c r="E120" s="202"/>
    </row>
    <row r="121" spans="1:5">
      <c r="A121" s="222" t="str">
        <f t="shared" si="0"/>
        <v/>
      </c>
      <c r="B121" s="223"/>
      <c r="C121" s="139"/>
      <c r="D121" s="225"/>
      <c r="E121" s="202"/>
    </row>
    <row r="122" spans="1:5">
      <c r="A122" s="222" t="str">
        <f t="shared" si="0"/>
        <v/>
      </c>
      <c r="B122" s="223"/>
      <c r="C122" s="139"/>
      <c r="D122" s="225"/>
      <c r="E122" s="202"/>
    </row>
    <row r="123" spans="1:5">
      <c r="A123" s="222" t="str">
        <f t="shared" si="0"/>
        <v/>
      </c>
      <c r="B123" s="223"/>
      <c r="C123" s="139"/>
      <c r="D123" s="225"/>
      <c r="E123" s="202"/>
    </row>
    <row r="124" spans="1:5">
      <c r="A124" s="222" t="str">
        <f t="shared" si="0"/>
        <v/>
      </c>
      <c r="B124" s="223"/>
      <c r="C124" s="139"/>
      <c r="D124" s="225"/>
      <c r="E124" s="202"/>
    </row>
    <row r="125" spans="1:5">
      <c r="A125" s="222" t="str">
        <f t="shared" si="0"/>
        <v/>
      </c>
      <c r="B125" s="223"/>
      <c r="C125" s="139"/>
      <c r="D125" s="225"/>
      <c r="E125" s="202"/>
    </row>
    <row r="126" spans="1:5">
      <c r="A126" s="222" t="str">
        <f t="shared" si="0"/>
        <v/>
      </c>
      <c r="B126" s="223"/>
      <c r="C126" s="139"/>
      <c r="D126" s="225"/>
      <c r="E126" s="202"/>
    </row>
    <row r="127" spans="1:5">
      <c r="A127" s="222" t="str">
        <f t="shared" si="0"/>
        <v/>
      </c>
      <c r="B127" s="223"/>
      <c r="C127" s="139"/>
      <c r="D127" s="225"/>
      <c r="E127" s="202"/>
    </row>
    <row r="128" spans="1:5">
      <c r="A128" s="222" t="str">
        <f t="shared" si="0"/>
        <v/>
      </c>
      <c r="B128" s="223"/>
      <c r="C128" s="139"/>
      <c r="D128" s="225"/>
      <c r="E128" s="202"/>
    </row>
    <row r="129" spans="1:5">
      <c r="A129" s="222" t="str">
        <f t="shared" si="0"/>
        <v/>
      </c>
      <c r="B129" s="223"/>
      <c r="C129" s="139"/>
      <c r="D129" s="225"/>
      <c r="E129" s="202"/>
    </row>
    <row r="130" spans="1:5">
      <c r="A130" s="222" t="str">
        <f t="shared" si="0"/>
        <v/>
      </c>
      <c r="B130" s="223"/>
      <c r="C130" s="139"/>
      <c r="D130" s="225"/>
      <c r="E130" s="202"/>
    </row>
    <row r="131" spans="1:5">
      <c r="A131" s="222" t="str">
        <f t="shared" si="0"/>
        <v/>
      </c>
      <c r="B131" s="223"/>
      <c r="C131" s="139"/>
      <c r="D131" s="225"/>
      <c r="E131" s="202"/>
    </row>
    <row r="132" spans="1:5">
      <c r="A132" s="222" t="str">
        <f t="shared" si="0"/>
        <v/>
      </c>
      <c r="B132" s="223"/>
      <c r="C132" s="139"/>
      <c r="D132" s="225"/>
      <c r="E132" s="202"/>
    </row>
    <row r="133" spans="1:5">
      <c r="A133" s="222" t="str">
        <f t="shared" si="0"/>
        <v/>
      </c>
      <c r="B133" s="223"/>
      <c r="C133" s="139"/>
      <c r="D133" s="225"/>
      <c r="E133" s="202"/>
    </row>
    <row r="134" spans="1:5">
      <c r="A134" s="222" t="str">
        <f t="shared" si="0"/>
        <v/>
      </c>
      <c r="B134" s="223"/>
      <c r="C134" s="139"/>
      <c r="D134" s="225"/>
      <c r="E134" s="202"/>
    </row>
    <row r="135" spans="1:5">
      <c r="A135" s="222" t="str">
        <f t="shared" si="0"/>
        <v/>
      </c>
      <c r="B135" s="223"/>
      <c r="C135" s="139"/>
      <c r="D135" s="225"/>
      <c r="E135" s="202"/>
    </row>
    <row r="136" spans="1:5">
      <c r="A136" s="222" t="str">
        <f t="shared" si="0"/>
        <v/>
      </c>
      <c r="B136" s="223"/>
      <c r="C136" s="139"/>
      <c r="D136" s="225"/>
      <c r="E136" s="202"/>
    </row>
    <row r="137" spans="1:5">
      <c r="A137" s="222" t="str">
        <f t="shared" si="0"/>
        <v/>
      </c>
      <c r="B137" s="223"/>
      <c r="C137" s="139"/>
      <c r="D137" s="225"/>
      <c r="E137" s="202"/>
    </row>
    <row r="138" spans="1:5">
      <c r="A138" s="222" t="str">
        <f t="shared" si="0"/>
        <v/>
      </c>
      <c r="B138" s="223"/>
      <c r="C138" s="139"/>
      <c r="D138" s="225"/>
      <c r="E138" s="202"/>
    </row>
    <row r="139" spans="1:5">
      <c r="A139" s="222" t="str">
        <f t="shared" si="0"/>
        <v/>
      </c>
      <c r="B139" s="223"/>
      <c r="C139" s="139"/>
      <c r="D139" s="225"/>
      <c r="E139" s="202"/>
    </row>
    <row r="140" spans="1:5">
      <c r="A140" s="222" t="str">
        <f t="shared" si="0"/>
        <v/>
      </c>
      <c r="B140" s="223"/>
      <c r="C140" s="139"/>
      <c r="D140" s="225"/>
      <c r="E140" s="202"/>
    </row>
    <row r="141" spans="1:5">
      <c r="A141" s="222" t="str">
        <f t="shared" si="0"/>
        <v/>
      </c>
      <c r="B141" s="223"/>
      <c r="C141" s="139"/>
      <c r="D141" s="225"/>
      <c r="E141" s="202"/>
    </row>
    <row r="142" spans="1:5">
      <c r="A142" s="222" t="str">
        <f t="shared" si="0"/>
        <v/>
      </c>
      <c r="B142" s="223"/>
      <c r="C142" s="139"/>
      <c r="D142" s="225"/>
      <c r="E142" s="202"/>
    </row>
    <row r="143" spans="1:5">
      <c r="A143" s="222" t="str">
        <f t="shared" si="0"/>
        <v/>
      </c>
      <c r="B143" s="223"/>
      <c r="C143" s="139"/>
      <c r="D143" s="225"/>
      <c r="E143" s="202"/>
    </row>
    <row r="144" spans="1:5">
      <c r="A144" s="222" t="str">
        <f t="shared" si="0"/>
        <v/>
      </c>
      <c r="B144" s="223"/>
      <c r="C144" s="139"/>
      <c r="D144" s="225"/>
      <c r="E144" s="202"/>
    </row>
    <row r="145" spans="1:5">
      <c r="A145" s="222" t="str">
        <f t="shared" si="0"/>
        <v/>
      </c>
      <c r="B145" s="223"/>
      <c r="C145" s="139"/>
      <c r="D145" s="225"/>
      <c r="E145" s="202"/>
    </row>
    <row r="146" spans="1:5">
      <c r="A146" s="222" t="str">
        <f t="shared" si="0"/>
        <v/>
      </c>
      <c r="B146" s="223"/>
      <c r="C146" s="139"/>
      <c r="D146" s="225"/>
      <c r="E146" s="202"/>
    </row>
    <row r="147" spans="1:5">
      <c r="A147" s="222" t="str">
        <f t="shared" si="0"/>
        <v/>
      </c>
      <c r="B147" s="223"/>
      <c r="C147" s="139"/>
      <c r="D147" s="225"/>
      <c r="E147" s="202"/>
    </row>
    <row r="148" spans="1:5">
      <c r="A148" s="222" t="str">
        <f t="shared" si="0"/>
        <v/>
      </c>
      <c r="B148" s="223"/>
      <c r="C148" s="139"/>
      <c r="D148" s="225"/>
      <c r="E148" s="202"/>
    </row>
    <row r="149" spans="1:5">
      <c r="A149" s="222" t="str">
        <f t="shared" si="0"/>
        <v/>
      </c>
      <c r="B149" s="223"/>
      <c r="C149" s="139"/>
      <c r="D149" s="225"/>
      <c r="E149" s="202"/>
    </row>
    <row r="150" spans="1:5">
      <c r="A150" s="222" t="str">
        <f t="shared" si="0"/>
        <v/>
      </c>
      <c r="B150" s="223"/>
      <c r="C150" s="139"/>
      <c r="D150" s="225"/>
      <c r="E150" s="202"/>
    </row>
    <row r="151" spans="1:5">
      <c r="A151" s="222" t="str">
        <f t="shared" si="0"/>
        <v/>
      </c>
      <c r="B151" s="223"/>
      <c r="C151" s="139"/>
      <c r="D151" s="225"/>
      <c r="E151" s="202"/>
    </row>
    <row r="152" spans="1:5">
      <c r="A152" s="222" t="str">
        <f t="shared" si="0"/>
        <v/>
      </c>
      <c r="B152" s="223"/>
      <c r="C152" s="139"/>
      <c r="D152" s="225"/>
      <c r="E152" s="202"/>
    </row>
    <row r="153" spans="1:5">
      <c r="A153" s="222" t="str">
        <f t="shared" si="0"/>
        <v/>
      </c>
      <c r="B153" s="223"/>
      <c r="C153" s="139"/>
      <c r="D153" s="225"/>
      <c r="E153" s="202"/>
    </row>
    <row r="154" spans="1:5">
      <c r="A154" s="222" t="str">
        <f t="shared" si="0"/>
        <v/>
      </c>
      <c r="B154" s="223"/>
      <c r="C154" s="139"/>
      <c r="D154" s="225"/>
      <c r="E154" s="202"/>
    </row>
    <row r="155" spans="1:5">
      <c r="A155" s="222" t="str">
        <f t="shared" si="0"/>
        <v/>
      </c>
      <c r="B155" s="223"/>
      <c r="C155" s="139"/>
      <c r="D155" s="225"/>
      <c r="E155" s="202"/>
    </row>
    <row r="156" spans="1:5">
      <c r="A156" s="222" t="str">
        <f t="shared" si="0"/>
        <v/>
      </c>
      <c r="B156" s="223"/>
      <c r="C156" s="139"/>
      <c r="D156" s="225"/>
      <c r="E156" s="202"/>
    </row>
    <row r="157" spans="1:5">
      <c r="A157" s="222" t="str">
        <f t="shared" si="0"/>
        <v/>
      </c>
      <c r="B157" s="223"/>
      <c r="C157" s="139"/>
      <c r="D157" s="225"/>
      <c r="E157" s="202"/>
    </row>
    <row r="158" spans="1:5">
      <c r="A158" s="222" t="str">
        <f t="shared" si="0"/>
        <v/>
      </c>
      <c r="B158" s="223"/>
      <c r="C158" s="139"/>
      <c r="D158" s="225"/>
      <c r="E158" s="202"/>
    </row>
    <row r="159" spans="1:5">
      <c r="A159" s="222" t="str">
        <f t="shared" si="0"/>
        <v/>
      </c>
      <c r="B159" s="223"/>
      <c r="C159" s="139"/>
      <c r="D159" s="225"/>
      <c r="E159" s="202"/>
    </row>
    <row r="160" spans="1:5">
      <c r="A160" s="222" t="str">
        <f t="shared" si="0"/>
        <v/>
      </c>
      <c r="B160" s="223"/>
      <c r="C160" s="139"/>
      <c r="D160" s="225"/>
      <c r="E160" s="202"/>
    </row>
    <row r="161" spans="1:5">
      <c r="A161" s="222" t="str">
        <f t="shared" si="0"/>
        <v/>
      </c>
      <c r="B161" s="223"/>
      <c r="C161" s="139"/>
      <c r="D161" s="225"/>
      <c r="E161" s="202"/>
    </row>
    <row r="162" spans="1:5">
      <c r="A162" s="222" t="str">
        <f t="shared" si="0"/>
        <v/>
      </c>
      <c r="B162" s="223"/>
      <c r="C162" s="139"/>
      <c r="D162" s="225"/>
      <c r="E162" s="202"/>
    </row>
    <row r="163" spans="1:5">
      <c r="A163" s="222" t="str">
        <f t="shared" si="0"/>
        <v/>
      </c>
      <c r="B163" s="223"/>
      <c r="C163" s="139"/>
      <c r="D163" s="225"/>
      <c r="E163" s="202"/>
    </row>
    <row r="164" spans="1:5">
      <c r="A164" s="222" t="str">
        <f t="shared" si="0"/>
        <v/>
      </c>
      <c r="B164" s="223"/>
      <c r="C164" s="139"/>
      <c r="D164" s="225"/>
      <c r="E164" s="202"/>
    </row>
    <row r="165" spans="1:5">
      <c r="A165" s="222" t="str">
        <f t="shared" si="0"/>
        <v/>
      </c>
      <c r="B165" s="223"/>
      <c r="C165" s="139"/>
      <c r="D165" s="225"/>
      <c r="E165" s="202"/>
    </row>
    <row r="166" spans="1:5">
      <c r="A166" s="222" t="str">
        <f t="shared" si="0"/>
        <v/>
      </c>
      <c r="B166" s="223"/>
      <c r="C166" s="139"/>
      <c r="D166" s="225"/>
      <c r="E166" s="202"/>
    </row>
    <row r="167" spans="1:5">
      <c r="A167" s="222" t="str">
        <f t="shared" si="0"/>
        <v/>
      </c>
      <c r="B167" s="223"/>
      <c r="C167" s="139"/>
      <c r="D167" s="225"/>
      <c r="E167" s="202"/>
    </row>
    <row r="168" spans="1:5">
      <c r="A168" s="222" t="str">
        <f t="shared" si="0"/>
        <v/>
      </c>
      <c r="B168" s="223"/>
      <c r="C168" s="139"/>
      <c r="D168" s="225"/>
      <c r="E168" s="202"/>
    </row>
    <row r="169" spans="1:5">
      <c r="A169" s="222" t="str">
        <f t="shared" si="0"/>
        <v/>
      </c>
      <c r="B169" s="223"/>
      <c r="C169" s="139"/>
      <c r="D169" s="225"/>
      <c r="E169" s="202"/>
    </row>
    <row r="170" spans="1:5">
      <c r="A170" s="222" t="str">
        <f t="shared" si="0"/>
        <v/>
      </c>
      <c r="B170" s="223"/>
      <c r="C170" s="139"/>
      <c r="D170" s="225"/>
      <c r="E170" s="202"/>
    </row>
    <row r="171" spans="1:5">
      <c r="A171" s="222" t="str">
        <f t="shared" si="0"/>
        <v/>
      </c>
      <c r="B171" s="223"/>
      <c r="C171" s="139"/>
      <c r="D171" s="225"/>
      <c r="E171" s="202"/>
    </row>
    <row r="172" spans="1:5">
      <c r="A172" s="222" t="str">
        <f t="shared" si="0"/>
        <v/>
      </c>
      <c r="B172" s="223"/>
      <c r="C172" s="139"/>
      <c r="D172" s="225"/>
      <c r="E172" s="202"/>
    </row>
    <row r="173" spans="1:5">
      <c r="A173" s="222" t="str">
        <f t="shared" si="0"/>
        <v/>
      </c>
      <c r="B173" s="223"/>
      <c r="C173" s="139"/>
      <c r="D173" s="225"/>
      <c r="E173" s="202"/>
    </row>
    <row r="174" spans="1:5">
      <c r="A174" s="222" t="str">
        <f t="shared" si="0"/>
        <v/>
      </c>
      <c r="B174" s="223"/>
      <c r="C174" s="139"/>
      <c r="D174" s="225"/>
      <c r="E174" s="202"/>
    </row>
    <row r="175" spans="1:5">
      <c r="A175" s="222" t="str">
        <f t="shared" si="0"/>
        <v/>
      </c>
      <c r="B175" s="223"/>
      <c r="C175" s="139"/>
      <c r="D175" s="225"/>
      <c r="E175" s="202"/>
    </row>
    <row r="176" spans="1:5">
      <c r="A176" s="222" t="str">
        <f t="shared" si="0"/>
        <v/>
      </c>
      <c r="B176" s="223"/>
      <c r="C176" s="139"/>
      <c r="D176" s="225"/>
      <c r="E176" s="202"/>
    </row>
    <row r="177" spans="1:5">
      <c r="A177" s="222" t="str">
        <f t="shared" si="0"/>
        <v/>
      </c>
      <c r="B177" s="223"/>
      <c r="C177" s="139"/>
      <c r="D177" s="225"/>
      <c r="E177" s="202"/>
    </row>
    <row r="178" spans="1:5">
      <c r="A178" s="222" t="str">
        <f t="shared" si="0"/>
        <v/>
      </c>
      <c r="B178" s="223"/>
      <c r="C178" s="139"/>
      <c r="D178" s="225"/>
      <c r="E178" s="202"/>
    </row>
    <row r="179" spans="1:5">
      <c r="A179" s="222" t="str">
        <f t="shared" si="0"/>
        <v/>
      </c>
      <c r="B179" s="223"/>
      <c r="C179" s="139"/>
      <c r="D179" s="225"/>
      <c r="E179" s="202"/>
    </row>
    <row r="180" spans="1:5">
      <c r="A180" s="222" t="str">
        <f t="shared" si="0"/>
        <v/>
      </c>
      <c r="B180" s="223"/>
      <c r="C180" s="139"/>
      <c r="D180" s="225"/>
      <c r="E180" s="202"/>
    </row>
    <row r="181" spans="1:5">
      <c r="A181" s="222" t="str">
        <f t="shared" si="0"/>
        <v/>
      </c>
      <c r="B181" s="223"/>
      <c r="C181" s="139"/>
      <c r="D181" s="225"/>
      <c r="E181" s="202"/>
    </row>
    <row r="182" spans="1:5">
      <c r="A182" s="222" t="str">
        <f t="shared" si="0"/>
        <v/>
      </c>
      <c r="B182" s="223"/>
      <c r="C182" s="139"/>
      <c r="D182" s="225"/>
      <c r="E182" s="202"/>
    </row>
    <row r="183" spans="1:5">
      <c r="A183" s="222" t="str">
        <f t="shared" si="0"/>
        <v/>
      </c>
      <c r="B183" s="223"/>
      <c r="C183" s="139"/>
      <c r="D183" s="225"/>
      <c r="E183" s="202"/>
    </row>
    <row r="184" spans="1:5">
      <c r="A184" s="222" t="str">
        <f t="shared" si="0"/>
        <v/>
      </c>
      <c r="B184" s="223"/>
      <c r="C184" s="139"/>
      <c r="D184" s="225"/>
      <c r="E184" s="202"/>
    </row>
    <row r="185" spans="1:5">
      <c r="A185" s="222" t="str">
        <f t="shared" si="0"/>
        <v/>
      </c>
      <c r="B185" s="223"/>
      <c r="C185" s="139"/>
      <c r="D185" s="225"/>
      <c r="E185" s="202"/>
    </row>
    <row r="186" spans="1:5">
      <c r="A186" s="222" t="str">
        <f t="shared" si="0"/>
        <v/>
      </c>
      <c r="B186" s="223"/>
      <c r="C186" s="139"/>
      <c r="D186" s="225"/>
      <c r="E186" s="202"/>
    </row>
    <row r="187" spans="1:5">
      <c r="A187" s="222" t="str">
        <f t="shared" si="0"/>
        <v/>
      </c>
      <c r="B187" s="223"/>
      <c r="C187" s="139"/>
      <c r="D187" s="225"/>
      <c r="E187" s="202"/>
    </row>
    <row r="188" spans="1:5">
      <c r="A188" s="222" t="str">
        <f t="shared" si="0"/>
        <v/>
      </c>
      <c r="B188" s="223"/>
      <c r="C188" s="139"/>
      <c r="D188" s="225"/>
      <c r="E188" s="202"/>
    </row>
    <row r="189" spans="1:5">
      <c r="A189" s="222" t="str">
        <f t="shared" si="0"/>
        <v/>
      </c>
      <c r="B189" s="223"/>
      <c r="C189" s="139"/>
      <c r="D189" s="225"/>
      <c r="E189" s="202"/>
    </row>
    <row r="190" spans="1:5">
      <c r="A190" s="222" t="str">
        <f t="shared" si="0"/>
        <v/>
      </c>
      <c r="B190" s="223"/>
      <c r="C190" s="139"/>
      <c r="D190" s="225"/>
      <c r="E190" s="202"/>
    </row>
    <row r="191" spans="1:5">
      <c r="A191" s="222" t="str">
        <f t="shared" si="0"/>
        <v/>
      </c>
      <c r="B191" s="223"/>
      <c r="C191" s="139"/>
      <c r="D191" s="225"/>
      <c r="E191" s="202"/>
    </row>
    <row r="192" spans="1:5">
      <c r="A192" s="222" t="str">
        <f t="shared" si="0"/>
        <v/>
      </c>
      <c r="B192" s="223"/>
      <c r="C192" s="139"/>
      <c r="D192" s="225"/>
      <c r="E192" s="202"/>
    </row>
    <row r="193" spans="1:5">
      <c r="A193" s="222" t="str">
        <f t="shared" si="0"/>
        <v/>
      </c>
      <c r="B193" s="223"/>
      <c r="C193" s="139"/>
      <c r="D193" s="225"/>
      <c r="E193" s="202"/>
    </row>
    <row r="194" spans="1:5">
      <c r="A194" s="222" t="str">
        <f t="shared" si="0"/>
        <v/>
      </c>
      <c r="B194" s="223"/>
      <c r="C194" s="139"/>
      <c r="D194" s="225"/>
      <c r="E194" s="202"/>
    </row>
    <row r="195" spans="1:5">
      <c r="A195" s="222" t="str">
        <f t="shared" si="0"/>
        <v/>
      </c>
      <c r="B195" s="223"/>
      <c r="C195" s="139"/>
      <c r="D195" s="225"/>
      <c r="E195" s="202"/>
    </row>
    <row r="196" spans="1:5">
      <c r="A196" s="222" t="str">
        <f t="shared" si="0"/>
        <v/>
      </c>
      <c r="B196" s="223"/>
      <c r="C196" s="139"/>
      <c r="D196" s="225"/>
      <c r="E196" s="202"/>
    </row>
    <row r="197" spans="1:5">
      <c r="A197" s="222" t="str">
        <f t="shared" si="0"/>
        <v/>
      </c>
      <c r="B197" s="223"/>
      <c r="C197" s="139"/>
      <c r="D197" s="225"/>
      <c r="E197" s="202"/>
    </row>
    <row r="198" spans="1:5">
      <c r="A198" s="222" t="str">
        <f t="shared" si="0"/>
        <v/>
      </c>
      <c r="B198" s="223"/>
      <c r="C198" s="139"/>
      <c r="D198" s="225"/>
      <c r="E198" s="202"/>
    </row>
    <row r="199" spans="1:5">
      <c r="A199" s="222" t="str">
        <f t="shared" si="0"/>
        <v/>
      </c>
      <c r="B199" s="223"/>
      <c r="C199" s="139"/>
      <c r="D199" s="225"/>
      <c r="E199" s="202"/>
    </row>
    <row r="200" spans="1:5">
      <c r="A200" s="222" t="str">
        <f t="shared" si="0"/>
        <v/>
      </c>
      <c r="B200" s="223"/>
      <c r="C200" s="139"/>
      <c r="D200" s="225"/>
      <c r="E200" s="202"/>
    </row>
    <row r="201" spans="1:5">
      <c r="A201" s="222" t="str">
        <f t="shared" si="0"/>
        <v/>
      </c>
      <c r="B201" s="223"/>
      <c r="C201" s="139"/>
      <c r="D201" s="225"/>
      <c r="E201" s="202"/>
    </row>
    <row r="202" spans="1:5">
      <c r="A202" s="222" t="str">
        <f t="shared" si="0"/>
        <v/>
      </c>
      <c r="B202" s="223"/>
      <c r="C202" s="139"/>
      <c r="D202" s="225"/>
      <c r="E202" s="202"/>
    </row>
    <row r="203" spans="1:5">
      <c r="A203" s="222" t="str">
        <f t="shared" si="0"/>
        <v/>
      </c>
      <c r="B203" s="223"/>
      <c r="C203" s="139"/>
      <c r="D203" s="225"/>
      <c r="E203" s="202"/>
    </row>
    <row r="204" spans="1:5">
      <c r="A204" s="222" t="str">
        <f t="shared" si="0"/>
        <v/>
      </c>
      <c r="B204" s="223"/>
      <c r="C204" s="139"/>
      <c r="D204" s="225"/>
      <c r="E204" s="202"/>
    </row>
    <row r="205" spans="1:5">
      <c r="A205" s="222" t="str">
        <f t="shared" si="0"/>
        <v/>
      </c>
      <c r="B205" s="223"/>
      <c r="C205" s="139"/>
      <c r="D205" s="225"/>
      <c r="E205" s="202"/>
    </row>
    <row r="206" spans="1:5">
      <c r="A206" s="222" t="str">
        <f t="shared" si="0"/>
        <v/>
      </c>
      <c r="B206" s="223"/>
      <c r="C206" s="139"/>
      <c r="D206" s="225"/>
      <c r="E206" s="202"/>
    </row>
    <row r="207" spans="1:5">
      <c r="A207" s="222" t="str">
        <f t="shared" si="0"/>
        <v/>
      </c>
      <c r="B207" s="223"/>
      <c r="C207" s="139"/>
      <c r="D207" s="225"/>
      <c r="E207" s="202"/>
    </row>
    <row r="208" spans="1:5">
      <c r="A208" s="222" t="str">
        <f t="shared" si="0"/>
        <v/>
      </c>
      <c r="B208" s="223"/>
      <c r="C208" s="139"/>
      <c r="D208" s="225"/>
      <c r="E208" s="202"/>
    </row>
    <row r="209" spans="1:5">
      <c r="A209" s="222" t="str">
        <f t="shared" si="0"/>
        <v/>
      </c>
      <c r="B209" s="223"/>
      <c r="C209" s="139"/>
      <c r="D209" s="225"/>
      <c r="E209" s="202"/>
    </row>
    <row r="210" spans="1:5">
      <c r="A210" s="222" t="str">
        <f t="shared" si="0"/>
        <v/>
      </c>
      <c r="B210" s="223"/>
      <c r="C210" s="139"/>
      <c r="D210" s="225"/>
      <c r="E210" s="202"/>
    </row>
    <row r="211" spans="1:5">
      <c r="A211" s="222" t="str">
        <f t="shared" si="0"/>
        <v/>
      </c>
      <c r="B211" s="223"/>
      <c r="C211" s="139"/>
      <c r="D211" s="225"/>
      <c r="E211" s="202"/>
    </row>
    <row r="212" spans="1:5">
      <c r="A212" s="222" t="str">
        <f t="shared" si="0"/>
        <v/>
      </c>
      <c r="B212" s="223"/>
      <c r="C212" s="139"/>
      <c r="D212" s="225"/>
      <c r="E212" s="202"/>
    </row>
    <row r="213" spans="1:5">
      <c r="A213" s="222" t="str">
        <f t="shared" si="0"/>
        <v/>
      </c>
      <c r="B213" s="223"/>
      <c r="C213" s="139"/>
      <c r="D213" s="225"/>
      <c r="E213" s="202"/>
    </row>
    <row r="214" spans="1:5">
      <c r="A214" s="222" t="str">
        <f t="shared" si="0"/>
        <v/>
      </c>
      <c r="B214" s="223"/>
      <c r="C214" s="139"/>
      <c r="D214" s="225"/>
      <c r="E214" s="202"/>
    </row>
    <row r="215" spans="1:5">
      <c r="A215" s="222" t="str">
        <f t="shared" si="0"/>
        <v/>
      </c>
      <c r="B215" s="223"/>
      <c r="C215" s="139"/>
      <c r="D215" s="225"/>
      <c r="E215" s="202"/>
    </row>
    <row r="216" spans="1:5">
      <c r="A216" s="222" t="str">
        <f t="shared" si="0"/>
        <v/>
      </c>
      <c r="B216" s="223"/>
      <c r="C216" s="139"/>
      <c r="D216" s="225"/>
      <c r="E216" s="202"/>
    </row>
    <row r="217" spans="1:5">
      <c r="A217" s="222" t="str">
        <f t="shared" si="0"/>
        <v/>
      </c>
      <c r="B217" s="223"/>
      <c r="C217" s="139"/>
      <c r="D217" s="225"/>
      <c r="E217" s="202"/>
    </row>
    <row r="218" spans="1:5">
      <c r="A218" s="222" t="str">
        <f t="shared" si="0"/>
        <v/>
      </c>
      <c r="B218" s="223"/>
      <c r="C218" s="139"/>
      <c r="D218" s="225"/>
      <c r="E218" s="202"/>
    </row>
    <row r="219" spans="1:5">
      <c r="A219" s="222" t="str">
        <f t="shared" si="0"/>
        <v/>
      </c>
      <c r="B219" s="223"/>
      <c r="C219" s="139"/>
      <c r="D219" s="225"/>
      <c r="E219" s="202"/>
    </row>
    <row r="220" spans="1:5">
      <c r="A220" s="222" t="str">
        <f t="shared" si="0"/>
        <v/>
      </c>
      <c r="B220" s="223"/>
      <c r="C220" s="139"/>
      <c r="D220" s="225"/>
      <c r="E220" s="202"/>
    </row>
    <row r="221" spans="1:5">
      <c r="A221" s="222" t="str">
        <f t="shared" si="0"/>
        <v/>
      </c>
      <c r="B221" s="223"/>
      <c r="C221" s="139"/>
      <c r="D221" s="225"/>
      <c r="E221" s="202"/>
    </row>
    <row r="222" spans="1:5">
      <c r="A222" s="222" t="str">
        <f t="shared" si="0"/>
        <v/>
      </c>
      <c r="B222" s="223"/>
      <c r="C222" s="139"/>
      <c r="D222" s="225"/>
      <c r="E222" s="202"/>
    </row>
    <row r="223" spans="1:5">
      <c r="A223" s="222" t="str">
        <f t="shared" si="0"/>
        <v/>
      </c>
      <c r="B223" s="223"/>
      <c r="C223" s="139"/>
      <c r="D223" s="225"/>
      <c r="E223" s="202"/>
    </row>
    <row r="224" spans="1:5">
      <c r="A224" s="222" t="str">
        <f t="shared" si="0"/>
        <v/>
      </c>
      <c r="B224" s="223"/>
      <c r="C224" s="139"/>
      <c r="D224" s="225"/>
      <c r="E224" s="202"/>
    </row>
    <row r="225" spans="1:5">
      <c r="A225" s="222" t="str">
        <f t="shared" si="0"/>
        <v/>
      </c>
      <c r="B225" s="223"/>
      <c r="C225" s="139"/>
      <c r="D225" s="225"/>
      <c r="E225" s="202"/>
    </row>
    <row r="226" spans="1:5">
      <c r="A226" s="222" t="str">
        <f t="shared" si="0"/>
        <v/>
      </c>
      <c r="B226" s="223"/>
      <c r="C226" s="139"/>
      <c r="D226" s="225"/>
      <c r="E226" s="202"/>
    </row>
    <row r="227" spans="1:5">
      <c r="A227" s="222" t="str">
        <f t="shared" si="0"/>
        <v/>
      </c>
      <c r="B227" s="223"/>
      <c r="C227" s="139"/>
      <c r="D227" s="225"/>
      <c r="E227" s="202"/>
    </row>
    <row r="228" spans="1:5">
      <c r="A228" s="222" t="str">
        <f t="shared" si="0"/>
        <v/>
      </c>
      <c r="B228" s="223"/>
      <c r="C228" s="139"/>
      <c r="D228" s="225"/>
      <c r="E228" s="202"/>
    </row>
    <row r="229" spans="1:5">
      <c r="A229" s="222" t="str">
        <f t="shared" si="0"/>
        <v/>
      </c>
      <c r="B229" s="223"/>
      <c r="C229" s="139"/>
      <c r="D229" s="225"/>
      <c r="E229" s="202"/>
    </row>
    <row r="230" spans="1:5">
      <c r="A230" s="222" t="str">
        <f t="shared" si="0"/>
        <v/>
      </c>
      <c r="B230" s="223"/>
      <c r="C230" s="139"/>
      <c r="D230" s="225"/>
      <c r="E230" s="202"/>
    </row>
    <row r="231" spans="1:5">
      <c r="A231" s="222" t="str">
        <f t="shared" si="0"/>
        <v/>
      </c>
      <c r="B231" s="223"/>
      <c r="C231" s="139"/>
      <c r="D231" s="225"/>
      <c r="E231" s="202"/>
    </row>
    <row r="232" spans="1:5">
      <c r="A232" s="222" t="str">
        <f t="shared" si="0"/>
        <v/>
      </c>
      <c r="B232" s="223"/>
      <c r="C232" s="139"/>
      <c r="D232" s="225"/>
      <c r="E232" s="202"/>
    </row>
    <row r="233" spans="1:5">
      <c r="A233" s="222" t="str">
        <f t="shared" si="0"/>
        <v/>
      </c>
      <c r="B233" s="223"/>
      <c r="C233" s="139"/>
      <c r="D233" s="225"/>
      <c r="E233" s="202"/>
    </row>
    <row r="234" spans="1:5">
      <c r="A234" s="222" t="str">
        <f t="shared" si="0"/>
        <v/>
      </c>
      <c r="B234" s="223"/>
      <c r="C234" s="139"/>
      <c r="D234" s="225"/>
      <c r="E234" s="202"/>
    </row>
    <row r="235" spans="1:5">
      <c r="A235" s="222" t="str">
        <f t="shared" si="0"/>
        <v/>
      </c>
      <c r="B235" s="223"/>
      <c r="C235" s="139"/>
      <c r="D235" s="225"/>
      <c r="E235" s="202"/>
    </row>
    <row r="236" spans="1:5">
      <c r="A236" s="222" t="str">
        <f t="shared" si="0"/>
        <v/>
      </c>
      <c r="B236" s="223"/>
      <c r="C236" s="139"/>
      <c r="D236" s="225"/>
      <c r="E236" s="202"/>
    </row>
    <row r="237" spans="1:5">
      <c r="A237" s="222" t="str">
        <f t="shared" si="0"/>
        <v/>
      </c>
      <c r="B237" s="223"/>
      <c r="C237" s="139"/>
      <c r="D237" s="225"/>
      <c r="E237" s="202"/>
    </row>
    <row r="238" spans="1:5">
      <c r="A238" s="222" t="str">
        <f t="shared" si="0"/>
        <v/>
      </c>
      <c r="B238" s="223"/>
      <c r="C238" s="139"/>
      <c r="D238" s="225"/>
      <c r="E238" s="202"/>
    </row>
    <row r="239" spans="1:5">
      <c r="A239" s="222" t="str">
        <f t="shared" si="0"/>
        <v/>
      </c>
      <c r="B239" s="223"/>
      <c r="C239" s="139"/>
      <c r="D239" s="225"/>
      <c r="E239" s="202"/>
    </row>
    <row r="240" spans="1:5">
      <c r="A240" s="222" t="str">
        <f t="shared" si="0"/>
        <v/>
      </c>
      <c r="B240" s="223"/>
      <c r="C240" s="139"/>
      <c r="D240" s="225"/>
      <c r="E240" s="202"/>
    </row>
    <row r="241" spans="1:5">
      <c r="A241" s="222" t="str">
        <f t="shared" si="0"/>
        <v/>
      </c>
      <c r="B241" s="223"/>
      <c r="C241" s="139"/>
      <c r="D241" s="225"/>
      <c r="E241" s="202"/>
    </row>
    <row r="242" spans="1:5">
      <c r="A242" s="222" t="str">
        <f t="shared" si="0"/>
        <v/>
      </c>
      <c r="B242" s="223"/>
      <c r="C242" s="139"/>
      <c r="D242" s="225"/>
      <c r="E242" s="202"/>
    </row>
    <row r="243" spans="1:5">
      <c r="A243" s="222" t="str">
        <f t="shared" si="0"/>
        <v/>
      </c>
      <c r="B243" s="223"/>
      <c r="C243" s="139"/>
      <c r="D243" s="225"/>
      <c r="E243" s="202"/>
    </row>
    <row r="244" spans="1:5">
      <c r="A244" s="222" t="str">
        <f t="shared" si="0"/>
        <v/>
      </c>
      <c r="B244" s="223"/>
      <c r="C244" s="139"/>
      <c r="D244" s="225"/>
      <c r="E244" s="202"/>
    </row>
    <row r="245" spans="1:5">
      <c r="A245" s="222" t="str">
        <f t="shared" si="0"/>
        <v/>
      </c>
      <c r="B245" s="223"/>
      <c r="C245" s="139"/>
      <c r="D245" s="225"/>
      <c r="E245" s="202"/>
    </row>
    <row r="246" spans="1:5">
      <c r="A246" s="222" t="str">
        <f t="shared" si="0"/>
        <v/>
      </c>
      <c r="B246" s="223"/>
      <c r="C246" s="139"/>
      <c r="D246" s="225"/>
      <c r="E246" s="202"/>
    </row>
    <row r="247" spans="1:5">
      <c r="A247" s="222" t="str">
        <f t="shared" si="0"/>
        <v/>
      </c>
      <c r="B247" s="223"/>
      <c r="C247" s="139"/>
      <c r="D247" s="225"/>
      <c r="E247" s="202"/>
    </row>
    <row r="248" spans="1:5">
      <c r="A248" s="222" t="str">
        <f t="shared" si="0"/>
        <v/>
      </c>
      <c r="B248" s="223"/>
      <c r="C248" s="139"/>
      <c r="D248" s="225"/>
      <c r="E248" s="202"/>
    </row>
    <row r="249" spans="1:5">
      <c r="A249" s="222" t="str">
        <f t="shared" si="0"/>
        <v/>
      </c>
      <c r="B249" s="223"/>
      <c r="C249" s="139"/>
      <c r="D249" s="225"/>
      <c r="E249" s="202"/>
    </row>
    <row r="250" spans="1:5">
      <c r="A250" s="222" t="str">
        <f t="shared" si="0"/>
        <v/>
      </c>
      <c r="B250" s="223"/>
      <c r="C250" s="139"/>
      <c r="D250" s="225"/>
      <c r="E250" s="202"/>
    </row>
    <row r="251" spans="1:5">
      <c r="A251" s="222" t="str">
        <f t="shared" si="0"/>
        <v/>
      </c>
      <c r="B251" s="223"/>
      <c r="C251" s="139"/>
      <c r="D251" s="225"/>
      <c r="E251" s="202"/>
    </row>
    <row r="252" spans="1:5">
      <c r="A252" s="222" t="str">
        <f t="shared" si="0"/>
        <v/>
      </c>
      <c r="B252" s="223"/>
      <c r="C252" s="139"/>
      <c r="D252" s="225"/>
      <c r="E252" s="202"/>
    </row>
    <row r="253" spans="1:5">
      <c r="A253" s="222" t="str">
        <f t="shared" si="0"/>
        <v/>
      </c>
      <c r="B253" s="223"/>
      <c r="C253" s="139"/>
      <c r="D253" s="225"/>
      <c r="E253" s="202"/>
    </row>
    <row r="254" spans="1:5">
      <c r="A254" s="222" t="str">
        <f t="shared" si="0"/>
        <v/>
      </c>
      <c r="B254" s="223"/>
      <c r="C254" s="139"/>
      <c r="D254" s="225"/>
      <c r="E254" s="202"/>
    </row>
    <row r="255" spans="1:5">
      <c r="A255" s="222" t="str">
        <f t="shared" si="0"/>
        <v/>
      </c>
      <c r="B255" s="223"/>
      <c r="C255" s="139"/>
      <c r="D255" s="225"/>
      <c r="E255" s="202"/>
    </row>
    <row r="256" spans="1:5">
      <c r="A256" s="222" t="str">
        <f t="shared" si="0"/>
        <v/>
      </c>
      <c r="B256" s="223"/>
      <c r="C256" s="139"/>
      <c r="D256" s="225"/>
      <c r="E256" s="202"/>
    </row>
    <row r="257" spans="1:5">
      <c r="A257" s="222" t="str">
        <f t="shared" si="0"/>
        <v/>
      </c>
      <c r="B257" s="223"/>
      <c r="C257" s="139"/>
      <c r="D257" s="225"/>
      <c r="E257" s="202"/>
    </row>
    <row r="258" spans="1:5">
      <c r="A258" s="222" t="str">
        <f t="shared" si="0"/>
        <v/>
      </c>
      <c r="B258" s="223"/>
      <c r="C258" s="139"/>
      <c r="D258" s="225"/>
      <c r="E258" s="202"/>
    </row>
    <row r="259" spans="1:5">
      <c r="A259" s="222" t="str">
        <f t="shared" si="0"/>
        <v/>
      </c>
      <c r="B259" s="223"/>
      <c r="C259" s="139"/>
      <c r="D259" s="225"/>
      <c r="E259" s="202"/>
    </row>
    <row r="260" spans="1:5">
      <c r="A260" s="222" t="str">
        <f t="shared" si="0"/>
        <v/>
      </c>
      <c r="B260" s="223"/>
      <c r="C260" s="139"/>
      <c r="D260" s="225"/>
      <c r="E260" s="202"/>
    </row>
    <row r="261" spans="1:5">
      <c r="A261" s="222" t="str">
        <f t="shared" si="0"/>
        <v/>
      </c>
      <c r="B261" s="223"/>
      <c r="C261" s="139"/>
      <c r="D261" s="225"/>
      <c r="E261" s="202"/>
    </row>
    <row r="262" spans="1:5">
      <c r="A262" s="222" t="str">
        <f t="shared" si="0"/>
        <v/>
      </c>
      <c r="B262" s="223"/>
      <c r="C262" s="139"/>
      <c r="D262" s="225"/>
      <c r="E262" s="202"/>
    </row>
    <row r="263" spans="1:5">
      <c r="A263" s="222" t="str">
        <f t="shared" si="0"/>
        <v/>
      </c>
      <c r="B263" s="223"/>
      <c r="C263" s="139"/>
      <c r="D263" s="225"/>
      <c r="E263" s="202"/>
    </row>
    <row r="264" spans="1:5">
      <c r="A264" s="222" t="str">
        <f t="shared" ref="A264:A518" si="1">IF(B264="","", ROW()-1)</f>
        <v/>
      </c>
      <c r="B264" s="223"/>
      <c r="C264" s="139"/>
      <c r="D264" s="225"/>
      <c r="E264" s="202"/>
    </row>
    <row r="265" spans="1:5">
      <c r="A265" s="222" t="str">
        <f t="shared" si="1"/>
        <v/>
      </c>
      <c r="B265" s="223"/>
      <c r="C265" s="139"/>
      <c r="D265" s="225"/>
      <c r="E265" s="202"/>
    </row>
    <row r="266" spans="1:5">
      <c r="A266" s="222" t="str">
        <f t="shared" si="1"/>
        <v/>
      </c>
      <c r="B266" s="223"/>
      <c r="C266" s="139"/>
      <c r="D266" s="225"/>
      <c r="E266" s="202"/>
    </row>
    <row r="267" spans="1:5">
      <c r="A267" s="222" t="str">
        <f t="shared" si="1"/>
        <v/>
      </c>
      <c r="B267" s="223"/>
      <c r="C267" s="139"/>
      <c r="D267" s="225"/>
      <c r="E267" s="202"/>
    </row>
    <row r="268" spans="1:5">
      <c r="A268" s="222" t="str">
        <f t="shared" si="1"/>
        <v/>
      </c>
      <c r="B268" s="223"/>
      <c r="C268" s="139"/>
      <c r="D268" s="225"/>
      <c r="E268" s="202"/>
    </row>
    <row r="269" spans="1:5">
      <c r="A269" s="222" t="str">
        <f t="shared" si="1"/>
        <v/>
      </c>
      <c r="B269" s="223"/>
      <c r="C269" s="139"/>
      <c r="D269" s="225"/>
      <c r="E269" s="202"/>
    </row>
    <row r="270" spans="1:5">
      <c r="A270" s="222" t="str">
        <f t="shared" si="1"/>
        <v/>
      </c>
      <c r="B270" s="223"/>
      <c r="C270" s="139"/>
      <c r="D270" s="225"/>
      <c r="E270" s="202"/>
    </row>
    <row r="271" spans="1:5">
      <c r="A271" s="222" t="str">
        <f t="shared" si="1"/>
        <v/>
      </c>
      <c r="B271" s="223"/>
      <c r="C271" s="139"/>
      <c r="D271" s="225"/>
      <c r="E271" s="202"/>
    </row>
    <row r="272" spans="1:5">
      <c r="A272" s="222" t="str">
        <f t="shared" si="1"/>
        <v/>
      </c>
      <c r="B272" s="223"/>
      <c r="C272" s="139"/>
      <c r="D272" s="225"/>
      <c r="E272" s="202"/>
    </row>
    <row r="273" spans="1:5">
      <c r="A273" s="222" t="str">
        <f t="shared" si="1"/>
        <v/>
      </c>
      <c r="B273" s="223"/>
      <c r="C273" s="139"/>
      <c r="D273" s="225"/>
      <c r="E273" s="202"/>
    </row>
    <row r="274" spans="1:5">
      <c r="A274" s="222" t="str">
        <f t="shared" si="1"/>
        <v/>
      </c>
      <c r="B274" s="223"/>
      <c r="C274" s="139"/>
      <c r="D274" s="225"/>
      <c r="E274" s="202"/>
    </row>
    <row r="275" spans="1:5">
      <c r="A275" s="222" t="str">
        <f t="shared" si="1"/>
        <v/>
      </c>
      <c r="B275" s="223"/>
      <c r="C275" s="139"/>
      <c r="D275" s="225"/>
      <c r="E275" s="202"/>
    </row>
    <row r="276" spans="1:5">
      <c r="A276" s="222" t="str">
        <f t="shared" si="1"/>
        <v/>
      </c>
      <c r="B276" s="223"/>
      <c r="C276" s="139"/>
      <c r="D276" s="225"/>
      <c r="E276" s="202"/>
    </row>
    <row r="277" spans="1:5">
      <c r="A277" s="222" t="str">
        <f t="shared" si="1"/>
        <v/>
      </c>
      <c r="B277" s="223"/>
      <c r="C277" s="139"/>
      <c r="D277" s="225"/>
      <c r="E277" s="202"/>
    </row>
    <row r="278" spans="1:5">
      <c r="A278" s="222" t="str">
        <f t="shared" si="1"/>
        <v/>
      </c>
      <c r="B278" s="223"/>
      <c r="C278" s="139"/>
      <c r="D278" s="225"/>
      <c r="E278" s="202"/>
    </row>
    <row r="279" spans="1:5">
      <c r="A279" s="222" t="str">
        <f t="shared" si="1"/>
        <v/>
      </c>
      <c r="B279" s="223"/>
      <c r="C279" s="139"/>
      <c r="D279" s="225"/>
      <c r="E279" s="202"/>
    </row>
    <row r="280" spans="1:5">
      <c r="A280" s="222" t="str">
        <f t="shared" si="1"/>
        <v/>
      </c>
      <c r="B280" s="223"/>
      <c r="C280" s="139"/>
      <c r="D280" s="225"/>
      <c r="E280" s="202"/>
    </row>
    <row r="281" spans="1:5">
      <c r="A281" s="222" t="str">
        <f t="shared" si="1"/>
        <v/>
      </c>
      <c r="B281" s="223"/>
      <c r="C281" s="139"/>
      <c r="D281" s="225"/>
      <c r="E281" s="202"/>
    </row>
    <row r="282" spans="1:5">
      <c r="A282" s="222" t="str">
        <f t="shared" si="1"/>
        <v/>
      </c>
      <c r="B282" s="223"/>
      <c r="C282" s="139"/>
      <c r="D282" s="225"/>
      <c r="E282" s="202"/>
    </row>
    <row r="283" spans="1:5">
      <c r="A283" s="222" t="str">
        <f t="shared" si="1"/>
        <v/>
      </c>
      <c r="B283" s="223"/>
      <c r="C283" s="139"/>
      <c r="D283" s="225"/>
      <c r="E283" s="202"/>
    </row>
    <row r="284" spans="1:5">
      <c r="A284" s="222" t="str">
        <f t="shared" si="1"/>
        <v/>
      </c>
      <c r="B284" s="223"/>
      <c r="C284" s="139"/>
      <c r="D284" s="225"/>
      <c r="E284" s="202"/>
    </row>
    <row r="285" spans="1:5">
      <c r="A285" s="222" t="str">
        <f t="shared" si="1"/>
        <v/>
      </c>
      <c r="B285" s="223"/>
      <c r="C285" s="139"/>
      <c r="D285" s="225"/>
      <c r="E285" s="202"/>
    </row>
    <row r="286" spans="1:5">
      <c r="A286" s="222" t="str">
        <f t="shared" si="1"/>
        <v/>
      </c>
      <c r="B286" s="223"/>
      <c r="C286" s="139"/>
      <c r="D286" s="225"/>
      <c r="E286" s="202"/>
    </row>
    <row r="287" spans="1:5">
      <c r="A287" s="222" t="str">
        <f t="shared" si="1"/>
        <v/>
      </c>
      <c r="B287" s="223"/>
      <c r="C287" s="139"/>
      <c r="D287" s="225"/>
      <c r="E287" s="202"/>
    </row>
    <row r="288" spans="1:5">
      <c r="A288" s="222" t="str">
        <f t="shared" si="1"/>
        <v/>
      </c>
      <c r="B288" s="223"/>
      <c r="C288" s="139"/>
      <c r="D288" s="225"/>
      <c r="E288" s="202"/>
    </row>
    <row r="289" spans="1:5">
      <c r="A289" s="222" t="str">
        <f t="shared" si="1"/>
        <v/>
      </c>
      <c r="B289" s="223"/>
      <c r="C289" s="139"/>
      <c r="D289" s="225"/>
      <c r="E289" s="202"/>
    </row>
    <row r="290" spans="1:5">
      <c r="A290" s="222" t="str">
        <f t="shared" si="1"/>
        <v/>
      </c>
      <c r="B290" s="223"/>
      <c r="C290" s="139"/>
      <c r="D290" s="225"/>
      <c r="E290" s="202"/>
    </row>
    <row r="291" spans="1:5">
      <c r="A291" s="222" t="str">
        <f t="shared" si="1"/>
        <v/>
      </c>
      <c r="B291" s="223"/>
      <c r="C291" s="139"/>
      <c r="D291" s="225"/>
      <c r="E291" s="202"/>
    </row>
    <row r="292" spans="1:5">
      <c r="A292" s="222" t="str">
        <f t="shared" si="1"/>
        <v/>
      </c>
      <c r="B292" s="223"/>
      <c r="C292" s="139"/>
      <c r="D292" s="225"/>
      <c r="E292" s="202"/>
    </row>
    <row r="293" spans="1:5">
      <c r="A293" s="222" t="str">
        <f t="shared" si="1"/>
        <v/>
      </c>
      <c r="B293" s="223"/>
      <c r="C293" s="139"/>
      <c r="D293" s="225"/>
      <c r="E293" s="202"/>
    </row>
    <row r="294" spans="1:5">
      <c r="A294" s="222" t="str">
        <f t="shared" si="1"/>
        <v/>
      </c>
      <c r="B294" s="223"/>
      <c r="C294" s="139"/>
      <c r="D294" s="225"/>
      <c r="E294" s="202"/>
    </row>
    <row r="295" spans="1:5">
      <c r="A295" s="222" t="str">
        <f t="shared" si="1"/>
        <v/>
      </c>
      <c r="B295" s="223"/>
      <c r="C295" s="139"/>
      <c r="D295" s="225"/>
      <c r="E295" s="202"/>
    </row>
    <row r="296" spans="1:5">
      <c r="A296" s="222" t="str">
        <f t="shared" si="1"/>
        <v/>
      </c>
      <c r="B296" s="223"/>
      <c r="C296" s="139"/>
      <c r="D296" s="225"/>
      <c r="E296" s="202"/>
    </row>
    <row r="297" spans="1:5">
      <c r="A297" s="222" t="str">
        <f t="shared" si="1"/>
        <v/>
      </c>
      <c r="B297" s="223"/>
      <c r="C297" s="139"/>
      <c r="D297" s="225"/>
      <c r="E297" s="202"/>
    </row>
    <row r="298" spans="1:5">
      <c r="A298" s="222" t="str">
        <f t="shared" si="1"/>
        <v/>
      </c>
      <c r="B298" s="223"/>
      <c r="C298" s="139"/>
      <c r="D298" s="225"/>
      <c r="E298" s="202"/>
    </row>
    <row r="299" spans="1:5">
      <c r="A299" s="222" t="str">
        <f t="shared" si="1"/>
        <v/>
      </c>
      <c r="B299" s="223"/>
      <c r="C299" s="139"/>
      <c r="D299" s="225"/>
      <c r="E299" s="202"/>
    </row>
    <row r="300" spans="1:5">
      <c r="A300" s="222" t="str">
        <f t="shared" si="1"/>
        <v/>
      </c>
      <c r="B300" s="223"/>
      <c r="C300" s="139"/>
      <c r="D300" s="225"/>
      <c r="E300" s="202"/>
    </row>
    <row r="301" spans="1:5">
      <c r="A301" s="222" t="str">
        <f t="shared" si="1"/>
        <v/>
      </c>
      <c r="B301" s="223"/>
      <c r="C301" s="139"/>
      <c r="D301" s="225"/>
      <c r="E301" s="202"/>
    </row>
    <row r="302" spans="1:5">
      <c r="A302" s="222" t="str">
        <f t="shared" si="1"/>
        <v/>
      </c>
      <c r="B302" s="223"/>
      <c r="C302" s="139"/>
      <c r="D302" s="225"/>
      <c r="E302" s="202"/>
    </row>
    <row r="303" spans="1:5">
      <c r="A303" s="222" t="str">
        <f t="shared" si="1"/>
        <v/>
      </c>
      <c r="B303" s="223"/>
      <c r="C303" s="139"/>
      <c r="D303" s="225"/>
      <c r="E303" s="202"/>
    </row>
    <row r="304" spans="1:5">
      <c r="A304" s="222" t="str">
        <f t="shared" si="1"/>
        <v/>
      </c>
      <c r="B304" s="223"/>
      <c r="C304" s="139"/>
      <c r="D304" s="225"/>
      <c r="E304" s="202"/>
    </row>
    <row r="305" spans="1:5">
      <c r="A305" s="222" t="str">
        <f t="shared" si="1"/>
        <v/>
      </c>
      <c r="B305" s="223"/>
      <c r="C305" s="139"/>
      <c r="D305" s="225"/>
      <c r="E305" s="202"/>
    </row>
    <row r="306" spans="1:5">
      <c r="A306" s="222" t="str">
        <f t="shared" si="1"/>
        <v/>
      </c>
      <c r="B306" s="223"/>
      <c r="C306" s="139"/>
      <c r="D306" s="225"/>
      <c r="E306" s="202"/>
    </row>
    <row r="307" spans="1:5">
      <c r="A307" s="222" t="str">
        <f t="shared" si="1"/>
        <v/>
      </c>
      <c r="B307" s="223"/>
      <c r="C307" s="139"/>
      <c r="D307" s="225"/>
      <c r="E307" s="202"/>
    </row>
    <row r="308" spans="1:5">
      <c r="A308" s="222" t="str">
        <f t="shared" si="1"/>
        <v/>
      </c>
      <c r="B308" s="223"/>
      <c r="C308" s="139"/>
      <c r="D308" s="225"/>
      <c r="E308" s="202"/>
    </row>
    <row r="309" spans="1:5">
      <c r="A309" s="222" t="str">
        <f t="shared" si="1"/>
        <v/>
      </c>
      <c r="B309" s="223"/>
      <c r="C309" s="139"/>
      <c r="D309" s="225"/>
      <c r="E309" s="202"/>
    </row>
    <row r="310" spans="1:5">
      <c r="A310" s="222" t="str">
        <f t="shared" si="1"/>
        <v/>
      </c>
      <c r="B310" s="223"/>
      <c r="C310" s="139"/>
      <c r="D310" s="225"/>
      <c r="E310" s="202"/>
    </row>
    <row r="311" spans="1:5">
      <c r="A311" s="222" t="str">
        <f t="shared" si="1"/>
        <v/>
      </c>
      <c r="B311" s="223"/>
      <c r="C311" s="139"/>
      <c r="D311" s="225"/>
      <c r="E311" s="202"/>
    </row>
    <row r="312" spans="1:5">
      <c r="A312" s="222" t="str">
        <f t="shared" si="1"/>
        <v/>
      </c>
      <c r="B312" s="223"/>
      <c r="C312" s="139"/>
      <c r="D312" s="225"/>
      <c r="E312" s="202"/>
    </row>
    <row r="313" spans="1:5">
      <c r="A313" s="222" t="str">
        <f t="shared" si="1"/>
        <v/>
      </c>
      <c r="B313" s="223"/>
      <c r="C313" s="139"/>
      <c r="D313" s="225"/>
      <c r="E313" s="202"/>
    </row>
    <row r="314" spans="1:5">
      <c r="A314" s="222" t="str">
        <f t="shared" si="1"/>
        <v/>
      </c>
      <c r="B314" s="223"/>
      <c r="C314" s="139"/>
      <c r="D314" s="225"/>
      <c r="E314" s="202"/>
    </row>
    <row r="315" spans="1:5">
      <c r="A315" s="222" t="str">
        <f t="shared" si="1"/>
        <v/>
      </c>
      <c r="B315" s="223"/>
      <c r="C315" s="139"/>
      <c r="D315" s="225"/>
      <c r="E315" s="202"/>
    </row>
    <row r="316" spans="1:5">
      <c r="A316" s="222" t="str">
        <f t="shared" si="1"/>
        <v/>
      </c>
      <c r="B316" s="223"/>
      <c r="C316" s="139"/>
      <c r="D316" s="225"/>
      <c r="E316" s="202"/>
    </row>
    <row r="317" spans="1:5">
      <c r="A317" s="222" t="str">
        <f t="shared" si="1"/>
        <v/>
      </c>
      <c r="B317" s="223"/>
      <c r="C317" s="139"/>
      <c r="D317" s="225"/>
      <c r="E317" s="202"/>
    </row>
    <row r="318" spans="1:5">
      <c r="A318" s="222" t="str">
        <f t="shared" si="1"/>
        <v/>
      </c>
      <c r="B318" s="223"/>
      <c r="C318" s="139"/>
      <c r="D318" s="225"/>
      <c r="E318" s="202"/>
    </row>
    <row r="319" spans="1:5">
      <c r="A319" s="222" t="str">
        <f t="shared" si="1"/>
        <v/>
      </c>
      <c r="B319" s="223"/>
      <c r="C319" s="139"/>
      <c r="D319" s="225"/>
      <c r="E319" s="202"/>
    </row>
    <row r="320" spans="1:5">
      <c r="A320" s="222" t="str">
        <f t="shared" si="1"/>
        <v/>
      </c>
      <c r="B320" s="223"/>
      <c r="C320" s="139"/>
      <c r="D320" s="225"/>
      <c r="E320" s="202"/>
    </row>
    <row r="321" spans="1:5">
      <c r="A321" s="222" t="str">
        <f t="shared" si="1"/>
        <v/>
      </c>
      <c r="B321" s="223"/>
      <c r="C321" s="139"/>
      <c r="D321" s="225"/>
      <c r="E321" s="202"/>
    </row>
    <row r="322" spans="1:5">
      <c r="A322" s="222" t="str">
        <f t="shared" si="1"/>
        <v/>
      </c>
      <c r="B322" s="223"/>
      <c r="C322" s="139"/>
      <c r="D322" s="225"/>
      <c r="E322" s="202"/>
    </row>
    <row r="323" spans="1:5">
      <c r="A323" s="222" t="str">
        <f t="shared" si="1"/>
        <v/>
      </c>
      <c r="B323" s="223"/>
      <c r="C323" s="139"/>
      <c r="D323" s="225"/>
      <c r="E323" s="202"/>
    </row>
    <row r="324" spans="1:5">
      <c r="A324" s="222" t="str">
        <f t="shared" si="1"/>
        <v/>
      </c>
      <c r="B324" s="223"/>
      <c r="C324" s="139"/>
      <c r="D324" s="225"/>
      <c r="E324" s="202"/>
    </row>
    <row r="325" spans="1:5">
      <c r="A325" s="222" t="str">
        <f t="shared" si="1"/>
        <v/>
      </c>
      <c r="B325" s="223"/>
      <c r="C325" s="139"/>
      <c r="D325" s="225"/>
      <c r="E325" s="202"/>
    </row>
    <row r="326" spans="1:5">
      <c r="A326" s="222" t="str">
        <f t="shared" si="1"/>
        <v/>
      </c>
      <c r="B326" s="223"/>
      <c r="C326" s="139"/>
      <c r="D326" s="225"/>
      <c r="E326" s="202"/>
    </row>
    <row r="327" spans="1:5">
      <c r="A327" s="222" t="str">
        <f t="shared" si="1"/>
        <v/>
      </c>
      <c r="B327" s="223"/>
      <c r="C327" s="139"/>
      <c r="D327" s="225"/>
      <c r="E327" s="202"/>
    </row>
    <row r="328" spans="1:5">
      <c r="A328" s="222" t="str">
        <f t="shared" si="1"/>
        <v/>
      </c>
      <c r="B328" s="223"/>
      <c r="C328" s="139"/>
      <c r="D328" s="225"/>
      <c r="E328" s="202"/>
    </row>
    <row r="329" spans="1:5">
      <c r="A329" s="222" t="str">
        <f t="shared" si="1"/>
        <v/>
      </c>
      <c r="B329" s="223"/>
      <c r="C329" s="139"/>
      <c r="D329" s="225"/>
      <c r="E329" s="202"/>
    </row>
    <row r="330" spans="1:5">
      <c r="A330" s="222" t="str">
        <f t="shared" si="1"/>
        <v/>
      </c>
      <c r="B330" s="223"/>
      <c r="C330" s="139"/>
      <c r="D330" s="225"/>
      <c r="E330" s="202"/>
    </row>
    <row r="331" spans="1:5">
      <c r="A331" s="222" t="str">
        <f t="shared" si="1"/>
        <v/>
      </c>
      <c r="B331" s="223"/>
      <c r="C331" s="139"/>
      <c r="D331" s="225"/>
      <c r="E331" s="202"/>
    </row>
    <row r="332" spans="1:5">
      <c r="A332" s="222" t="str">
        <f t="shared" si="1"/>
        <v/>
      </c>
      <c r="B332" s="223"/>
      <c r="C332" s="139"/>
      <c r="D332" s="225"/>
      <c r="E332" s="202"/>
    </row>
    <row r="333" spans="1:5">
      <c r="A333" s="222" t="str">
        <f t="shared" si="1"/>
        <v/>
      </c>
      <c r="B333" s="223"/>
      <c r="C333" s="139"/>
      <c r="D333" s="225"/>
      <c r="E333" s="202"/>
    </row>
    <row r="334" spans="1:5">
      <c r="A334" s="222" t="str">
        <f t="shared" si="1"/>
        <v/>
      </c>
      <c r="B334" s="223"/>
      <c r="C334" s="139"/>
      <c r="D334" s="225"/>
      <c r="E334" s="202"/>
    </row>
    <row r="335" spans="1:5">
      <c r="A335" s="222" t="str">
        <f t="shared" si="1"/>
        <v/>
      </c>
      <c r="B335" s="223"/>
      <c r="C335" s="139"/>
      <c r="D335" s="225"/>
      <c r="E335" s="202"/>
    </row>
    <row r="336" spans="1:5">
      <c r="A336" s="222" t="str">
        <f t="shared" si="1"/>
        <v/>
      </c>
      <c r="B336" s="223"/>
      <c r="C336" s="139"/>
      <c r="D336" s="225"/>
      <c r="E336" s="202"/>
    </row>
    <row r="337" spans="1:5">
      <c r="A337" s="222" t="str">
        <f t="shared" si="1"/>
        <v/>
      </c>
      <c r="B337" s="223"/>
      <c r="C337" s="139"/>
      <c r="D337" s="225"/>
      <c r="E337" s="202"/>
    </row>
    <row r="338" spans="1:5">
      <c r="A338" s="222" t="str">
        <f t="shared" si="1"/>
        <v/>
      </c>
      <c r="B338" s="223"/>
      <c r="C338" s="139"/>
      <c r="D338" s="225"/>
      <c r="E338" s="202"/>
    </row>
    <row r="339" spans="1:5">
      <c r="A339" s="222" t="str">
        <f t="shared" si="1"/>
        <v/>
      </c>
      <c r="B339" s="223"/>
      <c r="C339" s="139"/>
      <c r="D339" s="225"/>
      <c r="E339" s="202"/>
    </row>
    <row r="340" spans="1:5">
      <c r="A340" s="222" t="str">
        <f t="shared" si="1"/>
        <v/>
      </c>
      <c r="B340" s="223"/>
      <c r="C340" s="139"/>
      <c r="D340" s="225"/>
      <c r="E340" s="202"/>
    </row>
    <row r="341" spans="1:5">
      <c r="A341" s="222" t="str">
        <f t="shared" si="1"/>
        <v/>
      </c>
      <c r="B341" s="223"/>
      <c r="C341" s="139"/>
      <c r="D341" s="225"/>
      <c r="E341" s="202"/>
    </row>
    <row r="342" spans="1:5">
      <c r="A342" s="222" t="str">
        <f t="shared" si="1"/>
        <v/>
      </c>
      <c r="B342" s="223"/>
      <c r="C342" s="139"/>
      <c r="D342" s="225"/>
      <c r="E342" s="202"/>
    </row>
    <row r="343" spans="1:5">
      <c r="A343" s="222" t="str">
        <f t="shared" si="1"/>
        <v/>
      </c>
      <c r="B343" s="223"/>
      <c r="C343" s="139"/>
      <c r="D343" s="225"/>
      <c r="E343" s="202"/>
    </row>
    <row r="344" spans="1:5">
      <c r="A344" s="222" t="str">
        <f t="shared" si="1"/>
        <v/>
      </c>
      <c r="B344" s="223"/>
      <c r="C344" s="139"/>
      <c r="D344" s="225"/>
      <c r="E344" s="202"/>
    </row>
    <row r="345" spans="1:5">
      <c r="A345" s="222" t="str">
        <f t="shared" si="1"/>
        <v/>
      </c>
      <c r="B345" s="223"/>
      <c r="C345" s="139"/>
      <c r="D345" s="225"/>
      <c r="E345" s="202"/>
    </row>
    <row r="346" spans="1:5">
      <c r="A346" s="222" t="str">
        <f t="shared" si="1"/>
        <v/>
      </c>
      <c r="B346" s="223"/>
      <c r="C346" s="139"/>
      <c r="D346" s="225"/>
      <c r="E346" s="202"/>
    </row>
    <row r="347" spans="1:5">
      <c r="A347" s="222" t="str">
        <f t="shared" si="1"/>
        <v/>
      </c>
      <c r="B347" s="223"/>
      <c r="C347" s="139"/>
      <c r="D347" s="225"/>
      <c r="E347" s="202"/>
    </row>
    <row r="348" spans="1:5">
      <c r="A348" s="222" t="str">
        <f t="shared" si="1"/>
        <v/>
      </c>
      <c r="B348" s="223"/>
      <c r="C348" s="139"/>
      <c r="D348" s="225"/>
      <c r="E348" s="202"/>
    </row>
    <row r="349" spans="1:5">
      <c r="A349" s="222" t="str">
        <f t="shared" si="1"/>
        <v/>
      </c>
      <c r="B349" s="223"/>
      <c r="C349" s="139"/>
      <c r="D349" s="225"/>
      <c r="E349" s="202"/>
    </row>
    <row r="350" spans="1:5">
      <c r="A350" s="222" t="str">
        <f t="shared" si="1"/>
        <v/>
      </c>
      <c r="B350" s="223"/>
      <c r="C350" s="139"/>
      <c r="D350" s="225"/>
      <c r="E350" s="202"/>
    </row>
    <row r="351" spans="1:5">
      <c r="A351" s="222" t="str">
        <f t="shared" si="1"/>
        <v/>
      </c>
      <c r="B351" s="223"/>
      <c r="C351" s="139"/>
      <c r="D351" s="225"/>
      <c r="E351" s="202"/>
    </row>
    <row r="352" spans="1:5">
      <c r="A352" s="222" t="str">
        <f t="shared" si="1"/>
        <v/>
      </c>
      <c r="B352" s="223"/>
      <c r="C352" s="139"/>
      <c r="D352" s="225"/>
      <c r="E352" s="202"/>
    </row>
    <row r="353" spans="1:5">
      <c r="A353" s="222" t="str">
        <f t="shared" si="1"/>
        <v/>
      </c>
      <c r="B353" s="223"/>
      <c r="C353" s="139"/>
      <c r="D353" s="225"/>
      <c r="E353" s="202"/>
    </row>
    <row r="354" spans="1:5">
      <c r="A354" s="222" t="str">
        <f t="shared" si="1"/>
        <v/>
      </c>
      <c r="B354" s="223"/>
      <c r="C354" s="139"/>
      <c r="D354" s="225"/>
      <c r="E354" s="202"/>
    </row>
    <row r="355" spans="1:5">
      <c r="A355" s="222" t="str">
        <f t="shared" si="1"/>
        <v/>
      </c>
      <c r="B355" s="223"/>
      <c r="C355" s="139"/>
      <c r="D355" s="225"/>
      <c r="E355" s="202"/>
    </row>
    <row r="356" spans="1:5">
      <c r="A356" s="222" t="str">
        <f t="shared" si="1"/>
        <v/>
      </c>
      <c r="B356" s="223"/>
      <c r="C356" s="139"/>
      <c r="D356" s="225"/>
      <c r="E356" s="202"/>
    </row>
    <row r="357" spans="1:5">
      <c r="A357" s="222" t="str">
        <f t="shared" si="1"/>
        <v/>
      </c>
      <c r="B357" s="223"/>
      <c r="C357" s="139"/>
      <c r="D357" s="225"/>
      <c r="E357" s="202"/>
    </row>
    <row r="358" spans="1:5">
      <c r="A358" s="222" t="str">
        <f t="shared" si="1"/>
        <v/>
      </c>
      <c r="B358" s="223"/>
      <c r="C358" s="139"/>
      <c r="D358" s="225"/>
      <c r="E358" s="202"/>
    </row>
    <row r="359" spans="1:5">
      <c r="A359" s="222" t="str">
        <f t="shared" si="1"/>
        <v/>
      </c>
      <c r="B359" s="223"/>
      <c r="C359" s="139"/>
      <c r="D359" s="225"/>
      <c r="E359" s="202"/>
    </row>
    <row r="360" spans="1:5">
      <c r="A360" s="222" t="str">
        <f t="shared" si="1"/>
        <v/>
      </c>
      <c r="B360" s="223"/>
      <c r="C360" s="139"/>
      <c r="D360" s="225"/>
      <c r="E360" s="202"/>
    </row>
    <row r="361" spans="1:5">
      <c r="A361" s="222" t="str">
        <f t="shared" si="1"/>
        <v/>
      </c>
      <c r="B361" s="223"/>
      <c r="C361" s="139"/>
      <c r="D361" s="225"/>
      <c r="E361" s="202"/>
    </row>
    <row r="362" spans="1:5">
      <c r="A362" s="222" t="str">
        <f t="shared" si="1"/>
        <v/>
      </c>
      <c r="B362" s="223"/>
      <c r="C362" s="139"/>
      <c r="D362" s="225"/>
      <c r="E362" s="202"/>
    </row>
    <row r="363" spans="1:5">
      <c r="A363" s="222" t="str">
        <f t="shared" si="1"/>
        <v/>
      </c>
      <c r="B363" s="223"/>
      <c r="C363" s="139"/>
      <c r="D363" s="225"/>
      <c r="E363" s="202"/>
    </row>
    <row r="364" spans="1:5">
      <c r="A364" s="222" t="str">
        <f t="shared" si="1"/>
        <v/>
      </c>
      <c r="B364" s="223"/>
      <c r="C364" s="139"/>
      <c r="D364" s="225"/>
      <c r="E364" s="202"/>
    </row>
    <row r="365" spans="1:5">
      <c r="A365" s="222" t="str">
        <f t="shared" si="1"/>
        <v/>
      </c>
      <c r="B365" s="223"/>
      <c r="C365" s="139"/>
      <c r="D365" s="225"/>
      <c r="E365" s="202"/>
    </row>
    <row r="366" spans="1:5">
      <c r="A366" s="222" t="str">
        <f t="shared" si="1"/>
        <v/>
      </c>
      <c r="B366" s="223"/>
      <c r="C366" s="139"/>
      <c r="D366" s="225"/>
      <c r="E366" s="202"/>
    </row>
    <row r="367" spans="1:5">
      <c r="A367" s="222" t="str">
        <f t="shared" si="1"/>
        <v/>
      </c>
      <c r="B367" s="223"/>
      <c r="C367" s="139"/>
      <c r="D367" s="225"/>
      <c r="E367" s="202"/>
    </row>
    <row r="368" spans="1:5">
      <c r="A368" s="222" t="str">
        <f t="shared" si="1"/>
        <v/>
      </c>
      <c r="B368" s="223"/>
      <c r="C368" s="139"/>
      <c r="D368" s="225"/>
      <c r="E368" s="202"/>
    </row>
    <row r="369" spans="1:5">
      <c r="A369" s="222" t="str">
        <f t="shared" si="1"/>
        <v/>
      </c>
      <c r="B369" s="223"/>
      <c r="C369" s="139"/>
      <c r="D369" s="225"/>
      <c r="E369" s="202"/>
    </row>
    <row r="370" spans="1:5">
      <c r="A370" s="222" t="str">
        <f t="shared" si="1"/>
        <v/>
      </c>
      <c r="B370" s="223"/>
      <c r="C370" s="139"/>
      <c r="D370" s="225"/>
      <c r="E370" s="202"/>
    </row>
    <row r="371" spans="1:5">
      <c r="A371" s="222" t="str">
        <f t="shared" si="1"/>
        <v/>
      </c>
      <c r="B371" s="223"/>
      <c r="C371" s="139"/>
      <c r="D371" s="225"/>
      <c r="E371" s="202"/>
    </row>
    <row r="372" spans="1:5">
      <c r="A372" s="222" t="str">
        <f t="shared" si="1"/>
        <v/>
      </c>
      <c r="B372" s="223"/>
      <c r="C372" s="139"/>
      <c r="D372" s="225"/>
      <c r="E372" s="202"/>
    </row>
    <row r="373" spans="1:5">
      <c r="A373" s="222" t="str">
        <f t="shared" si="1"/>
        <v/>
      </c>
      <c r="B373" s="223"/>
      <c r="C373" s="139"/>
      <c r="D373" s="225"/>
      <c r="E373" s="202"/>
    </row>
    <row r="374" spans="1:5">
      <c r="A374" s="222" t="str">
        <f t="shared" si="1"/>
        <v/>
      </c>
      <c r="B374" s="223"/>
      <c r="C374" s="139"/>
      <c r="D374" s="225"/>
      <c r="E374" s="202"/>
    </row>
    <row r="375" spans="1:5">
      <c r="A375" s="222" t="str">
        <f t="shared" si="1"/>
        <v/>
      </c>
      <c r="B375" s="223"/>
      <c r="C375" s="139"/>
      <c r="D375" s="225"/>
      <c r="E375" s="202"/>
    </row>
    <row r="376" spans="1:5">
      <c r="A376" s="222" t="str">
        <f t="shared" si="1"/>
        <v/>
      </c>
      <c r="B376" s="223"/>
      <c r="C376" s="139"/>
      <c r="D376" s="225"/>
      <c r="E376" s="202"/>
    </row>
    <row r="377" spans="1:5">
      <c r="A377" s="222" t="str">
        <f t="shared" si="1"/>
        <v/>
      </c>
      <c r="B377" s="223"/>
      <c r="C377" s="139"/>
      <c r="D377" s="225"/>
      <c r="E377" s="202"/>
    </row>
    <row r="378" spans="1:5">
      <c r="A378" s="222" t="str">
        <f t="shared" si="1"/>
        <v/>
      </c>
      <c r="B378" s="223"/>
      <c r="C378" s="139"/>
      <c r="D378" s="225"/>
      <c r="E378" s="202"/>
    </row>
    <row r="379" spans="1:5">
      <c r="A379" s="222" t="str">
        <f t="shared" si="1"/>
        <v/>
      </c>
      <c r="B379" s="223"/>
      <c r="C379" s="139"/>
      <c r="D379" s="225"/>
      <c r="E379" s="202"/>
    </row>
    <row r="380" spans="1:5">
      <c r="A380" s="222" t="str">
        <f t="shared" si="1"/>
        <v/>
      </c>
      <c r="B380" s="223"/>
      <c r="C380" s="139"/>
      <c r="D380" s="225"/>
      <c r="E380" s="202"/>
    </row>
    <row r="381" spans="1:5">
      <c r="A381" s="222" t="str">
        <f t="shared" si="1"/>
        <v/>
      </c>
      <c r="B381" s="223"/>
      <c r="C381" s="139"/>
      <c r="D381" s="225"/>
      <c r="E381" s="202"/>
    </row>
    <row r="382" spans="1:5">
      <c r="A382" s="222" t="str">
        <f t="shared" si="1"/>
        <v/>
      </c>
      <c r="B382" s="223"/>
      <c r="C382" s="139"/>
      <c r="D382" s="225"/>
      <c r="E382" s="202"/>
    </row>
    <row r="383" spans="1:5">
      <c r="A383" s="222" t="str">
        <f t="shared" si="1"/>
        <v/>
      </c>
      <c r="B383" s="223"/>
      <c r="C383" s="139"/>
      <c r="D383" s="225"/>
      <c r="E383" s="202"/>
    </row>
    <row r="384" spans="1:5">
      <c r="A384" s="222" t="str">
        <f t="shared" si="1"/>
        <v/>
      </c>
      <c r="B384" s="223"/>
      <c r="C384" s="139"/>
      <c r="D384" s="225"/>
      <c r="E384" s="202"/>
    </row>
    <row r="385" spans="1:5">
      <c r="A385" s="222" t="str">
        <f t="shared" si="1"/>
        <v/>
      </c>
      <c r="B385" s="223"/>
      <c r="C385" s="139"/>
      <c r="D385" s="225"/>
      <c r="E385" s="202"/>
    </row>
    <row r="386" spans="1:5">
      <c r="A386" s="222" t="str">
        <f t="shared" si="1"/>
        <v/>
      </c>
      <c r="B386" s="223"/>
      <c r="C386" s="139"/>
      <c r="D386" s="225"/>
      <c r="E386" s="202"/>
    </row>
    <row r="387" spans="1:5">
      <c r="A387" s="222" t="str">
        <f t="shared" si="1"/>
        <v/>
      </c>
      <c r="B387" s="223"/>
      <c r="C387" s="139"/>
      <c r="D387" s="225"/>
      <c r="E387" s="202"/>
    </row>
    <row r="388" spans="1:5">
      <c r="A388" s="222" t="str">
        <f t="shared" si="1"/>
        <v/>
      </c>
      <c r="B388" s="223"/>
      <c r="C388" s="139"/>
      <c r="D388" s="225"/>
      <c r="E388" s="202"/>
    </row>
    <row r="389" spans="1:5">
      <c r="A389" s="222" t="str">
        <f t="shared" si="1"/>
        <v/>
      </c>
      <c r="B389" s="223"/>
      <c r="C389" s="139"/>
      <c r="D389" s="225"/>
      <c r="E389" s="202"/>
    </row>
    <row r="390" spans="1:5">
      <c r="A390" s="222" t="str">
        <f t="shared" si="1"/>
        <v/>
      </c>
      <c r="B390" s="223"/>
      <c r="C390" s="139"/>
      <c r="D390" s="225"/>
      <c r="E390" s="202"/>
    </row>
    <row r="391" spans="1:5">
      <c r="A391" s="222" t="str">
        <f t="shared" si="1"/>
        <v/>
      </c>
      <c r="B391" s="223"/>
      <c r="C391" s="139"/>
      <c r="D391" s="225"/>
      <c r="E391" s="202"/>
    </row>
    <row r="392" spans="1:5">
      <c r="A392" s="222" t="str">
        <f t="shared" si="1"/>
        <v/>
      </c>
      <c r="B392" s="223"/>
      <c r="C392" s="139"/>
      <c r="D392" s="225"/>
      <c r="E392" s="202"/>
    </row>
    <row r="393" spans="1:5">
      <c r="A393" s="222" t="str">
        <f t="shared" si="1"/>
        <v/>
      </c>
      <c r="B393" s="223"/>
      <c r="C393" s="139"/>
      <c r="D393" s="225"/>
      <c r="E393" s="202"/>
    </row>
    <row r="394" spans="1:5">
      <c r="A394" s="222" t="str">
        <f t="shared" si="1"/>
        <v/>
      </c>
      <c r="B394" s="223"/>
      <c r="C394" s="139"/>
      <c r="D394" s="225"/>
      <c r="E394" s="202"/>
    </row>
    <row r="395" spans="1:5">
      <c r="A395" s="222" t="str">
        <f t="shared" si="1"/>
        <v/>
      </c>
      <c r="B395" s="223"/>
      <c r="C395" s="139"/>
      <c r="D395" s="225"/>
      <c r="E395" s="202"/>
    </row>
    <row r="396" spans="1:5">
      <c r="A396" s="222" t="str">
        <f t="shared" si="1"/>
        <v/>
      </c>
      <c r="B396" s="223"/>
      <c r="C396" s="139"/>
      <c r="D396" s="225"/>
      <c r="E396" s="202"/>
    </row>
    <row r="397" spans="1:5">
      <c r="A397" s="222" t="str">
        <f t="shared" si="1"/>
        <v/>
      </c>
      <c r="B397" s="223"/>
      <c r="C397" s="139"/>
      <c r="D397" s="225"/>
      <c r="E397" s="202"/>
    </row>
    <row r="398" spans="1:5">
      <c r="A398" s="222" t="str">
        <f t="shared" si="1"/>
        <v/>
      </c>
      <c r="B398" s="223"/>
      <c r="C398" s="139"/>
      <c r="D398" s="225"/>
      <c r="E398" s="202"/>
    </row>
    <row r="399" spans="1:5">
      <c r="A399" s="222" t="str">
        <f t="shared" si="1"/>
        <v/>
      </c>
      <c r="B399" s="223"/>
      <c r="C399" s="139"/>
      <c r="D399" s="225"/>
      <c r="E399" s="202"/>
    </row>
    <row r="400" spans="1:5">
      <c r="A400" s="222" t="str">
        <f t="shared" si="1"/>
        <v/>
      </c>
      <c r="B400" s="223"/>
      <c r="C400" s="139"/>
      <c r="D400" s="225"/>
      <c r="E400" s="202"/>
    </row>
    <row r="401" spans="1:5">
      <c r="A401" s="222" t="str">
        <f t="shared" si="1"/>
        <v/>
      </c>
      <c r="B401" s="223"/>
      <c r="C401" s="139"/>
      <c r="D401" s="225"/>
      <c r="E401" s="202"/>
    </row>
    <row r="402" spans="1:5">
      <c r="A402" s="222" t="str">
        <f t="shared" si="1"/>
        <v/>
      </c>
      <c r="B402" s="223"/>
      <c r="C402" s="139"/>
      <c r="D402" s="225"/>
      <c r="E402" s="202"/>
    </row>
    <row r="403" spans="1:5">
      <c r="A403" s="222" t="str">
        <f t="shared" si="1"/>
        <v/>
      </c>
      <c r="B403" s="223"/>
      <c r="C403" s="139"/>
      <c r="D403" s="225"/>
      <c r="E403" s="202"/>
    </row>
    <row r="404" spans="1:5">
      <c r="A404" s="222" t="str">
        <f t="shared" si="1"/>
        <v/>
      </c>
      <c r="B404" s="223"/>
      <c r="C404" s="139"/>
      <c r="D404" s="225"/>
      <c r="E404" s="202"/>
    </row>
    <row r="405" spans="1:5">
      <c r="A405" s="222" t="str">
        <f t="shared" si="1"/>
        <v/>
      </c>
      <c r="B405" s="223"/>
      <c r="C405" s="139"/>
      <c r="D405" s="225"/>
      <c r="E405" s="202"/>
    </row>
    <row r="406" spans="1:5">
      <c r="A406" s="222" t="str">
        <f t="shared" si="1"/>
        <v/>
      </c>
      <c r="B406" s="223"/>
      <c r="C406" s="139"/>
      <c r="D406" s="225"/>
      <c r="E406" s="202"/>
    </row>
    <row r="407" spans="1:5">
      <c r="A407" s="222" t="str">
        <f t="shared" si="1"/>
        <v/>
      </c>
      <c r="B407" s="223"/>
      <c r="C407" s="139"/>
      <c r="D407" s="225"/>
      <c r="E407" s="202"/>
    </row>
    <row r="408" spans="1:5">
      <c r="A408" s="222" t="str">
        <f t="shared" si="1"/>
        <v/>
      </c>
      <c r="B408" s="223"/>
      <c r="C408" s="139"/>
      <c r="D408" s="225"/>
      <c r="E408" s="202"/>
    </row>
    <row r="409" spans="1:5">
      <c r="A409" s="222" t="str">
        <f t="shared" si="1"/>
        <v/>
      </c>
      <c r="B409" s="223"/>
      <c r="C409" s="139"/>
      <c r="D409" s="225"/>
      <c r="E409" s="202"/>
    </row>
    <row r="410" spans="1:5">
      <c r="A410" s="222" t="str">
        <f t="shared" si="1"/>
        <v/>
      </c>
      <c r="B410" s="223"/>
      <c r="C410" s="139"/>
      <c r="D410" s="225"/>
      <c r="E410" s="202"/>
    </row>
    <row r="411" spans="1:5">
      <c r="A411" s="222" t="str">
        <f t="shared" si="1"/>
        <v/>
      </c>
      <c r="B411" s="223"/>
      <c r="C411" s="139"/>
      <c r="D411" s="225"/>
      <c r="E411" s="202"/>
    </row>
    <row r="412" spans="1:5">
      <c r="A412" s="222" t="str">
        <f t="shared" si="1"/>
        <v/>
      </c>
      <c r="B412" s="223"/>
      <c r="C412" s="139"/>
      <c r="D412" s="225"/>
      <c r="E412" s="202"/>
    </row>
    <row r="413" spans="1:5">
      <c r="A413" s="222" t="str">
        <f t="shared" si="1"/>
        <v/>
      </c>
      <c r="B413" s="223"/>
      <c r="C413" s="139"/>
      <c r="D413" s="225"/>
      <c r="E413" s="202"/>
    </row>
    <row r="414" spans="1:5">
      <c r="A414" s="222" t="str">
        <f t="shared" si="1"/>
        <v/>
      </c>
      <c r="B414" s="223"/>
      <c r="C414" s="139"/>
      <c r="D414" s="225"/>
      <c r="E414" s="202"/>
    </row>
    <row r="415" spans="1:5">
      <c r="A415" s="222" t="str">
        <f t="shared" si="1"/>
        <v/>
      </c>
      <c r="B415" s="223"/>
      <c r="C415" s="139"/>
      <c r="D415" s="225"/>
      <c r="E415" s="202"/>
    </row>
    <row r="416" spans="1:5">
      <c r="A416" s="222" t="str">
        <f t="shared" si="1"/>
        <v/>
      </c>
      <c r="B416" s="223"/>
      <c r="C416" s="139"/>
      <c r="D416" s="225"/>
      <c r="E416" s="202"/>
    </row>
    <row r="417" spans="1:5">
      <c r="A417" s="222" t="str">
        <f t="shared" si="1"/>
        <v/>
      </c>
      <c r="B417" s="223"/>
      <c r="C417" s="139"/>
      <c r="D417" s="225"/>
      <c r="E417" s="202"/>
    </row>
    <row r="418" spans="1:5">
      <c r="A418" s="222" t="str">
        <f t="shared" si="1"/>
        <v/>
      </c>
      <c r="B418" s="223"/>
      <c r="C418" s="139"/>
      <c r="D418" s="225"/>
      <c r="E418" s="202"/>
    </row>
    <row r="419" spans="1:5">
      <c r="A419" s="222" t="str">
        <f t="shared" si="1"/>
        <v/>
      </c>
      <c r="B419" s="223"/>
      <c r="C419" s="139"/>
      <c r="D419" s="225"/>
      <c r="E419" s="202"/>
    </row>
    <row r="420" spans="1:5">
      <c r="A420" s="222" t="str">
        <f t="shared" si="1"/>
        <v/>
      </c>
      <c r="B420" s="223"/>
      <c r="C420" s="139"/>
      <c r="D420" s="225"/>
      <c r="E420" s="202"/>
    </row>
    <row r="421" spans="1:5">
      <c r="A421" s="222" t="str">
        <f t="shared" si="1"/>
        <v/>
      </c>
      <c r="B421" s="223"/>
      <c r="C421" s="139"/>
      <c r="D421" s="225"/>
      <c r="E421" s="202"/>
    </row>
    <row r="422" spans="1:5">
      <c r="A422" s="222" t="str">
        <f t="shared" si="1"/>
        <v/>
      </c>
      <c r="B422" s="223"/>
      <c r="C422" s="139"/>
      <c r="D422" s="225"/>
      <c r="E422" s="202"/>
    </row>
    <row r="423" spans="1:5">
      <c r="A423" s="222" t="str">
        <f t="shared" si="1"/>
        <v/>
      </c>
      <c r="B423" s="223"/>
      <c r="C423" s="139"/>
      <c r="D423" s="225"/>
      <c r="E423" s="202"/>
    </row>
    <row r="424" spans="1:5">
      <c r="A424" s="222" t="str">
        <f t="shared" si="1"/>
        <v/>
      </c>
      <c r="B424" s="223"/>
      <c r="C424" s="139"/>
      <c r="D424" s="225"/>
      <c r="E424" s="202"/>
    </row>
    <row r="425" spans="1:5">
      <c r="A425" s="222" t="str">
        <f t="shared" si="1"/>
        <v/>
      </c>
      <c r="B425" s="223"/>
      <c r="C425" s="139"/>
      <c r="D425" s="225"/>
      <c r="E425" s="202"/>
    </row>
    <row r="426" spans="1:5">
      <c r="A426" s="222" t="str">
        <f t="shared" si="1"/>
        <v/>
      </c>
      <c r="B426" s="223"/>
      <c r="C426" s="139"/>
      <c r="D426" s="225"/>
      <c r="E426" s="202"/>
    </row>
    <row r="427" spans="1:5">
      <c r="A427" s="222" t="str">
        <f t="shared" si="1"/>
        <v/>
      </c>
      <c r="B427" s="223"/>
      <c r="C427" s="139"/>
      <c r="D427" s="225"/>
      <c r="E427" s="202"/>
    </row>
    <row r="428" spans="1:5">
      <c r="A428" s="222" t="str">
        <f t="shared" si="1"/>
        <v/>
      </c>
      <c r="B428" s="223"/>
      <c r="C428" s="139"/>
      <c r="D428" s="225"/>
      <c r="E428" s="202"/>
    </row>
    <row r="429" spans="1:5">
      <c r="A429" s="222" t="str">
        <f t="shared" si="1"/>
        <v/>
      </c>
      <c r="B429" s="223"/>
      <c r="C429" s="139"/>
      <c r="D429" s="225"/>
      <c r="E429" s="202"/>
    </row>
    <row r="430" spans="1:5">
      <c r="A430" s="222" t="str">
        <f t="shared" si="1"/>
        <v/>
      </c>
      <c r="B430" s="223"/>
      <c r="C430" s="139"/>
      <c r="D430" s="225"/>
      <c r="E430" s="202"/>
    </row>
    <row r="431" spans="1:5">
      <c r="A431" s="222" t="str">
        <f t="shared" si="1"/>
        <v/>
      </c>
      <c r="B431" s="223"/>
      <c r="C431" s="139"/>
      <c r="D431" s="225"/>
      <c r="E431" s="202"/>
    </row>
    <row r="432" spans="1:5">
      <c r="A432" s="222" t="str">
        <f t="shared" si="1"/>
        <v/>
      </c>
      <c r="B432" s="223"/>
      <c r="C432" s="139"/>
      <c r="D432" s="225"/>
      <c r="E432" s="202"/>
    </row>
    <row r="433" spans="1:5">
      <c r="A433" s="222" t="str">
        <f t="shared" si="1"/>
        <v/>
      </c>
      <c r="B433" s="223"/>
      <c r="C433" s="139"/>
      <c r="D433" s="225"/>
      <c r="E433" s="202"/>
    </row>
    <row r="434" spans="1:5">
      <c r="A434" s="222" t="str">
        <f t="shared" si="1"/>
        <v/>
      </c>
      <c r="B434" s="223"/>
      <c r="C434" s="139"/>
      <c r="D434" s="225"/>
      <c r="E434" s="202"/>
    </row>
    <row r="435" spans="1:5">
      <c r="A435" s="222" t="str">
        <f t="shared" si="1"/>
        <v/>
      </c>
      <c r="B435" s="223"/>
      <c r="C435" s="139"/>
      <c r="D435" s="225"/>
      <c r="E435" s="202"/>
    </row>
    <row r="436" spans="1:5">
      <c r="A436" s="222" t="str">
        <f t="shared" si="1"/>
        <v/>
      </c>
      <c r="B436" s="223"/>
      <c r="C436" s="139"/>
      <c r="D436" s="225"/>
      <c r="E436" s="202"/>
    </row>
    <row r="437" spans="1:5">
      <c r="A437" s="222" t="str">
        <f t="shared" si="1"/>
        <v/>
      </c>
      <c r="B437" s="223"/>
      <c r="C437" s="139"/>
      <c r="D437" s="225"/>
      <c r="E437" s="202"/>
    </row>
    <row r="438" spans="1:5">
      <c r="A438" s="222" t="str">
        <f t="shared" si="1"/>
        <v/>
      </c>
      <c r="B438" s="223"/>
      <c r="C438" s="139"/>
      <c r="D438" s="225"/>
      <c r="E438" s="202"/>
    </row>
    <row r="439" spans="1:5">
      <c r="A439" s="222" t="str">
        <f t="shared" si="1"/>
        <v/>
      </c>
      <c r="B439" s="223"/>
      <c r="C439" s="139"/>
      <c r="D439" s="225"/>
      <c r="E439" s="202"/>
    </row>
    <row r="440" spans="1:5">
      <c r="A440" s="222" t="str">
        <f t="shared" si="1"/>
        <v/>
      </c>
      <c r="B440" s="223"/>
      <c r="C440" s="139"/>
      <c r="D440" s="225"/>
      <c r="E440" s="202"/>
    </row>
    <row r="441" spans="1:5">
      <c r="A441" s="222" t="str">
        <f t="shared" si="1"/>
        <v/>
      </c>
      <c r="B441" s="223"/>
      <c r="C441" s="139"/>
      <c r="D441" s="225"/>
      <c r="E441" s="202"/>
    </row>
    <row r="442" spans="1:5">
      <c r="A442" s="222" t="str">
        <f t="shared" si="1"/>
        <v/>
      </c>
      <c r="B442" s="223"/>
      <c r="C442" s="139"/>
      <c r="D442" s="225"/>
      <c r="E442" s="202"/>
    </row>
    <row r="443" spans="1:5">
      <c r="A443" s="222" t="str">
        <f t="shared" si="1"/>
        <v/>
      </c>
      <c r="B443" s="223"/>
      <c r="C443" s="139"/>
      <c r="D443" s="225"/>
      <c r="E443" s="202"/>
    </row>
    <row r="444" spans="1:5">
      <c r="A444" s="222" t="str">
        <f t="shared" si="1"/>
        <v/>
      </c>
      <c r="B444" s="223"/>
      <c r="C444" s="139"/>
      <c r="D444" s="225"/>
      <c r="E444" s="202"/>
    </row>
    <row r="445" spans="1:5">
      <c r="A445" s="222" t="str">
        <f t="shared" si="1"/>
        <v/>
      </c>
      <c r="B445" s="223"/>
      <c r="C445" s="139"/>
      <c r="D445" s="225"/>
      <c r="E445" s="202"/>
    </row>
    <row r="446" spans="1:5">
      <c r="A446" s="222" t="str">
        <f t="shared" si="1"/>
        <v/>
      </c>
      <c r="B446" s="223"/>
      <c r="C446" s="139"/>
      <c r="D446" s="225"/>
      <c r="E446" s="202"/>
    </row>
    <row r="447" spans="1:5">
      <c r="A447" s="222" t="str">
        <f t="shared" si="1"/>
        <v/>
      </c>
      <c r="B447" s="223"/>
      <c r="C447" s="139"/>
      <c r="D447" s="225"/>
      <c r="E447" s="202"/>
    </row>
    <row r="448" spans="1:5">
      <c r="A448" s="222" t="str">
        <f t="shared" si="1"/>
        <v/>
      </c>
      <c r="B448" s="223"/>
      <c r="C448" s="139"/>
      <c r="D448" s="225"/>
      <c r="E448" s="202"/>
    </row>
    <row r="449" spans="1:5">
      <c r="A449" s="222" t="str">
        <f t="shared" si="1"/>
        <v/>
      </c>
      <c r="B449" s="223"/>
      <c r="C449" s="139"/>
      <c r="D449" s="225"/>
      <c r="E449" s="202"/>
    </row>
    <row r="450" spans="1:5">
      <c r="A450" s="222" t="str">
        <f t="shared" si="1"/>
        <v/>
      </c>
      <c r="B450" s="223"/>
      <c r="C450" s="139"/>
      <c r="D450" s="225"/>
      <c r="E450" s="202"/>
    </row>
    <row r="451" spans="1:5">
      <c r="A451" s="222" t="str">
        <f t="shared" si="1"/>
        <v/>
      </c>
      <c r="B451" s="223"/>
      <c r="C451" s="139"/>
      <c r="D451" s="225"/>
      <c r="E451" s="202"/>
    </row>
    <row r="452" spans="1:5">
      <c r="A452" s="222" t="str">
        <f t="shared" si="1"/>
        <v/>
      </c>
      <c r="B452" s="223"/>
      <c r="C452" s="139"/>
      <c r="D452" s="225"/>
      <c r="E452" s="202"/>
    </row>
    <row r="453" spans="1:5">
      <c r="A453" s="222" t="str">
        <f t="shared" si="1"/>
        <v/>
      </c>
      <c r="B453" s="223"/>
      <c r="C453" s="139"/>
      <c r="D453" s="225"/>
      <c r="E453" s="202"/>
    </row>
    <row r="454" spans="1:5">
      <c r="A454" s="222" t="str">
        <f t="shared" si="1"/>
        <v/>
      </c>
      <c r="B454" s="223"/>
      <c r="C454" s="139"/>
      <c r="D454" s="225"/>
      <c r="E454" s="202"/>
    </row>
    <row r="455" spans="1:5">
      <c r="A455" s="222" t="str">
        <f t="shared" si="1"/>
        <v/>
      </c>
      <c r="B455" s="223"/>
      <c r="C455" s="139"/>
      <c r="D455" s="225"/>
      <c r="E455" s="202"/>
    </row>
    <row r="456" spans="1:5">
      <c r="A456" s="222" t="str">
        <f t="shared" si="1"/>
        <v/>
      </c>
      <c r="B456" s="223"/>
      <c r="C456" s="139"/>
      <c r="D456" s="225"/>
      <c r="E456" s="202"/>
    </row>
    <row r="457" spans="1:5">
      <c r="A457" s="222" t="str">
        <f t="shared" si="1"/>
        <v/>
      </c>
      <c r="B457" s="223"/>
      <c r="C457" s="139"/>
      <c r="D457" s="225"/>
      <c r="E457" s="202"/>
    </row>
    <row r="458" spans="1:5">
      <c r="A458" s="222" t="str">
        <f t="shared" si="1"/>
        <v/>
      </c>
      <c r="B458" s="223"/>
      <c r="C458" s="139"/>
      <c r="D458" s="225"/>
      <c r="E458" s="202"/>
    </row>
    <row r="459" spans="1:5">
      <c r="A459" s="222" t="str">
        <f t="shared" si="1"/>
        <v/>
      </c>
      <c r="B459" s="223"/>
      <c r="C459" s="139"/>
      <c r="D459" s="225"/>
      <c r="E459" s="202"/>
    </row>
    <row r="460" spans="1:5">
      <c r="A460" s="222" t="str">
        <f t="shared" si="1"/>
        <v/>
      </c>
      <c r="B460" s="223"/>
      <c r="C460" s="139"/>
      <c r="D460" s="225"/>
      <c r="E460" s="202"/>
    </row>
    <row r="461" spans="1:5">
      <c r="A461" s="222" t="str">
        <f t="shared" si="1"/>
        <v/>
      </c>
      <c r="B461" s="223"/>
      <c r="C461" s="139"/>
      <c r="D461" s="225"/>
      <c r="E461" s="202"/>
    </row>
    <row r="462" spans="1:5">
      <c r="A462" s="222" t="str">
        <f t="shared" si="1"/>
        <v/>
      </c>
      <c r="B462" s="223"/>
      <c r="C462" s="139"/>
      <c r="D462" s="225"/>
      <c r="E462" s="202"/>
    </row>
    <row r="463" spans="1:5">
      <c r="A463" s="222" t="str">
        <f t="shared" si="1"/>
        <v/>
      </c>
      <c r="B463" s="223"/>
      <c r="C463" s="139"/>
      <c r="D463" s="225"/>
      <c r="E463" s="202"/>
    </row>
    <row r="464" spans="1:5">
      <c r="A464" s="222" t="str">
        <f t="shared" si="1"/>
        <v/>
      </c>
      <c r="B464" s="223"/>
      <c r="C464" s="139"/>
      <c r="D464" s="225"/>
      <c r="E464" s="202"/>
    </row>
    <row r="465" spans="1:5">
      <c r="A465" s="222" t="str">
        <f t="shared" si="1"/>
        <v/>
      </c>
      <c r="B465" s="223"/>
      <c r="C465" s="139"/>
      <c r="D465" s="225"/>
      <c r="E465" s="202"/>
    </row>
    <row r="466" spans="1:5">
      <c r="A466" s="222" t="str">
        <f t="shared" si="1"/>
        <v/>
      </c>
      <c r="B466" s="223"/>
      <c r="C466" s="139"/>
      <c r="D466" s="225"/>
      <c r="E466" s="202"/>
    </row>
    <row r="467" spans="1:5">
      <c r="A467" s="222" t="str">
        <f t="shared" si="1"/>
        <v/>
      </c>
      <c r="B467" s="223"/>
      <c r="C467" s="139"/>
      <c r="D467" s="225"/>
      <c r="E467" s="202"/>
    </row>
    <row r="468" spans="1:5">
      <c r="A468" s="222" t="str">
        <f t="shared" si="1"/>
        <v/>
      </c>
      <c r="B468" s="223"/>
      <c r="C468" s="139"/>
      <c r="D468" s="225"/>
      <c r="E468" s="202"/>
    </row>
    <row r="469" spans="1:5">
      <c r="A469" s="222" t="str">
        <f t="shared" si="1"/>
        <v/>
      </c>
      <c r="B469" s="223"/>
      <c r="C469" s="139"/>
      <c r="D469" s="225"/>
      <c r="E469" s="202"/>
    </row>
    <row r="470" spans="1:5">
      <c r="A470" s="222" t="str">
        <f t="shared" si="1"/>
        <v/>
      </c>
      <c r="B470" s="223"/>
      <c r="C470" s="139"/>
      <c r="D470" s="225"/>
      <c r="E470" s="202"/>
    </row>
    <row r="471" spans="1:5">
      <c r="A471" s="222" t="str">
        <f t="shared" si="1"/>
        <v/>
      </c>
      <c r="B471" s="223"/>
      <c r="C471" s="139"/>
      <c r="D471" s="225"/>
      <c r="E471" s="202"/>
    </row>
    <row r="472" spans="1:5">
      <c r="A472" s="222" t="str">
        <f t="shared" si="1"/>
        <v/>
      </c>
      <c r="B472" s="223"/>
      <c r="C472" s="139"/>
      <c r="D472" s="225"/>
      <c r="E472" s="202"/>
    </row>
    <row r="473" spans="1:5">
      <c r="A473" s="222" t="str">
        <f t="shared" si="1"/>
        <v/>
      </c>
      <c r="B473" s="223"/>
      <c r="C473" s="139"/>
      <c r="D473" s="225"/>
      <c r="E473" s="202"/>
    </row>
    <row r="474" spans="1:5">
      <c r="A474" s="222" t="str">
        <f t="shared" si="1"/>
        <v/>
      </c>
      <c r="B474" s="223"/>
      <c r="C474" s="139"/>
      <c r="D474" s="225"/>
      <c r="E474" s="202"/>
    </row>
    <row r="475" spans="1:5">
      <c r="A475" s="222" t="str">
        <f t="shared" si="1"/>
        <v/>
      </c>
      <c r="B475" s="223"/>
      <c r="C475" s="139"/>
      <c r="D475" s="225"/>
      <c r="E475" s="202"/>
    </row>
    <row r="476" spans="1:5">
      <c r="A476" s="222" t="str">
        <f t="shared" si="1"/>
        <v/>
      </c>
      <c r="B476" s="223"/>
      <c r="C476" s="139"/>
      <c r="D476" s="225"/>
      <c r="E476" s="202"/>
    </row>
    <row r="477" spans="1:5">
      <c r="A477" s="222" t="str">
        <f t="shared" si="1"/>
        <v/>
      </c>
      <c r="B477" s="223"/>
      <c r="C477" s="139"/>
      <c r="D477" s="225"/>
      <c r="E477" s="202"/>
    </row>
    <row r="478" spans="1:5">
      <c r="A478" s="222" t="str">
        <f t="shared" si="1"/>
        <v/>
      </c>
      <c r="B478" s="223"/>
      <c r="C478" s="139"/>
      <c r="D478" s="225"/>
      <c r="E478" s="202"/>
    </row>
    <row r="479" spans="1:5">
      <c r="A479" s="222" t="str">
        <f t="shared" si="1"/>
        <v/>
      </c>
      <c r="B479" s="223"/>
      <c r="C479" s="139"/>
      <c r="D479" s="225"/>
      <c r="E479" s="202"/>
    </row>
    <row r="480" spans="1:5">
      <c r="A480" s="222" t="str">
        <f t="shared" si="1"/>
        <v/>
      </c>
      <c r="B480" s="223"/>
      <c r="C480" s="139"/>
      <c r="D480" s="225"/>
      <c r="E480" s="202"/>
    </row>
    <row r="481" spans="1:5">
      <c r="A481" s="222" t="str">
        <f t="shared" si="1"/>
        <v/>
      </c>
      <c r="B481" s="223"/>
      <c r="C481" s="139"/>
      <c r="D481" s="225"/>
      <c r="E481" s="202"/>
    </row>
    <row r="482" spans="1:5">
      <c r="A482" s="222" t="str">
        <f t="shared" si="1"/>
        <v/>
      </c>
      <c r="B482" s="223"/>
      <c r="C482" s="139"/>
      <c r="D482" s="225"/>
      <c r="E482" s="202"/>
    </row>
    <row r="483" spans="1:5">
      <c r="A483" s="222" t="str">
        <f t="shared" si="1"/>
        <v/>
      </c>
      <c r="B483" s="223"/>
      <c r="C483" s="139"/>
      <c r="D483" s="225"/>
      <c r="E483" s="202"/>
    </row>
    <row r="484" spans="1:5">
      <c r="A484" s="222" t="str">
        <f t="shared" si="1"/>
        <v/>
      </c>
      <c r="B484" s="223"/>
      <c r="C484" s="139"/>
      <c r="D484" s="225"/>
      <c r="E484" s="202"/>
    </row>
    <row r="485" spans="1:5">
      <c r="A485" s="222" t="str">
        <f t="shared" si="1"/>
        <v/>
      </c>
      <c r="B485" s="223"/>
      <c r="C485" s="139"/>
      <c r="D485" s="225"/>
      <c r="E485" s="202"/>
    </row>
    <row r="486" spans="1:5">
      <c r="A486" s="222" t="str">
        <f t="shared" si="1"/>
        <v/>
      </c>
      <c r="B486" s="223"/>
      <c r="C486" s="139"/>
      <c r="D486" s="225"/>
      <c r="E486" s="202"/>
    </row>
    <row r="487" spans="1:5">
      <c r="A487" s="222" t="str">
        <f t="shared" si="1"/>
        <v/>
      </c>
      <c r="B487" s="223"/>
      <c r="C487" s="139"/>
      <c r="D487" s="225"/>
      <c r="E487" s="202"/>
    </row>
    <row r="488" spans="1:5">
      <c r="A488" s="222" t="str">
        <f t="shared" si="1"/>
        <v/>
      </c>
      <c r="B488" s="223"/>
      <c r="C488" s="139"/>
      <c r="D488" s="225"/>
      <c r="E488" s="202"/>
    </row>
    <row r="489" spans="1:5">
      <c r="A489" s="222" t="str">
        <f t="shared" si="1"/>
        <v/>
      </c>
      <c r="B489" s="223"/>
      <c r="C489" s="139"/>
      <c r="D489" s="225"/>
      <c r="E489" s="202"/>
    </row>
    <row r="490" spans="1:5">
      <c r="A490" s="222" t="str">
        <f t="shared" si="1"/>
        <v/>
      </c>
      <c r="B490" s="223"/>
      <c r="C490" s="139"/>
      <c r="D490" s="225"/>
      <c r="E490" s="202"/>
    </row>
    <row r="491" spans="1:5">
      <c r="A491" s="222" t="str">
        <f t="shared" si="1"/>
        <v/>
      </c>
      <c r="B491" s="223"/>
      <c r="C491" s="139"/>
      <c r="D491" s="225"/>
      <c r="E491" s="202"/>
    </row>
    <row r="492" spans="1:5">
      <c r="A492" s="222" t="str">
        <f t="shared" si="1"/>
        <v/>
      </c>
      <c r="B492" s="223"/>
      <c r="C492" s="139"/>
      <c r="D492" s="225"/>
      <c r="E492" s="202"/>
    </row>
    <row r="493" spans="1:5">
      <c r="A493" s="222" t="str">
        <f t="shared" si="1"/>
        <v/>
      </c>
      <c r="B493" s="223"/>
      <c r="C493" s="139"/>
      <c r="D493" s="225"/>
      <c r="E493" s="202"/>
    </row>
    <row r="494" spans="1:5">
      <c r="A494" s="222" t="str">
        <f t="shared" si="1"/>
        <v/>
      </c>
      <c r="B494" s="223"/>
      <c r="C494" s="139"/>
      <c r="D494" s="225"/>
      <c r="E494" s="202"/>
    </row>
    <row r="495" spans="1:5">
      <c r="A495" s="222" t="str">
        <f t="shared" si="1"/>
        <v/>
      </c>
      <c r="B495" s="223"/>
      <c r="C495" s="139"/>
      <c r="D495" s="225"/>
      <c r="E495" s="202"/>
    </row>
    <row r="496" spans="1:5">
      <c r="A496" s="222" t="str">
        <f t="shared" si="1"/>
        <v/>
      </c>
      <c r="B496" s="223"/>
      <c r="C496" s="139"/>
      <c r="D496" s="225"/>
      <c r="E496" s="202"/>
    </row>
    <row r="497" spans="1:5">
      <c r="A497" s="222" t="str">
        <f t="shared" si="1"/>
        <v/>
      </c>
      <c r="B497" s="223"/>
      <c r="C497" s="139"/>
      <c r="D497" s="225"/>
      <c r="E497" s="202"/>
    </row>
    <row r="498" spans="1:5">
      <c r="A498" s="222" t="str">
        <f t="shared" si="1"/>
        <v/>
      </c>
      <c r="B498" s="223"/>
      <c r="C498" s="139"/>
      <c r="D498" s="225"/>
      <c r="E498" s="202"/>
    </row>
    <row r="499" spans="1:5">
      <c r="A499" s="222" t="str">
        <f t="shared" si="1"/>
        <v/>
      </c>
      <c r="B499" s="223"/>
      <c r="C499" s="139"/>
      <c r="D499" s="225"/>
      <c r="E499" s="202"/>
    </row>
    <row r="500" spans="1:5">
      <c r="A500" s="222" t="str">
        <f t="shared" si="1"/>
        <v/>
      </c>
      <c r="B500" s="223"/>
      <c r="C500" s="139"/>
      <c r="D500" s="225"/>
      <c r="E500" s="202"/>
    </row>
    <row r="501" spans="1:5">
      <c r="A501" s="222" t="str">
        <f t="shared" si="1"/>
        <v/>
      </c>
      <c r="B501" s="223"/>
      <c r="C501" s="139"/>
      <c r="D501" s="225"/>
      <c r="E501" s="202"/>
    </row>
    <row r="502" spans="1:5">
      <c r="A502" s="222" t="str">
        <f t="shared" si="1"/>
        <v/>
      </c>
      <c r="B502" s="223"/>
      <c r="C502" s="139"/>
      <c r="D502" s="225"/>
      <c r="E502" s="202"/>
    </row>
    <row r="503" spans="1:5">
      <c r="A503" s="222" t="str">
        <f t="shared" si="1"/>
        <v/>
      </c>
      <c r="B503" s="223"/>
      <c r="C503" s="139"/>
      <c r="D503" s="225"/>
      <c r="E503" s="202"/>
    </row>
    <row r="504" spans="1:5">
      <c r="A504" s="222" t="str">
        <f t="shared" si="1"/>
        <v/>
      </c>
      <c r="B504" s="223"/>
      <c r="C504" s="139"/>
      <c r="D504" s="225"/>
      <c r="E504" s="202"/>
    </row>
    <row r="505" spans="1:5">
      <c r="A505" s="222" t="str">
        <f t="shared" si="1"/>
        <v/>
      </c>
      <c r="B505" s="223"/>
      <c r="C505" s="139"/>
      <c r="D505" s="225"/>
      <c r="E505" s="202"/>
    </row>
    <row r="506" spans="1:5">
      <c r="A506" s="222" t="str">
        <f t="shared" si="1"/>
        <v/>
      </c>
      <c r="B506" s="223"/>
      <c r="C506" s="139"/>
      <c r="D506" s="225"/>
      <c r="E506" s="202"/>
    </row>
    <row r="507" spans="1:5">
      <c r="A507" s="222" t="str">
        <f t="shared" si="1"/>
        <v/>
      </c>
      <c r="B507" s="223"/>
      <c r="C507" s="139"/>
      <c r="D507" s="225"/>
      <c r="E507" s="202"/>
    </row>
    <row r="508" spans="1:5">
      <c r="A508" s="222" t="str">
        <f t="shared" si="1"/>
        <v/>
      </c>
      <c r="B508" s="223"/>
      <c r="C508" s="139"/>
      <c r="D508" s="225"/>
      <c r="E508" s="202"/>
    </row>
    <row r="509" spans="1:5">
      <c r="A509" s="222" t="str">
        <f t="shared" si="1"/>
        <v/>
      </c>
      <c r="B509" s="223"/>
      <c r="C509" s="139"/>
      <c r="D509" s="225"/>
      <c r="E509" s="202"/>
    </row>
    <row r="510" spans="1:5">
      <c r="A510" s="222" t="str">
        <f t="shared" si="1"/>
        <v/>
      </c>
      <c r="B510" s="223"/>
      <c r="C510" s="139"/>
      <c r="D510" s="225"/>
      <c r="E510" s="202"/>
    </row>
    <row r="511" spans="1:5">
      <c r="A511" s="222" t="str">
        <f t="shared" si="1"/>
        <v/>
      </c>
      <c r="B511" s="223"/>
      <c r="C511" s="139"/>
      <c r="D511" s="225"/>
      <c r="E511" s="202"/>
    </row>
    <row r="512" spans="1:5">
      <c r="A512" s="222" t="str">
        <f t="shared" si="1"/>
        <v/>
      </c>
      <c r="B512" s="223"/>
      <c r="C512" s="139"/>
      <c r="D512" s="225"/>
      <c r="E512" s="202"/>
    </row>
    <row r="513" spans="1:5">
      <c r="A513" s="222" t="str">
        <f t="shared" si="1"/>
        <v/>
      </c>
      <c r="B513" s="223"/>
      <c r="C513" s="139"/>
      <c r="D513" s="225"/>
      <c r="E513" s="202"/>
    </row>
    <row r="514" spans="1:5">
      <c r="A514" s="222" t="str">
        <f t="shared" si="1"/>
        <v/>
      </c>
      <c r="B514" s="223"/>
      <c r="C514" s="139"/>
      <c r="D514" s="225"/>
      <c r="E514" s="202"/>
    </row>
    <row r="515" spans="1:5">
      <c r="A515" s="222" t="str">
        <f t="shared" si="1"/>
        <v/>
      </c>
      <c r="B515" s="223"/>
      <c r="C515" s="139"/>
      <c r="D515" s="225"/>
      <c r="E515" s="202"/>
    </row>
    <row r="516" spans="1:5">
      <c r="A516" s="222" t="str">
        <f t="shared" si="1"/>
        <v/>
      </c>
      <c r="B516" s="223"/>
      <c r="C516" s="139"/>
      <c r="D516" s="225"/>
      <c r="E516" s="202"/>
    </row>
    <row r="517" spans="1:5">
      <c r="A517" s="222" t="str">
        <f t="shared" si="1"/>
        <v/>
      </c>
      <c r="B517" s="223"/>
      <c r="C517" s="139"/>
      <c r="D517" s="225"/>
      <c r="E517" s="202"/>
    </row>
    <row r="518" spans="1:5">
      <c r="A518" s="222" t="str">
        <f t="shared" si="1"/>
        <v/>
      </c>
      <c r="B518" s="223"/>
      <c r="C518" s="139"/>
      <c r="D518" s="225"/>
      <c r="E518" s="202"/>
    </row>
    <row r="519" spans="1:5">
      <c r="A519" s="222" t="str">
        <f t="shared" ref="A519:A773" si="2">IF(B519="","", ROW()-1)</f>
        <v/>
      </c>
      <c r="B519" s="223"/>
      <c r="C519" s="139"/>
      <c r="D519" s="225"/>
      <c r="E519" s="202"/>
    </row>
    <row r="520" spans="1:5">
      <c r="A520" s="222" t="str">
        <f t="shared" si="2"/>
        <v/>
      </c>
      <c r="B520" s="223"/>
      <c r="C520" s="139"/>
      <c r="D520" s="225"/>
      <c r="E520" s="202"/>
    </row>
    <row r="521" spans="1:5">
      <c r="A521" s="222" t="str">
        <f t="shared" si="2"/>
        <v/>
      </c>
      <c r="B521" s="223"/>
      <c r="C521" s="139"/>
      <c r="D521" s="225"/>
      <c r="E521" s="202"/>
    </row>
    <row r="522" spans="1:5">
      <c r="A522" s="222" t="str">
        <f t="shared" si="2"/>
        <v/>
      </c>
      <c r="B522" s="223"/>
      <c r="C522" s="139"/>
      <c r="D522" s="225"/>
      <c r="E522" s="202"/>
    </row>
    <row r="523" spans="1:5">
      <c r="A523" s="222" t="str">
        <f t="shared" si="2"/>
        <v/>
      </c>
      <c r="B523" s="223"/>
      <c r="C523" s="139"/>
      <c r="D523" s="225"/>
      <c r="E523" s="202"/>
    </row>
    <row r="524" spans="1:5">
      <c r="A524" s="222" t="str">
        <f t="shared" si="2"/>
        <v/>
      </c>
      <c r="B524" s="223"/>
      <c r="C524" s="139"/>
      <c r="D524" s="225"/>
      <c r="E524" s="202"/>
    </row>
    <row r="525" spans="1:5">
      <c r="A525" s="222" t="str">
        <f t="shared" si="2"/>
        <v/>
      </c>
      <c r="B525" s="223"/>
      <c r="C525" s="139"/>
      <c r="D525" s="225"/>
      <c r="E525" s="202"/>
    </row>
    <row r="526" spans="1:5">
      <c r="A526" s="222" t="str">
        <f t="shared" si="2"/>
        <v/>
      </c>
      <c r="B526" s="223"/>
      <c r="C526" s="139"/>
      <c r="D526" s="225"/>
      <c r="E526" s="202"/>
    </row>
    <row r="527" spans="1:5">
      <c r="A527" s="222" t="str">
        <f t="shared" si="2"/>
        <v/>
      </c>
      <c r="B527" s="223"/>
      <c r="C527" s="139"/>
      <c r="D527" s="225"/>
      <c r="E527" s="202"/>
    </row>
    <row r="528" spans="1:5">
      <c r="A528" s="222" t="str">
        <f t="shared" si="2"/>
        <v/>
      </c>
      <c r="B528" s="223"/>
      <c r="C528" s="139"/>
      <c r="D528" s="225"/>
      <c r="E528" s="202"/>
    </row>
    <row r="529" spans="1:5">
      <c r="A529" s="222" t="str">
        <f t="shared" si="2"/>
        <v/>
      </c>
      <c r="B529" s="223"/>
      <c r="C529" s="139"/>
      <c r="D529" s="225"/>
      <c r="E529" s="202"/>
    </row>
    <row r="530" spans="1:5">
      <c r="A530" s="222" t="str">
        <f t="shared" si="2"/>
        <v/>
      </c>
      <c r="B530" s="223"/>
      <c r="C530" s="139"/>
      <c r="D530" s="225"/>
      <c r="E530" s="202"/>
    </row>
    <row r="531" spans="1:5">
      <c r="A531" s="222" t="str">
        <f t="shared" si="2"/>
        <v/>
      </c>
      <c r="B531" s="223"/>
      <c r="C531" s="139"/>
      <c r="D531" s="225"/>
      <c r="E531" s="202"/>
    </row>
    <row r="532" spans="1:5">
      <c r="A532" s="222" t="str">
        <f t="shared" si="2"/>
        <v/>
      </c>
      <c r="B532" s="223"/>
      <c r="C532" s="139"/>
      <c r="D532" s="225"/>
      <c r="E532" s="202"/>
    </row>
    <row r="533" spans="1:5">
      <c r="A533" s="222" t="str">
        <f t="shared" si="2"/>
        <v/>
      </c>
      <c r="B533" s="223"/>
      <c r="C533" s="139"/>
      <c r="D533" s="225"/>
      <c r="E533" s="202"/>
    </row>
    <row r="534" spans="1:5">
      <c r="A534" s="222" t="str">
        <f t="shared" si="2"/>
        <v/>
      </c>
      <c r="B534" s="223"/>
      <c r="C534" s="139"/>
      <c r="D534" s="225"/>
      <c r="E534" s="202"/>
    </row>
    <row r="535" spans="1:5">
      <c r="A535" s="222" t="str">
        <f t="shared" si="2"/>
        <v/>
      </c>
      <c r="B535" s="223"/>
      <c r="C535" s="139"/>
      <c r="D535" s="225"/>
      <c r="E535" s="202"/>
    </row>
    <row r="536" spans="1:5">
      <c r="A536" s="222" t="str">
        <f t="shared" si="2"/>
        <v/>
      </c>
      <c r="B536" s="223"/>
      <c r="C536" s="139"/>
      <c r="D536" s="225"/>
      <c r="E536" s="202"/>
    </row>
    <row r="537" spans="1:5">
      <c r="A537" s="222" t="str">
        <f t="shared" si="2"/>
        <v/>
      </c>
      <c r="B537" s="223"/>
      <c r="C537" s="139"/>
      <c r="D537" s="225"/>
      <c r="E537" s="202"/>
    </row>
    <row r="538" spans="1:5">
      <c r="A538" s="222" t="str">
        <f t="shared" si="2"/>
        <v/>
      </c>
      <c r="B538" s="223"/>
      <c r="C538" s="139"/>
      <c r="D538" s="225"/>
      <c r="E538" s="202"/>
    </row>
    <row r="539" spans="1:5">
      <c r="A539" s="222" t="str">
        <f t="shared" si="2"/>
        <v/>
      </c>
      <c r="B539" s="223"/>
      <c r="C539" s="139"/>
      <c r="D539" s="225"/>
      <c r="E539" s="202"/>
    </row>
    <row r="540" spans="1:5">
      <c r="A540" s="222" t="str">
        <f t="shared" si="2"/>
        <v/>
      </c>
      <c r="B540" s="223"/>
      <c r="C540" s="139"/>
      <c r="D540" s="225"/>
      <c r="E540" s="202"/>
    </row>
    <row r="541" spans="1:5">
      <c r="A541" s="222" t="str">
        <f t="shared" si="2"/>
        <v/>
      </c>
      <c r="B541" s="223"/>
      <c r="C541" s="139"/>
      <c r="D541" s="225"/>
      <c r="E541" s="202"/>
    </row>
    <row r="542" spans="1:5">
      <c r="A542" s="222" t="str">
        <f t="shared" si="2"/>
        <v/>
      </c>
      <c r="B542" s="223"/>
      <c r="C542" s="139"/>
      <c r="D542" s="225"/>
      <c r="E542" s="202"/>
    </row>
    <row r="543" spans="1:5">
      <c r="A543" s="222" t="str">
        <f t="shared" si="2"/>
        <v/>
      </c>
      <c r="B543" s="223"/>
      <c r="C543" s="139"/>
      <c r="D543" s="225"/>
      <c r="E543" s="202"/>
    </row>
    <row r="544" spans="1:5">
      <c r="A544" s="222" t="str">
        <f t="shared" si="2"/>
        <v/>
      </c>
      <c r="B544" s="223"/>
      <c r="C544" s="139"/>
      <c r="D544" s="225"/>
      <c r="E544" s="202"/>
    </row>
    <row r="545" spans="1:5">
      <c r="A545" s="222" t="str">
        <f t="shared" si="2"/>
        <v/>
      </c>
      <c r="B545" s="223"/>
      <c r="C545" s="139"/>
      <c r="D545" s="225"/>
      <c r="E545" s="202"/>
    </row>
    <row r="546" spans="1:5">
      <c r="A546" s="222" t="str">
        <f t="shared" si="2"/>
        <v/>
      </c>
      <c r="B546" s="223"/>
      <c r="C546" s="139"/>
      <c r="D546" s="225"/>
      <c r="E546" s="202"/>
    </row>
    <row r="547" spans="1:5">
      <c r="A547" s="222" t="str">
        <f t="shared" si="2"/>
        <v/>
      </c>
      <c r="B547" s="223"/>
      <c r="C547" s="139"/>
      <c r="D547" s="225"/>
      <c r="E547" s="202"/>
    </row>
    <row r="548" spans="1:5">
      <c r="A548" s="222" t="str">
        <f t="shared" si="2"/>
        <v/>
      </c>
      <c r="B548" s="223"/>
      <c r="C548" s="139"/>
      <c r="D548" s="225"/>
      <c r="E548" s="202"/>
    </row>
    <row r="549" spans="1:5">
      <c r="A549" s="222" t="str">
        <f t="shared" si="2"/>
        <v/>
      </c>
      <c r="B549" s="223"/>
      <c r="C549" s="139"/>
      <c r="D549" s="225"/>
      <c r="E549" s="202"/>
    </row>
    <row r="550" spans="1:5">
      <c r="A550" s="222" t="str">
        <f t="shared" si="2"/>
        <v/>
      </c>
      <c r="B550" s="223"/>
      <c r="C550" s="139"/>
      <c r="D550" s="225"/>
      <c r="E550" s="202"/>
    </row>
    <row r="551" spans="1:5">
      <c r="A551" s="222" t="str">
        <f t="shared" si="2"/>
        <v/>
      </c>
      <c r="B551" s="223"/>
      <c r="C551" s="139"/>
      <c r="D551" s="225"/>
      <c r="E551" s="202"/>
    </row>
    <row r="552" spans="1:5">
      <c r="A552" s="222" t="str">
        <f t="shared" si="2"/>
        <v/>
      </c>
      <c r="B552" s="223"/>
      <c r="C552" s="139"/>
      <c r="D552" s="225"/>
      <c r="E552" s="202"/>
    </row>
    <row r="553" spans="1:5">
      <c r="A553" s="222" t="str">
        <f t="shared" si="2"/>
        <v/>
      </c>
      <c r="B553" s="223"/>
      <c r="C553" s="139"/>
      <c r="D553" s="225"/>
      <c r="E553" s="202"/>
    </row>
    <row r="554" spans="1:5">
      <c r="A554" s="222" t="str">
        <f t="shared" si="2"/>
        <v/>
      </c>
      <c r="B554" s="223"/>
      <c r="C554" s="139"/>
      <c r="D554" s="225"/>
      <c r="E554" s="202"/>
    </row>
    <row r="555" spans="1:5">
      <c r="A555" s="222" t="str">
        <f t="shared" si="2"/>
        <v/>
      </c>
      <c r="B555" s="223"/>
      <c r="C555" s="139"/>
      <c r="D555" s="225"/>
      <c r="E555" s="202"/>
    </row>
    <row r="556" spans="1:5">
      <c r="A556" s="222" t="str">
        <f t="shared" si="2"/>
        <v/>
      </c>
      <c r="B556" s="223"/>
      <c r="C556" s="139"/>
      <c r="D556" s="225"/>
      <c r="E556" s="202"/>
    </row>
    <row r="557" spans="1:5">
      <c r="A557" s="222" t="str">
        <f t="shared" si="2"/>
        <v/>
      </c>
      <c r="B557" s="223"/>
      <c r="C557" s="139"/>
      <c r="D557" s="225"/>
      <c r="E557" s="202"/>
    </row>
    <row r="558" spans="1:5">
      <c r="A558" s="222" t="str">
        <f t="shared" si="2"/>
        <v/>
      </c>
      <c r="B558" s="223"/>
      <c r="C558" s="139"/>
      <c r="D558" s="225"/>
      <c r="E558" s="202"/>
    </row>
    <row r="559" spans="1:5">
      <c r="A559" s="222" t="str">
        <f t="shared" si="2"/>
        <v/>
      </c>
      <c r="B559" s="223"/>
      <c r="C559" s="139"/>
      <c r="D559" s="225"/>
      <c r="E559" s="202"/>
    </row>
    <row r="560" spans="1:5">
      <c r="A560" s="222" t="str">
        <f t="shared" si="2"/>
        <v/>
      </c>
      <c r="B560" s="223"/>
      <c r="C560" s="139"/>
      <c r="D560" s="225"/>
      <c r="E560" s="202"/>
    </row>
    <row r="561" spans="1:5">
      <c r="A561" s="222" t="str">
        <f t="shared" si="2"/>
        <v/>
      </c>
      <c r="B561" s="223"/>
      <c r="C561" s="139"/>
      <c r="D561" s="225"/>
      <c r="E561" s="202"/>
    </row>
    <row r="562" spans="1:5">
      <c r="A562" s="222" t="str">
        <f t="shared" si="2"/>
        <v/>
      </c>
      <c r="B562" s="223"/>
      <c r="C562" s="139"/>
      <c r="D562" s="225"/>
      <c r="E562" s="202"/>
    </row>
    <row r="563" spans="1:5">
      <c r="A563" s="222" t="str">
        <f t="shared" si="2"/>
        <v/>
      </c>
      <c r="B563" s="223"/>
      <c r="C563" s="139"/>
      <c r="D563" s="225"/>
      <c r="E563" s="202"/>
    </row>
    <row r="564" spans="1:5">
      <c r="A564" s="222" t="str">
        <f t="shared" si="2"/>
        <v/>
      </c>
      <c r="B564" s="223"/>
      <c r="C564" s="139"/>
      <c r="D564" s="225"/>
      <c r="E564" s="202"/>
    </row>
    <row r="565" spans="1:5">
      <c r="A565" s="222" t="str">
        <f t="shared" si="2"/>
        <v/>
      </c>
      <c r="B565" s="223"/>
      <c r="C565" s="139"/>
      <c r="D565" s="225"/>
      <c r="E565" s="202"/>
    </row>
    <row r="566" spans="1:5">
      <c r="A566" s="222" t="str">
        <f t="shared" si="2"/>
        <v/>
      </c>
      <c r="B566" s="223"/>
      <c r="C566" s="139"/>
      <c r="D566" s="225"/>
      <c r="E566" s="202"/>
    </row>
    <row r="567" spans="1:5">
      <c r="A567" s="222" t="str">
        <f t="shared" si="2"/>
        <v/>
      </c>
      <c r="B567" s="223"/>
      <c r="C567" s="139"/>
      <c r="D567" s="225"/>
      <c r="E567" s="202"/>
    </row>
    <row r="568" spans="1:5">
      <c r="A568" s="222" t="str">
        <f t="shared" si="2"/>
        <v/>
      </c>
      <c r="B568" s="223"/>
      <c r="C568" s="139"/>
      <c r="D568" s="225"/>
      <c r="E568" s="202"/>
    </row>
    <row r="569" spans="1:5">
      <c r="A569" s="222" t="str">
        <f t="shared" si="2"/>
        <v/>
      </c>
      <c r="B569" s="223"/>
      <c r="C569" s="139"/>
      <c r="D569" s="225"/>
      <c r="E569" s="202"/>
    </row>
    <row r="570" spans="1:5">
      <c r="A570" s="222" t="str">
        <f t="shared" si="2"/>
        <v/>
      </c>
      <c r="B570" s="223"/>
      <c r="C570" s="139"/>
      <c r="D570" s="225"/>
      <c r="E570" s="202"/>
    </row>
    <row r="571" spans="1:5">
      <c r="A571" s="222" t="str">
        <f t="shared" si="2"/>
        <v/>
      </c>
      <c r="B571" s="223"/>
      <c r="C571" s="139"/>
      <c r="D571" s="225"/>
      <c r="E571" s="202"/>
    </row>
    <row r="572" spans="1:5">
      <c r="A572" s="222" t="str">
        <f t="shared" si="2"/>
        <v/>
      </c>
      <c r="B572" s="223"/>
      <c r="C572" s="139"/>
      <c r="D572" s="225"/>
      <c r="E572" s="202"/>
    </row>
    <row r="573" spans="1:5">
      <c r="A573" s="222" t="str">
        <f t="shared" si="2"/>
        <v/>
      </c>
      <c r="B573" s="223"/>
      <c r="C573" s="139"/>
      <c r="D573" s="225"/>
      <c r="E573" s="202"/>
    </row>
    <row r="574" spans="1:5">
      <c r="A574" s="222" t="str">
        <f t="shared" si="2"/>
        <v/>
      </c>
      <c r="B574" s="223"/>
      <c r="C574" s="139"/>
      <c r="D574" s="225"/>
      <c r="E574" s="202"/>
    </row>
    <row r="575" spans="1:5">
      <c r="A575" s="222" t="str">
        <f t="shared" si="2"/>
        <v/>
      </c>
      <c r="B575" s="223"/>
      <c r="C575" s="139"/>
      <c r="D575" s="225"/>
      <c r="E575" s="202"/>
    </row>
    <row r="576" spans="1:5">
      <c r="A576" s="222" t="str">
        <f t="shared" si="2"/>
        <v/>
      </c>
      <c r="B576" s="223"/>
      <c r="C576" s="139"/>
      <c r="D576" s="225"/>
      <c r="E576" s="202"/>
    </row>
    <row r="577" spans="1:5">
      <c r="A577" s="222" t="str">
        <f t="shared" si="2"/>
        <v/>
      </c>
      <c r="B577" s="223"/>
      <c r="C577" s="139"/>
      <c r="D577" s="225"/>
      <c r="E577" s="202"/>
    </row>
    <row r="578" spans="1:5">
      <c r="A578" s="222" t="str">
        <f t="shared" si="2"/>
        <v/>
      </c>
      <c r="B578" s="223"/>
      <c r="C578" s="139"/>
      <c r="D578" s="225"/>
      <c r="E578" s="202"/>
    </row>
    <row r="579" spans="1:5">
      <c r="A579" s="222" t="str">
        <f t="shared" si="2"/>
        <v/>
      </c>
      <c r="B579" s="223"/>
      <c r="C579" s="139"/>
      <c r="D579" s="225"/>
      <c r="E579" s="202"/>
    </row>
    <row r="580" spans="1:5">
      <c r="A580" s="222" t="str">
        <f t="shared" si="2"/>
        <v/>
      </c>
      <c r="B580" s="223"/>
      <c r="C580" s="139"/>
      <c r="D580" s="225"/>
      <c r="E580" s="202"/>
    </row>
    <row r="581" spans="1:5">
      <c r="A581" s="222" t="str">
        <f t="shared" si="2"/>
        <v/>
      </c>
      <c r="B581" s="223"/>
      <c r="C581" s="139"/>
      <c r="D581" s="225"/>
      <c r="E581" s="202"/>
    </row>
    <row r="582" spans="1:5">
      <c r="A582" s="222" t="str">
        <f t="shared" si="2"/>
        <v/>
      </c>
      <c r="B582" s="223"/>
      <c r="C582" s="139"/>
      <c r="D582" s="225"/>
      <c r="E582" s="202"/>
    </row>
    <row r="583" spans="1:5">
      <c r="A583" s="222" t="str">
        <f t="shared" si="2"/>
        <v/>
      </c>
      <c r="B583" s="223"/>
      <c r="C583" s="139"/>
      <c r="D583" s="225"/>
      <c r="E583" s="202"/>
    </row>
    <row r="584" spans="1:5">
      <c r="A584" s="222" t="str">
        <f t="shared" si="2"/>
        <v/>
      </c>
      <c r="B584" s="223"/>
      <c r="C584" s="139"/>
      <c r="D584" s="225"/>
      <c r="E584" s="202"/>
    </row>
    <row r="585" spans="1:5">
      <c r="A585" s="222" t="str">
        <f t="shared" si="2"/>
        <v/>
      </c>
      <c r="B585" s="223"/>
      <c r="C585" s="139"/>
      <c r="D585" s="225"/>
      <c r="E585" s="202"/>
    </row>
    <row r="586" spans="1:5">
      <c r="A586" s="222" t="str">
        <f t="shared" si="2"/>
        <v/>
      </c>
      <c r="B586" s="223"/>
      <c r="C586" s="139"/>
      <c r="D586" s="225"/>
      <c r="E586" s="202"/>
    </row>
    <row r="587" spans="1:5">
      <c r="A587" s="222" t="str">
        <f t="shared" si="2"/>
        <v/>
      </c>
      <c r="B587" s="223"/>
      <c r="C587" s="139"/>
      <c r="D587" s="225"/>
      <c r="E587" s="202"/>
    </row>
    <row r="588" spans="1:5">
      <c r="A588" s="222" t="str">
        <f t="shared" si="2"/>
        <v/>
      </c>
      <c r="B588" s="223"/>
      <c r="C588" s="139"/>
      <c r="D588" s="225"/>
      <c r="E588" s="202"/>
    </row>
    <row r="589" spans="1:5">
      <c r="A589" s="222" t="str">
        <f t="shared" si="2"/>
        <v/>
      </c>
      <c r="B589" s="223"/>
      <c r="C589" s="139"/>
      <c r="D589" s="225"/>
      <c r="E589" s="202"/>
    </row>
    <row r="590" spans="1:5">
      <c r="A590" s="222" t="str">
        <f t="shared" si="2"/>
        <v/>
      </c>
      <c r="B590" s="223"/>
      <c r="C590" s="139"/>
      <c r="D590" s="225"/>
      <c r="E590" s="202"/>
    </row>
    <row r="591" spans="1:5">
      <c r="A591" s="222" t="str">
        <f t="shared" si="2"/>
        <v/>
      </c>
      <c r="B591" s="223"/>
      <c r="C591" s="139"/>
      <c r="D591" s="225"/>
      <c r="E591" s="202"/>
    </row>
    <row r="592" spans="1:5">
      <c r="A592" s="222" t="str">
        <f t="shared" si="2"/>
        <v/>
      </c>
      <c r="B592" s="223"/>
      <c r="C592" s="139"/>
      <c r="D592" s="225"/>
      <c r="E592" s="202"/>
    </row>
    <row r="593" spans="1:5">
      <c r="A593" s="222" t="str">
        <f t="shared" si="2"/>
        <v/>
      </c>
      <c r="B593" s="223"/>
      <c r="C593" s="139"/>
      <c r="D593" s="225"/>
      <c r="E593" s="202"/>
    </row>
    <row r="594" spans="1:5">
      <c r="A594" s="222" t="str">
        <f t="shared" si="2"/>
        <v/>
      </c>
      <c r="B594" s="223"/>
      <c r="C594" s="139"/>
      <c r="D594" s="225"/>
      <c r="E594" s="202"/>
    </row>
    <row r="595" spans="1:5">
      <c r="A595" s="222" t="str">
        <f t="shared" si="2"/>
        <v/>
      </c>
      <c r="B595" s="223"/>
      <c r="C595" s="139"/>
      <c r="D595" s="225"/>
      <c r="E595" s="202"/>
    </row>
    <row r="596" spans="1:5">
      <c r="A596" s="222" t="str">
        <f t="shared" si="2"/>
        <v/>
      </c>
      <c r="B596" s="223"/>
      <c r="C596" s="139"/>
      <c r="D596" s="225"/>
      <c r="E596" s="202"/>
    </row>
    <row r="597" spans="1:5">
      <c r="A597" s="222" t="str">
        <f t="shared" si="2"/>
        <v/>
      </c>
      <c r="B597" s="223"/>
      <c r="C597" s="139"/>
      <c r="D597" s="225"/>
      <c r="E597" s="202"/>
    </row>
    <row r="598" spans="1:5">
      <c r="A598" s="222" t="str">
        <f t="shared" si="2"/>
        <v/>
      </c>
      <c r="B598" s="223"/>
      <c r="C598" s="139"/>
      <c r="D598" s="225"/>
      <c r="E598" s="202"/>
    </row>
    <row r="599" spans="1:5">
      <c r="A599" s="222" t="str">
        <f t="shared" si="2"/>
        <v/>
      </c>
      <c r="B599" s="223"/>
      <c r="C599" s="139"/>
      <c r="D599" s="225"/>
      <c r="E599" s="202"/>
    </row>
    <row r="600" spans="1:5">
      <c r="A600" s="222" t="str">
        <f t="shared" si="2"/>
        <v/>
      </c>
      <c r="B600" s="223"/>
      <c r="C600" s="139"/>
      <c r="D600" s="225"/>
      <c r="E600" s="202"/>
    </row>
    <row r="601" spans="1:5">
      <c r="A601" s="222" t="str">
        <f t="shared" si="2"/>
        <v/>
      </c>
      <c r="B601" s="223"/>
      <c r="C601" s="139"/>
      <c r="D601" s="225"/>
      <c r="E601" s="202"/>
    </row>
    <row r="602" spans="1:5">
      <c r="A602" s="222" t="str">
        <f t="shared" si="2"/>
        <v/>
      </c>
      <c r="B602" s="223"/>
      <c r="C602" s="139"/>
      <c r="D602" s="225"/>
      <c r="E602" s="202"/>
    </row>
    <row r="603" spans="1:5">
      <c r="A603" s="222" t="str">
        <f t="shared" si="2"/>
        <v/>
      </c>
      <c r="B603" s="223"/>
      <c r="C603" s="139"/>
      <c r="D603" s="225"/>
      <c r="E603" s="202"/>
    </row>
    <row r="604" spans="1:5">
      <c r="A604" s="222" t="str">
        <f t="shared" si="2"/>
        <v/>
      </c>
      <c r="B604" s="223"/>
      <c r="C604" s="139"/>
      <c r="D604" s="225"/>
      <c r="E604" s="202"/>
    </row>
    <row r="605" spans="1:5">
      <c r="A605" s="222" t="str">
        <f t="shared" si="2"/>
        <v/>
      </c>
      <c r="B605" s="223"/>
      <c r="C605" s="139"/>
      <c r="D605" s="225"/>
      <c r="E605" s="202"/>
    </row>
    <row r="606" spans="1:5">
      <c r="A606" s="222" t="str">
        <f t="shared" si="2"/>
        <v/>
      </c>
      <c r="B606" s="223"/>
      <c r="C606" s="139"/>
      <c r="D606" s="225"/>
      <c r="E606" s="202"/>
    </row>
    <row r="607" spans="1:5">
      <c r="A607" s="222" t="str">
        <f t="shared" si="2"/>
        <v/>
      </c>
      <c r="B607" s="223"/>
      <c r="C607" s="139"/>
      <c r="D607" s="225"/>
      <c r="E607" s="202"/>
    </row>
    <row r="608" spans="1:5">
      <c r="A608" s="222" t="str">
        <f t="shared" si="2"/>
        <v/>
      </c>
      <c r="B608" s="223"/>
      <c r="C608" s="139"/>
      <c r="D608" s="225"/>
      <c r="E608" s="202"/>
    </row>
    <row r="609" spans="1:5">
      <c r="A609" s="222" t="str">
        <f t="shared" si="2"/>
        <v/>
      </c>
      <c r="B609" s="223"/>
      <c r="C609" s="139"/>
      <c r="D609" s="225"/>
      <c r="E609" s="202"/>
    </row>
    <row r="610" spans="1:5">
      <c r="A610" s="222" t="str">
        <f t="shared" si="2"/>
        <v/>
      </c>
      <c r="B610" s="223"/>
      <c r="C610" s="139"/>
      <c r="D610" s="225"/>
      <c r="E610" s="202"/>
    </row>
    <row r="611" spans="1:5">
      <c r="A611" s="222" t="str">
        <f t="shared" si="2"/>
        <v/>
      </c>
      <c r="B611" s="223"/>
      <c r="C611" s="139"/>
      <c r="D611" s="225"/>
      <c r="E611" s="202"/>
    </row>
    <row r="612" spans="1:5">
      <c r="A612" s="222" t="str">
        <f t="shared" si="2"/>
        <v/>
      </c>
      <c r="B612" s="223"/>
      <c r="C612" s="139"/>
      <c r="D612" s="225"/>
      <c r="E612" s="202"/>
    </row>
    <row r="613" spans="1:5">
      <c r="A613" s="222" t="str">
        <f t="shared" si="2"/>
        <v/>
      </c>
      <c r="B613" s="223"/>
      <c r="C613" s="139"/>
      <c r="D613" s="225"/>
      <c r="E613" s="202"/>
    </row>
    <row r="614" spans="1:5">
      <c r="A614" s="222" t="str">
        <f t="shared" si="2"/>
        <v/>
      </c>
      <c r="B614" s="223"/>
      <c r="C614" s="139"/>
      <c r="D614" s="225"/>
      <c r="E614" s="202"/>
    </row>
    <row r="615" spans="1:5">
      <c r="A615" s="222" t="str">
        <f t="shared" si="2"/>
        <v/>
      </c>
      <c r="B615" s="223"/>
      <c r="C615" s="139"/>
      <c r="D615" s="225"/>
      <c r="E615" s="202"/>
    </row>
    <row r="616" spans="1:5">
      <c r="A616" s="222" t="str">
        <f t="shared" si="2"/>
        <v/>
      </c>
      <c r="B616" s="223"/>
      <c r="C616" s="139"/>
      <c r="D616" s="225"/>
      <c r="E616" s="202"/>
    </row>
    <row r="617" spans="1:5">
      <c r="A617" s="222" t="str">
        <f t="shared" si="2"/>
        <v/>
      </c>
      <c r="B617" s="223"/>
      <c r="C617" s="139"/>
      <c r="D617" s="225"/>
      <c r="E617" s="202"/>
    </row>
    <row r="618" spans="1:5">
      <c r="A618" s="222" t="str">
        <f t="shared" si="2"/>
        <v/>
      </c>
      <c r="B618" s="223"/>
      <c r="C618" s="139"/>
      <c r="D618" s="225"/>
      <c r="E618" s="202"/>
    </row>
    <row r="619" spans="1:5">
      <c r="A619" s="222" t="str">
        <f t="shared" si="2"/>
        <v/>
      </c>
      <c r="B619" s="223"/>
      <c r="C619" s="139"/>
      <c r="D619" s="225"/>
      <c r="E619" s="202"/>
    </row>
    <row r="620" spans="1:5">
      <c r="A620" s="222" t="str">
        <f t="shared" si="2"/>
        <v/>
      </c>
      <c r="B620" s="223"/>
      <c r="C620" s="139"/>
      <c r="D620" s="225"/>
      <c r="E620" s="202"/>
    </row>
    <row r="621" spans="1:5">
      <c r="A621" s="222" t="str">
        <f t="shared" si="2"/>
        <v/>
      </c>
      <c r="B621" s="223"/>
      <c r="C621" s="139"/>
      <c r="D621" s="225"/>
      <c r="E621" s="202"/>
    </row>
    <row r="622" spans="1:5">
      <c r="A622" s="222" t="str">
        <f t="shared" si="2"/>
        <v/>
      </c>
      <c r="B622" s="223"/>
      <c r="C622" s="139"/>
      <c r="D622" s="225"/>
      <c r="E622" s="202"/>
    </row>
    <row r="623" spans="1:5">
      <c r="A623" s="222" t="str">
        <f t="shared" si="2"/>
        <v/>
      </c>
      <c r="B623" s="223"/>
      <c r="C623" s="139"/>
      <c r="D623" s="225"/>
      <c r="E623" s="202"/>
    </row>
    <row r="624" spans="1:5">
      <c r="A624" s="222" t="str">
        <f t="shared" si="2"/>
        <v/>
      </c>
      <c r="B624" s="223"/>
      <c r="C624" s="139"/>
      <c r="D624" s="225"/>
      <c r="E624" s="202"/>
    </row>
    <row r="625" spans="1:5">
      <c r="A625" s="222" t="str">
        <f t="shared" si="2"/>
        <v/>
      </c>
      <c r="B625" s="223"/>
      <c r="C625" s="139"/>
      <c r="D625" s="225"/>
      <c r="E625" s="202"/>
    </row>
    <row r="626" spans="1:5">
      <c r="A626" s="222" t="str">
        <f t="shared" si="2"/>
        <v/>
      </c>
      <c r="B626" s="223"/>
      <c r="C626" s="139"/>
      <c r="D626" s="225"/>
      <c r="E626" s="202"/>
    </row>
    <row r="627" spans="1:5">
      <c r="A627" s="222" t="str">
        <f t="shared" si="2"/>
        <v/>
      </c>
      <c r="B627" s="223"/>
      <c r="C627" s="139"/>
      <c r="D627" s="225"/>
      <c r="E627" s="202"/>
    </row>
    <row r="628" spans="1:5">
      <c r="A628" s="222" t="str">
        <f t="shared" si="2"/>
        <v/>
      </c>
      <c r="B628" s="223"/>
      <c r="C628" s="139"/>
      <c r="D628" s="225"/>
      <c r="E628" s="202"/>
    </row>
    <row r="629" spans="1:5">
      <c r="A629" s="222" t="str">
        <f t="shared" si="2"/>
        <v/>
      </c>
      <c r="B629" s="223"/>
      <c r="C629" s="139"/>
      <c r="D629" s="225"/>
      <c r="E629" s="202"/>
    </row>
    <row r="630" spans="1:5">
      <c r="A630" s="222" t="str">
        <f t="shared" si="2"/>
        <v/>
      </c>
      <c r="B630" s="223"/>
      <c r="C630" s="139"/>
      <c r="D630" s="225"/>
      <c r="E630" s="202"/>
    </row>
    <row r="631" spans="1:5">
      <c r="A631" s="222" t="str">
        <f t="shared" si="2"/>
        <v/>
      </c>
      <c r="B631" s="223"/>
      <c r="C631" s="139"/>
      <c r="D631" s="225"/>
      <c r="E631" s="202"/>
    </row>
    <row r="632" spans="1:5">
      <c r="A632" s="222" t="str">
        <f t="shared" si="2"/>
        <v/>
      </c>
      <c r="B632" s="223"/>
      <c r="C632" s="139"/>
      <c r="D632" s="225"/>
      <c r="E632" s="202"/>
    </row>
    <row r="633" spans="1:5">
      <c r="A633" s="222" t="str">
        <f t="shared" si="2"/>
        <v/>
      </c>
      <c r="B633" s="223"/>
      <c r="C633" s="139"/>
      <c r="D633" s="225"/>
      <c r="E633" s="202"/>
    </row>
    <row r="634" spans="1:5">
      <c r="A634" s="222" t="str">
        <f t="shared" si="2"/>
        <v/>
      </c>
      <c r="B634" s="223"/>
      <c r="C634" s="139"/>
      <c r="D634" s="225"/>
      <c r="E634" s="202"/>
    </row>
    <row r="635" spans="1:5">
      <c r="A635" s="222" t="str">
        <f t="shared" si="2"/>
        <v/>
      </c>
      <c r="B635" s="223"/>
      <c r="C635" s="139"/>
      <c r="D635" s="225"/>
      <c r="E635" s="202"/>
    </row>
    <row r="636" spans="1:5">
      <c r="A636" s="222" t="str">
        <f t="shared" si="2"/>
        <v/>
      </c>
      <c r="B636" s="223"/>
      <c r="C636" s="139"/>
      <c r="D636" s="225"/>
      <c r="E636" s="202"/>
    </row>
    <row r="637" spans="1:5">
      <c r="A637" s="222" t="str">
        <f t="shared" si="2"/>
        <v/>
      </c>
      <c r="B637" s="223"/>
      <c r="C637" s="139"/>
      <c r="D637" s="225"/>
      <c r="E637" s="202"/>
    </row>
    <row r="638" spans="1:5">
      <c r="A638" s="222" t="str">
        <f t="shared" si="2"/>
        <v/>
      </c>
      <c r="B638" s="223"/>
      <c r="C638" s="139"/>
      <c r="D638" s="225"/>
      <c r="E638" s="202"/>
    </row>
    <row r="639" spans="1:5">
      <c r="A639" s="222" t="str">
        <f t="shared" si="2"/>
        <v/>
      </c>
      <c r="B639" s="223"/>
      <c r="C639" s="139"/>
      <c r="D639" s="225"/>
      <c r="E639" s="202"/>
    </row>
    <row r="640" spans="1:5">
      <c r="A640" s="222" t="str">
        <f t="shared" si="2"/>
        <v/>
      </c>
      <c r="B640" s="223"/>
      <c r="C640" s="139"/>
      <c r="D640" s="225"/>
      <c r="E640" s="202"/>
    </row>
    <row r="641" spans="1:5">
      <c r="A641" s="222" t="str">
        <f t="shared" si="2"/>
        <v/>
      </c>
      <c r="B641" s="223"/>
      <c r="C641" s="139"/>
      <c r="D641" s="225"/>
      <c r="E641" s="202"/>
    </row>
    <row r="642" spans="1:5">
      <c r="A642" s="222" t="str">
        <f t="shared" si="2"/>
        <v/>
      </c>
      <c r="B642" s="223"/>
      <c r="C642" s="139"/>
      <c r="D642" s="225"/>
      <c r="E642" s="202"/>
    </row>
    <row r="643" spans="1:5">
      <c r="A643" s="222" t="str">
        <f t="shared" si="2"/>
        <v/>
      </c>
      <c r="B643" s="223"/>
      <c r="C643" s="139"/>
      <c r="D643" s="225"/>
      <c r="E643" s="202"/>
    </row>
    <row r="644" spans="1:5">
      <c r="A644" s="222" t="str">
        <f t="shared" si="2"/>
        <v/>
      </c>
      <c r="B644" s="223"/>
      <c r="C644" s="139"/>
      <c r="D644" s="225"/>
      <c r="E644" s="202"/>
    </row>
    <row r="645" spans="1:5">
      <c r="A645" s="222" t="str">
        <f t="shared" si="2"/>
        <v/>
      </c>
      <c r="B645" s="223"/>
      <c r="C645" s="139"/>
      <c r="D645" s="225"/>
      <c r="E645" s="202"/>
    </row>
    <row r="646" spans="1:5">
      <c r="A646" s="222" t="str">
        <f t="shared" si="2"/>
        <v/>
      </c>
      <c r="B646" s="223"/>
      <c r="C646" s="139"/>
      <c r="D646" s="225"/>
      <c r="E646" s="202"/>
    </row>
    <row r="647" spans="1:5">
      <c r="A647" s="222" t="str">
        <f t="shared" si="2"/>
        <v/>
      </c>
      <c r="B647" s="223"/>
      <c r="C647" s="139"/>
      <c r="D647" s="225"/>
      <c r="E647" s="202"/>
    </row>
    <row r="648" spans="1:5">
      <c r="A648" s="222" t="str">
        <f t="shared" si="2"/>
        <v/>
      </c>
      <c r="B648" s="223"/>
      <c r="C648" s="139"/>
      <c r="D648" s="225"/>
      <c r="E648" s="202"/>
    </row>
    <row r="649" spans="1:5">
      <c r="A649" s="222" t="str">
        <f t="shared" si="2"/>
        <v/>
      </c>
      <c r="B649" s="223"/>
      <c r="C649" s="139"/>
      <c r="D649" s="225"/>
      <c r="E649" s="202"/>
    </row>
    <row r="650" spans="1:5">
      <c r="A650" s="222" t="str">
        <f t="shared" si="2"/>
        <v/>
      </c>
      <c r="B650" s="223"/>
      <c r="C650" s="139"/>
      <c r="D650" s="225"/>
      <c r="E650" s="202"/>
    </row>
    <row r="651" spans="1:5">
      <c r="A651" s="222" t="str">
        <f t="shared" si="2"/>
        <v/>
      </c>
      <c r="B651" s="223"/>
      <c r="C651" s="139"/>
      <c r="D651" s="225"/>
      <c r="E651" s="202"/>
    </row>
    <row r="652" spans="1:5">
      <c r="A652" s="222" t="str">
        <f t="shared" si="2"/>
        <v/>
      </c>
      <c r="B652" s="223"/>
      <c r="C652" s="139"/>
      <c r="D652" s="225"/>
      <c r="E652" s="202"/>
    </row>
    <row r="653" spans="1:5">
      <c r="A653" s="222" t="str">
        <f t="shared" si="2"/>
        <v/>
      </c>
      <c r="B653" s="223"/>
      <c r="C653" s="139"/>
      <c r="D653" s="225"/>
      <c r="E653" s="202"/>
    </row>
    <row r="654" spans="1:5">
      <c r="A654" s="222" t="str">
        <f t="shared" si="2"/>
        <v/>
      </c>
      <c r="B654" s="223"/>
      <c r="C654" s="139"/>
      <c r="D654" s="225"/>
      <c r="E654" s="202"/>
    </row>
    <row r="655" spans="1:5">
      <c r="A655" s="222" t="str">
        <f t="shared" si="2"/>
        <v/>
      </c>
      <c r="B655" s="223"/>
      <c r="C655" s="139"/>
      <c r="D655" s="225"/>
      <c r="E655" s="202"/>
    </row>
    <row r="656" spans="1:5">
      <c r="A656" s="222" t="str">
        <f t="shared" si="2"/>
        <v/>
      </c>
      <c r="B656" s="223"/>
      <c r="C656" s="139"/>
      <c r="D656" s="225"/>
      <c r="E656" s="202"/>
    </row>
    <row r="657" spans="1:5">
      <c r="A657" s="222" t="str">
        <f t="shared" si="2"/>
        <v/>
      </c>
      <c r="B657" s="223"/>
      <c r="C657" s="139"/>
      <c r="D657" s="225"/>
      <c r="E657" s="202"/>
    </row>
    <row r="658" spans="1:5">
      <c r="A658" s="222" t="str">
        <f t="shared" si="2"/>
        <v/>
      </c>
      <c r="B658" s="223"/>
      <c r="C658" s="139"/>
      <c r="D658" s="225"/>
      <c r="E658" s="202"/>
    </row>
    <row r="659" spans="1:5">
      <c r="A659" s="222" t="str">
        <f t="shared" si="2"/>
        <v/>
      </c>
      <c r="B659" s="223"/>
      <c r="C659" s="139"/>
      <c r="D659" s="225"/>
      <c r="E659" s="202"/>
    </row>
    <row r="660" spans="1:5">
      <c r="A660" s="222" t="str">
        <f t="shared" si="2"/>
        <v/>
      </c>
      <c r="B660" s="223"/>
      <c r="C660" s="139"/>
      <c r="D660" s="225"/>
      <c r="E660" s="202"/>
    </row>
    <row r="661" spans="1:5">
      <c r="A661" s="222" t="str">
        <f t="shared" si="2"/>
        <v/>
      </c>
      <c r="B661" s="223"/>
      <c r="C661" s="139"/>
      <c r="D661" s="225"/>
      <c r="E661" s="202"/>
    </row>
    <row r="662" spans="1:5">
      <c r="A662" s="222" t="str">
        <f t="shared" si="2"/>
        <v/>
      </c>
      <c r="B662" s="223"/>
      <c r="C662" s="139"/>
      <c r="D662" s="225"/>
      <c r="E662" s="202"/>
    </row>
    <row r="663" spans="1:5">
      <c r="A663" s="222" t="str">
        <f t="shared" si="2"/>
        <v/>
      </c>
      <c r="B663" s="223"/>
      <c r="C663" s="139"/>
      <c r="D663" s="225"/>
      <c r="E663" s="202"/>
    </row>
    <row r="664" spans="1:5">
      <c r="A664" s="222" t="str">
        <f t="shared" si="2"/>
        <v/>
      </c>
      <c r="B664" s="223"/>
      <c r="C664" s="139"/>
      <c r="D664" s="225"/>
      <c r="E664" s="202"/>
    </row>
    <row r="665" spans="1:5">
      <c r="A665" s="222" t="str">
        <f t="shared" si="2"/>
        <v/>
      </c>
      <c r="B665" s="223"/>
      <c r="C665" s="139"/>
      <c r="D665" s="225"/>
      <c r="E665" s="202"/>
    </row>
    <row r="666" spans="1:5">
      <c r="A666" s="222" t="str">
        <f t="shared" si="2"/>
        <v/>
      </c>
      <c r="B666" s="223"/>
      <c r="C666" s="139"/>
      <c r="D666" s="225"/>
      <c r="E666" s="202"/>
    </row>
    <row r="667" spans="1:5">
      <c r="A667" s="222" t="str">
        <f t="shared" si="2"/>
        <v/>
      </c>
      <c r="B667" s="223"/>
      <c r="C667" s="139"/>
      <c r="D667" s="225"/>
      <c r="E667" s="202"/>
    </row>
    <row r="668" spans="1:5">
      <c r="A668" s="222" t="str">
        <f t="shared" si="2"/>
        <v/>
      </c>
      <c r="B668" s="223"/>
      <c r="C668" s="139"/>
      <c r="D668" s="225"/>
      <c r="E668" s="202"/>
    </row>
    <row r="669" spans="1:5">
      <c r="A669" s="222" t="str">
        <f t="shared" si="2"/>
        <v/>
      </c>
      <c r="B669" s="223"/>
      <c r="C669" s="139"/>
      <c r="D669" s="225"/>
      <c r="E669" s="202"/>
    </row>
    <row r="670" spans="1:5">
      <c r="A670" s="222" t="str">
        <f t="shared" si="2"/>
        <v/>
      </c>
      <c r="B670" s="223"/>
      <c r="C670" s="139"/>
      <c r="D670" s="225"/>
      <c r="E670" s="202"/>
    </row>
    <row r="671" spans="1:5">
      <c r="A671" s="222" t="str">
        <f t="shared" si="2"/>
        <v/>
      </c>
      <c r="B671" s="223"/>
      <c r="C671" s="139"/>
      <c r="D671" s="225"/>
      <c r="E671" s="202"/>
    </row>
    <row r="672" spans="1:5">
      <c r="A672" s="222" t="str">
        <f t="shared" si="2"/>
        <v/>
      </c>
      <c r="B672" s="223"/>
      <c r="C672" s="139"/>
      <c r="D672" s="225"/>
      <c r="E672" s="202"/>
    </row>
    <row r="673" spans="1:5">
      <c r="A673" s="222" t="str">
        <f t="shared" si="2"/>
        <v/>
      </c>
      <c r="B673" s="223"/>
      <c r="C673" s="139"/>
      <c r="D673" s="225"/>
      <c r="E673" s="202"/>
    </row>
    <row r="674" spans="1:5">
      <c r="A674" s="222" t="str">
        <f t="shared" si="2"/>
        <v/>
      </c>
      <c r="B674" s="223"/>
      <c r="C674" s="139"/>
      <c r="D674" s="225"/>
      <c r="E674" s="202"/>
    </row>
    <row r="675" spans="1:5">
      <c r="A675" s="222" t="str">
        <f t="shared" si="2"/>
        <v/>
      </c>
      <c r="B675" s="223"/>
      <c r="C675" s="139"/>
      <c r="D675" s="225"/>
      <c r="E675" s="202"/>
    </row>
    <row r="676" spans="1:5">
      <c r="A676" s="222" t="str">
        <f t="shared" si="2"/>
        <v/>
      </c>
      <c r="B676" s="223"/>
      <c r="C676" s="139"/>
      <c r="D676" s="225"/>
      <c r="E676" s="202"/>
    </row>
    <row r="677" spans="1:5">
      <c r="A677" s="222" t="str">
        <f t="shared" si="2"/>
        <v/>
      </c>
      <c r="B677" s="223"/>
      <c r="C677" s="139"/>
      <c r="D677" s="225"/>
      <c r="E677" s="202"/>
    </row>
    <row r="678" spans="1:5">
      <c r="A678" s="222" t="str">
        <f t="shared" si="2"/>
        <v/>
      </c>
      <c r="B678" s="223"/>
      <c r="C678" s="139"/>
      <c r="D678" s="225"/>
      <c r="E678" s="202"/>
    </row>
    <row r="679" spans="1:5">
      <c r="A679" s="222" t="str">
        <f t="shared" si="2"/>
        <v/>
      </c>
      <c r="B679" s="223"/>
      <c r="C679" s="139"/>
      <c r="D679" s="225"/>
      <c r="E679" s="202"/>
    </row>
    <row r="680" spans="1:5">
      <c r="A680" s="222" t="str">
        <f t="shared" si="2"/>
        <v/>
      </c>
      <c r="B680" s="223"/>
      <c r="C680" s="139"/>
      <c r="D680" s="225"/>
      <c r="E680" s="202"/>
    </row>
    <row r="681" spans="1:5">
      <c r="A681" s="222" t="str">
        <f t="shared" si="2"/>
        <v/>
      </c>
      <c r="B681" s="223"/>
      <c r="C681" s="139"/>
      <c r="D681" s="225"/>
      <c r="E681" s="202"/>
    </row>
    <row r="682" spans="1:5">
      <c r="A682" s="222" t="str">
        <f t="shared" si="2"/>
        <v/>
      </c>
      <c r="B682" s="223"/>
      <c r="C682" s="139"/>
      <c r="D682" s="225"/>
      <c r="E682" s="202"/>
    </row>
    <row r="683" spans="1:5">
      <c r="A683" s="222" t="str">
        <f t="shared" si="2"/>
        <v/>
      </c>
      <c r="B683" s="223"/>
      <c r="C683" s="139"/>
      <c r="D683" s="225"/>
      <c r="E683" s="202"/>
    </row>
    <row r="684" spans="1:5">
      <c r="A684" s="222" t="str">
        <f t="shared" si="2"/>
        <v/>
      </c>
      <c r="B684" s="223"/>
      <c r="C684" s="139"/>
      <c r="D684" s="225"/>
      <c r="E684" s="202"/>
    </row>
    <row r="685" spans="1:5">
      <c r="A685" s="222" t="str">
        <f t="shared" si="2"/>
        <v/>
      </c>
      <c r="B685" s="223"/>
      <c r="C685" s="139"/>
      <c r="D685" s="225"/>
      <c r="E685" s="202"/>
    </row>
    <row r="686" spans="1:5">
      <c r="A686" s="222" t="str">
        <f t="shared" si="2"/>
        <v/>
      </c>
      <c r="B686" s="223"/>
      <c r="C686" s="139"/>
      <c r="D686" s="225"/>
      <c r="E686" s="202"/>
    </row>
    <row r="687" spans="1:5">
      <c r="A687" s="222" t="str">
        <f t="shared" si="2"/>
        <v/>
      </c>
      <c r="B687" s="223"/>
      <c r="C687" s="139"/>
      <c r="D687" s="225"/>
      <c r="E687" s="202"/>
    </row>
    <row r="688" spans="1:5">
      <c r="A688" s="222" t="str">
        <f t="shared" si="2"/>
        <v/>
      </c>
      <c r="B688" s="223"/>
      <c r="C688" s="139"/>
      <c r="D688" s="225"/>
      <c r="E688" s="202"/>
    </row>
    <row r="689" spans="1:5">
      <c r="A689" s="222" t="str">
        <f t="shared" si="2"/>
        <v/>
      </c>
      <c r="B689" s="223"/>
      <c r="C689" s="139"/>
      <c r="D689" s="225"/>
      <c r="E689" s="202"/>
    </row>
    <row r="690" spans="1:5">
      <c r="A690" s="222" t="str">
        <f t="shared" si="2"/>
        <v/>
      </c>
      <c r="B690" s="223"/>
      <c r="C690" s="139"/>
      <c r="D690" s="225"/>
      <c r="E690" s="202"/>
    </row>
    <row r="691" spans="1:5">
      <c r="A691" s="222" t="str">
        <f t="shared" si="2"/>
        <v/>
      </c>
      <c r="B691" s="223"/>
      <c r="C691" s="139"/>
      <c r="D691" s="225"/>
      <c r="E691" s="202"/>
    </row>
    <row r="692" spans="1:5">
      <c r="A692" s="222" t="str">
        <f t="shared" si="2"/>
        <v/>
      </c>
      <c r="B692" s="223"/>
      <c r="C692" s="139"/>
      <c r="D692" s="225"/>
      <c r="E692" s="202"/>
    </row>
    <row r="693" spans="1:5">
      <c r="A693" s="222" t="str">
        <f t="shared" si="2"/>
        <v/>
      </c>
      <c r="B693" s="223"/>
      <c r="C693" s="139"/>
      <c r="D693" s="225"/>
      <c r="E693" s="202"/>
    </row>
    <row r="694" spans="1:5">
      <c r="A694" s="222" t="str">
        <f t="shared" si="2"/>
        <v/>
      </c>
      <c r="B694" s="223"/>
      <c r="C694" s="139"/>
      <c r="D694" s="225"/>
      <c r="E694" s="202"/>
    </row>
    <row r="695" spans="1:5">
      <c r="A695" s="222" t="str">
        <f t="shared" si="2"/>
        <v/>
      </c>
      <c r="B695" s="223"/>
      <c r="C695" s="139"/>
      <c r="D695" s="225"/>
      <c r="E695" s="202"/>
    </row>
    <row r="696" spans="1:5">
      <c r="A696" s="222" t="str">
        <f t="shared" si="2"/>
        <v/>
      </c>
      <c r="B696" s="223"/>
      <c r="C696" s="139"/>
      <c r="D696" s="225"/>
      <c r="E696" s="202"/>
    </row>
    <row r="697" spans="1:5">
      <c r="A697" s="222" t="str">
        <f t="shared" si="2"/>
        <v/>
      </c>
      <c r="B697" s="223"/>
      <c r="C697" s="139"/>
      <c r="D697" s="225"/>
      <c r="E697" s="202"/>
    </row>
    <row r="698" spans="1:5">
      <c r="A698" s="222" t="str">
        <f t="shared" si="2"/>
        <v/>
      </c>
      <c r="B698" s="223"/>
      <c r="C698" s="139"/>
      <c r="D698" s="225"/>
      <c r="E698" s="202"/>
    </row>
    <row r="699" spans="1:5">
      <c r="A699" s="222" t="str">
        <f t="shared" si="2"/>
        <v/>
      </c>
      <c r="B699" s="223"/>
      <c r="C699" s="139"/>
      <c r="D699" s="225"/>
      <c r="E699" s="202"/>
    </row>
    <row r="700" spans="1:5">
      <c r="A700" s="222" t="str">
        <f t="shared" si="2"/>
        <v/>
      </c>
      <c r="B700" s="223"/>
      <c r="C700" s="139"/>
      <c r="D700" s="225"/>
      <c r="E700" s="202"/>
    </row>
    <row r="701" spans="1:5">
      <c r="A701" s="222" t="str">
        <f t="shared" si="2"/>
        <v/>
      </c>
      <c r="B701" s="223"/>
      <c r="C701" s="139"/>
      <c r="D701" s="225"/>
      <c r="E701" s="202"/>
    </row>
    <row r="702" spans="1:5">
      <c r="A702" s="222" t="str">
        <f t="shared" si="2"/>
        <v/>
      </c>
      <c r="B702" s="223"/>
      <c r="C702" s="139"/>
      <c r="D702" s="225"/>
      <c r="E702" s="202"/>
    </row>
    <row r="703" spans="1:5">
      <c r="A703" s="222" t="str">
        <f t="shared" si="2"/>
        <v/>
      </c>
      <c r="B703" s="223"/>
      <c r="C703" s="139"/>
      <c r="D703" s="225"/>
      <c r="E703" s="202"/>
    </row>
    <row r="704" spans="1:5">
      <c r="A704" s="222" t="str">
        <f t="shared" si="2"/>
        <v/>
      </c>
      <c r="B704" s="223"/>
      <c r="C704" s="139"/>
      <c r="D704" s="225"/>
      <c r="E704" s="202"/>
    </row>
    <row r="705" spans="1:5">
      <c r="A705" s="222" t="str">
        <f t="shared" si="2"/>
        <v/>
      </c>
      <c r="B705" s="223"/>
      <c r="C705" s="139"/>
      <c r="D705" s="225"/>
      <c r="E705" s="202"/>
    </row>
    <row r="706" spans="1:5">
      <c r="A706" s="222" t="str">
        <f t="shared" si="2"/>
        <v/>
      </c>
      <c r="B706" s="223"/>
      <c r="C706" s="139"/>
      <c r="D706" s="225"/>
      <c r="E706" s="202"/>
    </row>
    <row r="707" spans="1:5">
      <c r="A707" s="222" t="str">
        <f t="shared" si="2"/>
        <v/>
      </c>
      <c r="B707" s="223"/>
      <c r="C707" s="139"/>
      <c r="D707" s="225"/>
      <c r="E707" s="202"/>
    </row>
    <row r="708" spans="1:5">
      <c r="A708" s="222" t="str">
        <f t="shared" si="2"/>
        <v/>
      </c>
      <c r="B708" s="223"/>
      <c r="C708" s="139"/>
      <c r="D708" s="225"/>
      <c r="E708" s="202"/>
    </row>
    <row r="709" spans="1:5">
      <c r="A709" s="222" t="str">
        <f t="shared" si="2"/>
        <v/>
      </c>
      <c r="B709" s="223"/>
      <c r="C709" s="139"/>
      <c r="D709" s="225"/>
      <c r="E709" s="202"/>
    </row>
    <row r="710" spans="1:5">
      <c r="A710" s="222" t="str">
        <f t="shared" si="2"/>
        <v/>
      </c>
      <c r="B710" s="223"/>
      <c r="C710" s="139"/>
      <c r="D710" s="225"/>
      <c r="E710" s="202"/>
    </row>
    <row r="711" spans="1:5">
      <c r="A711" s="222" t="str">
        <f t="shared" si="2"/>
        <v/>
      </c>
      <c r="B711" s="223"/>
      <c r="C711" s="139"/>
      <c r="D711" s="225"/>
      <c r="E711" s="202"/>
    </row>
    <row r="712" spans="1:5">
      <c r="A712" s="222" t="str">
        <f t="shared" si="2"/>
        <v/>
      </c>
      <c r="B712" s="223"/>
      <c r="C712" s="139"/>
      <c r="D712" s="225"/>
      <c r="E712" s="202"/>
    </row>
    <row r="713" spans="1:5">
      <c r="A713" s="222" t="str">
        <f t="shared" si="2"/>
        <v/>
      </c>
      <c r="B713" s="223"/>
      <c r="C713" s="139"/>
      <c r="D713" s="225"/>
      <c r="E713" s="202"/>
    </row>
    <row r="714" spans="1:5">
      <c r="A714" s="222" t="str">
        <f t="shared" si="2"/>
        <v/>
      </c>
      <c r="B714" s="223"/>
      <c r="C714" s="139"/>
      <c r="D714" s="225"/>
      <c r="E714" s="202"/>
    </row>
    <row r="715" spans="1:5">
      <c r="A715" s="222" t="str">
        <f t="shared" si="2"/>
        <v/>
      </c>
      <c r="B715" s="223"/>
      <c r="C715" s="139"/>
      <c r="D715" s="225"/>
      <c r="E715" s="202"/>
    </row>
    <row r="716" spans="1:5">
      <c r="A716" s="222" t="str">
        <f t="shared" si="2"/>
        <v/>
      </c>
      <c r="B716" s="223"/>
      <c r="C716" s="139"/>
      <c r="D716" s="225"/>
      <c r="E716" s="202"/>
    </row>
    <row r="717" spans="1:5">
      <c r="A717" s="222" t="str">
        <f t="shared" si="2"/>
        <v/>
      </c>
      <c r="B717" s="223"/>
      <c r="C717" s="139"/>
      <c r="D717" s="225"/>
      <c r="E717" s="202"/>
    </row>
    <row r="718" spans="1:5">
      <c r="A718" s="222" t="str">
        <f t="shared" si="2"/>
        <v/>
      </c>
      <c r="B718" s="223"/>
      <c r="C718" s="139"/>
      <c r="D718" s="225"/>
      <c r="E718" s="202"/>
    </row>
    <row r="719" spans="1:5">
      <c r="A719" s="222" t="str">
        <f t="shared" si="2"/>
        <v/>
      </c>
      <c r="B719" s="223"/>
      <c r="C719" s="139"/>
      <c r="D719" s="225"/>
      <c r="E719" s="202"/>
    </row>
    <row r="720" spans="1:5">
      <c r="A720" s="222" t="str">
        <f t="shared" si="2"/>
        <v/>
      </c>
      <c r="B720" s="223"/>
      <c r="C720" s="139"/>
      <c r="D720" s="225"/>
      <c r="E720" s="202"/>
    </row>
    <row r="721" spans="1:5">
      <c r="A721" s="222" t="str">
        <f t="shared" si="2"/>
        <v/>
      </c>
      <c r="B721" s="223"/>
      <c r="C721" s="139"/>
      <c r="D721" s="225"/>
      <c r="E721" s="202"/>
    </row>
    <row r="722" spans="1:5">
      <c r="A722" s="222" t="str">
        <f t="shared" si="2"/>
        <v/>
      </c>
      <c r="B722" s="223"/>
      <c r="C722" s="139"/>
      <c r="D722" s="225"/>
      <c r="E722" s="202"/>
    </row>
    <row r="723" spans="1:5">
      <c r="A723" s="222" t="str">
        <f t="shared" si="2"/>
        <v/>
      </c>
      <c r="B723" s="223"/>
      <c r="C723" s="139"/>
      <c r="D723" s="225"/>
      <c r="E723" s="202"/>
    </row>
    <row r="724" spans="1:5">
      <c r="A724" s="222" t="str">
        <f t="shared" si="2"/>
        <v/>
      </c>
      <c r="B724" s="223"/>
      <c r="C724" s="139"/>
      <c r="D724" s="225"/>
      <c r="E724" s="202"/>
    </row>
    <row r="725" spans="1:5">
      <c r="A725" s="222" t="str">
        <f t="shared" si="2"/>
        <v/>
      </c>
      <c r="B725" s="223"/>
      <c r="C725" s="139"/>
      <c r="D725" s="225"/>
      <c r="E725" s="202"/>
    </row>
    <row r="726" spans="1:5">
      <c r="A726" s="222" t="str">
        <f t="shared" si="2"/>
        <v/>
      </c>
      <c r="B726" s="223"/>
      <c r="C726" s="139"/>
      <c r="D726" s="225"/>
      <c r="E726" s="202"/>
    </row>
    <row r="727" spans="1:5">
      <c r="A727" s="222" t="str">
        <f t="shared" si="2"/>
        <v/>
      </c>
      <c r="B727" s="223"/>
      <c r="C727" s="139"/>
      <c r="D727" s="225"/>
      <c r="E727" s="202"/>
    </row>
    <row r="728" spans="1:5">
      <c r="A728" s="222" t="str">
        <f t="shared" si="2"/>
        <v/>
      </c>
      <c r="B728" s="223"/>
      <c r="C728" s="139"/>
      <c r="D728" s="225"/>
      <c r="E728" s="202"/>
    </row>
    <row r="729" spans="1:5">
      <c r="A729" s="222" t="str">
        <f t="shared" si="2"/>
        <v/>
      </c>
      <c r="B729" s="223"/>
      <c r="C729" s="139"/>
      <c r="D729" s="225"/>
      <c r="E729" s="202"/>
    </row>
    <row r="730" spans="1:5">
      <c r="A730" s="222" t="str">
        <f t="shared" si="2"/>
        <v/>
      </c>
      <c r="B730" s="223"/>
      <c r="C730" s="139"/>
      <c r="D730" s="225"/>
      <c r="E730" s="202"/>
    </row>
    <row r="731" spans="1:5">
      <c r="A731" s="222" t="str">
        <f t="shared" si="2"/>
        <v/>
      </c>
      <c r="B731" s="223"/>
      <c r="C731" s="139"/>
      <c r="D731" s="225"/>
      <c r="E731" s="202"/>
    </row>
    <row r="732" spans="1:5">
      <c r="A732" s="222" t="str">
        <f t="shared" si="2"/>
        <v/>
      </c>
      <c r="B732" s="223"/>
      <c r="C732" s="139"/>
      <c r="D732" s="225"/>
      <c r="E732" s="202"/>
    </row>
    <row r="733" spans="1:5">
      <c r="A733" s="222" t="str">
        <f t="shared" si="2"/>
        <v/>
      </c>
      <c r="B733" s="223"/>
      <c r="C733" s="139"/>
      <c r="D733" s="225"/>
      <c r="E733" s="202"/>
    </row>
    <row r="734" spans="1:5">
      <c r="A734" s="222" t="str">
        <f t="shared" si="2"/>
        <v/>
      </c>
      <c r="B734" s="223"/>
      <c r="C734" s="139"/>
      <c r="D734" s="225"/>
      <c r="E734" s="202"/>
    </row>
    <row r="735" spans="1:5">
      <c r="A735" s="222" t="str">
        <f t="shared" si="2"/>
        <v/>
      </c>
      <c r="B735" s="223"/>
      <c r="C735" s="139"/>
      <c r="D735" s="225"/>
      <c r="E735" s="202"/>
    </row>
    <row r="736" spans="1:5">
      <c r="A736" s="222" t="str">
        <f t="shared" si="2"/>
        <v/>
      </c>
      <c r="B736" s="223"/>
      <c r="C736" s="139"/>
      <c r="D736" s="225"/>
      <c r="E736" s="202"/>
    </row>
    <row r="737" spans="1:5">
      <c r="A737" s="222" t="str">
        <f t="shared" si="2"/>
        <v/>
      </c>
      <c r="B737" s="223"/>
      <c r="C737" s="139"/>
      <c r="D737" s="225"/>
      <c r="E737" s="202"/>
    </row>
    <row r="738" spans="1:5">
      <c r="A738" s="222" t="str">
        <f t="shared" si="2"/>
        <v/>
      </c>
      <c r="B738" s="223"/>
      <c r="C738" s="139"/>
      <c r="D738" s="225"/>
      <c r="E738" s="202"/>
    </row>
    <row r="739" spans="1:5">
      <c r="A739" s="222" t="str">
        <f t="shared" si="2"/>
        <v/>
      </c>
      <c r="B739" s="223"/>
      <c r="C739" s="139"/>
      <c r="D739" s="225"/>
      <c r="E739" s="202"/>
    </row>
    <row r="740" spans="1:5">
      <c r="A740" s="222" t="str">
        <f t="shared" si="2"/>
        <v/>
      </c>
      <c r="B740" s="223"/>
      <c r="C740" s="139"/>
      <c r="D740" s="225"/>
      <c r="E740" s="202"/>
    </row>
    <row r="741" spans="1:5">
      <c r="A741" s="222" t="str">
        <f t="shared" si="2"/>
        <v/>
      </c>
      <c r="B741" s="223"/>
      <c r="C741" s="139"/>
      <c r="D741" s="225"/>
      <c r="E741" s="202"/>
    </row>
    <row r="742" spans="1:5">
      <c r="A742" s="222" t="str">
        <f t="shared" si="2"/>
        <v/>
      </c>
      <c r="B742" s="223"/>
      <c r="C742" s="139"/>
      <c r="D742" s="225"/>
      <c r="E742" s="202"/>
    </row>
    <row r="743" spans="1:5">
      <c r="A743" s="222" t="str">
        <f t="shared" si="2"/>
        <v/>
      </c>
      <c r="B743" s="223"/>
      <c r="C743" s="139"/>
      <c r="D743" s="225"/>
      <c r="E743" s="202"/>
    </row>
    <row r="744" spans="1:5">
      <c r="A744" s="222" t="str">
        <f t="shared" si="2"/>
        <v/>
      </c>
      <c r="B744" s="223"/>
      <c r="C744" s="139"/>
      <c r="D744" s="225"/>
      <c r="E744" s="202"/>
    </row>
    <row r="745" spans="1:5">
      <c r="A745" s="222" t="str">
        <f t="shared" si="2"/>
        <v/>
      </c>
      <c r="B745" s="223"/>
      <c r="C745" s="139"/>
      <c r="D745" s="225"/>
      <c r="E745" s="202"/>
    </row>
    <row r="746" spans="1:5">
      <c r="A746" s="222" t="str">
        <f t="shared" si="2"/>
        <v/>
      </c>
      <c r="B746" s="223"/>
      <c r="C746" s="139"/>
      <c r="D746" s="225"/>
      <c r="E746" s="202"/>
    </row>
    <row r="747" spans="1:5">
      <c r="A747" s="222" t="str">
        <f t="shared" si="2"/>
        <v/>
      </c>
      <c r="B747" s="223"/>
      <c r="C747" s="139"/>
      <c r="D747" s="225"/>
      <c r="E747" s="202"/>
    </row>
    <row r="748" spans="1:5">
      <c r="A748" s="222" t="str">
        <f t="shared" si="2"/>
        <v/>
      </c>
      <c r="B748" s="223"/>
      <c r="C748" s="139"/>
      <c r="D748" s="225"/>
      <c r="E748" s="202"/>
    </row>
    <row r="749" spans="1:5">
      <c r="A749" s="222" t="str">
        <f t="shared" si="2"/>
        <v/>
      </c>
      <c r="B749" s="223"/>
      <c r="C749" s="139"/>
      <c r="D749" s="225"/>
      <c r="E749" s="202"/>
    </row>
    <row r="750" spans="1:5">
      <c r="A750" s="222" t="str">
        <f t="shared" si="2"/>
        <v/>
      </c>
      <c r="B750" s="223"/>
      <c r="C750" s="139"/>
      <c r="D750" s="225"/>
      <c r="E750" s="202"/>
    </row>
    <row r="751" spans="1:5">
      <c r="A751" s="222" t="str">
        <f t="shared" si="2"/>
        <v/>
      </c>
      <c r="B751" s="223"/>
      <c r="C751" s="139"/>
      <c r="D751" s="225"/>
      <c r="E751" s="202"/>
    </row>
    <row r="752" spans="1:5">
      <c r="A752" s="222" t="str">
        <f t="shared" si="2"/>
        <v/>
      </c>
      <c r="B752" s="223"/>
      <c r="C752" s="139"/>
      <c r="D752" s="225"/>
      <c r="E752" s="202"/>
    </row>
    <row r="753" spans="1:5">
      <c r="A753" s="222" t="str">
        <f t="shared" si="2"/>
        <v/>
      </c>
      <c r="B753" s="223"/>
      <c r="C753" s="139"/>
      <c r="D753" s="225"/>
      <c r="E753" s="202"/>
    </row>
    <row r="754" spans="1:5">
      <c r="A754" s="222" t="str">
        <f t="shared" si="2"/>
        <v/>
      </c>
      <c r="B754" s="223"/>
      <c r="C754" s="139"/>
      <c r="D754" s="225"/>
      <c r="E754" s="202"/>
    </row>
    <row r="755" spans="1:5">
      <c r="A755" s="222" t="str">
        <f t="shared" si="2"/>
        <v/>
      </c>
      <c r="B755" s="223"/>
      <c r="C755" s="139"/>
      <c r="D755" s="225"/>
      <c r="E755" s="202"/>
    </row>
    <row r="756" spans="1:5">
      <c r="A756" s="222" t="str">
        <f t="shared" si="2"/>
        <v/>
      </c>
      <c r="B756" s="223"/>
      <c r="C756" s="139"/>
      <c r="D756" s="225"/>
      <c r="E756" s="202"/>
    </row>
    <row r="757" spans="1:5">
      <c r="A757" s="222" t="str">
        <f t="shared" si="2"/>
        <v/>
      </c>
      <c r="B757" s="223"/>
      <c r="C757" s="139"/>
      <c r="D757" s="225"/>
      <c r="E757" s="202"/>
    </row>
    <row r="758" spans="1:5">
      <c r="A758" s="222" t="str">
        <f t="shared" si="2"/>
        <v/>
      </c>
      <c r="B758" s="223"/>
      <c r="C758" s="139"/>
      <c r="D758" s="225"/>
      <c r="E758" s="202"/>
    </row>
    <row r="759" spans="1:5">
      <c r="A759" s="222" t="str">
        <f t="shared" si="2"/>
        <v/>
      </c>
      <c r="B759" s="223"/>
      <c r="C759" s="139"/>
      <c r="D759" s="225"/>
      <c r="E759" s="202"/>
    </row>
    <row r="760" spans="1:5">
      <c r="A760" s="222" t="str">
        <f t="shared" si="2"/>
        <v/>
      </c>
      <c r="B760" s="223"/>
      <c r="C760" s="139"/>
      <c r="D760" s="225"/>
      <c r="E760" s="202"/>
    </row>
    <row r="761" spans="1:5">
      <c r="A761" s="222" t="str">
        <f t="shared" si="2"/>
        <v/>
      </c>
      <c r="B761" s="223"/>
      <c r="C761" s="139"/>
      <c r="D761" s="225"/>
      <c r="E761" s="202"/>
    </row>
    <row r="762" spans="1:5">
      <c r="A762" s="222" t="str">
        <f t="shared" si="2"/>
        <v/>
      </c>
      <c r="B762" s="223"/>
      <c r="C762" s="139"/>
      <c r="D762" s="225"/>
      <c r="E762" s="202"/>
    </row>
    <row r="763" spans="1:5">
      <c r="A763" s="222" t="str">
        <f t="shared" si="2"/>
        <v/>
      </c>
      <c r="B763" s="223"/>
      <c r="C763" s="139"/>
      <c r="D763" s="225"/>
      <c r="E763" s="202"/>
    </row>
    <row r="764" spans="1:5">
      <c r="A764" s="222" t="str">
        <f t="shared" si="2"/>
        <v/>
      </c>
      <c r="B764" s="223"/>
      <c r="C764" s="139"/>
      <c r="D764" s="225"/>
      <c r="E764" s="202"/>
    </row>
    <row r="765" spans="1:5">
      <c r="A765" s="222" t="str">
        <f t="shared" si="2"/>
        <v/>
      </c>
      <c r="B765" s="223"/>
      <c r="C765" s="139"/>
      <c r="D765" s="225"/>
      <c r="E765" s="202"/>
    </row>
    <row r="766" spans="1:5">
      <c r="A766" s="222" t="str">
        <f t="shared" si="2"/>
        <v/>
      </c>
      <c r="B766" s="223"/>
      <c r="C766" s="139"/>
      <c r="D766" s="225"/>
      <c r="E766" s="202"/>
    </row>
    <row r="767" spans="1:5">
      <c r="A767" s="222" t="str">
        <f t="shared" si="2"/>
        <v/>
      </c>
      <c r="B767" s="223"/>
      <c r="C767" s="139"/>
      <c r="D767" s="225"/>
      <c r="E767" s="202"/>
    </row>
    <row r="768" spans="1:5">
      <c r="A768" s="222" t="str">
        <f t="shared" si="2"/>
        <v/>
      </c>
      <c r="B768" s="223"/>
      <c r="C768" s="139"/>
      <c r="D768" s="225"/>
      <c r="E768" s="202"/>
    </row>
    <row r="769" spans="1:5">
      <c r="A769" s="222" t="str">
        <f t="shared" si="2"/>
        <v/>
      </c>
      <c r="B769" s="223"/>
      <c r="C769" s="139"/>
      <c r="D769" s="225"/>
      <c r="E769" s="202"/>
    </row>
    <row r="770" spans="1:5">
      <c r="A770" s="222" t="str">
        <f t="shared" si="2"/>
        <v/>
      </c>
      <c r="B770" s="223"/>
      <c r="C770" s="139"/>
      <c r="D770" s="225"/>
      <c r="E770" s="202"/>
    </row>
    <row r="771" spans="1:5">
      <c r="A771" s="222" t="str">
        <f t="shared" si="2"/>
        <v/>
      </c>
      <c r="B771" s="223"/>
      <c r="C771" s="139"/>
      <c r="D771" s="225"/>
      <c r="E771" s="202"/>
    </row>
    <row r="772" spans="1:5">
      <c r="A772" s="222" t="str">
        <f t="shared" si="2"/>
        <v/>
      </c>
      <c r="B772" s="223"/>
      <c r="C772" s="139"/>
      <c r="D772" s="225"/>
      <c r="E772" s="202"/>
    </row>
    <row r="773" spans="1:5">
      <c r="A773" s="222" t="str">
        <f t="shared" si="2"/>
        <v/>
      </c>
      <c r="B773" s="223"/>
      <c r="C773" s="139"/>
      <c r="D773" s="225"/>
      <c r="E773" s="202"/>
    </row>
    <row r="774" spans="1:5">
      <c r="A774" s="222" t="str">
        <f t="shared" ref="A774:A999" si="3">IF(B774="","", ROW()-1)</f>
        <v/>
      </c>
      <c r="B774" s="223"/>
      <c r="C774" s="139"/>
      <c r="D774" s="225"/>
      <c r="E774" s="202"/>
    </row>
    <row r="775" spans="1:5">
      <c r="A775" s="222" t="str">
        <f t="shared" si="3"/>
        <v/>
      </c>
      <c r="B775" s="223"/>
      <c r="C775" s="139"/>
      <c r="D775" s="225"/>
      <c r="E775" s="202"/>
    </row>
    <row r="776" spans="1:5">
      <c r="A776" s="222" t="str">
        <f t="shared" si="3"/>
        <v/>
      </c>
      <c r="B776" s="223"/>
      <c r="C776" s="139"/>
      <c r="D776" s="225"/>
      <c r="E776" s="202"/>
    </row>
    <row r="777" spans="1:5">
      <c r="A777" s="222" t="str">
        <f t="shared" si="3"/>
        <v/>
      </c>
      <c r="B777" s="223"/>
      <c r="C777" s="139"/>
      <c r="D777" s="225"/>
      <c r="E777" s="202"/>
    </row>
    <row r="778" spans="1:5">
      <c r="A778" s="222" t="str">
        <f t="shared" si="3"/>
        <v/>
      </c>
      <c r="B778" s="223"/>
      <c r="C778" s="139"/>
      <c r="D778" s="225"/>
      <c r="E778" s="202"/>
    </row>
    <row r="779" spans="1:5">
      <c r="A779" s="222" t="str">
        <f t="shared" si="3"/>
        <v/>
      </c>
      <c r="B779" s="223"/>
      <c r="C779" s="139"/>
      <c r="D779" s="225"/>
      <c r="E779" s="202"/>
    </row>
    <row r="780" spans="1:5">
      <c r="A780" s="222" t="str">
        <f t="shared" si="3"/>
        <v/>
      </c>
      <c r="B780" s="223"/>
      <c r="C780" s="139"/>
      <c r="D780" s="225"/>
      <c r="E780" s="202"/>
    </row>
    <row r="781" spans="1:5">
      <c r="A781" s="222" t="str">
        <f t="shared" si="3"/>
        <v/>
      </c>
      <c r="B781" s="223"/>
      <c r="C781" s="139"/>
      <c r="D781" s="225"/>
      <c r="E781" s="202"/>
    </row>
    <row r="782" spans="1:5">
      <c r="A782" s="222" t="str">
        <f t="shared" si="3"/>
        <v/>
      </c>
      <c r="B782" s="223"/>
      <c r="C782" s="139"/>
      <c r="D782" s="225"/>
      <c r="E782" s="202"/>
    </row>
    <row r="783" spans="1:5">
      <c r="A783" s="222" t="str">
        <f t="shared" si="3"/>
        <v/>
      </c>
      <c r="B783" s="223"/>
      <c r="C783" s="139"/>
      <c r="D783" s="225"/>
      <c r="E783" s="202"/>
    </row>
    <row r="784" spans="1:5">
      <c r="A784" s="222" t="str">
        <f t="shared" si="3"/>
        <v/>
      </c>
      <c r="B784" s="223"/>
      <c r="C784" s="139"/>
      <c r="D784" s="225"/>
      <c r="E784" s="202"/>
    </row>
    <row r="785" spans="1:5">
      <c r="A785" s="222" t="str">
        <f t="shared" si="3"/>
        <v/>
      </c>
      <c r="B785" s="223"/>
      <c r="C785" s="139"/>
      <c r="D785" s="225"/>
      <c r="E785" s="202"/>
    </row>
    <row r="786" spans="1:5">
      <c r="A786" s="222" t="str">
        <f t="shared" si="3"/>
        <v/>
      </c>
      <c r="B786" s="223"/>
      <c r="C786" s="139"/>
      <c r="D786" s="225"/>
      <c r="E786" s="202"/>
    </row>
    <row r="787" spans="1:5">
      <c r="A787" s="222" t="str">
        <f t="shared" si="3"/>
        <v/>
      </c>
      <c r="B787" s="223"/>
      <c r="C787" s="139"/>
      <c r="D787" s="225"/>
      <c r="E787" s="202"/>
    </row>
    <row r="788" spans="1:5">
      <c r="A788" s="222" t="str">
        <f t="shared" si="3"/>
        <v/>
      </c>
      <c r="B788" s="223"/>
      <c r="C788" s="139"/>
      <c r="D788" s="225"/>
      <c r="E788" s="202"/>
    </row>
    <row r="789" spans="1:5">
      <c r="A789" s="222" t="str">
        <f t="shared" si="3"/>
        <v/>
      </c>
      <c r="B789" s="223"/>
      <c r="C789" s="139"/>
      <c r="D789" s="225"/>
      <c r="E789" s="202"/>
    </row>
    <row r="790" spans="1:5">
      <c r="A790" s="222" t="str">
        <f t="shared" si="3"/>
        <v/>
      </c>
      <c r="B790" s="223"/>
      <c r="C790" s="139"/>
      <c r="D790" s="225"/>
      <c r="E790" s="202"/>
    </row>
    <row r="791" spans="1:5">
      <c r="A791" s="222" t="str">
        <f t="shared" si="3"/>
        <v/>
      </c>
      <c r="B791" s="223"/>
      <c r="C791" s="139"/>
      <c r="D791" s="225"/>
      <c r="E791" s="202"/>
    </row>
    <row r="792" spans="1:5">
      <c r="A792" s="222" t="str">
        <f t="shared" si="3"/>
        <v/>
      </c>
      <c r="B792" s="223"/>
      <c r="C792" s="139"/>
      <c r="D792" s="225"/>
      <c r="E792" s="202"/>
    </row>
    <row r="793" spans="1:5">
      <c r="A793" s="222" t="str">
        <f t="shared" si="3"/>
        <v/>
      </c>
      <c r="B793" s="223"/>
      <c r="C793" s="139"/>
      <c r="D793" s="225"/>
      <c r="E793" s="202"/>
    </row>
    <row r="794" spans="1:5">
      <c r="A794" s="222" t="str">
        <f t="shared" si="3"/>
        <v/>
      </c>
      <c r="B794" s="223"/>
      <c r="C794" s="139"/>
      <c r="D794" s="225"/>
      <c r="E794" s="202"/>
    </row>
    <row r="795" spans="1:5">
      <c r="A795" s="222" t="str">
        <f t="shared" si="3"/>
        <v/>
      </c>
      <c r="B795" s="223"/>
      <c r="C795" s="139"/>
      <c r="D795" s="225"/>
      <c r="E795" s="202"/>
    </row>
    <row r="796" spans="1:5">
      <c r="A796" s="222" t="str">
        <f t="shared" si="3"/>
        <v/>
      </c>
      <c r="B796" s="223"/>
      <c r="C796" s="139"/>
      <c r="D796" s="225"/>
      <c r="E796" s="202"/>
    </row>
    <row r="797" spans="1:5">
      <c r="A797" s="222" t="str">
        <f t="shared" si="3"/>
        <v/>
      </c>
      <c r="B797" s="223"/>
      <c r="C797" s="139"/>
      <c r="D797" s="225"/>
      <c r="E797" s="202"/>
    </row>
    <row r="798" spans="1:5">
      <c r="A798" s="222" t="str">
        <f t="shared" si="3"/>
        <v/>
      </c>
      <c r="B798" s="223"/>
      <c r="C798" s="139"/>
      <c r="D798" s="225"/>
      <c r="E798" s="202"/>
    </row>
    <row r="799" spans="1:5">
      <c r="A799" s="222" t="str">
        <f t="shared" si="3"/>
        <v/>
      </c>
      <c r="B799" s="223"/>
      <c r="C799" s="139"/>
      <c r="D799" s="225"/>
      <c r="E799" s="202"/>
    </row>
    <row r="800" spans="1:5">
      <c r="A800" s="222" t="str">
        <f t="shared" si="3"/>
        <v/>
      </c>
      <c r="B800" s="223"/>
      <c r="C800" s="139"/>
      <c r="D800" s="225"/>
      <c r="E800" s="202"/>
    </row>
    <row r="801" spans="1:5">
      <c r="A801" s="222" t="str">
        <f t="shared" si="3"/>
        <v/>
      </c>
      <c r="B801" s="223"/>
      <c r="C801" s="139"/>
      <c r="D801" s="225"/>
      <c r="E801" s="202"/>
    </row>
    <row r="802" spans="1:5">
      <c r="A802" s="222" t="str">
        <f t="shared" si="3"/>
        <v/>
      </c>
      <c r="B802" s="223"/>
      <c r="C802" s="139"/>
      <c r="D802" s="225"/>
      <c r="E802" s="202"/>
    </row>
    <row r="803" spans="1:5">
      <c r="A803" s="222" t="str">
        <f t="shared" si="3"/>
        <v/>
      </c>
      <c r="B803" s="223"/>
      <c r="C803" s="139"/>
      <c r="D803" s="225"/>
      <c r="E803" s="202"/>
    </row>
    <row r="804" spans="1:5">
      <c r="A804" s="222" t="str">
        <f t="shared" si="3"/>
        <v/>
      </c>
      <c r="B804" s="223"/>
      <c r="C804" s="139"/>
      <c r="D804" s="225"/>
      <c r="E804" s="202"/>
    </row>
    <row r="805" spans="1:5">
      <c r="A805" s="222" t="str">
        <f t="shared" si="3"/>
        <v/>
      </c>
      <c r="B805" s="223"/>
      <c r="C805" s="139"/>
      <c r="D805" s="225"/>
      <c r="E805" s="202"/>
    </row>
    <row r="806" spans="1:5">
      <c r="A806" s="222" t="str">
        <f t="shared" si="3"/>
        <v/>
      </c>
      <c r="B806" s="223"/>
      <c r="C806" s="139"/>
      <c r="D806" s="225"/>
      <c r="E806" s="202"/>
    </row>
    <row r="807" spans="1:5">
      <c r="A807" s="222" t="str">
        <f t="shared" si="3"/>
        <v/>
      </c>
      <c r="B807" s="223"/>
      <c r="C807" s="139"/>
      <c r="D807" s="225"/>
      <c r="E807" s="202"/>
    </row>
    <row r="808" spans="1:5">
      <c r="A808" s="222" t="str">
        <f t="shared" si="3"/>
        <v/>
      </c>
      <c r="B808" s="223"/>
      <c r="C808" s="139"/>
      <c r="D808" s="225"/>
      <c r="E808" s="202"/>
    </row>
    <row r="809" spans="1:5">
      <c r="A809" s="222" t="str">
        <f t="shared" si="3"/>
        <v/>
      </c>
      <c r="B809" s="223"/>
      <c r="C809" s="139"/>
      <c r="D809" s="225"/>
      <c r="E809" s="202"/>
    </row>
    <row r="810" spans="1:5">
      <c r="A810" s="222" t="str">
        <f t="shared" si="3"/>
        <v/>
      </c>
      <c r="B810" s="223"/>
      <c r="C810" s="139"/>
      <c r="D810" s="225"/>
      <c r="E810" s="202"/>
    </row>
    <row r="811" spans="1:5">
      <c r="A811" s="222" t="str">
        <f t="shared" si="3"/>
        <v/>
      </c>
      <c r="B811" s="223"/>
      <c r="C811" s="139"/>
      <c r="D811" s="225"/>
      <c r="E811" s="202"/>
    </row>
    <row r="812" spans="1:5">
      <c r="A812" s="222" t="str">
        <f t="shared" si="3"/>
        <v/>
      </c>
      <c r="B812" s="223"/>
      <c r="C812" s="139"/>
      <c r="D812" s="225"/>
      <c r="E812" s="202"/>
    </row>
    <row r="813" spans="1:5">
      <c r="A813" s="222" t="str">
        <f t="shared" si="3"/>
        <v/>
      </c>
      <c r="B813" s="223"/>
      <c r="C813" s="139"/>
      <c r="D813" s="225"/>
      <c r="E813" s="202"/>
    </row>
    <row r="814" spans="1:5">
      <c r="A814" s="222" t="str">
        <f t="shared" si="3"/>
        <v/>
      </c>
      <c r="B814" s="223"/>
      <c r="C814" s="139"/>
      <c r="D814" s="225"/>
      <c r="E814" s="202"/>
    </row>
    <row r="815" spans="1:5">
      <c r="A815" s="222" t="str">
        <f t="shared" si="3"/>
        <v/>
      </c>
      <c r="B815" s="223"/>
      <c r="C815" s="139"/>
      <c r="D815" s="225"/>
      <c r="E815" s="202"/>
    </row>
    <row r="816" spans="1:5">
      <c r="A816" s="222" t="str">
        <f t="shared" si="3"/>
        <v/>
      </c>
      <c r="B816" s="223"/>
      <c r="C816" s="139"/>
      <c r="D816" s="225"/>
      <c r="E816" s="202"/>
    </row>
    <row r="817" spans="1:5">
      <c r="A817" s="222" t="str">
        <f t="shared" si="3"/>
        <v/>
      </c>
      <c r="B817" s="223"/>
      <c r="C817" s="139"/>
      <c r="D817" s="225"/>
      <c r="E817" s="202"/>
    </row>
    <row r="818" spans="1:5">
      <c r="A818" s="222" t="str">
        <f t="shared" si="3"/>
        <v/>
      </c>
      <c r="B818" s="223"/>
      <c r="C818" s="139"/>
      <c r="D818" s="225"/>
      <c r="E818" s="202"/>
    </row>
    <row r="819" spans="1:5">
      <c r="A819" s="222" t="str">
        <f t="shared" si="3"/>
        <v/>
      </c>
      <c r="B819" s="223"/>
      <c r="C819" s="139"/>
      <c r="D819" s="225"/>
      <c r="E819" s="202"/>
    </row>
    <row r="820" spans="1:5">
      <c r="A820" s="222" t="str">
        <f t="shared" si="3"/>
        <v/>
      </c>
      <c r="B820" s="223"/>
      <c r="C820" s="139"/>
      <c r="D820" s="225"/>
      <c r="E820" s="202"/>
    </row>
    <row r="821" spans="1:5">
      <c r="A821" s="222" t="str">
        <f t="shared" si="3"/>
        <v/>
      </c>
      <c r="B821" s="223"/>
      <c r="C821" s="139"/>
      <c r="D821" s="225"/>
      <c r="E821" s="202"/>
    </row>
    <row r="822" spans="1:5">
      <c r="A822" s="222" t="str">
        <f t="shared" si="3"/>
        <v/>
      </c>
      <c r="B822" s="223"/>
      <c r="C822" s="139"/>
      <c r="D822" s="225"/>
      <c r="E822" s="202"/>
    </row>
    <row r="823" spans="1:5">
      <c r="A823" s="222" t="str">
        <f t="shared" si="3"/>
        <v/>
      </c>
      <c r="B823" s="223"/>
      <c r="C823" s="139"/>
      <c r="D823" s="225"/>
      <c r="E823" s="202"/>
    </row>
    <row r="824" spans="1:5">
      <c r="A824" s="222" t="str">
        <f t="shared" si="3"/>
        <v/>
      </c>
      <c r="B824" s="223"/>
      <c r="C824" s="139"/>
      <c r="D824" s="225"/>
      <c r="E824" s="202"/>
    </row>
    <row r="825" spans="1:5">
      <c r="A825" s="222" t="str">
        <f t="shared" si="3"/>
        <v/>
      </c>
      <c r="B825" s="223"/>
      <c r="C825" s="139"/>
      <c r="D825" s="225"/>
      <c r="E825" s="202"/>
    </row>
    <row r="826" spans="1:5">
      <c r="A826" s="222" t="str">
        <f t="shared" si="3"/>
        <v/>
      </c>
      <c r="B826" s="223"/>
      <c r="C826" s="139"/>
      <c r="D826" s="225"/>
      <c r="E826" s="202"/>
    </row>
    <row r="827" spans="1:5">
      <c r="A827" s="222" t="str">
        <f t="shared" si="3"/>
        <v/>
      </c>
      <c r="B827" s="223"/>
      <c r="C827" s="139"/>
      <c r="D827" s="225"/>
      <c r="E827" s="202"/>
    </row>
    <row r="828" spans="1:5">
      <c r="A828" s="222" t="str">
        <f t="shared" si="3"/>
        <v/>
      </c>
      <c r="B828" s="223"/>
      <c r="C828" s="139"/>
      <c r="D828" s="225"/>
      <c r="E828" s="202"/>
    </row>
    <row r="829" spans="1:5">
      <c r="A829" s="222" t="str">
        <f t="shared" si="3"/>
        <v/>
      </c>
      <c r="B829" s="223"/>
      <c r="C829" s="139"/>
      <c r="D829" s="225"/>
      <c r="E829" s="202"/>
    </row>
    <row r="830" spans="1:5">
      <c r="A830" s="222" t="str">
        <f t="shared" si="3"/>
        <v/>
      </c>
      <c r="B830" s="223"/>
      <c r="C830" s="139"/>
      <c r="D830" s="225"/>
      <c r="E830" s="202"/>
    </row>
    <row r="831" spans="1:5">
      <c r="A831" s="222" t="str">
        <f t="shared" si="3"/>
        <v/>
      </c>
      <c r="B831" s="223"/>
      <c r="C831" s="139"/>
      <c r="D831" s="225"/>
      <c r="E831" s="202"/>
    </row>
    <row r="832" spans="1:5">
      <c r="A832" s="222" t="str">
        <f t="shared" si="3"/>
        <v/>
      </c>
      <c r="B832" s="223"/>
      <c r="C832" s="139"/>
      <c r="D832" s="225"/>
      <c r="E832" s="202"/>
    </row>
    <row r="833" spans="1:5">
      <c r="A833" s="222" t="str">
        <f t="shared" si="3"/>
        <v/>
      </c>
      <c r="B833" s="223"/>
      <c r="C833" s="139"/>
      <c r="D833" s="225"/>
      <c r="E833" s="202"/>
    </row>
    <row r="834" spans="1:5">
      <c r="A834" s="222" t="str">
        <f t="shared" si="3"/>
        <v/>
      </c>
      <c r="B834" s="223"/>
      <c r="C834" s="139"/>
      <c r="D834" s="225"/>
      <c r="E834" s="202"/>
    </row>
    <row r="835" spans="1:5">
      <c r="A835" s="222" t="str">
        <f t="shared" si="3"/>
        <v/>
      </c>
      <c r="B835" s="223"/>
      <c r="C835" s="139"/>
      <c r="D835" s="225"/>
      <c r="E835" s="202"/>
    </row>
    <row r="836" spans="1:5">
      <c r="A836" s="222" t="str">
        <f t="shared" si="3"/>
        <v/>
      </c>
      <c r="B836" s="223"/>
      <c r="C836" s="139"/>
      <c r="D836" s="225"/>
      <c r="E836" s="202"/>
    </row>
    <row r="837" spans="1:5">
      <c r="A837" s="222" t="str">
        <f t="shared" si="3"/>
        <v/>
      </c>
      <c r="B837" s="223"/>
      <c r="C837" s="139"/>
      <c r="D837" s="225"/>
      <c r="E837" s="202"/>
    </row>
    <row r="838" spans="1:5">
      <c r="A838" s="222" t="str">
        <f t="shared" si="3"/>
        <v/>
      </c>
      <c r="B838" s="223"/>
      <c r="C838" s="139"/>
      <c r="D838" s="225"/>
      <c r="E838" s="202"/>
    </row>
    <row r="839" spans="1:5">
      <c r="A839" s="222" t="str">
        <f t="shared" si="3"/>
        <v/>
      </c>
      <c r="B839" s="223"/>
      <c r="C839" s="139"/>
      <c r="D839" s="225"/>
      <c r="E839" s="202"/>
    </row>
    <row r="840" spans="1:5">
      <c r="A840" s="222" t="str">
        <f t="shared" si="3"/>
        <v/>
      </c>
      <c r="B840" s="223"/>
      <c r="C840" s="139"/>
      <c r="D840" s="225"/>
      <c r="E840" s="202"/>
    </row>
    <row r="841" spans="1:5">
      <c r="A841" s="222" t="str">
        <f t="shared" si="3"/>
        <v/>
      </c>
      <c r="B841" s="223"/>
      <c r="C841" s="139"/>
      <c r="D841" s="225"/>
      <c r="E841" s="202"/>
    </row>
    <row r="842" spans="1:5">
      <c r="A842" s="222" t="str">
        <f t="shared" si="3"/>
        <v/>
      </c>
      <c r="B842" s="223"/>
      <c r="C842" s="139"/>
      <c r="D842" s="225"/>
      <c r="E842" s="202"/>
    </row>
    <row r="843" spans="1:5">
      <c r="A843" s="222" t="str">
        <f t="shared" si="3"/>
        <v/>
      </c>
      <c r="B843" s="223"/>
      <c r="C843" s="139"/>
      <c r="D843" s="225"/>
      <c r="E843" s="202"/>
    </row>
    <row r="844" spans="1:5">
      <c r="A844" s="222" t="str">
        <f t="shared" si="3"/>
        <v/>
      </c>
      <c r="B844" s="223"/>
      <c r="C844" s="139"/>
      <c r="D844" s="225"/>
      <c r="E844" s="202"/>
    </row>
    <row r="845" spans="1:5">
      <c r="A845" s="222" t="str">
        <f t="shared" si="3"/>
        <v/>
      </c>
      <c r="B845" s="223"/>
      <c r="C845" s="139"/>
      <c r="D845" s="225"/>
      <c r="E845" s="202"/>
    </row>
    <row r="846" spans="1:5">
      <c r="A846" s="222" t="str">
        <f t="shared" si="3"/>
        <v/>
      </c>
      <c r="B846" s="223"/>
      <c r="C846" s="139"/>
      <c r="D846" s="225"/>
      <c r="E846" s="202"/>
    </row>
    <row r="847" spans="1:5">
      <c r="A847" s="222" t="str">
        <f t="shared" si="3"/>
        <v/>
      </c>
      <c r="B847" s="223"/>
      <c r="C847" s="139"/>
      <c r="D847" s="225"/>
      <c r="E847" s="202"/>
    </row>
    <row r="848" spans="1:5">
      <c r="A848" s="222" t="str">
        <f t="shared" si="3"/>
        <v/>
      </c>
      <c r="B848" s="223"/>
      <c r="C848" s="139"/>
      <c r="D848" s="225"/>
      <c r="E848" s="202"/>
    </row>
    <row r="849" spans="1:5">
      <c r="A849" s="222" t="str">
        <f t="shared" si="3"/>
        <v/>
      </c>
      <c r="B849" s="223"/>
      <c r="C849" s="139"/>
      <c r="D849" s="225"/>
      <c r="E849" s="202"/>
    </row>
    <row r="850" spans="1:5">
      <c r="A850" s="222" t="str">
        <f t="shared" si="3"/>
        <v/>
      </c>
      <c r="B850" s="223"/>
      <c r="C850" s="139"/>
      <c r="D850" s="225"/>
      <c r="E850" s="202"/>
    </row>
    <row r="851" spans="1:5">
      <c r="A851" s="222" t="str">
        <f t="shared" si="3"/>
        <v/>
      </c>
      <c r="B851" s="223"/>
      <c r="C851" s="139"/>
      <c r="D851" s="225"/>
      <c r="E851" s="202"/>
    </row>
    <row r="852" spans="1:5">
      <c r="A852" s="222" t="str">
        <f t="shared" si="3"/>
        <v/>
      </c>
      <c r="B852" s="223"/>
      <c r="C852" s="139"/>
      <c r="D852" s="225"/>
      <c r="E852" s="202"/>
    </row>
    <row r="853" spans="1:5">
      <c r="A853" s="222" t="str">
        <f t="shared" si="3"/>
        <v/>
      </c>
      <c r="B853" s="223"/>
      <c r="C853" s="139"/>
      <c r="D853" s="225"/>
      <c r="E853" s="202"/>
    </row>
    <row r="854" spans="1:5">
      <c r="A854" s="222" t="str">
        <f t="shared" si="3"/>
        <v/>
      </c>
      <c r="B854" s="223"/>
      <c r="C854" s="139"/>
      <c r="D854" s="225"/>
      <c r="E854" s="202"/>
    </row>
    <row r="855" spans="1:5">
      <c r="A855" s="222" t="str">
        <f t="shared" si="3"/>
        <v/>
      </c>
      <c r="B855" s="223"/>
      <c r="C855" s="139"/>
      <c r="D855" s="225"/>
      <c r="E855" s="202"/>
    </row>
    <row r="856" spans="1:5">
      <c r="A856" s="222" t="str">
        <f t="shared" si="3"/>
        <v/>
      </c>
      <c r="B856" s="223"/>
      <c r="C856" s="139"/>
      <c r="D856" s="225"/>
      <c r="E856" s="202"/>
    </row>
    <row r="857" spans="1:5">
      <c r="A857" s="222" t="str">
        <f t="shared" si="3"/>
        <v/>
      </c>
      <c r="B857" s="223"/>
      <c r="C857" s="139"/>
      <c r="D857" s="225"/>
      <c r="E857" s="202"/>
    </row>
    <row r="858" spans="1:5">
      <c r="A858" s="222" t="str">
        <f t="shared" si="3"/>
        <v/>
      </c>
      <c r="B858" s="223"/>
      <c r="C858" s="139"/>
      <c r="D858" s="225"/>
      <c r="E858" s="202"/>
    </row>
    <row r="859" spans="1:5">
      <c r="A859" s="222" t="str">
        <f t="shared" si="3"/>
        <v/>
      </c>
      <c r="B859" s="223"/>
      <c r="C859" s="139"/>
      <c r="D859" s="225"/>
      <c r="E859" s="202"/>
    </row>
    <row r="860" spans="1:5">
      <c r="A860" s="222" t="str">
        <f t="shared" si="3"/>
        <v/>
      </c>
      <c r="B860" s="223"/>
      <c r="C860" s="139"/>
      <c r="D860" s="225"/>
      <c r="E860" s="202"/>
    </row>
    <row r="861" spans="1:5">
      <c r="A861" s="222" t="str">
        <f t="shared" si="3"/>
        <v/>
      </c>
      <c r="B861" s="223"/>
      <c r="C861" s="139"/>
      <c r="D861" s="225"/>
      <c r="E861" s="202"/>
    </row>
    <row r="862" spans="1:5">
      <c r="A862" s="222" t="str">
        <f t="shared" si="3"/>
        <v/>
      </c>
      <c r="B862" s="223"/>
      <c r="C862" s="139"/>
      <c r="D862" s="225"/>
      <c r="E862" s="202"/>
    </row>
    <row r="863" spans="1:5">
      <c r="A863" s="222" t="str">
        <f t="shared" si="3"/>
        <v/>
      </c>
      <c r="B863" s="223"/>
      <c r="C863" s="139"/>
      <c r="D863" s="225"/>
      <c r="E863" s="202"/>
    </row>
    <row r="864" spans="1:5">
      <c r="A864" s="222" t="str">
        <f t="shared" si="3"/>
        <v/>
      </c>
      <c r="B864" s="223"/>
      <c r="C864" s="139"/>
      <c r="D864" s="225"/>
      <c r="E864" s="202"/>
    </row>
    <row r="865" spans="1:5">
      <c r="A865" s="222" t="str">
        <f t="shared" si="3"/>
        <v/>
      </c>
      <c r="B865" s="223"/>
      <c r="C865" s="139"/>
      <c r="D865" s="225"/>
      <c r="E865" s="202"/>
    </row>
    <row r="866" spans="1:5">
      <c r="A866" s="222" t="str">
        <f t="shared" si="3"/>
        <v/>
      </c>
      <c r="B866" s="223"/>
      <c r="C866" s="139"/>
      <c r="D866" s="225"/>
      <c r="E866" s="202"/>
    </row>
    <row r="867" spans="1:5">
      <c r="A867" s="222" t="str">
        <f t="shared" si="3"/>
        <v/>
      </c>
      <c r="B867" s="223"/>
      <c r="C867" s="139"/>
      <c r="D867" s="225"/>
      <c r="E867" s="202"/>
    </row>
    <row r="868" spans="1:5">
      <c r="A868" s="222" t="str">
        <f t="shared" si="3"/>
        <v/>
      </c>
      <c r="B868" s="223"/>
      <c r="C868" s="139"/>
      <c r="D868" s="225"/>
      <c r="E868" s="202"/>
    </row>
    <row r="869" spans="1:5">
      <c r="A869" s="222" t="str">
        <f t="shared" si="3"/>
        <v/>
      </c>
      <c r="B869" s="223"/>
      <c r="C869" s="139"/>
      <c r="D869" s="225"/>
      <c r="E869" s="202"/>
    </row>
    <row r="870" spans="1:5">
      <c r="A870" s="222" t="str">
        <f t="shared" si="3"/>
        <v/>
      </c>
      <c r="B870" s="223"/>
      <c r="C870" s="139"/>
      <c r="D870" s="225"/>
      <c r="E870" s="202"/>
    </row>
    <row r="871" spans="1:5">
      <c r="A871" s="222" t="str">
        <f t="shared" si="3"/>
        <v/>
      </c>
      <c r="B871" s="223"/>
      <c r="C871" s="139"/>
      <c r="D871" s="225"/>
      <c r="E871" s="202"/>
    </row>
    <row r="872" spans="1:5">
      <c r="A872" s="222" t="str">
        <f t="shared" si="3"/>
        <v/>
      </c>
      <c r="B872" s="223"/>
      <c r="C872" s="139"/>
      <c r="D872" s="225"/>
      <c r="E872" s="202"/>
    </row>
    <row r="873" spans="1:5">
      <c r="A873" s="222" t="str">
        <f t="shared" si="3"/>
        <v/>
      </c>
      <c r="B873" s="223"/>
      <c r="C873" s="139"/>
      <c r="D873" s="225"/>
      <c r="E873" s="202"/>
    </row>
    <row r="874" spans="1:5">
      <c r="A874" s="222" t="str">
        <f t="shared" si="3"/>
        <v/>
      </c>
      <c r="B874" s="223"/>
      <c r="C874" s="139"/>
      <c r="D874" s="225"/>
      <c r="E874" s="202"/>
    </row>
    <row r="875" spans="1:5">
      <c r="A875" s="222" t="str">
        <f t="shared" si="3"/>
        <v/>
      </c>
      <c r="B875" s="223"/>
      <c r="C875" s="139"/>
      <c r="D875" s="225"/>
      <c r="E875" s="202"/>
    </row>
    <row r="876" spans="1:5">
      <c r="A876" s="222" t="str">
        <f t="shared" si="3"/>
        <v/>
      </c>
      <c r="B876" s="223"/>
      <c r="C876" s="139"/>
      <c r="D876" s="225"/>
      <c r="E876" s="202"/>
    </row>
    <row r="877" spans="1:5">
      <c r="A877" s="222" t="str">
        <f t="shared" si="3"/>
        <v/>
      </c>
      <c r="B877" s="223"/>
      <c r="C877" s="139"/>
      <c r="D877" s="225"/>
      <c r="E877" s="202"/>
    </row>
    <row r="878" spans="1:5">
      <c r="A878" s="222" t="str">
        <f t="shared" si="3"/>
        <v/>
      </c>
      <c r="B878" s="223"/>
      <c r="C878" s="139"/>
      <c r="D878" s="225"/>
      <c r="E878" s="202"/>
    </row>
    <row r="879" spans="1:5">
      <c r="A879" s="222" t="str">
        <f t="shared" si="3"/>
        <v/>
      </c>
      <c r="B879" s="223"/>
      <c r="C879" s="139"/>
      <c r="D879" s="225"/>
      <c r="E879" s="202"/>
    </row>
    <row r="880" spans="1:5">
      <c r="A880" s="222" t="str">
        <f t="shared" si="3"/>
        <v/>
      </c>
      <c r="B880" s="223"/>
      <c r="C880" s="139"/>
      <c r="D880" s="225"/>
      <c r="E880" s="202"/>
    </row>
    <row r="881" spans="1:5">
      <c r="A881" s="222" t="str">
        <f t="shared" si="3"/>
        <v/>
      </c>
      <c r="B881" s="223"/>
      <c r="C881" s="139"/>
      <c r="D881" s="225"/>
      <c r="E881" s="202"/>
    </row>
    <row r="882" spans="1:5">
      <c r="A882" s="222" t="str">
        <f t="shared" si="3"/>
        <v/>
      </c>
      <c r="B882" s="223"/>
      <c r="C882" s="139"/>
      <c r="D882" s="225"/>
      <c r="E882" s="202"/>
    </row>
    <row r="883" spans="1:5">
      <c r="A883" s="222" t="str">
        <f t="shared" si="3"/>
        <v/>
      </c>
      <c r="B883" s="223"/>
      <c r="C883" s="139"/>
      <c r="D883" s="225"/>
      <c r="E883" s="202"/>
    </row>
    <row r="884" spans="1:5">
      <c r="A884" s="222" t="str">
        <f t="shared" si="3"/>
        <v/>
      </c>
      <c r="B884" s="223"/>
      <c r="C884" s="139"/>
      <c r="D884" s="225"/>
      <c r="E884" s="202"/>
    </row>
    <row r="885" spans="1:5">
      <c r="A885" s="222" t="str">
        <f t="shared" si="3"/>
        <v/>
      </c>
      <c r="B885" s="223"/>
      <c r="C885" s="139"/>
      <c r="D885" s="225"/>
      <c r="E885" s="202"/>
    </row>
    <row r="886" spans="1:5">
      <c r="A886" s="222" t="str">
        <f t="shared" si="3"/>
        <v/>
      </c>
      <c r="B886" s="223"/>
      <c r="C886" s="139"/>
      <c r="D886" s="225"/>
      <c r="E886" s="202"/>
    </row>
    <row r="887" spans="1:5">
      <c r="A887" s="222" t="str">
        <f t="shared" si="3"/>
        <v/>
      </c>
      <c r="B887" s="223"/>
      <c r="C887" s="139"/>
      <c r="D887" s="225"/>
      <c r="E887" s="202"/>
    </row>
    <row r="888" spans="1:5">
      <c r="A888" s="222" t="str">
        <f t="shared" si="3"/>
        <v/>
      </c>
      <c r="B888" s="223"/>
      <c r="C888" s="139"/>
      <c r="D888" s="225"/>
      <c r="E888" s="202"/>
    </row>
    <row r="889" spans="1:5">
      <c r="A889" s="222" t="str">
        <f t="shared" si="3"/>
        <v/>
      </c>
      <c r="B889" s="223"/>
      <c r="C889" s="139"/>
      <c r="D889" s="225"/>
      <c r="E889" s="202"/>
    </row>
    <row r="890" spans="1:5">
      <c r="A890" s="222" t="str">
        <f t="shared" si="3"/>
        <v/>
      </c>
      <c r="B890" s="223"/>
      <c r="C890" s="139"/>
      <c r="D890" s="225"/>
      <c r="E890" s="202"/>
    </row>
    <row r="891" spans="1:5">
      <c r="A891" s="222" t="str">
        <f t="shared" si="3"/>
        <v/>
      </c>
      <c r="B891" s="223"/>
      <c r="C891" s="139"/>
      <c r="D891" s="225"/>
      <c r="E891" s="202"/>
    </row>
    <row r="892" spans="1:5">
      <c r="A892" s="222" t="str">
        <f t="shared" si="3"/>
        <v/>
      </c>
      <c r="B892" s="223"/>
      <c r="C892" s="139"/>
      <c r="D892" s="225"/>
      <c r="E892" s="202"/>
    </row>
    <row r="893" spans="1:5">
      <c r="A893" s="222" t="str">
        <f t="shared" si="3"/>
        <v/>
      </c>
      <c r="B893" s="223"/>
      <c r="C893" s="139"/>
      <c r="D893" s="225"/>
      <c r="E893" s="202"/>
    </row>
    <row r="894" spans="1:5">
      <c r="A894" s="222" t="str">
        <f t="shared" si="3"/>
        <v/>
      </c>
      <c r="B894" s="223"/>
      <c r="C894" s="139"/>
      <c r="D894" s="225"/>
      <c r="E894" s="202"/>
    </row>
    <row r="895" spans="1:5">
      <c r="A895" s="222" t="str">
        <f t="shared" si="3"/>
        <v/>
      </c>
      <c r="B895" s="223"/>
      <c r="C895" s="139"/>
      <c r="D895" s="225"/>
      <c r="E895" s="202"/>
    </row>
    <row r="896" spans="1:5">
      <c r="A896" s="222" t="str">
        <f t="shared" si="3"/>
        <v/>
      </c>
      <c r="B896" s="223"/>
      <c r="C896" s="139"/>
      <c r="D896" s="225"/>
      <c r="E896" s="202"/>
    </row>
    <row r="897" spans="1:5">
      <c r="A897" s="222" t="str">
        <f t="shared" si="3"/>
        <v/>
      </c>
      <c r="B897" s="223"/>
      <c r="C897" s="139"/>
      <c r="D897" s="225"/>
      <c r="E897" s="202"/>
    </row>
    <row r="898" spans="1:5">
      <c r="A898" s="222" t="str">
        <f t="shared" si="3"/>
        <v/>
      </c>
      <c r="B898" s="223"/>
      <c r="C898" s="139"/>
      <c r="D898" s="225"/>
      <c r="E898" s="202"/>
    </row>
    <row r="899" spans="1:5">
      <c r="A899" s="222" t="str">
        <f t="shared" si="3"/>
        <v/>
      </c>
      <c r="B899" s="223"/>
      <c r="C899" s="139"/>
      <c r="D899" s="225"/>
      <c r="E899" s="202"/>
    </row>
    <row r="900" spans="1:5">
      <c r="A900" s="222" t="str">
        <f t="shared" si="3"/>
        <v/>
      </c>
      <c r="B900" s="223"/>
      <c r="C900" s="139"/>
      <c r="D900" s="225"/>
      <c r="E900" s="202"/>
    </row>
    <row r="901" spans="1:5">
      <c r="A901" s="222" t="str">
        <f t="shared" si="3"/>
        <v/>
      </c>
      <c r="B901" s="223"/>
      <c r="C901" s="139"/>
      <c r="D901" s="225"/>
      <c r="E901" s="202"/>
    </row>
    <row r="902" spans="1:5">
      <c r="A902" s="222" t="str">
        <f t="shared" si="3"/>
        <v/>
      </c>
      <c r="B902" s="223"/>
      <c r="C902" s="139"/>
      <c r="D902" s="225"/>
      <c r="E902" s="202"/>
    </row>
    <row r="903" spans="1:5">
      <c r="A903" s="222" t="str">
        <f t="shared" si="3"/>
        <v/>
      </c>
      <c r="B903" s="223"/>
      <c r="C903" s="139"/>
      <c r="D903" s="225"/>
      <c r="E903" s="202"/>
    </row>
    <row r="904" spans="1:5">
      <c r="A904" s="222" t="str">
        <f t="shared" si="3"/>
        <v/>
      </c>
      <c r="B904" s="223"/>
      <c r="C904" s="139"/>
      <c r="D904" s="225"/>
      <c r="E904" s="202"/>
    </row>
    <row r="905" spans="1:5">
      <c r="A905" s="222" t="str">
        <f t="shared" si="3"/>
        <v/>
      </c>
      <c r="B905" s="223"/>
      <c r="C905" s="139"/>
      <c r="D905" s="225"/>
      <c r="E905" s="202"/>
    </row>
    <row r="906" spans="1:5">
      <c r="A906" s="222" t="str">
        <f t="shared" si="3"/>
        <v/>
      </c>
      <c r="B906" s="223"/>
      <c r="C906" s="139"/>
      <c r="D906" s="225"/>
      <c r="E906" s="202"/>
    </row>
    <row r="907" spans="1:5">
      <c r="A907" s="222" t="str">
        <f t="shared" si="3"/>
        <v/>
      </c>
      <c r="B907" s="223"/>
      <c r="C907" s="139"/>
      <c r="D907" s="225"/>
      <c r="E907" s="202"/>
    </row>
    <row r="908" spans="1:5">
      <c r="A908" s="222" t="str">
        <f t="shared" si="3"/>
        <v/>
      </c>
      <c r="B908" s="223"/>
      <c r="C908" s="139"/>
      <c r="D908" s="225"/>
      <c r="E908" s="202"/>
    </row>
    <row r="909" spans="1:5">
      <c r="A909" s="222" t="str">
        <f t="shared" si="3"/>
        <v/>
      </c>
      <c r="B909" s="223"/>
      <c r="C909" s="139"/>
      <c r="D909" s="225"/>
      <c r="E909" s="202"/>
    </row>
    <row r="910" spans="1:5">
      <c r="A910" s="222" t="str">
        <f t="shared" si="3"/>
        <v/>
      </c>
      <c r="B910" s="223"/>
      <c r="C910" s="139"/>
      <c r="D910" s="225"/>
      <c r="E910" s="202"/>
    </row>
    <row r="911" spans="1:5">
      <c r="A911" s="222" t="str">
        <f t="shared" si="3"/>
        <v/>
      </c>
      <c r="B911" s="223"/>
      <c r="C911" s="139"/>
      <c r="D911" s="225"/>
      <c r="E911" s="202"/>
    </row>
    <row r="912" spans="1:5">
      <c r="A912" s="222" t="str">
        <f t="shared" si="3"/>
        <v/>
      </c>
      <c r="B912" s="223"/>
      <c r="C912" s="139"/>
      <c r="D912" s="225"/>
      <c r="E912" s="202"/>
    </row>
    <row r="913" spans="1:5">
      <c r="A913" s="222" t="str">
        <f t="shared" si="3"/>
        <v/>
      </c>
      <c r="B913" s="223"/>
      <c r="C913" s="139"/>
      <c r="D913" s="225"/>
      <c r="E913" s="202"/>
    </row>
    <row r="914" spans="1:5">
      <c r="A914" s="222" t="str">
        <f t="shared" si="3"/>
        <v/>
      </c>
      <c r="B914" s="223"/>
      <c r="C914" s="139"/>
      <c r="D914" s="225"/>
      <c r="E914" s="202"/>
    </row>
    <row r="915" spans="1:5">
      <c r="A915" s="222" t="str">
        <f t="shared" si="3"/>
        <v/>
      </c>
      <c r="B915" s="223"/>
      <c r="C915" s="139"/>
      <c r="D915" s="225"/>
      <c r="E915" s="202"/>
    </row>
    <row r="916" spans="1:5">
      <c r="A916" s="222" t="str">
        <f t="shared" si="3"/>
        <v/>
      </c>
      <c r="B916" s="223"/>
      <c r="C916" s="139"/>
      <c r="D916" s="225"/>
      <c r="E916" s="202"/>
    </row>
    <row r="917" spans="1:5">
      <c r="A917" s="222" t="str">
        <f t="shared" si="3"/>
        <v/>
      </c>
      <c r="B917" s="223"/>
      <c r="C917" s="139"/>
      <c r="D917" s="225"/>
      <c r="E917" s="202"/>
    </row>
    <row r="918" spans="1:5">
      <c r="A918" s="222" t="str">
        <f t="shared" si="3"/>
        <v/>
      </c>
      <c r="B918" s="223"/>
      <c r="C918" s="139"/>
      <c r="D918" s="225"/>
      <c r="E918" s="202"/>
    </row>
    <row r="919" spans="1:5">
      <c r="A919" s="222" t="str">
        <f t="shared" si="3"/>
        <v/>
      </c>
      <c r="B919" s="223"/>
      <c r="C919" s="139"/>
      <c r="D919" s="225"/>
      <c r="E919" s="202"/>
    </row>
    <row r="920" spans="1:5">
      <c r="A920" s="222" t="str">
        <f t="shared" si="3"/>
        <v/>
      </c>
      <c r="B920" s="223"/>
      <c r="C920" s="139"/>
      <c r="D920" s="225"/>
      <c r="E920" s="202"/>
    </row>
    <row r="921" spans="1:5">
      <c r="A921" s="222" t="str">
        <f t="shared" si="3"/>
        <v/>
      </c>
      <c r="B921" s="223"/>
      <c r="C921" s="139"/>
      <c r="D921" s="225"/>
      <c r="E921" s="202"/>
    </row>
    <row r="922" spans="1:5">
      <c r="A922" s="222" t="str">
        <f t="shared" si="3"/>
        <v/>
      </c>
      <c r="B922" s="223"/>
      <c r="C922" s="139"/>
      <c r="D922" s="225"/>
      <c r="E922" s="202"/>
    </row>
    <row r="923" spans="1:5">
      <c r="A923" s="222" t="str">
        <f t="shared" si="3"/>
        <v/>
      </c>
      <c r="B923" s="223"/>
      <c r="C923" s="139"/>
      <c r="D923" s="225"/>
      <c r="E923" s="202"/>
    </row>
    <row r="924" spans="1:5">
      <c r="A924" s="222" t="str">
        <f t="shared" si="3"/>
        <v/>
      </c>
      <c r="B924" s="223"/>
      <c r="C924" s="139"/>
      <c r="D924" s="225"/>
      <c r="E924" s="202"/>
    </row>
    <row r="925" spans="1:5">
      <c r="A925" s="222" t="str">
        <f t="shared" si="3"/>
        <v/>
      </c>
      <c r="B925" s="223"/>
      <c r="C925" s="139"/>
      <c r="D925" s="225"/>
      <c r="E925" s="202"/>
    </row>
    <row r="926" spans="1:5">
      <c r="A926" s="222" t="str">
        <f t="shared" si="3"/>
        <v/>
      </c>
      <c r="B926" s="223"/>
      <c r="C926" s="139"/>
      <c r="D926" s="225"/>
      <c r="E926" s="202"/>
    </row>
    <row r="927" spans="1:5">
      <c r="A927" s="222" t="str">
        <f t="shared" si="3"/>
        <v/>
      </c>
      <c r="B927" s="223"/>
      <c r="C927" s="139"/>
      <c r="D927" s="225"/>
      <c r="E927" s="202"/>
    </row>
    <row r="928" spans="1:5">
      <c r="A928" s="222" t="str">
        <f t="shared" si="3"/>
        <v/>
      </c>
      <c r="B928" s="223"/>
      <c r="C928" s="139"/>
      <c r="D928" s="225"/>
      <c r="E928" s="202"/>
    </row>
    <row r="929" spans="1:5">
      <c r="A929" s="222" t="str">
        <f t="shared" si="3"/>
        <v/>
      </c>
      <c r="B929" s="223"/>
      <c r="C929" s="139"/>
      <c r="D929" s="225"/>
      <c r="E929" s="202"/>
    </row>
    <row r="930" spans="1:5">
      <c r="A930" s="222" t="str">
        <f t="shared" si="3"/>
        <v/>
      </c>
      <c r="B930" s="223"/>
      <c r="C930" s="139"/>
      <c r="D930" s="225"/>
      <c r="E930" s="202"/>
    </row>
    <row r="931" spans="1:5">
      <c r="A931" s="222" t="str">
        <f t="shared" si="3"/>
        <v/>
      </c>
      <c r="B931" s="223"/>
      <c r="C931" s="139"/>
      <c r="D931" s="225"/>
      <c r="E931" s="202"/>
    </row>
    <row r="932" spans="1:5">
      <c r="A932" s="222" t="str">
        <f t="shared" si="3"/>
        <v/>
      </c>
      <c r="B932" s="223"/>
      <c r="C932" s="139"/>
      <c r="D932" s="225"/>
      <c r="E932" s="202"/>
    </row>
    <row r="933" spans="1:5">
      <c r="A933" s="222" t="str">
        <f t="shared" si="3"/>
        <v/>
      </c>
      <c r="B933" s="223"/>
      <c r="C933" s="139"/>
      <c r="D933" s="225"/>
      <c r="E933" s="202"/>
    </row>
    <row r="934" spans="1:5">
      <c r="A934" s="222" t="str">
        <f t="shared" si="3"/>
        <v/>
      </c>
      <c r="B934" s="223"/>
      <c r="C934" s="139"/>
      <c r="D934" s="225"/>
      <c r="E934" s="202"/>
    </row>
    <row r="935" spans="1:5">
      <c r="A935" s="222" t="str">
        <f t="shared" si="3"/>
        <v/>
      </c>
      <c r="B935" s="223"/>
      <c r="C935" s="139"/>
      <c r="D935" s="225"/>
      <c r="E935" s="202"/>
    </row>
    <row r="936" spans="1:5">
      <c r="A936" s="222" t="str">
        <f t="shared" si="3"/>
        <v/>
      </c>
      <c r="B936" s="223"/>
      <c r="C936" s="139"/>
      <c r="D936" s="225"/>
      <c r="E936" s="202"/>
    </row>
    <row r="937" spans="1:5">
      <c r="A937" s="222" t="str">
        <f t="shared" si="3"/>
        <v/>
      </c>
      <c r="B937" s="223"/>
      <c r="C937" s="139"/>
      <c r="D937" s="225"/>
      <c r="E937" s="202"/>
    </row>
    <row r="938" spans="1:5">
      <c r="A938" s="222" t="str">
        <f t="shared" si="3"/>
        <v/>
      </c>
      <c r="B938" s="223"/>
      <c r="C938" s="139"/>
      <c r="D938" s="225"/>
      <c r="E938" s="202"/>
    </row>
    <row r="939" spans="1:5">
      <c r="A939" s="222" t="str">
        <f t="shared" si="3"/>
        <v/>
      </c>
      <c r="B939" s="223"/>
      <c r="C939" s="139"/>
      <c r="D939" s="225"/>
      <c r="E939" s="202"/>
    </row>
    <row r="940" spans="1:5">
      <c r="A940" s="222" t="str">
        <f t="shared" si="3"/>
        <v/>
      </c>
      <c r="B940" s="223"/>
      <c r="C940" s="139"/>
      <c r="D940" s="225"/>
      <c r="E940" s="202"/>
    </row>
    <row r="941" spans="1:5">
      <c r="A941" s="222" t="str">
        <f t="shared" si="3"/>
        <v/>
      </c>
      <c r="B941" s="223"/>
      <c r="C941" s="139"/>
      <c r="D941" s="225"/>
      <c r="E941" s="202"/>
    </row>
    <row r="942" spans="1:5">
      <c r="A942" s="222" t="str">
        <f t="shared" si="3"/>
        <v/>
      </c>
      <c r="B942" s="223"/>
      <c r="C942" s="139"/>
      <c r="D942" s="225"/>
      <c r="E942" s="202"/>
    </row>
    <row r="943" spans="1:5">
      <c r="A943" s="222" t="str">
        <f t="shared" si="3"/>
        <v/>
      </c>
      <c r="B943" s="223"/>
      <c r="C943" s="139"/>
      <c r="D943" s="225"/>
      <c r="E943" s="202"/>
    </row>
    <row r="944" spans="1:5">
      <c r="A944" s="222" t="str">
        <f t="shared" si="3"/>
        <v/>
      </c>
      <c r="B944" s="223"/>
      <c r="C944" s="139"/>
      <c r="D944" s="225"/>
      <c r="E944" s="202"/>
    </row>
    <row r="945" spans="1:5">
      <c r="A945" s="222" t="str">
        <f t="shared" si="3"/>
        <v/>
      </c>
      <c r="B945" s="223"/>
      <c r="C945" s="139"/>
      <c r="D945" s="225"/>
      <c r="E945" s="202"/>
    </row>
    <row r="946" spans="1:5">
      <c r="A946" s="222" t="str">
        <f t="shared" si="3"/>
        <v/>
      </c>
      <c r="B946" s="223"/>
      <c r="C946" s="139"/>
      <c r="D946" s="225"/>
      <c r="E946" s="202"/>
    </row>
    <row r="947" spans="1:5">
      <c r="A947" s="222" t="str">
        <f t="shared" si="3"/>
        <v/>
      </c>
      <c r="B947" s="223"/>
      <c r="C947" s="139"/>
      <c r="D947" s="225"/>
      <c r="E947" s="202"/>
    </row>
    <row r="948" spans="1:5">
      <c r="A948" s="222" t="str">
        <f t="shared" si="3"/>
        <v/>
      </c>
      <c r="B948" s="223"/>
      <c r="C948" s="139"/>
      <c r="D948" s="225"/>
      <c r="E948" s="202"/>
    </row>
    <row r="949" spans="1:5">
      <c r="A949" s="222" t="str">
        <f t="shared" si="3"/>
        <v/>
      </c>
      <c r="B949" s="223"/>
      <c r="C949" s="139"/>
      <c r="D949" s="225"/>
      <c r="E949" s="202"/>
    </row>
    <row r="950" spans="1:5">
      <c r="A950" s="222" t="str">
        <f t="shared" si="3"/>
        <v/>
      </c>
      <c r="B950" s="223"/>
      <c r="C950" s="139"/>
      <c r="D950" s="225"/>
      <c r="E950" s="202"/>
    </row>
    <row r="951" spans="1:5">
      <c r="A951" s="222" t="str">
        <f t="shared" si="3"/>
        <v/>
      </c>
      <c r="B951" s="223"/>
      <c r="C951" s="139"/>
      <c r="D951" s="225"/>
      <c r="E951" s="202"/>
    </row>
    <row r="952" spans="1:5">
      <c r="A952" s="222" t="str">
        <f t="shared" si="3"/>
        <v/>
      </c>
      <c r="B952" s="223"/>
      <c r="C952" s="139"/>
      <c r="D952" s="225"/>
      <c r="E952" s="202"/>
    </row>
    <row r="953" spans="1:5">
      <c r="A953" s="222" t="str">
        <f t="shared" si="3"/>
        <v/>
      </c>
      <c r="B953" s="223"/>
      <c r="C953" s="139"/>
      <c r="D953" s="225"/>
      <c r="E953" s="202"/>
    </row>
    <row r="954" spans="1:5">
      <c r="A954" s="222" t="str">
        <f t="shared" si="3"/>
        <v/>
      </c>
      <c r="B954" s="223"/>
      <c r="C954" s="139"/>
      <c r="D954" s="225"/>
      <c r="E954" s="202"/>
    </row>
    <row r="955" spans="1:5">
      <c r="A955" s="222" t="str">
        <f t="shared" si="3"/>
        <v/>
      </c>
      <c r="B955" s="223"/>
      <c r="C955" s="139"/>
      <c r="D955" s="225"/>
      <c r="E955" s="202"/>
    </row>
    <row r="956" spans="1:5">
      <c r="A956" s="222" t="str">
        <f t="shared" si="3"/>
        <v/>
      </c>
      <c r="B956" s="223"/>
      <c r="C956" s="139"/>
      <c r="D956" s="225"/>
      <c r="E956" s="202"/>
    </row>
    <row r="957" spans="1:5">
      <c r="A957" s="222" t="str">
        <f t="shared" si="3"/>
        <v/>
      </c>
      <c r="B957" s="223"/>
      <c r="C957" s="139"/>
      <c r="D957" s="225"/>
      <c r="E957" s="202"/>
    </row>
    <row r="958" spans="1:5">
      <c r="A958" s="222" t="str">
        <f t="shared" si="3"/>
        <v/>
      </c>
      <c r="B958" s="223"/>
      <c r="C958" s="139"/>
      <c r="D958" s="225"/>
      <c r="E958" s="202"/>
    </row>
    <row r="959" spans="1:5">
      <c r="A959" s="222" t="str">
        <f t="shared" si="3"/>
        <v/>
      </c>
      <c r="B959" s="223"/>
      <c r="C959" s="139"/>
      <c r="D959" s="225"/>
      <c r="E959" s="202"/>
    </row>
    <row r="960" spans="1:5">
      <c r="A960" s="222" t="str">
        <f t="shared" si="3"/>
        <v/>
      </c>
      <c r="B960" s="223"/>
      <c r="C960" s="139"/>
      <c r="D960" s="225"/>
      <c r="E960" s="202"/>
    </row>
    <row r="961" spans="1:5">
      <c r="A961" s="222" t="str">
        <f t="shared" si="3"/>
        <v/>
      </c>
      <c r="B961" s="223"/>
      <c r="C961" s="139"/>
      <c r="D961" s="225"/>
      <c r="E961" s="202"/>
    </row>
    <row r="962" spans="1:5">
      <c r="A962" s="222" t="str">
        <f t="shared" si="3"/>
        <v/>
      </c>
      <c r="B962" s="223"/>
      <c r="C962" s="139"/>
      <c r="D962" s="225"/>
      <c r="E962" s="202"/>
    </row>
    <row r="963" spans="1:5">
      <c r="A963" s="222" t="str">
        <f t="shared" si="3"/>
        <v/>
      </c>
      <c r="B963" s="223"/>
      <c r="C963" s="139"/>
      <c r="D963" s="225"/>
      <c r="E963" s="202"/>
    </row>
    <row r="964" spans="1:5">
      <c r="A964" s="222" t="str">
        <f t="shared" si="3"/>
        <v/>
      </c>
      <c r="B964" s="223"/>
      <c r="C964" s="139"/>
      <c r="D964" s="225"/>
      <c r="E964" s="202"/>
    </row>
    <row r="965" spans="1:5">
      <c r="A965" s="222" t="str">
        <f t="shared" si="3"/>
        <v/>
      </c>
      <c r="B965" s="223"/>
      <c r="C965" s="139"/>
      <c r="D965" s="225"/>
      <c r="E965" s="202"/>
    </row>
    <row r="966" spans="1:5">
      <c r="A966" s="222" t="str">
        <f t="shared" si="3"/>
        <v/>
      </c>
      <c r="B966" s="223"/>
      <c r="C966" s="139"/>
      <c r="D966" s="225"/>
      <c r="E966" s="202"/>
    </row>
    <row r="967" spans="1:5">
      <c r="A967" s="222" t="str">
        <f t="shared" si="3"/>
        <v/>
      </c>
      <c r="B967" s="223"/>
      <c r="C967" s="139"/>
      <c r="D967" s="225"/>
      <c r="E967" s="202"/>
    </row>
    <row r="968" spans="1:5">
      <c r="A968" s="222" t="str">
        <f t="shared" si="3"/>
        <v/>
      </c>
      <c r="B968" s="223"/>
      <c r="C968" s="139"/>
      <c r="D968" s="225"/>
      <c r="E968" s="202"/>
    </row>
    <row r="969" spans="1:5">
      <c r="A969" s="222" t="str">
        <f t="shared" si="3"/>
        <v/>
      </c>
      <c r="B969" s="223"/>
      <c r="C969" s="139"/>
      <c r="D969" s="225"/>
      <c r="E969" s="202"/>
    </row>
    <row r="970" spans="1:5">
      <c r="A970" s="222" t="str">
        <f t="shared" si="3"/>
        <v/>
      </c>
      <c r="B970" s="223"/>
      <c r="C970" s="139"/>
      <c r="D970" s="225"/>
      <c r="E970" s="202"/>
    </row>
    <row r="971" spans="1:5">
      <c r="A971" s="222" t="str">
        <f t="shared" si="3"/>
        <v/>
      </c>
      <c r="B971" s="223"/>
      <c r="C971" s="139"/>
      <c r="D971" s="225"/>
      <c r="E971" s="202"/>
    </row>
    <row r="972" spans="1:5">
      <c r="A972" s="222" t="str">
        <f t="shared" si="3"/>
        <v/>
      </c>
      <c r="B972" s="223"/>
      <c r="C972" s="139"/>
      <c r="D972" s="225"/>
      <c r="E972" s="202"/>
    </row>
    <row r="973" spans="1:5">
      <c r="A973" s="222" t="str">
        <f t="shared" si="3"/>
        <v/>
      </c>
      <c r="B973" s="223"/>
      <c r="C973" s="139"/>
      <c r="D973" s="225"/>
      <c r="E973" s="202"/>
    </row>
    <row r="974" spans="1:5">
      <c r="A974" s="222" t="str">
        <f t="shared" si="3"/>
        <v/>
      </c>
      <c r="B974" s="223"/>
      <c r="C974" s="139"/>
      <c r="D974" s="225"/>
      <c r="E974" s="202"/>
    </row>
    <row r="975" spans="1:5">
      <c r="A975" s="222" t="str">
        <f t="shared" si="3"/>
        <v/>
      </c>
      <c r="B975" s="223"/>
      <c r="C975" s="139"/>
      <c r="D975" s="225"/>
      <c r="E975" s="202"/>
    </row>
    <row r="976" spans="1:5">
      <c r="A976" s="222" t="str">
        <f t="shared" si="3"/>
        <v/>
      </c>
      <c r="B976" s="223"/>
      <c r="C976" s="139"/>
      <c r="D976" s="225"/>
      <c r="E976" s="202"/>
    </row>
    <row r="977" spans="1:5">
      <c r="A977" s="222" t="str">
        <f t="shared" si="3"/>
        <v/>
      </c>
      <c r="B977" s="223"/>
      <c r="C977" s="139"/>
      <c r="D977" s="225"/>
      <c r="E977" s="202"/>
    </row>
    <row r="978" spans="1:5">
      <c r="A978" s="222" t="str">
        <f t="shared" si="3"/>
        <v/>
      </c>
      <c r="B978" s="223"/>
      <c r="C978" s="139"/>
      <c r="D978" s="225"/>
      <c r="E978" s="202"/>
    </row>
    <row r="979" spans="1:5">
      <c r="A979" s="222" t="str">
        <f t="shared" si="3"/>
        <v/>
      </c>
      <c r="B979" s="223"/>
      <c r="C979" s="139"/>
      <c r="D979" s="225"/>
      <c r="E979" s="202"/>
    </row>
    <row r="980" spans="1:5">
      <c r="A980" s="222" t="str">
        <f t="shared" si="3"/>
        <v/>
      </c>
      <c r="B980" s="223"/>
      <c r="C980" s="139"/>
      <c r="D980" s="225"/>
      <c r="E980" s="202"/>
    </row>
    <row r="981" spans="1:5">
      <c r="A981" s="222" t="str">
        <f t="shared" si="3"/>
        <v/>
      </c>
      <c r="B981" s="223"/>
      <c r="C981" s="139"/>
      <c r="D981" s="225"/>
      <c r="E981" s="202"/>
    </row>
    <row r="982" spans="1:5">
      <c r="A982" s="222" t="str">
        <f t="shared" si="3"/>
        <v/>
      </c>
      <c r="B982" s="223"/>
      <c r="C982" s="139"/>
      <c r="D982" s="225"/>
      <c r="E982" s="202"/>
    </row>
    <row r="983" spans="1:5">
      <c r="A983" s="222" t="str">
        <f t="shared" si="3"/>
        <v/>
      </c>
      <c r="B983" s="223"/>
      <c r="C983" s="139"/>
      <c r="D983" s="225"/>
      <c r="E983" s="202"/>
    </row>
    <row r="984" spans="1:5">
      <c r="A984" s="222" t="str">
        <f t="shared" si="3"/>
        <v/>
      </c>
      <c r="B984" s="223"/>
      <c r="C984" s="139"/>
      <c r="D984" s="225"/>
      <c r="E984" s="202"/>
    </row>
    <row r="985" spans="1:5">
      <c r="A985" s="222" t="str">
        <f t="shared" si="3"/>
        <v/>
      </c>
      <c r="B985" s="223"/>
      <c r="C985" s="139"/>
      <c r="D985" s="225"/>
      <c r="E985" s="202"/>
    </row>
    <row r="986" spans="1:5">
      <c r="A986" s="222" t="str">
        <f t="shared" si="3"/>
        <v/>
      </c>
      <c r="B986" s="223"/>
      <c r="C986" s="139"/>
      <c r="D986" s="225"/>
      <c r="E986" s="202"/>
    </row>
    <row r="987" spans="1:5">
      <c r="A987" s="222" t="str">
        <f t="shared" si="3"/>
        <v/>
      </c>
      <c r="B987" s="223"/>
      <c r="C987" s="139"/>
      <c r="D987" s="225"/>
      <c r="E987" s="202"/>
    </row>
    <row r="988" spans="1:5">
      <c r="A988" s="222" t="str">
        <f t="shared" si="3"/>
        <v/>
      </c>
      <c r="B988" s="223"/>
      <c r="C988" s="139"/>
      <c r="D988" s="225"/>
      <c r="E988" s="202"/>
    </row>
    <row r="989" spans="1:5">
      <c r="A989" s="222" t="str">
        <f t="shared" si="3"/>
        <v/>
      </c>
      <c r="B989" s="223"/>
      <c r="C989" s="139"/>
      <c r="D989" s="225"/>
      <c r="E989" s="202"/>
    </row>
    <row r="990" spans="1:5">
      <c r="A990" s="222" t="str">
        <f t="shared" si="3"/>
        <v/>
      </c>
      <c r="B990" s="223"/>
      <c r="C990" s="139"/>
      <c r="D990" s="225"/>
      <c r="E990" s="202"/>
    </row>
    <row r="991" spans="1:5">
      <c r="A991" s="222" t="str">
        <f t="shared" si="3"/>
        <v/>
      </c>
      <c r="B991" s="223"/>
      <c r="C991" s="139"/>
      <c r="D991" s="225"/>
      <c r="E991" s="202"/>
    </row>
    <row r="992" spans="1:5">
      <c r="A992" s="222" t="str">
        <f t="shared" si="3"/>
        <v/>
      </c>
      <c r="B992" s="223"/>
      <c r="C992" s="139"/>
      <c r="D992" s="225"/>
      <c r="E992" s="202"/>
    </row>
    <row r="993" spans="1:5">
      <c r="A993" s="222" t="str">
        <f t="shared" si="3"/>
        <v/>
      </c>
      <c r="B993" s="223"/>
      <c r="C993" s="139"/>
      <c r="D993" s="225"/>
      <c r="E993" s="202"/>
    </row>
    <row r="994" spans="1:5">
      <c r="A994" s="222" t="str">
        <f t="shared" si="3"/>
        <v/>
      </c>
      <c r="B994" s="223"/>
      <c r="C994" s="139"/>
      <c r="D994" s="225"/>
      <c r="E994" s="202"/>
    </row>
    <row r="995" spans="1:5">
      <c r="A995" s="222" t="str">
        <f t="shared" si="3"/>
        <v/>
      </c>
      <c r="B995" s="223"/>
      <c r="C995" s="139"/>
      <c r="D995" s="225"/>
      <c r="E995" s="202"/>
    </row>
    <row r="996" spans="1:5">
      <c r="A996" s="222" t="str">
        <f t="shared" si="3"/>
        <v/>
      </c>
      <c r="B996" s="223"/>
      <c r="C996" s="139"/>
      <c r="D996" s="225"/>
      <c r="E996" s="202"/>
    </row>
    <row r="997" spans="1:5">
      <c r="A997" s="222" t="str">
        <f t="shared" si="3"/>
        <v/>
      </c>
      <c r="B997" s="223"/>
      <c r="C997" s="139"/>
      <c r="D997" s="225"/>
      <c r="E997" s="202"/>
    </row>
    <row r="998" spans="1:5">
      <c r="A998" s="222" t="str">
        <f t="shared" si="3"/>
        <v/>
      </c>
      <c r="B998" s="223"/>
      <c r="C998" s="139"/>
      <c r="D998" s="225"/>
      <c r="E998" s="202"/>
    </row>
    <row r="999" spans="1:5">
      <c r="A999" s="222" t="str">
        <f t="shared" si="3"/>
        <v/>
      </c>
      <c r="B999" s="223"/>
      <c r="C999" s="139"/>
      <c r="D999" s="225"/>
      <c r="E999" s="202"/>
    </row>
  </sheetData>
  <dataValidations count="1">
    <dataValidation type="list" allowBlank="1" sqref="E2:E999" xr:uid="{00000000-0002-0000-1500-000000000000}">
      <formula1>#REF!</formula1>
    </dataValidation>
  </dataValidations>
  <pageMargins left="0.7" right="0.7" top="0.75" bottom="0.75" header="0.3" footer="0.3"/>
  <tableParts count="1"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R994"/>
  <sheetViews>
    <sheetView showGridLines="0" workbookViewId="0">
      <pane ySplit="3" topLeftCell="A4" activePane="bottomLeft" state="frozen"/>
      <selection pane="bottomLeft" activeCell="B5" sqref="B5"/>
    </sheetView>
  </sheetViews>
  <sheetFormatPr defaultColWidth="14.453125" defaultRowHeight="15" customHeight="1"/>
  <cols>
    <col min="1" max="1" width="10.7265625" customWidth="1"/>
    <col min="2" max="2" width="36" customWidth="1"/>
    <col min="3" max="3" width="12.7265625" customWidth="1"/>
    <col min="4" max="4" width="22.453125" customWidth="1"/>
    <col min="5" max="5" width="14.26953125" customWidth="1"/>
    <col min="6" max="18" width="11.7265625" hidden="1" customWidth="1"/>
  </cols>
  <sheetData>
    <row r="1" spans="1:18">
      <c r="A1" s="243" t="s">
        <v>2024</v>
      </c>
      <c r="B1" s="241"/>
    </row>
    <row r="2" spans="1:18">
      <c r="A2" s="114" t="s">
        <v>1993</v>
      </c>
      <c r="B2" s="115" t="s">
        <v>2005</v>
      </c>
    </row>
    <row r="3" spans="1:18">
      <c r="A3" s="92" t="s">
        <v>1440</v>
      </c>
      <c r="B3" s="80" t="s">
        <v>2025</v>
      </c>
      <c r="C3" s="80" t="s">
        <v>1810</v>
      </c>
      <c r="D3" s="80" t="s">
        <v>1817</v>
      </c>
      <c r="E3" s="80" t="s">
        <v>2026</v>
      </c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6"/>
    </row>
    <row r="4" spans="1:18">
      <c r="A4" s="118" t="str">
        <f>IFERROR(IF(B4="","", ROW()-3),"")</f>
        <v/>
      </c>
      <c r="B4" s="1"/>
      <c r="C4" s="120"/>
      <c r="D4" s="120"/>
      <c r="E4" s="118">
        <v>2</v>
      </c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</row>
    <row r="5" spans="1:18">
      <c r="A5" s="118" t="str">
        <f t="shared" ref="A5:A94" si="0">IF(B5="","", ROW()-3)</f>
        <v/>
      </c>
      <c r="B5" s="1"/>
      <c r="C5" s="120"/>
      <c r="D5" s="120"/>
      <c r="E5" s="118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</row>
    <row r="6" spans="1:18">
      <c r="A6" s="118" t="str">
        <f t="shared" si="0"/>
        <v/>
      </c>
      <c r="B6" s="1"/>
      <c r="C6" s="120"/>
      <c r="D6" s="120"/>
      <c r="E6" s="118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</row>
    <row r="7" spans="1:18">
      <c r="A7" s="118" t="str">
        <f t="shared" si="0"/>
        <v/>
      </c>
      <c r="B7" s="1"/>
      <c r="C7" s="120"/>
      <c r="D7" s="120"/>
      <c r="E7" s="118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</row>
    <row r="8" spans="1:18">
      <c r="A8" s="118" t="str">
        <f t="shared" si="0"/>
        <v/>
      </c>
      <c r="B8" s="1"/>
      <c r="C8" s="120"/>
      <c r="D8" s="120"/>
      <c r="E8" s="118"/>
      <c r="F8" s="227"/>
      <c r="G8" s="227"/>
      <c r="H8" s="227"/>
      <c r="I8" s="227"/>
      <c r="J8" s="227"/>
      <c r="K8" s="227"/>
      <c r="L8" s="227"/>
      <c r="M8" s="227"/>
      <c r="N8" s="227"/>
      <c r="O8" s="227"/>
      <c r="P8" s="227"/>
      <c r="Q8" s="227"/>
      <c r="R8" s="227"/>
    </row>
    <row r="9" spans="1:18">
      <c r="A9" s="118" t="str">
        <f t="shared" si="0"/>
        <v/>
      </c>
      <c r="B9" s="1"/>
      <c r="C9" s="120"/>
      <c r="D9" s="120"/>
      <c r="E9" s="118"/>
      <c r="F9" s="227"/>
      <c r="G9" s="227"/>
      <c r="H9" s="227"/>
      <c r="I9" s="227"/>
      <c r="J9" s="227"/>
      <c r="K9" s="227"/>
      <c r="L9" s="227"/>
      <c r="M9" s="227"/>
      <c r="N9" s="227"/>
      <c r="O9" s="227"/>
      <c r="P9" s="227"/>
      <c r="Q9" s="227"/>
      <c r="R9" s="227"/>
    </row>
    <row r="10" spans="1:18">
      <c r="A10" s="118" t="str">
        <f t="shared" si="0"/>
        <v/>
      </c>
      <c r="B10" s="1"/>
      <c r="C10" s="120"/>
      <c r="D10" s="120"/>
      <c r="E10" s="118"/>
      <c r="F10" s="227"/>
      <c r="G10" s="227"/>
      <c r="H10" s="227"/>
      <c r="I10" s="227"/>
      <c r="J10" s="227"/>
      <c r="K10" s="227"/>
      <c r="L10" s="227"/>
      <c r="M10" s="227"/>
      <c r="N10" s="227"/>
      <c r="O10" s="227"/>
      <c r="P10" s="227"/>
      <c r="Q10" s="227"/>
      <c r="R10" s="227"/>
    </row>
    <row r="11" spans="1:18">
      <c r="A11" s="118" t="str">
        <f t="shared" si="0"/>
        <v/>
      </c>
      <c r="B11" s="1"/>
      <c r="C11" s="120"/>
      <c r="D11" s="120"/>
      <c r="E11" s="118"/>
      <c r="F11" s="227"/>
      <c r="G11" s="227"/>
      <c r="H11" s="227"/>
      <c r="I11" s="227"/>
      <c r="J11" s="227"/>
      <c r="K11" s="227"/>
      <c r="L11" s="227"/>
      <c r="M11" s="227"/>
      <c r="N11" s="227"/>
      <c r="O11" s="227"/>
      <c r="P11" s="227"/>
      <c r="Q11" s="227"/>
      <c r="R11" s="227"/>
    </row>
    <row r="12" spans="1:18">
      <c r="A12" s="118" t="str">
        <f t="shared" si="0"/>
        <v/>
      </c>
      <c r="B12" s="1"/>
      <c r="C12" s="120"/>
      <c r="D12" s="120"/>
      <c r="E12" s="118"/>
      <c r="F12" s="227"/>
      <c r="G12" s="227"/>
      <c r="H12" s="227"/>
      <c r="I12" s="227"/>
      <c r="J12" s="227"/>
      <c r="K12" s="227"/>
      <c r="L12" s="227"/>
      <c r="M12" s="227"/>
      <c r="N12" s="227"/>
      <c r="O12" s="227"/>
      <c r="P12" s="227"/>
      <c r="Q12" s="227"/>
      <c r="R12" s="227"/>
    </row>
    <row r="13" spans="1:18">
      <c r="A13" s="118" t="str">
        <f t="shared" si="0"/>
        <v/>
      </c>
      <c r="B13" s="1"/>
      <c r="C13" s="120"/>
      <c r="D13" s="120"/>
      <c r="E13" s="118"/>
      <c r="F13" s="227"/>
      <c r="G13" s="227"/>
      <c r="H13" s="227"/>
      <c r="I13" s="227"/>
      <c r="J13" s="227"/>
      <c r="K13" s="227"/>
      <c r="L13" s="227"/>
      <c r="M13" s="227"/>
      <c r="N13" s="227"/>
      <c r="O13" s="227"/>
      <c r="P13" s="227"/>
      <c r="Q13" s="227"/>
      <c r="R13" s="227"/>
    </row>
    <row r="14" spans="1:18">
      <c r="A14" s="118" t="str">
        <f t="shared" si="0"/>
        <v/>
      </c>
      <c r="B14" s="1"/>
      <c r="C14" s="120"/>
      <c r="D14" s="120"/>
      <c r="E14" s="118"/>
      <c r="F14" s="227"/>
      <c r="G14" s="227"/>
      <c r="H14" s="227"/>
      <c r="I14" s="227"/>
      <c r="J14" s="227"/>
      <c r="K14" s="227"/>
      <c r="L14" s="227"/>
      <c r="M14" s="227"/>
      <c r="N14" s="227"/>
      <c r="O14" s="227"/>
      <c r="P14" s="227"/>
      <c r="Q14" s="227"/>
      <c r="R14" s="227"/>
    </row>
    <row r="15" spans="1:18">
      <c r="A15" s="118" t="str">
        <f t="shared" si="0"/>
        <v/>
      </c>
      <c r="B15" s="1"/>
      <c r="C15" s="120"/>
      <c r="D15" s="120"/>
      <c r="E15" s="118"/>
      <c r="F15" s="227"/>
      <c r="G15" s="227"/>
      <c r="H15" s="227"/>
      <c r="I15" s="227"/>
      <c r="J15" s="227"/>
      <c r="K15" s="227"/>
      <c r="L15" s="227"/>
      <c r="M15" s="227"/>
      <c r="N15" s="227"/>
      <c r="O15" s="227"/>
      <c r="P15" s="227"/>
      <c r="Q15" s="227"/>
      <c r="R15" s="227"/>
    </row>
    <row r="16" spans="1:18">
      <c r="A16" s="118" t="str">
        <f t="shared" si="0"/>
        <v/>
      </c>
      <c r="B16" s="1"/>
      <c r="C16" s="120"/>
      <c r="D16" s="120"/>
      <c r="E16" s="118"/>
      <c r="F16" s="227"/>
      <c r="G16" s="227"/>
      <c r="H16" s="227"/>
      <c r="I16" s="227"/>
      <c r="J16" s="227"/>
      <c r="K16" s="227"/>
      <c r="L16" s="227"/>
      <c r="M16" s="227"/>
      <c r="N16" s="227"/>
      <c r="O16" s="227"/>
      <c r="P16" s="227"/>
      <c r="Q16" s="227"/>
      <c r="R16" s="227"/>
    </row>
    <row r="17" spans="1:18">
      <c r="A17" s="118" t="str">
        <f t="shared" si="0"/>
        <v/>
      </c>
      <c r="B17" s="1"/>
      <c r="C17" s="120"/>
      <c r="D17" s="120"/>
      <c r="E17" s="118"/>
      <c r="F17" s="227"/>
      <c r="G17" s="227"/>
      <c r="H17" s="227"/>
      <c r="I17" s="227"/>
      <c r="J17" s="227"/>
      <c r="K17" s="227"/>
      <c r="L17" s="227"/>
      <c r="M17" s="227"/>
      <c r="N17" s="227"/>
      <c r="O17" s="227"/>
      <c r="P17" s="227"/>
      <c r="Q17" s="227"/>
      <c r="R17" s="227"/>
    </row>
    <row r="18" spans="1:18">
      <c r="A18" s="118" t="str">
        <f t="shared" si="0"/>
        <v/>
      </c>
      <c r="B18" s="1"/>
      <c r="C18" s="120"/>
      <c r="D18" s="120"/>
      <c r="E18" s="118"/>
      <c r="F18" s="227"/>
      <c r="G18" s="227"/>
      <c r="H18" s="227"/>
      <c r="I18" s="227"/>
      <c r="J18" s="227"/>
      <c r="K18" s="227"/>
      <c r="L18" s="227"/>
      <c r="M18" s="227"/>
      <c r="N18" s="227"/>
      <c r="O18" s="227"/>
      <c r="P18" s="227"/>
      <c r="Q18" s="227"/>
      <c r="R18" s="227"/>
    </row>
    <row r="19" spans="1:18">
      <c r="A19" s="118" t="str">
        <f t="shared" si="0"/>
        <v/>
      </c>
      <c r="B19" s="1"/>
      <c r="C19" s="120"/>
      <c r="D19" s="120"/>
      <c r="E19" s="118"/>
      <c r="F19" s="227"/>
      <c r="G19" s="227"/>
      <c r="H19" s="227"/>
      <c r="I19" s="227"/>
      <c r="J19" s="227"/>
      <c r="K19" s="227"/>
      <c r="L19" s="227"/>
      <c r="M19" s="227"/>
      <c r="N19" s="227"/>
      <c r="O19" s="227"/>
      <c r="P19" s="227"/>
      <c r="Q19" s="227"/>
      <c r="R19" s="227"/>
    </row>
    <row r="20" spans="1:18">
      <c r="A20" s="118" t="str">
        <f t="shared" si="0"/>
        <v/>
      </c>
      <c r="B20" s="1"/>
      <c r="C20" s="120"/>
      <c r="D20" s="120"/>
      <c r="E20" s="118"/>
      <c r="F20" s="227"/>
      <c r="G20" s="227"/>
      <c r="H20" s="227"/>
      <c r="I20" s="227"/>
      <c r="J20" s="227"/>
      <c r="K20" s="227"/>
      <c r="L20" s="227"/>
      <c r="M20" s="227"/>
      <c r="N20" s="227"/>
      <c r="O20" s="227"/>
      <c r="P20" s="227"/>
      <c r="Q20" s="227"/>
      <c r="R20" s="227"/>
    </row>
    <row r="21" spans="1:18">
      <c r="A21" s="118" t="str">
        <f t="shared" si="0"/>
        <v/>
      </c>
      <c r="B21" s="1"/>
      <c r="C21" s="120"/>
      <c r="D21" s="120"/>
      <c r="E21" s="118"/>
      <c r="F21" s="227"/>
      <c r="G21" s="227"/>
      <c r="H21" s="227"/>
      <c r="I21" s="227"/>
      <c r="J21" s="227"/>
      <c r="K21" s="227"/>
      <c r="L21" s="227"/>
      <c r="M21" s="227"/>
      <c r="N21" s="227"/>
      <c r="O21" s="227"/>
      <c r="P21" s="227"/>
      <c r="Q21" s="227"/>
      <c r="R21" s="227"/>
    </row>
    <row r="22" spans="1:18">
      <c r="A22" s="118" t="str">
        <f t="shared" si="0"/>
        <v/>
      </c>
      <c r="B22" s="1"/>
      <c r="C22" s="120"/>
      <c r="D22" s="120"/>
      <c r="E22" s="118"/>
      <c r="F22" s="227"/>
      <c r="G22" s="227"/>
      <c r="H22" s="227"/>
      <c r="I22" s="227"/>
      <c r="J22" s="227"/>
      <c r="K22" s="227"/>
      <c r="L22" s="227"/>
      <c r="M22" s="227"/>
      <c r="N22" s="227"/>
      <c r="O22" s="227"/>
      <c r="P22" s="227"/>
      <c r="Q22" s="227"/>
      <c r="R22" s="227"/>
    </row>
    <row r="23" spans="1:18">
      <c r="A23" s="118" t="str">
        <f t="shared" si="0"/>
        <v/>
      </c>
      <c r="B23" s="1"/>
      <c r="C23" s="120"/>
      <c r="D23" s="120"/>
      <c r="E23" s="118"/>
      <c r="F23" s="227"/>
      <c r="G23" s="227"/>
      <c r="H23" s="227"/>
      <c r="I23" s="227"/>
      <c r="J23" s="227"/>
      <c r="K23" s="227"/>
      <c r="L23" s="227"/>
      <c r="M23" s="227"/>
      <c r="N23" s="227"/>
      <c r="O23" s="227"/>
      <c r="P23" s="227"/>
      <c r="Q23" s="227"/>
      <c r="R23" s="227"/>
    </row>
    <row r="24" spans="1:18">
      <c r="A24" s="118" t="str">
        <f t="shared" si="0"/>
        <v/>
      </c>
      <c r="B24" s="1"/>
      <c r="C24" s="120"/>
      <c r="D24" s="120"/>
      <c r="E24" s="118"/>
      <c r="F24" s="227"/>
      <c r="G24" s="227"/>
      <c r="H24" s="227"/>
      <c r="I24" s="227"/>
      <c r="J24" s="227"/>
      <c r="K24" s="227"/>
      <c r="L24" s="227"/>
      <c r="M24" s="227"/>
      <c r="N24" s="227"/>
      <c r="O24" s="227"/>
      <c r="P24" s="227"/>
      <c r="Q24" s="227"/>
      <c r="R24" s="227"/>
    </row>
    <row r="25" spans="1:18">
      <c r="A25" s="118" t="str">
        <f t="shared" si="0"/>
        <v/>
      </c>
      <c r="B25" s="1"/>
      <c r="C25" s="120"/>
      <c r="D25" s="120"/>
      <c r="E25" s="118"/>
      <c r="F25" s="227"/>
      <c r="G25" s="227"/>
      <c r="H25" s="227"/>
      <c r="I25" s="227"/>
      <c r="J25" s="227"/>
      <c r="K25" s="227"/>
      <c r="L25" s="227"/>
      <c r="M25" s="227"/>
      <c r="N25" s="227"/>
      <c r="O25" s="227"/>
      <c r="P25" s="227"/>
      <c r="Q25" s="227"/>
      <c r="R25" s="227"/>
    </row>
    <row r="26" spans="1:18">
      <c r="A26" s="118" t="str">
        <f t="shared" si="0"/>
        <v/>
      </c>
      <c r="B26" s="1"/>
      <c r="C26" s="120"/>
      <c r="D26" s="120"/>
      <c r="E26" s="118"/>
      <c r="F26" s="227"/>
      <c r="G26" s="227"/>
      <c r="H26" s="227"/>
      <c r="I26" s="227"/>
      <c r="J26" s="227"/>
      <c r="K26" s="227"/>
      <c r="L26" s="227"/>
      <c r="M26" s="227"/>
      <c r="N26" s="227"/>
      <c r="O26" s="227"/>
      <c r="P26" s="227"/>
      <c r="Q26" s="227"/>
      <c r="R26" s="227"/>
    </row>
    <row r="27" spans="1:18">
      <c r="A27" s="118" t="str">
        <f t="shared" si="0"/>
        <v/>
      </c>
      <c r="B27" s="1"/>
      <c r="C27" s="120"/>
      <c r="D27" s="120"/>
      <c r="E27" s="118"/>
      <c r="F27" s="227"/>
      <c r="G27" s="227"/>
      <c r="H27" s="227"/>
      <c r="I27" s="227"/>
      <c r="J27" s="227"/>
      <c r="K27" s="227"/>
      <c r="L27" s="227"/>
      <c r="M27" s="227"/>
      <c r="N27" s="227"/>
      <c r="O27" s="227"/>
      <c r="P27" s="227"/>
      <c r="Q27" s="227"/>
      <c r="R27" s="227"/>
    </row>
    <row r="28" spans="1:18">
      <c r="A28" s="118" t="str">
        <f t="shared" si="0"/>
        <v/>
      </c>
      <c r="B28" s="1"/>
      <c r="C28" s="120"/>
      <c r="D28" s="120"/>
      <c r="E28" s="118"/>
      <c r="F28" s="227"/>
      <c r="G28" s="227"/>
      <c r="H28" s="227"/>
      <c r="I28" s="227"/>
      <c r="J28" s="227"/>
      <c r="K28" s="227"/>
      <c r="L28" s="227"/>
      <c r="M28" s="227"/>
      <c r="N28" s="227"/>
      <c r="O28" s="227"/>
      <c r="P28" s="227"/>
      <c r="Q28" s="227"/>
      <c r="R28" s="227"/>
    </row>
    <row r="29" spans="1:18">
      <c r="A29" s="118" t="str">
        <f t="shared" si="0"/>
        <v/>
      </c>
      <c r="B29" s="1"/>
      <c r="C29" s="120"/>
      <c r="D29" s="120"/>
      <c r="E29" s="118"/>
      <c r="F29" s="227"/>
      <c r="G29" s="227"/>
      <c r="H29" s="227"/>
      <c r="I29" s="227"/>
      <c r="J29" s="227"/>
      <c r="K29" s="227"/>
      <c r="L29" s="227"/>
      <c r="M29" s="227"/>
      <c r="N29" s="227"/>
      <c r="O29" s="227"/>
      <c r="P29" s="227"/>
      <c r="Q29" s="227"/>
      <c r="R29" s="227"/>
    </row>
    <row r="30" spans="1:18">
      <c r="A30" s="118" t="str">
        <f t="shared" si="0"/>
        <v/>
      </c>
      <c r="B30" s="1"/>
      <c r="C30" s="120"/>
      <c r="D30" s="120"/>
      <c r="E30" s="118"/>
      <c r="F30" s="227"/>
      <c r="G30" s="227"/>
      <c r="H30" s="227"/>
      <c r="I30" s="227"/>
      <c r="J30" s="227"/>
      <c r="K30" s="227"/>
      <c r="L30" s="227"/>
      <c r="M30" s="227"/>
      <c r="N30" s="227"/>
      <c r="O30" s="227"/>
      <c r="P30" s="227"/>
      <c r="Q30" s="227"/>
      <c r="R30" s="227"/>
    </row>
    <row r="31" spans="1:18">
      <c r="A31" s="118" t="str">
        <f t="shared" si="0"/>
        <v/>
      </c>
      <c r="B31" s="1"/>
      <c r="C31" s="120"/>
      <c r="D31" s="120"/>
      <c r="E31" s="118"/>
      <c r="F31" s="227"/>
      <c r="G31" s="227"/>
      <c r="H31" s="227"/>
      <c r="I31" s="227"/>
      <c r="J31" s="227"/>
      <c r="K31" s="227"/>
      <c r="L31" s="227"/>
      <c r="M31" s="227"/>
      <c r="N31" s="227"/>
      <c r="O31" s="227"/>
      <c r="P31" s="227"/>
      <c r="Q31" s="227"/>
      <c r="R31" s="227"/>
    </row>
    <row r="32" spans="1:18">
      <c r="A32" s="118" t="str">
        <f t="shared" si="0"/>
        <v/>
      </c>
      <c r="B32" s="1"/>
      <c r="C32" s="120"/>
      <c r="D32" s="120"/>
      <c r="E32" s="118"/>
      <c r="F32" s="227"/>
      <c r="G32" s="227"/>
      <c r="H32" s="227"/>
      <c r="I32" s="227"/>
      <c r="J32" s="227"/>
      <c r="K32" s="227"/>
      <c r="L32" s="227"/>
      <c r="M32" s="227"/>
      <c r="N32" s="227"/>
      <c r="O32" s="227"/>
      <c r="P32" s="227"/>
      <c r="Q32" s="227"/>
      <c r="R32" s="227"/>
    </row>
    <row r="33" spans="1:18">
      <c r="A33" s="118" t="str">
        <f t="shared" si="0"/>
        <v/>
      </c>
      <c r="B33" s="1"/>
      <c r="C33" s="120"/>
      <c r="D33" s="120"/>
      <c r="E33" s="118"/>
      <c r="F33" s="227"/>
      <c r="G33" s="227"/>
      <c r="H33" s="227"/>
      <c r="I33" s="227"/>
      <c r="J33" s="227"/>
      <c r="K33" s="227"/>
      <c r="L33" s="227"/>
      <c r="M33" s="227"/>
      <c r="N33" s="227"/>
      <c r="O33" s="227"/>
      <c r="P33" s="227"/>
      <c r="Q33" s="227"/>
      <c r="R33" s="227"/>
    </row>
    <row r="34" spans="1:18">
      <c r="A34" s="118" t="str">
        <f t="shared" si="0"/>
        <v/>
      </c>
      <c r="B34" s="1"/>
      <c r="C34" s="120"/>
      <c r="D34" s="120"/>
      <c r="E34" s="118"/>
      <c r="F34" s="227"/>
      <c r="G34" s="227"/>
      <c r="H34" s="227"/>
      <c r="I34" s="227"/>
      <c r="J34" s="227"/>
      <c r="K34" s="227"/>
      <c r="L34" s="227"/>
      <c r="M34" s="227"/>
      <c r="N34" s="227"/>
      <c r="O34" s="227"/>
      <c r="P34" s="227"/>
      <c r="Q34" s="227"/>
      <c r="R34" s="227"/>
    </row>
    <row r="35" spans="1:18">
      <c r="A35" s="118" t="str">
        <f t="shared" si="0"/>
        <v/>
      </c>
      <c r="B35" s="1"/>
      <c r="C35" s="120"/>
      <c r="D35" s="120"/>
      <c r="E35" s="118"/>
      <c r="F35" s="227"/>
      <c r="G35" s="227"/>
      <c r="H35" s="227"/>
      <c r="I35" s="227"/>
      <c r="J35" s="227"/>
      <c r="K35" s="227"/>
      <c r="L35" s="227"/>
      <c r="M35" s="227"/>
      <c r="N35" s="227"/>
      <c r="O35" s="227"/>
      <c r="P35" s="227"/>
      <c r="Q35" s="227"/>
      <c r="R35" s="227"/>
    </row>
    <row r="36" spans="1:18">
      <c r="A36" s="118" t="str">
        <f t="shared" si="0"/>
        <v/>
      </c>
      <c r="B36" s="1"/>
      <c r="C36" s="120"/>
      <c r="D36" s="120"/>
      <c r="E36" s="118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</row>
    <row r="37" spans="1:18">
      <c r="A37" s="118" t="str">
        <f t="shared" si="0"/>
        <v/>
      </c>
      <c r="B37" s="1"/>
      <c r="C37" s="120"/>
      <c r="D37" s="120"/>
      <c r="E37" s="118"/>
      <c r="F37" s="227"/>
      <c r="G37" s="227"/>
      <c r="H37" s="227"/>
      <c r="I37" s="227"/>
      <c r="J37" s="227"/>
      <c r="K37" s="227"/>
      <c r="L37" s="227"/>
      <c r="M37" s="227"/>
      <c r="N37" s="227"/>
      <c r="O37" s="227"/>
      <c r="P37" s="227"/>
      <c r="Q37" s="227"/>
      <c r="R37" s="227"/>
    </row>
    <row r="38" spans="1:18">
      <c r="A38" s="118" t="str">
        <f t="shared" si="0"/>
        <v/>
      </c>
      <c r="B38" s="121"/>
      <c r="C38" s="120"/>
      <c r="D38" s="120"/>
      <c r="E38" s="118"/>
      <c r="F38" s="227"/>
      <c r="G38" s="227"/>
      <c r="H38" s="227"/>
      <c r="I38" s="227"/>
      <c r="J38" s="227"/>
      <c r="K38" s="227"/>
      <c r="L38" s="227"/>
      <c r="M38" s="227"/>
      <c r="N38" s="227"/>
      <c r="O38" s="227"/>
      <c r="P38" s="227"/>
      <c r="Q38" s="227"/>
      <c r="R38" s="227"/>
    </row>
    <row r="39" spans="1:18">
      <c r="A39" s="118" t="str">
        <f t="shared" si="0"/>
        <v/>
      </c>
      <c r="B39" s="71"/>
      <c r="C39" s="120"/>
      <c r="D39" s="120"/>
      <c r="E39" s="118"/>
      <c r="F39" s="227"/>
      <c r="G39" s="227"/>
      <c r="H39" s="227"/>
      <c r="I39" s="227"/>
      <c r="J39" s="227"/>
      <c r="K39" s="227"/>
      <c r="L39" s="227"/>
      <c r="M39" s="227"/>
      <c r="N39" s="227"/>
      <c r="O39" s="227"/>
      <c r="P39" s="227"/>
      <c r="Q39" s="227"/>
      <c r="R39" s="227"/>
    </row>
    <row r="40" spans="1:18">
      <c r="A40" s="118" t="str">
        <f t="shared" si="0"/>
        <v/>
      </c>
      <c r="B40" s="71"/>
      <c r="C40" s="120"/>
      <c r="D40" s="120"/>
      <c r="E40" s="118"/>
      <c r="F40" s="227"/>
      <c r="G40" s="227"/>
      <c r="H40" s="227"/>
      <c r="I40" s="227"/>
      <c r="J40" s="227"/>
      <c r="K40" s="227"/>
      <c r="L40" s="227"/>
      <c r="M40" s="227"/>
      <c r="N40" s="227"/>
      <c r="O40" s="227"/>
      <c r="P40" s="227"/>
      <c r="Q40" s="227"/>
      <c r="R40" s="227"/>
    </row>
    <row r="41" spans="1:18">
      <c r="A41" s="118" t="str">
        <f t="shared" si="0"/>
        <v/>
      </c>
      <c r="B41" s="71"/>
      <c r="C41" s="120"/>
      <c r="D41" s="120"/>
      <c r="E41" s="118"/>
      <c r="F41" s="227"/>
      <c r="G41" s="227"/>
      <c r="H41" s="227"/>
      <c r="I41" s="227"/>
      <c r="J41" s="227"/>
      <c r="K41" s="227"/>
      <c r="L41" s="227"/>
      <c r="M41" s="227"/>
      <c r="N41" s="227"/>
      <c r="O41" s="227"/>
      <c r="P41" s="227"/>
      <c r="Q41" s="227"/>
      <c r="R41" s="227"/>
    </row>
    <row r="42" spans="1:18">
      <c r="A42" s="118" t="str">
        <f t="shared" si="0"/>
        <v/>
      </c>
      <c r="B42" s="71"/>
      <c r="C42" s="120"/>
      <c r="D42" s="120"/>
      <c r="E42" s="118"/>
      <c r="F42" s="227"/>
      <c r="G42" s="227"/>
      <c r="H42" s="227"/>
      <c r="I42" s="227"/>
      <c r="J42" s="227"/>
      <c r="K42" s="227"/>
      <c r="L42" s="227"/>
      <c r="M42" s="227"/>
      <c r="N42" s="227"/>
      <c r="O42" s="227"/>
      <c r="P42" s="227"/>
      <c r="Q42" s="227"/>
      <c r="R42" s="227"/>
    </row>
    <row r="43" spans="1:18">
      <c r="A43" s="118" t="str">
        <f t="shared" si="0"/>
        <v/>
      </c>
      <c r="B43" s="1"/>
      <c r="C43" s="120"/>
      <c r="D43" s="120"/>
      <c r="E43" s="118"/>
      <c r="F43" s="227"/>
      <c r="G43" s="227"/>
      <c r="H43" s="227"/>
      <c r="I43" s="227"/>
      <c r="J43" s="227"/>
      <c r="K43" s="227"/>
      <c r="L43" s="227"/>
      <c r="M43" s="227"/>
      <c r="N43" s="227"/>
      <c r="O43" s="227"/>
      <c r="P43" s="227"/>
      <c r="Q43" s="227"/>
      <c r="R43" s="227"/>
    </row>
    <row r="44" spans="1:18">
      <c r="A44" s="118" t="str">
        <f t="shared" si="0"/>
        <v/>
      </c>
      <c r="B44" s="1"/>
      <c r="C44" s="120"/>
      <c r="D44" s="120"/>
      <c r="E44" s="118"/>
      <c r="F44" s="227"/>
      <c r="G44" s="227"/>
      <c r="H44" s="227"/>
      <c r="I44" s="227"/>
      <c r="J44" s="227"/>
      <c r="K44" s="227"/>
      <c r="L44" s="227"/>
      <c r="M44" s="227"/>
      <c r="N44" s="227"/>
      <c r="O44" s="227"/>
      <c r="P44" s="227"/>
      <c r="Q44" s="227"/>
      <c r="R44" s="227"/>
    </row>
    <row r="45" spans="1:18">
      <c r="A45" s="118" t="str">
        <f t="shared" si="0"/>
        <v/>
      </c>
      <c r="B45" s="1"/>
      <c r="C45" s="120"/>
      <c r="D45" s="120"/>
      <c r="E45" s="118"/>
      <c r="F45" s="227"/>
      <c r="G45" s="227"/>
      <c r="H45" s="227"/>
      <c r="I45" s="227"/>
      <c r="J45" s="227"/>
      <c r="K45" s="227"/>
      <c r="L45" s="227"/>
      <c r="M45" s="227"/>
      <c r="N45" s="227"/>
      <c r="O45" s="227"/>
      <c r="P45" s="227"/>
      <c r="Q45" s="227"/>
      <c r="R45" s="227"/>
    </row>
    <row r="46" spans="1:18">
      <c r="A46" s="118" t="str">
        <f t="shared" si="0"/>
        <v/>
      </c>
      <c r="B46" s="1"/>
      <c r="C46" s="120"/>
      <c r="D46" s="120"/>
      <c r="E46" s="118"/>
      <c r="F46" s="227"/>
      <c r="G46" s="227"/>
      <c r="H46" s="227"/>
      <c r="I46" s="227"/>
      <c r="J46" s="227"/>
      <c r="K46" s="227"/>
      <c r="L46" s="227"/>
      <c r="M46" s="227"/>
      <c r="N46" s="227"/>
      <c r="O46" s="227"/>
      <c r="P46" s="227"/>
      <c r="Q46" s="227"/>
      <c r="R46" s="227"/>
    </row>
    <row r="47" spans="1:18">
      <c r="A47" s="118" t="str">
        <f t="shared" si="0"/>
        <v/>
      </c>
      <c r="B47" s="1"/>
      <c r="C47" s="120"/>
      <c r="D47" s="120"/>
      <c r="E47" s="118"/>
      <c r="F47" s="227"/>
      <c r="G47" s="227"/>
      <c r="H47" s="227"/>
      <c r="I47" s="227"/>
      <c r="J47" s="227"/>
      <c r="K47" s="227"/>
      <c r="L47" s="227"/>
      <c r="M47" s="227"/>
      <c r="N47" s="227"/>
      <c r="O47" s="227"/>
      <c r="P47" s="227"/>
      <c r="Q47" s="227"/>
      <c r="R47" s="227"/>
    </row>
    <row r="48" spans="1:18">
      <c r="A48" s="118" t="str">
        <f t="shared" si="0"/>
        <v/>
      </c>
      <c r="B48" s="1"/>
      <c r="C48" s="120"/>
      <c r="D48" s="120"/>
      <c r="E48" s="118"/>
      <c r="F48" s="227"/>
      <c r="G48" s="227"/>
      <c r="H48" s="227"/>
      <c r="I48" s="227"/>
      <c r="J48" s="227"/>
      <c r="K48" s="227"/>
      <c r="L48" s="227"/>
      <c r="M48" s="227"/>
      <c r="N48" s="227"/>
      <c r="O48" s="227"/>
      <c r="P48" s="227"/>
      <c r="Q48" s="227"/>
      <c r="R48" s="227"/>
    </row>
    <row r="49" spans="1:18">
      <c r="A49" s="118" t="str">
        <f t="shared" si="0"/>
        <v/>
      </c>
      <c r="B49" s="1"/>
      <c r="C49" s="120"/>
      <c r="D49" s="120"/>
      <c r="E49" s="118"/>
      <c r="F49" s="227"/>
      <c r="G49" s="227"/>
      <c r="H49" s="227"/>
      <c r="I49" s="227"/>
      <c r="J49" s="227"/>
      <c r="K49" s="227"/>
      <c r="L49" s="227"/>
      <c r="M49" s="227"/>
      <c r="N49" s="227"/>
      <c r="O49" s="227"/>
      <c r="P49" s="227"/>
      <c r="Q49" s="227"/>
      <c r="R49" s="227"/>
    </row>
    <row r="50" spans="1:18">
      <c r="A50" s="118" t="str">
        <f t="shared" si="0"/>
        <v/>
      </c>
      <c r="B50" s="1"/>
      <c r="C50" s="120"/>
      <c r="D50" s="120"/>
      <c r="E50" s="118"/>
      <c r="F50" s="227"/>
      <c r="G50" s="227"/>
      <c r="H50" s="227"/>
      <c r="I50" s="227"/>
      <c r="J50" s="227"/>
      <c r="K50" s="227"/>
      <c r="L50" s="227"/>
      <c r="M50" s="227"/>
      <c r="N50" s="227"/>
      <c r="O50" s="227"/>
      <c r="P50" s="227"/>
      <c r="Q50" s="227"/>
      <c r="R50" s="227"/>
    </row>
    <row r="51" spans="1:18">
      <c r="A51" s="118" t="str">
        <f t="shared" si="0"/>
        <v/>
      </c>
      <c r="B51" s="1"/>
      <c r="C51" s="120"/>
      <c r="D51" s="120"/>
      <c r="E51" s="118"/>
      <c r="F51" s="227"/>
      <c r="G51" s="227"/>
      <c r="H51" s="227"/>
      <c r="I51" s="227"/>
      <c r="J51" s="227"/>
      <c r="K51" s="227"/>
      <c r="L51" s="227"/>
      <c r="M51" s="227"/>
      <c r="N51" s="227"/>
      <c r="O51" s="227"/>
      <c r="P51" s="227"/>
      <c r="Q51" s="227"/>
      <c r="R51" s="227"/>
    </row>
    <row r="52" spans="1:18">
      <c r="A52" s="118" t="str">
        <f t="shared" si="0"/>
        <v/>
      </c>
      <c r="B52" s="1"/>
      <c r="C52" s="120"/>
      <c r="D52" s="120"/>
      <c r="E52" s="118"/>
      <c r="F52" s="227"/>
      <c r="G52" s="227"/>
      <c r="H52" s="227"/>
      <c r="I52" s="227"/>
      <c r="J52" s="227"/>
      <c r="K52" s="227"/>
      <c r="L52" s="227"/>
      <c r="M52" s="227"/>
      <c r="N52" s="227"/>
      <c r="O52" s="227"/>
      <c r="P52" s="227"/>
      <c r="Q52" s="227"/>
      <c r="R52" s="227"/>
    </row>
    <row r="53" spans="1:18">
      <c r="A53" s="118" t="str">
        <f t="shared" si="0"/>
        <v/>
      </c>
      <c r="B53" s="1"/>
      <c r="C53" s="120"/>
      <c r="D53" s="120"/>
      <c r="E53" s="118"/>
      <c r="F53" s="227"/>
      <c r="G53" s="227"/>
      <c r="H53" s="227"/>
      <c r="I53" s="227"/>
      <c r="J53" s="227"/>
      <c r="K53" s="227"/>
      <c r="L53" s="227"/>
      <c r="M53" s="227"/>
      <c r="N53" s="227"/>
      <c r="O53" s="227"/>
      <c r="P53" s="227"/>
      <c r="Q53" s="227"/>
      <c r="R53" s="227"/>
    </row>
    <row r="54" spans="1:18">
      <c r="A54" s="118" t="str">
        <f t="shared" si="0"/>
        <v/>
      </c>
      <c r="B54" s="1"/>
      <c r="C54" s="120"/>
      <c r="D54" s="120"/>
      <c r="E54" s="118"/>
      <c r="F54" s="227"/>
      <c r="G54" s="227"/>
      <c r="H54" s="227"/>
      <c r="I54" s="227"/>
      <c r="J54" s="227"/>
      <c r="K54" s="227"/>
      <c r="L54" s="227"/>
      <c r="M54" s="227"/>
      <c r="N54" s="227"/>
      <c r="O54" s="227"/>
      <c r="P54" s="227"/>
      <c r="Q54" s="227"/>
      <c r="R54" s="227"/>
    </row>
    <row r="55" spans="1:18">
      <c r="A55" s="118" t="str">
        <f t="shared" si="0"/>
        <v/>
      </c>
      <c r="B55" s="1"/>
      <c r="C55" s="120"/>
      <c r="D55" s="120"/>
      <c r="E55" s="118"/>
      <c r="F55" s="227"/>
      <c r="G55" s="227"/>
      <c r="H55" s="227"/>
      <c r="I55" s="227"/>
      <c r="J55" s="227"/>
      <c r="K55" s="227"/>
      <c r="L55" s="227"/>
      <c r="M55" s="227"/>
      <c r="N55" s="227"/>
      <c r="O55" s="227"/>
      <c r="P55" s="227"/>
      <c r="Q55" s="227"/>
      <c r="R55" s="227"/>
    </row>
    <row r="56" spans="1:18">
      <c r="A56" s="118" t="str">
        <f t="shared" si="0"/>
        <v/>
      </c>
      <c r="B56" s="1"/>
      <c r="C56" s="120"/>
      <c r="D56" s="120"/>
      <c r="E56" s="118"/>
      <c r="F56" s="227"/>
      <c r="G56" s="227"/>
      <c r="H56" s="227"/>
      <c r="I56" s="227"/>
      <c r="J56" s="227"/>
      <c r="K56" s="227"/>
      <c r="L56" s="227"/>
      <c r="M56" s="227"/>
      <c r="N56" s="227"/>
      <c r="O56" s="227"/>
      <c r="P56" s="227"/>
      <c r="Q56" s="227"/>
      <c r="R56" s="227"/>
    </row>
    <row r="57" spans="1:18">
      <c r="A57" s="118" t="str">
        <f t="shared" si="0"/>
        <v/>
      </c>
      <c r="B57" s="1"/>
      <c r="C57" s="120"/>
      <c r="D57" s="120"/>
      <c r="E57" s="118"/>
      <c r="F57" s="227"/>
      <c r="G57" s="227"/>
      <c r="H57" s="227"/>
      <c r="I57" s="227"/>
      <c r="J57" s="227"/>
      <c r="K57" s="227"/>
      <c r="L57" s="227"/>
      <c r="M57" s="227"/>
      <c r="N57" s="227"/>
      <c r="O57" s="227"/>
      <c r="P57" s="227"/>
      <c r="Q57" s="227"/>
      <c r="R57" s="227"/>
    </row>
    <row r="58" spans="1:18">
      <c r="A58" s="118" t="str">
        <f t="shared" si="0"/>
        <v/>
      </c>
      <c r="B58" s="1"/>
      <c r="C58" s="120"/>
      <c r="D58" s="120"/>
      <c r="E58" s="118"/>
      <c r="F58" s="227"/>
      <c r="G58" s="227"/>
      <c r="H58" s="227"/>
      <c r="I58" s="227"/>
      <c r="J58" s="227"/>
      <c r="K58" s="227"/>
      <c r="L58" s="227"/>
      <c r="M58" s="227"/>
      <c r="N58" s="227"/>
      <c r="O58" s="227"/>
      <c r="P58" s="227"/>
      <c r="Q58" s="227"/>
      <c r="R58" s="227"/>
    </row>
    <row r="59" spans="1:18">
      <c r="A59" s="118" t="str">
        <f t="shared" si="0"/>
        <v/>
      </c>
      <c r="B59" s="1"/>
      <c r="C59" s="120"/>
      <c r="D59" s="120"/>
      <c r="E59" s="118"/>
      <c r="F59" s="227"/>
      <c r="G59" s="227"/>
      <c r="H59" s="227"/>
      <c r="I59" s="227"/>
      <c r="J59" s="227"/>
      <c r="K59" s="227"/>
      <c r="L59" s="227"/>
      <c r="M59" s="227"/>
      <c r="N59" s="227"/>
      <c r="O59" s="227"/>
      <c r="P59" s="227"/>
      <c r="Q59" s="227"/>
      <c r="R59" s="227"/>
    </row>
    <row r="60" spans="1:18">
      <c r="A60" s="118" t="str">
        <f t="shared" si="0"/>
        <v/>
      </c>
      <c r="B60" s="1"/>
      <c r="C60" s="120"/>
      <c r="D60" s="120"/>
      <c r="E60" s="118"/>
      <c r="F60" s="227"/>
      <c r="G60" s="227"/>
      <c r="H60" s="227"/>
      <c r="I60" s="227"/>
      <c r="J60" s="227"/>
      <c r="K60" s="227"/>
      <c r="L60" s="227"/>
      <c r="M60" s="227"/>
      <c r="N60" s="227"/>
      <c r="O60" s="227"/>
      <c r="P60" s="227"/>
      <c r="Q60" s="227"/>
      <c r="R60" s="227"/>
    </row>
    <row r="61" spans="1:18">
      <c r="A61" s="118" t="str">
        <f t="shared" si="0"/>
        <v/>
      </c>
      <c r="B61" s="1"/>
      <c r="C61" s="120"/>
      <c r="D61" s="120"/>
      <c r="E61" s="118"/>
      <c r="F61" s="227"/>
      <c r="G61" s="227"/>
      <c r="H61" s="227"/>
      <c r="I61" s="227"/>
      <c r="J61" s="227"/>
      <c r="K61" s="227"/>
      <c r="L61" s="227"/>
      <c r="M61" s="227"/>
      <c r="N61" s="227"/>
      <c r="O61" s="227"/>
      <c r="P61" s="227"/>
      <c r="Q61" s="227"/>
      <c r="R61" s="227"/>
    </row>
    <row r="62" spans="1:18">
      <c r="A62" s="118" t="str">
        <f t="shared" si="0"/>
        <v/>
      </c>
      <c r="B62" s="1"/>
      <c r="C62" s="120"/>
      <c r="D62" s="120"/>
      <c r="E62" s="118"/>
      <c r="F62" s="227"/>
      <c r="G62" s="227"/>
      <c r="H62" s="227"/>
      <c r="I62" s="227"/>
      <c r="J62" s="227"/>
      <c r="K62" s="227"/>
      <c r="L62" s="227"/>
      <c r="M62" s="227"/>
      <c r="N62" s="227"/>
      <c r="O62" s="227"/>
      <c r="P62" s="227"/>
      <c r="Q62" s="227"/>
      <c r="R62" s="227"/>
    </row>
    <row r="63" spans="1:18">
      <c r="A63" s="118" t="str">
        <f t="shared" si="0"/>
        <v/>
      </c>
      <c r="B63" s="1"/>
      <c r="C63" s="120"/>
      <c r="D63" s="120"/>
      <c r="E63" s="118"/>
      <c r="F63" s="227"/>
      <c r="G63" s="227"/>
      <c r="H63" s="227"/>
      <c r="I63" s="227"/>
      <c r="J63" s="227"/>
      <c r="K63" s="227"/>
      <c r="L63" s="227"/>
      <c r="M63" s="227"/>
      <c r="N63" s="227"/>
      <c r="O63" s="227"/>
      <c r="P63" s="227"/>
      <c r="Q63" s="227"/>
      <c r="R63" s="227"/>
    </row>
    <row r="64" spans="1:18">
      <c r="A64" s="118" t="str">
        <f t="shared" si="0"/>
        <v/>
      </c>
      <c r="B64" s="1"/>
      <c r="C64" s="120"/>
      <c r="D64" s="120"/>
      <c r="E64" s="118"/>
      <c r="F64" s="227"/>
      <c r="G64" s="227"/>
      <c r="H64" s="227"/>
      <c r="I64" s="227"/>
      <c r="J64" s="227"/>
      <c r="K64" s="227"/>
      <c r="L64" s="227"/>
      <c r="M64" s="227"/>
      <c r="N64" s="227"/>
      <c r="O64" s="227"/>
      <c r="P64" s="227"/>
      <c r="Q64" s="227"/>
      <c r="R64" s="227"/>
    </row>
    <row r="65" spans="1:18">
      <c r="A65" s="118" t="str">
        <f t="shared" si="0"/>
        <v/>
      </c>
      <c r="B65" s="1"/>
      <c r="C65" s="120"/>
      <c r="D65" s="120"/>
      <c r="E65" s="118"/>
      <c r="F65" s="227"/>
      <c r="G65" s="227"/>
      <c r="H65" s="227"/>
      <c r="I65" s="227"/>
      <c r="J65" s="227"/>
      <c r="K65" s="227"/>
      <c r="L65" s="227"/>
      <c r="M65" s="227"/>
      <c r="N65" s="227"/>
      <c r="O65" s="227"/>
      <c r="P65" s="227"/>
      <c r="Q65" s="227"/>
      <c r="R65" s="227"/>
    </row>
    <row r="66" spans="1:18">
      <c r="A66" s="118" t="str">
        <f t="shared" si="0"/>
        <v/>
      </c>
      <c r="B66" s="1"/>
      <c r="C66" s="120"/>
      <c r="D66" s="120"/>
      <c r="E66" s="118"/>
      <c r="F66" s="227"/>
      <c r="G66" s="227"/>
      <c r="H66" s="227"/>
      <c r="I66" s="227"/>
      <c r="J66" s="227"/>
      <c r="K66" s="227"/>
      <c r="L66" s="227"/>
      <c r="M66" s="227"/>
      <c r="N66" s="227"/>
      <c r="O66" s="227"/>
      <c r="P66" s="227"/>
      <c r="Q66" s="227"/>
      <c r="R66" s="227"/>
    </row>
    <row r="67" spans="1:18">
      <c r="A67" s="118" t="str">
        <f t="shared" si="0"/>
        <v/>
      </c>
      <c r="B67" s="1"/>
      <c r="C67" s="120"/>
      <c r="D67" s="120"/>
      <c r="E67" s="118"/>
      <c r="F67" s="227"/>
      <c r="G67" s="227"/>
      <c r="H67" s="227"/>
      <c r="I67" s="227"/>
      <c r="J67" s="227"/>
      <c r="K67" s="227"/>
      <c r="L67" s="227"/>
      <c r="M67" s="227"/>
      <c r="N67" s="227"/>
      <c r="O67" s="227"/>
      <c r="P67" s="227"/>
      <c r="Q67" s="227"/>
      <c r="R67" s="227"/>
    </row>
    <row r="68" spans="1:18">
      <c r="A68" s="118" t="str">
        <f t="shared" si="0"/>
        <v/>
      </c>
      <c r="B68" s="1"/>
      <c r="C68" s="120"/>
      <c r="D68" s="120"/>
      <c r="E68" s="118"/>
      <c r="F68" s="227"/>
      <c r="G68" s="227"/>
      <c r="H68" s="227"/>
      <c r="I68" s="227"/>
      <c r="J68" s="227"/>
      <c r="K68" s="227"/>
      <c r="L68" s="227"/>
      <c r="M68" s="227"/>
      <c r="N68" s="227"/>
      <c r="O68" s="227"/>
      <c r="P68" s="227"/>
      <c r="Q68" s="227"/>
      <c r="R68" s="227"/>
    </row>
    <row r="69" spans="1:18">
      <c r="A69" s="118" t="str">
        <f t="shared" si="0"/>
        <v/>
      </c>
      <c r="B69" s="1"/>
      <c r="C69" s="120"/>
      <c r="D69" s="120"/>
      <c r="E69" s="118"/>
      <c r="F69" s="227"/>
      <c r="G69" s="227"/>
      <c r="H69" s="227"/>
      <c r="I69" s="227"/>
      <c r="J69" s="227"/>
      <c r="K69" s="227"/>
      <c r="L69" s="227"/>
      <c r="M69" s="227"/>
      <c r="N69" s="227"/>
      <c r="O69" s="227"/>
      <c r="P69" s="227"/>
      <c r="Q69" s="227"/>
      <c r="R69" s="227"/>
    </row>
    <row r="70" spans="1:18">
      <c r="A70" s="118" t="str">
        <f t="shared" si="0"/>
        <v/>
      </c>
      <c r="B70" s="1"/>
      <c r="C70" s="120"/>
      <c r="D70" s="120"/>
      <c r="E70" s="118"/>
      <c r="F70" s="227"/>
      <c r="G70" s="227"/>
      <c r="H70" s="227"/>
      <c r="I70" s="227"/>
      <c r="J70" s="227"/>
      <c r="K70" s="227"/>
      <c r="L70" s="227"/>
      <c r="M70" s="227"/>
      <c r="N70" s="227"/>
      <c r="O70" s="227"/>
      <c r="P70" s="227"/>
      <c r="Q70" s="227"/>
      <c r="R70" s="227"/>
    </row>
    <row r="71" spans="1:18">
      <c r="A71" s="118" t="str">
        <f t="shared" si="0"/>
        <v/>
      </c>
      <c r="B71" s="1"/>
      <c r="C71" s="120"/>
      <c r="D71" s="120"/>
      <c r="E71" s="118"/>
      <c r="F71" s="227"/>
      <c r="G71" s="227"/>
      <c r="H71" s="227"/>
      <c r="I71" s="227"/>
      <c r="J71" s="227"/>
      <c r="K71" s="227"/>
      <c r="L71" s="227"/>
      <c r="M71" s="227"/>
      <c r="N71" s="227"/>
      <c r="O71" s="227"/>
      <c r="P71" s="227"/>
      <c r="Q71" s="227"/>
      <c r="R71" s="227"/>
    </row>
    <row r="72" spans="1:18">
      <c r="A72" s="118" t="str">
        <f t="shared" si="0"/>
        <v/>
      </c>
      <c r="B72" s="1"/>
      <c r="C72" s="120"/>
      <c r="D72" s="120"/>
      <c r="E72" s="118"/>
      <c r="F72" s="227"/>
      <c r="G72" s="227"/>
      <c r="H72" s="227"/>
      <c r="I72" s="227"/>
      <c r="J72" s="227"/>
      <c r="K72" s="227"/>
      <c r="L72" s="227"/>
      <c r="M72" s="227"/>
      <c r="N72" s="227"/>
      <c r="O72" s="227"/>
      <c r="P72" s="227"/>
      <c r="Q72" s="227"/>
      <c r="R72" s="227"/>
    </row>
    <row r="73" spans="1:18">
      <c r="A73" s="118" t="str">
        <f t="shared" si="0"/>
        <v/>
      </c>
      <c r="B73" s="1"/>
      <c r="C73" s="120"/>
      <c r="D73" s="120"/>
      <c r="E73" s="118"/>
      <c r="F73" s="227"/>
      <c r="G73" s="227"/>
      <c r="H73" s="227"/>
      <c r="I73" s="227"/>
      <c r="J73" s="227"/>
      <c r="K73" s="227"/>
      <c r="L73" s="227"/>
      <c r="M73" s="227"/>
      <c r="N73" s="227"/>
      <c r="O73" s="227"/>
      <c r="P73" s="227"/>
      <c r="Q73" s="227"/>
      <c r="R73" s="227"/>
    </row>
    <row r="74" spans="1:18">
      <c r="A74" s="118" t="str">
        <f t="shared" si="0"/>
        <v/>
      </c>
      <c r="B74" s="1"/>
      <c r="C74" s="120"/>
      <c r="D74" s="120"/>
      <c r="E74" s="118"/>
      <c r="F74" s="227"/>
      <c r="G74" s="227"/>
      <c r="H74" s="227"/>
      <c r="I74" s="227"/>
      <c r="J74" s="227"/>
      <c r="K74" s="227"/>
      <c r="L74" s="227"/>
      <c r="M74" s="227"/>
      <c r="N74" s="227"/>
      <c r="O74" s="227"/>
      <c r="P74" s="227"/>
      <c r="Q74" s="227"/>
      <c r="R74" s="227"/>
    </row>
    <row r="75" spans="1:18">
      <c r="A75" s="118" t="str">
        <f t="shared" si="0"/>
        <v/>
      </c>
      <c r="B75" s="1"/>
      <c r="C75" s="120"/>
      <c r="D75" s="120"/>
      <c r="E75" s="118"/>
      <c r="F75" s="227"/>
      <c r="G75" s="227"/>
      <c r="H75" s="227"/>
      <c r="I75" s="227"/>
      <c r="J75" s="227"/>
      <c r="K75" s="227"/>
      <c r="L75" s="227"/>
      <c r="M75" s="227"/>
      <c r="N75" s="227"/>
      <c r="O75" s="227"/>
      <c r="P75" s="227"/>
      <c r="Q75" s="227"/>
      <c r="R75" s="227"/>
    </row>
    <row r="76" spans="1:18">
      <c r="A76" s="118" t="str">
        <f t="shared" si="0"/>
        <v/>
      </c>
      <c r="B76" s="1"/>
      <c r="C76" s="120"/>
      <c r="D76" s="120"/>
      <c r="E76" s="118"/>
      <c r="F76" s="227"/>
      <c r="G76" s="227"/>
      <c r="H76" s="227"/>
      <c r="I76" s="227"/>
      <c r="J76" s="227"/>
      <c r="K76" s="227"/>
      <c r="L76" s="227"/>
      <c r="M76" s="227"/>
      <c r="N76" s="227"/>
      <c r="O76" s="227"/>
      <c r="P76" s="227"/>
      <c r="Q76" s="227"/>
      <c r="R76" s="227"/>
    </row>
    <row r="77" spans="1:18">
      <c r="A77" s="118" t="str">
        <f t="shared" si="0"/>
        <v/>
      </c>
      <c r="B77" s="1"/>
      <c r="C77" s="120"/>
      <c r="D77" s="120"/>
      <c r="E77" s="118"/>
      <c r="F77" s="227"/>
      <c r="G77" s="227"/>
      <c r="H77" s="227"/>
      <c r="I77" s="227"/>
      <c r="J77" s="227"/>
      <c r="K77" s="227"/>
      <c r="L77" s="227"/>
      <c r="M77" s="227"/>
      <c r="N77" s="227"/>
      <c r="O77" s="227"/>
      <c r="P77" s="227"/>
      <c r="Q77" s="227"/>
      <c r="R77" s="227"/>
    </row>
    <row r="78" spans="1:18">
      <c r="A78" s="118" t="str">
        <f t="shared" si="0"/>
        <v/>
      </c>
      <c r="B78" s="1"/>
      <c r="C78" s="120"/>
      <c r="D78" s="120"/>
      <c r="E78" s="118"/>
      <c r="F78" s="227"/>
      <c r="G78" s="227"/>
      <c r="H78" s="227"/>
      <c r="I78" s="227"/>
      <c r="J78" s="227"/>
      <c r="K78" s="227"/>
      <c r="L78" s="227"/>
      <c r="M78" s="227"/>
      <c r="N78" s="227"/>
      <c r="O78" s="227"/>
      <c r="P78" s="227"/>
      <c r="Q78" s="227"/>
      <c r="R78" s="227"/>
    </row>
    <row r="79" spans="1:18">
      <c r="A79" s="118" t="str">
        <f t="shared" si="0"/>
        <v/>
      </c>
      <c r="B79" s="1"/>
      <c r="C79" s="120"/>
      <c r="D79" s="120"/>
      <c r="E79" s="118"/>
      <c r="F79" s="227"/>
      <c r="G79" s="227"/>
      <c r="H79" s="227"/>
      <c r="I79" s="227"/>
      <c r="J79" s="227"/>
      <c r="K79" s="227"/>
      <c r="L79" s="227"/>
      <c r="M79" s="227"/>
      <c r="N79" s="227"/>
      <c r="O79" s="227"/>
      <c r="P79" s="227"/>
      <c r="Q79" s="227"/>
      <c r="R79" s="227"/>
    </row>
    <row r="80" spans="1:18">
      <c r="A80" s="118" t="str">
        <f t="shared" si="0"/>
        <v/>
      </c>
      <c r="B80" s="1"/>
      <c r="C80" s="120"/>
      <c r="D80" s="120"/>
      <c r="E80" s="118"/>
      <c r="F80" s="227"/>
      <c r="G80" s="227"/>
      <c r="H80" s="227"/>
      <c r="I80" s="227"/>
      <c r="J80" s="227"/>
      <c r="K80" s="227"/>
      <c r="L80" s="227"/>
      <c r="M80" s="227"/>
      <c r="N80" s="227"/>
      <c r="O80" s="227"/>
      <c r="P80" s="227"/>
      <c r="Q80" s="227"/>
      <c r="R80" s="227"/>
    </row>
    <row r="81" spans="1:18">
      <c r="A81" s="118" t="str">
        <f t="shared" si="0"/>
        <v/>
      </c>
      <c r="B81" s="1"/>
      <c r="C81" s="120"/>
      <c r="D81" s="120"/>
      <c r="E81" s="118"/>
      <c r="F81" s="227"/>
      <c r="G81" s="227"/>
      <c r="H81" s="227"/>
      <c r="I81" s="227"/>
      <c r="J81" s="227"/>
      <c r="K81" s="227"/>
      <c r="L81" s="227"/>
      <c r="M81" s="227"/>
      <c r="N81" s="227"/>
      <c r="O81" s="227"/>
      <c r="P81" s="227"/>
      <c r="Q81" s="227"/>
      <c r="R81" s="227"/>
    </row>
    <row r="82" spans="1:18">
      <c r="A82" s="118" t="str">
        <f t="shared" si="0"/>
        <v/>
      </c>
      <c r="B82" s="1"/>
      <c r="C82" s="120"/>
      <c r="D82" s="120"/>
      <c r="E82" s="118"/>
      <c r="F82" s="227"/>
      <c r="G82" s="227"/>
      <c r="H82" s="227"/>
      <c r="I82" s="227"/>
      <c r="J82" s="227"/>
      <c r="K82" s="227"/>
      <c r="L82" s="227"/>
      <c r="M82" s="227"/>
      <c r="N82" s="227"/>
      <c r="O82" s="227"/>
      <c r="P82" s="227"/>
      <c r="Q82" s="227"/>
      <c r="R82" s="227"/>
    </row>
    <row r="83" spans="1:18">
      <c r="A83" s="118" t="str">
        <f t="shared" si="0"/>
        <v/>
      </c>
      <c r="B83" s="1"/>
      <c r="C83" s="120"/>
      <c r="D83" s="120"/>
      <c r="E83" s="118"/>
      <c r="F83" s="227"/>
      <c r="G83" s="227"/>
      <c r="H83" s="227"/>
      <c r="I83" s="227"/>
      <c r="J83" s="227"/>
      <c r="K83" s="227"/>
      <c r="L83" s="227"/>
      <c r="M83" s="227"/>
      <c r="N83" s="227"/>
      <c r="O83" s="227"/>
      <c r="P83" s="227"/>
      <c r="Q83" s="227"/>
      <c r="R83" s="227"/>
    </row>
    <row r="84" spans="1:18">
      <c r="A84" s="118" t="str">
        <f t="shared" si="0"/>
        <v/>
      </c>
      <c r="B84" s="1"/>
      <c r="C84" s="120"/>
      <c r="D84" s="120"/>
      <c r="E84" s="118"/>
      <c r="F84" s="227"/>
      <c r="G84" s="227"/>
      <c r="H84" s="227"/>
      <c r="I84" s="227"/>
      <c r="J84" s="227"/>
      <c r="K84" s="227"/>
      <c r="L84" s="227"/>
      <c r="M84" s="227"/>
      <c r="N84" s="227"/>
      <c r="O84" s="227"/>
      <c r="P84" s="227"/>
      <c r="Q84" s="227"/>
      <c r="R84" s="227"/>
    </row>
    <row r="85" spans="1:18">
      <c r="A85" s="118" t="str">
        <f t="shared" si="0"/>
        <v/>
      </c>
      <c r="B85" s="1"/>
      <c r="C85" s="120"/>
      <c r="D85" s="120"/>
      <c r="E85" s="118"/>
      <c r="F85" s="227"/>
      <c r="G85" s="227"/>
      <c r="H85" s="227"/>
      <c r="I85" s="227"/>
      <c r="J85" s="227"/>
      <c r="K85" s="227"/>
      <c r="L85" s="227"/>
      <c r="M85" s="227"/>
      <c r="N85" s="227"/>
      <c r="O85" s="227"/>
      <c r="P85" s="227"/>
      <c r="Q85" s="227"/>
      <c r="R85" s="227"/>
    </row>
    <row r="86" spans="1:18">
      <c r="A86" s="118" t="str">
        <f t="shared" si="0"/>
        <v/>
      </c>
      <c r="B86" s="1"/>
      <c r="C86" s="120"/>
      <c r="D86" s="120"/>
      <c r="E86" s="118"/>
      <c r="F86" s="227"/>
      <c r="G86" s="227"/>
      <c r="H86" s="227"/>
      <c r="I86" s="227"/>
      <c r="J86" s="227"/>
      <c r="K86" s="227"/>
      <c r="L86" s="227"/>
      <c r="M86" s="227"/>
      <c r="N86" s="227"/>
      <c r="O86" s="227"/>
      <c r="P86" s="227"/>
      <c r="Q86" s="227"/>
      <c r="R86" s="227"/>
    </row>
    <row r="87" spans="1:18">
      <c r="A87" s="118" t="str">
        <f t="shared" si="0"/>
        <v/>
      </c>
      <c r="B87" s="1"/>
      <c r="C87" s="120"/>
      <c r="D87" s="120"/>
      <c r="E87" s="118"/>
      <c r="F87" s="227"/>
      <c r="G87" s="227"/>
      <c r="H87" s="227"/>
      <c r="I87" s="227"/>
      <c r="J87" s="227"/>
      <c r="K87" s="227"/>
      <c r="L87" s="227"/>
      <c r="M87" s="227"/>
      <c r="N87" s="227"/>
      <c r="O87" s="227"/>
      <c r="P87" s="227"/>
      <c r="Q87" s="227"/>
      <c r="R87" s="227"/>
    </row>
    <row r="88" spans="1:18">
      <c r="A88" s="118" t="str">
        <f t="shared" si="0"/>
        <v/>
      </c>
      <c r="B88" s="1"/>
      <c r="C88" s="120"/>
      <c r="D88" s="120"/>
      <c r="E88" s="118"/>
      <c r="F88" s="227"/>
      <c r="G88" s="227"/>
      <c r="H88" s="227"/>
      <c r="I88" s="227"/>
      <c r="J88" s="227"/>
      <c r="K88" s="227"/>
      <c r="L88" s="227"/>
      <c r="M88" s="227"/>
      <c r="N88" s="227"/>
      <c r="O88" s="227"/>
      <c r="P88" s="227"/>
      <c r="Q88" s="227"/>
      <c r="R88" s="227"/>
    </row>
    <row r="89" spans="1:18">
      <c r="A89" s="118" t="str">
        <f t="shared" si="0"/>
        <v/>
      </c>
      <c r="B89" s="1"/>
      <c r="C89" s="120"/>
      <c r="D89" s="120"/>
      <c r="E89" s="118"/>
      <c r="F89" s="227"/>
      <c r="G89" s="227"/>
      <c r="H89" s="227"/>
      <c r="I89" s="227"/>
      <c r="J89" s="227"/>
      <c r="K89" s="227"/>
      <c r="L89" s="227"/>
      <c r="M89" s="227"/>
      <c r="N89" s="227"/>
      <c r="O89" s="227"/>
      <c r="P89" s="227"/>
      <c r="Q89" s="227"/>
      <c r="R89" s="227"/>
    </row>
    <row r="90" spans="1:18">
      <c r="A90" s="118" t="str">
        <f t="shared" si="0"/>
        <v/>
      </c>
      <c r="B90" s="1"/>
      <c r="C90" s="120"/>
      <c r="D90" s="120"/>
      <c r="E90" s="118"/>
      <c r="F90" s="227"/>
      <c r="G90" s="227"/>
      <c r="H90" s="227"/>
      <c r="I90" s="227"/>
      <c r="J90" s="227"/>
      <c r="K90" s="227"/>
      <c r="L90" s="227"/>
      <c r="M90" s="227"/>
      <c r="N90" s="227"/>
      <c r="O90" s="227"/>
      <c r="P90" s="227"/>
      <c r="Q90" s="227"/>
      <c r="R90" s="227"/>
    </row>
    <row r="91" spans="1:18">
      <c r="A91" s="118" t="str">
        <f t="shared" si="0"/>
        <v/>
      </c>
      <c r="B91" s="1"/>
      <c r="C91" s="120"/>
      <c r="D91" s="120"/>
      <c r="E91" s="118"/>
      <c r="F91" s="227"/>
      <c r="G91" s="227"/>
      <c r="H91" s="227"/>
      <c r="I91" s="227"/>
      <c r="J91" s="227"/>
      <c r="K91" s="227"/>
      <c r="L91" s="227"/>
      <c r="M91" s="227"/>
      <c r="N91" s="227"/>
      <c r="O91" s="227"/>
      <c r="P91" s="227"/>
      <c r="Q91" s="227"/>
      <c r="R91" s="227"/>
    </row>
    <row r="92" spans="1:18">
      <c r="A92" s="118" t="str">
        <f t="shared" si="0"/>
        <v/>
      </c>
      <c r="B92" s="1"/>
      <c r="C92" s="120"/>
      <c r="D92" s="120"/>
      <c r="E92" s="118"/>
      <c r="F92" s="227"/>
      <c r="G92" s="227"/>
      <c r="H92" s="227"/>
      <c r="I92" s="227"/>
      <c r="J92" s="227"/>
      <c r="K92" s="227"/>
      <c r="L92" s="227"/>
      <c r="M92" s="227"/>
      <c r="N92" s="227"/>
      <c r="O92" s="227"/>
      <c r="P92" s="227"/>
      <c r="Q92" s="227"/>
      <c r="R92" s="227"/>
    </row>
    <row r="93" spans="1:18">
      <c r="A93" s="118" t="str">
        <f t="shared" si="0"/>
        <v/>
      </c>
      <c r="B93" s="1"/>
      <c r="C93" s="120"/>
      <c r="D93" s="120"/>
      <c r="E93" s="118"/>
      <c r="F93" s="227"/>
      <c r="G93" s="227"/>
      <c r="H93" s="227"/>
      <c r="I93" s="227"/>
      <c r="J93" s="227"/>
      <c r="K93" s="227"/>
      <c r="L93" s="227"/>
      <c r="M93" s="227"/>
      <c r="N93" s="227"/>
      <c r="O93" s="227"/>
      <c r="P93" s="227"/>
      <c r="Q93" s="227"/>
      <c r="R93" s="227"/>
    </row>
    <row r="94" spans="1:18">
      <c r="A94" s="118" t="str">
        <f t="shared" si="0"/>
        <v/>
      </c>
      <c r="B94" s="1"/>
      <c r="C94" s="120"/>
      <c r="D94" s="120"/>
      <c r="E94" s="118"/>
      <c r="F94" s="227"/>
      <c r="G94" s="227"/>
      <c r="H94" s="227"/>
      <c r="I94" s="227"/>
      <c r="J94" s="227"/>
      <c r="K94" s="227"/>
      <c r="L94" s="227"/>
      <c r="M94" s="227"/>
      <c r="N94" s="227"/>
      <c r="O94" s="227"/>
      <c r="P94" s="227"/>
      <c r="Q94" s="227"/>
      <c r="R94" s="227"/>
    </row>
    <row r="95" spans="1:18">
      <c r="A95" s="2"/>
      <c r="B95" s="2"/>
      <c r="C95" s="120"/>
      <c r="D95" s="120"/>
      <c r="E95" s="118"/>
      <c r="F95" s="227"/>
      <c r="G95" s="227"/>
      <c r="H95" s="227"/>
      <c r="I95" s="227"/>
      <c r="J95" s="227"/>
      <c r="K95" s="227"/>
      <c r="L95" s="227"/>
      <c r="M95" s="227"/>
      <c r="N95" s="227"/>
      <c r="O95" s="227"/>
      <c r="P95" s="227"/>
      <c r="Q95" s="227"/>
      <c r="R95" s="227"/>
    </row>
    <row r="96" spans="1:18">
      <c r="A96" s="2"/>
      <c r="B96" s="2"/>
      <c r="C96" s="120"/>
      <c r="D96" s="120"/>
      <c r="E96" s="118"/>
      <c r="F96" s="227"/>
      <c r="G96" s="227"/>
      <c r="H96" s="227"/>
      <c r="I96" s="227"/>
      <c r="J96" s="227"/>
      <c r="K96" s="227"/>
      <c r="L96" s="227"/>
      <c r="M96" s="227"/>
      <c r="N96" s="227"/>
      <c r="O96" s="227"/>
      <c r="P96" s="227"/>
      <c r="Q96" s="227"/>
      <c r="R96" s="227"/>
    </row>
    <row r="97" spans="1:18">
      <c r="A97" s="2"/>
      <c r="B97" s="2"/>
      <c r="C97" s="120"/>
      <c r="D97" s="120"/>
      <c r="E97" s="118"/>
      <c r="F97" s="227"/>
      <c r="G97" s="227"/>
      <c r="H97" s="227"/>
      <c r="I97" s="227"/>
      <c r="J97" s="227"/>
      <c r="K97" s="227"/>
      <c r="L97" s="227"/>
      <c r="M97" s="227"/>
      <c r="N97" s="227"/>
      <c r="O97" s="227"/>
      <c r="P97" s="227"/>
      <c r="Q97" s="227"/>
      <c r="R97" s="227"/>
    </row>
    <row r="98" spans="1:18">
      <c r="A98" s="2"/>
      <c r="B98" s="2"/>
      <c r="C98" s="120"/>
      <c r="D98" s="120"/>
      <c r="E98" s="118"/>
      <c r="F98" s="227"/>
      <c r="G98" s="227"/>
      <c r="H98" s="227"/>
      <c r="I98" s="227"/>
      <c r="J98" s="227"/>
      <c r="K98" s="227"/>
      <c r="L98" s="227"/>
      <c r="M98" s="227"/>
      <c r="N98" s="227"/>
      <c r="O98" s="227"/>
      <c r="P98" s="227"/>
      <c r="Q98" s="227"/>
      <c r="R98" s="227"/>
    </row>
    <row r="99" spans="1:18">
      <c r="A99" s="2"/>
      <c r="B99" s="2"/>
      <c r="C99" s="120"/>
      <c r="D99" s="120"/>
      <c r="E99" s="118"/>
      <c r="F99" s="227"/>
      <c r="G99" s="227"/>
      <c r="H99" s="227"/>
      <c r="I99" s="227"/>
      <c r="J99" s="227"/>
      <c r="K99" s="227"/>
      <c r="L99" s="227"/>
      <c r="M99" s="227"/>
      <c r="N99" s="227"/>
      <c r="O99" s="227"/>
      <c r="P99" s="227"/>
      <c r="Q99" s="227"/>
      <c r="R99" s="227"/>
    </row>
    <row r="100" spans="1:18">
      <c r="A100" s="2"/>
      <c r="B100" s="2"/>
      <c r="C100" s="120"/>
      <c r="D100" s="120"/>
      <c r="E100" s="118"/>
      <c r="F100" s="227"/>
      <c r="G100" s="227"/>
      <c r="H100" s="227"/>
      <c r="I100" s="227"/>
      <c r="J100" s="227"/>
      <c r="K100" s="227"/>
      <c r="L100" s="227"/>
      <c r="M100" s="227"/>
      <c r="N100" s="227"/>
      <c r="O100" s="227"/>
      <c r="P100" s="227"/>
      <c r="Q100" s="227"/>
      <c r="R100" s="227"/>
    </row>
    <row r="101" spans="1:18">
      <c r="A101" s="2"/>
      <c r="B101" s="2"/>
      <c r="C101" s="120"/>
      <c r="D101" s="120"/>
      <c r="E101" s="118"/>
      <c r="F101" s="227"/>
      <c r="G101" s="227"/>
      <c r="H101" s="227"/>
      <c r="I101" s="227"/>
      <c r="J101" s="227"/>
      <c r="K101" s="227"/>
      <c r="L101" s="227"/>
      <c r="M101" s="227"/>
      <c r="N101" s="227"/>
      <c r="O101" s="227"/>
      <c r="P101" s="227"/>
      <c r="Q101" s="227"/>
      <c r="R101" s="227"/>
    </row>
    <row r="102" spans="1:18">
      <c r="A102" s="2"/>
      <c r="B102" s="2"/>
      <c r="C102" s="120"/>
      <c r="D102" s="120"/>
      <c r="E102" s="118"/>
      <c r="F102" s="227"/>
      <c r="G102" s="227"/>
      <c r="H102" s="227"/>
      <c r="I102" s="227"/>
      <c r="J102" s="227"/>
      <c r="K102" s="227"/>
      <c r="L102" s="227"/>
      <c r="M102" s="227"/>
      <c r="N102" s="227"/>
      <c r="O102" s="227"/>
      <c r="P102" s="227"/>
      <c r="Q102" s="227"/>
      <c r="R102" s="227"/>
    </row>
    <row r="103" spans="1:18">
      <c r="A103" s="2"/>
      <c r="B103" s="2"/>
      <c r="C103" s="120"/>
      <c r="D103" s="120"/>
      <c r="E103" s="118"/>
      <c r="F103" s="227"/>
      <c r="G103" s="227"/>
      <c r="H103" s="227"/>
      <c r="I103" s="227"/>
      <c r="J103" s="227"/>
      <c r="K103" s="227"/>
      <c r="L103" s="227"/>
      <c r="M103" s="227"/>
      <c r="N103" s="227"/>
      <c r="O103" s="227"/>
      <c r="P103" s="227"/>
      <c r="Q103" s="227"/>
      <c r="R103" s="227"/>
    </row>
    <row r="104" spans="1:18">
      <c r="A104" s="2"/>
      <c r="B104" s="2"/>
      <c r="C104" s="120"/>
      <c r="D104" s="120"/>
      <c r="E104" s="118"/>
      <c r="F104" s="227"/>
      <c r="G104" s="227"/>
      <c r="H104" s="227"/>
      <c r="I104" s="227"/>
      <c r="J104" s="227"/>
      <c r="K104" s="227"/>
      <c r="L104" s="227"/>
      <c r="M104" s="227"/>
      <c r="N104" s="227"/>
      <c r="O104" s="227"/>
      <c r="P104" s="227"/>
      <c r="Q104" s="227"/>
      <c r="R104" s="227"/>
    </row>
    <row r="105" spans="1:18">
      <c r="A105" s="2"/>
      <c r="B105" s="2"/>
      <c r="C105" s="120"/>
      <c r="D105" s="120"/>
      <c r="E105" s="118"/>
      <c r="F105" s="227"/>
      <c r="G105" s="227"/>
      <c r="H105" s="227"/>
      <c r="I105" s="227"/>
      <c r="J105" s="227"/>
      <c r="K105" s="227"/>
      <c r="L105" s="227"/>
      <c r="M105" s="227"/>
      <c r="N105" s="227"/>
      <c r="O105" s="227"/>
      <c r="P105" s="227"/>
      <c r="Q105" s="227"/>
      <c r="R105" s="227"/>
    </row>
    <row r="106" spans="1:18">
      <c r="A106" s="2"/>
      <c r="B106" s="2"/>
      <c r="C106" s="120"/>
      <c r="D106" s="120"/>
      <c r="E106" s="118"/>
      <c r="F106" s="227"/>
      <c r="G106" s="227"/>
      <c r="H106" s="227"/>
      <c r="I106" s="227"/>
      <c r="J106" s="227"/>
      <c r="K106" s="227"/>
      <c r="L106" s="227"/>
      <c r="M106" s="227"/>
      <c r="N106" s="227"/>
      <c r="O106" s="227"/>
      <c r="P106" s="227"/>
      <c r="Q106" s="227"/>
      <c r="R106" s="227"/>
    </row>
    <row r="107" spans="1:18">
      <c r="A107" s="2"/>
      <c r="B107" s="2"/>
      <c r="C107" s="120"/>
      <c r="D107" s="120"/>
      <c r="E107" s="118"/>
      <c r="F107" s="227"/>
      <c r="G107" s="227"/>
      <c r="H107" s="227"/>
      <c r="I107" s="227"/>
      <c r="J107" s="227"/>
      <c r="K107" s="227"/>
      <c r="L107" s="227"/>
      <c r="M107" s="227"/>
      <c r="N107" s="227"/>
      <c r="O107" s="227"/>
      <c r="P107" s="227"/>
      <c r="Q107" s="227"/>
      <c r="R107" s="227"/>
    </row>
    <row r="108" spans="1:18">
      <c r="A108" s="2"/>
      <c r="B108" s="2"/>
      <c r="C108" s="120"/>
      <c r="D108" s="120"/>
      <c r="E108" s="118"/>
      <c r="F108" s="227"/>
      <c r="G108" s="227"/>
      <c r="H108" s="227"/>
      <c r="I108" s="227"/>
      <c r="J108" s="227"/>
      <c r="K108" s="227"/>
      <c r="L108" s="227"/>
      <c r="M108" s="227"/>
      <c r="N108" s="227"/>
      <c r="O108" s="227"/>
      <c r="P108" s="227"/>
      <c r="Q108" s="227"/>
      <c r="R108" s="227"/>
    </row>
    <row r="109" spans="1:18">
      <c r="A109" s="2"/>
      <c r="B109" s="2"/>
      <c r="C109" s="120"/>
      <c r="D109" s="120"/>
      <c r="E109" s="118"/>
      <c r="F109" s="227"/>
      <c r="G109" s="227"/>
      <c r="H109" s="227"/>
      <c r="I109" s="227"/>
      <c r="J109" s="227"/>
      <c r="K109" s="227"/>
      <c r="L109" s="227"/>
      <c r="M109" s="227"/>
      <c r="N109" s="227"/>
      <c r="O109" s="227"/>
      <c r="P109" s="227"/>
      <c r="Q109" s="227"/>
      <c r="R109" s="227"/>
    </row>
    <row r="110" spans="1:18">
      <c r="A110" s="2"/>
      <c r="B110" s="2"/>
      <c r="C110" s="120"/>
      <c r="D110" s="120"/>
      <c r="E110" s="118"/>
      <c r="F110" s="227"/>
      <c r="G110" s="227"/>
      <c r="H110" s="227"/>
      <c r="I110" s="227"/>
      <c r="J110" s="227"/>
      <c r="K110" s="227"/>
      <c r="L110" s="227"/>
      <c r="M110" s="227"/>
      <c r="N110" s="227"/>
      <c r="O110" s="227"/>
      <c r="P110" s="227"/>
      <c r="Q110" s="227"/>
      <c r="R110" s="227"/>
    </row>
    <row r="111" spans="1:18">
      <c r="A111" s="2"/>
      <c r="B111" s="2"/>
      <c r="C111" s="120"/>
      <c r="D111" s="120"/>
      <c r="E111" s="118"/>
      <c r="F111" s="227"/>
      <c r="G111" s="227"/>
      <c r="H111" s="227"/>
      <c r="I111" s="227"/>
      <c r="J111" s="227"/>
      <c r="K111" s="227"/>
      <c r="L111" s="227"/>
      <c r="M111" s="227"/>
      <c r="N111" s="227"/>
      <c r="O111" s="227"/>
      <c r="P111" s="227"/>
      <c r="Q111" s="227"/>
      <c r="R111" s="227"/>
    </row>
    <row r="112" spans="1:18">
      <c r="A112" s="2"/>
      <c r="B112" s="2"/>
      <c r="C112" s="120"/>
      <c r="D112" s="120"/>
      <c r="E112" s="118"/>
      <c r="F112" s="227"/>
      <c r="G112" s="227"/>
      <c r="H112" s="227"/>
      <c r="I112" s="227"/>
      <c r="J112" s="227"/>
      <c r="K112" s="227"/>
      <c r="L112" s="227"/>
      <c r="M112" s="227"/>
      <c r="N112" s="227"/>
      <c r="O112" s="227"/>
      <c r="P112" s="227"/>
      <c r="Q112" s="227"/>
      <c r="R112" s="227"/>
    </row>
    <row r="113" spans="1:18">
      <c r="A113" s="2"/>
      <c r="B113" s="2"/>
      <c r="C113" s="120"/>
      <c r="D113" s="120"/>
      <c r="E113" s="118"/>
      <c r="F113" s="227"/>
      <c r="G113" s="227"/>
      <c r="H113" s="227"/>
      <c r="I113" s="227"/>
      <c r="J113" s="227"/>
      <c r="K113" s="227"/>
      <c r="L113" s="227"/>
      <c r="M113" s="227"/>
      <c r="N113" s="227"/>
      <c r="O113" s="227"/>
      <c r="P113" s="227"/>
      <c r="Q113" s="227"/>
      <c r="R113" s="227"/>
    </row>
    <row r="114" spans="1:18">
      <c r="A114" s="2"/>
      <c r="B114" s="2"/>
      <c r="C114" s="120"/>
      <c r="D114" s="120"/>
      <c r="E114" s="118"/>
      <c r="F114" s="227"/>
      <c r="G114" s="227"/>
      <c r="H114" s="227"/>
      <c r="I114" s="227"/>
      <c r="J114" s="227"/>
      <c r="K114" s="227"/>
      <c r="L114" s="227"/>
      <c r="M114" s="227"/>
      <c r="N114" s="227"/>
      <c r="O114" s="227"/>
      <c r="P114" s="227"/>
      <c r="Q114" s="227"/>
      <c r="R114" s="227"/>
    </row>
    <row r="115" spans="1:18">
      <c r="A115" s="2"/>
      <c r="B115" s="2"/>
      <c r="C115" s="120"/>
      <c r="D115" s="120"/>
      <c r="E115" s="118"/>
      <c r="F115" s="227"/>
      <c r="G115" s="227"/>
      <c r="H115" s="227"/>
      <c r="I115" s="227"/>
      <c r="J115" s="227"/>
      <c r="K115" s="227"/>
      <c r="L115" s="227"/>
      <c r="M115" s="227"/>
      <c r="N115" s="227"/>
      <c r="O115" s="227"/>
      <c r="P115" s="227"/>
      <c r="Q115" s="227"/>
      <c r="R115" s="227"/>
    </row>
    <row r="116" spans="1:18">
      <c r="A116" s="2"/>
      <c r="B116" s="2"/>
      <c r="C116" s="120"/>
      <c r="D116" s="120"/>
      <c r="E116" s="118"/>
      <c r="F116" s="227"/>
      <c r="G116" s="227"/>
      <c r="H116" s="227"/>
      <c r="I116" s="227"/>
      <c r="J116" s="227"/>
      <c r="K116" s="227"/>
      <c r="L116" s="227"/>
      <c r="M116" s="227"/>
      <c r="N116" s="227"/>
      <c r="O116" s="227"/>
      <c r="P116" s="227"/>
      <c r="Q116" s="227"/>
      <c r="R116" s="227"/>
    </row>
    <row r="117" spans="1:18">
      <c r="A117" s="2"/>
      <c r="B117" s="2"/>
      <c r="C117" s="120"/>
      <c r="D117" s="120"/>
      <c r="E117" s="118"/>
      <c r="F117" s="227"/>
      <c r="G117" s="227"/>
      <c r="H117" s="227"/>
      <c r="I117" s="227"/>
      <c r="J117" s="227"/>
      <c r="K117" s="227"/>
      <c r="L117" s="227"/>
      <c r="M117" s="227"/>
      <c r="N117" s="227"/>
      <c r="O117" s="227"/>
      <c r="P117" s="227"/>
      <c r="Q117" s="227"/>
      <c r="R117" s="227"/>
    </row>
    <row r="118" spans="1:18">
      <c r="A118" s="2"/>
      <c r="B118" s="2"/>
      <c r="C118" s="120"/>
      <c r="D118" s="120"/>
      <c r="E118" s="118"/>
      <c r="F118" s="227"/>
      <c r="G118" s="227"/>
      <c r="H118" s="227"/>
      <c r="I118" s="227"/>
      <c r="J118" s="227"/>
      <c r="K118" s="227"/>
      <c r="L118" s="227"/>
      <c r="M118" s="227"/>
      <c r="N118" s="227"/>
      <c r="O118" s="227"/>
      <c r="P118" s="227"/>
      <c r="Q118" s="227"/>
      <c r="R118" s="227"/>
    </row>
    <row r="119" spans="1:18">
      <c r="A119" s="2"/>
      <c r="B119" s="2"/>
      <c r="C119" s="120"/>
      <c r="D119" s="120"/>
      <c r="E119" s="118"/>
      <c r="F119" s="227"/>
      <c r="G119" s="227"/>
      <c r="H119" s="227"/>
      <c r="I119" s="227"/>
      <c r="J119" s="227"/>
      <c r="K119" s="227"/>
      <c r="L119" s="227"/>
      <c r="M119" s="227"/>
      <c r="N119" s="227"/>
      <c r="O119" s="227"/>
      <c r="P119" s="227"/>
      <c r="Q119" s="227"/>
      <c r="R119" s="227"/>
    </row>
    <row r="120" spans="1:18">
      <c r="A120" s="2"/>
      <c r="B120" s="2"/>
      <c r="C120" s="120"/>
      <c r="D120" s="120"/>
      <c r="E120" s="118"/>
      <c r="F120" s="227"/>
      <c r="G120" s="227"/>
      <c r="H120" s="227"/>
      <c r="I120" s="227"/>
      <c r="J120" s="227"/>
      <c r="K120" s="227"/>
      <c r="L120" s="227"/>
      <c r="M120" s="227"/>
      <c r="N120" s="227"/>
      <c r="O120" s="227"/>
      <c r="P120" s="227"/>
      <c r="Q120" s="227"/>
      <c r="R120" s="227"/>
    </row>
    <row r="121" spans="1:18">
      <c r="A121" s="2"/>
      <c r="B121" s="2"/>
      <c r="C121" s="120"/>
      <c r="D121" s="120"/>
      <c r="E121" s="118"/>
      <c r="F121" s="227"/>
      <c r="G121" s="227"/>
      <c r="H121" s="227"/>
      <c r="I121" s="227"/>
      <c r="J121" s="227"/>
      <c r="K121" s="227"/>
      <c r="L121" s="227"/>
      <c r="M121" s="227"/>
      <c r="N121" s="227"/>
      <c r="O121" s="227"/>
      <c r="P121" s="227"/>
      <c r="Q121" s="227"/>
      <c r="R121" s="227"/>
    </row>
    <row r="122" spans="1:18">
      <c r="A122" s="2"/>
      <c r="B122" s="2"/>
      <c r="C122" s="120"/>
      <c r="D122" s="120"/>
      <c r="E122" s="118"/>
      <c r="F122" s="227"/>
      <c r="G122" s="227"/>
      <c r="H122" s="227"/>
      <c r="I122" s="227"/>
      <c r="J122" s="227"/>
      <c r="K122" s="227"/>
      <c r="L122" s="227"/>
      <c r="M122" s="227"/>
      <c r="N122" s="227"/>
      <c r="O122" s="227"/>
      <c r="P122" s="227"/>
      <c r="Q122" s="227"/>
      <c r="R122" s="227"/>
    </row>
    <row r="123" spans="1:18">
      <c r="A123" s="2"/>
      <c r="B123" s="2"/>
      <c r="C123" s="120"/>
      <c r="D123" s="120"/>
      <c r="E123" s="118"/>
      <c r="F123" s="227"/>
      <c r="G123" s="227"/>
      <c r="H123" s="227"/>
      <c r="I123" s="227"/>
      <c r="J123" s="227"/>
      <c r="K123" s="227"/>
      <c r="L123" s="227"/>
      <c r="M123" s="227"/>
      <c r="N123" s="227"/>
      <c r="O123" s="227"/>
      <c r="P123" s="227"/>
      <c r="Q123" s="227"/>
      <c r="R123" s="227"/>
    </row>
    <row r="124" spans="1:18">
      <c r="A124" s="2"/>
      <c r="B124" s="2"/>
      <c r="C124" s="120"/>
      <c r="D124" s="120"/>
      <c r="E124" s="118"/>
      <c r="F124" s="227"/>
      <c r="G124" s="227"/>
      <c r="H124" s="227"/>
      <c r="I124" s="227"/>
      <c r="J124" s="227"/>
      <c r="K124" s="227"/>
      <c r="L124" s="227"/>
      <c r="M124" s="227"/>
      <c r="N124" s="227"/>
      <c r="O124" s="227"/>
      <c r="P124" s="227"/>
      <c r="Q124" s="227"/>
      <c r="R124" s="227"/>
    </row>
    <row r="125" spans="1:18">
      <c r="A125" s="2"/>
      <c r="B125" s="2"/>
      <c r="C125" s="120"/>
      <c r="D125" s="120"/>
      <c r="E125" s="118"/>
      <c r="F125" s="227"/>
      <c r="G125" s="227"/>
      <c r="H125" s="227"/>
      <c r="I125" s="227"/>
      <c r="J125" s="227"/>
      <c r="K125" s="227"/>
      <c r="L125" s="227"/>
      <c r="M125" s="227"/>
      <c r="N125" s="227"/>
      <c r="O125" s="227"/>
      <c r="P125" s="227"/>
      <c r="Q125" s="227"/>
      <c r="R125" s="227"/>
    </row>
    <row r="126" spans="1:18">
      <c r="A126" s="2"/>
      <c r="B126" s="2"/>
      <c r="C126" s="120"/>
      <c r="D126" s="120"/>
      <c r="E126" s="118"/>
      <c r="F126" s="227"/>
      <c r="G126" s="227"/>
      <c r="H126" s="227"/>
      <c r="I126" s="227"/>
      <c r="J126" s="227"/>
      <c r="K126" s="227"/>
      <c r="L126" s="227"/>
      <c r="M126" s="227"/>
      <c r="N126" s="227"/>
      <c r="O126" s="227"/>
      <c r="P126" s="227"/>
      <c r="Q126" s="227"/>
      <c r="R126" s="227"/>
    </row>
    <row r="127" spans="1:18">
      <c r="A127" s="2"/>
      <c r="B127" s="2"/>
      <c r="C127" s="120"/>
      <c r="D127" s="120"/>
      <c r="E127" s="118"/>
      <c r="F127" s="227"/>
      <c r="G127" s="227"/>
      <c r="H127" s="227"/>
      <c r="I127" s="227"/>
      <c r="J127" s="227"/>
      <c r="K127" s="227"/>
      <c r="L127" s="227"/>
      <c r="M127" s="227"/>
      <c r="N127" s="227"/>
      <c r="O127" s="227"/>
      <c r="P127" s="227"/>
      <c r="Q127" s="227"/>
      <c r="R127" s="227"/>
    </row>
    <row r="128" spans="1:18">
      <c r="A128" s="2"/>
      <c r="B128" s="2"/>
      <c r="C128" s="120"/>
      <c r="D128" s="120"/>
      <c r="E128" s="118"/>
      <c r="F128" s="227"/>
      <c r="G128" s="227"/>
      <c r="H128" s="227"/>
      <c r="I128" s="227"/>
      <c r="J128" s="227"/>
      <c r="K128" s="227"/>
      <c r="L128" s="227"/>
      <c r="M128" s="227"/>
      <c r="N128" s="227"/>
      <c r="O128" s="227"/>
      <c r="P128" s="227"/>
      <c r="Q128" s="227"/>
      <c r="R128" s="227"/>
    </row>
    <row r="129" spans="1:18">
      <c r="A129" s="2"/>
      <c r="B129" s="2"/>
      <c r="C129" s="120"/>
      <c r="D129" s="120"/>
      <c r="E129" s="118"/>
      <c r="F129" s="227"/>
      <c r="G129" s="227"/>
      <c r="H129" s="227"/>
      <c r="I129" s="227"/>
      <c r="J129" s="227"/>
      <c r="K129" s="227"/>
      <c r="L129" s="227"/>
      <c r="M129" s="227"/>
      <c r="N129" s="227"/>
      <c r="O129" s="227"/>
      <c r="P129" s="227"/>
      <c r="Q129" s="227"/>
      <c r="R129" s="227"/>
    </row>
    <row r="130" spans="1:18">
      <c r="A130" s="2"/>
      <c r="B130" s="2"/>
      <c r="C130" s="120"/>
      <c r="D130" s="120"/>
      <c r="E130" s="118"/>
      <c r="F130" s="227"/>
      <c r="G130" s="227"/>
      <c r="H130" s="227"/>
      <c r="I130" s="227"/>
      <c r="J130" s="227"/>
      <c r="K130" s="227"/>
      <c r="L130" s="227"/>
      <c r="M130" s="227"/>
      <c r="N130" s="227"/>
      <c r="O130" s="227"/>
      <c r="P130" s="227"/>
      <c r="Q130" s="227"/>
      <c r="R130" s="227"/>
    </row>
    <row r="131" spans="1:18">
      <c r="A131" s="2"/>
      <c r="B131" s="2"/>
      <c r="C131" s="120"/>
      <c r="D131" s="120"/>
      <c r="E131" s="118"/>
      <c r="F131" s="227"/>
      <c r="G131" s="227"/>
      <c r="H131" s="227"/>
      <c r="I131" s="227"/>
      <c r="J131" s="227"/>
      <c r="K131" s="227"/>
      <c r="L131" s="227"/>
      <c r="M131" s="227"/>
      <c r="N131" s="227"/>
      <c r="O131" s="227"/>
      <c r="P131" s="227"/>
      <c r="Q131" s="227"/>
      <c r="R131" s="227"/>
    </row>
    <row r="132" spans="1:18">
      <c r="A132" s="2"/>
      <c r="B132" s="2"/>
      <c r="C132" s="120"/>
      <c r="D132" s="120"/>
      <c r="E132" s="118"/>
      <c r="F132" s="227"/>
      <c r="G132" s="227"/>
      <c r="H132" s="227"/>
      <c r="I132" s="227"/>
      <c r="J132" s="227"/>
      <c r="K132" s="227"/>
      <c r="L132" s="227"/>
      <c r="M132" s="227"/>
      <c r="N132" s="227"/>
      <c r="O132" s="227"/>
      <c r="P132" s="227"/>
      <c r="Q132" s="227"/>
      <c r="R132" s="227"/>
    </row>
    <row r="133" spans="1:18">
      <c r="A133" s="2"/>
      <c r="B133" s="2"/>
      <c r="C133" s="120"/>
      <c r="D133" s="120"/>
      <c r="E133" s="118"/>
      <c r="F133" s="227"/>
      <c r="G133" s="227"/>
      <c r="H133" s="227"/>
      <c r="I133" s="227"/>
      <c r="J133" s="227"/>
      <c r="K133" s="227"/>
      <c r="L133" s="227"/>
      <c r="M133" s="227"/>
      <c r="N133" s="227"/>
      <c r="O133" s="227"/>
      <c r="P133" s="227"/>
      <c r="Q133" s="227"/>
      <c r="R133" s="227"/>
    </row>
    <row r="134" spans="1:18">
      <c r="A134" s="2"/>
      <c r="B134" s="2"/>
      <c r="C134" s="120"/>
      <c r="D134" s="120"/>
      <c r="E134" s="118"/>
      <c r="F134" s="227"/>
      <c r="G134" s="227"/>
      <c r="H134" s="227"/>
      <c r="I134" s="227"/>
      <c r="J134" s="227"/>
      <c r="K134" s="227"/>
      <c r="L134" s="227"/>
      <c r="M134" s="227"/>
      <c r="N134" s="227"/>
      <c r="O134" s="227"/>
      <c r="P134" s="227"/>
      <c r="Q134" s="227"/>
      <c r="R134" s="227"/>
    </row>
    <row r="135" spans="1:18">
      <c r="A135" s="2"/>
      <c r="B135" s="2"/>
      <c r="C135" s="120"/>
      <c r="D135" s="120"/>
      <c r="E135" s="118"/>
      <c r="F135" s="227"/>
      <c r="G135" s="227"/>
      <c r="H135" s="227"/>
      <c r="I135" s="227"/>
      <c r="J135" s="227"/>
      <c r="K135" s="227"/>
      <c r="L135" s="227"/>
      <c r="M135" s="227"/>
      <c r="N135" s="227"/>
      <c r="O135" s="227"/>
      <c r="P135" s="227"/>
      <c r="Q135" s="227"/>
      <c r="R135" s="227"/>
    </row>
    <row r="136" spans="1:18">
      <c r="A136" s="2"/>
      <c r="B136" s="2"/>
      <c r="C136" s="120"/>
      <c r="D136" s="120"/>
      <c r="E136" s="118"/>
      <c r="F136" s="227"/>
      <c r="G136" s="227"/>
      <c r="H136" s="227"/>
      <c r="I136" s="227"/>
      <c r="J136" s="227"/>
      <c r="K136" s="227"/>
      <c r="L136" s="227"/>
      <c r="M136" s="227"/>
      <c r="N136" s="227"/>
      <c r="O136" s="227"/>
      <c r="P136" s="227"/>
      <c r="Q136" s="227"/>
      <c r="R136" s="227"/>
    </row>
    <row r="137" spans="1:18">
      <c r="A137" s="2"/>
      <c r="B137" s="2"/>
      <c r="C137" s="120"/>
      <c r="D137" s="120"/>
      <c r="E137" s="118"/>
      <c r="F137" s="227"/>
      <c r="G137" s="227"/>
      <c r="H137" s="227"/>
      <c r="I137" s="227"/>
      <c r="J137" s="227"/>
      <c r="K137" s="227"/>
      <c r="L137" s="227"/>
      <c r="M137" s="227"/>
      <c r="N137" s="227"/>
      <c r="O137" s="227"/>
      <c r="P137" s="227"/>
      <c r="Q137" s="227"/>
      <c r="R137" s="227"/>
    </row>
    <row r="138" spans="1:18">
      <c r="A138" s="2"/>
      <c r="B138" s="2"/>
      <c r="C138" s="120"/>
      <c r="D138" s="120"/>
      <c r="E138" s="118"/>
      <c r="F138" s="227"/>
      <c r="G138" s="227"/>
      <c r="H138" s="227"/>
      <c r="I138" s="227"/>
      <c r="J138" s="227"/>
      <c r="K138" s="227"/>
      <c r="L138" s="227"/>
      <c r="M138" s="227"/>
      <c r="N138" s="227"/>
      <c r="O138" s="227"/>
      <c r="P138" s="227"/>
      <c r="Q138" s="227"/>
      <c r="R138" s="227"/>
    </row>
    <row r="139" spans="1:18">
      <c r="A139" s="2"/>
      <c r="B139" s="2"/>
      <c r="C139" s="120"/>
      <c r="D139" s="120"/>
      <c r="E139" s="118"/>
      <c r="F139" s="227"/>
      <c r="G139" s="227"/>
      <c r="H139" s="227"/>
      <c r="I139" s="227"/>
      <c r="J139" s="227"/>
      <c r="K139" s="227"/>
      <c r="L139" s="227"/>
      <c r="M139" s="227"/>
      <c r="N139" s="227"/>
      <c r="O139" s="227"/>
      <c r="P139" s="227"/>
      <c r="Q139" s="227"/>
      <c r="R139" s="227"/>
    </row>
    <row r="140" spans="1:18">
      <c r="A140" s="2"/>
      <c r="B140" s="2"/>
      <c r="C140" s="120"/>
      <c r="D140" s="120"/>
      <c r="E140" s="118"/>
      <c r="F140" s="227"/>
      <c r="G140" s="227"/>
      <c r="H140" s="227"/>
      <c r="I140" s="227"/>
      <c r="J140" s="227"/>
      <c r="K140" s="227"/>
      <c r="L140" s="227"/>
      <c r="M140" s="227"/>
      <c r="N140" s="227"/>
      <c r="O140" s="227"/>
      <c r="P140" s="227"/>
      <c r="Q140" s="227"/>
      <c r="R140" s="227"/>
    </row>
    <row r="141" spans="1:18">
      <c r="A141" s="2"/>
      <c r="B141" s="2"/>
      <c r="C141" s="120"/>
      <c r="D141" s="120"/>
      <c r="E141" s="118"/>
      <c r="F141" s="227"/>
      <c r="G141" s="227"/>
      <c r="H141" s="227"/>
      <c r="I141" s="227"/>
      <c r="J141" s="227"/>
      <c r="K141" s="227"/>
      <c r="L141" s="227"/>
      <c r="M141" s="227"/>
      <c r="N141" s="227"/>
      <c r="O141" s="227"/>
      <c r="P141" s="227"/>
      <c r="Q141" s="227"/>
      <c r="R141" s="227"/>
    </row>
    <row r="142" spans="1:18">
      <c r="A142" s="2"/>
      <c r="B142" s="2"/>
      <c r="C142" s="120"/>
      <c r="D142" s="120"/>
      <c r="E142" s="118"/>
      <c r="F142" s="227"/>
      <c r="G142" s="227"/>
      <c r="H142" s="227"/>
      <c r="I142" s="227"/>
      <c r="J142" s="227"/>
      <c r="K142" s="227"/>
      <c r="L142" s="227"/>
      <c r="M142" s="227"/>
      <c r="N142" s="227"/>
      <c r="O142" s="227"/>
      <c r="P142" s="227"/>
      <c r="Q142" s="227"/>
      <c r="R142" s="227"/>
    </row>
    <row r="143" spans="1:18">
      <c r="A143" s="2"/>
      <c r="B143" s="2"/>
      <c r="C143" s="120"/>
      <c r="D143" s="120"/>
      <c r="E143" s="118"/>
      <c r="F143" s="227"/>
      <c r="G143" s="227"/>
      <c r="H143" s="227"/>
      <c r="I143" s="227"/>
      <c r="J143" s="227"/>
      <c r="K143" s="227"/>
      <c r="L143" s="227"/>
      <c r="M143" s="227"/>
      <c r="N143" s="227"/>
      <c r="O143" s="227"/>
      <c r="P143" s="227"/>
      <c r="Q143" s="227"/>
      <c r="R143" s="227"/>
    </row>
    <row r="144" spans="1:18">
      <c r="A144" s="2"/>
      <c r="B144" s="2"/>
      <c r="C144" s="120"/>
      <c r="D144" s="120"/>
      <c r="E144" s="118"/>
      <c r="F144" s="227"/>
      <c r="G144" s="227"/>
      <c r="H144" s="227"/>
      <c r="I144" s="227"/>
      <c r="J144" s="227"/>
      <c r="K144" s="227"/>
      <c r="L144" s="227"/>
      <c r="M144" s="227"/>
      <c r="N144" s="227"/>
      <c r="O144" s="227"/>
      <c r="P144" s="227"/>
      <c r="Q144" s="227"/>
      <c r="R144" s="227"/>
    </row>
    <row r="145" spans="1:18">
      <c r="A145" s="2"/>
      <c r="B145" s="2"/>
      <c r="C145" s="120"/>
      <c r="D145" s="120"/>
      <c r="E145" s="118"/>
      <c r="F145" s="227"/>
      <c r="G145" s="227"/>
      <c r="H145" s="227"/>
      <c r="I145" s="227"/>
      <c r="J145" s="227"/>
      <c r="K145" s="227"/>
      <c r="L145" s="227"/>
      <c r="M145" s="227"/>
      <c r="N145" s="227"/>
      <c r="O145" s="227"/>
      <c r="P145" s="227"/>
      <c r="Q145" s="227"/>
      <c r="R145" s="227"/>
    </row>
    <row r="146" spans="1:18">
      <c r="A146" s="2"/>
      <c r="B146" s="2"/>
      <c r="C146" s="120"/>
      <c r="D146" s="120"/>
      <c r="E146" s="118"/>
      <c r="F146" s="227"/>
      <c r="G146" s="227"/>
      <c r="H146" s="227"/>
      <c r="I146" s="227"/>
      <c r="J146" s="227"/>
      <c r="K146" s="227"/>
      <c r="L146" s="227"/>
      <c r="M146" s="227"/>
      <c r="N146" s="227"/>
      <c r="O146" s="227"/>
      <c r="P146" s="227"/>
      <c r="Q146" s="227"/>
      <c r="R146" s="227"/>
    </row>
    <row r="147" spans="1:18">
      <c r="A147" s="2"/>
      <c r="B147" s="2"/>
      <c r="C147" s="120"/>
      <c r="D147" s="120"/>
      <c r="E147" s="118"/>
      <c r="F147" s="227"/>
      <c r="G147" s="227"/>
      <c r="H147" s="227"/>
      <c r="I147" s="227"/>
      <c r="J147" s="227"/>
      <c r="K147" s="227"/>
      <c r="L147" s="227"/>
      <c r="M147" s="227"/>
      <c r="N147" s="227"/>
      <c r="O147" s="227"/>
      <c r="P147" s="227"/>
      <c r="Q147" s="227"/>
      <c r="R147" s="227"/>
    </row>
    <row r="148" spans="1:18">
      <c r="A148" s="2"/>
      <c r="B148" s="2"/>
      <c r="C148" s="120"/>
      <c r="D148" s="120"/>
      <c r="E148" s="118"/>
      <c r="F148" s="227"/>
      <c r="G148" s="227"/>
      <c r="H148" s="227"/>
      <c r="I148" s="227"/>
      <c r="J148" s="227"/>
      <c r="K148" s="227"/>
      <c r="L148" s="227"/>
      <c r="M148" s="227"/>
      <c r="N148" s="227"/>
      <c r="O148" s="227"/>
      <c r="P148" s="227"/>
      <c r="Q148" s="227"/>
      <c r="R148" s="227"/>
    </row>
    <row r="149" spans="1:18">
      <c r="A149" s="2"/>
      <c r="B149" s="2"/>
      <c r="C149" s="120"/>
      <c r="D149" s="120"/>
      <c r="E149" s="118"/>
      <c r="F149" s="227"/>
      <c r="G149" s="227"/>
      <c r="H149" s="227"/>
      <c r="I149" s="227"/>
      <c r="J149" s="227"/>
      <c r="K149" s="227"/>
      <c r="L149" s="227"/>
      <c r="M149" s="227"/>
      <c r="N149" s="227"/>
      <c r="O149" s="227"/>
      <c r="P149" s="227"/>
      <c r="Q149" s="227"/>
      <c r="R149" s="227"/>
    </row>
    <row r="150" spans="1:18">
      <c r="A150" s="2"/>
      <c r="B150" s="2"/>
      <c r="C150" s="120"/>
      <c r="D150" s="120"/>
      <c r="E150" s="118"/>
      <c r="F150" s="227"/>
      <c r="G150" s="227"/>
      <c r="H150" s="227"/>
      <c r="I150" s="227"/>
      <c r="J150" s="227"/>
      <c r="K150" s="227"/>
      <c r="L150" s="227"/>
      <c r="M150" s="227"/>
      <c r="N150" s="227"/>
      <c r="O150" s="227"/>
      <c r="P150" s="227"/>
      <c r="Q150" s="227"/>
      <c r="R150" s="227"/>
    </row>
    <row r="151" spans="1:18">
      <c r="A151" s="2"/>
      <c r="B151" s="2"/>
      <c r="C151" s="120"/>
      <c r="D151" s="120"/>
      <c r="E151" s="118"/>
      <c r="F151" s="227"/>
      <c r="G151" s="227"/>
      <c r="H151" s="227"/>
      <c r="I151" s="227"/>
      <c r="J151" s="227"/>
      <c r="K151" s="227"/>
      <c r="L151" s="227"/>
      <c r="M151" s="227"/>
      <c r="N151" s="227"/>
      <c r="O151" s="227"/>
      <c r="P151" s="227"/>
      <c r="Q151" s="227"/>
      <c r="R151" s="227"/>
    </row>
    <row r="152" spans="1:18">
      <c r="A152" s="2"/>
      <c r="B152" s="2"/>
      <c r="C152" s="120"/>
      <c r="D152" s="120"/>
      <c r="E152" s="118"/>
      <c r="F152" s="227"/>
      <c r="G152" s="227"/>
      <c r="H152" s="227"/>
      <c r="I152" s="227"/>
      <c r="J152" s="227"/>
      <c r="K152" s="227"/>
      <c r="L152" s="227"/>
      <c r="M152" s="227"/>
      <c r="N152" s="227"/>
      <c r="O152" s="227"/>
      <c r="P152" s="227"/>
      <c r="Q152" s="227"/>
      <c r="R152" s="227"/>
    </row>
    <row r="153" spans="1:18">
      <c r="A153" s="2"/>
      <c r="B153" s="2"/>
      <c r="C153" s="120"/>
      <c r="D153" s="120"/>
      <c r="E153" s="118"/>
      <c r="F153" s="227"/>
      <c r="G153" s="227"/>
      <c r="H153" s="227"/>
      <c r="I153" s="227"/>
      <c r="J153" s="227"/>
      <c r="K153" s="227"/>
      <c r="L153" s="227"/>
      <c r="M153" s="227"/>
      <c r="N153" s="227"/>
      <c r="O153" s="227"/>
      <c r="P153" s="227"/>
      <c r="Q153" s="227"/>
      <c r="R153" s="227"/>
    </row>
    <row r="154" spans="1:18">
      <c r="A154" s="2"/>
      <c r="B154" s="2"/>
      <c r="C154" s="120"/>
      <c r="D154" s="120"/>
      <c r="E154" s="118"/>
      <c r="F154" s="227"/>
      <c r="G154" s="227"/>
      <c r="H154" s="227"/>
      <c r="I154" s="227"/>
      <c r="J154" s="227"/>
      <c r="K154" s="227"/>
      <c r="L154" s="227"/>
      <c r="M154" s="227"/>
      <c r="N154" s="227"/>
      <c r="O154" s="227"/>
      <c r="P154" s="227"/>
      <c r="Q154" s="227"/>
      <c r="R154" s="227"/>
    </row>
    <row r="155" spans="1:18">
      <c r="A155" s="2"/>
      <c r="B155" s="2"/>
      <c r="C155" s="120"/>
      <c r="D155" s="120"/>
      <c r="E155" s="118"/>
      <c r="F155" s="227"/>
      <c r="G155" s="227"/>
      <c r="H155" s="227"/>
      <c r="I155" s="227"/>
      <c r="J155" s="227"/>
      <c r="K155" s="227"/>
      <c r="L155" s="227"/>
      <c r="M155" s="227"/>
      <c r="N155" s="227"/>
      <c r="O155" s="227"/>
      <c r="P155" s="227"/>
      <c r="Q155" s="227"/>
      <c r="R155" s="227"/>
    </row>
    <row r="156" spans="1:18">
      <c r="A156" s="2"/>
      <c r="B156" s="2"/>
      <c r="C156" s="120"/>
      <c r="D156" s="120"/>
      <c r="E156" s="118"/>
      <c r="F156" s="227"/>
      <c r="G156" s="227"/>
      <c r="H156" s="227"/>
      <c r="I156" s="227"/>
      <c r="J156" s="227"/>
      <c r="K156" s="227"/>
      <c r="L156" s="227"/>
      <c r="M156" s="227"/>
      <c r="N156" s="227"/>
      <c r="O156" s="227"/>
      <c r="P156" s="227"/>
      <c r="Q156" s="227"/>
      <c r="R156" s="227"/>
    </row>
    <row r="157" spans="1:18">
      <c r="A157" s="2"/>
      <c r="B157" s="2"/>
      <c r="C157" s="120"/>
      <c r="D157" s="120"/>
      <c r="E157" s="118"/>
      <c r="F157" s="227"/>
      <c r="G157" s="227"/>
      <c r="H157" s="227"/>
      <c r="I157" s="227"/>
      <c r="J157" s="227"/>
      <c r="K157" s="227"/>
      <c r="L157" s="227"/>
      <c r="M157" s="227"/>
      <c r="N157" s="227"/>
      <c r="O157" s="227"/>
      <c r="P157" s="227"/>
      <c r="Q157" s="227"/>
      <c r="R157" s="227"/>
    </row>
    <row r="158" spans="1:18">
      <c r="A158" s="2"/>
      <c r="B158" s="2"/>
      <c r="C158" s="120"/>
      <c r="D158" s="120"/>
      <c r="E158" s="118"/>
      <c r="F158" s="227"/>
      <c r="G158" s="227"/>
      <c r="H158" s="227"/>
      <c r="I158" s="227"/>
      <c r="J158" s="227"/>
      <c r="K158" s="227"/>
      <c r="L158" s="227"/>
      <c r="M158" s="227"/>
      <c r="N158" s="227"/>
      <c r="O158" s="227"/>
      <c r="P158" s="227"/>
      <c r="Q158" s="227"/>
      <c r="R158" s="227"/>
    </row>
    <row r="159" spans="1:18">
      <c r="A159" s="2"/>
      <c r="B159" s="2"/>
      <c r="C159" s="120"/>
      <c r="D159" s="120"/>
      <c r="E159" s="118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</row>
    <row r="160" spans="1:18">
      <c r="A160" s="2"/>
      <c r="B160" s="2"/>
      <c r="C160" s="120"/>
      <c r="D160" s="120"/>
      <c r="E160" s="118"/>
      <c r="F160" s="227"/>
      <c r="G160" s="227"/>
      <c r="H160" s="227"/>
      <c r="I160" s="227"/>
      <c r="J160" s="227"/>
      <c r="K160" s="227"/>
      <c r="L160" s="227"/>
      <c r="M160" s="227"/>
      <c r="N160" s="227"/>
      <c r="O160" s="227"/>
      <c r="P160" s="227"/>
      <c r="Q160" s="227"/>
      <c r="R160" s="227"/>
    </row>
    <row r="161" spans="1:18">
      <c r="A161" s="2"/>
      <c r="B161" s="2"/>
      <c r="C161" s="120"/>
      <c r="D161" s="120"/>
      <c r="E161" s="118"/>
      <c r="F161" s="227"/>
      <c r="G161" s="227"/>
      <c r="H161" s="227"/>
      <c r="I161" s="227"/>
      <c r="J161" s="227"/>
      <c r="K161" s="227"/>
      <c r="L161" s="227"/>
      <c r="M161" s="227"/>
      <c r="N161" s="227"/>
      <c r="O161" s="227"/>
      <c r="P161" s="227"/>
      <c r="Q161" s="227"/>
      <c r="R161" s="227"/>
    </row>
    <row r="162" spans="1:18">
      <c r="A162" s="2"/>
      <c r="B162" s="2"/>
      <c r="C162" s="120"/>
      <c r="D162" s="120"/>
      <c r="E162" s="118"/>
      <c r="F162" s="227"/>
      <c r="G162" s="227"/>
      <c r="H162" s="227"/>
      <c r="I162" s="227"/>
      <c r="J162" s="227"/>
      <c r="K162" s="227"/>
      <c r="L162" s="227"/>
      <c r="M162" s="227"/>
      <c r="N162" s="227"/>
      <c r="O162" s="227"/>
      <c r="P162" s="227"/>
      <c r="Q162" s="227"/>
      <c r="R162" s="227"/>
    </row>
    <row r="163" spans="1:18">
      <c r="A163" s="2"/>
      <c r="B163" s="2"/>
      <c r="C163" s="120"/>
      <c r="D163" s="120"/>
      <c r="E163" s="118"/>
      <c r="F163" s="227"/>
      <c r="G163" s="227"/>
      <c r="H163" s="227"/>
      <c r="I163" s="227"/>
      <c r="J163" s="227"/>
      <c r="K163" s="227"/>
      <c r="L163" s="227"/>
      <c r="M163" s="227"/>
      <c r="N163" s="227"/>
      <c r="O163" s="227"/>
      <c r="P163" s="227"/>
      <c r="Q163" s="227"/>
      <c r="R163" s="227"/>
    </row>
    <row r="164" spans="1:18">
      <c r="A164" s="2"/>
      <c r="B164" s="2"/>
      <c r="C164" s="120"/>
      <c r="D164" s="120"/>
      <c r="E164" s="118"/>
      <c r="F164" s="227"/>
      <c r="G164" s="227"/>
      <c r="H164" s="227"/>
      <c r="I164" s="227"/>
      <c r="J164" s="227"/>
      <c r="K164" s="227"/>
      <c r="L164" s="227"/>
      <c r="M164" s="227"/>
      <c r="N164" s="227"/>
      <c r="O164" s="227"/>
      <c r="P164" s="227"/>
      <c r="Q164" s="227"/>
      <c r="R164" s="227"/>
    </row>
    <row r="165" spans="1:18">
      <c r="A165" s="2"/>
      <c r="B165" s="2"/>
      <c r="C165" s="120"/>
      <c r="D165" s="120"/>
      <c r="E165" s="118"/>
      <c r="F165" s="227"/>
      <c r="G165" s="227"/>
      <c r="H165" s="227"/>
      <c r="I165" s="227"/>
      <c r="J165" s="227"/>
      <c r="K165" s="227"/>
      <c r="L165" s="227"/>
      <c r="M165" s="227"/>
      <c r="N165" s="227"/>
      <c r="O165" s="227"/>
      <c r="P165" s="227"/>
      <c r="Q165" s="227"/>
      <c r="R165" s="227"/>
    </row>
    <row r="166" spans="1:18">
      <c r="A166" s="2"/>
      <c r="B166" s="2"/>
      <c r="C166" s="120"/>
      <c r="D166" s="120"/>
      <c r="E166" s="118"/>
      <c r="F166" s="227"/>
      <c r="G166" s="227"/>
      <c r="H166" s="227"/>
      <c r="I166" s="227"/>
      <c r="J166" s="227"/>
      <c r="K166" s="227"/>
      <c r="L166" s="227"/>
      <c r="M166" s="227"/>
      <c r="N166" s="227"/>
      <c r="O166" s="227"/>
      <c r="P166" s="227"/>
      <c r="Q166" s="227"/>
      <c r="R166" s="227"/>
    </row>
    <row r="167" spans="1:18">
      <c r="A167" s="2"/>
      <c r="B167" s="2"/>
      <c r="C167" s="120"/>
      <c r="D167" s="120"/>
      <c r="E167" s="118"/>
      <c r="F167" s="227"/>
      <c r="G167" s="227"/>
      <c r="H167" s="227"/>
      <c r="I167" s="227"/>
      <c r="J167" s="227"/>
      <c r="K167" s="227"/>
      <c r="L167" s="227"/>
      <c r="M167" s="227"/>
      <c r="N167" s="227"/>
      <c r="O167" s="227"/>
      <c r="P167" s="227"/>
      <c r="Q167" s="227"/>
      <c r="R167" s="227"/>
    </row>
    <row r="168" spans="1:18">
      <c r="A168" s="2"/>
      <c r="B168" s="2"/>
      <c r="C168" s="120"/>
      <c r="D168" s="120"/>
      <c r="E168" s="118"/>
      <c r="F168" s="227"/>
      <c r="G168" s="227"/>
      <c r="H168" s="227"/>
      <c r="I168" s="227"/>
      <c r="J168" s="227"/>
      <c r="K168" s="227"/>
      <c r="L168" s="227"/>
      <c r="M168" s="227"/>
      <c r="N168" s="227"/>
      <c r="O168" s="227"/>
      <c r="P168" s="227"/>
      <c r="Q168" s="227"/>
      <c r="R168" s="227"/>
    </row>
    <row r="169" spans="1:18">
      <c r="A169" s="2"/>
      <c r="B169" s="2"/>
      <c r="C169" s="120"/>
      <c r="D169" s="120"/>
      <c r="E169" s="118"/>
      <c r="F169" s="227"/>
      <c r="G169" s="227"/>
      <c r="H169" s="227"/>
      <c r="I169" s="227"/>
      <c r="J169" s="227"/>
      <c r="K169" s="227"/>
      <c r="L169" s="227"/>
      <c r="M169" s="227"/>
      <c r="N169" s="227"/>
      <c r="O169" s="227"/>
      <c r="P169" s="227"/>
      <c r="Q169" s="227"/>
      <c r="R169" s="227"/>
    </row>
    <row r="170" spans="1:18">
      <c r="A170" s="2"/>
      <c r="B170" s="2"/>
      <c r="C170" s="120"/>
      <c r="D170" s="120"/>
      <c r="E170" s="118"/>
      <c r="F170" s="227"/>
      <c r="G170" s="227"/>
      <c r="H170" s="227"/>
      <c r="I170" s="227"/>
      <c r="J170" s="227"/>
      <c r="K170" s="227"/>
      <c r="L170" s="227"/>
      <c r="M170" s="227"/>
      <c r="N170" s="227"/>
      <c r="O170" s="227"/>
      <c r="P170" s="227"/>
      <c r="Q170" s="227"/>
      <c r="R170" s="227"/>
    </row>
    <row r="171" spans="1:18">
      <c r="A171" s="2"/>
      <c r="B171" s="2"/>
      <c r="C171" s="120"/>
      <c r="D171" s="120"/>
      <c r="E171" s="118"/>
      <c r="F171" s="227"/>
      <c r="G171" s="227"/>
      <c r="H171" s="227"/>
      <c r="I171" s="227"/>
      <c r="J171" s="227"/>
      <c r="K171" s="227"/>
      <c r="L171" s="227"/>
      <c r="M171" s="227"/>
      <c r="N171" s="227"/>
      <c r="O171" s="227"/>
      <c r="P171" s="227"/>
      <c r="Q171" s="227"/>
      <c r="R171" s="227"/>
    </row>
    <row r="172" spans="1:18">
      <c r="A172" s="2"/>
      <c r="B172" s="2"/>
      <c r="C172" s="120"/>
      <c r="D172" s="120"/>
      <c r="E172" s="118"/>
      <c r="F172" s="227"/>
      <c r="G172" s="227"/>
      <c r="H172" s="227"/>
      <c r="I172" s="227"/>
      <c r="J172" s="227"/>
      <c r="K172" s="227"/>
      <c r="L172" s="227"/>
      <c r="M172" s="227"/>
      <c r="N172" s="227"/>
      <c r="O172" s="227"/>
      <c r="P172" s="227"/>
      <c r="Q172" s="227"/>
      <c r="R172" s="227"/>
    </row>
    <row r="173" spans="1:18">
      <c r="A173" s="2"/>
      <c r="B173" s="2"/>
      <c r="C173" s="120"/>
      <c r="D173" s="120"/>
      <c r="E173" s="118"/>
      <c r="F173" s="227"/>
      <c r="G173" s="227"/>
      <c r="H173" s="227"/>
      <c r="I173" s="227"/>
      <c r="J173" s="227"/>
      <c r="K173" s="227"/>
      <c r="L173" s="227"/>
      <c r="M173" s="227"/>
      <c r="N173" s="227"/>
      <c r="O173" s="227"/>
      <c r="P173" s="227"/>
      <c r="Q173" s="227"/>
      <c r="R173" s="227"/>
    </row>
    <row r="174" spans="1:18">
      <c r="A174" s="2"/>
      <c r="B174" s="2"/>
      <c r="C174" s="120"/>
      <c r="D174" s="120"/>
      <c r="E174" s="118"/>
      <c r="F174" s="227"/>
      <c r="G174" s="227"/>
      <c r="H174" s="227"/>
      <c r="I174" s="227"/>
      <c r="J174" s="227"/>
      <c r="K174" s="227"/>
      <c r="L174" s="227"/>
      <c r="M174" s="227"/>
      <c r="N174" s="227"/>
      <c r="O174" s="227"/>
      <c r="P174" s="227"/>
      <c r="Q174" s="227"/>
      <c r="R174" s="227"/>
    </row>
    <row r="175" spans="1:18">
      <c r="A175" s="2"/>
      <c r="B175" s="2"/>
      <c r="C175" s="120"/>
      <c r="D175" s="120"/>
      <c r="E175" s="118"/>
      <c r="F175" s="227"/>
      <c r="G175" s="227"/>
      <c r="H175" s="227"/>
      <c r="I175" s="227"/>
      <c r="J175" s="227"/>
      <c r="K175" s="227"/>
      <c r="L175" s="227"/>
      <c r="M175" s="227"/>
      <c r="N175" s="227"/>
      <c r="O175" s="227"/>
      <c r="P175" s="227"/>
      <c r="Q175" s="227"/>
      <c r="R175" s="227"/>
    </row>
    <row r="176" spans="1:18">
      <c r="A176" s="2"/>
      <c r="B176" s="2"/>
      <c r="C176" s="120"/>
      <c r="D176" s="120"/>
      <c r="E176" s="118"/>
      <c r="F176" s="227"/>
      <c r="G176" s="227"/>
      <c r="H176" s="227"/>
      <c r="I176" s="227"/>
      <c r="J176" s="227"/>
      <c r="K176" s="227"/>
      <c r="L176" s="227"/>
      <c r="M176" s="227"/>
      <c r="N176" s="227"/>
      <c r="O176" s="227"/>
      <c r="P176" s="227"/>
      <c r="Q176" s="227"/>
      <c r="R176" s="227"/>
    </row>
    <row r="177" spans="1:18">
      <c r="A177" s="2"/>
      <c r="B177" s="2"/>
      <c r="C177" s="120"/>
      <c r="D177" s="120"/>
      <c r="E177" s="118"/>
      <c r="F177" s="227"/>
      <c r="G177" s="227"/>
      <c r="H177" s="227"/>
      <c r="I177" s="227"/>
      <c r="J177" s="227"/>
      <c r="K177" s="227"/>
      <c r="L177" s="227"/>
      <c r="M177" s="227"/>
      <c r="N177" s="227"/>
      <c r="O177" s="227"/>
      <c r="P177" s="227"/>
      <c r="Q177" s="227"/>
      <c r="R177" s="227"/>
    </row>
    <row r="178" spans="1:18">
      <c r="A178" s="2"/>
      <c r="B178" s="2"/>
      <c r="C178" s="120"/>
      <c r="D178" s="120"/>
      <c r="E178" s="118"/>
      <c r="F178" s="227"/>
      <c r="G178" s="227"/>
      <c r="H178" s="227"/>
      <c r="I178" s="227"/>
      <c r="J178" s="227"/>
      <c r="K178" s="227"/>
      <c r="L178" s="227"/>
      <c r="M178" s="227"/>
      <c r="N178" s="227"/>
      <c r="O178" s="227"/>
      <c r="P178" s="227"/>
      <c r="Q178" s="227"/>
      <c r="R178" s="227"/>
    </row>
    <row r="179" spans="1:18">
      <c r="A179" s="2"/>
      <c r="B179" s="2"/>
      <c r="C179" s="120"/>
      <c r="D179" s="120"/>
      <c r="E179" s="118"/>
      <c r="F179" s="227"/>
      <c r="G179" s="227"/>
      <c r="H179" s="227"/>
      <c r="I179" s="227"/>
      <c r="J179" s="227"/>
      <c r="K179" s="227"/>
      <c r="L179" s="227"/>
      <c r="M179" s="227"/>
      <c r="N179" s="227"/>
      <c r="O179" s="227"/>
      <c r="P179" s="227"/>
      <c r="Q179" s="227"/>
      <c r="R179" s="227"/>
    </row>
    <row r="180" spans="1:18">
      <c r="A180" s="2"/>
      <c r="B180" s="2"/>
      <c r="C180" s="120"/>
      <c r="D180" s="120"/>
      <c r="E180" s="118"/>
      <c r="F180" s="227"/>
      <c r="G180" s="227"/>
      <c r="H180" s="227"/>
      <c r="I180" s="227"/>
      <c r="J180" s="227"/>
      <c r="K180" s="227"/>
      <c r="L180" s="227"/>
      <c r="M180" s="227"/>
      <c r="N180" s="227"/>
      <c r="O180" s="227"/>
      <c r="P180" s="227"/>
      <c r="Q180" s="227"/>
      <c r="R180" s="227"/>
    </row>
    <row r="181" spans="1:18">
      <c r="A181" s="2"/>
      <c r="B181" s="2"/>
      <c r="C181" s="120"/>
      <c r="D181" s="120"/>
      <c r="E181" s="118"/>
      <c r="F181" s="227"/>
      <c r="G181" s="227"/>
      <c r="H181" s="227"/>
      <c r="I181" s="227"/>
      <c r="J181" s="227"/>
      <c r="K181" s="227"/>
      <c r="L181" s="227"/>
      <c r="M181" s="227"/>
      <c r="N181" s="227"/>
      <c r="O181" s="227"/>
      <c r="P181" s="227"/>
      <c r="Q181" s="227"/>
      <c r="R181" s="227"/>
    </row>
    <row r="182" spans="1:18">
      <c r="A182" s="2"/>
      <c r="B182" s="2"/>
      <c r="C182" s="120"/>
      <c r="D182" s="120"/>
      <c r="E182" s="118"/>
      <c r="F182" s="227"/>
      <c r="G182" s="227"/>
      <c r="H182" s="227"/>
      <c r="I182" s="227"/>
      <c r="J182" s="227"/>
      <c r="K182" s="227"/>
      <c r="L182" s="227"/>
      <c r="M182" s="227"/>
      <c r="N182" s="227"/>
      <c r="O182" s="227"/>
      <c r="P182" s="227"/>
      <c r="Q182" s="227"/>
      <c r="R182" s="227"/>
    </row>
    <row r="183" spans="1:18">
      <c r="A183" s="2"/>
      <c r="B183" s="2"/>
      <c r="C183" s="120"/>
      <c r="D183" s="120"/>
      <c r="E183" s="118"/>
      <c r="F183" s="227"/>
      <c r="G183" s="227"/>
      <c r="H183" s="227"/>
      <c r="I183" s="227"/>
      <c r="J183" s="227"/>
      <c r="K183" s="227"/>
      <c r="L183" s="227"/>
      <c r="M183" s="227"/>
      <c r="N183" s="227"/>
      <c r="O183" s="227"/>
      <c r="P183" s="227"/>
      <c r="Q183" s="227"/>
      <c r="R183" s="227"/>
    </row>
    <row r="184" spans="1:18">
      <c r="A184" s="2"/>
      <c r="B184" s="2"/>
      <c r="C184" s="120"/>
      <c r="D184" s="120"/>
      <c r="E184" s="118"/>
      <c r="F184" s="227"/>
      <c r="G184" s="227"/>
      <c r="H184" s="227"/>
      <c r="I184" s="227"/>
      <c r="J184" s="227"/>
      <c r="K184" s="227"/>
      <c r="L184" s="227"/>
      <c r="M184" s="227"/>
      <c r="N184" s="227"/>
      <c r="O184" s="227"/>
      <c r="P184" s="227"/>
      <c r="Q184" s="227"/>
      <c r="R184" s="227"/>
    </row>
    <row r="185" spans="1:18">
      <c r="A185" s="2"/>
      <c r="B185" s="2"/>
      <c r="C185" s="120"/>
      <c r="D185" s="120"/>
      <c r="E185" s="118"/>
      <c r="F185" s="227"/>
      <c r="G185" s="227"/>
      <c r="H185" s="227"/>
      <c r="I185" s="227"/>
      <c r="J185" s="227"/>
      <c r="K185" s="227"/>
      <c r="L185" s="227"/>
      <c r="M185" s="227"/>
      <c r="N185" s="227"/>
      <c r="O185" s="227"/>
      <c r="P185" s="227"/>
      <c r="Q185" s="227"/>
      <c r="R185" s="227"/>
    </row>
    <row r="186" spans="1:18">
      <c r="A186" s="2"/>
      <c r="B186" s="2"/>
      <c r="C186" s="120"/>
      <c r="D186" s="120"/>
      <c r="E186" s="118"/>
      <c r="F186" s="227"/>
      <c r="G186" s="227"/>
      <c r="H186" s="227"/>
      <c r="I186" s="227"/>
      <c r="J186" s="227"/>
      <c r="K186" s="227"/>
      <c r="L186" s="227"/>
      <c r="M186" s="227"/>
      <c r="N186" s="227"/>
      <c r="O186" s="227"/>
      <c r="P186" s="227"/>
      <c r="Q186" s="227"/>
      <c r="R186" s="227"/>
    </row>
    <row r="187" spans="1:18">
      <c r="A187" s="2"/>
      <c r="B187" s="2"/>
      <c r="C187" s="120"/>
      <c r="D187" s="120"/>
      <c r="E187" s="118"/>
      <c r="F187" s="227"/>
      <c r="G187" s="227"/>
      <c r="H187" s="227"/>
      <c r="I187" s="227"/>
      <c r="J187" s="227"/>
      <c r="K187" s="227"/>
      <c r="L187" s="227"/>
      <c r="M187" s="227"/>
      <c r="N187" s="227"/>
      <c r="O187" s="227"/>
      <c r="P187" s="227"/>
      <c r="Q187" s="227"/>
      <c r="R187" s="227"/>
    </row>
    <row r="188" spans="1:18">
      <c r="A188" s="2"/>
      <c r="B188" s="2"/>
      <c r="C188" s="120"/>
      <c r="D188" s="120"/>
      <c r="E188" s="118"/>
      <c r="F188" s="227"/>
      <c r="G188" s="227"/>
      <c r="H188" s="227"/>
      <c r="I188" s="227"/>
      <c r="J188" s="227"/>
      <c r="K188" s="227"/>
      <c r="L188" s="227"/>
      <c r="M188" s="227"/>
      <c r="N188" s="227"/>
      <c r="O188" s="227"/>
      <c r="P188" s="227"/>
      <c r="Q188" s="227"/>
      <c r="R188" s="227"/>
    </row>
    <row r="189" spans="1:18">
      <c r="A189" s="2"/>
      <c r="B189" s="2"/>
      <c r="C189" s="120"/>
      <c r="D189" s="120"/>
      <c r="E189" s="118"/>
      <c r="F189" s="227"/>
      <c r="G189" s="227"/>
      <c r="H189" s="227"/>
      <c r="I189" s="227"/>
      <c r="J189" s="227"/>
      <c r="K189" s="227"/>
      <c r="L189" s="227"/>
      <c r="M189" s="227"/>
      <c r="N189" s="227"/>
      <c r="O189" s="227"/>
      <c r="P189" s="227"/>
      <c r="Q189" s="227"/>
      <c r="R189" s="227"/>
    </row>
    <row r="190" spans="1:18">
      <c r="A190" s="2"/>
      <c r="B190" s="2"/>
      <c r="C190" s="120"/>
      <c r="D190" s="120"/>
      <c r="E190" s="118"/>
      <c r="F190" s="227"/>
      <c r="G190" s="227"/>
      <c r="H190" s="227"/>
      <c r="I190" s="227"/>
      <c r="J190" s="227"/>
      <c r="K190" s="227"/>
      <c r="L190" s="227"/>
      <c r="M190" s="227"/>
      <c r="N190" s="227"/>
      <c r="O190" s="227"/>
      <c r="P190" s="227"/>
      <c r="Q190" s="227"/>
      <c r="R190" s="227"/>
    </row>
    <row r="191" spans="1:18">
      <c r="A191" s="2"/>
      <c r="B191" s="2"/>
      <c r="C191" s="120"/>
      <c r="D191" s="120"/>
      <c r="E191" s="118"/>
      <c r="F191" s="227"/>
      <c r="G191" s="227"/>
      <c r="H191" s="227"/>
      <c r="I191" s="227"/>
      <c r="J191" s="227"/>
      <c r="K191" s="227"/>
      <c r="L191" s="227"/>
      <c r="M191" s="227"/>
      <c r="N191" s="227"/>
      <c r="O191" s="227"/>
      <c r="P191" s="227"/>
      <c r="Q191" s="227"/>
      <c r="R191" s="227"/>
    </row>
    <row r="192" spans="1:18">
      <c r="A192" s="2"/>
      <c r="B192" s="2"/>
      <c r="C192" s="120"/>
      <c r="D192" s="120"/>
      <c r="E192" s="118"/>
      <c r="F192" s="227"/>
      <c r="G192" s="227"/>
      <c r="H192" s="227"/>
      <c r="I192" s="227"/>
      <c r="J192" s="227"/>
      <c r="K192" s="227"/>
      <c r="L192" s="227"/>
      <c r="M192" s="227"/>
      <c r="N192" s="227"/>
      <c r="O192" s="227"/>
      <c r="P192" s="227"/>
      <c r="Q192" s="227"/>
      <c r="R192" s="227"/>
    </row>
    <row r="193" spans="1:18">
      <c r="A193" s="2"/>
      <c r="B193" s="2"/>
      <c r="C193" s="120"/>
      <c r="D193" s="120"/>
      <c r="E193" s="118"/>
      <c r="F193" s="227"/>
      <c r="G193" s="227"/>
      <c r="H193" s="227"/>
      <c r="I193" s="227"/>
      <c r="J193" s="227"/>
      <c r="K193" s="227"/>
      <c r="L193" s="227"/>
      <c r="M193" s="227"/>
      <c r="N193" s="227"/>
      <c r="O193" s="227"/>
      <c r="P193" s="227"/>
      <c r="Q193" s="227"/>
      <c r="R193" s="227"/>
    </row>
    <row r="194" spans="1:18">
      <c r="A194" s="2"/>
      <c r="B194" s="2"/>
      <c r="C194" s="120"/>
      <c r="D194" s="120"/>
      <c r="E194" s="118"/>
      <c r="F194" s="227"/>
      <c r="G194" s="227"/>
      <c r="H194" s="227"/>
      <c r="I194" s="227"/>
      <c r="J194" s="227"/>
      <c r="K194" s="227"/>
      <c r="L194" s="227"/>
      <c r="M194" s="227"/>
      <c r="N194" s="227"/>
      <c r="O194" s="227"/>
      <c r="P194" s="227"/>
      <c r="Q194" s="227"/>
      <c r="R194" s="227"/>
    </row>
    <row r="195" spans="1:18">
      <c r="A195" s="2"/>
      <c r="B195" s="2"/>
      <c r="C195" s="120"/>
      <c r="D195" s="120"/>
      <c r="E195" s="118"/>
      <c r="F195" s="227"/>
      <c r="G195" s="227"/>
      <c r="H195" s="227"/>
      <c r="I195" s="227"/>
      <c r="J195" s="227"/>
      <c r="K195" s="227"/>
      <c r="L195" s="227"/>
      <c r="M195" s="227"/>
      <c r="N195" s="227"/>
      <c r="O195" s="227"/>
      <c r="P195" s="227"/>
      <c r="Q195" s="227"/>
      <c r="R195" s="227"/>
    </row>
    <row r="196" spans="1:18">
      <c r="A196" s="2"/>
      <c r="B196" s="2"/>
      <c r="C196" s="120"/>
      <c r="D196" s="120"/>
      <c r="E196" s="118"/>
      <c r="F196" s="227"/>
      <c r="G196" s="227"/>
      <c r="H196" s="227"/>
      <c r="I196" s="227"/>
      <c r="J196" s="227"/>
      <c r="K196" s="227"/>
      <c r="L196" s="227"/>
      <c r="M196" s="227"/>
      <c r="N196" s="227"/>
      <c r="O196" s="227"/>
      <c r="P196" s="227"/>
      <c r="Q196" s="227"/>
      <c r="R196" s="227"/>
    </row>
    <row r="197" spans="1:18">
      <c r="A197" s="2"/>
      <c r="B197" s="2"/>
      <c r="C197" s="120"/>
      <c r="D197" s="120"/>
      <c r="E197" s="118"/>
      <c r="F197" s="227"/>
      <c r="G197" s="227"/>
      <c r="H197" s="227"/>
      <c r="I197" s="227"/>
      <c r="J197" s="227"/>
      <c r="K197" s="227"/>
      <c r="L197" s="227"/>
      <c r="M197" s="227"/>
      <c r="N197" s="227"/>
      <c r="O197" s="227"/>
      <c r="P197" s="227"/>
      <c r="Q197" s="227"/>
      <c r="R197" s="227"/>
    </row>
    <row r="198" spans="1:18">
      <c r="A198" s="2"/>
      <c r="B198" s="2"/>
      <c r="C198" s="120"/>
      <c r="D198" s="120"/>
      <c r="E198" s="118"/>
      <c r="F198" s="227"/>
      <c r="G198" s="227"/>
      <c r="H198" s="227"/>
      <c r="I198" s="227"/>
      <c r="J198" s="227"/>
      <c r="K198" s="227"/>
      <c r="L198" s="227"/>
      <c r="M198" s="227"/>
      <c r="N198" s="227"/>
      <c r="O198" s="227"/>
      <c r="P198" s="227"/>
      <c r="Q198" s="227"/>
      <c r="R198" s="227"/>
    </row>
    <row r="199" spans="1:18">
      <c r="A199" s="2"/>
      <c r="B199" s="2"/>
      <c r="C199" s="120"/>
      <c r="D199" s="120"/>
      <c r="E199" s="118"/>
      <c r="F199" s="227"/>
      <c r="G199" s="227"/>
      <c r="H199" s="227"/>
      <c r="I199" s="227"/>
      <c r="J199" s="227"/>
      <c r="K199" s="227"/>
      <c r="L199" s="227"/>
      <c r="M199" s="227"/>
      <c r="N199" s="227"/>
      <c r="O199" s="227"/>
      <c r="P199" s="227"/>
      <c r="Q199" s="227"/>
      <c r="R199" s="227"/>
    </row>
    <row r="200" spans="1:18">
      <c r="A200" s="2"/>
      <c r="B200" s="2"/>
      <c r="C200" s="120"/>
      <c r="D200" s="120"/>
      <c r="E200" s="118"/>
      <c r="F200" s="227"/>
      <c r="G200" s="227"/>
      <c r="H200" s="227"/>
      <c r="I200" s="227"/>
      <c r="J200" s="227"/>
      <c r="K200" s="227"/>
      <c r="L200" s="227"/>
      <c r="M200" s="227"/>
      <c r="N200" s="227"/>
      <c r="O200" s="227"/>
      <c r="P200" s="227"/>
      <c r="Q200" s="227"/>
      <c r="R200" s="227"/>
    </row>
    <row r="201" spans="1:18">
      <c r="A201" s="2"/>
      <c r="B201" s="2"/>
      <c r="C201" s="120"/>
      <c r="D201" s="120"/>
      <c r="E201" s="118"/>
      <c r="F201" s="227"/>
      <c r="G201" s="227"/>
      <c r="H201" s="227"/>
      <c r="I201" s="227"/>
      <c r="J201" s="227"/>
      <c r="K201" s="227"/>
      <c r="L201" s="227"/>
      <c r="M201" s="227"/>
      <c r="N201" s="227"/>
      <c r="O201" s="227"/>
      <c r="P201" s="227"/>
      <c r="Q201" s="227"/>
      <c r="R201" s="227"/>
    </row>
    <row r="202" spans="1:18">
      <c r="A202" s="2"/>
      <c r="B202" s="2"/>
      <c r="C202" s="120"/>
      <c r="D202" s="120"/>
      <c r="E202" s="118"/>
      <c r="F202" s="227"/>
      <c r="G202" s="227"/>
      <c r="H202" s="227"/>
      <c r="I202" s="227"/>
      <c r="J202" s="227"/>
      <c r="K202" s="227"/>
      <c r="L202" s="227"/>
      <c r="M202" s="227"/>
      <c r="N202" s="227"/>
      <c r="O202" s="227"/>
      <c r="P202" s="227"/>
      <c r="Q202" s="227"/>
      <c r="R202" s="227"/>
    </row>
    <row r="203" spans="1:18">
      <c r="A203" s="2"/>
      <c r="B203" s="2"/>
      <c r="C203" s="120"/>
      <c r="D203" s="120"/>
      <c r="E203" s="118"/>
      <c r="F203" s="227"/>
      <c r="G203" s="227"/>
      <c r="H203" s="227"/>
      <c r="I203" s="227"/>
      <c r="J203" s="227"/>
      <c r="K203" s="227"/>
      <c r="L203" s="227"/>
      <c r="M203" s="227"/>
      <c r="N203" s="227"/>
      <c r="O203" s="227"/>
      <c r="P203" s="227"/>
      <c r="Q203" s="227"/>
      <c r="R203" s="227"/>
    </row>
    <row r="204" spans="1:18">
      <c r="A204" s="2"/>
      <c r="B204" s="2"/>
      <c r="C204" s="120"/>
      <c r="D204" s="120"/>
      <c r="E204" s="118"/>
      <c r="F204" s="227"/>
      <c r="G204" s="227"/>
      <c r="H204" s="227"/>
      <c r="I204" s="227"/>
      <c r="J204" s="227"/>
      <c r="K204" s="227"/>
      <c r="L204" s="227"/>
      <c r="M204" s="227"/>
      <c r="N204" s="227"/>
      <c r="O204" s="227"/>
      <c r="P204" s="227"/>
      <c r="Q204" s="227"/>
      <c r="R204" s="227"/>
    </row>
    <row r="205" spans="1:18">
      <c r="A205" s="2"/>
      <c r="B205" s="2"/>
      <c r="C205" s="120"/>
      <c r="D205" s="120"/>
      <c r="E205" s="118"/>
      <c r="F205" s="227"/>
      <c r="G205" s="227"/>
      <c r="H205" s="227"/>
      <c r="I205" s="227"/>
      <c r="J205" s="227"/>
      <c r="K205" s="227"/>
      <c r="L205" s="227"/>
      <c r="M205" s="227"/>
      <c r="N205" s="227"/>
      <c r="O205" s="227"/>
      <c r="P205" s="227"/>
      <c r="Q205" s="227"/>
      <c r="R205" s="227"/>
    </row>
    <row r="206" spans="1:18">
      <c r="A206" s="2"/>
      <c r="B206" s="2"/>
      <c r="C206" s="120"/>
      <c r="D206" s="120"/>
      <c r="E206" s="118"/>
      <c r="F206" s="227"/>
      <c r="G206" s="227"/>
      <c r="H206" s="227"/>
      <c r="I206" s="227"/>
      <c r="J206" s="227"/>
      <c r="K206" s="227"/>
      <c r="L206" s="227"/>
      <c r="M206" s="227"/>
      <c r="N206" s="227"/>
      <c r="O206" s="227"/>
      <c r="P206" s="227"/>
      <c r="Q206" s="227"/>
      <c r="R206" s="227"/>
    </row>
    <row r="207" spans="1:18">
      <c r="A207" s="2"/>
      <c r="B207" s="2"/>
      <c r="C207" s="120"/>
      <c r="D207" s="120"/>
      <c r="E207" s="118"/>
      <c r="F207" s="227"/>
      <c r="G207" s="227"/>
      <c r="H207" s="227"/>
      <c r="I207" s="227"/>
      <c r="J207" s="227"/>
      <c r="K207" s="227"/>
      <c r="L207" s="227"/>
      <c r="M207" s="227"/>
      <c r="N207" s="227"/>
      <c r="O207" s="227"/>
      <c r="P207" s="227"/>
      <c r="Q207" s="227"/>
      <c r="R207" s="227"/>
    </row>
    <row r="208" spans="1:18">
      <c r="A208" s="2"/>
      <c r="B208" s="2"/>
      <c r="C208" s="120"/>
      <c r="D208" s="120"/>
      <c r="E208" s="118"/>
      <c r="F208" s="227"/>
      <c r="G208" s="227"/>
      <c r="H208" s="227"/>
      <c r="I208" s="227"/>
      <c r="J208" s="227"/>
      <c r="K208" s="227"/>
      <c r="L208" s="227"/>
      <c r="M208" s="227"/>
      <c r="N208" s="227"/>
      <c r="O208" s="227"/>
      <c r="P208" s="227"/>
      <c r="Q208" s="227"/>
      <c r="R208" s="227"/>
    </row>
    <row r="209" spans="1:18">
      <c r="A209" s="2"/>
      <c r="B209" s="2"/>
      <c r="C209" s="120"/>
      <c r="D209" s="120"/>
      <c r="E209" s="118"/>
      <c r="F209" s="227"/>
      <c r="G209" s="227"/>
      <c r="H209" s="227"/>
      <c r="I209" s="227"/>
      <c r="J209" s="227"/>
      <c r="K209" s="227"/>
      <c r="L209" s="227"/>
      <c r="M209" s="227"/>
      <c r="N209" s="227"/>
      <c r="O209" s="227"/>
      <c r="P209" s="227"/>
      <c r="Q209" s="227"/>
      <c r="R209" s="227"/>
    </row>
    <row r="210" spans="1:18">
      <c r="A210" s="2"/>
      <c r="B210" s="2"/>
      <c r="C210" s="120"/>
      <c r="D210" s="120"/>
      <c r="E210" s="118"/>
      <c r="F210" s="227"/>
      <c r="G210" s="227"/>
      <c r="H210" s="227"/>
      <c r="I210" s="227"/>
      <c r="J210" s="227"/>
      <c r="K210" s="227"/>
      <c r="L210" s="227"/>
      <c r="M210" s="227"/>
      <c r="N210" s="227"/>
      <c r="O210" s="227"/>
      <c r="P210" s="227"/>
      <c r="Q210" s="227"/>
      <c r="R210" s="227"/>
    </row>
    <row r="211" spans="1:18">
      <c r="A211" s="2"/>
      <c r="B211" s="2"/>
      <c r="C211" s="120"/>
      <c r="D211" s="120"/>
      <c r="E211" s="118"/>
      <c r="F211" s="227"/>
      <c r="G211" s="227"/>
      <c r="H211" s="227"/>
      <c r="I211" s="227"/>
      <c r="J211" s="227"/>
      <c r="K211" s="227"/>
      <c r="L211" s="227"/>
      <c r="M211" s="227"/>
      <c r="N211" s="227"/>
      <c r="O211" s="227"/>
      <c r="P211" s="227"/>
      <c r="Q211" s="227"/>
      <c r="R211" s="227"/>
    </row>
    <row r="212" spans="1:18">
      <c r="A212" s="2"/>
      <c r="B212" s="2"/>
      <c r="C212" s="120"/>
      <c r="D212" s="120"/>
      <c r="E212" s="118"/>
      <c r="F212" s="227"/>
      <c r="G212" s="227"/>
      <c r="H212" s="227"/>
      <c r="I212" s="227"/>
      <c r="J212" s="227"/>
      <c r="K212" s="227"/>
      <c r="L212" s="227"/>
      <c r="M212" s="227"/>
      <c r="N212" s="227"/>
      <c r="O212" s="227"/>
      <c r="P212" s="227"/>
      <c r="Q212" s="227"/>
      <c r="R212" s="227"/>
    </row>
    <row r="213" spans="1:18">
      <c r="A213" s="2"/>
      <c r="B213" s="2"/>
      <c r="C213" s="120"/>
      <c r="D213" s="120"/>
      <c r="E213" s="118"/>
      <c r="F213" s="227"/>
      <c r="G213" s="227"/>
      <c r="H213" s="227"/>
      <c r="I213" s="227"/>
      <c r="J213" s="227"/>
      <c r="K213" s="227"/>
      <c r="L213" s="227"/>
      <c r="M213" s="227"/>
      <c r="N213" s="227"/>
      <c r="O213" s="227"/>
      <c r="P213" s="227"/>
      <c r="Q213" s="227"/>
      <c r="R213" s="227"/>
    </row>
    <row r="214" spans="1:18">
      <c r="A214" s="2"/>
      <c r="B214" s="2"/>
      <c r="C214" s="120"/>
      <c r="D214" s="120"/>
      <c r="E214" s="118"/>
      <c r="F214" s="227"/>
      <c r="G214" s="227"/>
      <c r="H214" s="227"/>
      <c r="I214" s="227"/>
      <c r="J214" s="227"/>
      <c r="K214" s="227"/>
      <c r="L214" s="227"/>
      <c r="M214" s="227"/>
      <c r="N214" s="227"/>
      <c r="O214" s="227"/>
      <c r="P214" s="227"/>
      <c r="Q214" s="227"/>
      <c r="R214" s="227"/>
    </row>
    <row r="215" spans="1:18">
      <c r="A215" s="2"/>
      <c r="B215" s="2"/>
      <c r="C215" s="120"/>
      <c r="D215" s="120"/>
      <c r="E215" s="118"/>
      <c r="F215" s="227"/>
      <c r="G215" s="227"/>
      <c r="H215" s="227"/>
      <c r="I215" s="227"/>
      <c r="J215" s="227"/>
      <c r="K215" s="227"/>
      <c r="L215" s="227"/>
      <c r="M215" s="227"/>
      <c r="N215" s="227"/>
      <c r="O215" s="227"/>
      <c r="P215" s="227"/>
      <c r="Q215" s="227"/>
      <c r="R215" s="227"/>
    </row>
    <row r="216" spans="1:18">
      <c r="A216" s="2"/>
      <c r="B216" s="2"/>
      <c r="C216" s="120"/>
      <c r="D216" s="120"/>
      <c r="E216" s="118"/>
      <c r="F216" s="227"/>
      <c r="G216" s="227"/>
      <c r="H216" s="227"/>
      <c r="I216" s="227"/>
      <c r="J216" s="227"/>
      <c r="K216" s="227"/>
      <c r="L216" s="227"/>
      <c r="M216" s="227"/>
      <c r="N216" s="227"/>
      <c r="O216" s="227"/>
      <c r="P216" s="227"/>
      <c r="Q216" s="227"/>
      <c r="R216" s="227"/>
    </row>
    <row r="217" spans="1:18">
      <c r="A217" s="2"/>
      <c r="B217" s="2"/>
      <c r="C217" s="120"/>
      <c r="D217" s="120"/>
      <c r="E217" s="118"/>
      <c r="F217" s="227"/>
      <c r="G217" s="227"/>
      <c r="H217" s="227"/>
      <c r="I217" s="227"/>
      <c r="J217" s="227"/>
      <c r="K217" s="227"/>
      <c r="L217" s="227"/>
      <c r="M217" s="227"/>
      <c r="N217" s="227"/>
      <c r="O217" s="227"/>
      <c r="P217" s="227"/>
      <c r="Q217" s="227"/>
      <c r="R217" s="227"/>
    </row>
    <row r="218" spans="1:18">
      <c r="A218" s="2"/>
      <c r="B218" s="2"/>
      <c r="C218" s="120"/>
      <c r="D218" s="120"/>
      <c r="E218" s="118"/>
      <c r="F218" s="227"/>
      <c r="G218" s="227"/>
      <c r="H218" s="227"/>
      <c r="I218" s="227"/>
      <c r="J218" s="227"/>
      <c r="K218" s="227"/>
      <c r="L218" s="227"/>
      <c r="M218" s="227"/>
      <c r="N218" s="227"/>
      <c r="O218" s="227"/>
      <c r="P218" s="227"/>
      <c r="Q218" s="227"/>
      <c r="R218" s="227"/>
    </row>
    <row r="219" spans="1:18">
      <c r="A219" s="2"/>
      <c r="B219" s="2"/>
      <c r="C219" s="120"/>
      <c r="D219" s="120"/>
      <c r="E219" s="118"/>
      <c r="F219" s="227"/>
      <c r="G219" s="227"/>
      <c r="H219" s="227"/>
      <c r="I219" s="227"/>
      <c r="J219" s="227"/>
      <c r="K219" s="227"/>
      <c r="L219" s="227"/>
      <c r="M219" s="227"/>
      <c r="N219" s="227"/>
      <c r="O219" s="227"/>
      <c r="P219" s="227"/>
      <c r="Q219" s="227"/>
      <c r="R219" s="227"/>
    </row>
    <row r="220" spans="1:18">
      <c r="A220" s="2"/>
      <c r="B220" s="2"/>
      <c r="C220" s="120"/>
      <c r="D220" s="120"/>
      <c r="E220" s="118"/>
      <c r="F220" s="227"/>
      <c r="G220" s="227"/>
      <c r="H220" s="227"/>
      <c r="I220" s="227"/>
      <c r="J220" s="227"/>
      <c r="K220" s="227"/>
      <c r="L220" s="227"/>
      <c r="M220" s="227"/>
      <c r="N220" s="227"/>
      <c r="O220" s="227"/>
      <c r="P220" s="227"/>
      <c r="Q220" s="227"/>
      <c r="R220" s="227"/>
    </row>
    <row r="221" spans="1:18">
      <c r="A221" s="2"/>
      <c r="B221" s="2"/>
      <c r="C221" s="120"/>
      <c r="D221" s="120"/>
      <c r="E221" s="118"/>
      <c r="F221" s="227"/>
      <c r="G221" s="227"/>
      <c r="H221" s="227"/>
      <c r="I221" s="227"/>
      <c r="J221" s="227"/>
      <c r="K221" s="227"/>
      <c r="L221" s="227"/>
      <c r="M221" s="227"/>
      <c r="N221" s="227"/>
      <c r="O221" s="227"/>
      <c r="P221" s="227"/>
      <c r="Q221" s="227"/>
      <c r="R221" s="227"/>
    </row>
    <row r="222" spans="1:18">
      <c r="A222" s="2"/>
      <c r="B222" s="2"/>
      <c r="C222" s="120"/>
      <c r="D222" s="120"/>
      <c r="E222" s="118"/>
      <c r="F222" s="227"/>
      <c r="G222" s="227"/>
      <c r="H222" s="227"/>
      <c r="I222" s="227"/>
      <c r="J222" s="227"/>
      <c r="K222" s="227"/>
      <c r="L222" s="227"/>
      <c r="M222" s="227"/>
      <c r="N222" s="227"/>
      <c r="O222" s="227"/>
      <c r="P222" s="227"/>
      <c r="Q222" s="227"/>
      <c r="R222" s="227"/>
    </row>
    <row r="223" spans="1:18">
      <c r="A223" s="2"/>
      <c r="B223" s="2"/>
      <c r="C223" s="120"/>
      <c r="D223" s="120"/>
      <c r="E223" s="118"/>
      <c r="F223" s="227"/>
      <c r="G223" s="227"/>
      <c r="H223" s="227"/>
      <c r="I223" s="227"/>
      <c r="J223" s="227"/>
      <c r="K223" s="227"/>
      <c r="L223" s="227"/>
      <c r="M223" s="227"/>
      <c r="N223" s="227"/>
      <c r="O223" s="227"/>
      <c r="P223" s="227"/>
      <c r="Q223" s="227"/>
      <c r="R223" s="227"/>
    </row>
    <row r="224" spans="1:18">
      <c r="A224" s="2"/>
      <c r="B224" s="2"/>
      <c r="C224" s="120"/>
      <c r="D224" s="120"/>
      <c r="E224" s="118"/>
      <c r="F224" s="227"/>
      <c r="G224" s="227"/>
      <c r="H224" s="227"/>
      <c r="I224" s="227"/>
      <c r="J224" s="227"/>
      <c r="K224" s="227"/>
      <c r="L224" s="227"/>
      <c r="M224" s="227"/>
      <c r="N224" s="227"/>
      <c r="O224" s="227"/>
      <c r="P224" s="227"/>
      <c r="Q224" s="227"/>
      <c r="R224" s="227"/>
    </row>
    <row r="225" spans="1:18">
      <c r="A225" s="2"/>
      <c r="B225" s="2"/>
      <c r="C225" s="120"/>
      <c r="D225" s="120"/>
      <c r="E225" s="118"/>
      <c r="F225" s="227"/>
      <c r="G225" s="227"/>
      <c r="H225" s="227"/>
      <c r="I225" s="227"/>
      <c r="J225" s="227"/>
      <c r="K225" s="227"/>
      <c r="L225" s="227"/>
      <c r="M225" s="227"/>
      <c r="N225" s="227"/>
      <c r="O225" s="227"/>
      <c r="P225" s="227"/>
      <c r="Q225" s="227"/>
      <c r="R225" s="227"/>
    </row>
    <row r="226" spans="1:18">
      <c r="A226" s="2"/>
      <c r="B226" s="2"/>
      <c r="C226" s="120"/>
      <c r="D226" s="120"/>
      <c r="E226" s="118"/>
      <c r="F226" s="227"/>
      <c r="G226" s="227"/>
      <c r="H226" s="227"/>
      <c r="I226" s="227"/>
      <c r="J226" s="227"/>
      <c r="K226" s="227"/>
      <c r="L226" s="227"/>
      <c r="M226" s="227"/>
      <c r="N226" s="227"/>
      <c r="O226" s="227"/>
      <c r="P226" s="227"/>
      <c r="Q226" s="227"/>
      <c r="R226" s="227"/>
    </row>
    <row r="227" spans="1:18">
      <c r="A227" s="2"/>
      <c r="B227" s="2"/>
      <c r="C227" s="120"/>
      <c r="D227" s="120"/>
      <c r="E227" s="118"/>
      <c r="F227" s="227"/>
      <c r="G227" s="227"/>
      <c r="H227" s="227"/>
      <c r="I227" s="227"/>
      <c r="J227" s="227"/>
      <c r="K227" s="227"/>
      <c r="L227" s="227"/>
      <c r="M227" s="227"/>
      <c r="N227" s="227"/>
      <c r="O227" s="227"/>
      <c r="P227" s="227"/>
      <c r="Q227" s="227"/>
      <c r="R227" s="227"/>
    </row>
    <row r="228" spans="1:18">
      <c r="A228" s="2"/>
      <c r="B228" s="2"/>
      <c r="C228" s="120"/>
      <c r="D228" s="120"/>
      <c r="E228" s="118"/>
      <c r="F228" s="227"/>
      <c r="G228" s="227"/>
      <c r="H228" s="227"/>
      <c r="I228" s="227"/>
      <c r="J228" s="227"/>
      <c r="K228" s="227"/>
      <c r="L228" s="227"/>
      <c r="M228" s="227"/>
      <c r="N228" s="227"/>
      <c r="O228" s="227"/>
      <c r="P228" s="227"/>
      <c r="Q228" s="227"/>
      <c r="R228" s="227"/>
    </row>
    <row r="229" spans="1:18">
      <c r="A229" s="2"/>
      <c r="B229" s="2"/>
      <c r="C229" s="120"/>
      <c r="D229" s="120"/>
      <c r="E229" s="118"/>
      <c r="F229" s="227"/>
      <c r="G229" s="227"/>
      <c r="H229" s="227"/>
      <c r="I229" s="227"/>
      <c r="J229" s="227"/>
      <c r="K229" s="227"/>
      <c r="L229" s="227"/>
      <c r="M229" s="227"/>
      <c r="N229" s="227"/>
      <c r="O229" s="227"/>
      <c r="P229" s="227"/>
      <c r="Q229" s="227"/>
      <c r="R229" s="227"/>
    </row>
    <row r="230" spans="1:18">
      <c r="A230" s="2"/>
      <c r="B230" s="2"/>
      <c r="C230" s="120"/>
      <c r="D230" s="120"/>
      <c r="E230" s="118"/>
      <c r="F230" s="227"/>
      <c r="G230" s="227"/>
      <c r="H230" s="227"/>
      <c r="I230" s="227"/>
      <c r="J230" s="227"/>
      <c r="K230" s="227"/>
      <c r="L230" s="227"/>
      <c r="M230" s="227"/>
      <c r="N230" s="227"/>
      <c r="O230" s="227"/>
      <c r="P230" s="227"/>
      <c r="Q230" s="227"/>
      <c r="R230" s="227"/>
    </row>
    <row r="231" spans="1:18">
      <c r="A231" s="2"/>
      <c r="B231" s="2"/>
      <c r="C231" s="120"/>
      <c r="D231" s="120"/>
      <c r="E231" s="118"/>
      <c r="F231" s="227"/>
      <c r="G231" s="227"/>
      <c r="H231" s="227"/>
      <c r="I231" s="227"/>
      <c r="J231" s="227"/>
      <c r="K231" s="227"/>
      <c r="L231" s="227"/>
      <c r="M231" s="227"/>
      <c r="N231" s="227"/>
      <c r="O231" s="227"/>
      <c r="P231" s="227"/>
      <c r="Q231" s="227"/>
      <c r="R231" s="227"/>
    </row>
    <row r="232" spans="1:18">
      <c r="A232" s="2"/>
      <c r="B232" s="2"/>
      <c r="C232" s="120"/>
      <c r="D232" s="120"/>
      <c r="E232" s="118"/>
      <c r="F232" s="227"/>
      <c r="G232" s="227"/>
      <c r="H232" s="227"/>
      <c r="I232" s="227"/>
      <c r="J232" s="227"/>
      <c r="K232" s="227"/>
      <c r="L232" s="227"/>
      <c r="M232" s="227"/>
      <c r="N232" s="227"/>
      <c r="O232" s="227"/>
      <c r="P232" s="227"/>
      <c r="Q232" s="227"/>
      <c r="R232" s="227"/>
    </row>
    <row r="233" spans="1:18">
      <c r="A233" s="2"/>
      <c r="B233" s="2"/>
      <c r="C233" s="120"/>
      <c r="D233" s="120"/>
      <c r="E233" s="118"/>
      <c r="F233" s="227"/>
      <c r="G233" s="227"/>
      <c r="H233" s="227"/>
      <c r="I233" s="227"/>
      <c r="J233" s="227"/>
      <c r="K233" s="227"/>
      <c r="L233" s="227"/>
      <c r="M233" s="227"/>
      <c r="N233" s="227"/>
      <c r="O233" s="227"/>
      <c r="P233" s="227"/>
      <c r="Q233" s="227"/>
      <c r="R233" s="227"/>
    </row>
    <row r="234" spans="1:18">
      <c r="A234" s="2"/>
      <c r="B234" s="2"/>
      <c r="C234" s="120"/>
      <c r="D234" s="120"/>
      <c r="E234" s="118"/>
      <c r="F234" s="227"/>
      <c r="G234" s="227"/>
      <c r="H234" s="227"/>
      <c r="I234" s="227"/>
      <c r="J234" s="227"/>
      <c r="K234" s="227"/>
      <c r="L234" s="227"/>
      <c r="M234" s="227"/>
      <c r="N234" s="227"/>
      <c r="O234" s="227"/>
      <c r="P234" s="227"/>
      <c r="Q234" s="227"/>
      <c r="R234" s="227"/>
    </row>
    <row r="235" spans="1:18">
      <c r="A235" s="2"/>
      <c r="B235" s="2"/>
      <c r="C235" s="120"/>
      <c r="D235" s="120"/>
      <c r="E235" s="118"/>
      <c r="F235" s="227"/>
      <c r="G235" s="227"/>
      <c r="H235" s="227"/>
      <c r="I235" s="227"/>
      <c r="J235" s="227"/>
      <c r="K235" s="227"/>
      <c r="L235" s="227"/>
      <c r="M235" s="227"/>
      <c r="N235" s="227"/>
      <c r="O235" s="227"/>
      <c r="P235" s="227"/>
      <c r="Q235" s="227"/>
      <c r="R235" s="227"/>
    </row>
    <row r="236" spans="1:18">
      <c r="A236" s="2"/>
      <c r="B236" s="2"/>
      <c r="C236" s="120"/>
      <c r="D236" s="120"/>
      <c r="E236" s="118"/>
      <c r="F236" s="227"/>
      <c r="G236" s="227"/>
      <c r="H236" s="227"/>
      <c r="I236" s="227"/>
      <c r="J236" s="227"/>
      <c r="K236" s="227"/>
      <c r="L236" s="227"/>
      <c r="M236" s="227"/>
      <c r="N236" s="227"/>
      <c r="O236" s="227"/>
      <c r="P236" s="227"/>
      <c r="Q236" s="227"/>
      <c r="R236" s="227"/>
    </row>
    <row r="237" spans="1:18">
      <c r="A237" s="2"/>
      <c r="B237" s="2"/>
      <c r="C237" s="120"/>
      <c r="D237" s="120"/>
      <c r="E237" s="118"/>
      <c r="F237" s="227"/>
      <c r="G237" s="227"/>
      <c r="H237" s="227"/>
      <c r="I237" s="227"/>
      <c r="J237" s="227"/>
      <c r="K237" s="227"/>
      <c r="L237" s="227"/>
      <c r="M237" s="227"/>
      <c r="N237" s="227"/>
      <c r="O237" s="227"/>
      <c r="P237" s="227"/>
      <c r="Q237" s="227"/>
      <c r="R237" s="227"/>
    </row>
    <row r="238" spans="1:18">
      <c r="A238" s="2"/>
      <c r="B238" s="2"/>
      <c r="C238" s="120"/>
      <c r="D238" s="120"/>
      <c r="E238" s="118"/>
      <c r="F238" s="227"/>
      <c r="G238" s="227"/>
      <c r="H238" s="227"/>
      <c r="I238" s="227"/>
      <c r="J238" s="227"/>
      <c r="K238" s="227"/>
      <c r="L238" s="227"/>
      <c r="M238" s="227"/>
      <c r="N238" s="227"/>
      <c r="O238" s="227"/>
      <c r="P238" s="227"/>
      <c r="Q238" s="227"/>
      <c r="R238" s="227"/>
    </row>
    <row r="239" spans="1:18">
      <c r="A239" s="2"/>
      <c r="B239" s="2"/>
      <c r="C239" s="120"/>
      <c r="D239" s="120"/>
      <c r="E239" s="118"/>
      <c r="F239" s="227"/>
      <c r="G239" s="227"/>
      <c r="H239" s="227"/>
      <c r="I239" s="227"/>
      <c r="J239" s="227"/>
      <c r="K239" s="227"/>
      <c r="L239" s="227"/>
      <c r="M239" s="227"/>
      <c r="N239" s="227"/>
      <c r="O239" s="227"/>
      <c r="P239" s="227"/>
      <c r="Q239" s="227"/>
      <c r="R239" s="227"/>
    </row>
    <row r="240" spans="1:18">
      <c r="A240" s="2"/>
      <c r="B240" s="2"/>
      <c r="C240" s="120"/>
      <c r="D240" s="120"/>
      <c r="E240" s="118"/>
      <c r="F240" s="227"/>
      <c r="G240" s="227"/>
      <c r="H240" s="227"/>
      <c r="I240" s="227"/>
      <c r="J240" s="227"/>
      <c r="K240" s="227"/>
      <c r="L240" s="227"/>
      <c r="M240" s="227"/>
      <c r="N240" s="227"/>
      <c r="O240" s="227"/>
      <c r="P240" s="227"/>
      <c r="Q240" s="227"/>
      <c r="R240" s="227"/>
    </row>
    <row r="241" spans="1:18">
      <c r="A241" s="2"/>
      <c r="B241" s="2"/>
      <c r="C241" s="120"/>
      <c r="D241" s="120"/>
      <c r="E241" s="118"/>
      <c r="F241" s="227"/>
      <c r="G241" s="227"/>
      <c r="H241" s="227"/>
      <c r="I241" s="227"/>
      <c r="J241" s="227"/>
      <c r="K241" s="227"/>
      <c r="L241" s="227"/>
      <c r="M241" s="227"/>
      <c r="N241" s="227"/>
      <c r="O241" s="227"/>
      <c r="P241" s="227"/>
      <c r="Q241" s="227"/>
      <c r="R241" s="227"/>
    </row>
    <row r="242" spans="1:18">
      <c r="A242" s="2"/>
      <c r="B242" s="2"/>
      <c r="C242" s="120"/>
      <c r="D242" s="120"/>
      <c r="E242" s="118"/>
      <c r="F242" s="227"/>
      <c r="G242" s="227"/>
      <c r="H242" s="227"/>
      <c r="I242" s="227"/>
      <c r="J242" s="227"/>
      <c r="K242" s="227"/>
      <c r="L242" s="227"/>
      <c r="M242" s="227"/>
      <c r="N242" s="227"/>
      <c r="O242" s="227"/>
      <c r="P242" s="227"/>
      <c r="Q242" s="227"/>
      <c r="R242" s="227"/>
    </row>
    <row r="243" spans="1:18">
      <c r="A243" s="2"/>
      <c r="B243" s="2"/>
      <c r="C243" s="120"/>
      <c r="D243" s="120"/>
      <c r="E243" s="118"/>
      <c r="F243" s="227"/>
      <c r="G243" s="227"/>
      <c r="H243" s="227"/>
      <c r="I243" s="227"/>
      <c r="J243" s="227"/>
      <c r="K243" s="227"/>
      <c r="L243" s="227"/>
      <c r="M243" s="227"/>
      <c r="N243" s="227"/>
      <c r="O243" s="227"/>
      <c r="P243" s="227"/>
      <c r="Q243" s="227"/>
      <c r="R243" s="227"/>
    </row>
    <row r="244" spans="1:18">
      <c r="A244" s="2"/>
      <c r="B244" s="2"/>
      <c r="C244" s="120"/>
      <c r="D244" s="120"/>
      <c r="E244" s="118"/>
      <c r="F244" s="227"/>
      <c r="G244" s="227"/>
      <c r="H244" s="227"/>
      <c r="I244" s="227"/>
      <c r="J244" s="227"/>
      <c r="K244" s="227"/>
      <c r="L244" s="227"/>
      <c r="M244" s="227"/>
      <c r="N244" s="227"/>
      <c r="O244" s="227"/>
      <c r="P244" s="227"/>
      <c r="Q244" s="227"/>
      <c r="R244" s="227"/>
    </row>
    <row r="245" spans="1:18">
      <c r="A245" s="2"/>
      <c r="B245" s="2"/>
      <c r="C245" s="120"/>
      <c r="D245" s="120"/>
      <c r="E245" s="118"/>
      <c r="F245" s="227"/>
      <c r="G245" s="227"/>
      <c r="H245" s="227"/>
      <c r="I245" s="227"/>
      <c r="J245" s="227"/>
      <c r="K245" s="227"/>
      <c r="L245" s="227"/>
      <c r="M245" s="227"/>
      <c r="N245" s="227"/>
      <c r="O245" s="227"/>
      <c r="P245" s="227"/>
      <c r="Q245" s="227"/>
      <c r="R245" s="227"/>
    </row>
    <row r="246" spans="1:18">
      <c r="A246" s="2"/>
      <c r="B246" s="2"/>
      <c r="C246" s="120"/>
      <c r="D246" s="120"/>
      <c r="E246" s="118"/>
      <c r="F246" s="227"/>
      <c r="G246" s="227"/>
      <c r="H246" s="227"/>
      <c r="I246" s="227"/>
      <c r="J246" s="227"/>
      <c r="K246" s="227"/>
      <c r="L246" s="227"/>
      <c r="M246" s="227"/>
      <c r="N246" s="227"/>
      <c r="O246" s="227"/>
      <c r="P246" s="227"/>
      <c r="Q246" s="227"/>
      <c r="R246" s="227"/>
    </row>
    <row r="247" spans="1:18">
      <c r="A247" s="2"/>
      <c r="B247" s="2"/>
      <c r="C247" s="120"/>
      <c r="D247" s="120"/>
      <c r="E247" s="118"/>
      <c r="F247" s="227"/>
      <c r="G247" s="227"/>
      <c r="H247" s="227"/>
      <c r="I247" s="227"/>
      <c r="J247" s="227"/>
      <c r="K247" s="227"/>
      <c r="L247" s="227"/>
      <c r="M247" s="227"/>
      <c r="N247" s="227"/>
      <c r="O247" s="227"/>
      <c r="P247" s="227"/>
      <c r="Q247" s="227"/>
      <c r="R247" s="227"/>
    </row>
    <row r="248" spans="1:18">
      <c r="A248" s="2"/>
      <c r="B248" s="2"/>
      <c r="C248" s="120"/>
      <c r="D248" s="120"/>
      <c r="E248" s="118"/>
      <c r="F248" s="227"/>
      <c r="G248" s="227"/>
      <c r="H248" s="227"/>
      <c r="I248" s="227"/>
      <c r="J248" s="227"/>
      <c r="K248" s="227"/>
      <c r="L248" s="227"/>
      <c r="M248" s="227"/>
      <c r="N248" s="227"/>
      <c r="O248" s="227"/>
      <c r="P248" s="227"/>
      <c r="Q248" s="227"/>
      <c r="R248" s="227"/>
    </row>
    <row r="249" spans="1:18">
      <c r="A249" s="2"/>
      <c r="B249" s="2"/>
      <c r="C249" s="120"/>
      <c r="D249" s="120"/>
      <c r="E249" s="118"/>
      <c r="F249" s="227"/>
      <c r="G249" s="227"/>
      <c r="H249" s="227"/>
      <c r="I249" s="227"/>
      <c r="J249" s="227"/>
      <c r="K249" s="227"/>
      <c r="L249" s="227"/>
      <c r="M249" s="227"/>
      <c r="N249" s="227"/>
      <c r="O249" s="227"/>
      <c r="P249" s="227"/>
      <c r="Q249" s="227"/>
      <c r="R249" s="227"/>
    </row>
    <row r="250" spans="1:18">
      <c r="A250" s="2"/>
      <c r="B250" s="2"/>
      <c r="C250" s="120"/>
      <c r="D250" s="120"/>
      <c r="E250" s="118"/>
      <c r="F250" s="227"/>
      <c r="G250" s="227"/>
      <c r="H250" s="227"/>
      <c r="I250" s="227"/>
      <c r="J250" s="227"/>
      <c r="K250" s="227"/>
      <c r="L250" s="227"/>
      <c r="M250" s="227"/>
      <c r="N250" s="227"/>
      <c r="O250" s="227"/>
      <c r="P250" s="227"/>
      <c r="Q250" s="227"/>
      <c r="R250" s="227"/>
    </row>
    <row r="251" spans="1:18">
      <c r="A251" s="2"/>
      <c r="B251" s="2"/>
      <c r="C251" s="120"/>
      <c r="D251" s="120"/>
      <c r="E251" s="118"/>
      <c r="F251" s="227"/>
      <c r="G251" s="227"/>
      <c r="H251" s="227"/>
      <c r="I251" s="227"/>
      <c r="J251" s="227"/>
      <c r="K251" s="227"/>
      <c r="L251" s="227"/>
      <c r="M251" s="227"/>
      <c r="N251" s="227"/>
      <c r="O251" s="227"/>
      <c r="P251" s="227"/>
      <c r="Q251" s="227"/>
      <c r="R251" s="227"/>
    </row>
    <row r="252" spans="1:18">
      <c r="A252" s="2"/>
      <c r="B252" s="2"/>
      <c r="C252" s="120"/>
      <c r="D252" s="120"/>
      <c r="E252" s="118"/>
      <c r="F252" s="227"/>
      <c r="G252" s="227"/>
      <c r="H252" s="227"/>
      <c r="I252" s="227"/>
      <c r="J252" s="227"/>
      <c r="K252" s="227"/>
      <c r="L252" s="227"/>
      <c r="M252" s="227"/>
      <c r="N252" s="227"/>
      <c r="O252" s="227"/>
      <c r="P252" s="227"/>
      <c r="Q252" s="227"/>
      <c r="R252" s="227"/>
    </row>
    <row r="253" spans="1:18">
      <c r="A253" s="2"/>
      <c r="B253" s="2"/>
      <c r="C253" s="120"/>
      <c r="D253" s="120"/>
      <c r="E253" s="118"/>
      <c r="F253" s="227"/>
      <c r="G253" s="227"/>
      <c r="H253" s="227"/>
      <c r="I253" s="227"/>
      <c r="J253" s="227"/>
      <c r="K253" s="227"/>
      <c r="L253" s="227"/>
      <c r="M253" s="227"/>
      <c r="N253" s="227"/>
      <c r="O253" s="227"/>
      <c r="P253" s="227"/>
      <c r="Q253" s="227"/>
      <c r="R253" s="227"/>
    </row>
    <row r="254" spans="1:18">
      <c r="A254" s="2"/>
      <c r="B254" s="2"/>
      <c r="C254" s="120"/>
      <c r="D254" s="120"/>
      <c r="E254" s="118"/>
      <c r="F254" s="227"/>
      <c r="G254" s="227"/>
      <c r="H254" s="227"/>
      <c r="I254" s="227"/>
      <c r="J254" s="227"/>
      <c r="K254" s="227"/>
      <c r="L254" s="227"/>
      <c r="M254" s="227"/>
      <c r="N254" s="227"/>
      <c r="O254" s="227"/>
      <c r="P254" s="227"/>
      <c r="Q254" s="227"/>
      <c r="R254" s="227"/>
    </row>
    <row r="255" spans="1:18">
      <c r="A255" s="2"/>
      <c r="B255" s="2"/>
      <c r="C255" s="120"/>
      <c r="D255" s="120"/>
      <c r="E255" s="118"/>
      <c r="F255" s="227"/>
      <c r="G255" s="227"/>
      <c r="H255" s="227"/>
      <c r="I255" s="227"/>
      <c r="J255" s="227"/>
      <c r="K255" s="227"/>
      <c r="L255" s="227"/>
      <c r="M255" s="227"/>
      <c r="N255" s="227"/>
      <c r="O255" s="227"/>
      <c r="P255" s="227"/>
      <c r="Q255" s="227"/>
      <c r="R255" s="227"/>
    </row>
    <row r="256" spans="1:18">
      <c r="A256" s="2"/>
      <c r="B256" s="2"/>
      <c r="C256" s="120"/>
      <c r="D256" s="120"/>
      <c r="E256" s="118"/>
      <c r="F256" s="227"/>
      <c r="G256" s="227"/>
      <c r="H256" s="227"/>
      <c r="I256" s="227"/>
      <c r="J256" s="227"/>
      <c r="K256" s="227"/>
      <c r="L256" s="227"/>
      <c r="M256" s="227"/>
      <c r="N256" s="227"/>
      <c r="O256" s="227"/>
      <c r="P256" s="227"/>
      <c r="Q256" s="227"/>
      <c r="R256" s="227"/>
    </row>
    <row r="257" spans="1:18">
      <c r="A257" s="2"/>
      <c r="B257" s="2"/>
      <c r="C257" s="120"/>
      <c r="D257" s="120"/>
      <c r="E257" s="118"/>
      <c r="F257" s="227"/>
      <c r="G257" s="227"/>
      <c r="H257" s="227"/>
      <c r="I257" s="227"/>
      <c r="J257" s="227"/>
      <c r="K257" s="227"/>
      <c r="L257" s="227"/>
      <c r="M257" s="227"/>
      <c r="N257" s="227"/>
      <c r="O257" s="227"/>
      <c r="P257" s="227"/>
      <c r="Q257" s="227"/>
      <c r="R257" s="227"/>
    </row>
    <row r="258" spans="1:18">
      <c r="A258" s="2"/>
      <c r="B258" s="2"/>
      <c r="C258" s="120"/>
      <c r="D258" s="120"/>
      <c r="E258" s="118"/>
      <c r="F258" s="227"/>
      <c r="G258" s="227"/>
      <c r="H258" s="227"/>
      <c r="I258" s="227"/>
      <c r="J258" s="227"/>
      <c r="K258" s="227"/>
      <c r="L258" s="227"/>
      <c r="M258" s="227"/>
      <c r="N258" s="227"/>
      <c r="O258" s="227"/>
      <c r="P258" s="227"/>
      <c r="Q258" s="227"/>
      <c r="R258" s="227"/>
    </row>
    <row r="259" spans="1:18">
      <c r="A259" s="2"/>
      <c r="B259" s="2"/>
      <c r="C259" s="120"/>
      <c r="D259" s="120"/>
      <c r="E259" s="118"/>
      <c r="F259" s="227"/>
      <c r="G259" s="227"/>
      <c r="H259" s="227"/>
      <c r="I259" s="227"/>
      <c r="J259" s="227"/>
      <c r="K259" s="227"/>
      <c r="L259" s="227"/>
      <c r="M259" s="227"/>
      <c r="N259" s="227"/>
      <c r="O259" s="227"/>
      <c r="P259" s="227"/>
      <c r="Q259" s="227"/>
      <c r="R259" s="227"/>
    </row>
    <row r="260" spans="1:18">
      <c r="A260" s="2"/>
      <c r="B260" s="2"/>
      <c r="C260" s="120"/>
      <c r="D260" s="120"/>
      <c r="E260" s="118"/>
      <c r="F260" s="227"/>
      <c r="G260" s="227"/>
      <c r="H260" s="227"/>
      <c r="I260" s="227"/>
      <c r="J260" s="227"/>
      <c r="K260" s="227"/>
      <c r="L260" s="227"/>
      <c r="M260" s="227"/>
      <c r="N260" s="227"/>
      <c r="O260" s="227"/>
      <c r="P260" s="227"/>
      <c r="Q260" s="227"/>
      <c r="R260" s="227"/>
    </row>
    <row r="261" spans="1:18">
      <c r="A261" s="2"/>
      <c r="B261" s="2"/>
      <c r="C261" s="120"/>
      <c r="D261" s="120"/>
      <c r="E261" s="118"/>
      <c r="F261" s="227"/>
      <c r="G261" s="227"/>
      <c r="H261" s="227"/>
      <c r="I261" s="227"/>
      <c r="J261" s="227"/>
      <c r="K261" s="227"/>
      <c r="L261" s="227"/>
      <c r="M261" s="227"/>
      <c r="N261" s="227"/>
      <c r="O261" s="227"/>
      <c r="P261" s="227"/>
      <c r="Q261" s="227"/>
      <c r="R261" s="227"/>
    </row>
    <row r="262" spans="1:18">
      <c r="A262" s="2"/>
      <c r="B262" s="2"/>
      <c r="C262" s="120"/>
      <c r="D262" s="120"/>
      <c r="E262" s="118"/>
      <c r="F262" s="227"/>
      <c r="G262" s="227"/>
      <c r="H262" s="227"/>
      <c r="I262" s="227"/>
      <c r="J262" s="227"/>
      <c r="K262" s="227"/>
      <c r="L262" s="227"/>
      <c r="M262" s="227"/>
      <c r="N262" s="227"/>
      <c r="O262" s="227"/>
      <c r="P262" s="227"/>
      <c r="Q262" s="227"/>
      <c r="R262" s="227"/>
    </row>
    <row r="263" spans="1:18">
      <c r="A263" s="2"/>
      <c r="B263" s="2"/>
      <c r="C263" s="120"/>
      <c r="D263" s="120"/>
      <c r="E263" s="118"/>
      <c r="F263" s="227"/>
      <c r="G263" s="227"/>
      <c r="H263" s="227"/>
      <c r="I263" s="227"/>
      <c r="J263" s="227"/>
      <c r="K263" s="227"/>
      <c r="L263" s="227"/>
      <c r="M263" s="227"/>
      <c r="N263" s="227"/>
      <c r="O263" s="227"/>
      <c r="P263" s="227"/>
      <c r="Q263" s="227"/>
      <c r="R263" s="227"/>
    </row>
    <row r="264" spans="1:18">
      <c r="A264" s="2"/>
      <c r="B264" s="2"/>
      <c r="C264" s="120"/>
      <c r="D264" s="120"/>
      <c r="E264" s="118"/>
      <c r="F264" s="227"/>
      <c r="G264" s="227"/>
      <c r="H264" s="227"/>
      <c r="I264" s="227"/>
      <c r="J264" s="227"/>
      <c r="K264" s="227"/>
      <c r="L264" s="227"/>
      <c r="M264" s="227"/>
      <c r="N264" s="227"/>
      <c r="O264" s="227"/>
      <c r="P264" s="227"/>
      <c r="Q264" s="227"/>
      <c r="R264" s="227"/>
    </row>
    <row r="265" spans="1:18">
      <c r="A265" s="2"/>
      <c r="B265" s="2"/>
      <c r="C265" s="120"/>
      <c r="D265" s="120"/>
      <c r="E265" s="118"/>
      <c r="F265" s="227"/>
      <c r="G265" s="227"/>
      <c r="H265" s="227"/>
      <c r="I265" s="227"/>
      <c r="J265" s="227"/>
      <c r="K265" s="227"/>
      <c r="L265" s="227"/>
      <c r="M265" s="227"/>
      <c r="N265" s="227"/>
      <c r="O265" s="227"/>
      <c r="P265" s="227"/>
      <c r="Q265" s="227"/>
      <c r="R265" s="227"/>
    </row>
    <row r="266" spans="1:18">
      <c r="A266" s="2"/>
      <c r="B266" s="2"/>
      <c r="C266" s="120"/>
      <c r="D266" s="120"/>
      <c r="E266" s="118"/>
      <c r="F266" s="227"/>
      <c r="G266" s="227"/>
      <c r="H266" s="227"/>
      <c r="I266" s="227"/>
      <c r="J266" s="227"/>
      <c r="K266" s="227"/>
      <c r="L266" s="227"/>
      <c r="M266" s="227"/>
      <c r="N266" s="227"/>
      <c r="O266" s="227"/>
      <c r="P266" s="227"/>
      <c r="Q266" s="227"/>
      <c r="R266" s="227"/>
    </row>
    <row r="267" spans="1:18">
      <c r="A267" s="2"/>
      <c r="B267" s="2"/>
      <c r="C267" s="120"/>
      <c r="D267" s="120"/>
      <c r="E267" s="118"/>
      <c r="F267" s="227"/>
      <c r="G267" s="227"/>
      <c r="H267" s="227"/>
      <c r="I267" s="227"/>
      <c r="J267" s="227"/>
      <c r="K267" s="227"/>
      <c r="L267" s="227"/>
      <c r="M267" s="227"/>
      <c r="N267" s="227"/>
      <c r="O267" s="227"/>
      <c r="P267" s="227"/>
      <c r="Q267" s="227"/>
      <c r="R267" s="227"/>
    </row>
    <row r="268" spans="1:18">
      <c r="A268" s="2"/>
      <c r="B268" s="2"/>
      <c r="C268" s="120"/>
      <c r="D268" s="120"/>
      <c r="E268" s="118"/>
      <c r="F268" s="227"/>
      <c r="G268" s="227"/>
      <c r="H268" s="227"/>
      <c r="I268" s="227"/>
      <c r="J268" s="227"/>
      <c r="K268" s="227"/>
      <c r="L268" s="227"/>
      <c r="M268" s="227"/>
      <c r="N268" s="227"/>
      <c r="O268" s="227"/>
      <c r="P268" s="227"/>
      <c r="Q268" s="227"/>
      <c r="R268" s="227"/>
    </row>
    <row r="269" spans="1:18">
      <c r="A269" s="2"/>
      <c r="B269" s="2"/>
      <c r="C269" s="120"/>
      <c r="D269" s="120"/>
      <c r="E269" s="118"/>
      <c r="F269" s="227"/>
      <c r="G269" s="227"/>
      <c r="H269" s="227"/>
      <c r="I269" s="227"/>
      <c r="J269" s="227"/>
      <c r="K269" s="227"/>
      <c r="L269" s="227"/>
      <c r="M269" s="227"/>
      <c r="N269" s="227"/>
      <c r="O269" s="227"/>
      <c r="P269" s="227"/>
      <c r="Q269" s="227"/>
      <c r="R269" s="227"/>
    </row>
    <row r="270" spans="1:18">
      <c r="A270" s="2"/>
      <c r="B270" s="2"/>
      <c r="C270" s="120"/>
      <c r="D270" s="120"/>
      <c r="E270" s="118"/>
      <c r="F270" s="227"/>
      <c r="G270" s="227"/>
      <c r="H270" s="227"/>
      <c r="I270" s="227"/>
      <c r="J270" s="227"/>
      <c r="K270" s="227"/>
      <c r="L270" s="227"/>
      <c r="M270" s="227"/>
      <c r="N270" s="227"/>
      <c r="O270" s="227"/>
      <c r="P270" s="227"/>
      <c r="Q270" s="227"/>
      <c r="R270" s="227"/>
    </row>
    <row r="271" spans="1:18">
      <c r="A271" s="2"/>
      <c r="B271" s="2"/>
      <c r="C271" s="120"/>
      <c r="D271" s="120"/>
      <c r="E271" s="118"/>
      <c r="F271" s="227"/>
      <c r="G271" s="227"/>
      <c r="H271" s="227"/>
      <c r="I271" s="227"/>
      <c r="J271" s="227"/>
      <c r="K271" s="227"/>
      <c r="L271" s="227"/>
      <c r="M271" s="227"/>
      <c r="N271" s="227"/>
      <c r="O271" s="227"/>
      <c r="P271" s="227"/>
      <c r="Q271" s="227"/>
      <c r="R271" s="227"/>
    </row>
    <row r="272" spans="1:18">
      <c r="A272" s="2"/>
      <c r="B272" s="2"/>
      <c r="C272" s="120"/>
      <c r="D272" s="120"/>
      <c r="E272" s="118"/>
      <c r="F272" s="227"/>
      <c r="G272" s="227"/>
      <c r="H272" s="227"/>
      <c r="I272" s="227"/>
      <c r="J272" s="227"/>
      <c r="K272" s="227"/>
      <c r="L272" s="227"/>
      <c r="M272" s="227"/>
      <c r="N272" s="227"/>
      <c r="O272" s="227"/>
      <c r="P272" s="227"/>
      <c r="Q272" s="227"/>
      <c r="R272" s="227"/>
    </row>
    <row r="273" spans="1:18">
      <c r="A273" s="2"/>
      <c r="B273" s="2"/>
      <c r="C273" s="120"/>
      <c r="D273" s="120"/>
      <c r="E273" s="118"/>
      <c r="F273" s="227"/>
      <c r="G273" s="227"/>
      <c r="H273" s="227"/>
      <c r="I273" s="227"/>
      <c r="J273" s="227"/>
      <c r="K273" s="227"/>
      <c r="L273" s="227"/>
      <c r="M273" s="227"/>
      <c r="N273" s="227"/>
      <c r="O273" s="227"/>
      <c r="P273" s="227"/>
      <c r="Q273" s="227"/>
      <c r="R273" s="227"/>
    </row>
    <row r="274" spans="1:18">
      <c r="A274" s="2"/>
      <c r="B274" s="2"/>
      <c r="C274" s="120"/>
      <c r="D274" s="120"/>
      <c r="E274" s="118"/>
      <c r="F274" s="227"/>
      <c r="G274" s="227"/>
      <c r="H274" s="227"/>
      <c r="I274" s="227"/>
      <c r="J274" s="227"/>
      <c r="K274" s="227"/>
      <c r="L274" s="227"/>
      <c r="M274" s="227"/>
      <c r="N274" s="227"/>
      <c r="O274" s="227"/>
      <c r="P274" s="227"/>
      <c r="Q274" s="227"/>
      <c r="R274" s="227"/>
    </row>
    <row r="275" spans="1:18">
      <c r="A275" s="2"/>
      <c r="B275" s="2"/>
      <c r="C275" s="120"/>
      <c r="D275" s="120"/>
      <c r="E275" s="118"/>
      <c r="F275" s="227"/>
      <c r="G275" s="227"/>
      <c r="H275" s="227"/>
      <c r="I275" s="227"/>
      <c r="J275" s="227"/>
      <c r="K275" s="227"/>
      <c r="L275" s="227"/>
      <c r="M275" s="227"/>
      <c r="N275" s="227"/>
      <c r="O275" s="227"/>
      <c r="P275" s="227"/>
      <c r="Q275" s="227"/>
      <c r="R275" s="227"/>
    </row>
    <row r="276" spans="1:18">
      <c r="A276" s="2"/>
      <c r="B276" s="2"/>
      <c r="C276" s="120"/>
      <c r="D276" s="120"/>
      <c r="E276" s="118"/>
      <c r="F276" s="227"/>
      <c r="G276" s="227"/>
      <c r="H276" s="227"/>
      <c r="I276" s="227"/>
      <c r="J276" s="227"/>
      <c r="K276" s="227"/>
      <c r="L276" s="227"/>
      <c r="M276" s="227"/>
      <c r="N276" s="227"/>
      <c r="O276" s="227"/>
      <c r="P276" s="227"/>
      <c r="Q276" s="227"/>
      <c r="R276" s="227"/>
    </row>
    <row r="277" spans="1:18">
      <c r="A277" s="2"/>
      <c r="B277" s="2"/>
      <c r="C277" s="120"/>
      <c r="D277" s="120"/>
      <c r="E277" s="118"/>
      <c r="F277" s="227"/>
      <c r="G277" s="227"/>
      <c r="H277" s="227"/>
      <c r="I277" s="227"/>
      <c r="J277" s="227"/>
      <c r="K277" s="227"/>
      <c r="L277" s="227"/>
      <c r="M277" s="227"/>
      <c r="N277" s="227"/>
      <c r="O277" s="227"/>
      <c r="P277" s="227"/>
      <c r="Q277" s="227"/>
      <c r="R277" s="227"/>
    </row>
    <row r="278" spans="1:18">
      <c r="A278" s="2"/>
      <c r="B278" s="2"/>
      <c r="C278" s="120"/>
      <c r="D278" s="120"/>
      <c r="E278" s="118"/>
      <c r="F278" s="227"/>
      <c r="G278" s="227"/>
      <c r="H278" s="227"/>
      <c r="I278" s="227"/>
      <c r="J278" s="227"/>
      <c r="K278" s="227"/>
      <c r="L278" s="227"/>
      <c r="M278" s="227"/>
      <c r="N278" s="227"/>
      <c r="O278" s="227"/>
      <c r="P278" s="227"/>
      <c r="Q278" s="227"/>
      <c r="R278" s="227"/>
    </row>
    <row r="279" spans="1:18">
      <c r="A279" s="2"/>
      <c r="B279" s="2"/>
      <c r="C279" s="120"/>
      <c r="D279" s="120"/>
      <c r="E279" s="118"/>
      <c r="F279" s="227"/>
      <c r="G279" s="227"/>
      <c r="H279" s="227"/>
      <c r="I279" s="227"/>
      <c r="J279" s="227"/>
      <c r="K279" s="227"/>
      <c r="L279" s="227"/>
      <c r="M279" s="227"/>
      <c r="N279" s="227"/>
      <c r="O279" s="227"/>
      <c r="P279" s="227"/>
      <c r="Q279" s="227"/>
      <c r="R279" s="227"/>
    </row>
    <row r="280" spans="1:18">
      <c r="A280" s="2"/>
      <c r="B280" s="2"/>
      <c r="C280" s="120"/>
      <c r="D280" s="120"/>
      <c r="E280" s="118"/>
      <c r="F280" s="227"/>
      <c r="G280" s="227"/>
      <c r="H280" s="227"/>
      <c r="I280" s="227"/>
      <c r="J280" s="227"/>
      <c r="K280" s="227"/>
      <c r="L280" s="227"/>
      <c r="M280" s="227"/>
      <c r="N280" s="227"/>
      <c r="O280" s="227"/>
      <c r="P280" s="227"/>
      <c r="Q280" s="227"/>
      <c r="R280" s="227"/>
    </row>
    <row r="281" spans="1:18">
      <c r="A281" s="2"/>
      <c r="B281" s="2"/>
      <c r="C281" s="120"/>
      <c r="D281" s="120"/>
      <c r="E281" s="118"/>
      <c r="F281" s="227"/>
      <c r="G281" s="227"/>
      <c r="H281" s="227"/>
      <c r="I281" s="227"/>
      <c r="J281" s="227"/>
      <c r="K281" s="227"/>
      <c r="L281" s="227"/>
      <c r="M281" s="227"/>
      <c r="N281" s="227"/>
      <c r="O281" s="227"/>
      <c r="P281" s="227"/>
      <c r="Q281" s="227"/>
      <c r="R281" s="227"/>
    </row>
    <row r="282" spans="1:18">
      <c r="A282" s="2"/>
      <c r="B282" s="2"/>
      <c r="C282" s="120"/>
      <c r="D282" s="120"/>
      <c r="E282" s="118"/>
      <c r="F282" s="227"/>
      <c r="G282" s="227"/>
      <c r="H282" s="227"/>
      <c r="I282" s="227"/>
      <c r="J282" s="227"/>
      <c r="K282" s="227"/>
      <c r="L282" s="227"/>
      <c r="M282" s="227"/>
      <c r="N282" s="227"/>
      <c r="O282" s="227"/>
      <c r="P282" s="227"/>
      <c r="Q282" s="227"/>
      <c r="R282" s="227"/>
    </row>
    <row r="283" spans="1:18">
      <c r="A283" s="2"/>
      <c r="B283" s="2"/>
      <c r="C283" s="120"/>
      <c r="D283" s="120"/>
      <c r="E283" s="118"/>
      <c r="F283" s="227"/>
      <c r="G283" s="227"/>
      <c r="H283" s="227"/>
      <c r="I283" s="227"/>
      <c r="J283" s="227"/>
      <c r="K283" s="227"/>
      <c r="L283" s="227"/>
      <c r="M283" s="227"/>
      <c r="N283" s="227"/>
      <c r="O283" s="227"/>
      <c r="P283" s="227"/>
      <c r="Q283" s="227"/>
      <c r="R283" s="227"/>
    </row>
    <row r="284" spans="1:18">
      <c r="A284" s="2"/>
      <c r="B284" s="2"/>
      <c r="C284" s="120"/>
      <c r="D284" s="120"/>
      <c r="E284" s="118"/>
      <c r="F284" s="227"/>
      <c r="G284" s="227"/>
      <c r="H284" s="227"/>
      <c r="I284" s="227"/>
      <c r="J284" s="227"/>
      <c r="K284" s="227"/>
      <c r="L284" s="227"/>
      <c r="M284" s="227"/>
      <c r="N284" s="227"/>
      <c r="O284" s="227"/>
      <c r="P284" s="227"/>
      <c r="Q284" s="227"/>
      <c r="R284" s="227"/>
    </row>
    <row r="285" spans="1:18">
      <c r="A285" s="2"/>
      <c r="B285" s="2"/>
      <c r="C285" s="120"/>
      <c r="D285" s="120"/>
      <c r="E285" s="118"/>
      <c r="F285" s="227"/>
      <c r="G285" s="227"/>
      <c r="H285" s="227"/>
      <c r="I285" s="227"/>
      <c r="J285" s="227"/>
      <c r="K285" s="227"/>
      <c r="L285" s="227"/>
      <c r="M285" s="227"/>
      <c r="N285" s="227"/>
      <c r="O285" s="227"/>
      <c r="P285" s="227"/>
      <c r="Q285" s="227"/>
      <c r="R285" s="227"/>
    </row>
    <row r="286" spans="1:18">
      <c r="A286" s="2"/>
      <c r="B286" s="2"/>
      <c r="C286" s="120"/>
      <c r="D286" s="120"/>
      <c r="E286" s="118"/>
      <c r="F286" s="227"/>
      <c r="G286" s="227"/>
      <c r="H286" s="227"/>
      <c r="I286" s="227"/>
      <c r="J286" s="227"/>
      <c r="K286" s="227"/>
      <c r="L286" s="227"/>
      <c r="M286" s="227"/>
      <c r="N286" s="227"/>
      <c r="O286" s="227"/>
      <c r="P286" s="227"/>
      <c r="Q286" s="227"/>
      <c r="R286" s="227"/>
    </row>
    <row r="287" spans="1:18">
      <c r="A287" s="2"/>
      <c r="B287" s="2"/>
      <c r="C287" s="120"/>
      <c r="D287" s="120"/>
      <c r="E287" s="118"/>
      <c r="F287" s="227"/>
      <c r="G287" s="227"/>
      <c r="H287" s="227"/>
      <c r="I287" s="227"/>
      <c r="J287" s="227"/>
      <c r="K287" s="227"/>
      <c r="L287" s="227"/>
      <c r="M287" s="227"/>
      <c r="N287" s="227"/>
      <c r="O287" s="227"/>
      <c r="P287" s="227"/>
      <c r="Q287" s="227"/>
      <c r="R287" s="227"/>
    </row>
    <row r="288" spans="1:18">
      <c r="A288" s="2"/>
      <c r="B288" s="2"/>
      <c r="C288" s="120"/>
      <c r="D288" s="120"/>
      <c r="E288" s="118"/>
      <c r="F288" s="227"/>
      <c r="G288" s="227"/>
      <c r="H288" s="227"/>
      <c r="I288" s="227"/>
      <c r="J288" s="227"/>
      <c r="K288" s="227"/>
      <c r="L288" s="227"/>
      <c r="M288" s="227"/>
      <c r="N288" s="227"/>
      <c r="O288" s="227"/>
      <c r="P288" s="227"/>
      <c r="Q288" s="227"/>
      <c r="R288" s="227"/>
    </row>
    <row r="289" spans="1:18">
      <c r="A289" s="2"/>
      <c r="B289" s="2"/>
      <c r="C289" s="120"/>
      <c r="D289" s="120"/>
      <c r="E289" s="118"/>
      <c r="F289" s="227"/>
      <c r="G289" s="227"/>
      <c r="H289" s="227"/>
      <c r="I289" s="227"/>
      <c r="J289" s="227"/>
      <c r="K289" s="227"/>
      <c r="L289" s="227"/>
      <c r="M289" s="227"/>
      <c r="N289" s="227"/>
      <c r="O289" s="227"/>
      <c r="P289" s="227"/>
      <c r="Q289" s="227"/>
      <c r="R289" s="227"/>
    </row>
    <row r="290" spans="1:18">
      <c r="A290" s="2"/>
      <c r="B290" s="2"/>
      <c r="C290" s="120"/>
      <c r="D290" s="120"/>
      <c r="E290" s="118"/>
      <c r="F290" s="227"/>
      <c r="G290" s="227"/>
      <c r="H290" s="227"/>
      <c r="I290" s="227"/>
      <c r="J290" s="227"/>
      <c r="K290" s="227"/>
      <c r="L290" s="227"/>
      <c r="M290" s="227"/>
      <c r="N290" s="227"/>
      <c r="O290" s="227"/>
      <c r="P290" s="227"/>
      <c r="Q290" s="227"/>
      <c r="R290" s="227"/>
    </row>
    <row r="291" spans="1:18">
      <c r="A291" s="2"/>
      <c r="B291" s="2"/>
      <c r="C291" s="120"/>
      <c r="D291" s="120"/>
      <c r="E291" s="118"/>
      <c r="F291" s="227"/>
      <c r="G291" s="227"/>
      <c r="H291" s="227"/>
      <c r="I291" s="227"/>
      <c r="J291" s="227"/>
      <c r="K291" s="227"/>
      <c r="L291" s="227"/>
      <c r="M291" s="227"/>
      <c r="N291" s="227"/>
      <c r="O291" s="227"/>
      <c r="P291" s="227"/>
      <c r="Q291" s="227"/>
      <c r="R291" s="227"/>
    </row>
    <row r="292" spans="1:18">
      <c r="A292" s="2"/>
      <c r="B292" s="2"/>
      <c r="C292" s="120"/>
      <c r="D292" s="120"/>
      <c r="E292" s="118"/>
      <c r="F292" s="227"/>
      <c r="G292" s="227"/>
      <c r="H292" s="227"/>
      <c r="I292" s="227"/>
      <c r="J292" s="227"/>
      <c r="K292" s="227"/>
      <c r="L292" s="227"/>
      <c r="M292" s="227"/>
      <c r="N292" s="227"/>
      <c r="O292" s="227"/>
      <c r="P292" s="227"/>
      <c r="Q292" s="227"/>
      <c r="R292" s="227"/>
    </row>
    <row r="293" spans="1:18">
      <c r="A293" s="2"/>
      <c r="B293" s="2"/>
      <c r="C293" s="120"/>
      <c r="D293" s="120"/>
      <c r="E293" s="118"/>
      <c r="F293" s="227"/>
      <c r="G293" s="227"/>
      <c r="H293" s="227"/>
      <c r="I293" s="227"/>
      <c r="J293" s="227"/>
      <c r="K293" s="227"/>
      <c r="L293" s="227"/>
      <c r="M293" s="227"/>
      <c r="N293" s="227"/>
      <c r="O293" s="227"/>
      <c r="P293" s="227"/>
      <c r="Q293" s="227"/>
      <c r="R293" s="227"/>
    </row>
    <row r="294" spans="1:18">
      <c r="A294" s="2"/>
      <c r="B294" s="2"/>
      <c r="C294" s="120"/>
      <c r="D294" s="120"/>
      <c r="E294" s="118"/>
      <c r="F294" s="227"/>
      <c r="G294" s="227"/>
      <c r="H294" s="227"/>
      <c r="I294" s="227"/>
      <c r="J294" s="227"/>
      <c r="K294" s="227"/>
      <c r="L294" s="227"/>
      <c r="M294" s="227"/>
      <c r="N294" s="227"/>
      <c r="O294" s="227"/>
      <c r="P294" s="227"/>
      <c r="Q294" s="227"/>
      <c r="R294" s="227"/>
    </row>
    <row r="295" spans="1:18">
      <c r="A295" s="2"/>
      <c r="B295" s="2"/>
      <c r="C295" s="120"/>
      <c r="D295" s="120"/>
      <c r="E295" s="118"/>
      <c r="F295" s="227"/>
      <c r="G295" s="227"/>
      <c r="H295" s="227"/>
      <c r="I295" s="227"/>
      <c r="J295" s="227"/>
      <c r="K295" s="227"/>
      <c r="L295" s="227"/>
      <c r="M295" s="227"/>
      <c r="N295" s="227"/>
      <c r="O295" s="227"/>
      <c r="P295" s="227"/>
      <c r="Q295" s="227"/>
      <c r="R295" s="227"/>
    </row>
    <row r="296" spans="1:18">
      <c r="A296" s="2"/>
      <c r="B296" s="2"/>
      <c r="C296" s="120"/>
      <c r="D296" s="120"/>
      <c r="E296" s="118"/>
      <c r="F296" s="227"/>
      <c r="G296" s="227"/>
      <c r="H296" s="227"/>
      <c r="I296" s="227"/>
      <c r="J296" s="227"/>
      <c r="K296" s="227"/>
      <c r="L296" s="227"/>
      <c r="M296" s="227"/>
      <c r="N296" s="227"/>
      <c r="O296" s="227"/>
      <c r="P296" s="227"/>
      <c r="Q296" s="227"/>
      <c r="R296" s="227"/>
    </row>
    <row r="297" spans="1:18">
      <c r="A297" s="2"/>
      <c r="B297" s="2"/>
      <c r="C297" s="120"/>
      <c r="D297" s="120"/>
      <c r="E297" s="118"/>
      <c r="F297" s="227"/>
      <c r="G297" s="227"/>
      <c r="H297" s="227"/>
      <c r="I297" s="227"/>
      <c r="J297" s="227"/>
      <c r="K297" s="227"/>
      <c r="L297" s="227"/>
      <c r="M297" s="227"/>
      <c r="N297" s="227"/>
      <c r="O297" s="227"/>
      <c r="P297" s="227"/>
      <c r="Q297" s="227"/>
      <c r="R297" s="227"/>
    </row>
    <row r="298" spans="1:18">
      <c r="A298" s="2"/>
      <c r="B298" s="2"/>
      <c r="C298" s="120"/>
      <c r="D298" s="120"/>
      <c r="E298" s="118"/>
      <c r="F298" s="227"/>
      <c r="G298" s="227"/>
      <c r="H298" s="227"/>
      <c r="I298" s="227"/>
      <c r="J298" s="227"/>
      <c r="K298" s="227"/>
      <c r="L298" s="227"/>
      <c r="M298" s="227"/>
      <c r="N298" s="227"/>
      <c r="O298" s="227"/>
      <c r="P298" s="227"/>
      <c r="Q298" s="227"/>
      <c r="R298" s="227"/>
    </row>
    <row r="299" spans="1:18">
      <c r="A299" s="2"/>
      <c r="B299" s="2"/>
      <c r="C299" s="120"/>
      <c r="D299" s="120"/>
      <c r="E299" s="118"/>
      <c r="F299" s="227"/>
      <c r="G299" s="227"/>
      <c r="H299" s="227"/>
      <c r="I299" s="227"/>
      <c r="J299" s="227"/>
      <c r="K299" s="227"/>
      <c r="L299" s="227"/>
      <c r="M299" s="227"/>
      <c r="N299" s="227"/>
      <c r="O299" s="227"/>
      <c r="P299" s="227"/>
      <c r="Q299" s="227"/>
      <c r="R299" s="227"/>
    </row>
    <row r="300" spans="1:18">
      <c r="A300" s="2"/>
      <c r="B300" s="2"/>
      <c r="C300" s="120"/>
      <c r="D300" s="120"/>
      <c r="E300" s="118"/>
      <c r="F300" s="227"/>
      <c r="G300" s="227"/>
      <c r="H300" s="227"/>
      <c r="I300" s="227"/>
      <c r="J300" s="227"/>
      <c r="K300" s="227"/>
      <c r="L300" s="227"/>
      <c r="M300" s="227"/>
      <c r="N300" s="227"/>
      <c r="O300" s="227"/>
      <c r="P300" s="227"/>
      <c r="Q300" s="227"/>
      <c r="R300" s="227"/>
    </row>
    <row r="301" spans="1:18">
      <c r="A301" s="2"/>
      <c r="B301" s="2"/>
      <c r="C301" s="120"/>
      <c r="D301" s="120"/>
      <c r="E301" s="118"/>
      <c r="F301" s="227"/>
      <c r="G301" s="227"/>
      <c r="H301" s="227"/>
      <c r="I301" s="227"/>
      <c r="J301" s="227"/>
      <c r="K301" s="227"/>
      <c r="L301" s="227"/>
      <c r="M301" s="227"/>
      <c r="N301" s="227"/>
      <c r="O301" s="227"/>
      <c r="P301" s="227"/>
      <c r="Q301" s="227"/>
      <c r="R301" s="227"/>
    </row>
    <row r="302" spans="1:18">
      <c r="A302" s="2"/>
      <c r="B302" s="2"/>
      <c r="C302" s="120"/>
      <c r="D302" s="120"/>
      <c r="E302" s="118"/>
      <c r="F302" s="227"/>
      <c r="G302" s="227"/>
      <c r="H302" s="227"/>
      <c r="I302" s="227"/>
      <c r="J302" s="227"/>
      <c r="K302" s="227"/>
      <c r="L302" s="227"/>
      <c r="M302" s="227"/>
      <c r="N302" s="227"/>
      <c r="O302" s="227"/>
      <c r="P302" s="227"/>
      <c r="Q302" s="227"/>
      <c r="R302" s="227"/>
    </row>
    <row r="303" spans="1:18">
      <c r="A303" s="2"/>
      <c r="B303" s="2"/>
      <c r="C303" s="120"/>
      <c r="D303" s="120"/>
      <c r="E303" s="118"/>
      <c r="F303" s="227"/>
      <c r="G303" s="227"/>
      <c r="H303" s="227"/>
      <c r="I303" s="227"/>
      <c r="J303" s="227"/>
      <c r="K303" s="227"/>
      <c r="L303" s="227"/>
      <c r="M303" s="227"/>
      <c r="N303" s="227"/>
      <c r="O303" s="227"/>
      <c r="P303" s="227"/>
      <c r="Q303" s="227"/>
      <c r="R303" s="227"/>
    </row>
    <row r="304" spans="1:18">
      <c r="A304" s="2"/>
      <c r="B304" s="2"/>
      <c r="C304" s="120"/>
      <c r="D304" s="120"/>
      <c r="E304" s="118"/>
      <c r="F304" s="227"/>
      <c r="G304" s="227"/>
      <c r="H304" s="227"/>
      <c r="I304" s="227"/>
      <c r="J304" s="227"/>
      <c r="K304" s="227"/>
      <c r="L304" s="227"/>
      <c r="M304" s="227"/>
      <c r="N304" s="227"/>
      <c r="O304" s="227"/>
      <c r="P304" s="227"/>
      <c r="Q304" s="227"/>
      <c r="R304" s="227"/>
    </row>
    <row r="305" spans="1:18">
      <c r="A305" s="2"/>
      <c r="B305" s="2"/>
      <c r="C305" s="120"/>
      <c r="D305" s="120"/>
      <c r="E305" s="118"/>
      <c r="F305" s="227"/>
      <c r="G305" s="227"/>
      <c r="H305" s="227"/>
      <c r="I305" s="227"/>
      <c r="J305" s="227"/>
      <c r="K305" s="227"/>
      <c r="L305" s="227"/>
      <c r="M305" s="227"/>
      <c r="N305" s="227"/>
      <c r="O305" s="227"/>
      <c r="P305" s="227"/>
      <c r="Q305" s="227"/>
      <c r="R305" s="227"/>
    </row>
    <row r="306" spans="1:18">
      <c r="A306" s="2"/>
      <c r="B306" s="2"/>
      <c r="C306" s="120"/>
      <c r="D306" s="120"/>
      <c r="E306" s="118"/>
      <c r="F306" s="227"/>
      <c r="G306" s="227"/>
      <c r="H306" s="227"/>
      <c r="I306" s="227"/>
      <c r="J306" s="227"/>
      <c r="K306" s="227"/>
      <c r="L306" s="227"/>
      <c r="M306" s="227"/>
      <c r="N306" s="227"/>
      <c r="O306" s="227"/>
      <c r="P306" s="227"/>
      <c r="Q306" s="227"/>
      <c r="R306" s="227"/>
    </row>
    <row r="307" spans="1:18">
      <c r="A307" s="2"/>
      <c r="B307" s="2"/>
      <c r="C307" s="120"/>
      <c r="D307" s="120"/>
      <c r="E307" s="118"/>
      <c r="F307" s="227"/>
      <c r="G307" s="227"/>
      <c r="H307" s="227"/>
      <c r="I307" s="227"/>
      <c r="J307" s="227"/>
      <c r="K307" s="227"/>
      <c r="L307" s="227"/>
      <c r="M307" s="227"/>
      <c r="N307" s="227"/>
      <c r="O307" s="227"/>
      <c r="P307" s="227"/>
      <c r="Q307" s="227"/>
      <c r="R307" s="227"/>
    </row>
    <row r="308" spans="1:18">
      <c r="A308" s="2"/>
      <c r="B308" s="2"/>
      <c r="C308" s="120"/>
      <c r="D308" s="120"/>
      <c r="E308" s="118"/>
      <c r="F308" s="227"/>
      <c r="G308" s="227"/>
      <c r="H308" s="227"/>
      <c r="I308" s="227"/>
      <c r="J308" s="227"/>
      <c r="K308" s="227"/>
      <c r="L308" s="227"/>
      <c r="M308" s="227"/>
      <c r="N308" s="227"/>
      <c r="O308" s="227"/>
      <c r="P308" s="227"/>
      <c r="Q308" s="227"/>
      <c r="R308" s="227"/>
    </row>
    <row r="309" spans="1:18">
      <c r="A309" s="2"/>
      <c r="B309" s="2"/>
      <c r="C309" s="120"/>
      <c r="D309" s="120"/>
      <c r="E309" s="118"/>
      <c r="F309" s="227"/>
      <c r="G309" s="227"/>
      <c r="H309" s="227"/>
      <c r="I309" s="227"/>
      <c r="J309" s="227"/>
      <c r="K309" s="227"/>
      <c r="L309" s="227"/>
      <c r="M309" s="227"/>
      <c r="N309" s="227"/>
      <c r="O309" s="227"/>
      <c r="P309" s="227"/>
      <c r="Q309" s="227"/>
      <c r="R309" s="227"/>
    </row>
    <row r="310" spans="1:18">
      <c r="A310" s="2"/>
      <c r="B310" s="2"/>
      <c r="C310" s="120"/>
      <c r="D310" s="120"/>
      <c r="E310" s="118"/>
      <c r="F310" s="227"/>
      <c r="G310" s="227"/>
      <c r="H310" s="227"/>
      <c r="I310" s="227"/>
      <c r="J310" s="227"/>
      <c r="K310" s="227"/>
      <c r="L310" s="227"/>
      <c r="M310" s="227"/>
      <c r="N310" s="227"/>
      <c r="O310" s="227"/>
      <c r="P310" s="227"/>
      <c r="Q310" s="227"/>
      <c r="R310" s="227"/>
    </row>
    <row r="311" spans="1:18">
      <c r="A311" s="2"/>
      <c r="B311" s="2"/>
      <c r="C311" s="120"/>
      <c r="D311" s="120"/>
      <c r="E311" s="118"/>
      <c r="F311" s="227"/>
      <c r="G311" s="227"/>
      <c r="H311" s="227"/>
      <c r="I311" s="227"/>
      <c r="J311" s="227"/>
      <c r="K311" s="227"/>
      <c r="L311" s="227"/>
      <c r="M311" s="227"/>
      <c r="N311" s="227"/>
      <c r="O311" s="227"/>
      <c r="P311" s="227"/>
      <c r="Q311" s="227"/>
      <c r="R311" s="227"/>
    </row>
    <row r="312" spans="1:18">
      <c r="A312" s="2"/>
      <c r="B312" s="2"/>
      <c r="C312" s="120"/>
      <c r="D312" s="120"/>
      <c r="E312" s="118"/>
      <c r="F312" s="227"/>
      <c r="G312" s="227"/>
      <c r="H312" s="227"/>
      <c r="I312" s="227"/>
      <c r="J312" s="227"/>
      <c r="K312" s="227"/>
      <c r="L312" s="227"/>
      <c r="M312" s="227"/>
      <c r="N312" s="227"/>
      <c r="O312" s="227"/>
      <c r="P312" s="227"/>
      <c r="Q312" s="227"/>
      <c r="R312" s="227"/>
    </row>
    <row r="313" spans="1:18">
      <c r="A313" s="2"/>
      <c r="B313" s="2"/>
      <c r="C313" s="120"/>
      <c r="D313" s="120"/>
      <c r="E313" s="118"/>
      <c r="F313" s="227"/>
      <c r="G313" s="227"/>
      <c r="H313" s="227"/>
      <c r="I313" s="227"/>
      <c r="J313" s="227"/>
      <c r="K313" s="227"/>
      <c r="L313" s="227"/>
      <c r="M313" s="227"/>
      <c r="N313" s="227"/>
      <c r="O313" s="227"/>
      <c r="P313" s="227"/>
      <c r="Q313" s="227"/>
      <c r="R313" s="227"/>
    </row>
    <row r="314" spans="1:18">
      <c r="A314" s="2"/>
      <c r="B314" s="2"/>
      <c r="C314" s="120"/>
      <c r="D314" s="120"/>
      <c r="E314" s="118"/>
      <c r="F314" s="227"/>
      <c r="G314" s="227"/>
      <c r="H314" s="227"/>
      <c r="I314" s="227"/>
      <c r="J314" s="227"/>
      <c r="K314" s="227"/>
      <c r="L314" s="227"/>
      <c r="M314" s="227"/>
      <c r="N314" s="227"/>
      <c r="O314" s="227"/>
      <c r="P314" s="227"/>
      <c r="Q314" s="227"/>
      <c r="R314" s="227"/>
    </row>
    <row r="315" spans="1:18">
      <c r="A315" s="2"/>
      <c r="B315" s="2"/>
      <c r="C315" s="120"/>
      <c r="D315" s="120"/>
      <c r="E315" s="118"/>
      <c r="F315" s="227"/>
      <c r="G315" s="227"/>
      <c r="H315" s="227"/>
      <c r="I315" s="227"/>
      <c r="J315" s="227"/>
      <c r="K315" s="227"/>
      <c r="L315" s="227"/>
      <c r="M315" s="227"/>
      <c r="N315" s="227"/>
      <c r="O315" s="227"/>
      <c r="P315" s="227"/>
      <c r="Q315" s="227"/>
      <c r="R315" s="227"/>
    </row>
    <row r="316" spans="1:18">
      <c r="A316" s="2"/>
      <c r="B316" s="2"/>
      <c r="C316" s="120"/>
      <c r="D316" s="120"/>
      <c r="E316" s="118"/>
      <c r="F316" s="227"/>
      <c r="G316" s="227"/>
      <c r="H316" s="227"/>
      <c r="I316" s="227"/>
      <c r="J316" s="227"/>
      <c r="K316" s="227"/>
      <c r="L316" s="227"/>
      <c r="M316" s="227"/>
      <c r="N316" s="227"/>
      <c r="O316" s="227"/>
      <c r="P316" s="227"/>
      <c r="Q316" s="227"/>
      <c r="R316" s="227"/>
    </row>
    <row r="317" spans="1:18">
      <c r="A317" s="2"/>
      <c r="B317" s="2"/>
      <c r="C317" s="120"/>
      <c r="D317" s="120"/>
      <c r="E317" s="118"/>
      <c r="F317" s="227"/>
      <c r="G317" s="227"/>
      <c r="H317" s="227"/>
      <c r="I317" s="227"/>
      <c r="J317" s="227"/>
      <c r="K317" s="227"/>
      <c r="L317" s="227"/>
      <c r="M317" s="227"/>
      <c r="N317" s="227"/>
      <c r="O317" s="227"/>
      <c r="P317" s="227"/>
      <c r="Q317" s="227"/>
      <c r="R317" s="227"/>
    </row>
    <row r="318" spans="1:18">
      <c r="A318" s="2"/>
      <c r="B318" s="2"/>
      <c r="C318" s="120"/>
      <c r="D318" s="120"/>
      <c r="E318" s="118"/>
      <c r="F318" s="227"/>
      <c r="G318" s="227"/>
      <c r="H318" s="227"/>
      <c r="I318" s="227"/>
      <c r="J318" s="227"/>
      <c r="K318" s="227"/>
      <c r="L318" s="227"/>
      <c r="M318" s="227"/>
      <c r="N318" s="227"/>
      <c r="O318" s="227"/>
      <c r="P318" s="227"/>
      <c r="Q318" s="227"/>
      <c r="R318" s="227"/>
    </row>
    <row r="319" spans="1:18">
      <c r="A319" s="2"/>
      <c r="B319" s="2"/>
      <c r="C319" s="120"/>
      <c r="D319" s="120"/>
      <c r="E319" s="118"/>
      <c r="F319" s="227"/>
      <c r="G319" s="227"/>
      <c r="H319" s="227"/>
      <c r="I319" s="227"/>
      <c r="J319" s="227"/>
      <c r="K319" s="227"/>
      <c r="L319" s="227"/>
      <c r="M319" s="227"/>
      <c r="N319" s="227"/>
      <c r="O319" s="227"/>
      <c r="P319" s="227"/>
      <c r="Q319" s="227"/>
      <c r="R319" s="227"/>
    </row>
    <row r="320" spans="1:18">
      <c r="A320" s="2"/>
      <c r="B320" s="2"/>
      <c r="C320" s="120"/>
      <c r="D320" s="120"/>
      <c r="E320" s="118"/>
      <c r="F320" s="227"/>
      <c r="G320" s="227"/>
      <c r="H320" s="227"/>
      <c r="I320" s="227"/>
      <c r="J320" s="227"/>
      <c r="K320" s="227"/>
      <c r="L320" s="227"/>
      <c r="M320" s="227"/>
      <c r="N320" s="227"/>
      <c r="O320" s="227"/>
      <c r="P320" s="227"/>
      <c r="Q320" s="227"/>
      <c r="R320" s="227"/>
    </row>
    <row r="321" spans="1:18">
      <c r="A321" s="2"/>
      <c r="B321" s="2"/>
      <c r="C321" s="120"/>
      <c r="D321" s="120"/>
      <c r="E321" s="118"/>
      <c r="F321" s="227"/>
      <c r="G321" s="227"/>
      <c r="H321" s="227"/>
      <c r="I321" s="227"/>
      <c r="J321" s="227"/>
      <c r="K321" s="227"/>
      <c r="L321" s="227"/>
      <c r="M321" s="227"/>
      <c r="N321" s="227"/>
      <c r="O321" s="227"/>
      <c r="P321" s="227"/>
      <c r="Q321" s="227"/>
      <c r="R321" s="227"/>
    </row>
    <row r="322" spans="1:18">
      <c r="A322" s="2"/>
      <c r="B322" s="2"/>
      <c r="C322" s="120"/>
      <c r="D322" s="120"/>
      <c r="E322" s="118"/>
      <c r="F322" s="227"/>
      <c r="G322" s="227"/>
      <c r="H322" s="227"/>
      <c r="I322" s="227"/>
      <c r="J322" s="227"/>
      <c r="K322" s="227"/>
      <c r="L322" s="227"/>
      <c r="M322" s="227"/>
      <c r="N322" s="227"/>
      <c r="O322" s="227"/>
      <c r="P322" s="227"/>
      <c r="Q322" s="227"/>
      <c r="R322" s="227"/>
    </row>
    <row r="323" spans="1:18">
      <c r="A323" s="2"/>
      <c r="B323" s="2"/>
      <c r="C323" s="120"/>
      <c r="D323" s="120"/>
      <c r="E323" s="118"/>
      <c r="F323" s="227"/>
      <c r="G323" s="227"/>
      <c r="H323" s="227"/>
      <c r="I323" s="227"/>
      <c r="J323" s="227"/>
      <c r="K323" s="227"/>
      <c r="L323" s="227"/>
      <c r="M323" s="227"/>
      <c r="N323" s="227"/>
      <c r="O323" s="227"/>
      <c r="P323" s="227"/>
      <c r="Q323" s="227"/>
      <c r="R323" s="227"/>
    </row>
    <row r="324" spans="1:18">
      <c r="A324" s="2"/>
      <c r="B324" s="2"/>
      <c r="C324" s="120"/>
      <c r="D324" s="120"/>
      <c r="E324" s="118"/>
      <c r="F324" s="227"/>
      <c r="G324" s="227"/>
      <c r="H324" s="227"/>
      <c r="I324" s="227"/>
      <c r="J324" s="227"/>
      <c r="K324" s="227"/>
      <c r="L324" s="227"/>
      <c r="M324" s="227"/>
      <c r="N324" s="227"/>
      <c r="O324" s="227"/>
      <c r="P324" s="227"/>
      <c r="Q324" s="227"/>
      <c r="R324" s="227"/>
    </row>
    <row r="325" spans="1:18">
      <c r="A325" s="2"/>
      <c r="B325" s="2"/>
      <c r="C325" s="120"/>
      <c r="D325" s="120"/>
      <c r="E325" s="118"/>
      <c r="F325" s="227"/>
      <c r="G325" s="227"/>
      <c r="H325" s="227"/>
      <c r="I325" s="227"/>
      <c r="J325" s="227"/>
      <c r="K325" s="227"/>
      <c r="L325" s="227"/>
      <c r="M325" s="227"/>
      <c r="N325" s="227"/>
      <c r="O325" s="227"/>
      <c r="P325" s="227"/>
      <c r="Q325" s="227"/>
      <c r="R325" s="227"/>
    </row>
    <row r="326" spans="1:18">
      <c r="A326" s="2"/>
      <c r="B326" s="2"/>
      <c r="C326" s="120"/>
      <c r="D326" s="120"/>
      <c r="E326" s="118"/>
      <c r="F326" s="227"/>
      <c r="G326" s="227"/>
      <c r="H326" s="227"/>
      <c r="I326" s="227"/>
      <c r="J326" s="227"/>
      <c r="K326" s="227"/>
      <c r="L326" s="227"/>
      <c r="M326" s="227"/>
      <c r="N326" s="227"/>
      <c r="O326" s="227"/>
      <c r="P326" s="227"/>
      <c r="Q326" s="227"/>
      <c r="R326" s="227"/>
    </row>
    <row r="327" spans="1:18">
      <c r="A327" s="2"/>
      <c r="B327" s="2"/>
      <c r="C327" s="120"/>
      <c r="D327" s="120"/>
      <c r="E327" s="118"/>
      <c r="F327" s="227"/>
      <c r="G327" s="227"/>
      <c r="H327" s="227"/>
      <c r="I327" s="227"/>
      <c r="J327" s="227"/>
      <c r="K327" s="227"/>
      <c r="L327" s="227"/>
      <c r="M327" s="227"/>
      <c r="N327" s="227"/>
      <c r="O327" s="227"/>
      <c r="P327" s="227"/>
      <c r="Q327" s="227"/>
      <c r="R327" s="227"/>
    </row>
    <row r="328" spans="1:18">
      <c r="A328" s="2"/>
      <c r="B328" s="2"/>
      <c r="C328" s="120"/>
      <c r="D328" s="120"/>
      <c r="E328" s="118"/>
      <c r="F328" s="227"/>
      <c r="G328" s="227"/>
      <c r="H328" s="227"/>
      <c r="I328" s="227"/>
      <c r="J328" s="227"/>
      <c r="K328" s="227"/>
      <c r="L328" s="227"/>
      <c r="M328" s="227"/>
      <c r="N328" s="227"/>
      <c r="O328" s="227"/>
      <c r="P328" s="227"/>
      <c r="Q328" s="227"/>
      <c r="R328" s="227"/>
    </row>
    <row r="329" spans="1:18">
      <c r="A329" s="2"/>
      <c r="B329" s="2"/>
      <c r="C329" s="120"/>
      <c r="D329" s="120"/>
      <c r="E329" s="118"/>
      <c r="F329" s="227"/>
      <c r="G329" s="227"/>
      <c r="H329" s="227"/>
      <c r="I329" s="227"/>
      <c r="J329" s="227"/>
      <c r="K329" s="227"/>
      <c r="L329" s="227"/>
      <c r="M329" s="227"/>
      <c r="N329" s="227"/>
      <c r="O329" s="227"/>
      <c r="P329" s="227"/>
      <c r="Q329" s="227"/>
      <c r="R329" s="227"/>
    </row>
    <row r="330" spans="1:18">
      <c r="A330" s="2"/>
      <c r="B330" s="2"/>
      <c r="C330" s="120"/>
      <c r="D330" s="120"/>
      <c r="E330" s="118"/>
      <c r="F330" s="227"/>
      <c r="G330" s="227"/>
      <c r="H330" s="227"/>
      <c r="I330" s="227"/>
      <c r="J330" s="227"/>
      <c r="K330" s="227"/>
      <c r="L330" s="227"/>
      <c r="M330" s="227"/>
      <c r="N330" s="227"/>
      <c r="O330" s="227"/>
      <c r="P330" s="227"/>
      <c r="Q330" s="227"/>
      <c r="R330" s="227"/>
    </row>
    <row r="331" spans="1:18">
      <c r="A331" s="2"/>
      <c r="B331" s="2"/>
      <c r="C331" s="120"/>
      <c r="D331" s="120"/>
      <c r="E331" s="118"/>
      <c r="F331" s="227"/>
      <c r="G331" s="227"/>
      <c r="H331" s="227"/>
      <c r="I331" s="227"/>
      <c r="J331" s="227"/>
      <c r="K331" s="227"/>
      <c r="L331" s="227"/>
      <c r="M331" s="227"/>
      <c r="N331" s="227"/>
      <c r="O331" s="227"/>
      <c r="P331" s="227"/>
      <c r="Q331" s="227"/>
      <c r="R331" s="227"/>
    </row>
    <row r="332" spans="1:18">
      <c r="A332" s="2"/>
      <c r="B332" s="2"/>
      <c r="C332" s="120"/>
      <c r="D332" s="120"/>
      <c r="E332" s="118"/>
      <c r="F332" s="227"/>
      <c r="G332" s="227"/>
      <c r="H332" s="227"/>
      <c r="I332" s="227"/>
      <c r="J332" s="227"/>
      <c r="K332" s="227"/>
      <c r="L332" s="227"/>
      <c r="M332" s="227"/>
      <c r="N332" s="227"/>
      <c r="O332" s="227"/>
      <c r="P332" s="227"/>
      <c r="Q332" s="227"/>
      <c r="R332" s="227"/>
    </row>
    <row r="333" spans="1:18">
      <c r="A333" s="2"/>
      <c r="B333" s="2"/>
      <c r="C333" s="120"/>
      <c r="D333" s="120"/>
      <c r="E333" s="118"/>
      <c r="F333" s="227"/>
      <c r="G333" s="227"/>
      <c r="H333" s="227"/>
      <c r="I333" s="227"/>
      <c r="J333" s="227"/>
      <c r="K333" s="227"/>
      <c r="L333" s="227"/>
      <c r="M333" s="227"/>
      <c r="N333" s="227"/>
      <c r="O333" s="227"/>
      <c r="P333" s="227"/>
      <c r="Q333" s="227"/>
      <c r="R333" s="227"/>
    </row>
    <row r="334" spans="1:18">
      <c r="A334" s="2"/>
      <c r="B334" s="2"/>
      <c r="C334" s="120"/>
      <c r="D334" s="120"/>
      <c r="E334" s="118"/>
      <c r="F334" s="227"/>
      <c r="G334" s="227"/>
      <c r="H334" s="227"/>
      <c r="I334" s="227"/>
      <c r="J334" s="227"/>
      <c r="K334" s="227"/>
      <c r="L334" s="227"/>
      <c r="M334" s="227"/>
      <c r="N334" s="227"/>
      <c r="O334" s="227"/>
      <c r="P334" s="227"/>
      <c r="Q334" s="227"/>
      <c r="R334" s="227"/>
    </row>
    <row r="335" spans="1:18">
      <c r="A335" s="2"/>
      <c r="B335" s="2"/>
      <c r="C335" s="120"/>
      <c r="D335" s="120"/>
      <c r="E335" s="118"/>
      <c r="F335" s="227"/>
      <c r="G335" s="227"/>
      <c r="H335" s="227"/>
      <c r="I335" s="227"/>
      <c r="J335" s="227"/>
      <c r="K335" s="227"/>
      <c r="L335" s="227"/>
      <c r="M335" s="227"/>
      <c r="N335" s="227"/>
      <c r="O335" s="227"/>
      <c r="P335" s="227"/>
      <c r="Q335" s="227"/>
      <c r="R335" s="227"/>
    </row>
    <row r="336" spans="1:18">
      <c r="A336" s="2"/>
      <c r="B336" s="2"/>
      <c r="C336" s="120"/>
      <c r="D336" s="120"/>
      <c r="E336" s="118"/>
      <c r="F336" s="227"/>
      <c r="G336" s="227"/>
      <c r="H336" s="227"/>
      <c r="I336" s="227"/>
      <c r="J336" s="227"/>
      <c r="K336" s="227"/>
      <c r="L336" s="227"/>
      <c r="M336" s="227"/>
      <c r="N336" s="227"/>
      <c r="O336" s="227"/>
      <c r="P336" s="227"/>
      <c r="Q336" s="227"/>
      <c r="R336" s="227"/>
    </row>
    <row r="337" spans="1:18">
      <c r="A337" s="2"/>
      <c r="B337" s="2"/>
      <c r="C337" s="120"/>
      <c r="D337" s="120"/>
      <c r="E337" s="118"/>
      <c r="F337" s="227"/>
      <c r="G337" s="227"/>
      <c r="H337" s="227"/>
      <c r="I337" s="227"/>
      <c r="J337" s="227"/>
      <c r="K337" s="227"/>
      <c r="L337" s="227"/>
      <c r="M337" s="227"/>
      <c r="N337" s="227"/>
      <c r="O337" s="227"/>
      <c r="P337" s="227"/>
      <c r="Q337" s="227"/>
      <c r="R337" s="227"/>
    </row>
    <row r="338" spans="1:18">
      <c r="A338" s="2"/>
      <c r="B338" s="2"/>
      <c r="C338" s="120"/>
      <c r="D338" s="120"/>
      <c r="E338" s="118"/>
      <c r="F338" s="227"/>
      <c r="G338" s="227"/>
      <c r="H338" s="227"/>
      <c r="I338" s="227"/>
      <c r="J338" s="227"/>
      <c r="K338" s="227"/>
      <c r="L338" s="227"/>
      <c r="M338" s="227"/>
      <c r="N338" s="227"/>
      <c r="O338" s="227"/>
      <c r="P338" s="227"/>
      <c r="Q338" s="227"/>
      <c r="R338" s="227"/>
    </row>
    <row r="339" spans="1:18">
      <c r="A339" s="2"/>
      <c r="B339" s="2"/>
      <c r="C339" s="120"/>
      <c r="D339" s="120"/>
      <c r="E339" s="118"/>
      <c r="F339" s="227"/>
      <c r="G339" s="227"/>
      <c r="H339" s="227"/>
      <c r="I339" s="227"/>
      <c r="J339" s="227"/>
      <c r="K339" s="227"/>
      <c r="L339" s="227"/>
      <c r="M339" s="227"/>
      <c r="N339" s="227"/>
      <c r="O339" s="227"/>
      <c r="P339" s="227"/>
      <c r="Q339" s="227"/>
      <c r="R339" s="227"/>
    </row>
    <row r="340" spans="1:18">
      <c r="A340" s="2"/>
      <c r="B340" s="2"/>
      <c r="C340" s="120"/>
      <c r="D340" s="120"/>
      <c r="E340" s="118"/>
      <c r="F340" s="227"/>
      <c r="G340" s="227"/>
      <c r="H340" s="227"/>
      <c r="I340" s="227"/>
      <c r="J340" s="227"/>
      <c r="K340" s="227"/>
      <c r="L340" s="227"/>
      <c r="M340" s="227"/>
      <c r="N340" s="227"/>
      <c r="O340" s="227"/>
      <c r="P340" s="227"/>
      <c r="Q340" s="227"/>
      <c r="R340" s="227"/>
    </row>
    <row r="341" spans="1:18">
      <c r="A341" s="2"/>
      <c r="B341" s="2"/>
      <c r="C341" s="120"/>
      <c r="D341" s="120"/>
      <c r="E341" s="118"/>
      <c r="F341" s="227"/>
      <c r="G341" s="227"/>
      <c r="H341" s="227"/>
      <c r="I341" s="227"/>
      <c r="J341" s="227"/>
      <c r="K341" s="227"/>
      <c r="L341" s="227"/>
      <c r="M341" s="227"/>
      <c r="N341" s="227"/>
      <c r="O341" s="227"/>
      <c r="P341" s="227"/>
      <c r="Q341" s="227"/>
      <c r="R341" s="227"/>
    </row>
    <row r="342" spans="1:18">
      <c r="A342" s="2"/>
      <c r="B342" s="2"/>
      <c r="C342" s="120"/>
      <c r="D342" s="120"/>
      <c r="E342" s="118"/>
      <c r="F342" s="227"/>
      <c r="G342" s="227"/>
      <c r="H342" s="227"/>
      <c r="I342" s="227"/>
      <c r="J342" s="227"/>
      <c r="K342" s="227"/>
      <c r="L342" s="227"/>
      <c r="M342" s="227"/>
      <c r="N342" s="227"/>
      <c r="O342" s="227"/>
      <c r="P342" s="227"/>
      <c r="Q342" s="227"/>
      <c r="R342" s="227"/>
    </row>
    <row r="343" spans="1:18">
      <c r="A343" s="2"/>
      <c r="B343" s="2"/>
      <c r="C343" s="120"/>
      <c r="D343" s="120"/>
      <c r="E343" s="118"/>
      <c r="F343" s="227"/>
      <c r="G343" s="227"/>
      <c r="H343" s="227"/>
      <c r="I343" s="227"/>
      <c r="J343" s="227"/>
      <c r="K343" s="227"/>
      <c r="L343" s="227"/>
      <c r="M343" s="227"/>
      <c r="N343" s="227"/>
      <c r="O343" s="227"/>
      <c r="P343" s="227"/>
      <c r="Q343" s="227"/>
      <c r="R343" s="227"/>
    </row>
    <row r="344" spans="1:18">
      <c r="A344" s="2"/>
      <c r="B344" s="2"/>
      <c r="C344" s="120"/>
      <c r="D344" s="120"/>
      <c r="E344" s="118"/>
      <c r="F344" s="227"/>
      <c r="G344" s="227"/>
      <c r="H344" s="227"/>
      <c r="I344" s="227"/>
      <c r="J344" s="227"/>
      <c r="K344" s="227"/>
      <c r="L344" s="227"/>
      <c r="M344" s="227"/>
      <c r="N344" s="227"/>
      <c r="O344" s="227"/>
      <c r="P344" s="227"/>
      <c r="Q344" s="227"/>
      <c r="R344" s="227"/>
    </row>
    <row r="345" spans="1:18">
      <c r="A345" s="2"/>
      <c r="B345" s="2"/>
      <c r="C345" s="120"/>
      <c r="D345" s="120"/>
      <c r="E345" s="118"/>
      <c r="F345" s="227"/>
      <c r="G345" s="227"/>
      <c r="H345" s="227"/>
      <c r="I345" s="227"/>
      <c r="J345" s="227"/>
      <c r="K345" s="227"/>
      <c r="L345" s="227"/>
      <c r="M345" s="227"/>
      <c r="N345" s="227"/>
      <c r="O345" s="227"/>
      <c r="P345" s="227"/>
      <c r="Q345" s="227"/>
      <c r="R345" s="227"/>
    </row>
    <row r="346" spans="1:18">
      <c r="A346" s="2"/>
      <c r="B346" s="2"/>
      <c r="C346" s="120"/>
      <c r="D346" s="120"/>
      <c r="E346" s="118"/>
      <c r="F346" s="227"/>
      <c r="G346" s="227"/>
      <c r="H346" s="227"/>
      <c r="I346" s="227"/>
      <c r="J346" s="227"/>
      <c r="K346" s="227"/>
      <c r="L346" s="227"/>
      <c r="M346" s="227"/>
      <c r="N346" s="227"/>
      <c r="O346" s="227"/>
      <c r="P346" s="227"/>
      <c r="Q346" s="227"/>
      <c r="R346" s="227"/>
    </row>
    <row r="347" spans="1:18">
      <c r="A347" s="2"/>
      <c r="B347" s="2"/>
      <c r="C347" s="120"/>
      <c r="D347" s="120"/>
      <c r="E347" s="118"/>
      <c r="F347" s="227"/>
      <c r="G347" s="227"/>
      <c r="H347" s="227"/>
      <c r="I347" s="227"/>
      <c r="J347" s="227"/>
      <c r="K347" s="227"/>
      <c r="L347" s="227"/>
      <c r="M347" s="227"/>
      <c r="N347" s="227"/>
      <c r="O347" s="227"/>
      <c r="P347" s="227"/>
      <c r="Q347" s="227"/>
      <c r="R347" s="227"/>
    </row>
    <row r="348" spans="1:18">
      <c r="A348" s="2"/>
      <c r="B348" s="2"/>
      <c r="C348" s="120"/>
      <c r="D348" s="120"/>
      <c r="E348" s="118"/>
      <c r="F348" s="227"/>
      <c r="G348" s="227"/>
      <c r="H348" s="227"/>
      <c r="I348" s="227"/>
      <c r="J348" s="227"/>
      <c r="K348" s="227"/>
      <c r="L348" s="227"/>
      <c r="M348" s="227"/>
      <c r="N348" s="227"/>
      <c r="O348" s="227"/>
      <c r="P348" s="227"/>
      <c r="Q348" s="227"/>
      <c r="R348" s="227"/>
    </row>
    <row r="349" spans="1:18">
      <c r="A349" s="2"/>
      <c r="B349" s="2"/>
      <c r="C349" s="120"/>
      <c r="D349" s="120"/>
      <c r="E349" s="118"/>
      <c r="F349" s="227"/>
      <c r="G349" s="227"/>
      <c r="H349" s="227"/>
      <c r="I349" s="227"/>
      <c r="J349" s="227"/>
      <c r="K349" s="227"/>
      <c r="L349" s="227"/>
      <c r="M349" s="227"/>
      <c r="N349" s="227"/>
      <c r="O349" s="227"/>
      <c r="P349" s="227"/>
      <c r="Q349" s="227"/>
      <c r="R349" s="227"/>
    </row>
    <row r="350" spans="1:18">
      <c r="A350" s="2"/>
      <c r="B350" s="2"/>
      <c r="C350" s="120"/>
      <c r="D350" s="120"/>
      <c r="E350" s="118"/>
      <c r="F350" s="227"/>
      <c r="G350" s="227"/>
      <c r="H350" s="227"/>
      <c r="I350" s="227"/>
      <c r="J350" s="227"/>
      <c r="K350" s="227"/>
      <c r="L350" s="227"/>
      <c r="M350" s="227"/>
      <c r="N350" s="227"/>
      <c r="O350" s="227"/>
      <c r="P350" s="227"/>
      <c r="Q350" s="227"/>
      <c r="R350" s="227"/>
    </row>
    <row r="351" spans="1:18">
      <c r="A351" s="2"/>
      <c r="B351" s="2"/>
      <c r="C351" s="120"/>
      <c r="D351" s="120"/>
      <c r="E351" s="118"/>
      <c r="F351" s="227"/>
      <c r="G351" s="227"/>
      <c r="H351" s="227"/>
      <c r="I351" s="227"/>
      <c r="J351" s="227"/>
      <c r="K351" s="227"/>
      <c r="L351" s="227"/>
      <c r="M351" s="227"/>
      <c r="N351" s="227"/>
      <c r="O351" s="227"/>
      <c r="P351" s="227"/>
      <c r="Q351" s="227"/>
      <c r="R351" s="227"/>
    </row>
    <row r="352" spans="1:18">
      <c r="A352" s="2"/>
      <c r="B352" s="2"/>
      <c r="C352" s="120"/>
      <c r="D352" s="120"/>
      <c r="E352" s="118"/>
      <c r="F352" s="227"/>
      <c r="G352" s="227"/>
      <c r="H352" s="227"/>
      <c r="I352" s="227"/>
      <c r="J352" s="227"/>
      <c r="K352" s="227"/>
      <c r="L352" s="227"/>
      <c r="M352" s="227"/>
      <c r="N352" s="227"/>
      <c r="O352" s="227"/>
      <c r="P352" s="227"/>
      <c r="Q352" s="227"/>
      <c r="R352" s="227"/>
    </row>
    <row r="353" spans="1:18">
      <c r="A353" s="2"/>
      <c r="B353" s="2"/>
      <c r="C353" s="120"/>
      <c r="D353" s="120"/>
      <c r="E353" s="118"/>
      <c r="F353" s="227"/>
      <c r="G353" s="227"/>
      <c r="H353" s="227"/>
      <c r="I353" s="227"/>
      <c r="J353" s="227"/>
      <c r="K353" s="227"/>
      <c r="L353" s="227"/>
      <c r="M353" s="227"/>
      <c r="N353" s="227"/>
      <c r="O353" s="227"/>
      <c r="P353" s="227"/>
      <c r="Q353" s="227"/>
      <c r="R353" s="227"/>
    </row>
    <row r="354" spans="1:18">
      <c r="A354" s="2"/>
      <c r="B354" s="2"/>
      <c r="C354" s="120"/>
      <c r="D354" s="120"/>
      <c r="E354" s="118"/>
      <c r="F354" s="227"/>
      <c r="G354" s="227"/>
      <c r="H354" s="227"/>
      <c r="I354" s="227"/>
      <c r="J354" s="227"/>
      <c r="K354" s="227"/>
      <c r="L354" s="227"/>
      <c r="M354" s="227"/>
      <c r="N354" s="227"/>
      <c r="O354" s="227"/>
      <c r="P354" s="227"/>
      <c r="Q354" s="227"/>
      <c r="R354" s="227"/>
    </row>
    <row r="355" spans="1:18">
      <c r="A355" s="2"/>
      <c r="B355" s="2"/>
      <c r="C355" s="120"/>
      <c r="D355" s="120"/>
      <c r="E355" s="118"/>
      <c r="F355" s="227"/>
      <c r="G355" s="227"/>
      <c r="H355" s="227"/>
      <c r="I355" s="227"/>
      <c r="J355" s="227"/>
      <c r="K355" s="227"/>
      <c r="L355" s="227"/>
      <c r="M355" s="227"/>
      <c r="N355" s="227"/>
      <c r="O355" s="227"/>
      <c r="P355" s="227"/>
      <c r="Q355" s="227"/>
      <c r="R355" s="227"/>
    </row>
    <row r="356" spans="1:18">
      <c r="A356" s="2"/>
      <c r="B356" s="2"/>
      <c r="C356" s="120"/>
      <c r="D356" s="120"/>
      <c r="E356" s="118"/>
      <c r="F356" s="227"/>
      <c r="G356" s="227"/>
      <c r="H356" s="227"/>
      <c r="I356" s="227"/>
      <c r="J356" s="227"/>
      <c r="K356" s="227"/>
      <c r="L356" s="227"/>
      <c r="M356" s="227"/>
      <c r="N356" s="227"/>
      <c r="O356" s="227"/>
      <c r="P356" s="227"/>
      <c r="Q356" s="227"/>
      <c r="R356" s="227"/>
    </row>
    <row r="357" spans="1:18">
      <c r="A357" s="2"/>
      <c r="B357" s="2"/>
      <c r="C357" s="120"/>
      <c r="D357" s="120"/>
      <c r="E357" s="118"/>
      <c r="F357" s="227"/>
      <c r="G357" s="227"/>
      <c r="H357" s="227"/>
      <c r="I357" s="227"/>
      <c r="J357" s="227"/>
      <c r="K357" s="227"/>
      <c r="L357" s="227"/>
      <c r="M357" s="227"/>
      <c r="N357" s="227"/>
      <c r="O357" s="227"/>
      <c r="P357" s="227"/>
      <c r="Q357" s="227"/>
      <c r="R357" s="227"/>
    </row>
    <row r="358" spans="1:18">
      <c r="A358" s="2"/>
      <c r="B358" s="2"/>
      <c r="C358" s="120"/>
      <c r="D358" s="120"/>
      <c r="E358" s="118"/>
      <c r="F358" s="227"/>
      <c r="G358" s="227"/>
      <c r="H358" s="227"/>
      <c r="I358" s="227"/>
      <c r="J358" s="227"/>
      <c r="K358" s="227"/>
      <c r="L358" s="227"/>
      <c r="M358" s="227"/>
      <c r="N358" s="227"/>
      <c r="O358" s="227"/>
      <c r="P358" s="227"/>
      <c r="Q358" s="227"/>
      <c r="R358" s="227"/>
    </row>
    <row r="359" spans="1:18">
      <c r="A359" s="2"/>
      <c r="B359" s="2"/>
      <c r="C359" s="120"/>
      <c r="D359" s="120"/>
      <c r="E359" s="118"/>
      <c r="F359" s="227"/>
      <c r="G359" s="227"/>
      <c r="H359" s="227"/>
      <c r="I359" s="227"/>
      <c r="J359" s="227"/>
      <c r="K359" s="227"/>
      <c r="L359" s="227"/>
      <c r="M359" s="227"/>
      <c r="N359" s="227"/>
      <c r="O359" s="227"/>
      <c r="P359" s="227"/>
      <c r="Q359" s="227"/>
      <c r="R359" s="227"/>
    </row>
    <row r="360" spans="1:18">
      <c r="A360" s="2"/>
      <c r="B360" s="2"/>
      <c r="C360" s="120"/>
      <c r="D360" s="120"/>
      <c r="E360" s="118"/>
      <c r="F360" s="227"/>
      <c r="G360" s="227"/>
      <c r="H360" s="227"/>
      <c r="I360" s="227"/>
      <c r="J360" s="227"/>
      <c r="K360" s="227"/>
      <c r="L360" s="227"/>
      <c r="M360" s="227"/>
      <c r="N360" s="227"/>
      <c r="O360" s="227"/>
      <c r="P360" s="227"/>
      <c r="Q360" s="227"/>
      <c r="R360" s="227"/>
    </row>
    <row r="361" spans="1:18">
      <c r="A361" s="2"/>
      <c r="B361" s="2"/>
      <c r="C361" s="120"/>
      <c r="D361" s="120"/>
      <c r="E361" s="118"/>
      <c r="F361" s="227"/>
      <c r="G361" s="227"/>
      <c r="H361" s="227"/>
      <c r="I361" s="227"/>
      <c r="J361" s="227"/>
      <c r="K361" s="227"/>
      <c r="L361" s="227"/>
      <c r="M361" s="227"/>
      <c r="N361" s="227"/>
      <c r="O361" s="227"/>
      <c r="P361" s="227"/>
      <c r="Q361" s="227"/>
      <c r="R361" s="227"/>
    </row>
    <row r="362" spans="1:18">
      <c r="A362" s="2"/>
      <c r="B362" s="2"/>
      <c r="C362" s="120"/>
      <c r="D362" s="120"/>
      <c r="E362" s="118"/>
      <c r="F362" s="227"/>
      <c r="G362" s="227"/>
      <c r="H362" s="227"/>
      <c r="I362" s="227"/>
      <c r="J362" s="227"/>
      <c r="K362" s="227"/>
      <c r="L362" s="227"/>
      <c r="M362" s="227"/>
      <c r="N362" s="227"/>
      <c r="O362" s="227"/>
      <c r="P362" s="227"/>
      <c r="Q362" s="227"/>
      <c r="R362" s="227"/>
    </row>
    <row r="363" spans="1:18">
      <c r="A363" s="2"/>
      <c r="B363" s="2"/>
      <c r="C363" s="120"/>
      <c r="D363" s="120"/>
      <c r="E363" s="118"/>
      <c r="F363" s="227"/>
      <c r="G363" s="227"/>
      <c r="H363" s="227"/>
      <c r="I363" s="227"/>
      <c r="J363" s="227"/>
      <c r="K363" s="227"/>
      <c r="L363" s="227"/>
      <c r="M363" s="227"/>
      <c r="N363" s="227"/>
      <c r="O363" s="227"/>
      <c r="P363" s="227"/>
      <c r="Q363" s="227"/>
      <c r="R363" s="227"/>
    </row>
    <row r="364" spans="1:18">
      <c r="A364" s="2"/>
      <c r="B364" s="2"/>
      <c r="C364" s="120"/>
      <c r="D364" s="120"/>
      <c r="E364" s="118"/>
      <c r="F364" s="227"/>
      <c r="G364" s="227"/>
      <c r="H364" s="227"/>
      <c r="I364" s="227"/>
      <c r="J364" s="227"/>
      <c r="K364" s="227"/>
      <c r="L364" s="227"/>
      <c r="M364" s="227"/>
      <c r="N364" s="227"/>
      <c r="O364" s="227"/>
      <c r="P364" s="227"/>
      <c r="Q364" s="227"/>
      <c r="R364" s="227"/>
    </row>
    <row r="365" spans="1:18">
      <c r="A365" s="2"/>
      <c r="B365" s="2"/>
      <c r="C365" s="120"/>
      <c r="D365" s="120"/>
      <c r="E365" s="118"/>
      <c r="F365" s="227"/>
      <c r="G365" s="227"/>
      <c r="H365" s="227"/>
      <c r="I365" s="227"/>
      <c r="J365" s="227"/>
      <c r="K365" s="227"/>
      <c r="L365" s="227"/>
      <c r="M365" s="227"/>
      <c r="N365" s="227"/>
      <c r="O365" s="227"/>
      <c r="P365" s="227"/>
      <c r="Q365" s="227"/>
      <c r="R365" s="227"/>
    </row>
    <row r="366" spans="1:18">
      <c r="A366" s="2"/>
      <c r="B366" s="2"/>
      <c r="C366" s="120"/>
      <c r="D366" s="120"/>
      <c r="E366" s="118"/>
      <c r="F366" s="227"/>
      <c r="G366" s="227"/>
      <c r="H366" s="227"/>
      <c r="I366" s="227"/>
      <c r="J366" s="227"/>
      <c r="K366" s="227"/>
      <c r="L366" s="227"/>
      <c r="M366" s="227"/>
      <c r="N366" s="227"/>
      <c r="O366" s="227"/>
      <c r="P366" s="227"/>
      <c r="Q366" s="227"/>
      <c r="R366" s="227"/>
    </row>
    <row r="367" spans="1:18">
      <c r="A367" s="2"/>
      <c r="B367" s="2"/>
      <c r="C367" s="120"/>
      <c r="D367" s="120"/>
      <c r="E367" s="118"/>
      <c r="F367" s="227"/>
      <c r="G367" s="227"/>
      <c r="H367" s="227"/>
      <c r="I367" s="227"/>
      <c r="J367" s="227"/>
      <c r="K367" s="227"/>
      <c r="L367" s="227"/>
      <c r="M367" s="227"/>
      <c r="N367" s="227"/>
      <c r="O367" s="227"/>
      <c r="P367" s="227"/>
      <c r="Q367" s="227"/>
      <c r="R367" s="227"/>
    </row>
    <row r="368" spans="1:18">
      <c r="A368" s="2"/>
      <c r="B368" s="2"/>
      <c r="C368" s="120"/>
      <c r="D368" s="120"/>
      <c r="E368" s="118"/>
      <c r="F368" s="227"/>
      <c r="G368" s="227"/>
      <c r="H368" s="227"/>
      <c r="I368" s="227"/>
      <c r="J368" s="227"/>
      <c r="K368" s="227"/>
      <c r="L368" s="227"/>
      <c r="M368" s="227"/>
      <c r="N368" s="227"/>
      <c r="O368" s="227"/>
      <c r="P368" s="227"/>
      <c r="Q368" s="227"/>
      <c r="R368" s="227"/>
    </row>
    <row r="369" spans="1:18">
      <c r="A369" s="2"/>
      <c r="B369" s="2"/>
      <c r="C369" s="120"/>
      <c r="D369" s="120"/>
      <c r="E369" s="118"/>
      <c r="F369" s="227"/>
      <c r="G369" s="227"/>
      <c r="H369" s="227"/>
      <c r="I369" s="227"/>
      <c r="J369" s="227"/>
      <c r="K369" s="227"/>
      <c r="L369" s="227"/>
      <c r="M369" s="227"/>
      <c r="N369" s="227"/>
      <c r="O369" s="227"/>
      <c r="P369" s="227"/>
      <c r="Q369" s="227"/>
      <c r="R369" s="227"/>
    </row>
    <row r="370" spans="1:18">
      <c r="A370" s="2"/>
      <c r="B370" s="2"/>
      <c r="C370" s="120"/>
      <c r="D370" s="120"/>
      <c r="E370" s="118"/>
      <c r="F370" s="227"/>
      <c r="G370" s="227"/>
      <c r="H370" s="227"/>
      <c r="I370" s="227"/>
      <c r="J370" s="227"/>
      <c r="K370" s="227"/>
      <c r="L370" s="227"/>
      <c r="M370" s="227"/>
      <c r="N370" s="227"/>
      <c r="O370" s="227"/>
      <c r="P370" s="227"/>
      <c r="Q370" s="227"/>
      <c r="R370" s="227"/>
    </row>
    <row r="371" spans="1:18">
      <c r="A371" s="2"/>
      <c r="B371" s="2"/>
      <c r="C371" s="120"/>
      <c r="D371" s="120"/>
      <c r="E371" s="118"/>
      <c r="F371" s="227"/>
      <c r="G371" s="227"/>
      <c r="H371" s="227"/>
      <c r="I371" s="227"/>
      <c r="J371" s="227"/>
      <c r="K371" s="227"/>
      <c r="L371" s="227"/>
      <c r="M371" s="227"/>
      <c r="N371" s="227"/>
      <c r="O371" s="227"/>
      <c r="P371" s="227"/>
      <c r="Q371" s="227"/>
      <c r="R371" s="227"/>
    </row>
    <row r="372" spans="1:18">
      <c r="A372" s="2"/>
      <c r="B372" s="2"/>
      <c r="C372" s="120"/>
      <c r="D372" s="120"/>
      <c r="E372" s="118"/>
      <c r="F372" s="227"/>
      <c r="G372" s="227"/>
      <c r="H372" s="227"/>
      <c r="I372" s="227"/>
      <c r="J372" s="227"/>
      <c r="K372" s="227"/>
      <c r="L372" s="227"/>
      <c r="M372" s="227"/>
      <c r="N372" s="227"/>
      <c r="O372" s="227"/>
      <c r="P372" s="227"/>
      <c r="Q372" s="227"/>
      <c r="R372" s="227"/>
    </row>
    <row r="373" spans="1:18">
      <c r="A373" s="2"/>
      <c r="B373" s="2"/>
      <c r="C373" s="120"/>
      <c r="D373" s="120"/>
      <c r="E373" s="118"/>
      <c r="F373" s="227"/>
      <c r="G373" s="227"/>
      <c r="H373" s="227"/>
      <c r="I373" s="227"/>
      <c r="J373" s="227"/>
      <c r="K373" s="227"/>
      <c r="L373" s="227"/>
      <c r="M373" s="227"/>
      <c r="N373" s="227"/>
      <c r="O373" s="227"/>
      <c r="P373" s="227"/>
      <c r="Q373" s="227"/>
      <c r="R373" s="227"/>
    </row>
    <row r="374" spans="1:18">
      <c r="A374" s="2"/>
      <c r="B374" s="2"/>
      <c r="C374" s="120"/>
      <c r="D374" s="120"/>
      <c r="E374" s="118"/>
      <c r="F374" s="227"/>
      <c r="G374" s="227"/>
      <c r="H374" s="227"/>
      <c r="I374" s="227"/>
      <c r="J374" s="227"/>
      <c r="K374" s="227"/>
      <c r="L374" s="227"/>
      <c r="M374" s="227"/>
      <c r="N374" s="227"/>
      <c r="O374" s="227"/>
      <c r="P374" s="227"/>
      <c r="Q374" s="227"/>
      <c r="R374" s="227"/>
    </row>
    <row r="375" spans="1:18">
      <c r="A375" s="2"/>
      <c r="B375" s="2"/>
      <c r="C375" s="120"/>
      <c r="D375" s="120"/>
      <c r="E375" s="118"/>
      <c r="F375" s="227"/>
      <c r="G375" s="227"/>
      <c r="H375" s="227"/>
      <c r="I375" s="227"/>
      <c r="J375" s="227"/>
      <c r="K375" s="227"/>
      <c r="L375" s="227"/>
      <c r="M375" s="227"/>
      <c r="N375" s="227"/>
      <c r="O375" s="227"/>
      <c r="P375" s="227"/>
      <c r="Q375" s="227"/>
      <c r="R375" s="227"/>
    </row>
    <row r="376" spans="1:18">
      <c r="A376" s="2"/>
      <c r="B376" s="2"/>
      <c r="C376" s="120"/>
      <c r="D376" s="120"/>
      <c r="E376" s="118"/>
      <c r="F376" s="227"/>
      <c r="G376" s="227"/>
      <c r="H376" s="227"/>
      <c r="I376" s="227"/>
      <c r="J376" s="227"/>
      <c r="K376" s="227"/>
      <c r="L376" s="227"/>
      <c r="M376" s="227"/>
      <c r="N376" s="227"/>
      <c r="O376" s="227"/>
      <c r="P376" s="227"/>
      <c r="Q376" s="227"/>
      <c r="R376" s="227"/>
    </row>
    <row r="377" spans="1:18">
      <c r="A377" s="2"/>
      <c r="B377" s="2"/>
      <c r="C377" s="120"/>
      <c r="D377" s="120"/>
      <c r="E377" s="118"/>
      <c r="F377" s="227"/>
      <c r="G377" s="227"/>
      <c r="H377" s="227"/>
      <c r="I377" s="227"/>
      <c r="J377" s="227"/>
      <c r="K377" s="227"/>
      <c r="L377" s="227"/>
      <c r="M377" s="227"/>
      <c r="N377" s="227"/>
      <c r="O377" s="227"/>
      <c r="P377" s="227"/>
      <c r="Q377" s="227"/>
      <c r="R377" s="227"/>
    </row>
    <row r="378" spans="1:18">
      <c r="A378" s="2"/>
      <c r="B378" s="2"/>
      <c r="C378" s="120"/>
      <c r="D378" s="120"/>
      <c r="E378" s="118"/>
      <c r="F378" s="227"/>
      <c r="G378" s="227"/>
      <c r="H378" s="227"/>
      <c r="I378" s="227"/>
      <c r="J378" s="227"/>
      <c r="K378" s="227"/>
      <c r="L378" s="227"/>
      <c r="M378" s="227"/>
      <c r="N378" s="227"/>
      <c r="O378" s="227"/>
      <c r="P378" s="227"/>
      <c r="Q378" s="227"/>
      <c r="R378" s="227"/>
    </row>
    <row r="379" spans="1:18">
      <c r="A379" s="2"/>
      <c r="B379" s="2"/>
      <c r="C379" s="120"/>
      <c r="D379" s="120"/>
      <c r="E379" s="118"/>
      <c r="F379" s="227"/>
      <c r="G379" s="227"/>
      <c r="H379" s="227"/>
      <c r="I379" s="227"/>
      <c r="J379" s="227"/>
      <c r="K379" s="227"/>
      <c r="L379" s="227"/>
      <c r="M379" s="227"/>
      <c r="N379" s="227"/>
      <c r="O379" s="227"/>
      <c r="P379" s="227"/>
      <c r="Q379" s="227"/>
      <c r="R379" s="227"/>
    </row>
    <row r="380" spans="1:18">
      <c r="A380" s="2"/>
      <c r="B380" s="2"/>
      <c r="C380" s="120"/>
      <c r="D380" s="120"/>
      <c r="E380" s="118"/>
      <c r="F380" s="227"/>
      <c r="G380" s="227"/>
      <c r="H380" s="227"/>
      <c r="I380" s="227"/>
      <c r="J380" s="227"/>
      <c r="K380" s="227"/>
      <c r="L380" s="227"/>
      <c r="M380" s="227"/>
      <c r="N380" s="227"/>
      <c r="O380" s="227"/>
      <c r="P380" s="227"/>
      <c r="Q380" s="227"/>
      <c r="R380" s="227"/>
    </row>
    <row r="381" spans="1:18">
      <c r="A381" s="2"/>
      <c r="B381" s="2"/>
      <c r="C381" s="120"/>
      <c r="D381" s="120"/>
      <c r="E381" s="118"/>
      <c r="F381" s="227"/>
      <c r="G381" s="227"/>
      <c r="H381" s="227"/>
      <c r="I381" s="227"/>
      <c r="J381" s="227"/>
      <c r="K381" s="227"/>
      <c r="L381" s="227"/>
      <c r="M381" s="227"/>
      <c r="N381" s="227"/>
      <c r="O381" s="227"/>
      <c r="P381" s="227"/>
      <c r="Q381" s="227"/>
      <c r="R381" s="227"/>
    </row>
    <row r="382" spans="1:18">
      <c r="A382" s="2"/>
      <c r="B382" s="2"/>
      <c r="C382" s="120"/>
      <c r="D382" s="120"/>
      <c r="E382" s="118"/>
      <c r="F382" s="227"/>
      <c r="G382" s="227"/>
      <c r="H382" s="227"/>
      <c r="I382" s="227"/>
      <c r="J382" s="227"/>
      <c r="K382" s="227"/>
      <c r="L382" s="227"/>
      <c r="M382" s="227"/>
      <c r="N382" s="227"/>
      <c r="O382" s="227"/>
      <c r="P382" s="227"/>
      <c r="Q382" s="227"/>
      <c r="R382" s="227"/>
    </row>
    <row r="383" spans="1:18">
      <c r="A383" s="2"/>
      <c r="B383" s="2"/>
      <c r="C383" s="120"/>
      <c r="D383" s="120"/>
      <c r="E383" s="118"/>
      <c r="F383" s="227"/>
      <c r="G383" s="227"/>
      <c r="H383" s="227"/>
      <c r="I383" s="227"/>
      <c r="J383" s="227"/>
      <c r="K383" s="227"/>
      <c r="L383" s="227"/>
      <c r="M383" s="227"/>
      <c r="N383" s="227"/>
      <c r="O383" s="227"/>
      <c r="P383" s="227"/>
      <c r="Q383" s="227"/>
      <c r="R383" s="227"/>
    </row>
    <row r="384" spans="1:18">
      <c r="A384" s="2"/>
      <c r="B384" s="2"/>
      <c r="C384" s="120"/>
      <c r="D384" s="120"/>
      <c r="E384" s="118"/>
      <c r="F384" s="227"/>
      <c r="G384" s="227"/>
      <c r="H384" s="227"/>
      <c r="I384" s="227"/>
      <c r="J384" s="227"/>
      <c r="K384" s="227"/>
      <c r="L384" s="227"/>
      <c r="M384" s="227"/>
      <c r="N384" s="227"/>
      <c r="O384" s="227"/>
      <c r="P384" s="227"/>
      <c r="Q384" s="227"/>
      <c r="R384" s="227"/>
    </row>
    <row r="385" spans="1:18">
      <c r="A385" s="2"/>
      <c r="B385" s="2"/>
      <c r="C385" s="120"/>
      <c r="D385" s="120"/>
      <c r="E385" s="118"/>
      <c r="F385" s="227"/>
      <c r="G385" s="227"/>
      <c r="H385" s="227"/>
      <c r="I385" s="227"/>
      <c r="J385" s="227"/>
      <c r="K385" s="227"/>
      <c r="L385" s="227"/>
      <c r="M385" s="227"/>
      <c r="N385" s="227"/>
      <c r="O385" s="227"/>
      <c r="P385" s="227"/>
      <c r="Q385" s="227"/>
      <c r="R385" s="227"/>
    </row>
    <row r="386" spans="1:18">
      <c r="A386" s="2"/>
      <c r="B386" s="2"/>
      <c r="C386" s="120"/>
      <c r="D386" s="120"/>
      <c r="E386" s="118"/>
      <c r="F386" s="227"/>
      <c r="G386" s="227"/>
      <c r="H386" s="227"/>
      <c r="I386" s="227"/>
      <c r="J386" s="227"/>
      <c r="K386" s="227"/>
      <c r="L386" s="227"/>
      <c r="M386" s="227"/>
      <c r="N386" s="227"/>
      <c r="O386" s="227"/>
      <c r="P386" s="227"/>
      <c r="Q386" s="227"/>
      <c r="R386" s="227"/>
    </row>
    <row r="387" spans="1:18">
      <c r="A387" s="2"/>
      <c r="B387" s="2"/>
      <c r="C387" s="120"/>
      <c r="D387" s="120"/>
      <c r="E387" s="118"/>
      <c r="F387" s="227"/>
      <c r="G387" s="227"/>
      <c r="H387" s="227"/>
      <c r="I387" s="227"/>
      <c r="J387" s="227"/>
      <c r="K387" s="227"/>
      <c r="L387" s="227"/>
      <c r="M387" s="227"/>
      <c r="N387" s="227"/>
      <c r="O387" s="227"/>
      <c r="P387" s="227"/>
      <c r="Q387" s="227"/>
      <c r="R387" s="227"/>
    </row>
    <row r="388" spans="1:18">
      <c r="A388" s="2"/>
      <c r="B388" s="2"/>
      <c r="C388" s="120"/>
      <c r="D388" s="120"/>
      <c r="E388" s="118"/>
      <c r="F388" s="227"/>
      <c r="G388" s="227"/>
      <c r="H388" s="227"/>
      <c r="I388" s="227"/>
      <c r="J388" s="227"/>
      <c r="K388" s="227"/>
      <c r="L388" s="227"/>
      <c r="M388" s="227"/>
      <c r="N388" s="227"/>
      <c r="O388" s="227"/>
      <c r="P388" s="227"/>
      <c r="Q388" s="227"/>
      <c r="R388" s="227"/>
    </row>
    <row r="389" spans="1:18">
      <c r="A389" s="2"/>
      <c r="B389" s="2"/>
      <c r="C389" s="120"/>
      <c r="D389" s="120"/>
      <c r="E389" s="118"/>
      <c r="F389" s="227"/>
      <c r="G389" s="227"/>
      <c r="H389" s="227"/>
      <c r="I389" s="227"/>
      <c r="J389" s="227"/>
      <c r="K389" s="227"/>
      <c r="L389" s="227"/>
      <c r="M389" s="227"/>
      <c r="N389" s="227"/>
      <c r="O389" s="227"/>
      <c r="P389" s="227"/>
      <c r="Q389" s="227"/>
      <c r="R389" s="227"/>
    </row>
    <row r="390" spans="1:18">
      <c r="A390" s="2"/>
      <c r="B390" s="2"/>
      <c r="C390" s="120"/>
      <c r="D390" s="120"/>
      <c r="E390" s="118"/>
      <c r="F390" s="227"/>
      <c r="G390" s="227"/>
      <c r="H390" s="227"/>
      <c r="I390" s="227"/>
      <c r="J390" s="227"/>
      <c r="K390" s="227"/>
      <c r="L390" s="227"/>
      <c r="M390" s="227"/>
      <c r="N390" s="227"/>
      <c r="O390" s="227"/>
      <c r="P390" s="227"/>
      <c r="Q390" s="227"/>
      <c r="R390" s="227"/>
    </row>
    <row r="391" spans="1:18">
      <c r="A391" s="2"/>
      <c r="B391" s="2"/>
      <c r="C391" s="120"/>
      <c r="D391" s="120"/>
      <c r="E391" s="118"/>
      <c r="F391" s="227"/>
      <c r="G391" s="227"/>
      <c r="H391" s="227"/>
      <c r="I391" s="227"/>
      <c r="J391" s="227"/>
      <c r="K391" s="227"/>
      <c r="L391" s="227"/>
      <c r="M391" s="227"/>
      <c r="N391" s="227"/>
      <c r="O391" s="227"/>
      <c r="P391" s="227"/>
      <c r="Q391" s="227"/>
      <c r="R391" s="227"/>
    </row>
    <row r="392" spans="1:18">
      <c r="A392" s="2"/>
      <c r="B392" s="2"/>
      <c r="C392" s="120"/>
      <c r="D392" s="120"/>
      <c r="E392" s="118"/>
      <c r="F392" s="227"/>
      <c r="G392" s="227"/>
      <c r="H392" s="227"/>
      <c r="I392" s="227"/>
      <c r="J392" s="227"/>
      <c r="K392" s="227"/>
      <c r="L392" s="227"/>
      <c r="M392" s="227"/>
      <c r="N392" s="227"/>
      <c r="O392" s="227"/>
      <c r="P392" s="227"/>
      <c r="Q392" s="227"/>
      <c r="R392" s="227"/>
    </row>
    <row r="393" spans="1:18">
      <c r="A393" s="2"/>
      <c r="B393" s="2"/>
      <c r="C393" s="120"/>
      <c r="D393" s="120"/>
      <c r="E393" s="118"/>
      <c r="F393" s="227"/>
      <c r="G393" s="227"/>
      <c r="H393" s="227"/>
      <c r="I393" s="227"/>
      <c r="J393" s="227"/>
      <c r="K393" s="227"/>
      <c r="L393" s="227"/>
      <c r="M393" s="227"/>
      <c r="N393" s="227"/>
      <c r="O393" s="227"/>
      <c r="P393" s="227"/>
      <c r="Q393" s="227"/>
      <c r="R393" s="227"/>
    </row>
    <row r="394" spans="1:18">
      <c r="A394" s="2"/>
      <c r="B394" s="2"/>
      <c r="C394" s="120"/>
      <c r="D394" s="120"/>
      <c r="E394" s="118"/>
      <c r="F394" s="227"/>
      <c r="G394" s="227"/>
      <c r="H394" s="227"/>
      <c r="I394" s="227"/>
      <c r="J394" s="227"/>
      <c r="K394" s="227"/>
      <c r="L394" s="227"/>
      <c r="M394" s="227"/>
      <c r="N394" s="227"/>
      <c r="O394" s="227"/>
      <c r="P394" s="227"/>
      <c r="Q394" s="227"/>
      <c r="R394" s="227"/>
    </row>
    <row r="395" spans="1:18">
      <c r="A395" s="2"/>
      <c r="B395" s="2"/>
      <c r="C395" s="120"/>
      <c r="D395" s="120"/>
      <c r="E395" s="118"/>
      <c r="F395" s="227"/>
      <c r="G395" s="227"/>
      <c r="H395" s="227"/>
      <c r="I395" s="227"/>
      <c r="J395" s="227"/>
      <c r="K395" s="227"/>
      <c r="L395" s="227"/>
      <c r="M395" s="227"/>
      <c r="N395" s="227"/>
      <c r="O395" s="227"/>
      <c r="P395" s="227"/>
      <c r="Q395" s="227"/>
      <c r="R395" s="227"/>
    </row>
    <row r="396" spans="1:18">
      <c r="A396" s="2"/>
      <c r="B396" s="2"/>
      <c r="C396" s="120"/>
      <c r="D396" s="120"/>
      <c r="E396" s="118"/>
      <c r="F396" s="227"/>
      <c r="G396" s="227"/>
      <c r="H396" s="227"/>
      <c r="I396" s="227"/>
      <c r="J396" s="227"/>
      <c r="K396" s="227"/>
      <c r="L396" s="227"/>
      <c r="M396" s="227"/>
      <c r="N396" s="227"/>
      <c r="O396" s="227"/>
      <c r="P396" s="227"/>
      <c r="Q396" s="227"/>
      <c r="R396" s="227"/>
    </row>
    <row r="397" spans="1:18">
      <c r="A397" s="2"/>
      <c r="B397" s="2"/>
      <c r="C397" s="120"/>
      <c r="D397" s="120"/>
      <c r="E397" s="118"/>
      <c r="F397" s="227"/>
      <c r="G397" s="227"/>
      <c r="H397" s="227"/>
      <c r="I397" s="227"/>
      <c r="J397" s="227"/>
      <c r="K397" s="227"/>
      <c r="L397" s="227"/>
      <c r="M397" s="227"/>
      <c r="N397" s="227"/>
      <c r="O397" s="227"/>
      <c r="P397" s="227"/>
      <c r="Q397" s="227"/>
      <c r="R397" s="227"/>
    </row>
    <row r="398" spans="1:18">
      <c r="A398" s="2"/>
      <c r="B398" s="2"/>
      <c r="C398" s="120"/>
      <c r="D398" s="120"/>
      <c r="E398" s="118"/>
      <c r="F398" s="227"/>
      <c r="G398" s="227"/>
      <c r="H398" s="227"/>
      <c r="I398" s="227"/>
      <c r="J398" s="227"/>
      <c r="K398" s="227"/>
      <c r="L398" s="227"/>
      <c r="M398" s="227"/>
      <c r="N398" s="227"/>
      <c r="O398" s="227"/>
      <c r="P398" s="227"/>
      <c r="Q398" s="227"/>
      <c r="R398" s="227"/>
    </row>
    <row r="399" spans="1:18">
      <c r="A399" s="2"/>
      <c r="B399" s="2"/>
      <c r="C399" s="120"/>
      <c r="D399" s="120"/>
      <c r="E399" s="118"/>
      <c r="F399" s="227"/>
      <c r="G399" s="227"/>
      <c r="H399" s="227"/>
      <c r="I399" s="227"/>
      <c r="J399" s="227"/>
      <c r="K399" s="227"/>
      <c r="L399" s="227"/>
      <c r="M399" s="227"/>
      <c r="N399" s="227"/>
      <c r="O399" s="227"/>
      <c r="P399" s="227"/>
      <c r="Q399" s="227"/>
      <c r="R399" s="227"/>
    </row>
    <row r="400" spans="1:18">
      <c r="A400" s="2"/>
      <c r="B400" s="2"/>
      <c r="C400" s="120"/>
      <c r="D400" s="120"/>
      <c r="E400" s="118"/>
      <c r="F400" s="227"/>
      <c r="G400" s="227"/>
      <c r="H400" s="227"/>
      <c r="I400" s="227"/>
      <c r="J400" s="227"/>
      <c r="K400" s="227"/>
      <c r="L400" s="227"/>
      <c r="M400" s="227"/>
      <c r="N400" s="227"/>
      <c r="O400" s="227"/>
      <c r="P400" s="227"/>
      <c r="Q400" s="227"/>
      <c r="R400" s="227"/>
    </row>
    <row r="401" spans="1:18">
      <c r="A401" s="2"/>
      <c r="B401" s="2"/>
      <c r="C401" s="120"/>
      <c r="D401" s="120"/>
      <c r="E401" s="118"/>
      <c r="F401" s="227"/>
      <c r="G401" s="227"/>
      <c r="H401" s="227"/>
      <c r="I401" s="227"/>
      <c r="J401" s="227"/>
      <c r="K401" s="227"/>
      <c r="L401" s="227"/>
      <c r="M401" s="227"/>
      <c r="N401" s="227"/>
      <c r="O401" s="227"/>
      <c r="P401" s="227"/>
      <c r="Q401" s="227"/>
      <c r="R401" s="227"/>
    </row>
    <row r="402" spans="1:18">
      <c r="A402" s="2"/>
      <c r="B402" s="2"/>
      <c r="C402" s="120"/>
      <c r="D402" s="120"/>
      <c r="E402" s="118"/>
      <c r="F402" s="227"/>
      <c r="G402" s="227"/>
      <c r="H402" s="227"/>
      <c r="I402" s="227"/>
      <c r="J402" s="227"/>
      <c r="K402" s="227"/>
      <c r="L402" s="227"/>
      <c r="M402" s="227"/>
      <c r="N402" s="227"/>
      <c r="O402" s="227"/>
      <c r="P402" s="227"/>
      <c r="Q402" s="227"/>
      <c r="R402" s="227"/>
    </row>
    <row r="403" spans="1:18">
      <c r="A403" s="2"/>
      <c r="B403" s="2"/>
      <c r="C403" s="120"/>
      <c r="D403" s="120"/>
      <c r="E403" s="118"/>
      <c r="F403" s="227"/>
      <c r="G403" s="227"/>
      <c r="H403" s="227"/>
      <c r="I403" s="227"/>
      <c r="J403" s="227"/>
      <c r="K403" s="227"/>
      <c r="L403" s="227"/>
      <c r="M403" s="227"/>
      <c r="N403" s="227"/>
      <c r="O403" s="227"/>
      <c r="P403" s="227"/>
      <c r="Q403" s="227"/>
      <c r="R403" s="227"/>
    </row>
    <row r="404" spans="1:18">
      <c r="A404" s="2"/>
      <c r="B404" s="2"/>
      <c r="C404" s="120"/>
      <c r="D404" s="120"/>
      <c r="E404" s="118"/>
      <c r="F404" s="227"/>
      <c r="G404" s="227"/>
      <c r="H404" s="227"/>
      <c r="I404" s="227"/>
      <c r="J404" s="227"/>
      <c r="K404" s="227"/>
      <c r="L404" s="227"/>
      <c r="M404" s="227"/>
      <c r="N404" s="227"/>
      <c r="O404" s="227"/>
      <c r="P404" s="227"/>
      <c r="Q404" s="227"/>
      <c r="R404" s="227"/>
    </row>
    <row r="405" spans="1:18">
      <c r="A405" s="2"/>
      <c r="B405" s="2"/>
      <c r="C405" s="120"/>
      <c r="D405" s="120"/>
      <c r="E405" s="118"/>
      <c r="F405" s="227"/>
      <c r="G405" s="227"/>
      <c r="H405" s="227"/>
      <c r="I405" s="227"/>
      <c r="J405" s="227"/>
      <c r="K405" s="227"/>
      <c r="L405" s="227"/>
      <c r="M405" s="227"/>
      <c r="N405" s="227"/>
      <c r="O405" s="227"/>
      <c r="P405" s="227"/>
      <c r="Q405" s="227"/>
      <c r="R405" s="227"/>
    </row>
    <row r="406" spans="1:18">
      <c r="A406" s="2"/>
      <c r="B406" s="2"/>
      <c r="C406" s="120"/>
      <c r="D406" s="120"/>
      <c r="E406" s="118"/>
      <c r="F406" s="227"/>
      <c r="G406" s="227"/>
      <c r="H406" s="227"/>
      <c r="I406" s="227"/>
      <c r="J406" s="227"/>
      <c r="K406" s="227"/>
      <c r="L406" s="227"/>
      <c r="M406" s="227"/>
      <c r="N406" s="227"/>
      <c r="O406" s="227"/>
      <c r="P406" s="227"/>
      <c r="Q406" s="227"/>
      <c r="R406" s="227"/>
    </row>
    <row r="407" spans="1:18">
      <c r="A407" s="2"/>
      <c r="B407" s="2"/>
      <c r="C407" s="120"/>
      <c r="D407" s="120"/>
      <c r="E407" s="118"/>
      <c r="F407" s="227"/>
      <c r="G407" s="227"/>
      <c r="H407" s="227"/>
      <c r="I407" s="227"/>
      <c r="J407" s="227"/>
      <c r="K407" s="227"/>
      <c r="L407" s="227"/>
      <c r="M407" s="227"/>
      <c r="N407" s="227"/>
      <c r="O407" s="227"/>
      <c r="P407" s="227"/>
      <c r="Q407" s="227"/>
      <c r="R407" s="227"/>
    </row>
    <row r="408" spans="1:18">
      <c r="A408" s="2"/>
      <c r="B408" s="2"/>
      <c r="C408" s="120"/>
      <c r="D408" s="120"/>
      <c r="E408" s="118"/>
      <c r="F408" s="227"/>
      <c r="G408" s="227"/>
      <c r="H408" s="227"/>
      <c r="I408" s="227"/>
      <c r="J408" s="227"/>
      <c r="K408" s="227"/>
      <c r="L408" s="227"/>
      <c r="M408" s="227"/>
      <c r="N408" s="227"/>
      <c r="O408" s="227"/>
      <c r="P408" s="227"/>
      <c r="Q408" s="227"/>
      <c r="R408" s="227"/>
    </row>
    <row r="409" spans="1:18">
      <c r="A409" s="2"/>
      <c r="B409" s="2"/>
      <c r="C409" s="120"/>
      <c r="D409" s="120"/>
      <c r="E409" s="118"/>
      <c r="F409" s="227"/>
      <c r="G409" s="227"/>
      <c r="H409" s="227"/>
      <c r="I409" s="227"/>
      <c r="J409" s="227"/>
      <c r="K409" s="227"/>
      <c r="L409" s="227"/>
      <c r="M409" s="227"/>
      <c r="N409" s="227"/>
      <c r="O409" s="227"/>
      <c r="P409" s="227"/>
      <c r="Q409" s="227"/>
      <c r="R409" s="227"/>
    </row>
    <row r="410" spans="1:18">
      <c r="A410" s="2"/>
      <c r="B410" s="2"/>
      <c r="C410" s="120"/>
      <c r="D410" s="120"/>
      <c r="E410" s="118"/>
      <c r="F410" s="227"/>
      <c r="G410" s="227"/>
      <c r="H410" s="227"/>
      <c r="I410" s="227"/>
      <c r="J410" s="227"/>
      <c r="K410" s="227"/>
      <c r="L410" s="227"/>
      <c r="M410" s="227"/>
      <c r="N410" s="227"/>
      <c r="O410" s="227"/>
      <c r="P410" s="227"/>
      <c r="Q410" s="227"/>
      <c r="R410" s="227"/>
    </row>
    <row r="411" spans="1:18">
      <c r="A411" s="2"/>
      <c r="B411" s="2"/>
      <c r="C411" s="120"/>
      <c r="D411" s="120"/>
      <c r="E411" s="118"/>
      <c r="F411" s="227"/>
      <c r="G411" s="227"/>
      <c r="H411" s="227"/>
      <c r="I411" s="227"/>
      <c r="J411" s="227"/>
      <c r="K411" s="227"/>
      <c r="L411" s="227"/>
      <c r="M411" s="227"/>
      <c r="N411" s="227"/>
      <c r="O411" s="227"/>
      <c r="P411" s="227"/>
      <c r="Q411" s="227"/>
      <c r="R411" s="227"/>
    </row>
    <row r="412" spans="1:18">
      <c r="A412" s="2"/>
      <c r="B412" s="2"/>
      <c r="C412" s="120"/>
      <c r="D412" s="120"/>
      <c r="E412" s="118"/>
      <c r="F412" s="227"/>
      <c r="G412" s="227"/>
      <c r="H412" s="227"/>
      <c r="I412" s="227"/>
      <c r="J412" s="227"/>
      <c r="K412" s="227"/>
      <c r="L412" s="227"/>
      <c r="M412" s="227"/>
      <c r="N412" s="227"/>
      <c r="O412" s="227"/>
      <c r="P412" s="227"/>
      <c r="Q412" s="227"/>
      <c r="R412" s="227"/>
    </row>
    <row r="413" spans="1:18">
      <c r="A413" s="2"/>
      <c r="B413" s="2"/>
      <c r="C413" s="120"/>
      <c r="D413" s="120"/>
      <c r="E413" s="118"/>
      <c r="F413" s="227"/>
      <c r="G413" s="227"/>
      <c r="H413" s="227"/>
      <c r="I413" s="227"/>
      <c r="J413" s="227"/>
      <c r="K413" s="227"/>
      <c r="L413" s="227"/>
      <c r="M413" s="227"/>
      <c r="N413" s="227"/>
      <c r="O413" s="227"/>
      <c r="P413" s="227"/>
      <c r="Q413" s="227"/>
      <c r="R413" s="227"/>
    </row>
    <row r="414" spans="1:18">
      <c r="A414" s="2"/>
      <c r="B414" s="2"/>
      <c r="C414" s="120"/>
      <c r="D414" s="120"/>
      <c r="E414" s="118"/>
      <c r="F414" s="227"/>
      <c r="G414" s="227"/>
      <c r="H414" s="227"/>
      <c r="I414" s="227"/>
      <c r="J414" s="227"/>
      <c r="K414" s="227"/>
      <c r="L414" s="227"/>
      <c r="M414" s="227"/>
      <c r="N414" s="227"/>
      <c r="O414" s="227"/>
      <c r="P414" s="227"/>
      <c r="Q414" s="227"/>
      <c r="R414" s="227"/>
    </row>
    <row r="415" spans="1:18">
      <c r="A415" s="2"/>
      <c r="B415" s="2"/>
      <c r="C415" s="120"/>
      <c r="D415" s="120"/>
      <c r="E415" s="118"/>
      <c r="F415" s="227"/>
      <c r="G415" s="227"/>
      <c r="H415" s="227"/>
      <c r="I415" s="227"/>
      <c r="J415" s="227"/>
      <c r="K415" s="227"/>
      <c r="L415" s="227"/>
      <c r="M415" s="227"/>
      <c r="N415" s="227"/>
      <c r="O415" s="227"/>
      <c r="P415" s="227"/>
      <c r="Q415" s="227"/>
      <c r="R415" s="227"/>
    </row>
    <row r="416" spans="1:18">
      <c r="A416" s="2"/>
      <c r="B416" s="2"/>
      <c r="C416" s="120"/>
      <c r="D416" s="120"/>
      <c r="E416" s="118"/>
      <c r="F416" s="227"/>
      <c r="G416" s="227"/>
      <c r="H416" s="227"/>
      <c r="I416" s="227"/>
      <c r="J416" s="227"/>
      <c r="K416" s="227"/>
      <c r="L416" s="227"/>
      <c r="M416" s="227"/>
      <c r="N416" s="227"/>
      <c r="O416" s="227"/>
      <c r="P416" s="227"/>
      <c r="Q416" s="227"/>
      <c r="R416" s="227"/>
    </row>
    <row r="417" spans="1:18">
      <c r="A417" s="2"/>
      <c r="B417" s="2"/>
      <c r="C417" s="120"/>
      <c r="D417" s="120"/>
      <c r="E417" s="118"/>
      <c r="F417" s="227"/>
      <c r="G417" s="227"/>
      <c r="H417" s="227"/>
      <c r="I417" s="227"/>
      <c r="J417" s="227"/>
      <c r="K417" s="227"/>
      <c r="L417" s="227"/>
      <c r="M417" s="227"/>
      <c r="N417" s="227"/>
      <c r="O417" s="227"/>
      <c r="P417" s="227"/>
      <c r="Q417" s="227"/>
      <c r="R417" s="227"/>
    </row>
    <row r="418" spans="1:18">
      <c r="A418" s="2"/>
      <c r="B418" s="2"/>
      <c r="C418" s="120"/>
      <c r="D418" s="120"/>
      <c r="E418" s="118"/>
      <c r="F418" s="227"/>
      <c r="G418" s="227"/>
      <c r="H418" s="227"/>
      <c r="I418" s="227"/>
      <c r="J418" s="227"/>
      <c r="K418" s="227"/>
      <c r="L418" s="227"/>
      <c r="M418" s="227"/>
      <c r="N418" s="227"/>
      <c r="O418" s="227"/>
      <c r="P418" s="227"/>
      <c r="Q418" s="227"/>
      <c r="R418" s="227"/>
    </row>
    <row r="419" spans="1:18">
      <c r="A419" s="2"/>
      <c r="B419" s="2"/>
      <c r="C419" s="120"/>
      <c r="D419" s="120"/>
      <c r="E419" s="118"/>
      <c r="F419" s="227"/>
      <c r="G419" s="227"/>
      <c r="H419" s="227"/>
      <c r="I419" s="227"/>
      <c r="J419" s="227"/>
      <c r="K419" s="227"/>
      <c r="L419" s="227"/>
      <c r="M419" s="227"/>
      <c r="N419" s="227"/>
      <c r="O419" s="227"/>
      <c r="P419" s="227"/>
      <c r="Q419" s="227"/>
      <c r="R419" s="227"/>
    </row>
    <row r="420" spans="1:18">
      <c r="A420" s="2"/>
      <c r="B420" s="2"/>
      <c r="C420" s="120"/>
      <c r="D420" s="120"/>
      <c r="E420" s="118"/>
      <c r="F420" s="227"/>
      <c r="G420" s="227"/>
      <c r="H420" s="227"/>
      <c r="I420" s="227"/>
      <c r="J420" s="227"/>
      <c r="K420" s="227"/>
      <c r="L420" s="227"/>
      <c r="M420" s="227"/>
      <c r="N420" s="227"/>
      <c r="O420" s="227"/>
      <c r="P420" s="227"/>
      <c r="Q420" s="227"/>
      <c r="R420" s="227"/>
    </row>
    <row r="421" spans="1:18">
      <c r="A421" s="2"/>
      <c r="B421" s="2"/>
      <c r="C421" s="120"/>
      <c r="D421" s="120"/>
      <c r="E421" s="118"/>
      <c r="F421" s="227"/>
      <c r="G421" s="227"/>
      <c r="H421" s="227"/>
      <c r="I421" s="227"/>
      <c r="J421" s="227"/>
      <c r="K421" s="227"/>
      <c r="L421" s="227"/>
      <c r="M421" s="227"/>
      <c r="N421" s="227"/>
      <c r="O421" s="227"/>
      <c r="P421" s="227"/>
      <c r="Q421" s="227"/>
      <c r="R421" s="227"/>
    </row>
    <row r="422" spans="1:18">
      <c r="A422" s="2"/>
      <c r="B422" s="2"/>
      <c r="C422" s="120"/>
      <c r="D422" s="120"/>
      <c r="E422" s="118"/>
      <c r="F422" s="227"/>
      <c r="G422" s="227"/>
      <c r="H422" s="227"/>
      <c r="I422" s="227"/>
      <c r="J422" s="227"/>
      <c r="K422" s="227"/>
      <c r="L422" s="227"/>
      <c r="M422" s="227"/>
      <c r="N422" s="227"/>
      <c r="O422" s="227"/>
      <c r="P422" s="227"/>
      <c r="Q422" s="227"/>
      <c r="R422" s="227"/>
    </row>
    <row r="423" spans="1:18">
      <c r="A423" s="2"/>
      <c r="B423" s="2"/>
      <c r="C423" s="120"/>
      <c r="D423" s="120"/>
      <c r="E423" s="118"/>
      <c r="F423" s="227"/>
      <c r="G423" s="227"/>
      <c r="H423" s="227"/>
      <c r="I423" s="227"/>
      <c r="J423" s="227"/>
      <c r="K423" s="227"/>
      <c r="L423" s="227"/>
      <c r="M423" s="227"/>
      <c r="N423" s="227"/>
      <c r="O423" s="227"/>
      <c r="P423" s="227"/>
      <c r="Q423" s="227"/>
      <c r="R423" s="227"/>
    </row>
    <row r="424" spans="1:18">
      <c r="A424" s="2"/>
      <c r="B424" s="2"/>
      <c r="C424" s="120"/>
      <c r="D424" s="120"/>
      <c r="E424" s="118"/>
      <c r="F424" s="227"/>
      <c r="G424" s="227"/>
      <c r="H424" s="227"/>
      <c r="I424" s="227"/>
      <c r="J424" s="227"/>
      <c r="K424" s="227"/>
      <c r="L424" s="227"/>
      <c r="M424" s="227"/>
      <c r="N424" s="227"/>
      <c r="O424" s="227"/>
      <c r="P424" s="227"/>
      <c r="Q424" s="227"/>
      <c r="R424" s="227"/>
    </row>
    <row r="425" spans="1:18">
      <c r="A425" s="2"/>
      <c r="B425" s="2"/>
      <c r="C425" s="120"/>
      <c r="D425" s="120"/>
      <c r="E425" s="118"/>
      <c r="F425" s="227"/>
      <c r="G425" s="227"/>
      <c r="H425" s="227"/>
      <c r="I425" s="227"/>
      <c r="J425" s="227"/>
      <c r="K425" s="227"/>
      <c r="L425" s="227"/>
      <c r="M425" s="227"/>
      <c r="N425" s="227"/>
      <c r="O425" s="227"/>
      <c r="P425" s="227"/>
      <c r="Q425" s="227"/>
      <c r="R425" s="227"/>
    </row>
    <row r="426" spans="1:18">
      <c r="A426" s="2"/>
      <c r="B426" s="2"/>
      <c r="C426" s="120"/>
      <c r="D426" s="120"/>
      <c r="E426" s="118"/>
      <c r="F426" s="227"/>
      <c r="G426" s="227"/>
      <c r="H426" s="227"/>
      <c r="I426" s="227"/>
      <c r="J426" s="227"/>
      <c r="K426" s="227"/>
      <c r="L426" s="227"/>
      <c r="M426" s="227"/>
      <c r="N426" s="227"/>
      <c r="O426" s="227"/>
      <c r="P426" s="227"/>
      <c r="Q426" s="227"/>
      <c r="R426" s="227"/>
    </row>
    <row r="427" spans="1:18">
      <c r="A427" s="2"/>
      <c r="B427" s="2"/>
      <c r="C427" s="120"/>
      <c r="D427" s="120"/>
      <c r="E427" s="118"/>
      <c r="F427" s="227"/>
      <c r="G427" s="227"/>
      <c r="H427" s="227"/>
      <c r="I427" s="227"/>
      <c r="J427" s="227"/>
      <c r="K427" s="227"/>
      <c r="L427" s="227"/>
      <c r="M427" s="227"/>
      <c r="N427" s="227"/>
      <c r="O427" s="227"/>
      <c r="P427" s="227"/>
      <c r="Q427" s="227"/>
      <c r="R427" s="227"/>
    </row>
    <row r="428" spans="1:18">
      <c r="A428" s="2"/>
      <c r="B428" s="2"/>
      <c r="C428" s="120"/>
      <c r="D428" s="120"/>
      <c r="E428" s="118"/>
      <c r="F428" s="227"/>
      <c r="G428" s="227"/>
      <c r="H428" s="227"/>
      <c r="I428" s="227"/>
      <c r="J428" s="227"/>
      <c r="K428" s="227"/>
      <c r="L428" s="227"/>
      <c r="M428" s="227"/>
      <c r="N428" s="227"/>
      <c r="O428" s="227"/>
      <c r="P428" s="227"/>
      <c r="Q428" s="227"/>
      <c r="R428" s="227"/>
    </row>
    <row r="429" spans="1:18">
      <c r="A429" s="2"/>
      <c r="B429" s="2"/>
      <c r="C429" s="120"/>
      <c r="D429" s="120"/>
      <c r="E429" s="118"/>
      <c r="F429" s="227"/>
      <c r="G429" s="227"/>
      <c r="H429" s="227"/>
      <c r="I429" s="227"/>
      <c r="J429" s="227"/>
      <c r="K429" s="227"/>
      <c r="L429" s="227"/>
      <c r="M429" s="227"/>
      <c r="N429" s="227"/>
      <c r="O429" s="227"/>
      <c r="P429" s="227"/>
      <c r="Q429" s="227"/>
      <c r="R429" s="227"/>
    </row>
    <row r="430" spans="1:18">
      <c r="A430" s="2"/>
      <c r="B430" s="2"/>
      <c r="C430" s="120"/>
      <c r="D430" s="120"/>
      <c r="E430" s="118"/>
      <c r="F430" s="227"/>
      <c r="G430" s="227"/>
      <c r="H430" s="227"/>
      <c r="I430" s="227"/>
      <c r="J430" s="227"/>
      <c r="K430" s="227"/>
      <c r="L430" s="227"/>
      <c r="M430" s="227"/>
      <c r="N430" s="227"/>
      <c r="O430" s="227"/>
      <c r="P430" s="227"/>
      <c r="Q430" s="227"/>
      <c r="R430" s="227"/>
    </row>
    <row r="431" spans="1:18">
      <c r="A431" s="2"/>
      <c r="B431" s="2"/>
      <c r="C431" s="120"/>
      <c r="D431" s="120"/>
      <c r="E431" s="118"/>
      <c r="F431" s="227"/>
      <c r="G431" s="227"/>
      <c r="H431" s="227"/>
      <c r="I431" s="227"/>
      <c r="J431" s="227"/>
      <c r="K431" s="227"/>
      <c r="L431" s="227"/>
      <c r="M431" s="227"/>
      <c r="N431" s="227"/>
      <c r="O431" s="227"/>
      <c r="P431" s="227"/>
      <c r="Q431" s="227"/>
      <c r="R431" s="227"/>
    </row>
    <row r="432" spans="1:18">
      <c r="A432" s="2"/>
      <c r="B432" s="2"/>
      <c r="C432" s="120"/>
      <c r="D432" s="120"/>
      <c r="E432" s="118"/>
      <c r="F432" s="227"/>
      <c r="G432" s="227"/>
      <c r="H432" s="227"/>
      <c r="I432" s="227"/>
      <c r="J432" s="227"/>
      <c r="K432" s="227"/>
      <c r="L432" s="227"/>
      <c r="M432" s="227"/>
      <c r="N432" s="227"/>
      <c r="O432" s="227"/>
      <c r="P432" s="227"/>
      <c r="Q432" s="227"/>
      <c r="R432" s="227"/>
    </row>
    <row r="433" spans="1:18">
      <c r="A433" s="2"/>
      <c r="B433" s="2"/>
      <c r="C433" s="120"/>
      <c r="D433" s="120"/>
      <c r="E433" s="118"/>
      <c r="F433" s="227"/>
      <c r="G433" s="227"/>
      <c r="H433" s="227"/>
      <c r="I433" s="227"/>
      <c r="J433" s="227"/>
      <c r="K433" s="227"/>
      <c r="L433" s="227"/>
      <c r="M433" s="227"/>
      <c r="N433" s="227"/>
      <c r="O433" s="227"/>
      <c r="P433" s="227"/>
      <c r="Q433" s="227"/>
      <c r="R433" s="227"/>
    </row>
    <row r="434" spans="1:18">
      <c r="A434" s="2"/>
      <c r="B434" s="2"/>
      <c r="C434" s="120"/>
      <c r="D434" s="120"/>
      <c r="E434" s="118"/>
      <c r="F434" s="227"/>
      <c r="G434" s="227"/>
      <c r="H434" s="227"/>
      <c r="I434" s="227"/>
      <c r="J434" s="227"/>
      <c r="K434" s="227"/>
      <c r="L434" s="227"/>
      <c r="M434" s="227"/>
      <c r="N434" s="227"/>
      <c r="O434" s="227"/>
      <c r="P434" s="227"/>
      <c r="Q434" s="227"/>
      <c r="R434" s="227"/>
    </row>
    <row r="435" spans="1:18">
      <c r="A435" s="2"/>
      <c r="B435" s="2"/>
      <c r="C435" s="120"/>
      <c r="D435" s="120"/>
      <c r="E435" s="118"/>
      <c r="F435" s="227"/>
      <c r="G435" s="227"/>
      <c r="H435" s="227"/>
      <c r="I435" s="227"/>
      <c r="J435" s="227"/>
      <c r="K435" s="227"/>
      <c r="L435" s="227"/>
      <c r="M435" s="227"/>
      <c r="N435" s="227"/>
      <c r="O435" s="227"/>
      <c r="P435" s="227"/>
      <c r="Q435" s="227"/>
      <c r="R435" s="227"/>
    </row>
    <row r="436" spans="1:18">
      <c r="A436" s="2"/>
      <c r="B436" s="2"/>
      <c r="C436" s="120"/>
      <c r="D436" s="120"/>
      <c r="E436" s="118"/>
      <c r="F436" s="227"/>
      <c r="G436" s="227"/>
      <c r="H436" s="227"/>
      <c r="I436" s="227"/>
      <c r="J436" s="227"/>
      <c r="K436" s="227"/>
      <c r="L436" s="227"/>
      <c r="M436" s="227"/>
      <c r="N436" s="227"/>
      <c r="O436" s="227"/>
      <c r="P436" s="227"/>
      <c r="Q436" s="227"/>
      <c r="R436" s="227"/>
    </row>
    <row r="437" spans="1:18">
      <c r="A437" s="2"/>
      <c r="B437" s="2"/>
      <c r="C437" s="120"/>
      <c r="D437" s="120"/>
      <c r="E437" s="118"/>
      <c r="F437" s="227"/>
      <c r="G437" s="227"/>
      <c r="H437" s="227"/>
      <c r="I437" s="227"/>
      <c r="J437" s="227"/>
      <c r="K437" s="227"/>
      <c r="L437" s="227"/>
      <c r="M437" s="227"/>
      <c r="N437" s="227"/>
      <c r="O437" s="227"/>
      <c r="P437" s="227"/>
      <c r="Q437" s="227"/>
      <c r="R437" s="227"/>
    </row>
    <row r="438" spans="1:18">
      <c r="A438" s="2"/>
      <c r="B438" s="2"/>
      <c r="C438" s="120"/>
      <c r="D438" s="120"/>
      <c r="E438" s="118"/>
      <c r="F438" s="227"/>
      <c r="G438" s="227"/>
      <c r="H438" s="227"/>
      <c r="I438" s="227"/>
      <c r="J438" s="227"/>
      <c r="K438" s="227"/>
      <c r="L438" s="227"/>
      <c r="M438" s="227"/>
      <c r="N438" s="227"/>
      <c r="O438" s="227"/>
      <c r="P438" s="227"/>
      <c r="Q438" s="227"/>
      <c r="R438" s="227"/>
    </row>
    <row r="439" spans="1:18">
      <c r="A439" s="2"/>
      <c r="B439" s="2"/>
      <c r="C439" s="120"/>
      <c r="D439" s="120"/>
      <c r="E439" s="118"/>
      <c r="F439" s="227"/>
      <c r="G439" s="227"/>
      <c r="H439" s="227"/>
      <c r="I439" s="227"/>
      <c r="J439" s="227"/>
      <c r="K439" s="227"/>
      <c r="L439" s="227"/>
      <c r="M439" s="227"/>
      <c r="N439" s="227"/>
      <c r="O439" s="227"/>
      <c r="P439" s="227"/>
      <c r="Q439" s="227"/>
      <c r="R439" s="227"/>
    </row>
    <row r="440" spans="1:18">
      <c r="A440" s="2"/>
      <c r="B440" s="2"/>
      <c r="C440" s="120"/>
      <c r="D440" s="120"/>
      <c r="E440" s="118"/>
      <c r="F440" s="227"/>
      <c r="G440" s="227"/>
      <c r="H440" s="227"/>
      <c r="I440" s="227"/>
      <c r="J440" s="227"/>
      <c r="K440" s="227"/>
      <c r="L440" s="227"/>
      <c r="M440" s="227"/>
      <c r="N440" s="227"/>
      <c r="O440" s="227"/>
      <c r="P440" s="227"/>
      <c r="Q440" s="227"/>
      <c r="R440" s="227"/>
    </row>
    <row r="441" spans="1:18">
      <c r="A441" s="2"/>
      <c r="B441" s="2"/>
      <c r="C441" s="120"/>
      <c r="D441" s="120"/>
      <c r="E441" s="118"/>
      <c r="F441" s="227"/>
      <c r="G441" s="227"/>
      <c r="H441" s="227"/>
      <c r="I441" s="227"/>
      <c r="J441" s="227"/>
      <c r="K441" s="227"/>
      <c r="L441" s="227"/>
      <c r="M441" s="227"/>
      <c r="N441" s="227"/>
      <c r="O441" s="227"/>
      <c r="P441" s="227"/>
      <c r="Q441" s="227"/>
      <c r="R441" s="227"/>
    </row>
    <row r="442" spans="1:18">
      <c r="A442" s="2"/>
      <c r="B442" s="2"/>
      <c r="C442" s="120"/>
      <c r="D442" s="120"/>
      <c r="E442" s="118"/>
      <c r="F442" s="227"/>
      <c r="G442" s="227"/>
      <c r="H442" s="227"/>
      <c r="I442" s="227"/>
      <c r="J442" s="227"/>
      <c r="K442" s="227"/>
      <c r="L442" s="227"/>
      <c r="M442" s="227"/>
      <c r="N442" s="227"/>
      <c r="O442" s="227"/>
      <c r="P442" s="227"/>
      <c r="Q442" s="227"/>
      <c r="R442" s="227"/>
    </row>
    <row r="443" spans="1:18">
      <c r="A443" s="2"/>
      <c r="B443" s="2"/>
      <c r="C443" s="120"/>
      <c r="D443" s="120"/>
      <c r="E443" s="118"/>
      <c r="F443" s="227"/>
      <c r="G443" s="227"/>
      <c r="H443" s="227"/>
      <c r="I443" s="227"/>
      <c r="J443" s="227"/>
      <c r="K443" s="227"/>
      <c r="L443" s="227"/>
      <c r="M443" s="227"/>
      <c r="N443" s="227"/>
      <c r="O443" s="227"/>
      <c r="P443" s="227"/>
      <c r="Q443" s="227"/>
      <c r="R443" s="227"/>
    </row>
    <row r="444" spans="1:18">
      <c r="A444" s="2"/>
      <c r="B444" s="2"/>
      <c r="C444" s="120"/>
      <c r="D444" s="120"/>
      <c r="E444" s="118"/>
      <c r="F444" s="227"/>
      <c r="G444" s="227"/>
      <c r="H444" s="227"/>
      <c r="I444" s="227"/>
      <c r="J444" s="227"/>
      <c r="K444" s="227"/>
      <c r="L444" s="227"/>
      <c r="M444" s="227"/>
      <c r="N444" s="227"/>
      <c r="O444" s="227"/>
      <c r="P444" s="227"/>
      <c r="Q444" s="227"/>
      <c r="R444" s="227"/>
    </row>
    <row r="445" spans="1:18">
      <c r="A445" s="2"/>
      <c r="B445" s="2"/>
      <c r="C445" s="120"/>
      <c r="D445" s="120"/>
      <c r="E445" s="118"/>
      <c r="F445" s="227"/>
      <c r="G445" s="227"/>
      <c r="H445" s="227"/>
      <c r="I445" s="227"/>
      <c r="J445" s="227"/>
      <c r="K445" s="227"/>
      <c r="L445" s="227"/>
      <c r="M445" s="227"/>
      <c r="N445" s="227"/>
      <c r="O445" s="227"/>
      <c r="P445" s="227"/>
      <c r="Q445" s="227"/>
      <c r="R445" s="227"/>
    </row>
    <row r="446" spans="1:18">
      <c r="A446" s="2"/>
      <c r="B446" s="2"/>
      <c r="C446" s="120"/>
      <c r="D446" s="120"/>
      <c r="E446" s="118"/>
      <c r="F446" s="227"/>
      <c r="G446" s="227"/>
      <c r="H446" s="227"/>
      <c r="I446" s="227"/>
      <c r="J446" s="227"/>
      <c r="K446" s="227"/>
      <c r="L446" s="227"/>
      <c r="M446" s="227"/>
      <c r="N446" s="227"/>
      <c r="O446" s="227"/>
      <c r="P446" s="227"/>
      <c r="Q446" s="227"/>
      <c r="R446" s="227"/>
    </row>
    <row r="447" spans="1:18">
      <c r="A447" s="2"/>
      <c r="B447" s="2"/>
      <c r="C447" s="120"/>
      <c r="D447" s="120"/>
      <c r="E447" s="118"/>
      <c r="F447" s="227"/>
      <c r="G447" s="227"/>
      <c r="H447" s="227"/>
      <c r="I447" s="227"/>
      <c r="J447" s="227"/>
      <c r="K447" s="227"/>
      <c r="L447" s="227"/>
      <c r="M447" s="227"/>
      <c r="N447" s="227"/>
      <c r="O447" s="227"/>
      <c r="P447" s="227"/>
      <c r="Q447" s="227"/>
      <c r="R447" s="227"/>
    </row>
    <row r="448" spans="1:18">
      <c r="A448" s="2"/>
      <c r="B448" s="2"/>
      <c r="C448" s="120"/>
      <c r="D448" s="120"/>
      <c r="E448" s="118"/>
      <c r="F448" s="227"/>
      <c r="G448" s="227"/>
      <c r="H448" s="227"/>
      <c r="I448" s="227"/>
      <c r="J448" s="227"/>
      <c r="K448" s="227"/>
      <c r="L448" s="227"/>
      <c r="M448" s="227"/>
      <c r="N448" s="227"/>
      <c r="O448" s="227"/>
      <c r="P448" s="227"/>
      <c r="Q448" s="227"/>
      <c r="R448" s="227"/>
    </row>
    <row r="449" spans="1:18">
      <c r="A449" s="2"/>
      <c r="B449" s="2"/>
      <c r="C449" s="120"/>
      <c r="D449" s="120"/>
      <c r="E449" s="118"/>
      <c r="F449" s="227"/>
      <c r="G449" s="227"/>
      <c r="H449" s="227"/>
      <c r="I449" s="227"/>
      <c r="J449" s="227"/>
      <c r="K449" s="227"/>
      <c r="L449" s="227"/>
      <c r="M449" s="227"/>
      <c r="N449" s="227"/>
      <c r="O449" s="227"/>
      <c r="P449" s="227"/>
      <c r="Q449" s="227"/>
      <c r="R449" s="227"/>
    </row>
    <row r="450" spans="1:18">
      <c r="A450" s="2"/>
      <c r="B450" s="2"/>
      <c r="C450" s="120"/>
      <c r="D450" s="120"/>
      <c r="E450" s="118"/>
      <c r="F450" s="227"/>
      <c r="G450" s="227"/>
      <c r="H450" s="227"/>
      <c r="I450" s="227"/>
      <c r="J450" s="227"/>
      <c r="K450" s="227"/>
      <c r="L450" s="227"/>
      <c r="M450" s="227"/>
      <c r="N450" s="227"/>
      <c r="O450" s="227"/>
      <c r="P450" s="227"/>
      <c r="Q450" s="227"/>
      <c r="R450" s="227"/>
    </row>
    <row r="451" spans="1:18">
      <c r="A451" s="2"/>
      <c r="B451" s="2"/>
      <c r="C451" s="120"/>
      <c r="D451" s="120"/>
      <c r="E451" s="118"/>
      <c r="F451" s="227"/>
      <c r="G451" s="227"/>
      <c r="H451" s="227"/>
      <c r="I451" s="227"/>
      <c r="J451" s="227"/>
      <c r="K451" s="227"/>
      <c r="L451" s="227"/>
      <c r="M451" s="227"/>
      <c r="N451" s="227"/>
      <c r="O451" s="227"/>
      <c r="P451" s="227"/>
      <c r="Q451" s="227"/>
      <c r="R451" s="227"/>
    </row>
    <row r="452" spans="1:18">
      <c r="A452" s="2"/>
      <c r="B452" s="2"/>
      <c r="C452" s="120"/>
      <c r="D452" s="120"/>
      <c r="E452" s="118"/>
      <c r="F452" s="227"/>
      <c r="G452" s="227"/>
      <c r="H452" s="227"/>
      <c r="I452" s="227"/>
      <c r="J452" s="227"/>
      <c r="K452" s="227"/>
      <c r="L452" s="227"/>
      <c r="M452" s="227"/>
      <c r="N452" s="227"/>
      <c r="O452" s="227"/>
      <c r="P452" s="227"/>
      <c r="Q452" s="227"/>
      <c r="R452" s="227"/>
    </row>
    <row r="453" spans="1:18">
      <c r="A453" s="2"/>
      <c r="B453" s="2"/>
      <c r="C453" s="120"/>
      <c r="D453" s="120"/>
      <c r="E453" s="118"/>
      <c r="F453" s="227"/>
      <c r="G453" s="227"/>
      <c r="H453" s="227"/>
      <c r="I453" s="227"/>
      <c r="J453" s="227"/>
      <c r="K453" s="227"/>
      <c r="L453" s="227"/>
      <c r="M453" s="227"/>
      <c r="N453" s="227"/>
      <c r="O453" s="227"/>
      <c r="P453" s="227"/>
      <c r="Q453" s="227"/>
      <c r="R453" s="227"/>
    </row>
    <row r="454" spans="1:18">
      <c r="A454" s="2"/>
      <c r="B454" s="2"/>
      <c r="C454" s="120"/>
      <c r="D454" s="120"/>
      <c r="E454" s="118"/>
      <c r="F454" s="227"/>
      <c r="G454" s="227"/>
      <c r="H454" s="227"/>
      <c r="I454" s="227"/>
      <c r="J454" s="227"/>
      <c r="K454" s="227"/>
      <c r="L454" s="227"/>
      <c r="M454" s="227"/>
      <c r="N454" s="227"/>
      <c r="O454" s="227"/>
      <c r="P454" s="227"/>
      <c r="Q454" s="227"/>
      <c r="R454" s="227"/>
    </row>
    <row r="455" spans="1:18">
      <c r="A455" s="2"/>
      <c r="B455" s="2"/>
      <c r="C455" s="120"/>
      <c r="D455" s="120"/>
      <c r="E455" s="118"/>
      <c r="F455" s="227"/>
      <c r="G455" s="227"/>
      <c r="H455" s="227"/>
      <c r="I455" s="227"/>
      <c r="J455" s="227"/>
      <c r="K455" s="227"/>
      <c r="L455" s="227"/>
      <c r="M455" s="227"/>
      <c r="N455" s="227"/>
      <c r="O455" s="227"/>
      <c r="P455" s="227"/>
      <c r="Q455" s="227"/>
      <c r="R455" s="227"/>
    </row>
    <row r="456" spans="1:18">
      <c r="A456" s="2"/>
      <c r="B456" s="2"/>
      <c r="C456" s="120"/>
      <c r="D456" s="120"/>
      <c r="E456" s="118"/>
      <c r="F456" s="227"/>
      <c r="G456" s="227"/>
      <c r="H456" s="227"/>
      <c r="I456" s="227"/>
      <c r="J456" s="227"/>
      <c r="K456" s="227"/>
      <c r="L456" s="227"/>
      <c r="M456" s="227"/>
      <c r="N456" s="227"/>
      <c r="O456" s="227"/>
      <c r="P456" s="227"/>
      <c r="Q456" s="227"/>
      <c r="R456" s="227"/>
    </row>
    <row r="457" spans="1:18">
      <c r="A457" s="2"/>
      <c r="B457" s="2"/>
      <c r="C457" s="120"/>
      <c r="D457" s="120"/>
      <c r="E457" s="118"/>
      <c r="F457" s="227"/>
      <c r="G457" s="227"/>
      <c r="H457" s="227"/>
      <c r="I457" s="227"/>
      <c r="J457" s="227"/>
      <c r="K457" s="227"/>
      <c r="L457" s="227"/>
      <c r="M457" s="227"/>
      <c r="N457" s="227"/>
      <c r="O457" s="227"/>
      <c r="P457" s="227"/>
      <c r="Q457" s="227"/>
      <c r="R457" s="227"/>
    </row>
    <row r="458" spans="1:18">
      <c r="A458" s="2"/>
      <c r="B458" s="2"/>
      <c r="C458" s="120"/>
      <c r="D458" s="120"/>
      <c r="E458" s="118"/>
      <c r="F458" s="227"/>
      <c r="G458" s="227"/>
      <c r="H458" s="227"/>
      <c r="I458" s="227"/>
      <c r="J458" s="227"/>
      <c r="K458" s="227"/>
      <c r="L458" s="227"/>
      <c r="M458" s="227"/>
      <c r="N458" s="227"/>
      <c r="O458" s="227"/>
      <c r="P458" s="227"/>
      <c r="Q458" s="227"/>
      <c r="R458" s="227"/>
    </row>
    <row r="459" spans="1:18">
      <c r="A459" s="2"/>
      <c r="B459" s="2"/>
      <c r="C459" s="120"/>
      <c r="D459" s="120"/>
      <c r="E459" s="118"/>
      <c r="F459" s="227"/>
      <c r="G459" s="227"/>
      <c r="H459" s="227"/>
      <c r="I459" s="227"/>
      <c r="J459" s="227"/>
      <c r="K459" s="227"/>
      <c r="L459" s="227"/>
      <c r="M459" s="227"/>
      <c r="N459" s="227"/>
      <c r="O459" s="227"/>
      <c r="P459" s="227"/>
      <c r="Q459" s="227"/>
      <c r="R459" s="227"/>
    </row>
    <row r="460" spans="1:18">
      <c r="A460" s="2"/>
      <c r="B460" s="2"/>
      <c r="C460" s="120"/>
      <c r="D460" s="120"/>
      <c r="E460" s="118"/>
      <c r="F460" s="227"/>
      <c r="G460" s="227"/>
      <c r="H460" s="227"/>
      <c r="I460" s="227"/>
      <c r="J460" s="227"/>
      <c r="K460" s="227"/>
      <c r="L460" s="227"/>
      <c r="M460" s="227"/>
      <c r="N460" s="227"/>
      <c r="O460" s="227"/>
      <c r="P460" s="227"/>
      <c r="Q460" s="227"/>
      <c r="R460" s="227"/>
    </row>
    <row r="461" spans="1:18">
      <c r="A461" s="2"/>
      <c r="B461" s="2"/>
      <c r="C461" s="120"/>
      <c r="D461" s="120"/>
      <c r="E461" s="118"/>
      <c r="F461" s="227"/>
      <c r="G461" s="227"/>
      <c r="H461" s="227"/>
      <c r="I461" s="227"/>
      <c r="J461" s="227"/>
      <c r="K461" s="227"/>
      <c r="L461" s="227"/>
      <c r="M461" s="227"/>
      <c r="N461" s="227"/>
      <c r="O461" s="227"/>
      <c r="P461" s="227"/>
      <c r="Q461" s="227"/>
      <c r="R461" s="227"/>
    </row>
    <row r="462" spans="1:18">
      <c r="A462" s="2"/>
      <c r="B462" s="2"/>
      <c r="C462" s="120"/>
      <c r="D462" s="120"/>
      <c r="E462" s="118"/>
      <c r="F462" s="227"/>
      <c r="G462" s="227"/>
      <c r="H462" s="227"/>
      <c r="I462" s="227"/>
      <c r="J462" s="227"/>
      <c r="K462" s="227"/>
      <c r="L462" s="227"/>
      <c r="M462" s="227"/>
      <c r="N462" s="227"/>
      <c r="O462" s="227"/>
      <c r="P462" s="227"/>
      <c r="Q462" s="227"/>
      <c r="R462" s="227"/>
    </row>
    <row r="463" spans="1:18">
      <c r="A463" s="2"/>
      <c r="B463" s="2"/>
      <c r="C463" s="120"/>
      <c r="D463" s="120"/>
      <c r="E463" s="118"/>
      <c r="F463" s="227"/>
      <c r="G463" s="227"/>
      <c r="H463" s="227"/>
      <c r="I463" s="227"/>
      <c r="J463" s="227"/>
      <c r="K463" s="227"/>
      <c r="L463" s="227"/>
      <c r="M463" s="227"/>
      <c r="N463" s="227"/>
      <c r="O463" s="227"/>
      <c r="P463" s="227"/>
      <c r="Q463" s="227"/>
      <c r="R463" s="227"/>
    </row>
    <row r="464" spans="1:18">
      <c r="A464" s="2"/>
      <c r="B464" s="2"/>
      <c r="C464" s="120"/>
      <c r="D464" s="120"/>
      <c r="E464" s="118"/>
      <c r="F464" s="227"/>
      <c r="G464" s="227"/>
      <c r="H464" s="227"/>
      <c r="I464" s="227"/>
      <c r="J464" s="227"/>
      <c r="K464" s="227"/>
      <c r="L464" s="227"/>
      <c r="M464" s="227"/>
      <c r="N464" s="227"/>
      <c r="O464" s="227"/>
      <c r="P464" s="227"/>
      <c r="Q464" s="227"/>
      <c r="R464" s="227"/>
    </row>
    <row r="465" spans="1:18">
      <c r="A465" s="2"/>
      <c r="B465" s="2"/>
      <c r="C465" s="120"/>
      <c r="D465" s="120"/>
      <c r="E465" s="118"/>
      <c r="F465" s="227"/>
      <c r="G465" s="227"/>
      <c r="H465" s="227"/>
      <c r="I465" s="227"/>
      <c r="J465" s="227"/>
      <c r="K465" s="227"/>
      <c r="L465" s="227"/>
      <c r="M465" s="227"/>
      <c r="N465" s="227"/>
      <c r="O465" s="227"/>
      <c r="P465" s="227"/>
      <c r="Q465" s="227"/>
      <c r="R465" s="227"/>
    </row>
    <row r="466" spans="1:18">
      <c r="A466" s="2"/>
      <c r="B466" s="2"/>
      <c r="C466" s="120"/>
      <c r="D466" s="120"/>
      <c r="E466" s="118"/>
      <c r="F466" s="227"/>
      <c r="G466" s="227"/>
      <c r="H466" s="227"/>
      <c r="I466" s="227"/>
      <c r="J466" s="227"/>
      <c r="K466" s="227"/>
      <c r="L466" s="227"/>
      <c r="M466" s="227"/>
      <c r="N466" s="227"/>
      <c r="O466" s="227"/>
      <c r="P466" s="227"/>
      <c r="Q466" s="227"/>
      <c r="R466" s="227"/>
    </row>
    <row r="467" spans="1:18">
      <c r="A467" s="2"/>
      <c r="B467" s="2"/>
      <c r="C467" s="120"/>
      <c r="D467" s="120"/>
      <c r="E467" s="118"/>
      <c r="F467" s="227"/>
      <c r="G467" s="227"/>
      <c r="H467" s="227"/>
      <c r="I467" s="227"/>
      <c r="J467" s="227"/>
      <c r="K467" s="227"/>
      <c r="L467" s="227"/>
      <c r="M467" s="227"/>
      <c r="N467" s="227"/>
      <c r="O467" s="227"/>
      <c r="P467" s="227"/>
      <c r="Q467" s="227"/>
      <c r="R467" s="227"/>
    </row>
    <row r="468" spans="1:18">
      <c r="A468" s="2"/>
      <c r="B468" s="2"/>
      <c r="C468" s="120"/>
      <c r="D468" s="120"/>
      <c r="E468" s="118"/>
      <c r="F468" s="227"/>
      <c r="G468" s="227"/>
      <c r="H468" s="227"/>
      <c r="I468" s="227"/>
      <c r="J468" s="227"/>
      <c r="K468" s="227"/>
      <c r="L468" s="227"/>
      <c r="M468" s="227"/>
      <c r="N468" s="227"/>
      <c r="O468" s="227"/>
      <c r="P468" s="227"/>
      <c r="Q468" s="227"/>
      <c r="R468" s="227"/>
    </row>
    <row r="469" spans="1:18">
      <c r="A469" s="2"/>
      <c r="B469" s="2"/>
      <c r="C469" s="120"/>
      <c r="D469" s="120"/>
      <c r="E469" s="118"/>
      <c r="F469" s="227"/>
      <c r="G469" s="227"/>
      <c r="H469" s="227"/>
      <c r="I469" s="227"/>
      <c r="J469" s="227"/>
      <c r="K469" s="227"/>
      <c r="L469" s="227"/>
      <c r="M469" s="227"/>
      <c r="N469" s="227"/>
      <c r="O469" s="227"/>
      <c r="P469" s="227"/>
      <c r="Q469" s="227"/>
      <c r="R469" s="227"/>
    </row>
    <row r="470" spans="1:18">
      <c r="A470" s="2"/>
      <c r="B470" s="2"/>
      <c r="C470" s="120"/>
      <c r="D470" s="120"/>
      <c r="E470" s="118"/>
      <c r="F470" s="227"/>
      <c r="G470" s="227"/>
      <c r="H470" s="227"/>
      <c r="I470" s="227"/>
      <c r="J470" s="227"/>
      <c r="K470" s="227"/>
      <c r="L470" s="227"/>
      <c r="M470" s="227"/>
      <c r="N470" s="227"/>
      <c r="O470" s="227"/>
      <c r="P470" s="227"/>
      <c r="Q470" s="227"/>
      <c r="R470" s="227"/>
    </row>
    <row r="471" spans="1:18">
      <c r="A471" s="2"/>
      <c r="B471" s="2"/>
      <c r="C471" s="120"/>
      <c r="D471" s="120"/>
      <c r="E471" s="118"/>
      <c r="F471" s="227"/>
      <c r="G471" s="227"/>
      <c r="H471" s="227"/>
      <c r="I471" s="227"/>
      <c r="J471" s="227"/>
      <c r="K471" s="227"/>
      <c r="L471" s="227"/>
      <c r="M471" s="227"/>
      <c r="N471" s="227"/>
      <c r="O471" s="227"/>
      <c r="P471" s="227"/>
      <c r="Q471" s="227"/>
      <c r="R471" s="227"/>
    </row>
    <row r="472" spans="1:18">
      <c r="A472" s="2"/>
      <c r="B472" s="2"/>
      <c r="C472" s="120"/>
      <c r="D472" s="120"/>
      <c r="E472" s="118"/>
      <c r="F472" s="227"/>
      <c r="G472" s="227"/>
      <c r="H472" s="227"/>
      <c r="I472" s="227"/>
      <c r="J472" s="227"/>
      <c r="K472" s="227"/>
      <c r="L472" s="227"/>
      <c r="M472" s="227"/>
      <c r="N472" s="227"/>
      <c r="O472" s="227"/>
      <c r="P472" s="227"/>
      <c r="Q472" s="227"/>
      <c r="R472" s="227"/>
    </row>
    <row r="473" spans="1:18">
      <c r="A473" s="2"/>
      <c r="B473" s="2"/>
      <c r="C473" s="120"/>
      <c r="D473" s="120"/>
      <c r="E473" s="118"/>
      <c r="F473" s="227"/>
      <c r="G473" s="227"/>
      <c r="H473" s="227"/>
      <c r="I473" s="227"/>
      <c r="J473" s="227"/>
      <c r="K473" s="227"/>
      <c r="L473" s="227"/>
      <c r="M473" s="227"/>
      <c r="N473" s="227"/>
      <c r="O473" s="227"/>
      <c r="P473" s="227"/>
      <c r="Q473" s="227"/>
      <c r="R473" s="227"/>
    </row>
    <row r="474" spans="1:18">
      <c r="A474" s="2"/>
      <c r="B474" s="2"/>
      <c r="C474" s="120"/>
      <c r="D474" s="120"/>
      <c r="E474" s="118"/>
      <c r="F474" s="227"/>
      <c r="G474" s="227"/>
      <c r="H474" s="227"/>
      <c r="I474" s="227"/>
      <c r="J474" s="227"/>
      <c r="K474" s="227"/>
      <c r="L474" s="227"/>
      <c r="M474" s="227"/>
      <c r="N474" s="227"/>
      <c r="O474" s="227"/>
      <c r="P474" s="227"/>
      <c r="Q474" s="227"/>
      <c r="R474" s="227"/>
    </row>
    <row r="475" spans="1:18">
      <c r="A475" s="2"/>
      <c r="B475" s="2"/>
      <c r="C475" s="120"/>
      <c r="D475" s="120"/>
      <c r="E475" s="118"/>
      <c r="F475" s="227"/>
      <c r="G475" s="227"/>
      <c r="H475" s="227"/>
      <c r="I475" s="227"/>
      <c r="J475" s="227"/>
      <c r="K475" s="227"/>
      <c r="L475" s="227"/>
      <c r="M475" s="227"/>
      <c r="N475" s="227"/>
      <c r="O475" s="227"/>
      <c r="P475" s="227"/>
      <c r="Q475" s="227"/>
      <c r="R475" s="227"/>
    </row>
    <row r="476" spans="1:18">
      <c r="A476" s="2"/>
      <c r="B476" s="2"/>
      <c r="C476" s="120"/>
      <c r="D476" s="120"/>
      <c r="E476" s="118"/>
      <c r="F476" s="227"/>
      <c r="G476" s="227"/>
      <c r="H476" s="227"/>
      <c r="I476" s="227"/>
      <c r="J476" s="227"/>
      <c r="K476" s="227"/>
      <c r="L476" s="227"/>
      <c r="M476" s="227"/>
      <c r="N476" s="227"/>
      <c r="O476" s="227"/>
      <c r="P476" s="227"/>
      <c r="Q476" s="227"/>
      <c r="R476" s="227"/>
    </row>
    <row r="477" spans="1:18">
      <c r="A477" s="2"/>
      <c r="B477" s="2"/>
      <c r="C477" s="120"/>
      <c r="D477" s="120"/>
      <c r="E477" s="118"/>
      <c r="F477" s="227"/>
      <c r="G477" s="227"/>
      <c r="H477" s="227"/>
      <c r="I477" s="227"/>
      <c r="J477" s="227"/>
      <c r="K477" s="227"/>
      <c r="L477" s="227"/>
      <c r="M477" s="227"/>
      <c r="N477" s="227"/>
      <c r="O477" s="227"/>
      <c r="P477" s="227"/>
      <c r="Q477" s="227"/>
      <c r="R477" s="227"/>
    </row>
    <row r="478" spans="1:18">
      <c r="A478" s="2"/>
      <c r="B478" s="2"/>
      <c r="C478" s="120"/>
      <c r="D478" s="120"/>
      <c r="E478" s="118"/>
      <c r="F478" s="227"/>
      <c r="G478" s="227"/>
      <c r="H478" s="227"/>
      <c r="I478" s="227"/>
      <c r="J478" s="227"/>
      <c r="K478" s="227"/>
      <c r="L478" s="227"/>
      <c r="M478" s="227"/>
      <c r="N478" s="227"/>
      <c r="O478" s="227"/>
      <c r="P478" s="227"/>
      <c r="Q478" s="227"/>
      <c r="R478" s="227"/>
    </row>
    <row r="479" spans="1:18">
      <c r="A479" s="2"/>
      <c r="B479" s="2"/>
      <c r="C479" s="120"/>
      <c r="D479" s="120"/>
      <c r="E479" s="118"/>
      <c r="F479" s="227"/>
      <c r="G479" s="227"/>
      <c r="H479" s="227"/>
      <c r="I479" s="227"/>
      <c r="J479" s="227"/>
      <c r="K479" s="227"/>
      <c r="L479" s="227"/>
      <c r="M479" s="227"/>
      <c r="N479" s="227"/>
      <c r="O479" s="227"/>
      <c r="P479" s="227"/>
      <c r="Q479" s="227"/>
      <c r="R479" s="227"/>
    </row>
    <row r="480" spans="1:18">
      <c r="A480" s="2"/>
      <c r="B480" s="2"/>
      <c r="C480" s="120"/>
      <c r="D480" s="120"/>
      <c r="E480" s="118"/>
      <c r="F480" s="227"/>
      <c r="G480" s="227"/>
      <c r="H480" s="227"/>
      <c r="I480" s="227"/>
      <c r="J480" s="227"/>
      <c r="K480" s="227"/>
      <c r="L480" s="227"/>
      <c r="M480" s="227"/>
      <c r="N480" s="227"/>
      <c r="O480" s="227"/>
      <c r="P480" s="227"/>
      <c r="Q480" s="227"/>
      <c r="R480" s="227"/>
    </row>
    <row r="481" spans="1:18">
      <c r="A481" s="2"/>
      <c r="B481" s="2"/>
      <c r="C481" s="120"/>
      <c r="D481" s="120"/>
      <c r="E481" s="118"/>
      <c r="F481" s="227"/>
      <c r="G481" s="227"/>
      <c r="H481" s="227"/>
      <c r="I481" s="227"/>
      <c r="J481" s="227"/>
      <c r="K481" s="227"/>
      <c r="L481" s="227"/>
      <c r="M481" s="227"/>
      <c r="N481" s="227"/>
      <c r="O481" s="227"/>
      <c r="P481" s="227"/>
      <c r="Q481" s="227"/>
      <c r="R481" s="227"/>
    </row>
    <row r="482" spans="1:18">
      <c r="A482" s="2"/>
      <c r="B482" s="2"/>
      <c r="C482" s="120"/>
      <c r="D482" s="120"/>
      <c r="E482" s="118"/>
      <c r="F482" s="227"/>
      <c r="G482" s="227"/>
      <c r="H482" s="227"/>
      <c r="I482" s="227"/>
      <c r="J482" s="227"/>
      <c r="K482" s="227"/>
      <c r="L482" s="227"/>
      <c r="M482" s="227"/>
      <c r="N482" s="227"/>
      <c r="O482" s="227"/>
      <c r="P482" s="227"/>
      <c r="Q482" s="227"/>
      <c r="R482" s="227"/>
    </row>
    <row r="483" spans="1:18">
      <c r="A483" s="2"/>
      <c r="B483" s="2"/>
      <c r="C483" s="120"/>
      <c r="D483" s="120"/>
      <c r="E483" s="118"/>
      <c r="F483" s="227"/>
      <c r="G483" s="227"/>
      <c r="H483" s="227"/>
      <c r="I483" s="227"/>
      <c r="J483" s="227"/>
      <c r="K483" s="227"/>
      <c r="L483" s="227"/>
      <c r="M483" s="227"/>
      <c r="N483" s="227"/>
      <c r="O483" s="227"/>
      <c r="P483" s="227"/>
      <c r="Q483" s="227"/>
      <c r="R483" s="227"/>
    </row>
    <row r="484" spans="1:18">
      <c r="A484" s="2"/>
      <c r="B484" s="2"/>
      <c r="C484" s="120"/>
      <c r="D484" s="120"/>
      <c r="E484" s="118"/>
      <c r="F484" s="227"/>
      <c r="G484" s="227"/>
      <c r="H484" s="227"/>
      <c r="I484" s="227"/>
      <c r="J484" s="227"/>
      <c r="K484" s="227"/>
      <c r="L484" s="227"/>
      <c r="M484" s="227"/>
      <c r="N484" s="227"/>
      <c r="O484" s="227"/>
      <c r="P484" s="227"/>
      <c r="Q484" s="227"/>
      <c r="R484" s="227"/>
    </row>
    <row r="485" spans="1:18">
      <c r="A485" s="2"/>
      <c r="B485" s="2"/>
      <c r="C485" s="120"/>
      <c r="D485" s="120"/>
      <c r="E485" s="118"/>
      <c r="F485" s="227"/>
      <c r="G485" s="227"/>
      <c r="H485" s="227"/>
      <c r="I485" s="227"/>
      <c r="J485" s="227"/>
      <c r="K485" s="227"/>
      <c r="L485" s="227"/>
      <c r="M485" s="227"/>
      <c r="N485" s="227"/>
      <c r="O485" s="227"/>
      <c r="P485" s="227"/>
      <c r="Q485" s="227"/>
      <c r="R485" s="227"/>
    </row>
    <row r="486" spans="1:18">
      <c r="A486" s="2"/>
      <c r="B486" s="2"/>
      <c r="C486" s="120"/>
      <c r="D486" s="120"/>
      <c r="E486" s="118"/>
      <c r="F486" s="227"/>
      <c r="G486" s="227"/>
      <c r="H486" s="227"/>
      <c r="I486" s="227"/>
      <c r="J486" s="227"/>
      <c r="K486" s="227"/>
      <c r="L486" s="227"/>
      <c r="M486" s="227"/>
      <c r="N486" s="227"/>
      <c r="O486" s="227"/>
      <c r="P486" s="227"/>
      <c r="Q486" s="227"/>
      <c r="R486" s="227"/>
    </row>
    <row r="487" spans="1:18">
      <c r="A487" s="2"/>
      <c r="B487" s="2"/>
      <c r="C487" s="120"/>
      <c r="D487" s="120"/>
      <c r="E487" s="118"/>
      <c r="F487" s="227"/>
      <c r="G487" s="227"/>
      <c r="H487" s="227"/>
      <c r="I487" s="227"/>
      <c r="J487" s="227"/>
      <c r="K487" s="227"/>
      <c r="L487" s="227"/>
      <c r="M487" s="227"/>
      <c r="N487" s="227"/>
      <c r="O487" s="227"/>
      <c r="P487" s="227"/>
      <c r="Q487" s="227"/>
      <c r="R487" s="227"/>
    </row>
    <row r="488" spans="1:18">
      <c r="A488" s="2"/>
      <c r="B488" s="2"/>
      <c r="C488" s="120"/>
      <c r="D488" s="120"/>
      <c r="E488" s="118"/>
      <c r="F488" s="227"/>
      <c r="G488" s="227"/>
      <c r="H488" s="227"/>
      <c r="I488" s="227"/>
      <c r="J488" s="227"/>
      <c r="K488" s="227"/>
      <c r="L488" s="227"/>
      <c r="M488" s="227"/>
      <c r="N488" s="227"/>
      <c r="O488" s="227"/>
      <c r="P488" s="227"/>
      <c r="Q488" s="227"/>
      <c r="R488" s="227"/>
    </row>
    <row r="489" spans="1:18">
      <c r="A489" s="2"/>
      <c r="B489" s="2"/>
      <c r="C489" s="120"/>
      <c r="D489" s="120"/>
      <c r="E489" s="118"/>
      <c r="F489" s="227"/>
      <c r="G489" s="227"/>
      <c r="H489" s="227"/>
      <c r="I489" s="227"/>
      <c r="J489" s="227"/>
      <c r="K489" s="227"/>
      <c r="L489" s="227"/>
      <c r="M489" s="227"/>
      <c r="N489" s="227"/>
      <c r="O489" s="227"/>
      <c r="P489" s="227"/>
      <c r="Q489" s="227"/>
      <c r="R489" s="227"/>
    </row>
    <row r="490" spans="1:18">
      <c r="A490" s="2"/>
      <c r="B490" s="2"/>
      <c r="C490" s="120"/>
      <c r="D490" s="120"/>
      <c r="E490" s="118"/>
      <c r="F490" s="227"/>
      <c r="G490" s="227"/>
      <c r="H490" s="227"/>
      <c r="I490" s="227"/>
      <c r="J490" s="227"/>
      <c r="K490" s="227"/>
      <c r="L490" s="227"/>
      <c r="M490" s="227"/>
      <c r="N490" s="227"/>
      <c r="O490" s="227"/>
      <c r="P490" s="227"/>
      <c r="Q490" s="227"/>
      <c r="R490" s="227"/>
    </row>
    <row r="491" spans="1:18">
      <c r="A491" s="2"/>
      <c r="B491" s="2"/>
      <c r="C491" s="120"/>
      <c r="D491" s="120"/>
      <c r="E491" s="118"/>
      <c r="F491" s="227"/>
      <c r="G491" s="227"/>
      <c r="H491" s="227"/>
      <c r="I491" s="227"/>
      <c r="J491" s="227"/>
      <c r="K491" s="227"/>
      <c r="L491" s="227"/>
      <c r="M491" s="227"/>
      <c r="N491" s="227"/>
      <c r="O491" s="227"/>
      <c r="P491" s="227"/>
      <c r="Q491" s="227"/>
      <c r="R491" s="227"/>
    </row>
    <row r="492" spans="1:18">
      <c r="A492" s="2"/>
      <c r="B492" s="2"/>
      <c r="C492" s="120"/>
      <c r="D492" s="120"/>
      <c r="E492" s="118"/>
      <c r="F492" s="227"/>
      <c r="G492" s="227"/>
      <c r="H492" s="227"/>
      <c r="I492" s="227"/>
      <c r="J492" s="227"/>
      <c r="K492" s="227"/>
      <c r="L492" s="227"/>
      <c r="M492" s="227"/>
      <c r="N492" s="227"/>
      <c r="O492" s="227"/>
      <c r="P492" s="227"/>
      <c r="Q492" s="227"/>
      <c r="R492" s="227"/>
    </row>
    <row r="493" spans="1:18">
      <c r="A493" s="2"/>
      <c r="B493" s="2"/>
      <c r="C493" s="120"/>
      <c r="D493" s="120"/>
      <c r="E493" s="118"/>
      <c r="F493" s="227"/>
      <c r="G493" s="227"/>
      <c r="H493" s="227"/>
      <c r="I493" s="227"/>
      <c r="J493" s="227"/>
      <c r="K493" s="227"/>
      <c r="L493" s="227"/>
      <c r="M493" s="227"/>
      <c r="N493" s="227"/>
      <c r="O493" s="227"/>
      <c r="P493" s="227"/>
      <c r="Q493" s="227"/>
      <c r="R493" s="227"/>
    </row>
    <row r="494" spans="1:18">
      <c r="A494" s="2"/>
      <c r="B494" s="2"/>
      <c r="C494" s="120"/>
      <c r="D494" s="120"/>
      <c r="E494" s="118"/>
      <c r="F494" s="227"/>
      <c r="G494" s="227"/>
      <c r="H494" s="227"/>
      <c r="I494" s="227"/>
      <c r="J494" s="227"/>
      <c r="K494" s="227"/>
      <c r="L494" s="227"/>
      <c r="M494" s="227"/>
      <c r="N494" s="227"/>
      <c r="O494" s="227"/>
      <c r="P494" s="227"/>
      <c r="Q494" s="227"/>
      <c r="R494" s="227"/>
    </row>
    <row r="495" spans="1:18">
      <c r="A495" s="2"/>
      <c r="B495" s="2"/>
      <c r="C495" s="120"/>
      <c r="D495" s="120"/>
      <c r="E495" s="118"/>
      <c r="F495" s="227"/>
      <c r="G495" s="227"/>
      <c r="H495" s="227"/>
      <c r="I495" s="227"/>
      <c r="J495" s="227"/>
      <c r="K495" s="227"/>
      <c r="L495" s="227"/>
      <c r="M495" s="227"/>
      <c r="N495" s="227"/>
      <c r="O495" s="227"/>
      <c r="P495" s="227"/>
      <c r="Q495" s="227"/>
      <c r="R495" s="227"/>
    </row>
    <row r="496" spans="1:18">
      <c r="A496" s="2"/>
      <c r="B496" s="2"/>
      <c r="C496" s="120"/>
      <c r="D496" s="120"/>
      <c r="E496" s="118"/>
      <c r="F496" s="227"/>
      <c r="G496" s="227"/>
      <c r="H496" s="227"/>
      <c r="I496" s="227"/>
      <c r="J496" s="227"/>
      <c r="K496" s="227"/>
      <c r="L496" s="227"/>
      <c r="M496" s="227"/>
      <c r="N496" s="227"/>
      <c r="O496" s="227"/>
      <c r="P496" s="227"/>
      <c r="Q496" s="227"/>
      <c r="R496" s="227"/>
    </row>
    <row r="497" spans="1:18">
      <c r="A497" s="2"/>
      <c r="B497" s="2"/>
      <c r="C497" s="120"/>
      <c r="D497" s="120"/>
      <c r="E497" s="118"/>
      <c r="F497" s="227"/>
      <c r="G497" s="227"/>
      <c r="H497" s="227"/>
      <c r="I497" s="227"/>
      <c r="J497" s="227"/>
      <c r="K497" s="227"/>
      <c r="L497" s="227"/>
      <c r="M497" s="227"/>
      <c r="N497" s="227"/>
      <c r="O497" s="227"/>
      <c r="P497" s="227"/>
      <c r="Q497" s="227"/>
      <c r="R497" s="227"/>
    </row>
    <row r="498" spans="1:18">
      <c r="A498" s="2"/>
      <c r="B498" s="2"/>
      <c r="C498" s="120"/>
      <c r="D498" s="120"/>
      <c r="E498" s="118"/>
      <c r="F498" s="227"/>
      <c r="G498" s="227"/>
      <c r="H498" s="227"/>
      <c r="I498" s="227"/>
      <c r="J498" s="227"/>
      <c r="K498" s="227"/>
      <c r="L498" s="227"/>
      <c r="M498" s="227"/>
      <c r="N498" s="227"/>
      <c r="O498" s="227"/>
      <c r="P498" s="227"/>
      <c r="Q498" s="227"/>
      <c r="R498" s="227"/>
    </row>
    <row r="499" spans="1:18">
      <c r="A499" s="2"/>
      <c r="B499" s="2"/>
      <c r="C499" s="120"/>
      <c r="D499" s="120"/>
      <c r="E499" s="118"/>
      <c r="F499" s="227"/>
      <c r="G499" s="227"/>
      <c r="H499" s="227"/>
      <c r="I499" s="227"/>
      <c r="J499" s="227"/>
      <c r="K499" s="227"/>
      <c r="L499" s="227"/>
      <c r="M499" s="227"/>
      <c r="N499" s="227"/>
      <c r="O499" s="227"/>
      <c r="P499" s="227"/>
      <c r="Q499" s="227"/>
      <c r="R499" s="227"/>
    </row>
    <row r="500" spans="1:18">
      <c r="A500" s="2"/>
      <c r="B500" s="2"/>
      <c r="C500" s="120"/>
      <c r="D500" s="120"/>
      <c r="E500" s="118"/>
      <c r="F500" s="227"/>
      <c r="G500" s="227"/>
      <c r="H500" s="227"/>
      <c r="I500" s="227"/>
      <c r="J500" s="227"/>
      <c r="K500" s="227"/>
      <c r="L500" s="227"/>
      <c r="M500" s="227"/>
      <c r="N500" s="227"/>
      <c r="O500" s="227"/>
      <c r="P500" s="227"/>
      <c r="Q500" s="227"/>
      <c r="R500" s="227"/>
    </row>
    <row r="501" spans="1:18">
      <c r="A501" s="2"/>
      <c r="B501" s="2"/>
      <c r="C501" s="120"/>
      <c r="D501" s="120"/>
      <c r="E501" s="118"/>
      <c r="F501" s="227"/>
      <c r="G501" s="227"/>
      <c r="H501" s="227"/>
      <c r="I501" s="227"/>
      <c r="J501" s="227"/>
      <c r="K501" s="227"/>
      <c r="L501" s="227"/>
      <c r="M501" s="227"/>
      <c r="N501" s="227"/>
      <c r="O501" s="227"/>
      <c r="P501" s="227"/>
      <c r="Q501" s="227"/>
      <c r="R501" s="227"/>
    </row>
    <row r="502" spans="1:18">
      <c r="A502" s="2"/>
      <c r="B502" s="2"/>
      <c r="C502" s="120"/>
      <c r="D502" s="120"/>
      <c r="E502" s="118"/>
      <c r="F502" s="227"/>
      <c r="G502" s="227"/>
      <c r="H502" s="227"/>
      <c r="I502" s="227"/>
      <c r="J502" s="227"/>
      <c r="K502" s="227"/>
      <c r="L502" s="227"/>
      <c r="M502" s="227"/>
      <c r="N502" s="227"/>
      <c r="O502" s="227"/>
      <c r="P502" s="227"/>
      <c r="Q502" s="227"/>
      <c r="R502" s="227"/>
    </row>
    <row r="503" spans="1:18">
      <c r="A503" s="2"/>
      <c r="B503" s="2"/>
      <c r="C503" s="120"/>
      <c r="D503" s="120"/>
      <c r="E503" s="118"/>
      <c r="F503" s="227"/>
      <c r="G503" s="227"/>
      <c r="H503" s="227"/>
      <c r="I503" s="227"/>
      <c r="J503" s="227"/>
      <c r="K503" s="227"/>
      <c r="L503" s="227"/>
      <c r="M503" s="227"/>
      <c r="N503" s="227"/>
      <c r="O503" s="227"/>
      <c r="P503" s="227"/>
      <c r="Q503" s="227"/>
      <c r="R503" s="227"/>
    </row>
    <row r="504" spans="1:18">
      <c r="A504" s="2"/>
      <c r="B504" s="2"/>
      <c r="C504" s="120"/>
      <c r="D504" s="120"/>
      <c r="E504" s="118"/>
      <c r="F504" s="227"/>
      <c r="G504" s="227"/>
      <c r="H504" s="227"/>
      <c r="I504" s="227"/>
      <c r="J504" s="227"/>
      <c r="K504" s="227"/>
      <c r="L504" s="227"/>
      <c r="M504" s="227"/>
      <c r="N504" s="227"/>
      <c r="O504" s="227"/>
      <c r="P504" s="227"/>
      <c r="Q504" s="227"/>
      <c r="R504" s="227"/>
    </row>
    <row r="505" spans="1:18">
      <c r="A505" s="2"/>
      <c r="B505" s="2"/>
      <c r="C505" s="120"/>
      <c r="D505" s="120"/>
      <c r="E505" s="118"/>
      <c r="F505" s="227"/>
      <c r="G505" s="227"/>
      <c r="H505" s="227"/>
      <c r="I505" s="227"/>
      <c r="J505" s="227"/>
      <c r="K505" s="227"/>
      <c r="L505" s="227"/>
      <c r="M505" s="227"/>
      <c r="N505" s="227"/>
      <c r="O505" s="227"/>
      <c r="P505" s="227"/>
      <c r="Q505" s="227"/>
      <c r="R505" s="227"/>
    </row>
    <row r="506" spans="1:18">
      <c r="A506" s="2"/>
      <c r="B506" s="2"/>
      <c r="C506" s="120"/>
      <c r="D506" s="120"/>
      <c r="E506" s="118"/>
      <c r="F506" s="227"/>
      <c r="G506" s="227"/>
      <c r="H506" s="227"/>
      <c r="I506" s="227"/>
      <c r="J506" s="227"/>
      <c r="K506" s="227"/>
      <c r="L506" s="227"/>
      <c r="M506" s="227"/>
      <c r="N506" s="227"/>
      <c r="O506" s="227"/>
      <c r="P506" s="227"/>
      <c r="Q506" s="227"/>
      <c r="R506" s="227"/>
    </row>
    <row r="507" spans="1:18">
      <c r="A507" s="2"/>
      <c r="B507" s="2"/>
      <c r="C507" s="120"/>
      <c r="D507" s="120"/>
      <c r="E507" s="118"/>
      <c r="F507" s="227"/>
      <c r="G507" s="227"/>
      <c r="H507" s="227"/>
      <c r="I507" s="227"/>
      <c r="J507" s="227"/>
      <c r="K507" s="227"/>
      <c r="L507" s="227"/>
      <c r="M507" s="227"/>
      <c r="N507" s="227"/>
      <c r="O507" s="227"/>
      <c r="P507" s="227"/>
      <c r="Q507" s="227"/>
      <c r="R507" s="227"/>
    </row>
    <row r="508" spans="1:18">
      <c r="A508" s="2"/>
      <c r="B508" s="2"/>
      <c r="C508" s="120"/>
      <c r="D508" s="120"/>
      <c r="E508" s="118"/>
      <c r="F508" s="227"/>
      <c r="G508" s="227"/>
      <c r="H508" s="227"/>
      <c r="I508" s="227"/>
      <c r="J508" s="227"/>
      <c r="K508" s="227"/>
      <c r="L508" s="227"/>
      <c r="M508" s="227"/>
      <c r="N508" s="227"/>
      <c r="O508" s="227"/>
      <c r="P508" s="227"/>
      <c r="Q508" s="227"/>
      <c r="R508" s="227"/>
    </row>
    <row r="509" spans="1:18">
      <c r="A509" s="2"/>
      <c r="B509" s="2"/>
      <c r="C509" s="120"/>
      <c r="D509" s="120"/>
      <c r="E509" s="118"/>
      <c r="F509" s="227"/>
      <c r="G509" s="227"/>
      <c r="H509" s="227"/>
      <c r="I509" s="227"/>
      <c r="J509" s="227"/>
      <c r="K509" s="227"/>
      <c r="L509" s="227"/>
      <c r="M509" s="227"/>
      <c r="N509" s="227"/>
      <c r="O509" s="227"/>
      <c r="P509" s="227"/>
      <c r="Q509" s="227"/>
      <c r="R509" s="227"/>
    </row>
    <row r="510" spans="1:18">
      <c r="A510" s="2"/>
      <c r="B510" s="2"/>
      <c r="C510" s="120"/>
      <c r="D510" s="120"/>
      <c r="E510" s="118"/>
      <c r="F510" s="227"/>
      <c r="G510" s="227"/>
      <c r="H510" s="227"/>
      <c r="I510" s="227"/>
      <c r="J510" s="227"/>
      <c r="K510" s="227"/>
      <c r="L510" s="227"/>
      <c r="M510" s="227"/>
      <c r="N510" s="227"/>
      <c r="O510" s="227"/>
      <c r="P510" s="227"/>
      <c r="Q510" s="227"/>
      <c r="R510" s="227"/>
    </row>
    <row r="511" spans="1:18">
      <c r="A511" s="2"/>
      <c r="B511" s="2"/>
      <c r="C511" s="120"/>
      <c r="D511" s="120"/>
      <c r="E511" s="118"/>
      <c r="F511" s="227"/>
      <c r="G511" s="227"/>
      <c r="H511" s="227"/>
      <c r="I511" s="227"/>
      <c r="J511" s="227"/>
      <c r="K511" s="227"/>
      <c r="L511" s="227"/>
      <c r="M511" s="227"/>
      <c r="N511" s="227"/>
      <c r="O511" s="227"/>
      <c r="P511" s="227"/>
      <c r="Q511" s="227"/>
      <c r="R511" s="227"/>
    </row>
    <row r="512" spans="1:18">
      <c r="A512" s="2"/>
      <c r="B512" s="2"/>
      <c r="C512" s="120"/>
      <c r="D512" s="120"/>
      <c r="E512" s="118"/>
      <c r="F512" s="227"/>
      <c r="G512" s="227"/>
      <c r="H512" s="227"/>
      <c r="I512" s="227"/>
      <c r="J512" s="227"/>
      <c r="K512" s="227"/>
      <c r="L512" s="227"/>
      <c r="M512" s="227"/>
      <c r="N512" s="227"/>
      <c r="O512" s="227"/>
      <c r="P512" s="227"/>
      <c r="Q512" s="227"/>
      <c r="R512" s="227"/>
    </row>
    <row r="513" spans="1:18">
      <c r="A513" s="2"/>
      <c r="B513" s="2"/>
      <c r="C513" s="120"/>
      <c r="D513" s="120"/>
      <c r="E513" s="118"/>
      <c r="F513" s="227"/>
      <c r="G513" s="227"/>
      <c r="H513" s="227"/>
      <c r="I513" s="227"/>
      <c r="J513" s="227"/>
      <c r="K513" s="227"/>
      <c r="L513" s="227"/>
      <c r="M513" s="227"/>
      <c r="N513" s="227"/>
      <c r="O513" s="227"/>
      <c r="P513" s="227"/>
      <c r="Q513" s="227"/>
      <c r="R513" s="227"/>
    </row>
    <row r="514" spans="1:18">
      <c r="A514" s="2"/>
      <c r="B514" s="2"/>
      <c r="C514" s="120"/>
      <c r="D514" s="120"/>
      <c r="E514" s="118"/>
      <c r="F514" s="227"/>
      <c r="G514" s="227"/>
      <c r="H514" s="227"/>
      <c r="I514" s="227"/>
      <c r="J514" s="227"/>
      <c r="K514" s="227"/>
      <c r="L514" s="227"/>
      <c r="M514" s="227"/>
      <c r="N514" s="227"/>
      <c r="O514" s="227"/>
      <c r="P514" s="227"/>
      <c r="Q514" s="227"/>
      <c r="R514" s="227"/>
    </row>
    <row r="515" spans="1:18">
      <c r="A515" s="2"/>
      <c r="B515" s="2"/>
      <c r="C515" s="120"/>
      <c r="D515" s="120"/>
      <c r="E515" s="118"/>
      <c r="F515" s="227"/>
      <c r="G515" s="227"/>
      <c r="H515" s="227"/>
      <c r="I515" s="227"/>
      <c r="J515" s="227"/>
      <c r="K515" s="227"/>
      <c r="L515" s="227"/>
      <c r="M515" s="227"/>
      <c r="N515" s="227"/>
      <c r="O515" s="227"/>
      <c r="P515" s="227"/>
      <c r="Q515" s="227"/>
      <c r="R515" s="227"/>
    </row>
    <row r="516" spans="1:18">
      <c r="A516" s="2"/>
      <c r="B516" s="2"/>
      <c r="C516" s="120"/>
      <c r="D516" s="120"/>
      <c r="E516" s="118"/>
      <c r="F516" s="227"/>
      <c r="G516" s="227"/>
      <c r="H516" s="227"/>
      <c r="I516" s="227"/>
      <c r="J516" s="227"/>
      <c r="K516" s="227"/>
      <c r="L516" s="227"/>
      <c r="M516" s="227"/>
      <c r="N516" s="227"/>
      <c r="O516" s="227"/>
      <c r="P516" s="227"/>
      <c r="Q516" s="227"/>
      <c r="R516" s="227"/>
    </row>
    <row r="517" spans="1:18">
      <c r="A517" s="2"/>
      <c r="B517" s="2"/>
      <c r="C517" s="120"/>
      <c r="D517" s="120"/>
      <c r="E517" s="118"/>
      <c r="F517" s="227"/>
      <c r="G517" s="227"/>
      <c r="H517" s="227"/>
      <c r="I517" s="227"/>
      <c r="J517" s="227"/>
      <c r="K517" s="227"/>
      <c r="L517" s="227"/>
      <c r="M517" s="227"/>
      <c r="N517" s="227"/>
      <c r="O517" s="227"/>
      <c r="P517" s="227"/>
      <c r="Q517" s="227"/>
      <c r="R517" s="227"/>
    </row>
    <row r="518" spans="1:18">
      <c r="A518" s="2"/>
      <c r="B518" s="2"/>
      <c r="C518" s="120"/>
      <c r="D518" s="120"/>
      <c r="E518" s="118"/>
      <c r="F518" s="227"/>
      <c r="G518" s="227"/>
      <c r="H518" s="227"/>
      <c r="I518" s="227"/>
      <c r="J518" s="227"/>
      <c r="K518" s="227"/>
      <c r="L518" s="227"/>
      <c r="M518" s="227"/>
      <c r="N518" s="227"/>
      <c r="O518" s="227"/>
      <c r="P518" s="227"/>
      <c r="Q518" s="227"/>
      <c r="R518" s="227"/>
    </row>
    <row r="519" spans="1:18">
      <c r="A519" s="2"/>
      <c r="B519" s="2"/>
      <c r="C519" s="120"/>
      <c r="D519" s="120"/>
      <c r="E519" s="118"/>
      <c r="F519" s="227"/>
      <c r="G519" s="227"/>
      <c r="H519" s="227"/>
      <c r="I519" s="227"/>
      <c r="J519" s="227"/>
      <c r="K519" s="227"/>
      <c r="L519" s="227"/>
      <c r="M519" s="227"/>
      <c r="N519" s="227"/>
      <c r="O519" s="227"/>
      <c r="P519" s="227"/>
      <c r="Q519" s="227"/>
      <c r="R519" s="227"/>
    </row>
    <row r="520" spans="1:18">
      <c r="A520" s="2"/>
      <c r="B520" s="2"/>
      <c r="C520" s="120"/>
      <c r="D520" s="120"/>
      <c r="E520" s="118"/>
      <c r="F520" s="227"/>
      <c r="G520" s="227"/>
      <c r="H520" s="227"/>
      <c r="I520" s="227"/>
      <c r="J520" s="227"/>
      <c r="K520" s="227"/>
      <c r="L520" s="227"/>
      <c r="M520" s="227"/>
      <c r="N520" s="227"/>
      <c r="O520" s="227"/>
      <c r="P520" s="227"/>
      <c r="Q520" s="227"/>
      <c r="R520" s="227"/>
    </row>
    <row r="521" spans="1:18">
      <c r="A521" s="2"/>
      <c r="B521" s="2"/>
      <c r="C521" s="120"/>
      <c r="D521" s="120"/>
      <c r="E521" s="118"/>
      <c r="F521" s="227"/>
      <c r="G521" s="227"/>
      <c r="H521" s="227"/>
      <c r="I521" s="227"/>
      <c r="J521" s="227"/>
      <c r="K521" s="227"/>
      <c r="L521" s="227"/>
      <c r="M521" s="227"/>
      <c r="N521" s="227"/>
      <c r="O521" s="227"/>
      <c r="P521" s="227"/>
      <c r="Q521" s="227"/>
      <c r="R521" s="227"/>
    </row>
    <row r="522" spans="1:18">
      <c r="A522" s="2"/>
      <c r="B522" s="2"/>
      <c r="C522" s="120"/>
      <c r="D522" s="120"/>
      <c r="E522" s="118"/>
      <c r="F522" s="227"/>
      <c r="G522" s="227"/>
      <c r="H522" s="227"/>
      <c r="I522" s="227"/>
      <c r="J522" s="227"/>
      <c r="K522" s="227"/>
      <c r="L522" s="227"/>
      <c r="M522" s="227"/>
      <c r="N522" s="227"/>
      <c r="O522" s="227"/>
      <c r="P522" s="227"/>
      <c r="Q522" s="227"/>
      <c r="R522" s="227"/>
    </row>
    <row r="523" spans="1:18">
      <c r="A523" s="2"/>
      <c r="B523" s="2"/>
      <c r="C523" s="120"/>
      <c r="D523" s="120"/>
      <c r="E523" s="118"/>
      <c r="F523" s="227"/>
      <c r="G523" s="227"/>
      <c r="H523" s="227"/>
      <c r="I523" s="227"/>
      <c r="J523" s="227"/>
      <c r="K523" s="227"/>
      <c r="L523" s="227"/>
      <c r="M523" s="227"/>
      <c r="N523" s="227"/>
      <c r="O523" s="227"/>
      <c r="P523" s="227"/>
      <c r="Q523" s="227"/>
      <c r="R523" s="227"/>
    </row>
    <row r="524" spans="1:18">
      <c r="A524" s="2"/>
      <c r="B524" s="2"/>
      <c r="C524" s="120"/>
      <c r="D524" s="120"/>
      <c r="E524" s="118"/>
      <c r="F524" s="227"/>
      <c r="G524" s="227"/>
      <c r="H524" s="227"/>
      <c r="I524" s="227"/>
      <c r="J524" s="227"/>
      <c r="K524" s="227"/>
      <c r="L524" s="227"/>
      <c r="M524" s="227"/>
      <c r="N524" s="227"/>
      <c r="O524" s="227"/>
      <c r="P524" s="227"/>
      <c r="Q524" s="227"/>
      <c r="R524" s="227"/>
    </row>
    <row r="525" spans="1:18">
      <c r="A525" s="2"/>
      <c r="B525" s="2"/>
      <c r="C525" s="120"/>
      <c r="D525" s="120"/>
      <c r="E525" s="118"/>
      <c r="F525" s="227"/>
      <c r="G525" s="227"/>
      <c r="H525" s="227"/>
      <c r="I525" s="227"/>
      <c r="J525" s="227"/>
      <c r="K525" s="227"/>
      <c r="L525" s="227"/>
      <c r="M525" s="227"/>
      <c r="N525" s="227"/>
      <c r="O525" s="227"/>
      <c r="P525" s="227"/>
      <c r="Q525" s="227"/>
      <c r="R525" s="227"/>
    </row>
    <row r="526" spans="1:18">
      <c r="A526" s="2"/>
      <c r="B526" s="2"/>
      <c r="C526" s="120"/>
      <c r="D526" s="120"/>
      <c r="E526" s="118"/>
      <c r="F526" s="227"/>
      <c r="G526" s="227"/>
      <c r="H526" s="227"/>
      <c r="I526" s="227"/>
      <c r="J526" s="227"/>
      <c r="K526" s="227"/>
      <c r="L526" s="227"/>
      <c r="M526" s="227"/>
      <c r="N526" s="227"/>
      <c r="O526" s="227"/>
      <c r="P526" s="227"/>
      <c r="Q526" s="227"/>
      <c r="R526" s="227"/>
    </row>
    <row r="527" spans="1:18">
      <c r="A527" s="2"/>
      <c r="B527" s="2"/>
      <c r="C527" s="120"/>
      <c r="D527" s="120"/>
      <c r="E527" s="118"/>
      <c r="F527" s="227"/>
      <c r="G527" s="227"/>
      <c r="H527" s="227"/>
      <c r="I527" s="227"/>
      <c r="J527" s="227"/>
      <c r="K527" s="227"/>
      <c r="L527" s="227"/>
      <c r="M527" s="227"/>
      <c r="N527" s="227"/>
      <c r="O527" s="227"/>
      <c r="P527" s="227"/>
      <c r="Q527" s="227"/>
      <c r="R527" s="227"/>
    </row>
    <row r="528" spans="1:18">
      <c r="A528" s="2"/>
      <c r="B528" s="2"/>
      <c r="C528" s="120"/>
      <c r="D528" s="120"/>
      <c r="E528" s="118"/>
      <c r="F528" s="227"/>
      <c r="G528" s="227"/>
      <c r="H528" s="227"/>
      <c r="I528" s="227"/>
      <c r="J528" s="227"/>
      <c r="K528" s="227"/>
      <c r="L528" s="227"/>
      <c r="M528" s="227"/>
      <c r="N528" s="227"/>
      <c r="O528" s="227"/>
      <c r="P528" s="227"/>
      <c r="Q528" s="227"/>
      <c r="R528" s="227"/>
    </row>
    <row r="529" spans="1:18">
      <c r="A529" s="2"/>
      <c r="B529" s="2"/>
      <c r="C529" s="120"/>
      <c r="D529" s="120"/>
      <c r="E529" s="118"/>
      <c r="F529" s="227"/>
      <c r="G529" s="227"/>
      <c r="H529" s="227"/>
      <c r="I529" s="227"/>
      <c r="J529" s="227"/>
      <c r="K529" s="227"/>
      <c r="L529" s="227"/>
      <c r="M529" s="227"/>
      <c r="N529" s="227"/>
      <c r="O529" s="227"/>
      <c r="P529" s="227"/>
      <c r="Q529" s="227"/>
      <c r="R529" s="227"/>
    </row>
    <row r="530" spans="1:18">
      <c r="A530" s="2"/>
      <c r="B530" s="2"/>
      <c r="C530" s="120"/>
      <c r="D530" s="120"/>
      <c r="E530" s="118"/>
      <c r="F530" s="227"/>
      <c r="G530" s="227"/>
      <c r="H530" s="227"/>
      <c r="I530" s="227"/>
      <c r="J530" s="227"/>
      <c r="K530" s="227"/>
      <c r="L530" s="227"/>
      <c r="M530" s="227"/>
      <c r="N530" s="227"/>
      <c r="O530" s="227"/>
      <c r="P530" s="227"/>
      <c r="Q530" s="227"/>
      <c r="R530" s="227"/>
    </row>
    <row r="531" spans="1:18">
      <c r="A531" s="2"/>
      <c r="B531" s="2"/>
      <c r="C531" s="120"/>
      <c r="D531" s="120"/>
      <c r="E531" s="118"/>
      <c r="F531" s="227"/>
      <c r="G531" s="227"/>
      <c r="H531" s="227"/>
      <c r="I531" s="227"/>
      <c r="J531" s="227"/>
      <c r="K531" s="227"/>
      <c r="L531" s="227"/>
      <c r="M531" s="227"/>
      <c r="N531" s="227"/>
      <c r="O531" s="227"/>
      <c r="P531" s="227"/>
      <c r="Q531" s="227"/>
      <c r="R531" s="227"/>
    </row>
    <row r="532" spans="1:18">
      <c r="A532" s="2"/>
      <c r="B532" s="2"/>
      <c r="C532" s="120"/>
      <c r="D532" s="120"/>
      <c r="E532" s="118"/>
      <c r="F532" s="227"/>
      <c r="G532" s="227"/>
      <c r="H532" s="227"/>
      <c r="I532" s="227"/>
      <c r="J532" s="227"/>
      <c r="K532" s="227"/>
      <c r="L532" s="227"/>
      <c r="M532" s="227"/>
      <c r="N532" s="227"/>
      <c r="O532" s="227"/>
      <c r="P532" s="227"/>
      <c r="Q532" s="227"/>
      <c r="R532" s="227"/>
    </row>
    <row r="533" spans="1:18">
      <c r="A533" s="2"/>
      <c r="B533" s="2"/>
      <c r="C533" s="120"/>
      <c r="D533" s="120"/>
      <c r="E533" s="118"/>
      <c r="F533" s="227"/>
      <c r="G533" s="227"/>
      <c r="H533" s="227"/>
      <c r="I533" s="227"/>
      <c r="J533" s="227"/>
      <c r="K533" s="227"/>
      <c r="L533" s="227"/>
      <c r="M533" s="227"/>
      <c r="N533" s="227"/>
      <c r="O533" s="227"/>
      <c r="P533" s="227"/>
      <c r="Q533" s="227"/>
      <c r="R533" s="227"/>
    </row>
    <row r="534" spans="1:18">
      <c r="A534" s="2"/>
      <c r="B534" s="2"/>
      <c r="C534" s="120"/>
      <c r="D534" s="120"/>
      <c r="E534" s="118"/>
      <c r="F534" s="227"/>
      <c r="G534" s="227"/>
      <c r="H534" s="227"/>
      <c r="I534" s="227"/>
      <c r="J534" s="227"/>
      <c r="K534" s="227"/>
      <c r="L534" s="227"/>
      <c r="M534" s="227"/>
      <c r="N534" s="227"/>
      <c r="O534" s="227"/>
      <c r="P534" s="227"/>
      <c r="Q534" s="227"/>
      <c r="R534" s="227"/>
    </row>
    <row r="535" spans="1:18">
      <c r="A535" s="2"/>
      <c r="B535" s="2"/>
      <c r="C535" s="120"/>
      <c r="D535" s="120"/>
      <c r="E535" s="118"/>
      <c r="F535" s="227"/>
      <c r="G535" s="227"/>
      <c r="H535" s="227"/>
      <c r="I535" s="227"/>
      <c r="J535" s="227"/>
      <c r="K535" s="227"/>
      <c r="L535" s="227"/>
      <c r="M535" s="227"/>
      <c r="N535" s="227"/>
      <c r="O535" s="227"/>
      <c r="P535" s="227"/>
      <c r="Q535" s="227"/>
      <c r="R535" s="227"/>
    </row>
    <row r="536" spans="1:18">
      <c r="A536" s="2"/>
      <c r="B536" s="2"/>
      <c r="C536" s="120"/>
      <c r="D536" s="120"/>
      <c r="E536" s="118"/>
      <c r="F536" s="227"/>
      <c r="G536" s="227"/>
      <c r="H536" s="227"/>
      <c r="I536" s="227"/>
      <c r="J536" s="227"/>
      <c r="K536" s="227"/>
      <c r="L536" s="227"/>
      <c r="M536" s="227"/>
      <c r="N536" s="227"/>
      <c r="O536" s="227"/>
      <c r="P536" s="227"/>
      <c r="Q536" s="227"/>
      <c r="R536" s="227"/>
    </row>
    <row r="537" spans="1:18">
      <c r="A537" s="2"/>
      <c r="B537" s="2"/>
      <c r="C537" s="120"/>
      <c r="D537" s="120"/>
      <c r="E537" s="118"/>
      <c r="F537" s="227"/>
      <c r="G537" s="227"/>
      <c r="H537" s="227"/>
      <c r="I537" s="227"/>
      <c r="J537" s="227"/>
      <c r="K537" s="227"/>
      <c r="L537" s="227"/>
      <c r="M537" s="227"/>
      <c r="N537" s="227"/>
      <c r="O537" s="227"/>
      <c r="P537" s="227"/>
      <c r="Q537" s="227"/>
      <c r="R537" s="227"/>
    </row>
    <row r="538" spans="1:18">
      <c r="A538" s="2"/>
      <c r="B538" s="2"/>
      <c r="C538" s="120"/>
      <c r="D538" s="120"/>
      <c r="E538" s="118"/>
      <c r="F538" s="227"/>
      <c r="G538" s="227"/>
      <c r="H538" s="227"/>
      <c r="I538" s="227"/>
      <c r="J538" s="227"/>
      <c r="K538" s="227"/>
      <c r="L538" s="227"/>
      <c r="M538" s="227"/>
      <c r="N538" s="227"/>
      <c r="O538" s="227"/>
      <c r="P538" s="227"/>
      <c r="Q538" s="227"/>
      <c r="R538" s="227"/>
    </row>
    <row r="539" spans="1:18">
      <c r="A539" s="2"/>
      <c r="B539" s="2"/>
      <c r="C539" s="120"/>
      <c r="D539" s="120"/>
      <c r="E539" s="118"/>
      <c r="F539" s="227"/>
      <c r="G539" s="227"/>
      <c r="H539" s="227"/>
      <c r="I539" s="227"/>
      <c r="J539" s="227"/>
      <c r="K539" s="227"/>
      <c r="L539" s="227"/>
      <c r="M539" s="227"/>
      <c r="N539" s="227"/>
      <c r="O539" s="227"/>
      <c r="P539" s="227"/>
      <c r="Q539" s="227"/>
      <c r="R539" s="227"/>
    </row>
    <row r="540" spans="1:18">
      <c r="A540" s="2"/>
      <c r="B540" s="2"/>
      <c r="C540" s="120"/>
      <c r="D540" s="120"/>
      <c r="E540" s="118"/>
      <c r="F540" s="227"/>
      <c r="G540" s="227"/>
      <c r="H540" s="227"/>
      <c r="I540" s="227"/>
      <c r="J540" s="227"/>
      <c r="K540" s="227"/>
      <c r="L540" s="227"/>
      <c r="M540" s="227"/>
      <c r="N540" s="227"/>
      <c r="O540" s="227"/>
      <c r="P540" s="227"/>
      <c r="Q540" s="227"/>
      <c r="R540" s="227"/>
    </row>
    <row r="541" spans="1:18">
      <c r="A541" s="2"/>
      <c r="B541" s="2"/>
      <c r="C541" s="120"/>
      <c r="D541" s="120"/>
      <c r="E541" s="118"/>
      <c r="F541" s="227"/>
      <c r="G541" s="227"/>
      <c r="H541" s="227"/>
      <c r="I541" s="227"/>
      <c r="J541" s="227"/>
      <c r="K541" s="227"/>
      <c r="L541" s="227"/>
      <c r="M541" s="227"/>
      <c r="N541" s="227"/>
      <c r="O541" s="227"/>
      <c r="P541" s="227"/>
      <c r="Q541" s="227"/>
      <c r="R541" s="227"/>
    </row>
    <row r="542" spans="1:18">
      <c r="A542" s="2"/>
      <c r="B542" s="2"/>
      <c r="C542" s="120"/>
      <c r="D542" s="120"/>
      <c r="E542" s="118"/>
      <c r="F542" s="227"/>
      <c r="G542" s="227"/>
      <c r="H542" s="227"/>
      <c r="I542" s="227"/>
      <c r="J542" s="227"/>
      <c r="K542" s="227"/>
      <c r="L542" s="227"/>
      <c r="M542" s="227"/>
      <c r="N542" s="227"/>
      <c r="O542" s="227"/>
      <c r="P542" s="227"/>
      <c r="Q542" s="227"/>
      <c r="R542" s="227"/>
    </row>
    <row r="543" spans="1:18">
      <c r="A543" s="2"/>
      <c r="B543" s="2"/>
      <c r="C543" s="120"/>
      <c r="D543" s="120"/>
      <c r="E543" s="118"/>
      <c r="F543" s="227"/>
      <c r="G543" s="227"/>
      <c r="H543" s="227"/>
      <c r="I543" s="227"/>
      <c r="J543" s="227"/>
      <c r="K543" s="227"/>
      <c r="L543" s="227"/>
      <c r="M543" s="227"/>
      <c r="N543" s="227"/>
      <c r="O543" s="227"/>
      <c r="P543" s="227"/>
      <c r="Q543" s="227"/>
      <c r="R543" s="227"/>
    </row>
    <row r="544" spans="1:18">
      <c r="A544" s="2"/>
      <c r="B544" s="2"/>
      <c r="C544" s="120"/>
      <c r="D544" s="120"/>
      <c r="E544" s="118"/>
      <c r="F544" s="227"/>
      <c r="G544" s="227"/>
      <c r="H544" s="227"/>
      <c r="I544" s="227"/>
      <c r="J544" s="227"/>
      <c r="K544" s="227"/>
      <c r="L544" s="227"/>
      <c r="M544" s="227"/>
      <c r="N544" s="227"/>
      <c r="O544" s="227"/>
      <c r="P544" s="227"/>
      <c r="Q544" s="227"/>
      <c r="R544" s="227"/>
    </row>
    <row r="545" spans="1:18">
      <c r="A545" s="2"/>
      <c r="B545" s="2"/>
      <c r="C545" s="120"/>
      <c r="D545" s="120"/>
      <c r="E545" s="118"/>
      <c r="F545" s="227"/>
      <c r="G545" s="227"/>
      <c r="H545" s="227"/>
      <c r="I545" s="227"/>
      <c r="J545" s="227"/>
      <c r="K545" s="227"/>
      <c r="L545" s="227"/>
      <c r="M545" s="227"/>
      <c r="N545" s="227"/>
      <c r="O545" s="227"/>
      <c r="P545" s="227"/>
      <c r="Q545" s="227"/>
      <c r="R545" s="227"/>
    </row>
    <row r="546" spans="1:18">
      <c r="A546" s="2"/>
      <c r="B546" s="2"/>
      <c r="C546" s="120"/>
      <c r="D546" s="120"/>
      <c r="E546" s="118"/>
      <c r="F546" s="227"/>
      <c r="G546" s="227"/>
      <c r="H546" s="227"/>
      <c r="I546" s="227"/>
      <c r="J546" s="227"/>
      <c r="K546" s="227"/>
      <c r="L546" s="227"/>
      <c r="M546" s="227"/>
      <c r="N546" s="227"/>
      <c r="O546" s="227"/>
      <c r="P546" s="227"/>
      <c r="Q546" s="227"/>
      <c r="R546" s="227"/>
    </row>
    <row r="547" spans="1:18">
      <c r="A547" s="2"/>
      <c r="B547" s="2"/>
      <c r="C547" s="120"/>
      <c r="D547" s="120"/>
      <c r="E547" s="118"/>
      <c r="F547" s="227"/>
      <c r="G547" s="227"/>
      <c r="H547" s="227"/>
      <c r="I547" s="227"/>
      <c r="J547" s="227"/>
      <c r="K547" s="227"/>
      <c r="L547" s="227"/>
      <c r="M547" s="227"/>
      <c r="N547" s="227"/>
      <c r="O547" s="227"/>
      <c r="P547" s="227"/>
      <c r="Q547" s="227"/>
      <c r="R547" s="227"/>
    </row>
    <row r="548" spans="1:18">
      <c r="A548" s="2"/>
      <c r="B548" s="2"/>
      <c r="C548" s="120"/>
      <c r="D548" s="120"/>
      <c r="E548" s="118"/>
      <c r="F548" s="227"/>
      <c r="G548" s="227"/>
      <c r="H548" s="227"/>
      <c r="I548" s="227"/>
      <c r="J548" s="227"/>
      <c r="K548" s="227"/>
      <c r="L548" s="227"/>
      <c r="M548" s="227"/>
      <c r="N548" s="227"/>
      <c r="O548" s="227"/>
      <c r="P548" s="227"/>
      <c r="Q548" s="227"/>
      <c r="R548" s="227"/>
    </row>
    <row r="549" spans="1:18">
      <c r="A549" s="2"/>
      <c r="B549" s="2"/>
      <c r="C549" s="120"/>
      <c r="D549" s="120"/>
      <c r="E549" s="118"/>
      <c r="F549" s="227"/>
      <c r="G549" s="227"/>
      <c r="H549" s="227"/>
      <c r="I549" s="227"/>
      <c r="J549" s="227"/>
      <c r="K549" s="227"/>
      <c r="L549" s="227"/>
      <c r="M549" s="227"/>
      <c r="N549" s="227"/>
      <c r="O549" s="227"/>
      <c r="P549" s="227"/>
      <c r="Q549" s="227"/>
      <c r="R549" s="227"/>
    </row>
    <row r="550" spans="1:18">
      <c r="A550" s="2"/>
      <c r="B550" s="2"/>
      <c r="C550" s="120"/>
      <c r="D550" s="120"/>
      <c r="E550" s="118"/>
      <c r="F550" s="227"/>
      <c r="G550" s="227"/>
      <c r="H550" s="227"/>
      <c r="I550" s="227"/>
      <c r="J550" s="227"/>
      <c r="K550" s="227"/>
      <c r="L550" s="227"/>
      <c r="M550" s="227"/>
      <c r="N550" s="227"/>
      <c r="O550" s="227"/>
      <c r="P550" s="227"/>
      <c r="Q550" s="227"/>
      <c r="R550" s="227"/>
    </row>
    <row r="551" spans="1:18">
      <c r="A551" s="2"/>
      <c r="B551" s="2"/>
      <c r="C551" s="120"/>
      <c r="D551" s="120"/>
      <c r="E551" s="118"/>
      <c r="F551" s="227"/>
      <c r="G551" s="227"/>
      <c r="H551" s="227"/>
      <c r="I551" s="227"/>
      <c r="J551" s="227"/>
      <c r="K551" s="227"/>
      <c r="L551" s="227"/>
      <c r="M551" s="227"/>
      <c r="N551" s="227"/>
      <c r="O551" s="227"/>
      <c r="P551" s="227"/>
      <c r="Q551" s="227"/>
      <c r="R551" s="227"/>
    </row>
    <row r="552" spans="1:18">
      <c r="A552" s="2"/>
      <c r="B552" s="2"/>
      <c r="C552" s="120"/>
      <c r="D552" s="120"/>
      <c r="E552" s="118"/>
      <c r="F552" s="227"/>
      <c r="G552" s="227"/>
      <c r="H552" s="227"/>
      <c r="I552" s="227"/>
      <c r="J552" s="227"/>
      <c r="K552" s="227"/>
      <c r="L552" s="227"/>
      <c r="M552" s="227"/>
      <c r="N552" s="227"/>
      <c r="O552" s="227"/>
      <c r="P552" s="227"/>
      <c r="Q552" s="227"/>
      <c r="R552" s="227"/>
    </row>
    <row r="553" spans="1:18">
      <c r="A553" s="2"/>
      <c r="B553" s="2"/>
      <c r="C553" s="120"/>
      <c r="D553" s="120"/>
      <c r="E553" s="118"/>
      <c r="F553" s="227"/>
      <c r="G553" s="227"/>
      <c r="H553" s="227"/>
      <c r="I553" s="227"/>
      <c r="J553" s="227"/>
      <c r="K553" s="227"/>
      <c r="L553" s="227"/>
      <c r="M553" s="227"/>
      <c r="N553" s="227"/>
      <c r="O553" s="227"/>
      <c r="P553" s="227"/>
      <c r="Q553" s="227"/>
      <c r="R553" s="227"/>
    </row>
    <row r="554" spans="1:18">
      <c r="A554" s="2"/>
      <c r="B554" s="2"/>
      <c r="C554" s="120"/>
      <c r="D554" s="120"/>
      <c r="E554" s="118"/>
      <c r="F554" s="227"/>
      <c r="G554" s="227"/>
      <c r="H554" s="227"/>
      <c r="I554" s="227"/>
      <c r="J554" s="227"/>
      <c r="K554" s="227"/>
      <c r="L554" s="227"/>
      <c r="M554" s="227"/>
      <c r="N554" s="227"/>
      <c r="O554" s="227"/>
      <c r="P554" s="227"/>
      <c r="Q554" s="227"/>
      <c r="R554" s="227"/>
    </row>
    <row r="555" spans="1:18">
      <c r="A555" s="2"/>
      <c r="B555" s="2"/>
      <c r="C555" s="120"/>
      <c r="D555" s="120"/>
      <c r="E555" s="118"/>
      <c r="F555" s="227"/>
      <c r="G555" s="227"/>
      <c r="H555" s="227"/>
      <c r="I555" s="227"/>
      <c r="J555" s="227"/>
      <c r="K555" s="227"/>
      <c r="L555" s="227"/>
      <c r="M555" s="227"/>
      <c r="N555" s="227"/>
      <c r="O555" s="227"/>
      <c r="P555" s="227"/>
      <c r="Q555" s="227"/>
      <c r="R555" s="227"/>
    </row>
    <row r="556" spans="1:18">
      <c r="A556" s="2"/>
      <c r="B556" s="2"/>
      <c r="C556" s="120"/>
      <c r="D556" s="120"/>
      <c r="E556" s="118"/>
      <c r="F556" s="227"/>
      <c r="G556" s="227"/>
      <c r="H556" s="227"/>
      <c r="I556" s="227"/>
      <c r="J556" s="227"/>
      <c r="K556" s="227"/>
      <c r="L556" s="227"/>
      <c r="M556" s="227"/>
      <c r="N556" s="227"/>
      <c r="O556" s="227"/>
      <c r="P556" s="227"/>
      <c r="Q556" s="227"/>
      <c r="R556" s="227"/>
    </row>
    <row r="557" spans="1:18">
      <c r="A557" s="2"/>
      <c r="B557" s="2"/>
      <c r="C557" s="120"/>
      <c r="D557" s="120"/>
      <c r="E557" s="118"/>
      <c r="F557" s="227"/>
      <c r="G557" s="227"/>
      <c r="H557" s="227"/>
      <c r="I557" s="227"/>
      <c r="J557" s="227"/>
      <c r="K557" s="227"/>
      <c r="L557" s="227"/>
      <c r="M557" s="227"/>
      <c r="N557" s="227"/>
      <c r="O557" s="227"/>
      <c r="P557" s="227"/>
      <c r="Q557" s="227"/>
      <c r="R557" s="227"/>
    </row>
    <row r="558" spans="1:18">
      <c r="A558" s="2"/>
      <c r="B558" s="2"/>
      <c r="C558" s="120"/>
      <c r="D558" s="120"/>
      <c r="E558" s="118"/>
      <c r="F558" s="227"/>
      <c r="G558" s="227"/>
      <c r="H558" s="227"/>
      <c r="I558" s="227"/>
      <c r="J558" s="227"/>
      <c r="K558" s="227"/>
      <c r="L558" s="227"/>
      <c r="M558" s="227"/>
      <c r="N558" s="227"/>
      <c r="O558" s="227"/>
      <c r="P558" s="227"/>
      <c r="Q558" s="227"/>
      <c r="R558" s="227"/>
    </row>
    <row r="559" spans="1:18">
      <c r="A559" s="2"/>
      <c r="B559" s="2"/>
      <c r="C559" s="120"/>
      <c r="D559" s="120"/>
      <c r="E559" s="118"/>
      <c r="F559" s="227"/>
      <c r="G559" s="227"/>
      <c r="H559" s="227"/>
      <c r="I559" s="227"/>
      <c r="J559" s="227"/>
      <c r="K559" s="227"/>
      <c r="L559" s="227"/>
      <c r="M559" s="227"/>
      <c r="N559" s="227"/>
      <c r="O559" s="227"/>
      <c r="P559" s="227"/>
      <c r="Q559" s="227"/>
      <c r="R559" s="227"/>
    </row>
    <row r="560" spans="1:18">
      <c r="A560" s="2"/>
      <c r="B560" s="2"/>
      <c r="C560" s="120"/>
      <c r="D560" s="120"/>
      <c r="E560" s="118"/>
      <c r="F560" s="227"/>
      <c r="G560" s="227"/>
      <c r="H560" s="227"/>
      <c r="I560" s="227"/>
      <c r="J560" s="227"/>
      <c r="K560" s="227"/>
      <c r="L560" s="227"/>
      <c r="M560" s="227"/>
      <c r="N560" s="227"/>
      <c r="O560" s="227"/>
      <c r="P560" s="227"/>
      <c r="Q560" s="227"/>
      <c r="R560" s="227"/>
    </row>
    <row r="561" spans="1:18">
      <c r="A561" s="2"/>
      <c r="B561" s="2"/>
      <c r="C561" s="120"/>
      <c r="D561" s="120"/>
      <c r="E561" s="118"/>
      <c r="F561" s="227"/>
      <c r="G561" s="227"/>
      <c r="H561" s="227"/>
      <c r="I561" s="227"/>
      <c r="J561" s="227"/>
      <c r="K561" s="227"/>
      <c r="L561" s="227"/>
      <c r="M561" s="227"/>
      <c r="N561" s="227"/>
      <c r="O561" s="227"/>
      <c r="P561" s="227"/>
      <c r="Q561" s="227"/>
      <c r="R561" s="227"/>
    </row>
    <row r="562" spans="1:18">
      <c r="A562" s="2"/>
      <c r="B562" s="2"/>
      <c r="C562" s="120"/>
      <c r="D562" s="120"/>
      <c r="E562" s="118"/>
      <c r="F562" s="227"/>
      <c r="G562" s="227"/>
      <c r="H562" s="227"/>
      <c r="I562" s="227"/>
      <c r="J562" s="227"/>
      <c r="K562" s="227"/>
      <c r="L562" s="227"/>
      <c r="M562" s="227"/>
      <c r="N562" s="227"/>
      <c r="O562" s="227"/>
      <c r="P562" s="227"/>
      <c r="Q562" s="227"/>
      <c r="R562" s="227"/>
    </row>
    <row r="563" spans="1:18">
      <c r="A563" s="2"/>
      <c r="B563" s="2"/>
      <c r="C563" s="120"/>
      <c r="D563" s="120"/>
      <c r="E563" s="118"/>
      <c r="F563" s="227"/>
      <c r="G563" s="227"/>
      <c r="H563" s="227"/>
      <c r="I563" s="227"/>
      <c r="J563" s="227"/>
      <c r="K563" s="227"/>
      <c r="L563" s="227"/>
      <c r="M563" s="227"/>
      <c r="N563" s="227"/>
      <c r="O563" s="227"/>
      <c r="P563" s="227"/>
      <c r="Q563" s="227"/>
      <c r="R563" s="227"/>
    </row>
    <row r="564" spans="1:18">
      <c r="A564" s="2"/>
      <c r="B564" s="2"/>
      <c r="C564" s="120"/>
      <c r="D564" s="120"/>
      <c r="E564" s="118"/>
      <c r="F564" s="227"/>
      <c r="G564" s="227"/>
      <c r="H564" s="227"/>
      <c r="I564" s="227"/>
      <c r="J564" s="227"/>
      <c r="K564" s="227"/>
      <c r="L564" s="227"/>
      <c r="M564" s="227"/>
      <c r="N564" s="227"/>
      <c r="O564" s="227"/>
      <c r="P564" s="227"/>
      <c r="Q564" s="227"/>
      <c r="R564" s="227"/>
    </row>
    <row r="565" spans="1:18">
      <c r="A565" s="2"/>
      <c r="B565" s="2"/>
      <c r="C565" s="120"/>
      <c r="D565" s="120"/>
      <c r="E565" s="118"/>
      <c r="F565" s="227"/>
      <c r="G565" s="227"/>
      <c r="H565" s="227"/>
      <c r="I565" s="227"/>
      <c r="J565" s="227"/>
      <c r="K565" s="227"/>
      <c r="L565" s="227"/>
      <c r="M565" s="227"/>
      <c r="N565" s="227"/>
      <c r="O565" s="227"/>
      <c r="P565" s="227"/>
      <c r="Q565" s="227"/>
      <c r="R565" s="227"/>
    </row>
    <row r="566" spans="1:18">
      <c r="A566" s="2"/>
      <c r="B566" s="2"/>
      <c r="C566" s="120"/>
      <c r="D566" s="120"/>
      <c r="E566" s="118"/>
      <c r="F566" s="227"/>
      <c r="G566" s="227"/>
      <c r="H566" s="227"/>
      <c r="I566" s="227"/>
      <c r="J566" s="227"/>
      <c r="K566" s="227"/>
      <c r="L566" s="227"/>
      <c r="M566" s="227"/>
      <c r="N566" s="227"/>
      <c r="O566" s="227"/>
      <c r="P566" s="227"/>
      <c r="Q566" s="227"/>
      <c r="R566" s="227"/>
    </row>
    <row r="567" spans="1:18">
      <c r="A567" s="2"/>
      <c r="B567" s="2"/>
      <c r="C567" s="120"/>
      <c r="D567" s="120"/>
      <c r="E567" s="118"/>
      <c r="F567" s="227"/>
      <c r="G567" s="227"/>
      <c r="H567" s="227"/>
      <c r="I567" s="227"/>
      <c r="J567" s="227"/>
      <c r="K567" s="227"/>
      <c r="L567" s="227"/>
      <c r="M567" s="227"/>
      <c r="N567" s="227"/>
      <c r="O567" s="227"/>
      <c r="P567" s="227"/>
      <c r="Q567" s="227"/>
      <c r="R567" s="227"/>
    </row>
    <row r="568" spans="1:18">
      <c r="A568" s="2"/>
      <c r="B568" s="2"/>
      <c r="C568" s="120"/>
      <c r="D568" s="120"/>
      <c r="E568" s="118"/>
      <c r="F568" s="227"/>
      <c r="G568" s="227"/>
      <c r="H568" s="227"/>
      <c r="I568" s="227"/>
      <c r="J568" s="227"/>
      <c r="K568" s="227"/>
      <c r="L568" s="227"/>
      <c r="M568" s="227"/>
      <c r="N568" s="227"/>
      <c r="O568" s="227"/>
      <c r="P568" s="227"/>
      <c r="Q568" s="227"/>
      <c r="R568" s="227"/>
    </row>
    <row r="569" spans="1:18">
      <c r="A569" s="2"/>
      <c r="B569" s="2"/>
      <c r="C569" s="120"/>
      <c r="D569" s="120"/>
      <c r="E569" s="118"/>
      <c r="F569" s="227"/>
      <c r="G569" s="227"/>
      <c r="H569" s="227"/>
      <c r="I569" s="227"/>
      <c r="J569" s="227"/>
      <c r="K569" s="227"/>
      <c r="L569" s="227"/>
      <c r="M569" s="227"/>
      <c r="N569" s="227"/>
      <c r="O569" s="227"/>
      <c r="P569" s="227"/>
      <c r="Q569" s="227"/>
      <c r="R569" s="227"/>
    </row>
    <row r="570" spans="1:18">
      <c r="A570" s="2"/>
      <c r="B570" s="2"/>
      <c r="C570" s="120"/>
      <c r="D570" s="120"/>
      <c r="E570" s="118"/>
      <c r="F570" s="227"/>
      <c r="G570" s="227"/>
      <c r="H570" s="227"/>
      <c r="I570" s="227"/>
      <c r="J570" s="227"/>
      <c r="K570" s="227"/>
      <c r="L570" s="227"/>
      <c r="M570" s="227"/>
      <c r="N570" s="227"/>
      <c r="O570" s="227"/>
      <c r="P570" s="227"/>
      <c r="Q570" s="227"/>
      <c r="R570" s="227"/>
    </row>
    <row r="571" spans="1:18">
      <c r="A571" s="2"/>
      <c r="B571" s="2"/>
      <c r="C571" s="120"/>
      <c r="D571" s="120"/>
      <c r="E571" s="118"/>
      <c r="F571" s="227"/>
      <c r="G571" s="227"/>
      <c r="H571" s="227"/>
      <c r="I571" s="227"/>
      <c r="J571" s="227"/>
      <c r="K571" s="227"/>
      <c r="L571" s="227"/>
      <c r="M571" s="227"/>
      <c r="N571" s="227"/>
      <c r="O571" s="227"/>
      <c r="P571" s="227"/>
      <c r="Q571" s="227"/>
      <c r="R571" s="227"/>
    </row>
    <row r="572" spans="1:18">
      <c r="A572" s="2"/>
      <c r="B572" s="2"/>
      <c r="C572" s="120"/>
      <c r="D572" s="120"/>
      <c r="E572" s="118"/>
      <c r="F572" s="227"/>
      <c r="G572" s="227"/>
      <c r="H572" s="227"/>
      <c r="I572" s="227"/>
      <c r="J572" s="227"/>
      <c r="K572" s="227"/>
      <c r="L572" s="227"/>
      <c r="M572" s="227"/>
      <c r="N572" s="227"/>
      <c r="O572" s="227"/>
      <c r="P572" s="227"/>
      <c r="Q572" s="227"/>
      <c r="R572" s="227"/>
    </row>
    <row r="573" spans="1:18">
      <c r="A573" s="2"/>
      <c r="B573" s="2"/>
      <c r="C573" s="120"/>
      <c r="D573" s="120"/>
      <c r="E573" s="118"/>
      <c r="F573" s="227"/>
      <c r="G573" s="227"/>
      <c r="H573" s="227"/>
      <c r="I573" s="227"/>
      <c r="J573" s="227"/>
      <c r="K573" s="227"/>
      <c r="L573" s="227"/>
      <c r="M573" s="227"/>
      <c r="N573" s="227"/>
      <c r="O573" s="227"/>
      <c r="P573" s="227"/>
      <c r="Q573" s="227"/>
      <c r="R573" s="227"/>
    </row>
    <row r="574" spans="1:18">
      <c r="A574" s="2"/>
      <c r="B574" s="2"/>
      <c r="C574" s="120"/>
      <c r="D574" s="120"/>
      <c r="E574" s="118"/>
      <c r="F574" s="227"/>
      <c r="G574" s="227"/>
      <c r="H574" s="227"/>
      <c r="I574" s="227"/>
      <c r="J574" s="227"/>
      <c r="K574" s="227"/>
      <c r="L574" s="227"/>
      <c r="M574" s="227"/>
      <c r="N574" s="227"/>
      <c r="O574" s="227"/>
      <c r="P574" s="227"/>
      <c r="Q574" s="227"/>
      <c r="R574" s="227"/>
    </row>
    <row r="575" spans="1:18">
      <c r="A575" s="2"/>
      <c r="B575" s="2"/>
      <c r="C575" s="120"/>
      <c r="D575" s="120"/>
      <c r="E575" s="118"/>
      <c r="F575" s="227"/>
      <c r="G575" s="227"/>
      <c r="H575" s="227"/>
      <c r="I575" s="227"/>
      <c r="J575" s="227"/>
      <c r="K575" s="227"/>
      <c r="L575" s="227"/>
      <c r="M575" s="227"/>
      <c r="N575" s="227"/>
      <c r="O575" s="227"/>
      <c r="P575" s="227"/>
      <c r="Q575" s="227"/>
      <c r="R575" s="227"/>
    </row>
    <row r="576" spans="1:18">
      <c r="A576" s="2"/>
      <c r="B576" s="2"/>
      <c r="C576" s="120"/>
      <c r="D576" s="120"/>
      <c r="E576" s="118"/>
      <c r="F576" s="227"/>
      <c r="G576" s="227"/>
      <c r="H576" s="227"/>
      <c r="I576" s="227"/>
      <c r="J576" s="227"/>
      <c r="K576" s="227"/>
      <c r="L576" s="227"/>
      <c r="M576" s="227"/>
      <c r="N576" s="227"/>
      <c r="O576" s="227"/>
      <c r="P576" s="227"/>
      <c r="Q576" s="227"/>
      <c r="R576" s="227"/>
    </row>
    <row r="577" spans="1:18">
      <c r="A577" s="2"/>
      <c r="B577" s="2"/>
      <c r="C577" s="120"/>
      <c r="D577" s="120"/>
      <c r="E577" s="118"/>
      <c r="F577" s="227"/>
      <c r="G577" s="227"/>
      <c r="H577" s="227"/>
      <c r="I577" s="227"/>
      <c r="J577" s="227"/>
      <c r="K577" s="227"/>
      <c r="L577" s="227"/>
      <c r="M577" s="227"/>
      <c r="N577" s="227"/>
      <c r="O577" s="227"/>
      <c r="P577" s="227"/>
      <c r="Q577" s="227"/>
      <c r="R577" s="227"/>
    </row>
    <row r="578" spans="1:18">
      <c r="A578" s="2"/>
      <c r="B578" s="2"/>
      <c r="C578" s="120"/>
      <c r="D578" s="120"/>
      <c r="E578" s="118"/>
      <c r="F578" s="227"/>
      <c r="G578" s="227"/>
      <c r="H578" s="227"/>
      <c r="I578" s="227"/>
      <c r="J578" s="227"/>
      <c r="K578" s="227"/>
      <c r="L578" s="227"/>
      <c r="M578" s="227"/>
      <c r="N578" s="227"/>
      <c r="O578" s="227"/>
      <c r="P578" s="227"/>
      <c r="Q578" s="227"/>
      <c r="R578" s="227"/>
    </row>
    <row r="579" spans="1:18">
      <c r="A579" s="2"/>
      <c r="B579" s="2"/>
      <c r="C579" s="120"/>
      <c r="D579" s="120"/>
      <c r="E579" s="118"/>
      <c r="F579" s="227"/>
      <c r="G579" s="227"/>
      <c r="H579" s="227"/>
      <c r="I579" s="227"/>
      <c r="J579" s="227"/>
      <c r="K579" s="227"/>
      <c r="L579" s="227"/>
      <c r="M579" s="227"/>
      <c r="N579" s="227"/>
      <c r="O579" s="227"/>
      <c r="P579" s="227"/>
      <c r="Q579" s="227"/>
      <c r="R579" s="227"/>
    </row>
    <row r="580" spans="1:18">
      <c r="A580" s="2"/>
      <c r="B580" s="2"/>
      <c r="C580" s="120"/>
      <c r="D580" s="120"/>
      <c r="E580" s="118"/>
      <c r="F580" s="227"/>
      <c r="G580" s="227"/>
      <c r="H580" s="227"/>
      <c r="I580" s="227"/>
      <c r="J580" s="227"/>
      <c r="K580" s="227"/>
      <c r="L580" s="227"/>
      <c r="M580" s="227"/>
      <c r="N580" s="227"/>
      <c r="O580" s="227"/>
      <c r="P580" s="227"/>
      <c r="Q580" s="227"/>
      <c r="R580" s="227"/>
    </row>
    <row r="581" spans="1:18">
      <c r="A581" s="2"/>
      <c r="B581" s="2"/>
      <c r="C581" s="120"/>
      <c r="D581" s="120"/>
      <c r="E581" s="118"/>
      <c r="F581" s="227"/>
      <c r="G581" s="227"/>
      <c r="H581" s="227"/>
      <c r="I581" s="227"/>
      <c r="J581" s="227"/>
      <c r="K581" s="227"/>
      <c r="L581" s="227"/>
      <c r="M581" s="227"/>
      <c r="N581" s="227"/>
      <c r="O581" s="227"/>
      <c r="P581" s="227"/>
      <c r="Q581" s="227"/>
      <c r="R581" s="227"/>
    </row>
    <row r="582" spans="1:18">
      <c r="A582" s="2"/>
      <c r="B582" s="2"/>
      <c r="C582" s="120"/>
      <c r="D582" s="120"/>
      <c r="E582" s="118"/>
      <c r="F582" s="227"/>
      <c r="G582" s="227"/>
      <c r="H582" s="227"/>
      <c r="I582" s="227"/>
      <c r="J582" s="227"/>
      <c r="K582" s="227"/>
      <c r="L582" s="227"/>
      <c r="M582" s="227"/>
      <c r="N582" s="227"/>
      <c r="O582" s="227"/>
      <c r="P582" s="227"/>
      <c r="Q582" s="227"/>
      <c r="R582" s="227"/>
    </row>
    <row r="583" spans="1:18">
      <c r="A583" s="2"/>
      <c r="B583" s="2"/>
      <c r="C583" s="120"/>
      <c r="D583" s="120"/>
      <c r="E583" s="118"/>
      <c r="F583" s="227"/>
      <c r="G583" s="227"/>
      <c r="H583" s="227"/>
      <c r="I583" s="227"/>
      <c r="J583" s="227"/>
      <c r="K583" s="227"/>
      <c r="L583" s="227"/>
      <c r="M583" s="227"/>
      <c r="N583" s="227"/>
      <c r="O583" s="227"/>
      <c r="P583" s="227"/>
      <c r="Q583" s="227"/>
      <c r="R583" s="227"/>
    </row>
    <row r="584" spans="1:18">
      <c r="A584" s="2"/>
      <c r="B584" s="2"/>
      <c r="C584" s="120"/>
      <c r="D584" s="120"/>
      <c r="E584" s="118"/>
      <c r="F584" s="227"/>
      <c r="G584" s="227"/>
      <c r="H584" s="227"/>
      <c r="I584" s="227"/>
      <c r="J584" s="227"/>
      <c r="K584" s="227"/>
      <c r="L584" s="227"/>
      <c r="M584" s="227"/>
      <c r="N584" s="227"/>
      <c r="O584" s="227"/>
      <c r="P584" s="227"/>
      <c r="Q584" s="227"/>
      <c r="R584" s="227"/>
    </row>
    <row r="585" spans="1:18">
      <c r="A585" s="2"/>
      <c r="B585" s="2"/>
      <c r="C585" s="120"/>
      <c r="D585" s="120"/>
      <c r="E585" s="118"/>
      <c r="F585" s="227"/>
      <c r="G585" s="227"/>
      <c r="H585" s="227"/>
      <c r="I585" s="227"/>
      <c r="J585" s="227"/>
      <c r="K585" s="227"/>
      <c r="L585" s="227"/>
      <c r="M585" s="227"/>
      <c r="N585" s="227"/>
      <c r="O585" s="227"/>
      <c r="P585" s="227"/>
      <c r="Q585" s="227"/>
      <c r="R585" s="227"/>
    </row>
    <row r="586" spans="1:18">
      <c r="A586" s="2"/>
      <c r="B586" s="2"/>
      <c r="C586" s="120"/>
      <c r="D586" s="120"/>
      <c r="E586" s="118"/>
      <c r="F586" s="227"/>
      <c r="G586" s="227"/>
      <c r="H586" s="227"/>
      <c r="I586" s="227"/>
      <c r="J586" s="227"/>
      <c r="K586" s="227"/>
      <c r="L586" s="227"/>
      <c r="M586" s="227"/>
      <c r="N586" s="227"/>
      <c r="O586" s="227"/>
      <c r="P586" s="227"/>
      <c r="Q586" s="227"/>
      <c r="R586" s="227"/>
    </row>
    <row r="587" spans="1:18">
      <c r="A587" s="2"/>
      <c r="B587" s="2"/>
      <c r="C587" s="120"/>
      <c r="D587" s="120"/>
      <c r="E587" s="118"/>
      <c r="F587" s="227"/>
      <c r="G587" s="227"/>
      <c r="H587" s="227"/>
      <c r="I587" s="227"/>
      <c r="J587" s="227"/>
      <c r="K587" s="227"/>
      <c r="L587" s="227"/>
      <c r="M587" s="227"/>
      <c r="N587" s="227"/>
      <c r="O587" s="227"/>
      <c r="P587" s="227"/>
      <c r="Q587" s="227"/>
      <c r="R587" s="227"/>
    </row>
    <row r="588" spans="1:18">
      <c r="A588" s="2"/>
      <c r="B588" s="2"/>
      <c r="C588" s="120"/>
      <c r="D588" s="120"/>
      <c r="E588" s="118"/>
      <c r="F588" s="227"/>
      <c r="G588" s="227"/>
      <c r="H588" s="227"/>
      <c r="I588" s="227"/>
      <c r="J588" s="227"/>
      <c r="K588" s="227"/>
      <c r="L588" s="227"/>
      <c r="M588" s="227"/>
      <c r="N588" s="227"/>
      <c r="O588" s="227"/>
      <c r="P588" s="227"/>
      <c r="Q588" s="227"/>
      <c r="R588" s="227"/>
    </row>
    <row r="589" spans="1:18">
      <c r="A589" s="2"/>
      <c r="B589" s="2"/>
      <c r="C589" s="120"/>
      <c r="D589" s="120"/>
      <c r="E589" s="118"/>
      <c r="F589" s="227"/>
      <c r="G589" s="227"/>
      <c r="H589" s="227"/>
      <c r="I589" s="227"/>
      <c r="J589" s="227"/>
      <c r="K589" s="227"/>
      <c r="L589" s="227"/>
      <c r="M589" s="227"/>
      <c r="N589" s="227"/>
      <c r="O589" s="227"/>
      <c r="P589" s="227"/>
      <c r="Q589" s="227"/>
      <c r="R589" s="227"/>
    </row>
    <row r="590" spans="1:18">
      <c r="A590" s="2"/>
      <c r="B590" s="2"/>
      <c r="C590" s="120"/>
      <c r="D590" s="120"/>
      <c r="E590" s="118"/>
      <c r="F590" s="227"/>
      <c r="G590" s="227"/>
      <c r="H590" s="227"/>
      <c r="I590" s="227"/>
      <c r="J590" s="227"/>
      <c r="K590" s="227"/>
      <c r="L590" s="227"/>
      <c r="M590" s="227"/>
      <c r="N590" s="227"/>
      <c r="O590" s="227"/>
      <c r="P590" s="227"/>
      <c r="Q590" s="227"/>
      <c r="R590" s="227"/>
    </row>
    <row r="591" spans="1:18">
      <c r="A591" s="2"/>
      <c r="B591" s="2"/>
      <c r="C591" s="120"/>
      <c r="D591" s="120"/>
      <c r="E591" s="118"/>
      <c r="F591" s="227"/>
      <c r="G591" s="227"/>
      <c r="H591" s="227"/>
      <c r="I591" s="227"/>
      <c r="J591" s="227"/>
      <c r="K591" s="227"/>
      <c r="L591" s="227"/>
      <c r="M591" s="227"/>
      <c r="N591" s="227"/>
      <c r="O591" s="227"/>
      <c r="P591" s="227"/>
      <c r="Q591" s="227"/>
      <c r="R591" s="227"/>
    </row>
    <row r="592" spans="1:18">
      <c r="A592" s="2"/>
      <c r="B592" s="2"/>
      <c r="C592" s="120"/>
      <c r="D592" s="120"/>
      <c r="E592" s="118"/>
      <c r="F592" s="227"/>
      <c r="G592" s="227"/>
      <c r="H592" s="227"/>
      <c r="I592" s="227"/>
      <c r="J592" s="227"/>
      <c r="K592" s="227"/>
      <c r="L592" s="227"/>
      <c r="M592" s="227"/>
      <c r="N592" s="227"/>
      <c r="O592" s="227"/>
      <c r="P592" s="227"/>
      <c r="Q592" s="227"/>
      <c r="R592" s="227"/>
    </row>
    <row r="593" spans="1:18">
      <c r="A593" s="2"/>
      <c r="B593" s="2"/>
      <c r="C593" s="120"/>
      <c r="D593" s="120"/>
      <c r="E593" s="118"/>
      <c r="F593" s="227"/>
      <c r="G593" s="227"/>
      <c r="H593" s="227"/>
      <c r="I593" s="227"/>
      <c r="J593" s="227"/>
      <c r="K593" s="227"/>
      <c r="L593" s="227"/>
      <c r="M593" s="227"/>
      <c r="N593" s="227"/>
      <c r="O593" s="227"/>
      <c r="P593" s="227"/>
      <c r="Q593" s="227"/>
      <c r="R593" s="227"/>
    </row>
    <row r="594" spans="1:18">
      <c r="A594" s="2"/>
      <c r="B594" s="2"/>
      <c r="C594" s="120"/>
      <c r="D594" s="120"/>
      <c r="E594" s="118"/>
      <c r="F594" s="227"/>
      <c r="G594" s="227"/>
      <c r="H594" s="227"/>
      <c r="I594" s="227"/>
      <c r="J594" s="227"/>
      <c r="K594" s="227"/>
      <c r="L594" s="227"/>
      <c r="M594" s="227"/>
      <c r="N594" s="227"/>
      <c r="O594" s="227"/>
      <c r="P594" s="227"/>
      <c r="Q594" s="227"/>
      <c r="R594" s="227"/>
    </row>
    <row r="595" spans="1:18">
      <c r="A595" s="2"/>
      <c r="B595" s="2"/>
      <c r="C595" s="120"/>
      <c r="D595" s="120"/>
      <c r="E595" s="118"/>
      <c r="F595" s="227"/>
      <c r="G595" s="227"/>
      <c r="H595" s="227"/>
      <c r="I595" s="227"/>
      <c r="J595" s="227"/>
      <c r="K595" s="227"/>
      <c r="L595" s="227"/>
      <c r="M595" s="227"/>
      <c r="N595" s="227"/>
      <c r="O595" s="227"/>
      <c r="P595" s="227"/>
      <c r="Q595" s="227"/>
      <c r="R595" s="227"/>
    </row>
    <row r="596" spans="1:18">
      <c r="A596" s="2"/>
      <c r="B596" s="2"/>
      <c r="C596" s="120"/>
      <c r="D596" s="120"/>
      <c r="E596" s="118"/>
      <c r="F596" s="227"/>
      <c r="G596" s="227"/>
      <c r="H596" s="227"/>
      <c r="I596" s="227"/>
      <c r="J596" s="227"/>
      <c r="K596" s="227"/>
      <c r="L596" s="227"/>
      <c r="M596" s="227"/>
      <c r="N596" s="227"/>
      <c r="O596" s="227"/>
      <c r="P596" s="227"/>
      <c r="Q596" s="227"/>
      <c r="R596" s="227"/>
    </row>
    <row r="597" spans="1:18">
      <c r="A597" s="2"/>
      <c r="B597" s="2"/>
      <c r="C597" s="120"/>
      <c r="D597" s="120"/>
      <c r="E597" s="118"/>
      <c r="F597" s="227"/>
      <c r="G597" s="227"/>
      <c r="H597" s="227"/>
      <c r="I597" s="227"/>
      <c r="J597" s="227"/>
      <c r="K597" s="227"/>
      <c r="L597" s="227"/>
      <c r="M597" s="227"/>
      <c r="N597" s="227"/>
      <c r="O597" s="227"/>
      <c r="P597" s="227"/>
      <c r="Q597" s="227"/>
      <c r="R597" s="227"/>
    </row>
    <row r="598" spans="1:18">
      <c r="A598" s="2"/>
      <c r="B598" s="2"/>
      <c r="C598" s="120"/>
      <c r="D598" s="120"/>
      <c r="E598" s="118"/>
      <c r="F598" s="227"/>
      <c r="G598" s="227"/>
      <c r="H598" s="227"/>
      <c r="I598" s="227"/>
      <c r="J598" s="227"/>
      <c r="K598" s="227"/>
      <c r="L598" s="227"/>
      <c r="M598" s="227"/>
      <c r="N598" s="227"/>
      <c r="O598" s="227"/>
      <c r="P598" s="227"/>
      <c r="Q598" s="227"/>
      <c r="R598" s="227"/>
    </row>
    <row r="599" spans="1:18">
      <c r="A599" s="2"/>
      <c r="B599" s="2"/>
      <c r="C599" s="120"/>
      <c r="D599" s="120"/>
      <c r="E599" s="118"/>
      <c r="F599" s="227"/>
      <c r="G599" s="227"/>
      <c r="H599" s="227"/>
      <c r="I599" s="227"/>
      <c r="J599" s="227"/>
      <c r="K599" s="227"/>
      <c r="L599" s="227"/>
      <c r="M599" s="227"/>
      <c r="N599" s="227"/>
      <c r="O599" s="227"/>
      <c r="P599" s="227"/>
      <c r="Q599" s="227"/>
      <c r="R599" s="227"/>
    </row>
    <row r="600" spans="1:18">
      <c r="A600" s="2"/>
      <c r="B600" s="2"/>
      <c r="C600" s="120"/>
      <c r="D600" s="120"/>
      <c r="E600" s="118"/>
      <c r="F600" s="227"/>
      <c r="G600" s="227"/>
      <c r="H600" s="227"/>
      <c r="I600" s="227"/>
      <c r="J600" s="227"/>
      <c r="K600" s="227"/>
      <c r="L600" s="227"/>
      <c r="M600" s="227"/>
      <c r="N600" s="227"/>
      <c r="O600" s="227"/>
      <c r="P600" s="227"/>
      <c r="Q600" s="227"/>
      <c r="R600" s="227"/>
    </row>
    <row r="601" spans="1:18">
      <c r="A601" s="2"/>
      <c r="B601" s="2"/>
      <c r="C601" s="120"/>
      <c r="D601" s="120"/>
      <c r="E601" s="118"/>
      <c r="F601" s="227"/>
      <c r="G601" s="227"/>
      <c r="H601" s="227"/>
      <c r="I601" s="227"/>
      <c r="J601" s="227"/>
      <c r="K601" s="227"/>
      <c r="L601" s="227"/>
      <c r="M601" s="227"/>
      <c r="N601" s="227"/>
      <c r="O601" s="227"/>
      <c r="P601" s="227"/>
      <c r="Q601" s="227"/>
      <c r="R601" s="227"/>
    </row>
    <row r="602" spans="1:18">
      <c r="A602" s="2"/>
      <c r="B602" s="2"/>
      <c r="C602" s="120"/>
      <c r="D602" s="120"/>
      <c r="E602" s="118"/>
      <c r="F602" s="227"/>
      <c r="G602" s="227"/>
      <c r="H602" s="227"/>
      <c r="I602" s="227"/>
      <c r="J602" s="227"/>
      <c r="K602" s="227"/>
      <c r="L602" s="227"/>
      <c r="M602" s="227"/>
      <c r="N602" s="227"/>
      <c r="O602" s="227"/>
      <c r="P602" s="227"/>
      <c r="Q602" s="227"/>
      <c r="R602" s="227"/>
    </row>
    <row r="603" spans="1:18">
      <c r="A603" s="2"/>
      <c r="B603" s="2"/>
      <c r="C603" s="120"/>
      <c r="D603" s="120"/>
      <c r="E603" s="118"/>
      <c r="F603" s="227"/>
      <c r="G603" s="227"/>
      <c r="H603" s="227"/>
      <c r="I603" s="227"/>
      <c r="J603" s="227"/>
      <c r="K603" s="227"/>
      <c r="L603" s="227"/>
      <c r="M603" s="227"/>
      <c r="N603" s="227"/>
      <c r="O603" s="227"/>
      <c r="P603" s="227"/>
      <c r="Q603" s="227"/>
      <c r="R603" s="227"/>
    </row>
    <row r="604" spans="1:18">
      <c r="A604" s="2"/>
      <c r="B604" s="2"/>
      <c r="C604" s="120"/>
      <c r="D604" s="120"/>
      <c r="E604" s="118"/>
      <c r="F604" s="227"/>
      <c r="G604" s="227"/>
      <c r="H604" s="227"/>
      <c r="I604" s="227"/>
      <c r="J604" s="227"/>
      <c r="K604" s="227"/>
      <c r="L604" s="227"/>
      <c r="M604" s="227"/>
      <c r="N604" s="227"/>
      <c r="O604" s="227"/>
      <c r="P604" s="227"/>
      <c r="Q604" s="227"/>
      <c r="R604" s="227"/>
    </row>
    <row r="605" spans="1:18">
      <c r="A605" s="2"/>
      <c r="B605" s="2"/>
      <c r="C605" s="120"/>
      <c r="D605" s="120"/>
      <c r="E605" s="118"/>
      <c r="F605" s="227"/>
      <c r="G605" s="227"/>
      <c r="H605" s="227"/>
      <c r="I605" s="227"/>
      <c r="J605" s="227"/>
      <c r="K605" s="227"/>
      <c r="L605" s="227"/>
      <c r="M605" s="227"/>
      <c r="N605" s="227"/>
      <c r="O605" s="227"/>
      <c r="P605" s="227"/>
      <c r="Q605" s="227"/>
      <c r="R605" s="227"/>
    </row>
    <row r="606" spans="1:18">
      <c r="A606" s="2"/>
      <c r="B606" s="2"/>
      <c r="C606" s="120"/>
      <c r="D606" s="120"/>
      <c r="E606" s="118"/>
      <c r="F606" s="227"/>
      <c r="G606" s="227"/>
      <c r="H606" s="227"/>
      <c r="I606" s="227"/>
      <c r="J606" s="227"/>
      <c r="K606" s="227"/>
      <c r="L606" s="227"/>
      <c r="M606" s="227"/>
      <c r="N606" s="227"/>
      <c r="O606" s="227"/>
      <c r="P606" s="227"/>
      <c r="Q606" s="227"/>
      <c r="R606" s="227"/>
    </row>
    <row r="607" spans="1:18">
      <c r="A607" s="2"/>
      <c r="B607" s="2"/>
      <c r="C607" s="120"/>
      <c r="D607" s="120"/>
      <c r="E607" s="118"/>
      <c r="F607" s="227"/>
      <c r="G607" s="227"/>
      <c r="H607" s="227"/>
      <c r="I607" s="227"/>
      <c r="J607" s="227"/>
      <c r="K607" s="227"/>
      <c r="L607" s="227"/>
      <c r="M607" s="227"/>
      <c r="N607" s="227"/>
      <c r="O607" s="227"/>
      <c r="P607" s="227"/>
      <c r="Q607" s="227"/>
      <c r="R607" s="227"/>
    </row>
    <row r="608" spans="1:18">
      <c r="A608" s="2"/>
      <c r="B608" s="2"/>
      <c r="C608" s="120"/>
      <c r="D608" s="120"/>
      <c r="E608" s="118"/>
      <c r="F608" s="227"/>
      <c r="G608" s="227"/>
      <c r="H608" s="227"/>
      <c r="I608" s="227"/>
      <c r="J608" s="227"/>
      <c r="K608" s="227"/>
      <c r="L608" s="227"/>
      <c r="M608" s="227"/>
      <c r="N608" s="227"/>
      <c r="O608" s="227"/>
      <c r="P608" s="227"/>
      <c r="Q608" s="227"/>
      <c r="R608" s="227"/>
    </row>
    <row r="609" spans="1:18">
      <c r="A609" s="2"/>
      <c r="B609" s="2"/>
      <c r="C609" s="120"/>
      <c r="D609" s="120"/>
      <c r="E609" s="118"/>
      <c r="F609" s="227"/>
      <c r="G609" s="227"/>
      <c r="H609" s="227"/>
      <c r="I609" s="227"/>
      <c r="J609" s="227"/>
      <c r="K609" s="227"/>
      <c r="L609" s="227"/>
      <c r="M609" s="227"/>
      <c r="N609" s="227"/>
      <c r="O609" s="227"/>
      <c r="P609" s="227"/>
      <c r="Q609" s="227"/>
      <c r="R609" s="227"/>
    </row>
    <row r="610" spans="1:18">
      <c r="A610" s="2"/>
      <c r="B610" s="2"/>
      <c r="C610" s="120"/>
      <c r="D610" s="120"/>
      <c r="E610" s="118"/>
      <c r="F610" s="227"/>
      <c r="G610" s="227"/>
      <c r="H610" s="227"/>
      <c r="I610" s="227"/>
      <c r="J610" s="227"/>
      <c r="K610" s="227"/>
      <c r="L610" s="227"/>
      <c r="M610" s="227"/>
      <c r="N610" s="227"/>
      <c r="O610" s="227"/>
      <c r="P610" s="227"/>
      <c r="Q610" s="227"/>
      <c r="R610" s="227"/>
    </row>
    <row r="611" spans="1:18">
      <c r="A611" s="2"/>
      <c r="B611" s="2"/>
      <c r="C611" s="120"/>
      <c r="D611" s="120"/>
      <c r="E611" s="118"/>
      <c r="F611" s="227"/>
      <c r="G611" s="227"/>
      <c r="H611" s="227"/>
      <c r="I611" s="227"/>
      <c r="J611" s="227"/>
      <c r="K611" s="227"/>
      <c r="L611" s="227"/>
      <c r="M611" s="227"/>
      <c r="N611" s="227"/>
      <c r="O611" s="227"/>
      <c r="P611" s="227"/>
      <c r="Q611" s="227"/>
      <c r="R611" s="227"/>
    </row>
    <row r="612" spans="1:18">
      <c r="A612" s="2"/>
      <c r="B612" s="2"/>
      <c r="C612" s="120"/>
      <c r="D612" s="120"/>
      <c r="E612" s="118"/>
      <c r="F612" s="227"/>
      <c r="G612" s="227"/>
      <c r="H612" s="227"/>
      <c r="I612" s="227"/>
      <c r="J612" s="227"/>
      <c r="K612" s="227"/>
      <c r="L612" s="227"/>
      <c r="M612" s="227"/>
      <c r="N612" s="227"/>
      <c r="O612" s="227"/>
      <c r="P612" s="227"/>
      <c r="Q612" s="227"/>
      <c r="R612" s="227"/>
    </row>
    <row r="613" spans="1:18">
      <c r="A613" s="2"/>
      <c r="B613" s="2"/>
      <c r="C613" s="120"/>
      <c r="D613" s="120"/>
      <c r="E613" s="118"/>
      <c r="F613" s="227"/>
      <c r="G613" s="227"/>
      <c r="H613" s="227"/>
      <c r="I613" s="227"/>
      <c r="J613" s="227"/>
      <c r="K613" s="227"/>
      <c r="L613" s="227"/>
      <c r="M613" s="227"/>
      <c r="N613" s="227"/>
      <c r="O613" s="227"/>
      <c r="P613" s="227"/>
      <c r="Q613" s="227"/>
      <c r="R613" s="227"/>
    </row>
    <row r="614" spans="1:18">
      <c r="A614" s="2"/>
      <c r="B614" s="2"/>
      <c r="C614" s="120"/>
      <c r="D614" s="120"/>
      <c r="E614" s="118"/>
      <c r="F614" s="227"/>
      <c r="G614" s="227"/>
      <c r="H614" s="227"/>
      <c r="I614" s="227"/>
      <c r="J614" s="227"/>
      <c r="K614" s="227"/>
      <c r="L614" s="227"/>
      <c r="M614" s="227"/>
      <c r="N614" s="227"/>
      <c r="O614" s="227"/>
      <c r="P614" s="227"/>
      <c r="Q614" s="227"/>
      <c r="R614" s="227"/>
    </row>
    <row r="615" spans="1:18">
      <c r="A615" s="2"/>
      <c r="B615" s="2"/>
      <c r="C615" s="120"/>
      <c r="D615" s="120"/>
      <c r="E615" s="118"/>
      <c r="F615" s="227"/>
      <c r="G615" s="227"/>
      <c r="H615" s="227"/>
      <c r="I615" s="227"/>
      <c r="J615" s="227"/>
      <c r="K615" s="227"/>
      <c r="L615" s="227"/>
      <c r="M615" s="227"/>
      <c r="N615" s="227"/>
      <c r="O615" s="227"/>
      <c r="P615" s="227"/>
      <c r="Q615" s="227"/>
      <c r="R615" s="227"/>
    </row>
    <row r="616" spans="1:18">
      <c r="A616" s="2"/>
      <c r="B616" s="2"/>
      <c r="C616" s="120"/>
      <c r="D616" s="120"/>
      <c r="E616" s="118"/>
      <c r="F616" s="227"/>
      <c r="G616" s="227"/>
      <c r="H616" s="227"/>
      <c r="I616" s="227"/>
      <c r="J616" s="227"/>
      <c r="K616" s="227"/>
      <c r="L616" s="227"/>
      <c r="M616" s="227"/>
      <c r="N616" s="227"/>
      <c r="O616" s="227"/>
      <c r="P616" s="227"/>
      <c r="Q616" s="227"/>
      <c r="R616" s="227"/>
    </row>
    <row r="617" spans="1:18">
      <c r="A617" s="2"/>
      <c r="B617" s="2"/>
      <c r="C617" s="120"/>
      <c r="D617" s="120"/>
      <c r="E617" s="118"/>
      <c r="F617" s="227"/>
      <c r="G617" s="227"/>
      <c r="H617" s="227"/>
      <c r="I617" s="227"/>
      <c r="J617" s="227"/>
      <c r="K617" s="227"/>
      <c r="L617" s="227"/>
      <c r="M617" s="227"/>
      <c r="N617" s="227"/>
      <c r="O617" s="227"/>
      <c r="P617" s="227"/>
      <c r="Q617" s="227"/>
      <c r="R617" s="227"/>
    </row>
    <row r="618" spans="1:18">
      <c r="A618" s="2"/>
      <c r="B618" s="2"/>
      <c r="C618" s="120"/>
      <c r="D618" s="120"/>
      <c r="E618" s="118"/>
      <c r="F618" s="227"/>
      <c r="G618" s="227"/>
      <c r="H618" s="227"/>
      <c r="I618" s="227"/>
      <c r="J618" s="227"/>
      <c r="K618" s="227"/>
      <c r="L618" s="227"/>
      <c r="M618" s="227"/>
      <c r="N618" s="227"/>
      <c r="O618" s="227"/>
      <c r="P618" s="227"/>
      <c r="Q618" s="227"/>
      <c r="R618" s="227"/>
    </row>
    <row r="619" spans="1:18">
      <c r="A619" s="2"/>
      <c r="B619" s="2"/>
      <c r="C619" s="120"/>
      <c r="D619" s="120"/>
      <c r="E619" s="118"/>
      <c r="F619" s="227"/>
      <c r="G619" s="227"/>
      <c r="H619" s="227"/>
      <c r="I619" s="227"/>
      <c r="J619" s="227"/>
      <c r="K619" s="227"/>
      <c r="L619" s="227"/>
      <c r="M619" s="227"/>
      <c r="N619" s="227"/>
      <c r="O619" s="227"/>
      <c r="P619" s="227"/>
      <c r="Q619" s="227"/>
      <c r="R619" s="227"/>
    </row>
    <row r="620" spans="1:18">
      <c r="A620" s="2"/>
      <c r="B620" s="2"/>
      <c r="C620" s="120"/>
      <c r="D620" s="120"/>
      <c r="E620" s="118"/>
      <c r="F620" s="227"/>
      <c r="G620" s="227"/>
      <c r="H620" s="227"/>
      <c r="I620" s="227"/>
      <c r="J620" s="227"/>
      <c r="K620" s="227"/>
      <c r="L620" s="227"/>
      <c r="M620" s="227"/>
      <c r="N620" s="227"/>
      <c r="O620" s="227"/>
      <c r="P620" s="227"/>
      <c r="Q620" s="227"/>
      <c r="R620" s="227"/>
    </row>
    <row r="621" spans="1:18">
      <c r="A621" s="2"/>
      <c r="B621" s="2"/>
      <c r="C621" s="120"/>
      <c r="D621" s="120"/>
      <c r="E621" s="118"/>
      <c r="F621" s="227"/>
      <c r="G621" s="227"/>
      <c r="H621" s="227"/>
      <c r="I621" s="227"/>
      <c r="J621" s="227"/>
      <c r="K621" s="227"/>
      <c r="L621" s="227"/>
      <c r="M621" s="227"/>
      <c r="N621" s="227"/>
      <c r="O621" s="227"/>
      <c r="P621" s="227"/>
      <c r="Q621" s="227"/>
      <c r="R621" s="227"/>
    </row>
    <row r="622" spans="1:18">
      <c r="A622" s="2"/>
      <c r="B622" s="2"/>
      <c r="C622" s="120"/>
      <c r="D622" s="120"/>
      <c r="E622" s="118"/>
      <c r="F622" s="227"/>
      <c r="G622" s="227"/>
      <c r="H622" s="227"/>
      <c r="I622" s="227"/>
      <c r="J622" s="227"/>
      <c r="K622" s="227"/>
      <c r="L622" s="227"/>
      <c r="M622" s="227"/>
      <c r="N622" s="227"/>
      <c r="O622" s="227"/>
      <c r="P622" s="227"/>
      <c r="Q622" s="227"/>
      <c r="R622" s="227"/>
    </row>
    <row r="623" spans="1:18">
      <c r="A623" s="2"/>
      <c r="B623" s="2"/>
      <c r="C623" s="120"/>
      <c r="D623" s="120"/>
      <c r="E623" s="118"/>
      <c r="F623" s="227"/>
      <c r="G623" s="227"/>
      <c r="H623" s="227"/>
      <c r="I623" s="227"/>
      <c r="J623" s="227"/>
      <c r="K623" s="227"/>
      <c r="L623" s="227"/>
      <c r="M623" s="227"/>
      <c r="N623" s="227"/>
      <c r="O623" s="227"/>
      <c r="P623" s="227"/>
      <c r="Q623" s="227"/>
      <c r="R623" s="227"/>
    </row>
    <row r="624" spans="1:18">
      <c r="A624" s="2"/>
      <c r="B624" s="2"/>
      <c r="C624" s="120"/>
      <c r="D624" s="120"/>
      <c r="E624" s="118"/>
      <c r="F624" s="227"/>
      <c r="G624" s="227"/>
      <c r="H624" s="227"/>
      <c r="I624" s="227"/>
      <c r="J624" s="227"/>
      <c r="K624" s="227"/>
      <c r="L624" s="227"/>
      <c r="M624" s="227"/>
      <c r="N624" s="227"/>
      <c r="O624" s="227"/>
      <c r="P624" s="227"/>
      <c r="Q624" s="227"/>
      <c r="R624" s="227"/>
    </row>
    <row r="625" spans="1:18">
      <c r="A625" s="2"/>
      <c r="B625" s="2"/>
      <c r="C625" s="120"/>
      <c r="D625" s="120"/>
      <c r="E625" s="118"/>
      <c r="F625" s="227"/>
      <c r="G625" s="227"/>
      <c r="H625" s="227"/>
      <c r="I625" s="227"/>
      <c r="J625" s="227"/>
      <c r="K625" s="227"/>
      <c r="L625" s="227"/>
      <c r="M625" s="227"/>
      <c r="N625" s="227"/>
      <c r="O625" s="227"/>
      <c r="P625" s="227"/>
      <c r="Q625" s="227"/>
      <c r="R625" s="227"/>
    </row>
    <row r="626" spans="1:18">
      <c r="A626" s="2"/>
      <c r="B626" s="2"/>
      <c r="C626" s="120"/>
      <c r="D626" s="120"/>
      <c r="E626" s="118"/>
      <c r="F626" s="227"/>
      <c r="G626" s="227"/>
      <c r="H626" s="227"/>
      <c r="I626" s="227"/>
      <c r="J626" s="227"/>
      <c r="K626" s="227"/>
      <c r="L626" s="227"/>
      <c r="M626" s="227"/>
      <c r="N626" s="227"/>
      <c r="O626" s="227"/>
      <c r="P626" s="227"/>
      <c r="Q626" s="227"/>
      <c r="R626" s="227"/>
    </row>
    <row r="627" spans="1:18">
      <c r="A627" s="2"/>
      <c r="B627" s="2"/>
      <c r="C627" s="120"/>
      <c r="D627" s="120"/>
      <c r="E627" s="118"/>
      <c r="F627" s="227"/>
      <c r="G627" s="227"/>
      <c r="H627" s="227"/>
      <c r="I627" s="227"/>
      <c r="J627" s="227"/>
      <c r="K627" s="227"/>
      <c r="L627" s="227"/>
      <c r="M627" s="227"/>
      <c r="N627" s="227"/>
      <c r="O627" s="227"/>
      <c r="P627" s="227"/>
      <c r="Q627" s="227"/>
      <c r="R627" s="227"/>
    </row>
    <row r="628" spans="1:18">
      <c r="A628" s="2"/>
      <c r="B628" s="2"/>
      <c r="C628" s="120"/>
      <c r="D628" s="120"/>
      <c r="E628" s="118"/>
      <c r="F628" s="227"/>
      <c r="G628" s="227"/>
      <c r="H628" s="227"/>
      <c r="I628" s="227"/>
      <c r="J628" s="227"/>
      <c r="K628" s="227"/>
      <c r="L628" s="227"/>
      <c r="M628" s="227"/>
      <c r="N628" s="227"/>
      <c r="O628" s="227"/>
      <c r="P628" s="227"/>
      <c r="Q628" s="227"/>
      <c r="R628" s="227"/>
    </row>
    <row r="629" spans="1:18">
      <c r="A629" s="2"/>
      <c r="B629" s="2"/>
      <c r="C629" s="120"/>
      <c r="D629" s="120"/>
      <c r="E629" s="118"/>
      <c r="F629" s="227"/>
      <c r="G629" s="227"/>
      <c r="H629" s="227"/>
      <c r="I629" s="227"/>
      <c r="J629" s="227"/>
      <c r="K629" s="227"/>
      <c r="L629" s="227"/>
      <c r="M629" s="227"/>
      <c r="N629" s="227"/>
      <c r="O629" s="227"/>
      <c r="P629" s="227"/>
      <c r="Q629" s="227"/>
      <c r="R629" s="227"/>
    </row>
    <row r="630" spans="1:18">
      <c r="A630" s="2"/>
      <c r="B630" s="2"/>
      <c r="C630" s="120"/>
      <c r="D630" s="120"/>
      <c r="E630" s="118"/>
      <c r="F630" s="227"/>
      <c r="G630" s="227"/>
      <c r="H630" s="227"/>
      <c r="I630" s="227"/>
      <c r="J630" s="227"/>
      <c r="K630" s="227"/>
      <c r="L630" s="227"/>
      <c r="M630" s="227"/>
      <c r="N630" s="227"/>
      <c r="O630" s="227"/>
      <c r="P630" s="227"/>
      <c r="Q630" s="227"/>
      <c r="R630" s="227"/>
    </row>
    <row r="631" spans="1:18">
      <c r="A631" s="2"/>
      <c r="B631" s="2"/>
      <c r="C631" s="120"/>
      <c r="D631" s="120"/>
      <c r="E631" s="118"/>
      <c r="F631" s="227"/>
      <c r="G631" s="227"/>
      <c r="H631" s="227"/>
      <c r="I631" s="227"/>
      <c r="J631" s="227"/>
      <c r="K631" s="227"/>
      <c r="L631" s="227"/>
      <c r="M631" s="227"/>
      <c r="N631" s="227"/>
      <c r="O631" s="227"/>
      <c r="P631" s="227"/>
      <c r="Q631" s="227"/>
      <c r="R631" s="227"/>
    </row>
    <row r="632" spans="1:18">
      <c r="A632" s="2"/>
      <c r="B632" s="2"/>
      <c r="C632" s="120"/>
      <c r="D632" s="120"/>
      <c r="E632" s="118"/>
      <c r="F632" s="227"/>
      <c r="G632" s="227"/>
      <c r="H632" s="227"/>
      <c r="I632" s="227"/>
      <c r="J632" s="227"/>
      <c r="K632" s="227"/>
      <c r="L632" s="227"/>
      <c r="M632" s="227"/>
      <c r="N632" s="227"/>
      <c r="O632" s="227"/>
      <c r="P632" s="227"/>
      <c r="Q632" s="227"/>
      <c r="R632" s="227"/>
    </row>
    <row r="633" spans="1:18">
      <c r="A633" s="2"/>
      <c r="B633" s="2"/>
      <c r="C633" s="120"/>
      <c r="D633" s="120"/>
      <c r="E633" s="118"/>
      <c r="F633" s="227"/>
      <c r="G633" s="227"/>
      <c r="H633" s="227"/>
      <c r="I633" s="227"/>
      <c r="J633" s="227"/>
      <c r="K633" s="227"/>
      <c r="L633" s="227"/>
      <c r="M633" s="227"/>
      <c r="N633" s="227"/>
      <c r="O633" s="227"/>
      <c r="P633" s="227"/>
      <c r="Q633" s="227"/>
      <c r="R633" s="227"/>
    </row>
    <row r="634" spans="1:18">
      <c r="A634" s="2"/>
      <c r="B634" s="2"/>
      <c r="C634" s="120"/>
      <c r="D634" s="120"/>
      <c r="E634" s="118"/>
      <c r="F634" s="227"/>
      <c r="G634" s="227"/>
      <c r="H634" s="227"/>
      <c r="I634" s="227"/>
      <c r="J634" s="227"/>
      <c r="K634" s="227"/>
      <c r="L634" s="227"/>
      <c r="M634" s="227"/>
      <c r="N634" s="227"/>
      <c r="O634" s="227"/>
      <c r="P634" s="227"/>
      <c r="Q634" s="227"/>
      <c r="R634" s="227"/>
    </row>
    <row r="635" spans="1:18">
      <c r="A635" s="2"/>
      <c r="B635" s="2"/>
      <c r="C635" s="120"/>
      <c r="D635" s="120"/>
      <c r="E635" s="118"/>
      <c r="F635" s="227"/>
      <c r="G635" s="227"/>
      <c r="H635" s="227"/>
      <c r="I635" s="227"/>
      <c r="J635" s="227"/>
      <c r="K635" s="227"/>
      <c r="L635" s="227"/>
      <c r="M635" s="227"/>
      <c r="N635" s="227"/>
      <c r="O635" s="227"/>
      <c r="P635" s="227"/>
      <c r="Q635" s="227"/>
      <c r="R635" s="227"/>
    </row>
    <row r="636" spans="1:18">
      <c r="A636" s="2"/>
      <c r="B636" s="2"/>
      <c r="C636" s="120"/>
      <c r="D636" s="120"/>
      <c r="E636" s="118"/>
      <c r="F636" s="227"/>
      <c r="G636" s="227"/>
      <c r="H636" s="227"/>
      <c r="I636" s="227"/>
      <c r="J636" s="227"/>
      <c r="K636" s="227"/>
      <c r="L636" s="227"/>
      <c r="M636" s="227"/>
      <c r="N636" s="227"/>
      <c r="O636" s="227"/>
      <c r="P636" s="227"/>
      <c r="Q636" s="227"/>
      <c r="R636" s="227"/>
    </row>
    <row r="637" spans="1:18">
      <c r="A637" s="2"/>
      <c r="B637" s="2"/>
      <c r="C637" s="120"/>
      <c r="D637" s="120"/>
      <c r="E637" s="118"/>
      <c r="F637" s="227"/>
      <c r="G637" s="227"/>
      <c r="H637" s="227"/>
      <c r="I637" s="227"/>
      <c r="J637" s="227"/>
      <c r="K637" s="227"/>
      <c r="L637" s="227"/>
      <c r="M637" s="227"/>
      <c r="N637" s="227"/>
      <c r="O637" s="227"/>
      <c r="P637" s="227"/>
      <c r="Q637" s="227"/>
      <c r="R637" s="227"/>
    </row>
    <row r="638" spans="1:18">
      <c r="A638" s="2"/>
      <c r="B638" s="2"/>
      <c r="C638" s="120"/>
      <c r="D638" s="120"/>
      <c r="E638" s="118"/>
      <c r="F638" s="227"/>
      <c r="G638" s="227"/>
      <c r="H638" s="227"/>
      <c r="I638" s="227"/>
      <c r="J638" s="227"/>
      <c r="K638" s="227"/>
      <c r="L638" s="227"/>
      <c r="M638" s="227"/>
      <c r="N638" s="227"/>
      <c r="O638" s="227"/>
      <c r="P638" s="227"/>
      <c r="Q638" s="227"/>
      <c r="R638" s="227"/>
    </row>
    <row r="639" spans="1:18">
      <c r="A639" s="2"/>
      <c r="B639" s="2"/>
      <c r="C639" s="120"/>
      <c r="D639" s="120"/>
      <c r="E639" s="118"/>
      <c r="F639" s="227"/>
      <c r="G639" s="227"/>
      <c r="H639" s="227"/>
      <c r="I639" s="227"/>
      <c r="J639" s="227"/>
      <c r="K639" s="227"/>
      <c r="L639" s="227"/>
      <c r="M639" s="227"/>
      <c r="N639" s="227"/>
      <c r="O639" s="227"/>
      <c r="P639" s="227"/>
      <c r="Q639" s="227"/>
      <c r="R639" s="227"/>
    </row>
    <row r="640" spans="1:18">
      <c r="A640" s="2"/>
      <c r="B640" s="2"/>
      <c r="C640" s="120"/>
      <c r="D640" s="120"/>
      <c r="E640" s="118"/>
      <c r="F640" s="227"/>
      <c r="G640" s="227"/>
      <c r="H640" s="227"/>
      <c r="I640" s="227"/>
      <c r="J640" s="227"/>
      <c r="K640" s="227"/>
      <c r="L640" s="227"/>
      <c r="M640" s="227"/>
      <c r="N640" s="227"/>
      <c r="O640" s="227"/>
      <c r="P640" s="227"/>
      <c r="Q640" s="227"/>
      <c r="R640" s="227"/>
    </row>
    <row r="641" spans="1:18">
      <c r="A641" s="2"/>
      <c r="B641" s="2"/>
      <c r="C641" s="120"/>
      <c r="D641" s="120"/>
      <c r="E641" s="118"/>
      <c r="F641" s="227"/>
      <c r="G641" s="227"/>
      <c r="H641" s="227"/>
      <c r="I641" s="227"/>
      <c r="J641" s="227"/>
      <c r="K641" s="227"/>
      <c r="L641" s="227"/>
      <c r="M641" s="227"/>
      <c r="N641" s="227"/>
      <c r="O641" s="227"/>
      <c r="P641" s="227"/>
      <c r="Q641" s="227"/>
      <c r="R641" s="227"/>
    </row>
    <row r="642" spans="1:18">
      <c r="A642" s="2"/>
      <c r="B642" s="2"/>
      <c r="C642" s="120"/>
      <c r="D642" s="120"/>
      <c r="E642" s="118"/>
      <c r="F642" s="227"/>
      <c r="G642" s="227"/>
      <c r="H642" s="227"/>
      <c r="I642" s="227"/>
      <c r="J642" s="227"/>
      <c r="K642" s="227"/>
      <c r="L642" s="227"/>
      <c r="M642" s="227"/>
      <c r="N642" s="227"/>
      <c r="O642" s="227"/>
      <c r="P642" s="227"/>
      <c r="Q642" s="227"/>
      <c r="R642" s="227"/>
    </row>
    <row r="643" spans="1:18">
      <c r="A643" s="2"/>
      <c r="B643" s="2"/>
      <c r="C643" s="120"/>
      <c r="D643" s="120"/>
      <c r="E643" s="118"/>
      <c r="F643" s="227"/>
      <c r="G643" s="227"/>
      <c r="H643" s="227"/>
      <c r="I643" s="227"/>
      <c r="J643" s="227"/>
      <c r="K643" s="227"/>
      <c r="L643" s="227"/>
      <c r="M643" s="227"/>
      <c r="N643" s="227"/>
      <c r="O643" s="227"/>
      <c r="P643" s="227"/>
      <c r="Q643" s="227"/>
      <c r="R643" s="227"/>
    </row>
    <row r="644" spans="1:18">
      <c r="A644" s="2"/>
      <c r="B644" s="2"/>
      <c r="C644" s="120"/>
      <c r="D644" s="120"/>
      <c r="E644" s="118"/>
      <c r="F644" s="227"/>
      <c r="G644" s="227"/>
      <c r="H644" s="227"/>
      <c r="I644" s="227"/>
      <c r="J644" s="227"/>
      <c r="K644" s="227"/>
      <c r="L644" s="227"/>
      <c r="M644" s="227"/>
      <c r="N644" s="227"/>
      <c r="O644" s="227"/>
      <c r="P644" s="227"/>
      <c r="Q644" s="227"/>
      <c r="R644" s="227"/>
    </row>
    <row r="645" spans="1:18">
      <c r="A645" s="2"/>
      <c r="B645" s="2"/>
      <c r="C645" s="120"/>
      <c r="D645" s="120"/>
      <c r="E645" s="118"/>
      <c r="F645" s="227"/>
      <c r="G645" s="227"/>
      <c r="H645" s="227"/>
      <c r="I645" s="227"/>
      <c r="J645" s="227"/>
      <c r="K645" s="227"/>
      <c r="L645" s="227"/>
      <c r="M645" s="227"/>
      <c r="N645" s="227"/>
      <c r="O645" s="227"/>
      <c r="P645" s="227"/>
      <c r="Q645" s="227"/>
      <c r="R645" s="227"/>
    </row>
    <row r="646" spans="1:18">
      <c r="A646" s="2"/>
      <c r="B646" s="2"/>
      <c r="C646" s="120"/>
      <c r="D646" s="120"/>
      <c r="E646" s="118"/>
      <c r="F646" s="227"/>
      <c r="G646" s="227"/>
      <c r="H646" s="227"/>
      <c r="I646" s="227"/>
      <c r="J646" s="227"/>
      <c r="K646" s="227"/>
      <c r="L646" s="227"/>
      <c r="M646" s="227"/>
      <c r="N646" s="227"/>
      <c r="O646" s="227"/>
      <c r="P646" s="227"/>
      <c r="Q646" s="227"/>
      <c r="R646" s="227"/>
    </row>
    <row r="647" spans="1:18">
      <c r="A647" s="2"/>
      <c r="B647" s="2"/>
      <c r="C647" s="120"/>
      <c r="D647" s="120"/>
      <c r="E647" s="118"/>
      <c r="F647" s="227"/>
      <c r="G647" s="227"/>
      <c r="H647" s="227"/>
      <c r="I647" s="227"/>
      <c r="J647" s="227"/>
      <c r="K647" s="227"/>
      <c r="L647" s="227"/>
      <c r="M647" s="227"/>
      <c r="N647" s="227"/>
      <c r="O647" s="227"/>
      <c r="P647" s="227"/>
      <c r="Q647" s="227"/>
      <c r="R647" s="227"/>
    </row>
    <row r="648" spans="1:18">
      <c r="A648" s="2"/>
      <c r="B648" s="2"/>
      <c r="C648" s="120"/>
      <c r="D648" s="120"/>
      <c r="E648" s="118"/>
      <c r="F648" s="227"/>
      <c r="G648" s="227"/>
      <c r="H648" s="227"/>
      <c r="I648" s="227"/>
      <c r="J648" s="227"/>
      <c r="K648" s="227"/>
      <c r="L648" s="227"/>
      <c r="M648" s="227"/>
      <c r="N648" s="227"/>
      <c r="O648" s="227"/>
      <c r="P648" s="227"/>
      <c r="Q648" s="227"/>
      <c r="R648" s="227"/>
    </row>
    <row r="649" spans="1:18">
      <c r="A649" s="2"/>
      <c r="B649" s="2"/>
      <c r="C649" s="120"/>
      <c r="D649" s="120"/>
      <c r="E649" s="118"/>
      <c r="F649" s="227"/>
      <c r="G649" s="227"/>
      <c r="H649" s="227"/>
      <c r="I649" s="227"/>
      <c r="J649" s="227"/>
      <c r="K649" s="227"/>
      <c r="L649" s="227"/>
      <c r="M649" s="227"/>
      <c r="N649" s="227"/>
      <c r="O649" s="227"/>
      <c r="P649" s="227"/>
      <c r="Q649" s="227"/>
      <c r="R649" s="227"/>
    </row>
    <row r="650" spans="1:18">
      <c r="A650" s="2"/>
      <c r="B650" s="2"/>
      <c r="C650" s="120"/>
      <c r="D650" s="120"/>
      <c r="E650" s="118"/>
      <c r="F650" s="227"/>
      <c r="G650" s="227"/>
      <c r="H650" s="227"/>
      <c r="I650" s="227"/>
      <c r="J650" s="227"/>
      <c r="K650" s="227"/>
      <c r="L650" s="227"/>
      <c r="M650" s="227"/>
      <c r="N650" s="227"/>
      <c r="O650" s="227"/>
      <c r="P650" s="227"/>
      <c r="Q650" s="227"/>
      <c r="R650" s="227"/>
    </row>
    <row r="651" spans="1:18">
      <c r="A651" s="2"/>
      <c r="B651" s="2"/>
      <c r="C651" s="120"/>
      <c r="D651" s="120"/>
      <c r="E651" s="118"/>
      <c r="F651" s="227"/>
      <c r="G651" s="227"/>
      <c r="H651" s="227"/>
      <c r="I651" s="227"/>
      <c r="J651" s="227"/>
      <c r="K651" s="227"/>
      <c r="L651" s="227"/>
      <c r="M651" s="227"/>
      <c r="N651" s="227"/>
      <c r="O651" s="227"/>
      <c r="P651" s="227"/>
      <c r="Q651" s="227"/>
      <c r="R651" s="227"/>
    </row>
    <row r="652" spans="1:18">
      <c r="A652" s="2"/>
      <c r="B652" s="2"/>
      <c r="C652" s="120"/>
      <c r="D652" s="120"/>
      <c r="E652" s="118"/>
      <c r="F652" s="227"/>
      <c r="G652" s="227"/>
      <c r="H652" s="227"/>
      <c r="I652" s="227"/>
      <c r="J652" s="227"/>
      <c r="K652" s="227"/>
      <c r="L652" s="227"/>
      <c r="M652" s="227"/>
      <c r="N652" s="227"/>
      <c r="O652" s="227"/>
      <c r="P652" s="227"/>
      <c r="Q652" s="227"/>
      <c r="R652" s="227"/>
    </row>
    <row r="653" spans="1:18">
      <c r="A653" s="2"/>
      <c r="B653" s="2"/>
      <c r="C653" s="120"/>
      <c r="D653" s="120"/>
      <c r="E653" s="118"/>
      <c r="F653" s="227"/>
      <c r="G653" s="227"/>
      <c r="H653" s="227"/>
      <c r="I653" s="227"/>
      <c r="J653" s="227"/>
      <c r="K653" s="227"/>
      <c r="L653" s="227"/>
      <c r="M653" s="227"/>
      <c r="N653" s="227"/>
      <c r="O653" s="227"/>
      <c r="P653" s="227"/>
      <c r="Q653" s="227"/>
      <c r="R653" s="227"/>
    </row>
    <row r="654" spans="1:18">
      <c r="A654" s="2"/>
      <c r="B654" s="2"/>
      <c r="C654" s="120"/>
      <c r="D654" s="120"/>
      <c r="E654" s="118"/>
      <c r="F654" s="227"/>
      <c r="G654" s="227"/>
      <c r="H654" s="227"/>
      <c r="I654" s="227"/>
      <c r="J654" s="227"/>
      <c r="K654" s="227"/>
      <c r="L654" s="227"/>
      <c r="M654" s="227"/>
      <c r="N654" s="227"/>
      <c r="O654" s="227"/>
      <c r="P654" s="227"/>
      <c r="Q654" s="227"/>
      <c r="R654" s="227"/>
    </row>
    <row r="655" spans="1:18">
      <c r="A655" s="2"/>
      <c r="B655" s="2"/>
      <c r="C655" s="120"/>
      <c r="D655" s="120"/>
      <c r="E655" s="118"/>
      <c r="F655" s="227"/>
      <c r="G655" s="227"/>
      <c r="H655" s="227"/>
      <c r="I655" s="227"/>
      <c r="J655" s="227"/>
      <c r="K655" s="227"/>
      <c r="L655" s="227"/>
      <c r="M655" s="227"/>
      <c r="N655" s="227"/>
      <c r="O655" s="227"/>
      <c r="P655" s="227"/>
      <c r="Q655" s="227"/>
      <c r="R655" s="227"/>
    </row>
    <row r="656" spans="1:18">
      <c r="A656" s="2"/>
      <c r="B656" s="2"/>
      <c r="C656" s="120"/>
      <c r="D656" s="120"/>
      <c r="E656" s="118"/>
      <c r="F656" s="227"/>
      <c r="G656" s="227"/>
      <c r="H656" s="227"/>
      <c r="I656" s="227"/>
      <c r="J656" s="227"/>
      <c r="K656" s="227"/>
      <c r="L656" s="227"/>
      <c r="M656" s="227"/>
      <c r="N656" s="227"/>
      <c r="O656" s="227"/>
      <c r="P656" s="227"/>
      <c r="Q656" s="227"/>
      <c r="R656" s="227"/>
    </row>
    <row r="657" spans="1:18">
      <c r="A657" s="2"/>
      <c r="B657" s="2"/>
      <c r="C657" s="120"/>
      <c r="D657" s="120"/>
      <c r="E657" s="118"/>
      <c r="F657" s="227"/>
      <c r="G657" s="227"/>
      <c r="H657" s="227"/>
      <c r="I657" s="227"/>
      <c r="J657" s="227"/>
      <c r="K657" s="227"/>
      <c r="L657" s="227"/>
      <c r="M657" s="227"/>
      <c r="N657" s="227"/>
      <c r="O657" s="227"/>
      <c r="P657" s="227"/>
      <c r="Q657" s="227"/>
      <c r="R657" s="227"/>
    </row>
    <row r="658" spans="1:18">
      <c r="A658" s="2"/>
      <c r="B658" s="2"/>
      <c r="C658" s="120"/>
      <c r="D658" s="120"/>
      <c r="E658" s="118"/>
      <c r="F658" s="227"/>
      <c r="G658" s="227"/>
      <c r="H658" s="227"/>
      <c r="I658" s="227"/>
      <c r="J658" s="227"/>
      <c r="K658" s="227"/>
      <c r="L658" s="227"/>
      <c r="M658" s="227"/>
      <c r="N658" s="227"/>
      <c r="O658" s="227"/>
      <c r="P658" s="227"/>
      <c r="Q658" s="227"/>
      <c r="R658" s="227"/>
    </row>
    <row r="659" spans="1:18">
      <c r="A659" s="2"/>
      <c r="B659" s="2"/>
      <c r="C659" s="120"/>
      <c r="D659" s="120"/>
      <c r="E659" s="118"/>
      <c r="F659" s="227"/>
      <c r="G659" s="227"/>
      <c r="H659" s="227"/>
      <c r="I659" s="227"/>
      <c r="J659" s="227"/>
      <c r="K659" s="227"/>
      <c r="L659" s="227"/>
      <c r="M659" s="227"/>
      <c r="N659" s="227"/>
      <c r="O659" s="227"/>
      <c r="P659" s="227"/>
      <c r="Q659" s="227"/>
      <c r="R659" s="227"/>
    </row>
    <row r="660" spans="1:18">
      <c r="A660" s="2"/>
      <c r="B660" s="2"/>
      <c r="C660" s="120"/>
      <c r="D660" s="120"/>
      <c r="E660" s="118"/>
      <c r="F660" s="227"/>
      <c r="G660" s="227"/>
      <c r="H660" s="227"/>
      <c r="I660" s="227"/>
      <c r="J660" s="227"/>
      <c r="K660" s="227"/>
      <c r="L660" s="227"/>
      <c r="M660" s="227"/>
      <c r="N660" s="227"/>
      <c r="O660" s="227"/>
      <c r="P660" s="227"/>
      <c r="Q660" s="227"/>
      <c r="R660" s="227"/>
    </row>
    <row r="661" spans="1:18">
      <c r="A661" s="2"/>
      <c r="B661" s="2"/>
      <c r="C661" s="120"/>
      <c r="D661" s="120"/>
      <c r="E661" s="118"/>
      <c r="F661" s="227"/>
      <c r="G661" s="227"/>
      <c r="H661" s="227"/>
      <c r="I661" s="227"/>
      <c r="J661" s="227"/>
      <c r="K661" s="227"/>
      <c r="L661" s="227"/>
      <c r="M661" s="227"/>
      <c r="N661" s="227"/>
      <c r="O661" s="227"/>
      <c r="P661" s="227"/>
      <c r="Q661" s="227"/>
      <c r="R661" s="227"/>
    </row>
    <row r="662" spans="1:18">
      <c r="A662" s="2"/>
      <c r="B662" s="2"/>
      <c r="C662" s="120"/>
      <c r="D662" s="120"/>
      <c r="E662" s="118"/>
      <c r="F662" s="227"/>
      <c r="G662" s="227"/>
      <c r="H662" s="227"/>
      <c r="I662" s="227"/>
      <c r="J662" s="227"/>
      <c r="K662" s="227"/>
      <c r="L662" s="227"/>
      <c r="M662" s="227"/>
      <c r="N662" s="227"/>
      <c r="O662" s="227"/>
      <c r="P662" s="227"/>
      <c r="Q662" s="227"/>
      <c r="R662" s="227"/>
    </row>
    <row r="663" spans="1:18">
      <c r="A663" s="2"/>
      <c r="B663" s="2"/>
      <c r="C663" s="120"/>
      <c r="D663" s="120"/>
      <c r="E663" s="118"/>
      <c r="F663" s="227"/>
      <c r="G663" s="227"/>
      <c r="H663" s="227"/>
      <c r="I663" s="227"/>
      <c r="J663" s="227"/>
      <c r="K663" s="227"/>
      <c r="L663" s="227"/>
      <c r="M663" s="227"/>
      <c r="N663" s="227"/>
      <c r="O663" s="227"/>
      <c r="P663" s="227"/>
      <c r="Q663" s="227"/>
      <c r="R663" s="227"/>
    </row>
    <row r="664" spans="1:18">
      <c r="A664" s="2"/>
      <c r="B664" s="2"/>
      <c r="C664" s="120"/>
      <c r="D664" s="120"/>
      <c r="E664" s="118"/>
      <c r="F664" s="227"/>
      <c r="G664" s="227"/>
      <c r="H664" s="227"/>
      <c r="I664" s="227"/>
      <c r="J664" s="227"/>
      <c r="K664" s="227"/>
      <c r="L664" s="227"/>
      <c r="M664" s="227"/>
      <c r="N664" s="227"/>
      <c r="O664" s="227"/>
      <c r="P664" s="227"/>
      <c r="Q664" s="227"/>
      <c r="R664" s="227"/>
    </row>
    <row r="665" spans="1:18">
      <c r="A665" s="2"/>
      <c r="B665" s="2"/>
      <c r="C665" s="120"/>
      <c r="D665" s="120"/>
      <c r="E665" s="118"/>
      <c r="F665" s="227"/>
      <c r="G665" s="227"/>
      <c r="H665" s="227"/>
      <c r="I665" s="227"/>
      <c r="J665" s="227"/>
      <c r="K665" s="227"/>
      <c r="L665" s="227"/>
      <c r="M665" s="227"/>
      <c r="N665" s="227"/>
      <c r="O665" s="227"/>
      <c r="P665" s="227"/>
      <c r="Q665" s="227"/>
      <c r="R665" s="227"/>
    </row>
    <row r="666" spans="1:18">
      <c r="A666" s="2"/>
      <c r="B666" s="2"/>
      <c r="C666" s="120"/>
      <c r="D666" s="120"/>
      <c r="E666" s="118"/>
      <c r="F666" s="227"/>
      <c r="G666" s="227"/>
      <c r="H666" s="227"/>
      <c r="I666" s="227"/>
      <c r="J666" s="227"/>
      <c r="K666" s="227"/>
      <c r="L666" s="227"/>
      <c r="M666" s="227"/>
      <c r="N666" s="227"/>
      <c r="O666" s="227"/>
      <c r="P666" s="227"/>
      <c r="Q666" s="227"/>
      <c r="R666" s="227"/>
    </row>
    <row r="667" spans="1:18">
      <c r="A667" s="2"/>
      <c r="B667" s="2"/>
      <c r="C667" s="120"/>
      <c r="D667" s="120"/>
      <c r="E667" s="118"/>
      <c r="F667" s="227"/>
      <c r="G667" s="227"/>
      <c r="H667" s="227"/>
      <c r="I667" s="227"/>
      <c r="J667" s="227"/>
      <c r="K667" s="227"/>
      <c r="L667" s="227"/>
      <c r="M667" s="227"/>
      <c r="N667" s="227"/>
      <c r="O667" s="227"/>
      <c r="P667" s="227"/>
      <c r="Q667" s="227"/>
      <c r="R667" s="227"/>
    </row>
    <row r="668" spans="1:18">
      <c r="A668" s="2"/>
      <c r="B668" s="2"/>
      <c r="C668" s="120"/>
      <c r="D668" s="120"/>
      <c r="E668" s="118"/>
      <c r="F668" s="227"/>
      <c r="G668" s="227"/>
      <c r="H668" s="227"/>
      <c r="I668" s="227"/>
      <c r="J668" s="227"/>
      <c r="K668" s="227"/>
      <c r="L668" s="227"/>
      <c r="M668" s="227"/>
      <c r="N668" s="227"/>
      <c r="O668" s="227"/>
      <c r="P668" s="227"/>
      <c r="Q668" s="227"/>
      <c r="R668" s="227"/>
    </row>
    <row r="669" spans="1:18">
      <c r="A669" s="2"/>
      <c r="B669" s="2"/>
      <c r="C669" s="120"/>
      <c r="D669" s="120"/>
      <c r="E669" s="118"/>
      <c r="F669" s="227"/>
      <c r="G669" s="227"/>
      <c r="H669" s="227"/>
      <c r="I669" s="227"/>
      <c r="J669" s="227"/>
      <c r="K669" s="227"/>
      <c r="L669" s="227"/>
      <c r="M669" s="227"/>
      <c r="N669" s="227"/>
      <c r="O669" s="227"/>
      <c r="P669" s="227"/>
      <c r="Q669" s="227"/>
      <c r="R669" s="227"/>
    </row>
    <row r="670" spans="1:18">
      <c r="A670" s="2"/>
      <c r="B670" s="2"/>
      <c r="C670" s="120"/>
      <c r="D670" s="120"/>
      <c r="E670" s="118"/>
      <c r="F670" s="227"/>
      <c r="G670" s="227"/>
      <c r="H670" s="227"/>
      <c r="I670" s="227"/>
      <c r="J670" s="227"/>
      <c r="K670" s="227"/>
      <c r="L670" s="227"/>
      <c r="M670" s="227"/>
      <c r="N670" s="227"/>
      <c r="O670" s="227"/>
      <c r="P670" s="227"/>
      <c r="Q670" s="227"/>
      <c r="R670" s="227"/>
    </row>
    <row r="671" spans="1:18">
      <c r="A671" s="2"/>
      <c r="B671" s="2"/>
      <c r="C671" s="120"/>
      <c r="D671" s="120"/>
      <c r="E671" s="118"/>
      <c r="F671" s="227"/>
      <c r="G671" s="227"/>
      <c r="H671" s="227"/>
      <c r="I671" s="227"/>
      <c r="J671" s="227"/>
      <c r="K671" s="227"/>
      <c r="L671" s="227"/>
      <c r="M671" s="227"/>
      <c r="N671" s="227"/>
      <c r="O671" s="227"/>
      <c r="P671" s="227"/>
      <c r="Q671" s="227"/>
      <c r="R671" s="227"/>
    </row>
    <row r="672" spans="1:18">
      <c r="A672" s="2"/>
      <c r="B672" s="2"/>
      <c r="C672" s="120"/>
      <c r="D672" s="120"/>
      <c r="E672" s="118"/>
      <c r="F672" s="227"/>
      <c r="G672" s="227"/>
      <c r="H672" s="227"/>
      <c r="I672" s="227"/>
      <c r="J672" s="227"/>
      <c r="K672" s="227"/>
      <c r="L672" s="227"/>
      <c r="M672" s="227"/>
      <c r="N672" s="227"/>
      <c r="O672" s="227"/>
      <c r="P672" s="227"/>
      <c r="Q672" s="227"/>
      <c r="R672" s="227"/>
    </row>
    <row r="673" spans="1:18">
      <c r="A673" s="2"/>
      <c r="B673" s="2"/>
      <c r="C673" s="120"/>
      <c r="D673" s="120"/>
      <c r="E673" s="118"/>
      <c r="F673" s="227"/>
      <c r="G673" s="227"/>
      <c r="H673" s="227"/>
      <c r="I673" s="227"/>
      <c r="J673" s="227"/>
      <c r="K673" s="227"/>
      <c r="L673" s="227"/>
      <c r="M673" s="227"/>
      <c r="N673" s="227"/>
      <c r="O673" s="227"/>
      <c r="P673" s="227"/>
      <c r="Q673" s="227"/>
      <c r="R673" s="227"/>
    </row>
    <row r="674" spans="1:18">
      <c r="A674" s="2"/>
      <c r="B674" s="2"/>
      <c r="C674" s="120"/>
      <c r="D674" s="120"/>
      <c r="E674" s="118"/>
      <c r="F674" s="227"/>
      <c r="G674" s="227"/>
      <c r="H674" s="227"/>
      <c r="I674" s="227"/>
      <c r="J674" s="227"/>
      <c r="K674" s="227"/>
      <c r="L674" s="227"/>
      <c r="M674" s="227"/>
      <c r="N674" s="227"/>
      <c r="O674" s="227"/>
      <c r="P674" s="227"/>
      <c r="Q674" s="227"/>
      <c r="R674" s="227"/>
    </row>
    <row r="675" spans="1:18">
      <c r="A675" s="2"/>
      <c r="B675" s="2"/>
      <c r="C675" s="120"/>
      <c r="D675" s="120"/>
      <c r="E675" s="118"/>
      <c r="F675" s="227"/>
      <c r="G675" s="227"/>
      <c r="H675" s="227"/>
      <c r="I675" s="227"/>
      <c r="J675" s="227"/>
      <c r="K675" s="227"/>
      <c r="L675" s="227"/>
      <c r="M675" s="227"/>
      <c r="N675" s="227"/>
      <c r="O675" s="227"/>
      <c r="P675" s="227"/>
      <c r="Q675" s="227"/>
      <c r="R675" s="227"/>
    </row>
    <row r="676" spans="1:18">
      <c r="A676" s="2"/>
      <c r="B676" s="2"/>
      <c r="C676" s="120"/>
      <c r="D676" s="120"/>
      <c r="E676" s="118"/>
      <c r="F676" s="227"/>
      <c r="G676" s="227"/>
      <c r="H676" s="227"/>
      <c r="I676" s="227"/>
      <c r="J676" s="227"/>
      <c r="K676" s="227"/>
      <c r="L676" s="227"/>
      <c r="M676" s="227"/>
      <c r="N676" s="227"/>
      <c r="O676" s="227"/>
      <c r="P676" s="227"/>
      <c r="Q676" s="227"/>
      <c r="R676" s="227"/>
    </row>
    <row r="677" spans="1:18">
      <c r="A677" s="2"/>
      <c r="B677" s="2"/>
      <c r="C677" s="120"/>
      <c r="D677" s="120"/>
      <c r="E677" s="118"/>
      <c r="F677" s="227"/>
      <c r="G677" s="227"/>
      <c r="H677" s="227"/>
      <c r="I677" s="227"/>
      <c r="J677" s="227"/>
      <c r="K677" s="227"/>
      <c r="L677" s="227"/>
      <c r="M677" s="227"/>
      <c r="N677" s="227"/>
      <c r="O677" s="227"/>
      <c r="P677" s="227"/>
      <c r="Q677" s="227"/>
      <c r="R677" s="227"/>
    </row>
    <row r="678" spans="1:18">
      <c r="A678" s="2"/>
      <c r="B678" s="2"/>
      <c r="C678" s="120"/>
      <c r="D678" s="120"/>
      <c r="E678" s="118"/>
      <c r="F678" s="227"/>
      <c r="G678" s="227"/>
      <c r="H678" s="227"/>
      <c r="I678" s="227"/>
      <c r="J678" s="227"/>
      <c r="K678" s="227"/>
      <c r="L678" s="227"/>
      <c r="M678" s="227"/>
      <c r="N678" s="227"/>
      <c r="O678" s="227"/>
      <c r="P678" s="227"/>
      <c r="Q678" s="227"/>
      <c r="R678" s="227"/>
    </row>
    <row r="679" spans="1:18">
      <c r="A679" s="2"/>
      <c r="B679" s="2"/>
      <c r="C679" s="120"/>
      <c r="D679" s="120"/>
      <c r="E679" s="118"/>
      <c r="F679" s="227"/>
      <c r="G679" s="227"/>
      <c r="H679" s="227"/>
      <c r="I679" s="227"/>
      <c r="J679" s="227"/>
      <c r="K679" s="227"/>
      <c r="L679" s="227"/>
      <c r="M679" s="227"/>
      <c r="N679" s="227"/>
      <c r="O679" s="227"/>
      <c r="P679" s="227"/>
      <c r="Q679" s="227"/>
      <c r="R679" s="227"/>
    </row>
    <row r="680" spans="1:18">
      <c r="A680" s="2"/>
      <c r="B680" s="2"/>
      <c r="C680" s="120"/>
      <c r="D680" s="120"/>
      <c r="E680" s="118"/>
      <c r="F680" s="227"/>
      <c r="G680" s="227"/>
      <c r="H680" s="227"/>
      <c r="I680" s="227"/>
      <c r="J680" s="227"/>
      <c r="K680" s="227"/>
      <c r="L680" s="227"/>
      <c r="M680" s="227"/>
      <c r="N680" s="227"/>
      <c r="O680" s="227"/>
      <c r="P680" s="227"/>
      <c r="Q680" s="227"/>
      <c r="R680" s="227"/>
    </row>
    <row r="681" spans="1:18">
      <c r="A681" s="2"/>
      <c r="B681" s="2"/>
      <c r="C681" s="120"/>
      <c r="D681" s="120"/>
      <c r="E681" s="118"/>
      <c r="F681" s="227"/>
      <c r="G681" s="227"/>
      <c r="H681" s="227"/>
      <c r="I681" s="227"/>
      <c r="J681" s="227"/>
      <c r="K681" s="227"/>
      <c r="L681" s="227"/>
      <c r="M681" s="227"/>
      <c r="N681" s="227"/>
      <c r="O681" s="227"/>
      <c r="P681" s="227"/>
      <c r="Q681" s="227"/>
      <c r="R681" s="227"/>
    </row>
    <row r="682" spans="1:18">
      <c r="A682" s="2"/>
      <c r="B682" s="2"/>
      <c r="C682" s="120"/>
      <c r="D682" s="120"/>
      <c r="E682" s="118"/>
      <c r="F682" s="227"/>
      <c r="G682" s="227"/>
      <c r="H682" s="227"/>
      <c r="I682" s="227"/>
      <c r="J682" s="227"/>
      <c r="K682" s="227"/>
      <c r="L682" s="227"/>
      <c r="M682" s="227"/>
      <c r="N682" s="227"/>
      <c r="O682" s="227"/>
      <c r="P682" s="227"/>
      <c r="Q682" s="227"/>
      <c r="R682" s="227"/>
    </row>
    <row r="683" spans="1:18">
      <c r="A683" s="2"/>
      <c r="B683" s="2"/>
      <c r="C683" s="120"/>
      <c r="D683" s="120"/>
      <c r="E683" s="118"/>
      <c r="F683" s="227"/>
      <c r="G683" s="227"/>
      <c r="H683" s="227"/>
      <c r="I683" s="227"/>
      <c r="J683" s="227"/>
      <c r="K683" s="227"/>
      <c r="L683" s="227"/>
      <c r="M683" s="227"/>
      <c r="N683" s="227"/>
      <c r="O683" s="227"/>
      <c r="P683" s="227"/>
      <c r="Q683" s="227"/>
      <c r="R683" s="227"/>
    </row>
    <row r="684" spans="1:18">
      <c r="A684" s="2"/>
      <c r="B684" s="2"/>
      <c r="C684" s="120"/>
      <c r="D684" s="120"/>
      <c r="E684" s="118"/>
      <c r="F684" s="227"/>
      <c r="G684" s="227"/>
      <c r="H684" s="227"/>
      <c r="I684" s="227"/>
      <c r="J684" s="227"/>
      <c r="K684" s="227"/>
      <c r="L684" s="227"/>
      <c r="M684" s="227"/>
      <c r="N684" s="227"/>
      <c r="O684" s="227"/>
      <c r="P684" s="227"/>
      <c r="Q684" s="227"/>
      <c r="R684" s="227"/>
    </row>
    <row r="685" spans="1:18">
      <c r="A685" s="2"/>
      <c r="B685" s="2"/>
      <c r="C685" s="120"/>
      <c r="D685" s="120"/>
      <c r="E685" s="118"/>
      <c r="F685" s="227"/>
      <c r="G685" s="227"/>
      <c r="H685" s="227"/>
      <c r="I685" s="227"/>
      <c r="J685" s="227"/>
      <c r="K685" s="227"/>
      <c r="L685" s="227"/>
      <c r="M685" s="227"/>
      <c r="N685" s="227"/>
      <c r="O685" s="227"/>
      <c r="P685" s="227"/>
      <c r="Q685" s="227"/>
      <c r="R685" s="227"/>
    </row>
    <row r="686" spans="1:18">
      <c r="A686" s="2"/>
      <c r="B686" s="2"/>
      <c r="C686" s="120"/>
      <c r="D686" s="120"/>
      <c r="E686" s="118"/>
      <c r="F686" s="227"/>
      <c r="G686" s="227"/>
      <c r="H686" s="227"/>
      <c r="I686" s="227"/>
      <c r="J686" s="227"/>
      <c r="K686" s="227"/>
      <c r="L686" s="227"/>
      <c r="M686" s="227"/>
      <c r="N686" s="227"/>
      <c r="O686" s="227"/>
      <c r="P686" s="227"/>
      <c r="Q686" s="227"/>
      <c r="R686" s="227"/>
    </row>
    <row r="687" spans="1:18">
      <c r="A687" s="2"/>
      <c r="B687" s="2"/>
      <c r="C687" s="120"/>
      <c r="D687" s="120"/>
      <c r="E687" s="118"/>
      <c r="F687" s="227"/>
      <c r="G687" s="227"/>
      <c r="H687" s="227"/>
      <c r="I687" s="227"/>
      <c r="J687" s="227"/>
      <c r="K687" s="227"/>
      <c r="L687" s="227"/>
      <c r="M687" s="227"/>
      <c r="N687" s="227"/>
      <c r="O687" s="227"/>
      <c r="P687" s="227"/>
      <c r="Q687" s="227"/>
      <c r="R687" s="227"/>
    </row>
    <row r="688" spans="1:18">
      <c r="A688" s="2"/>
      <c r="B688" s="2"/>
      <c r="C688" s="120"/>
      <c r="D688" s="120"/>
      <c r="E688" s="118"/>
      <c r="F688" s="227"/>
      <c r="G688" s="227"/>
      <c r="H688" s="227"/>
      <c r="I688" s="227"/>
      <c r="J688" s="227"/>
      <c r="K688" s="227"/>
      <c r="L688" s="227"/>
      <c r="M688" s="227"/>
      <c r="N688" s="227"/>
      <c r="O688" s="227"/>
      <c r="P688" s="227"/>
      <c r="Q688" s="227"/>
      <c r="R688" s="227"/>
    </row>
    <row r="689" spans="1:18">
      <c r="A689" s="2"/>
      <c r="B689" s="2"/>
      <c r="C689" s="120"/>
      <c r="D689" s="120"/>
      <c r="E689" s="118"/>
      <c r="F689" s="227"/>
      <c r="G689" s="227"/>
      <c r="H689" s="227"/>
      <c r="I689" s="227"/>
      <c r="J689" s="227"/>
      <c r="K689" s="227"/>
      <c r="L689" s="227"/>
      <c r="M689" s="227"/>
      <c r="N689" s="227"/>
      <c r="O689" s="227"/>
      <c r="P689" s="227"/>
      <c r="Q689" s="227"/>
      <c r="R689" s="227"/>
    </row>
    <row r="690" spans="1:18">
      <c r="A690" s="2"/>
      <c r="B690" s="2"/>
      <c r="C690" s="120"/>
      <c r="D690" s="120"/>
      <c r="E690" s="118"/>
      <c r="F690" s="227"/>
      <c r="G690" s="227"/>
      <c r="H690" s="227"/>
      <c r="I690" s="227"/>
      <c r="J690" s="227"/>
      <c r="K690" s="227"/>
      <c r="L690" s="227"/>
      <c r="M690" s="227"/>
      <c r="N690" s="227"/>
      <c r="O690" s="227"/>
      <c r="P690" s="227"/>
      <c r="Q690" s="227"/>
      <c r="R690" s="227"/>
    </row>
    <row r="691" spans="1:18">
      <c r="A691" s="2"/>
      <c r="B691" s="2"/>
      <c r="C691" s="120"/>
      <c r="D691" s="120"/>
      <c r="E691" s="118"/>
      <c r="F691" s="227"/>
      <c r="G691" s="227"/>
      <c r="H691" s="227"/>
      <c r="I691" s="227"/>
      <c r="J691" s="227"/>
      <c r="K691" s="227"/>
      <c r="L691" s="227"/>
      <c r="M691" s="227"/>
      <c r="N691" s="227"/>
      <c r="O691" s="227"/>
      <c r="P691" s="227"/>
      <c r="Q691" s="227"/>
      <c r="R691" s="227"/>
    </row>
    <row r="692" spans="1:18">
      <c r="A692" s="2"/>
      <c r="B692" s="2"/>
      <c r="C692" s="120"/>
      <c r="D692" s="120"/>
      <c r="E692" s="118"/>
      <c r="F692" s="227"/>
      <c r="G692" s="227"/>
      <c r="H692" s="227"/>
      <c r="I692" s="227"/>
      <c r="J692" s="227"/>
      <c r="K692" s="227"/>
      <c r="L692" s="227"/>
      <c r="M692" s="227"/>
      <c r="N692" s="227"/>
      <c r="O692" s="227"/>
      <c r="P692" s="227"/>
      <c r="Q692" s="227"/>
      <c r="R692" s="227"/>
    </row>
    <row r="693" spans="1:18">
      <c r="A693" s="2"/>
      <c r="B693" s="2"/>
      <c r="C693" s="120"/>
      <c r="D693" s="120"/>
      <c r="E693" s="118"/>
      <c r="F693" s="227"/>
      <c r="G693" s="227"/>
      <c r="H693" s="227"/>
      <c r="I693" s="227"/>
      <c r="J693" s="227"/>
      <c r="K693" s="227"/>
      <c r="L693" s="227"/>
      <c r="M693" s="227"/>
      <c r="N693" s="227"/>
      <c r="O693" s="227"/>
      <c r="P693" s="227"/>
      <c r="Q693" s="227"/>
      <c r="R693" s="227"/>
    </row>
    <row r="694" spans="1:18">
      <c r="A694" s="2"/>
      <c r="B694" s="2"/>
      <c r="C694" s="120"/>
      <c r="D694" s="120"/>
      <c r="E694" s="118"/>
      <c r="F694" s="227"/>
      <c r="G694" s="227"/>
      <c r="H694" s="227"/>
      <c r="I694" s="227"/>
      <c r="J694" s="227"/>
      <c r="K694" s="227"/>
      <c r="L694" s="227"/>
      <c r="M694" s="227"/>
      <c r="N694" s="227"/>
      <c r="O694" s="227"/>
      <c r="P694" s="227"/>
      <c r="Q694" s="227"/>
      <c r="R694" s="227"/>
    </row>
    <row r="695" spans="1:18">
      <c r="A695" s="2"/>
      <c r="B695" s="2"/>
      <c r="C695" s="120"/>
      <c r="D695" s="120"/>
      <c r="E695" s="118"/>
      <c r="F695" s="227"/>
      <c r="G695" s="227"/>
      <c r="H695" s="227"/>
      <c r="I695" s="227"/>
      <c r="J695" s="227"/>
      <c r="K695" s="227"/>
      <c r="L695" s="227"/>
      <c r="M695" s="227"/>
      <c r="N695" s="227"/>
      <c r="O695" s="227"/>
      <c r="P695" s="227"/>
      <c r="Q695" s="227"/>
      <c r="R695" s="227"/>
    </row>
    <row r="696" spans="1:18">
      <c r="A696" s="2"/>
      <c r="B696" s="2"/>
      <c r="C696" s="120"/>
      <c r="D696" s="120"/>
      <c r="E696" s="118"/>
      <c r="F696" s="227"/>
      <c r="G696" s="227"/>
      <c r="H696" s="227"/>
      <c r="I696" s="227"/>
      <c r="J696" s="227"/>
      <c r="K696" s="227"/>
      <c r="L696" s="227"/>
      <c r="M696" s="227"/>
      <c r="N696" s="227"/>
      <c r="O696" s="227"/>
      <c r="P696" s="227"/>
      <c r="Q696" s="227"/>
      <c r="R696" s="227"/>
    </row>
    <row r="697" spans="1:18">
      <c r="A697" s="2"/>
      <c r="B697" s="2"/>
      <c r="C697" s="120"/>
      <c r="D697" s="120"/>
      <c r="E697" s="118"/>
      <c r="F697" s="227"/>
      <c r="G697" s="227"/>
      <c r="H697" s="227"/>
      <c r="I697" s="227"/>
      <c r="J697" s="227"/>
      <c r="K697" s="227"/>
      <c r="L697" s="227"/>
      <c r="M697" s="227"/>
      <c r="N697" s="227"/>
      <c r="O697" s="227"/>
      <c r="P697" s="227"/>
      <c r="Q697" s="227"/>
      <c r="R697" s="227"/>
    </row>
    <row r="698" spans="1:18">
      <c r="A698" s="2"/>
      <c r="B698" s="2"/>
      <c r="C698" s="120"/>
      <c r="D698" s="120"/>
      <c r="E698" s="118"/>
      <c r="F698" s="227"/>
      <c r="G698" s="227"/>
      <c r="H698" s="227"/>
      <c r="I698" s="227"/>
      <c r="J698" s="227"/>
      <c r="K698" s="227"/>
      <c r="L698" s="227"/>
      <c r="M698" s="227"/>
      <c r="N698" s="227"/>
      <c r="O698" s="227"/>
      <c r="P698" s="227"/>
      <c r="Q698" s="227"/>
      <c r="R698" s="227"/>
    </row>
    <row r="699" spans="1:18">
      <c r="A699" s="2"/>
      <c r="B699" s="2"/>
      <c r="C699" s="120"/>
      <c r="D699" s="120"/>
      <c r="E699" s="118"/>
      <c r="F699" s="227"/>
      <c r="G699" s="227"/>
      <c r="H699" s="227"/>
      <c r="I699" s="227"/>
      <c r="J699" s="227"/>
      <c r="K699" s="227"/>
      <c r="L699" s="227"/>
      <c r="M699" s="227"/>
      <c r="N699" s="227"/>
      <c r="O699" s="227"/>
      <c r="P699" s="227"/>
      <c r="Q699" s="227"/>
      <c r="R699" s="227"/>
    </row>
    <row r="700" spans="1:18">
      <c r="A700" s="2"/>
      <c r="B700" s="2"/>
      <c r="C700" s="120"/>
      <c r="D700" s="120"/>
      <c r="E700" s="118"/>
      <c r="F700" s="227"/>
      <c r="G700" s="227"/>
      <c r="H700" s="227"/>
      <c r="I700" s="227"/>
      <c r="J700" s="227"/>
      <c r="K700" s="227"/>
      <c r="L700" s="227"/>
      <c r="M700" s="227"/>
      <c r="N700" s="227"/>
      <c r="O700" s="227"/>
      <c r="P700" s="227"/>
      <c r="Q700" s="227"/>
      <c r="R700" s="227"/>
    </row>
    <row r="701" spans="1:18">
      <c r="A701" s="2"/>
      <c r="B701" s="2"/>
      <c r="C701" s="120"/>
      <c r="D701" s="120"/>
      <c r="E701" s="118"/>
      <c r="F701" s="227"/>
      <c r="G701" s="227"/>
      <c r="H701" s="227"/>
      <c r="I701" s="227"/>
      <c r="J701" s="227"/>
      <c r="K701" s="227"/>
      <c r="L701" s="227"/>
      <c r="M701" s="227"/>
      <c r="N701" s="227"/>
      <c r="O701" s="227"/>
      <c r="P701" s="227"/>
      <c r="Q701" s="227"/>
      <c r="R701" s="227"/>
    </row>
    <row r="702" spans="1:18">
      <c r="A702" s="2"/>
      <c r="B702" s="2"/>
      <c r="C702" s="120"/>
      <c r="D702" s="120"/>
      <c r="E702" s="118"/>
      <c r="F702" s="227"/>
      <c r="G702" s="227"/>
      <c r="H702" s="227"/>
      <c r="I702" s="227"/>
      <c r="J702" s="227"/>
      <c r="K702" s="227"/>
      <c r="L702" s="227"/>
      <c r="M702" s="227"/>
      <c r="N702" s="227"/>
      <c r="O702" s="227"/>
      <c r="P702" s="227"/>
      <c r="Q702" s="227"/>
      <c r="R702" s="227"/>
    </row>
    <row r="703" spans="1:18">
      <c r="A703" s="2"/>
      <c r="B703" s="2"/>
      <c r="C703" s="120"/>
      <c r="D703" s="120"/>
      <c r="E703" s="118"/>
      <c r="F703" s="227"/>
      <c r="G703" s="227"/>
      <c r="H703" s="227"/>
      <c r="I703" s="227"/>
      <c r="J703" s="227"/>
      <c r="K703" s="227"/>
      <c r="L703" s="227"/>
      <c r="M703" s="227"/>
      <c r="N703" s="227"/>
      <c r="O703" s="227"/>
      <c r="P703" s="227"/>
      <c r="Q703" s="227"/>
      <c r="R703" s="227"/>
    </row>
    <row r="704" spans="1:18">
      <c r="A704" s="2"/>
      <c r="B704" s="2"/>
      <c r="C704" s="120"/>
      <c r="D704" s="120"/>
      <c r="E704" s="118"/>
      <c r="F704" s="227"/>
      <c r="G704" s="227"/>
      <c r="H704" s="227"/>
      <c r="I704" s="227"/>
      <c r="J704" s="227"/>
      <c r="K704" s="227"/>
      <c r="L704" s="227"/>
      <c r="M704" s="227"/>
      <c r="N704" s="227"/>
      <c r="O704" s="227"/>
      <c r="P704" s="227"/>
      <c r="Q704" s="227"/>
      <c r="R704" s="227"/>
    </row>
    <row r="705" spans="1:18">
      <c r="A705" s="2"/>
      <c r="B705" s="2"/>
      <c r="C705" s="120"/>
      <c r="D705" s="120"/>
      <c r="E705" s="118"/>
      <c r="F705" s="227"/>
      <c r="G705" s="227"/>
      <c r="H705" s="227"/>
      <c r="I705" s="227"/>
      <c r="J705" s="227"/>
      <c r="K705" s="227"/>
      <c r="L705" s="227"/>
      <c r="M705" s="227"/>
      <c r="N705" s="227"/>
      <c r="O705" s="227"/>
      <c r="P705" s="227"/>
      <c r="Q705" s="227"/>
      <c r="R705" s="227"/>
    </row>
    <row r="706" spans="1:18">
      <c r="A706" s="2"/>
      <c r="B706" s="2"/>
      <c r="C706" s="120"/>
      <c r="D706" s="120"/>
      <c r="E706" s="118"/>
      <c r="F706" s="227"/>
      <c r="G706" s="227"/>
      <c r="H706" s="227"/>
      <c r="I706" s="227"/>
      <c r="J706" s="227"/>
      <c r="K706" s="227"/>
      <c r="L706" s="227"/>
      <c r="M706" s="227"/>
      <c r="N706" s="227"/>
      <c r="O706" s="227"/>
      <c r="P706" s="227"/>
      <c r="Q706" s="227"/>
      <c r="R706" s="227"/>
    </row>
    <row r="707" spans="1:18">
      <c r="A707" s="2"/>
      <c r="B707" s="2"/>
      <c r="C707" s="120"/>
      <c r="D707" s="120"/>
      <c r="E707" s="118"/>
      <c r="F707" s="227"/>
      <c r="G707" s="227"/>
      <c r="H707" s="227"/>
      <c r="I707" s="227"/>
      <c r="J707" s="227"/>
      <c r="K707" s="227"/>
      <c r="L707" s="227"/>
      <c r="M707" s="227"/>
      <c r="N707" s="227"/>
      <c r="O707" s="227"/>
      <c r="P707" s="227"/>
      <c r="Q707" s="227"/>
      <c r="R707" s="227"/>
    </row>
    <row r="708" spans="1:18">
      <c r="A708" s="2"/>
      <c r="B708" s="2"/>
      <c r="C708" s="120"/>
      <c r="D708" s="120"/>
      <c r="E708" s="118"/>
      <c r="F708" s="227"/>
      <c r="G708" s="227"/>
      <c r="H708" s="227"/>
      <c r="I708" s="227"/>
      <c r="J708" s="227"/>
      <c r="K708" s="227"/>
      <c r="L708" s="227"/>
      <c r="M708" s="227"/>
      <c r="N708" s="227"/>
      <c r="O708" s="227"/>
      <c r="P708" s="227"/>
      <c r="Q708" s="227"/>
      <c r="R708" s="227"/>
    </row>
    <row r="709" spans="1:18">
      <c r="A709" s="2"/>
      <c r="B709" s="2"/>
      <c r="C709" s="120"/>
      <c r="D709" s="120"/>
      <c r="E709" s="118"/>
      <c r="F709" s="227"/>
      <c r="G709" s="227"/>
      <c r="H709" s="227"/>
      <c r="I709" s="227"/>
      <c r="J709" s="227"/>
      <c r="K709" s="227"/>
      <c r="L709" s="227"/>
      <c r="M709" s="227"/>
      <c r="N709" s="227"/>
      <c r="O709" s="227"/>
      <c r="P709" s="227"/>
      <c r="Q709" s="227"/>
      <c r="R709" s="227"/>
    </row>
    <row r="710" spans="1:18">
      <c r="A710" s="2"/>
      <c r="B710" s="2"/>
      <c r="C710" s="120"/>
      <c r="D710" s="120"/>
      <c r="E710" s="118"/>
      <c r="F710" s="227"/>
      <c r="G710" s="227"/>
      <c r="H710" s="227"/>
      <c r="I710" s="227"/>
      <c r="J710" s="227"/>
      <c r="K710" s="227"/>
      <c r="L710" s="227"/>
      <c r="M710" s="227"/>
      <c r="N710" s="227"/>
      <c r="O710" s="227"/>
      <c r="P710" s="227"/>
      <c r="Q710" s="227"/>
      <c r="R710" s="227"/>
    </row>
    <row r="711" spans="1:18">
      <c r="A711" s="2"/>
      <c r="B711" s="2"/>
      <c r="C711" s="120"/>
      <c r="D711" s="120"/>
      <c r="E711" s="118"/>
      <c r="F711" s="227"/>
      <c r="G711" s="227"/>
      <c r="H711" s="227"/>
      <c r="I711" s="227"/>
      <c r="J711" s="227"/>
      <c r="K711" s="227"/>
      <c r="L711" s="227"/>
      <c r="M711" s="227"/>
      <c r="N711" s="227"/>
      <c r="O711" s="227"/>
      <c r="P711" s="227"/>
      <c r="Q711" s="227"/>
      <c r="R711" s="227"/>
    </row>
    <row r="712" spans="1:18">
      <c r="A712" s="2"/>
      <c r="B712" s="2"/>
      <c r="C712" s="120"/>
      <c r="D712" s="120"/>
      <c r="E712" s="118"/>
      <c r="F712" s="227"/>
      <c r="G712" s="227"/>
      <c r="H712" s="227"/>
      <c r="I712" s="227"/>
      <c r="J712" s="227"/>
      <c r="K712" s="227"/>
      <c r="L712" s="227"/>
      <c r="M712" s="227"/>
      <c r="N712" s="227"/>
      <c r="O712" s="227"/>
      <c r="P712" s="227"/>
      <c r="Q712" s="227"/>
      <c r="R712" s="227"/>
    </row>
    <row r="713" spans="1:18">
      <c r="A713" s="2"/>
      <c r="B713" s="2"/>
      <c r="C713" s="120"/>
      <c r="D713" s="120"/>
      <c r="E713" s="118"/>
      <c r="F713" s="227"/>
      <c r="G713" s="227"/>
      <c r="H713" s="227"/>
      <c r="I713" s="227"/>
      <c r="J713" s="227"/>
      <c r="K713" s="227"/>
      <c r="L713" s="227"/>
      <c r="M713" s="227"/>
      <c r="N713" s="227"/>
      <c r="O713" s="227"/>
      <c r="P713" s="227"/>
      <c r="Q713" s="227"/>
      <c r="R713" s="227"/>
    </row>
    <row r="714" spans="1:18">
      <c r="A714" s="2"/>
      <c r="B714" s="2"/>
      <c r="C714" s="120"/>
      <c r="D714" s="120"/>
      <c r="E714" s="118"/>
      <c r="F714" s="227"/>
      <c r="G714" s="227"/>
      <c r="H714" s="227"/>
      <c r="I714" s="227"/>
      <c r="J714" s="227"/>
      <c r="K714" s="227"/>
      <c r="L714" s="227"/>
      <c r="M714" s="227"/>
      <c r="N714" s="227"/>
      <c r="O714" s="227"/>
      <c r="P714" s="227"/>
      <c r="Q714" s="227"/>
      <c r="R714" s="227"/>
    </row>
    <row r="715" spans="1:18">
      <c r="A715" s="2"/>
      <c r="B715" s="2"/>
      <c r="C715" s="120"/>
      <c r="D715" s="120"/>
      <c r="E715" s="118"/>
      <c r="F715" s="227"/>
      <c r="G715" s="227"/>
      <c r="H715" s="227"/>
      <c r="I715" s="227"/>
      <c r="J715" s="227"/>
      <c r="K715" s="227"/>
      <c r="L715" s="227"/>
      <c r="M715" s="227"/>
      <c r="N715" s="227"/>
      <c r="O715" s="227"/>
      <c r="P715" s="227"/>
      <c r="Q715" s="227"/>
      <c r="R715" s="227"/>
    </row>
    <row r="716" spans="1:18">
      <c r="A716" s="2"/>
      <c r="B716" s="2"/>
      <c r="C716" s="120"/>
      <c r="D716" s="120"/>
      <c r="E716" s="118"/>
      <c r="F716" s="227"/>
      <c r="G716" s="227"/>
      <c r="H716" s="227"/>
      <c r="I716" s="227"/>
      <c r="J716" s="227"/>
      <c r="K716" s="227"/>
      <c r="L716" s="227"/>
      <c r="M716" s="227"/>
      <c r="N716" s="227"/>
      <c r="O716" s="227"/>
      <c r="P716" s="227"/>
      <c r="Q716" s="227"/>
      <c r="R716" s="227"/>
    </row>
    <row r="717" spans="1:18">
      <c r="A717" s="2"/>
      <c r="B717" s="2"/>
      <c r="C717" s="120"/>
      <c r="D717" s="120"/>
      <c r="E717" s="118"/>
      <c r="F717" s="227"/>
      <c r="G717" s="227"/>
      <c r="H717" s="227"/>
      <c r="I717" s="227"/>
      <c r="J717" s="227"/>
      <c r="K717" s="227"/>
      <c r="L717" s="227"/>
      <c r="M717" s="227"/>
      <c r="N717" s="227"/>
      <c r="O717" s="227"/>
      <c r="P717" s="227"/>
      <c r="Q717" s="227"/>
      <c r="R717" s="227"/>
    </row>
    <row r="718" spans="1:18">
      <c r="A718" s="2"/>
      <c r="B718" s="2"/>
      <c r="C718" s="120"/>
      <c r="D718" s="120"/>
      <c r="E718" s="118"/>
      <c r="F718" s="227"/>
      <c r="G718" s="227"/>
      <c r="H718" s="227"/>
      <c r="I718" s="227"/>
      <c r="J718" s="227"/>
      <c r="K718" s="227"/>
      <c r="L718" s="227"/>
      <c r="M718" s="227"/>
      <c r="N718" s="227"/>
      <c r="O718" s="227"/>
      <c r="P718" s="227"/>
      <c r="Q718" s="227"/>
      <c r="R718" s="227"/>
    </row>
    <row r="719" spans="1:18">
      <c r="A719" s="2"/>
      <c r="B719" s="2"/>
      <c r="C719" s="120"/>
      <c r="D719" s="120"/>
      <c r="E719" s="118"/>
      <c r="F719" s="227"/>
      <c r="G719" s="227"/>
      <c r="H719" s="227"/>
      <c r="I719" s="227"/>
      <c r="J719" s="227"/>
      <c r="K719" s="227"/>
      <c r="L719" s="227"/>
      <c r="M719" s="227"/>
      <c r="N719" s="227"/>
      <c r="O719" s="227"/>
      <c r="P719" s="227"/>
      <c r="Q719" s="227"/>
      <c r="R719" s="227"/>
    </row>
    <row r="720" spans="1:18">
      <c r="A720" s="2"/>
      <c r="B720" s="2"/>
      <c r="C720" s="120"/>
      <c r="D720" s="120"/>
      <c r="E720" s="118"/>
      <c r="F720" s="227"/>
      <c r="G720" s="227"/>
      <c r="H720" s="227"/>
      <c r="I720" s="227"/>
      <c r="J720" s="227"/>
      <c r="K720" s="227"/>
      <c r="L720" s="227"/>
      <c r="M720" s="227"/>
      <c r="N720" s="227"/>
      <c r="O720" s="227"/>
      <c r="P720" s="227"/>
      <c r="Q720" s="227"/>
      <c r="R720" s="227"/>
    </row>
    <row r="721" spans="1:18">
      <c r="A721" s="2"/>
      <c r="B721" s="2"/>
      <c r="C721" s="120"/>
      <c r="D721" s="120"/>
      <c r="E721" s="118"/>
      <c r="F721" s="227"/>
      <c r="G721" s="227"/>
      <c r="H721" s="227"/>
      <c r="I721" s="227"/>
      <c r="J721" s="227"/>
      <c r="K721" s="227"/>
      <c r="L721" s="227"/>
      <c r="M721" s="227"/>
      <c r="N721" s="227"/>
      <c r="O721" s="227"/>
      <c r="P721" s="227"/>
      <c r="Q721" s="227"/>
      <c r="R721" s="227"/>
    </row>
    <row r="722" spans="1:18">
      <c r="A722" s="2"/>
      <c r="B722" s="2"/>
      <c r="C722" s="120"/>
      <c r="D722" s="120"/>
      <c r="E722" s="118"/>
      <c r="F722" s="227"/>
      <c r="G722" s="227"/>
      <c r="H722" s="227"/>
      <c r="I722" s="227"/>
      <c r="J722" s="227"/>
      <c r="K722" s="227"/>
      <c r="L722" s="227"/>
      <c r="M722" s="227"/>
      <c r="N722" s="227"/>
      <c r="O722" s="227"/>
      <c r="P722" s="227"/>
      <c r="Q722" s="227"/>
      <c r="R722" s="227"/>
    </row>
    <row r="723" spans="1:18">
      <c r="A723" s="2"/>
      <c r="B723" s="2"/>
      <c r="C723" s="120"/>
      <c r="D723" s="120"/>
      <c r="E723" s="118"/>
      <c r="F723" s="227"/>
      <c r="G723" s="227"/>
      <c r="H723" s="227"/>
      <c r="I723" s="227"/>
      <c r="J723" s="227"/>
      <c r="K723" s="227"/>
      <c r="L723" s="227"/>
      <c r="M723" s="227"/>
      <c r="N723" s="227"/>
      <c r="O723" s="227"/>
      <c r="P723" s="227"/>
      <c r="Q723" s="227"/>
      <c r="R723" s="227"/>
    </row>
    <row r="724" spans="1:18">
      <c r="A724" s="2"/>
      <c r="B724" s="2"/>
      <c r="C724" s="120"/>
      <c r="D724" s="120"/>
      <c r="E724" s="118"/>
      <c r="F724" s="227"/>
      <c r="G724" s="227"/>
      <c r="H724" s="227"/>
      <c r="I724" s="227"/>
      <c r="J724" s="227"/>
      <c r="K724" s="227"/>
      <c r="L724" s="227"/>
      <c r="M724" s="227"/>
      <c r="N724" s="227"/>
      <c r="O724" s="227"/>
      <c r="P724" s="227"/>
      <c r="Q724" s="227"/>
      <c r="R724" s="227"/>
    </row>
    <row r="725" spans="1:18">
      <c r="A725" s="2"/>
      <c r="B725" s="2"/>
      <c r="C725" s="120"/>
      <c r="D725" s="120"/>
      <c r="E725" s="118"/>
      <c r="F725" s="227"/>
      <c r="G725" s="227"/>
      <c r="H725" s="227"/>
      <c r="I725" s="227"/>
      <c r="J725" s="227"/>
      <c r="K725" s="227"/>
      <c r="L725" s="227"/>
      <c r="M725" s="227"/>
      <c r="N725" s="227"/>
      <c r="O725" s="227"/>
      <c r="P725" s="227"/>
      <c r="Q725" s="227"/>
      <c r="R725" s="227"/>
    </row>
    <row r="726" spans="1:18">
      <c r="A726" s="2"/>
      <c r="B726" s="2"/>
      <c r="C726" s="120"/>
      <c r="D726" s="120"/>
      <c r="E726" s="118"/>
      <c r="F726" s="227"/>
      <c r="G726" s="227"/>
      <c r="H726" s="227"/>
      <c r="I726" s="227"/>
      <c r="J726" s="227"/>
      <c r="K726" s="227"/>
      <c r="L726" s="227"/>
      <c r="M726" s="227"/>
      <c r="N726" s="227"/>
      <c r="O726" s="227"/>
      <c r="P726" s="227"/>
      <c r="Q726" s="227"/>
      <c r="R726" s="227"/>
    </row>
    <row r="727" spans="1:18">
      <c r="A727" s="2"/>
      <c r="B727" s="2"/>
      <c r="C727" s="120"/>
      <c r="D727" s="120"/>
      <c r="E727" s="118"/>
      <c r="F727" s="227"/>
      <c r="G727" s="227"/>
      <c r="H727" s="227"/>
      <c r="I727" s="227"/>
      <c r="J727" s="227"/>
      <c r="K727" s="227"/>
      <c r="L727" s="227"/>
      <c r="M727" s="227"/>
      <c r="N727" s="227"/>
      <c r="O727" s="227"/>
      <c r="P727" s="227"/>
      <c r="Q727" s="227"/>
      <c r="R727" s="227"/>
    </row>
    <row r="728" spans="1:18">
      <c r="A728" s="2"/>
      <c r="B728" s="2"/>
      <c r="C728" s="120"/>
      <c r="D728" s="120"/>
      <c r="E728" s="118"/>
      <c r="F728" s="227"/>
      <c r="G728" s="227"/>
      <c r="H728" s="227"/>
      <c r="I728" s="227"/>
      <c r="J728" s="227"/>
      <c r="K728" s="227"/>
      <c r="L728" s="227"/>
      <c r="M728" s="227"/>
      <c r="N728" s="227"/>
      <c r="O728" s="227"/>
      <c r="P728" s="227"/>
      <c r="Q728" s="227"/>
      <c r="R728" s="227"/>
    </row>
    <row r="729" spans="1:18">
      <c r="A729" s="2"/>
      <c r="B729" s="2"/>
      <c r="C729" s="120"/>
      <c r="D729" s="120"/>
      <c r="E729" s="118"/>
      <c r="F729" s="227"/>
      <c r="G729" s="227"/>
      <c r="H729" s="227"/>
      <c r="I729" s="227"/>
      <c r="J729" s="227"/>
      <c r="K729" s="227"/>
      <c r="L729" s="227"/>
      <c r="M729" s="227"/>
      <c r="N729" s="227"/>
      <c r="O729" s="227"/>
      <c r="P729" s="227"/>
      <c r="Q729" s="227"/>
      <c r="R729" s="227"/>
    </row>
    <row r="730" spans="1:18">
      <c r="A730" s="2"/>
      <c r="B730" s="2"/>
      <c r="C730" s="120"/>
      <c r="D730" s="120"/>
      <c r="E730" s="118"/>
      <c r="F730" s="227"/>
      <c r="G730" s="227"/>
      <c r="H730" s="227"/>
      <c r="I730" s="227"/>
      <c r="J730" s="227"/>
      <c r="K730" s="227"/>
      <c r="L730" s="227"/>
      <c r="M730" s="227"/>
      <c r="N730" s="227"/>
      <c r="O730" s="227"/>
      <c r="P730" s="227"/>
      <c r="Q730" s="227"/>
      <c r="R730" s="227"/>
    </row>
    <row r="731" spans="1:18">
      <c r="A731" s="2"/>
      <c r="B731" s="2"/>
      <c r="C731" s="120"/>
      <c r="D731" s="120"/>
      <c r="E731" s="118"/>
      <c r="F731" s="227"/>
      <c r="G731" s="227"/>
      <c r="H731" s="227"/>
      <c r="I731" s="227"/>
      <c r="J731" s="227"/>
      <c r="K731" s="227"/>
      <c r="L731" s="227"/>
      <c r="M731" s="227"/>
      <c r="N731" s="227"/>
      <c r="O731" s="227"/>
      <c r="P731" s="227"/>
      <c r="Q731" s="227"/>
      <c r="R731" s="227"/>
    </row>
    <row r="732" spans="1:18">
      <c r="A732" s="2"/>
      <c r="B732" s="2"/>
      <c r="C732" s="120"/>
      <c r="D732" s="120"/>
      <c r="E732" s="118"/>
      <c r="F732" s="227"/>
      <c r="G732" s="227"/>
      <c r="H732" s="227"/>
      <c r="I732" s="227"/>
      <c r="J732" s="227"/>
      <c r="K732" s="227"/>
      <c r="L732" s="227"/>
      <c r="M732" s="227"/>
      <c r="N732" s="227"/>
      <c r="O732" s="227"/>
      <c r="P732" s="227"/>
      <c r="Q732" s="227"/>
      <c r="R732" s="227"/>
    </row>
    <row r="733" spans="1:18">
      <c r="A733" s="2"/>
      <c r="B733" s="2"/>
      <c r="C733" s="120"/>
      <c r="D733" s="120"/>
      <c r="E733" s="118"/>
      <c r="F733" s="227"/>
      <c r="G733" s="227"/>
      <c r="H733" s="227"/>
      <c r="I733" s="227"/>
      <c r="J733" s="227"/>
      <c r="K733" s="227"/>
      <c r="L733" s="227"/>
      <c r="M733" s="227"/>
      <c r="N733" s="227"/>
      <c r="O733" s="227"/>
      <c r="P733" s="227"/>
      <c r="Q733" s="227"/>
      <c r="R733" s="227"/>
    </row>
    <row r="734" spans="1:18">
      <c r="A734" s="2"/>
      <c r="B734" s="2"/>
      <c r="C734" s="120"/>
      <c r="D734" s="120"/>
      <c r="E734" s="118"/>
      <c r="F734" s="227"/>
      <c r="G734" s="227"/>
      <c r="H734" s="227"/>
      <c r="I734" s="227"/>
      <c r="J734" s="227"/>
      <c r="K734" s="227"/>
      <c r="L734" s="227"/>
      <c r="M734" s="227"/>
      <c r="N734" s="227"/>
      <c r="O734" s="227"/>
      <c r="P734" s="227"/>
      <c r="Q734" s="227"/>
      <c r="R734" s="227"/>
    </row>
    <row r="735" spans="1:18">
      <c r="A735" s="2"/>
      <c r="B735" s="2"/>
      <c r="C735" s="120"/>
      <c r="D735" s="120"/>
      <c r="E735" s="118"/>
      <c r="F735" s="227"/>
      <c r="G735" s="227"/>
      <c r="H735" s="227"/>
      <c r="I735" s="227"/>
      <c r="J735" s="227"/>
      <c r="K735" s="227"/>
      <c r="L735" s="227"/>
      <c r="M735" s="227"/>
      <c r="N735" s="227"/>
      <c r="O735" s="227"/>
      <c r="P735" s="227"/>
      <c r="Q735" s="227"/>
      <c r="R735" s="227"/>
    </row>
    <row r="736" spans="1:18">
      <c r="A736" s="2"/>
      <c r="B736" s="2"/>
      <c r="C736" s="120"/>
      <c r="D736" s="120"/>
      <c r="E736" s="118"/>
      <c r="F736" s="227"/>
      <c r="G736" s="227"/>
      <c r="H736" s="227"/>
      <c r="I736" s="227"/>
      <c r="J736" s="227"/>
      <c r="K736" s="227"/>
      <c r="L736" s="227"/>
      <c r="M736" s="227"/>
      <c r="N736" s="227"/>
      <c r="O736" s="227"/>
      <c r="P736" s="227"/>
      <c r="Q736" s="227"/>
      <c r="R736" s="227"/>
    </row>
    <row r="737" spans="1:18">
      <c r="A737" s="2"/>
      <c r="B737" s="2"/>
      <c r="C737" s="120"/>
      <c r="D737" s="120"/>
      <c r="E737" s="118"/>
      <c r="F737" s="227"/>
      <c r="G737" s="227"/>
      <c r="H737" s="227"/>
      <c r="I737" s="227"/>
      <c r="J737" s="227"/>
      <c r="K737" s="227"/>
      <c r="L737" s="227"/>
      <c r="M737" s="227"/>
      <c r="N737" s="227"/>
      <c r="O737" s="227"/>
      <c r="P737" s="227"/>
      <c r="Q737" s="227"/>
      <c r="R737" s="227"/>
    </row>
    <row r="738" spans="1:18">
      <c r="A738" s="2"/>
      <c r="B738" s="2"/>
      <c r="C738" s="120"/>
      <c r="D738" s="120"/>
      <c r="E738" s="118"/>
      <c r="F738" s="227"/>
      <c r="G738" s="227"/>
      <c r="H738" s="227"/>
      <c r="I738" s="227"/>
      <c r="J738" s="227"/>
      <c r="K738" s="227"/>
      <c r="L738" s="227"/>
      <c r="M738" s="227"/>
      <c r="N738" s="227"/>
      <c r="O738" s="227"/>
      <c r="P738" s="227"/>
      <c r="Q738" s="227"/>
      <c r="R738" s="227"/>
    </row>
    <row r="739" spans="1:18">
      <c r="A739" s="2"/>
      <c r="B739" s="2"/>
      <c r="C739" s="120"/>
      <c r="D739" s="120"/>
      <c r="E739" s="118"/>
      <c r="F739" s="227"/>
      <c r="G739" s="227"/>
      <c r="H739" s="227"/>
      <c r="I739" s="227"/>
      <c r="J739" s="227"/>
      <c r="K739" s="227"/>
      <c r="L739" s="227"/>
      <c r="M739" s="227"/>
      <c r="N739" s="227"/>
      <c r="O739" s="227"/>
      <c r="P739" s="227"/>
      <c r="Q739" s="227"/>
      <c r="R739" s="227"/>
    </row>
    <row r="740" spans="1:18">
      <c r="A740" s="2"/>
      <c r="B740" s="2"/>
      <c r="C740" s="120"/>
      <c r="D740" s="120"/>
      <c r="E740" s="118"/>
      <c r="F740" s="227"/>
      <c r="G740" s="227"/>
      <c r="H740" s="227"/>
      <c r="I740" s="227"/>
      <c r="J740" s="227"/>
      <c r="K740" s="227"/>
      <c r="L740" s="227"/>
      <c r="M740" s="227"/>
      <c r="N740" s="227"/>
      <c r="O740" s="227"/>
      <c r="P740" s="227"/>
      <c r="Q740" s="227"/>
      <c r="R740" s="227"/>
    </row>
    <row r="741" spans="1:18">
      <c r="A741" s="2"/>
      <c r="B741" s="2"/>
      <c r="C741" s="120"/>
      <c r="D741" s="120"/>
      <c r="E741" s="118"/>
      <c r="F741" s="227"/>
      <c r="G741" s="227"/>
      <c r="H741" s="227"/>
      <c r="I741" s="227"/>
      <c r="J741" s="227"/>
      <c r="K741" s="227"/>
      <c r="L741" s="227"/>
      <c r="M741" s="227"/>
      <c r="N741" s="227"/>
      <c r="O741" s="227"/>
      <c r="P741" s="227"/>
      <c r="Q741" s="227"/>
      <c r="R741" s="227"/>
    </row>
    <row r="742" spans="1:18">
      <c r="A742" s="2"/>
      <c r="B742" s="2"/>
      <c r="C742" s="120"/>
      <c r="D742" s="120"/>
      <c r="E742" s="118"/>
      <c r="F742" s="227"/>
      <c r="G742" s="227"/>
      <c r="H742" s="227"/>
      <c r="I742" s="227"/>
      <c r="J742" s="227"/>
      <c r="K742" s="227"/>
      <c r="L742" s="227"/>
      <c r="M742" s="227"/>
      <c r="N742" s="227"/>
      <c r="O742" s="227"/>
      <c r="P742" s="227"/>
      <c r="Q742" s="227"/>
      <c r="R742" s="227"/>
    </row>
    <row r="743" spans="1:18">
      <c r="A743" s="2"/>
      <c r="B743" s="2"/>
      <c r="C743" s="120"/>
      <c r="D743" s="120"/>
      <c r="E743" s="118"/>
      <c r="F743" s="227"/>
      <c r="G743" s="227"/>
      <c r="H743" s="227"/>
      <c r="I743" s="227"/>
      <c r="J743" s="227"/>
      <c r="K743" s="227"/>
      <c r="L743" s="227"/>
      <c r="M743" s="227"/>
      <c r="N743" s="227"/>
      <c r="O743" s="227"/>
      <c r="P743" s="227"/>
      <c r="Q743" s="227"/>
      <c r="R743" s="227"/>
    </row>
    <row r="744" spans="1:18">
      <c r="A744" s="2"/>
      <c r="B744" s="2"/>
      <c r="C744" s="120"/>
      <c r="D744" s="120"/>
      <c r="E744" s="118"/>
      <c r="F744" s="227"/>
      <c r="G744" s="227"/>
      <c r="H744" s="227"/>
      <c r="I744" s="227"/>
      <c r="J744" s="227"/>
      <c r="K744" s="227"/>
      <c r="L744" s="227"/>
      <c r="M744" s="227"/>
      <c r="N744" s="227"/>
      <c r="O744" s="227"/>
      <c r="P744" s="227"/>
      <c r="Q744" s="227"/>
      <c r="R744" s="227"/>
    </row>
    <row r="745" spans="1:18">
      <c r="A745" s="2"/>
      <c r="B745" s="2"/>
      <c r="C745" s="120"/>
      <c r="D745" s="120"/>
      <c r="E745" s="118"/>
      <c r="F745" s="227"/>
      <c r="G745" s="227"/>
      <c r="H745" s="227"/>
      <c r="I745" s="227"/>
      <c r="J745" s="227"/>
      <c r="K745" s="227"/>
      <c r="L745" s="227"/>
      <c r="M745" s="227"/>
      <c r="N745" s="227"/>
      <c r="O745" s="227"/>
      <c r="P745" s="227"/>
      <c r="Q745" s="227"/>
      <c r="R745" s="227"/>
    </row>
    <row r="746" spans="1:18">
      <c r="A746" s="2"/>
      <c r="B746" s="2"/>
      <c r="C746" s="120"/>
      <c r="D746" s="120"/>
      <c r="E746" s="118"/>
      <c r="F746" s="227"/>
      <c r="G746" s="227"/>
      <c r="H746" s="227"/>
      <c r="I746" s="227"/>
      <c r="J746" s="227"/>
      <c r="K746" s="227"/>
      <c r="L746" s="227"/>
      <c r="M746" s="227"/>
      <c r="N746" s="227"/>
      <c r="O746" s="227"/>
      <c r="P746" s="227"/>
      <c r="Q746" s="227"/>
      <c r="R746" s="227"/>
    </row>
    <row r="747" spans="1:18">
      <c r="A747" s="2"/>
      <c r="B747" s="2"/>
      <c r="C747" s="120"/>
      <c r="D747" s="120"/>
      <c r="E747" s="118"/>
      <c r="F747" s="227"/>
      <c r="G747" s="227"/>
      <c r="H747" s="227"/>
      <c r="I747" s="227"/>
      <c r="J747" s="227"/>
      <c r="K747" s="227"/>
      <c r="L747" s="227"/>
      <c r="M747" s="227"/>
      <c r="N747" s="227"/>
      <c r="O747" s="227"/>
      <c r="P747" s="227"/>
      <c r="Q747" s="227"/>
      <c r="R747" s="227"/>
    </row>
    <row r="748" spans="1:18">
      <c r="A748" s="2"/>
      <c r="B748" s="2"/>
      <c r="C748" s="120"/>
      <c r="D748" s="120"/>
      <c r="E748" s="118"/>
      <c r="F748" s="227"/>
      <c r="G748" s="227"/>
      <c r="H748" s="227"/>
      <c r="I748" s="227"/>
      <c r="J748" s="227"/>
      <c r="K748" s="227"/>
      <c r="L748" s="227"/>
      <c r="M748" s="227"/>
      <c r="N748" s="227"/>
      <c r="O748" s="227"/>
      <c r="P748" s="227"/>
      <c r="Q748" s="227"/>
      <c r="R748" s="227"/>
    </row>
    <row r="749" spans="1:18">
      <c r="A749" s="2"/>
      <c r="B749" s="2"/>
      <c r="C749" s="120"/>
      <c r="D749" s="120"/>
      <c r="E749" s="118"/>
      <c r="F749" s="227"/>
      <c r="G749" s="227"/>
      <c r="H749" s="227"/>
      <c r="I749" s="227"/>
      <c r="J749" s="227"/>
      <c r="K749" s="227"/>
      <c r="L749" s="227"/>
      <c r="M749" s="227"/>
      <c r="N749" s="227"/>
      <c r="O749" s="227"/>
      <c r="P749" s="227"/>
      <c r="Q749" s="227"/>
      <c r="R749" s="227"/>
    </row>
    <row r="750" spans="1:18">
      <c r="A750" s="2"/>
      <c r="B750" s="2"/>
      <c r="C750" s="120"/>
      <c r="D750" s="120"/>
      <c r="E750" s="118"/>
      <c r="F750" s="227"/>
      <c r="G750" s="227"/>
      <c r="H750" s="227"/>
      <c r="I750" s="227"/>
      <c r="J750" s="227"/>
      <c r="K750" s="227"/>
      <c r="L750" s="227"/>
      <c r="M750" s="227"/>
      <c r="N750" s="227"/>
      <c r="O750" s="227"/>
      <c r="P750" s="227"/>
      <c r="Q750" s="227"/>
      <c r="R750" s="227"/>
    </row>
    <row r="751" spans="1:18">
      <c r="A751" s="2"/>
      <c r="B751" s="2"/>
      <c r="C751" s="120"/>
      <c r="D751" s="120"/>
      <c r="E751" s="118"/>
      <c r="F751" s="227"/>
      <c r="G751" s="227"/>
      <c r="H751" s="227"/>
      <c r="I751" s="227"/>
      <c r="J751" s="227"/>
      <c r="K751" s="227"/>
      <c r="L751" s="227"/>
      <c r="M751" s="227"/>
      <c r="N751" s="227"/>
      <c r="O751" s="227"/>
      <c r="P751" s="227"/>
      <c r="Q751" s="227"/>
      <c r="R751" s="227"/>
    </row>
    <row r="752" spans="1:18">
      <c r="A752" s="2"/>
      <c r="B752" s="2"/>
      <c r="C752" s="120"/>
      <c r="D752" s="120"/>
      <c r="E752" s="118"/>
      <c r="F752" s="227"/>
      <c r="G752" s="227"/>
      <c r="H752" s="227"/>
      <c r="I752" s="227"/>
      <c r="J752" s="227"/>
      <c r="K752" s="227"/>
      <c r="L752" s="227"/>
      <c r="M752" s="227"/>
      <c r="N752" s="227"/>
      <c r="O752" s="227"/>
      <c r="P752" s="227"/>
      <c r="Q752" s="227"/>
      <c r="R752" s="227"/>
    </row>
    <row r="753" spans="1:18">
      <c r="A753" s="2"/>
      <c r="B753" s="2"/>
      <c r="C753" s="120"/>
      <c r="D753" s="120"/>
      <c r="E753" s="118"/>
      <c r="F753" s="227"/>
      <c r="G753" s="227"/>
      <c r="H753" s="227"/>
      <c r="I753" s="227"/>
      <c r="J753" s="227"/>
      <c r="K753" s="227"/>
      <c r="L753" s="227"/>
      <c r="M753" s="227"/>
      <c r="N753" s="227"/>
      <c r="O753" s="227"/>
      <c r="P753" s="227"/>
      <c r="Q753" s="227"/>
      <c r="R753" s="227"/>
    </row>
    <row r="754" spans="1:18">
      <c r="A754" s="2"/>
      <c r="B754" s="2"/>
      <c r="C754" s="120"/>
      <c r="D754" s="120"/>
      <c r="E754" s="118"/>
      <c r="F754" s="227"/>
      <c r="G754" s="227"/>
      <c r="H754" s="227"/>
      <c r="I754" s="227"/>
      <c r="J754" s="227"/>
      <c r="K754" s="227"/>
      <c r="L754" s="227"/>
      <c r="M754" s="227"/>
      <c r="N754" s="227"/>
      <c r="O754" s="227"/>
      <c r="P754" s="227"/>
      <c r="Q754" s="227"/>
      <c r="R754" s="227"/>
    </row>
    <row r="755" spans="1:18">
      <c r="A755" s="2"/>
      <c r="B755" s="2"/>
      <c r="C755" s="120"/>
      <c r="D755" s="120"/>
      <c r="E755" s="118"/>
      <c r="F755" s="227"/>
      <c r="G755" s="227"/>
      <c r="H755" s="227"/>
      <c r="I755" s="227"/>
      <c r="J755" s="227"/>
      <c r="K755" s="227"/>
      <c r="L755" s="227"/>
      <c r="M755" s="227"/>
      <c r="N755" s="227"/>
      <c r="O755" s="227"/>
      <c r="P755" s="227"/>
      <c r="Q755" s="227"/>
      <c r="R755" s="227"/>
    </row>
    <row r="756" spans="1:18">
      <c r="A756" s="2"/>
      <c r="B756" s="2"/>
      <c r="C756" s="120"/>
      <c r="D756" s="120"/>
      <c r="E756" s="118"/>
      <c r="F756" s="227"/>
      <c r="G756" s="227"/>
      <c r="H756" s="227"/>
      <c r="I756" s="227"/>
      <c r="J756" s="227"/>
      <c r="K756" s="227"/>
      <c r="L756" s="227"/>
      <c r="M756" s="227"/>
      <c r="N756" s="227"/>
      <c r="O756" s="227"/>
      <c r="P756" s="227"/>
      <c r="Q756" s="227"/>
      <c r="R756" s="227"/>
    </row>
    <row r="757" spans="1:18">
      <c r="A757" s="2"/>
      <c r="B757" s="2"/>
      <c r="C757" s="120"/>
      <c r="D757" s="120"/>
      <c r="E757" s="118"/>
      <c r="F757" s="227"/>
      <c r="G757" s="227"/>
      <c r="H757" s="227"/>
      <c r="I757" s="227"/>
      <c r="J757" s="227"/>
      <c r="K757" s="227"/>
      <c r="L757" s="227"/>
      <c r="M757" s="227"/>
      <c r="N757" s="227"/>
      <c r="O757" s="227"/>
      <c r="P757" s="227"/>
      <c r="Q757" s="227"/>
      <c r="R757" s="227"/>
    </row>
    <row r="758" spans="1:18">
      <c r="A758" s="2"/>
      <c r="B758" s="2"/>
      <c r="C758" s="120"/>
      <c r="D758" s="120"/>
      <c r="E758" s="118"/>
      <c r="F758" s="227"/>
      <c r="G758" s="227"/>
      <c r="H758" s="227"/>
      <c r="I758" s="227"/>
      <c r="J758" s="227"/>
      <c r="K758" s="227"/>
      <c r="L758" s="227"/>
      <c r="M758" s="227"/>
      <c r="N758" s="227"/>
      <c r="O758" s="227"/>
      <c r="P758" s="227"/>
      <c r="Q758" s="227"/>
      <c r="R758" s="227"/>
    </row>
    <row r="759" spans="1:18">
      <c r="A759" s="2"/>
      <c r="B759" s="2"/>
      <c r="C759" s="120"/>
      <c r="D759" s="120"/>
      <c r="E759" s="118"/>
      <c r="F759" s="227"/>
      <c r="G759" s="227"/>
      <c r="H759" s="227"/>
      <c r="I759" s="227"/>
      <c r="J759" s="227"/>
      <c r="K759" s="227"/>
      <c r="L759" s="227"/>
      <c r="M759" s="227"/>
      <c r="N759" s="227"/>
      <c r="O759" s="227"/>
      <c r="P759" s="227"/>
      <c r="Q759" s="227"/>
      <c r="R759" s="227"/>
    </row>
    <row r="760" spans="1:18">
      <c r="A760" s="2"/>
      <c r="B760" s="2"/>
      <c r="C760" s="120"/>
      <c r="D760" s="120"/>
      <c r="E760" s="118"/>
      <c r="F760" s="227"/>
      <c r="G760" s="227"/>
      <c r="H760" s="227"/>
      <c r="I760" s="227"/>
      <c r="J760" s="227"/>
      <c r="K760" s="227"/>
      <c r="L760" s="227"/>
      <c r="M760" s="227"/>
      <c r="N760" s="227"/>
      <c r="O760" s="227"/>
      <c r="P760" s="227"/>
      <c r="Q760" s="227"/>
      <c r="R760" s="227"/>
    </row>
    <row r="761" spans="1:18">
      <c r="A761" s="2"/>
      <c r="B761" s="2"/>
      <c r="C761" s="120"/>
      <c r="D761" s="120"/>
      <c r="E761" s="118"/>
      <c r="F761" s="227"/>
      <c r="G761" s="227"/>
      <c r="H761" s="227"/>
      <c r="I761" s="227"/>
      <c r="J761" s="227"/>
      <c r="K761" s="227"/>
      <c r="L761" s="227"/>
      <c r="M761" s="227"/>
      <c r="N761" s="227"/>
      <c r="O761" s="227"/>
      <c r="P761" s="227"/>
      <c r="Q761" s="227"/>
      <c r="R761" s="227"/>
    </row>
    <row r="762" spans="1:18">
      <c r="A762" s="2"/>
      <c r="B762" s="2"/>
      <c r="C762" s="120"/>
      <c r="D762" s="120"/>
      <c r="E762" s="118"/>
      <c r="F762" s="227"/>
      <c r="G762" s="227"/>
      <c r="H762" s="227"/>
      <c r="I762" s="227"/>
      <c r="J762" s="227"/>
      <c r="K762" s="227"/>
      <c r="L762" s="227"/>
      <c r="M762" s="227"/>
      <c r="N762" s="227"/>
      <c r="O762" s="227"/>
      <c r="P762" s="227"/>
      <c r="Q762" s="227"/>
      <c r="R762" s="227"/>
    </row>
    <row r="763" spans="1:18">
      <c r="A763" s="2"/>
      <c r="B763" s="2"/>
      <c r="C763" s="120"/>
      <c r="D763" s="120"/>
      <c r="E763" s="118"/>
      <c r="F763" s="227"/>
      <c r="G763" s="227"/>
      <c r="H763" s="227"/>
      <c r="I763" s="227"/>
      <c r="J763" s="227"/>
      <c r="K763" s="227"/>
      <c r="L763" s="227"/>
      <c r="M763" s="227"/>
      <c r="N763" s="227"/>
      <c r="O763" s="227"/>
      <c r="P763" s="227"/>
      <c r="Q763" s="227"/>
      <c r="R763" s="227"/>
    </row>
    <row r="764" spans="1:18">
      <c r="A764" s="2"/>
      <c r="B764" s="2"/>
      <c r="C764" s="120"/>
      <c r="D764" s="120"/>
      <c r="E764" s="118"/>
      <c r="F764" s="227"/>
      <c r="G764" s="227"/>
      <c r="H764" s="227"/>
      <c r="I764" s="227"/>
      <c r="J764" s="227"/>
      <c r="K764" s="227"/>
      <c r="L764" s="227"/>
      <c r="M764" s="227"/>
      <c r="N764" s="227"/>
      <c r="O764" s="227"/>
      <c r="P764" s="227"/>
      <c r="Q764" s="227"/>
      <c r="R764" s="227"/>
    </row>
    <row r="765" spans="1:18">
      <c r="A765" s="2"/>
      <c r="B765" s="2"/>
      <c r="C765" s="120"/>
      <c r="D765" s="120"/>
      <c r="E765" s="118"/>
      <c r="F765" s="227"/>
      <c r="G765" s="227"/>
      <c r="H765" s="227"/>
      <c r="I765" s="227"/>
      <c r="J765" s="227"/>
      <c r="K765" s="227"/>
      <c r="L765" s="227"/>
      <c r="M765" s="227"/>
      <c r="N765" s="227"/>
      <c r="O765" s="227"/>
      <c r="P765" s="227"/>
      <c r="Q765" s="227"/>
      <c r="R765" s="227"/>
    </row>
    <row r="766" spans="1:18">
      <c r="A766" s="2"/>
      <c r="B766" s="2"/>
      <c r="C766" s="120"/>
      <c r="D766" s="120"/>
      <c r="E766" s="118"/>
      <c r="F766" s="227"/>
      <c r="G766" s="227"/>
      <c r="H766" s="227"/>
      <c r="I766" s="227"/>
      <c r="J766" s="227"/>
      <c r="K766" s="227"/>
      <c r="L766" s="227"/>
      <c r="M766" s="227"/>
      <c r="N766" s="227"/>
      <c r="O766" s="227"/>
      <c r="P766" s="227"/>
      <c r="Q766" s="227"/>
      <c r="R766" s="227"/>
    </row>
    <row r="767" spans="1:18">
      <c r="A767" s="2"/>
      <c r="B767" s="2"/>
      <c r="C767" s="120"/>
      <c r="D767" s="120"/>
      <c r="E767" s="118"/>
      <c r="F767" s="227"/>
      <c r="G767" s="227"/>
      <c r="H767" s="227"/>
      <c r="I767" s="227"/>
      <c r="J767" s="227"/>
      <c r="K767" s="227"/>
      <c r="L767" s="227"/>
      <c r="M767" s="227"/>
      <c r="N767" s="227"/>
      <c r="O767" s="227"/>
      <c r="P767" s="227"/>
      <c r="Q767" s="227"/>
      <c r="R767" s="227"/>
    </row>
    <row r="768" spans="1:18">
      <c r="A768" s="2"/>
      <c r="B768" s="2"/>
      <c r="C768" s="120"/>
      <c r="D768" s="120"/>
      <c r="E768" s="118"/>
      <c r="F768" s="227"/>
      <c r="G768" s="227"/>
      <c r="H768" s="227"/>
      <c r="I768" s="227"/>
      <c r="J768" s="227"/>
      <c r="K768" s="227"/>
      <c r="L768" s="227"/>
      <c r="M768" s="227"/>
      <c r="N768" s="227"/>
      <c r="O768" s="227"/>
      <c r="P768" s="227"/>
      <c r="Q768" s="227"/>
      <c r="R768" s="227"/>
    </row>
    <row r="769" spans="1:18">
      <c r="A769" s="2"/>
      <c r="B769" s="2"/>
      <c r="C769" s="120"/>
      <c r="D769" s="120"/>
      <c r="E769" s="118"/>
      <c r="F769" s="227"/>
      <c r="G769" s="227"/>
      <c r="H769" s="227"/>
      <c r="I769" s="227"/>
      <c r="J769" s="227"/>
      <c r="K769" s="227"/>
      <c r="L769" s="227"/>
      <c r="M769" s="227"/>
      <c r="N769" s="227"/>
      <c r="O769" s="227"/>
      <c r="P769" s="227"/>
      <c r="Q769" s="227"/>
      <c r="R769" s="227"/>
    </row>
    <row r="770" spans="1:18">
      <c r="A770" s="2"/>
      <c r="B770" s="2"/>
      <c r="C770" s="120"/>
      <c r="D770" s="120"/>
      <c r="E770" s="118"/>
      <c r="F770" s="227"/>
      <c r="G770" s="227"/>
      <c r="H770" s="227"/>
      <c r="I770" s="227"/>
      <c r="J770" s="227"/>
      <c r="K770" s="227"/>
      <c r="L770" s="227"/>
      <c r="M770" s="227"/>
      <c r="N770" s="227"/>
      <c r="O770" s="227"/>
      <c r="P770" s="227"/>
      <c r="Q770" s="227"/>
      <c r="R770" s="227"/>
    </row>
    <row r="771" spans="1:18">
      <c r="A771" s="2"/>
      <c r="B771" s="2"/>
      <c r="C771" s="120"/>
      <c r="D771" s="120"/>
      <c r="E771" s="118"/>
      <c r="F771" s="227"/>
      <c r="G771" s="227"/>
      <c r="H771" s="227"/>
      <c r="I771" s="227"/>
      <c r="J771" s="227"/>
      <c r="K771" s="227"/>
      <c r="L771" s="227"/>
      <c r="M771" s="227"/>
      <c r="N771" s="227"/>
      <c r="O771" s="227"/>
      <c r="P771" s="227"/>
      <c r="Q771" s="227"/>
      <c r="R771" s="227"/>
    </row>
    <row r="772" spans="1:18">
      <c r="A772" s="2"/>
      <c r="B772" s="2"/>
      <c r="C772" s="120"/>
      <c r="D772" s="120"/>
      <c r="E772" s="118"/>
      <c r="F772" s="227"/>
      <c r="G772" s="227"/>
      <c r="H772" s="227"/>
      <c r="I772" s="227"/>
      <c r="J772" s="227"/>
      <c r="K772" s="227"/>
      <c r="L772" s="227"/>
      <c r="M772" s="227"/>
      <c r="N772" s="227"/>
      <c r="O772" s="227"/>
      <c r="P772" s="227"/>
      <c r="Q772" s="227"/>
      <c r="R772" s="227"/>
    </row>
    <row r="773" spans="1:18">
      <c r="A773" s="2"/>
      <c r="B773" s="2"/>
      <c r="C773" s="120"/>
      <c r="D773" s="120"/>
      <c r="E773" s="118"/>
      <c r="F773" s="227"/>
      <c r="G773" s="227"/>
      <c r="H773" s="227"/>
      <c r="I773" s="227"/>
      <c r="J773" s="227"/>
      <c r="K773" s="227"/>
      <c r="L773" s="227"/>
      <c r="M773" s="227"/>
      <c r="N773" s="227"/>
      <c r="O773" s="227"/>
      <c r="P773" s="227"/>
      <c r="Q773" s="227"/>
      <c r="R773" s="227"/>
    </row>
    <row r="774" spans="1:18">
      <c r="A774" s="2"/>
      <c r="B774" s="2"/>
      <c r="C774" s="120"/>
      <c r="D774" s="120"/>
      <c r="E774" s="118"/>
      <c r="F774" s="227"/>
      <c r="G774" s="227"/>
      <c r="H774" s="227"/>
      <c r="I774" s="227"/>
      <c r="J774" s="227"/>
      <c r="K774" s="227"/>
      <c r="L774" s="227"/>
      <c r="M774" s="227"/>
      <c r="N774" s="227"/>
      <c r="O774" s="227"/>
      <c r="P774" s="227"/>
      <c r="Q774" s="227"/>
      <c r="R774" s="227"/>
    </row>
    <row r="775" spans="1:18">
      <c r="A775" s="2"/>
      <c r="B775" s="2"/>
      <c r="C775" s="120"/>
      <c r="D775" s="120"/>
      <c r="E775" s="118"/>
      <c r="F775" s="227"/>
      <c r="G775" s="227"/>
      <c r="H775" s="227"/>
      <c r="I775" s="227"/>
      <c r="J775" s="227"/>
      <c r="K775" s="227"/>
      <c r="L775" s="227"/>
      <c r="M775" s="227"/>
      <c r="N775" s="227"/>
      <c r="O775" s="227"/>
      <c r="P775" s="227"/>
      <c r="Q775" s="227"/>
      <c r="R775" s="227"/>
    </row>
    <row r="776" spans="1:18">
      <c r="A776" s="2"/>
      <c r="B776" s="2"/>
      <c r="C776" s="120"/>
      <c r="D776" s="120"/>
      <c r="E776" s="118"/>
      <c r="F776" s="227"/>
      <c r="G776" s="227"/>
      <c r="H776" s="227"/>
      <c r="I776" s="227"/>
      <c r="J776" s="227"/>
      <c r="K776" s="227"/>
      <c r="L776" s="227"/>
      <c r="M776" s="227"/>
      <c r="N776" s="227"/>
      <c r="O776" s="227"/>
      <c r="P776" s="227"/>
      <c r="Q776" s="227"/>
      <c r="R776" s="227"/>
    </row>
    <row r="777" spans="1:18">
      <c r="A777" s="2"/>
      <c r="B777" s="2"/>
      <c r="C777" s="120"/>
      <c r="D777" s="120"/>
      <c r="E777" s="118"/>
      <c r="F777" s="227"/>
      <c r="G777" s="227"/>
      <c r="H777" s="227"/>
      <c r="I777" s="227"/>
      <c r="J777" s="227"/>
      <c r="K777" s="227"/>
      <c r="L777" s="227"/>
      <c r="M777" s="227"/>
      <c r="N777" s="227"/>
      <c r="O777" s="227"/>
      <c r="P777" s="227"/>
      <c r="Q777" s="227"/>
      <c r="R777" s="227"/>
    </row>
    <row r="778" spans="1:18">
      <c r="A778" s="2"/>
      <c r="B778" s="2"/>
      <c r="C778" s="120"/>
      <c r="D778" s="120"/>
      <c r="E778" s="118"/>
      <c r="F778" s="227"/>
      <c r="G778" s="227"/>
      <c r="H778" s="227"/>
      <c r="I778" s="227"/>
      <c r="J778" s="227"/>
      <c r="K778" s="227"/>
      <c r="L778" s="227"/>
      <c r="M778" s="227"/>
      <c r="N778" s="227"/>
      <c r="O778" s="227"/>
      <c r="P778" s="227"/>
      <c r="Q778" s="227"/>
      <c r="R778" s="227"/>
    </row>
    <row r="779" spans="1:18">
      <c r="A779" s="2"/>
      <c r="B779" s="2"/>
      <c r="C779" s="120"/>
      <c r="D779" s="120"/>
      <c r="E779" s="118"/>
      <c r="F779" s="227"/>
      <c r="G779" s="227"/>
      <c r="H779" s="227"/>
      <c r="I779" s="227"/>
      <c r="J779" s="227"/>
      <c r="K779" s="227"/>
      <c r="L779" s="227"/>
      <c r="M779" s="227"/>
      <c r="N779" s="227"/>
      <c r="O779" s="227"/>
      <c r="P779" s="227"/>
      <c r="Q779" s="227"/>
      <c r="R779" s="227"/>
    </row>
    <row r="780" spans="1:18">
      <c r="A780" s="2"/>
      <c r="B780" s="2"/>
      <c r="C780" s="120"/>
      <c r="D780" s="120"/>
      <c r="E780" s="118"/>
      <c r="F780" s="227"/>
      <c r="G780" s="227"/>
      <c r="H780" s="227"/>
      <c r="I780" s="227"/>
      <c r="J780" s="227"/>
      <c r="K780" s="227"/>
      <c r="L780" s="227"/>
      <c r="M780" s="227"/>
      <c r="N780" s="227"/>
      <c r="O780" s="227"/>
      <c r="P780" s="227"/>
      <c r="Q780" s="227"/>
      <c r="R780" s="227"/>
    </row>
    <row r="781" spans="1:18">
      <c r="A781" s="2"/>
      <c r="B781" s="2"/>
      <c r="C781" s="120"/>
      <c r="D781" s="120"/>
      <c r="E781" s="118"/>
      <c r="F781" s="227"/>
      <c r="G781" s="227"/>
      <c r="H781" s="227"/>
      <c r="I781" s="227"/>
      <c r="J781" s="227"/>
      <c r="K781" s="227"/>
      <c r="L781" s="227"/>
      <c r="M781" s="227"/>
      <c r="N781" s="227"/>
      <c r="O781" s="227"/>
      <c r="P781" s="227"/>
      <c r="Q781" s="227"/>
      <c r="R781" s="227"/>
    </row>
    <row r="782" spans="1:18">
      <c r="A782" s="2"/>
      <c r="B782" s="2"/>
      <c r="C782" s="120"/>
      <c r="D782" s="120"/>
      <c r="E782" s="118"/>
      <c r="F782" s="227"/>
      <c r="G782" s="227"/>
      <c r="H782" s="227"/>
      <c r="I782" s="227"/>
      <c r="J782" s="227"/>
      <c r="K782" s="227"/>
      <c r="L782" s="227"/>
      <c r="M782" s="227"/>
      <c r="N782" s="227"/>
      <c r="O782" s="227"/>
      <c r="P782" s="227"/>
      <c r="Q782" s="227"/>
      <c r="R782" s="227"/>
    </row>
    <row r="783" spans="1:18">
      <c r="A783" s="2"/>
      <c r="B783" s="2"/>
      <c r="C783" s="120"/>
      <c r="D783" s="120"/>
      <c r="E783" s="118"/>
      <c r="F783" s="227"/>
      <c r="G783" s="227"/>
      <c r="H783" s="227"/>
      <c r="I783" s="227"/>
      <c r="J783" s="227"/>
      <c r="K783" s="227"/>
      <c r="L783" s="227"/>
      <c r="M783" s="227"/>
      <c r="N783" s="227"/>
      <c r="O783" s="227"/>
      <c r="P783" s="227"/>
      <c r="Q783" s="227"/>
      <c r="R783" s="227"/>
    </row>
    <row r="784" spans="1:18">
      <c r="A784" s="2"/>
      <c r="B784" s="2"/>
      <c r="C784" s="120"/>
      <c r="D784" s="120"/>
      <c r="E784" s="118"/>
      <c r="F784" s="227"/>
      <c r="G784" s="227"/>
      <c r="H784" s="227"/>
      <c r="I784" s="227"/>
      <c r="J784" s="227"/>
      <c r="K784" s="227"/>
      <c r="L784" s="227"/>
      <c r="M784" s="227"/>
      <c r="N784" s="227"/>
      <c r="O784" s="227"/>
      <c r="P784" s="227"/>
      <c r="Q784" s="227"/>
      <c r="R784" s="227"/>
    </row>
    <row r="785" spans="1:18">
      <c r="A785" s="2"/>
      <c r="B785" s="2"/>
      <c r="C785" s="120"/>
      <c r="D785" s="120"/>
      <c r="E785" s="118"/>
      <c r="F785" s="227"/>
      <c r="G785" s="227"/>
      <c r="H785" s="227"/>
      <c r="I785" s="227"/>
      <c r="J785" s="227"/>
      <c r="K785" s="227"/>
      <c r="L785" s="227"/>
      <c r="M785" s="227"/>
      <c r="N785" s="227"/>
      <c r="O785" s="227"/>
      <c r="P785" s="227"/>
      <c r="Q785" s="227"/>
      <c r="R785" s="227"/>
    </row>
    <row r="786" spans="1:18">
      <c r="A786" s="2"/>
      <c r="B786" s="2"/>
      <c r="C786" s="120"/>
      <c r="D786" s="120"/>
      <c r="E786" s="118"/>
      <c r="F786" s="227"/>
      <c r="G786" s="227"/>
      <c r="H786" s="227"/>
      <c r="I786" s="227"/>
      <c r="J786" s="227"/>
      <c r="K786" s="227"/>
      <c r="L786" s="227"/>
      <c r="M786" s="227"/>
      <c r="N786" s="227"/>
      <c r="O786" s="227"/>
      <c r="P786" s="227"/>
      <c r="Q786" s="227"/>
      <c r="R786" s="227"/>
    </row>
    <row r="787" spans="1:18">
      <c r="A787" s="2"/>
      <c r="B787" s="2"/>
      <c r="C787" s="120"/>
      <c r="D787" s="120"/>
      <c r="E787" s="118"/>
      <c r="F787" s="227"/>
      <c r="G787" s="227"/>
      <c r="H787" s="227"/>
      <c r="I787" s="227"/>
      <c r="J787" s="227"/>
      <c r="K787" s="227"/>
      <c r="L787" s="227"/>
      <c r="M787" s="227"/>
      <c r="N787" s="227"/>
      <c r="O787" s="227"/>
      <c r="P787" s="227"/>
      <c r="Q787" s="227"/>
      <c r="R787" s="227"/>
    </row>
    <row r="788" spans="1:18">
      <c r="A788" s="2"/>
      <c r="B788" s="2"/>
      <c r="C788" s="120"/>
      <c r="D788" s="120"/>
      <c r="E788" s="118"/>
      <c r="F788" s="227"/>
      <c r="G788" s="227"/>
      <c r="H788" s="227"/>
      <c r="I788" s="227"/>
      <c r="J788" s="227"/>
      <c r="K788" s="227"/>
      <c r="L788" s="227"/>
      <c r="M788" s="227"/>
      <c r="N788" s="227"/>
      <c r="O788" s="227"/>
      <c r="P788" s="227"/>
      <c r="Q788" s="227"/>
      <c r="R788" s="227"/>
    </row>
    <row r="789" spans="1:18">
      <c r="A789" s="2"/>
      <c r="B789" s="2"/>
      <c r="C789" s="120"/>
      <c r="D789" s="120"/>
      <c r="E789" s="118"/>
      <c r="F789" s="227"/>
      <c r="G789" s="227"/>
      <c r="H789" s="227"/>
      <c r="I789" s="227"/>
      <c r="J789" s="227"/>
      <c r="K789" s="227"/>
      <c r="L789" s="227"/>
      <c r="M789" s="227"/>
      <c r="N789" s="227"/>
      <c r="O789" s="227"/>
      <c r="P789" s="227"/>
      <c r="Q789" s="227"/>
      <c r="R789" s="227"/>
    </row>
    <row r="790" spans="1:18">
      <c r="A790" s="2"/>
      <c r="B790" s="2"/>
      <c r="C790" s="120"/>
      <c r="D790" s="120"/>
      <c r="E790" s="118"/>
      <c r="F790" s="227"/>
      <c r="G790" s="227"/>
      <c r="H790" s="227"/>
      <c r="I790" s="227"/>
      <c r="J790" s="227"/>
      <c r="K790" s="227"/>
      <c r="L790" s="227"/>
      <c r="M790" s="227"/>
      <c r="N790" s="227"/>
      <c r="O790" s="227"/>
      <c r="P790" s="227"/>
      <c r="Q790" s="227"/>
      <c r="R790" s="227"/>
    </row>
    <row r="791" spans="1:18">
      <c r="A791" s="2"/>
      <c r="B791" s="2"/>
      <c r="C791" s="120"/>
      <c r="D791" s="120"/>
      <c r="E791" s="118"/>
      <c r="F791" s="227"/>
      <c r="G791" s="227"/>
      <c r="H791" s="227"/>
      <c r="I791" s="227"/>
      <c r="J791" s="227"/>
      <c r="K791" s="227"/>
      <c r="L791" s="227"/>
      <c r="M791" s="227"/>
      <c r="N791" s="227"/>
      <c r="O791" s="227"/>
      <c r="P791" s="227"/>
      <c r="Q791" s="227"/>
      <c r="R791" s="227"/>
    </row>
    <row r="792" spans="1:18">
      <c r="A792" s="2"/>
      <c r="B792" s="2"/>
      <c r="C792" s="120"/>
      <c r="D792" s="120"/>
      <c r="E792" s="118"/>
      <c r="F792" s="227"/>
      <c r="G792" s="227"/>
      <c r="H792" s="227"/>
      <c r="I792" s="227"/>
      <c r="J792" s="227"/>
      <c r="K792" s="227"/>
      <c r="L792" s="227"/>
      <c r="M792" s="227"/>
      <c r="N792" s="227"/>
      <c r="O792" s="227"/>
      <c r="P792" s="227"/>
      <c r="Q792" s="227"/>
      <c r="R792" s="227"/>
    </row>
    <row r="793" spans="1:18">
      <c r="A793" s="2"/>
      <c r="B793" s="2"/>
      <c r="C793" s="120"/>
      <c r="D793" s="120"/>
      <c r="E793" s="118"/>
      <c r="F793" s="227"/>
      <c r="G793" s="227"/>
      <c r="H793" s="227"/>
      <c r="I793" s="227"/>
      <c r="J793" s="227"/>
      <c r="K793" s="227"/>
      <c r="L793" s="227"/>
      <c r="M793" s="227"/>
      <c r="N793" s="227"/>
      <c r="O793" s="227"/>
      <c r="P793" s="227"/>
      <c r="Q793" s="227"/>
      <c r="R793" s="227"/>
    </row>
    <row r="794" spans="1:18">
      <c r="A794" s="2"/>
      <c r="B794" s="2"/>
      <c r="C794" s="120"/>
      <c r="D794" s="120"/>
      <c r="E794" s="118"/>
      <c r="F794" s="227"/>
      <c r="G794" s="227"/>
      <c r="H794" s="227"/>
      <c r="I794" s="227"/>
      <c r="J794" s="227"/>
      <c r="K794" s="227"/>
      <c r="L794" s="227"/>
      <c r="M794" s="227"/>
      <c r="N794" s="227"/>
      <c r="O794" s="227"/>
      <c r="P794" s="227"/>
      <c r="Q794" s="227"/>
      <c r="R794" s="227"/>
    </row>
    <row r="795" spans="1:18">
      <c r="A795" s="2"/>
      <c r="B795" s="2"/>
      <c r="C795" s="120"/>
      <c r="D795" s="120"/>
      <c r="E795" s="118"/>
      <c r="F795" s="227"/>
      <c r="G795" s="227"/>
      <c r="H795" s="227"/>
      <c r="I795" s="227"/>
      <c r="J795" s="227"/>
      <c r="K795" s="227"/>
      <c r="L795" s="227"/>
      <c r="M795" s="227"/>
      <c r="N795" s="227"/>
      <c r="O795" s="227"/>
      <c r="P795" s="227"/>
      <c r="Q795" s="227"/>
      <c r="R795" s="227"/>
    </row>
    <row r="796" spans="1:18">
      <c r="A796" s="2"/>
      <c r="B796" s="2"/>
      <c r="C796" s="120"/>
      <c r="D796" s="120"/>
      <c r="E796" s="118"/>
      <c r="F796" s="227"/>
      <c r="G796" s="227"/>
      <c r="H796" s="227"/>
      <c r="I796" s="227"/>
      <c r="J796" s="227"/>
      <c r="K796" s="227"/>
      <c r="L796" s="227"/>
      <c r="M796" s="227"/>
      <c r="N796" s="227"/>
      <c r="O796" s="227"/>
      <c r="P796" s="227"/>
      <c r="Q796" s="227"/>
      <c r="R796" s="227"/>
    </row>
    <row r="797" spans="1:18">
      <c r="A797" s="2"/>
      <c r="B797" s="2"/>
      <c r="C797" s="120"/>
      <c r="D797" s="120"/>
      <c r="E797" s="118"/>
      <c r="F797" s="227"/>
      <c r="G797" s="227"/>
      <c r="H797" s="227"/>
      <c r="I797" s="227"/>
      <c r="J797" s="227"/>
      <c r="K797" s="227"/>
      <c r="L797" s="227"/>
      <c r="M797" s="227"/>
      <c r="N797" s="227"/>
      <c r="O797" s="227"/>
      <c r="P797" s="227"/>
      <c r="Q797" s="227"/>
      <c r="R797" s="227"/>
    </row>
    <row r="798" spans="1:18">
      <c r="A798" s="2"/>
      <c r="B798" s="2"/>
      <c r="C798" s="120"/>
      <c r="D798" s="120"/>
      <c r="E798" s="118"/>
      <c r="F798" s="227"/>
      <c r="G798" s="227"/>
      <c r="H798" s="227"/>
      <c r="I798" s="227"/>
      <c r="J798" s="227"/>
      <c r="K798" s="227"/>
      <c r="L798" s="227"/>
      <c r="M798" s="227"/>
      <c r="N798" s="227"/>
      <c r="O798" s="227"/>
      <c r="P798" s="227"/>
      <c r="Q798" s="227"/>
      <c r="R798" s="227"/>
    </row>
    <row r="799" spans="1:18">
      <c r="A799" s="2"/>
      <c r="B799" s="2"/>
      <c r="C799" s="120"/>
      <c r="D799" s="120"/>
      <c r="E799" s="118"/>
      <c r="F799" s="227"/>
      <c r="G799" s="227"/>
      <c r="H799" s="227"/>
      <c r="I799" s="227"/>
      <c r="J799" s="227"/>
      <c r="K799" s="227"/>
      <c r="L799" s="227"/>
      <c r="M799" s="227"/>
      <c r="N799" s="227"/>
      <c r="O799" s="227"/>
      <c r="P799" s="227"/>
      <c r="Q799" s="227"/>
      <c r="R799" s="227"/>
    </row>
    <row r="800" spans="1:18">
      <c r="A800" s="2"/>
      <c r="B800" s="2"/>
      <c r="C800" s="120"/>
      <c r="D800" s="120"/>
      <c r="E800" s="118"/>
      <c r="F800" s="227"/>
      <c r="G800" s="227"/>
      <c r="H800" s="227"/>
      <c r="I800" s="227"/>
      <c r="J800" s="227"/>
      <c r="K800" s="227"/>
      <c r="L800" s="227"/>
      <c r="M800" s="227"/>
      <c r="N800" s="227"/>
      <c r="O800" s="227"/>
      <c r="P800" s="227"/>
      <c r="Q800" s="227"/>
      <c r="R800" s="227"/>
    </row>
    <row r="801" spans="1:18">
      <c r="A801" s="2"/>
      <c r="B801" s="2"/>
      <c r="C801" s="120"/>
      <c r="D801" s="120"/>
      <c r="E801" s="118"/>
      <c r="F801" s="227"/>
      <c r="G801" s="227"/>
      <c r="H801" s="227"/>
      <c r="I801" s="227"/>
      <c r="J801" s="227"/>
      <c r="K801" s="227"/>
      <c r="L801" s="227"/>
      <c r="M801" s="227"/>
      <c r="N801" s="227"/>
      <c r="O801" s="227"/>
      <c r="P801" s="227"/>
      <c r="Q801" s="227"/>
      <c r="R801" s="227"/>
    </row>
    <row r="802" spans="1:18">
      <c r="A802" s="2"/>
      <c r="B802" s="2"/>
      <c r="C802" s="120"/>
      <c r="D802" s="120"/>
      <c r="E802" s="118"/>
      <c r="F802" s="227"/>
      <c r="G802" s="227"/>
      <c r="H802" s="227"/>
      <c r="I802" s="227"/>
      <c r="J802" s="227"/>
      <c r="K802" s="227"/>
      <c r="L802" s="227"/>
      <c r="M802" s="227"/>
      <c r="N802" s="227"/>
      <c r="O802" s="227"/>
      <c r="P802" s="227"/>
      <c r="Q802" s="227"/>
      <c r="R802" s="227"/>
    </row>
    <row r="803" spans="1:18">
      <c r="A803" s="2"/>
      <c r="B803" s="2"/>
      <c r="C803" s="120"/>
      <c r="D803" s="120"/>
      <c r="E803" s="118"/>
      <c r="F803" s="227"/>
      <c r="G803" s="227"/>
      <c r="H803" s="227"/>
      <c r="I803" s="227"/>
      <c r="J803" s="227"/>
      <c r="K803" s="227"/>
      <c r="L803" s="227"/>
      <c r="M803" s="227"/>
      <c r="N803" s="227"/>
      <c r="O803" s="227"/>
      <c r="P803" s="227"/>
      <c r="Q803" s="227"/>
      <c r="R803" s="227"/>
    </row>
    <row r="804" spans="1:18">
      <c r="A804" s="2"/>
      <c r="B804" s="2"/>
      <c r="C804" s="120"/>
      <c r="D804" s="120"/>
      <c r="E804" s="118"/>
      <c r="F804" s="227"/>
      <c r="G804" s="227"/>
      <c r="H804" s="227"/>
      <c r="I804" s="227"/>
      <c r="J804" s="227"/>
      <c r="K804" s="227"/>
      <c r="L804" s="227"/>
      <c r="M804" s="227"/>
      <c r="N804" s="227"/>
      <c r="O804" s="227"/>
      <c r="P804" s="227"/>
      <c r="Q804" s="227"/>
      <c r="R804" s="227"/>
    </row>
    <row r="805" spans="1:18">
      <c r="A805" s="2"/>
      <c r="B805" s="2"/>
      <c r="C805" s="120"/>
      <c r="D805" s="120"/>
      <c r="E805" s="118"/>
      <c r="F805" s="227"/>
      <c r="G805" s="227"/>
      <c r="H805" s="227"/>
      <c r="I805" s="227"/>
      <c r="J805" s="227"/>
      <c r="K805" s="227"/>
      <c r="L805" s="227"/>
      <c r="M805" s="227"/>
      <c r="N805" s="227"/>
      <c r="O805" s="227"/>
      <c r="P805" s="227"/>
      <c r="Q805" s="227"/>
      <c r="R805" s="227"/>
    </row>
    <row r="806" spans="1:18">
      <c r="A806" s="2"/>
      <c r="B806" s="2"/>
      <c r="C806" s="120"/>
      <c r="D806" s="120"/>
      <c r="E806" s="118"/>
      <c r="F806" s="227"/>
      <c r="G806" s="227"/>
      <c r="H806" s="227"/>
      <c r="I806" s="227"/>
      <c r="J806" s="227"/>
      <c r="K806" s="227"/>
      <c r="L806" s="227"/>
      <c r="M806" s="227"/>
      <c r="N806" s="227"/>
      <c r="O806" s="227"/>
      <c r="P806" s="227"/>
      <c r="Q806" s="227"/>
      <c r="R806" s="227"/>
    </row>
    <row r="807" spans="1:18">
      <c r="A807" s="2"/>
      <c r="B807" s="2"/>
      <c r="C807" s="120"/>
      <c r="D807" s="120"/>
      <c r="E807" s="118"/>
      <c r="F807" s="227"/>
      <c r="G807" s="227"/>
      <c r="H807" s="227"/>
      <c r="I807" s="227"/>
      <c r="J807" s="227"/>
      <c r="K807" s="227"/>
      <c r="L807" s="227"/>
      <c r="M807" s="227"/>
      <c r="N807" s="227"/>
      <c r="O807" s="227"/>
      <c r="P807" s="227"/>
      <c r="Q807" s="227"/>
      <c r="R807" s="227"/>
    </row>
    <row r="808" spans="1:18">
      <c r="A808" s="2"/>
      <c r="B808" s="2"/>
      <c r="C808" s="120"/>
      <c r="D808" s="120"/>
      <c r="E808" s="118"/>
      <c r="F808" s="227"/>
      <c r="G808" s="227"/>
      <c r="H808" s="227"/>
      <c r="I808" s="227"/>
      <c r="J808" s="227"/>
      <c r="K808" s="227"/>
      <c r="L808" s="227"/>
      <c r="M808" s="227"/>
      <c r="N808" s="227"/>
      <c r="O808" s="227"/>
      <c r="P808" s="227"/>
      <c r="Q808" s="227"/>
      <c r="R808" s="227"/>
    </row>
    <row r="809" spans="1:18">
      <c r="A809" s="2"/>
      <c r="B809" s="2"/>
      <c r="C809" s="120"/>
      <c r="D809" s="120"/>
      <c r="E809" s="118"/>
      <c r="F809" s="227"/>
      <c r="G809" s="227"/>
      <c r="H809" s="227"/>
      <c r="I809" s="227"/>
      <c r="J809" s="227"/>
      <c r="K809" s="227"/>
      <c r="L809" s="227"/>
      <c r="M809" s="227"/>
      <c r="N809" s="227"/>
      <c r="O809" s="227"/>
      <c r="P809" s="227"/>
      <c r="Q809" s="227"/>
      <c r="R809" s="227"/>
    </row>
    <row r="810" spans="1:18">
      <c r="A810" s="2"/>
      <c r="B810" s="2"/>
      <c r="C810" s="120"/>
      <c r="D810" s="120"/>
      <c r="E810" s="118"/>
      <c r="F810" s="227"/>
      <c r="G810" s="227"/>
      <c r="H810" s="227"/>
      <c r="I810" s="227"/>
      <c r="J810" s="227"/>
      <c r="K810" s="227"/>
      <c r="L810" s="227"/>
      <c r="M810" s="227"/>
      <c r="N810" s="227"/>
      <c r="O810" s="227"/>
      <c r="P810" s="227"/>
      <c r="Q810" s="227"/>
      <c r="R810" s="227"/>
    </row>
    <row r="811" spans="1:18">
      <c r="A811" s="2"/>
      <c r="B811" s="2"/>
      <c r="C811" s="120"/>
      <c r="D811" s="120"/>
      <c r="E811" s="118"/>
      <c r="F811" s="227"/>
      <c r="G811" s="227"/>
      <c r="H811" s="227"/>
      <c r="I811" s="227"/>
      <c r="J811" s="227"/>
      <c r="K811" s="227"/>
      <c r="L811" s="227"/>
      <c r="M811" s="227"/>
      <c r="N811" s="227"/>
      <c r="O811" s="227"/>
      <c r="P811" s="227"/>
      <c r="Q811" s="227"/>
      <c r="R811" s="227"/>
    </row>
    <row r="812" spans="1:18">
      <c r="A812" s="2"/>
      <c r="B812" s="2"/>
      <c r="C812" s="120"/>
      <c r="D812" s="120"/>
      <c r="E812" s="118"/>
      <c r="F812" s="227"/>
      <c r="G812" s="227"/>
      <c r="H812" s="227"/>
      <c r="I812" s="227"/>
      <c r="J812" s="227"/>
      <c r="K812" s="227"/>
      <c r="L812" s="227"/>
      <c r="M812" s="227"/>
      <c r="N812" s="227"/>
      <c r="O812" s="227"/>
      <c r="P812" s="227"/>
      <c r="Q812" s="227"/>
      <c r="R812" s="227"/>
    </row>
    <row r="813" spans="1:18">
      <c r="A813" s="2"/>
      <c r="B813" s="2"/>
      <c r="C813" s="120"/>
      <c r="D813" s="120"/>
      <c r="E813" s="118"/>
      <c r="F813" s="227"/>
      <c r="G813" s="227"/>
      <c r="H813" s="227"/>
      <c r="I813" s="227"/>
      <c r="J813" s="227"/>
      <c r="K813" s="227"/>
      <c r="L813" s="227"/>
      <c r="M813" s="227"/>
      <c r="N813" s="227"/>
      <c r="O813" s="227"/>
      <c r="P813" s="227"/>
      <c r="Q813" s="227"/>
      <c r="R813" s="227"/>
    </row>
    <row r="814" spans="1:18">
      <c r="A814" s="2"/>
      <c r="B814" s="2"/>
      <c r="C814" s="120"/>
      <c r="D814" s="120"/>
      <c r="E814" s="118"/>
      <c r="F814" s="227"/>
      <c r="G814" s="227"/>
      <c r="H814" s="227"/>
      <c r="I814" s="227"/>
      <c r="J814" s="227"/>
      <c r="K814" s="227"/>
      <c r="L814" s="227"/>
      <c r="M814" s="227"/>
      <c r="N814" s="227"/>
      <c r="O814" s="227"/>
      <c r="P814" s="227"/>
      <c r="Q814" s="227"/>
      <c r="R814" s="227"/>
    </row>
    <row r="815" spans="1:18">
      <c r="A815" s="2"/>
      <c r="B815" s="2"/>
      <c r="C815" s="120"/>
      <c r="D815" s="120"/>
      <c r="E815" s="118"/>
      <c r="F815" s="227"/>
      <c r="G815" s="227"/>
      <c r="H815" s="227"/>
      <c r="I815" s="227"/>
      <c r="J815" s="227"/>
      <c r="K815" s="227"/>
      <c r="L815" s="227"/>
      <c r="M815" s="227"/>
      <c r="N815" s="227"/>
      <c r="O815" s="227"/>
      <c r="P815" s="227"/>
      <c r="Q815" s="227"/>
      <c r="R815" s="227"/>
    </row>
    <row r="816" spans="1:18">
      <c r="A816" s="2"/>
      <c r="B816" s="2"/>
      <c r="C816" s="120"/>
      <c r="D816" s="120"/>
      <c r="E816" s="118"/>
      <c r="F816" s="227"/>
      <c r="G816" s="227"/>
      <c r="H816" s="227"/>
      <c r="I816" s="227"/>
      <c r="J816" s="227"/>
      <c r="K816" s="227"/>
      <c r="L816" s="227"/>
      <c r="M816" s="227"/>
      <c r="N816" s="227"/>
      <c r="O816" s="227"/>
      <c r="P816" s="227"/>
      <c r="Q816" s="227"/>
      <c r="R816" s="227"/>
    </row>
    <row r="817" spans="1:18">
      <c r="A817" s="2"/>
      <c r="B817" s="2"/>
      <c r="C817" s="120"/>
      <c r="D817" s="120"/>
      <c r="E817" s="118"/>
      <c r="F817" s="227"/>
      <c r="G817" s="227"/>
      <c r="H817" s="227"/>
      <c r="I817" s="227"/>
      <c r="J817" s="227"/>
      <c r="K817" s="227"/>
      <c r="L817" s="227"/>
      <c r="M817" s="227"/>
      <c r="N817" s="227"/>
      <c r="O817" s="227"/>
      <c r="P817" s="227"/>
      <c r="Q817" s="227"/>
      <c r="R817" s="227"/>
    </row>
    <row r="818" spans="1:18">
      <c r="A818" s="2"/>
      <c r="B818" s="2"/>
      <c r="C818" s="120"/>
      <c r="D818" s="120"/>
      <c r="E818" s="118"/>
      <c r="F818" s="227"/>
      <c r="G818" s="227"/>
      <c r="H818" s="227"/>
      <c r="I818" s="227"/>
      <c r="J818" s="227"/>
      <c r="K818" s="227"/>
      <c r="L818" s="227"/>
      <c r="M818" s="227"/>
      <c r="N818" s="227"/>
      <c r="O818" s="227"/>
      <c r="P818" s="227"/>
      <c r="Q818" s="227"/>
      <c r="R818" s="227"/>
    </row>
    <row r="819" spans="1:18">
      <c r="A819" s="2"/>
      <c r="B819" s="2"/>
      <c r="C819" s="120"/>
      <c r="D819" s="120"/>
      <c r="E819" s="118"/>
      <c r="F819" s="227"/>
      <c r="G819" s="227"/>
      <c r="H819" s="227"/>
      <c r="I819" s="227"/>
      <c r="J819" s="227"/>
      <c r="K819" s="227"/>
      <c r="L819" s="227"/>
      <c r="M819" s="227"/>
      <c r="N819" s="227"/>
      <c r="O819" s="227"/>
      <c r="P819" s="227"/>
      <c r="Q819" s="227"/>
      <c r="R819" s="227"/>
    </row>
    <row r="820" spans="1:18">
      <c r="A820" s="2"/>
      <c r="B820" s="2"/>
      <c r="C820" s="120"/>
      <c r="D820" s="120"/>
      <c r="E820" s="118"/>
      <c r="F820" s="227"/>
      <c r="G820" s="227"/>
      <c r="H820" s="227"/>
      <c r="I820" s="227"/>
      <c r="J820" s="227"/>
      <c r="K820" s="227"/>
      <c r="L820" s="227"/>
      <c r="M820" s="227"/>
      <c r="N820" s="227"/>
      <c r="O820" s="227"/>
      <c r="P820" s="227"/>
      <c r="Q820" s="227"/>
      <c r="R820" s="227"/>
    </row>
    <row r="821" spans="1:18">
      <c r="A821" s="2"/>
      <c r="B821" s="2"/>
      <c r="C821" s="120"/>
      <c r="D821" s="120"/>
      <c r="E821" s="118"/>
      <c r="F821" s="227"/>
      <c r="G821" s="227"/>
      <c r="H821" s="227"/>
      <c r="I821" s="227"/>
      <c r="J821" s="227"/>
      <c r="K821" s="227"/>
      <c r="L821" s="227"/>
      <c r="M821" s="227"/>
      <c r="N821" s="227"/>
      <c r="O821" s="227"/>
      <c r="P821" s="227"/>
      <c r="Q821" s="227"/>
      <c r="R821" s="227"/>
    </row>
    <row r="822" spans="1:18">
      <c r="A822" s="2"/>
      <c r="B822" s="2"/>
      <c r="C822" s="120"/>
      <c r="D822" s="120"/>
      <c r="E822" s="118"/>
      <c r="F822" s="227"/>
      <c r="G822" s="227"/>
      <c r="H822" s="227"/>
      <c r="I822" s="227"/>
      <c r="J822" s="227"/>
      <c r="K822" s="227"/>
      <c r="L822" s="227"/>
      <c r="M822" s="227"/>
      <c r="N822" s="227"/>
      <c r="O822" s="227"/>
      <c r="P822" s="227"/>
      <c r="Q822" s="227"/>
      <c r="R822" s="227"/>
    </row>
    <row r="823" spans="1:18">
      <c r="A823" s="2"/>
      <c r="B823" s="2"/>
      <c r="C823" s="120"/>
      <c r="D823" s="120"/>
      <c r="E823" s="118"/>
      <c r="F823" s="227"/>
      <c r="G823" s="227"/>
      <c r="H823" s="227"/>
      <c r="I823" s="227"/>
      <c r="J823" s="227"/>
      <c r="K823" s="227"/>
      <c r="L823" s="227"/>
      <c r="M823" s="227"/>
      <c r="N823" s="227"/>
      <c r="O823" s="227"/>
      <c r="P823" s="227"/>
      <c r="Q823" s="227"/>
      <c r="R823" s="227"/>
    </row>
    <row r="824" spans="1:18">
      <c r="A824" s="2"/>
      <c r="B824" s="2"/>
      <c r="C824" s="120"/>
      <c r="D824" s="120"/>
      <c r="E824" s="118"/>
      <c r="F824" s="227"/>
      <c r="G824" s="227"/>
      <c r="H824" s="227"/>
      <c r="I824" s="227"/>
      <c r="J824" s="227"/>
      <c r="K824" s="227"/>
      <c r="L824" s="227"/>
      <c r="M824" s="227"/>
      <c r="N824" s="227"/>
      <c r="O824" s="227"/>
      <c r="P824" s="227"/>
      <c r="Q824" s="227"/>
      <c r="R824" s="227"/>
    </row>
    <row r="825" spans="1:18">
      <c r="A825" s="2"/>
      <c r="B825" s="2"/>
      <c r="C825" s="120"/>
      <c r="D825" s="120"/>
      <c r="E825" s="118"/>
      <c r="F825" s="227"/>
      <c r="G825" s="227"/>
      <c r="H825" s="227"/>
      <c r="I825" s="227"/>
      <c r="J825" s="227"/>
      <c r="K825" s="227"/>
      <c r="L825" s="227"/>
      <c r="M825" s="227"/>
      <c r="N825" s="227"/>
      <c r="O825" s="227"/>
      <c r="P825" s="227"/>
      <c r="Q825" s="227"/>
      <c r="R825" s="227"/>
    </row>
    <row r="826" spans="1:18">
      <c r="A826" s="2"/>
      <c r="B826" s="2"/>
      <c r="C826" s="120"/>
      <c r="D826" s="120"/>
      <c r="E826" s="118"/>
      <c r="F826" s="227"/>
      <c r="G826" s="227"/>
      <c r="H826" s="227"/>
      <c r="I826" s="227"/>
      <c r="J826" s="227"/>
      <c r="K826" s="227"/>
      <c r="L826" s="227"/>
      <c r="M826" s="227"/>
      <c r="N826" s="227"/>
      <c r="O826" s="227"/>
      <c r="P826" s="227"/>
      <c r="Q826" s="227"/>
      <c r="R826" s="227"/>
    </row>
    <row r="827" spans="1:18">
      <c r="A827" s="2"/>
      <c r="B827" s="2"/>
      <c r="C827" s="120"/>
      <c r="D827" s="120"/>
      <c r="E827" s="118"/>
      <c r="F827" s="227"/>
      <c r="G827" s="227"/>
      <c r="H827" s="227"/>
      <c r="I827" s="227"/>
      <c r="J827" s="227"/>
      <c r="K827" s="227"/>
      <c r="L827" s="227"/>
      <c r="M827" s="227"/>
      <c r="N827" s="227"/>
      <c r="O827" s="227"/>
      <c r="P827" s="227"/>
      <c r="Q827" s="227"/>
      <c r="R827" s="227"/>
    </row>
    <row r="828" spans="1:18">
      <c r="A828" s="2"/>
      <c r="B828" s="2"/>
      <c r="C828" s="120"/>
      <c r="D828" s="120"/>
      <c r="E828" s="118"/>
      <c r="F828" s="227"/>
      <c r="G828" s="227"/>
      <c r="H828" s="227"/>
      <c r="I828" s="227"/>
      <c r="J828" s="227"/>
      <c r="K828" s="227"/>
      <c r="L828" s="227"/>
      <c r="M828" s="227"/>
      <c r="N828" s="227"/>
      <c r="O828" s="227"/>
      <c r="P828" s="227"/>
      <c r="Q828" s="227"/>
      <c r="R828" s="227"/>
    </row>
    <row r="829" spans="1:18">
      <c r="A829" s="2"/>
      <c r="B829" s="2"/>
      <c r="C829" s="120"/>
      <c r="D829" s="120"/>
      <c r="E829" s="118"/>
      <c r="F829" s="227"/>
      <c r="G829" s="227"/>
      <c r="H829" s="227"/>
      <c r="I829" s="227"/>
      <c r="J829" s="227"/>
      <c r="K829" s="227"/>
      <c r="L829" s="227"/>
      <c r="M829" s="227"/>
      <c r="N829" s="227"/>
      <c r="O829" s="227"/>
      <c r="P829" s="227"/>
      <c r="Q829" s="227"/>
      <c r="R829" s="227"/>
    </row>
    <row r="830" spans="1:18">
      <c r="A830" s="2"/>
      <c r="B830" s="2"/>
      <c r="C830" s="120"/>
      <c r="D830" s="120"/>
      <c r="E830" s="118"/>
      <c r="F830" s="227"/>
      <c r="G830" s="227"/>
      <c r="H830" s="227"/>
      <c r="I830" s="227"/>
      <c r="J830" s="227"/>
      <c r="K830" s="227"/>
      <c r="L830" s="227"/>
      <c r="M830" s="227"/>
      <c r="N830" s="227"/>
      <c r="O830" s="227"/>
      <c r="P830" s="227"/>
      <c r="Q830" s="227"/>
      <c r="R830" s="227"/>
    </row>
    <row r="831" spans="1:18">
      <c r="A831" s="2"/>
      <c r="B831" s="2"/>
      <c r="C831" s="120"/>
      <c r="D831" s="120"/>
      <c r="E831" s="118"/>
      <c r="F831" s="227"/>
      <c r="G831" s="227"/>
      <c r="H831" s="227"/>
      <c r="I831" s="227"/>
      <c r="J831" s="227"/>
      <c r="K831" s="227"/>
      <c r="L831" s="227"/>
      <c r="M831" s="227"/>
      <c r="N831" s="227"/>
      <c r="O831" s="227"/>
      <c r="P831" s="227"/>
      <c r="Q831" s="227"/>
      <c r="R831" s="227"/>
    </row>
    <row r="832" spans="1:18">
      <c r="A832" s="2"/>
      <c r="B832" s="2"/>
      <c r="C832" s="120"/>
      <c r="D832" s="120"/>
      <c r="E832" s="118"/>
      <c r="F832" s="227"/>
      <c r="G832" s="227"/>
      <c r="H832" s="227"/>
      <c r="I832" s="227"/>
      <c r="J832" s="227"/>
      <c r="K832" s="227"/>
      <c r="L832" s="227"/>
      <c r="M832" s="227"/>
      <c r="N832" s="227"/>
      <c r="O832" s="227"/>
      <c r="P832" s="227"/>
      <c r="Q832" s="227"/>
      <c r="R832" s="227"/>
    </row>
    <row r="833" spans="1:18">
      <c r="A833" s="2"/>
      <c r="B833" s="2"/>
      <c r="C833" s="120"/>
      <c r="D833" s="120"/>
      <c r="E833" s="118"/>
      <c r="F833" s="227"/>
      <c r="G833" s="227"/>
      <c r="H833" s="227"/>
      <c r="I833" s="227"/>
      <c r="J833" s="227"/>
      <c r="K833" s="227"/>
      <c r="L833" s="227"/>
      <c r="M833" s="227"/>
      <c r="N833" s="227"/>
      <c r="O833" s="227"/>
      <c r="P833" s="227"/>
      <c r="Q833" s="227"/>
      <c r="R833" s="227"/>
    </row>
    <row r="834" spans="1:18">
      <c r="A834" s="2"/>
      <c r="B834" s="2"/>
      <c r="C834" s="120"/>
      <c r="D834" s="120"/>
      <c r="E834" s="118"/>
      <c r="F834" s="227"/>
      <c r="G834" s="227"/>
      <c r="H834" s="227"/>
      <c r="I834" s="227"/>
      <c r="J834" s="227"/>
      <c r="K834" s="227"/>
      <c r="L834" s="227"/>
      <c r="M834" s="227"/>
      <c r="N834" s="227"/>
      <c r="O834" s="227"/>
      <c r="P834" s="227"/>
      <c r="Q834" s="227"/>
      <c r="R834" s="227"/>
    </row>
    <row r="835" spans="1:18">
      <c r="A835" s="2"/>
      <c r="B835" s="2"/>
      <c r="C835" s="120"/>
      <c r="D835" s="120"/>
      <c r="E835" s="118"/>
      <c r="F835" s="227"/>
      <c r="G835" s="227"/>
      <c r="H835" s="227"/>
      <c r="I835" s="227"/>
      <c r="J835" s="227"/>
      <c r="K835" s="227"/>
      <c r="L835" s="227"/>
      <c r="M835" s="227"/>
      <c r="N835" s="227"/>
      <c r="O835" s="227"/>
      <c r="P835" s="227"/>
      <c r="Q835" s="227"/>
      <c r="R835" s="227"/>
    </row>
    <row r="836" spans="1:18">
      <c r="A836" s="2"/>
      <c r="B836" s="2"/>
      <c r="C836" s="120"/>
      <c r="D836" s="120"/>
      <c r="E836" s="118"/>
      <c r="F836" s="227"/>
      <c r="G836" s="227"/>
      <c r="H836" s="227"/>
      <c r="I836" s="227"/>
      <c r="J836" s="227"/>
      <c r="K836" s="227"/>
      <c r="L836" s="227"/>
      <c r="M836" s="227"/>
      <c r="N836" s="227"/>
      <c r="O836" s="227"/>
      <c r="P836" s="227"/>
      <c r="Q836" s="227"/>
      <c r="R836" s="227"/>
    </row>
    <row r="837" spans="1:18">
      <c r="A837" s="2"/>
      <c r="B837" s="2"/>
      <c r="C837" s="120"/>
      <c r="D837" s="120"/>
      <c r="E837" s="118"/>
      <c r="F837" s="227"/>
      <c r="G837" s="227"/>
      <c r="H837" s="227"/>
      <c r="I837" s="227"/>
      <c r="J837" s="227"/>
      <c r="K837" s="227"/>
      <c r="L837" s="227"/>
      <c r="M837" s="227"/>
      <c r="N837" s="227"/>
      <c r="O837" s="227"/>
      <c r="P837" s="227"/>
      <c r="Q837" s="227"/>
      <c r="R837" s="227"/>
    </row>
    <row r="838" spans="1:18">
      <c r="A838" s="2"/>
      <c r="B838" s="2"/>
      <c r="C838" s="120"/>
      <c r="D838" s="120"/>
      <c r="E838" s="118"/>
      <c r="F838" s="227"/>
      <c r="G838" s="227"/>
      <c r="H838" s="227"/>
      <c r="I838" s="227"/>
      <c r="J838" s="227"/>
      <c r="K838" s="227"/>
      <c r="L838" s="227"/>
      <c r="M838" s="227"/>
      <c r="N838" s="227"/>
      <c r="O838" s="227"/>
      <c r="P838" s="227"/>
      <c r="Q838" s="227"/>
      <c r="R838" s="227"/>
    </row>
    <row r="839" spans="1:18">
      <c r="A839" s="2"/>
      <c r="B839" s="2"/>
      <c r="C839" s="120"/>
      <c r="D839" s="120"/>
      <c r="E839" s="118"/>
      <c r="F839" s="227"/>
      <c r="G839" s="227"/>
      <c r="H839" s="227"/>
      <c r="I839" s="227"/>
      <c r="J839" s="227"/>
      <c r="K839" s="227"/>
      <c r="L839" s="227"/>
      <c r="M839" s="227"/>
      <c r="N839" s="227"/>
      <c r="O839" s="227"/>
      <c r="P839" s="227"/>
      <c r="Q839" s="227"/>
      <c r="R839" s="227"/>
    </row>
    <row r="840" spans="1:18">
      <c r="A840" s="2"/>
      <c r="B840" s="2"/>
      <c r="C840" s="120"/>
      <c r="D840" s="120"/>
      <c r="E840" s="118"/>
      <c r="F840" s="227"/>
      <c r="G840" s="227"/>
      <c r="H840" s="227"/>
      <c r="I840" s="227"/>
      <c r="J840" s="227"/>
      <c r="K840" s="227"/>
      <c r="L840" s="227"/>
      <c r="M840" s="227"/>
      <c r="N840" s="227"/>
      <c r="O840" s="227"/>
      <c r="P840" s="227"/>
      <c r="Q840" s="227"/>
      <c r="R840" s="227"/>
    </row>
    <row r="841" spans="1:18">
      <c r="A841" s="2"/>
      <c r="B841" s="2"/>
      <c r="C841" s="120"/>
      <c r="D841" s="120"/>
      <c r="E841" s="118"/>
      <c r="F841" s="227"/>
      <c r="G841" s="227"/>
      <c r="H841" s="227"/>
      <c r="I841" s="227"/>
      <c r="J841" s="227"/>
      <c r="K841" s="227"/>
      <c r="L841" s="227"/>
      <c r="M841" s="227"/>
      <c r="N841" s="227"/>
      <c r="O841" s="227"/>
      <c r="P841" s="227"/>
      <c r="Q841" s="227"/>
      <c r="R841" s="227"/>
    </row>
    <row r="842" spans="1:18">
      <c r="A842" s="2"/>
      <c r="B842" s="2"/>
      <c r="C842" s="120"/>
      <c r="D842" s="120"/>
      <c r="E842" s="118"/>
      <c r="F842" s="227"/>
      <c r="G842" s="227"/>
      <c r="H842" s="227"/>
      <c r="I842" s="227"/>
      <c r="J842" s="227"/>
      <c r="K842" s="227"/>
      <c r="L842" s="227"/>
      <c r="M842" s="227"/>
      <c r="N842" s="227"/>
      <c r="O842" s="227"/>
      <c r="P842" s="227"/>
      <c r="Q842" s="227"/>
      <c r="R842" s="227"/>
    </row>
    <row r="843" spans="1:18">
      <c r="A843" s="2"/>
      <c r="B843" s="2"/>
      <c r="C843" s="120"/>
      <c r="D843" s="120"/>
      <c r="E843" s="118"/>
      <c r="F843" s="227"/>
      <c r="G843" s="227"/>
      <c r="H843" s="227"/>
      <c r="I843" s="227"/>
      <c r="J843" s="227"/>
      <c r="K843" s="227"/>
      <c r="L843" s="227"/>
      <c r="M843" s="227"/>
      <c r="N843" s="227"/>
      <c r="O843" s="227"/>
      <c r="P843" s="227"/>
      <c r="Q843" s="227"/>
      <c r="R843" s="227"/>
    </row>
    <row r="844" spans="1:18">
      <c r="A844" s="2"/>
      <c r="B844" s="2"/>
      <c r="C844" s="120"/>
      <c r="D844" s="120"/>
      <c r="E844" s="118"/>
      <c r="F844" s="227"/>
      <c r="G844" s="227"/>
      <c r="H844" s="227"/>
      <c r="I844" s="227"/>
      <c r="J844" s="227"/>
      <c r="K844" s="227"/>
      <c r="L844" s="227"/>
      <c r="M844" s="227"/>
      <c r="N844" s="227"/>
      <c r="O844" s="227"/>
      <c r="P844" s="227"/>
      <c r="Q844" s="227"/>
      <c r="R844" s="227"/>
    </row>
    <row r="845" spans="1:18">
      <c r="A845" s="2"/>
      <c r="B845" s="2"/>
      <c r="C845" s="120"/>
      <c r="D845" s="120"/>
      <c r="E845" s="118"/>
      <c r="F845" s="227"/>
      <c r="G845" s="227"/>
      <c r="H845" s="227"/>
      <c r="I845" s="227"/>
      <c r="J845" s="227"/>
      <c r="K845" s="227"/>
      <c r="L845" s="227"/>
      <c r="M845" s="227"/>
      <c r="N845" s="227"/>
      <c r="O845" s="227"/>
      <c r="P845" s="227"/>
      <c r="Q845" s="227"/>
      <c r="R845" s="227"/>
    </row>
    <row r="846" spans="1:18">
      <c r="A846" s="2"/>
      <c r="B846" s="2"/>
      <c r="C846" s="120"/>
      <c r="D846" s="120"/>
      <c r="E846" s="118"/>
      <c r="F846" s="227"/>
      <c r="G846" s="227"/>
      <c r="H846" s="227"/>
      <c r="I846" s="227"/>
      <c r="J846" s="227"/>
      <c r="K846" s="227"/>
      <c r="L846" s="227"/>
      <c r="M846" s="227"/>
      <c r="N846" s="227"/>
      <c r="O846" s="227"/>
      <c r="P846" s="227"/>
      <c r="Q846" s="227"/>
      <c r="R846" s="227"/>
    </row>
    <row r="847" spans="1:18">
      <c r="A847" s="2"/>
      <c r="B847" s="2"/>
      <c r="C847" s="120"/>
      <c r="D847" s="120"/>
      <c r="E847" s="118"/>
      <c r="F847" s="227"/>
      <c r="G847" s="227"/>
      <c r="H847" s="227"/>
      <c r="I847" s="227"/>
      <c r="J847" s="227"/>
      <c r="K847" s="227"/>
      <c r="L847" s="227"/>
      <c r="M847" s="227"/>
      <c r="N847" s="227"/>
      <c r="O847" s="227"/>
      <c r="P847" s="227"/>
      <c r="Q847" s="227"/>
      <c r="R847" s="227"/>
    </row>
    <row r="848" spans="1:18">
      <c r="A848" s="2"/>
      <c r="B848" s="2"/>
      <c r="C848" s="120"/>
      <c r="D848" s="120"/>
      <c r="E848" s="118"/>
      <c r="F848" s="227"/>
      <c r="G848" s="227"/>
      <c r="H848" s="227"/>
      <c r="I848" s="227"/>
      <c r="J848" s="227"/>
      <c r="K848" s="227"/>
      <c r="L848" s="227"/>
      <c r="M848" s="227"/>
      <c r="N848" s="227"/>
      <c r="O848" s="227"/>
      <c r="P848" s="227"/>
      <c r="Q848" s="227"/>
      <c r="R848" s="227"/>
    </row>
    <row r="849" spans="1:18">
      <c r="A849" s="2"/>
      <c r="B849" s="2"/>
      <c r="C849" s="120"/>
      <c r="D849" s="120"/>
      <c r="E849" s="118"/>
      <c r="F849" s="227"/>
      <c r="G849" s="227"/>
      <c r="H849" s="227"/>
      <c r="I849" s="227"/>
      <c r="J849" s="227"/>
      <c r="K849" s="227"/>
      <c r="L849" s="227"/>
      <c r="M849" s="227"/>
      <c r="N849" s="227"/>
      <c r="O849" s="227"/>
      <c r="P849" s="227"/>
      <c r="Q849" s="227"/>
      <c r="R849" s="227"/>
    </row>
    <row r="850" spans="1:18">
      <c r="A850" s="2"/>
      <c r="B850" s="2"/>
      <c r="C850" s="120"/>
      <c r="D850" s="120"/>
      <c r="E850" s="118"/>
      <c r="F850" s="227"/>
      <c r="G850" s="227"/>
      <c r="H850" s="227"/>
      <c r="I850" s="227"/>
      <c r="J850" s="227"/>
      <c r="K850" s="227"/>
      <c r="L850" s="227"/>
      <c r="M850" s="227"/>
      <c r="N850" s="227"/>
      <c r="O850" s="227"/>
      <c r="P850" s="227"/>
      <c r="Q850" s="227"/>
      <c r="R850" s="227"/>
    </row>
    <row r="851" spans="1:18">
      <c r="A851" s="2"/>
      <c r="B851" s="2"/>
      <c r="C851" s="120"/>
      <c r="D851" s="120"/>
      <c r="E851" s="118"/>
      <c r="F851" s="227"/>
      <c r="G851" s="227"/>
      <c r="H851" s="227"/>
      <c r="I851" s="227"/>
      <c r="J851" s="227"/>
      <c r="K851" s="227"/>
      <c r="L851" s="227"/>
      <c r="M851" s="227"/>
      <c r="N851" s="227"/>
      <c r="O851" s="227"/>
      <c r="P851" s="227"/>
      <c r="Q851" s="227"/>
      <c r="R851" s="227"/>
    </row>
    <row r="852" spans="1:18">
      <c r="A852" s="2"/>
      <c r="B852" s="2"/>
      <c r="C852" s="120"/>
      <c r="D852" s="120"/>
      <c r="E852" s="118"/>
      <c r="F852" s="227"/>
      <c r="G852" s="227"/>
      <c r="H852" s="227"/>
      <c r="I852" s="227"/>
      <c r="J852" s="227"/>
      <c r="K852" s="227"/>
      <c r="L852" s="227"/>
      <c r="M852" s="227"/>
      <c r="N852" s="227"/>
      <c r="O852" s="227"/>
      <c r="P852" s="227"/>
      <c r="Q852" s="227"/>
      <c r="R852" s="227"/>
    </row>
    <row r="853" spans="1:18">
      <c r="A853" s="2"/>
      <c r="B853" s="2"/>
      <c r="C853" s="120"/>
      <c r="D853" s="120"/>
      <c r="E853" s="118"/>
      <c r="F853" s="227"/>
      <c r="G853" s="227"/>
      <c r="H853" s="227"/>
      <c r="I853" s="227"/>
      <c r="J853" s="227"/>
      <c r="K853" s="227"/>
      <c r="L853" s="227"/>
      <c r="M853" s="227"/>
      <c r="N853" s="227"/>
      <c r="O853" s="227"/>
      <c r="P853" s="227"/>
      <c r="Q853" s="227"/>
      <c r="R853" s="227"/>
    </row>
    <row r="854" spans="1:18">
      <c r="A854" s="2"/>
      <c r="B854" s="2"/>
      <c r="C854" s="120"/>
      <c r="D854" s="120"/>
      <c r="E854" s="118"/>
      <c r="F854" s="227"/>
      <c r="G854" s="227"/>
      <c r="H854" s="227"/>
      <c r="I854" s="227"/>
      <c r="J854" s="227"/>
      <c r="K854" s="227"/>
      <c r="L854" s="227"/>
      <c r="M854" s="227"/>
      <c r="N854" s="227"/>
      <c r="O854" s="227"/>
      <c r="P854" s="227"/>
      <c r="Q854" s="227"/>
      <c r="R854" s="227"/>
    </row>
    <row r="855" spans="1:18">
      <c r="A855" s="2"/>
      <c r="B855" s="2"/>
      <c r="C855" s="120"/>
      <c r="D855" s="120"/>
      <c r="E855" s="118"/>
      <c r="F855" s="227"/>
      <c r="G855" s="227"/>
      <c r="H855" s="227"/>
      <c r="I855" s="227"/>
      <c r="J855" s="227"/>
      <c r="K855" s="227"/>
      <c r="L855" s="227"/>
      <c r="M855" s="227"/>
      <c r="N855" s="227"/>
      <c r="O855" s="227"/>
      <c r="P855" s="227"/>
      <c r="Q855" s="227"/>
      <c r="R855" s="227"/>
    </row>
    <row r="856" spans="1:18">
      <c r="A856" s="2"/>
      <c r="B856" s="2"/>
      <c r="C856" s="120"/>
      <c r="D856" s="120"/>
      <c r="E856" s="118"/>
      <c r="F856" s="227"/>
      <c r="G856" s="227"/>
      <c r="H856" s="227"/>
      <c r="I856" s="227"/>
      <c r="J856" s="227"/>
      <c r="K856" s="227"/>
      <c r="L856" s="227"/>
      <c r="M856" s="227"/>
      <c r="N856" s="227"/>
      <c r="O856" s="227"/>
      <c r="P856" s="227"/>
      <c r="Q856" s="227"/>
      <c r="R856" s="227"/>
    </row>
    <row r="857" spans="1:18">
      <c r="A857" s="2"/>
      <c r="B857" s="2"/>
      <c r="C857" s="120"/>
      <c r="D857" s="120"/>
      <c r="E857" s="118"/>
      <c r="F857" s="227"/>
      <c r="G857" s="227"/>
      <c r="H857" s="227"/>
      <c r="I857" s="227"/>
      <c r="J857" s="227"/>
      <c r="K857" s="227"/>
      <c r="L857" s="227"/>
      <c r="M857" s="227"/>
      <c r="N857" s="227"/>
      <c r="O857" s="227"/>
      <c r="P857" s="227"/>
      <c r="Q857" s="227"/>
      <c r="R857" s="227"/>
    </row>
    <row r="858" spans="1:18">
      <c r="A858" s="2"/>
      <c r="B858" s="2"/>
      <c r="C858" s="120"/>
      <c r="D858" s="120"/>
      <c r="E858" s="118"/>
      <c r="F858" s="227"/>
      <c r="G858" s="227"/>
      <c r="H858" s="227"/>
      <c r="I858" s="227"/>
      <c r="J858" s="227"/>
      <c r="K858" s="227"/>
      <c r="L858" s="227"/>
      <c r="M858" s="227"/>
      <c r="N858" s="227"/>
      <c r="O858" s="227"/>
      <c r="P858" s="227"/>
      <c r="Q858" s="227"/>
      <c r="R858" s="227"/>
    </row>
    <row r="859" spans="1:18">
      <c r="A859" s="2"/>
      <c r="B859" s="2"/>
      <c r="C859" s="120"/>
      <c r="D859" s="120"/>
      <c r="E859" s="118"/>
      <c r="F859" s="227"/>
      <c r="G859" s="227"/>
      <c r="H859" s="227"/>
      <c r="I859" s="227"/>
      <c r="J859" s="227"/>
      <c r="K859" s="227"/>
      <c r="L859" s="227"/>
      <c r="M859" s="227"/>
      <c r="N859" s="227"/>
      <c r="O859" s="227"/>
      <c r="P859" s="227"/>
      <c r="Q859" s="227"/>
      <c r="R859" s="227"/>
    </row>
    <row r="860" spans="1:18">
      <c r="A860" s="2"/>
      <c r="B860" s="2"/>
      <c r="C860" s="120"/>
      <c r="D860" s="120"/>
      <c r="E860" s="118"/>
      <c r="F860" s="227"/>
      <c r="G860" s="227"/>
      <c r="H860" s="227"/>
      <c r="I860" s="227"/>
      <c r="J860" s="227"/>
      <c r="K860" s="227"/>
      <c r="L860" s="227"/>
      <c r="M860" s="227"/>
      <c r="N860" s="227"/>
      <c r="O860" s="227"/>
      <c r="P860" s="227"/>
      <c r="Q860" s="227"/>
      <c r="R860" s="227"/>
    </row>
    <row r="861" spans="1:18">
      <c r="A861" s="2"/>
      <c r="B861" s="2"/>
      <c r="C861" s="120"/>
      <c r="D861" s="120"/>
      <c r="E861" s="118"/>
      <c r="F861" s="227"/>
      <c r="G861" s="227"/>
      <c r="H861" s="227"/>
      <c r="I861" s="227"/>
      <c r="J861" s="227"/>
      <c r="K861" s="227"/>
      <c r="L861" s="227"/>
      <c r="M861" s="227"/>
      <c r="N861" s="227"/>
      <c r="O861" s="227"/>
      <c r="P861" s="227"/>
      <c r="Q861" s="227"/>
      <c r="R861" s="227"/>
    </row>
    <row r="862" spans="1:18">
      <c r="A862" s="2"/>
      <c r="B862" s="2"/>
      <c r="C862" s="120"/>
      <c r="D862" s="120"/>
      <c r="E862" s="118"/>
      <c r="F862" s="227"/>
      <c r="G862" s="227"/>
      <c r="H862" s="227"/>
      <c r="I862" s="227"/>
      <c r="J862" s="227"/>
      <c r="K862" s="227"/>
      <c r="L862" s="227"/>
      <c r="M862" s="227"/>
      <c r="N862" s="227"/>
      <c r="O862" s="227"/>
      <c r="P862" s="227"/>
      <c r="Q862" s="227"/>
      <c r="R862" s="227"/>
    </row>
    <row r="863" spans="1:18">
      <c r="A863" s="2"/>
      <c r="B863" s="2"/>
      <c r="C863" s="120"/>
      <c r="D863" s="120"/>
      <c r="E863" s="118"/>
      <c r="F863" s="227"/>
      <c r="G863" s="227"/>
      <c r="H863" s="227"/>
      <c r="I863" s="227"/>
      <c r="J863" s="227"/>
      <c r="K863" s="227"/>
      <c r="L863" s="227"/>
      <c r="M863" s="227"/>
      <c r="N863" s="227"/>
      <c r="O863" s="227"/>
      <c r="P863" s="227"/>
      <c r="Q863" s="227"/>
      <c r="R863" s="227"/>
    </row>
    <row r="864" spans="1:18">
      <c r="A864" s="2"/>
      <c r="B864" s="2"/>
      <c r="C864" s="120"/>
      <c r="D864" s="120"/>
      <c r="E864" s="118"/>
      <c r="F864" s="227"/>
      <c r="G864" s="227"/>
      <c r="H864" s="227"/>
      <c r="I864" s="227"/>
      <c r="J864" s="227"/>
      <c r="K864" s="227"/>
      <c r="L864" s="227"/>
      <c r="M864" s="227"/>
      <c r="N864" s="227"/>
      <c r="O864" s="227"/>
      <c r="P864" s="227"/>
      <c r="Q864" s="227"/>
      <c r="R864" s="227"/>
    </row>
    <row r="865" spans="1:18">
      <c r="A865" s="2"/>
      <c r="B865" s="2"/>
      <c r="C865" s="120"/>
      <c r="D865" s="120"/>
      <c r="E865" s="118"/>
      <c r="F865" s="227"/>
      <c r="G865" s="227"/>
      <c r="H865" s="227"/>
      <c r="I865" s="227"/>
      <c r="J865" s="227"/>
      <c r="K865" s="227"/>
      <c r="L865" s="227"/>
      <c r="M865" s="227"/>
      <c r="N865" s="227"/>
      <c r="O865" s="227"/>
      <c r="P865" s="227"/>
      <c r="Q865" s="227"/>
      <c r="R865" s="227"/>
    </row>
    <row r="866" spans="1:18">
      <c r="A866" s="2"/>
      <c r="B866" s="2"/>
      <c r="C866" s="120"/>
      <c r="D866" s="120"/>
      <c r="E866" s="118"/>
      <c r="F866" s="227"/>
      <c r="G866" s="227"/>
      <c r="H866" s="227"/>
      <c r="I866" s="227"/>
      <c r="J866" s="227"/>
      <c r="K866" s="227"/>
      <c r="L866" s="227"/>
      <c r="M866" s="227"/>
      <c r="N866" s="227"/>
      <c r="O866" s="227"/>
      <c r="P866" s="227"/>
      <c r="Q866" s="227"/>
      <c r="R866" s="227"/>
    </row>
    <row r="867" spans="1:18">
      <c r="A867" s="2"/>
      <c r="B867" s="2"/>
      <c r="C867" s="120"/>
      <c r="D867" s="120"/>
      <c r="E867" s="118"/>
      <c r="F867" s="227"/>
      <c r="G867" s="227"/>
      <c r="H867" s="227"/>
      <c r="I867" s="227"/>
      <c r="J867" s="227"/>
      <c r="K867" s="227"/>
      <c r="L867" s="227"/>
      <c r="M867" s="227"/>
      <c r="N867" s="227"/>
      <c r="O867" s="227"/>
      <c r="P867" s="227"/>
      <c r="Q867" s="227"/>
      <c r="R867" s="227"/>
    </row>
    <row r="868" spans="1:18">
      <c r="A868" s="2"/>
      <c r="B868" s="2"/>
      <c r="C868" s="120"/>
      <c r="D868" s="120"/>
      <c r="E868" s="118"/>
      <c r="F868" s="227"/>
      <c r="G868" s="227"/>
      <c r="H868" s="227"/>
      <c r="I868" s="227"/>
      <c r="J868" s="227"/>
      <c r="K868" s="227"/>
      <c r="L868" s="227"/>
      <c r="M868" s="227"/>
      <c r="N868" s="227"/>
      <c r="O868" s="227"/>
      <c r="P868" s="227"/>
      <c r="Q868" s="227"/>
      <c r="R868" s="227"/>
    </row>
    <row r="869" spans="1:18">
      <c r="A869" s="2"/>
      <c r="B869" s="2"/>
      <c r="C869" s="120"/>
      <c r="D869" s="120"/>
      <c r="E869" s="118"/>
      <c r="F869" s="227"/>
      <c r="G869" s="227"/>
      <c r="H869" s="227"/>
      <c r="I869" s="227"/>
      <c r="J869" s="227"/>
      <c r="K869" s="227"/>
      <c r="L869" s="227"/>
      <c r="M869" s="227"/>
      <c r="N869" s="227"/>
      <c r="O869" s="227"/>
      <c r="P869" s="227"/>
      <c r="Q869" s="227"/>
      <c r="R869" s="227"/>
    </row>
    <row r="870" spans="1:18">
      <c r="A870" s="2"/>
      <c r="B870" s="2"/>
      <c r="C870" s="120"/>
      <c r="D870" s="120"/>
      <c r="E870" s="118"/>
      <c r="F870" s="227"/>
      <c r="G870" s="227"/>
      <c r="H870" s="227"/>
      <c r="I870" s="227"/>
      <c r="J870" s="227"/>
      <c r="K870" s="227"/>
      <c r="L870" s="227"/>
      <c r="M870" s="227"/>
      <c r="N870" s="227"/>
      <c r="O870" s="227"/>
      <c r="P870" s="227"/>
      <c r="Q870" s="227"/>
      <c r="R870" s="227"/>
    </row>
    <row r="871" spans="1:18">
      <c r="A871" s="2"/>
      <c r="B871" s="2"/>
      <c r="C871" s="120"/>
      <c r="D871" s="120"/>
      <c r="E871" s="118"/>
      <c r="F871" s="227"/>
      <c r="G871" s="227"/>
      <c r="H871" s="227"/>
      <c r="I871" s="227"/>
      <c r="J871" s="227"/>
      <c r="K871" s="227"/>
      <c r="L871" s="227"/>
      <c r="M871" s="227"/>
      <c r="N871" s="227"/>
      <c r="O871" s="227"/>
      <c r="P871" s="227"/>
      <c r="Q871" s="227"/>
      <c r="R871" s="227"/>
    </row>
    <row r="872" spans="1:18">
      <c r="A872" s="2"/>
      <c r="B872" s="2"/>
      <c r="C872" s="120"/>
      <c r="D872" s="120"/>
      <c r="E872" s="118"/>
      <c r="F872" s="227"/>
      <c r="G872" s="227"/>
      <c r="H872" s="227"/>
      <c r="I872" s="227"/>
      <c r="J872" s="227"/>
      <c r="K872" s="227"/>
      <c r="L872" s="227"/>
      <c r="M872" s="227"/>
      <c r="N872" s="227"/>
      <c r="O872" s="227"/>
      <c r="P872" s="227"/>
      <c r="Q872" s="227"/>
      <c r="R872" s="227"/>
    </row>
    <row r="873" spans="1:18">
      <c r="A873" s="2"/>
      <c r="B873" s="2"/>
      <c r="C873" s="120"/>
      <c r="D873" s="120"/>
      <c r="E873" s="118"/>
      <c r="F873" s="227"/>
      <c r="G873" s="227"/>
      <c r="H873" s="227"/>
      <c r="I873" s="227"/>
      <c r="J873" s="227"/>
      <c r="K873" s="227"/>
      <c r="L873" s="227"/>
      <c r="M873" s="227"/>
      <c r="N873" s="227"/>
      <c r="O873" s="227"/>
      <c r="P873" s="227"/>
      <c r="Q873" s="227"/>
      <c r="R873" s="227"/>
    </row>
    <row r="874" spans="1:18">
      <c r="A874" s="2"/>
      <c r="B874" s="2"/>
      <c r="C874" s="120"/>
      <c r="D874" s="120"/>
      <c r="E874" s="118"/>
      <c r="F874" s="227"/>
      <c r="G874" s="227"/>
      <c r="H874" s="227"/>
      <c r="I874" s="227"/>
      <c r="J874" s="227"/>
      <c r="K874" s="227"/>
      <c r="L874" s="227"/>
      <c r="M874" s="227"/>
      <c r="N874" s="227"/>
      <c r="O874" s="227"/>
      <c r="P874" s="227"/>
      <c r="Q874" s="227"/>
      <c r="R874" s="227"/>
    </row>
    <row r="875" spans="1:18">
      <c r="A875" s="2"/>
      <c r="B875" s="2"/>
      <c r="C875" s="120"/>
      <c r="D875" s="120"/>
      <c r="E875" s="118"/>
      <c r="F875" s="227"/>
      <c r="G875" s="227"/>
      <c r="H875" s="227"/>
      <c r="I875" s="227"/>
      <c r="J875" s="227"/>
      <c r="K875" s="227"/>
      <c r="L875" s="227"/>
      <c r="M875" s="227"/>
      <c r="N875" s="227"/>
      <c r="O875" s="227"/>
      <c r="P875" s="227"/>
      <c r="Q875" s="227"/>
      <c r="R875" s="227"/>
    </row>
    <row r="876" spans="1:18">
      <c r="A876" s="2"/>
      <c r="B876" s="2"/>
      <c r="C876" s="120"/>
      <c r="D876" s="120"/>
      <c r="E876" s="118"/>
      <c r="F876" s="227"/>
      <c r="G876" s="227"/>
      <c r="H876" s="227"/>
      <c r="I876" s="227"/>
      <c r="J876" s="227"/>
      <c r="K876" s="227"/>
      <c r="L876" s="227"/>
      <c r="M876" s="227"/>
      <c r="N876" s="227"/>
      <c r="O876" s="227"/>
      <c r="P876" s="227"/>
      <c r="Q876" s="227"/>
      <c r="R876" s="227"/>
    </row>
    <row r="877" spans="1:18">
      <c r="A877" s="2"/>
      <c r="B877" s="2"/>
      <c r="C877" s="120"/>
      <c r="D877" s="120"/>
      <c r="E877" s="118"/>
      <c r="F877" s="227"/>
      <c r="G877" s="227"/>
      <c r="H877" s="227"/>
      <c r="I877" s="227"/>
      <c r="J877" s="227"/>
      <c r="K877" s="227"/>
      <c r="L877" s="227"/>
      <c r="M877" s="227"/>
      <c r="N877" s="227"/>
      <c r="O877" s="227"/>
      <c r="P877" s="227"/>
      <c r="Q877" s="227"/>
      <c r="R877" s="227"/>
    </row>
    <row r="878" spans="1:18">
      <c r="A878" s="2"/>
      <c r="B878" s="2"/>
      <c r="C878" s="120"/>
      <c r="D878" s="120"/>
      <c r="E878" s="118"/>
      <c r="F878" s="227"/>
      <c r="G878" s="227"/>
      <c r="H878" s="227"/>
      <c r="I878" s="227"/>
      <c r="J878" s="227"/>
      <c r="K878" s="227"/>
      <c r="L878" s="227"/>
      <c r="M878" s="227"/>
      <c r="N878" s="227"/>
      <c r="O878" s="227"/>
      <c r="P878" s="227"/>
      <c r="Q878" s="227"/>
      <c r="R878" s="227"/>
    </row>
    <row r="879" spans="1:18">
      <c r="A879" s="2"/>
      <c r="B879" s="2"/>
      <c r="C879" s="120"/>
      <c r="D879" s="120"/>
      <c r="E879" s="118"/>
      <c r="F879" s="227"/>
      <c r="G879" s="227"/>
      <c r="H879" s="227"/>
      <c r="I879" s="227"/>
      <c r="J879" s="227"/>
      <c r="K879" s="227"/>
      <c r="L879" s="227"/>
      <c r="M879" s="227"/>
      <c r="N879" s="227"/>
      <c r="O879" s="227"/>
      <c r="P879" s="227"/>
      <c r="Q879" s="227"/>
      <c r="R879" s="227"/>
    </row>
    <row r="880" spans="1:18">
      <c r="A880" s="2"/>
      <c r="B880" s="2"/>
      <c r="C880" s="120"/>
      <c r="D880" s="120"/>
      <c r="E880" s="118"/>
      <c r="F880" s="227"/>
      <c r="G880" s="227"/>
      <c r="H880" s="227"/>
      <c r="I880" s="227"/>
      <c r="J880" s="227"/>
      <c r="K880" s="227"/>
      <c r="L880" s="227"/>
      <c r="M880" s="227"/>
      <c r="N880" s="227"/>
      <c r="O880" s="227"/>
      <c r="P880" s="227"/>
      <c r="Q880" s="227"/>
      <c r="R880" s="227"/>
    </row>
    <row r="881" spans="1:18">
      <c r="A881" s="2"/>
      <c r="B881" s="2"/>
      <c r="C881" s="120"/>
      <c r="D881" s="120"/>
      <c r="E881" s="118"/>
      <c r="F881" s="227"/>
      <c r="G881" s="227"/>
      <c r="H881" s="227"/>
      <c r="I881" s="227"/>
      <c r="J881" s="227"/>
      <c r="K881" s="227"/>
      <c r="L881" s="227"/>
      <c r="M881" s="227"/>
      <c r="N881" s="227"/>
      <c r="O881" s="227"/>
      <c r="P881" s="227"/>
      <c r="Q881" s="227"/>
      <c r="R881" s="227"/>
    </row>
    <row r="882" spans="1:18">
      <c r="A882" s="2"/>
      <c r="B882" s="2"/>
      <c r="C882" s="120"/>
      <c r="D882" s="120"/>
      <c r="E882" s="118"/>
      <c r="F882" s="227"/>
      <c r="G882" s="227"/>
      <c r="H882" s="227"/>
      <c r="I882" s="227"/>
      <c r="J882" s="227"/>
      <c r="K882" s="227"/>
      <c r="L882" s="227"/>
      <c r="M882" s="227"/>
      <c r="N882" s="227"/>
      <c r="O882" s="227"/>
      <c r="P882" s="227"/>
      <c r="Q882" s="227"/>
      <c r="R882" s="227"/>
    </row>
    <row r="883" spans="1:18">
      <c r="A883" s="2"/>
      <c r="B883" s="2"/>
      <c r="C883" s="120"/>
      <c r="D883" s="120"/>
      <c r="E883" s="118"/>
      <c r="F883" s="227"/>
      <c r="G883" s="227"/>
      <c r="H883" s="227"/>
      <c r="I883" s="227"/>
      <c r="J883" s="227"/>
      <c r="K883" s="227"/>
      <c r="L883" s="227"/>
      <c r="M883" s="227"/>
      <c r="N883" s="227"/>
      <c r="O883" s="227"/>
      <c r="P883" s="227"/>
      <c r="Q883" s="227"/>
      <c r="R883" s="227"/>
    </row>
    <row r="884" spans="1:18">
      <c r="A884" s="2"/>
      <c r="B884" s="2"/>
      <c r="C884" s="120"/>
      <c r="D884" s="120"/>
      <c r="E884" s="118"/>
      <c r="F884" s="227"/>
      <c r="G884" s="227"/>
      <c r="H884" s="227"/>
      <c r="I884" s="227"/>
      <c r="J884" s="227"/>
      <c r="K884" s="227"/>
      <c r="L884" s="227"/>
      <c r="M884" s="227"/>
      <c r="N884" s="227"/>
      <c r="O884" s="227"/>
      <c r="P884" s="227"/>
      <c r="Q884" s="227"/>
      <c r="R884" s="227"/>
    </row>
    <row r="885" spans="1:18">
      <c r="A885" s="2"/>
      <c r="B885" s="2"/>
      <c r="C885" s="120"/>
      <c r="D885" s="120"/>
      <c r="E885" s="118"/>
      <c r="F885" s="227"/>
      <c r="G885" s="227"/>
      <c r="H885" s="227"/>
      <c r="I885" s="227"/>
      <c r="J885" s="227"/>
      <c r="K885" s="227"/>
      <c r="L885" s="227"/>
      <c r="M885" s="227"/>
      <c r="N885" s="227"/>
      <c r="O885" s="227"/>
      <c r="P885" s="227"/>
      <c r="Q885" s="227"/>
      <c r="R885" s="227"/>
    </row>
    <row r="886" spans="1:18">
      <c r="A886" s="2"/>
      <c r="B886" s="2"/>
      <c r="C886" s="120"/>
      <c r="D886" s="120"/>
      <c r="E886" s="118"/>
      <c r="F886" s="227"/>
      <c r="G886" s="227"/>
      <c r="H886" s="227"/>
      <c r="I886" s="227"/>
      <c r="J886" s="227"/>
      <c r="K886" s="227"/>
      <c r="L886" s="227"/>
      <c r="M886" s="227"/>
      <c r="N886" s="227"/>
      <c r="O886" s="227"/>
      <c r="P886" s="227"/>
      <c r="Q886" s="227"/>
      <c r="R886" s="227"/>
    </row>
    <row r="887" spans="1:18">
      <c r="A887" s="2"/>
      <c r="B887" s="2"/>
      <c r="C887" s="120"/>
      <c r="D887" s="120"/>
      <c r="E887" s="118"/>
      <c r="F887" s="227"/>
      <c r="G887" s="227"/>
      <c r="H887" s="227"/>
      <c r="I887" s="227"/>
      <c r="J887" s="227"/>
      <c r="K887" s="227"/>
      <c r="L887" s="227"/>
      <c r="M887" s="227"/>
      <c r="N887" s="227"/>
      <c r="O887" s="227"/>
      <c r="P887" s="227"/>
      <c r="Q887" s="227"/>
      <c r="R887" s="227"/>
    </row>
    <row r="888" spans="1:18">
      <c r="A888" s="2"/>
      <c r="B888" s="2"/>
      <c r="C888" s="120"/>
      <c r="D888" s="120"/>
      <c r="E888" s="118"/>
      <c r="F888" s="227"/>
      <c r="G888" s="227"/>
      <c r="H888" s="227"/>
      <c r="I888" s="227"/>
      <c r="J888" s="227"/>
      <c r="K888" s="227"/>
      <c r="L888" s="227"/>
      <c r="M888" s="227"/>
      <c r="N888" s="227"/>
      <c r="O888" s="227"/>
      <c r="P888" s="227"/>
      <c r="Q888" s="227"/>
      <c r="R888" s="227"/>
    </row>
    <row r="889" spans="1:18">
      <c r="A889" s="2"/>
      <c r="B889" s="2"/>
      <c r="C889" s="120"/>
      <c r="D889" s="120"/>
      <c r="E889" s="118"/>
      <c r="F889" s="227"/>
      <c r="G889" s="227"/>
      <c r="H889" s="227"/>
      <c r="I889" s="227"/>
      <c r="J889" s="227"/>
      <c r="K889" s="227"/>
      <c r="L889" s="227"/>
      <c r="M889" s="227"/>
      <c r="N889" s="227"/>
      <c r="O889" s="227"/>
      <c r="P889" s="227"/>
      <c r="Q889" s="227"/>
      <c r="R889" s="227"/>
    </row>
    <row r="890" spans="1:18">
      <c r="A890" s="2"/>
      <c r="B890" s="2"/>
      <c r="C890" s="120"/>
      <c r="D890" s="120"/>
      <c r="E890" s="118"/>
      <c r="F890" s="227"/>
      <c r="G890" s="227"/>
      <c r="H890" s="227"/>
      <c r="I890" s="227"/>
      <c r="J890" s="227"/>
      <c r="K890" s="227"/>
      <c r="L890" s="227"/>
      <c r="M890" s="227"/>
      <c r="N890" s="227"/>
      <c r="O890" s="227"/>
      <c r="P890" s="227"/>
      <c r="Q890" s="227"/>
      <c r="R890" s="227"/>
    </row>
    <row r="891" spans="1:18">
      <c r="A891" s="2"/>
      <c r="B891" s="2"/>
      <c r="C891" s="120"/>
      <c r="D891" s="120"/>
      <c r="E891" s="118"/>
      <c r="F891" s="227"/>
      <c r="G891" s="227"/>
      <c r="H891" s="227"/>
      <c r="I891" s="227"/>
      <c r="J891" s="227"/>
      <c r="K891" s="227"/>
      <c r="L891" s="227"/>
      <c r="M891" s="227"/>
      <c r="N891" s="227"/>
      <c r="O891" s="227"/>
      <c r="P891" s="227"/>
      <c r="Q891" s="227"/>
      <c r="R891" s="227"/>
    </row>
    <row r="892" spans="1:18">
      <c r="A892" s="2"/>
      <c r="B892" s="2"/>
      <c r="C892" s="120"/>
      <c r="D892" s="120"/>
      <c r="E892" s="118"/>
      <c r="F892" s="227"/>
      <c r="G892" s="227"/>
      <c r="H892" s="227"/>
      <c r="I892" s="227"/>
      <c r="J892" s="227"/>
      <c r="K892" s="227"/>
      <c r="L892" s="227"/>
      <c r="M892" s="227"/>
      <c r="N892" s="227"/>
      <c r="O892" s="227"/>
      <c r="P892" s="227"/>
      <c r="Q892" s="227"/>
      <c r="R892" s="227"/>
    </row>
    <row r="893" spans="1:18">
      <c r="A893" s="2"/>
      <c r="B893" s="2"/>
      <c r="C893" s="120"/>
      <c r="D893" s="120"/>
      <c r="E893" s="118"/>
      <c r="F893" s="227"/>
      <c r="G893" s="227"/>
      <c r="H893" s="227"/>
      <c r="I893" s="227"/>
      <c r="J893" s="227"/>
      <c r="K893" s="227"/>
      <c r="L893" s="227"/>
      <c r="M893" s="227"/>
      <c r="N893" s="227"/>
      <c r="O893" s="227"/>
      <c r="P893" s="227"/>
      <c r="Q893" s="227"/>
      <c r="R893" s="227"/>
    </row>
    <row r="894" spans="1:18">
      <c r="A894" s="2"/>
      <c r="B894" s="2"/>
      <c r="C894" s="120"/>
      <c r="D894" s="120"/>
      <c r="E894" s="118"/>
      <c r="F894" s="227"/>
      <c r="G894" s="227"/>
      <c r="H894" s="227"/>
      <c r="I894" s="227"/>
      <c r="J894" s="227"/>
      <c r="K894" s="227"/>
      <c r="L894" s="227"/>
      <c r="M894" s="227"/>
      <c r="N894" s="227"/>
      <c r="O894" s="227"/>
      <c r="P894" s="227"/>
      <c r="Q894" s="227"/>
      <c r="R894" s="227"/>
    </row>
    <row r="895" spans="1:18">
      <c r="A895" s="2"/>
      <c r="B895" s="2"/>
      <c r="C895" s="120"/>
      <c r="D895" s="120"/>
      <c r="E895" s="118"/>
      <c r="F895" s="227"/>
      <c r="G895" s="227"/>
      <c r="H895" s="227"/>
      <c r="I895" s="227"/>
      <c r="J895" s="227"/>
      <c r="K895" s="227"/>
      <c r="L895" s="227"/>
      <c r="M895" s="227"/>
      <c r="N895" s="227"/>
      <c r="O895" s="227"/>
      <c r="P895" s="227"/>
      <c r="Q895" s="227"/>
      <c r="R895" s="227"/>
    </row>
    <row r="896" spans="1:18">
      <c r="A896" s="2"/>
      <c r="B896" s="2"/>
      <c r="C896" s="120"/>
      <c r="D896" s="120"/>
      <c r="E896" s="118"/>
      <c r="F896" s="227"/>
      <c r="G896" s="227"/>
      <c r="H896" s="227"/>
      <c r="I896" s="227"/>
      <c r="J896" s="227"/>
      <c r="K896" s="227"/>
      <c r="L896" s="227"/>
      <c r="M896" s="227"/>
      <c r="N896" s="227"/>
      <c r="O896" s="227"/>
      <c r="P896" s="227"/>
      <c r="Q896" s="227"/>
      <c r="R896" s="227"/>
    </row>
    <row r="897" spans="1:18">
      <c r="A897" s="2"/>
      <c r="B897" s="2"/>
      <c r="C897" s="120"/>
      <c r="D897" s="120"/>
      <c r="E897" s="118"/>
      <c r="F897" s="227"/>
      <c r="G897" s="227"/>
      <c r="H897" s="227"/>
      <c r="I897" s="227"/>
      <c r="J897" s="227"/>
      <c r="K897" s="227"/>
      <c r="L897" s="227"/>
      <c r="M897" s="227"/>
      <c r="N897" s="227"/>
      <c r="O897" s="227"/>
      <c r="P897" s="227"/>
      <c r="Q897" s="227"/>
      <c r="R897" s="227"/>
    </row>
    <row r="898" spans="1:18">
      <c r="A898" s="2"/>
      <c r="B898" s="2"/>
      <c r="C898" s="120"/>
      <c r="D898" s="120"/>
      <c r="E898" s="118"/>
      <c r="F898" s="227"/>
      <c r="G898" s="227"/>
      <c r="H898" s="227"/>
      <c r="I898" s="227"/>
      <c r="J898" s="227"/>
      <c r="K898" s="227"/>
      <c r="L898" s="227"/>
      <c r="M898" s="227"/>
      <c r="N898" s="227"/>
      <c r="O898" s="227"/>
      <c r="P898" s="227"/>
      <c r="Q898" s="227"/>
      <c r="R898" s="227"/>
    </row>
    <row r="899" spans="1:18">
      <c r="A899" s="2"/>
      <c r="B899" s="2"/>
      <c r="C899" s="120"/>
      <c r="D899" s="120"/>
      <c r="E899" s="118"/>
      <c r="F899" s="227"/>
      <c r="G899" s="227"/>
      <c r="H899" s="227"/>
      <c r="I899" s="227"/>
      <c r="J899" s="227"/>
      <c r="K899" s="227"/>
      <c r="L899" s="227"/>
      <c r="M899" s="227"/>
      <c r="N899" s="227"/>
      <c r="O899" s="227"/>
      <c r="P899" s="227"/>
      <c r="Q899" s="227"/>
      <c r="R899" s="227"/>
    </row>
    <row r="900" spans="1:18">
      <c r="A900" s="2"/>
      <c r="B900" s="2"/>
      <c r="C900" s="120"/>
      <c r="D900" s="120"/>
      <c r="E900" s="118"/>
      <c r="F900" s="227"/>
      <c r="G900" s="227"/>
      <c r="H900" s="227"/>
      <c r="I900" s="227"/>
      <c r="J900" s="227"/>
      <c r="K900" s="227"/>
      <c r="L900" s="227"/>
      <c r="M900" s="227"/>
      <c r="N900" s="227"/>
      <c r="O900" s="227"/>
      <c r="P900" s="227"/>
      <c r="Q900" s="227"/>
      <c r="R900" s="227"/>
    </row>
    <row r="901" spans="1:18">
      <c r="A901" s="2"/>
      <c r="B901" s="2"/>
      <c r="C901" s="120"/>
      <c r="D901" s="120"/>
      <c r="E901" s="118"/>
      <c r="F901" s="227"/>
      <c r="G901" s="227"/>
      <c r="H901" s="227"/>
      <c r="I901" s="227"/>
      <c r="J901" s="227"/>
      <c r="K901" s="227"/>
      <c r="L901" s="227"/>
      <c r="M901" s="227"/>
      <c r="N901" s="227"/>
      <c r="O901" s="227"/>
      <c r="P901" s="227"/>
      <c r="Q901" s="227"/>
      <c r="R901" s="227"/>
    </row>
    <row r="902" spans="1:18">
      <c r="A902" s="2"/>
      <c r="B902" s="2"/>
      <c r="C902" s="120"/>
      <c r="D902" s="120"/>
      <c r="E902" s="118"/>
      <c r="F902" s="227"/>
      <c r="G902" s="227"/>
      <c r="H902" s="227"/>
      <c r="I902" s="227"/>
      <c r="J902" s="227"/>
      <c r="K902" s="227"/>
      <c r="L902" s="227"/>
      <c r="M902" s="227"/>
      <c r="N902" s="227"/>
      <c r="O902" s="227"/>
      <c r="P902" s="227"/>
      <c r="Q902" s="227"/>
      <c r="R902" s="227"/>
    </row>
    <row r="903" spans="1:18">
      <c r="A903" s="2"/>
      <c r="B903" s="2"/>
      <c r="C903" s="120"/>
      <c r="D903" s="120"/>
      <c r="E903" s="118"/>
      <c r="F903" s="227"/>
      <c r="G903" s="227"/>
      <c r="H903" s="227"/>
      <c r="I903" s="227"/>
      <c r="J903" s="227"/>
      <c r="K903" s="227"/>
      <c r="L903" s="227"/>
      <c r="M903" s="227"/>
      <c r="N903" s="227"/>
      <c r="O903" s="227"/>
      <c r="P903" s="227"/>
      <c r="Q903" s="227"/>
      <c r="R903" s="227"/>
    </row>
    <row r="904" spans="1:18">
      <c r="A904" s="2"/>
      <c r="B904" s="2"/>
      <c r="C904" s="120"/>
      <c r="D904" s="120"/>
      <c r="E904" s="118"/>
      <c r="F904" s="227"/>
      <c r="G904" s="227"/>
      <c r="H904" s="227"/>
      <c r="I904" s="227"/>
      <c r="J904" s="227"/>
      <c r="K904" s="227"/>
      <c r="L904" s="227"/>
      <c r="M904" s="227"/>
      <c r="N904" s="227"/>
      <c r="O904" s="227"/>
      <c r="P904" s="227"/>
      <c r="Q904" s="227"/>
      <c r="R904" s="227"/>
    </row>
    <row r="905" spans="1:18">
      <c r="A905" s="2"/>
      <c r="B905" s="2"/>
      <c r="C905" s="120"/>
      <c r="D905" s="120"/>
      <c r="E905" s="118"/>
      <c r="F905" s="227"/>
      <c r="G905" s="227"/>
      <c r="H905" s="227"/>
      <c r="I905" s="227"/>
      <c r="J905" s="227"/>
      <c r="K905" s="227"/>
      <c r="L905" s="227"/>
      <c r="M905" s="227"/>
      <c r="N905" s="227"/>
      <c r="O905" s="227"/>
      <c r="P905" s="227"/>
      <c r="Q905" s="227"/>
      <c r="R905" s="227"/>
    </row>
    <row r="906" spans="1:18">
      <c r="A906" s="2"/>
      <c r="B906" s="2"/>
      <c r="C906" s="120"/>
      <c r="D906" s="120"/>
      <c r="E906" s="118"/>
      <c r="F906" s="227"/>
      <c r="G906" s="227"/>
      <c r="H906" s="227"/>
      <c r="I906" s="227"/>
      <c r="J906" s="227"/>
      <c r="K906" s="227"/>
      <c r="L906" s="227"/>
      <c r="M906" s="227"/>
      <c r="N906" s="227"/>
      <c r="O906" s="227"/>
      <c r="P906" s="227"/>
      <c r="Q906" s="227"/>
      <c r="R906" s="227"/>
    </row>
    <row r="907" spans="1:18">
      <c r="A907" s="2"/>
      <c r="B907" s="2"/>
      <c r="C907" s="120"/>
      <c r="D907" s="120"/>
      <c r="E907" s="118"/>
      <c r="F907" s="227"/>
      <c r="G907" s="227"/>
      <c r="H907" s="227"/>
      <c r="I907" s="227"/>
      <c r="J907" s="227"/>
      <c r="K907" s="227"/>
      <c r="L907" s="227"/>
      <c r="M907" s="227"/>
      <c r="N907" s="227"/>
      <c r="O907" s="227"/>
      <c r="P907" s="227"/>
      <c r="Q907" s="227"/>
      <c r="R907" s="227"/>
    </row>
    <row r="908" spans="1:18">
      <c r="A908" s="2"/>
      <c r="B908" s="2"/>
      <c r="C908" s="120"/>
      <c r="D908" s="120"/>
      <c r="E908" s="118"/>
      <c r="F908" s="227"/>
      <c r="G908" s="227"/>
      <c r="H908" s="227"/>
      <c r="I908" s="227"/>
      <c r="J908" s="227"/>
      <c r="K908" s="227"/>
      <c r="L908" s="227"/>
      <c r="M908" s="227"/>
      <c r="N908" s="227"/>
      <c r="O908" s="227"/>
      <c r="P908" s="227"/>
      <c r="Q908" s="227"/>
      <c r="R908" s="227"/>
    </row>
    <row r="909" spans="1:18">
      <c r="A909" s="2"/>
      <c r="B909" s="2"/>
      <c r="C909" s="120"/>
      <c r="D909" s="120"/>
      <c r="E909" s="118"/>
      <c r="F909" s="227"/>
      <c r="G909" s="227"/>
      <c r="H909" s="227"/>
      <c r="I909" s="227"/>
      <c r="J909" s="227"/>
      <c r="K909" s="227"/>
      <c r="L909" s="227"/>
      <c r="M909" s="227"/>
      <c r="N909" s="227"/>
      <c r="O909" s="227"/>
      <c r="P909" s="227"/>
      <c r="Q909" s="227"/>
      <c r="R909" s="227"/>
    </row>
    <row r="910" spans="1:18">
      <c r="A910" s="2"/>
      <c r="B910" s="2"/>
      <c r="C910" s="120"/>
      <c r="D910" s="120"/>
      <c r="E910" s="118"/>
      <c r="F910" s="227"/>
      <c r="G910" s="227"/>
      <c r="H910" s="227"/>
      <c r="I910" s="227"/>
      <c r="J910" s="227"/>
      <c r="K910" s="227"/>
      <c r="L910" s="227"/>
      <c r="M910" s="227"/>
      <c r="N910" s="227"/>
      <c r="O910" s="227"/>
      <c r="P910" s="227"/>
      <c r="Q910" s="227"/>
      <c r="R910" s="227"/>
    </row>
    <row r="911" spans="1:18">
      <c r="A911" s="2"/>
      <c r="B911" s="2"/>
      <c r="C911" s="120"/>
      <c r="D911" s="120"/>
      <c r="E911" s="118"/>
      <c r="F911" s="227"/>
      <c r="G911" s="227"/>
      <c r="H911" s="227"/>
      <c r="I911" s="227"/>
      <c r="J911" s="227"/>
      <c r="K911" s="227"/>
      <c r="L911" s="227"/>
      <c r="M911" s="227"/>
      <c r="N911" s="227"/>
      <c r="O911" s="227"/>
      <c r="P911" s="227"/>
      <c r="Q911" s="227"/>
      <c r="R911" s="227"/>
    </row>
    <row r="912" spans="1:18">
      <c r="A912" s="2"/>
      <c r="B912" s="2"/>
      <c r="C912" s="120"/>
      <c r="D912" s="120"/>
      <c r="E912" s="118"/>
      <c r="F912" s="227"/>
      <c r="G912" s="227"/>
      <c r="H912" s="227"/>
      <c r="I912" s="227"/>
      <c r="J912" s="227"/>
      <c r="K912" s="227"/>
      <c r="L912" s="227"/>
      <c r="M912" s="227"/>
      <c r="N912" s="227"/>
      <c r="O912" s="227"/>
      <c r="P912" s="227"/>
      <c r="Q912" s="227"/>
      <c r="R912" s="227"/>
    </row>
    <row r="913" spans="1:18">
      <c r="A913" s="2"/>
      <c r="B913" s="2"/>
      <c r="C913" s="120"/>
      <c r="D913" s="120"/>
      <c r="E913" s="118"/>
      <c r="F913" s="227"/>
      <c r="G913" s="227"/>
      <c r="H913" s="227"/>
      <c r="I913" s="227"/>
      <c r="J913" s="227"/>
      <c r="K913" s="227"/>
      <c r="L913" s="227"/>
      <c r="M913" s="227"/>
      <c r="N913" s="227"/>
      <c r="O913" s="227"/>
      <c r="P913" s="227"/>
      <c r="Q913" s="227"/>
      <c r="R913" s="227"/>
    </row>
    <row r="914" spans="1:18">
      <c r="A914" s="2"/>
      <c r="B914" s="2"/>
      <c r="C914" s="120"/>
      <c r="D914" s="120"/>
      <c r="E914" s="118"/>
      <c r="F914" s="227"/>
      <c r="G914" s="227"/>
      <c r="H914" s="227"/>
      <c r="I914" s="227"/>
      <c r="J914" s="227"/>
      <c r="K914" s="227"/>
      <c r="L914" s="227"/>
      <c r="M914" s="227"/>
      <c r="N914" s="227"/>
      <c r="O914" s="227"/>
      <c r="P914" s="227"/>
      <c r="Q914" s="227"/>
      <c r="R914" s="227"/>
    </row>
    <row r="915" spans="1:18">
      <c r="A915" s="2"/>
      <c r="B915" s="2"/>
      <c r="C915" s="120"/>
      <c r="D915" s="120"/>
      <c r="E915" s="118"/>
      <c r="F915" s="227"/>
      <c r="G915" s="227"/>
      <c r="H915" s="227"/>
      <c r="I915" s="227"/>
      <c r="J915" s="227"/>
      <c r="K915" s="227"/>
      <c r="L915" s="227"/>
      <c r="M915" s="227"/>
      <c r="N915" s="227"/>
      <c r="O915" s="227"/>
      <c r="P915" s="227"/>
      <c r="Q915" s="227"/>
      <c r="R915" s="227"/>
    </row>
    <row r="916" spans="1:18">
      <c r="A916" s="2"/>
      <c r="B916" s="2"/>
      <c r="C916" s="120"/>
      <c r="D916" s="120"/>
      <c r="E916" s="118"/>
      <c r="F916" s="227"/>
      <c r="G916" s="227"/>
      <c r="H916" s="227"/>
      <c r="I916" s="227"/>
      <c r="J916" s="227"/>
      <c r="K916" s="227"/>
      <c r="L916" s="227"/>
      <c r="M916" s="227"/>
      <c r="N916" s="227"/>
      <c r="O916" s="227"/>
      <c r="P916" s="227"/>
      <c r="Q916" s="227"/>
      <c r="R916" s="227"/>
    </row>
    <row r="917" spans="1:18">
      <c r="A917" s="2"/>
      <c r="B917" s="2"/>
      <c r="C917" s="120"/>
      <c r="D917" s="120"/>
      <c r="E917" s="118"/>
      <c r="F917" s="227"/>
      <c r="G917" s="227"/>
      <c r="H917" s="227"/>
      <c r="I917" s="227"/>
      <c r="J917" s="227"/>
      <c r="K917" s="227"/>
      <c r="L917" s="227"/>
      <c r="M917" s="227"/>
      <c r="N917" s="227"/>
      <c r="O917" s="227"/>
      <c r="P917" s="227"/>
      <c r="Q917" s="227"/>
      <c r="R917" s="227"/>
    </row>
    <row r="918" spans="1:18">
      <c r="A918" s="2"/>
      <c r="B918" s="2"/>
      <c r="C918" s="120"/>
      <c r="D918" s="120"/>
      <c r="E918" s="118"/>
      <c r="F918" s="227"/>
      <c r="G918" s="227"/>
      <c r="H918" s="227"/>
      <c r="I918" s="227"/>
      <c r="J918" s="227"/>
      <c r="K918" s="227"/>
      <c r="L918" s="227"/>
      <c r="M918" s="227"/>
      <c r="N918" s="227"/>
      <c r="O918" s="227"/>
      <c r="P918" s="227"/>
      <c r="Q918" s="227"/>
      <c r="R918" s="227"/>
    </row>
    <row r="919" spans="1:18">
      <c r="A919" s="2"/>
      <c r="B919" s="2"/>
      <c r="C919" s="120"/>
      <c r="D919" s="120"/>
      <c r="E919" s="118"/>
      <c r="F919" s="227"/>
      <c r="G919" s="227"/>
      <c r="H919" s="227"/>
      <c r="I919" s="227"/>
      <c r="J919" s="227"/>
      <c r="K919" s="227"/>
      <c r="L919" s="227"/>
      <c r="M919" s="227"/>
      <c r="N919" s="227"/>
      <c r="O919" s="227"/>
      <c r="P919" s="227"/>
      <c r="Q919" s="227"/>
      <c r="R919" s="227"/>
    </row>
    <row r="920" spans="1:18">
      <c r="A920" s="2"/>
      <c r="B920" s="2"/>
      <c r="C920" s="120"/>
      <c r="D920" s="120"/>
      <c r="E920" s="118"/>
      <c r="F920" s="227"/>
      <c r="G920" s="227"/>
      <c r="H920" s="227"/>
      <c r="I920" s="227"/>
      <c r="J920" s="227"/>
      <c r="K920" s="227"/>
      <c r="L920" s="227"/>
      <c r="M920" s="227"/>
      <c r="N920" s="227"/>
      <c r="O920" s="227"/>
      <c r="P920" s="227"/>
      <c r="Q920" s="227"/>
      <c r="R920" s="227"/>
    </row>
    <row r="921" spans="1:18">
      <c r="A921" s="2"/>
      <c r="B921" s="2"/>
      <c r="C921" s="120"/>
      <c r="D921" s="120"/>
      <c r="E921" s="118"/>
      <c r="F921" s="227"/>
      <c r="G921" s="227"/>
      <c r="H921" s="227"/>
      <c r="I921" s="227"/>
      <c r="J921" s="227"/>
      <c r="K921" s="227"/>
      <c r="L921" s="227"/>
      <c r="M921" s="227"/>
      <c r="N921" s="227"/>
      <c r="O921" s="227"/>
      <c r="P921" s="227"/>
      <c r="Q921" s="227"/>
      <c r="R921" s="227"/>
    </row>
    <row r="922" spans="1:18">
      <c r="A922" s="2"/>
      <c r="B922" s="2"/>
      <c r="C922" s="120"/>
      <c r="D922" s="120"/>
      <c r="E922" s="118"/>
      <c r="F922" s="227"/>
      <c r="G922" s="227"/>
      <c r="H922" s="227"/>
      <c r="I922" s="227"/>
      <c r="J922" s="227"/>
      <c r="K922" s="227"/>
      <c r="L922" s="227"/>
      <c r="M922" s="227"/>
      <c r="N922" s="227"/>
      <c r="O922" s="227"/>
      <c r="P922" s="227"/>
      <c r="Q922" s="227"/>
      <c r="R922" s="227"/>
    </row>
    <row r="923" spans="1:18">
      <c r="A923" s="2"/>
      <c r="B923" s="2"/>
      <c r="C923" s="120"/>
      <c r="D923" s="120"/>
      <c r="E923" s="118"/>
      <c r="F923" s="227"/>
      <c r="G923" s="227"/>
      <c r="H923" s="227"/>
      <c r="I923" s="227"/>
      <c r="J923" s="227"/>
      <c r="K923" s="227"/>
      <c r="L923" s="227"/>
      <c r="M923" s="227"/>
      <c r="N923" s="227"/>
      <c r="O923" s="227"/>
      <c r="P923" s="227"/>
      <c r="Q923" s="227"/>
      <c r="R923" s="227"/>
    </row>
    <row r="924" spans="1:18">
      <c r="A924" s="2"/>
      <c r="B924" s="2"/>
      <c r="C924" s="120"/>
      <c r="D924" s="120"/>
      <c r="E924" s="118"/>
      <c r="F924" s="227"/>
      <c r="G924" s="227"/>
      <c r="H924" s="227"/>
      <c r="I924" s="227"/>
      <c r="J924" s="227"/>
      <c r="K924" s="227"/>
      <c r="L924" s="227"/>
      <c r="M924" s="227"/>
      <c r="N924" s="227"/>
      <c r="O924" s="227"/>
      <c r="P924" s="227"/>
      <c r="Q924" s="227"/>
      <c r="R924" s="227"/>
    </row>
    <row r="925" spans="1:18">
      <c r="A925" s="2"/>
      <c r="B925" s="2"/>
      <c r="C925" s="120"/>
      <c r="D925" s="120"/>
      <c r="E925" s="118"/>
      <c r="F925" s="227"/>
      <c r="G925" s="227"/>
      <c r="H925" s="227"/>
      <c r="I925" s="227"/>
      <c r="J925" s="227"/>
      <c r="K925" s="227"/>
      <c r="L925" s="227"/>
      <c r="M925" s="227"/>
      <c r="N925" s="227"/>
      <c r="O925" s="227"/>
      <c r="P925" s="227"/>
      <c r="Q925" s="227"/>
      <c r="R925" s="227"/>
    </row>
    <row r="926" spans="1:18">
      <c r="A926" s="2"/>
      <c r="B926" s="2"/>
      <c r="C926" s="120"/>
      <c r="D926" s="120"/>
      <c r="E926" s="118"/>
      <c r="F926" s="227"/>
      <c r="G926" s="227"/>
      <c r="H926" s="227"/>
      <c r="I926" s="227"/>
      <c r="J926" s="227"/>
      <c r="K926" s="227"/>
      <c r="L926" s="227"/>
      <c r="M926" s="227"/>
      <c r="N926" s="227"/>
      <c r="O926" s="227"/>
      <c r="P926" s="227"/>
      <c r="Q926" s="227"/>
      <c r="R926" s="227"/>
    </row>
    <row r="927" spans="1:18">
      <c r="A927" s="2"/>
      <c r="B927" s="2"/>
      <c r="C927" s="120"/>
      <c r="D927" s="120"/>
      <c r="E927" s="118"/>
      <c r="F927" s="227"/>
      <c r="G927" s="227"/>
      <c r="H927" s="227"/>
      <c r="I927" s="227"/>
      <c r="J927" s="227"/>
      <c r="K927" s="227"/>
      <c r="L927" s="227"/>
      <c r="M927" s="227"/>
      <c r="N927" s="227"/>
      <c r="O927" s="227"/>
      <c r="P927" s="227"/>
      <c r="Q927" s="227"/>
      <c r="R927" s="227"/>
    </row>
    <row r="928" spans="1:18">
      <c r="A928" s="2"/>
      <c r="B928" s="2"/>
      <c r="C928" s="120"/>
      <c r="D928" s="120"/>
      <c r="E928" s="118"/>
      <c r="F928" s="227"/>
      <c r="G928" s="227"/>
      <c r="H928" s="227"/>
      <c r="I928" s="227"/>
      <c r="J928" s="227"/>
      <c r="K928" s="227"/>
      <c r="L928" s="227"/>
      <c r="M928" s="227"/>
      <c r="N928" s="227"/>
      <c r="O928" s="227"/>
      <c r="P928" s="227"/>
      <c r="Q928" s="227"/>
      <c r="R928" s="227"/>
    </row>
    <row r="929" spans="1:18">
      <c r="A929" s="2"/>
      <c r="B929" s="2"/>
      <c r="C929" s="120"/>
      <c r="D929" s="120"/>
      <c r="E929" s="118"/>
      <c r="F929" s="227"/>
      <c r="G929" s="227"/>
      <c r="H929" s="227"/>
      <c r="I929" s="227"/>
      <c r="J929" s="227"/>
      <c r="K929" s="227"/>
      <c r="L929" s="227"/>
      <c r="M929" s="227"/>
      <c r="N929" s="227"/>
      <c r="O929" s="227"/>
      <c r="P929" s="227"/>
      <c r="Q929" s="227"/>
      <c r="R929" s="227"/>
    </row>
    <row r="930" spans="1:18">
      <c r="A930" s="2"/>
      <c r="B930" s="2"/>
      <c r="C930" s="120"/>
      <c r="D930" s="120"/>
      <c r="E930" s="118"/>
      <c r="F930" s="227"/>
      <c r="G930" s="227"/>
      <c r="H930" s="227"/>
      <c r="I930" s="227"/>
      <c r="J930" s="227"/>
      <c r="K930" s="227"/>
      <c r="L930" s="227"/>
      <c r="M930" s="227"/>
      <c r="N930" s="227"/>
      <c r="O930" s="227"/>
      <c r="P930" s="227"/>
      <c r="Q930" s="227"/>
      <c r="R930" s="227"/>
    </row>
    <row r="931" spans="1:18">
      <c r="A931" s="2"/>
      <c r="B931" s="2"/>
      <c r="C931" s="120"/>
      <c r="D931" s="120"/>
      <c r="E931" s="118"/>
      <c r="F931" s="227"/>
      <c r="G931" s="227"/>
      <c r="H931" s="227"/>
      <c r="I931" s="227"/>
      <c r="J931" s="227"/>
      <c r="K931" s="227"/>
      <c r="L931" s="227"/>
      <c r="M931" s="227"/>
      <c r="N931" s="227"/>
      <c r="O931" s="227"/>
      <c r="P931" s="227"/>
      <c r="Q931" s="227"/>
      <c r="R931" s="227"/>
    </row>
    <row r="932" spans="1:18">
      <c r="A932" s="2"/>
      <c r="B932" s="2"/>
      <c r="C932" s="120"/>
      <c r="D932" s="120"/>
      <c r="E932" s="118"/>
      <c r="F932" s="227"/>
      <c r="G932" s="227"/>
      <c r="H932" s="227"/>
      <c r="I932" s="227"/>
      <c r="J932" s="227"/>
      <c r="K932" s="227"/>
      <c r="L932" s="227"/>
      <c r="M932" s="227"/>
      <c r="N932" s="227"/>
      <c r="O932" s="227"/>
      <c r="P932" s="227"/>
      <c r="Q932" s="227"/>
      <c r="R932" s="227"/>
    </row>
    <row r="933" spans="1:18">
      <c r="A933" s="2"/>
      <c r="B933" s="2"/>
      <c r="C933" s="120"/>
      <c r="D933" s="120"/>
      <c r="E933" s="118"/>
      <c r="F933" s="227"/>
      <c r="G933" s="227"/>
      <c r="H933" s="227"/>
      <c r="I933" s="227"/>
      <c r="J933" s="227"/>
      <c r="K933" s="227"/>
      <c r="L933" s="227"/>
      <c r="M933" s="227"/>
      <c r="N933" s="227"/>
      <c r="O933" s="227"/>
      <c r="P933" s="227"/>
      <c r="Q933" s="227"/>
      <c r="R933" s="227"/>
    </row>
    <row r="934" spans="1:18">
      <c r="A934" s="2"/>
      <c r="B934" s="2"/>
      <c r="C934" s="120"/>
      <c r="D934" s="120"/>
      <c r="E934" s="118"/>
      <c r="F934" s="227"/>
      <c r="G934" s="227"/>
      <c r="H934" s="227"/>
      <c r="I934" s="227"/>
      <c r="J934" s="227"/>
      <c r="K934" s="227"/>
      <c r="L934" s="227"/>
      <c r="M934" s="227"/>
      <c r="N934" s="227"/>
      <c r="O934" s="227"/>
      <c r="P934" s="227"/>
      <c r="Q934" s="227"/>
      <c r="R934" s="227"/>
    </row>
    <row r="935" spans="1:18">
      <c r="A935" s="2"/>
      <c r="B935" s="2"/>
      <c r="C935" s="120"/>
      <c r="D935" s="120"/>
      <c r="E935" s="118"/>
      <c r="F935" s="227"/>
      <c r="G935" s="227"/>
      <c r="H935" s="227"/>
      <c r="I935" s="227"/>
      <c r="J935" s="227"/>
      <c r="K935" s="227"/>
      <c r="L935" s="227"/>
      <c r="M935" s="227"/>
      <c r="N935" s="227"/>
      <c r="O935" s="227"/>
      <c r="P935" s="227"/>
      <c r="Q935" s="227"/>
      <c r="R935" s="227"/>
    </row>
    <row r="936" spans="1:18">
      <c r="A936" s="2"/>
      <c r="B936" s="2"/>
      <c r="C936" s="120"/>
      <c r="D936" s="120"/>
      <c r="E936" s="118"/>
      <c r="F936" s="227"/>
      <c r="G936" s="227"/>
      <c r="H936" s="227"/>
      <c r="I936" s="227"/>
      <c r="J936" s="227"/>
      <c r="K936" s="227"/>
      <c r="L936" s="227"/>
      <c r="M936" s="227"/>
      <c r="N936" s="227"/>
      <c r="O936" s="227"/>
      <c r="P936" s="227"/>
      <c r="Q936" s="227"/>
      <c r="R936" s="227"/>
    </row>
    <row r="937" spans="1:18">
      <c r="A937" s="2"/>
      <c r="B937" s="2"/>
      <c r="C937" s="120"/>
      <c r="D937" s="120"/>
      <c r="E937" s="118"/>
      <c r="F937" s="227"/>
      <c r="G937" s="227"/>
      <c r="H937" s="227"/>
      <c r="I937" s="227"/>
      <c r="J937" s="227"/>
      <c r="K937" s="227"/>
      <c r="L937" s="227"/>
      <c r="M937" s="227"/>
      <c r="N937" s="227"/>
      <c r="O937" s="227"/>
      <c r="P937" s="227"/>
      <c r="Q937" s="227"/>
      <c r="R937" s="227"/>
    </row>
    <row r="938" spans="1:18">
      <c r="A938" s="2"/>
      <c r="B938" s="2"/>
      <c r="C938" s="120"/>
      <c r="D938" s="120"/>
      <c r="E938" s="118"/>
      <c r="F938" s="227"/>
      <c r="G938" s="227"/>
      <c r="H938" s="227"/>
      <c r="I938" s="227"/>
      <c r="J938" s="227"/>
      <c r="K938" s="227"/>
      <c r="L938" s="227"/>
      <c r="M938" s="227"/>
      <c r="N938" s="227"/>
      <c r="O938" s="227"/>
      <c r="P938" s="227"/>
      <c r="Q938" s="227"/>
      <c r="R938" s="227"/>
    </row>
    <row r="939" spans="1:18">
      <c r="A939" s="2"/>
      <c r="B939" s="2"/>
      <c r="C939" s="120"/>
      <c r="D939" s="120"/>
      <c r="E939" s="118"/>
      <c r="F939" s="227"/>
      <c r="G939" s="227"/>
      <c r="H939" s="227"/>
      <c r="I939" s="227"/>
      <c r="J939" s="227"/>
      <c r="K939" s="227"/>
      <c r="L939" s="227"/>
      <c r="M939" s="227"/>
      <c r="N939" s="227"/>
      <c r="O939" s="227"/>
      <c r="P939" s="227"/>
      <c r="Q939" s="227"/>
      <c r="R939" s="227"/>
    </row>
    <row r="940" spans="1:18">
      <c r="A940" s="2"/>
      <c r="B940" s="2"/>
      <c r="C940" s="120"/>
      <c r="D940" s="120"/>
      <c r="E940" s="118"/>
      <c r="F940" s="227"/>
      <c r="G940" s="227"/>
      <c r="H940" s="227"/>
      <c r="I940" s="227"/>
      <c r="J940" s="227"/>
      <c r="K940" s="227"/>
      <c r="L940" s="227"/>
      <c r="M940" s="227"/>
      <c r="N940" s="227"/>
      <c r="O940" s="227"/>
      <c r="P940" s="227"/>
      <c r="Q940" s="227"/>
      <c r="R940" s="227"/>
    </row>
    <row r="941" spans="1:18">
      <c r="A941" s="2"/>
      <c r="B941" s="2"/>
      <c r="C941" s="120"/>
      <c r="D941" s="120"/>
      <c r="E941" s="118"/>
      <c r="F941" s="227"/>
      <c r="G941" s="227"/>
      <c r="H941" s="227"/>
      <c r="I941" s="227"/>
      <c r="J941" s="227"/>
      <c r="K941" s="227"/>
      <c r="L941" s="227"/>
      <c r="M941" s="227"/>
      <c r="N941" s="227"/>
      <c r="O941" s="227"/>
      <c r="P941" s="227"/>
      <c r="Q941" s="227"/>
      <c r="R941" s="227"/>
    </row>
    <row r="942" spans="1:18">
      <c r="A942" s="2"/>
      <c r="B942" s="2"/>
      <c r="C942" s="120"/>
      <c r="D942" s="120"/>
      <c r="E942" s="118"/>
      <c r="F942" s="227"/>
      <c r="G942" s="227"/>
      <c r="H942" s="227"/>
      <c r="I942" s="227"/>
      <c r="J942" s="227"/>
      <c r="K942" s="227"/>
      <c r="L942" s="227"/>
      <c r="M942" s="227"/>
      <c r="N942" s="227"/>
      <c r="O942" s="227"/>
      <c r="P942" s="227"/>
      <c r="Q942" s="227"/>
      <c r="R942" s="227"/>
    </row>
    <row r="943" spans="1:18">
      <c r="A943" s="2"/>
      <c r="B943" s="2"/>
      <c r="C943" s="120"/>
      <c r="D943" s="120"/>
      <c r="E943" s="118"/>
      <c r="F943" s="227"/>
      <c r="G943" s="227"/>
      <c r="H943" s="227"/>
      <c r="I943" s="227"/>
      <c r="J943" s="227"/>
      <c r="K943" s="227"/>
      <c r="L943" s="227"/>
      <c r="M943" s="227"/>
      <c r="N943" s="227"/>
      <c r="O943" s="227"/>
      <c r="P943" s="227"/>
      <c r="Q943" s="227"/>
      <c r="R943" s="227"/>
    </row>
    <row r="944" spans="1:18">
      <c r="A944" s="2"/>
      <c r="B944" s="2"/>
      <c r="C944" s="120"/>
      <c r="D944" s="120"/>
      <c r="E944" s="118"/>
      <c r="F944" s="227"/>
      <c r="G944" s="227"/>
      <c r="H944" s="227"/>
      <c r="I944" s="227"/>
      <c r="J944" s="227"/>
      <c r="K944" s="227"/>
      <c r="L944" s="227"/>
      <c r="M944" s="227"/>
      <c r="N944" s="227"/>
      <c r="O944" s="227"/>
      <c r="P944" s="227"/>
      <c r="Q944" s="227"/>
      <c r="R944" s="227"/>
    </row>
    <row r="945" spans="1:18">
      <c r="A945" s="2"/>
      <c r="B945" s="2"/>
      <c r="C945" s="120"/>
      <c r="D945" s="120"/>
      <c r="E945" s="118"/>
      <c r="F945" s="227"/>
      <c r="G945" s="227"/>
      <c r="H945" s="227"/>
      <c r="I945" s="227"/>
      <c r="J945" s="227"/>
      <c r="K945" s="227"/>
      <c r="L945" s="227"/>
      <c r="M945" s="227"/>
      <c r="N945" s="227"/>
      <c r="O945" s="227"/>
      <c r="P945" s="227"/>
      <c r="Q945" s="227"/>
      <c r="R945" s="227"/>
    </row>
    <row r="946" spans="1:18">
      <c r="A946" s="2"/>
      <c r="B946" s="2"/>
      <c r="C946" s="120"/>
      <c r="D946" s="120"/>
      <c r="E946" s="118"/>
      <c r="F946" s="227"/>
      <c r="G946" s="227"/>
      <c r="H946" s="227"/>
      <c r="I946" s="227"/>
      <c r="J946" s="227"/>
      <c r="K946" s="227"/>
      <c r="L946" s="227"/>
      <c r="M946" s="227"/>
      <c r="N946" s="227"/>
      <c r="O946" s="227"/>
      <c r="P946" s="227"/>
      <c r="Q946" s="227"/>
      <c r="R946" s="227"/>
    </row>
    <row r="947" spans="1:18">
      <c r="A947" s="2"/>
      <c r="B947" s="2"/>
      <c r="C947" s="120"/>
      <c r="D947" s="120"/>
      <c r="E947" s="118"/>
      <c r="F947" s="227"/>
      <c r="G947" s="227"/>
      <c r="H947" s="227"/>
      <c r="I947" s="227"/>
      <c r="J947" s="227"/>
      <c r="K947" s="227"/>
      <c r="L947" s="227"/>
      <c r="M947" s="227"/>
      <c r="N947" s="227"/>
      <c r="O947" s="227"/>
      <c r="P947" s="227"/>
      <c r="Q947" s="227"/>
      <c r="R947" s="227"/>
    </row>
    <row r="948" spans="1:18">
      <c r="A948" s="2"/>
      <c r="B948" s="2"/>
      <c r="C948" s="120"/>
      <c r="D948" s="120"/>
      <c r="E948" s="118"/>
      <c r="F948" s="227"/>
      <c r="G948" s="227"/>
      <c r="H948" s="227"/>
      <c r="I948" s="227"/>
      <c r="J948" s="227"/>
      <c r="K948" s="227"/>
      <c r="L948" s="227"/>
      <c r="M948" s="227"/>
      <c r="N948" s="227"/>
      <c r="O948" s="227"/>
      <c r="P948" s="227"/>
      <c r="Q948" s="227"/>
      <c r="R948" s="227"/>
    </row>
    <row r="949" spans="1:18">
      <c r="A949" s="2"/>
      <c r="B949" s="2"/>
      <c r="C949" s="120"/>
      <c r="D949" s="120"/>
      <c r="E949" s="118"/>
      <c r="F949" s="227"/>
      <c r="G949" s="227"/>
      <c r="H949" s="227"/>
      <c r="I949" s="227"/>
      <c r="J949" s="227"/>
      <c r="K949" s="227"/>
      <c r="L949" s="227"/>
      <c r="M949" s="227"/>
      <c r="N949" s="227"/>
      <c r="O949" s="227"/>
      <c r="P949" s="227"/>
      <c r="Q949" s="227"/>
      <c r="R949" s="227"/>
    </row>
    <row r="950" spans="1:18">
      <c r="A950" s="2"/>
      <c r="B950" s="2"/>
      <c r="C950" s="120"/>
      <c r="D950" s="120"/>
      <c r="E950" s="118"/>
      <c r="F950" s="227"/>
      <c r="G950" s="227"/>
      <c r="H950" s="227"/>
      <c r="I950" s="227"/>
      <c r="J950" s="227"/>
      <c r="K950" s="227"/>
      <c r="L950" s="227"/>
      <c r="M950" s="227"/>
      <c r="N950" s="227"/>
      <c r="O950" s="227"/>
      <c r="P950" s="227"/>
      <c r="Q950" s="227"/>
      <c r="R950" s="227"/>
    </row>
    <row r="951" spans="1:18">
      <c r="A951" s="2"/>
      <c r="B951" s="2"/>
      <c r="C951" s="120"/>
      <c r="D951" s="120"/>
      <c r="E951" s="118"/>
      <c r="F951" s="227"/>
      <c r="G951" s="227"/>
      <c r="H951" s="227"/>
      <c r="I951" s="227"/>
      <c r="J951" s="227"/>
      <c r="K951" s="227"/>
      <c r="L951" s="227"/>
      <c r="M951" s="227"/>
      <c r="N951" s="227"/>
      <c r="O951" s="227"/>
      <c r="P951" s="227"/>
      <c r="Q951" s="227"/>
      <c r="R951" s="227"/>
    </row>
    <row r="952" spans="1:18">
      <c r="A952" s="2"/>
      <c r="B952" s="2"/>
      <c r="C952" s="120"/>
      <c r="D952" s="120"/>
      <c r="E952" s="118"/>
      <c r="F952" s="227"/>
      <c r="G952" s="227"/>
      <c r="H952" s="227"/>
      <c r="I952" s="227"/>
      <c r="J952" s="227"/>
      <c r="K952" s="227"/>
      <c r="L952" s="227"/>
      <c r="M952" s="227"/>
      <c r="N952" s="227"/>
      <c r="O952" s="227"/>
      <c r="P952" s="227"/>
      <c r="Q952" s="227"/>
      <c r="R952" s="227"/>
    </row>
    <row r="953" spans="1:18">
      <c r="A953" s="2"/>
      <c r="B953" s="2"/>
      <c r="C953" s="120"/>
      <c r="D953" s="120"/>
      <c r="E953" s="118"/>
      <c r="F953" s="227"/>
      <c r="G953" s="227"/>
      <c r="H953" s="227"/>
      <c r="I953" s="227"/>
      <c r="J953" s="227"/>
      <c r="K953" s="227"/>
      <c r="L953" s="227"/>
      <c r="M953" s="227"/>
      <c r="N953" s="227"/>
      <c r="O953" s="227"/>
      <c r="P953" s="227"/>
      <c r="Q953" s="227"/>
      <c r="R953" s="227"/>
    </row>
    <row r="954" spans="1:18">
      <c r="A954" s="2"/>
      <c r="B954" s="2"/>
      <c r="C954" s="120"/>
      <c r="D954" s="120"/>
      <c r="E954" s="118"/>
      <c r="F954" s="227"/>
      <c r="G954" s="227"/>
      <c r="H954" s="227"/>
      <c r="I954" s="227"/>
      <c r="J954" s="227"/>
      <c r="K954" s="227"/>
      <c r="L954" s="227"/>
      <c r="M954" s="227"/>
      <c r="N954" s="227"/>
      <c r="O954" s="227"/>
      <c r="P954" s="227"/>
      <c r="Q954" s="227"/>
      <c r="R954" s="227"/>
    </row>
    <row r="955" spans="1:18">
      <c r="A955" s="2"/>
      <c r="B955" s="2"/>
      <c r="C955" s="120"/>
      <c r="D955" s="120"/>
      <c r="E955" s="118"/>
      <c r="F955" s="227"/>
      <c r="G955" s="227"/>
      <c r="H955" s="227"/>
      <c r="I955" s="227"/>
      <c r="J955" s="227"/>
      <c r="K955" s="227"/>
      <c r="L955" s="227"/>
      <c r="M955" s="227"/>
      <c r="N955" s="227"/>
      <c r="O955" s="227"/>
      <c r="P955" s="227"/>
      <c r="Q955" s="227"/>
      <c r="R955" s="227"/>
    </row>
    <row r="956" spans="1:18">
      <c r="A956" s="2"/>
      <c r="B956" s="2"/>
      <c r="C956" s="120"/>
      <c r="D956" s="120"/>
      <c r="E956" s="118"/>
      <c r="F956" s="227"/>
      <c r="G956" s="227"/>
      <c r="H956" s="227"/>
      <c r="I956" s="227"/>
      <c r="J956" s="227"/>
      <c r="K956" s="227"/>
      <c r="L956" s="227"/>
      <c r="M956" s="227"/>
      <c r="N956" s="227"/>
      <c r="O956" s="227"/>
      <c r="P956" s="227"/>
      <c r="Q956" s="227"/>
      <c r="R956" s="227"/>
    </row>
    <row r="957" spans="1:18">
      <c r="A957" s="2"/>
      <c r="B957" s="2"/>
      <c r="C957" s="120"/>
      <c r="D957" s="120"/>
      <c r="E957" s="118"/>
      <c r="F957" s="227"/>
      <c r="G957" s="227"/>
      <c r="H957" s="227"/>
      <c r="I957" s="227"/>
      <c r="J957" s="227"/>
      <c r="K957" s="227"/>
      <c r="L957" s="227"/>
      <c r="M957" s="227"/>
      <c r="N957" s="227"/>
      <c r="O957" s="227"/>
      <c r="P957" s="227"/>
      <c r="Q957" s="227"/>
      <c r="R957" s="227"/>
    </row>
    <row r="958" spans="1:18">
      <c r="A958" s="2"/>
      <c r="B958" s="2"/>
      <c r="C958" s="120"/>
      <c r="D958" s="120"/>
      <c r="E958" s="118"/>
      <c r="F958" s="227"/>
      <c r="G958" s="227"/>
      <c r="H958" s="227"/>
      <c r="I958" s="227"/>
      <c r="J958" s="227"/>
      <c r="K958" s="227"/>
      <c r="L958" s="227"/>
      <c r="M958" s="227"/>
      <c r="N958" s="227"/>
      <c r="O958" s="227"/>
      <c r="P958" s="227"/>
      <c r="Q958" s="227"/>
      <c r="R958" s="227"/>
    </row>
    <row r="959" spans="1:18">
      <c r="A959" s="2"/>
      <c r="B959" s="2"/>
      <c r="C959" s="120"/>
      <c r="D959" s="120"/>
      <c r="E959" s="118"/>
      <c r="F959" s="227"/>
      <c r="G959" s="227"/>
      <c r="H959" s="227"/>
      <c r="I959" s="227"/>
      <c r="J959" s="227"/>
      <c r="K959" s="227"/>
      <c r="L959" s="227"/>
      <c r="M959" s="227"/>
      <c r="N959" s="227"/>
      <c r="O959" s="227"/>
      <c r="P959" s="227"/>
      <c r="Q959" s="227"/>
      <c r="R959" s="227"/>
    </row>
    <row r="960" spans="1:18">
      <c r="A960" s="2"/>
      <c r="B960" s="2"/>
      <c r="C960" s="120"/>
      <c r="D960" s="120"/>
      <c r="E960" s="118"/>
      <c r="F960" s="227"/>
      <c r="G960" s="227"/>
      <c r="H960" s="227"/>
      <c r="I960" s="227"/>
      <c r="J960" s="227"/>
      <c r="K960" s="227"/>
      <c r="L960" s="227"/>
      <c r="M960" s="227"/>
      <c r="N960" s="227"/>
      <c r="O960" s="227"/>
      <c r="P960" s="227"/>
      <c r="Q960" s="227"/>
      <c r="R960" s="227"/>
    </row>
    <row r="961" spans="1:18">
      <c r="A961" s="2"/>
      <c r="B961" s="2"/>
      <c r="C961" s="120"/>
      <c r="D961" s="120"/>
      <c r="E961" s="118"/>
      <c r="F961" s="227"/>
      <c r="G961" s="227"/>
      <c r="H961" s="227"/>
      <c r="I961" s="227"/>
      <c r="J961" s="227"/>
      <c r="K961" s="227"/>
      <c r="L961" s="227"/>
      <c r="M961" s="227"/>
      <c r="N961" s="227"/>
      <c r="O961" s="227"/>
      <c r="P961" s="227"/>
      <c r="Q961" s="227"/>
      <c r="R961" s="227"/>
    </row>
    <row r="962" spans="1:18">
      <c r="A962" s="2"/>
      <c r="B962" s="2"/>
      <c r="C962" s="120"/>
      <c r="D962" s="120"/>
      <c r="E962" s="118"/>
      <c r="F962" s="227"/>
      <c r="G962" s="227"/>
      <c r="H962" s="227"/>
      <c r="I962" s="227"/>
      <c r="J962" s="227"/>
      <c r="K962" s="227"/>
      <c r="L962" s="227"/>
      <c r="M962" s="227"/>
      <c r="N962" s="227"/>
      <c r="O962" s="227"/>
      <c r="P962" s="227"/>
      <c r="Q962" s="227"/>
      <c r="R962" s="227"/>
    </row>
    <row r="963" spans="1:18">
      <c r="A963" s="2"/>
      <c r="B963" s="2"/>
      <c r="C963" s="120"/>
      <c r="D963" s="120"/>
      <c r="E963" s="118"/>
      <c r="F963" s="227"/>
      <c r="G963" s="227"/>
      <c r="H963" s="227"/>
      <c r="I963" s="227"/>
      <c r="J963" s="227"/>
      <c r="K963" s="227"/>
      <c r="L963" s="227"/>
      <c r="M963" s="227"/>
      <c r="N963" s="227"/>
      <c r="O963" s="227"/>
      <c r="P963" s="227"/>
      <c r="Q963" s="227"/>
      <c r="R963" s="227"/>
    </row>
    <row r="964" spans="1:18">
      <c r="A964" s="2"/>
      <c r="B964" s="2"/>
      <c r="C964" s="120"/>
      <c r="D964" s="120"/>
      <c r="E964" s="118"/>
      <c r="F964" s="227"/>
      <c r="G964" s="227"/>
      <c r="H964" s="227"/>
      <c r="I964" s="227"/>
      <c r="J964" s="227"/>
      <c r="K964" s="227"/>
      <c r="L964" s="227"/>
      <c r="M964" s="227"/>
      <c r="N964" s="227"/>
      <c r="O964" s="227"/>
      <c r="P964" s="227"/>
      <c r="Q964" s="227"/>
      <c r="R964" s="227"/>
    </row>
    <row r="965" spans="1:18">
      <c r="A965" s="2"/>
      <c r="B965" s="2"/>
      <c r="C965" s="120"/>
      <c r="D965" s="120"/>
      <c r="E965" s="118"/>
      <c r="F965" s="227"/>
      <c r="G965" s="227"/>
      <c r="H965" s="227"/>
      <c r="I965" s="227"/>
      <c r="J965" s="227"/>
      <c r="K965" s="227"/>
      <c r="L965" s="227"/>
      <c r="M965" s="227"/>
      <c r="N965" s="227"/>
      <c r="O965" s="227"/>
      <c r="P965" s="227"/>
      <c r="Q965" s="227"/>
      <c r="R965" s="227"/>
    </row>
    <row r="966" spans="1:18">
      <c r="A966" s="2"/>
      <c r="B966" s="2"/>
      <c r="C966" s="120"/>
      <c r="D966" s="120"/>
      <c r="E966" s="118"/>
      <c r="F966" s="227"/>
      <c r="G966" s="227"/>
      <c r="H966" s="227"/>
      <c r="I966" s="227"/>
      <c r="J966" s="227"/>
      <c r="K966" s="227"/>
      <c r="L966" s="227"/>
      <c r="M966" s="227"/>
      <c r="N966" s="227"/>
      <c r="O966" s="227"/>
      <c r="P966" s="227"/>
      <c r="Q966" s="227"/>
      <c r="R966" s="227"/>
    </row>
    <row r="967" spans="1:18">
      <c r="A967" s="2"/>
      <c r="B967" s="2"/>
      <c r="C967" s="120"/>
      <c r="D967" s="120"/>
      <c r="E967" s="118"/>
      <c r="F967" s="227"/>
      <c r="G967" s="227"/>
      <c r="H967" s="227"/>
      <c r="I967" s="227"/>
      <c r="J967" s="227"/>
      <c r="K967" s="227"/>
      <c r="L967" s="227"/>
      <c r="M967" s="227"/>
      <c r="N967" s="227"/>
      <c r="O967" s="227"/>
      <c r="P967" s="227"/>
      <c r="Q967" s="227"/>
      <c r="R967" s="227"/>
    </row>
    <row r="968" spans="1:18">
      <c r="A968" s="2"/>
      <c r="B968" s="2"/>
      <c r="C968" s="120"/>
      <c r="D968" s="120"/>
      <c r="E968" s="118"/>
      <c r="F968" s="227"/>
      <c r="G968" s="227"/>
      <c r="H968" s="227"/>
      <c r="I968" s="227"/>
      <c r="J968" s="227"/>
      <c r="K968" s="227"/>
      <c r="L968" s="227"/>
      <c r="M968" s="227"/>
      <c r="N968" s="227"/>
      <c r="O968" s="227"/>
      <c r="P968" s="227"/>
      <c r="Q968" s="227"/>
      <c r="R968" s="227"/>
    </row>
    <row r="969" spans="1:18">
      <c r="A969" s="2"/>
      <c r="B969" s="2"/>
      <c r="C969" s="120"/>
      <c r="D969" s="120"/>
      <c r="E969" s="118"/>
      <c r="F969" s="227"/>
      <c r="G969" s="227"/>
      <c r="H969" s="227"/>
      <c r="I969" s="227"/>
      <c r="J969" s="227"/>
      <c r="K969" s="227"/>
      <c r="L969" s="227"/>
      <c r="M969" s="227"/>
      <c r="N969" s="227"/>
      <c r="O969" s="227"/>
      <c r="P969" s="227"/>
      <c r="Q969" s="227"/>
      <c r="R969" s="227"/>
    </row>
    <row r="970" spans="1:18">
      <c r="A970" s="2"/>
      <c r="B970" s="2"/>
      <c r="C970" s="120"/>
      <c r="D970" s="120"/>
      <c r="E970" s="118"/>
      <c r="F970" s="227"/>
      <c r="G970" s="227"/>
      <c r="H970" s="227"/>
      <c r="I970" s="227"/>
      <c r="J970" s="227"/>
      <c r="K970" s="227"/>
      <c r="L970" s="227"/>
      <c r="M970" s="227"/>
      <c r="N970" s="227"/>
      <c r="O970" s="227"/>
      <c r="P970" s="227"/>
      <c r="Q970" s="227"/>
      <c r="R970" s="227"/>
    </row>
    <row r="971" spans="1:18">
      <c r="A971" s="2"/>
      <c r="B971" s="2"/>
      <c r="C971" s="120"/>
      <c r="D971" s="120"/>
      <c r="E971" s="118"/>
      <c r="F971" s="227"/>
      <c r="G971" s="227"/>
      <c r="H971" s="227"/>
      <c r="I971" s="227"/>
      <c r="J971" s="227"/>
      <c r="K971" s="227"/>
      <c r="L971" s="227"/>
      <c r="M971" s="227"/>
      <c r="N971" s="227"/>
      <c r="O971" s="227"/>
      <c r="P971" s="227"/>
      <c r="Q971" s="227"/>
      <c r="R971" s="227"/>
    </row>
    <row r="972" spans="1:18">
      <c r="A972" s="2"/>
      <c r="B972" s="2"/>
      <c r="C972" s="120"/>
      <c r="D972" s="120"/>
      <c r="E972" s="118"/>
      <c r="F972" s="227"/>
      <c r="G972" s="227"/>
      <c r="H972" s="227"/>
      <c r="I972" s="227"/>
      <c r="J972" s="227"/>
      <c r="K972" s="227"/>
      <c r="L972" s="227"/>
      <c r="M972" s="227"/>
      <c r="N972" s="227"/>
      <c r="O972" s="227"/>
      <c r="P972" s="227"/>
      <c r="Q972" s="227"/>
      <c r="R972" s="227"/>
    </row>
    <row r="973" spans="1:18">
      <c r="A973" s="2"/>
      <c r="B973" s="2"/>
      <c r="C973" s="120"/>
      <c r="D973" s="120"/>
      <c r="E973" s="118"/>
      <c r="F973" s="227"/>
      <c r="G973" s="227"/>
      <c r="H973" s="227"/>
      <c r="I973" s="227"/>
      <c r="J973" s="227"/>
      <c r="K973" s="227"/>
      <c r="L973" s="227"/>
      <c r="M973" s="227"/>
      <c r="N973" s="227"/>
      <c r="O973" s="227"/>
      <c r="P973" s="227"/>
      <c r="Q973" s="227"/>
      <c r="R973" s="227"/>
    </row>
    <row r="974" spans="1:18">
      <c r="A974" s="2"/>
      <c r="B974" s="2"/>
      <c r="C974" s="120"/>
      <c r="D974" s="120"/>
      <c r="E974" s="118"/>
      <c r="F974" s="227"/>
      <c r="G974" s="227"/>
      <c r="H974" s="227"/>
      <c r="I974" s="227"/>
      <c r="J974" s="227"/>
      <c r="K974" s="227"/>
      <c r="L974" s="227"/>
      <c r="M974" s="227"/>
      <c r="N974" s="227"/>
      <c r="O974" s="227"/>
      <c r="P974" s="227"/>
      <c r="Q974" s="227"/>
      <c r="R974" s="227"/>
    </row>
    <row r="975" spans="1:18">
      <c r="A975" s="2"/>
      <c r="B975" s="2"/>
      <c r="C975" s="120"/>
      <c r="D975" s="120"/>
      <c r="E975" s="118"/>
      <c r="F975" s="227"/>
      <c r="G975" s="227"/>
      <c r="H975" s="227"/>
      <c r="I975" s="227"/>
      <c r="J975" s="227"/>
      <c r="K975" s="227"/>
      <c r="L975" s="227"/>
      <c r="M975" s="227"/>
      <c r="N975" s="227"/>
      <c r="O975" s="227"/>
      <c r="P975" s="227"/>
      <c r="Q975" s="227"/>
      <c r="R975" s="227"/>
    </row>
    <row r="976" spans="1:18">
      <c r="A976" s="2"/>
      <c r="B976" s="2"/>
      <c r="C976" s="120"/>
      <c r="D976" s="120"/>
      <c r="E976" s="118"/>
      <c r="F976" s="227"/>
      <c r="G976" s="227"/>
      <c r="H976" s="227"/>
      <c r="I976" s="227"/>
      <c r="J976" s="227"/>
      <c r="K976" s="227"/>
      <c r="L976" s="227"/>
      <c r="M976" s="227"/>
      <c r="N976" s="227"/>
      <c r="O976" s="227"/>
      <c r="P976" s="227"/>
      <c r="Q976" s="227"/>
      <c r="R976" s="227"/>
    </row>
    <row r="977" spans="1:18">
      <c r="A977" s="2"/>
      <c r="B977" s="2"/>
      <c r="C977" s="120"/>
      <c r="D977" s="120"/>
      <c r="E977" s="118"/>
      <c r="F977" s="227"/>
      <c r="G977" s="227"/>
      <c r="H977" s="227"/>
      <c r="I977" s="227"/>
      <c r="J977" s="227"/>
      <c r="K977" s="227"/>
      <c r="L977" s="227"/>
      <c r="M977" s="227"/>
      <c r="N977" s="227"/>
      <c r="O977" s="227"/>
      <c r="P977" s="227"/>
      <c r="Q977" s="227"/>
      <c r="R977" s="227"/>
    </row>
    <row r="978" spans="1:18">
      <c r="A978" s="2"/>
      <c r="B978" s="2"/>
      <c r="C978" s="120"/>
      <c r="D978" s="120"/>
      <c r="E978" s="118"/>
      <c r="F978" s="227"/>
      <c r="G978" s="227"/>
      <c r="H978" s="227"/>
      <c r="I978" s="227"/>
      <c r="J978" s="227"/>
      <c r="K978" s="227"/>
      <c r="L978" s="227"/>
      <c r="M978" s="227"/>
      <c r="N978" s="227"/>
      <c r="O978" s="227"/>
      <c r="P978" s="227"/>
      <c r="Q978" s="227"/>
      <c r="R978" s="227"/>
    </row>
    <row r="979" spans="1:18">
      <c r="A979" s="2"/>
      <c r="B979" s="2"/>
      <c r="C979" s="120"/>
      <c r="D979" s="120"/>
      <c r="E979" s="118"/>
      <c r="F979" s="227"/>
      <c r="G979" s="227"/>
      <c r="H979" s="227"/>
      <c r="I979" s="227"/>
      <c r="J979" s="227"/>
      <c r="K979" s="227"/>
      <c r="L979" s="227"/>
      <c r="M979" s="227"/>
      <c r="N979" s="227"/>
      <c r="O979" s="227"/>
      <c r="P979" s="227"/>
      <c r="Q979" s="227"/>
      <c r="R979" s="227"/>
    </row>
    <row r="980" spans="1:18">
      <c r="A980" s="2"/>
      <c r="B980" s="2"/>
      <c r="C980" s="120"/>
      <c r="D980" s="120"/>
      <c r="E980" s="118"/>
      <c r="F980" s="227"/>
      <c r="G980" s="227"/>
      <c r="H980" s="227"/>
      <c r="I980" s="227"/>
      <c r="J980" s="227"/>
      <c r="K980" s="227"/>
      <c r="L980" s="227"/>
      <c r="M980" s="227"/>
      <c r="N980" s="227"/>
      <c r="O980" s="227"/>
      <c r="P980" s="227"/>
      <c r="Q980" s="227"/>
      <c r="R980" s="227"/>
    </row>
    <row r="981" spans="1:18">
      <c r="A981" s="2"/>
      <c r="B981" s="2"/>
      <c r="C981" s="120"/>
      <c r="D981" s="120"/>
      <c r="E981" s="118"/>
      <c r="F981" s="227"/>
      <c r="G981" s="227"/>
      <c r="H981" s="227"/>
      <c r="I981" s="227"/>
      <c r="J981" s="227"/>
      <c r="K981" s="227"/>
      <c r="L981" s="227"/>
      <c r="M981" s="227"/>
      <c r="N981" s="227"/>
      <c r="O981" s="227"/>
      <c r="P981" s="227"/>
      <c r="Q981" s="227"/>
      <c r="R981" s="227"/>
    </row>
    <row r="982" spans="1:18">
      <c r="A982" s="2"/>
      <c r="B982" s="2"/>
      <c r="C982" s="120"/>
      <c r="D982" s="120"/>
      <c r="E982" s="118"/>
      <c r="F982" s="227"/>
      <c r="G982" s="227"/>
      <c r="H982" s="227"/>
      <c r="I982" s="227"/>
      <c r="J982" s="227"/>
      <c r="K982" s="227"/>
      <c r="L982" s="227"/>
      <c r="M982" s="227"/>
      <c r="N982" s="227"/>
      <c r="O982" s="227"/>
      <c r="P982" s="227"/>
      <c r="Q982" s="227"/>
      <c r="R982" s="227"/>
    </row>
    <row r="983" spans="1:18">
      <c r="A983" s="2"/>
      <c r="B983" s="2"/>
      <c r="C983" s="120"/>
      <c r="D983" s="120"/>
      <c r="E983" s="118"/>
      <c r="F983" s="227"/>
      <c r="G983" s="227"/>
      <c r="H983" s="227"/>
      <c r="I983" s="227"/>
      <c r="J983" s="227"/>
      <c r="K983" s="227"/>
      <c r="L983" s="227"/>
      <c r="M983" s="227"/>
      <c r="N983" s="227"/>
      <c r="O983" s="227"/>
      <c r="P983" s="227"/>
      <c r="Q983" s="227"/>
      <c r="R983" s="227"/>
    </row>
    <row r="984" spans="1:18">
      <c r="A984" s="2"/>
      <c r="B984" s="2"/>
      <c r="C984" s="120"/>
      <c r="D984" s="120"/>
      <c r="E984" s="118"/>
      <c r="F984" s="227"/>
      <c r="G984" s="227"/>
      <c r="H984" s="227"/>
      <c r="I984" s="227"/>
      <c r="J984" s="227"/>
      <c r="K984" s="227"/>
      <c r="L984" s="227"/>
      <c r="M984" s="227"/>
      <c r="N984" s="227"/>
      <c r="O984" s="227"/>
      <c r="P984" s="227"/>
      <c r="Q984" s="227"/>
      <c r="R984" s="227"/>
    </row>
    <row r="985" spans="1:18">
      <c r="A985" s="2"/>
      <c r="B985" s="2"/>
      <c r="C985" s="120"/>
      <c r="D985" s="120"/>
      <c r="E985" s="118"/>
      <c r="F985" s="227"/>
      <c r="G985" s="227"/>
      <c r="H985" s="227"/>
      <c r="I985" s="227"/>
      <c r="J985" s="227"/>
      <c r="K985" s="227"/>
      <c r="L985" s="227"/>
      <c r="M985" s="227"/>
      <c r="N985" s="227"/>
      <c r="O985" s="227"/>
      <c r="P985" s="227"/>
      <c r="Q985" s="227"/>
      <c r="R985" s="227"/>
    </row>
    <row r="986" spans="1:18">
      <c r="A986" s="2"/>
      <c r="B986" s="2"/>
      <c r="C986" s="120"/>
      <c r="D986" s="120"/>
      <c r="E986" s="118"/>
      <c r="F986" s="227"/>
      <c r="G986" s="227"/>
      <c r="H986" s="227"/>
      <c r="I986" s="227"/>
      <c r="J986" s="227"/>
      <c r="K986" s="227"/>
      <c r="L986" s="227"/>
      <c r="M986" s="227"/>
      <c r="N986" s="227"/>
      <c r="O986" s="227"/>
      <c r="P986" s="227"/>
      <c r="Q986" s="227"/>
      <c r="R986" s="227"/>
    </row>
    <row r="987" spans="1:18">
      <c r="A987" s="2"/>
      <c r="B987" s="2"/>
      <c r="C987" s="120"/>
      <c r="D987" s="120"/>
      <c r="E987" s="118"/>
      <c r="F987" s="227"/>
      <c r="G987" s="227"/>
      <c r="H987" s="227"/>
      <c r="I987" s="227"/>
      <c r="J987" s="227"/>
      <c r="K987" s="227"/>
      <c r="L987" s="227"/>
      <c r="M987" s="227"/>
      <c r="N987" s="227"/>
      <c r="O987" s="227"/>
      <c r="P987" s="227"/>
      <c r="Q987" s="227"/>
      <c r="R987" s="227"/>
    </row>
    <row r="988" spans="1:18">
      <c r="A988" s="2"/>
      <c r="B988" s="2"/>
      <c r="C988" s="120"/>
      <c r="D988" s="120"/>
      <c r="E988" s="118"/>
      <c r="F988" s="227"/>
      <c r="G988" s="227"/>
      <c r="H988" s="227"/>
      <c r="I988" s="227"/>
      <c r="J988" s="227"/>
      <c r="K988" s="227"/>
      <c r="L988" s="227"/>
      <c r="M988" s="227"/>
      <c r="N988" s="227"/>
      <c r="O988" s="227"/>
      <c r="P988" s="227"/>
      <c r="Q988" s="227"/>
      <c r="R988" s="227"/>
    </row>
    <row r="989" spans="1:18">
      <c r="A989" s="2"/>
      <c r="B989" s="2"/>
      <c r="C989" s="120"/>
      <c r="D989" s="120"/>
      <c r="E989" s="118"/>
      <c r="F989" s="227"/>
      <c r="G989" s="227"/>
      <c r="H989" s="227"/>
      <c r="I989" s="227"/>
      <c r="J989" s="227"/>
      <c r="K989" s="227"/>
      <c r="L989" s="227"/>
      <c r="M989" s="227"/>
      <c r="N989" s="227"/>
      <c r="O989" s="227"/>
      <c r="P989" s="227"/>
      <c r="Q989" s="227"/>
      <c r="R989" s="227"/>
    </row>
    <row r="990" spans="1:18">
      <c r="A990" s="2"/>
      <c r="B990" s="2"/>
      <c r="C990" s="120"/>
      <c r="D990" s="120"/>
      <c r="E990" s="118"/>
      <c r="F990" s="227"/>
      <c r="G990" s="227"/>
      <c r="H990" s="227"/>
      <c r="I990" s="227"/>
      <c r="J990" s="227"/>
      <c r="K990" s="227"/>
      <c r="L990" s="227"/>
      <c r="M990" s="227"/>
      <c r="N990" s="227"/>
      <c r="O990" s="227"/>
      <c r="P990" s="227"/>
      <c r="Q990" s="227"/>
      <c r="R990" s="227"/>
    </row>
    <row r="991" spans="1:18">
      <c r="A991" s="2"/>
      <c r="B991" s="2"/>
      <c r="C991" s="120"/>
      <c r="D991" s="120"/>
      <c r="E991" s="118"/>
      <c r="F991" s="227"/>
      <c r="G991" s="227"/>
      <c r="H991" s="227"/>
      <c r="I991" s="227"/>
      <c r="J991" s="227"/>
      <c r="K991" s="227"/>
      <c r="L991" s="227"/>
      <c r="M991" s="227"/>
      <c r="N991" s="227"/>
      <c r="O991" s="227"/>
      <c r="P991" s="227"/>
      <c r="Q991" s="227"/>
      <c r="R991" s="227"/>
    </row>
    <row r="992" spans="1:18">
      <c r="A992" s="2"/>
      <c r="B992" s="2"/>
      <c r="C992" s="120"/>
      <c r="D992" s="120"/>
      <c r="E992" s="118"/>
      <c r="F992" s="227"/>
      <c r="G992" s="227"/>
      <c r="H992" s="227"/>
      <c r="I992" s="227"/>
      <c r="J992" s="227"/>
      <c r="K992" s="227"/>
      <c r="L992" s="227"/>
      <c r="M992" s="227"/>
      <c r="N992" s="227"/>
      <c r="O992" s="227"/>
      <c r="P992" s="227"/>
      <c r="Q992" s="227"/>
      <c r="R992" s="227"/>
    </row>
    <row r="993" spans="1:18">
      <c r="A993" s="2"/>
      <c r="B993" s="2"/>
      <c r="C993" s="120"/>
      <c r="D993" s="120"/>
      <c r="E993" s="118"/>
      <c r="F993" s="227"/>
      <c r="G993" s="227"/>
      <c r="H993" s="227"/>
      <c r="I993" s="227"/>
      <c r="J993" s="227"/>
      <c r="K993" s="227"/>
      <c r="L993" s="227"/>
      <c r="M993" s="227"/>
      <c r="N993" s="227"/>
      <c r="O993" s="227"/>
      <c r="P993" s="227"/>
      <c r="Q993" s="227"/>
      <c r="R993" s="227"/>
    </row>
    <row r="994" spans="1:18">
      <c r="A994" s="2"/>
      <c r="B994" s="2"/>
      <c r="C994" s="120"/>
      <c r="D994" s="120"/>
      <c r="E994" s="118"/>
      <c r="F994" s="227"/>
      <c r="G994" s="227"/>
      <c r="H994" s="227"/>
      <c r="I994" s="227"/>
      <c r="J994" s="227"/>
      <c r="K994" s="227"/>
      <c r="L994" s="227"/>
      <c r="M994" s="227"/>
      <c r="N994" s="227"/>
      <c r="O994" s="227"/>
      <c r="P994" s="227"/>
      <c r="Q994" s="227"/>
      <c r="R994" s="227"/>
    </row>
  </sheetData>
  <mergeCells count="1">
    <mergeCell ref="A1:B1"/>
  </mergeCells>
  <conditionalFormatting sqref="B4:B994">
    <cfRule type="expression" dxfId="5" priority="2">
      <formula>#REF!&gt;0</formula>
    </cfRule>
  </conditionalFormatting>
  <conditionalFormatting sqref="B4:D994">
    <cfRule type="expression" dxfId="4" priority="1">
      <formula>D4="Set"</formula>
    </cfRule>
  </conditionalFormatting>
  <conditionalFormatting sqref="E4:R994">
    <cfRule type="expression" dxfId="3" priority="3">
      <formula>AND(B4&lt;&gt;"",E4&lt;&gt;0)</formula>
    </cfRule>
  </conditionalFormatting>
  <printOptions horizontalCentered="1" gridLines="1"/>
  <pageMargins left="0.7" right="0.7" top="0.75" bottom="0.75" header="0" footer="0"/>
  <pageSetup paperSize="9" pageOrder="overThenDown" orientation="portrait" cellComments="atEnd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1600-000000000000}">
          <x14:formula1>
            <xm:f>Projects!$B$2:$B994</xm:f>
          </x14:formula1>
          <xm:sqref>B2</xm:sqref>
        </x14:dataValidation>
      </x14:dataValidations>
    </ext>
  </extLst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O993"/>
  <sheetViews>
    <sheetView workbookViewId="0">
      <pane ySplit="2" topLeftCell="A3" activePane="bottomLeft" state="frozen"/>
      <selection pane="bottomLeft" activeCell="B4" sqref="B4"/>
    </sheetView>
  </sheetViews>
  <sheetFormatPr defaultColWidth="14.453125" defaultRowHeight="15" customHeight="1"/>
  <cols>
    <col min="1" max="1" width="4.453125" customWidth="1"/>
    <col min="2" max="2" width="35.1796875" customWidth="1"/>
    <col min="3" max="3" width="42.453125" customWidth="1"/>
    <col min="4" max="4" width="10.1796875" customWidth="1"/>
    <col min="5" max="5" width="43.54296875" customWidth="1"/>
    <col min="6" max="6" width="24.1796875" customWidth="1"/>
    <col min="7" max="7" width="24.1796875" hidden="1" customWidth="1"/>
    <col min="8" max="8" width="2.54296875" customWidth="1"/>
    <col min="9" max="15" width="14.453125" hidden="1"/>
  </cols>
  <sheetData>
    <row r="1" spans="1:7">
      <c r="A1" s="228"/>
      <c r="B1" s="62" t="s">
        <v>2027</v>
      </c>
      <c r="C1" s="131"/>
      <c r="D1" s="131"/>
      <c r="E1" s="132"/>
      <c r="F1" s="131"/>
      <c r="G1" s="229"/>
    </row>
    <row r="2" spans="1:7">
      <c r="A2" s="134" t="s">
        <v>1738</v>
      </c>
      <c r="B2" s="135" t="s">
        <v>2028</v>
      </c>
      <c r="C2" s="135" t="s">
        <v>1994</v>
      </c>
      <c r="D2" s="135" t="s">
        <v>1810</v>
      </c>
      <c r="E2" s="135" t="s">
        <v>1817</v>
      </c>
      <c r="F2" s="230" t="s">
        <v>2026</v>
      </c>
      <c r="G2" s="231"/>
    </row>
    <row r="3" spans="1:7">
      <c r="A3" s="136">
        <f>IF(B3="","",ROW()-2)</f>
        <v>1</v>
      </c>
      <c r="B3" s="137" t="s">
        <v>1998</v>
      </c>
      <c r="C3" s="137" t="s">
        <v>1802</v>
      </c>
      <c r="D3" s="136">
        <v>10</v>
      </c>
      <c r="E3" s="136" t="s">
        <v>2029</v>
      </c>
      <c r="F3" s="136">
        <f>IF(B3="","",D3-SUMIFS(Issue!$D$3:$D993,Issue!$C$3:$C993,C3,Issue!$B$3:$B993,B3))</f>
        <v>0</v>
      </c>
      <c r="G3" s="232"/>
    </row>
    <row r="4" spans="1:7">
      <c r="A4" s="136">
        <v>2</v>
      </c>
      <c r="B4" s="137" t="s">
        <v>2001</v>
      </c>
      <c r="C4" s="137" t="s">
        <v>1802</v>
      </c>
      <c r="D4" s="98">
        <v>5</v>
      </c>
      <c r="E4" s="136" t="s">
        <v>2030</v>
      </c>
      <c r="F4" s="136">
        <f>IF(B4="","",D4-SUMIFS(Issue!$D$3:$D993,Issue!$C$3:$C993,C4,Issue!$B$3:$B993,B4))</f>
        <v>0</v>
      </c>
      <c r="G4" s="232"/>
    </row>
    <row r="5" spans="1:7">
      <c r="A5" s="136">
        <v>3</v>
      </c>
      <c r="B5" s="137" t="s">
        <v>2003</v>
      </c>
      <c r="C5" s="137" t="s">
        <v>1802</v>
      </c>
      <c r="D5" s="136">
        <v>10</v>
      </c>
      <c r="E5" s="136" t="s">
        <v>2031</v>
      </c>
      <c r="F5" s="136">
        <f>IF(B5="","",D5-SUMIFS(Issue!$D$3:$D993,Issue!$C$3:$C993,C5,Issue!$B$3:$B993,B5))</f>
        <v>0</v>
      </c>
      <c r="G5" s="232"/>
    </row>
    <row r="6" spans="1:7">
      <c r="A6" s="136">
        <f t="shared" ref="A6:A260" si="0">IF(B6="","",ROW()-2)</f>
        <v>4</v>
      </c>
      <c r="B6" s="137" t="s">
        <v>2005</v>
      </c>
      <c r="C6" s="137" t="s">
        <v>1802</v>
      </c>
      <c r="D6" s="136">
        <v>20</v>
      </c>
      <c r="E6" s="233" t="s">
        <v>2032</v>
      </c>
      <c r="F6" s="136">
        <f>IF(B6="","",D6-SUMIFS(Issue!$D$3:$D993,Issue!$C$3:$C993,C6,Issue!$B$3:$B993,B6))</f>
        <v>6</v>
      </c>
      <c r="G6" s="232"/>
    </row>
    <row r="7" spans="1:7">
      <c r="A7" s="136">
        <f t="shared" si="0"/>
        <v>5</v>
      </c>
      <c r="B7" s="137" t="s">
        <v>2007</v>
      </c>
      <c r="C7" s="137" t="s">
        <v>1802</v>
      </c>
      <c r="D7" s="136">
        <v>37</v>
      </c>
      <c r="E7" s="136" t="s">
        <v>2033</v>
      </c>
      <c r="F7" s="136">
        <f>IF(B7="","",D7-SUMIFS(Issue!$D$3:$D993,Issue!$C$3:$C993,C7,Issue!$B$3:$B993,B7))</f>
        <v>35</v>
      </c>
      <c r="G7" s="232"/>
    </row>
    <row r="8" spans="1:7">
      <c r="A8" s="136" t="str">
        <f t="shared" si="0"/>
        <v/>
      </c>
      <c r="B8" s="137"/>
      <c r="C8" s="137"/>
      <c r="D8" s="136"/>
      <c r="E8" s="136"/>
      <c r="F8" s="136" t="str">
        <f>IF(B8="","",D8-SUMIFS(Issue!$D$3:$D993,Issue!$C$3:$C993,C8,Issue!$B$3:$B993,B8))</f>
        <v/>
      </c>
      <c r="G8" s="232"/>
    </row>
    <row r="9" spans="1:7">
      <c r="A9" s="136" t="str">
        <f t="shared" si="0"/>
        <v/>
      </c>
      <c r="B9" s="137"/>
      <c r="C9" s="137"/>
      <c r="D9" s="136"/>
      <c r="E9" s="136"/>
      <c r="F9" s="136" t="str">
        <f>IF(B9="","",D9-SUMIFS(Issue!$D$3:$D993,Issue!$C$3:$C993,C9,Issue!$B$3:$B993,B9))</f>
        <v/>
      </c>
      <c r="G9" s="232"/>
    </row>
    <row r="10" spans="1:7">
      <c r="A10" s="136" t="str">
        <f t="shared" si="0"/>
        <v/>
      </c>
      <c r="B10" s="137"/>
      <c r="C10" s="137"/>
      <c r="D10" s="136"/>
      <c r="E10" s="136"/>
      <c r="F10" s="136" t="str">
        <f>IF(B10="","",D10-SUMIFS(Issue!$D$3:$D993,Issue!$C$3:$C993,C10,Issue!$B$3:$B993,B10))</f>
        <v/>
      </c>
      <c r="G10" s="232"/>
    </row>
    <row r="11" spans="1:7">
      <c r="A11" s="136" t="str">
        <f t="shared" si="0"/>
        <v/>
      </c>
      <c r="B11" s="137"/>
      <c r="C11" s="137"/>
      <c r="D11" s="136"/>
      <c r="E11" s="136"/>
      <c r="F11" s="136" t="str">
        <f>IF(B11="","",D11-SUMIFS(Issue!$D$3:$D993,Issue!$C$3:$C993,C11,Issue!$B$3:$B993,B11))</f>
        <v/>
      </c>
      <c r="G11" s="232"/>
    </row>
    <row r="12" spans="1:7">
      <c r="A12" s="136" t="str">
        <f t="shared" si="0"/>
        <v/>
      </c>
      <c r="B12" s="137"/>
      <c r="C12" s="137"/>
      <c r="D12" s="136"/>
      <c r="E12" s="136"/>
      <c r="F12" s="136" t="str">
        <f>IF(B12="","",D12-SUMIFS(Issue!$D$3:$D993,Issue!$C$3:$C993,C12,Issue!$B$3:$B993,B12))</f>
        <v/>
      </c>
      <c r="G12" s="232"/>
    </row>
    <row r="13" spans="1:7">
      <c r="A13" s="136" t="str">
        <f t="shared" si="0"/>
        <v/>
      </c>
      <c r="B13" s="137"/>
      <c r="C13" s="137"/>
      <c r="D13" s="136"/>
      <c r="E13" s="136"/>
      <c r="F13" s="136" t="str">
        <f>IF(B13="","",D13-SUMIFS(Issue!$D$3:$D993,Issue!$C$3:$C993,C13,Issue!$B$3:$B993,B13))</f>
        <v/>
      </c>
      <c r="G13" s="232"/>
    </row>
    <row r="14" spans="1:7">
      <c r="A14" s="136" t="str">
        <f t="shared" si="0"/>
        <v/>
      </c>
      <c r="B14" s="137"/>
      <c r="C14" s="137"/>
      <c r="D14" s="136"/>
      <c r="E14" s="136"/>
      <c r="F14" s="136" t="str">
        <f>IF(B14="","",D14-SUMIFS(Issue!$D$3:$D993,Issue!$C$3:$C993,C14,Issue!$B$3:$B993,B14))</f>
        <v/>
      </c>
      <c r="G14" s="232"/>
    </row>
    <row r="15" spans="1:7">
      <c r="A15" s="136" t="str">
        <f t="shared" si="0"/>
        <v/>
      </c>
      <c r="B15" s="137"/>
      <c r="C15" s="137"/>
      <c r="D15" s="136"/>
      <c r="E15" s="136"/>
      <c r="F15" s="136" t="str">
        <f>IF(B15="","",D15-SUMIFS(Issue!$D$3:$D993,Issue!$C$3:$C993,C15,Issue!$B$3:$B993,B15))</f>
        <v/>
      </c>
      <c r="G15" s="232"/>
    </row>
    <row r="16" spans="1:7">
      <c r="A16" s="136" t="str">
        <f t="shared" si="0"/>
        <v/>
      </c>
      <c r="B16" s="137"/>
      <c r="C16" s="137"/>
      <c r="D16" s="136"/>
      <c r="E16" s="136"/>
      <c r="F16" s="136" t="str">
        <f>IF(B16="","",D16-SUMIFS(Issue!$D$3:$D993,Issue!$C$3:$C993,C16,Issue!$B$3:$B993,B16))</f>
        <v/>
      </c>
      <c r="G16" s="232"/>
    </row>
    <row r="17" spans="1:7">
      <c r="A17" s="136" t="str">
        <f t="shared" si="0"/>
        <v/>
      </c>
      <c r="B17" s="137"/>
      <c r="C17" s="137"/>
      <c r="D17" s="136"/>
      <c r="E17" s="136"/>
      <c r="F17" s="136" t="str">
        <f>IF(B17="","",D17-SUMIFS(Issue!$D$3:$D993,Issue!$C$3:$C993,C17,Issue!$B$3:$B993,B17))</f>
        <v/>
      </c>
      <c r="G17" s="232"/>
    </row>
    <row r="18" spans="1:7">
      <c r="A18" s="136" t="str">
        <f t="shared" si="0"/>
        <v/>
      </c>
      <c r="B18" s="137"/>
      <c r="C18" s="137"/>
      <c r="D18" s="136"/>
      <c r="E18" s="136"/>
      <c r="F18" s="136" t="str">
        <f>IF(B18="","",D18-SUMIFS(Issue!$D$3:$D993,Issue!$C$3:$C993,C18,Issue!$B$3:$B993,B18))</f>
        <v/>
      </c>
      <c r="G18" s="232"/>
    </row>
    <row r="19" spans="1:7">
      <c r="A19" s="136" t="str">
        <f t="shared" si="0"/>
        <v/>
      </c>
      <c r="B19" s="137"/>
      <c r="C19" s="137"/>
      <c r="D19" s="136"/>
      <c r="E19" s="136"/>
      <c r="F19" s="136" t="str">
        <f>IF(B19="","",D19-SUMIFS(Issue!$D$3:$D993,Issue!$C$3:$C993,C19,Issue!$B$3:$B993,B19))</f>
        <v/>
      </c>
      <c r="G19" s="232"/>
    </row>
    <row r="20" spans="1:7">
      <c r="A20" s="136" t="str">
        <f t="shared" si="0"/>
        <v/>
      </c>
      <c r="B20" s="137"/>
      <c r="C20" s="137"/>
      <c r="D20" s="136"/>
      <c r="E20" s="136"/>
      <c r="F20" s="136" t="str">
        <f>IF(B20="","",D20-SUMIFS(Issue!$D$3:$D993,Issue!$C$3:$C993,C20,Issue!$B$3:$B993,B20))</f>
        <v/>
      </c>
      <c r="G20" s="232"/>
    </row>
    <row r="21" spans="1:7">
      <c r="A21" s="136" t="str">
        <f t="shared" si="0"/>
        <v/>
      </c>
      <c r="B21" s="137"/>
      <c r="C21" s="137"/>
      <c r="D21" s="136"/>
      <c r="E21" s="136"/>
      <c r="F21" s="136" t="str">
        <f>IF(B21="","",D21-SUMIFS(Issue!$D$3:$D993,Issue!$C$3:$C993,C21,Issue!$B$3:$B993,B21))</f>
        <v/>
      </c>
      <c r="G21" s="232"/>
    </row>
    <row r="22" spans="1:7">
      <c r="A22" s="136" t="str">
        <f t="shared" si="0"/>
        <v/>
      </c>
      <c r="B22" s="137"/>
      <c r="C22" s="137"/>
      <c r="D22" s="136"/>
      <c r="E22" s="136"/>
      <c r="F22" s="136" t="str">
        <f>IF(B22="","",D22-SUMIFS(Issue!$D$3:$D993,Issue!$C$3:$C993,C22,Issue!$B$3:$B993,B22))</f>
        <v/>
      </c>
      <c r="G22" s="232"/>
    </row>
    <row r="23" spans="1:7">
      <c r="A23" s="136" t="str">
        <f t="shared" si="0"/>
        <v/>
      </c>
      <c r="B23" s="137"/>
      <c r="C23" s="137"/>
      <c r="D23" s="136"/>
      <c r="E23" s="136"/>
      <c r="F23" s="136" t="str">
        <f>IF(B23="","",D23-SUMIFS(Issue!$D$3:$D993,Issue!$C$3:$C993,C23,Issue!$B$3:$B993,B23))</f>
        <v/>
      </c>
      <c r="G23" s="232"/>
    </row>
    <row r="24" spans="1:7">
      <c r="A24" s="136" t="str">
        <f t="shared" si="0"/>
        <v/>
      </c>
      <c r="B24" s="137"/>
      <c r="C24" s="137"/>
      <c r="D24" s="136"/>
      <c r="E24" s="136"/>
      <c r="F24" s="136" t="str">
        <f>IF(B24="","",D24-SUMIFS(Issue!$D$3:$D993,Issue!$C$3:$C993,C24,Issue!$B$3:$B993,B24))</f>
        <v/>
      </c>
      <c r="G24" s="232"/>
    </row>
    <row r="25" spans="1:7">
      <c r="A25" s="136" t="str">
        <f t="shared" si="0"/>
        <v/>
      </c>
      <c r="B25" s="137"/>
      <c r="C25" s="137"/>
      <c r="D25" s="136"/>
      <c r="E25" s="136"/>
      <c r="F25" s="136" t="str">
        <f>IF(B25="","",D25-SUMIFS(Issue!$D$3:$D993,Issue!$C$3:$C993,C25,Issue!$B$3:$B993,B25))</f>
        <v/>
      </c>
      <c r="G25" s="232"/>
    </row>
    <row r="26" spans="1:7">
      <c r="A26" s="136" t="str">
        <f t="shared" si="0"/>
        <v/>
      </c>
      <c r="B26" s="137"/>
      <c r="C26" s="137"/>
      <c r="D26" s="136"/>
      <c r="E26" s="136"/>
      <c r="F26" s="136" t="str">
        <f>IF(B26="","",D26-SUMIFS(Issue!$D$3:$D993,Issue!$C$3:$C993,C26,Issue!$B$3:$B993,B26))</f>
        <v/>
      </c>
      <c r="G26" s="232"/>
    </row>
    <row r="27" spans="1:7">
      <c r="A27" s="136" t="str">
        <f t="shared" si="0"/>
        <v/>
      </c>
      <c r="B27" s="137"/>
      <c r="C27" s="137"/>
      <c r="D27" s="136"/>
      <c r="E27" s="136"/>
      <c r="F27" s="136" t="str">
        <f>IF(B27="","",D27-SUMIFS(Issue!$D$3:$D993,Issue!$C$3:$C993,C27,Issue!$B$3:$B993,B27))</f>
        <v/>
      </c>
      <c r="G27" s="232"/>
    </row>
    <row r="28" spans="1:7">
      <c r="A28" s="136" t="str">
        <f t="shared" si="0"/>
        <v/>
      </c>
      <c r="B28" s="137"/>
      <c r="C28" s="137"/>
      <c r="D28" s="136"/>
      <c r="E28" s="136"/>
      <c r="F28" s="136" t="str">
        <f>IF(B28="","",D28-SUMIFS(Issue!$D$3:$D993,Issue!$C$3:$C993,C28,Issue!$B$3:$B993,B28))</f>
        <v/>
      </c>
      <c r="G28" s="232"/>
    </row>
    <row r="29" spans="1:7">
      <c r="A29" s="136" t="str">
        <f t="shared" si="0"/>
        <v/>
      </c>
      <c r="B29" s="137"/>
      <c r="C29" s="137"/>
      <c r="D29" s="136"/>
      <c r="E29" s="136"/>
      <c r="F29" s="136" t="str">
        <f>IF(B29="","",D29-SUMIFS(Issue!$D$3:$D993,Issue!$C$3:$C993,C29,Issue!$B$3:$B993,B29))</f>
        <v/>
      </c>
      <c r="G29" s="232"/>
    </row>
    <row r="30" spans="1:7">
      <c r="A30" s="136" t="str">
        <f t="shared" si="0"/>
        <v/>
      </c>
      <c r="B30" s="137"/>
      <c r="C30" s="137"/>
      <c r="D30" s="136"/>
      <c r="E30" s="136"/>
      <c r="F30" s="136" t="str">
        <f>IF(B30="","",D30-SUMIFS(Issue!$D$3:$D993,Issue!$C$3:$C993,C30,Issue!$B$3:$B993,B30))</f>
        <v/>
      </c>
      <c r="G30" s="232"/>
    </row>
    <row r="31" spans="1:7">
      <c r="A31" s="136" t="str">
        <f t="shared" si="0"/>
        <v/>
      </c>
      <c r="B31" s="137"/>
      <c r="C31" s="137"/>
      <c r="D31" s="136"/>
      <c r="E31" s="136"/>
      <c r="F31" s="136" t="str">
        <f>IF(B31="","",D31-SUMIFS(Issue!$D$3:$D993,Issue!$C$3:$C993,C31,Issue!$B$3:$B993,B31))</f>
        <v/>
      </c>
      <c r="G31" s="232"/>
    </row>
    <row r="32" spans="1:7">
      <c r="A32" s="136" t="str">
        <f t="shared" si="0"/>
        <v/>
      </c>
      <c r="B32" s="137"/>
      <c r="C32" s="137"/>
      <c r="D32" s="136"/>
      <c r="E32" s="136"/>
      <c r="F32" s="136" t="str">
        <f>IF(B32="","",D32-SUMIFS(Issue!$D$3:$D993,Issue!$C$3:$C993,C32,Issue!$B$3:$B993,B32))</f>
        <v/>
      </c>
      <c r="G32" s="232"/>
    </row>
    <row r="33" spans="1:7">
      <c r="A33" s="136" t="str">
        <f t="shared" si="0"/>
        <v/>
      </c>
      <c r="B33" s="137"/>
      <c r="C33" s="137"/>
      <c r="D33" s="136"/>
      <c r="E33" s="136"/>
      <c r="F33" s="136" t="str">
        <f>IF(B33="","",D33-SUMIFS(Issue!$D$3:$D993,Issue!$C$3:$C993,C33,Issue!$B$3:$B993,B33))</f>
        <v/>
      </c>
      <c r="G33" s="232"/>
    </row>
    <row r="34" spans="1:7">
      <c r="A34" s="136" t="str">
        <f t="shared" si="0"/>
        <v/>
      </c>
      <c r="B34" s="137"/>
      <c r="C34" s="137"/>
      <c r="D34" s="136"/>
      <c r="E34" s="136"/>
      <c r="F34" s="136" t="str">
        <f>IF(B34="","",D34-SUMIFS(Issue!$D$3:$D993,Issue!$C$3:$C993,C34,Issue!$B$3:$B993,B34))</f>
        <v/>
      </c>
      <c r="G34" s="232"/>
    </row>
    <row r="35" spans="1:7">
      <c r="A35" s="136" t="str">
        <f t="shared" si="0"/>
        <v/>
      </c>
      <c r="B35" s="142"/>
      <c r="C35" s="143"/>
      <c r="D35" s="144"/>
      <c r="E35" s="143"/>
      <c r="F35" s="136" t="str">
        <f>IF(B35="","",D35-SUMIFS(Issue!$D$3:$D993,Issue!$C$3:$C993,C35,Issue!$B$3:$B993,B35))</f>
        <v/>
      </c>
      <c r="G35" s="232"/>
    </row>
    <row r="36" spans="1:7">
      <c r="A36" s="136" t="str">
        <f t="shared" si="0"/>
        <v/>
      </c>
      <c r="B36" s="150"/>
      <c r="C36" s="145"/>
      <c r="D36" s="146"/>
      <c r="E36" s="145"/>
      <c r="F36" s="136" t="str">
        <f>IF(B36="","",D36-SUMIFS(Issue!$D$3:$D993,Issue!$C$3:$C993,C36,Issue!$B$3:$B993,B36))</f>
        <v/>
      </c>
      <c r="G36" s="232"/>
    </row>
    <row r="37" spans="1:7">
      <c r="A37" s="136" t="str">
        <f t="shared" si="0"/>
        <v/>
      </c>
      <c r="B37" s="147"/>
      <c r="C37" s="148"/>
      <c r="D37" s="149"/>
      <c r="E37" s="148"/>
      <c r="F37" s="136" t="str">
        <f>IF(B37="","",D37-SUMIFS(Issue!$D$3:$D993,Issue!$C$3:$C993,C37,Issue!$B$3:$B993,B37))</f>
        <v/>
      </c>
      <c r="G37" s="232"/>
    </row>
    <row r="38" spans="1:7">
      <c r="A38" s="136" t="str">
        <f t="shared" si="0"/>
        <v/>
      </c>
      <c r="B38" s="150"/>
      <c r="C38" s="145"/>
      <c r="D38" s="146"/>
      <c r="E38" s="145"/>
      <c r="F38" s="136" t="str">
        <f>IF(B38="","",D38-SUMIFS(Issue!$D$3:$D993,Issue!$C$3:$C993,C38,Issue!$B$3:$B993,B38))</f>
        <v/>
      </c>
      <c r="G38" s="232"/>
    </row>
    <row r="39" spans="1:7">
      <c r="A39" s="136" t="str">
        <f t="shared" si="0"/>
        <v/>
      </c>
      <c r="B39" s="137"/>
      <c r="C39" s="137"/>
      <c r="D39" s="136"/>
      <c r="E39" s="136"/>
      <c r="F39" s="136" t="str">
        <f>IF(B39="","",D39-SUMIFS(Issue!$D$3:$D993,Issue!$C$3:$C993,C39,Issue!$B$3:$B993,B39))</f>
        <v/>
      </c>
      <c r="G39" s="232"/>
    </row>
    <row r="40" spans="1:7">
      <c r="A40" s="136" t="str">
        <f t="shared" si="0"/>
        <v/>
      </c>
      <c r="B40" s="137"/>
      <c r="C40" s="137"/>
      <c r="D40" s="136"/>
      <c r="E40" s="136"/>
      <c r="F40" s="136" t="str">
        <f>IF(B40="","",D40-SUMIFS(Issue!$D$3:$D993,Issue!$C$3:$C993,C40,Issue!$B$3:$B993,B40))</f>
        <v/>
      </c>
      <c r="G40" s="232"/>
    </row>
    <row r="41" spans="1:7">
      <c r="A41" s="136" t="str">
        <f t="shared" si="0"/>
        <v/>
      </c>
      <c r="B41" s="137"/>
      <c r="C41" s="137"/>
      <c r="D41" s="136"/>
      <c r="E41" s="136"/>
      <c r="F41" s="136" t="str">
        <f>IF(B41="","",D41-SUMIFS(Issue!$D$3:$D993,Issue!$C$3:$C993,C41,Issue!$B$3:$B993,B41))</f>
        <v/>
      </c>
      <c r="G41" s="232"/>
    </row>
    <row r="42" spans="1:7">
      <c r="A42" s="136" t="str">
        <f t="shared" si="0"/>
        <v/>
      </c>
      <c r="B42" s="137"/>
      <c r="C42" s="137"/>
      <c r="D42" s="136"/>
      <c r="E42" s="136"/>
      <c r="F42" s="136" t="str">
        <f>IF(B42="","",D42-SUMIFS(Issue!$D$3:$D993,Issue!$C$3:$C993,C42,Issue!$B$3:$B993,B42))</f>
        <v/>
      </c>
      <c r="G42" s="232"/>
    </row>
    <row r="43" spans="1:7">
      <c r="A43" s="136" t="str">
        <f t="shared" si="0"/>
        <v/>
      </c>
      <c r="B43" s="137"/>
      <c r="C43" s="137"/>
      <c r="D43" s="136"/>
      <c r="E43" s="136"/>
      <c r="F43" s="136" t="str">
        <f>IF(B43="","",D43-SUMIFS(Issue!$D$3:$D993,Issue!$C$3:$C993,C43,Issue!$B$3:$B993,B43))</f>
        <v/>
      </c>
      <c r="G43" s="232"/>
    </row>
    <row r="44" spans="1:7">
      <c r="A44" s="136" t="str">
        <f t="shared" si="0"/>
        <v/>
      </c>
      <c r="B44" s="137"/>
      <c r="C44" s="137"/>
      <c r="D44" s="136"/>
      <c r="E44" s="136"/>
      <c r="F44" s="136" t="str">
        <f>IF(B44="","",D44-SUMIFS(Issue!$D$3:$D993,Issue!$C$3:$C993,C44,Issue!$B$3:$B993,B44))</f>
        <v/>
      </c>
      <c r="G44" s="232"/>
    </row>
    <row r="45" spans="1:7">
      <c r="A45" s="136" t="str">
        <f t="shared" si="0"/>
        <v/>
      </c>
      <c r="B45" s="137"/>
      <c r="C45" s="137"/>
      <c r="D45" s="136"/>
      <c r="E45" s="136"/>
      <c r="F45" s="136" t="str">
        <f>IF(B45="","",D45-SUMIFS(Issue!$D$3:$D993,Issue!$C$3:$C993,C45,Issue!$B$3:$B993,B45))</f>
        <v/>
      </c>
      <c r="G45" s="232"/>
    </row>
    <row r="46" spans="1:7">
      <c r="A46" s="136" t="str">
        <f t="shared" si="0"/>
        <v/>
      </c>
      <c r="B46" s="137"/>
      <c r="C46" s="137"/>
      <c r="D46" s="136"/>
      <c r="E46" s="136"/>
      <c r="F46" s="136" t="str">
        <f>IF(B46="","",D46-SUMIFS(Issue!$D$3:$D993,Issue!$C$3:$C993,C46,Issue!$B$3:$B993,B46))</f>
        <v/>
      </c>
      <c r="G46" s="232"/>
    </row>
    <row r="47" spans="1:7">
      <c r="A47" s="136" t="str">
        <f t="shared" si="0"/>
        <v/>
      </c>
      <c r="B47" s="137"/>
      <c r="C47" s="137"/>
      <c r="D47" s="136"/>
      <c r="E47" s="136"/>
      <c r="F47" s="136" t="str">
        <f>IF(B47="","",D47-SUMIFS(Issue!$D$3:$D993,Issue!$C$3:$C993,C47,Issue!$B$3:$B993,B47))</f>
        <v/>
      </c>
      <c r="G47" s="232"/>
    </row>
    <row r="48" spans="1:7">
      <c r="A48" s="136" t="str">
        <f t="shared" si="0"/>
        <v/>
      </c>
      <c r="B48" s="137"/>
      <c r="C48" s="137"/>
      <c r="D48" s="136"/>
      <c r="E48" s="136"/>
      <c r="F48" s="136" t="str">
        <f>IF(B48="","",D48-SUMIFS(Issue!$D$3:$D993,Issue!$C$3:$C993,C48,Issue!$B$3:$B993,B48))</f>
        <v/>
      </c>
      <c r="G48" s="232"/>
    </row>
    <row r="49" spans="1:7">
      <c r="A49" s="136" t="str">
        <f t="shared" si="0"/>
        <v/>
      </c>
      <c r="B49" s="137"/>
      <c r="C49" s="137"/>
      <c r="D49" s="136"/>
      <c r="E49" s="136"/>
      <c r="F49" s="136" t="str">
        <f>IF(B49="","",D49-SUMIFS(Issue!$D$3:$D993,Issue!$C$3:$C993,C49,Issue!$B$3:$B993,B49))</f>
        <v/>
      </c>
      <c r="G49" s="232"/>
    </row>
    <row r="50" spans="1:7">
      <c r="A50" s="136" t="str">
        <f t="shared" si="0"/>
        <v/>
      </c>
      <c r="B50" s="137"/>
      <c r="C50" s="137"/>
      <c r="D50" s="136"/>
      <c r="E50" s="136"/>
      <c r="F50" s="136" t="str">
        <f>IF(B50="","",D50-SUMIFS(Issue!$D$3:$D993,Issue!$C$3:$C993,C50,Issue!$B$3:$B993,B50))</f>
        <v/>
      </c>
      <c r="G50" s="232"/>
    </row>
    <row r="51" spans="1:7">
      <c r="A51" s="136" t="str">
        <f t="shared" si="0"/>
        <v/>
      </c>
      <c r="B51" s="137"/>
      <c r="C51" s="137"/>
      <c r="D51" s="136"/>
      <c r="E51" s="136"/>
      <c r="F51" s="136" t="str">
        <f>IF(B51="","",D51-SUMIFS(Issue!$D$3:$D993,Issue!$C$3:$C993,C51,Issue!$B$3:$B993,B51))</f>
        <v/>
      </c>
      <c r="G51" s="232"/>
    </row>
    <row r="52" spans="1:7">
      <c r="A52" s="136" t="str">
        <f t="shared" si="0"/>
        <v/>
      </c>
      <c r="B52" s="137"/>
      <c r="C52" s="137"/>
      <c r="D52" s="136"/>
      <c r="E52" s="136"/>
      <c r="F52" s="136" t="str">
        <f>IF(B52="","",D52-SUMIFS(Issue!$D$3:$D993,Issue!$C$3:$C993,C52,Issue!$B$3:$B993,B52))</f>
        <v/>
      </c>
      <c r="G52" s="232"/>
    </row>
    <row r="53" spans="1:7">
      <c r="A53" s="136" t="str">
        <f t="shared" si="0"/>
        <v/>
      </c>
      <c r="B53" s="137"/>
      <c r="C53" s="137"/>
      <c r="D53" s="136"/>
      <c r="E53" s="136"/>
      <c r="F53" s="136" t="str">
        <f>IF(B53="","",D53-SUMIFS(Issue!$D$3:$D993,Issue!$C$3:$C993,C53,Issue!$B$3:$B993,B53))</f>
        <v/>
      </c>
      <c r="G53" s="232"/>
    </row>
    <row r="54" spans="1:7">
      <c r="A54" s="136" t="str">
        <f t="shared" si="0"/>
        <v/>
      </c>
      <c r="B54" s="137"/>
      <c r="C54" s="137"/>
      <c r="D54" s="136"/>
      <c r="E54" s="136"/>
      <c r="F54" s="136" t="str">
        <f>IF(B54="","",D54-SUMIFS(Issue!$D$3:$D993,Issue!$C$3:$C993,C54,Issue!$B$3:$B993,B54))</f>
        <v/>
      </c>
      <c r="G54" s="232"/>
    </row>
    <row r="55" spans="1:7">
      <c r="A55" s="136" t="str">
        <f t="shared" si="0"/>
        <v/>
      </c>
      <c r="B55" s="137"/>
      <c r="C55" s="137"/>
      <c r="D55" s="136"/>
      <c r="E55" s="136"/>
      <c r="F55" s="136" t="str">
        <f>IF(B55="","",D55-SUMIFS(Issue!$D$3:$D993,Issue!$C$3:$C993,C55,Issue!$B$3:$B993,B55))</f>
        <v/>
      </c>
      <c r="G55" s="232"/>
    </row>
    <row r="56" spans="1:7">
      <c r="A56" s="136" t="str">
        <f t="shared" si="0"/>
        <v/>
      </c>
      <c r="B56" s="137"/>
      <c r="C56" s="137"/>
      <c r="D56" s="136"/>
      <c r="E56" s="136"/>
      <c r="F56" s="136" t="str">
        <f>IF(B56="","",D56-SUMIFS(Issue!$D$3:$D993,Issue!$C$3:$C993,C56,Issue!$B$3:$B993,B56))</f>
        <v/>
      </c>
      <c r="G56" s="232"/>
    </row>
    <row r="57" spans="1:7">
      <c r="A57" s="136" t="str">
        <f t="shared" si="0"/>
        <v/>
      </c>
      <c r="B57" s="137"/>
      <c r="C57" s="137"/>
      <c r="D57" s="136"/>
      <c r="E57" s="136"/>
      <c r="F57" s="136" t="str">
        <f>IF(B57="","",D57-SUMIFS(Issue!$D$3:$D993,Issue!$C$3:$C993,C57,Issue!$B$3:$B993,B57))</f>
        <v/>
      </c>
      <c r="G57" s="232"/>
    </row>
    <row r="58" spans="1:7">
      <c r="A58" s="136" t="str">
        <f t="shared" si="0"/>
        <v/>
      </c>
      <c r="B58" s="137"/>
      <c r="C58" s="137"/>
      <c r="D58" s="136"/>
      <c r="E58" s="136"/>
      <c r="F58" s="136" t="str">
        <f>IF(B58="","",D58-SUMIFS(Issue!$D$3:$D993,Issue!$C$3:$C993,C58,Issue!$B$3:$B993,B58))</f>
        <v/>
      </c>
      <c r="G58" s="232"/>
    </row>
    <row r="59" spans="1:7">
      <c r="A59" s="136" t="str">
        <f t="shared" si="0"/>
        <v/>
      </c>
      <c r="B59" s="137"/>
      <c r="C59" s="137"/>
      <c r="D59" s="136"/>
      <c r="E59" s="136"/>
      <c r="F59" s="136" t="str">
        <f>IF(B59="","",D59-SUMIFS(Issue!$D$3:$D993,Issue!$C$3:$C993,C59,Issue!$B$3:$B993,B59))</f>
        <v/>
      </c>
      <c r="G59" s="232"/>
    </row>
    <row r="60" spans="1:7">
      <c r="A60" s="136" t="str">
        <f t="shared" si="0"/>
        <v/>
      </c>
      <c r="B60" s="137"/>
      <c r="C60" s="137"/>
      <c r="D60" s="136"/>
      <c r="E60" s="136"/>
      <c r="F60" s="136" t="str">
        <f>IF(B60="","",D60-SUMIFS(Issue!$D$3:$D993,Issue!$C$3:$C993,C60,Issue!$B$3:$B993,B60))</f>
        <v/>
      </c>
      <c r="G60" s="232"/>
    </row>
    <row r="61" spans="1:7">
      <c r="A61" s="136" t="str">
        <f t="shared" si="0"/>
        <v/>
      </c>
      <c r="B61" s="137"/>
      <c r="C61" s="137"/>
      <c r="D61" s="136"/>
      <c r="E61" s="136"/>
      <c r="F61" s="136" t="str">
        <f>IF(B61="","",D61-SUMIFS(Issue!$D$3:$D993,Issue!$C$3:$C993,C61,Issue!$B$3:$B993,B61))</f>
        <v/>
      </c>
      <c r="G61" s="232"/>
    </row>
    <row r="62" spans="1:7">
      <c r="A62" s="136" t="str">
        <f t="shared" si="0"/>
        <v/>
      </c>
      <c r="B62" s="137"/>
      <c r="C62" s="137"/>
      <c r="D62" s="136"/>
      <c r="E62" s="136"/>
      <c r="F62" s="136" t="str">
        <f>IF(B62="","",D62-SUMIFS(Issue!$D$3:$D993,Issue!$C$3:$C993,C62,Issue!$B$3:$B993,B62))</f>
        <v/>
      </c>
      <c r="G62" s="232"/>
    </row>
    <row r="63" spans="1:7">
      <c r="A63" s="136" t="str">
        <f t="shared" si="0"/>
        <v/>
      </c>
      <c r="B63" s="137"/>
      <c r="C63" s="137"/>
      <c r="D63" s="136"/>
      <c r="E63" s="136"/>
      <c r="F63" s="136" t="str">
        <f>IF(B63="","",D63-SUMIFS(Issue!$D$3:$D993,Issue!$C$3:$C993,C63,Issue!$B$3:$B993,B63))</f>
        <v/>
      </c>
      <c r="G63" s="232"/>
    </row>
    <row r="64" spans="1:7">
      <c r="A64" s="136" t="str">
        <f t="shared" si="0"/>
        <v/>
      </c>
      <c r="B64" s="137"/>
      <c r="C64" s="137"/>
      <c r="D64" s="136"/>
      <c r="E64" s="136"/>
      <c r="F64" s="136" t="str">
        <f>IF(B64="","",D64-SUMIFS(Issue!$D$3:$D993,Issue!$C$3:$C993,C64,Issue!$B$3:$B993,B64))</f>
        <v/>
      </c>
      <c r="G64" s="232"/>
    </row>
    <row r="65" spans="1:7">
      <c r="A65" s="136" t="str">
        <f t="shared" si="0"/>
        <v/>
      </c>
      <c r="B65" s="137"/>
      <c r="C65" s="137"/>
      <c r="D65" s="136"/>
      <c r="E65" s="136"/>
      <c r="F65" s="136" t="str">
        <f>IF(B65="","",D65-SUMIFS(Issue!$D$3:$D993,Issue!$C$3:$C993,C65,Issue!$B$3:$B993,B65))</f>
        <v/>
      </c>
      <c r="G65" s="232"/>
    </row>
    <row r="66" spans="1:7">
      <c r="A66" s="136" t="str">
        <f t="shared" si="0"/>
        <v/>
      </c>
      <c r="B66" s="137"/>
      <c r="C66" s="137"/>
      <c r="D66" s="136"/>
      <c r="E66" s="136"/>
      <c r="F66" s="136" t="str">
        <f>IF(B66="","",D66-SUMIFS(Issue!$D$3:$D993,Issue!$C$3:$C993,C66,Issue!$B$3:$B993,B66))</f>
        <v/>
      </c>
      <c r="G66" s="232"/>
    </row>
    <row r="67" spans="1:7">
      <c r="A67" s="136" t="str">
        <f t="shared" si="0"/>
        <v/>
      </c>
      <c r="B67" s="137"/>
      <c r="C67" s="137"/>
      <c r="D67" s="136"/>
      <c r="E67" s="136"/>
      <c r="F67" s="136" t="str">
        <f>IF(B67="","",D67-SUMIFS(Issue!$D$3:$D993,Issue!$C$3:$C993,C67,Issue!$B$3:$B993,B67))</f>
        <v/>
      </c>
      <c r="G67" s="232"/>
    </row>
    <row r="68" spans="1:7">
      <c r="A68" s="136" t="str">
        <f t="shared" si="0"/>
        <v/>
      </c>
      <c r="B68" s="137"/>
      <c r="C68" s="137"/>
      <c r="D68" s="136"/>
      <c r="E68" s="136"/>
      <c r="F68" s="136" t="str">
        <f>IF(B68="","",D68-SUMIFS(Issue!$D$3:$D993,Issue!$C$3:$C993,C68,Issue!$B$3:$B993,B68))</f>
        <v/>
      </c>
      <c r="G68" s="232"/>
    </row>
    <row r="69" spans="1:7">
      <c r="A69" s="136" t="str">
        <f t="shared" si="0"/>
        <v/>
      </c>
      <c r="B69" s="137"/>
      <c r="C69" s="137"/>
      <c r="D69" s="136"/>
      <c r="E69" s="136"/>
      <c r="F69" s="136" t="str">
        <f>IF(B69="","",D69-SUMIFS(Issue!$D$3:$D993,Issue!$C$3:$C993,C69,Issue!$B$3:$B993,B69))</f>
        <v/>
      </c>
      <c r="G69" s="232"/>
    </row>
    <row r="70" spans="1:7">
      <c r="A70" s="136" t="str">
        <f t="shared" si="0"/>
        <v/>
      </c>
      <c r="B70" s="137"/>
      <c r="C70" s="137"/>
      <c r="D70" s="136"/>
      <c r="E70" s="136"/>
      <c r="F70" s="136" t="str">
        <f>IF(B70="","",D70-SUMIFS(Issue!$D$3:$D993,Issue!$C$3:$C993,C70,Issue!$B$3:$B993,B70))</f>
        <v/>
      </c>
      <c r="G70" s="232"/>
    </row>
    <row r="71" spans="1:7">
      <c r="A71" s="136" t="str">
        <f t="shared" si="0"/>
        <v/>
      </c>
      <c r="B71" s="137"/>
      <c r="C71" s="137"/>
      <c r="D71" s="136"/>
      <c r="E71" s="136"/>
      <c r="F71" s="136" t="str">
        <f>IF(B71="","",D71-SUMIFS(Issue!$D$3:$D993,Issue!$C$3:$C993,C71,Issue!$B$3:$B993,B71))</f>
        <v/>
      </c>
      <c r="G71" s="232"/>
    </row>
    <row r="72" spans="1:7">
      <c r="A72" s="136" t="str">
        <f t="shared" si="0"/>
        <v/>
      </c>
      <c r="B72" s="137"/>
      <c r="C72" s="137"/>
      <c r="D72" s="136"/>
      <c r="E72" s="136"/>
      <c r="F72" s="136" t="str">
        <f>IF(B72="","",D72-SUMIFS(Issue!$D$3:$D993,Issue!$C$3:$C993,C72,Issue!$B$3:$B993,B72))</f>
        <v/>
      </c>
      <c r="G72" s="232"/>
    </row>
    <row r="73" spans="1:7">
      <c r="A73" s="136" t="str">
        <f t="shared" si="0"/>
        <v/>
      </c>
      <c r="B73" s="137"/>
      <c r="C73" s="137"/>
      <c r="D73" s="136"/>
      <c r="E73" s="136"/>
      <c r="F73" s="136" t="str">
        <f>IF(B73="","",D73-SUMIFS(Issue!$D$3:$D993,Issue!$C$3:$C993,C73,Issue!$B$3:$B993,B73))</f>
        <v/>
      </c>
      <c r="G73" s="232"/>
    </row>
    <row r="74" spans="1:7">
      <c r="A74" s="136" t="str">
        <f t="shared" si="0"/>
        <v/>
      </c>
      <c r="B74" s="137"/>
      <c r="C74" s="137"/>
      <c r="D74" s="136"/>
      <c r="E74" s="136"/>
      <c r="F74" s="136" t="str">
        <f>IF(B74="","",D74-SUMIFS(Issue!$D$3:$D993,Issue!$C$3:$C993,C74,Issue!$B$3:$B993,B74))</f>
        <v/>
      </c>
      <c r="G74" s="232"/>
    </row>
    <row r="75" spans="1:7">
      <c r="A75" s="136" t="str">
        <f t="shared" si="0"/>
        <v/>
      </c>
      <c r="B75" s="137"/>
      <c r="C75" s="137"/>
      <c r="D75" s="136"/>
      <c r="E75" s="136"/>
      <c r="F75" s="136" t="str">
        <f>IF(B75="","",D75-SUMIFS(Issue!$D$3:$D993,Issue!$C$3:$C993,C75,Issue!$B$3:$B993,B75))</f>
        <v/>
      </c>
      <c r="G75" s="232"/>
    </row>
    <row r="76" spans="1:7">
      <c r="A76" s="136" t="str">
        <f t="shared" si="0"/>
        <v/>
      </c>
      <c r="B76" s="137"/>
      <c r="C76" s="137"/>
      <c r="D76" s="136"/>
      <c r="E76" s="136"/>
      <c r="F76" s="136" t="str">
        <f>IF(B76="","",D76-SUMIFS(Issue!$D$3:$D993,Issue!$C$3:$C993,C76,Issue!$B$3:$B993,B76))</f>
        <v/>
      </c>
      <c r="G76" s="232"/>
    </row>
    <row r="77" spans="1:7">
      <c r="A77" s="136" t="str">
        <f t="shared" si="0"/>
        <v/>
      </c>
      <c r="B77" s="137"/>
      <c r="C77" s="137"/>
      <c r="D77" s="136"/>
      <c r="E77" s="136"/>
      <c r="F77" s="136" t="str">
        <f>IF(B77="","",D77-SUMIFS(Issue!$D$3:$D993,Issue!$C$3:$C993,C77,Issue!$B$3:$B993,B77))</f>
        <v/>
      </c>
      <c r="G77" s="232"/>
    </row>
    <row r="78" spans="1:7">
      <c r="A78" s="136" t="str">
        <f t="shared" si="0"/>
        <v/>
      </c>
      <c r="B78" s="137"/>
      <c r="C78" s="137"/>
      <c r="D78" s="136"/>
      <c r="E78" s="136"/>
      <c r="F78" s="136" t="str">
        <f>IF(B78="","",D78-SUMIFS(Issue!$D$3:$D993,Issue!$C$3:$C993,C78,Issue!$B$3:$B993,B78))</f>
        <v/>
      </c>
      <c r="G78" s="232"/>
    </row>
    <row r="79" spans="1:7">
      <c r="A79" s="136" t="str">
        <f t="shared" si="0"/>
        <v/>
      </c>
      <c r="B79" s="137"/>
      <c r="C79" s="137"/>
      <c r="D79" s="136"/>
      <c r="E79" s="136"/>
      <c r="F79" s="136" t="str">
        <f>IF(B79="","",D79-SUMIFS(Issue!$D$3:$D993,Issue!$C$3:$C993,C79,Issue!$B$3:$B993,B79))</f>
        <v/>
      </c>
      <c r="G79" s="232"/>
    </row>
    <row r="80" spans="1:7">
      <c r="A80" s="136" t="str">
        <f t="shared" si="0"/>
        <v/>
      </c>
      <c r="B80" s="137"/>
      <c r="C80" s="137"/>
      <c r="D80" s="136"/>
      <c r="E80" s="136"/>
      <c r="F80" s="136" t="str">
        <f>IF(B80="","",D80-SUMIFS(Issue!$D$3:$D993,Issue!$C$3:$C993,C80,Issue!$B$3:$B993,B80))</f>
        <v/>
      </c>
      <c r="G80" s="232"/>
    </row>
    <row r="81" spans="1:7">
      <c r="A81" s="136" t="str">
        <f t="shared" si="0"/>
        <v/>
      </c>
      <c r="B81" s="151"/>
      <c r="C81" s="137"/>
      <c r="D81" s="136"/>
      <c r="E81" s="136"/>
      <c r="F81" s="136" t="str">
        <f>IF(B81="","",D81-SUMIFS(Issue!$D$3:$D993,Issue!$C$3:$C993,C81,Issue!$B$3:$B993,B81))</f>
        <v/>
      </c>
      <c r="G81" s="232"/>
    </row>
    <row r="82" spans="1:7">
      <c r="A82" s="136" t="str">
        <f t="shared" si="0"/>
        <v/>
      </c>
      <c r="B82" s="151"/>
      <c r="C82" s="137"/>
      <c r="D82" s="136"/>
      <c r="E82" s="136"/>
      <c r="F82" s="136" t="str">
        <f>IF(B82="","",D82-SUMIFS(Issue!$D$3:$D993,Issue!$C$3:$C993,C82,Issue!$B$3:$B993,B82))</f>
        <v/>
      </c>
      <c r="G82" s="232"/>
    </row>
    <row r="83" spans="1:7">
      <c r="A83" s="136" t="str">
        <f t="shared" si="0"/>
        <v/>
      </c>
      <c r="B83" s="151"/>
      <c r="C83" s="137"/>
      <c r="D83" s="136"/>
      <c r="E83" s="136"/>
      <c r="F83" s="136" t="str">
        <f>IF(B83="","",D83-SUMIFS(Issue!$D$3:$D993,Issue!$C$3:$C993,C83,Issue!$B$3:$B993,B83))</f>
        <v/>
      </c>
      <c r="G83" s="232"/>
    </row>
    <row r="84" spans="1:7">
      <c r="A84" s="136" t="str">
        <f t="shared" si="0"/>
        <v/>
      </c>
      <c r="B84" s="151"/>
      <c r="C84" s="137"/>
      <c r="D84" s="136"/>
      <c r="E84" s="136"/>
      <c r="F84" s="136" t="str">
        <f>IF(B84="","",D84-SUMIFS(Issue!$D$3:$D993,Issue!$C$3:$C993,C84,Issue!$B$3:$B993,B84))</f>
        <v/>
      </c>
      <c r="G84" s="232"/>
    </row>
    <row r="85" spans="1:7">
      <c r="A85" s="136" t="str">
        <f t="shared" si="0"/>
        <v/>
      </c>
      <c r="B85" s="151"/>
      <c r="C85" s="137"/>
      <c r="D85" s="136"/>
      <c r="E85" s="136"/>
      <c r="F85" s="136" t="str">
        <f>IF(B85="","",D85-SUMIFS(Issue!$D$3:$D993,Issue!$C$3:$C993,C85,Issue!$B$3:$B993,B85))</f>
        <v/>
      </c>
      <c r="G85" s="232"/>
    </row>
    <row r="86" spans="1:7">
      <c r="A86" s="136" t="str">
        <f t="shared" si="0"/>
        <v/>
      </c>
      <c r="B86" s="151"/>
      <c r="C86" s="137"/>
      <c r="D86" s="136"/>
      <c r="E86" s="136"/>
      <c r="F86" s="136" t="str">
        <f>IF(B86="","",D86-SUMIFS(Issue!$D$3:$D993,Issue!$C$3:$C993,C86,Issue!$B$3:$B993,B86))</f>
        <v/>
      </c>
      <c r="G86" s="232"/>
    </row>
    <row r="87" spans="1:7">
      <c r="A87" s="136" t="str">
        <f t="shared" si="0"/>
        <v/>
      </c>
      <c r="B87" s="137"/>
      <c r="C87" s="137"/>
      <c r="D87" s="136"/>
      <c r="E87" s="136"/>
      <c r="F87" s="136" t="str">
        <f>IF(B87="","",D87-SUMIFS(Issue!$D$3:$D993,Issue!$C$3:$C993,C87,Issue!$B$3:$B993,B87))</f>
        <v/>
      </c>
      <c r="G87" s="232"/>
    </row>
    <row r="88" spans="1:7">
      <c r="A88" s="136" t="str">
        <f t="shared" si="0"/>
        <v/>
      </c>
      <c r="B88" s="137"/>
      <c r="C88" s="137"/>
      <c r="D88" s="136"/>
      <c r="E88" s="136"/>
      <c r="F88" s="136" t="str">
        <f>IF(B88="","",D88-SUMIFS(Issue!$D$3:$D993,Issue!$C$3:$C993,C88,Issue!$B$3:$B993,B88))</f>
        <v/>
      </c>
      <c r="G88" s="232"/>
    </row>
    <row r="89" spans="1:7">
      <c r="A89" s="136" t="str">
        <f t="shared" si="0"/>
        <v/>
      </c>
      <c r="B89" s="137"/>
      <c r="C89" s="137"/>
      <c r="D89" s="136"/>
      <c r="E89" s="136"/>
      <c r="F89" s="136" t="str">
        <f>IF(B89="","",D89-SUMIFS(Issue!$D$3:$D993,Issue!$C$3:$C993,C89,Issue!$B$3:$B993,B89))</f>
        <v/>
      </c>
      <c r="G89" s="232"/>
    </row>
    <row r="90" spans="1:7">
      <c r="A90" s="136" t="str">
        <f t="shared" si="0"/>
        <v/>
      </c>
      <c r="B90" s="137"/>
      <c r="C90" s="137"/>
      <c r="D90" s="136"/>
      <c r="E90" s="136"/>
      <c r="F90" s="136" t="str">
        <f>IF(B90="","",D90-SUMIFS(Issue!$D$3:$D993,Issue!$C$3:$C993,C90,Issue!$B$3:$B993,B90))</f>
        <v/>
      </c>
      <c r="G90" s="232"/>
    </row>
    <row r="91" spans="1:7">
      <c r="A91" s="136" t="str">
        <f t="shared" si="0"/>
        <v/>
      </c>
      <c r="B91" s="137"/>
      <c r="C91" s="137"/>
      <c r="D91" s="136"/>
      <c r="E91" s="136"/>
      <c r="F91" s="136" t="str">
        <f>IF(B91="","",D91-SUMIFS(Issue!$D$3:$D993,Issue!$C$3:$C993,C91,Issue!$B$3:$B993,B91))</f>
        <v/>
      </c>
      <c r="G91" s="232"/>
    </row>
    <row r="92" spans="1:7">
      <c r="A92" s="136" t="str">
        <f t="shared" si="0"/>
        <v/>
      </c>
      <c r="B92" s="137"/>
      <c r="C92" s="137"/>
      <c r="D92" s="136"/>
      <c r="E92" s="136"/>
      <c r="F92" s="136" t="str">
        <f>IF(B92="","",D92-SUMIFS(Issue!$D$3:$D993,Issue!$C$3:$C993,C92,Issue!$B$3:$B993,B92))</f>
        <v/>
      </c>
      <c r="G92" s="232"/>
    </row>
    <row r="93" spans="1:7">
      <c r="A93" s="136" t="str">
        <f t="shared" si="0"/>
        <v/>
      </c>
      <c r="B93" s="137"/>
      <c r="C93" s="137"/>
      <c r="D93" s="136"/>
      <c r="E93" s="136"/>
      <c r="F93" s="136" t="str">
        <f>IF(B93="","",D93-SUMIFS(Issue!$D$3:$D993,Issue!$C$3:$C993,C93,Issue!$B$3:$B993,B93))</f>
        <v/>
      </c>
      <c r="G93" s="232"/>
    </row>
    <row r="94" spans="1:7">
      <c r="A94" s="136" t="str">
        <f t="shared" si="0"/>
        <v/>
      </c>
      <c r="B94" s="137"/>
      <c r="C94" s="137"/>
      <c r="D94" s="136"/>
      <c r="E94" s="136"/>
      <c r="F94" s="136" t="str">
        <f>IF(B94="","",D94-SUMIFS(Issue!$D$3:$D993,Issue!$C$3:$C993,C94,Issue!$B$3:$B993,B94))</f>
        <v/>
      </c>
      <c r="G94" s="232"/>
    </row>
    <row r="95" spans="1:7">
      <c r="A95" s="136" t="str">
        <f t="shared" si="0"/>
        <v/>
      </c>
      <c r="B95" s="137"/>
      <c r="C95" s="137"/>
      <c r="D95" s="136"/>
      <c r="E95" s="136"/>
      <c r="F95" s="136" t="str">
        <f>IF(B95="","",D95-SUMIFS(Issue!$D$3:$D993,Issue!$C$3:$C993,C95,Issue!$B$3:$B993,B95))</f>
        <v/>
      </c>
      <c r="G95" s="232"/>
    </row>
    <row r="96" spans="1:7">
      <c r="A96" s="136" t="str">
        <f t="shared" si="0"/>
        <v/>
      </c>
      <c r="B96" s="137"/>
      <c r="C96" s="137"/>
      <c r="D96" s="136"/>
      <c r="E96" s="136"/>
      <c r="F96" s="136" t="str">
        <f>IF(B96="","",D96-SUMIFS(Issue!$D$3:$D993,Issue!$C$3:$C993,C96,Issue!$B$3:$B993,B96))</f>
        <v/>
      </c>
      <c r="G96" s="232"/>
    </row>
    <row r="97" spans="1:7">
      <c r="A97" s="136" t="str">
        <f t="shared" si="0"/>
        <v/>
      </c>
      <c r="B97" s="137"/>
      <c r="C97" s="137"/>
      <c r="D97" s="136"/>
      <c r="E97" s="136"/>
      <c r="F97" s="136" t="str">
        <f>IF(B97="","",D97-SUMIFS(Issue!$D$3:$D993,Issue!$C$3:$C993,C97,Issue!$B$3:$B993,B97))</f>
        <v/>
      </c>
      <c r="G97" s="232"/>
    </row>
    <row r="98" spans="1:7">
      <c r="A98" s="136" t="str">
        <f t="shared" si="0"/>
        <v/>
      </c>
      <c r="B98" s="137"/>
      <c r="C98" s="137"/>
      <c r="D98" s="136"/>
      <c r="E98" s="136"/>
      <c r="F98" s="136" t="str">
        <f>IF(B98="","",D98-SUMIFS(Issue!$D$3:$D993,Issue!$C$3:$C993,C98,Issue!$B$3:$B993,B98))</f>
        <v/>
      </c>
      <c r="G98" s="232"/>
    </row>
    <row r="99" spans="1:7">
      <c r="A99" s="136" t="str">
        <f t="shared" si="0"/>
        <v/>
      </c>
      <c r="B99" s="137"/>
      <c r="C99" s="137"/>
      <c r="D99" s="136"/>
      <c r="E99" s="136"/>
      <c r="F99" s="136" t="str">
        <f>IF(B99="","",D99-SUMIFS(Issue!$D$3:$D993,Issue!$C$3:$C993,C99,Issue!$B$3:$B993,B99))</f>
        <v/>
      </c>
      <c r="G99" s="232"/>
    </row>
    <row r="100" spans="1:7">
      <c r="A100" s="136" t="str">
        <f t="shared" si="0"/>
        <v/>
      </c>
      <c r="B100" s="137"/>
      <c r="C100" s="137"/>
      <c r="D100" s="136"/>
      <c r="E100" s="136"/>
      <c r="F100" s="136" t="str">
        <f>IF(B100="","",D100-SUMIFS(Issue!$D$3:$D993,Issue!$C$3:$C993,C100,Issue!$B$3:$B993,B100))</f>
        <v/>
      </c>
      <c r="G100" s="232"/>
    </row>
    <row r="101" spans="1:7">
      <c r="A101" s="136" t="str">
        <f t="shared" si="0"/>
        <v/>
      </c>
      <c r="B101" s="137"/>
      <c r="C101" s="137"/>
      <c r="D101" s="136"/>
      <c r="E101" s="136"/>
      <c r="F101" s="136" t="str">
        <f>IF(B101="","",D101-SUMIFS(Issue!$D$3:$D993,Issue!$C$3:$C993,C101,Issue!$B$3:$B993,B101))</f>
        <v/>
      </c>
      <c r="G101" s="232"/>
    </row>
    <row r="102" spans="1:7">
      <c r="A102" s="136" t="str">
        <f t="shared" si="0"/>
        <v/>
      </c>
      <c r="B102" s="137"/>
      <c r="C102" s="137"/>
      <c r="D102" s="136"/>
      <c r="E102" s="136"/>
      <c r="F102" s="136" t="str">
        <f>IF(B102="","",D102-SUMIFS(Issue!$D$3:$D993,Issue!$C$3:$C993,C102,Issue!$B$3:$B993,B102))</f>
        <v/>
      </c>
      <c r="G102" s="232"/>
    </row>
    <row r="103" spans="1:7">
      <c r="A103" s="136" t="str">
        <f t="shared" si="0"/>
        <v/>
      </c>
      <c r="B103" s="137"/>
      <c r="C103" s="137"/>
      <c r="D103" s="136"/>
      <c r="E103" s="136"/>
      <c r="F103" s="136" t="str">
        <f>IF(B103="","",D103-SUMIFS(Issue!$D$3:$D993,Issue!$C$3:$C993,C103,Issue!$B$3:$B993,B103))</f>
        <v/>
      </c>
      <c r="G103" s="232"/>
    </row>
    <row r="104" spans="1:7">
      <c r="A104" s="136" t="str">
        <f t="shared" si="0"/>
        <v/>
      </c>
      <c r="B104" s="137"/>
      <c r="C104" s="137"/>
      <c r="D104" s="136"/>
      <c r="E104" s="136"/>
      <c r="F104" s="136" t="str">
        <f>IF(B104="","",D104-SUMIFS(Issue!$D$3:$D993,Issue!$C$3:$C993,C104,Issue!$B$3:$B993,B104))</f>
        <v/>
      </c>
      <c r="G104" s="232"/>
    </row>
    <row r="105" spans="1:7">
      <c r="A105" s="136" t="str">
        <f t="shared" si="0"/>
        <v/>
      </c>
      <c r="B105" s="137"/>
      <c r="C105" s="137"/>
      <c r="D105" s="136"/>
      <c r="E105" s="136"/>
      <c r="F105" s="136" t="str">
        <f>IF(B105="","",D105-SUMIFS(Issue!$D$3:$D993,Issue!$C$3:$C993,C105,Issue!$B$3:$B993,B105))</f>
        <v/>
      </c>
      <c r="G105" s="232"/>
    </row>
    <row r="106" spans="1:7">
      <c r="A106" s="136" t="str">
        <f t="shared" si="0"/>
        <v/>
      </c>
      <c r="B106" s="137"/>
      <c r="C106" s="137"/>
      <c r="D106" s="136"/>
      <c r="E106" s="136"/>
      <c r="F106" s="136" t="str">
        <f>IF(B106="","",D106-SUMIFS(Issue!$D$3:$D993,Issue!$C$3:$C993,C106,Issue!$B$3:$B993,B106))</f>
        <v/>
      </c>
      <c r="G106" s="232"/>
    </row>
    <row r="107" spans="1:7">
      <c r="A107" s="136" t="str">
        <f t="shared" si="0"/>
        <v/>
      </c>
      <c r="B107" s="137"/>
      <c r="C107" s="137"/>
      <c r="D107" s="136"/>
      <c r="E107" s="136"/>
      <c r="F107" s="136" t="str">
        <f>IF(B107="","",D107-SUMIFS(Issue!$D$3:$D993,Issue!$C$3:$C993,C107,Issue!$B$3:$B993,B107))</f>
        <v/>
      </c>
      <c r="G107" s="232"/>
    </row>
    <row r="108" spans="1:7">
      <c r="A108" s="136" t="str">
        <f t="shared" si="0"/>
        <v/>
      </c>
      <c r="B108" s="137"/>
      <c r="C108" s="137"/>
      <c r="D108" s="136"/>
      <c r="E108" s="136"/>
      <c r="F108" s="136" t="str">
        <f>IF(B108="","",D108-SUMIFS(Issue!$D$3:$D993,Issue!$C$3:$C993,C108,Issue!$B$3:$B993,B108))</f>
        <v/>
      </c>
      <c r="G108" s="232"/>
    </row>
    <row r="109" spans="1:7">
      <c r="A109" s="136" t="str">
        <f t="shared" si="0"/>
        <v/>
      </c>
      <c r="B109" s="137"/>
      <c r="C109" s="137"/>
      <c r="D109" s="136"/>
      <c r="E109" s="136"/>
      <c r="F109" s="136" t="str">
        <f>IF(B109="","",D109-SUMIFS(Issue!$D$3:$D993,Issue!$C$3:$C993,C109,Issue!$B$3:$B993,B109))</f>
        <v/>
      </c>
      <c r="G109" s="232"/>
    </row>
    <row r="110" spans="1:7">
      <c r="A110" s="136" t="str">
        <f t="shared" si="0"/>
        <v/>
      </c>
      <c r="B110" s="137"/>
      <c r="C110" s="137"/>
      <c r="D110" s="136"/>
      <c r="E110" s="136"/>
      <c r="F110" s="136" t="str">
        <f>IF(B110="","",D110-SUMIFS(Issue!$D$3:$D993,Issue!$C$3:$C993,C110,Issue!$B$3:$B993,B110))</f>
        <v/>
      </c>
      <c r="G110" s="232"/>
    </row>
    <row r="111" spans="1:7">
      <c r="A111" s="136" t="str">
        <f t="shared" si="0"/>
        <v/>
      </c>
      <c r="B111" s="137"/>
      <c r="C111" s="137"/>
      <c r="D111" s="136"/>
      <c r="E111" s="136"/>
      <c r="F111" s="136" t="str">
        <f>IF(B111="","",D111-SUMIFS(Issue!$D$3:$D993,Issue!$C$3:$C993,C111,Issue!$B$3:$B993,B111))</f>
        <v/>
      </c>
      <c r="G111" s="232"/>
    </row>
    <row r="112" spans="1:7">
      <c r="A112" s="136" t="str">
        <f t="shared" si="0"/>
        <v/>
      </c>
      <c r="B112" s="137"/>
      <c r="C112" s="137"/>
      <c r="D112" s="136"/>
      <c r="E112" s="136"/>
      <c r="F112" s="136" t="str">
        <f>IF(B112="","",D112-SUMIFS(Issue!$D$3:$D993,Issue!$C$3:$C993,C112,Issue!$B$3:$B993,B112))</f>
        <v/>
      </c>
      <c r="G112" s="232"/>
    </row>
    <row r="113" spans="1:7">
      <c r="A113" s="136" t="str">
        <f t="shared" si="0"/>
        <v/>
      </c>
      <c r="B113" s="137"/>
      <c r="C113" s="137"/>
      <c r="D113" s="136"/>
      <c r="E113" s="136"/>
      <c r="F113" s="136" t="str">
        <f>IF(B113="","",D113-SUMIFS(Issue!$D$3:$D993,Issue!$C$3:$C993,C113,Issue!$B$3:$B993,B113))</f>
        <v/>
      </c>
      <c r="G113" s="232"/>
    </row>
    <row r="114" spans="1:7">
      <c r="A114" s="136" t="str">
        <f t="shared" si="0"/>
        <v/>
      </c>
      <c r="B114" s="137"/>
      <c r="C114" s="137"/>
      <c r="D114" s="136"/>
      <c r="E114" s="136"/>
      <c r="F114" s="136" t="str">
        <f>IF(B114="","",D114-SUMIFS(Issue!$D$3:$D993,Issue!$C$3:$C993,C114,Issue!$B$3:$B993,B114))</f>
        <v/>
      </c>
      <c r="G114" s="232"/>
    </row>
    <row r="115" spans="1:7">
      <c r="A115" s="136" t="str">
        <f t="shared" si="0"/>
        <v/>
      </c>
      <c r="B115" s="137"/>
      <c r="C115" s="137"/>
      <c r="D115" s="136"/>
      <c r="E115" s="136"/>
      <c r="F115" s="136" t="str">
        <f>IF(B115="","",D115-SUMIFS(Issue!$D$3:$D993,Issue!$C$3:$C993,C115,Issue!$B$3:$B993,B115))</f>
        <v/>
      </c>
      <c r="G115" s="232"/>
    </row>
    <row r="116" spans="1:7">
      <c r="A116" s="136" t="str">
        <f t="shared" si="0"/>
        <v/>
      </c>
      <c r="B116" s="137"/>
      <c r="C116" s="137"/>
      <c r="D116" s="136"/>
      <c r="E116" s="136"/>
      <c r="F116" s="136" t="str">
        <f>IF(B116="","",D116-SUMIFS(Issue!$D$3:$D993,Issue!$C$3:$C993,C116,Issue!$B$3:$B993,B116))</f>
        <v/>
      </c>
      <c r="G116" s="232"/>
    </row>
    <row r="117" spans="1:7">
      <c r="A117" s="136" t="str">
        <f t="shared" si="0"/>
        <v/>
      </c>
      <c r="B117" s="137"/>
      <c r="C117" s="137"/>
      <c r="D117" s="136"/>
      <c r="E117" s="136"/>
      <c r="F117" s="136" t="str">
        <f>IF(B117="","",D117-SUMIFS(Issue!$D$3:$D993,Issue!$C$3:$C993,C117,Issue!$B$3:$B993,B117))</f>
        <v/>
      </c>
      <c r="G117" s="232"/>
    </row>
    <row r="118" spans="1:7">
      <c r="A118" s="136" t="str">
        <f t="shared" si="0"/>
        <v/>
      </c>
      <c r="B118" s="137"/>
      <c r="C118" s="137"/>
      <c r="D118" s="136"/>
      <c r="E118" s="136"/>
      <c r="F118" s="136" t="str">
        <f>IF(B118="","",D118-SUMIFS(Issue!$D$3:$D993,Issue!$C$3:$C993,C118,Issue!$B$3:$B993,B118))</f>
        <v/>
      </c>
      <c r="G118" s="232"/>
    </row>
    <row r="119" spans="1:7">
      <c r="A119" s="136" t="str">
        <f t="shared" si="0"/>
        <v/>
      </c>
      <c r="B119" s="137"/>
      <c r="C119" s="137"/>
      <c r="D119" s="136"/>
      <c r="E119" s="136"/>
      <c r="F119" s="136" t="str">
        <f>IF(B119="","",D119-SUMIFS(Issue!$D$3:$D993,Issue!$C$3:$C993,C119,Issue!$B$3:$B993,B119))</f>
        <v/>
      </c>
      <c r="G119" s="232"/>
    </row>
    <row r="120" spans="1:7">
      <c r="A120" s="136" t="str">
        <f t="shared" si="0"/>
        <v/>
      </c>
      <c r="B120" s="137"/>
      <c r="C120" s="137"/>
      <c r="D120" s="136"/>
      <c r="E120" s="136"/>
      <c r="F120" s="136" t="str">
        <f>IF(B120="","",D120-SUMIFS(Issue!$D$3:$D993,Issue!$C$3:$C993,C120,Issue!$B$3:$B993,B120))</f>
        <v/>
      </c>
      <c r="G120" s="232"/>
    </row>
    <row r="121" spans="1:7">
      <c r="A121" s="136" t="str">
        <f t="shared" si="0"/>
        <v/>
      </c>
      <c r="B121" s="137"/>
      <c r="C121" s="137"/>
      <c r="D121" s="136"/>
      <c r="E121" s="136"/>
      <c r="F121" s="136" t="str">
        <f>IF(B121="","",D121-SUMIFS(Issue!$D$3:$D993,Issue!$C$3:$C993,C121,Issue!$B$3:$B993,B121))</f>
        <v/>
      </c>
      <c r="G121" s="232"/>
    </row>
    <row r="122" spans="1:7">
      <c r="A122" s="136" t="str">
        <f t="shared" si="0"/>
        <v/>
      </c>
      <c r="B122" s="137"/>
      <c r="C122" s="137"/>
      <c r="D122" s="136"/>
      <c r="E122" s="136"/>
      <c r="F122" s="136" t="str">
        <f>IF(B122="","",D122-SUMIFS(Issue!$D$3:$D993,Issue!$C$3:$C993,C122,Issue!$B$3:$B993,B122))</f>
        <v/>
      </c>
      <c r="G122" s="232"/>
    </row>
    <row r="123" spans="1:7">
      <c r="A123" s="136" t="str">
        <f t="shared" si="0"/>
        <v/>
      </c>
      <c r="B123" s="137"/>
      <c r="C123" s="137"/>
      <c r="D123" s="136"/>
      <c r="E123" s="136"/>
      <c r="F123" s="136" t="str">
        <f>IF(B123="","",D123-SUMIFS(Issue!$D$3:$D993,Issue!$C$3:$C993,C123,Issue!$B$3:$B993,B123))</f>
        <v/>
      </c>
      <c r="G123" s="232"/>
    </row>
    <row r="124" spans="1:7">
      <c r="A124" s="136" t="str">
        <f t="shared" si="0"/>
        <v/>
      </c>
      <c r="B124" s="137"/>
      <c r="C124" s="137"/>
      <c r="D124" s="136"/>
      <c r="E124" s="136"/>
      <c r="F124" s="136" t="str">
        <f>IF(B124="","",D124-SUMIFS(Issue!$D$3:$D993,Issue!$C$3:$C993,C124,Issue!$B$3:$B993,B124))</f>
        <v/>
      </c>
      <c r="G124" s="232"/>
    </row>
    <row r="125" spans="1:7">
      <c r="A125" s="136" t="str">
        <f t="shared" si="0"/>
        <v/>
      </c>
      <c r="B125" s="137"/>
      <c r="C125" s="137"/>
      <c r="D125" s="136"/>
      <c r="E125" s="136"/>
      <c r="F125" s="136" t="str">
        <f>IF(B125="","",D125-SUMIFS(Issue!$D$3:$D993,Issue!$C$3:$C993,C125,Issue!$B$3:$B993,B125))</f>
        <v/>
      </c>
      <c r="G125" s="232"/>
    </row>
    <row r="126" spans="1:7">
      <c r="A126" s="136" t="str">
        <f t="shared" si="0"/>
        <v/>
      </c>
      <c r="B126" s="137"/>
      <c r="C126" s="137"/>
      <c r="D126" s="136"/>
      <c r="E126" s="136"/>
      <c r="F126" s="136" t="str">
        <f>IF(B126="","",D126-SUMIFS(Issue!$D$3:$D993,Issue!$C$3:$C993,C126,Issue!$B$3:$B993,B126))</f>
        <v/>
      </c>
      <c r="G126" s="232"/>
    </row>
    <row r="127" spans="1:7">
      <c r="A127" s="136" t="str">
        <f t="shared" si="0"/>
        <v/>
      </c>
      <c r="B127" s="137"/>
      <c r="C127" s="137"/>
      <c r="D127" s="136"/>
      <c r="E127" s="136"/>
      <c r="F127" s="136" t="str">
        <f>IF(B127="","",D127-SUMIFS(Issue!$D$3:$D993,Issue!$C$3:$C993,C127,Issue!$B$3:$B993,B127))</f>
        <v/>
      </c>
      <c r="G127" s="232"/>
    </row>
    <row r="128" spans="1:7">
      <c r="A128" s="136" t="str">
        <f t="shared" si="0"/>
        <v/>
      </c>
      <c r="B128" s="137"/>
      <c r="C128" s="137"/>
      <c r="D128" s="136"/>
      <c r="E128" s="136"/>
      <c r="F128" s="136" t="str">
        <f>IF(B128="","",D128-SUMIFS(Issue!$D$3:$D993,Issue!$C$3:$C993,C128,Issue!$B$3:$B993,B128))</f>
        <v/>
      </c>
      <c r="G128" s="232"/>
    </row>
    <row r="129" spans="1:7">
      <c r="A129" s="136" t="str">
        <f t="shared" si="0"/>
        <v/>
      </c>
      <c r="B129" s="137"/>
      <c r="C129" s="137"/>
      <c r="D129" s="136"/>
      <c r="E129" s="136"/>
      <c r="F129" s="136" t="str">
        <f>IF(B129="","",D129-SUMIFS(Issue!$D$3:$D993,Issue!$C$3:$C993,C129,Issue!$B$3:$B993,B129))</f>
        <v/>
      </c>
      <c r="G129" s="232"/>
    </row>
    <row r="130" spans="1:7">
      <c r="A130" s="136" t="str">
        <f t="shared" si="0"/>
        <v/>
      </c>
      <c r="B130" s="137"/>
      <c r="C130" s="137"/>
      <c r="D130" s="136"/>
      <c r="E130" s="136"/>
      <c r="F130" s="136" t="str">
        <f>IF(B130="","",D130-SUMIFS(Issue!$D$3:$D993,Issue!$C$3:$C993,C130,Issue!$B$3:$B993,B130))</f>
        <v/>
      </c>
      <c r="G130" s="232"/>
    </row>
    <row r="131" spans="1:7">
      <c r="A131" s="136" t="str">
        <f t="shared" si="0"/>
        <v/>
      </c>
      <c r="B131" s="137"/>
      <c r="C131" s="137"/>
      <c r="D131" s="136"/>
      <c r="E131" s="136"/>
      <c r="F131" s="136" t="str">
        <f>IF(B131="","",D131-SUMIFS(Issue!$D$3:$D993,Issue!$C$3:$C993,C131,Issue!$B$3:$B993,B131))</f>
        <v/>
      </c>
      <c r="G131" s="232"/>
    </row>
    <row r="132" spans="1:7">
      <c r="A132" s="136" t="str">
        <f t="shared" si="0"/>
        <v/>
      </c>
      <c r="B132" s="137"/>
      <c r="C132" s="137"/>
      <c r="D132" s="136"/>
      <c r="E132" s="136"/>
      <c r="F132" s="136" t="str">
        <f>IF(B132="","",D132-SUMIFS(Issue!$D$3:$D993,Issue!$C$3:$C993,C132,Issue!$B$3:$B993,B132))</f>
        <v/>
      </c>
      <c r="G132" s="232"/>
    </row>
    <row r="133" spans="1:7">
      <c r="A133" s="136" t="str">
        <f t="shared" si="0"/>
        <v/>
      </c>
      <c r="B133" s="137"/>
      <c r="C133" s="137"/>
      <c r="D133" s="136"/>
      <c r="E133" s="136"/>
      <c r="F133" s="136" t="str">
        <f>IF(B133="","",D133-SUMIFS(Issue!$D$3:$D993,Issue!$C$3:$C993,C133,Issue!$B$3:$B993,B133))</f>
        <v/>
      </c>
      <c r="G133" s="232"/>
    </row>
    <row r="134" spans="1:7">
      <c r="A134" s="136" t="str">
        <f t="shared" si="0"/>
        <v/>
      </c>
      <c r="B134" s="137"/>
      <c r="C134" s="137"/>
      <c r="D134" s="136"/>
      <c r="E134" s="136"/>
      <c r="F134" s="136" t="str">
        <f>IF(B134="","",D134-SUMIFS(Issue!$D$3:$D993,Issue!$C$3:$C993,C134,Issue!$B$3:$B993,B134))</f>
        <v/>
      </c>
      <c r="G134" s="232"/>
    </row>
    <row r="135" spans="1:7">
      <c r="A135" s="136" t="str">
        <f t="shared" si="0"/>
        <v/>
      </c>
      <c r="B135" s="137"/>
      <c r="C135" s="137"/>
      <c r="D135" s="136"/>
      <c r="E135" s="136"/>
      <c r="F135" s="136" t="str">
        <f>IF(B135="","",D135-SUMIFS(Issue!$D$3:$D993,Issue!$C$3:$C993,C135,Issue!$B$3:$B993,B135))</f>
        <v/>
      </c>
      <c r="G135" s="232"/>
    </row>
    <row r="136" spans="1:7">
      <c r="A136" s="136" t="str">
        <f t="shared" si="0"/>
        <v/>
      </c>
      <c r="B136" s="137"/>
      <c r="C136" s="137"/>
      <c r="D136" s="136"/>
      <c r="E136" s="136"/>
      <c r="F136" s="136" t="str">
        <f>IF(B136="","",D136-SUMIFS(Issue!$D$3:$D993,Issue!$C$3:$C993,C136,Issue!$B$3:$B993,B136))</f>
        <v/>
      </c>
      <c r="G136" s="232"/>
    </row>
    <row r="137" spans="1:7">
      <c r="A137" s="136" t="str">
        <f t="shared" si="0"/>
        <v/>
      </c>
      <c r="B137" s="137"/>
      <c r="C137" s="137"/>
      <c r="D137" s="136"/>
      <c r="E137" s="136"/>
      <c r="F137" s="136" t="str">
        <f>IF(B137="","",D137-SUMIFS(Issue!$D$3:$D993,Issue!$C$3:$C993,C137,Issue!$B$3:$B993,B137))</f>
        <v/>
      </c>
      <c r="G137" s="232"/>
    </row>
    <row r="138" spans="1:7">
      <c r="A138" s="136" t="str">
        <f t="shared" si="0"/>
        <v/>
      </c>
      <c r="B138" s="137"/>
      <c r="C138" s="137"/>
      <c r="D138" s="136"/>
      <c r="E138" s="136"/>
      <c r="F138" s="136" t="str">
        <f>IF(B138="","",D138-SUMIFS(Issue!$D$3:$D993,Issue!$C$3:$C993,C138,Issue!$B$3:$B993,B138))</f>
        <v/>
      </c>
      <c r="G138" s="232"/>
    </row>
    <row r="139" spans="1:7">
      <c r="A139" s="136" t="str">
        <f t="shared" si="0"/>
        <v/>
      </c>
      <c r="B139" s="137"/>
      <c r="C139" s="137"/>
      <c r="D139" s="136"/>
      <c r="E139" s="136"/>
      <c r="F139" s="136" t="str">
        <f>IF(B139="","",D139-SUMIFS(Issue!$D$3:$D993,Issue!$C$3:$C993,C139,Issue!$B$3:$B993,B139))</f>
        <v/>
      </c>
      <c r="G139" s="232"/>
    </row>
    <row r="140" spans="1:7">
      <c r="A140" s="136" t="str">
        <f t="shared" si="0"/>
        <v/>
      </c>
      <c r="B140" s="137"/>
      <c r="C140" s="137"/>
      <c r="D140" s="136"/>
      <c r="E140" s="136"/>
      <c r="F140" s="136" t="str">
        <f>IF(B140="","",D140-SUMIFS(Issue!$D$3:$D993,Issue!$C$3:$C993,C140,Issue!$B$3:$B993,B140))</f>
        <v/>
      </c>
      <c r="G140" s="232"/>
    </row>
    <row r="141" spans="1:7">
      <c r="A141" s="136" t="str">
        <f t="shared" si="0"/>
        <v/>
      </c>
      <c r="B141" s="137"/>
      <c r="C141" s="137"/>
      <c r="D141" s="136"/>
      <c r="E141" s="136"/>
      <c r="F141" s="136" t="str">
        <f>IF(B141="","",D141-SUMIFS(Issue!$D$3:$D993,Issue!$C$3:$C993,C141,Issue!$B$3:$B993,B141))</f>
        <v/>
      </c>
      <c r="G141" s="232"/>
    </row>
    <row r="142" spans="1:7">
      <c r="A142" s="136" t="str">
        <f t="shared" si="0"/>
        <v/>
      </c>
      <c r="B142" s="137"/>
      <c r="C142" s="137"/>
      <c r="D142" s="136"/>
      <c r="E142" s="136"/>
      <c r="F142" s="136" t="str">
        <f>IF(B142="","",D142-SUMIFS(Issue!$D$3:$D993,Issue!$C$3:$C993,C142,Issue!$B$3:$B993,B142))</f>
        <v/>
      </c>
      <c r="G142" s="232"/>
    </row>
    <row r="143" spans="1:7">
      <c r="A143" s="136" t="str">
        <f t="shared" si="0"/>
        <v/>
      </c>
      <c r="B143" s="137"/>
      <c r="C143" s="137"/>
      <c r="D143" s="136"/>
      <c r="E143" s="136"/>
      <c r="F143" s="136" t="str">
        <f>IF(B143="","",D143-SUMIFS(Issue!$D$3:$D993,Issue!$C$3:$C993,C143,Issue!$B$3:$B993,B143))</f>
        <v/>
      </c>
      <c r="G143" s="232"/>
    </row>
    <row r="144" spans="1:7">
      <c r="A144" s="136" t="str">
        <f t="shared" si="0"/>
        <v/>
      </c>
      <c r="B144" s="137"/>
      <c r="C144" s="137"/>
      <c r="D144" s="136"/>
      <c r="E144" s="136"/>
      <c r="F144" s="136" t="str">
        <f>IF(B144="","",D144-SUMIFS(Issue!$D$3:$D993,Issue!$C$3:$C993,C144,Issue!$B$3:$B993,B144))</f>
        <v/>
      </c>
      <c r="G144" s="232"/>
    </row>
    <row r="145" spans="1:7">
      <c r="A145" s="136" t="str">
        <f t="shared" si="0"/>
        <v/>
      </c>
      <c r="B145" s="137"/>
      <c r="C145" s="137"/>
      <c r="D145" s="136"/>
      <c r="E145" s="136"/>
      <c r="F145" s="136" t="str">
        <f>IF(B145="","",D145-SUMIFS(Issue!$D$3:$D993,Issue!$C$3:$C993,C145,Issue!$B$3:$B993,B145))</f>
        <v/>
      </c>
      <c r="G145" s="232"/>
    </row>
    <row r="146" spans="1:7">
      <c r="A146" s="136" t="str">
        <f t="shared" si="0"/>
        <v/>
      </c>
      <c r="B146" s="137"/>
      <c r="C146" s="137"/>
      <c r="D146" s="136"/>
      <c r="E146" s="136"/>
      <c r="F146" s="136" t="str">
        <f>IF(B146="","",D146-SUMIFS(Issue!$D$3:$D993,Issue!$C$3:$C993,C146,Issue!$B$3:$B993,B146))</f>
        <v/>
      </c>
      <c r="G146" s="232"/>
    </row>
    <row r="147" spans="1:7">
      <c r="A147" s="136" t="str">
        <f t="shared" si="0"/>
        <v/>
      </c>
      <c r="B147" s="137"/>
      <c r="C147" s="137"/>
      <c r="D147" s="136"/>
      <c r="E147" s="136"/>
      <c r="F147" s="136" t="str">
        <f>IF(B147="","",D147-SUMIFS(Issue!$D$3:$D993,Issue!$C$3:$C993,C147,Issue!$B$3:$B993,B147))</f>
        <v/>
      </c>
      <c r="G147" s="232"/>
    </row>
    <row r="148" spans="1:7">
      <c r="A148" s="136" t="str">
        <f t="shared" si="0"/>
        <v/>
      </c>
      <c r="B148" s="137"/>
      <c r="C148" s="137"/>
      <c r="D148" s="136"/>
      <c r="E148" s="136"/>
      <c r="F148" s="136" t="str">
        <f>IF(B148="","",D148-SUMIFS(Issue!$D$3:$D993,Issue!$C$3:$C993,C148,Issue!$B$3:$B993,B148))</f>
        <v/>
      </c>
      <c r="G148" s="232"/>
    </row>
    <row r="149" spans="1:7">
      <c r="A149" s="136" t="str">
        <f t="shared" si="0"/>
        <v/>
      </c>
      <c r="B149" s="137"/>
      <c r="C149" s="137"/>
      <c r="D149" s="136"/>
      <c r="E149" s="136"/>
      <c r="F149" s="136" t="str">
        <f>IF(B149="","",D149-SUMIFS(Issue!$D$3:$D993,Issue!$C$3:$C993,C149,Issue!$B$3:$B993,B149))</f>
        <v/>
      </c>
      <c r="G149" s="232"/>
    </row>
    <row r="150" spans="1:7">
      <c r="A150" s="136" t="str">
        <f t="shared" si="0"/>
        <v/>
      </c>
      <c r="B150" s="137"/>
      <c r="C150" s="137"/>
      <c r="D150" s="136"/>
      <c r="E150" s="136"/>
      <c r="F150" s="136" t="str">
        <f>IF(B150="","",D150-SUMIFS(Issue!$D$3:$D993,Issue!$C$3:$C993,C150,Issue!$B$3:$B993,B150))</f>
        <v/>
      </c>
      <c r="G150" s="232"/>
    </row>
    <row r="151" spans="1:7">
      <c r="A151" s="136" t="str">
        <f t="shared" si="0"/>
        <v/>
      </c>
      <c r="B151" s="137"/>
      <c r="C151" s="137"/>
      <c r="D151" s="136"/>
      <c r="E151" s="136"/>
      <c r="F151" s="136" t="str">
        <f>IF(B151="","",D151-SUMIFS(Issue!$D$3:$D993,Issue!$C$3:$C993,C151,Issue!$B$3:$B993,B151))</f>
        <v/>
      </c>
      <c r="G151" s="232"/>
    </row>
    <row r="152" spans="1:7">
      <c r="A152" s="136" t="str">
        <f t="shared" si="0"/>
        <v/>
      </c>
      <c r="B152" s="137"/>
      <c r="C152" s="137"/>
      <c r="D152" s="136"/>
      <c r="E152" s="136"/>
      <c r="F152" s="136" t="str">
        <f>IF(B152="","",D152-SUMIFS(Issue!$D$3:$D993,Issue!$C$3:$C993,C152,Issue!$B$3:$B993,B152))</f>
        <v/>
      </c>
      <c r="G152" s="232"/>
    </row>
    <row r="153" spans="1:7">
      <c r="A153" s="136" t="str">
        <f t="shared" si="0"/>
        <v/>
      </c>
      <c r="B153" s="137"/>
      <c r="C153" s="137"/>
      <c r="D153" s="136"/>
      <c r="E153" s="136"/>
      <c r="F153" s="136" t="str">
        <f>IF(B153="","",D153-SUMIFS(Issue!$D$3:$D993,Issue!$C$3:$C993,C153,Issue!$B$3:$B993,B153))</f>
        <v/>
      </c>
      <c r="G153" s="232"/>
    </row>
    <row r="154" spans="1:7">
      <c r="A154" s="136" t="str">
        <f t="shared" si="0"/>
        <v/>
      </c>
      <c r="B154" s="137"/>
      <c r="C154" s="137"/>
      <c r="D154" s="136"/>
      <c r="E154" s="136"/>
      <c r="F154" s="136" t="str">
        <f>IF(B154="","",D154-SUMIFS(Issue!$D$3:$D993,Issue!$C$3:$C993,C154,Issue!$B$3:$B993,B154))</f>
        <v/>
      </c>
      <c r="G154" s="232"/>
    </row>
    <row r="155" spans="1:7">
      <c r="A155" s="136" t="str">
        <f t="shared" si="0"/>
        <v/>
      </c>
      <c r="B155" s="137"/>
      <c r="C155" s="137"/>
      <c r="D155" s="136"/>
      <c r="E155" s="136"/>
      <c r="F155" s="136" t="str">
        <f>IF(B155="","",D155-SUMIFS(Issue!$D$3:$D993,Issue!$C$3:$C993,C155,Issue!$B$3:$B993,B155))</f>
        <v/>
      </c>
      <c r="G155" s="232"/>
    </row>
    <row r="156" spans="1:7">
      <c r="A156" s="136" t="str">
        <f t="shared" si="0"/>
        <v/>
      </c>
      <c r="B156" s="137"/>
      <c r="C156" s="137"/>
      <c r="D156" s="136"/>
      <c r="E156" s="136"/>
      <c r="F156" s="136" t="str">
        <f>IF(B156="","",D156-SUMIFS(Issue!$D$3:$D993,Issue!$C$3:$C993,C156,Issue!$B$3:$B993,B156))</f>
        <v/>
      </c>
      <c r="G156" s="232"/>
    </row>
    <row r="157" spans="1:7">
      <c r="A157" s="136" t="str">
        <f t="shared" si="0"/>
        <v/>
      </c>
      <c r="B157" s="137"/>
      <c r="C157" s="137"/>
      <c r="D157" s="136"/>
      <c r="E157" s="136"/>
      <c r="F157" s="136" t="str">
        <f>IF(B157="","",D157-SUMIFS(Issue!$D$3:$D993,Issue!$C$3:$C993,C157,Issue!$B$3:$B993,B157))</f>
        <v/>
      </c>
      <c r="G157" s="232"/>
    </row>
    <row r="158" spans="1:7">
      <c r="A158" s="136" t="str">
        <f t="shared" si="0"/>
        <v/>
      </c>
      <c r="B158" s="137"/>
      <c r="C158" s="137"/>
      <c r="D158" s="136"/>
      <c r="E158" s="136"/>
      <c r="F158" s="136" t="str">
        <f>IF(B158="","",D158-SUMIFS(Issue!$D$3:$D993,Issue!$C$3:$C993,C158,Issue!$B$3:$B993,B158))</f>
        <v/>
      </c>
      <c r="G158" s="232"/>
    </row>
    <row r="159" spans="1:7">
      <c r="A159" s="136" t="str">
        <f t="shared" si="0"/>
        <v/>
      </c>
      <c r="B159" s="137"/>
      <c r="C159" s="137"/>
      <c r="D159" s="136"/>
      <c r="E159" s="136"/>
      <c r="F159" s="136" t="str">
        <f>IF(B159="","",D159-SUMIFS(Issue!$D$3:$D993,Issue!$C$3:$C993,C159,Issue!$B$3:$B993,B159))</f>
        <v/>
      </c>
      <c r="G159" s="232"/>
    </row>
    <row r="160" spans="1:7">
      <c r="A160" s="136" t="str">
        <f t="shared" si="0"/>
        <v/>
      </c>
      <c r="B160" s="137"/>
      <c r="C160" s="137"/>
      <c r="D160" s="136"/>
      <c r="E160" s="136"/>
      <c r="F160" s="136" t="str">
        <f>IF(B160="","",D160-SUMIFS(Issue!$D$3:$D993,Issue!$C$3:$C993,C160,Issue!$B$3:$B993,B160))</f>
        <v/>
      </c>
      <c r="G160" s="232"/>
    </row>
    <row r="161" spans="1:7">
      <c r="A161" s="136" t="str">
        <f t="shared" si="0"/>
        <v/>
      </c>
      <c r="B161" s="137"/>
      <c r="C161" s="137"/>
      <c r="D161" s="136"/>
      <c r="E161" s="136"/>
      <c r="F161" s="136" t="str">
        <f>IF(B161="","",D161-SUMIFS(Issue!$D$3:$D993,Issue!$C$3:$C993,C161,Issue!$B$3:$B993,B161))</f>
        <v/>
      </c>
      <c r="G161" s="232"/>
    </row>
    <row r="162" spans="1:7">
      <c r="A162" s="136" t="str">
        <f t="shared" si="0"/>
        <v/>
      </c>
      <c r="B162" s="137"/>
      <c r="C162" s="137"/>
      <c r="D162" s="136"/>
      <c r="E162" s="136"/>
      <c r="F162" s="136" t="str">
        <f>IF(B162="","",D162-SUMIFS(Issue!$D$3:$D993,Issue!$C$3:$C993,C162,Issue!$B$3:$B993,B162))</f>
        <v/>
      </c>
      <c r="G162" s="232"/>
    </row>
    <row r="163" spans="1:7">
      <c r="A163" s="136" t="str">
        <f t="shared" si="0"/>
        <v/>
      </c>
      <c r="B163" s="137"/>
      <c r="C163" s="137"/>
      <c r="D163" s="136"/>
      <c r="E163" s="136"/>
      <c r="F163" s="136" t="str">
        <f>IF(B163="","",D163-SUMIFS(Issue!$D$3:$D993,Issue!$C$3:$C993,C163,Issue!$B$3:$B993,B163))</f>
        <v/>
      </c>
      <c r="G163" s="232"/>
    </row>
    <row r="164" spans="1:7">
      <c r="A164" s="136" t="str">
        <f t="shared" si="0"/>
        <v/>
      </c>
      <c r="B164" s="137"/>
      <c r="C164" s="137"/>
      <c r="D164" s="136"/>
      <c r="E164" s="136"/>
      <c r="F164" s="136" t="str">
        <f>IF(B164="","",D164-SUMIFS(Issue!$D$3:$D993,Issue!$C$3:$C993,C164,Issue!$B$3:$B993,B164))</f>
        <v/>
      </c>
      <c r="G164" s="232"/>
    </row>
    <row r="165" spans="1:7">
      <c r="A165" s="136" t="str">
        <f t="shared" si="0"/>
        <v/>
      </c>
      <c r="B165" s="137"/>
      <c r="C165" s="137"/>
      <c r="D165" s="136"/>
      <c r="E165" s="136"/>
      <c r="F165" s="136" t="str">
        <f>IF(B165="","",D165-SUMIFS(Issue!$D$3:$D993,Issue!$C$3:$C993,C165,Issue!$B$3:$B993,B165))</f>
        <v/>
      </c>
      <c r="G165" s="232"/>
    </row>
    <row r="166" spans="1:7">
      <c r="A166" s="136" t="str">
        <f t="shared" si="0"/>
        <v/>
      </c>
      <c r="B166" s="137"/>
      <c r="C166" s="137"/>
      <c r="D166" s="136"/>
      <c r="E166" s="136"/>
      <c r="F166" s="136" t="str">
        <f>IF(B166="","",D166-SUMIFS(Issue!$D$3:$D993,Issue!$C$3:$C993,C166,Issue!$B$3:$B993,B166))</f>
        <v/>
      </c>
      <c r="G166" s="232"/>
    </row>
    <row r="167" spans="1:7">
      <c r="A167" s="136" t="str">
        <f t="shared" si="0"/>
        <v/>
      </c>
      <c r="B167" s="137"/>
      <c r="C167" s="137"/>
      <c r="D167" s="136"/>
      <c r="E167" s="136"/>
      <c r="F167" s="136" t="str">
        <f>IF(B167="","",D167-SUMIFS(Issue!$D$3:$D993,Issue!$C$3:$C993,C167,Issue!$B$3:$B993,B167))</f>
        <v/>
      </c>
      <c r="G167" s="232"/>
    </row>
    <row r="168" spans="1:7">
      <c r="A168" s="136" t="str">
        <f t="shared" si="0"/>
        <v/>
      </c>
      <c r="B168" s="137"/>
      <c r="C168" s="137"/>
      <c r="D168" s="136"/>
      <c r="E168" s="136"/>
      <c r="F168" s="136" t="str">
        <f>IF(B168="","",D168-SUMIFS(Issue!$D$3:$D993,Issue!$C$3:$C993,C168,Issue!$B$3:$B993,B168))</f>
        <v/>
      </c>
      <c r="G168" s="232"/>
    </row>
    <row r="169" spans="1:7">
      <c r="A169" s="136" t="str">
        <f t="shared" si="0"/>
        <v/>
      </c>
      <c r="B169" s="137"/>
      <c r="C169" s="137"/>
      <c r="D169" s="136"/>
      <c r="E169" s="136"/>
      <c r="F169" s="136" t="str">
        <f>IF(B169="","",D169-SUMIFS(Issue!$D$3:$D993,Issue!$C$3:$C993,C169,Issue!$B$3:$B993,B169))</f>
        <v/>
      </c>
      <c r="G169" s="232"/>
    </row>
    <row r="170" spans="1:7">
      <c r="A170" s="136" t="str">
        <f t="shared" si="0"/>
        <v/>
      </c>
      <c r="B170" s="137"/>
      <c r="C170" s="137"/>
      <c r="D170" s="136"/>
      <c r="E170" s="136"/>
      <c r="F170" s="136" t="str">
        <f>IF(B170="","",D170-SUMIFS(Issue!$D$3:$D993,Issue!$C$3:$C993,C170,Issue!$B$3:$B993,B170))</f>
        <v/>
      </c>
      <c r="G170" s="232"/>
    </row>
    <row r="171" spans="1:7">
      <c r="A171" s="136" t="str">
        <f t="shared" si="0"/>
        <v/>
      </c>
      <c r="B171" s="137"/>
      <c r="C171" s="137"/>
      <c r="D171" s="136"/>
      <c r="E171" s="136"/>
      <c r="F171" s="136" t="str">
        <f>IF(B171="","",D171-SUMIFS(Issue!$D$3:$D993,Issue!$C$3:$C993,C171,Issue!$B$3:$B993,B171))</f>
        <v/>
      </c>
      <c r="G171" s="232"/>
    </row>
    <row r="172" spans="1:7">
      <c r="A172" s="136" t="str">
        <f t="shared" si="0"/>
        <v/>
      </c>
      <c r="B172" s="137"/>
      <c r="C172" s="137"/>
      <c r="D172" s="136"/>
      <c r="E172" s="136"/>
      <c r="F172" s="136" t="str">
        <f>IF(B172="","",D172-SUMIFS(Issue!$D$3:$D993,Issue!$C$3:$C993,C172,Issue!$B$3:$B993,B172))</f>
        <v/>
      </c>
      <c r="G172" s="232"/>
    </row>
    <row r="173" spans="1:7">
      <c r="A173" s="136" t="str">
        <f t="shared" si="0"/>
        <v/>
      </c>
      <c r="B173" s="137"/>
      <c r="C173" s="137"/>
      <c r="D173" s="136"/>
      <c r="E173" s="136"/>
      <c r="F173" s="136" t="str">
        <f>IF(B173="","",D173-SUMIFS(Issue!$D$3:$D993,Issue!$C$3:$C993,C173,Issue!$B$3:$B993,B173))</f>
        <v/>
      </c>
      <c r="G173" s="232"/>
    </row>
    <row r="174" spans="1:7">
      <c r="A174" s="136" t="str">
        <f t="shared" si="0"/>
        <v/>
      </c>
      <c r="B174" s="137"/>
      <c r="C174" s="137"/>
      <c r="D174" s="136"/>
      <c r="E174" s="136"/>
      <c r="F174" s="136" t="str">
        <f>IF(B174="","",D174-SUMIFS(Issue!$D$3:$D993,Issue!$C$3:$C993,C174,Issue!$B$3:$B993,B174))</f>
        <v/>
      </c>
      <c r="G174" s="232"/>
    </row>
    <row r="175" spans="1:7">
      <c r="A175" s="136" t="str">
        <f t="shared" si="0"/>
        <v/>
      </c>
      <c r="B175" s="137"/>
      <c r="C175" s="137"/>
      <c r="D175" s="136"/>
      <c r="E175" s="136"/>
      <c r="F175" s="136" t="str">
        <f>IF(B175="","",D175-SUMIFS(Issue!$D$3:$D993,Issue!$C$3:$C993,C175,Issue!$B$3:$B993,B175))</f>
        <v/>
      </c>
      <c r="G175" s="232"/>
    </row>
    <row r="176" spans="1:7">
      <c r="A176" s="136" t="str">
        <f t="shared" si="0"/>
        <v/>
      </c>
      <c r="B176" s="137"/>
      <c r="C176" s="137"/>
      <c r="D176" s="136"/>
      <c r="E176" s="136"/>
      <c r="F176" s="136" t="str">
        <f>IF(B176="","",D176-SUMIFS(Issue!$D$3:$D993,Issue!$C$3:$C993,C176,Issue!$B$3:$B993,B176))</f>
        <v/>
      </c>
      <c r="G176" s="232"/>
    </row>
    <row r="177" spans="1:7">
      <c r="A177" s="136" t="str">
        <f t="shared" si="0"/>
        <v/>
      </c>
      <c r="B177" s="137"/>
      <c r="C177" s="137"/>
      <c r="D177" s="136"/>
      <c r="E177" s="136"/>
      <c r="F177" s="136" t="str">
        <f>IF(B177="","",D177-SUMIFS(Issue!$D$3:$D993,Issue!$C$3:$C993,C177,Issue!$B$3:$B993,B177))</f>
        <v/>
      </c>
      <c r="G177" s="232"/>
    </row>
    <row r="178" spans="1:7">
      <c r="A178" s="136" t="str">
        <f t="shared" si="0"/>
        <v/>
      </c>
      <c r="B178" s="137"/>
      <c r="C178" s="137"/>
      <c r="D178" s="136"/>
      <c r="E178" s="136"/>
      <c r="F178" s="136" t="str">
        <f>IF(B178="","",D178-SUMIFS(Issue!$D$3:$D993,Issue!$C$3:$C993,C178,Issue!$B$3:$B993,B178))</f>
        <v/>
      </c>
      <c r="G178" s="232"/>
    </row>
    <row r="179" spans="1:7">
      <c r="A179" s="136" t="str">
        <f t="shared" si="0"/>
        <v/>
      </c>
      <c r="B179" s="137"/>
      <c r="C179" s="137"/>
      <c r="D179" s="136"/>
      <c r="E179" s="136"/>
      <c r="F179" s="136" t="str">
        <f>IF(B179="","",D179-SUMIFS(Issue!$D$3:$D993,Issue!$C$3:$C993,C179,Issue!$B$3:$B993,B179))</f>
        <v/>
      </c>
      <c r="G179" s="232"/>
    </row>
    <row r="180" spans="1:7">
      <c r="A180" s="136" t="str">
        <f t="shared" si="0"/>
        <v/>
      </c>
      <c r="B180" s="137"/>
      <c r="C180" s="137"/>
      <c r="D180" s="136"/>
      <c r="E180" s="136"/>
      <c r="F180" s="136" t="str">
        <f>IF(B180="","",D180-SUMIFS(Issue!$D$3:$D993,Issue!$C$3:$C993,C180,Issue!$B$3:$B993,B180))</f>
        <v/>
      </c>
      <c r="G180" s="232"/>
    </row>
    <row r="181" spans="1:7">
      <c r="A181" s="136" t="str">
        <f t="shared" si="0"/>
        <v/>
      </c>
      <c r="B181" s="137"/>
      <c r="C181" s="137"/>
      <c r="D181" s="136"/>
      <c r="E181" s="136"/>
      <c r="F181" s="136" t="str">
        <f>IF(B181="","",D181-SUMIFS(Issue!$D$3:$D993,Issue!$C$3:$C993,C181,Issue!$B$3:$B993,B181))</f>
        <v/>
      </c>
      <c r="G181" s="232"/>
    </row>
    <row r="182" spans="1:7">
      <c r="A182" s="136" t="str">
        <f t="shared" si="0"/>
        <v/>
      </c>
      <c r="B182" s="137"/>
      <c r="C182" s="137"/>
      <c r="D182" s="136"/>
      <c r="E182" s="136"/>
      <c r="F182" s="136" t="str">
        <f>IF(B182="","",D182-SUMIFS(Issue!$D$3:$D993,Issue!$C$3:$C993,C182,Issue!$B$3:$B993,B182))</f>
        <v/>
      </c>
      <c r="G182" s="232"/>
    </row>
    <row r="183" spans="1:7">
      <c r="A183" s="136" t="str">
        <f t="shared" si="0"/>
        <v/>
      </c>
      <c r="B183" s="137"/>
      <c r="C183" s="137"/>
      <c r="D183" s="136"/>
      <c r="E183" s="136"/>
      <c r="F183" s="136" t="str">
        <f>IF(B183="","",D183-SUMIFS(Issue!$D$3:$D993,Issue!$C$3:$C993,C183,Issue!$B$3:$B993,B183))</f>
        <v/>
      </c>
      <c r="G183" s="232"/>
    </row>
    <row r="184" spans="1:7">
      <c r="A184" s="136" t="str">
        <f t="shared" si="0"/>
        <v/>
      </c>
      <c r="B184" s="137"/>
      <c r="C184" s="137"/>
      <c r="D184" s="136"/>
      <c r="E184" s="136"/>
      <c r="F184" s="136" t="str">
        <f>IF(B184="","",D184-SUMIFS(Issue!$D$3:$D993,Issue!$C$3:$C993,C184,Issue!$B$3:$B993,B184))</f>
        <v/>
      </c>
      <c r="G184" s="232"/>
    </row>
    <row r="185" spans="1:7">
      <c r="A185" s="136" t="str">
        <f t="shared" si="0"/>
        <v/>
      </c>
      <c r="B185" s="137"/>
      <c r="C185" s="137"/>
      <c r="D185" s="136"/>
      <c r="E185" s="136"/>
      <c r="F185" s="136" t="str">
        <f>IF(B185="","",D185-SUMIFS(Issue!$D$3:$D993,Issue!$C$3:$C993,C185,Issue!$B$3:$B993,B185))</f>
        <v/>
      </c>
      <c r="G185" s="232"/>
    </row>
    <row r="186" spans="1:7">
      <c r="A186" s="136" t="str">
        <f t="shared" si="0"/>
        <v/>
      </c>
      <c r="B186" s="137"/>
      <c r="C186" s="137"/>
      <c r="D186" s="136"/>
      <c r="E186" s="136"/>
      <c r="F186" s="136" t="str">
        <f>IF(B186="","",D186-SUMIFS(Issue!$D$3:$D993,Issue!$C$3:$C993,C186,Issue!$B$3:$B993,B186))</f>
        <v/>
      </c>
      <c r="G186" s="232"/>
    </row>
    <row r="187" spans="1:7">
      <c r="A187" s="136" t="str">
        <f t="shared" si="0"/>
        <v/>
      </c>
      <c r="B187" s="137"/>
      <c r="C187" s="137"/>
      <c r="D187" s="136"/>
      <c r="E187" s="136"/>
      <c r="F187" s="136" t="str">
        <f>IF(B187="","",D187-SUMIFS(Issue!$D$3:$D993,Issue!$C$3:$C993,C187,Issue!$B$3:$B993,B187))</f>
        <v/>
      </c>
      <c r="G187" s="232"/>
    </row>
    <row r="188" spans="1:7">
      <c r="A188" s="136" t="str">
        <f t="shared" si="0"/>
        <v/>
      </c>
      <c r="B188" s="137"/>
      <c r="C188" s="137"/>
      <c r="D188" s="136"/>
      <c r="E188" s="136"/>
      <c r="F188" s="136" t="str">
        <f>IF(B188="","",D188-SUMIFS(Issue!$D$3:$D993,Issue!$C$3:$C993,C188,Issue!$B$3:$B993,B188))</f>
        <v/>
      </c>
      <c r="G188" s="232"/>
    </row>
    <row r="189" spans="1:7">
      <c r="A189" s="136" t="str">
        <f t="shared" si="0"/>
        <v/>
      </c>
      <c r="B189" s="137"/>
      <c r="C189" s="137"/>
      <c r="D189" s="136"/>
      <c r="E189" s="136"/>
      <c r="F189" s="136" t="str">
        <f>IF(B189="","",D189-SUMIFS(Issue!$D$3:$D993,Issue!$C$3:$C993,C189,Issue!$B$3:$B993,B189))</f>
        <v/>
      </c>
      <c r="G189" s="232"/>
    </row>
    <row r="190" spans="1:7">
      <c r="A190" s="136" t="str">
        <f t="shared" si="0"/>
        <v/>
      </c>
      <c r="B190" s="137"/>
      <c r="C190" s="137"/>
      <c r="D190" s="136"/>
      <c r="E190" s="136"/>
      <c r="F190" s="136" t="str">
        <f>IF(B190="","",D190-SUMIFS(Issue!$D$3:$D993,Issue!$C$3:$C993,C190,Issue!$B$3:$B993,B190))</f>
        <v/>
      </c>
      <c r="G190" s="232"/>
    </row>
    <row r="191" spans="1:7">
      <c r="A191" s="136" t="str">
        <f t="shared" si="0"/>
        <v/>
      </c>
      <c r="B191" s="137"/>
      <c r="C191" s="137"/>
      <c r="D191" s="136"/>
      <c r="E191" s="136"/>
      <c r="F191" s="136" t="str">
        <f>IF(B191="","",D191-SUMIFS(Issue!$D$3:$D993,Issue!$C$3:$C993,C191,Issue!$B$3:$B993,B191))</f>
        <v/>
      </c>
      <c r="G191" s="232"/>
    </row>
    <row r="192" spans="1:7">
      <c r="A192" s="136" t="str">
        <f t="shared" si="0"/>
        <v/>
      </c>
      <c r="B192" s="137"/>
      <c r="C192" s="137"/>
      <c r="D192" s="136"/>
      <c r="E192" s="136"/>
      <c r="F192" s="136" t="str">
        <f>IF(B192="","",D192-SUMIFS(Issue!$D$3:$D993,Issue!$C$3:$C993,C192,Issue!$B$3:$B993,B192))</f>
        <v/>
      </c>
      <c r="G192" s="232"/>
    </row>
    <row r="193" spans="1:7">
      <c r="A193" s="136" t="str">
        <f t="shared" si="0"/>
        <v/>
      </c>
      <c r="B193" s="137"/>
      <c r="C193" s="137"/>
      <c r="D193" s="136"/>
      <c r="E193" s="136"/>
      <c r="F193" s="136" t="str">
        <f>IF(B193="","",D193-SUMIFS(Issue!$D$3:$D993,Issue!$C$3:$C993,C193,Issue!$B$3:$B993,B193))</f>
        <v/>
      </c>
      <c r="G193" s="232"/>
    </row>
    <row r="194" spans="1:7">
      <c r="A194" s="136" t="str">
        <f t="shared" si="0"/>
        <v/>
      </c>
      <c r="B194" s="137"/>
      <c r="C194" s="137"/>
      <c r="D194" s="136"/>
      <c r="E194" s="136"/>
      <c r="F194" s="136" t="str">
        <f>IF(B194="","",D194-SUMIFS(Issue!$D$3:$D993,Issue!$C$3:$C993,C194,Issue!$B$3:$B993,B194))</f>
        <v/>
      </c>
      <c r="G194" s="232"/>
    </row>
    <row r="195" spans="1:7">
      <c r="A195" s="136" t="str">
        <f t="shared" si="0"/>
        <v/>
      </c>
      <c r="B195" s="137"/>
      <c r="C195" s="137"/>
      <c r="D195" s="136"/>
      <c r="E195" s="136"/>
      <c r="F195" s="136" t="str">
        <f>IF(B195="","",D195-SUMIFS(Issue!$D$3:$D993,Issue!$C$3:$C993,C195,Issue!$B$3:$B993,B195))</f>
        <v/>
      </c>
      <c r="G195" s="232"/>
    </row>
    <row r="196" spans="1:7">
      <c r="A196" s="136" t="str">
        <f t="shared" si="0"/>
        <v/>
      </c>
      <c r="B196" s="137"/>
      <c r="C196" s="137"/>
      <c r="D196" s="136"/>
      <c r="E196" s="136"/>
      <c r="F196" s="136" t="str">
        <f>IF(B196="","",D196-SUMIFS(Issue!$D$3:$D993,Issue!$C$3:$C993,C196,Issue!$B$3:$B993,B196))</f>
        <v/>
      </c>
      <c r="G196" s="232"/>
    </row>
    <row r="197" spans="1:7">
      <c r="A197" s="136" t="str">
        <f t="shared" si="0"/>
        <v/>
      </c>
      <c r="B197" s="137"/>
      <c r="C197" s="137"/>
      <c r="D197" s="136"/>
      <c r="E197" s="136"/>
      <c r="F197" s="136" t="str">
        <f>IF(B197="","",D197-SUMIFS(Issue!$D$3:$D993,Issue!$C$3:$C993,C197,Issue!$B$3:$B993,B197))</f>
        <v/>
      </c>
      <c r="G197" s="232"/>
    </row>
    <row r="198" spans="1:7">
      <c r="A198" s="136" t="str">
        <f t="shared" si="0"/>
        <v/>
      </c>
      <c r="B198" s="137"/>
      <c r="C198" s="137"/>
      <c r="D198" s="136"/>
      <c r="E198" s="136"/>
      <c r="F198" s="136" t="str">
        <f>IF(B198="","",D198-SUMIFS(Issue!$D$3:$D993,Issue!$C$3:$C993,C198,Issue!$B$3:$B993,B198))</f>
        <v/>
      </c>
      <c r="G198" s="232"/>
    </row>
    <row r="199" spans="1:7">
      <c r="A199" s="136" t="str">
        <f t="shared" si="0"/>
        <v/>
      </c>
      <c r="B199" s="137"/>
      <c r="C199" s="137"/>
      <c r="D199" s="136"/>
      <c r="E199" s="136"/>
      <c r="F199" s="136" t="str">
        <f>IF(B199="","",D199-SUMIFS(Issue!$D$3:$D993,Issue!$C$3:$C993,C199,Issue!$B$3:$B993,B199))</f>
        <v/>
      </c>
      <c r="G199" s="232"/>
    </row>
    <row r="200" spans="1:7">
      <c r="A200" s="136" t="str">
        <f t="shared" si="0"/>
        <v/>
      </c>
      <c r="B200" s="137"/>
      <c r="C200" s="137"/>
      <c r="D200" s="136"/>
      <c r="E200" s="136"/>
      <c r="F200" s="136" t="str">
        <f>IF(B200="","",D200-SUMIFS(Issue!$D$3:$D993,Issue!$C$3:$C993,C200,Issue!$B$3:$B993,B200))</f>
        <v/>
      </c>
      <c r="G200" s="232"/>
    </row>
    <row r="201" spans="1:7">
      <c r="A201" s="136" t="str">
        <f t="shared" si="0"/>
        <v/>
      </c>
      <c r="B201" s="137"/>
      <c r="C201" s="137"/>
      <c r="D201" s="136"/>
      <c r="E201" s="136"/>
      <c r="F201" s="136" t="str">
        <f>IF(B201="","",D201-SUMIFS(Issue!$D$3:$D993,Issue!$C$3:$C993,C201,Issue!$B$3:$B993,B201))</f>
        <v/>
      </c>
      <c r="G201" s="232"/>
    </row>
    <row r="202" spans="1:7">
      <c r="A202" s="136" t="str">
        <f t="shared" si="0"/>
        <v/>
      </c>
      <c r="B202" s="137"/>
      <c r="C202" s="137"/>
      <c r="D202" s="136"/>
      <c r="E202" s="136"/>
      <c r="F202" s="136" t="str">
        <f>IF(B202="","",D202-SUMIFS(Issue!$D$3:$D993,Issue!$C$3:$C993,C202,Issue!$B$3:$B993,B202))</f>
        <v/>
      </c>
      <c r="G202" s="232"/>
    </row>
    <row r="203" spans="1:7">
      <c r="A203" s="136" t="str">
        <f t="shared" si="0"/>
        <v/>
      </c>
      <c r="B203" s="137"/>
      <c r="C203" s="137"/>
      <c r="D203" s="136"/>
      <c r="E203" s="136"/>
      <c r="F203" s="136" t="str">
        <f>IF(B203="","",D203-SUMIFS(Issue!$D$3:$D993,Issue!$C$3:$C993,C203,Issue!$B$3:$B993,B203))</f>
        <v/>
      </c>
      <c r="G203" s="232"/>
    </row>
    <row r="204" spans="1:7">
      <c r="A204" s="136" t="str">
        <f t="shared" si="0"/>
        <v/>
      </c>
      <c r="B204" s="137"/>
      <c r="C204" s="137"/>
      <c r="D204" s="136"/>
      <c r="E204" s="136"/>
      <c r="F204" s="136" t="str">
        <f>IF(B204="","",D204-SUMIFS(Issue!$D$3:$D993,Issue!$C$3:$C993,C204,Issue!$B$3:$B993,B204))</f>
        <v/>
      </c>
      <c r="G204" s="232"/>
    </row>
    <row r="205" spans="1:7">
      <c r="A205" s="136" t="str">
        <f t="shared" si="0"/>
        <v/>
      </c>
      <c r="B205" s="137"/>
      <c r="C205" s="137"/>
      <c r="D205" s="136"/>
      <c r="E205" s="136"/>
      <c r="F205" s="136" t="str">
        <f>IF(B205="","",D205-SUMIFS(Issue!$D$3:$D993,Issue!$C$3:$C993,C205,Issue!$B$3:$B993,B205))</f>
        <v/>
      </c>
      <c r="G205" s="232"/>
    </row>
    <row r="206" spans="1:7">
      <c r="A206" s="136" t="str">
        <f t="shared" si="0"/>
        <v/>
      </c>
      <c r="B206" s="137"/>
      <c r="C206" s="137"/>
      <c r="D206" s="136"/>
      <c r="E206" s="136"/>
      <c r="F206" s="136" t="str">
        <f>IF(B206="","",D206-SUMIFS(Issue!$D$3:$D993,Issue!$C$3:$C993,C206,Issue!$B$3:$B993,B206))</f>
        <v/>
      </c>
      <c r="G206" s="232"/>
    </row>
    <row r="207" spans="1:7">
      <c r="A207" s="136" t="str">
        <f t="shared" si="0"/>
        <v/>
      </c>
      <c r="B207" s="137"/>
      <c r="C207" s="137"/>
      <c r="D207" s="136"/>
      <c r="E207" s="136"/>
      <c r="F207" s="136" t="str">
        <f>IF(B207="","",D207-SUMIFS(Issue!$D$3:$D993,Issue!$C$3:$C993,C207,Issue!$B$3:$B993,B207))</f>
        <v/>
      </c>
      <c r="G207" s="232"/>
    </row>
    <row r="208" spans="1:7">
      <c r="A208" s="136" t="str">
        <f t="shared" si="0"/>
        <v/>
      </c>
      <c r="B208" s="137"/>
      <c r="C208" s="137"/>
      <c r="D208" s="136"/>
      <c r="E208" s="136"/>
      <c r="F208" s="136" t="str">
        <f>IF(B208="","",D208-SUMIFS(Issue!$D$3:$D993,Issue!$C$3:$C993,C208,Issue!$B$3:$B993,B208))</f>
        <v/>
      </c>
      <c r="G208" s="232"/>
    </row>
    <row r="209" spans="1:7">
      <c r="A209" s="136" t="str">
        <f t="shared" si="0"/>
        <v/>
      </c>
      <c r="B209" s="137"/>
      <c r="C209" s="137"/>
      <c r="D209" s="136"/>
      <c r="E209" s="136"/>
      <c r="F209" s="136" t="str">
        <f>IF(B209="","",D209-SUMIFS(Issue!$D$3:$D993,Issue!$C$3:$C993,C209,Issue!$B$3:$B993,B209))</f>
        <v/>
      </c>
      <c r="G209" s="232"/>
    </row>
    <row r="210" spans="1:7">
      <c r="A210" s="136" t="str">
        <f t="shared" si="0"/>
        <v/>
      </c>
      <c r="B210" s="137"/>
      <c r="C210" s="137"/>
      <c r="D210" s="136"/>
      <c r="E210" s="136"/>
      <c r="F210" s="136" t="str">
        <f>IF(B210="","",D210-SUMIFS(Issue!$D$3:$D993,Issue!$C$3:$C993,C210,Issue!$B$3:$B993,B210))</f>
        <v/>
      </c>
      <c r="G210" s="232"/>
    </row>
    <row r="211" spans="1:7">
      <c r="A211" s="136" t="str">
        <f t="shared" si="0"/>
        <v/>
      </c>
      <c r="B211" s="137"/>
      <c r="C211" s="137"/>
      <c r="D211" s="136"/>
      <c r="E211" s="136"/>
      <c r="F211" s="136" t="str">
        <f>IF(B211="","",D211-SUMIFS(Issue!$D$3:$D993,Issue!$C$3:$C993,C211,Issue!$B$3:$B993,B211))</f>
        <v/>
      </c>
      <c r="G211" s="232"/>
    </row>
    <row r="212" spans="1:7">
      <c r="A212" s="136" t="str">
        <f t="shared" si="0"/>
        <v/>
      </c>
      <c r="B212" s="137"/>
      <c r="C212" s="137"/>
      <c r="D212" s="136"/>
      <c r="E212" s="136"/>
      <c r="F212" s="136" t="str">
        <f>IF(B212="","",D212-SUMIFS(Issue!$D$3:$D993,Issue!$C$3:$C993,C212,Issue!$B$3:$B993,B212))</f>
        <v/>
      </c>
      <c r="G212" s="232"/>
    </row>
    <row r="213" spans="1:7">
      <c r="A213" s="136" t="str">
        <f t="shared" si="0"/>
        <v/>
      </c>
      <c r="B213" s="137"/>
      <c r="C213" s="137"/>
      <c r="D213" s="136"/>
      <c r="E213" s="136"/>
      <c r="F213" s="136" t="str">
        <f>IF(B213="","",D213-SUMIFS(Issue!$D$3:$D993,Issue!$C$3:$C993,C213,Issue!$B$3:$B993,B213))</f>
        <v/>
      </c>
      <c r="G213" s="232"/>
    </row>
    <row r="214" spans="1:7">
      <c r="A214" s="136" t="str">
        <f t="shared" si="0"/>
        <v/>
      </c>
      <c r="B214" s="137"/>
      <c r="C214" s="137"/>
      <c r="D214" s="136"/>
      <c r="E214" s="136"/>
      <c r="F214" s="136" t="str">
        <f>IF(B214="","",D214-SUMIFS(Issue!$D$3:$D993,Issue!$C$3:$C993,C214,Issue!$B$3:$B993,B214))</f>
        <v/>
      </c>
      <c r="G214" s="232"/>
    </row>
    <row r="215" spans="1:7">
      <c r="A215" s="136" t="str">
        <f t="shared" si="0"/>
        <v/>
      </c>
      <c r="B215" s="137"/>
      <c r="C215" s="137"/>
      <c r="D215" s="136"/>
      <c r="E215" s="136"/>
      <c r="F215" s="136" t="str">
        <f>IF(B215="","",D215-SUMIFS(Issue!$D$3:$D993,Issue!$C$3:$C993,C215,Issue!$B$3:$B993,B215))</f>
        <v/>
      </c>
      <c r="G215" s="232"/>
    </row>
    <row r="216" spans="1:7">
      <c r="A216" s="136" t="str">
        <f t="shared" si="0"/>
        <v/>
      </c>
      <c r="B216" s="137"/>
      <c r="C216" s="137"/>
      <c r="D216" s="136"/>
      <c r="E216" s="136"/>
      <c r="F216" s="136" t="str">
        <f>IF(B216="","",D216-SUMIFS(Issue!$D$3:$D993,Issue!$C$3:$C993,C216,Issue!$B$3:$B993,B216))</f>
        <v/>
      </c>
      <c r="G216" s="232"/>
    </row>
    <row r="217" spans="1:7">
      <c r="A217" s="136" t="str">
        <f t="shared" si="0"/>
        <v/>
      </c>
      <c r="B217" s="137"/>
      <c r="C217" s="137"/>
      <c r="D217" s="136"/>
      <c r="E217" s="136"/>
      <c r="F217" s="136" t="str">
        <f>IF(B217="","",D217-SUMIFS(Issue!$D$3:$D993,Issue!$C$3:$C993,C217,Issue!$B$3:$B993,B217))</f>
        <v/>
      </c>
      <c r="G217" s="232"/>
    </row>
    <row r="218" spans="1:7">
      <c r="A218" s="136" t="str">
        <f t="shared" si="0"/>
        <v/>
      </c>
      <c r="B218" s="137"/>
      <c r="C218" s="137"/>
      <c r="D218" s="136"/>
      <c r="E218" s="136"/>
      <c r="F218" s="136" t="str">
        <f>IF(B218="","",D218-SUMIFS(Issue!$D$3:$D993,Issue!$C$3:$C993,C218,Issue!$B$3:$B993,B218))</f>
        <v/>
      </c>
      <c r="G218" s="232"/>
    </row>
    <row r="219" spans="1:7">
      <c r="A219" s="136" t="str">
        <f t="shared" si="0"/>
        <v/>
      </c>
      <c r="B219" s="137"/>
      <c r="C219" s="137"/>
      <c r="D219" s="136"/>
      <c r="E219" s="136"/>
      <c r="F219" s="136" t="str">
        <f>IF(B219="","",D219-SUMIFS(Issue!$D$3:$D993,Issue!$C$3:$C993,C219,Issue!$B$3:$B993,B219))</f>
        <v/>
      </c>
      <c r="G219" s="232"/>
    </row>
    <row r="220" spans="1:7">
      <c r="A220" s="136" t="str">
        <f t="shared" si="0"/>
        <v/>
      </c>
      <c r="B220" s="137"/>
      <c r="C220" s="137"/>
      <c r="D220" s="136"/>
      <c r="E220" s="136"/>
      <c r="F220" s="136" t="str">
        <f>IF(B220="","",D220-SUMIFS(Issue!$D$3:$D993,Issue!$C$3:$C993,C220,Issue!$B$3:$B993,B220))</f>
        <v/>
      </c>
      <c r="G220" s="232"/>
    </row>
    <row r="221" spans="1:7">
      <c r="A221" s="136" t="str">
        <f t="shared" si="0"/>
        <v/>
      </c>
      <c r="B221" s="137"/>
      <c r="C221" s="137"/>
      <c r="D221" s="136"/>
      <c r="E221" s="136"/>
      <c r="F221" s="136" t="str">
        <f>IF(B221="","",D221-SUMIFS(Issue!$D$3:$D993,Issue!$C$3:$C993,C221,Issue!$B$3:$B993,B221))</f>
        <v/>
      </c>
      <c r="G221" s="232"/>
    </row>
    <row r="222" spans="1:7">
      <c r="A222" s="136" t="str">
        <f t="shared" si="0"/>
        <v/>
      </c>
      <c r="B222" s="137"/>
      <c r="C222" s="137"/>
      <c r="D222" s="136"/>
      <c r="E222" s="136"/>
      <c r="F222" s="136" t="str">
        <f>IF(B222="","",D222-SUMIFS(Issue!$D$3:$D993,Issue!$C$3:$C993,C222,Issue!$B$3:$B993,B222))</f>
        <v/>
      </c>
      <c r="G222" s="232"/>
    </row>
    <row r="223" spans="1:7">
      <c r="A223" s="136" t="str">
        <f t="shared" si="0"/>
        <v/>
      </c>
      <c r="B223" s="137"/>
      <c r="C223" s="137"/>
      <c r="D223" s="136"/>
      <c r="E223" s="136"/>
      <c r="F223" s="136" t="str">
        <f>IF(B223="","",D223-SUMIFS(Issue!$D$3:$D993,Issue!$C$3:$C993,C223,Issue!$B$3:$B993,B223))</f>
        <v/>
      </c>
      <c r="G223" s="232"/>
    </row>
    <row r="224" spans="1:7">
      <c r="A224" s="136" t="str">
        <f t="shared" si="0"/>
        <v/>
      </c>
      <c r="B224" s="137"/>
      <c r="C224" s="137"/>
      <c r="D224" s="136"/>
      <c r="E224" s="136"/>
      <c r="F224" s="136" t="str">
        <f>IF(B224="","",D224-SUMIFS(Issue!$D$3:$D993,Issue!$C$3:$C993,C224,Issue!$B$3:$B993,B224))</f>
        <v/>
      </c>
      <c r="G224" s="232"/>
    </row>
    <row r="225" spans="1:7">
      <c r="A225" s="136" t="str">
        <f t="shared" si="0"/>
        <v/>
      </c>
      <c r="B225" s="137"/>
      <c r="C225" s="137"/>
      <c r="D225" s="136"/>
      <c r="E225" s="136"/>
      <c r="F225" s="136" t="str">
        <f>IF(B225="","",D225-SUMIFS(Issue!$D$3:$D993,Issue!$C$3:$C993,C225,Issue!$B$3:$B993,B225))</f>
        <v/>
      </c>
      <c r="G225" s="232"/>
    </row>
    <row r="226" spans="1:7">
      <c r="A226" s="136" t="str">
        <f t="shared" si="0"/>
        <v/>
      </c>
      <c r="B226" s="137"/>
      <c r="C226" s="137"/>
      <c r="D226" s="136"/>
      <c r="E226" s="136"/>
      <c r="F226" s="136" t="str">
        <f>IF(B226="","",D226-SUMIFS(Issue!$D$3:$D993,Issue!$C$3:$C993,C226,Issue!$B$3:$B993,B226))</f>
        <v/>
      </c>
      <c r="G226" s="232"/>
    </row>
    <row r="227" spans="1:7">
      <c r="A227" s="136" t="str">
        <f t="shared" si="0"/>
        <v/>
      </c>
      <c r="B227" s="137"/>
      <c r="C227" s="137"/>
      <c r="D227" s="136"/>
      <c r="E227" s="136"/>
      <c r="F227" s="136" t="str">
        <f>IF(B227="","",D227-SUMIFS(Issue!$D$3:$D993,Issue!$C$3:$C993,C227,Issue!$B$3:$B993,B227))</f>
        <v/>
      </c>
      <c r="G227" s="232"/>
    </row>
    <row r="228" spans="1:7">
      <c r="A228" s="136" t="str">
        <f t="shared" si="0"/>
        <v/>
      </c>
      <c r="B228" s="137"/>
      <c r="C228" s="137"/>
      <c r="D228" s="136"/>
      <c r="E228" s="136"/>
      <c r="F228" s="136" t="str">
        <f>IF(B228="","",D228-SUMIFS(Issue!$D$3:$D993,Issue!$C$3:$C993,C228,Issue!$B$3:$B993,B228))</f>
        <v/>
      </c>
      <c r="G228" s="232"/>
    </row>
    <row r="229" spans="1:7">
      <c r="A229" s="136" t="str">
        <f t="shared" si="0"/>
        <v/>
      </c>
      <c r="B229" s="137"/>
      <c r="C229" s="137"/>
      <c r="D229" s="136"/>
      <c r="E229" s="136"/>
      <c r="F229" s="136" t="str">
        <f>IF(B229="","",D229-SUMIFS(Issue!$D$3:$D993,Issue!$C$3:$C993,C229,Issue!$B$3:$B993,B229))</f>
        <v/>
      </c>
      <c r="G229" s="232"/>
    </row>
    <row r="230" spans="1:7">
      <c r="A230" s="136" t="str">
        <f t="shared" si="0"/>
        <v/>
      </c>
      <c r="B230" s="137"/>
      <c r="C230" s="137"/>
      <c r="D230" s="136"/>
      <c r="E230" s="136"/>
      <c r="F230" s="136" t="str">
        <f>IF(B230="","",D230-SUMIFS(Issue!$D$3:$D993,Issue!$C$3:$C993,C230,Issue!$B$3:$B993,B230))</f>
        <v/>
      </c>
      <c r="G230" s="232"/>
    </row>
    <row r="231" spans="1:7">
      <c r="A231" s="136" t="str">
        <f t="shared" si="0"/>
        <v/>
      </c>
      <c r="B231" s="137"/>
      <c r="C231" s="137"/>
      <c r="D231" s="136"/>
      <c r="E231" s="136"/>
      <c r="F231" s="136" t="str">
        <f>IF(B231="","",D231-SUMIFS(Issue!$D$3:$D993,Issue!$C$3:$C993,C231,Issue!$B$3:$B993,B231))</f>
        <v/>
      </c>
      <c r="G231" s="232"/>
    </row>
    <row r="232" spans="1:7">
      <c r="A232" s="136" t="str">
        <f t="shared" si="0"/>
        <v/>
      </c>
      <c r="B232" s="137"/>
      <c r="C232" s="137"/>
      <c r="D232" s="136"/>
      <c r="E232" s="136"/>
      <c r="F232" s="136" t="str">
        <f>IF(B232="","",D232-SUMIFS(Issue!$D$3:$D993,Issue!$C$3:$C993,C232,Issue!$B$3:$B993,B232))</f>
        <v/>
      </c>
      <c r="G232" s="232"/>
    </row>
    <row r="233" spans="1:7">
      <c r="A233" s="136" t="str">
        <f t="shared" si="0"/>
        <v/>
      </c>
      <c r="B233" s="137"/>
      <c r="C233" s="137"/>
      <c r="D233" s="136"/>
      <c r="E233" s="136"/>
      <c r="F233" s="136" t="str">
        <f>IF(B233="","",D233-SUMIFS(Issue!$D$3:$D993,Issue!$C$3:$C993,C233,Issue!$B$3:$B993,B233))</f>
        <v/>
      </c>
      <c r="G233" s="232"/>
    </row>
    <row r="234" spans="1:7">
      <c r="A234" s="136" t="str">
        <f t="shared" si="0"/>
        <v/>
      </c>
      <c r="B234" s="137"/>
      <c r="C234" s="137"/>
      <c r="D234" s="136"/>
      <c r="E234" s="136"/>
      <c r="F234" s="136" t="str">
        <f>IF(B234="","",D234-SUMIFS(Issue!$D$3:$D993,Issue!$C$3:$C993,C234,Issue!$B$3:$B993,B234))</f>
        <v/>
      </c>
      <c r="G234" s="232"/>
    </row>
    <row r="235" spans="1:7">
      <c r="A235" s="136" t="str">
        <f t="shared" si="0"/>
        <v/>
      </c>
      <c r="B235" s="137"/>
      <c r="C235" s="137"/>
      <c r="D235" s="136"/>
      <c r="E235" s="136"/>
      <c r="F235" s="136" t="str">
        <f>IF(B235="","",D235-SUMIFS(Issue!$D$3:$D993,Issue!$C$3:$C993,C235,Issue!$B$3:$B993,B235))</f>
        <v/>
      </c>
      <c r="G235" s="232"/>
    </row>
    <row r="236" spans="1:7">
      <c r="A236" s="136" t="str">
        <f t="shared" si="0"/>
        <v/>
      </c>
      <c r="B236" s="137"/>
      <c r="C236" s="137"/>
      <c r="D236" s="136"/>
      <c r="E236" s="136"/>
      <c r="F236" s="136" t="str">
        <f>IF(B236="","",D236-SUMIFS(Issue!$D$3:$D993,Issue!$C$3:$C993,C236,Issue!$B$3:$B993,B236))</f>
        <v/>
      </c>
      <c r="G236" s="232"/>
    </row>
    <row r="237" spans="1:7">
      <c r="A237" s="136" t="str">
        <f t="shared" si="0"/>
        <v/>
      </c>
      <c r="B237" s="137"/>
      <c r="C237" s="137"/>
      <c r="D237" s="136"/>
      <c r="E237" s="136"/>
      <c r="F237" s="136" t="str">
        <f>IF(B237="","",D237-SUMIFS(Issue!$D$3:$D993,Issue!$C$3:$C993,C237,Issue!$B$3:$B993,B237))</f>
        <v/>
      </c>
      <c r="G237" s="232"/>
    </row>
    <row r="238" spans="1:7">
      <c r="A238" s="136" t="str">
        <f t="shared" si="0"/>
        <v/>
      </c>
      <c r="B238" s="137"/>
      <c r="C238" s="137"/>
      <c r="D238" s="136"/>
      <c r="E238" s="136"/>
      <c r="F238" s="136" t="str">
        <f>IF(B238="","",D238-SUMIFS(Issue!$D$3:$D993,Issue!$C$3:$C993,C238,Issue!$B$3:$B993,B238))</f>
        <v/>
      </c>
      <c r="G238" s="232"/>
    </row>
    <row r="239" spans="1:7">
      <c r="A239" s="136" t="str">
        <f t="shared" si="0"/>
        <v/>
      </c>
      <c r="B239" s="137"/>
      <c r="C239" s="137"/>
      <c r="D239" s="136"/>
      <c r="E239" s="136"/>
      <c r="F239" s="136" t="str">
        <f>IF(B239="","",D239-SUMIFS(Issue!$D$3:$D993,Issue!$C$3:$C993,C239,Issue!$B$3:$B993,B239))</f>
        <v/>
      </c>
      <c r="G239" s="232"/>
    </row>
    <row r="240" spans="1:7">
      <c r="A240" s="136" t="str">
        <f t="shared" si="0"/>
        <v/>
      </c>
      <c r="B240" s="137"/>
      <c r="C240" s="137"/>
      <c r="D240" s="136"/>
      <c r="E240" s="136"/>
      <c r="F240" s="136" t="str">
        <f>IF(B240="","",D240-SUMIFS(Issue!$D$3:$D993,Issue!$C$3:$C993,C240,Issue!$B$3:$B993,B240))</f>
        <v/>
      </c>
      <c r="G240" s="232"/>
    </row>
    <row r="241" spans="1:7">
      <c r="A241" s="136" t="str">
        <f t="shared" si="0"/>
        <v/>
      </c>
      <c r="B241" s="137"/>
      <c r="C241" s="137"/>
      <c r="D241" s="136"/>
      <c r="E241" s="136"/>
      <c r="F241" s="136" t="str">
        <f>IF(B241="","",D241-SUMIFS(Issue!$D$3:$D993,Issue!$C$3:$C993,C241,Issue!$B$3:$B993,B241))</f>
        <v/>
      </c>
      <c r="G241" s="232"/>
    </row>
    <row r="242" spans="1:7">
      <c r="A242" s="136" t="str">
        <f t="shared" si="0"/>
        <v/>
      </c>
      <c r="B242" s="137"/>
      <c r="C242" s="137"/>
      <c r="D242" s="136"/>
      <c r="E242" s="136"/>
      <c r="F242" s="136" t="str">
        <f>IF(B242="","",D242-SUMIFS(Issue!$D$3:$D993,Issue!$C$3:$C993,C242,Issue!$B$3:$B993,B242))</f>
        <v/>
      </c>
      <c r="G242" s="232"/>
    </row>
    <row r="243" spans="1:7">
      <c r="A243" s="136" t="str">
        <f t="shared" si="0"/>
        <v/>
      </c>
      <c r="B243" s="137"/>
      <c r="C243" s="137"/>
      <c r="D243" s="136"/>
      <c r="E243" s="136"/>
      <c r="F243" s="136" t="str">
        <f>IF(B243="","",D243-SUMIFS(Issue!$D$3:$D993,Issue!$C$3:$C993,C243,Issue!$B$3:$B993,B243))</f>
        <v/>
      </c>
      <c r="G243" s="232"/>
    </row>
    <row r="244" spans="1:7">
      <c r="A244" s="136" t="str">
        <f t="shared" si="0"/>
        <v/>
      </c>
      <c r="B244" s="137"/>
      <c r="C244" s="137"/>
      <c r="D244" s="136"/>
      <c r="E244" s="136"/>
      <c r="F244" s="136" t="str">
        <f>IF(B244="","",D244-SUMIFS(Issue!$D$3:$D993,Issue!$C$3:$C993,C244,Issue!$B$3:$B993,B244))</f>
        <v/>
      </c>
      <c r="G244" s="232"/>
    </row>
    <row r="245" spans="1:7">
      <c r="A245" s="136" t="str">
        <f t="shared" si="0"/>
        <v/>
      </c>
      <c r="B245" s="137"/>
      <c r="C245" s="137"/>
      <c r="D245" s="136"/>
      <c r="E245" s="136"/>
      <c r="F245" s="136" t="str">
        <f>IF(B245="","",D245-SUMIFS(Issue!$D$3:$D993,Issue!$C$3:$C993,C245,Issue!$B$3:$B993,B245))</f>
        <v/>
      </c>
      <c r="G245" s="232"/>
    </row>
    <row r="246" spans="1:7">
      <c r="A246" s="136" t="str">
        <f t="shared" si="0"/>
        <v/>
      </c>
      <c r="B246" s="137"/>
      <c r="C246" s="137"/>
      <c r="D246" s="136"/>
      <c r="E246" s="136"/>
      <c r="F246" s="136" t="str">
        <f>IF(B246="","",D246-SUMIFS(Issue!$D$3:$D993,Issue!$C$3:$C993,C246,Issue!$B$3:$B993,B246))</f>
        <v/>
      </c>
      <c r="G246" s="232"/>
    </row>
    <row r="247" spans="1:7">
      <c r="A247" s="136" t="str">
        <f t="shared" si="0"/>
        <v/>
      </c>
      <c r="B247" s="137"/>
      <c r="C247" s="137"/>
      <c r="D247" s="136"/>
      <c r="E247" s="136"/>
      <c r="F247" s="136" t="str">
        <f>IF(B247="","",D247-SUMIFS(Issue!$D$3:$D993,Issue!$C$3:$C993,C247,Issue!$B$3:$B993,B247))</f>
        <v/>
      </c>
      <c r="G247" s="232"/>
    </row>
    <row r="248" spans="1:7">
      <c r="A248" s="136" t="str">
        <f t="shared" si="0"/>
        <v/>
      </c>
      <c r="B248" s="137"/>
      <c r="C248" s="137"/>
      <c r="D248" s="136"/>
      <c r="E248" s="136"/>
      <c r="F248" s="136" t="str">
        <f>IF(B248="","",D248-SUMIFS(Issue!$D$3:$D993,Issue!$C$3:$C993,C248,Issue!$B$3:$B993,B248))</f>
        <v/>
      </c>
      <c r="G248" s="232"/>
    </row>
    <row r="249" spans="1:7">
      <c r="A249" s="136" t="str">
        <f t="shared" si="0"/>
        <v/>
      </c>
      <c r="B249" s="137"/>
      <c r="C249" s="137"/>
      <c r="D249" s="136"/>
      <c r="E249" s="136"/>
      <c r="F249" s="136" t="str">
        <f>IF(B249="","",D249-SUMIFS(Issue!$D$3:$D993,Issue!$C$3:$C993,C249,Issue!$B$3:$B993,B249))</f>
        <v/>
      </c>
      <c r="G249" s="232"/>
    </row>
    <row r="250" spans="1:7">
      <c r="A250" s="136" t="str">
        <f t="shared" si="0"/>
        <v/>
      </c>
      <c r="B250" s="137"/>
      <c r="C250" s="137"/>
      <c r="D250" s="136"/>
      <c r="E250" s="136"/>
      <c r="F250" s="136" t="str">
        <f>IF(B250="","",D250-SUMIFS(Issue!$D$3:$D993,Issue!$C$3:$C993,C250,Issue!$B$3:$B993,B250))</f>
        <v/>
      </c>
      <c r="G250" s="232"/>
    </row>
    <row r="251" spans="1:7">
      <c r="A251" s="136" t="str">
        <f t="shared" si="0"/>
        <v/>
      </c>
      <c r="B251" s="137"/>
      <c r="C251" s="137"/>
      <c r="D251" s="136"/>
      <c r="E251" s="136"/>
      <c r="F251" s="136" t="str">
        <f>IF(B251="","",D251-SUMIFS(Issue!$D$3:$D993,Issue!$C$3:$C993,C251,Issue!$B$3:$B993,B251))</f>
        <v/>
      </c>
      <c r="G251" s="232"/>
    </row>
    <row r="252" spans="1:7">
      <c r="A252" s="136" t="str">
        <f t="shared" si="0"/>
        <v/>
      </c>
      <c r="B252" s="137"/>
      <c r="C252" s="137"/>
      <c r="D252" s="136"/>
      <c r="E252" s="136"/>
      <c r="F252" s="136" t="str">
        <f>IF(B252="","",D252-SUMIFS(Issue!$D$3:$D993,Issue!$C$3:$C993,C252,Issue!$B$3:$B993,B252))</f>
        <v/>
      </c>
      <c r="G252" s="232"/>
    </row>
    <row r="253" spans="1:7">
      <c r="A253" s="136" t="str">
        <f t="shared" si="0"/>
        <v/>
      </c>
      <c r="B253" s="137"/>
      <c r="C253" s="137"/>
      <c r="D253" s="136"/>
      <c r="E253" s="136"/>
      <c r="F253" s="136" t="str">
        <f>IF(B253="","",D253-SUMIFS(Issue!$D$3:$D993,Issue!$C$3:$C993,C253,Issue!$B$3:$B993,B253))</f>
        <v/>
      </c>
      <c r="G253" s="232"/>
    </row>
    <row r="254" spans="1:7">
      <c r="A254" s="136" t="str">
        <f t="shared" si="0"/>
        <v/>
      </c>
      <c r="B254" s="137"/>
      <c r="C254" s="137"/>
      <c r="D254" s="136"/>
      <c r="E254" s="136"/>
      <c r="F254" s="136" t="str">
        <f>IF(B254="","",D254-SUMIFS(Issue!$D$3:$D993,Issue!$C$3:$C993,C254,Issue!$B$3:$B993,B254))</f>
        <v/>
      </c>
      <c r="G254" s="232"/>
    </row>
    <row r="255" spans="1:7">
      <c r="A255" s="136" t="str">
        <f t="shared" si="0"/>
        <v/>
      </c>
      <c r="B255" s="137"/>
      <c r="C255" s="137"/>
      <c r="D255" s="136"/>
      <c r="E255" s="136"/>
      <c r="F255" s="136" t="str">
        <f>IF(B255="","",D255-SUMIFS(Issue!$D$3:$D993,Issue!$C$3:$C993,C255,Issue!$B$3:$B993,B255))</f>
        <v/>
      </c>
      <c r="G255" s="232"/>
    </row>
    <row r="256" spans="1:7">
      <c r="A256" s="136" t="str">
        <f t="shared" si="0"/>
        <v/>
      </c>
      <c r="B256" s="137"/>
      <c r="C256" s="137"/>
      <c r="D256" s="136"/>
      <c r="E256" s="136"/>
      <c r="F256" s="136" t="str">
        <f>IF(B256="","",D256-SUMIFS(Issue!$D$3:$D993,Issue!$C$3:$C993,C256,Issue!$B$3:$B993,B256))</f>
        <v/>
      </c>
      <c r="G256" s="232"/>
    </row>
    <row r="257" spans="1:7">
      <c r="A257" s="136" t="str">
        <f t="shared" si="0"/>
        <v/>
      </c>
      <c r="B257" s="137"/>
      <c r="C257" s="137"/>
      <c r="D257" s="136"/>
      <c r="E257" s="136"/>
      <c r="F257" s="136" t="str">
        <f>IF(B257="","",D257-SUMIFS(Issue!$D$3:$D993,Issue!$C$3:$C993,C257,Issue!$B$3:$B993,B257))</f>
        <v/>
      </c>
      <c r="G257" s="232"/>
    </row>
    <row r="258" spans="1:7">
      <c r="A258" s="136" t="str">
        <f t="shared" si="0"/>
        <v/>
      </c>
      <c r="B258" s="137"/>
      <c r="C258" s="137"/>
      <c r="D258" s="136"/>
      <c r="E258" s="136"/>
      <c r="F258" s="136" t="str">
        <f>IF(B258="","",D258-SUMIFS(Issue!$D$3:$D993,Issue!$C$3:$C993,C258,Issue!$B$3:$B993,B258))</f>
        <v/>
      </c>
      <c r="G258" s="232"/>
    </row>
    <row r="259" spans="1:7">
      <c r="A259" s="136" t="str">
        <f t="shared" si="0"/>
        <v/>
      </c>
      <c r="B259" s="137"/>
      <c r="C259" s="137"/>
      <c r="D259" s="136"/>
      <c r="E259" s="136"/>
      <c r="F259" s="136" t="str">
        <f>IF(B259="","",D259-SUMIFS(Issue!$D$3:$D993,Issue!$C$3:$C993,C259,Issue!$B$3:$B993,B259))</f>
        <v/>
      </c>
      <c r="G259" s="232"/>
    </row>
    <row r="260" spans="1:7">
      <c r="A260" s="136" t="str">
        <f t="shared" si="0"/>
        <v/>
      </c>
      <c r="B260" s="137"/>
      <c r="C260" s="137"/>
      <c r="D260" s="136"/>
      <c r="E260" s="136"/>
      <c r="F260" s="136" t="str">
        <f>IF(B260="","",D260-SUMIFS(Issue!$D$3:$D993,Issue!$C$3:$C993,C260,Issue!$B$3:$B993,B260))</f>
        <v/>
      </c>
      <c r="G260" s="232"/>
    </row>
    <row r="261" spans="1:7">
      <c r="A261" s="136" t="str">
        <f t="shared" ref="A261:A515" si="1">IF(B261="","",ROW()-2)</f>
        <v/>
      </c>
      <c r="B261" s="137"/>
      <c r="C261" s="137"/>
      <c r="D261" s="136"/>
      <c r="E261" s="136"/>
      <c r="F261" s="136" t="str">
        <f>IF(B261="","",D261-SUMIFS(Issue!$D$3:$D993,Issue!$C$3:$C993,C261,Issue!$B$3:$B993,B261))</f>
        <v/>
      </c>
      <c r="G261" s="232"/>
    </row>
    <row r="262" spans="1:7">
      <c r="A262" s="136" t="str">
        <f t="shared" si="1"/>
        <v/>
      </c>
      <c r="B262" s="137"/>
      <c r="C262" s="137"/>
      <c r="D262" s="136"/>
      <c r="E262" s="136"/>
      <c r="F262" s="136" t="str">
        <f>IF(B262="","",D262-SUMIFS(Issue!$D$3:$D993,Issue!$C$3:$C993,C262,Issue!$B$3:$B993,B262))</f>
        <v/>
      </c>
      <c r="G262" s="232"/>
    </row>
    <row r="263" spans="1:7">
      <c r="A263" s="136" t="str">
        <f t="shared" si="1"/>
        <v/>
      </c>
      <c r="B263" s="137"/>
      <c r="C263" s="137"/>
      <c r="D263" s="136"/>
      <c r="E263" s="136"/>
      <c r="F263" s="136" t="str">
        <f>IF(B263="","",D263-SUMIFS(Issue!$D$3:$D993,Issue!$C$3:$C993,C263,Issue!$B$3:$B993,B263))</f>
        <v/>
      </c>
      <c r="G263" s="232"/>
    </row>
    <row r="264" spans="1:7">
      <c r="A264" s="136" t="str">
        <f t="shared" si="1"/>
        <v/>
      </c>
      <c r="B264" s="137"/>
      <c r="C264" s="137"/>
      <c r="D264" s="136"/>
      <c r="E264" s="136"/>
      <c r="F264" s="136" t="str">
        <f>IF(B264="","",D264-SUMIFS(Issue!$D$3:$D993,Issue!$C$3:$C993,C264,Issue!$B$3:$B993,B264))</f>
        <v/>
      </c>
      <c r="G264" s="232"/>
    </row>
    <row r="265" spans="1:7">
      <c r="A265" s="136" t="str">
        <f t="shared" si="1"/>
        <v/>
      </c>
      <c r="B265" s="137"/>
      <c r="C265" s="137"/>
      <c r="D265" s="136"/>
      <c r="E265" s="136"/>
      <c r="F265" s="136" t="str">
        <f>IF(B265="","",D265-SUMIFS(Issue!$D$3:$D993,Issue!$C$3:$C993,C265,Issue!$B$3:$B993,B265))</f>
        <v/>
      </c>
      <c r="G265" s="232"/>
    </row>
    <row r="266" spans="1:7">
      <c r="A266" s="136" t="str">
        <f t="shared" si="1"/>
        <v/>
      </c>
      <c r="B266" s="137"/>
      <c r="C266" s="137"/>
      <c r="D266" s="136"/>
      <c r="E266" s="136"/>
      <c r="F266" s="136" t="str">
        <f>IF(B266="","",D266-SUMIFS(Issue!$D$3:$D993,Issue!$C$3:$C993,C266,Issue!$B$3:$B993,B266))</f>
        <v/>
      </c>
      <c r="G266" s="232"/>
    </row>
    <row r="267" spans="1:7">
      <c r="A267" s="136" t="str">
        <f t="shared" si="1"/>
        <v/>
      </c>
      <c r="B267" s="137"/>
      <c r="C267" s="137"/>
      <c r="D267" s="136"/>
      <c r="E267" s="136"/>
      <c r="F267" s="136" t="str">
        <f>IF(B267="","",D267-SUMIFS(Issue!$D$3:$D993,Issue!$C$3:$C993,C267,Issue!$B$3:$B993,B267))</f>
        <v/>
      </c>
      <c r="G267" s="232"/>
    </row>
    <row r="268" spans="1:7">
      <c r="A268" s="136" t="str">
        <f t="shared" si="1"/>
        <v/>
      </c>
      <c r="B268" s="137"/>
      <c r="C268" s="137"/>
      <c r="D268" s="136"/>
      <c r="E268" s="136"/>
      <c r="F268" s="136" t="str">
        <f>IF(B268="","",D268-SUMIFS(Issue!$D$3:$D993,Issue!$C$3:$C993,C268,Issue!$B$3:$B993,B268))</f>
        <v/>
      </c>
      <c r="G268" s="232"/>
    </row>
    <row r="269" spans="1:7">
      <c r="A269" s="136" t="str">
        <f t="shared" si="1"/>
        <v/>
      </c>
      <c r="B269" s="137"/>
      <c r="C269" s="137"/>
      <c r="D269" s="136"/>
      <c r="E269" s="136"/>
      <c r="F269" s="136" t="str">
        <f>IF(B269="","",D269-SUMIFS(Issue!$D$3:$D993,Issue!$C$3:$C993,C269,Issue!$B$3:$B993,B269))</f>
        <v/>
      </c>
      <c r="G269" s="232"/>
    </row>
    <row r="270" spans="1:7">
      <c r="A270" s="136" t="str">
        <f t="shared" si="1"/>
        <v/>
      </c>
      <c r="B270" s="137"/>
      <c r="C270" s="137"/>
      <c r="D270" s="136"/>
      <c r="E270" s="136"/>
      <c r="F270" s="136" t="str">
        <f>IF(B270="","",D270-SUMIFS(Issue!$D$3:$D993,Issue!$C$3:$C993,C270,Issue!$B$3:$B993,B270))</f>
        <v/>
      </c>
      <c r="G270" s="232"/>
    </row>
    <row r="271" spans="1:7">
      <c r="A271" s="136" t="str">
        <f t="shared" si="1"/>
        <v/>
      </c>
      <c r="B271" s="137"/>
      <c r="C271" s="137"/>
      <c r="D271" s="136"/>
      <c r="E271" s="136"/>
      <c r="F271" s="136" t="str">
        <f>IF(B271="","",D271-SUMIFS(Issue!$D$3:$D993,Issue!$C$3:$C993,C271,Issue!$B$3:$B993,B271))</f>
        <v/>
      </c>
      <c r="G271" s="232"/>
    </row>
    <row r="272" spans="1:7">
      <c r="A272" s="136" t="str">
        <f t="shared" si="1"/>
        <v/>
      </c>
      <c r="B272" s="137"/>
      <c r="C272" s="137"/>
      <c r="D272" s="136"/>
      <c r="E272" s="136"/>
      <c r="F272" s="136" t="str">
        <f>IF(B272="","",D272-SUMIFS(Issue!$D$3:$D993,Issue!$C$3:$C993,C272,Issue!$B$3:$B993,B272))</f>
        <v/>
      </c>
      <c r="G272" s="232"/>
    </row>
    <row r="273" spans="1:7">
      <c r="A273" s="136" t="str">
        <f t="shared" si="1"/>
        <v/>
      </c>
      <c r="B273" s="137"/>
      <c r="C273" s="137"/>
      <c r="D273" s="136"/>
      <c r="E273" s="136"/>
      <c r="F273" s="136" t="str">
        <f>IF(B273="","",D273-SUMIFS(Issue!$D$3:$D993,Issue!$C$3:$C993,C273,Issue!$B$3:$B993,B273))</f>
        <v/>
      </c>
      <c r="G273" s="232"/>
    </row>
    <row r="274" spans="1:7">
      <c r="A274" s="136" t="str">
        <f t="shared" si="1"/>
        <v/>
      </c>
      <c r="B274" s="137"/>
      <c r="C274" s="137"/>
      <c r="D274" s="136"/>
      <c r="E274" s="136"/>
      <c r="F274" s="136" t="str">
        <f>IF(B274="","",D274-SUMIFS(Issue!$D$3:$D993,Issue!$C$3:$C993,C274,Issue!$B$3:$B993,B274))</f>
        <v/>
      </c>
      <c r="G274" s="232"/>
    </row>
    <row r="275" spans="1:7">
      <c r="A275" s="136" t="str">
        <f t="shared" si="1"/>
        <v/>
      </c>
      <c r="B275" s="137"/>
      <c r="C275" s="137"/>
      <c r="D275" s="136"/>
      <c r="E275" s="136"/>
      <c r="F275" s="136" t="str">
        <f>IF(B275="","",D275-SUMIFS(Issue!$D$3:$D993,Issue!$C$3:$C993,C275,Issue!$B$3:$B993,B275))</f>
        <v/>
      </c>
      <c r="G275" s="232"/>
    </row>
    <row r="276" spans="1:7">
      <c r="A276" s="136" t="str">
        <f t="shared" si="1"/>
        <v/>
      </c>
      <c r="B276" s="137"/>
      <c r="C276" s="137"/>
      <c r="D276" s="136"/>
      <c r="E276" s="136"/>
      <c r="F276" s="136" t="str">
        <f>IF(B276="","",D276-SUMIFS(Issue!$D$3:$D993,Issue!$C$3:$C993,C276,Issue!$B$3:$B993,B276))</f>
        <v/>
      </c>
      <c r="G276" s="232"/>
    </row>
    <row r="277" spans="1:7">
      <c r="A277" s="136" t="str">
        <f t="shared" si="1"/>
        <v/>
      </c>
      <c r="B277" s="137"/>
      <c r="C277" s="137"/>
      <c r="D277" s="136"/>
      <c r="E277" s="136"/>
      <c r="F277" s="136" t="str">
        <f>IF(B277="","",D277-SUMIFS(Issue!$D$3:$D993,Issue!$C$3:$C993,C277,Issue!$B$3:$B993,B277))</f>
        <v/>
      </c>
      <c r="G277" s="232"/>
    </row>
    <row r="278" spans="1:7">
      <c r="A278" s="136" t="str">
        <f t="shared" si="1"/>
        <v/>
      </c>
      <c r="B278" s="137"/>
      <c r="C278" s="137"/>
      <c r="D278" s="136"/>
      <c r="E278" s="136"/>
      <c r="F278" s="136" t="str">
        <f>IF(B278="","",D278-SUMIFS(Issue!$D$3:$D993,Issue!$C$3:$C993,C278,Issue!$B$3:$B993,B278))</f>
        <v/>
      </c>
      <c r="G278" s="232"/>
    </row>
    <row r="279" spans="1:7">
      <c r="A279" s="136" t="str">
        <f t="shared" si="1"/>
        <v/>
      </c>
      <c r="B279" s="137"/>
      <c r="C279" s="137"/>
      <c r="D279" s="136"/>
      <c r="E279" s="136"/>
      <c r="F279" s="136" t="str">
        <f>IF(B279="","",D279-SUMIFS(Issue!$D$3:$D993,Issue!$C$3:$C993,C279,Issue!$B$3:$B993,B279))</f>
        <v/>
      </c>
      <c r="G279" s="232"/>
    </row>
    <row r="280" spans="1:7">
      <c r="A280" s="136" t="str">
        <f t="shared" si="1"/>
        <v/>
      </c>
      <c r="B280" s="137"/>
      <c r="C280" s="137"/>
      <c r="D280" s="136"/>
      <c r="E280" s="136"/>
      <c r="F280" s="136" t="str">
        <f>IF(B280="","",D280-SUMIFS(Issue!$D$3:$D993,Issue!$C$3:$C993,C280,Issue!$B$3:$B993,B280))</f>
        <v/>
      </c>
      <c r="G280" s="232"/>
    </row>
    <row r="281" spans="1:7">
      <c r="A281" s="136" t="str">
        <f t="shared" si="1"/>
        <v/>
      </c>
      <c r="B281" s="137"/>
      <c r="C281" s="137"/>
      <c r="D281" s="136"/>
      <c r="E281" s="136"/>
      <c r="F281" s="136" t="str">
        <f>IF(B281="","",D281-SUMIFS(Issue!$D$3:$D993,Issue!$C$3:$C993,C281,Issue!$B$3:$B993,B281))</f>
        <v/>
      </c>
      <c r="G281" s="232"/>
    </row>
    <row r="282" spans="1:7">
      <c r="A282" s="136" t="str">
        <f t="shared" si="1"/>
        <v/>
      </c>
      <c r="B282" s="137"/>
      <c r="C282" s="137"/>
      <c r="D282" s="136"/>
      <c r="E282" s="136"/>
      <c r="F282" s="136" t="str">
        <f>IF(B282="","",D282-SUMIFS(Issue!$D$3:$D993,Issue!$C$3:$C993,C282,Issue!$B$3:$B993,B282))</f>
        <v/>
      </c>
      <c r="G282" s="232"/>
    </row>
    <row r="283" spans="1:7">
      <c r="A283" s="136" t="str">
        <f t="shared" si="1"/>
        <v/>
      </c>
      <c r="B283" s="137"/>
      <c r="C283" s="137"/>
      <c r="D283" s="136"/>
      <c r="E283" s="136"/>
      <c r="F283" s="136" t="str">
        <f>IF(B283="","",D283-SUMIFS(Issue!$D$3:$D993,Issue!$C$3:$C993,C283,Issue!$B$3:$B993,B283))</f>
        <v/>
      </c>
      <c r="G283" s="232"/>
    </row>
    <row r="284" spans="1:7">
      <c r="A284" s="136" t="str">
        <f t="shared" si="1"/>
        <v/>
      </c>
      <c r="B284" s="137"/>
      <c r="C284" s="137"/>
      <c r="D284" s="136"/>
      <c r="E284" s="136"/>
      <c r="F284" s="136" t="str">
        <f>IF(B284="","",D284-SUMIFS(Issue!$D$3:$D993,Issue!$C$3:$C993,C284,Issue!$B$3:$B993,B284))</f>
        <v/>
      </c>
      <c r="G284" s="232"/>
    </row>
    <row r="285" spans="1:7">
      <c r="A285" s="136" t="str">
        <f t="shared" si="1"/>
        <v/>
      </c>
      <c r="B285" s="137"/>
      <c r="C285" s="137"/>
      <c r="D285" s="136"/>
      <c r="E285" s="136"/>
      <c r="F285" s="136" t="str">
        <f>IF(B285="","",D285-SUMIFS(Issue!$D$3:$D993,Issue!$C$3:$C993,C285,Issue!$B$3:$B993,B285))</f>
        <v/>
      </c>
      <c r="G285" s="232"/>
    </row>
    <row r="286" spans="1:7">
      <c r="A286" s="136" t="str">
        <f t="shared" si="1"/>
        <v/>
      </c>
      <c r="B286" s="137"/>
      <c r="C286" s="137"/>
      <c r="D286" s="136"/>
      <c r="E286" s="136"/>
      <c r="F286" s="136" t="str">
        <f>IF(B286="","",D286-SUMIFS(Issue!$D$3:$D993,Issue!$C$3:$C993,C286,Issue!$B$3:$B993,B286))</f>
        <v/>
      </c>
      <c r="G286" s="232"/>
    </row>
    <row r="287" spans="1:7">
      <c r="A287" s="136" t="str">
        <f t="shared" si="1"/>
        <v/>
      </c>
      <c r="B287" s="137"/>
      <c r="C287" s="137"/>
      <c r="D287" s="136"/>
      <c r="E287" s="136"/>
      <c r="F287" s="136" t="str">
        <f>IF(B287="","",D287-SUMIFS(Issue!$D$3:$D993,Issue!$C$3:$C993,C287,Issue!$B$3:$B993,B287))</f>
        <v/>
      </c>
      <c r="G287" s="232"/>
    </row>
    <row r="288" spans="1:7">
      <c r="A288" s="136" t="str">
        <f t="shared" si="1"/>
        <v/>
      </c>
      <c r="B288" s="137"/>
      <c r="C288" s="137"/>
      <c r="D288" s="136"/>
      <c r="E288" s="136"/>
      <c r="F288" s="136" t="str">
        <f>IF(B288="","",D288-SUMIFS(Issue!$D$3:$D993,Issue!$C$3:$C993,C288,Issue!$B$3:$B993,B288))</f>
        <v/>
      </c>
      <c r="G288" s="232"/>
    </row>
    <row r="289" spans="1:7">
      <c r="A289" s="136" t="str">
        <f t="shared" si="1"/>
        <v/>
      </c>
      <c r="B289" s="137"/>
      <c r="C289" s="137"/>
      <c r="D289" s="136"/>
      <c r="E289" s="136"/>
      <c r="F289" s="136" t="str">
        <f>IF(B289="","",D289-SUMIFS(Issue!$D$3:$D993,Issue!$C$3:$C993,C289,Issue!$B$3:$B993,B289))</f>
        <v/>
      </c>
      <c r="G289" s="232"/>
    </row>
    <row r="290" spans="1:7">
      <c r="A290" s="136" t="str">
        <f t="shared" si="1"/>
        <v/>
      </c>
      <c r="B290" s="137"/>
      <c r="C290" s="137"/>
      <c r="D290" s="136"/>
      <c r="E290" s="136"/>
      <c r="F290" s="136" t="str">
        <f>IF(B290="","",D290-SUMIFS(Issue!$D$3:$D993,Issue!$C$3:$C993,C290,Issue!$B$3:$B993,B290))</f>
        <v/>
      </c>
      <c r="G290" s="232"/>
    </row>
    <row r="291" spans="1:7">
      <c r="A291" s="136" t="str">
        <f t="shared" si="1"/>
        <v/>
      </c>
      <c r="B291" s="137"/>
      <c r="C291" s="137"/>
      <c r="D291" s="136"/>
      <c r="E291" s="136"/>
      <c r="F291" s="136" t="str">
        <f>IF(B291="","",D291-SUMIFS(Issue!$D$3:$D993,Issue!$C$3:$C993,C291,Issue!$B$3:$B993,B291))</f>
        <v/>
      </c>
      <c r="G291" s="232"/>
    </row>
    <row r="292" spans="1:7">
      <c r="A292" s="136" t="str">
        <f t="shared" si="1"/>
        <v/>
      </c>
      <c r="B292" s="137"/>
      <c r="C292" s="137"/>
      <c r="D292" s="136"/>
      <c r="E292" s="136"/>
      <c r="F292" s="136" t="str">
        <f>IF(B292="","",D292-SUMIFS(Issue!$D$3:$D993,Issue!$C$3:$C993,C292,Issue!$B$3:$B993,B292))</f>
        <v/>
      </c>
      <c r="G292" s="232"/>
    </row>
    <row r="293" spans="1:7">
      <c r="A293" s="136" t="str">
        <f t="shared" si="1"/>
        <v/>
      </c>
      <c r="B293" s="137"/>
      <c r="C293" s="137"/>
      <c r="D293" s="136"/>
      <c r="E293" s="136"/>
      <c r="F293" s="136" t="str">
        <f>IF(B293="","",D293-SUMIFS(Issue!$D$3:$D993,Issue!$C$3:$C993,C293,Issue!$B$3:$B993,B293))</f>
        <v/>
      </c>
      <c r="G293" s="232"/>
    </row>
    <row r="294" spans="1:7">
      <c r="A294" s="136" t="str">
        <f t="shared" si="1"/>
        <v/>
      </c>
      <c r="B294" s="137"/>
      <c r="C294" s="137"/>
      <c r="D294" s="136"/>
      <c r="E294" s="136"/>
      <c r="F294" s="136" t="str">
        <f>IF(B294="","",D294-SUMIFS(Issue!$D$3:$D993,Issue!$C$3:$C993,C294,Issue!$B$3:$B993,B294))</f>
        <v/>
      </c>
      <c r="G294" s="232"/>
    </row>
    <row r="295" spans="1:7">
      <c r="A295" s="136" t="str">
        <f t="shared" si="1"/>
        <v/>
      </c>
      <c r="B295" s="137"/>
      <c r="C295" s="137"/>
      <c r="D295" s="136"/>
      <c r="E295" s="136"/>
      <c r="F295" s="136" t="str">
        <f>IF(B295="","",D295-SUMIFS(Issue!$D$3:$D993,Issue!$C$3:$C993,C295,Issue!$B$3:$B993,B295))</f>
        <v/>
      </c>
      <c r="G295" s="232"/>
    </row>
    <row r="296" spans="1:7">
      <c r="A296" s="136" t="str">
        <f t="shared" si="1"/>
        <v/>
      </c>
      <c r="B296" s="137"/>
      <c r="C296" s="137"/>
      <c r="D296" s="136"/>
      <c r="E296" s="136"/>
      <c r="F296" s="136" t="str">
        <f>IF(B296="","",D296-SUMIFS(Issue!$D$3:$D993,Issue!$C$3:$C993,C296,Issue!$B$3:$B993,B296))</f>
        <v/>
      </c>
      <c r="G296" s="232"/>
    </row>
    <row r="297" spans="1:7">
      <c r="A297" s="136" t="str">
        <f t="shared" si="1"/>
        <v/>
      </c>
      <c r="B297" s="137"/>
      <c r="C297" s="137"/>
      <c r="D297" s="136"/>
      <c r="E297" s="136"/>
      <c r="F297" s="136" t="str">
        <f>IF(B297="","",D297-SUMIFS(Issue!$D$3:$D993,Issue!$C$3:$C993,C297,Issue!$B$3:$B993,B297))</f>
        <v/>
      </c>
      <c r="G297" s="232"/>
    </row>
    <row r="298" spans="1:7">
      <c r="A298" s="136" t="str">
        <f t="shared" si="1"/>
        <v/>
      </c>
      <c r="B298" s="137"/>
      <c r="C298" s="137"/>
      <c r="D298" s="136"/>
      <c r="E298" s="136"/>
      <c r="F298" s="136" t="str">
        <f>IF(B298="","",D298-SUMIFS(Issue!$D$3:$D993,Issue!$C$3:$C993,C298,Issue!$B$3:$B993,B298))</f>
        <v/>
      </c>
      <c r="G298" s="232"/>
    </row>
    <row r="299" spans="1:7">
      <c r="A299" s="136" t="str">
        <f t="shared" si="1"/>
        <v/>
      </c>
      <c r="B299" s="137"/>
      <c r="C299" s="137"/>
      <c r="D299" s="136"/>
      <c r="E299" s="136"/>
      <c r="F299" s="136" t="str">
        <f>IF(B299="","",D299-SUMIFS(Issue!$D$3:$D993,Issue!$C$3:$C993,C299,Issue!$B$3:$B993,B299))</f>
        <v/>
      </c>
      <c r="G299" s="232"/>
    </row>
    <row r="300" spans="1:7">
      <c r="A300" s="136" t="str">
        <f t="shared" si="1"/>
        <v/>
      </c>
      <c r="B300" s="137"/>
      <c r="C300" s="137"/>
      <c r="D300" s="136"/>
      <c r="E300" s="136"/>
      <c r="F300" s="136" t="str">
        <f>IF(B300="","",D300-SUMIFS(Issue!$D$3:$D993,Issue!$C$3:$C993,C300,Issue!$B$3:$B993,B300))</f>
        <v/>
      </c>
      <c r="G300" s="232"/>
    </row>
    <row r="301" spans="1:7">
      <c r="A301" s="136" t="str">
        <f t="shared" si="1"/>
        <v/>
      </c>
      <c r="B301" s="137"/>
      <c r="C301" s="137"/>
      <c r="D301" s="136"/>
      <c r="E301" s="136"/>
      <c r="F301" s="136" t="str">
        <f>IF(B301="","",D301-SUMIFS(Issue!$D$3:$D993,Issue!$C$3:$C993,C301,Issue!$B$3:$B993,B301))</f>
        <v/>
      </c>
      <c r="G301" s="232"/>
    </row>
    <row r="302" spans="1:7">
      <c r="A302" s="136" t="str">
        <f t="shared" si="1"/>
        <v/>
      </c>
      <c r="B302" s="137"/>
      <c r="C302" s="137"/>
      <c r="D302" s="136"/>
      <c r="E302" s="136"/>
      <c r="F302" s="136" t="str">
        <f>IF(B302="","",D302-SUMIFS(Issue!$D$3:$D993,Issue!$C$3:$C993,C302,Issue!$B$3:$B993,B302))</f>
        <v/>
      </c>
      <c r="G302" s="232"/>
    </row>
    <row r="303" spans="1:7">
      <c r="A303" s="136" t="str">
        <f t="shared" si="1"/>
        <v/>
      </c>
      <c r="B303" s="137"/>
      <c r="C303" s="137"/>
      <c r="D303" s="136"/>
      <c r="E303" s="136"/>
      <c r="F303" s="136" t="str">
        <f>IF(B303="","",D303-SUMIFS(Issue!$D$3:$D993,Issue!$C$3:$C993,C303,Issue!$B$3:$B993,B303))</f>
        <v/>
      </c>
      <c r="G303" s="232"/>
    </row>
    <row r="304" spans="1:7">
      <c r="A304" s="136" t="str">
        <f t="shared" si="1"/>
        <v/>
      </c>
      <c r="B304" s="137"/>
      <c r="C304" s="137"/>
      <c r="D304" s="136"/>
      <c r="E304" s="136"/>
      <c r="F304" s="136" t="str">
        <f>IF(B304="","",D304-SUMIFS(Issue!$D$3:$D993,Issue!$C$3:$C993,C304,Issue!$B$3:$B993,B304))</f>
        <v/>
      </c>
      <c r="G304" s="232"/>
    </row>
    <row r="305" spans="1:7">
      <c r="A305" s="136" t="str">
        <f t="shared" si="1"/>
        <v/>
      </c>
      <c r="B305" s="137"/>
      <c r="C305" s="137"/>
      <c r="D305" s="136"/>
      <c r="E305" s="136"/>
      <c r="F305" s="136" t="str">
        <f>IF(B305="","",D305-SUMIFS(Issue!$D$3:$D993,Issue!$C$3:$C993,C305,Issue!$B$3:$B993,B305))</f>
        <v/>
      </c>
      <c r="G305" s="232"/>
    </row>
    <row r="306" spans="1:7">
      <c r="A306" s="136" t="str">
        <f t="shared" si="1"/>
        <v/>
      </c>
      <c r="B306" s="137"/>
      <c r="C306" s="137"/>
      <c r="D306" s="136"/>
      <c r="E306" s="136"/>
      <c r="F306" s="136" t="str">
        <f>IF(B306="","",D306-SUMIFS(Issue!$D$3:$D993,Issue!$C$3:$C993,C306,Issue!$B$3:$B993,B306))</f>
        <v/>
      </c>
      <c r="G306" s="232"/>
    </row>
    <row r="307" spans="1:7">
      <c r="A307" s="136" t="str">
        <f t="shared" si="1"/>
        <v/>
      </c>
      <c r="B307" s="137"/>
      <c r="C307" s="137"/>
      <c r="D307" s="136"/>
      <c r="E307" s="136"/>
      <c r="F307" s="136" t="str">
        <f>IF(B307="","",D307-SUMIFS(Issue!$D$3:$D993,Issue!$C$3:$C993,C307,Issue!$B$3:$B993,B307))</f>
        <v/>
      </c>
      <c r="G307" s="232"/>
    </row>
    <row r="308" spans="1:7">
      <c r="A308" s="136" t="str">
        <f t="shared" si="1"/>
        <v/>
      </c>
      <c r="B308" s="137"/>
      <c r="C308" s="137"/>
      <c r="D308" s="136"/>
      <c r="E308" s="136"/>
      <c r="F308" s="136" t="str">
        <f>IF(B308="","",D308-SUMIFS(Issue!$D$3:$D993,Issue!$C$3:$C993,C308,Issue!$B$3:$B993,B308))</f>
        <v/>
      </c>
      <c r="G308" s="232"/>
    </row>
    <row r="309" spans="1:7">
      <c r="A309" s="136" t="str">
        <f t="shared" si="1"/>
        <v/>
      </c>
      <c r="B309" s="137"/>
      <c r="C309" s="137"/>
      <c r="D309" s="136"/>
      <c r="E309" s="136"/>
      <c r="F309" s="136" t="str">
        <f>IF(B309="","",D309-SUMIFS(Issue!$D$3:$D993,Issue!$C$3:$C993,C309,Issue!$B$3:$B993,B309))</f>
        <v/>
      </c>
      <c r="G309" s="232"/>
    </row>
    <row r="310" spans="1:7">
      <c r="A310" s="136" t="str">
        <f t="shared" si="1"/>
        <v/>
      </c>
      <c r="B310" s="137"/>
      <c r="C310" s="137"/>
      <c r="D310" s="136"/>
      <c r="E310" s="136"/>
      <c r="F310" s="136" t="str">
        <f>IF(B310="","",D310-SUMIFS(Issue!$D$3:$D993,Issue!$C$3:$C993,C310,Issue!$B$3:$B993,B310))</f>
        <v/>
      </c>
      <c r="G310" s="232"/>
    </row>
    <row r="311" spans="1:7">
      <c r="A311" s="136" t="str">
        <f t="shared" si="1"/>
        <v/>
      </c>
      <c r="B311" s="137"/>
      <c r="C311" s="137"/>
      <c r="D311" s="136"/>
      <c r="E311" s="136"/>
      <c r="F311" s="136" t="str">
        <f>IF(B311="","",D311-SUMIFS(Issue!$D$3:$D993,Issue!$C$3:$C993,C311,Issue!$B$3:$B993,B311))</f>
        <v/>
      </c>
      <c r="G311" s="232"/>
    </row>
    <row r="312" spans="1:7">
      <c r="A312" s="136" t="str">
        <f t="shared" si="1"/>
        <v/>
      </c>
      <c r="B312" s="137"/>
      <c r="C312" s="137"/>
      <c r="D312" s="136"/>
      <c r="E312" s="136"/>
      <c r="F312" s="136" t="str">
        <f>IF(B312="","",D312-SUMIFS(Issue!$D$3:$D993,Issue!$C$3:$C993,C312,Issue!$B$3:$B993,B312))</f>
        <v/>
      </c>
      <c r="G312" s="232"/>
    </row>
    <row r="313" spans="1:7">
      <c r="A313" s="136" t="str">
        <f t="shared" si="1"/>
        <v/>
      </c>
      <c r="B313" s="137"/>
      <c r="C313" s="137"/>
      <c r="D313" s="136"/>
      <c r="E313" s="136"/>
      <c r="F313" s="136" t="str">
        <f>IF(B313="","",D313-SUMIFS(Issue!$D$3:$D993,Issue!$C$3:$C993,C313,Issue!$B$3:$B993,B313))</f>
        <v/>
      </c>
      <c r="G313" s="232"/>
    </row>
    <row r="314" spans="1:7">
      <c r="A314" s="136" t="str">
        <f t="shared" si="1"/>
        <v/>
      </c>
      <c r="B314" s="137"/>
      <c r="C314" s="137"/>
      <c r="D314" s="136"/>
      <c r="E314" s="136"/>
      <c r="F314" s="136" t="str">
        <f>IF(B314="","",D314-SUMIFS(Issue!$D$3:$D993,Issue!$C$3:$C993,C314,Issue!$B$3:$B993,B314))</f>
        <v/>
      </c>
      <c r="G314" s="232"/>
    </row>
    <row r="315" spans="1:7">
      <c r="A315" s="136" t="str">
        <f t="shared" si="1"/>
        <v/>
      </c>
      <c r="B315" s="137"/>
      <c r="C315" s="137"/>
      <c r="D315" s="136"/>
      <c r="E315" s="136"/>
      <c r="F315" s="136" t="str">
        <f>IF(B315="","",D315-SUMIFS(Issue!$D$3:$D993,Issue!$C$3:$C993,C315,Issue!$B$3:$B993,B315))</f>
        <v/>
      </c>
      <c r="G315" s="232"/>
    </row>
    <row r="316" spans="1:7">
      <c r="A316" s="136" t="str">
        <f t="shared" si="1"/>
        <v/>
      </c>
      <c r="B316" s="137"/>
      <c r="C316" s="137"/>
      <c r="D316" s="136"/>
      <c r="E316" s="136"/>
      <c r="F316" s="136" t="str">
        <f>IF(B316="","",D316-SUMIFS(Issue!$D$3:$D993,Issue!$C$3:$C993,C316,Issue!$B$3:$B993,B316))</f>
        <v/>
      </c>
      <c r="G316" s="232"/>
    </row>
    <row r="317" spans="1:7">
      <c r="A317" s="136" t="str">
        <f t="shared" si="1"/>
        <v/>
      </c>
      <c r="B317" s="137"/>
      <c r="C317" s="137"/>
      <c r="D317" s="136"/>
      <c r="E317" s="136"/>
      <c r="F317" s="136" t="str">
        <f>IF(B317="","",D317-SUMIFS(Issue!$D$3:$D993,Issue!$C$3:$C993,C317,Issue!$B$3:$B993,B317))</f>
        <v/>
      </c>
      <c r="G317" s="232"/>
    </row>
    <row r="318" spans="1:7">
      <c r="A318" s="136" t="str">
        <f t="shared" si="1"/>
        <v/>
      </c>
      <c r="B318" s="137"/>
      <c r="C318" s="137"/>
      <c r="D318" s="136"/>
      <c r="E318" s="136"/>
      <c r="F318" s="136" t="str">
        <f>IF(B318="","",D318-SUMIFS(Issue!$D$3:$D993,Issue!$C$3:$C993,C318,Issue!$B$3:$B993,B318))</f>
        <v/>
      </c>
      <c r="G318" s="232"/>
    </row>
    <row r="319" spans="1:7">
      <c r="A319" s="136" t="str">
        <f t="shared" si="1"/>
        <v/>
      </c>
      <c r="B319" s="137"/>
      <c r="C319" s="137"/>
      <c r="D319" s="136"/>
      <c r="E319" s="136"/>
      <c r="F319" s="136" t="str">
        <f>IF(B319="","",D319-SUMIFS(Issue!$D$3:$D993,Issue!$C$3:$C993,C319,Issue!$B$3:$B993,B319))</f>
        <v/>
      </c>
      <c r="G319" s="232"/>
    </row>
    <row r="320" spans="1:7">
      <c r="A320" s="136" t="str">
        <f t="shared" si="1"/>
        <v/>
      </c>
      <c r="B320" s="137"/>
      <c r="C320" s="137"/>
      <c r="D320" s="136"/>
      <c r="E320" s="136"/>
      <c r="F320" s="136" t="str">
        <f>IF(B320="","",D320-SUMIFS(Issue!$D$3:$D993,Issue!$C$3:$C993,C320,Issue!$B$3:$B993,B320))</f>
        <v/>
      </c>
      <c r="G320" s="232"/>
    </row>
    <row r="321" spans="1:7">
      <c r="A321" s="136" t="str">
        <f t="shared" si="1"/>
        <v/>
      </c>
      <c r="B321" s="137"/>
      <c r="C321" s="137"/>
      <c r="D321" s="136"/>
      <c r="E321" s="136"/>
      <c r="F321" s="136" t="str">
        <f>IF(B321="","",D321-SUMIFS(Issue!$D$3:$D993,Issue!$C$3:$C993,C321,Issue!$B$3:$B993,B321))</f>
        <v/>
      </c>
      <c r="G321" s="232"/>
    </row>
    <row r="322" spans="1:7">
      <c r="A322" s="136" t="str">
        <f t="shared" si="1"/>
        <v/>
      </c>
      <c r="B322" s="137"/>
      <c r="C322" s="137"/>
      <c r="D322" s="136"/>
      <c r="E322" s="136"/>
      <c r="F322" s="136" t="str">
        <f>IF(B322="","",D322-SUMIFS(Issue!$D$3:$D993,Issue!$C$3:$C993,C322,Issue!$B$3:$B993,B322))</f>
        <v/>
      </c>
      <c r="G322" s="232"/>
    </row>
    <row r="323" spans="1:7">
      <c r="A323" s="136" t="str">
        <f t="shared" si="1"/>
        <v/>
      </c>
      <c r="B323" s="137"/>
      <c r="C323" s="137"/>
      <c r="D323" s="136"/>
      <c r="E323" s="136"/>
      <c r="F323" s="136" t="str">
        <f>IF(B323="","",D323-SUMIFS(Issue!$D$3:$D993,Issue!$C$3:$C993,C323,Issue!$B$3:$B993,B323))</f>
        <v/>
      </c>
      <c r="G323" s="232"/>
    </row>
    <row r="324" spans="1:7">
      <c r="A324" s="136" t="str">
        <f t="shared" si="1"/>
        <v/>
      </c>
      <c r="B324" s="137"/>
      <c r="C324" s="137"/>
      <c r="D324" s="136"/>
      <c r="E324" s="136"/>
      <c r="F324" s="136" t="str">
        <f>IF(B324="","",D324-SUMIFS(Issue!$D$3:$D993,Issue!$C$3:$C993,C324,Issue!$B$3:$B993,B324))</f>
        <v/>
      </c>
      <c r="G324" s="232"/>
    </row>
    <row r="325" spans="1:7">
      <c r="A325" s="136" t="str">
        <f t="shared" si="1"/>
        <v/>
      </c>
      <c r="B325" s="137"/>
      <c r="C325" s="137"/>
      <c r="D325" s="136"/>
      <c r="E325" s="136"/>
      <c r="F325" s="136" t="str">
        <f>IF(B325="","",D325-SUMIFS(Issue!$D$3:$D993,Issue!$C$3:$C993,C325,Issue!$B$3:$B993,B325))</f>
        <v/>
      </c>
      <c r="G325" s="232"/>
    </row>
    <row r="326" spans="1:7">
      <c r="A326" s="136" t="str">
        <f t="shared" si="1"/>
        <v/>
      </c>
      <c r="B326" s="137"/>
      <c r="C326" s="137"/>
      <c r="D326" s="136"/>
      <c r="E326" s="136"/>
      <c r="F326" s="136" t="str">
        <f>IF(B326="","",D326-SUMIFS(Issue!$D$3:$D993,Issue!$C$3:$C993,C326,Issue!$B$3:$B993,B326))</f>
        <v/>
      </c>
      <c r="G326" s="232"/>
    </row>
    <row r="327" spans="1:7">
      <c r="A327" s="136" t="str">
        <f t="shared" si="1"/>
        <v/>
      </c>
      <c r="B327" s="137"/>
      <c r="C327" s="137"/>
      <c r="D327" s="136"/>
      <c r="E327" s="136"/>
      <c r="F327" s="136" t="str">
        <f>IF(B327="","",D327-SUMIFS(Issue!$D$3:$D993,Issue!$C$3:$C993,C327,Issue!$B$3:$B993,B327))</f>
        <v/>
      </c>
      <c r="G327" s="232"/>
    </row>
    <row r="328" spans="1:7">
      <c r="A328" s="136" t="str">
        <f t="shared" si="1"/>
        <v/>
      </c>
      <c r="B328" s="137"/>
      <c r="C328" s="137"/>
      <c r="D328" s="136"/>
      <c r="E328" s="136"/>
      <c r="F328" s="136" t="str">
        <f>IF(B328="","",D328-SUMIFS(Issue!$D$3:$D993,Issue!$C$3:$C993,C328,Issue!$B$3:$B993,B328))</f>
        <v/>
      </c>
      <c r="G328" s="232"/>
    </row>
    <row r="329" spans="1:7">
      <c r="A329" s="136" t="str">
        <f t="shared" si="1"/>
        <v/>
      </c>
      <c r="B329" s="137"/>
      <c r="C329" s="137"/>
      <c r="D329" s="136"/>
      <c r="E329" s="136"/>
      <c r="F329" s="136" t="str">
        <f>IF(B329="","",D329-SUMIFS(Issue!$D$3:$D993,Issue!$C$3:$C993,C329,Issue!$B$3:$B993,B329))</f>
        <v/>
      </c>
      <c r="G329" s="232"/>
    </row>
    <row r="330" spans="1:7">
      <c r="A330" s="136" t="str">
        <f t="shared" si="1"/>
        <v/>
      </c>
      <c r="B330" s="137"/>
      <c r="C330" s="137"/>
      <c r="D330" s="136"/>
      <c r="E330" s="136"/>
      <c r="F330" s="136" t="str">
        <f>IF(B330="","",D330-SUMIFS(Issue!$D$3:$D993,Issue!$C$3:$C993,C330,Issue!$B$3:$B993,B330))</f>
        <v/>
      </c>
      <c r="G330" s="232"/>
    </row>
    <row r="331" spans="1:7">
      <c r="A331" s="136" t="str">
        <f t="shared" si="1"/>
        <v/>
      </c>
      <c r="B331" s="137"/>
      <c r="C331" s="137"/>
      <c r="D331" s="136"/>
      <c r="E331" s="136"/>
      <c r="F331" s="136" t="str">
        <f>IF(B331="","",D331-SUMIFS(Issue!$D$3:$D993,Issue!$C$3:$C993,C331,Issue!$B$3:$B993,B331))</f>
        <v/>
      </c>
      <c r="G331" s="232"/>
    </row>
    <row r="332" spans="1:7">
      <c r="A332" s="136" t="str">
        <f t="shared" si="1"/>
        <v/>
      </c>
      <c r="B332" s="137"/>
      <c r="C332" s="137"/>
      <c r="D332" s="136"/>
      <c r="E332" s="136"/>
      <c r="F332" s="136" t="str">
        <f>IF(B332="","",D332-SUMIFS(Issue!$D$3:$D993,Issue!$C$3:$C993,C332,Issue!$B$3:$B993,B332))</f>
        <v/>
      </c>
      <c r="G332" s="232"/>
    </row>
    <row r="333" spans="1:7">
      <c r="A333" s="136" t="str">
        <f t="shared" si="1"/>
        <v/>
      </c>
      <c r="B333" s="137"/>
      <c r="C333" s="137"/>
      <c r="D333" s="136"/>
      <c r="E333" s="136"/>
      <c r="F333" s="136" t="str">
        <f>IF(B333="","",D333-SUMIFS(Issue!$D$3:$D993,Issue!$C$3:$C993,C333,Issue!$B$3:$B993,B333))</f>
        <v/>
      </c>
      <c r="G333" s="232"/>
    </row>
    <row r="334" spans="1:7">
      <c r="A334" s="136" t="str">
        <f t="shared" si="1"/>
        <v/>
      </c>
      <c r="B334" s="137"/>
      <c r="C334" s="137"/>
      <c r="D334" s="136"/>
      <c r="E334" s="136"/>
      <c r="F334" s="136" t="str">
        <f>IF(B334="","",D334-SUMIFS(Issue!$D$3:$D993,Issue!$C$3:$C993,C334,Issue!$B$3:$B993,B334))</f>
        <v/>
      </c>
      <c r="G334" s="232"/>
    </row>
    <row r="335" spans="1:7">
      <c r="A335" s="136" t="str">
        <f t="shared" si="1"/>
        <v/>
      </c>
      <c r="B335" s="137"/>
      <c r="C335" s="137"/>
      <c r="D335" s="136"/>
      <c r="E335" s="136"/>
      <c r="F335" s="136" t="str">
        <f>IF(B335="","",D335-SUMIFS(Issue!$D$3:$D993,Issue!$C$3:$C993,C335,Issue!$B$3:$B993,B335))</f>
        <v/>
      </c>
      <c r="G335" s="232"/>
    </row>
    <row r="336" spans="1:7">
      <c r="A336" s="136" t="str">
        <f t="shared" si="1"/>
        <v/>
      </c>
      <c r="B336" s="137"/>
      <c r="C336" s="137"/>
      <c r="D336" s="136"/>
      <c r="E336" s="136"/>
      <c r="F336" s="136" t="str">
        <f>IF(B336="","",D336-SUMIFS(Issue!$D$3:$D993,Issue!$C$3:$C993,C336,Issue!$B$3:$B993,B336))</f>
        <v/>
      </c>
      <c r="G336" s="232"/>
    </row>
    <row r="337" spans="1:7">
      <c r="A337" s="136" t="str">
        <f t="shared" si="1"/>
        <v/>
      </c>
      <c r="B337" s="137"/>
      <c r="C337" s="137"/>
      <c r="D337" s="136"/>
      <c r="E337" s="136"/>
      <c r="F337" s="136" t="str">
        <f>IF(B337="","",D337-SUMIFS(Issue!$D$3:$D993,Issue!$C$3:$C993,C337,Issue!$B$3:$B993,B337))</f>
        <v/>
      </c>
      <c r="G337" s="232"/>
    </row>
    <row r="338" spans="1:7">
      <c r="A338" s="136" t="str">
        <f t="shared" si="1"/>
        <v/>
      </c>
      <c r="B338" s="137"/>
      <c r="C338" s="137"/>
      <c r="D338" s="136"/>
      <c r="E338" s="136"/>
      <c r="F338" s="136" t="str">
        <f>IF(B338="","",D338-SUMIFS(Issue!$D$3:$D993,Issue!$C$3:$C993,C338,Issue!$B$3:$B993,B338))</f>
        <v/>
      </c>
      <c r="G338" s="232"/>
    </row>
    <row r="339" spans="1:7">
      <c r="A339" s="136" t="str">
        <f t="shared" si="1"/>
        <v/>
      </c>
      <c r="B339" s="137"/>
      <c r="C339" s="137"/>
      <c r="D339" s="136"/>
      <c r="E339" s="136"/>
      <c r="F339" s="136" t="str">
        <f>IF(B339="","",D339-SUMIFS(Issue!$D$3:$D993,Issue!$C$3:$C993,C339,Issue!$B$3:$B993,B339))</f>
        <v/>
      </c>
      <c r="G339" s="232"/>
    </row>
    <row r="340" spans="1:7">
      <c r="A340" s="136" t="str">
        <f t="shared" si="1"/>
        <v/>
      </c>
      <c r="B340" s="137"/>
      <c r="C340" s="137"/>
      <c r="D340" s="136"/>
      <c r="E340" s="136"/>
      <c r="F340" s="136" t="str">
        <f>IF(B340="","",D340-SUMIFS(Issue!$D$3:$D993,Issue!$C$3:$C993,C340,Issue!$B$3:$B993,B340))</f>
        <v/>
      </c>
      <c r="G340" s="232"/>
    </row>
    <row r="341" spans="1:7">
      <c r="A341" s="136" t="str">
        <f t="shared" si="1"/>
        <v/>
      </c>
      <c r="B341" s="137"/>
      <c r="C341" s="137"/>
      <c r="D341" s="136"/>
      <c r="E341" s="136"/>
      <c r="F341" s="136" t="str">
        <f>IF(B341="","",D341-SUMIFS(Issue!$D$3:$D993,Issue!$C$3:$C993,C341,Issue!$B$3:$B993,B341))</f>
        <v/>
      </c>
      <c r="G341" s="232"/>
    </row>
    <row r="342" spans="1:7">
      <c r="A342" s="136" t="str">
        <f t="shared" si="1"/>
        <v/>
      </c>
      <c r="B342" s="137"/>
      <c r="C342" s="137"/>
      <c r="D342" s="136"/>
      <c r="E342" s="136"/>
      <c r="F342" s="136" t="str">
        <f>IF(B342="","",D342-SUMIFS(Issue!$D$3:$D993,Issue!$C$3:$C993,C342,Issue!$B$3:$B993,B342))</f>
        <v/>
      </c>
      <c r="G342" s="232"/>
    </row>
    <row r="343" spans="1:7">
      <c r="A343" s="136" t="str">
        <f t="shared" si="1"/>
        <v/>
      </c>
      <c r="B343" s="137"/>
      <c r="C343" s="137"/>
      <c r="D343" s="136"/>
      <c r="E343" s="136"/>
      <c r="F343" s="136" t="str">
        <f>IF(B343="","",D343-SUMIFS(Issue!$D$3:$D993,Issue!$C$3:$C993,C343,Issue!$B$3:$B993,B343))</f>
        <v/>
      </c>
      <c r="G343" s="232"/>
    </row>
    <row r="344" spans="1:7">
      <c r="A344" s="136" t="str">
        <f t="shared" si="1"/>
        <v/>
      </c>
      <c r="B344" s="137"/>
      <c r="C344" s="137"/>
      <c r="D344" s="136"/>
      <c r="E344" s="136"/>
      <c r="F344" s="136" t="str">
        <f>IF(B344="","",D344-SUMIFS(Issue!$D$3:$D993,Issue!$C$3:$C993,C344,Issue!$B$3:$B993,B344))</f>
        <v/>
      </c>
      <c r="G344" s="232"/>
    </row>
    <row r="345" spans="1:7">
      <c r="A345" s="136" t="str">
        <f t="shared" si="1"/>
        <v/>
      </c>
      <c r="B345" s="137"/>
      <c r="C345" s="137"/>
      <c r="D345" s="136"/>
      <c r="E345" s="136"/>
      <c r="F345" s="136" t="str">
        <f>IF(B345="","",D345-SUMIFS(Issue!$D$3:$D993,Issue!$C$3:$C993,C345,Issue!$B$3:$B993,B345))</f>
        <v/>
      </c>
      <c r="G345" s="232"/>
    </row>
    <row r="346" spans="1:7">
      <c r="A346" s="136" t="str">
        <f t="shared" si="1"/>
        <v/>
      </c>
      <c r="B346" s="137"/>
      <c r="C346" s="137"/>
      <c r="D346" s="136"/>
      <c r="E346" s="136"/>
      <c r="F346" s="136" t="str">
        <f>IF(B346="","",D346-SUMIFS(Issue!$D$3:$D993,Issue!$C$3:$C993,C346,Issue!$B$3:$B993,B346))</f>
        <v/>
      </c>
      <c r="G346" s="232"/>
    </row>
    <row r="347" spans="1:7">
      <c r="A347" s="136" t="str">
        <f t="shared" si="1"/>
        <v/>
      </c>
      <c r="B347" s="137"/>
      <c r="C347" s="137"/>
      <c r="D347" s="136"/>
      <c r="E347" s="136"/>
      <c r="F347" s="136" t="str">
        <f>IF(B347="","",D347-SUMIFS(Issue!$D$3:$D993,Issue!$C$3:$C993,C347,Issue!$B$3:$B993,B347))</f>
        <v/>
      </c>
      <c r="G347" s="232"/>
    </row>
    <row r="348" spans="1:7">
      <c r="A348" s="136" t="str">
        <f t="shared" si="1"/>
        <v/>
      </c>
      <c r="B348" s="137"/>
      <c r="C348" s="137"/>
      <c r="D348" s="136"/>
      <c r="E348" s="136"/>
      <c r="F348" s="136" t="str">
        <f>IF(B348="","",D348-SUMIFS(Issue!$D$3:$D993,Issue!$C$3:$C993,C348,Issue!$B$3:$B993,B348))</f>
        <v/>
      </c>
      <c r="G348" s="232"/>
    </row>
    <row r="349" spans="1:7">
      <c r="A349" s="136" t="str">
        <f t="shared" si="1"/>
        <v/>
      </c>
      <c r="B349" s="137"/>
      <c r="C349" s="137"/>
      <c r="D349" s="136"/>
      <c r="E349" s="136"/>
      <c r="F349" s="136" t="str">
        <f>IF(B349="","",D349-SUMIFS(Issue!$D$3:$D993,Issue!$C$3:$C993,C349,Issue!$B$3:$B993,B349))</f>
        <v/>
      </c>
      <c r="G349" s="232"/>
    </row>
    <row r="350" spans="1:7">
      <c r="A350" s="136" t="str">
        <f t="shared" si="1"/>
        <v/>
      </c>
      <c r="B350" s="137"/>
      <c r="C350" s="137"/>
      <c r="D350" s="136"/>
      <c r="E350" s="136"/>
      <c r="F350" s="136" t="str">
        <f>IF(B350="","",D350-SUMIFS(Issue!$D$3:$D993,Issue!$C$3:$C993,C350,Issue!$B$3:$B993,B350))</f>
        <v/>
      </c>
      <c r="G350" s="232"/>
    </row>
    <row r="351" spans="1:7">
      <c r="A351" s="136" t="str">
        <f t="shared" si="1"/>
        <v/>
      </c>
      <c r="B351" s="137"/>
      <c r="C351" s="137"/>
      <c r="D351" s="136"/>
      <c r="E351" s="136"/>
      <c r="F351" s="136" t="str">
        <f>IF(B351="","",D351-SUMIFS(Issue!$D$3:$D993,Issue!$C$3:$C993,C351,Issue!$B$3:$B993,B351))</f>
        <v/>
      </c>
      <c r="G351" s="232"/>
    </row>
    <row r="352" spans="1:7">
      <c r="A352" s="136" t="str">
        <f t="shared" si="1"/>
        <v/>
      </c>
      <c r="B352" s="137"/>
      <c r="C352" s="137"/>
      <c r="D352" s="136"/>
      <c r="E352" s="136"/>
      <c r="F352" s="136" t="str">
        <f>IF(B352="","",D352-SUMIFS(Issue!$D$3:$D993,Issue!$C$3:$C993,C352,Issue!$B$3:$B993,B352))</f>
        <v/>
      </c>
      <c r="G352" s="232"/>
    </row>
    <row r="353" spans="1:7">
      <c r="A353" s="136" t="str">
        <f t="shared" si="1"/>
        <v/>
      </c>
      <c r="B353" s="137"/>
      <c r="C353" s="137"/>
      <c r="D353" s="136"/>
      <c r="E353" s="136"/>
      <c r="F353" s="136" t="str">
        <f>IF(B353="","",D353-SUMIFS(Issue!$D$3:$D993,Issue!$C$3:$C993,C353,Issue!$B$3:$B993,B353))</f>
        <v/>
      </c>
      <c r="G353" s="232"/>
    </row>
    <row r="354" spans="1:7">
      <c r="A354" s="136" t="str">
        <f t="shared" si="1"/>
        <v/>
      </c>
      <c r="B354" s="137"/>
      <c r="C354" s="137"/>
      <c r="D354" s="136"/>
      <c r="E354" s="136"/>
      <c r="F354" s="136" t="str">
        <f>IF(B354="","",D354-SUMIFS(Issue!$D$3:$D993,Issue!$C$3:$C993,C354,Issue!$B$3:$B993,B354))</f>
        <v/>
      </c>
      <c r="G354" s="232"/>
    </row>
    <row r="355" spans="1:7">
      <c r="A355" s="136" t="str">
        <f t="shared" si="1"/>
        <v/>
      </c>
      <c r="B355" s="137"/>
      <c r="C355" s="137"/>
      <c r="D355" s="136"/>
      <c r="E355" s="136"/>
      <c r="F355" s="136" t="str">
        <f>IF(B355="","",D355-SUMIFS(Issue!$D$3:$D993,Issue!$C$3:$C993,C355,Issue!$B$3:$B993,B355))</f>
        <v/>
      </c>
      <c r="G355" s="232"/>
    </row>
    <row r="356" spans="1:7">
      <c r="A356" s="136" t="str">
        <f t="shared" si="1"/>
        <v/>
      </c>
      <c r="B356" s="137"/>
      <c r="C356" s="137"/>
      <c r="D356" s="136"/>
      <c r="E356" s="136"/>
      <c r="F356" s="136" t="str">
        <f>IF(B356="","",D356-SUMIFS(Issue!$D$3:$D993,Issue!$C$3:$C993,C356,Issue!$B$3:$B993,B356))</f>
        <v/>
      </c>
      <c r="G356" s="232"/>
    </row>
    <row r="357" spans="1:7">
      <c r="A357" s="136" t="str">
        <f t="shared" si="1"/>
        <v/>
      </c>
      <c r="B357" s="137"/>
      <c r="C357" s="137"/>
      <c r="D357" s="136"/>
      <c r="E357" s="136"/>
      <c r="F357" s="136" t="str">
        <f>IF(B357="","",D357-SUMIFS(Issue!$D$3:$D993,Issue!$C$3:$C993,C357,Issue!$B$3:$B993,B357))</f>
        <v/>
      </c>
      <c r="G357" s="232"/>
    </row>
    <row r="358" spans="1:7">
      <c r="A358" s="136" t="str">
        <f t="shared" si="1"/>
        <v/>
      </c>
      <c r="B358" s="137"/>
      <c r="C358" s="137"/>
      <c r="D358" s="136"/>
      <c r="E358" s="136"/>
      <c r="F358" s="136" t="str">
        <f>IF(B358="","",D358-SUMIFS(Issue!$D$3:$D993,Issue!$C$3:$C993,C358,Issue!$B$3:$B993,B358))</f>
        <v/>
      </c>
      <c r="G358" s="232"/>
    </row>
    <row r="359" spans="1:7">
      <c r="A359" s="136" t="str">
        <f t="shared" si="1"/>
        <v/>
      </c>
      <c r="B359" s="137"/>
      <c r="C359" s="137"/>
      <c r="D359" s="136"/>
      <c r="E359" s="136"/>
      <c r="F359" s="136" t="str">
        <f>IF(B359="","",D359-SUMIFS(Issue!$D$3:$D993,Issue!$C$3:$C993,C359,Issue!$B$3:$B993,B359))</f>
        <v/>
      </c>
      <c r="G359" s="232"/>
    </row>
    <row r="360" spans="1:7">
      <c r="A360" s="136" t="str">
        <f t="shared" si="1"/>
        <v/>
      </c>
      <c r="B360" s="137"/>
      <c r="C360" s="137"/>
      <c r="D360" s="136"/>
      <c r="E360" s="136"/>
      <c r="F360" s="136" t="str">
        <f>IF(B360="","",D360-SUMIFS(Issue!$D$3:$D993,Issue!$C$3:$C993,C360,Issue!$B$3:$B993,B360))</f>
        <v/>
      </c>
      <c r="G360" s="232"/>
    </row>
    <row r="361" spans="1:7">
      <c r="A361" s="136" t="str">
        <f t="shared" si="1"/>
        <v/>
      </c>
      <c r="B361" s="137"/>
      <c r="C361" s="137"/>
      <c r="D361" s="136"/>
      <c r="E361" s="136"/>
      <c r="F361" s="136" t="str">
        <f>IF(B361="","",D361-SUMIFS(Issue!$D$3:$D993,Issue!$C$3:$C993,C361,Issue!$B$3:$B993,B361))</f>
        <v/>
      </c>
      <c r="G361" s="232"/>
    </row>
    <row r="362" spans="1:7">
      <c r="A362" s="136" t="str">
        <f t="shared" si="1"/>
        <v/>
      </c>
      <c r="B362" s="137"/>
      <c r="C362" s="137"/>
      <c r="D362" s="136"/>
      <c r="E362" s="136"/>
      <c r="F362" s="136" t="str">
        <f>IF(B362="","",D362-SUMIFS(Issue!$D$3:$D993,Issue!$C$3:$C993,C362,Issue!$B$3:$B993,B362))</f>
        <v/>
      </c>
      <c r="G362" s="232"/>
    </row>
    <row r="363" spans="1:7">
      <c r="A363" s="136" t="str">
        <f t="shared" si="1"/>
        <v/>
      </c>
      <c r="B363" s="137"/>
      <c r="C363" s="137"/>
      <c r="D363" s="136"/>
      <c r="E363" s="136"/>
      <c r="F363" s="136" t="str">
        <f>IF(B363="","",D363-SUMIFS(Issue!$D$3:$D993,Issue!$C$3:$C993,C363,Issue!$B$3:$B993,B363))</f>
        <v/>
      </c>
      <c r="G363" s="232"/>
    </row>
    <row r="364" spans="1:7">
      <c r="A364" s="136" t="str">
        <f t="shared" si="1"/>
        <v/>
      </c>
      <c r="B364" s="137"/>
      <c r="C364" s="137"/>
      <c r="D364" s="136"/>
      <c r="E364" s="136"/>
      <c r="F364" s="136" t="str">
        <f>IF(B364="","",D364-SUMIFS(Issue!$D$3:$D993,Issue!$C$3:$C993,C364,Issue!$B$3:$B993,B364))</f>
        <v/>
      </c>
      <c r="G364" s="232"/>
    </row>
    <row r="365" spans="1:7">
      <c r="A365" s="136" t="str">
        <f t="shared" si="1"/>
        <v/>
      </c>
      <c r="B365" s="137"/>
      <c r="C365" s="137"/>
      <c r="D365" s="136"/>
      <c r="E365" s="136"/>
      <c r="F365" s="136" t="str">
        <f>IF(B365="","",D365-SUMIFS(Issue!$D$3:$D993,Issue!$C$3:$C993,C365,Issue!$B$3:$B993,B365))</f>
        <v/>
      </c>
      <c r="G365" s="232"/>
    </row>
    <row r="366" spans="1:7">
      <c r="A366" s="136" t="str">
        <f t="shared" si="1"/>
        <v/>
      </c>
      <c r="B366" s="137"/>
      <c r="C366" s="137"/>
      <c r="D366" s="136"/>
      <c r="E366" s="136"/>
      <c r="F366" s="136" t="str">
        <f>IF(B366="","",D366-SUMIFS(Issue!$D$3:$D993,Issue!$C$3:$C993,C366,Issue!$B$3:$B993,B366))</f>
        <v/>
      </c>
      <c r="G366" s="232"/>
    </row>
    <row r="367" spans="1:7">
      <c r="A367" s="136" t="str">
        <f t="shared" si="1"/>
        <v/>
      </c>
      <c r="B367" s="137"/>
      <c r="C367" s="137"/>
      <c r="D367" s="136"/>
      <c r="E367" s="136"/>
      <c r="F367" s="136" t="str">
        <f>IF(B367="","",D367-SUMIFS(Issue!$D$3:$D993,Issue!$C$3:$C993,C367,Issue!$B$3:$B993,B367))</f>
        <v/>
      </c>
      <c r="G367" s="232"/>
    </row>
    <row r="368" spans="1:7">
      <c r="A368" s="136" t="str">
        <f t="shared" si="1"/>
        <v/>
      </c>
      <c r="B368" s="137"/>
      <c r="C368" s="137"/>
      <c r="D368" s="136"/>
      <c r="E368" s="136"/>
      <c r="F368" s="136" t="str">
        <f>IF(B368="","",D368-SUMIFS(Issue!$D$3:$D993,Issue!$C$3:$C993,C368,Issue!$B$3:$B993,B368))</f>
        <v/>
      </c>
      <c r="G368" s="232"/>
    </row>
    <row r="369" spans="1:7">
      <c r="A369" s="136" t="str">
        <f t="shared" si="1"/>
        <v/>
      </c>
      <c r="B369" s="137"/>
      <c r="C369" s="137"/>
      <c r="D369" s="136"/>
      <c r="E369" s="136"/>
      <c r="F369" s="136" t="str">
        <f>IF(B369="","",D369-SUMIFS(Issue!$D$3:$D993,Issue!$C$3:$C993,C369,Issue!$B$3:$B993,B369))</f>
        <v/>
      </c>
      <c r="G369" s="232"/>
    </row>
    <row r="370" spans="1:7">
      <c r="A370" s="136" t="str">
        <f t="shared" si="1"/>
        <v/>
      </c>
      <c r="B370" s="137"/>
      <c r="C370" s="137"/>
      <c r="D370" s="136"/>
      <c r="E370" s="136"/>
      <c r="F370" s="136" t="str">
        <f>IF(B370="","",D370-SUMIFS(Issue!$D$3:$D993,Issue!$C$3:$C993,C370,Issue!$B$3:$B993,B370))</f>
        <v/>
      </c>
      <c r="G370" s="232"/>
    </row>
    <row r="371" spans="1:7">
      <c r="A371" s="136" t="str">
        <f t="shared" si="1"/>
        <v/>
      </c>
      <c r="B371" s="137"/>
      <c r="C371" s="137"/>
      <c r="D371" s="136"/>
      <c r="E371" s="136"/>
      <c r="F371" s="136" t="str">
        <f>IF(B371="","",D371-SUMIFS(Issue!$D$3:$D993,Issue!$C$3:$C993,C371,Issue!$B$3:$B993,B371))</f>
        <v/>
      </c>
      <c r="G371" s="232"/>
    </row>
    <row r="372" spans="1:7">
      <c r="A372" s="136" t="str">
        <f t="shared" si="1"/>
        <v/>
      </c>
      <c r="B372" s="137"/>
      <c r="C372" s="137"/>
      <c r="D372" s="136"/>
      <c r="E372" s="136"/>
      <c r="F372" s="136" t="str">
        <f>IF(B372="","",D372-SUMIFS(Issue!$D$3:$D993,Issue!$C$3:$C993,C372,Issue!$B$3:$B993,B372))</f>
        <v/>
      </c>
      <c r="G372" s="232"/>
    </row>
    <row r="373" spans="1:7">
      <c r="A373" s="136" t="str">
        <f t="shared" si="1"/>
        <v/>
      </c>
      <c r="B373" s="137"/>
      <c r="C373" s="137"/>
      <c r="D373" s="136"/>
      <c r="E373" s="136"/>
      <c r="F373" s="136" t="str">
        <f>IF(B373="","",D373-SUMIFS(Issue!$D$3:$D993,Issue!$C$3:$C993,C373,Issue!$B$3:$B993,B373))</f>
        <v/>
      </c>
      <c r="G373" s="232"/>
    </row>
    <row r="374" spans="1:7">
      <c r="A374" s="136" t="str">
        <f t="shared" si="1"/>
        <v/>
      </c>
      <c r="B374" s="137"/>
      <c r="C374" s="137"/>
      <c r="D374" s="136"/>
      <c r="E374" s="136"/>
      <c r="F374" s="136" t="str">
        <f>IF(B374="","",D374-SUMIFS(Issue!$D$3:$D993,Issue!$C$3:$C993,C374,Issue!$B$3:$B993,B374))</f>
        <v/>
      </c>
      <c r="G374" s="232"/>
    </row>
    <row r="375" spans="1:7">
      <c r="A375" s="136" t="str">
        <f t="shared" si="1"/>
        <v/>
      </c>
      <c r="B375" s="137"/>
      <c r="C375" s="137"/>
      <c r="D375" s="136"/>
      <c r="E375" s="136"/>
      <c r="F375" s="136" t="str">
        <f>IF(B375="","",D375-SUMIFS(Issue!$D$3:$D993,Issue!$C$3:$C993,C375,Issue!$B$3:$B993,B375))</f>
        <v/>
      </c>
      <c r="G375" s="232"/>
    </row>
    <row r="376" spans="1:7">
      <c r="A376" s="136" t="str">
        <f t="shared" si="1"/>
        <v/>
      </c>
      <c r="B376" s="137"/>
      <c r="C376" s="137"/>
      <c r="D376" s="136"/>
      <c r="E376" s="136"/>
      <c r="F376" s="136" t="str">
        <f>IF(B376="","",D376-SUMIFS(Issue!$D$3:$D993,Issue!$C$3:$C993,C376,Issue!$B$3:$B993,B376))</f>
        <v/>
      </c>
      <c r="G376" s="232"/>
    </row>
    <row r="377" spans="1:7">
      <c r="A377" s="136" t="str">
        <f t="shared" si="1"/>
        <v/>
      </c>
      <c r="B377" s="137"/>
      <c r="C377" s="137"/>
      <c r="D377" s="136"/>
      <c r="E377" s="136"/>
      <c r="F377" s="136" t="str">
        <f>IF(B377="","",D377-SUMIFS(Issue!$D$3:$D993,Issue!$C$3:$C993,C377,Issue!$B$3:$B993,B377))</f>
        <v/>
      </c>
      <c r="G377" s="232"/>
    </row>
    <row r="378" spans="1:7">
      <c r="A378" s="136" t="str">
        <f t="shared" si="1"/>
        <v/>
      </c>
      <c r="B378" s="137"/>
      <c r="C378" s="137"/>
      <c r="D378" s="136"/>
      <c r="E378" s="136"/>
      <c r="F378" s="136" t="str">
        <f>IF(B378="","",D378-SUMIFS(Issue!$D$3:$D993,Issue!$C$3:$C993,C378,Issue!$B$3:$B993,B378))</f>
        <v/>
      </c>
      <c r="G378" s="232"/>
    </row>
    <row r="379" spans="1:7">
      <c r="A379" s="136" t="str">
        <f t="shared" si="1"/>
        <v/>
      </c>
      <c r="B379" s="137"/>
      <c r="C379" s="137"/>
      <c r="D379" s="136"/>
      <c r="E379" s="136"/>
      <c r="F379" s="136" t="str">
        <f>IF(B379="","",D379-SUMIFS(Issue!$D$3:$D993,Issue!$C$3:$C993,C379,Issue!$B$3:$B993,B379))</f>
        <v/>
      </c>
      <c r="G379" s="232"/>
    </row>
    <row r="380" spans="1:7">
      <c r="A380" s="136" t="str">
        <f t="shared" si="1"/>
        <v/>
      </c>
      <c r="B380" s="137"/>
      <c r="C380" s="137"/>
      <c r="D380" s="136"/>
      <c r="E380" s="136"/>
      <c r="F380" s="136" t="str">
        <f>IF(B380="","",D380-SUMIFS(Issue!$D$3:$D993,Issue!$C$3:$C993,C380,Issue!$B$3:$B993,B380))</f>
        <v/>
      </c>
      <c r="G380" s="232"/>
    </row>
    <row r="381" spans="1:7">
      <c r="A381" s="136" t="str">
        <f t="shared" si="1"/>
        <v/>
      </c>
      <c r="B381" s="137"/>
      <c r="C381" s="137"/>
      <c r="D381" s="136"/>
      <c r="E381" s="136"/>
      <c r="F381" s="136" t="str">
        <f>IF(B381="","",D381-SUMIFS(Issue!$D$3:$D993,Issue!$C$3:$C993,C381,Issue!$B$3:$B993,B381))</f>
        <v/>
      </c>
      <c r="G381" s="232"/>
    </row>
    <row r="382" spans="1:7">
      <c r="A382" s="136" t="str">
        <f t="shared" si="1"/>
        <v/>
      </c>
      <c r="B382" s="137"/>
      <c r="C382" s="137"/>
      <c r="D382" s="136"/>
      <c r="E382" s="136"/>
      <c r="F382" s="136" t="str">
        <f>IF(B382="","",D382-SUMIFS(Issue!$D$3:$D993,Issue!$C$3:$C993,C382,Issue!$B$3:$B993,B382))</f>
        <v/>
      </c>
      <c r="G382" s="232"/>
    </row>
    <row r="383" spans="1:7">
      <c r="A383" s="136" t="str">
        <f t="shared" si="1"/>
        <v/>
      </c>
      <c r="B383" s="137"/>
      <c r="C383" s="137"/>
      <c r="D383" s="136"/>
      <c r="E383" s="136"/>
      <c r="F383" s="136" t="str">
        <f>IF(B383="","",D383-SUMIFS(Issue!$D$3:$D993,Issue!$C$3:$C993,C383,Issue!$B$3:$B993,B383))</f>
        <v/>
      </c>
      <c r="G383" s="232"/>
    </row>
    <row r="384" spans="1:7">
      <c r="A384" s="136" t="str">
        <f t="shared" si="1"/>
        <v/>
      </c>
      <c r="B384" s="137"/>
      <c r="C384" s="137"/>
      <c r="D384" s="136"/>
      <c r="E384" s="136"/>
      <c r="F384" s="136" t="str">
        <f>IF(B384="","",D384-SUMIFS(Issue!$D$3:$D993,Issue!$C$3:$C993,C384,Issue!$B$3:$B993,B384))</f>
        <v/>
      </c>
      <c r="G384" s="232"/>
    </row>
    <row r="385" spans="1:7">
      <c r="A385" s="136" t="str">
        <f t="shared" si="1"/>
        <v/>
      </c>
      <c r="B385" s="137"/>
      <c r="C385" s="137"/>
      <c r="D385" s="136"/>
      <c r="E385" s="136"/>
      <c r="F385" s="136" t="str">
        <f>IF(B385="","",D385-SUMIFS(Issue!$D$3:$D993,Issue!$C$3:$C993,C385,Issue!$B$3:$B993,B385))</f>
        <v/>
      </c>
      <c r="G385" s="232"/>
    </row>
    <row r="386" spans="1:7">
      <c r="A386" s="136" t="str">
        <f t="shared" si="1"/>
        <v/>
      </c>
      <c r="B386" s="137"/>
      <c r="C386" s="137"/>
      <c r="D386" s="136"/>
      <c r="E386" s="136"/>
      <c r="F386" s="136" t="str">
        <f>IF(B386="","",D386-SUMIFS(Issue!$D$3:$D993,Issue!$C$3:$C993,C386,Issue!$B$3:$B993,B386))</f>
        <v/>
      </c>
      <c r="G386" s="232"/>
    </row>
    <row r="387" spans="1:7">
      <c r="A387" s="136" t="str">
        <f t="shared" si="1"/>
        <v/>
      </c>
      <c r="B387" s="137"/>
      <c r="C387" s="137"/>
      <c r="D387" s="136"/>
      <c r="E387" s="136"/>
      <c r="F387" s="136" t="str">
        <f>IF(B387="","",D387-SUMIFS(Issue!$D$3:$D993,Issue!$C$3:$C993,C387,Issue!$B$3:$B993,B387))</f>
        <v/>
      </c>
      <c r="G387" s="232"/>
    </row>
    <row r="388" spans="1:7">
      <c r="A388" s="136" t="str">
        <f t="shared" si="1"/>
        <v/>
      </c>
      <c r="B388" s="137"/>
      <c r="C388" s="137"/>
      <c r="D388" s="136"/>
      <c r="E388" s="136"/>
      <c r="F388" s="136" t="str">
        <f>IF(B388="","",D388-SUMIFS(Issue!$D$3:$D993,Issue!$C$3:$C993,C388,Issue!$B$3:$B993,B388))</f>
        <v/>
      </c>
      <c r="G388" s="232"/>
    </row>
    <row r="389" spans="1:7">
      <c r="A389" s="136" t="str">
        <f t="shared" si="1"/>
        <v/>
      </c>
      <c r="B389" s="137"/>
      <c r="C389" s="137"/>
      <c r="D389" s="136"/>
      <c r="E389" s="136"/>
      <c r="F389" s="136" t="str">
        <f>IF(B389="","",D389-SUMIFS(Issue!$D$3:$D993,Issue!$C$3:$C993,C389,Issue!$B$3:$B993,B389))</f>
        <v/>
      </c>
      <c r="G389" s="232"/>
    </row>
    <row r="390" spans="1:7">
      <c r="A390" s="136" t="str">
        <f t="shared" si="1"/>
        <v/>
      </c>
      <c r="B390" s="137"/>
      <c r="C390" s="137"/>
      <c r="D390" s="136"/>
      <c r="E390" s="136"/>
      <c r="F390" s="136" t="str">
        <f>IF(B390="","",D390-SUMIFS(Issue!$D$3:$D993,Issue!$C$3:$C993,C390,Issue!$B$3:$B993,B390))</f>
        <v/>
      </c>
      <c r="G390" s="232"/>
    </row>
    <row r="391" spans="1:7">
      <c r="A391" s="136" t="str">
        <f t="shared" si="1"/>
        <v/>
      </c>
      <c r="B391" s="137"/>
      <c r="C391" s="137"/>
      <c r="D391" s="136"/>
      <c r="E391" s="136"/>
      <c r="F391" s="136" t="str">
        <f>IF(B391="","",D391-SUMIFS(Issue!$D$3:$D993,Issue!$C$3:$C993,C391,Issue!$B$3:$B993,B391))</f>
        <v/>
      </c>
      <c r="G391" s="232"/>
    </row>
    <row r="392" spans="1:7">
      <c r="A392" s="136" t="str">
        <f t="shared" si="1"/>
        <v/>
      </c>
      <c r="B392" s="137"/>
      <c r="C392" s="137"/>
      <c r="D392" s="136"/>
      <c r="E392" s="136"/>
      <c r="F392" s="136" t="str">
        <f>IF(B392="","",D392-SUMIFS(Issue!$D$3:$D993,Issue!$C$3:$C993,C392,Issue!$B$3:$B993,B392))</f>
        <v/>
      </c>
      <c r="G392" s="232"/>
    </row>
    <row r="393" spans="1:7">
      <c r="A393" s="136" t="str">
        <f t="shared" si="1"/>
        <v/>
      </c>
      <c r="B393" s="137"/>
      <c r="C393" s="137"/>
      <c r="D393" s="136"/>
      <c r="E393" s="136"/>
      <c r="F393" s="136" t="str">
        <f>IF(B393="","",D393-SUMIFS(Issue!$D$3:$D993,Issue!$C$3:$C993,C393,Issue!$B$3:$B993,B393))</f>
        <v/>
      </c>
      <c r="G393" s="232"/>
    </row>
    <row r="394" spans="1:7">
      <c r="A394" s="136" t="str">
        <f t="shared" si="1"/>
        <v/>
      </c>
      <c r="B394" s="137"/>
      <c r="C394" s="137"/>
      <c r="D394" s="136"/>
      <c r="E394" s="136"/>
      <c r="F394" s="136" t="str">
        <f>IF(B394="","",D394-SUMIFS(Issue!$D$3:$D993,Issue!$C$3:$C993,C394,Issue!$B$3:$B993,B394))</f>
        <v/>
      </c>
      <c r="G394" s="232"/>
    </row>
    <row r="395" spans="1:7">
      <c r="A395" s="136" t="str">
        <f t="shared" si="1"/>
        <v/>
      </c>
      <c r="B395" s="137"/>
      <c r="C395" s="137"/>
      <c r="D395" s="136"/>
      <c r="E395" s="136"/>
      <c r="F395" s="136" t="str">
        <f>IF(B395="","",D395-SUMIFS(Issue!$D$3:$D993,Issue!$C$3:$C993,C395,Issue!$B$3:$B993,B395))</f>
        <v/>
      </c>
      <c r="G395" s="232"/>
    </row>
    <row r="396" spans="1:7">
      <c r="A396" s="136" t="str">
        <f t="shared" si="1"/>
        <v/>
      </c>
      <c r="B396" s="137"/>
      <c r="C396" s="137"/>
      <c r="D396" s="136"/>
      <c r="E396" s="136"/>
      <c r="F396" s="136" t="str">
        <f>IF(B396="","",D396-SUMIFS(Issue!$D$3:$D993,Issue!$C$3:$C993,C396,Issue!$B$3:$B993,B396))</f>
        <v/>
      </c>
      <c r="G396" s="232"/>
    </row>
    <row r="397" spans="1:7">
      <c r="A397" s="136" t="str">
        <f t="shared" si="1"/>
        <v/>
      </c>
      <c r="B397" s="137"/>
      <c r="C397" s="137"/>
      <c r="D397" s="136"/>
      <c r="E397" s="136"/>
      <c r="F397" s="136" t="str">
        <f>IF(B397="","",D397-SUMIFS(Issue!$D$3:$D993,Issue!$C$3:$C993,C397,Issue!$B$3:$B993,B397))</f>
        <v/>
      </c>
      <c r="G397" s="232"/>
    </row>
    <row r="398" spans="1:7">
      <c r="A398" s="136" t="str">
        <f t="shared" si="1"/>
        <v/>
      </c>
      <c r="B398" s="137"/>
      <c r="C398" s="137"/>
      <c r="D398" s="136"/>
      <c r="E398" s="136"/>
      <c r="F398" s="136" t="str">
        <f>IF(B398="","",D398-SUMIFS(Issue!$D$3:$D993,Issue!$C$3:$C993,C398,Issue!$B$3:$B993,B398))</f>
        <v/>
      </c>
      <c r="G398" s="232"/>
    </row>
    <row r="399" spans="1:7">
      <c r="A399" s="136" t="str">
        <f t="shared" si="1"/>
        <v/>
      </c>
      <c r="B399" s="137"/>
      <c r="C399" s="137"/>
      <c r="D399" s="136"/>
      <c r="E399" s="136"/>
      <c r="F399" s="136" t="str">
        <f>IF(B399="","",D399-SUMIFS(Issue!$D$3:$D993,Issue!$C$3:$C993,C399,Issue!$B$3:$B993,B399))</f>
        <v/>
      </c>
      <c r="G399" s="232"/>
    </row>
    <row r="400" spans="1:7">
      <c r="A400" s="136" t="str">
        <f t="shared" si="1"/>
        <v/>
      </c>
      <c r="B400" s="137"/>
      <c r="C400" s="137"/>
      <c r="D400" s="136"/>
      <c r="E400" s="136"/>
      <c r="F400" s="136" t="str">
        <f>IF(B400="","",D400-SUMIFS(Issue!$D$3:$D993,Issue!$C$3:$C993,C400,Issue!$B$3:$B993,B400))</f>
        <v/>
      </c>
      <c r="G400" s="232"/>
    </row>
    <row r="401" spans="1:7">
      <c r="A401" s="136" t="str">
        <f t="shared" si="1"/>
        <v/>
      </c>
      <c r="B401" s="137"/>
      <c r="C401" s="137"/>
      <c r="D401" s="136"/>
      <c r="E401" s="136"/>
      <c r="F401" s="136" t="str">
        <f>IF(B401="","",D401-SUMIFS(Issue!$D$3:$D993,Issue!$C$3:$C993,C401,Issue!$B$3:$B993,B401))</f>
        <v/>
      </c>
      <c r="G401" s="232"/>
    </row>
    <row r="402" spans="1:7">
      <c r="A402" s="136" t="str">
        <f t="shared" si="1"/>
        <v/>
      </c>
      <c r="B402" s="137"/>
      <c r="C402" s="137"/>
      <c r="D402" s="136"/>
      <c r="E402" s="136"/>
      <c r="F402" s="136" t="str">
        <f>IF(B402="","",D402-SUMIFS(Issue!$D$3:$D993,Issue!$C$3:$C993,C402,Issue!$B$3:$B993,B402))</f>
        <v/>
      </c>
      <c r="G402" s="232"/>
    </row>
    <row r="403" spans="1:7">
      <c r="A403" s="136" t="str">
        <f t="shared" si="1"/>
        <v/>
      </c>
      <c r="B403" s="137"/>
      <c r="C403" s="137"/>
      <c r="D403" s="136"/>
      <c r="E403" s="136"/>
      <c r="F403" s="136" t="str">
        <f>IF(B403="","",D403-SUMIFS(Issue!$D$3:$D993,Issue!$C$3:$C993,C403,Issue!$B$3:$B993,B403))</f>
        <v/>
      </c>
      <c r="G403" s="232"/>
    </row>
    <row r="404" spans="1:7">
      <c r="A404" s="136" t="str">
        <f t="shared" si="1"/>
        <v/>
      </c>
      <c r="B404" s="137"/>
      <c r="C404" s="137"/>
      <c r="D404" s="136"/>
      <c r="E404" s="136"/>
      <c r="F404" s="136" t="str">
        <f>IF(B404="","",D404-SUMIFS(Issue!$D$3:$D993,Issue!$C$3:$C993,C404,Issue!$B$3:$B993,B404))</f>
        <v/>
      </c>
      <c r="G404" s="232"/>
    </row>
    <row r="405" spans="1:7">
      <c r="A405" s="136" t="str">
        <f t="shared" si="1"/>
        <v/>
      </c>
      <c r="B405" s="137"/>
      <c r="C405" s="137"/>
      <c r="D405" s="136"/>
      <c r="E405" s="136"/>
      <c r="F405" s="136" t="str">
        <f>IF(B405="","",D405-SUMIFS(Issue!$D$3:$D993,Issue!$C$3:$C993,C405,Issue!$B$3:$B993,B405))</f>
        <v/>
      </c>
      <c r="G405" s="232"/>
    </row>
    <row r="406" spans="1:7">
      <c r="A406" s="136" t="str">
        <f t="shared" si="1"/>
        <v/>
      </c>
      <c r="B406" s="137"/>
      <c r="C406" s="137"/>
      <c r="D406" s="136"/>
      <c r="E406" s="136"/>
      <c r="F406" s="136" t="str">
        <f>IF(B406="","",D406-SUMIFS(Issue!$D$3:$D993,Issue!$C$3:$C993,C406,Issue!$B$3:$B993,B406))</f>
        <v/>
      </c>
      <c r="G406" s="232"/>
    </row>
    <row r="407" spans="1:7">
      <c r="A407" s="136" t="str">
        <f t="shared" si="1"/>
        <v/>
      </c>
      <c r="B407" s="137"/>
      <c r="C407" s="137"/>
      <c r="D407" s="136"/>
      <c r="E407" s="136"/>
      <c r="F407" s="136" t="str">
        <f>IF(B407="","",D407-SUMIFS(Issue!$D$3:$D993,Issue!$C$3:$C993,C407,Issue!$B$3:$B993,B407))</f>
        <v/>
      </c>
      <c r="G407" s="232"/>
    </row>
    <row r="408" spans="1:7">
      <c r="A408" s="136" t="str">
        <f t="shared" si="1"/>
        <v/>
      </c>
      <c r="B408" s="137"/>
      <c r="C408" s="137"/>
      <c r="D408" s="136"/>
      <c r="E408" s="136"/>
      <c r="F408" s="136" t="str">
        <f>IF(B408="","",D408-SUMIFS(Issue!$D$3:$D993,Issue!$C$3:$C993,C408,Issue!$B$3:$B993,B408))</f>
        <v/>
      </c>
      <c r="G408" s="232"/>
    </row>
    <row r="409" spans="1:7">
      <c r="A409" s="136" t="str">
        <f t="shared" si="1"/>
        <v/>
      </c>
      <c r="B409" s="137"/>
      <c r="C409" s="137"/>
      <c r="D409" s="136"/>
      <c r="E409" s="136"/>
      <c r="F409" s="136" t="str">
        <f>IF(B409="","",D409-SUMIFS(Issue!$D$3:$D993,Issue!$C$3:$C993,C409,Issue!$B$3:$B993,B409))</f>
        <v/>
      </c>
      <c r="G409" s="232"/>
    </row>
    <row r="410" spans="1:7">
      <c r="A410" s="136" t="str">
        <f t="shared" si="1"/>
        <v/>
      </c>
      <c r="B410" s="137"/>
      <c r="C410" s="137"/>
      <c r="D410" s="136"/>
      <c r="E410" s="136"/>
      <c r="F410" s="136" t="str">
        <f>IF(B410="","",D410-SUMIFS(Issue!$D$3:$D993,Issue!$C$3:$C993,C410,Issue!$B$3:$B993,B410))</f>
        <v/>
      </c>
      <c r="G410" s="232"/>
    </row>
    <row r="411" spans="1:7">
      <c r="A411" s="136" t="str">
        <f t="shared" si="1"/>
        <v/>
      </c>
      <c r="B411" s="137"/>
      <c r="C411" s="137"/>
      <c r="D411" s="136"/>
      <c r="E411" s="136"/>
      <c r="F411" s="136" t="str">
        <f>IF(B411="","",D411-SUMIFS(Issue!$D$3:$D993,Issue!$C$3:$C993,C411,Issue!$B$3:$B993,B411))</f>
        <v/>
      </c>
      <c r="G411" s="232"/>
    </row>
    <row r="412" spans="1:7">
      <c r="A412" s="136" t="str">
        <f t="shared" si="1"/>
        <v/>
      </c>
      <c r="B412" s="137"/>
      <c r="C412" s="137"/>
      <c r="D412" s="136"/>
      <c r="E412" s="136"/>
      <c r="F412" s="136" t="str">
        <f>IF(B412="","",D412-SUMIFS(Issue!$D$3:$D993,Issue!$C$3:$C993,C412,Issue!$B$3:$B993,B412))</f>
        <v/>
      </c>
      <c r="G412" s="232"/>
    </row>
    <row r="413" spans="1:7">
      <c r="A413" s="136" t="str">
        <f t="shared" si="1"/>
        <v/>
      </c>
      <c r="B413" s="137"/>
      <c r="C413" s="137"/>
      <c r="D413" s="136"/>
      <c r="E413" s="136"/>
      <c r="F413" s="136" t="str">
        <f>IF(B413="","",D413-SUMIFS(Issue!$D$3:$D993,Issue!$C$3:$C993,C413,Issue!$B$3:$B993,B413))</f>
        <v/>
      </c>
      <c r="G413" s="232"/>
    </row>
    <row r="414" spans="1:7">
      <c r="A414" s="136" t="str">
        <f t="shared" si="1"/>
        <v/>
      </c>
      <c r="B414" s="137"/>
      <c r="C414" s="137"/>
      <c r="D414" s="136"/>
      <c r="E414" s="136"/>
      <c r="F414" s="136" t="str">
        <f>IF(B414="","",D414-SUMIFS(Issue!$D$3:$D993,Issue!$C$3:$C993,C414,Issue!$B$3:$B993,B414))</f>
        <v/>
      </c>
      <c r="G414" s="232"/>
    </row>
    <row r="415" spans="1:7">
      <c r="A415" s="136" t="str">
        <f t="shared" si="1"/>
        <v/>
      </c>
      <c r="B415" s="137"/>
      <c r="C415" s="137"/>
      <c r="D415" s="136"/>
      <c r="E415" s="136"/>
      <c r="F415" s="136" t="str">
        <f>IF(B415="","",D415-SUMIFS(Issue!$D$3:$D993,Issue!$C$3:$C993,C415,Issue!$B$3:$B993,B415))</f>
        <v/>
      </c>
      <c r="G415" s="232"/>
    </row>
    <row r="416" spans="1:7">
      <c r="A416" s="136" t="str">
        <f t="shared" si="1"/>
        <v/>
      </c>
      <c r="B416" s="137"/>
      <c r="C416" s="137"/>
      <c r="D416" s="136"/>
      <c r="E416" s="136"/>
      <c r="F416" s="136" t="str">
        <f>IF(B416="","",D416-SUMIFS(Issue!$D$3:$D993,Issue!$C$3:$C993,C416,Issue!$B$3:$B993,B416))</f>
        <v/>
      </c>
      <c r="G416" s="232"/>
    </row>
    <row r="417" spans="1:7">
      <c r="A417" s="136" t="str">
        <f t="shared" si="1"/>
        <v/>
      </c>
      <c r="B417" s="137"/>
      <c r="C417" s="137"/>
      <c r="D417" s="136"/>
      <c r="E417" s="136"/>
      <c r="F417" s="136" t="str">
        <f>IF(B417="","",D417-SUMIFS(Issue!$D$3:$D993,Issue!$C$3:$C993,C417,Issue!$B$3:$B993,B417))</f>
        <v/>
      </c>
      <c r="G417" s="232"/>
    </row>
    <row r="418" spans="1:7">
      <c r="A418" s="136" t="str">
        <f t="shared" si="1"/>
        <v/>
      </c>
      <c r="B418" s="137"/>
      <c r="C418" s="137"/>
      <c r="D418" s="136"/>
      <c r="E418" s="136"/>
      <c r="F418" s="136" t="str">
        <f>IF(B418="","",D418-SUMIFS(Issue!$D$3:$D993,Issue!$C$3:$C993,C418,Issue!$B$3:$B993,B418))</f>
        <v/>
      </c>
      <c r="G418" s="232"/>
    </row>
    <row r="419" spans="1:7">
      <c r="A419" s="136" t="str">
        <f t="shared" si="1"/>
        <v/>
      </c>
      <c r="B419" s="137"/>
      <c r="C419" s="137"/>
      <c r="D419" s="136"/>
      <c r="E419" s="136"/>
      <c r="F419" s="136" t="str">
        <f>IF(B419="","",D419-SUMIFS(Issue!$D$3:$D993,Issue!$C$3:$C993,C419,Issue!$B$3:$B993,B419))</f>
        <v/>
      </c>
      <c r="G419" s="232"/>
    </row>
    <row r="420" spans="1:7">
      <c r="A420" s="136" t="str">
        <f t="shared" si="1"/>
        <v/>
      </c>
      <c r="B420" s="137"/>
      <c r="C420" s="137"/>
      <c r="D420" s="136"/>
      <c r="E420" s="136"/>
      <c r="F420" s="136" t="str">
        <f>IF(B420="","",D420-SUMIFS(Issue!$D$3:$D993,Issue!$C$3:$C993,C420,Issue!$B$3:$B993,B420))</f>
        <v/>
      </c>
      <c r="G420" s="232"/>
    </row>
    <row r="421" spans="1:7">
      <c r="A421" s="136" t="str">
        <f t="shared" si="1"/>
        <v/>
      </c>
      <c r="B421" s="137"/>
      <c r="C421" s="137"/>
      <c r="D421" s="136"/>
      <c r="E421" s="136"/>
      <c r="F421" s="136" t="str">
        <f>IF(B421="","",D421-SUMIFS(Issue!$D$3:$D993,Issue!$C$3:$C993,C421,Issue!$B$3:$B993,B421))</f>
        <v/>
      </c>
      <c r="G421" s="232"/>
    </row>
    <row r="422" spans="1:7">
      <c r="A422" s="136" t="str">
        <f t="shared" si="1"/>
        <v/>
      </c>
      <c r="B422" s="137"/>
      <c r="C422" s="137"/>
      <c r="D422" s="136"/>
      <c r="E422" s="136"/>
      <c r="F422" s="136" t="str">
        <f>IF(B422="","",D422-SUMIFS(Issue!$D$3:$D993,Issue!$C$3:$C993,C422,Issue!$B$3:$B993,B422))</f>
        <v/>
      </c>
      <c r="G422" s="232"/>
    </row>
    <row r="423" spans="1:7">
      <c r="A423" s="136" t="str">
        <f t="shared" si="1"/>
        <v/>
      </c>
      <c r="B423" s="137"/>
      <c r="C423" s="137"/>
      <c r="D423" s="136"/>
      <c r="E423" s="136"/>
      <c r="F423" s="136" t="str">
        <f>IF(B423="","",D423-SUMIFS(Issue!$D$3:$D993,Issue!$C$3:$C993,C423,Issue!$B$3:$B993,B423))</f>
        <v/>
      </c>
      <c r="G423" s="232"/>
    </row>
    <row r="424" spans="1:7">
      <c r="A424" s="136" t="str">
        <f t="shared" si="1"/>
        <v/>
      </c>
      <c r="B424" s="137"/>
      <c r="C424" s="137"/>
      <c r="D424" s="136"/>
      <c r="E424" s="136"/>
      <c r="F424" s="136" t="str">
        <f>IF(B424="","",D424-SUMIFS(Issue!$D$3:$D993,Issue!$C$3:$C993,C424,Issue!$B$3:$B993,B424))</f>
        <v/>
      </c>
      <c r="G424" s="232"/>
    </row>
    <row r="425" spans="1:7">
      <c r="A425" s="136" t="str">
        <f t="shared" si="1"/>
        <v/>
      </c>
      <c r="B425" s="137"/>
      <c r="C425" s="137"/>
      <c r="D425" s="136"/>
      <c r="E425" s="136"/>
      <c r="F425" s="136" t="str">
        <f>IF(B425="","",D425-SUMIFS(Issue!$D$3:$D993,Issue!$C$3:$C993,C425,Issue!$B$3:$B993,B425))</f>
        <v/>
      </c>
      <c r="G425" s="232"/>
    </row>
    <row r="426" spans="1:7">
      <c r="A426" s="136" t="str">
        <f t="shared" si="1"/>
        <v/>
      </c>
      <c r="B426" s="137"/>
      <c r="C426" s="137"/>
      <c r="D426" s="136"/>
      <c r="E426" s="136"/>
      <c r="F426" s="136" t="str">
        <f>IF(B426="","",D426-SUMIFS(Issue!$D$3:$D993,Issue!$C$3:$C993,C426,Issue!$B$3:$B993,B426))</f>
        <v/>
      </c>
      <c r="G426" s="232"/>
    </row>
    <row r="427" spans="1:7">
      <c r="A427" s="136" t="str">
        <f t="shared" si="1"/>
        <v/>
      </c>
      <c r="B427" s="137"/>
      <c r="C427" s="137"/>
      <c r="D427" s="136"/>
      <c r="E427" s="136"/>
      <c r="F427" s="136" t="str">
        <f>IF(B427="","",D427-SUMIFS(Issue!$D$3:$D993,Issue!$C$3:$C993,C427,Issue!$B$3:$B993,B427))</f>
        <v/>
      </c>
      <c r="G427" s="232"/>
    </row>
    <row r="428" spans="1:7">
      <c r="A428" s="136" t="str">
        <f t="shared" si="1"/>
        <v/>
      </c>
      <c r="B428" s="137"/>
      <c r="C428" s="137"/>
      <c r="D428" s="136"/>
      <c r="E428" s="136"/>
      <c r="F428" s="136" t="str">
        <f>IF(B428="","",D428-SUMIFS(Issue!$D$3:$D993,Issue!$C$3:$C993,C428,Issue!$B$3:$B993,B428))</f>
        <v/>
      </c>
      <c r="G428" s="232"/>
    </row>
    <row r="429" spans="1:7">
      <c r="A429" s="136" t="str">
        <f t="shared" si="1"/>
        <v/>
      </c>
      <c r="B429" s="137"/>
      <c r="C429" s="137"/>
      <c r="D429" s="136"/>
      <c r="E429" s="136"/>
      <c r="F429" s="136" t="str">
        <f>IF(B429="","",D429-SUMIFS(Issue!$D$3:$D993,Issue!$C$3:$C993,C429,Issue!$B$3:$B993,B429))</f>
        <v/>
      </c>
      <c r="G429" s="232"/>
    </row>
    <row r="430" spans="1:7">
      <c r="A430" s="136" t="str">
        <f t="shared" si="1"/>
        <v/>
      </c>
      <c r="B430" s="137"/>
      <c r="C430" s="137"/>
      <c r="D430" s="136"/>
      <c r="E430" s="136"/>
      <c r="F430" s="136" t="str">
        <f>IF(B430="","",D430-SUMIFS(Issue!$D$3:$D993,Issue!$C$3:$C993,C430,Issue!$B$3:$B993,B430))</f>
        <v/>
      </c>
      <c r="G430" s="232"/>
    </row>
    <row r="431" spans="1:7">
      <c r="A431" s="136" t="str">
        <f t="shared" si="1"/>
        <v/>
      </c>
      <c r="B431" s="137"/>
      <c r="C431" s="137"/>
      <c r="D431" s="136"/>
      <c r="E431" s="136"/>
      <c r="F431" s="136" t="str">
        <f>IF(B431="","",D431-SUMIFS(Issue!$D$3:$D993,Issue!$C$3:$C993,C431,Issue!$B$3:$B993,B431))</f>
        <v/>
      </c>
      <c r="G431" s="232"/>
    </row>
    <row r="432" spans="1:7">
      <c r="A432" s="136" t="str">
        <f t="shared" si="1"/>
        <v/>
      </c>
      <c r="B432" s="137"/>
      <c r="C432" s="137"/>
      <c r="D432" s="136"/>
      <c r="E432" s="136"/>
      <c r="F432" s="136" t="str">
        <f>IF(B432="","",D432-SUMIFS(Issue!$D$3:$D993,Issue!$C$3:$C993,C432,Issue!$B$3:$B993,B432))</f>
        <v/>
      </c>
      <c r="G432" s="232"/>
    </row>
    <row r="433" spans="1:7">
      <c r="A433" s="136" t="str">
        <f t="shared" si="1"/>
        <v/>
      </c>
      <c r="B433" s="137"/>
      <c r="C433" s="137"/>
      <c r="D433" s="136"/>
      <c r="E433" s="136"/>
      <c r="F433" s="136" t="str">
        <f>IF(B433="","",D433-SUMIFS(Issue!$D$3:$D993,Issue!$C$3:$C993,C433,Issue!$B$3:$B993,B433))</f>
        <v/>
      </c>
      <c r="G433" s="232"/>
    </row>
    <row r="434" spans="1:7">
      <c r="A434" s="136" t="str">
        <f t="shared" si="1"/>
        <v/>
      </c>
      <c r="B434" s="137"/>
      <c r="C434" s="137"/>
      <c r="D434" s="136"/>
      <c r="E434" s="136"/>
      <c r="F434" s="136" t="str">
        <f>IF(B434="","",D434-SUMIFS(Issue!$D$3:$D993,Issue!$C$3:$C993,C434,Issue!$B$3:$B993,B434))</f>
        <v/>
      </c>
      <c r="G434" s="232"/>
    </row>
    <row r="435" spans="1:7">
      <c r="A435" s="136" t="str">
        <f t="shared" si="1"/>
        <v/>
      </c>
      <c r="B435" s="137"/>
      <c r="C435" s="137"/>
      <c r="D435" s="136"/>
      <c r="E435" s="136"/>
      <c r="F435" s="136" t="str">
        <f>IF(B435="","",D435-SUMIFS(Issue!$D$3:$D993,Issue!$C$3:$C993,C435,Issue!$B$3:$B993,B435))</f>
        <v/>
      </c>
      <c r="G435" s="232"/>
    </row>
    <row r="436" spans="1:7">
      <c r="A436" s="136" t="str">
        <f t="shared" si="1"/>
        <v/>
      </c>
      <c r="B436" s="137"/>
      <c r="C436" s="137"/>
      <c r="D436" s="136"/>
      <c r="E436" s="136"/>
      <c r="F436" s="136" t="str">
        <f>IF(B436="","",D436-SUMIFS(Issue!$D$3:$D993,Issue!$C$3:$C993,C436,Issue!$B$3:$B993,B436))</f>
        <v/>
      </c>
      <c r="G436" s="232"/>
    </row>
    <row r="437" spans="1:7">
      <c r="A437" s="136" t="str">
        <f t="shared" si="1"/>
        <v/>
      </c>
      <c r="B437" s="137"/>
      <c r="C437" s="137"/>
      <c r="D437" s="136"/>
      <c r="E437" s="136"/>
      <c r="F437" s="136" t="str">
        <f>IF(B437="","",D437-SUMIFS(Issue!$D$3:$D993,Issue!$C$3:$C993,C437,Issue!$B$3:$B993,B437))</f>
        <v/>
      </c>
      <c r="G437" s="232"/>
    </row>
    <row r="438" spans="1:7">
      <c r="A438" s="136" t="str">
        <f t="shared" si="1"/>
        <v/>
      </c>
      <c r="B438" s="137"/>
      <c r="C438" s="137"/>
      <c r="D438" s="136"/>
      <c r="E438" s="136"/>
      <c r="F438" s="136" t="str">
        <f>IF(B438="","",D438-SUMIFS(Issue!$D$3:$D993,Issue!$C$3:$C993,C438,Issue!$B$3:$B993,B438))</f>
        <v/>
      </c>
      <c r="G438" s="232"/>
    </row>
    <row r="439" spans="1:7">
      <c r="A439" s="136" t="str">
        <f t="shared" si="1"/>
        <v/>
      </c>
      <c r="B439" s="137"/>
      <c r="C439" s="137"/>
      <c r="D439" s="136"/>
      <c r="E439" s="136"/>
      <c r="F439" s="136" t="str">
        <f>IF(B439="","",D439-SUMIFS(Issue!$D$3:$D993,Issue!$C$3:$C993,C439,Issue!$B$3:$B993,B439))</f>
        <v/>
      </c>
      <c r="G439" s="232"/>
    </row>
    <row r="440" spans="1:7">
      <c r="A440" s="136" t="str">
        <f t="shared" si="1"/>
        <v/>
      </c>
      <c r="B440" s="137"/>
      <c r="C440" s="137"/>
      <c r="D440" s="136"/>
      <c r="E440" s="136"/>
      <c r="F440" s="136" t="str">
        <f>IF(B440="","",D440-SUMIFS(Issue!$D$3:$D993,Issue!$C$3:$C993,C440,Issue!$B$3:$B993,B440))</f>
        <v/>
      </c>
      <c r="G440" s="232"/>
    </row>
    <row r="441" spans="1:7">
      <c r="A441" s="136" t="str">
        <f t="shared" si="1"/>
        <v/>
      </c>
      <c r="B441" s="137"/>
      <c r="C441" s="137"/>
      <c r="D441" s="136"/>
      <c r="E441" s="136"/>
      <c r="F441" s="136" t="str">
        <f>IF(B441="","",D441-SUMIFS(Issue!$D$3:$D993,Issue!$C$3:$C993,C441,Issue!$B$3:$B993,B441))</f>
        <v/>
      </c>
      <c r="G441" s="232"/>
    </row>
    <row r="442" spans="1:7">
      <c r="A442" s="136" t="str">
        <f t="shared" si="1"/>
        <v/>
      </c>
      <c r="B442" s="137"/>
      <c r="C442" s="137"/>
      <c r="D442" s="136"/>
      <c r="E442" s="136"/>
      <c r="F442" s="136" t="str">
        <f>IF(B442="","",D442-SUMIFS(Issue!$D$3:$D993,Issue!$C$3:$C993,C442,Issue!$B$3:$B993,B442))</f>
        <v/>
      </c>
      <c r="G442" s="232"/>
    </row>
    <row r="443" spans="1:7">
      <c r="A443" s="136" t="str">
        <f t="shared" si="1"/>
        <v/>
      </c>
      <c r="B443" s="137"/>
      <c r="C443" s="137"/>
      <c r="D443" s="136"/>
      <c r="E443" s="136"/>
      <c r="F443" s="136" t="str">
        <f>IF(B443="","",D443-SUMIFS(Issue!$D$3:$D993,Issue!$C$3:$C993,C443,Issue!$B$3:$B993,B443))</f>
        <v/>
      </c>
      <c r="G443" s="232"/>
    </row>
    <row r="444" spans="1:7">
      <c r="A444" s="136" t="str">
        <f t="shared" si="1"/>
        <v/>
      </c>
      <c r="B444" s="137"/>
      <c r="C444" s="137"/>
      <c r="D444" s="136"/>
      <c r="E444" s="136"/>
      <c r="F444" s="136" t="str">
        <f>IF(B444="","",D444-SUMIFS(Issue!$D$3:$D993,Issue!$C$3:$C993,C444,Issue!$B$3:$B993,B444))</f>
        <v/>
      </c>
      <c r="G444" s="232"/>
    </row>
    <row r="445" spans="1:7">
      <c r="A445" s="136" t="str">
        <f t="shared" si="1"/>
        <v/>
      </c>
      <c r="B445" s="137"/>
      <c r="C445" s="137"/>
      <c r="D445" s="136"/>
      <c r="E445" s="136"/>
      <c r="F445" s="136" t="str">
        <f>IF(B445="","",D445-SUMIFS(Issue!$D$3:$D993,Issue!$C$3:$C993,C445,Issue!$B$3:$B993,B445))</f>
        <v/>
      </c>
      <c r="G445" s="232"/>
    </row>
    <row r="446" spans="1:7">
      <c r="A446" s="136" t="str">
        <f t="shared" si="1"/>
        <v/>
      </c>
      <c r="B446" s="137"/>
      <c r="C446" s="137"/>
      <c r="D446" s="136"/>
      <c r="E446" s="136"/>
      <c r="F446" s="136" t="str">
        <f>IF(B446="","",D446-SUMIFS(Issue!$D$3:$D993,Issue!$C$3:$C993,C446,Issue!$B$3:$B993,B446))</f>
        <v/>
      </c>
      <c r="G446" s="232"/>
    </row>
    <row r="447" spans="1:7">
      <c r="A447" s="136" t="str">
        <f t="shared" si="1"/>
        <v/>
      </c>
      <c r="B447" s="137"/>
      <c r="C447" s="137"/>
      <c r="D447" s="136"/>
      <c r="E447" s="136"/>
      <c r="F447" s="136" t="str">
        <f>IF(B447="","",D447-SUMIFS(Issue!$D$3:$D993,Issue!$C$3:$C993,C447,Issue!$B$3:$B993,B447))</f>
        <v/>
      </c>
      <c r="G447" s="232"/>
    </row>
    <row r="448" spans="1:7">
      <c r="A448" s="136" t="str">
        <f t="shared" si="1"/>
        <v/>
      </c>
      <c r="B448" s="137"/>
      <c r="C448" s="137"/>
      <c r="D448" s="136"/>
      <c r="E448" s="136"/>
      <c r="F448" s="136" t="str">
        <f>IF(B448="","",D448-SUMIFS(Issue!$D$3:$D993,Issue!$C$3:$C993,C448,Issue!$B$3:$B993,B448))</f>
        <v/>
      </c>
      <c r="G448" s="232"/>
    </row>
    <row r="449" spans="1:7">
      <c r="A449" s="136" t="str">
        <f t="shared" si="1"/>
        <v/>
      </c>
      <c r="B449" s="137"/>
      <c r="C449" s="137"/>
      <c r="D449" s="136"/>
      <c r="E449" s="136"/>
      <c r="F449" s="136" t="str">
        <f>IF(B449="","",D449-SUMIFS(Issue!$D$3:$D993,Issue!$C$3:$C993,C449,Issue!$B$3:$B993,B449))</f>
        <v/>
      </c>
      <c r="G449" s="232"/>
    </row>
    <row r="450" spans="1:7">
      <c r="A450" s="136" t="str">
        <f t="shared" si="1"/>
        <v/>
      </c>
      <c r="B450" s="137"/>
      <c r="C450" s="137"/>
      <c r="D450" s="136"/>
      <c r="E450" s="136"/>
      <c r="F450" s="136" t="str">
        <f>IF(B450="","",D450-SUMIFS(Issue!$D$3:$D993,Issue!$C$3:$C993,C450,Issue!$B$3:$B993,B450))</f>
        <v/>
      </c>
      <c r="G450" s="232"/>
    </row>
    <row r="451" spans="1:7">
      <c r="A451" s="136" t="str">
        <f t="shared" si="1"/>
        <v/>
      </c>
      <c r="B451" s="137"/>
      <c r="C451" s="137"/>
      <c r="D451" s="136"/>
      <c r="E451" s="136"/>
      <c r="F451" s="136" t="str">
        <f>IF(B451="","",D451-SUMIFS(Issue!$D$3:$D993,Issue!$C$3:$C993,C451,Issue!$B$3:$B993,B451))</f>
        <v/>
      </c>
      <c r="G451" s="232"/>
    </row>
    <row r="452" spans="1:7">
      <c r="A452" s="136" t="str">
        <f t="shared" si="1"/>
        <v/>
      </c>
      <c r="B452" s="137"/>
      <c r="C452" s="137"/>
      <c r="D452" s="136"/>
      <c r="E452" s="136"/>
      <c r="F452" s="136" t="str">
        <f>IF(B452="","",D452-SUMIFS(Issue!$D$3:$D993,Issue!$C$3:$C993,C452,Issue!$B$3:$B993,B452))</f>
        <v/>
      </c>
      <c r="G452" s="232"/>
    </row>
    <row r="453" spans="1:7">
      <c r="A453" s="136" t="str">
        <f t="shared" si="1"/>
        <v/>
      </c>
      <c r="B453" s="137"/>
      <c r="C453" s="137"/>
      <c r="D453" s="136"/>
      <c r="E453" s="136"/>
      <c r="F453" s="136" t="str">
        <f>IF(B453="","",D453-SUMIFS(Issue!$D$3:$D993,Issue!$C$3:$C993,C453,Issue!$B$3:$B993,B453))</f>
        <v/>
      </c>
      <c r="G453" s="232"/>
    </row>
    <row r="454" spans="1:7">
      <c r="A454" s="136" t="str">
        <f t="shared" si="1"/>
        <v/>
      </c>
      <c r="B454" s="137"/>
      <c r="C454" s="137"/>
      <c r="D454" s="136"/>
      <c r="E454" s="136"/>
      <c r="F454" s="136" t="str">
        <f>IF(B454="","",D454-SUMIFS(Issue!$D$3:$D993,Issue!$C$3:$C993,C454,Issue!$B$3:$B993,B454))</f>
        <v/>
      </c>
      <c r="G454" s="232"/>
    </row>
    <row r="455" spans="1:7">
      <c r="A455" s="136" t="str">
        <f t="shared" si="1"/>
        <v/>
      </c>
      <c r="B455" s="137"/>
      <c r="C455" s="137"/>
      <c r="D455" s="136"/>
      <c r="E455" s="136"/>
      <c r="F455" s="136" t="str">
        <f>IF(B455="","",D455-SUMIFS(Issue!$D$3:$D993,Issue!$C$3:$C993,C455,Issue!$B$3:$B993,B455))</f>
        <v/>
      </c>
      <c r="G455" s="232"/>
    </row>
    <row r="456" spans="1:7">
      <c r="A456" s="136" t="str">
        <f t="shared" si="1"/>
        <v/>
      </c>
      <c r="B456" s="137"/>
      <c r="C456" s="137"/>
      <c r="D456" s="136"/>
      <c r="E456" s="136"/>
      <c r="F456" s="136" t="str">
        <f>IF(B456="","",D456-SUMIFS(Issue!$D$3:$D993,Issue!$C$3:$C993,C456,Issue!$B$3:$B993,B456))</f>
        <v/>
      </c>
      <c r="G456" s="232"/>
    </row>
    <row r="457" spans="1:7">
      <c r="A457" s="136" t="str">
        <f t="shared" si="1"/>
        <v/>
      </c>
      <c r="B457" s="137"/>
      <c r="C457" s="137"/>
      <c r="D457" s="136"/>
      <c r="E457" s="136"/>
      <c r="F457" s="136" t="str">
        <f>IF(B457="","",D457-SUMIFS(Issue!$D$3:$D993,Issue!$C$3:$C993,C457,Issue!$B$3:$B993,B457))</f>
        <v/>
      </c>
      <c r="G457" s="232"/>
    </row>
    <row r="458" spans="1:7">
      <c r="A458" s="136" t="str">
        <f t="shared" si="1"/>
        <v/>
      </c>
      <c r="B458" s="137"/>
      <c r="C458" s="137"/>
      <c r="D458" s="136"/>
      <c r="E458" s="136"/>
      <c r="F458" s="136" t="str">
        <f>IF(B458="","",D458-SUMIFS(Issue!$D$3:$D993,Issue!$C$3:$C993,C458,Issue!$B$3:$B993,B458))</f>
        <v/>
      </c>
      <c r="G458" s="232"/>
    </row>
    <row r="459" spans="1:7">
      <c r="A459" s="136" t="str">
        <f t="shared" si="1"/>
        <v/>
      </c>
      <c r="B459" s="137"/>
      <c r="C459" s="137"/>
      <c r="D459" s="136"/>
      <c r="E459" s="136"/>
      <c r="F459" s="136" t="str">
        <f>IF(B459="","",D459-SUMIFS(Issue!$D$3:$D993,Issue!$C$3:$C993,C459,Issue!$B$3:$B993,B459))</f>
        <v/>
      </c>
      <c r="G459" s="232"/>
    </row>
    <row r="460" spans="1:7">
      <c r="A460" s="136" t="str">
        <f t="shared" si="1"/>
        <v/>
      </c>
      <c r="B460" s="137"/>
      <c r="C460" s="137"/>
      <c r="D460" s="136"/>
      <c r="E460" s="136"/>
      <c r="F460" s="136" t="str">
        <f>IF(B460="","",D460-SUMIFS(Issue!$D$3:$D993,Issue!$C$3:$C993,C460,Issue!$B$3:$B993,B460))</f>
        <v/>
      </c>
      <c r="G460" s="232"/>
    </row>
    <row r="461" spans="1:7">
      <c r="A461" s="136" t="str">
        <f t="shared" si="1"/>
        <v/>
      </c>
      <c r="B461" s="137"/>
      <c r="C461" s="137"/>
      <c r="D461" s="136"/>
      <c r="E461" s="136"/>
      <c r="F461" s="136" t="str">
        <f>IF(B461="","",D461-SUMIFS(Issue!$D$3:$D993,Issue!$C$3:$C993,C461,Issue!$B$3:$B993,B461))</f>
        <v/>
      </c>
      <c r="G461" s="232"/>
    </row>
    <row r="462" spans="1:7">
      <c r="A462" s="136" t="str">
        <f t="shared" si="1"/>
        <v/>
      </c>
      <c r="B462" s="137"/>
      <c r="C462" s="137"/>
      <c r="D462" s="136"/>
      <c r="E462" s="136"/>
      <c r="F462" s="136" t="str">
        <f>IF(B462="","",D462-SUMIFS(Issue!$D$3:$D993,Issue!$C$3:$C993,C462,Issue!$B$3:$B993,B462))</f>
        <v/>
      </c>
      <c r="G462" s="232"/>
    </row>
    <row r="463" spans="1:7">
      <c r="A463" s="136" t="str">
        <f t="shared" si="1"/>
        <v/>
      </c>
      <c r="B463" s="137"/>
      <c r="C463" s="137"/>
      <c r="D463" s="136"/>
      <c r="E463" s="136"/>
      <c r="F463" s="136" t="str">
        <f>IF(B463="","",D463-SUMIFS(Issue!$D$3:$D993,Issue!$C$3:$C993,C463,Issue!$B$3:$B993,B463))</f>
        <v/>
      </c>
      <c r="G463" s="232"/>
    </row>
    <row r="464" spans="1:7">
      <c r="A464" s="136" t="str">
        <f t="shared" si="1"/>
        <v/>
      </c>
      <c r="B464" s="137"/>
      <c r="C464" s="137"/>
      <c r="D464" s="136"/>
      <c r="E464" s="136"/>
      <c r="F464" s="136" t="str">
        <f>IF(B464="","",D464-SUMIFS(Issue!$D$3:$D993,Issue!$C$3:$C993,C464,Issue!$B$3:$B993,B464))</f>
        <v/>
      </c>
      <c r="G464" s="232"/>
    </row>
    <row r="465" spans="1:7">
      <c r="A465" s="136" t="str">
        <f t="shared" si="1"/>
        <v/>
      </c>
      <c r="B465" s="137"/>
      <c r="C465" s="137"/>
      <c r="D465" s="136"/>
      <c r="E465" s="136"/>
      <c r="F465" s="136" t="str">
        <f>IF(B465="","",D465-SUMIFS(Issue!$D$3:$D993,Issue!$C$3:$C993,C465,Issue!$B$3:$B993,B465))</f>
        <v/>
      </c>
      <c r="G465" s="232"/>
    </row>
    <row r="466" spans="1:7">
      <c r="A466" s="136" t="str">
        <f t="shared" si="1"/>
        <v/>
      </c>
      <c r="B466" s="137"/>
      <c r="C466" s="137"/>
      <c r="D466" s="136"/>
      <c r="E466" s="136"/>
      <c r="F466" s="136" t="str">
        <f>IF(B466="","",D466-SUMIFS(Issue!$D$3:$D993,Issue!$C$3:$C993,C466,Issue!$B$3:$B993,B466))</f>
        <v/>
      </c>
      <c r="G466" s="232"/>
    </row>
    <row r="467" spans="1:7">
      <c r="A467" s="136" t="str">
        <f t="shared" si="1"/>
        <v/>
      </c>
      <c r="B467" s="137"/>
      <c r="C467" s="137"/>
      <c r="D467" s="136"/>
      <c r="E467" s="136"/>
      <c r="F467" s="136" t="str">
        <f>IF(B467="","",D467-SUMIFS(Issue!$D$3:$D993,Issue!$C$3:$C993,C467,Issue!$B$3:$B993,B467))</f>
        <v/>
      </c>
      <c r="G467" s="232"/>
    </row>
    <row r="468" spans="1:7">
      <c r="A468" s="136" t="str">
        <f t="shared" si="1"/>
        <v/>
      </c>
      <c r="B468" s="137"/>
      <c r="C468" s="137"/>
      <c r="D468" s="136"/>
      <c r="E468" s="136"/>
      <c r="F468" s="136" t="str">
        <f>IF(B468="","",D468-SUMIFS(Issue!$D$3:$D993,Issue!$C$3:$C993,C468,Issue!$B$3:$B993,B468))</f>
        <v/>
      </c>
      <c r="G468" s="232"/>
    </row>
    <row r="469" spans="1:7">
      <c r="A469" s="136" t="str">
        <f t="shared" si="1"/>
        <v/>
      </c>
      <c r="B469" s="137"/>
      <c r="C469" s="137"/>
      <c r="D469" s="136"/>
      <c r="E469" s="136"/>
      <c r="F469" s="136" t="str">
        <f>IF(B469="","",D469-SUMIFS(Issue!$D$3:$D993,Issue!$C$3:$C993,C469,Issue!$B$3:$B993,B469))</f>
        <v/>
      </c>
      <c r="G469" s="232"/>
    </row>
    <row r="470" spans="1:7">
      <c r="A470" s="136" t="str">
        <f t="shared" si="1"/>
        <v/>
      </c>
      <c r="B470" s="137"/>
      <c r="C470" s="137"/>
      <c r="D470" s="136"/>
      <c r="E470" s="136"/>
      <c r="F470" s="136" t="str">
        <f>IF(B470="","",D470-SUMIFS(Issue!$D$3:$D993,Issue!$C$3:$C993,C470,Issue!$B$3:$B993,B470))</f>
        <v/>
      </c>
      <c r="G470" s="232"/>
    </row>
    <row r="471" spans="1:7">
      <c r="A471" s="136" t="str">
        <f t="shared" si="1"/>
        <v/>
      </c>
      <c r="B471" s="137"/>
      <c r="C471" s="137"/>
      <c r="D471" s="136"/>
      <c r="E471" s="136"/>
      <c r="F471" s="136" t="str">
        <f>IF(B471="","",D471-SUMIFS(Issue!$D$3:$D993,Issue!$C$3:$C993,C471,Issue!$B$3:$B993,B471))</f>
        <v/>
      </c>
      <c r="G471" s="232"/>
    </row>
    <row r="472" spans="1:7">
      <c r="A472" s="136" t="str">
        <f t="shared" si="1"/>
        <v/>
      </c>
      <c r="B472" s="137"/>
      <c r="C472" s="137"/>
      <c r="D472" s="136"/>
      <c r="E472" s="136"/>
      <c r="F472" s="136" t="str">
        <f>IF(B472="","",D472-SUMIFS(Issue!$D$3:$D993,Issue!$C$3:$C993,C472,Issue!$B$3:$B993,B472))</f>
        <v/>
      </c>
      <c r="G472" s="232"/>
    </row>
    <row r="473" spans="1:7">
      <c r="A473" s="136" t="str">
        <f t="shared" si="1"/>
        <v/>
      </c>
      <c r="B473" s="137"/>
      <c r="C473" s="137"/>
      <c r="D473" s="136"/>
      <c r="E473" s="136"/>
      <c r="F473" s="136" t="str">
        <f>IF(B473="","",D473-SUMIFS(Issue!$D$3:$D993,Issue!$C$3:$C993,C473,Issue!$B$3:$B993,B473))</f>
        <v/>
      </c>
      <c r="G473" s="232"/>
    </row>
    <row r="474" spans="1:7">
      <c r="A474" s="136" t="str">
        <f t="shared" si="1"/>
        <v/>
      </c>
      <c r="B474" s="137"/>
      <c r="C474" s="137"/>
      <c r="D474" s="136"/>
      <c r="E474" s="136"/>
      <c r="F474" s="136" t="str">
        <f>IF(B474="","",D474-SUMIFS(Issue!$D$3:$D993,Issue!$C$3:$C993,C474,Issue!$B$3:$B993,B474))</f>
        <v/>
      </c>
      <c r="G474" s="232"/>
    </row>
    <row r="475" spans="1:7">
      <c r="A475" s="136" t="str">
        <f t="shared" si="1"/>
        <v/>
      </c>
      <c r="B475" s="137"/>
      <c r="C475" s="137"/>
      <c r="D475" s="136"/>
      <c r="E475" s="136"/>
      <c r="F475" s="136" t="str">
        <f>IF(B475="","",D475-SUMIFS(Issue!$D$3:$D993,Issue!$C$3:$C993,C475,Issue!$B$3:$B993,B475))</f>
        <v/>
      </c>
      <c r="G475" s="232"/>
    </row>
    <row r="476" spans="1:7">
      <c r="A476" s="136" t="str">
        <f t="shared" si="1"/>
        <v/>
      </c>
      <c r="B476" s="137"/>
      <c r="C476" s="137"/>
      <c r="D476" s="136"/>
      <c r="E476" s="136"/>
      <c r="F476" s="136" t="str">
        <f>IF(B476="","",D476-SUMIFS(Issue!$D$3:$D993,Issue!$C$3:$C993,C476,Issue!$B$3:$B993,B476))</f>
        <v/>
      </c>
      <c r="G476" s="232"/>
    </row>
    <row r="477" spans="1:7">
      <c r="A477" s="136" t="str">
        <f t="shared" si="1"/>
        <v/>
      </c>
      <c r="B477" s="137"/>
      <c r="C477" s="137"/>
      <c r="D477" s="136"/>
      <c r="E477" s="136"/>
      <c r="F477" s="136" t="str">
        <f>IF(B477="","",D477-SUMIFS(Issue!$D$3:$D993,Issue!$C$3:$C993,C477,Issue!$B$3:$B993,B477))</f>
        <v/>
      </c>
      <c r="G477" s="232"/>
    </row>
    <row r="478" spans="1:7">
      <c r="A478" s="136" t="str">
        <f t="shared" si="1"/>
        <v/>
      </c>
      <c r="B478" s="137"/>
      <c r="C478" s="137"/>
      <c r="D478" s="136"/>
      <c r="E478" s="136"/>
      <c r="F478" s="136" t="str">
        <f>IF(B478="","",D478-SUMIFS(Issue!$D$3:$D993,Issue!$C$3:$C993,C478,Issue!$B$3:$B993,B478))</f>
        <v/>
      </c>
      <c r="G478" s="232"/>
    </row>
    <row r="479" spans="1:7">
      <c r="A479" s="136" t="str">
        <f t="shared" si="1"/>
        <v/>
      </c>
      <c r="B479" s="137"/>
      <c r="C479" s="137"/>
      <c r="D479" s="136"/>
      <c r="E479" s="136"/>
      <c r="F479" s="136" t="str">
        <f>IF(B479="","",D479-SUMIFS(Issue!$D$3:$D993,Issue!$C$3:$C993,C479,Issue!$B$3:$B993,B479))</f>
        <v/>
      </c>
      <c r="G479" s="232"/>
    </row>
    <row r="480" spans="1:7">
      <c r="A480" s="136" t="str">
        <f t="shared" si="1"/>
        <v/>
      </c>
      <c r="B480" s="137"/>
      <c r="C480" s="137"/>
      <c r="D480" s="136"/>
      <c r="E480" s="136"/>
      <c r="F480" s="136" t="str">
        <f>IF(B480="","",D480-SUMIFS(Issue!$D$3:$D993,Issue!$C$3:$C993,C480,Issue!$B$3:$B993,B480))</f>
        <v/>
      </c>
      <c r="G480" s="232"/>
    </row>
    <row r="481" spans="1:7">
      <c r="A481" s="136" t="str">
        <f t="shared" si="1"/>
        <v/>
      </c>
      <c r="B481" s="137"/>
      <c r="C481" s="137"/>
      <c r="D481" s="136"/>
      <c r="E481" s="136"/>
      <c r="F481" s="136" t="str">
        <f>IF(B481="","",D481-SUMIFS(Issue!$D$3:$D993,Issue!$C$3:$C993,C481,Issue!$B$3:$B993,B481))</f>
        <v/>
      </c>
      <c r="G481" s="232"/>
    </row>
    <row r="482" spans="1:7">
      <c r="A482" s="136" t="str">
        <f t="shared" si="1"/>
        <v/>
      </c>
      <c r="B482" s="137"/>
      <c r="C482" s="137"/>
      <c r="D482" s="136"/>
      <c r="E482" s="136"/>
      <c r="F482" s="136" t="str">
        <f>IF(B482="","",D482-SUMIFS(Issue!$D$3:$D993,Issue!$C$3:$C993,C482,Issue!$B$3:$B993,B482))</f>
        <v/>
      </c>
      <c r="G482" s="232"/>
    </row>
    <row r="483" spans="1:7">
      <c r="A483" s="136" t="str">
        <f t="shared" si="1"/>
        <v/>
      </c>
      <c r="B483" s="137"/>
      <c r="C483" s="137"/>
      <c r="D483" s="136"/>
      <c r="E483" s="136"/>
      <c r="F483" s="136" t="str">
        <f>IF(B483="","",D483-SUMIFS(Issue!$D$3:$D993,Issue!$C$3:$C993,C483,Issue!$B$3:$B993,B483))</f>
        <v/>
      </c>
      <c r="G483" s="232"/>
    </row>
    <row r="484" spans="1:7">
      <c r="A484" s="136" t="str">
        <f t="shared" si="1"/>
        <v/>
      </c>
      <c r="B484" s="137"/>
      <c r="C484" s="137"/>
      <c r="D484" s="136"/>
      <c r="E484" s="136"/>
      <c r="F484" s="136" t="str">
        <f>IF(B484="","",D484-SUMIFS(Issue!$D$3:$D993,Issue!$C$3:$C993,C484,Issue!$B$3:$B993,B484))</f>
        <v/>
      </c>
      <c r="G484" s="232"/>
    </row>
    <row r="485" spans="1:7">
      <c r="A485" s="136" t="str">
        <f t="shared" si="1"/>
        <v/>
      </c>
      <c r="B485" s="137"/>
      <c r="C485" s="137"/>
      <c r="D485" s="136"/>
      <c r="E485" s="136"/>
      <c r="F485" s="136" t="str">
        <f>IF(B485="","",D485-SUMIFS(Issue!$D$3:$D993,Issue!$C$3:$C993,C485,Issue!$B$3:$B993,B485))</f>
        <v/>
      </c>
      <c r="G485" s="232"/>
    </row>
    <row r="486" spans="1:7">
      <c r="A486" s="136" t="str">
        <f t="shared" si="1"/>
        <v/>
      </c>
      <c r="B486" s="137"/>
      <c r="C486" s="137"/>
      <c r="D486" s="136"/>
      <c r="E486" s="136"/>
      <c r="F486" s="136" t="str">
        <f>IF(B486="","",D486-SUMIFS(Issue!$D$3:$D993,Issue!$C$3:$C993,C486,Issue!$B$3:$B993,B486))</f>
        <v/>
      </c>
      <c r="G486" s="232"/>
    </row>
    <row r="487" spans="1:7">
      <c r="A487" s="136" t="str">
        <f t="shared" si="1"/>
        <v/>
      </c>
      <c r="B487" s="137"/>
      <c r="C487" s="137"/>
      <c r="D487" s="136"/>
      <c r="E487" s="136"/>
      <c r="F487" s="136" t="str">
        <f>IF(B487="","",D487-SUMIFS(Issue!$D$3:$D993,Issue!$C$3:$C993,C487,Issue!$B$3:$B993,B487))</f>
        <v/>
      </c>
      <c r="G487" s="232"/>
    </row>
    <row r="488" spans="1:7">
      <c r="A488" s="136" t="str">
        <f t="shared" si="1"/>
        <v/>
      </c>
      <c r="B488" s="137"/>
      <c r="C488" s="137"/>
      <c r="D488" s="136"/>
      <c r="E488" s="136"/>
      <c r="F488" s="136" t="str">
        <f>IF(B488="","",D488-SUMIFS(Issue!$D$3:$D993,Issue!$C$3:$C993,C488,Issue!$B$3:$B993,B488))</f>
        <v/>
      </c>
      <c r="G488" s="232"/>
    </row>
    <row r="489" spans="1:7">
      <c r="A489" s="136" t="str">
        <f t="shared" si="1"/>
        <v/>
      </c>
      <c r="B489" s="137"/>
      <c r="C489" s="137"/>
      <c r="D489" s="136"/>
      <c r="E489" s="136"/>
      <c r="F489" s="136" t="str">
        <f>IF(B489="","",D489-SUMIFS(Issue!$D$3:$D993,Issue!$C$3:$C993,C489,Issue!$B$3:$B993,B489))</f>
        <v/>
      </c>
      <c r="G489" s="232"/>
    </row>
    <row r="490" spans="1:7">
      <c r="A490" s="136" t="str">
        <f t="shared" si="1"/>
        <v/>
      </c>
      <c r="B490" s="137"/>
      <c r="C490" s="137"/>
      <c r="D490" s="136"/>
      <c r="E490" s="136"/>
      <c r="F490" s="136" t="str">
        <f>IF(B490="","",D490-SUMIFS(Issue!$D$3:$D993,Issue!$C$3:$C993,C490,Issue!$B$3:$B993,B490))</f>
        <v/>
      </c>
      <c r="G490" s="232"/>
    </row>
    <row r="491" spans="1:7">
      <c r="A491" s="136" t="str">
        <f t="shared" si="1"/>
        <v/>
      </c>
      <c r="B491" s="137"/>
      <c r="C491" s="137"/>
      <c r="D491" s="136"/>
      <c r="E491" s="136"/>
      <c r="F491" s="136" t="str">
        <f>IF(B491="","",D491-SUMIFS(Issue!$D$3:$D993,Issue!$C$3:$C993,C491,Issue!$B$3:$B993,B491))</f>
        <v/>
      </c>
      <c r="G491" s="232"/>
    </row>
    <row r="492" spans="1:7">
      <c r="A492" s="136" t="str">
        <f t="shared" si="1"/>
        <v/>
      </c>
      <c r="B492" s="137"/>
      <c r="C492" s="137"/>
      <c r="D492" s="136"/>
      <c r="E492" s="136"/>
      <c r="F492" s="136" t="str">
        <f>IF(B492="","",D492-SUMIFS(Issue!$D$3:$D993,Issue!$C$3:$C993,C492,Issue!$B$3:$B993,B492))</f>
        <v/>
      </c>
      <c r="G492" s="232"/>
    </row>
    <row r="493" spans="1:7">
      <c r="A493" s="136" t="str">
        <f t="shared" si="1"/>
        <v/>
      </c>
      <c r="B493" s="137"/>
      <c r="C493" s="137"/>
      <c r="D493" s="136"/>
      <c r="E493" s="136"/>
      <c r="F493" s="136" t="str">
        <f>IF(B493="","",D493-SUMIFS(Issue!$D$3:$D993,Issue!$C$3:$C993,C493,Issue!$B$3:$B993,B493))</f>
        <v/>
      </c>
      <c r="G493" s="232"/>
    </row>
    <row r="494" spans="1:7">
      <c r="A494" s="136" t="str">
        <f t="shared" si="1"/>
        <v/>
      </c>
      <c r="B494" s="137"/>
      <c r="C494" s="137"/>
      <c r="D494" s="136"/>
      <c r="E494" s="136"/>
      <c r="F494" s="136" t="str">
        <f>IF(B494="","",D494-SUMIFS(Issue!$D$3:$D993,Issue!$C$3:$C993,C494,Issue!$B$3:$B993,B494))</f>
        <v/>
      </c>
      <c r="G494" s="232"/>
    </row>
    <row r="495" spans="1:7">
      <c r="A495" s="136" t="str">
        <f t="shared" si="1"/>
        <v/>
      </c>
      <c r="B495" s="137"/>
      <c r="C495" s="137"/>
      <c r="D495" s="136"/>
      <c r="E495" s="136"/>
      <c r="F495" s="136" t="str">
        <f>IF(B495="","",D495-SUMIFS(Issue!$D$3:$D993,Issue!$C$3:$C993,C495,Issue!$B$3:$B993,B495))</f>
        <v/>
      </c>
      <c r="G495" s="232"/>
    </row>
    <row r="496" spans="1:7">
      <c r="A496" s="136" t="str">
        <f t="shared" si="1"/>
        <v/>
      </c>
      <c r="B496" s="137"/>
      <c r="C496" s="137"/>
      <c r="D496" s="136"/>
      <c r="E496" s="136"/>
      <c r="F496" s="136" t="str">
        <f>IF(B496="","",D496-SUMIFS(Issue!$D$3:$D993,Issue!$C$3:$C993,C496,Issue!$B$3:$B993,B496))</f>
        <v/>
      </c>
      <c r="G496" s="232"/>
    </row>
    <row r="497" spans="1:7">
      <c r="A497" s="136" t="str">
        <f t="shared" si="1"/>
        <v/>
      </c>
      <c r="B497" s="137"/>
      <c r="C497" s="137"/>
      <c r="D497" s="136"/>
      <c r="E497" s="136"/>
      <c r="F497" s="136" t="str">
        <f>IF(B497="","",D497-SUMIFS(Issue!$D$3:$D993,Issue!$C$3:$C993,C497,Issue!$B$3:$B993,B497))</f>
        <v/>
      </c>
      <c r="G497" s="232"/>
    </row>
    <row r="498" spans="1:7">
      <c r="A498" s="136" t="str">
        <f t="shared" si="1"/>
        <v/>
      </c>
      <c r="B498" s="137"/>
      <c r="C498" s="137"/>
      <c r="D498" s="136"/>
      <c r="E498" s="136"/>
      <c r="F498" s="136" t="str">
        <f>IF(B498="","",D498-SUMIFS(Issue!$D$3:$D993,Issue!$C$3:$C993,C498,Issue!$B$3:$B993,B498))</f>
        <v/>
      </c>
      <c r="G498" s="232"/>
    </row>
    <row r="499" spans="1:7">
      <c r="A499" s="136" t="str">
        <f t="shared" si="1"/>
        <v/>
      </c>
      <c r="B499" s="137"/>
      <c r="C499" s="137"/>
      <c r="D499" s="136"/>
      <c r="E499" s="136"/>
      <c r="F499" s="136" t="str">
        <f>IF(B499="","",D499-SUMIFS(Issue!$D$3:$D993,Issue!$C$3:$C993,C499,Issue!$B$3:$B993,B499))</f>
        <v/>
      </c>
      <c r="G499" s="232"/>
    </row>
    <row r="500" spans="1:7">
      <c r="A500" s="136" t="str">
        <f t="shared" si="1"/>
        <v/>
      </c>
      <c r="B500" s="137"/>
      <c r="C500" s="137"/>
      <c r="D500" s="136"/>
      <c r="E500" s="136"/>
      <c r="F500" s="136" t="str">
        <f>IF(B500="","",D500-SUMIFS(Issue!$D$3:$D993,Issue!$C$3:$C993,C500,Issue!$B$3:$B993,B500))</f>
        <v/>
      </c>
      <c r="G500" s="232"/>
    </row>
    <row r="501" spans="1:7">
      <c r="A501" s="136" t="str">
        <f t="shared" si="1"/>
        <v/>
      </c>
      <c r="B501" s="137"/>
      <c r="C501" s="137"/>
      <c r="D501" s="136"/>
      <c r="E501" s="136"/>
      <c r="F501" s="136" t="str">
        <f>IF(B501="","",D501-SUMIFS(Issue!$D$3:$D993,Issue!$C$3:$C993,C501,Issue!$B$3:$B993,B501))</f>
        <v/>
      </c>
      <c r="G501" s="232"/>
    </row>
    <row r="502" spans="1:7">
      <c r="A502" s="136" t="str">
        <f t="shared" si="1"/>
        <v/>
      </c>
      <c r="B502" s="137"/>
      <c r="C502" s="137"/>
      <c r="D502" s="136"/>
      <c r="E502" s="136"/>
      <c r="F502" s="136" t="str">
        <f>IF(B502="","",D502-SUMIFS(Issue!$D$3:$D993,Issue!$C$3:$C993,C502,Issue!$B$3:$B993,B502))</f>
        <v/>
      </c>
      <c r="G502" s="232"/>
    </row>
    <row r="503" spans="1:7">
      <c r="A503" s="136" t="str">
        <f t="shared" si="1"/>
        <v/>
      </c>
      <c r="B503" s="137"/>
      <c r="C503" s="137"/>
      <c r="D503" s="136"/>
      <c r="E503" s="136"/>
      <c r="F503" s="136" t="str">
        <f>IF(B503="","",D503-SUMIFS(Issue!$D$3:$D993,Issue!$C$3:$C993,C503,Issue!$B$3:$B993,B503))</f>
        <v/>
      </c>
      <c r="G503" s="232"/>
    </row>
    <row r="504" spans="1:7">
      <c r="A504" s="136" t="str">
        <f t="shared" si="1"/>
        <v/>
      </c>
      <c r="B504" s="137"/>
      <c r="C504" s="137"/>
      <c r="D504" s="136"/>
      <c r="E504" s="136"/>
      <c r="F504" s="136" t="str">
        <f>IF(B504="","",D504-SUMIFS(Issue!$D$3:$D993,Issue!$C$3:$C993,C504,Issue!$B$3:$B993,B504))</f>
        <v/>
      </c>
      <c r="G504" s="232"/>
    </row>
    <row r="505" spans="1:7">
      <c r="A505" s="136" t="str">
        <f t="shared" si="1"/>
        <v/>
      </c>
      <c r="B505" s="137"/>
      <c r="C505" s="137"/>
      <c r="D505" s="136"/>
      <c r="E505" s="136"/>
      <c r="F505" s="136" t="str">
        <f>IF(B505="","",D505-SUMIFS(Issue!$D$3:$D993,Issue!$C$3:$C993,C505,Issue!$B$3:$B993,B505))</f>
        <v/>
      </c>
      <c r="G505" s="232"/>
    </row>
    <row r="506" spans="1:7">
      <c r="A506" s="136" t="str">
        <f t="shared" si="1"/>
        <v/>
      </c>
      <c r="B506" s="137"/>
      <c r="C506" s="137"/>
      <c r="D506" s="136"/>
      <c r="E506" s="136"/>
      <c r="F506" s="136" t="str">
        <f>IF(B506="","",D506-SUMIFS(Issue!$D$3:$D993,Issue!$C$3:$C993,C506,Issue!$B$3:$B993,B506))</f>
        <v/>
      </c>
      <c r="G506" s="232"/>
    </row>
    <row r="507" spans="1:7">
      <c r="A507" s="136" t="str">
        <f t="shared" si="1"/>
        <v/>
      </c>
      <c r="B507" s="137"/>
      <c r="C507" s="137"/>
      <c r="D507" s="136"/>
      <c r="E507" s="136"/>
      <c r="F507" s="136" t="str">
        <f>IF(B507="","",D507-SUMIFS(Issue!$D$3:$D993,Issue!$C$3:$C993,C507,Issue!$B$3:$B993,B507))</f>
        <v/>
      </c>
      <c r="G507" s="232"/>
    </row>
    <row r="508" spans="1:7">
      <c r="A508" s="136" t="str">
        <f t="shared" si="1"/>
        <v/>
      </c>
      <c r="B508" s="137"/>
      <c r="C508" s="137"/>
      <c r="D508" s="136"/>
      <c r="E508" s="136"/>
      <c r="F508" s="136" t="str">
        <f>IF(B508="","",D508-SUMIFS(Issue!$D$3:$D993,Issue!$C$3:$C993,C508,Issue!$B$3:$B993,B508))</f>
        <v/>
      </c>
      <c r="G508" s="232"/>
    </row>
    <row r="509" spans="1:7">
      <c r="A509" s="136" t="str">
        <f t="shared" si="1"/>
        <v/>
      </c>
      <c r="B509" s="137"/>
      <c r="C509" s="137"/>
      <c r="D509" s="136"/>
      <c r="E509" s="136"/>
      <c r="F509" s="136" t="str">
        <f>IF(B509="","",D509-SUMIFS(Issue!$D$3:$D993,Issue!$C$3:$C993,C509,Issue!$B$3:$B993,B509))</f>
        <v/>
      </c>
      <c r="G509" s="232"/>
    </row>
    <row r="510" spans="1:7">
      <c r="A510" s="136" t="str">
        <f t="shared" si="1"/>
        <v/>
      </c>
      <c r="B510" s="137"/>
      <c r="C510" s="137"/>
      <c r="D510" s="136"/>
      <c r="E510" s="136"/>
      <c r="F510" s="136" t="str">
        <f>IF(B510="","",D510-SUMIFS(Issue!$D$3:$D993,Issue!$C$3:$C993,C510,Issue!$B$3:$B993,B510))</f>
        <v/>
      </c>
      <c r="G510" s="232"/>
    </row>
    <row r="511" spans="1:7">
      <c r="A511" s="136" t="str">
        <f t="shared" si="1"/>
        <v/>
      </c>
      <c r="B511" s="137"/>
      <c r="C511" s="137"/>
      <c r="D511" s="136"/>
      <c r="E511" s="136"/>
      <c r="F511" s="136" t="str">
        <f>IF(B511="","",D511-SUMIFS(Issue!$D$3:$D993,Issue!$C$3:$C993,C511,Issue!$B$3:$B993,B511))</f>
        <v/>
      </c>
      <c r="G511" s="232"/>
    </row>
    <row r="512" spans="1:7">
      <c r="A512" s="136" t="str">
        <f t="shared" si="1"/>
        <v/>
      </c>
      <c r="B512" s="137"/>
      <c r="C512" s="137"/>
      <c r="D512" s="136"/>
      <c r="E512" s="136"/>
      <c r="F512" s="136" t="str">
        <f>IF(B512="","",D512-SUMIFS(Issue!$D$3:$D993,Issue!$C$3:$C993,C512,Issue!$B$3:$B993,B512))</f>
        <v/>
      </c>
      <c r="G512" s="232"/>
    </row>
    <row r="513" spans="1:7">
      <c r="A513" s="136" t="str">
        <f t="shared" si="1"/>
        <v/>
      </c>
      <c r="B513" s="137"/>
      <c r="C513" s="137"/>
      <c r="D513" s="136"/>
      <c r="E513" s="136"/>
      <c r="F513" s="136" t="str">
        <f>IF(B513="","",D513-SUMIFS(Issue!$D$3:$D993,Issue!$C$3:$C993,C513,Issue!$B$3:$B993,B513))</f>
        <v/>
      </c>
      <c r="G513" s="232"/>
    </row>
    <row r="514" spans="1:7">
      <c r="A514" s="136" t="str">
        <f t="shared" si="1"/>
        <v/>
      </c>
      <c r="B514" s="137"/>
      <c r="C514" s="137"/>
      <c r="D514" s="136"/>
      <c r="E514" s="136"/>
      <c r="F514" s="136" t="str">
        <f>IF(B514="","",D514-SUMIFS(Issue!$D$3:$D993,Issue!$C$3:$C993,C514,Issue!$B$3:$B993,B514))</f>
        <v/>
      </c>
      <c r="G514" s="232"/>
    </row>
    <row r="515" spans="1:7">
      <c r="A515" s="136" t="str">
        <f t="shared" si="1"/>
        <v/>
      </c>
      <c r="B515" s="137"/>
      <c r="C515" s="137"/>
      <c r="D515" s="136"/>
      <c r="E515" s="136"/>
      <c r="F515" s="136" t="str">
        <f>IF(B515="","",D515-SUMIFS(Issue!$D$3:$D993,Issue!$C$3:$C993,C515,Issue!$B$3:$B993,B515))</f>
        <v/>
      </c>
      <c r="G515" s="232"/>
    </row>
    <row r="516" spans="1:7">
      <c r="A516" s="136" t="str">
        <f t="shared" ref="A516:A770" si="2">IF(B516="","",ROW()-2)</f>
        <v/>
      </c>
      <c r="B516" s="137"/>
      <c r="C516" s="137"/>
      <c r="D516" s="136"/>
      <c r="E516" s="136"/>
      <c r="F516" s="136" t="str">
        <f>IF(B516="","",D516-SUMIFS(Issue!$D$3:$D993,Issue!$C$3:$C993,C516,Issue!$B$3:$B993,B516))</f>
        <v/>
      </c>
      <c r="G516" s="232"/>
    </row>
    <row r="517" spans="1:7">
      <c r="A517" s="136" t="str">
        <f t="shared" si="2"/>
        <v/>
      </c>
      <c r="B517" s="137"/>
      <c r="C517" s="137"/>
      <c r="D517" s="136"/>
      <c r="E517" s="136"/>
      <c r="F517" s="136" t="str">
        <f>IF(B517="","",D517-SUMIFS(Issue!$D$3:$D993,Issue!$C$3:$C993,C517,Issue!$B$3:$B993,B517))</f>
        <v/>
      </c>
      <c r="G517" s="232"/>
    </row>
    <row r="518" spans="1:7">
      <c r="A518" s="136" t="str">
        <f t="shared" si="2"/>
        <v/>
      </c>
      <c r="B518" s="137"/>
      <c r="C518" s="137"/>
      <c r="D518" s="136"/>
      <c r="E518" s="136"/>
      <c r="F518" s="136" t="str">
        <f>IF(B518="","",D518-SUMIFS(Issue!$D$3:$D993,Issue!$C$3:$C993,C518,Issue!$B$3:$B993,B518))</f>
        <v/>
      </c>
      <c r="G518" s="232"/>
    </row>
    <row r="519" spans="1:7">
      <c r="A519" s="136" t="str">
        <f t="shared" si="2"/>
        <v/>
      </c>
      <c r="B519" s="137"/>
      <c r="C519" s="137"/>
      <c r="D519" s="136"/>
      <c r="E519" s="136"/>
      <c r="F519" s="136" t="str">
        <f>IF(B519="","",D519-SUMIFS(Issue!$D$3:$D993,Issue!$C$3:$C993,C519,Issue!$B$3:$B993,B519))</f>
        <v/>
      </c>
      <c r="G519" s="232"/>
    </row>
    <row r="520" spans="1:7">
      <c r="A520" s="136" t="str">
        <f t="shared" si="2"/>
        <v/>
      </c>
      <c r="B520" s="137"/>
      <c r="C520" s="137"/>
      <c r="D520" s="136"/>
      <c r="E520" s="136"/>
      <c r="F520" s="136" t="str">
        <f>IF(B520="","",D520-SUMIFS(Issue!$D$3:$D993,Issue!$C$3:$C993,C520,Issue!$B$3:$B993,B520))</f>
        <v/>
      </c>
      <c r="G520" s="232"/>
    </row>
    <row r="521" spans="1:7">
      <c r="A521" s="136" t="str">
        <f t="shared" si="2"/>
        <v/>
      </c>
      <c r="B521" s="137"/>
      <c r="C521" s="137"/>
      <c r="D521" s="136"/>
      <c r="E521" s="136"/>
      <c r="F521" s="136" t="str">
        <f>IF(B521="","",D521-SUMIFS(Issue!$D$3:$D993,Issue!$C$3:$C993,C521,Issue!$B$3:$B993,B521))</f>
        <v/>
      </c>
      <c r="G521" s="232"/>
    </row>
    <row r="522" spans="1:7">
      <c r="A522" s="136" t="str">
        <f t="shared" si="2"/>
        <v/>
      </c>
      <c r="B522" s="137"/>
      <c r="C522" s="137"/>
      <c r="D522" s="136"/>
      <c r="E522" s="136"/>
      <c r="F522" s="136" t="str">
        <f>IF(B522="","",D522-SUMIFS(Issue!$D$3:$D993,Issue!$C$3:$C993,C522,Issue!$B$3:$B993,B522))</f>
        <v/>
      </c>
      <c r="G522" s="232"/>
    </row>
    <row r="523" spans="1:7">
      <c r="A523" s="136" t="str">
        <f t="shared" si="2"/>
        <v/>
      </c>
      <c r="B523" s="137"/>
      <c r="C523" s="137"/>
      <c r="D523" s="136"/>
      <c r="E523" s="136"/>
      <c r="F523" s="136" t="str">
        <f>IF(B523="","",D523-SUMIFS(Issue!$D$3:$D993,Issue!$C$3:$C993,C523,Issue!$B$3:$B993,B523))</f>
        <v/>
      </c>
      <c r="G523" s="232"/>
    </row>
    <row r="524" spans="1:7">
      <c r="A524" s="136" t="str">
        <f t="shared" si="2"/>
        <v/>
      </c>
      <c r="B524" s="137"/>
      <c r="C524" s="137"/>
      <c r="D524" s="136"/>
      <c r="E524" s="136"/>
      <c r="F524" s="136" t="str">
        <f>IF(B524="","",D524-SUMIFS(Issue!$D$3:$D993,Issue!$C$3:$C993,C524,Issue!$B$3:$B993,B524))</f>
        <v/>
      </c>
      <c r="G524" s="232"/>
    </row>
    <row r="525" spans="1:7">
      <c r="A525" s="136" t="str">
        <f t="shared" si="2"/>
        <v/>
      </c>
      <c r="B525" s="137"/>
      <c r="C525" s="137"/>
      <c r="D525" s="136"/>
      <c r="E525" s="136"/>
      <c r="F525" s="136" t="str">
        <f>IF(B525="","",D525-SUMIFS(Issue!$D$3:$D993,Issue!$C$3:$C993,C525,Issue!$B$3:$B993,B525))</f>
        <v/>
      </c>
      <c r="G525" s="232"/>
    </row>
    <row r="526" spans="1:7">
      <c r="A526" s="136" t="str">
        <f t="shared" si="2"/>
        <v/>
      </c>
      <c r="B526" s="137"/>
      <c r="C526" s="137"/>
      <c r="D526" s="136"/>
      <c r="E526" s="136"/>
      <c r="F526" s="136" t="str">
        <f>IF(B526="","",D526-SUMIFS(Issue!$D$3:$D993,Issue!$C$3:$C993,C526,Issue!$B$3:$B993,B526))</f>
        <v/>
      </c>
      <c r="G526" s="232"/>
    </row>
    <row r="527" spans="1:7">
      <c r="A527" s="136" t="str">
        <f t="shared" si="2"/>
        <v/>
      </c>
      <c r="B527" s="137"/>
      <c r="C527" s="137"/>
      <c r="D527" s="136"/>
      <c r="E527" s="136"/>
      <c r="F527" s="136" t="str">
        <f>IF(B527="","",D527-SUMIFS(Issue!$D$3:$D993,Issue!$C$3:$C993,C527,Issue!$B$3:$B993,B527))</f>
        <v/>
      </c>
      <c r="G527" s="232"/>
    </row>
    <row r="528" spans="1:7">
      <c r="A528" s="136" t="str">
        <f t="shared" si="2"/>
        <v/>
      </c>
      <c r="B528" s="137"/>
      <c r="C528" s="137"/>
      <c r="D528" s="136"/>
      <c r="E528" s="136"/>
      <c r="F528" s="136" t="str">
        <f>IF(B528="","",D528-SUMIFS(Issue!$D$3:$D993,Issue!$C$3:$C993,C528,Issue!$B$3:$B993,B528))</f>
        <v/>
      </c>
      <c r="G528" s="232"/>
    </row>
    <row r="529" spans="1:7">
      <c r="A529" s="136" t="str">
        <f t="shared" si="2"/>
        <v/>
      </c>
      <c r="B529" s="137"/>
      <c r="C529" s="137"/>
      <c r="D529" s="136"/>
      <c r="E529" s="136"/>
      <c r="F529" s="136" t="str">
        <f>IF(B529="","",D529-SUMIFS(Issue!$D$3:$D993,Issue!$C$3:$C993,C529,Issue!$B$3:$B993,B529))</f>
        <v/>
      </c>
      <c r="G529" s="232"/>
    </row>
    <row r="530" spans="1:7">
      <c r="A530" s="136" t="str">
        <f t="shared" si="2"/>
        <v/>
      </c>
      <c r="B530" s="137"/>
      <c r="C530" s="137"/>
      <c r="D530" s="136"/>
      <c r="E530" s="136"/>
      <c r="F530" s="136" t="str">
        <f>IF(B530="","",D530-SUMIFS(Issue!$D$3:$D993,Issue!$C$3:$C993,C530,Issue!$B$3:$B993,B530))</f>
        <v/>
      </c>
      <c r="G530" s="232"/>
    </row>
    <row r="531" spans="1:7">
      <c r="A531" s="136" t="str">
        <f t="shared" si="2"/>
        <v/>
      </c>
      <c r="B531" s="137"/>
      <c r="C531" s="137"/>
      <c r="D531" s="136"/>
      <c r="E531" s="136"/>
      <c r="F531" s="136" t="str">
        <f>IF(B531="","",D531-SUMIFS(Issue!$D$3:$D993,Issue!$C$3:$C993,C531,Issue!$B$3:$B993,B531))</f>
        <v/>
      </c>
      <c r="G531" s="232"/>
    </row>
    <row r="532" spans="1:7">
      <c r="A532" s="136" t="str">
        <f t="shared" si="2"/>
        <v/>
      </c>
      <c r="B532" s="137"/>
      <c r="C532" s="137"/>
      <c r="D532" s="136"/>
      <c r="E532" s="136"/>
      <c r="F532" s="136" t="str">
        <f>IF(B532="","",D532-SUMIFS(Issue!$D$3:$D993,Issue!$C$3:$C993,C532,Issue!$B$3:$B993,B532))</f>
        <v/>
      </c>
      <c r="G532" s="232"/>
    </row>
    <row r="533" spans="1:7">
      <c r="A533" s="136" t="str">
        <f t="shared" si="2"/>
        <v/>
      </c>
      <c r="B533" s="137"/>
      <c r="C533" s="137"/>
      <c r="D533" s="136"/>
      <c r="E533" s="136"/>
      <c r="F533" s="136" t="str">
        <f>IF(B533="","",D533-SUMIFS(Issue!$D$3:$D993,Issue!$C$3:$C993,C533,Issue!$B$3:$B993,B533))</f>
        <v/>
      </c>
      <c r="G533" s="232"/>
    </row>
    <row r="534" spans="1:7">
      <c r="A534" s="136" t="str">
        <f t="shared" si="2"/>
        <v/>
      </c>
      <c r="B534" s="137"/>
      <c r="C534" s="137"/>
      <c r="D534" s="136"/>
      <c r="E534" s="136"/>
      <c r="F534" s="136" t="str">
        <f>IF(B534="","",D534-SUMIFS(Issue!$D$3:$D993,Issue!$C$3:$C993,C534,Issue!$B$3:$B993,B534))</f>
        <v/>
      </c>
      <c r="G534" s="232"/>
    </row>
    <row r="535" spans="1:7">
      <c r="A535" s="136" t="str">
        <f t="shared" si="2"/>
        <v/>
      </c>
      <c r="B535" s="137"/>
      <c r="C535" s="137"/>
      <c r="D535" s="136"/>
      <c r="E535" s="136"/>
      <c r="F535" s="136" t="str">
        <f>IF(B535="","",D535-SUMIFS(Issue!$D$3:$D993,Issue!$C$3:$C993,C535,Issue!$B$3:$B993,B535))</f>
        <v/>
      </c>
      <c r="G535" s="232"/>
    </row>
    <row r="536" spans="1:7">
      <c r="A536" s="136" t="str">
        <f t="shared" si="2"/>
        <v/>
      </c>
      <c r="B536" s="137"/>
      <c r="C536" s="137"/>
      <c r="D536" s="136"/>
      <c r="E536" s="136"/>
      <c r="F536" s="136" t="str">
        <f>IF(B536="","",D536-SUMIFS(Issue!$D$3:$D993,Issue!$C$3:$C993,C536,Issue!$B$3:$B993,B536))</f>
        <v/>
      </c>
      <c r="G536" s="232"/>
    </row>
    <row r="537" spans="1:7">
      <c r="A537" s="136" t="str">
        <f t="shared" si="2"/>
        <v/>
      </c>
      <c r="B537" s="137"/>
      <c r="C537" s="137"/>
      <c r="D537" s="136"/>
      <c r="E537" s="136"/>
      <c r="F537" s="136" t="str">
        <f>IF(B537="","",D537-SUMIFS(Issue!$D$3:$D993,Issue!$C$3:$C993,C537,Issue!$B$3:$B993,B537))</f>
        <v/>
      </c>
      <c r="G537" s="232"/>
    </row>
    <row r="538" spans="1:7">
      <c r="A538" s="136" t="str">
        <f t="shared" si="2"/>
        <v/>
      </c>
      <c r="B538" s="137"/>
      <c r="C538" s="137"/>
      <c r="D538" s="136"/>
      <c r="E538" s="136"/>
      <c r="F538" s="136" t="str">
        <f>IF(B538="","",D538-SUMIFS(Issue!$D$3:$D993,Issue!$C$3:$C993,C538,Issue!$B$3:$B993,B538))</f>
        <v/>
      </c>
      <c r="G538" s="232"/>
    </row>
    <row r="539" spans="1:7">
      <c r="A539" s="136" t="str">
        <f t="shared" si="2"/>
        <v/>
      </c>
      <c r="B539" s="137"/>
      <c r="C539" s="137"/>
      <c r="D539" s="136"/>
      <c r="E539" s="136"/>
      <c r="F539" s="136" t="str">
        <f>IF(B539="","",D539-SUMIFS(Issue!$D$3:$D993,Issue!$C$3:$C993,C539,Issue!$B$3:$B993,B539))</f>
        <v/>
      </c>
      <c r="G539" s="232"/>
    </row>
    <row r="540" spans="1:7">
      <c r="A540" s="136" t="str">
        <f t="shared" si="2"/>
        <v/>
      </c>
      <c r="B540" s="137"/>
      <c r="C540" s="137"/>
      <c r="D540" s="136"/>
      <c r="E540" s="136"/>
      <c r="F540" s="136" t="str">
        <f>IF(B540="","",D540-SUMIFS(Issue!$D$3:$D993,Issue!$C$3:$C993,C540,Issue!$B$3:$B993,B540))</f>
        <v/>
      </c>
      <c r="G540" s="232"/>
    </row>
    <row r="541" spans="1:7">
      <c r="A541" s="136" t="str">
        <f t="shared" si="2"/>
        <v/>
      </c>
      <c r="B541" s="137"/>
      <c r="C541" s="137"/>
      <c r="D541" s="136"/>
      <c r="E541" s="136"/>
      <c r="F541" s="136" t="str">
        <f>IF(B541="","",D541-SUMIFS(Issue!$D$3:$D993,Issue!$C$3:$C993,C541,Issue!$B$3:$B993,B541))</f>
        <v/>
      </c>
      <c r="G541" s="232"/>
    </row>
    <row r="542" spans="1:7">
      <c r="A542" s="136" t="str">
        <f t="shared" si="2"/>
        <v/>
      </c>
      <c r="B542" s="137"/>
      <c r="C542" s="137"/>
      <c r="D542" s="136"/>
      <c r="E542" s="136"/>
      <c r="F542" s="136" t="str">
        <f>IF(B542="","",D542-SUMIFS(Issue!$D$3:$D993,Issue!$C$3:$C993,C542,Issue!$B$3:$B993,B542))</f>
        <v/>
      </c>
      <c r="G542" s="232"/>
    </row>
    <row r="543" spans="1:7">
      <c r="A543" s="136" t="str">
        <f t="shared" si="2"/>
        <v/>
      </c>
      <c r="B543" s="137"/>
      <c r="C543" s="137"/>
      <c r="D543" s="136"/>
      <c r="E543" s="136"/>
      <c r="F543" s="136" t="str">
        <f>IF(B543="","",D543-SUMIFS(Issue!$D$3:$D993,Issue!$C$3:$C993,C543,Issue!$B$3:$B993,B543))</f>
        <v/>
      </c>
      <c r="G543" s="232"/>
    </row>
    <row r="544" spans="1:7">
      <c r="A544" s="136" t="str">
        <f t="shared" si="2"/>
        <v/>
      </c>
      <c r="B544" s="137"/>
      <c r="C544" s="137"/>
      <c r="D544" s="136"/>
      <c r="E544" s="136"/>
      <c r="F544" s="136" t="str">
        <f>IF(B544="","",D544-SUMIFS(Issue!$D$3:$D993,Issue!$C$3:$C993,C544,Issue!$B$3:$B993,B544))</f>
        <v/>
      </c>
      <c r="G544" s="232"/>
    </row>
    <row r="545" spans="1:7">
      <c r="A545" s="136" t="str">
        <f t="shared" si="2"/>
        <v/>
      </c>
      <c r="B545" s="137"/>
      <c r="C545" s="137"/>
      <c r="D545" s="136"/>
      <c r="E545" s="136"/>
      <c r="F545" s="136" t="str">
        <f>IF(B545="","",D545-SUMIFS(Issue!$D$3:$D993,Issue!$C$3:$C993,C545,Issue!$B$3:$B993,B545))</f>
        <v/>
      </c>
      <c r="G545" s="232"/>
    </row>
    <row r="546" spans="1:7">
      <c r="A546" s="136" t="str">
        <f t="shared" si="2"/>
        <v/>
      </c>
      <c r="B546" s="137"/>
      <c r="C546" s="137"/>
      <c r="D546" s="136"/>
      <c r="E546" s="136"/>
      <c r="F546" s="136" t="str">
        <f>IF(B546="","",D546-SUMIFS(Issue!$D$3:$D993,Issue!$C$3:$C993,C546,Issue!$B$3:$B993,B546))</f>
        <v/>
      </c>
      <c r="G546" s="232"/>
    </row>
    <row r="547" spans="1:7">
      <c r="A547" s="136" t="str">
        <f t="shared" si="2"/>
        <v/>
      </c>
      <c r="B547" s="137"/>
      <c r="C547" s="137"/>
      <c r="D547" s="136"/>
      <c r="E547" s="136"/>
      <c r="F547" s="136" t="str">
        <f>IF(B547="","",D547-SUMIFS(Issue!$D$3:$D993,Issue!$C$3:$C993,C547,Issue!$B$3:$B993,B547))</f>
        <v/>
      </c>
      <c r="G547" s="232"/>
    </row>
    <row r="548" spans="1:7">
      <c r="A548" s="136" t="str">
        <f t="shared" si="2"/>
        <v/>
      </c>
      <c r="B548" s="137"/>
      <c r="C548" s="137"/>
      <c r="D548" s="136"/>
      <c r="E548" s="136"/>
      <c r="F548" s="136" t="str">
        <f>IF(B548="","",D548-SUMIFS(Issue!$D$3:$D993,Issue!$C$3:$C993,C548,Issue!$B$3:$B993,B548))</f>
        <v/>
      </c>
      <c r="G548" s="232"/>
    </row>
    <row r="549" spans="1:7">
      <c r="A549" s="136" t="str">
        <f t="shared" si="2"/>
        <v/>
      </c>
      <c r="B549" s="137"/>
      <c r="C549" s="137"/>
      <c r="D549" s="136"/>
      <c r="E549" s="136"/>
      <c r="F549" s="136" t="str">
        <f>IF(B549="","",D549-SUMIFS(Issue!$D$3:$D993,Issue!$C$3:$C993,C549,Issue!$B$3:$B993,B549))</f>
        <v/>
      </c>
      <c r="G549" s="232"/>
    </row>
    <row r="550" spans="1:7">
      <c r="A550" s="136" t="str">
        <f t="shared" si="2"/>
        <v/>
      </c>
      <c r="B550" s="137"/>
      <c r="C550" s="137"/>
      <c r="D550" s="136"/>
      <c r="E550" s="136"/>
      <c r="F550" s="136" t="str">
        <f>IF(B550="","",D550-SUMIFS(Issue!$D$3:$D993,Issue!$C$3:$C993,C550,Issue!$B$3:$B993,B550))</f>
        <v/>
      </c>
      <c r="G550" s="232"/>
    </row>
    <row r="551" spans="1:7">
      <c r="A551" s="136" t="str">
        <f t="shared" si="2"/>
        <v/>
      </c>
      <c r="B551" s="137"/>
      <c r="C551" s="137"/>
      <c r="D551" s="136"/>
      <c r="E551" s="136"/>
      <c r="F551" s="136" t="str">
        <f>IF(B551="","",D551-SUMIFS(Issue!$D$3:$D993,Issue!$C$3:$C993,C551,Issue!$B$3:$B993,B551))</f>
        <v/>
      </c>
      <c r="G551" s="232"/>
    </row>
    <row r="552" spans="1:7">
      <c r="A552" s="136" t="str">
        <f t="shared" si="2"/>
        <v/>
      </c>
      <c r="B552" s="137"/>
      <c r="C552" s="137"/>
      <c r="D552" s="136"/>
      <c r="E552" s="136"/>
      <c r="F552" s="136" t="str">
        <f>IF(B552="","",D552-SUMIFS(Issue!$D$3:$D993,Issue!$C$3:$C993,C552,Issue!$B$3:$B993,B552))</f>
        <v/>
      </c>
      <c r="G552" s="232"/>
    </row>
    <row r="553" spans="1:7">
      <c r="A553" s="136" t="str">
        <f t="shared" si="2"/>
        <v/>
      </c>
      <c r="B553" s="137"/>
      <c r="C553" s="137"/>
      <c r="D553" s="136"/>
      <c r="E553" s="136"/>
      <c r="F553" s="136" t="str">
        <f>IF(B553="","",D553-SUMIFS(Issue!$D$3:$D993,Issue!$C$3:$C993,C553,Issue!$B$3:$B993,B553))</f>
        <v/>
      </c>
      <c r="G553" s="232"/>
    </row>
    <row r="554" spans="1:7">
      <c r="A554" s="136" t="str">
        <f t="shared" si="2"/>
        <v/>
      </c>
      <c r="B554" s="137"/>
      <c r="C554" s="137"/>
      <c r="D554" s="136"/>
      <c r="E554" s="136"/>
      <c r="F554" s="136" t="str">
        <f>IF(B554="","",D554-SUMIFS(Issue!$D$3:$D993,Issue!$C$3:$C993,C554,Issue!$B$3:$B993,B554))</f>
        <v/>
      </c>
      <c r="G554" s="232"/>
    </row>
    <row r="555" spans="1:7">
      <c r="A555" s="136" t="str">
        <f t="shared" si="2"/>
        <v/>
      </c>
      <c r="B555" s="137"/>
      <c r="C555" s="137"/>
      <c r="D555" s="136"/>
      <c r="E555" s="136"/>
      <c r="F555" s="136" t="str">
        <f>IF(B555="","",D555-SUMIFS(Issue!$D$3:$D993,Issue!$C$3:$C993,C555,Issue!$B$3:$B993,B555))</f>
        <v/>
      </c>
      <c r="G555" s="232"/>
    </row>
    <row r="556" spans="1:7">
      <c r="A556" s="136" t="str">
        <f t="shared" si="2"/>
        <v/>
      </c>
      <c r="B556" s="137"/>
      <c r="C556" s="137"/>
      <c r="D556" s="136"/>
      <c r="E556" s="136"/>
      <c r="F556" s="136" t="str">
        <f>IF(B556="","",D556-SUMIFS(Issue!$D$3:$D993,Issue!$C$3:$C993,C556,Issue!$B$3:$B993,B556))</f>
        <v/>
      </c>
      <c r="G556" s="232"/>
    </row>
    <row r="557" spans="1:7">
      <c r="A557" s="136" t="str">
        <f t="shared" si="2"/>
        <v/>
      </c>
      <c r="B557" s="137"/>
      <c r="C557" s="137"/>
      <c r="D557" s="136"/>
      <c r="E557" s="136"/>
      <c r="F557" s="136" t="str">
        <f>IF(B557="","",D557-SUMIFS(Issue!$D$3:$D993,Issue!$C$3:$C993,C557,Issue!$B$3:$B993,B557))</f>
        <v/>
      </c>
      <c r="G557" s="232"/>
    </row>
    <row r="558" spans="1:7">
      <c r="A558" s="136" t="str">
        <f t="shared" si="2"/>
        <v/>
      </c>
      <c r="B558" s="137"/>
      <c r="C558" s="137"/>
      <c r="D558" s="136"/>
      <c r="E558" s="136"/>
      <c r="F558" s="136" t="str">
        <f>IF(B558="","",D558-SUMIFS(Issue!$D$3:$D993,Issue!$C$3:$C993,C558,Issue!$B$3:$B993,B558))</f>
        <v/>
      </c>
      <c r="G558" s="232"/>
    </row>
    <row r="559" spans="1:7">
      <c r="A559" s="136" t="str">
        <f t="shared" si="2"/>
        <v/>
      </c>
      <c r="B559" s="137"/>
      <c r="C559" s="137"/>
      <c r="D559" s="136"/>
      <c r="E559" s="136"/>
      <c r="F559" s="136" t="str">
        <f>IF(B559="","",D559-SUMIFS(Issue!$D$3:$D993,Issue!$C$3:$C993,C559,Issue!$B$3:$B993,B559))</f>
        <v/>
      </c>
      <c r="G559" s="232"/>
    </row>
    <row r="560" spans="1:7">
      <c r="A560" s="136" t="str">
        <f t="shared" si="2"/>
        <v/>
      </c>
      <c r="B560" s="137"/>
      <c r="C560" s="137"/>
      <c r="D560" s="136"/>
      <c r="E560" s="136"/>
      <c r="F560" s="136" t="str">
        <f>IF(B560="","",D560-SUMIFS(Issue!$D$3:$D993,Issue!$C$3:$C993,C560,Issue!$B$3:$B993,B560))</f>
        <v/>
      </c>
      <c r="G560" s="232"/>
    </row>
    <row r="561" spans="1:7">
      <c r="A561" s="136" t="str">
        <f t="shared" si="2"/>
        <v/>
      </c>
      <c r="B561" s="137"/>
      <c r="C561" s="137"/>
      <c r="D561" s="136"/>
      <c r="E561" s="136"/>
      <c r="F561" s="136" t="str">
        <f>IF(B561="","",D561-SUMIFS(Issue!$D$3:$D993,Issue!$C$3:$C993,C561,Issue!$B$3:$B993,B561))</f>
        <v/>
      </c>
      <c r="G561" s="232"/>
    </row>
    <row r="562" spans="1:7">
      <c r="A562" s="136" t="str">
        <f t="shared" si="2"/>
        <v/>
      </c>
      <c r="B562" s="137"/>
      <c r="C562" s="137"/>
      <c r="D562" s="136"/>
      <c r="E562" s="136"/>
      <c r="F562" s="136" t="str">
        <f>IF(B562="","",D562-SUMIFS(Issue!$D$3:$D993,Issue!$C$3:$C993,C562,Issue!$B$3:$B993,B562))</f>
        <v/>
      </c>
      <c r="G562" s="232"/>
    </row>
    <row r="563" spans="1:7">
      <c r="A563" s="136" t="str">
        <f t="shared" si="2"/>
        <v/>
      </c>
      <c r="B563" s="137"/>
      <c r="C563" s="137"/>
      <c r="D563" s="136"/>
      <c r="E563" s="136"/>
      <c r="F563" s="136" t="str">
        <f>IF(B563="","",D563-SUMIFS(Issue!$D$3:$D993,Issue!$C$3:$C993,C563,Issue!$B$3:$B993,B563))</f>
        <v/>
      </c>
      <c r="G563" s="232"/>
    </row>
    <row r="564" spans="1:7">
      <c r="A564" s="136" t="str">
        <f t="shared" si="2"/>
        <v/>
      </c>
      <c r="B564" s="137"/>
      <c r="C564" s="137"/>
      <c r="D564" s="136"/>
      <c r="E564" s="136"/>
      <c r="F564" s="136" t="str">
        <f>IF(B564="","",D564-SUMIFS(Issue!$D$3:$D993,Issue!$C$3:$C993,C564,Issue!$B$3:$B993,B564))</f>
        <v/>
      </c>
      <c r="G564" s="232"/>
    </row>
    <row r="565" spans="1:7">
      <c r="A565" s="136" t="str">
        <f t="shared" si="2"/>
        <v/>
      </c>
      <c r="B565" s="137"/>
      <c r="C565" s="137"/>
      <c r="D565" s="136"/>
      <c r="E565" s="136"/>
      <c r="F565" s="136" t="str">
        <f>IF(B565="","",D565-SUMIFS(Issue!$D$3:$D993,Issue!$C$3:$C993,C565,Issue!$B$3:$B993,B565))</f>
        <v/>
      </c>
      <c r="G565" s="232"/>
    </row>
    <row r="566" spans="1:7">
      <c r="A566" s="136" t="str">
        <f t="shared" si="2"/>
        <v/>
      </c>
      <c r="B566" s="137"/>
      <c r="C566" s="137"/>
      <c r="D566" s="136"/>
      <c r="E566" s="136"/>
      <c r="F566" s="136" t="str">
        <f>IF(B566="","",D566-SUMIFS(Issue!$D$3:$D993,Issue!$C$3:$C993,C566,Issue!$B$3:$B993,B566))</f>
        <v/>
      </c>
      <c r="G566" s="232"/>
    </row>
    <row r="567" spans="1:7">
      <c r="A567" s="136" t="str">
        <f t="shared" si="2"/>
        <v/>
      </c>
      <c r="B567" s="137"/>
      <c r="C567" s="137"/>
      <c r="D567" s="136"/>
      <c r="E567" s="136"/>
      <c r="F567" s="136" t="str">
        <f>IF(B567="","",D567-SUMIFS(Issue!$D$3:$D993,Issue!$C$3:$C993,C567,Issue!$B$3:$B993,B567))</f>
        <v/>
      </c>
      <c r="G567" s="232"/>
    </row>
    <row r="568" spans="1:7">
      <c r="A568" s="136" t="str">
        <f t="shared" si="2"/>
        <v/>
      </c>
      <c r="B568" s="137"/>
      <c r="C568" s="137"/>
      <c r="D568" s="136"/>
      <c r="E568" s="136"/>
      <c r="F568" s="136" t="str">
        <f>IF(B568="","",D568-SUMIFS(Issue!$D$3:$D993,Issue!$C$3:$C993,C568,Issue!$B$3:$B993,B568))</f>
        <v/>
      </c>
      <c r="G568" s="232"/>
    </row>
    <row r="569" spans="1:7">
      <c r="A569" s="136" t="str">
        <f t="shared" si="2"/>
        <v/>
      </c>
      <c r="B569" s="137"/>
      <c r="C569" s="137"/>
      <c r="D569" s="136"/>
      <c r="E569" s="136"/>
      <c r="F569" s="136" t="str">
        <f>IF(B569="","",D569-SUMIFS(Issue!$D$3:$D993,Issue!$C$3:$C993,C569,Issue!$B$3:$B993,B569))</f>
        <v/>
      </c>
      <c r="G569" s="232"/>
    </row>
    <row r="570" spans="1:7">
      <c r="A570" s="136" t="str">
        <f t="shared" si="2"/>
        <v/>
      </c>
      <c r="B570" s="137"/>
      <c r="C570" s="137"/>
      <c r="D570" s="136"/>
      <c r="E570" s="136"/>
      <c r="F570" s="136" t="str">
        <f>IF(B570="","",D570-SUMIFS(Issue!$D$3:$D993,Issue!$C$3:$C993,C570,Issue!$B$3:$B993,B570))</f>
        <v/>
      </c>
      <c r="G570" s="232"/>
    </row>
    <row r="571" spans="1:7">
      <c r="A571" s="136" t="str">
        <f t="shared" si="2"/>
        <v/>
      </c>
      <c r="B571" s="137"/>
      <c r="C571" s="137"/>
      <c r="D571" s="136"/>
      <c r="E571" s="136"/>
      <c r="F571" s="136" t="str">
        <f>IF(B571="","",D571-SUMIFS(Issue!$D$3:$D993,Issue!$C$3:$C993,C571,Issue!$B$3:$B993,B571))</f>
        <v/>
      </c>
      <c r="G571" s="232"/>
    </row>
    <row r="572" spans="1:7">
      <c r="A572" s="136" t="str">
        <f t="shared" si="2"/>
        <v/>
      </c>
      <c r="B572" s="137"/>
      <c r="C572" s="137"/>
      <c r="D572" s="136"/>
      <c r="E572" s="136"/>
      <c r="F572" s="136" t="str">
        <f>IF(B572="","",D572-SUMIFS(Issue!$D$3:$D993,Issue!$C$3:$C993,C572,Issue!$B$3:$B993,B572))</f>
        <v/>
      </c>
      <c r="G572" s="232"/>
    </row>
    <row r="573" spans="1:7">
      <c r="A573" s="136" t="str">
        <f t="shared" si="2"/>
        <v/>
      </c>
      <c r="B573" s="137"/>
      <c r="C573" s="137"/>
      <c r="D573" s="136"/>
      <c r="E573" s="136"/>
      <c r="F573" s="136" t="str">
        <f>IF(B573="","",D573-SUMIFS(Issue!$D$3:$D993,Issue!$C$3:$C993,C573,Issue!$B$3:$B993,B573))</f>
        <v/>
      </c>
      <c r="G573" s="232"/>
    </row>
    <row r="574" spans="1:7">
      <c r="A574" s="136" t="str">
        <f t="shared" si="2"/>
        <v/>
      </c>
      <c r="B574" s="137"/>
      <c r="C574" s="137"/>
      <c r="D574" s="136"/>
      <c r="E574" s="136"/>
      <c r="F574" s="136" t="str">
        <f>IF(B574="","",D574-SUMIFS(Issue!$D$3:$D993,Issue!$C$3:$C993,C574,Issue!$B$3:$B993,B574))</f>
        <v/>
      </c>
      <c r="G574" s="232"/>
    </row>
    <row r="575" spans="1:7">
      <c r="A575" s="136" t="str">
        <f t="shared" si="2"/>
        <v/>
      </c>
      <c r="B575" s="137"/>
      <c r="C575" s="137"/>
      <c r="D575" s="136"/>
      <c r="E575" s="136"/>
      <c r="F575" s="136" t="str">
        <f>IF(B575="","",D575-SUMIFS(Issue!$D$3:$D993,Issue!$C$3:$C993,C575,Issue!$B$3:$B993,B575))</f>
        <v/>
      </c>
      <c r="G575" s="232"/>
    </row>
    <row r="576" spans="1:7">
      <c r="A576" s="136" t="str">
        <f t="shared" si="2"/>
        <v/>
      </c>
      <c r="B576" s="137"/>
      <c r="C576" s="137"/>
      <c r="D576" s="136"/>
      <c r="E576" s="136"/>
      <c r="F576" s="136" t="str">
        <f>IF(B576="","",D576-SUMIFS(Issue!$D$3:$D993,Issue!$C$3:$C993,C576,Issue!$B$3:$B993,B576))</f>
        <v/>
      </c>
      <c r="G576" s="232"/>
    </row>
    <row r="577" spans="1:7">
      <c r="A577" s="136" t="str">
        <f t="shared" si="2"/>
        <v/>
      </c>
      <c r="B577" s="137"/>
      <c r="C577" s="137"/>
      <c r="D577" s="136"/>
      <c r="E577" s="136"/>
      <c r="F577" s="136" t="str">
        <f>IF(B577="","",D577-SUMIFS(Issue!$D$3:$D993,Issue!$C$3:$C993,C577,Issue!$B$3:$B993,B577))</f>
        <v/>
      </c>
      <c r="G577" s="232"/>
    </row>
    <row r="578" spans="1:7">
      <c r="A578" s="136" t="str">
        <f t="shared" si="2"/>
        <v/>
      </c>
      <c r="B578" s="137"/>
      <c r="C578" s="137"/>
      <c r="D578" s="136"/>
      <c r="E578" s="136"/>
      <c r="F578" s="136" t="str">
        <f>IF(B578="","",D578-SUMIFS(Issue!$D$3:$D993,Issue!$C$3:$C993,C578,Issue!$B$3:$B993,B578))</f>
        <v/>
      </c>
      <c r="G578" s="232"/>
    </row>
    <row r="579" spans="1:7">
      <c r="A579" s="136" t="str">
        <f t="shared" si="2"/>
        <v/>
      </c>
      <c r="B579" s="137"/>
      <c r="C579" s="137"/>
      <c r="D579" s="136"/>
      <c r="E579" s="136"/>
      <c r="F579" s="136" t="str">
        <f>IF(B579="","",D579-SUMIFS(Issue!$D$3:$D993,Issue!$C$3:$C993,C579,Issue!$B$3:$B993,B579))</f>
        <v/>
      </c>
      <c r="G579" s="232"/>
    </row>
    <row r="580" spans="1:7">
      <c r="A580" s="136" t="str">
        <f t="shared" si="2"/>
        <v/>
      </c>
      <c r="B580" s="137"/>
      <c r="C580" s="137"/>
      <c r="D580" s="136"/>
      <c r="E580" s="136"/>
      <c r="F580" s="136" t="str">
        <f>IF(B580="","",D580-SUMIFS(Issue!$D$3:$D993,Issue!$C$3:$C993,C580,Issue!$B$3:$B993,B580))</f>
        <v/>
      </c>
      <c r="G580" s="232"/>
    </row>
    <row r="581" spans="1:7">
      <c r="A581" s="136" t="str">
        <f t="shared" si="2"/>
        <v/>
      </c>
      <c r="B581" s="137"/>
      <c r="C581" s="137"/>
      <c r="D581" s="136"/>
      <c r="E581" s="136"/>
      <c r="F581" s="136" t="str">
        <f>IF(B581="","",D581-SUMIFS(Issue!$D$3:$D993,Issue!$C$3:$C993,C581,Issue!$B$3:$B993,B581))</f>
        <v/>
      </c>
      <c r="G581" s="232"/>
    </row>
    <row r="582" spans="1:7">
      <c r="A582" s="136" t="str">
        <f t="shared" si="2"/>
        <v/>
      </c>
      <c r="B582" s="137"/>
      <c r="C582" s="137"/>
      <c r="D582" s="136"/>
      <c r="E582" s="136"/>
      <c r="F582" s="136" t="str">
        <f>IF(B582="","",D582-SUMIFS(Issue!$D$3:$D993,Issue!$C$3:$C993,C582,Issue!$B$3:$B993,B582))</f>
        <v/>
      </c>
      <c r="G582" s="232"/>
    </row>
    <row r="583" spans="1:7">
      <c r="A583" s="136" t="str">
        <f t="shared" si="2"/>
        <v/>
      </c>
      <c r="B583" s="137"/>
      <c r="C583" s="137"/>
      <c r="D583" s="136"/>
      <c r="E583" s="136"/>
      <c r="F583" s="136" t="str">
        <f>IF(B583="","",D583-SUMIFS(Issue!$D$3:$D993,Issue!$C$3:$C993,C583,Issue!$B$3:$B993,B583))</f>
        <v/>
      </c>
      <c r="G583" s="232"/>
    </row>
    <row r="584" spans="1:7">
      <c r="A584" s="136" t="str">
        <f t="shared" si="2"/>
        <v/>
      </c>
      <c r="B584" s="137"/>
      <c r="C584" s="137"/>
      <c r="D584" s="136"/>
      <c r="E584" s="136"/>
      <c r="F584" s="136" t="str">
        <f>IF(B584="","",D584-SUMIFS(Issue!$D$3:$D993,Issue!$C$3:$C993,C584,Issue!$B$3:$B993,B584))</f>
        <v/>
      </c>
      <c r="G584" s="232"/>
    </row>
    <row r="585" spans="1:7">
      <c r="A585" s="136" t="str">
        <f t="shared" si="2"/>
        <v/>
      </c>
      <c r="B585" s="137"/>
      <c r="C585" s="137"/>
      <c r="D585" s="136"/>
      <c r="E585" s="136"/>
      <c r="F585" s="136" t="str">
        <f>IF(B585="","",D585-SUMIFS(Issue!$D$3:$D993,Issue!$C$3:$C993,C585,Issue!$B$3:$B993,B585))</f>
        <v/>
      </c>
      <c r="G585" s="232"/>
    </row>
    <row r="586" spans="1:7">
      <c r="A586" s="136" t="str">
        <f t="shared" si="2"/>
        <v/>
      </c>
      <c r="B586" s="137"/>
      <c r="C586" s="137"/>
      <c r="D586" s="136"/>
      <c r="E586" s="136"/>
      <c r="F586" s="136" t="str">
        <f>IF(B586="","",D586-SUMIFS(Issue!$D$3:$D993,Issue!$C$3:$C993,C586,Issue!$B$3:$B993,B586))</f>
        <v/>
      </c>
      <c r="G586" s="232"/>
    </row>
    <row r="587" spans="1:7">
      <c r="A587" s="136" t="str">
        <f t="shared" si="2"/>
        <v/>
      </c>
      <c r="B587" s="137"/>
      <c r="C587" s="137"/>
      <c r="D587" s="136"/>
      <c r="E587" s="136"/>
      <c r="F587" s="136" t="str">
        <f>IF(B587="","",D587-SUMIFS(Issue!$D$3:$D993,Issue!$C$3:$C993,C587,Issue!$B$3:$B993,B587))</f>
        <v/>
      </c>
      <c r="G587" s="232"/>
    </row>
    <row r="588" spans="1:7">
      <c r="A588" s="136" t="str">
        <f t="shared" si="2"/>
        <v/>
      </c>
      <c r="B588" s="137"/>
      <c r="C588" s="137"/>
      <c r="D588" s="136"/>
      <c r="E588" s="136"/>
      <c r="F588" s="136" t="str">
        <f>IF(B588="","",D588-SUMIFS(Issue!$D$3:$D993,Issue!$C$3:$C993,C588,Issue!$B$3:$B993,B588))</f>
        <v/>
      </c>
      <c r="G588" s="232"/>
    </row>
    <row r="589" spans="1:7">
      <c r="A589" s="136" t="str">
        <f t="shared" si="2"/>
        <v/>
      </c>
      <c r="B589" s="137"/>
      <c r="C589" s="137"/>
      <c r="D589" s="136"/>
      <c r="E589" s="136"/>
      <c r="F589" s="136" t="str">
        <f>IF(B589="","",D589-SUMIFS(Issue!$D$3:$D993,Issue!$C$3:$C993,C589,Issue!$B$3:$B993,B589))</f>
        <v/>
      </c>
      <c r="G589" s="232"/>
    </row>
    <row r="590" spans="1:7">
      <c r="A590" s="136" t="str">
        <f t="shared" si="2"/>
        <v/>
      </c>
      <c r="B590" s="137"/>
      <c r="C590" s="137"/>
      <c r="D590" s="136"/>
      <c r="E590" s="136"/>
      <c r="F590" s="136" t="str">
        <f>IF(B590="","",D590-SUMIFS(Issue!$D$3:$D993,Issue!$C$3:$C993,C590,Issue!$B$3:$B993,B590))</f>
        <v/>
      </c>
      <c r="G590" s="232"/>
    </row>
    <row r="591" spans="1:7">
      <c r="A591" s="136" t="str">
        <f t="shared" si="2"/>
        <v/>
      </c>
      <c r="B591" s="137"/>
      <c r="C591" s="137"/>
      <c r="D591" s="136"/>
      <c r="E591" s="136"/>
      <c r="F591" s="136" t="str">
        <f>IF(B591="","",D591-SUMIFS(Issue!$D$3:$D993,Issue!$C$3:$C993,C591,Issue!$B$3:$B993,B591))</f>
        <v/>
      </c>
      <c r="G591" s="232"/>
    </row>
    <row r="592" spans="1:7">
      <c r="A592" s="136" t="str">
        <f t="shared" si="2"/>
        <v/>
      </c>
      <c r="B592" s="137"/>
      <c r="C592" s="137"/>
      <c r="D592" s="136"/>
      <c r="E592" s="136"/>
      <c r="F592" s="136" t="str">
        <f>IF(B592="","",D592-SUMIFS(Issue!$D$3:$D993,Issue!$C$3:$C993,C592,Issue!$B$3:$B993,B592))</f>
        <v/>
      </c>
      <c r="G592" s="232"/>
    </row>
    <row r="593" spans="1:7">
      <c r="A593" s="136" t="str">
        <f t="shared" si="2"/>
        <v/>
      </c>
      <c r="B593" s="137"/>
      <c r="C593" s="137"/>
      <c r="D593" s="136"/>
      <c r="E593" s="136"/>
      <c r="F593" s="136" t="str">
        <f>IF(B593="","",D593-SUMIFS(Issue!$D$3:$D993,Issue!$C$3:$C993,C593,Issue!$B$3:$B993,B593))</f>
        <v/>
      </c>
      <c r="G593" s="232"/>
    </row>
    <row r="594" spans="1:7">
      <c r="A594" s="136" t="str">
        <f t="shared" si="2"/>
        <v/>
      </c>
      <c r="B594" s="137"/>
      <c r="C594" s="137"/>
      <c r="D594" s="136"/>
      <c r="E594" s="136"/>
      <c r="F594" s="136" t="str">
        <f>IF(B594="","",D594-SUMIFS(Issue!$D$3:$D993,Issue!$C$3:$C993,C594,Issue!$B$3:$B993,B594))</f>
        <v/>
      </c>
      <c r="G594" s="232"/>
    </row>
    <row r="595" spans="1:7">
      <c r="A595" s="136" t="str">
        <f t="shared" si="2"/>
        <v/>
      </c>
      <c r="B595" s="137"/>
      <c r="C595" s="137"/>
      <c r="D595" s="136"/>
      <c r="E595" s="136"/>
      <c r="F595" s="136" t="str">
        <f>IF(B595="","",D595-SUMIFS(Issue!$D$3:$D993,Issue!$C$3:$C993,C595,Issue!$B$3:$B993,B595))</f>
        <v/>
      </c>
      <c r="G595" s="232"/>
    </row>
    <row r="596" spans="1:7">
      <c r="A596" s="136" t="str">
        <f t="shared" si="2"/>
        <v/>
      </c>
      <c r="B596" s="137"/>
      <c r="C596" s="137"/>
      <c r="D596" s="136"/>
      <c r="E596" s="136"/>
      <c r="F596" s="136" t="str">
        <f>IF(B596="","",D596-SUMIFS(Issue!$D$3:$D993,Issue!$C$3:$C993,C596,Issue!$B$3:$B993,B596))</f>
        <v/>
      </c>
      <c r="G596" s="232"/>
    </row>
    <row r="597" spans="1:7">
      <c r="A597" s="136" t="str">
        <f t="shared" si="2"/>
        <v/>
      </c>
      <c r="B597" s="137"/>
      <c r="C597" s="137"/>
      <c r="D597" s="136"/>
      <c r="E597" s="136"/>
      <c r="F597" s="136" t="str">
        <f>IF(B597="","",D597-SUMIFS(Issue!$D$3:$D993,Issue!$C$3:$C993,C597,Issue!$B$3:$B993,B597))</f>
        <v/>
      </c>
      <c r="G597" s="232"/>
    </row>
    <row r="598" spans="1:7">
      <c r="A598" s="136" t="str">
        <f t="shared" si="2"/>
        <v/>
      </c>
      <c r="B598" s="137"/>
      <c r="C598" s="137"/>
      <c r="D598" s="136"/>
      <c r="E598" s="136"/>
      <c r="F598" s="136" t="str">
        <f>IF(B598="","",D598-SUMIFS(Issue!$D$3:$D993,Issue!$C$3:$C993,C598,Issue!$B$3:$B993,B598))</f>
        <v/>
      </c>
      <c r="G598" s="232"/>
    </row>
    <row r="599" spans="1:7">
      <c r="A599" s="136" t="str">
        <f t="shared" si="2"/>
        <v/>
      </c>
      <c r="B599" s="137"/>
      <c r="C599" s="137"/>
      <c r="D599" s="136"/>
      <c r="E599" s="136"/>
      <c r="F599" s="136" t="str">
        <f>IF(B599="","",D599-SUMIFS(Issue!$D$3:$D993,Issue!$C$3:$C993,C599,Issue!$B$3:$B993,B599))</f>
        <v/>
      </c>
      <c r="G599" s="232"/>
    </row>
    <row r="600" spans="1:7">
      <c r="A600" s="136" t="str">
        <f t="shared" si="2"/>
        <v/>
      </c>
      <c r="B600" s="137"/>
      <c r="C600" s="137"/>
      <c r="D600" s="136"/>
      <c r="E600" s="136"/>
      <c r="F600" s="136" t="str">
        <f>IF(B600="","",D600-SUMIFS(Issue!$D$3:$D993,Issue!$C$3:$C993,C600,Issue!$B$3:$B993,B600))</f>
        <v/>
      </c>
      <c r="G600" s="232"/>
    </row>
    <row r="601" spans="1:7">
      <c r="A601" s="136" t="str">
        <f t="shared" si="2"/>
        <v/>
      </c>
      <c r="B601" s="137"/>
      <c r="C601" s="137"/>
      <c r="D601" s="136"/>
      <c r="E601" s="136"/>
      <c r="F601" s="136" t="str">
        <f>IF(B601="","",D601-SUMIFS(Issue!$D$3:$D993,Issue!$C$3:$C993,C601,Issue!$B$3:$B993,B601))</f>
        <v/>
      </c>
      <c r="G601" s="232"/>
    </row>
    <row r="602" spans="1:7">
      <c r="A602" s="136" t="str">
        <f t="shared" si="2"/>
        <v/>
      </c>
      <c r="B602" s="137"/>
      <c r="C602" s="137"/>
      <c r="D602" s="136"/>
      <c r="E602" s="136"/>
      <c r="F602" s="136" t="str">
        <f>IF(B602="","",D602-SUMIFS(Issue!$D$3:$D993,Issue!$C$3:$C993,C602,Issue!$B$3:$B993,B602))</f>
        <v/>
      </c>
      <c r="G602" s="232"/>
    </row>
    <row r="603" spans="1:7">
      <c r="A603" s="136" t="str">
        <f t="shared" si="2"/>
        <v/>
      </c>
      <c r="B603" s="137"/>
      <c r="C603" s="137"/>
      <c r="D603" s="136"/>
      <c r="E603" s="136"/>
      <c r="F603" s="136" t="str">
        <f>IF(B603="","",D603-SUMIFS(Issue!$D$3:$D993,Issue!$C$3:$C993,C603,Issue!$B$3:$B993,B603))</f>
        <v/>
      </c>
      <c r="G603" s="232"/>
    </row>
    <row r="604" spans="1:7">
      <c r="A604" s="136" t="str">
        <f t="shared" si="2"/>
        <v/>
      </c>
      <c r="B604" s="137"/>
      <c r="C604" s="137"/>
      <c r="D604" s="136"/>
      <c r="E604" s="136"/>
      <c r="F604" s="136" t="str">
        <f>IF(B604="","",D604-SUMIFS(Issue!$D$3:$D993,Issue!$C$3:$C993,C604,Issue!$B$3:$B993,B604))</f>
        <v/>
      </c>
      <c r="G604" s="232"/>
    </row>
    <row r="605" spans="1:7">
      <c r="A605" s="136" t="str">
        <f t="shared" si="2"/>
        <v/>
      </c>
      <c r="B605" s="137"/>
      <c r="C605" s="137"/>
      <c r="D605" s="136"/>
      <c r="E605" s="136"/>
      <c r="F605" s="136" t="str">
        <f>IF(B605="","",D605-SUMIFS(Issue!$D$3:$D993,Issue!$C$3:$C993,C605,Issue!$B$3:$B993,B605))</f>
        <v/>
      </c>
      <c r="G605" s="232"/>
    </row>
    <row r="606" spans="1:7">
      <c r="A606" s="136" t="str">
        <f t="shared" si="2"/>
        <v/>
      </c>
      <c r="B606" s="137"/>
      <c r="C606" s="137"/>
      <c r="D606" s="136"/>
      <c r="E606" s="136"/>
      <c r="F606" s="136" t="str">
        <f>IF(B606="","",D606-SUMIFS(Issue!$D$3:$D993,Issue!$C$3:$C993,C606,Issue!$B$3:$B993,B606))</f>
        <v/>
      </c>
      <c r="G606" s="232"/>
    </row>
    <row r="607" spans="1:7">
      <c r="A607" s="136" t="str">
        <f t="shared" si="2"/>
        <v/>
      </c>
      <c r="B607" s="137"/>
      <c r="C607" s="137"/>
      <c r="D607" s="136"/>
      <c r="E607" s="136"/>
      <c r="F607" s="136" t="str">
        <f>IF(B607="","",D607-SUMIFS(Issue!$D$3:$D993,Issue!$C$3:$C993,C607,Issue!$B$3:$B993,B607))</f>
        <v/>
      </c>
      <c r="G607" s="232"/>
    </row>
    <row r="608" spans="1:7">
      <c r="A608" s="136" t="str">
        <f t="shared" si="2"/>
        <v/>
      </c>
      <c r="B608" s="137"/>
      <c r="C608" s="137"/>
      <c r="D608" s="136"/>
      <c r="E608" s="136"/>
      <c r="F608" s="136" t="str">
        <f>IF(B608="","",D608-SUMIFS(Issue!$D$3:$D993,Issue!$C$3:$C993,C608,Issue!$B$3:$B993,B608))</f>
        <v/>
      </c>
      <c r="G608" s="232"/>
    </row>
    <row r="609" spans="1:7">
      <c r="A609" s="136" t="str">
        <f t="shared" si="2"/>
        <v/>
      </c>
      <c r="B609" s="137"/>
      <c r="C609" s="137"/>
      <c r="D609" s="136"/>
      <c r="E609" s="136"/>
      <c r="F609" s="136" t="str">
        <f>IF(B609="","",D609-SUMIFS(Issue!$D$3:$D993,Issue!$C$3:$C993,C609,Issue!$B$3:$B993,B609))</f>
        <v/>
      </c>
      <c r="G609" s="232"/>
    </row>
    <row r="610" spans="1:7">
      <c r="A610" s="136" t="str">
        <f t="shared" si="2"/>
        <v/>
      </c>
      <c r="B610" s="137"/>
      <c r="C610" s="137"/>
      <c r="D610" s="136"/>
      <c r="E610" s="136"/>
      <c r="F610" s="136" t="str">
        <f>IF(B610="","",D610-SUMIFS(Issue!$D$3:$D993,Issue!$C$3:$C993,C610,Issue!$B$3:$B993,B610))</f>
        <v/>
      </c>
      <c r="G610" s="232"/>
    </row>
    <row r="611" spans="1:7">
      <c r="A611" s="136" t="str">
        <f t="shared" si="2"/>
        <v/>
      </c>
      <c r="B611" s="137"/>
      <c r="C611" s="137"/>
      <c r="D611" s="136"/>
      <c r="E611" s="136"/>
      <c r="F611" s="136" t="str">
        <f>IF(B611="","",D611-SUMIFS(Issue!$D$3:$D993,Issue!$C$3:$C993,C611,Issue!$B$3:$B993,B611))</f>
        <v/>
      </c>
      <c r="G611" s="232"/>
    </row>
    <row r="612" spans="1:7">
      <c r="A612" s="136" t="str">
        <f t="shared" si="2"/>
        <v/>
      </c>
      <c r="B612" s="137"/>
      <c r="C612" s="137"/>
      <c r="D612" s="136"/>
      <c r="E612" s="136"/>
      <c r="F612" s="136" t="str">
        <f>IF(B612="","",D612-SUMIFS(Issue!$D$3:$D993,Issue!$C$3:$C993,C612,Issue!$B$3:$B993,B612))</f>
        <v/>
      </c>
      <c r="G612" s="232"/>
    </row>
    <row r="613" spans="1:7">
      <c r="A613" s="136" t="str">
        <f t="shared" si="2"/>
        <v/>
      </c>
      <c r="B613" s="137"/>
      <c r="C613" s="137"/>
      <c r="D613" s="136"/>
      <c r="E613" s="136"/>
      <c r="F613" s="136" t="str">
        <f>IF(B613="","",D613-SUMIFS(Issue!$D$3:$D993,Issue!$C$3:$C993,C613,Issue!$B$3:$B993,B613))</f>
        <v/>
      </c>
      <c r="G613" s="232"/>
    </row>
    <row r="614" spans="1:7">
      <c r="A614" s="136" t="str">
        <f t="shared" si="2"/>
        <v/>
      </c>
      <c r="B614" s="137"/>
      <c r="C614" s="137"/>
      <c r="D614" s="136"/>
      <c r="E614" s="136"/>
      <c r="F614" s="136" t="str">
        <f>IF(B614="","",D614-SUMIFS(Issue!$D$3:$D993,Issue!$C$3:$C993,C614,Issue!$B$3:$B993,B614))</f>
        <v/>
      </c>
      <c r="G614" s="232"/>
    </row>
    <row r="615" spans="1:7">
      <c r="A615" s="136" t="str">
        <f t="shared" si="2"/>
        <v/>
      </c>
      <c r="B615" s="137"/>
      <c r="C615" s="137"/>
      <c r="D615" s="136"/>
      <c r="E615" s="136"/>
      <c r="F615" s="136" t="str">
        <f>IF(B615="","",D615-SUMIFS(Issue!$D$3:$D993,Issue!$C$3:$C993,C615,Issue!$B$3:$B993,B615))</f>
        <v/>
      </c>
      <c r="G615" s="232"/>
    </row>
    <row r="616" spans="1:7">
      <c r="A616" s="136" t="str">
        <f t="shared" si="2"/>
        <v/>
      </c>
      <c r="B616" s="137"/>
      <c r="C616" s="137"/>
      <c r="D616" s="136"/>
      <c r="E616" s="136"/>
      <c r="F616" s="136" t="str">
        <f>IF(B616="","",D616-SUMIFS(Issue!$D$3:$D993,Issue!$C$3:$C993,C616,Issue!$B$3:$B993,B616))</f>
        <v/>
      </c>
      <c r="G616" s="232"/>
    </row>
    <row r="617" spans="1:7">
      <c r="A617" s="136" t="str">
        <f t="shared" si="2"/>
        <v/>
      </c>
      <c r="B617" s="137"/>
      <c r="C617" s="137"/>
      <c r="D617" s="136"/>
      <c r="E617" s="136"/>
      <c r="F617" s="136" t="str">
        <f>IF(B617="","",D617-SUMIFS(Issue!$D$3:$D993,Issue!$C$3:$C993,C617,Issue!$B$3:$B993,B617))</f>
        <v/>
      </c>
      <c r="G617" s="232"/>
    </row>
    <row r="618" spans="1:7">
      <c r="A618" s="136" t="str">
        <f t="shared" si="2"/>
        <v/>
      </c>
      <c r="B618" s="137"/>
      <c r="C618" s="137"/>
      <c r="D618" s="136"/>
      <c r="E618" s="136"/>
      <c r="F618" s="136" t="str">
        <f>IF(B618="","",D618-SUMIFS(Issue!$D$3:$D993,Issue!$C$3:$C993,C618,Issue!$B$3:$B993,B618))</f>
        <v/>
      </c>
      <c r="G618" s="232"/>
    </row>
    <row r="619" spans="1:7">
      <c r="A619" s="136" t="str">
        <f t="shared" si="2"/>
        <v/>
      </c>
      <c r="B619" s="137"/>
      <c r="C619" s="137"/>
      <c r="D619" s="136"/>
      <c r="E619" s="136"/>
      <c r="F619" s="136" t="str">
        <f>IF(B619="","",D619-SUMIFS(Issue!$D$3:$D993,Issue!$C$3:$C993,C619,Issue!$B$3:$B993,B619))</f>
        <v/>
      </c>
      <c r="G619" s="232"/>
    </row>
    <row r="620" spans="1:7">
      <c r="A620" s="136" t="str">
        <f t="shared" si="2"/>
        <v/>
      </c>
      <c r="B620" s="137"/>
      <c r="C620" s="137"/>
      <c r="D620" s="136"/>
      <c r="E620" s="136"/>
      <c r="F620" s="136" t="str">
        <f>IF(B620="","",D620-SUMIFS(Issue!$D$3:$D993,Issue!$C$3:$C993,C620,Issue!$B$3:$B993,B620))</f>
        <v/>
      </c>
      <c r="G620" s="232"/>
    </row>
    <row r="621" spans="1:7">
      <c r="A621" s="136" t="str">
        <f t="shared" si="2"/>
        <v/>
      </c>
      <c r="B621" s="137"/>
      <c r="C621" s="137"/>
      <c r="D621" s="136"/>
      <c r="E621" s="136"/>
      <c r="F621" s="136" t="str">
        <f>IF(B621="","",D621-SUMIFS(Issue!$D$3:$D993,Issue!$C$3:$C993,C621,Issue!$B$3:$B993,B621))</f>
        <v/>
      </c>
      <c r="G621" s="232"/>
    </row>
    <row r="622" spans="1:7">
      <c r="A622" s="136" t="str">
        <f t="shared" si="2"/>
        <v/>
      </c>
      <c r="B622" s="137"/>
      <c r="C622" s="137"/>
      <c r="D622" s="136"/>
      <c r="E622" s="136"/>
      <c r="F622" s="136" t="str">
        <f>IF(B622="","",D622-SUMIFS(Issue!$D$3:$D993,Issue!$C$3:$C993,C622,Issue!$B$3:$B993,B622))</f>
        <v/>
      </c>
      <c r="G622" s="232"/>
    </row>
    <row r="623" spans="1:7">
      <c r="A623" s="136" t="str">
        <f t="shared" si="2"/>
        <v/>
      </c>
      <c r="B623" s="137"/>
      <c r="C623" s="137"/>
      <c r="D623" s="136"/>
      <c r="E623" s="136"/>
      <c r="F623" s="136" t="str">
        <f>IF(B623="","",D623-SUMIFS(Issue!$D$3:$D993,Issue!$C$3:$C993,C623,Issue!$B$3:$B993,B623))</f>
        <v/>
      </c>
      <c r="G623" s="232"/>
    </row>
    <row r="624" spans="1:7">
      <c r="A624" s="136" t="str">
        <f t="shared" si="2"/>
        <v/>
      </c>
      <c r="B624" s="137"/>
      <c r="C624" s="137"/>
      <c r="D624" s="136"/>
      <c r="E624" s="136"/>
      <c r="F624" s="136" t="str">
        <f>IF(B624="","",D624-SUMIFS(Issue!$D$3:$D993,Issue!$C$3:$C993,C624,Issue!$B$3:$B993,B624))</f>
        <v/>
      </c>
      <c r="G624" s="232"/>
    </row>
    <row r="625" spans="1:7">
      <c r="A625" s="136" t="str">
        <f t="shared" si="2"/>
        <v/>
      </c>
      <c r="B625" s="137"/>
      <c r="C625" s="137"/>
      <c r="D625" s="136"/>
      <c r="E625" s="136"/>
      <c r="F625" s="136" t="str">
        <f>IF(B625="","",D625-SUMIFS(Issue!$D$3:$D993,Issue!$C$3:$C993,C625,Issue!$B$3:$B993,B625))</f>
        <v/>
      </c>
      <c r="G625" s="232"/>
    </row>
    <row r="626" spans="1:7">
      <c r="A626" s="136" t="str">
        <f t="shared" si="2"/>
        <v/>
      </c>
      <c r="B626" s="137"/>
      <c r="C626" s="137"/>
      <c r="D626" s="136"/>
      <c r="E626" s="136"/>
      <c r="F626" s="136" t="str">
        <f>IF(B626="","",D626-SUMIFS(Issue!$D$3:$D993,Issue!$C$3:$C993,C626,Issue!$B$3:$B993,B626))</f>
        <v/>
      </c>
      <c r="G626" s="232"/>
    </row>
    <row r="627" spans="1:7">
      <c r="A627" s="136" t="str">
        <f t="shared" si="2"/>
        <v/>
      </c>
      <c r="B627" s="137"/>
      <c r="C627" s="137"/>
      <c r="D627" s="136"/>
      <c r="E627" s="136"/>
      <c r="F627" s="136" t="str">
        <f>IF(B627="","",D627-SUMIFS(Issue!$D$3:$D993,Issue!$C$3:$C993,C627,Issue!$B$3:$B993,B627))</f>
        <v/>
      </c>
      <c r="G627" s="232"/>
    </row>
    <row r="628" spans="1:7">
      <c r="A628" s="136" t="str">
        <f t="shared" si="2"/>
        <v/>
      </c>
      <c r="B628" s="137"/>
      <c r="C628" s="137"/>
      <c r="D628" s="136"/>
      <c r="E628" s="136"/>
      <c r="F628" s="136" t="str">
        <f>IF(B628="","",D628-SUMIFS(Issue!$D$3:$D993,Issue!$C$3:$C993,C628,Issue!$B$3:$B993,B628))</f>
        <v/>
      </c>
      <c r="G628" s="232"/>
    </row>
    <row r="629" spans="1:7">
      <c r="A629" s="136" t="str">
        <f t="shared" si="2"/>
        <v/>
      </c>
      <c r="B629" s="137"/>
      <c r="C629" s="137"/>
      <c r="D629" s="136"/>
      <c r="E629" s="136"/>
      <c r="F629" s="136" t="str">
        <f>IF(B629="","",D629-SUMIFS(Issue!$D$3:$D993,Issue!$C$3:$C993,C629,Issue!$B$3:$B993,B629))</f>
        <v/>
      </c>
      <c r="G629" s="232"/>
    </row>
    <row r="630" spans="1:7">
      <c r="A630" s="136" t="str">
        <f t="shared" si="2"/>
        <v/>
      </c>
      <c r="B630" s="137"/>
      <c r="C630" s="137"/>
      <c r="D630" s="136"/>
      <c r="E630" s="136"/>
      <c r="F630" s="136" t="str">
        <f>IF(B630="","",D630-SUMIFS(Issue!$D$3:$D993,Issue!$C$3:$C993,C630,Issue!$B$3:$B993,B630))</f>
        <v/>
      </c>
      <c r="G630" s="232"/>
    </row>
    <row r="631" spans="1:7">
      <c r="A631" s="136" t="str">
        <f t="shared" si="2"/>
        <v/>
      </c>
      <c r="B631" s="137"/>
      <c r="C631" s="137"/>
      <c r="D631" s="136"/>
      <c r="E631" s="136"/>
      <c r="F631" s="136" t="str">
        <f>IF(B631="","",D631-SUMIFS(Issue!$D$3:$D993,Issue!$C$3:$C993,C631,Issue!$B$3:$B993,B631))</f>
        <v/>
      </c>
      <c r="G631" s="232"/>
    </row>
    <row r="632" spans="1:7">
      <c r="A632" s="136" t="str">
        <f t="shared" si="2"/>
        <v/>
      </c>
      <c r="B632" s="137"/>
      <c r="C632" s="137"/>
      <c r="D632" s="136"/>
      <c r="E632" s="136"/>
      <c r="F632" s="136" t="str">
        <f>IF(B632="","",D632-SUMIFS(Issue!$D$3:$D993,Issue!$C$3:$C993,C632,Issue!$B$3:$B993,B632))</f>
        <v/>
      </c>
      <c r="G632" s="232"/>
    </row>
    <row r="633" spans="1:7">
      <c r="A633" s="136" t="str">
        <f t="shared" si="2"/>
        <v/>
      </c>
      <c r="B633" s="137"/>
      <c r="C633" s="137"/>
      <c r="D633" s="136"/>
      <c r="E633" s="136"/>
      <c r="F633" s="136" t="str">
        <f>IF(B633="","",D633-SUMIFS(Issue!$D$3:$D993,Issue!$C$3:$C993,C633,Issue!$B$3:$B993,B633))</f>
        <v/>
      </c>
      <c r="G633" s="232"/>
    </row>
    <row r="634" spans="1:7">
      <c r="A634" s="136" t="str">
        <f t="shared" si="2"/>
        <v/>
      </c>
      <c r="B634" s="137"/>
      <c r="C634" s="137"/>
      <c r="D634" s="136"/>
      <c r="E634" s="136"/>
      <c r="F634" s="136" t="str">
        <f>IF(B634="","",D634-SUMIFS(Issue!$D$3:$D993,Issue!$C$3:$C993,C634,Issue!$B$3:$B993,B634))</f>
        <v/>
      </c>
      <c r="G634" s="232"/>
    </row>
    <row r="635" spans="1:7">
      <c r="A635" s="136" t="str">
        <f t="shared" si="2"/>
        <v/>
      </c>
      <c r="B635" s="137"/>
      <c r="C635" s="137"/>
      <c r="D635" s="136"/>
      <c r="E635" s="136"/>
      <c r="F635" s="136" t="str">
        <f>IF(B635="","",D635-SUMIFS(Issue!$D$3:$D993,Issue!$C$3:$C993,C635,Issue!$B$3:$B993,B635))</f>
        <v/>
      </c>
      <c r="G635" s="232"/>
    </row>
    <row r="636" spans="1:7">
      <c r="A636" s="136" t="str">
        <f t="shared" si="2"/>
        <v/>
      </c>
      <c r="B636" s="137"/>
      <c r="C636" s="137"/>
      <c r="D636" s="136"/>
      <c r="E636" s="136"/>
      <c r="F636" s="136" t="str">
        <f>IF(B636="","",D636-SUMIFS(Issue!$D$3:$D993,Issue!$C$3:$C993,C636,Issue!$B$3:$B993,B636))</f>
        <v/>
      </c>
      <c r="G636" s="232"/>
    </row>
    <row r="637" spans="1:7">
      <c r="A637" s="136" t="str">
        <f t="shared" si="2"/>
        <v/>
      </c>
      <c r="B637" s="137"/>
      <c r="C637" s="137"/>
      <c r="D637" s="136"/>
      <c r="E637" s="136"/>
      <c r="F637" s="136" t="str">
        <f>IF(B637="","",D637-SUMIFS(Issue!$D$3:$D993,Issue!$C$3:$C993,C637,Issue!$B$3:$B993,B637))</f>
        <v/>
      </c>
      <c r="G637" s="232"/>
    </row>
    <row r="638" spans="1:7">
      <c r="A638" s="136" t="str">
        <f t="shared" si="2"/>
        <v/>
      </c>
      <c r="B638" s="137"/>
      <c r="C638" s="137"/>
      <c r="D638" s="136"/>
      <c r="E638" s="136"/>
      <c r="F638" s="136" t="str">
        <f>IF(B638="","",D638-SUMIFS(Issue!$D$3:$D993,Issue!$C$3:$C993,C638,Issue!$B$3:$B993,B638))</f>
        <v/>
      </c>
      <c r="G638" s="232"/>
    </row>
    <row r="639" spans="1:7">
      <c r="A639" s="136" t="str">
        <f t="shared" si="2"/>
        <v/>
      </c>
      <c r="B639" s="137"/>
      <c r="C639" s="137"/>
      <c r="D639" s="136"/>
      <c r="E639" s="136"/>
      <c r="F639" s="136" t="str">
        <f>IF(B639="","",D639-SUMIFS(Issue!$D$3:$D993,Issue!$C$3:$C993,C639,Issue!$B$3:$B993,B639))</f>
        <v/>
      </c>
      <c r="G639" s="232"/>
    </row>
    <row r="640" spans="1:7">
      <c r="A640" s="136" t="str">
        <f t="shared" si="2"/>
        <v/>
      </c>
      <c r="B640" s="137"/>
      <c r="C640" s="137"/>
      <c r="D640" s="136"/>
      <c r="E640" s="136"/>
      <c r="F640" s="136" t="str">
        <f>IF(B640="","",D640-SUMIFS(Issue!$D$3:$D993,Issue!$C$3:$C993,C640,Issue!$B$3:$B993,B640))</f>
        <v/>
      </c>
      <c r="G640" s="232"/>
    </row>
    <row r="641" spans="1:7">
      <c r="A641" s="136" t="str">
        <f t="shared" si="2"/>
        <v/>
      </c>
      <c r="B641" s="137"/>
      <c r="C641" s="137"/>
      <c r="D641" s="136"/>
      <c r="E641" s="136"/>
      <c r="F641" s="136" t="str">
        <f>IF(B641="","",D641-SUMIFS(Issue!$D$3:$D993,Issue!$C$3:$C993,C641,Issue!$B$3:$B993,B641))</f>
        <v/>
      </c>
      <c r="G641" s="232"/>
    </row>
    <row r="642" spans="1:7">
      <c r="A642" s="136" t="str">
        <f t="shared" si="2"/>
        <v/>
      </c>
      <c r="B642" s="137"/>
      <c r="C642" s="137"/>
      <c r="D642" s="136"/>
      <c r="E642" s="136"/>
      <c r="F642" s="136" t="str">
        <f>IF(B642="","",D642-SUMIFS(Issue!$D$3:$D993,Issue!$C$3:$C993,C642,Issue!$B$3:$B993,B642))</f>
        <v/>
      </c>
      <c r="G642" s="232"/>
    </row>
    <row r="643" spans="1:7">
      <c r="A643" s="136" t="str">
        <f t="shared" si="2"/>
        <v/>
      </c>
      <c r="B643" s="137"/>
      <c r="C643" s="137"/>
      <c r="D643" s="136"/>
      <c r="E643" s="136"/>
      <c r="F643" s="136" t="str">
        <f>IF(B643="","",D643-SUMIFS(Issue!$D$3:$D993,Issue!$C$3:$C993,C643,Issue!$B$3:$B993,B643))</f>
        <v/>
      </c>
      <c r="G643" s="232"/>
    </row>
    <row r="644" spans="1:7">
      <c r="A644" s="136" t="str">
        <f t="shared" si="2"/>
        <v/>
      </c>
      <c r="B644" s="137"/>
      <c r="C644" s="137"/>
      <c r="D644" s="136"/>
      <c r="E644" s="136"/>
      <c r="F644" s="136" t="str">
        <f>IF(B644="","",D644-SUMIFS(Issue!$D$3:$D993,Issue!$C$3:$C993,C644,Issue!$B$3:$B993,B644))</f>
        <v/>
      </c>
      <c r="G644" s="232"/>
    </row>
    <row r="645" spans="1:7">
      <c r="A645" s="136" t="str">
        <f t="shared" si="2"/>
        <v/>
      </c>
      <c r="B645" s="137"/>
      <c r="C645" s="137"/>
      <c r="D645" s="136"/>
      <c r="E645" s="136"/>
      <c r="F645" s="136" t="str">
        <f>IF(B645="","",D645-SUMIFS(Issue!$D$3:$D993,Issue!$C$3:$C993,C645,Issue!$B$3:$B993,B645))</f>
        <v/>
      </c>
      <c r="G645" s="232"/>
    </row>
    <row r="646" spans="1:7">
      <c r="A646" s="136" t="str">
        <f t="shared" si="2"/>
        <v/>
      </c>
      <c r="B646" s="137"/>
      <c r="C646" s="137"/>
      <c r="D646" s="136"/>
      <c r="E646" s="136"/>
      <c r="F646" s="136" t="str">
        <f>IF(B646="","",D646-SUMIFS(Issue!$D$3:$D993,Issue!$C$3:$C993,C646,Issue!$B$3:$B993,B646))</f>
        <v/>
      </c>
      <c r="G646" s="232"/>
    </row>
    <row r="647" spans="1:7">
      <c r="A647" s="136" t="str">
        <f t="shared" si="2"/>
        <v/>
      </c>
      <c r="B647" s="137"/>
      <c r="C647" s="137"/>
      <c r="D647" s="136"/>
      <c r="E647" s="136"/>
      <c r="F647" s="136" t="str">
        <f>IF(B647="","",D647-SUMIFS(Issue!$D$3:$D993,Issue!$C$3:$C993,C647,Issue!$B$3:$B993,B647))</f>
        <v/>
      </c>
      <c r="G647" s="232"/>
    </row>
    <row r="648" spans="1:7">
      <c r="A648" s="136" t="str">
        <f t="shared" si="2"/>
        <v/>
      </c>
      <c r="B648" s="137"/>
      <c r="C648" s="137"/>
      <c r="D648" s="136"/>
      <c r="E648" s="136"/>
      <c r="F648" s="136" t="str">
        <f>IF(B648="","",D648-SUMIFS(Issue!$D$3:$D993,Issue!$C$3:$C993,C648,Issue!$B$3:$B993,B648))</f>
        <v/>
      </c>
      <c r="G648" s="232"/>
    </row>
    <row r="649" spans="1:7">
      <c r="A649" s="136" t="str">
        <f t="shared" si="2"/>
        <v/>
      </c>
      <c r="B649" s="137"/>
      <c r="C649" s="137"/>
      <c r="D649" s="136"/>
      <c r="E649" s="136"/>
      <c r="F649" s="136" t="str">
        <f>IF(B649="","",D649-SUMIFS(Issue!$D$3:$D993,Issue!$C$3:$C993,C649,Issue!$B$3:$B993,B649))</f>
        <v/>
      </c>
      <c r="G649" s="232"/>
    </row>
    <row r="650" spans="1:7">
      <c r="A650" s="136" t="str">
        <f t="shared" si="2"/>
        <v/>
      </c>
      <c r="B650" s="137"/>
      <c r="C650" s="137"/>
      <c r="D650" s="136"/>
      <c r="E650" s="136"/>
      <c r="F650" s="136" t="str">
        <f>IF(B650="","",D650-SUMIFS(Issue!$D$3:$D993,Issue!$C$3:$C993,C650,Issue!$B$3:$B993,B650))</f>
        <v/>
      </c>
      <c r="G650" s="232"/>
    </row>
    <row r="651" spans="1:7">
      <c r="A651" s="136" t="str">
        <f t="shared" si="2"/>
        <v/>
      </c>
      <c r="B651" s="137"/>
      <c r="C651" s="137"/>
      <c r="D651" s="136"/>
      <c r="E651" s="136"/>
      <c r="F651" s="136" t="str">
        <f>IF(B651="","",D651-SUMIFS(Issue!$D$3:$D993,Issue!$C$3:$C993,C651,Issue!$B$3:$B993,B651))</f>
        <v/>
      </c>
      <c r="G651" s="232"/>
    </row>
    <row r="652" spans="1:7">
      <c r="A652" s="136" t="str">
        <f t="shared" si="2"/>
        <v/>
      </c>
      <c r="B652" s="137"/>
      <c r="C652" s="137"/>
      <c r="D652" s="136"/>
      <c r="E652" s="136"/>
      <c r="F652" s="136" t="str">
        <f>IF(B652="","",D652-SUMIFS(Issue!$D$3:$D993,Issue!$C$3:$C993,C652,Issue!$B$3:$B993,B652))</f>
        <v/>
      </c>
      <c r="G652" s="232"/>
    </row>
    <row r="653" spans="1:7">
      <c r="A653" s="136" t="str">
        <f t="shared" si="2"/>
        <v/>
      </c>
      <c r="B653" s="137"/>
      <c r="C653" s="137"/>
      <c r="D653" s="136"/>
      <c r="E653" s="136"/>
      <c r="F653" s="136" t="str">
        <f>IF(B653="","",D653-SUMIFS(Issue!$D$3:$D993,Issue!$C$3:$C993,C653,Issue!$B$3:$B993,B653))</f>
        <v/>
      </c>
      <c r="G653" s="232"/>
    </row>
    <row r="654" spans="1:7">
      <c r="A654" s="136" t="str">
        <f t="shared" si="2"/>
        <v/>
      </c>
      <c r="B654" s="137"/>
      <c r="C654" s="137"/>
      <c r="D654" s="136"/>
      <c r="E654" s="136"/>
      <c r="F654" s="136" t="str">
        <f>IF(B654="","",D654-SUMIFS(Issue!$D$3:$D993,Issue!$C$3:$C993,C654,Issue!$B$3:$B993,B654))</f>
        <v/>
      </c>
      <c r="G654" s="232"/>
    </row>
    <row r="655" spans="1:7">
      <c r="A655" s="136" t="str">
        <f t="shared" si="2"/>
        <v/>
      </c>
      <c r="B655" s="137"/>
      <c r="C655" s="137"/>
      <c r="D655" s="136"/>
      <c r="E655" s="136"/>
      <c r="F655" s="136" t="str">
        <f>IF(B655="","",D655-SUMIFS(Issue!$D$3:$D993,Issue!$C$3:$C993,C655,Issue!$B$3:$B993,B655))</f>
        <v/>
      </c>
      <c r="G655" s="232"/>
    </row>
    <row r="656" spans="1:7">
      <c r="A656" s="136" t="str">
        <f t="shared" si="2"/>
        <v/>
      </c>
      <c r="B656" s="137"/>
      <c r="C656" s="137"/>
      <c r="D656" s="136"/>
      <c r="E656" s="136"/>
      <c r="F656" s="136" t="str">
        <f>IF(B656="","",D656-SUMIFS(Issue!$D$3:$D993,Issue!$C$3:$C993,C656,Issue!$B$3:$B993,B656))</f>
        <v/>
      </c>
      <c r="G656" s="232"/>
    </row>
    <row r="657" spans="1:7">
      <c r="A657" s="136" t="str">
        <f t="shared" si="2"/>
        <v/>
      </c>
      <c r="B657" s="137"/>
      <c r="C657" s="137"/>
      <c r="D657" s="136"/>
      <c r="E657" s="136"/>
      <c r="F657" s="136" t="str">
        <f>IF(B657="","",D657-SUMIFS(Issue!$D$3:$D993,Issue!$C$3:$C993,C657,Issue!$B$3:$B993,B657))</f>
        <v/>
      </c>
      <c r="G657" s="232"/>
    </row>
    <row r="658" spans="1:7">
      <c r="A658" s="136" t="str">
        <f t="shared" si="2"/>
        <v/>
      </c>
      <c r="B658" s="137"/>
      <c r="C658" s="137"/>
      <c r="D658" s="136"/>
      <c r="E658" s="136"/>
      <c r="F658" s="136" t="str">
        <f>IF(B658="","",D658-SUMIFS(Issue!$D$3:$D993,Issue!$C$3:$C993,C658,Issue!$B$3:$B993,B658))</f>
        <v/>
      </c>
      <c r="G658" s="232"/>
    </row>
    <row r="659" spans="1:7">
      <c r="A659" s="136" t="str">
        <f t="shared" si="2"/>
        <v/>
      </c>
      <c r="B659" s="137"/>
      <c r="C659" s="137"/>
      <c r="D659" s="136"/>
      <c r="E659" s="136"/>
      <c r="F659" s="136" t="str">
        <f>IF(B659="","",D659-SUMIFS(Issue!$D$3:$D993,Issue!$C$3:$C993,C659,Issue!$B$3:$B993,B659))</f>
        <v/>
      </c>
      <c r="G659" s="232"/>
    </row>
    <row r="660" spans="1:7">
      <c r="A660" s="136" t="str">
        <f t="shared" si="2"/>
        <v/>
      </c>
      <c r="B660" s="137"/>
      <c r="C660" s="137"/>
      <c r="D660" s="136"/>
      <c r="E660" s="136"/>
      <c r="F660" s="136" t="str">
        <f>IF(B660="","",D660-SUMIFS(Issue!$D$3:$D993,Issue!$C$3:$C993,C660,Issue!$B$3:$B993,B660))</f>
        <v/>
      </c>
      <c r="G660" s="232"/>
    </row>
    <row r="661" spans="1:7">
      <c r="A661" s="136" t="str">
        <f t="shared" si="2"/>
        <v/>
      </c>
      <c r="B661" s="137"/>
      <c r="C661" s="137"/>
      <c r="D661" s="136"/>
      <c r="E661" s="136"/>
      <c r="F661" s="136" t="str">
        <f>IF(B661="","",D661-SUMIFS(Issue!$D$3:$D993,Issue!$C$3:$C993,C661,Issue!$B$3:$B993,B661))</f>
        <v/>
      </c>
      <c r="G661" s="232"/>
    </row>
    <row r="662" spans="1:7">
      <c r="A662" s="136" t="str">
        <f t="shared" si="2"/>
        <v/>
      </c>
      <c r="B662" s="137"/>
      <c r="C662" s="137"/>
      <c r="D662" s="136"/>
      <c r="E662" s="136"/>
      <c r="F662" s="136" t="str">
        <f>IF(B662="","",D662-SUMIFS(Issue!$D$3:$D993,Issue!$C$3:$C993,C662,Issue!$B$3:$B993,B662))</f>
        <v/>
      </c>
      <c r="G662" s="232"/>
    </row>
    <row r="663" spans="1:7">
      <c r="A663" s="136" t="str">
        <f t="shared" si="2"/>
        <v/>
      </c>
      <c r="B663" s="137"/>
      <c r="C663" s="137"/>
      <c r="D663" s="136"/>
      <c r="E663" s="136"/>
      <c r="F663" s="136" t="str">
        <f>IF(B663="","",D663-SUMIFS(Issue!$D$3:$D993,Issue!$C$3:$C993,C663,Issue!$B$3:$B993,B663))</f>
        <v/>
      </c>
      <c r="G663" s="232"/>
    </row>
    <row r="664" spans="1:7">
      <c r="A664" s="136" t="str">
        <f t="shared" si="2"/>
        <v/>
      </c>
      <c r="B664" s="137"/>
      <c r="C664" s="137"/>
      <c r="D664" s="136"/>
      <c r="E664" s="136"/>
      <c r="F664" s="136" t="str">
        <f>IF(B664="","",D664-SUMIFS(Issue!$D$3:$D993,Issue!$C$3:$C993,C664,Issue!$B$3:$B993,B664))</f>
        <v/>
      </c>
      <c r="G664" s="232"/>
    </row>
    <row r="665" spans="1:7">
      <c r="A665" s="136" t="str">
        <f t="shared" si="2"/>
        <v/>
      </c>
      <c r="B665" s="137"/>
      <c r="C665" s="137"/>
      <c r="D665" s="136"/>
      <c r="E665" s="136"/>
      <c r="F665" s="136" t="str">
        <f>IF(B665="","",D665-SUMIFS(Issue!$D$3:$D993,Issue!$C$3:$C993,C665,Issue!$B$3:$B993,B665))</f>
        <v/>
      </c>
      <c r="G665" s="232"/>
    </row>
    <row r="666" spans="1:7">
      <c r="A666" s="136" t="str">
        <f t="shared" si="2"/>
        <v/>
      </c>
      <c r="B666" s="137"/>
      <c r="C666" s="137"/>
      <c r="D666" s="136"/>
      <c r="E666" s="136"/>
      <c r="F666" s="136" t="str">
        <f>IF(B666="","",D666-SUMIFS(Issue!$D$3:$D993,Issue!$C$3:$C993,C666,Issue!$B$3:$B993,B666))</f>
        <v/>
      </c>
      <c r="G666" s="232"/>
    </row>
    <row r="667" spans="1:7">
      <c r="A667" s="136" t="str">
        <f t="shared" si="2"/>
        <v/>
      </c>
      <c r="B667" s="137"/>
      <c r="C667" s="137"/>
      <c r="D667" s="136"/>
      <c r="E667" s="136"/>
      <c r="F667" s="136" t="str">
        <f>IF(B667="","",D667-SUMIFS(Issue!$D$3:$D993,Issue!$C$3:$C993,C667,Issue!$B$3:$B993,B667))</f>
        <v/>
      </c>
      <c r="G667" s="232"/>
    </row>
    <row r="668" spans="1:7">
      <c r="A668" s="136" t="str">
        <f t="shared" si="2"/>
        <v/>
      </c>
      <c r="B668" s="137"/>
      <c r="C668" s="137"/>
      <c r="D668" s="136"/>
      <c r="E668" s="136"/>
      <c r="F668" s="136" t="str">
        <f>IF(B668="","",D668-SUMIFS(Issue!$D$3:$D993,Issue!$C$3:$C993,C668,Issue!$B$3:$B993,B668))</f>
        <v/>
      </c>
      <c r="G668" s="232"/>
    </row>
    <row r="669" spans="1:7">
      <c r="A669" s="136" t="str">
        <f t="shared" si="2"/>
        <v/>
      </c>
      <c r="B669" s="137"/>
      <c r="C669" s="137"/>
      <c r="D669" s="136"/>
      <c r="E669" s="136"/>
      <c r="F669" s="136" t="str">
        <f>IF(B669="","",D669-SUMIFS(Issue!$D$3:$D993,Issue!$C$3:$C993,C669,Issue!$B$3:$B993,B669))</f>
        <v/>
      </c>
      <c r="G669" s="232"/>
    </row>
    <row r="670" spans="1:7">
      <c r="A670" s="136" t="str">
        <f t="shared" si="2"/>
        <v/>
      </c>
      <c r="B670" s="137"/>
      <c r="C670" s="137"/>
      <c r="D670" s="136"/>
      <c r="E670" s="136"/>
      <c r="F670" s="136" t="str">
        <f>IF(B670="","",D670-SUMIFS(Issue!$D$3:$D993,Issue!$C$3:$C993,C670,Issue!$B$3:$B993,B670))</f>
        <v/>
      </c>
      <c r="G670" s="232"/>
    </row>
    <row r="671" spans="1:7">
      <c r="A671" s="136" t="str">
        <f t="shared" si="2"/>
        <v/>
      </c>
      <c r="B671" s="137"/>
      <c r="C671" s="137"/>
      <c r="D671" s="136"/>
      <c r="E671" s="136"/>
      <c r="F671" s="136" t="str">
        <f>IF(B671="","",D671-SUMIFS(Issue!$D$3:$D993,Issue!$C$3:$C993,C671,Issue!$B$3:$B993,B671))</f>
        <v/>
      </c>
      <c r="G671" s="232"/>
    </row>
    <row r="672" spans="1:7">
      <c r="A672" s="136" t="str">
        <f t="shared" si="2"/>
        <v/>
      </c>
      <c r="B672" s="137"/>
      <c r="C672" s="137"/>
      <c r="D672" s="136"/>
      <c r="E672" s="136"/>
      <c r="F672" s="136" t="str">
        <f>IF(B672="","",D672-SUMIFS(Issue!$D$3:$D993,Issue!$C$3:$C993,C672,Issue!$B$3:$B993,B672))</f>
        <v/>
      </c>
      <c r="G672" s="232"/>
    </row>
    <row r="673" spans="1:7">
      <c r="A673" s="136" t="str">
        <f t="shared" si="2"/>
        <v/>
      </c>
      <c r="B673" s="137"/>
      <c r="C673" s="137"/>
      <c r="D673" s="136"/>
      <c r="E673" s="136"/>
      <c r="F673" s="136" t="str">
        <f>IF(B673="","",D673-SUMIFS(Issue!$D$3:$D993,Issue!$C$3:$C993,C673,Issue!$B$3:$B993,B673))</f>
        <v/>
      </c>
      <c r="G673" s="232"/>
    </row>
    <row r="674" spans="1:7">
      <c r="A674" s="136" t="str">
        <f t="shared" si="2"/>
        <v/>
      </c>
      <c r="B674" s="137"/>
      <c r="C674" s="137"/>
      <c r="D674" s="136"/>
      <c r="E674" s="136"/>
      <c r="F674" s="136" t="str">
        <f>IF(B674="","",D674-SUMIFS(Issue!$D$3:$D993,Issue!$C$3:$C993,C674,Issue!$B$3:$B993,B674))</f>
        <v/>
      </c>
      <c r="G674" s="232"/>
    </row>
    <row r="675" spans="1:7">
      <c r="A675" s="136" t="str">
        <f t="shared" si="2"/>
        <v/>
      </c>
      <c r="B675" s="137"/>
      <c r="C675" s="137"/>
      <c r="D675" s="136"/>
      <c r="E675" s="136"/>
      <c r="F675" s="136" t="str">
        <f>IF(B675="","",D675-SUMIFS(Issue!$D$3:$D993,Issue!$C$3:$C993,C675,Issue!$B$3:$B993,B675))</f>
        <v/>
      </c>
      <c r="G675" s="232"/>
    </row>
    <row r="676" spans="1:7">
      <c r="A676" s="136" t="str">
        <f t="shared" si="2"/>
        <v/>
      </c>
      <c r="B676" s="137"/>
      <c r="C676" s="137"/>
      <c r="D676" s="136"/>
      <c r="E676" s="136"/>
      <c r="F676" s="136" t="str">
        <f>IF(B676="","",D676-SUMIFS(Issue!$D$3:$D993,Issue!$C$3:$C993,C676,Issue!$B$3:$B993,B676))</f>
        <v/>
      </c>
      <c r="G676" s="232"/>
    </row>
    <row r="677" spans="1:7">
      <c r="A677" s="136" t="str">
        <f t="shared" si="2"/>
        <v/>
      </c>
      <c r="B677" s="137"/>
      <c r="C677" s="137"/>
      <c r="D677" s="136"/>
      <c r="E677" s="136"/>
      <c r="F677" s="136" t="str">
        <f>IF(B677="","",D677-SUMIFS(Issue!$D$3:$D993,Issue!$C$3:$C993,C677,Issue!$B$3:$B993,B677))</f>
        <v/>
      </c>
      <c r="G677" s="232"/>
    </row>
    <row r="678" spans="1:7">
      <c r="A678" s="136" t="str">
        <f t="shared" si="2"/>
        <v/>
      </c>
      <c r="B678" s="137"/>
      <c r="C678" s="137"/>
      <c r="D678" s="136"/>
      <c r="E678" s="136"/>
      <c r="F678" s="136" t="str">
        <f>IF(B678="","",D678-SUMIFS(Issue!$D$3:$D993,Issue!$C$3:$C993,C678,Issue!$B$3:$B993,B678))</f>
        <v/>
      </c>
      <c r="G678" s="232"/>
    </row>
    <row r="679" spans="1:7">
      <c r="A679" s="136" t="str">
        <f t="shared" si="2"/>
        <v/>
      </c>
      <c r="B679" s="137"/>
      <c r="C679" s="137"/>
      <c r="D679" s="136"/>
      <c r="E679" s="136"/>
      <c r="F679" s="136" t="str">
        <f>IF(B679="","",D679-SUMIFS(Issue!$D$3:$D993,Issue!$C$3:$C993,C679,Issue!$B$3:$B993,B679))</f>
        <v/>
      </c>
      <c r="G679" s="232"/>
    </row>
    <row r="680" spans="1:7">
      <c r="A680" s="136" t="str">
        <f t="shared" si="2"/>
        <v/>
      </c>
      <c r="B680" s="137"/>
      <c r="C680" s="137"/>
      <c r="D680" s="136"/>
      <c r="E680" s="136"/>
      <c r="F680" s="136" t="str">
        <f>IF(B680="","",D680-SUMIFS(Issue!$D$3:$D993,Issue!$C$3:$C993,C680,Issue!$B$3:$B993,B680))</f>
        <v/>
      </c>
      <c r="G680" s="232"/>
    </row>
    <row r="681" spans="1:7">
      <c r="A681" s="136" t="str">
        <f t="shared" si="2"/>
        <v/>
      </c>
      <c r="B681" s="137"/>
      <c r="C681" s="137"/>
      <c r="D681" s="136"/>
      <c r="E681" s="136"/>
      <c r="F681" s="136" t="str">
        <f>IF(B681="","",D681-SUMIFS(Issue!$D$3:$D993,Issue!$C$3:$C993,C681,Issue!$B$3:$B993,B681))</f>
        <v/>
      </c>
      <c r="G681" s="232"/>
    </row>
    <row r="682" spans="1:7">
      <c r="A682" s="136" t="str">
        <f t="shared" si="2"/>
        <v/>
      </c>
      <c r="B682" s="137"/>
      <c r="C682" s="137"/>
      <c r="D682" s="136"/>
      <c r="E682" s="136"/>
      <c r="F682" s="136" t="str">
        <f>IF(B682="","",D682-SUMIFS(Issue!$D$3:$D993,Issue!$C$3:$C993,C682,Issue!$B$3:$B993,B682))</f>
        <v/>
      </c>
      <c r="G682" s="232"/>
    </row>
    <row r="683" spans="1:7">
      <c r="A683" s="136" t="str">
        <f t="shared" si="2"/>
        <v/>
      </c>
      <c r="B683" s="137"/>
      <c r="C683" s="137"/>
      <c r="D683" s="136"/>
      <c r="E683" s="136"/>
      <c r="F683" s="136" t="str">
        <f>IF(B683="","",D683-SUMIFS(Issue!$D$3:$D993,Issue!$C$3:$C993,C683,Issue!$B$3:$B993,B683))</f>
        <v/>
      </c>
      <c r="G683" s="232"/>
    </row>
    <row r="684" spans="1:7">
      <c r="A684" s="136" t="str">
        <f t="shared" si="2"/>
        <v/>
      </c>
      <c r="B684" s="137"/>
      <c r="C684" s="137"/>
      <c r="D684" s="136"/>
      <c r="E684" s="136"/>
      <c r="F684" s="136" t="str">
        <f>IF(B684="","",D684-SUMIFS(Issue!$D$3:$D993,Issue!$C$3:$C993,C684,Issue!$B$3:$B993,B684))</f>
        <v/>
      </c>
      <c r="G684" s="232"/>
    </row>
    <row r="685" spans="1:7">
      <c r="A685" s="136" t="str">
        <f t="shared" si="2"/>
        <v/>
      </c>
      <c r="B685" s="137"/>
      <c r="C685" s="137"/>
      <c r="D685" s="136"/>
      <c r="E685" s="136"/>
      <c r="F685" s="136" t="str">
        <f>IF(B685="","",D685-SUMIFS(Issue!$D$3:$D993,Issue!$C$3:$C993,C685,Issue!$B$3:$B993,B685))</f>
        <v/>
      </c>
      <c r="G685" s="232"/>
    </row>
    <row r="686" spans="1:7">
      <c r="A686" s="136" t="str">
        <f t="shared" si="2"/>
        <v/>
      </c>
      <c r="B686" s="137"/>
      <c r="C686" s="137"/>
      <c r="D686" s="136"/>
      <c r="E686" s="136"/>
      <c r="F686" s="136" t="str">
        <f>IF(B686="","",D686-SUMIFS(Issue!$D$3:$D993,Issue!$C$3:$C993,C686,Issue!$B$3:$B993,B686))</f>
        <v/>
      </c>
      <c r="G686" s="232"/>
    </row>
    <row r="687" spans="1:7">
      <c r="A687" s="136" t="str">
        <f t="shared" si="2"/>
        <v/>
      </c>
      <c r="B687" s="137"/>
      <c r="C687" s="137"/>
      <c r="D687" s="136"/>
      <c r="E687" s="136"/>
      <c r="F687" s="136" t="str">
        <f>IF(B687="","",D687-SUMIFS(Issue!$D$3:$D993,Issue!$C$3:$C993,C687,Issue!$B$3:$B993,B687))</f>
        <v/>
      </c>
      <c r="G687" s="232"/>
    </row>
    <row r="688" spans="1:7">
      <c r="A688" s="136" t="str">
        <f t="shared" si="2"/>
        <v/>
      </c>
      <c r="B688" s="137"/>
      <c r="C688" s="137"/>
      <c r="D688" s="136"/>
      <c r="E688" s="136"/>
      <c r="F688" s="136" t="str">
        <f>IF(B688="","",D688-SUMIFS(Issue!$D$3:$D993,Issue!$C$3:$C993,C688,Issue!$B$3:$B993,B688))</f>
        <v/>
      </c>
      <c r="G688" s="232"/>
    </row>
    <row r="689" spans="1:7">
      <c r="A689" s="136" t="str">
        <f t="shared" si="2"/>
        <v/>
      </c>
      <c r="B689" s="137"/>
      <c r="C689" s="137"/>
      <c r="D689" s="136"/>
      <c r="E689" s="136"/>
      <c r="F689" s="136" t="str">
        <f>IF(B689="","",D689-SUMIFS(Issue!$D$3:$D993,Issue!$C$3:$C993,C689,Issue!$B$3:$B993,B689))</f>
        <v/>
      </c>
      <c r="G689" s="232"/>
    </row>
    <row r="690" spans="1:7">
      <c r="A690" s="136" t="str">
        <f t="shared" si="2"/>
        <v/>
      </c>
      <c r="B690" s="137"/>
      <c r="C690" s="137"/>
      <c r="D690" s="136"/>
      <c r="E690" s="136"/>
      <c r="F690" s="136" t="str">
        <f>IF(B690="","",D690-SUMIFS(Issue!$D$3:$D993,Issue!$C$3:$C993,C690,Issue!$B$3:$B993,B690))</f>
        <v/>
      </c>
      <c r="G690" s="232"/>
    </row>
    <row r="691" spans="1:7">
      <c r="A691" s="136" t="str">
        <f t="shared" si="2"/>
        <v/>
      </c>
      <c r="B691" s="137"/>
      <c r="C691" s="137"/>
      <c r="D691" s="136"/>
      <c r="E691" s="136"/>
      <c r="F691" s="136" t="str">
        <f>IF(B691="","",D691-SUMIFS(Issue!$D$3:$D993,Issue!$C$3:$C993,C691,Issue!$B$3:$B993,B691))</f>
        <v/>
      </c>
      <c r="G691" s="232"/>
    </row>
    <row r="692" spans="1:7">
      <c r="A692" s="136" t="str">
        <f t="shared" si="2"/>
        <v/>
      </c>
      <c r="B692" s="137"/>
      <c r="C692" s="137"/>
      <c r="D692" s="136"/>
      <c r="E692" s="136"/>
      <c r="F692" s="136" t="str">
        <f>IF(B692="","",D692-SUMIFS(Issue!$D$3:$D993,Issue!$C$3:$C993,C692,Issue!$B$3:$B993,B692))</f>
        <v/>
      </c>
      <c r="G692" s="232"/>
    </row>
    <row r="693" spans="1:7">
      <c r="A693" s="136" t="str">
        <f t="shared" si="2"/>
        <v/>
      </c>
      <c r="B693" s="137"/>
      <c r="C693" s="137"/>
      <c r="D693" s="136"/>
      <c r="E693" s="136"/>
      <c r="F693" s="136" t="str">
        <f>IF(B693="","",D693-SUMIFS(Issue!$D$3:$D993,Issue!$C$3:$C993,C693,Issue!$B$3:$B993,B693))</f>
        <v/>
      </c>
      <c r="G693" s="232"/>
    </row>
    <row r="694" spans="1:7">
      <c r="A694" s="136" t="str">
        <f t="shared" si="2"/>
        <v/>
      </c>
      <c r="B694" s="137"/>
      <c r="C694" s="137"/>
      <c r="D694" s="136"/>
      <c r="E694" s="136"/>
      <c r="F694" s="136" t="str">
        <f>IF(B694="","",D694-SUMIFS(Issue!$D$3:$D993,Issue!$C$3:$C993,C694,Issue!$B$3:$B993,B694))</f>
        <v/>
      </c>
      <c r="G694" s="232"/>
    </row>
    <row r="695" spans="1:7">
      <c r="A695" s="136" t="str">
        <f t="shared" si="2"/>
        <v/>
      </c>
      <c r="B695" s="137"/>
      <c r="C695" s="137"/>
      <c r="D695" s="136"/>
      <c r="E695" s="136"/>
      <c r="F695" s="136" t="str">
        <f>IF(B695="","",D695-SUMIFS(Issue!$D$3:$D993,Issue!$C$3:$C993,C695,Issue!$B$3:$B993,B695))</f>
        <v/>
      </c>
      <c r="G695" s="232"/>
    </row>
    <row r="696" spans="1:7">
      <c r="A696" s="136" t="str">
        <f t="shared" si="2"/>
        <v/>
      </c>
      <c r="B696" s="137"/>
      <c r="C696" s="137"/>
      <c r="D696" s="136"/>
      <c r="E696" s="136"/>
      <c r="F696" s="136" t="str">
        <f>IF(B696="","",D696-SUMIFS(Issue!$D$3:$D993,Issue!$C$3:$C993,C696,Issue!$B$3:$B993,B696))</f>
        <v/>
      </c>
      <c r="G696" s="232"/>
    </row>
    <row r="697" spans="1:7">
      <c r="A697" s="136" t="str">
        <f t="shared" si="2"/>
        <v/>
      </c>
      <c r="B697" s="137"/>
      <c r="C697" s="137"/>
      <c r="D697" s="136"/>
      <c r="E697" s="136"/>
      <c r="F697" s="136" t="str">
        <f>IF(B697="","",D697-SUMIFS(Issue!$D$3:$D993,Issue!$C$3:$C993,C697,Issue!$B$3:$B993,B697))</f>
        <v/>
      </c>
      <c r="G697" s="232"/>
    </row>
    <row r="698" spans="1:7">
      <c r="A698" s="136" t="str">
        <f t="shared" si="2"/>
        <v/>
      </c>
      <c r="B698" s="137"/>
      <c r="C698" s="137"/>
      <c r="D698" s="136"/>
      <c r="E698" s="136"/>
      <c r="F698" s="136" t="str">
        <f>IF(B698="","",D698-SUMIFS(Issue!$D$3:$D993,Issue!$C$3:$C993,C698,Issue!$B$3:$B993,B698))</f>
        <v/>
      </c>
      <c r="G698" s="232"/>
    </row>
    <row r="699" spans="1:7">
      <c r="A699" s="136" t="str">
        <f t="shared" si="2"/>
        <v/>
      </c>
      <c r="B699" s="137"/>
      <c r="C699" s="137"/>
      <c r="D699" s="136"/>
      <c r="E699" s="136"/>
      <c r="F699" s="136" t="str">
        <f>IF(B699="","",D699-SUMIFS(Issue!$D$3:$D993,Issue!$C$3:$C993,C699,Issue!$B$3:$B993,B699))</f>
        <v/>
      </c>
      <c r="G699" s="232"/>
    </row>
    <row r="700" spans="1:7">
      <c r="A700" s="136" t="str">
        <f t="shared" si="2"/>
        <v/>
      </c>
      <c r="B700" s="137"/>
      <c r="C700" s="137"/>
      <c r="D700" s="136"/>
      <c r="E700" s="136"/>
      <c r="F700" s="136" t="str">
        <f>IF(B700="","",D700-SUMIFS(Issue!$D$3:$D993,Issue!$C$3:$C993,C700,Issue!$B$3:$B993,B700))</f>
        <v/>
      </c>
      <c r="G700" s="232"/>
    </row>
    <row r="701" spans="1:7">
      <c r="A701" s="136" t="str">
        <f t="shared" si="2"/>
        <v/>
      </c>
      <c r="B701" s="137"/>
      <c r="C701" s="137"/>
      <c r="D701" s="136"/>
      <c r="E701" s="136"/>
      <c r="F701" s="136" t="str">
        <f>IF(B701="","",D701-SUMIFS(Issue!$D$3:$D993,Issue!$C$3:$C993,C701,Issue!$B$3:$B993,B701))</f>
        <v/>
      </c>
      <c r="G701" s="232"/>
    </row>
    <row r="702" spans="1:7">
      <c r="A702" s="136" t="str">
        <f t="shared" si="2"/>
        <v/>
      </c>
      <c r="B702" s="137"/>
      <c r="C702" s="137"/>
      <c r="D702" s="136"/>
      <c r="E702" s="136"/>
      <c r="F702" s="136" t="str">
        <f>IF(B702="","",D702-SUMIFS(Issue!$D$3:$D993,Issue!$C$3:$C993,C702,Issue!$B$3:$B993,B702))</f>
        <v/>
      </c>
      <c r="G702" s="232"/>
    </row>
    <row r="703" spans="1:7">
      <c r="A703" s="136" t="str">
        <f t="shared" si="2"/>
        <v/>
      </c>
      <c r="B703" s="137"/>
      <c r="C703" s="137"/>
      <c r="D703" s="136"/>
      <c r="E703" s="136"/>
      <c r="F703" s="136" t="str">
        <f>IF(B703="","",D703-SUMIFS(Issue!$D$3:$D993,Issue!$C$3:$C993,C703,Issue!$B$3:$B993,B703))</f>
        <v/>
      </c>
      <c r="G703" s="232"/>
    </row>
    <row r="704" spans="1:7">
      <c r="A704" s="136" t="str">
        <f t="shared" si="2"/>
        <v/>
      </c>
      <c r="B704" s="137"/>
      <c r="C704" s="137"/>
      <c r="D704" s="136"/>
      <c r="E704" s="136"/>
      <c r="F704" s="136" t="str">
        <f>IF(B704="","",D704-SUMIFS(Issue!$D$3:$D993,Issue!$C$3:$C993,C704,Issue!$B$3:$B993,B704))</f>
        <v/>
      </c>
      <c r="G704" s="232"/>
    </row>
    <row r="705" spans="1:7">
      <c r="A705" s="136" t="str">
        <f t="shared" si="2"/>
        <v/>
      </c>
      <c r="B705" s="137"/>
      <c r="C705" s="137"/>
      <c r="D705" s="136"/>
      <c r="E705" s="136"/>
      <c r="F705" s="136" t="str">
        <f>IF(B705="","",D705-SUMIFS(Issue!$D$3:$D993,Issue!$C$3:$C993,C705,Issue!$B$3:$B993,B705))</f>
        <v/>
      </c>
      <c r="G705" s="232"/>
    </row>
    <row r="706" spans="1:7">
      <c r="A706" s="136" t="str">
        <f t="shared" si="2"/>
        <v/>
      </c>
      <c r="B706" s="137"/>
      <c r="C706" s="137"/>
      <c r="D706" s="136"/>
      <c r="E706" s="136"/>
      <c r="F706" s="136" t="str">
        <f>IF(B706="","",D706-SUMIFS(Issue!$D$3:$D993,Issue!$C$3:$C993,C706,Issue!$B$3:$B993,B706))</f>
        <v/>
      </c>
      <c r="G706" s="232"/>
    </row>
    <row r="707" spans="1:7">
      <c r="A707" s="136" t="str">
        <f t="shared" si="2"/>
        <v/>
      </c>
      <c r="B707" s="137"/>
      <c r="C707" s="137"/>
      <c r="D707" s="136"/>
      <c r="E707" s="136"/>
      <c r="F707" s="136" t="str">
        <f>IF(B707="","",D707-SUMIFS(Issue!$D$3:$D993,Issue!$C$3:$C993,C707,Issue!$B$3:$B993,B707))</f>
        <v/>
      </c>
      <c r="G707" s="232"/>
    </row>
    <row r="708" spans="1:7">
      <c r="A708" s="136" t="str">
        <f t="shared" si="2"/>
        <v/>
      </c>
      <c r="B708" s="137"/>
      <c r="C708" s="137"/>
      <c r="D708" s="136"/>
      <c r="E708" s="136"/>
      <c r="F708" s="136" t="str">
        <f>IF(B708="","",D708-SUMIFS(Issue!$D$3:$D993,Issue!$C$3:$C993,C708,Issue!$B$3:$B993,B708))</f>
        <v/>
      </c>
      <c r="G708" s="232"/>
    </row>
    <row r="709" spans="1:7">
      <c r="A709" s="136" t="str">
        <f t="shared" si="2"/>
        <v/>
      </c>
      <c r="B709" s="137"/>
      <c r="C709" s="137"/>
      <c r="D709" s="136"/>
      <c r="E709" s="136"/>
      <c r="F709" s="136" t="str">
        <f>IF(B709="","",D709-SUMIFS(Issue!$D$3:$D993,Issue!$C$3:$C993,C709,Issue!$B$3:$B993,B709))</f>
        <v/>
      </c>
      <c r="G709" s="232"/>
    </row>
    <row r="710" spans="1:7">
      <c r="A710" s="136" t="str">
        <f t="shared" si="2"/>
        <v/>
      </c>
      <c r="B710" s="137"/>
      <c r="C710" s="137"/>
      <c r="D710" s="136"/>
      <c r="E710" s="136"/>
      <c r="F710" s="136" t="str">
        <f>IF(B710="","",D710-SUMIFS(Issue!$D$3:$D993,Issue!$C$3:$C993,C710,Issue!$B$3:$B993,B710))</f>
        <v/>
      </c>
      <c r="G710" s="232"/>
    </row>
    <row r="711" spans="1:7">
      <c r="A711" s="136" t="str">
        <f t="shared" si="2"/>
        <v/>
      </c>
      <c r="B711" s="137"/>
      <c r="C711" s="137"/>
      <c r="D711" s="136"/>
      <c r="E711" s="136"/>
      <c r="F711" s="136" t="str">
        <f>IF(B711="","",D711-SUMIFS(Issue!$D$3:$D993,Issue!$C$3:$C993,C711,Issue!$B$3:$B993,B711))</f>
        <v/>
      </c>
      <c r="G711" s="232"/>
    </row>
    <row r="712" spans="1:7">
      <c r="A712" s="136" t="str">
        <f t="shared" si="2"/>
        <v/>
      </c>
      <c r="B712" s="137"/>
      <c r="C712" s="137"/>
      <c r="D712" s="136"/>
      <c r="E712" s="136"/>
      <c r="F712" s="136" t="str">
        <f>IF(B712="","",D712-SUMIFS(Issue!$D$3:$D993,Issue!$C$3:$C993,C712,Issue!$B$3:$B993,B712))</f>
        <v/>
      </c>
      <c r="G712" s="232"/>
    </row>
    <row r="713" spans="1:7">
      <c r="A713" s="136" t="str">
        <f t="shared" si="2"/>
        <v/>
      </c>
      <c r="B713" s="137"/>
      <c r="C713" s="137"/>
      <c r="D713" s="136"/>
      <c r="E713" s="136"/>
      <c r="F713" s="136" t="str">
        <f>IF(B713="","",D713-SUMIFS(Issue!$D$3:$D993,Issue!$C$3:$C993,C713,Issue!$B$3:$B993,B713))</f>
        <v/>
      </c>
      <c r="G713" s="232"/>
    </row>
    <row r="714" spans="1:7">
      <c r="A714" s="136" t="str">
        <f t="shared" si="2"/>
        <v/>
      </c>
      <c r="B714" s="137"/>
      <c r="C714" s="137"/>
      <c r="D714" s="136"/>
      <c r="E714" s="136"/>
      <c r="F714" s="136" t="str">
        <f>IF(B714="","",D714-SUMIFS(Issue!$D$3:$D993,Issue!$C$3:$C993,C714,Issue!$B$3:$B993,B714))</f>
        <v/>
      </c>
      <c r="G714" s="232"/>
    </row>
    <row r="715" spans="1:7">
      <c r="A715" s="136" t="str">
        <f t="shared" si="2"/>
        <v/>
      </c>
      <c r="B715" s="137"/>
      <c r="C715" s="137"/>
      <c r="D715" s="136"/>
      <c r="E715" s="136"/>
      <c r="F715" s="136" t="str">
        <f>IF(B715="","",D715-SUMIFS(Issue!$D$3:$D993,Issue!$C$3:$C993,C715,Issue!$B$3:$B993,B715))</f>
        <v/>
      </c>
      <c r="G715" s="232"/>
    </row>
    <row r="716" spans="1:7">
      <c r="A716" s="136" t="str">
        <f t="shared" si="2"/>
        <v/>
      </c>
      <c r="B716" s="137"/>
      <c r="C716" s="137"/>
      <c r="D716" s="136"/>
      <c r="E716" s="136"/>
      <c r="F716" s="136" t="str">
        <f>IF(B716="","",D716-SUMIFS(Issue!$D$3:$D993,Issue!$C$3:$C993,C716,Issue!$B$3:$B993,B716))</f>
        <v/>
      </c>
      <c r="G716" s="232"/>
    </row>
    <row r="717" spans="1:7">
      <c r="A717" s="136" t="str">
        <f t="shared" si="2"/>
        <v/>
      </c>
      <c r="B717" s="137"/>
      <c r="C717" s="137"/>
      <c r="D717" s="136"/>
      <c r="E717" s="136"/>
      <c r="F717" s="136" t="str">
        <f>IF(B717="","",D717-SUMIFS(Issue!$D$3:$D993,Issue!$C$3:$C993,C717,Issue!$B$3:$B993,B717))</f>
        <v/>
      </c>
      <c r="G717" s="232"/>
    </row>
    <row r="718" spans="1:7">
      <c r="A718" s="136" t="str">
        <f t="shared" si="2"/>
        <v/>
      </c>
      <c r="B718" s="137"/>
      <c r="C718" s="137"/>
      <c r="D718" s="136"/>
      <c r="E718" s="136"/>
      <c r="F718" s="136" t="str">
        <f>IF(B718="","",D718-SUMIFS(Issue!$D$3:$D993,Issue!$C$3:$C993,C718,Issue!$B$3:$B993,B718))</f>
        <v/>
      </c>
      <c r="G718" s="232"/>
    </row>
    <row r="719" spans="1:7">
      <c r="A719" s="136" t="str">
        <f t="shared" si="2"/>
        <v/>
      </c>
      <c r="B719" s="137"/>
      <c r="C719" s="137"/>
      <c r="D719" s="136"/>
      <c r="E719" s="136"/>
      <c r="F719" s="136" t="str">
        <f>IF(B719="","",D719-SUMIFS(Issue!$D$3:$D993,Issue!$C$3:$C993,C719,Issue!$B$3:$B993,B719))</f>
        <v/>
      </c>
      <c r="G719" s="232"/>
    </row>
    <row r="720" spans="1:7">
      <c r="A720" s="136" t="str">
        <f t="shared" si="2"/>
        <v/>
      </c>
      <c r="B720" s="137"/>
      <c r="C720" s="137"/>
      <c r="D720" s="136"/>
      <c r="E720" s="136"/>
      <c r="F720" s="136" t="str">
        <f>IF(B720="","",D720-SUMIFS(Issue!$D$3:$D993,Issue!$C$3:$C993,C720,Issue!$B$3:$B993,B720))</f>
        <v/>
      </c>
      <c r="G720" s="232"/>
    </row>
    <row r="721" spans="1:7">
      <c r="A721" s="136" t="str">
        <f t="shared" si="2"/>
        <v/>
      </c>
      <c r="B721" s="137"/>
      <c r="C721" s="137"/>
      <c r="D721" s="136"/>
      <c r="E721" s="136"/>
      <c r="F721" s="136" t="str">
        <f>IF(B721="","",D721-SUMIFS(Issue!$D$3:$D993,Issue!$C$3:$C993,C721,Issue!$B$3:$B993,B721))</f>
        <v/>
      </c>
      <c r="G721" s="232"/>
    </row>
    <row r="722" spans="1:7">
      <c r="A722" s="136" t="str">
        <f t="shared" si="2"/>
        <v/>
      </c>
      <c r="B722" s="137"/>
      <c r="C722" s="137"/>
      <c r="D722" s="136"/>
      <c r="E722" s="136"/>
      <c r="F722" s="136" t="str">
        <f>IF(B722="","",D722-SUMIFS(Issue!$D$3:$D993,Issue!$C$3:$C993,C722,Issue!$B$3:$B993,B722))</f>
        <v/>
      </c>
      <c r="G722" s="232"/>
    </row>
    <row r="723" spans="1:7">
      <c r="A723" s="136" t="str">
        <f t="shared" si="2"/>
        <v/>
      </c>
      <c r="B723" s="137"/>
      <c r="C723" s="137"/>
      <c r="D723" s="136"/>
      <c r="E723" s="136"/>
      <c r="F723" s="136" t="str">
        <f>IF(B723="","",D723-SUMIFS(Issue!$D$3:$D993,Issue!$C$3:$C993,C723,Issue!$B$3:$B993,B723))</f>
        <v/>
      </c>
      <c r="G723" s="232"/>
    </row>
    <row r="724" spans="1:7">
      <c r="A724" s="136" t="str">
        <f t="shared" si="2"/>
        <v/>
      </c>
      <c r="B724" s="137"/>
      <c r="C724" s="137"/>
      <c r="D724" s="136"/>
      <c r="E724" s="136"/>
      <c r="F724" s="136" t="str">
        <f>IF(B724="","",D724-SUMIFS(Issue!$D$3:$D993,Issue!$C$3:$C993,C724,Issue!$B$3:$B993,B724))</f>
        <v/>
      </c>
      <c r="G724" s="232"/>
    </row>
    <row r="725" spans="1:7">
      <c r="A725" s="136" t="str">
        <f t="shared" si="2"/>
        <v/>
      </c>
      <c r="B725" s="137"/>
      <c r="C725" s="137"/>
      <c r="D725" s="136"/>
      <c r="E725" s="136"/>
      <c r="F725" s="136" t="str">
        <f>IF(B725="","",D725-SUMIFS(Issue!$D$3:$D993,Issue!$C$3:$C993,C725,Issue!$B$3:$B993,B725))</f>
        <v/>
      </c>
      <c r="G725" s="232"/>
    </row>
    <row r="726" spans="1:7">
      <c r="A726" s="136" t="str">
        <f t="shared" si="2"/>
        <v/>
      </c>
      <c r="B726" s="137"/>
      <c r="C726" s="137"/>
      <c r="D726" s="136"/>
      <c r="E726" s="136"/>
      <c r="F726" s="136" t="str">
        <f>IF(B726="","",D726-SUMIFS(Issue!$D$3:$D993,Issue!$C$3:$C993,C726,Issue!$B$3:$B993,B726))</f>
        <v/>
      </c>
      <c r="G726" s="232"/>
    </row>
    <row r="727" spans="1:7">
      <c r="A727" s="136" t="str">
        <f t="shared" si="2"/>
        <v/>
      </c>
      <c r="B727" s="137"/>
      <c r="C727" s="137"/>
      <c r="D727" s="136"/>
      <c r="E727" s="136"/>
      <c r="F727" s="136" t="str">
        <f>IF(B727="","",D727-SUMIFS(Issue!$D$3:$D993,Issue!$C$3:$C993,C727,Issue!$B$3:$B993,B727))</f>
        <v/>
      </c>
      <c r="G727" s="232"/>
    </row>
    <row r="728" spans="1:7">
      <c r="A728" s="136" t="str">
        <f t="shared" si="2"/>
        <v/>
      </c>
      <c r="B728" s="137"/>
      <c r="C728" s="137"/>
      <c r="D728" s="136"/>
      <c r="E728" s="136"/>
      <c r="F728" s="136" t="str">
        <f>IF(B728="","",D728-SUMIFS(Issue!$D$3:$D993,Issue!$C$3:$C993,C728,Issue!$B$3:$B993,B728))</f>
        <v/>
      </c>
      <c r="G728" s="232"/>
    </row>
    <row r="729" spans="1:7">
      <c r="A729" s="136" t="str">
        <f t="shared" si="2"/>
        <v/>
      </c>
      <c r="B729" s="137"/>
      <c r="C729" s="137"/>
      <c r="D729" s="136"/>
      <c r="E729" s="136"/>
      <c r="F729" s="136" t="str">
        <f>IF(B729="","",D729-SUMIFS(Issue!$D$3:$D993,Issue!$C$3:$C993,C729,Issue!$B$3:$B993,B729))</f>
        <v/>
      </c>
      <c r="G729" s="232"/>
    </row>
    <row r="730" spans="1:7">
      <c r="A730" s="136" t="str">
        <f t="shared" si="2"/>
        <v/>
      </c>
      <c r="B730" s="137"/>
      <c r="C730" s="137"/>
      <c r="D730" s="136"/>
      <c r="E730" s="136"/>
      <c r="F730" s="136" t="str">
        <f>IF(B730="","",D730-SUMIFS(Issue!$D$3:$D993,Issue!$C$3:$C993,C730,Issue!$B$3:$B993,B730))</f>
        <v/>
      </c>
      <c r="G730" s="232"/>
    </row>
    <row r="731" spans="1:7">
      <c r="A731" s="136" t="str">
        <f t="shared" si="2"/>
        <v/>
      </c>
      <c r="B731" s="137"/>
      <c r="C731" s="137"/>
      <c r="D731" s="136"/>
      <c r="E731" s="136"/>
      <c r="F731" s="136" t="str">
        <f>IF(B731="","",D731-SUMIFS(Issue!$D$3:$D993,Issue!$C$3:$C993,C731,Issue!$B$3:$B993,B731))</f>
        <v/>
      </c>
      <c r="G731" s="232"/>
    </row>
    <row r="732" spans="1:7">
      <c r="A732" s="136" t="str">
        <f t="shared" si="2"/>
        <v/>
      </c>
      <c r="B732" s="137"/>
      <c r="C732" s="137"/>
      <c r="D732" s="136"/>
      <c r="E732" s="136"/>
      <c r="F732" s="136" t="str">
        <f>IF(B732="","",D732-SUMIFS(Issue!$D$3:$D993,Issue!$C$3:$C993,C732,Issue!$B$3:$B993,B732))</f>
        <v/>
      </c>
      <c r="G732" s="232"/>
    </row>
    <row r="733" spans="1:7">
      <c r="A733" s="136" t="str">
        <f t="shared" si="2"/>
        <v/>
      </c>
      <c r="B733" s="137"/>
      <c r="C733" s="137"/>
      <c r="D733" s="136"/>
      <c r="E733" s="136"/>
      <c r="F733" s="136" t="str">
        <f>IF(B733="","",D733-SUMIFS(Issue!$D$3:$D993,Issue!$C$3:$C993,C733,Issue!$B$3:$B993,B733))</f>
        <v/>
      </c>
      <c r="G733" s="232"/>
    </row>
    <row r="734" spans="1:7">
      <c r="A734" s="136" t="str">
        <f t="shared" si="2"/>
        <v/>
      </c>
      <c r="B734" s="137"/>
      <c r="C734" s="137"/>
      <c r="D734" s="136"/>
      <c r="E734" s="136"/>
      <c r="F734" s="136" t="str">
        <f>IF(B734="","",D734-SUMIFS(Issue!$D$3:$D993,Issue!$C$3:$C993,C734,Issue!$B$3:$B993,B734))</f>
        <v/>
      </c>
      <c r="G734" s="232"/>
    </row>
    <row r="735" spans="1:7">
      <c r="A735" s="136" t="str">
        <f t="shared" si="2"/>
        <v/>
      </c>
      <c r="B735" s="137"/>
      <c r="C735" s="137"/>
      <c r="D735" s="136"/>
      <c r="E735" s="136"/>
      <c r="F735" s="136" t="str">
        <f>IF(B735="","",D735-SUMIFS(Issue!$D$3:$D993,Issue!$C$3:$C993,C735,Issue!$B$3:$B993,B735))</f>
        <v/>
      </c>
      <c r="G735" s="232"/>
    </row>
    <row r="736" spans="1:7">
      <c r="A736" s="136" t="str">
        <f t="shared" si="2"/>
        <v/>
      </c>
      <c r="B736" s="137"/>
      <c r="C736" s="137"/>
      <c r="D736" s="136"/>
      <c r="E736" s="136"/>
      <c r="F736" s="136" t="str">
        <f>IF(B736="","",D736-SUMIFS(Issue!$D$3:$D993,Issue!$C$3:$C993,C736,Issue!$B$3:$B993,B736))</f>
        <v/>
      </c>
      <c r="G736" s="232"/>
    </row>
    <row r="737" spans="1:7">
      <c r="A737" s="136" t="str">
        <f t="shared" si="2"/>
        <v/>
      </c>
      <c r="B737" s="137"/>
      <c r="C737" s="137"/>
      <c r="D737" s="136"/>
      <c r="E737" s="136"/>
      <c r="F737" s="136" t="str">
        <f>IF(B737="","",D737-SUMIFS(Issue!$D$3:$D993,Issue!$C$3:$C993,C737,Issue!$B$3:$B993,B737))</f>
        <v/>
      </c>
      <c r="G737" s="232"/>
    </row>
    <row r="738" spans="1:7">
      <c r="A738" s="136" t="str">
        <f t="shared" si="2"/>
        <v/>
      </c>
      <c r="B738" s="137"/>
      <c r="C738" s="137"/>
      <c r="D738" s="136"/>
      <c r="E738" s="136"/>
      <c r="F738" s="136" t="str">
        <f>IF(B738="","",D738-SUMIFS(Issue!$D$3:$D993,Issue!$C$3:$C993,C738,Issue!$B$3:$B993,B738))</f>
        <v/>
      </c>
      <c r="G738" s="232"/>
    </row>
    <row r="739" spans="1:7">
      <c r="A739" s="136" t="str">
        <f t="shared" si="2"/>
        <v/>
      </c>
      <c r="B739" s="137"/>
      <c r="C739" s="137"/>
      <c r="D739" s="136"/>
      <c r="E739" s="136"/>
      <c r="F739" s="136" t="str">
        <f>IF(B739="","",D739-SUMIFS(Issue!$D$3:$D993,Issue!$C$3:$C993,C739,Issue!$B$3:$B993,B739))</f>
        <v/>
      </c>
      <c r="G739" s="232"/>
    </row>
    <row r="740" spans="1:7">
      <c r="A740" s="136" t="str">
        <f t="shared" si="2"/>
        <v/>
      </c>
      <c r="B740" s="137"/>
      <c r="C740" s="137"/>
      <c r="D740" s="136"/>
      <c r="E740" s="136"/>
      <c r="F740" s="136" t="str">
        <f>IF(B740="","",D740-SUMIFS(Issue!$D$3:$D993,Issue!$C$3:$C993,C740,Issue!$B$3:$B993,B740))</f>
        <v/>
      </c>
      <c r="G740" s="232"/>
    </row>
    <row r="741" spans="1:7">
      <c r="A741" s="136" t="str">
        <f t="shared" si="2"/>
        <v/>
      </c>
      <c r="B741" s="137"/>
      <c r="C741" s="137"/>
      <c r="D741" s="136"/>
      <c r="E741" s="136"/>
      <c r="F741" s="136" t="str">
        <f>IF(B741="","",D741-SUMIFS(Issue!$D$3:$D993,Issue!$C$3:$C993,C741,Issue!$B$3:$B993,B741))</f>
        <v/>
      </c>
      <c r="G741" s="232"/>
    </row>
    <row r="742" spans="1:7">
      <c r="A742" s="136" t="str">
        <f t="shared" si="2"/>
        <v/>
      </c>
      <c r="B742" s="137"/>
      <c r="C742" s="137"/>
      <c r="D742" s="136"/>
      <c r="E742" s="136"/>
      <c r="F742" s="136" t="str">
        <f>IF(B742="","",D742-SUMIFS(Issue!$D$3:$D993,Issue!$C$3:$C993,C742,Issue!$B$3:$B993,B742))</f>
        <v/>
      </c>
      <c r="G742" s="232"/>
    </row>
    <row r="743" spans="1:7">
      <c r="A743" s="136" t="str">
        <f t="shared" si="2"/>
        <v/>
      </c>
      <c r="B743" s="137"/>
      <c r="C743" s="137"/>
      <c r="D743" s="136"/>
      <c r="E743" s="136"/>
      <c r="F743" s="136" t="str">
        <f>IF(B743="","",D743-SUMIFS(Issue!$D$3:$D993,Issue!$C$3:$C993,C743,Issue!$B$3:$B993,B743))</f>
        <v/>
      </c>
      <c r="G743" s="232"/>
    </row>
    <row r="744" spans="1:7">
      <c r="A744" s="136" t="str">
        <f t="shared" si="2"/>
        <v/>
      </c>
      <c r="B744" s="137"/>
      <c r="C744" s="137"/>
      <c r="D744" s="136"/>
      <c r="E744" s="136"/>
      <c r="F744" s="136" t="str">
        <f>IF(B744="","",D744-SUMIFS(Issue!$D$3:$D993,Issue!$C$3:$C993,C744,Issue!$B$3:$B993,B744))</f>
        <v/>
      </c>
      <c r="G744" s="232"/>
    </row>
    <row r="745" spans="1:7">
      <c r="A745" s="136" t="str">
        <f t="shared" si="2"/>
        <v/>
      </c>
      <c r="B745" s="137"/>
      <c r="C745" s="137"/>
      <c r="D745" s="136"/>
      <c r="E745" s="136"/>
      <c r="F745" s="136" t="str">
        <f>IF(B745="","",D745-SUMIFS(Issue!$D$3:$D993,Issue!$C$3:$C993,C745,Issue!$B$3:$B993,B745))</f>
        <v/>
      </c>
      <c r="G745" s="232"/>
    </row>
    <row r="746" spans="1:7">
      <c r="A746" s="136" t="str">
        <f t="shared" si="2"/>
        <v/>
      </c>
      <c r="B746" s="137"/>
      <c r="C746" s="137"/>
      <c r="D746" s="136"/>
      <c r="E746" s="136"/>
      <c r="F746" s="136" t="str">
        <f>IF(B746="","",D746-SUMIFS(Issue!$D$3:$D993,Issue!$C$3:$C993,C746,Issue!$B$3:$B993,B746))</f>
        <v/>
      </c>
      <c r="G746" s="232"/>
    </row>
    <row r="747" spans="1:7">
      <c r="A747" s="136" t="str">
        <f t="shared" si="2"/>
        <v/>
      </c>
      <c r="B747" s="137"/>
      <c r="C747" s="137"/>
      <c r="D747" s="136"/>
      <c r="E747" s="136"/>
      <c r="F747" s="136" t="str">
        <f>IF(B747="","",D747-SUMIFS(Issue!$D$3:$D993,Issue!$C$3:$C993,C747,Issue!$B$3:$B993,B747))</f>
        <v/>
      </c>
      <c r="G747" s="232"/>
    </row>
    <row r="748" spans="1:7">
      <c r="A748" s="136" t="str">
        <f t="shared" si="2"/>
        <v/>
      </c>
      <c r="B748" s="137"/>
      <c r="C748" s="137"/>
      <c r="D748" s="136"/>
      <c r="E748" s="136"/>
      <c r="F748" s="136" t="str">
        <f>IF(B748="","",D748-SUMIFS(Issue!$D$3:$D993,Issue!$C$3:$C993,C748,Issue!$B$3:$B993,B748))</f>
        <v/>
      </c>
      <c r="G748" s="232"/>
    </row>
    <row r="749" spans="1:7">
      <c r="A749" s="136" t="str">
        <f t="shared" si="2"/>
        <v/>
      </c>
      <c r="B749" s="137"/>
      <c r="C749" s="137"/>
      <c r="D749" s="136"/>
      <c r="E749" s="136"/>
      <c r="F749" s="136" t="str">
        <f>IF(B749="","",D749-SUMIFS(Issue!$D$3:$D993,Issue!$C$3:$C993,C749,Issue!$B$3:$B993,B749))</f>
        <v/>
      </c>
      <c r="G749" s="232"/>
    </row>
    <row r="750" spans="1:7">
      <c r="A750" s="136" t="str">
        <f t="shared" si="2"/>
        <v/>
      </c>
      <c r="B750" s="137"/>
      <c r="C750" s="137"/>
      <c r="D750" s="136"/>
      <c r="E750" s="136"/>
      <c r="F750" s="136" t="str">
        <f>IF(B750="","",D750-SUMIFS(Issue!$D$3:$D993,Issue!$C$3:$C993,C750,Issue!$B$3:$B993,B750))</f>
        <v/>
      </c>
      <c r="G750" s="232"/>
    </row>
    <row r="751" spans="1:7">
      <c r="A751" s="136" t="str">
        <f t="shared" si="2"/>
        <v/>
      </c>
      <c r="B751" s="137"/>
      <c r="C751" s="137"/>
      <c r="D751" s="136"/>
      <c r="E751" s="136"/>
      <c r="F751" s="136" t="str">
        <f>IF(B751="","",D751-SUMIFS(Issue!$D$3:$D993,Issue!$C$3:$C993,C751,Issue!$B$3:$B993,B751))</f>
        <v/>
      </c>
      <c r="G751" s="232"/>
    </row>
    <row r="752" spans="1:7">
      <c r="A752" s="136" t="str">
        <f t="shared" si="2"/>
        <v/>
      </c>
      <c r="B752" s="137"/>
      <c r="C752" s="137"/>
      <c r="D752" s="136"/>
      <c r="E752" s="136"/>
      <c r="F752" s="136" t="str">
        <f>IF(B752="","",D752-SUMIFS(Issue!$D$3:$D993,Issue!$C$3:$C993,C752,Issue!$B$3:$B993,B752))</f>
        <v/>
      </c>
      <c r="G752" s="232"/>
    </row>
    <row r="753" spans="1:7">
      <c r="A753" s="136" t="str">
        <f t="shared" si="2"/>
        <v/>
      </c>
      <c r="B753" s="137"/>
      <c r="C753" s="137"/>
      <c r="D753" s="136"/>
      <c r="E753" s="136"/>
      <c r="F753" s="136" t="str">
        <f>IF(B753="","",D753-SUMIFS(Issue!$D$3:$D993,Issue!$C$3:$C993,C753,Issue!$B$3:$B993,B753))</f>
        <v/>
      </c>
      <c r="G753" s="232"/>
    </row>
    <row r="754" spans="1:7">
      <c r="A754" s="136" t="str">
        <f t="shared" si="2"/>
        <v/>
      </c>
      <c r="B754" s="137"/>
      <c r="C754" s="137"/>
      <c r="D754" s="136"/>
      <c r="E754" s="136"/>
      <c r="F754" s="136" t="str">
        <f>IF(B754="","",D754-SUMIFS(Issue!$D$3:$D993,Issue!$C$3:$C993,C754,Issue!$B$3:$B993,B754))</f>
        <v/>
      </c>
      <c r="G754" s="232"/>
    </row>
    <row r="755" spans="1:7">
      <c r="A755" s="136" t="str">
        <f t="shared" si="2"/>
        <v/>
      </c>
      <c r="B755" s="137"/>
      <c r="C755" s="137"/>
      <c r="D755" s="136"/>
      <c r="E755" s="136"/>
      <c r="F755" s="136" t="str">
        <f>IF(B755="","",D755-SUMIFS(Issue!$D$3:$D993,Issue!$C$3:$C993,C755,Issue!$B$3:$B993,B755))</f>
        <v/>
      </c>
      <c r="G755" s="232"/>
    </row>
    <row r="756" spans="1:7">
      <c r="A756" s="136" t="str">
        <f t="shared" si="2"/>
        <v/>
      </c>
      <c r="B756" s="137"/>
      <c r="C756" s="137"/>
      <c r="D756" s="136"/>
      <c r="E756" s="136"/>
      <c r="F756" s="136" t="str">
        <f>IF(B756="","",D756-SUMIFS(Issue!$D$3:$D993,Issue!$C$3:$C993,C756,Issue!$B$3:$B993,B756))</f>
        <v/>
      </c>
      <c r="G756" s="232"/>
    </row>
    <row r="757" spans="1:7">
      <c r="A757" s="136" t="str">
        <f t="shared" si="2"/>
        <v/>
      </c>
      <c r="B757" s="137"/>
      <c r="C757" s="137"/>
      <c r="D757" s="136"/>
      <c r="E757" s="136"/>
      <c r="F757" s="136" t="str">
        <f>IF(B757="","",D757-SUMIFS(Issue!$D$3:$D993,Issue!$C$3:$C993,C757,Issue!$B$3:$B993,B757))</f>
        <v/>
      </c>
      <c r="G757" s="232"/>
    </row>
    <row r="758" spans="1:7">
      <c r="A758" s="136" t="str">
        <f t="shared" si="2"/>
        <v/>
      </c>
      <c r="B758" s="137"/>
      <c r="C758" s="137"/>
      <c r="D758" s="136"/>
      <c r="E758" s="136"/>
      <c r="F758" s="136" t="str">
        <f>IF(B758="","",D758-SUMIFS(Issue!$D$3:$D993,Issue!$C$3:$C993,C758,Issue!$B$3:$B993,B758))</f>
        <v/>
      </c>
      <c r="G758" s="232"/>
    </row>
    <row r="759" spans="1:7">
      <c r="A759" s="136" t="str">
        <f t="shared" si="2"/>
        <v/>
      </c>
      <c r="B759" s="137"/>
      <c r="C759" s="137"/>
      <c r="D759" s="136"/>
      <c r="E759" s="136"/>
      <c r="F759" s="136" t="str">
        <f>IF(B759="","",D759-SUMIFS(Issue!$D$3:$D993,Issue!$C$3:$C993,C759,Issue!$B$3:$B993,B759))</f>
        <v/>
      </c>
      <c r="G759" s="232"/>
    </row>
    <row r="760" spans="1:7">
      <c r="A760" s="136" t="str">
        <f t="shared" si="2"/>
        <v/>
      </c>
      <c r="B760" s="137"/>
      <c r="C760" s="137"/>
      <c r="D760" s="136"/>
      <c r="E760" s="136"/>
      <c r="F760" s="136" t="str">
        <f>IF(B760="","",D760-SUMIFS(Issue!$D$3:$D993,Issue!$C$3:$C993,C760,Issue!$B$3:$B993,B760))</f>
        <v/>
      </c>
      <c r="G760" s="232"/>
    </row>
    <row r="761" spans="1:7">
      <c r="A761" s="136" t="str">
        <f t="shared" si="2"/>
        <v/>
      </c>
      <c r="B761" s="137"/>
      <c r="C761" s="137"/>
      <c r="D761" s="136"/>
      <c r="E761" s="136"/>
      <c r="F761" s="136" t="str">
        <f>IF(B761="","",D761-SUMIFS(Issue!$D$3:$D993,Issue!$C$3:$C993,C761,Issue!$B$3:$B993,B761))</f>
        <v/>
      </c>
      <c r="G761" s="232"/>
    </row>
    <row r="762" spans="1:7">
      <c r="A762" s="136" t="str">
        <f t="shared" si="2"/>
        <v/>
      </c>
      <c r="B762" s="137"/>
      <c r="C762" s="137"/>
      <c r="D762" s="136"/>
      <c r="E762" s="136"/>
      <c r="F762" s="136" t="str">
        <f>IF(B762="","",D762-SUMIFS(Issue!$D$3:$D993,Issue!$C$3:$C993,C762,Issue!$B$3:$B993,B762))</f>
        <v/>
      </c>
      <c r="G762" s="232"/>
    </row>
    <row r="763" spans="1:7">
      <c r="A763" s="136" t="str">
        <f t="shared" si="2"/>
        <v/>
      </c>
      <c r="B763" s="137"/>
      <c r="C763" s="137"/>
      <c r="D763" s="136"/>
      <c r="E763" s="136"/>
      <c r="F763" s="136" t="str">
        <f>IF(B763="","",D763-SUMIFS(Issue!$D$3:$D993,Issue!$C$3:$C993,C763,Issue!$B$3:$B993,B763))</f>
        <v/>
      </c>
      <c r="G763" s="232"/>
    </row>
    <row r="764" spans="1:7">
      <c r="A764" s="136" t="str">
        <f t="shared" si="2"/>
        <v/>
      </c>
      <c r="B764" s="137"/>
      <c r="C764" s="137"/>
      <c r="D764" s="136"/>
      <c r="E764" s="136"/>
      <c r="F764" s="136" t="str">
        <f>IF(B764="","",D764-SUMIFS(Issue!$D$3:$D993,Issue!$C$3:$C993,C764,Issue!$B$3:$B993,B764))</f>
        <v/>
      </c>
      <c r="G764" s="232"/>
    </row>
    <row r="765" spans="1:7">
      <c r="A765" s="136" t="str">
        <f t="shared" si="2"/>
        <v/>
      </c>
      <c r="B765" s="137"/>
      <c r="C765" s="137"/>
      <c r="D765" s="136"/>
      <c r="E765" s="136"/>
      <c r="F765" s="136" t="str">
        <f>IF(B765="","",D765-SUMIFS(Issue!$D$3:$D993,Issue!$C$3:$C993,C765,Issue!$B$3:$B993,B765))</f>
        <v/>
      </c>
      <c r="G765" s="232"/>
    </row>
    <row r="766" spans="1:7">
      <c r="A766" s="136" t="str">
        <f t="shared" si="2"/>
        <v/>
      </c>
      <c r="B766" s="137"/>
      <c r="C766" s="137"/>
      <c r="D766" s="136"/>
      <c r="E766" s="136"/>
      <c r="F766" s="136" t="str">
        <f>IF(B766="","",D766-SUMIFS(Issue!$D$3:$D993,Issue!$C$3:$C993,C766,Issue!$B$3:$B993,B766))</f>
        <v/>
      </c>
      <c r="G766" s="232"/>
    </row>
    <row r="767" spans="1:7">
      <c r="A767" s="136" t="str">
        <f t="shared" si="2"/>
        <v/>
      </c>
      <c r="B767" s="137"/>
      <c r="C767" s="137"/>
      <c r="D767" s="136"/>
      <c r="E767" s="136"/>
      <c r="F767" s="136" t="str">
        <f>IF(B767="","",D767-SUMIFS(Issue!$D$3:$D993,Issue!$C$3:$C993,C767,Issue!$B$3:$B993,B767))</f>
        <v/>
      </c>
      <c r="G767" s="232"/>
    </row>
    <row r="768" spans="1:7">
      <c r="A768" s="136" t="str">
        <f t="shared" si="2"/>
        <v/>
      </c>
      <c r="B768" s="137"/>
      <c r="C768" s="137"/>
      <c r="D768" s="136"/>
      <c r="E768" s="136"/>
      <c r="F768" s="136" t="str">
        <f>IF(B768="","",D768-SUMIFS(Issue!$D$3:$D993,Issue!$C$3:$C993,C768,Issue!$B$3:$B993,B768))</f>
        <v/>
      </c>
      <c r="G768" s="232"/>
    </row>
    <row r="769" spans="1:7">
      <c r="A769" s="136" t="str">
        <f t="shared" si="2"/>
        <v/>
      </c>
      <c r="B769" s="137"/>
      <c r="C769" s="137"/>
      <c r="D769" s="136"/>
      <c r="E769" s="136"/>
      <c r="F769" s="136" t="str">
        <f>IF(B769="","",D769-SUMIFS(Issue!$D$3:$D993,Issue!$C$3:$C993,C769,Issue!$B$3:$B993,B769))</f>
        <v/>
      </c>
      <c r="G769" s="232"/>
    </row>
    <row r="770" spans="1:7">
      <c r="A770" s="136" t="str">
        <f t="shared" si="2"/>
        <v/>
      </c>
      <c r="B770" s="137"/>
      <c r="C770" s="137"/>
      <c r="D770" s="136"/>
      <c r="E770" s="136"/>
      <c r="F770" s="136" t="str">
        <f>IF(B770="","",D770-SUMIFS(Issue!$D$3:$D993,Issue!$C$3:$C993,C770,Issue!$B$3:$B993,B770))</f>
        <v/>
      </c>
      <c r="G770" s="232"/>
    </row>
    <row r="771" spans="1:7">
      <c r="A771" s="136" t="str">
        <f t="shared" ref="A771:A993" si="3">IF(B771="","",ROW()-2)</f>
        <v/>
      </c>
      <c r="B771" s="137"/>
      <c r="C771" s="137"/>
      <c r="D771" s="136"/>
      <c r="E771" s="136"/>
      <c r="F771" s="136" t="str">
        <f>IF(B771="","",D771-SUMIFS(Issue!$D$3:$D993,Issue!$C$3:$C993,C771,Issue!$B$3:$B993,B771))</f>
        <v/>
      </c>
      <c r="G771" s="232"/>
    </row>
    <row r="772" spans="1:7">
      <c r="A772" s="136" t="str">
        <f t="shared" si="3"/>
        <v/>
      </c>
      <c r="B772" s="137"/>
      <c r="C772" s="137"/>
      <c r="D772" s="136"/>
      <c r="E772" s="136"/>
      <c r="F772" s="136" t="str">
        <f>IF(B772="","",D772-SUMIFS(Issue!$D$3:$D993,Issue!$C$3:$C993,C772,Issue!$B$3:$B993,B772))</f>
        <v/>
      </c>
      <c r="G772" s="232"/>
    </row>
    <row r="773" spans="1:7">
      <c r="A773" s="136" t="str">
        <f t="shared" si="3"/>
        <v/>
      </c>
      <c r="B773" s="137"/>
      <c r="C773" s="137"/>
      <c r="D773" s="136"/>
      <c r="E773" s="136"/>
      <c r="F773" s="136" t="str">
        <f>IF(B773="","",D773-SUMIFS(Issue!$D$3:$D993,Issue!$C$3:$C993,C773,Issue!$B$3:$B993,B773))</f>
        <v/>
      </c>
      <c r="G773" s="232"/>
    </row>
    <row r="774" spans="1:7">
      <c r="A774" s="136" t="str">
        <f t="shared" si="3"/>
        <v/>
      </c>
      <c r="B774" s="137"/>
      <c r="C774" s="137"/>
      <c r="D774" s="136"/>
      <c r="E774" s="136"/>
      <c r="F774" s="136" t="str">
        <f>IF(B774="","",D774-SUMIFS(Issue!$D$3:$D993,Issue!$C$3:$C993,C774,Issue!$B$3:$B993,B774))</f>
        <v/>
      </c>
      <c r="G774" s="232"/>
    </row>
    <row r="775" spans="1:7">
      <c r="A775" s="136" t="str">
        <f t="shared" si="3"/>
        <v/>
      </c>
      <c r="B775" s="137"/>
      <c r="C775" s="137"/>
      <c r="D775" s="136"/>
      <c r="E775" s="136"/>
      <c r="F775" s="136" t="str">
        <f>IF(B775="","",D775-SUMIFS(Issue!$D$3:$D993,Issue!$C$3:$C993,C775,Issue!$B$3:$B993,B775))</f>
        <v/>
      </c>
      <c r="G775" s="232"/>
    </row>
    <row r="776" spans="1:7">
      <c r="A776" s="136" t="str">
        <f t="shared" si="3"/>
        <v/>
      </c>
      <c r="B776" s="137"/>
      <c r="C776" s="137"/>
      <c r="D776" s="136"/>
      <c r="E776" s="136"/>
      <c r="F776" s="136" t="str">
        <f>IF(B776="","",D776-SUMIFS(Issue!$D$3:$D993,Issue!$C$3:$C993,C776,Issue!$B$3:$B993,B776))</f>
        <v/>
      </c>
      <c r="G776" s="232"/>
    </row>
    <row r="777" spans="1:7">
      <c r="A777" s="136" t="str">
        <f t="shared" si="3"/>
        <v/>
      </c>
      <c r="B777" s="137"/>
      <c r="C777" s="137"/>
      <c r="D777" s="136"/>
      <c r="E777" s="136"/>
      <c r="F777" s="136" t="str">
        <f>IF(B777="","",D777-SUMIFS(Issue!$D$3:$D993,Issue!$C$3:$C993,C777,Issue!$B$3:$B993,B777))</f>
        <v/>
      </c>
      <c r="G777" s="232"/>
    </row>
    <row r="778" spans="1:7">
      <c r="A778" s="136" t="str">
        <f t="shared" si="3"/>
        <v/>
      </c>
      <c r="B778" s="137"/>
      <c r="C778" s="137"/>
      <c r="D778" s="136"/>
      <c r="E778" s="136"/>
      <c r="F778" s="136" t="str">
        <f>IF(B778="","",D778-SUMIFS(Issue!$D$3:$D993,Issue!$C$3:$C993,C778,Issue!$B$3:$B993,B778))</f>
        <v/>
      </c>
      <c r="G778" s="232"/>
    </row>
    <row r="779" spans="1:7">
      <c r="A779" s="136" t="str">
        <f t="shared" si="3"/>
        <v/>
      </c>
      <c r="B779" s="137"/>
      <c r="C779" s="137"/>
      <c r="D779" s="136"/>
      <c r="E779" s="136"/>
      <c r="F779" s="136" t="str">
        <f>IF(B779="","",D779-SUMIFS(Issue!$D$3:$D993,Issue!$C$3:$C993,C779,Issue!$B$3:$B993,B779))</f>
        <v/>
      </c>
      <c r="G779" s="232"/>
    </row>
    <row r="780" spans="1:7">
      <c r="A780" s="136" t="str">
        <f t="shared" si="3"/>
        <v/>
      </c>
      <c r="B780" s="137"/>
      <c r="C780" s="137"/>
      <c r="D780" s="136"/>
      <c r="E780" s="136"/>
      <c r="F780" s="136" t="str">
        <f>IF(B780="","",D780-SUMIFS(Issue!$D$3:$D993,Issue!$C$3:$C993,C780,Issue!$B$3:$B993,B780))</f>
        <v/>
      </c>
      <c r="G780" s="232"/>
    </row>
    <row r="781" spans="1:7">
      <c r="A781" s="136" t="str">
        <f t="shared" si="3"/>
        <v/>
      </c>
      <c r="B781" s="137"/>
      <c r="C781" s="137"/>
      <c r="D781" s="136"/>
      <c r="E781" s="136"/>
      <c r="F781" s="136" t="str">
        <f>IF(B781="","",D781-SUMIFS(Issue!$D$3:$D993,Issue!$C$3:$C993,C781,Issue!$B$3:$B993,B781))</f>
        <v/>
      </c>
      <c r="G781" s="232"/>
    </row>
    <row r="782" spans="1:7">
      <c r="A782" s="136" t="str">
        <f t="shared" si="3"/>
        <v/>
      </c>
      <c r="B782" s="137"/>
      <c r="C782" s="137"/>
      <c r="D782" s="136"/>
      <c r="E782" s="136"/>
      <c r="F782" s="136" t="str">
        <f>IF(B782="","",D782-SUMIFS(Issue!$D$3:$D993,Issue!$C$3:$C993,C782,Issue!$B$3:$B993,B782))</f>
        <v/>
      </c>
      <c r="G782" s="232"/>
    </row>
    <row r="783" spans="1:7">
      <c r="A783" s="136" t="str">
        <f t="shared" si="3"/>
        <v/>
      </c>
      <c r="B783" s="137"/>
      <c r="C783" s="137"/>
      <c r="D783" s="136"/>
      <c r="E783" s="136"/>
      <c r="F783" s="136" t="str">
        <f>IF(B783="","",D783-SUMIFS(Issue!$D$3:$D993,Issue!$C$3:$C993,C783,Issue!$B$3:$B993,B783))</f>
        <v/>
      </c>
      <c r="G783" s="232"/>
    </row>
    <row r="784" spans="1:7">
      <c r="A784" s="136" t="str">
        <f t="shared" si="3"/>
        <v/>
      </c>
      <c r="B784" s="137"/>
      <c r="C784" s="137"/>
      <c r="D784" s="136"/>
      <c r="E784" s="136"/>
      <c r="F784" s="136" t="str">
        <f>IF(B784="","",D784-SUMIFS(Issue!$D$3:$D993,Issue!$C$3:$C993,C784,Issue!$B$3:$B993,B784))</f>
        <v/>
      </c>
      <c r="G784" s="232"/>
    </row>
    <row r="785" spans="1:7">
      <c r="A785" s="136" t="str">
        <f t="shared" si="3"/>
        <v/>
      </c>
      <c r="B785" s="137"/>
      <c r="C785" s="137"/>
      <c r="D785" s="136"/>
      <c r="E785" s="136"/>
      <c r="F785" s="136" t="str">
        <f>IF(B785="","",D785-SUMIFS(Issue!$D$3:$D993,Issue!$C$3:$C993,C785,Issue!$B$3:$B993,B785))</f>
        <v/>
      </c>
      <c r="G785" s="232"/>
    </row>
    <row r="786" spans="1:7">
      <c r="A786" s="136" t="str">
        <f t="shared" si="3"/>
        <v/>
      </c>
      <c r="B786" s="137"/>
      <c r="C786" s="137"/>
      <c r="D786" s="136"/>
      <c r="E786" s="136"/>
      <c r="F786" s="136" t="str">
        <f>IF(B786="","",D786-SUMIFS(Issue!$D$3:$D993,Issue!$C$3:$C993,C786,Issue!$B$3:$B993,B786))</f>
        <v/>
      </c>
      <c r="G786" s="232"/>
    </row>
    <row r="787" spans="1:7">
      <c r="A787" s="136" t="str">
        <f t="shared" si="3"/>
        <v/>
      </c>
      <c r="B787" s="137"/>
      <c r="C787" s="137"/>
      <c r="D787" s="136"/>
      <c r="E787" s="136"/>
      <c r="F787" s="136" t="str">
        <f>IF(B787="","",D787-SUMIFS(Issue!$D$3:$D993,Issue!$C$3:$C993,C787,Issue!$B$3:$B993,B787))</f>
        <v/>
      </c>
      <c r="G787" s="232"/>
    </row>
    <row r="788" spans="1:7">
      <c r="A788" s="136" t="str">
        <f t="shared" si="3"/>
        <v/>
      </c>
      <c r="B788" s="137"/>
      <c r="C788" s="137"/>
      <c r="D788" s="136"/>
      <c r="E788" s="136"/>
      <c r="F788" s="136" t="str">
        <f>IF(B788="","",D788-SUMIFS(Issue!$D$3:$D993,Issue!$C$3:$C993,C788,Issue!$B$3:$B993,B788))</f>
        <v/>
      </c>
      <c r="G788" s="232"/>
    </row>
    <row r="789" spans="1:7">
      <c r="A789" s="136" t="str">
        <f t="shared" si="3"/>
        <v/>
      </c>
      <c r="B789" s="137"/>
      <c r="C789" s="137"/>
      <c r="D789" s="136"/>
      <c r="E789" s="136"/>
      <c r="F789" s="136" t="str">
        <f>IF(B789="","",D789-SUMIFS(Issue!$D$3:$D993,Issue!$C$3:$C993,C789,Issue!$B$3:$B993,B789))</f>
        <v/>
      </c>
      <c r="G789" s="232"/>
    </row>
    <row r="790" spans="1:7">
      <c r="A790" s="136" t="str">
        <f t="shared" si="3"/>
        <v/>
      </c>
      <c r="B790" s="137"/>
      <c r="C790" s="137"/>
      <c r="D790" s="136"/>
      <c r="E790" s="136"/>
      <c r="F790" s="136" t="str">
        <f>IF(B790="","",D790-SUMIFS(Issue!$D$3:$D993,Issue!$C$3:$C993,C790,Issue!$B$3:$B993,B790))</f>
        <v/>
      </c>
      <c r="G790" s="232"/>
    </row>
    <row r="791" spans="1:7">
      <c r="A791" s="136" t="str">
        <f t="shared" si="3"/>
        <v/>
      </c>
      <c r="B791" s="137"/>
      <c r="C791" s="137"/>
      <c r="D791" s="136"/>
      <c r="E791" s="136"/>
      <c r="F791" s="136" t="str">
        <f>IF(B791="","",D791-SUMIFS(Issue!$D$3:$D993,Issue!$C$3:$C993,C791,Issue!$B$3:$B993,B791))</f>
        <v/>
      </c>
      <c r="G791" s="232"/>
    </row>
    <row r="792" spans="1:7">
      <c r="A792" s="136" t="str">
        <f t="shared" si="3"/>
        <v/>
      </c>
      <c r="B792" s="137"/>
      <c r="C792" s="137"/>
      <c r="D792" s="136"/>
      <c r="E792" s="136"/>
      <c r="F792" s="136" t="str">
        <f>IF(B792="","",D792-SUMIFS(Issue!$D$3:$D993,Issue!$C$3:$C993,C792,Issue!$B$3:$B993,B792))</f>
        <v/>
      </c>
      <c r="G792" s="232"/>
    </row>
    <row r="793" spans="1:7">
      <c r="A793" s="136" t="str">
        <f t="shared" si="3"/>
        <v/>
      </c>
      <c r="B793" s="137"/>
      <c r="C793" s="137"/>
      <c r="D793" s="136"/>
      <c r="E793" s="136"/>
      <c r="F793" s="136" t="str">
        <f>IF(B793="","",D793-SUMIFS(Issue!$D$3:$D993,Issue!$C$3:$C993,C793,Issue!$B$3:$B993,B793))</f>
        <v/>
      </c>
      <c r="G793" s="232"/>
    </row>
    <row r="794" spans="1:7">
      <c r="A794" s="136" t="str">
        <f t="shared" si="3"/>
        <v/>
      </c>
      <c r="B794" s="137"/>
      <c r="C794" s="137"/>
      <c r="D794" s="136"/>
      <c r="E794" s="136"/>
      <c r="F794" s="136" t="str">
        <f>IF(B794="","",D794-SUMIFS(Issue!$D$3:$D993,Issue!$C$3:$C993,C794,Issue!$B$3:$B993,B794))</f>
        <v/>
      </c>
      <c r="G794" s="232"/>
    </row>
    <row r="795" spans="1:7">
      <c r="A795" s="136" t="str">
        <f t="shared" si="3"/>
        <v/>
      </c>
      <c r="B795" s="137"/>
      <c r="C795" s="137"/>
      <c r="D795" s="136"/>
      <c r="E795" s="136"/>
      <c r="F795" s="136" t="str">
        <f>IF(B795="","",D795-SUMIFS(Issue!$D$3:$D993,Issue!$C$3:$C993,C795,Issue!$B$3:$B993,B795))</f>
        <v/>
      </c>
      <c r="G795" s="232"/>
    </row>
    <row r="796" spans="1:7">
      <c r="A796" s="136" t="str">
        <f t="shared" si="3"/>
        <v/>
      </c>
      <c r="B796" s="137"/>
      <c r="C796" s="137"/>
      <c r="D796" s="136"/>
      <c r="E796" s="136"/>
      <c r="F796" s="136" t="str">
        <f>IF(B796="","",D796-SUMIFS(Issue!$D$3:$D993,Issue!$C$3:$C993,C796,Issue!$B$3:$B993,B796))</f>
        <v/>
      </c>
      <c r="G796" s="232"/>
    </row>
    <row r="797" spans="1:7">
      <c r="A797" s="136" t="str">
        <f t="shared" si="3"/>
        <v/>
      </c>
      <c r="B797" s="137"/>
      <c r="C797" s="137"/>
      <c r="D797" s="136"/>
      <c r="E797" s="136"/>
      <c r="F797" s="136" t="str">
        <f>IF(B797="","",D797-SUMIFS(Issue!$D$3:$D993,Issue!$C$3:$C993,C797,Issue!$B$3:$B993,B797))</f>
        <v/>
      </c>
      <c r="G797" s="232"/>
    </row>
    <row r="798" spans="1:7">
      <c r="A798" s="136" t="str">
        <f t="shared" si="3"/>
        <v/>
      </c>
      <c r="B798" s="137"/>
      <c r="C798" s="137"/>
      <c r="D798" s="136"/>
      <c r="E798" s="136"/>
      <c r="F798" s="136" t="str">
        <f>IF(B798="","",D798-SUMIFS(Issue!$D$3:$D993,Issue!$C$3:$C993,C798,Issue!$B$3:$B993,B798))</f>
        <v/>
      </c>
      <c r="G798" s="232"/>
    </row>
    <row r="799" spans="1:7">
      <c r="A799" s="136" t="str">
        <f t="shared" si="3"/>
        <v/>
      </c>
      <c r="B799" s="137"/>
      <c r="C799" s="137"/>
      <c r="D799" s="136"/>
      <c r="E799" s="136"/>
      <c r="F799" s="136" t="str">
        <f>IF(B799="","",D799-SUMIFS(Issue!$D$3:$D993,Issue!$C$3:$C993,C799,Issue!$B$3:$B993,B799))</f>
        <v/>
      </c>
      <c r="G799" s="232"/>
    </row>
    <row r="800" spans="1:7">
      <c r="A800" s="136" t="str">
        <f t="shared" si="3"/>
        <v/>
      </c>
      <c r="B800" s="137"/>
      <c r="C800" s="137"/>
      <c r="D800" s="136"/>
      <c r="E800" s="136"/>
      <c r="F800" s="136" t="str">
        <f>IF(B800="","",D800-SUMIFS(Issue!$D$3:$D993,Issue!$C$3:$C993,C800,Issue!$B$3:$B993,B800))</f>
        <v/>
      </c>
      <c r="G800" s="232"/>
    </row>
    <row r="801" spans="1:7">
      <c r="A801" s="136" t="str">
        <f t="shared" si="3"/>
        <v/>
      </c>
      <c r="B801" s="137"/>
      <c r="C801" s="137"/>
      <c r="D801" s="136"/>
      <c r="E801" s="136"/>
      <c r="F801" s="136" t="str">
        <f>IF(B801="","",D801-SUMIFS(Issue!$D$3:$D993,Issue!$C$3:$C993,C801,Issue!$B$3:$B993,B801))</f>
        <v/>
      </c>
      <c r="G801" s="232"/>
    </row>
    <row r="802" spans="1:7">
      <c r="A802" s="136" t="str">
        <f t="shared" si="3"/>
        <v/>
      </c>
      <c r="B802" s="137"/>
      <c r="C802" s="137"/>
      <c r="D802" s="136"/>
      <c r="E802" s="136"/>
      <c r="F802" s="136" t="str">
        <f>IF(B802="","",D802-SUMIFS(Issue!$D$3:$D993,Issue!$C$3:$C993,C802,Issue!$B$3:$B993,B802))</f>
        <v/>
      </c>
      <c r="G802" s="232"/>
    </row>
    <row r="803" spans="1:7">
      <c r="A803" s="136" t="str">
        <f t="shared" si="3"/>
        <v/>
      </c>
      <c r="B803" s="137"/>
      <c r="C803" s="137"/>
      <c r="D803" s="136"/>
      <c r="E803" s="136"/>
      <c r="F803" s="136" t="str">
        <f>IF(B803="","",D803-SUMIFS(Issue!$D$3:$D993,Issue!$C$3:$C993,C803,Issue!$B$3:$B993,B803))</f>
        <v/>
      </c>
      <c r="G803" s="232"/>
    </row>
    <row r="804" spans="1:7">
      <c r="A804" s="136" t="str">
        <f t="shared" si="3"/>
        <v/>
      </c>
      <c r="B804" s="137"/>
      <c r="C804" s="137"/>
      <c r="D804" s="136"/>
      <c r="E804" s="136"/>
      <c r="F804" s="136" t="str">
        <f>IF(B804="","",D804-SUMIFS(Issue!$D$3:$D993,Issue!$C$3:$C993,C804,Issue!$B$3:$B993,B804))</f>
        <v/>
      </c>
      <c r="G804" s="232"/>
    </row>
    <row r="805" spans="1:7">
      <c r="A805" s="136" t="str">
        <f t="shared" si="3"/>
        <v/>
      </c>
      <c r="B805" s="137"/>
      <c r="C805" s="137"/>
      <c r="D805" s="136"/>
      <c r="E805" s="136"/>
      <c r="F805" s="136" t="str">
        <f>IF(B805="","",D805-SUMIFS(Issue!$D$3:$D993,Issue!$C$3:$C993,C805,Issue!$B$3:$B993,B805))</f>
        <v/>
      </c>
      <c r="G805" s="232"/>
    </row>
    <row r="806" spans="1:7">
      <c r="A806" s="136" t="str">
        <f t="shared" si="3"/>
        <v/>
      </c>
      <c r="B806" s="137"/>
      <c r="C806" s="137"/>
      <c r="D806" s="136"/>
      <c r="E806" s="136"/>
      <c r="F806" s="136" t="str">
        <f>IF(B806="","",D806-SUMIFS(Issue!$D$3:$D993,Issue!$C$3:$C993,C806,Issue!$B$3:$B993,B806))</f>
        <v/>
      </c>
      <c r="G806" s="232"/>
    </row>
    <row r="807" spans="1:7">
      <c r="A807" s="136" t="str">
        <f t="shared" si="3"/>
        <v/>
      </c>
      <c r="B807" s="137"/>
      <c r="C807" s="137"/>
      <c r="D807" s="136"/>
      <c r="E807" s="136"/>
      <c r="F807" s="136" t="str">
        <f>IF(B807="","",D807-SUMIFS(Issue!$D$3:$D993,Issue!$C$3:$C993,C807,Issue!$B$3:$B993,B807))</f>
        <v/>
      </c>
      <c r="G807" s="232"/>
    </row>
    <row r="808" spans="1:7">
      <c r="A808" s="136" t="str">
        <f t="shared" si="3"/>
        <v/>
      </c>
      <c r="B808" s="137"/>
      <c r="C808" s="137"/>
      <c r="D808" s="136"/>
      <c r="E808" s="136"/>
      <c r="F808" s="136" t="str">
        <f>IF(B808="","",D808-SUMIFS(Issue!$D$3:$D993,Issue!$C$3:$C993,C808,Issue!$B$3:$B993,B808))</f>
        <v/>
      </c>
      <c r="G808" s="232"/>
    </row>
    <row r="809" spans="1:7">
      <c r="A809" s="136" t="str">
        <f t="shared" si="3"/>
        <v/>
      </c>
      <c r="B809" s="137"/>
      <c r="C809" s="137"/>
      <c r="D809" s="136"/>
      <c r="E809" s="136"/>
      <c r="F809" s="136" t="str">
        <f>IF(B809="","",D809-SUMIFS(Issue!$D$3:$D993,Issue!$C$3:$C993,C809,Issue!$B$3:$B993,B809))</f>
        <v/>
      </c>
      <c r="G809" s="232"/>
    </row>
    <row r="810" spans="1:7">
      <c r="A810" s="136" t="str">
        <f t="shared" si="3"/>
        <v/>
      </c>
      <c r="B810" s="137"/>
      <c r="C810" s="137"/>
      <c r="D810" s="136"/>
      <c r="E810" s="136"/>
      <c r="F810" s="136" t="str">
        <f>IF(B810="","",D810-SUMIFS(Issue!$D$3:$D993,Issue!$C$3:$C993,C810,Issue!$B$3:$B993,B810))</f>
        <v/>
      </c>
      <c r="G810" s="232"/>
    </row>
    <row r="811" spans="1:7">
      <c r="A811" s="136" t="str">
        <f t="shared" si="3"/>
        <v/>
      </c>
      <c r="B811" s="137"/>
      <c r="C811" s="137"/>
      <c r="D811" s="136"/>
      <c r="E811" s="136"/>
      <c r="F811" s="136" t="str">
        <f>IF(B811="","",D811-SUMIFS(Issue!$D$3:$D993,Issue!$C$3:$C993,C811,Issue!$B$3:$B993,B811))</f>
        <v/>
      </c>
      <c r="G811" s="232"/>
    </row>
    <row r="812" spans="1:7">
      <c r="A812" s="136" t="str">
        <f t="shared" si="3"/>
        <v/>
      </c>
      <c r="B812" s="137"/>
      <c r="C812" s="137"/>
      <c r="D812" s="136"/>
      <c r="E812" s="136"/>
      <c r="F812" s="136" t="str">
        <f>IF(B812="","",D812-SUMIFS(Issue!$D$3:$D993,Issue!$C$3:$C993,C812,Issue!$B$3:$B993,B812))</f>
        <v/>
      </c>
      <c r="G812" s="232"/>
    </row>
    <row r="813" spans="1:7">
      <c r="A813" s="136" t="str">
        <f t="shared" si="3"/>
        <v/>
      </c>
      <c r="B813" s="137"/>
      <c r="C813" s="137"/>
      <c r="D813" s="136"/>
      <c r="E813" s="136"/>
      <c r="F813" s="136" t="str">
        <f>IF(B813="","",D813-SUMIFS(Issue!$D$3:$D993,Issue!$C$3:$C993,C813,Issue!$B$3:$B993,B813))</f>
        <v/>
      </c>
      <c r="G813" s="232"/>
    </row>
    <row r="814" spans="1:7">
      <c r="A814" s="136" t="str">
        <f t="shared" si="3"/>
        <v/>
      </c>
      <c r="B814" s="137"/>
      <c r="C814" s="137"/>
      <c r="D814" s="136"/>
      <c r="E814" s="136"/>
      <c r="F814" s="136" t="str">
        <f>IF(B814="","",D814-SUMIFS(Issue!$D$3:$D993,Issue!$C$3:$C993,C814,Issue!$B$3:$B993,B814))</f>
        <v/>
      </c>
      <c r="G814" s="232"/>
    </row>
    <row r="815" spans="1:7">
      <c r="A815" s="136" t="str">
        <f t="shared" si="3"/>
        <v/>
      </c>
      <c r="B815" s="137"/>
      <c r="C815" s="137"/>
      <c r="D815" s="136"/>
      <c r="E815" s="136"/>
      <c r="F815" s="136" t="str">
        <f>IF(B815="","",D815-SUMIFS(Issue!$D$3:$D993,Issue!$C$3:$C993,C815,Issue!$B$3:$B993,B815))</f>
        <v/>
      </c>
      <c r="G815" s="232"/>
    </row>
    <row r="816" spans="1:7">
      <c r="A816" s="136" t="str">
        <f t="shared" si="3"/>
        <v/>
      </c>
      <c r="B816" s="137"/>
      <c r="C816" s="137"/>
      <c r="D816" s="136"/>
      <c r="E816" s="136"/>
      <c r="F816" s="136" t="str">
        <f>IF(B816="","",D816-SUMIFS(Issue!$D$3:$D993,Issue!$C$3:$C993,C816,Issue!$B$3:$B993,B816))</f>
        <v/>
      </c>
      <c r="G816" s="232"/>
    </row>
    <row r="817" spans="1:7">
      <c r="A817" s="136" t="str">
        <f t="shared" si="3"/>
        <v/>
      </c>
      <c r="B817" s="137"/>
      <c r="C817" s="137"/>
      <c r="D817" s="136"/>
      <c r="E817" s="136"/>
      <c r="F817" s="136" t="str">
        <f>IF(B817="","",D817-SUMIFS(Issue!$D$3:$D993,Issue!$C$3:$C993,C817,Issue!$B$3:$B993,B817))</f>
        <v/>
      </c>
      <c r="G817" s="232"/>
    </row>
    <row r="818" spans="1:7">
      <c r="A818" s="136" t="str">
        <f t="shared" si="3"/>
        <v/>
      </c>
      <c r="B818" s="137"/>
      <c r="C818" s="137"/>
      <c r="D818" s="136"/>
      <c r="E818" s="136"/>
      <c r="F818" s="136" t="str">
        <f>IF(B818="","",D818-SUMIFS(Issue!$D$3:$D993,Issue!$C$3:$C993,C818,Issue!$B$3:$B993,B818))</f>
        <v/>
      </c>
      <c r="G818" s="232"/>
    </row>
    <row r="819" spans="1:7">
      <c r="A819" s="136" t="str">
        <f t="shared" si="3"/>
        <v/>
      </c>
      <c r="B819" s="137"/>
      <c r="C819" s="137"/>
      <c r="D819" s="136"/>
      <c r="E819" s="136"/>
      <c r="F819" s="136" t="str">
        <f>IF(B819="","",D819-SUMIFS(Issue!$D$3:$D993,Issue!$C$3:$C993,C819,Issue!$B$3:$B993,B819))</f>
        <v/>
      </c>
      <c r="G819" s="232"/>
    </row>
    <row r="820" spans="1:7">
      <c r="A820" s="136" t="str">
        <f t="shared" si="3"/>
        <v/>
      </c>
      <c r="B820" s="137"/>
      <c r="C820" s="137"/>
      <c r="D820" s="136"/>
      <c r="E820" s="136"/>
      <c r="F820" s="136" t="str">
        <f>IF(B820="","",D820-SUMIFS(Issue!$D$3:$D993,Issue!$C$3:$C993,C820,Issue!$B$3:$B993,B820))</f>
        <v/>
      </c>
      <c r="G820" s="232"/>
    </row>
    <row r="821" spans="1:7">
      <c r="A821" s="136" t="str">
        <f t="shared" si="3"/>
        <v/>
      </c>
      <c r="B821" s="137"/>
      <c r="C821" s="137"/>
      <c r="D821" s="136"/>
      <c r="E821" s="136"/>
      <c r="F821" s="136" t="str">
        <f>IF(B821="","",D821-SUMIFS(Issue!$D$3:$D993,Issue!$C$3:$C993,C821,Issue!$B$3:$B993,B821))</f>
        <v/>
      </c>
      <c r="G821" s="232"/>
    </row>
    <row r="822" spans="1:7">
      <c r="A822" s="136" t="str">
        <f t="shared" si="3"/>
        <v/>
      </c>
      <c r="B822" s="137"/>
      <c r="C822" s="137"/>
      <c r="D822" s="136"/>
      <c r="E822" s="136"/>
      <c r="F822" s="136" t="str">
        <f>IF(B822="","",D822-SUMIFS(Issue!$D$3:$D993,Issue!$C$3:$C993,C822,Issue!$B$3:$B993,B822))</f>
        <v/>
      </c>
      <c r="G822" s="232"/>
    </row>
    <row r="823" spans="1:7">
      <c r="A823" s="136" t="str">
        <f t="shared" si="3"/>
        <v/>
      </c>
      <c r="B823" s="137"/>
      <c r="C823" s="137"/>
      <c r="D823" s="136"/>
      <c r="E823" s="136"/>
      <c r="F823" s="136" t="str">
        <f>IF(B823="","",D823-SUMIFS(Issue!$D$3:$D993,Issue!$C$3:$C993,C823,Issue!$B$3:$B993,B823))</f>
        <v/>
      </c>
      <c r="G823" s="232"/>
    </row>
    <row r="824" spans="1:7">
      <c r="A824" s="136" t="str">
        <f t="shared" si="3"/>
        <v/>
      </c>
      <c r="B824" s="137"/>
      <c r="C824" s="137"/>
      <c r="D824" s="136"/>
      <c r="E824" s="136"/>
      <c r="F824" s="136" t="str">
        <f>IF(B824="","",D824-SUMIFS(Issue!$D$3:$D993,Issue!$C$3:$C993,C824,Issue!$B$3:$B993,B824))</f>
        <v/>
      </c>
      <c r="G824" s="232"/>
    </row>
    <row r="825" spans="1:7">
      <c r="A825" s="136" t="str">
        <f t="shared" si="3"/>
        <v/>
      </c>
      <c r="B825" s="137"/>
      <c r="C825" s="137"/>
      <c r="D825" s="136"/>
      <c r="E825" s="136"/>
      <c r="F825" s="136" t="str">
        <f>IF(B825="","",D825-SUMIFS(Issue!$D$3:$D993,Issue!$C$3:$C993,C825,Issue!$B$3:$B993,B825))</f>
        <v/>
      </c>
      <c r="G825" s="232"/>
    </row>
    <row r="826" spans="1:7">
      <c r="A826" s="136" t="str">
        <f t="shared" si="3"/>
        <v/>
      </c>
      <c r="B826" s="137"/>
      <c r="C826" s="137"/>
      <c r="D826" s="136"/>
      <c r="E826" s="136"/>
      <c r="F826" s="136" t="str">
        <f>IF(B826="","",D826-SUMIFS(Issue!$D$3:$D993,Issue!$C$3:$C993,C826,Issue!$B$3:$B993,B826))</f>
        <v/>
      </c>
      <c r="G826" s="232"/>
    </row>
    <row r="827" spans="1:7">
      <c r="A827" s="136" t="str">
        <f t="shared" si="3"/>
        <v/>
      </c>
      <c r="B827" s="137"/>
      <c r="C827" s="137"/>
      <c r="D827" s="136"/>
      <c r="E827" s="136"/>
      <c r="F827" s="136" t="str">
        <f>IF(B827="","",D827-SUMIFS(Issue!$D$3:$D993,Issue!$C$3:$C993,C827,Issue!$B$3:$B993,B827))</f>
        <v/>
      </c>
      <c r="G827" s="232"/>
    </row>
    <row r="828" spans="1:7">
      <c r="A828" s="136" t="str">
        <f t="shared" si="3"/>
        <v/>
      </c>
      <c r="B828" s="137"/>
      <c r="C828" s="137"/>
      <c r="D828" s="136"/>
      <c r="E828" s="136"/>
      <c r="F828" s="136" t="str">
        <f>IF(B828="","",D828-SUMIFS(Issue!$D$3:$D993,Issue!$C$3:$C993,C828,Issue!$B$3:$B993,B828))</f>
        <v/>
      </c>
      <c r="G828" s="232"/>
    </row>
    <row r="829" spans="1:7">
      <c r="A829" s="136" t="str">
        <f t="shared" si="3"/>
        <v/>
      </c>
      <c r="B829" s="137"/>
      <c r="C829" s="137"/>
      <c r="D829" s="136"/>
      <c r="E829" s="136"/>
      <c r="F829" s="136" t="str">
        <f>IF(B829="","",D829-SUMIFS(Issue!$D$3:$D993,Issue!$C$3:$C993,C829,Issue!$B$3:$B993,B829))</f>
        <v/>
      </c>
      <c r="G829" s="232"/>
    </row>
    <row r="830" spans="1:7">
      <c r="A830" s="136" t="str">
        <f t="shared" si="3"/>
        <v/>
      </c>
      <c r="B830" s="137"/>
      <c r="C830" s="137"/>
      <c r="D830" s="136"/>
      <c r="E830" s="136"/>
      <c r="F830" s="136" t="str">
        <f>IF(B830="","",D830-SUMIFS(Issue!$D$3:$D993,Issue!$C$3:$C993,C830,Issue!$B$3:$B993,B830))</f>
        <v/>
      </c>
      <c r="G830" s="232"/>
    </row>
    <row r="831" spans="1:7">
      <c r="A831" s="136" t="str">
        <f t="shared" si="3"/>
        <v/>
      </c>
      <c r="B831" s="137"/>
      <c r="C831" s="137"/>
      <c r="D831" s="136"/>
      <c r="E831" s="136"/>
      <c r="F831" s="136" t="str">
        <f>IF(B831="","",D831-SUMIFS(Issue!$D$3:$D993,Issue!$C$3:$C993,C831,Issue!$B$3:$B993,B831))</f>
        <v/>
      </c>
      <c r="G831" s="232"/>
    </row>
    <row r="832" spans="1:7">
      <c r="A832" s="136" t="str">
        <f t="shared" si="3"/>
        <v/>
      </c>
      <c r="B832" s="137"/>
      <c r="C832" s="137"/>
      <c r="D832" s="136"/>
      <c r="E832" s="136"/>
      <c r="F832" s="136" t="str">
        <f>IF(B832="","",D832-SUMIFS(Issue!$D$3:$D993,Issue!$C$3:$C993,C832,Issue!$B$3:$B993,B832))</f>
        <v/>
      </c>
      <c r="G832" s="232"/>
    </row>
    <row r="833" spans="1:7">
      <c r="A833" s="136" t="str">
        <f t="shared" si="3"/>
        <v/>
      </c>
      <c r="B833" s="137"/>
      <c r="C833" s="137"/>
      <c r="D833" s="136"/>
      <c r="E833" s="136"/>
      <c r="F833" s="136" t="str">
        <f>IF(B833="","",D833-SUMIFS(Issue!$D$3:$D993,Issue!$C$3:$C993,C833,Issue!$B$3:$B993,B833))</f>
        <v/>
      </c>
      <c r="G833" s="232"/>
    </row>
    <row r="834" spans="1:7">
      <c r="A834" s="136" t="str">
        <f t="shared" si="3"/>
        <v/>
      </c>
      <c r="B834" s="137"/>
      <c r="C834" s="137"/>
      <c r="D834" s="136"/>
      <c r="E834" s="136"/>
      <c r="F834" s="136" t="str">
        <f>IF(B834="","",D834-SUMIFS(Issue!$D$3:$D993,Issue!$C$3:$C993,C834,Issue!$B$3:$B993,B834))</f>
        <v/>
      </c>
      <c r="G834" s="232"/>
    </row>
    <row r="835" spans="1:7">
      <c r="A835" s="136" t="str">
        <f t="shared" si="3"/>
        <v/>
      </c>
      <c r="B835" s="137"/>
      <c r="C835" s="137"/>
      <c r="D835" s="136"/>
      <c r="E835" s="136"/>
      <c r="F835" s="136" t="str">
        <f>IF(B835="","",D835-SUMIFS(Issue!$D$3:$D993,Issue!$C$3:$C993,C835,Issue!$B$3:$B993,B835))</f>
        <v/>
      </c>
      <c r="G835" s="232"/>
    </row>
    <row r="836" spans="1:7">
      <c r="A836" s="136" t="str">
        <f t="shared" si="3"/>
        <v/>
      </c>
      <c r="B836" s="137"/>
      <c r="C836" s="137"/>
      <c r="D836" s="136"/>
      <c r="E836" s="136"/>
      <c r="F836" s="136" t="str">
        <f>IF(B836="","",D836-SUMIFS(Issue!$D$3:$D993,Issue!$C$3:$C993,C836,Issue!$B$3:$B993,B836))</f>
        <v/>
      </c>
      <c r="G836" s="232"/>
    </row>
    <row r="837" spans="1:7">
      <c r="A837" s="136" t="str">
        <f t="shared" si="3"/>
        <v/>
      </c>
      <c r="B837" s="137"/>
      <c r="C837" s="137"/>
      <c r="D837" s="136"/>
      <c r="E837" s="136"/>
      <c r="F837" s="136" t="str">
        <f>IF(B837="","",D837-SUMIFS(Issue!$D$3:$D993,Issue!$C$3:$C993,C837,Issue!$B$3:$B993,B837))</f>
        <v/>
      </c>
      <c r="G837" s="232"/>
    </row>
    <row r="838" spans="1:7">
      <c r="A838" s="136" t="str">
        <f t="shared" si="3"/>
        <v/>
      </c>
      <c r="B838" s="137"/>
      <c r="C838" s="137"/>
      <c r="D838" s="136"/>
      <c r="E838" s="136"/>
      <c r="F838" s="136" t="str">
        <f>IF(B838="","",D838-SUMIFS(Issue!$D$3:$D993,Issue!$C$3:$C993,C838,Issue!$B$3:$B993,B838))</f>
        <v/>
      </c>
      <c r="G838" s="232"/>
    </row>
    <row r="839" spans="1:7">
      <c r="A839" s="136" t="str">
        <f t="shared" si="3"/>
        <v/>
      </c>
      <c r="B839" s="137"/>
      <c r="C839" s="137"/>
      <c r="D839" s="136"/>
      <c r="E839" s="136"/>
      <c r="F839" s="136" t="str">
        <f>IF(B839="","",D839-SUMIFS(Issue!$D$3:$D993,Issue!$C$3:$C993,C839,Issue!$B$3:$B993,B839))</f>
        <v/>
      </c>
      <c r="G839" s="232"/>
    </row>
    <row r="840" spans="1:7">
      <c r="A840" s="136" t="str">
        <f t="shared" si="3"/>
        <v/>
      </c>
      <c r="B840" s="137"/>
      <c r="C840" s="137"/>
      <c r="D840" s="136"/>
      <c r="E840" s="136"/>
      <c r="F840" s="136" t="str">
        <f>IF(B840="","",D840-SUMIFS(Issue!$D$3:$D993,Issue!$C$3:$C993,C840,Issue!$B$3:$B993,B840))</f>
        <v/>
      </c>
      <c r="G840" s="232"/>
    </row>
    <row r="841" spans="1:7">
      <c r="A841" s="136" t="str">
        <f t="shared" si="3"/>
        <v/>
      </c>
      <c r="B841" s="137"/>
      <c r="C841" s="137"/>
      <c r="D841" s="136"/>
      <c r="E841" s="136"/>
      <c r="F841" s="136" t="str">
        <f>IF(B841="","",D841-SUMIFS(Issue!$D$3:$D993,Issue!$C$3:$C993,C841,Issue!$B$3:$B993,B841))</f>
        <v/>
      </c>
      <c r="G841" s="232"/>
    </row>
    <row r="842" spans="1:7">
      <c r="A842" s="136" t="str">
        <f t="shared" si="3"/>
        <v/>
      </c>
      <c r="B842" s="137"/>
      <c r="C842" s="137"/>
      <c r="D842" s="136"/>
      <c r="E842" s="136"/>
      <c r="F842" s="136" t="str">
        <f>IF(B842="","",D842-SUMIFS(Issue!$D$3:$D993,Issue!$C$3:$C993,C842,Issue!$B$3:$B993,B842))</f>
        <v/>
      </c>
      <c r="G842" s="232"/>
    </row>
    <row r="843" spans="1:7">
      <c r="A843" s="136" t="str">
        <f t="shared" si="3"/>
        <v/>
      </c>
      <c r="B843" s="137"/>
      <c r="C843" s="137"/>
      <c r="D843" s="136"/>
      <c r="E843" s="136"/>
      <c r="F843" s="136" t="str">
        <f>IF(B843="","",D843-SUMIFS(Issue!$D$3:$D993,Issue!$C$3:$C993,C843,Issue!$B$3:$B993,B843))</f>
        <v/>
      </c>
      <c r="G843" s="232"/>
    </row>
    <row r="844" spans="1:7">
      <c r="A844" s="136" t="str">
        <f t="shared" si="3"/>
        <v/>
      </c>
      <c r="B844" s="137"/>
      <c r="C844" s="137"/>
      <c r="D844" s="136"/>
      <c r="E844" s="136"/>
      <c r="F844" s="136" t="str">
        <f>IF(B844="","",D844-SUMIFS(Issue!$D$3:$D993,Issue!$C$3:$C993,C844,Issue!$B$3:$B993,B844))</f>
        <v/>
      </c>
      <c r="G844" s="232"/>
    </row>
    <row r="845" spans="1:7">
      <c r="A845" s="136" t="str">
        <f t="shared" si="3"/>
        <v/>
      </c>
      <c r="B845" s="137"/>
      <c r="C845" s="137"/>
      <c r="D845" s="136"/>
      <c r="E845" s="136"/>
      <c r="F845" s="136" t="str">
        <f>IF(B845="","",D845-SUMIFS(Issue!$D$3:$D993,Issue!$C$3:$C993,C845,Issue!$B$3:$B993,B845))</f>
        <v/>
      </c>
      <c r="G845" s="232"/>
    </row>
    <row r="846" spans="1:7">
      <c r="A846" s="136" t="str">
        <f t="shared" si="3"/>
        <v/>
      </c>
      <c r="B846" s="137"/>
      <c r="C846" s="137"/>
      <c r="D846" s="136"/>
      <c r="E846" s="136"/>
      <c r="F846" s="136" t="str">
        <f>IF(B846="","",D846-SUMIFS(Issue!$D$3:$D993,Issue!$C$3:$C993,C846,Issue!$B$3:$B993,B846))</f>
        <v/>
      </c>
      <c r="G846" s="232"/>
    </row>
    <row r="847" spans="1:7">
      <c r="A847" s="136" t="str">
        <f t="shared" si="3"/>
        <v/>
      </c>
      <c r="B847" s="137"/>
      <c r="C847" s="137"/>
      <c r="D847" s="136"/>
      <c r="E847" s="136"/>
      <c r="F847" s="136" t="str">
        <f>IF(B847="","",D847-SUMIFS(Issue!$D$3:$D993,Issue!$C$3:$C993,C847,Issue!$B$3:$B993,B847))</f>
        <v/>
      </c>
      <c r="G847" s="232"/>
    </row>
    <row r="848" spans="1:7">
      <c r="A848" s="136" t="str">
        <f t="shared" si="3"/>
        <v/>
      </c>
      <c r="B848" s="137"/>
      <c r="C848" s="137"/>
      <c r="D848" s="136"/>
      <c r="E848" s="136"/>
      <c r="F848" s="136" t="str">
        <f>IF(B848="","",D848-SUMIFS(Issue!$D$3:$D993,Issue!$C$3:$C993,C848,Issue!$B$3:$B993,B848))</f>
        <v/>
      </c>
      <c r="G848" s="232"/>
    </row>
    <row r="849" spans="1:7">
      <c r="A849" s="136" t="str">
        <f t="shared" si="3"/>
        <v/>
      </c>
      <c r="B849" s="137"/>
      <c r="C849" s="137"/>
      <c r="D849" s="136"/>
      <c r="E849" s="136"/>
      <c r="F849" s="136" t="str">
        <f>IF(B849="","",D849-SUMIFS(Issue!$D$3:$D993,Issue!$C$3:$C993,C849,Issue!$B$3:$B993,B849))</f>
        <v/>
      </c>
      <c r="G849" s="232"/>
    </row>
    <row r="850" spans="1:7">
      <c r="A850" s="136" t="str">
        <f t="shared" si="3"/>
        <v/>
      </c>
      <c r="B850" s="137"/>
      <c r="C850" s="137"/>
      <c r="D850" s="136"/>
      <c r="E850" s="136"/>
      <c r="F850" s="136" t="str">
        <f>IF(B850="","",D850-SUMIFS(Issue!$D$3:$D993,Issue!$C$3:$C993,C850,Issue!$B$3:$B993,B850))</f>
        <v/>
      </c>
      <c r="G850" s="232"/>
    </row>
    <row r="851" spans="1:7">
      <c r="A851" s="136" t="str">
        <f t="shared" si="3"/>
        <v/>
      </c>
      <c r="B851" s="137"/>
      <c r="C851" s="137"/>
      <c r="D851" s="136"/>
      <c r="E851" s="136"/>
      <c r="F851" s="136" t="str">
        <f>IF(B851="","",D851-SUMIFS(Issue!$D$3:$D993,Issue!$C$3:$C993,C851,Issue!$B$3:$B993,B851))</f>
        <v/>
      </c>
      <c r="G851" s="232"/>
    </row>
    <row r="852" spans="1:7">
      <c r="A852" s="136" t="str">
        <f t="shared" si="3"/>
        <v/>
      </c>
      <c r="B852" s="137"/>
      <c r="C852" s="137"/>
      <c r="D852" s="136"/>
      <c r="E852" s="136"/>
      <c r="F852" s="136" t="str">
        <f>IF(B852="","",D852-SUMIFS(Issue!$D$3:$D993,Issue!$C$3:$C993,C852,Issue!$B$3:$B993,B852))</f>
        <v/>
      </c>
      <c r="G852" s="232"/>
    </row>
    <row r="853" spans="1:7">
      <c r="A853" s="136" t="str">
        <f t="shared" si="3"/>
        <v/>
      </c>
      <c r="B853" s="137"/>
      <c r="C853" s="137"/>
      <c r="D853" s="136"/>
      <c r="E853" s="136"/>
      <c r="F853" s="136" t="str">
        <f>IF(B853="","",D853-SUMIFS(Issue!$D$3:$D993,Issue!$C$3:$C993,C853,Issue!$B$3:$B993,B853))</f>
        <v/>
      </c>
      <c r="G853" s="232"/>
    </row>
    <row r="854" spans="1:7">
      <c r="A854" s="136" t="str">
        <f t="shared" si="3"/>
        <v/>
      </c>
      <c r="B854" s="137"/>
      <c r="C854" s="137"/>
      <c r="D854" s="136"/>
      <c r="E854" s="136"/>
      <c r="F854" s="136" t="str">
        <f>IF(B854="","",D854-SUMIFS(Issue!$D$3:$D993,Issue!$C$3:$C993,C854,Issue!$B$3:$B993,B854))</f>
        <v/>
      </c>
      <c r="G854" s="232"/>
    </row>
    <row r="855" spans="1:7">
      <c r="A855" s="136" t="str">
        <f t="shared" si="3"/>
        <v/>
      </c>
      <c r="B855" s="137"/>
      <c r="C855" s="137"/>
      <c r="D855" s="136"/>
      <c r="E855" s="136"/>
      <c r="F855" s="136" t="str">
        <f>IF(B855="","",D855-SUMIFS(Issue!$D$3:$D993,Issue!$C$3:$C993,C855,Issue!$B$3:$B993,B855))</f>
        <v/>
      </c>
      <c r="G855" s="232"/>
    </row>
    <row r="856" spans="1:7">
      <c r="A856" s="136" t="str">
        <f t="shared" si="3"/>
        <v/>
      </c>
      <c r="B856" s="137"/>
      <c r="C856" s="137"/>
      <c r="D856" s="136"/>
      <c r="E856" s="136"/>
      <c r="F856" s="136" t="str">
        <f>IF(B856="","",D856-SUMIFS(Issue!$D$3:$D993,Issue!$C$3:$C993,C856,Issue!$B$3:$B993,B856))</f>
        <v/>
      </c>
      <c r="G856" s="232"/>
    </row>
    <row r="857" spans="1:7">
      <c r="A857" s="136" t="str">
        <f t="shared" si="3"/>
        <v/>
      </c>
      <c r="B857" s="137"/>
      <c r="C857" s="137"/>
      <c r="D857" s="136"/>
      <c r="E857" s="136"/>
      <c r="F857" s="136" t="str">
        <f>IF(B857="","",D857-SUMIFS(Issue!$D$3:$D993,Issue!$C$3:$C993,C857,Issue!$B$3:$B993,B857))</f>
        <v/>
      </c>
      <c r="G857" s="232"/>
    </row>
    <row r="858" spans="1:7">
      <c r="A858" s="136" t="str">
        <f t="shared" si="3"/>
        <v/>
      </c>
      <c r="B858" s="137"/>
      <c r="C858" s="137"/>
      <c r="D858" s="136"/>
      <c r="E858" s="136"/>
      <c r="F858" s="136" t="str">
        <f>IF(B858="","",D858-SUMIFS(Issue!$D$3:$D993,Issue!$C$3:$C993,C858,Issue!$B$3:$B993,B858))</f>
        <v/>
      </c>
      <c r="G858" s="232"/>
    </row>
    <row r="859" spans="1:7">
      <c r="A859" s="136" t="str">
        <f t="shared" si="3"/>
        <v/>
      </c>
      <c r="B859" s="137"/>
      <c r="C859" s="137"/>
      <c r="D859" s="136"/>
      <c r="E859" s="136"/>
      <c r="F859" s="136" t="str">
        <f>IF(B859="","",D859-SUMIFS(Issue!$D$3:$D993,Issue!$C$3:$C993,C859,Issue!$B$3:$B993,B859))</f>
        <v/>
      </c>
      <c r="G859" s="232"/>
    </row>
    <row r="860" spans="1:7">
      <c r="A860" s="136" t="str">
        <f t="shared" si="3"/>
        <v/>
      </c>
      <c r="B860" s="137"/>
      <c r="C860" s="137"/>
      <c r="D860" s="136"/>
      <c r="E860" s="136"/>
      <c r="F860" s="136" t="str">
        <f>IF(B860="","",D860-SUMIFS(Issue!$D$3:$D993,Issue!$C$3:$C993,C860,Issue!$B$3:$B993,B860))</f>
        <v/>
      </c>
      <c r="G860" s="232"/>
    </row>
    <row r="861" spans="1:7">
      <c r="A861" s="136" t="str">
        <f t="shared" si="3"/>
        <v/>
      </c>
      <c r="B861" s="137"/>
      <c r="C861" s="137"/>
      <c r="D861" s="136"/>
      <c r="E861" s="136"/>
      <c r="F861" s="136" t="str">
        <f>IF(B861="","",D861-SUMIFS(Issue!$D$3:$D993,Issue!$C$3:$C993,C861,Issue!$B$3:$B993,B861))</f>
        <v/>
      </c>
      <c r="G861" s="232"/>
    </row>
    <row r="862" spans="1:7">
      <c r="A862" s="136" t="str">
        <f t="shared" si="3"/>
        <v/>
      </c>
      <c r="B862" s="137"/>
      <c r="C862" s="137"/>
      <c r="D862" s="136"/>
      <c r="E862" s="136"/>
      <c r="F862" s="136" t="str">
        <f>IF(B862="","",D862-SUMIFS(Issue!$D$3:$D993,Issue!$C$3:$C993,C862,Issue!$B$3:$B993,B862))</f>
        <v/>
      </c>
      <c r="G862" s="232"/>
    </row>
    <row r="863" spans="1:7">
      <c r="A863" s="136" t="str">
        <f t="shared" si="3"/>
        <v/>
      </c>
      <c r="B863" s="137"/>
      <c r="C863" s="137"/>
      <c r="D863" s="136"/>
      <c r="E863" s="136"/>
      <c r="F863" s="136" t="str">
        <f>IF(B863="","",D863-SUMIFS(Issue!$D$3:$D993,Issue!$C$3:$C993,C863,Issue!$B$3:$B993,B863))</f>
        <v/>
      </c>
      <c r="G863" s="232"/>
    </row>
    <row r="864" spans="1:7">
      <c r="A864" s="136" t="str">
        <f t="shared" si="3"/>
        <v/>
      </c>
      <c r="B864" s="137"/>
      <c r="C864" s="137"/>
      <c r="D864" s="136"/>
      <c r="E864" s="136"/>
      <c r="F864" s="136" t="str">
        <f>IF(B864="","",D864-SUMIFS(Issue!$D$3:$D993,Issue!$C$3:$C993,C864,Issue!$B$3:$B993,B864))</f>
        <v/>
      </c>
      <c r="G864" s="232"/>
    </row>
    <row r="865" spans="1:7">
      <c r="A865" s="136" t="str">
        <f t="shared" si="3"/>
        <v/>
      </c>
      <c r="B865" s="137"/>
      <c r="C865" s="137"/>
      <c r="D865" s="136"/>
      <c r="E865" s="136"/>
      <c r="F865" s="136" t="str">
        <f>IF(B865="","",D865-SUMIFS(Issue!$D$3:$D993,Issue!$C$3:$C993,C865,Issue!$B$3:$B993,B865))</f>
        <v/>
      </c>
      <c r="G865" s="232"/>
    </row>
    <row r="866" spans="1:7">
      <c r="A866" s="136" t="str">
        <f t="shared" si="3"/>
        <v/>
      </c>
      <c r="B866" s="137"/>
      <c r="C866" s="137"/>
      <c r="D866" s="136"/>
      <c r="E866" s="136"/>
      <c r="F866" s="136" t="str">
        <f>IF(B866="","",D866-SUMIFS(Issue!$D$3:$D993,Issue!$C$3:$C993,C866,Issue!$B$3:$B993,B866))</f>
        <v/>
      </c>
      <c r="G866" s="232"/>
    </row>
    <row r="867" spans="1:7">
      <c r="A867" s="136" t="str">
        <f t="shared" si="3"/>
        <v/>
      </c>
      <c r="B867" s="137"/>
      <c r="C867" s="137"/>
      <c r="D867" s="136"/>
      <c r="E867" s="136"/>
      <c r="F867" s="136" t="str">
        <f>IF(B867="","",D867-SUMIFS(Issue!$D$3:$D993,Issue!$C$3:$C993,C867,Issue!$B$3:$B993,B867))</f>
        <v/>
      </c>
      <c r="G867" s="232"/>
    </row>
    <row r="868" spans="1:7">
      <c r="A868" s="136" t="str">
        <f t="shared" si="3"/>
        <v/>
      </c>
      <c r="B868" s="137"/>
      <c r="C868" s="137"/>
      <c r="D868" s="136"/>
      <c r="E868" s="136"/>
      <c r="F868" s="136" t="str">
        <f>IF(B868="","",D868-SUMIFS(Issue!$D$3:$D993,Issue!$C$3:$C993,C868,Issue!$B$3:$B993,B868))</f>
        <v/>
      </c>
      <c r="G868" s="232"/>
    </row>
    <row r="869" spans="1:7">
      <c r="A869" s="136" t="str">
        <f t="shared" si="3"/>
        <v/>
      </c>
      <c r="B869" s="137"/>
      <c r="C869" s="137"/>
      <c r="D869" s="136"/>
      <c r="E869" s="136"/>
      <c r="F869" s="136" t="str">
        <f>IF(B869="","",D869-SUMIFS(Issue!$D$3:$D993,Issue!$C$3:$C993,C869,Issue!$B$3:$B993,B869))</f>
        <v/>
      </c>
      <c r="G869" s="232"/>
    </row>
    <row r="870" spans="1:7">
      <c r="A870" s="136" t="str">
        <f t="shared" si="3"/>
        <v/>
      </c>
      <c r="B870" s="137"/>
      <c r="C870" s="137"/>
      <c r="D870" s="136"/>
      <c r="E870" s="136"/>
      <c r="F870" s="136" t="str">
        <f>IF(B870="","",D870-SUMIFS(Issue!$D$3:$D993,Issue!$C$3:$C993,C870,Issue!$B$3:$B993,B870))</f>
        <v/>
      </c>
      <c r="G870" s="232"/>
    </row>
    <row r="871" spans="1:7">
      <c r="A871" s="136" t="str">
        <f t="shared" si="3"/>
        <v/>
      </c>
      <c r="B871" s="137"/>
      <c r="C871" s="137"/>
      <c r="D871" s="136"/>
      <c r="E871" s="136"/>
      <c r="F871" s="136" t="str">
        <f>IF(B871="","",D871-SUMIFS(Issue!$D$3:$D993,Issue!$C$3:$C993,C871,Issue!$B$3:$B993,B871))</f>
        <v/>
      </c>
      <c r="G871" s="232"/>
    </row>
    <row r="872" spans="1:7">
      <c r="A872" s="136" t="str">
        <f t="shared" si="3"/>
        <v/>
      </c>
      <c r="B872" s="137"/>
      <c r="C872" s="137"/>
      <c r="D872" s="136"/>
      <c r="E872" s="136"/>
      <c r="F872" s="136" t="str">
        <f>IF(B872="","",D872-SUMIFS(Issue!$D$3:$D993,Issue!$C$3:$C993,C872,Issue!$B$3:$B993,B872))</f>
        <v/>
      </c>
      <c r="G872" s="232"/>
    </row>
    <row r="873" spans="1:7">
      <c r="A873" s="136" t="str">
        <f t="shared" si="3"/>
        <v/>
      </c>
      <c r="B873" s="137"/>
      <c r="C873" s="137"/>
      <c r="D873" s="136"/>
      <c r="E873" s="136"/>
      <c r="F873" s="136" t="str">
        <f>IF(B873="","",D873-SUMIFS(Issue!$D$3:$D993,Issue!$C$3:$C993,C873,Issue!$B$3:$B993,B873))</f>
        <v/>
      </c>
      <c r="G873" s="232"/>
    </row>
    <row r="874" spans="1:7">
      <c r="A874" s="136" t="str">
        <f t="shared" si="3"/>
        <v/>
      </c>
      <c r="B874" s="137"/>
      <c r="C874" s="137"/>
      <c r="D874" s="136"/>
      <c r="E874" s="136"/>
      <c r="F874" s="136" t="str">
        <f>IF(B874="","",D874-SUMIFS(Issue!$D$3:$D993,Issue!$C$3:$C993,C874,Issue!$B$3:$B993,B874))</f>
        <v/>
      </c>
      <c r="G874" s="232"/>
    </row>
    <row r="875" spans="1:7">
      <c r="A875" s="136" t="str">
        <f t="shared" si="3"/>
        <v/>
      </c>
      <c r="B875" s="137"/>
      <c r="C875" s="137"/>
      <c r="D875" s="136"/>
      <c r="E875" s="136"/>
      <c r="F875" s="136" t="str">
        <f>IF(B875="","",D875-SUMIFS(Issue!$D$3:$D993,Issue!$C$3:$C993,C875,Issue!$B$3:$B993,B875))</f>
        <v/>
      </c>
      <c r="G875" s="232"/>
    </row>
    <row r="876" spans="1:7">
      <c r="A876" s="136" t="str">
        <f t="shared" si="3"/>
        <v/>
      </c>
      <c r="B876" s="137"/>
      <c r="C876" s="137"/>
      <c r="D876" s="136"/>
      <c r="E876" s="136"/>
      <c r="F876" s="136" t="str">
        <f>IF(B876="","",D876-SUMIFS(Issue!$D$3:$D993,Issue!$C$3:$C993,C876,Issue!$B$3:$B993,B876))</f>
        <v/>
      </c>
      <c r="G876" s="232"/>
    </row>
    <row r="877" spans="1:7">
      <c r="A877" s="136" t="str">
        <f t="shared" si="3"/>
        <v/>
      </c>
      <c r="B877" s="137"/>
      <c r="C877" s="137"/>
      <c r="D877" s="136"/>
      <c r="E877" s="136"/>
      <c r="F877" s="136" t="str">
        <f>IF(B877="","",D877-SUMIFS(Issue!$D$3:$D993,Issue!$C$3:$C993,C877,Issue!$B$3:$B993,B877))</f>
        <v/>
      </c>
      <c r="G877" s="232"/>
    </row>
    <row r="878" spans="1:7">
      <c r="A878" s="136" t="str">
        <f t="shared" si="3"/>
        <v/>
      </c>
      <c r="B878" s="137"/>
      <c r="C878" s="137"/>
      <c r="D878" s="136"/>
      <c r="E878" s="136"/>
      <c r="F878" s="136" t="str">
        <f>IF(B878="","",D878-SUMIFS(Issue!$D$3:$D993,Issue!$C$3:$C993,C878,Issue!$B$3:$B993,B878))</f>
        <v/>
      </c>
      <c r="G878" s="232"/>
    </row>
    <row r="879" spans="1:7">
      <c r="A879" s="136" t="str">
        <f t="shared" si="3"/>
        <v/>
      </c>
      <c r="B879" s="137"/>
      <c r="C879" s="137"/>
      <c r="D879" s="136"/>
      <c r="E879" s="136"/>
      <c r="F879" s="136" t="str">
        <f>IF(B879="","",D879-SUMIFS(Issue!$D$3:$D993,Issue!$C$3:$C993,C879,Issue!$B$3:$B993,B879))</f>
        <v/>
      </c>
      <c r="G879" s="232"/>
    </row>
    <row r="880" spans="1:7">
      <c r="A880" s="136" t="str">
        <f t="shared" si="3"/>
        <v/>
      </c>
      <c r="B880" s="137"/>
      <c r="C880" s="137"/>
      <c r="D880" s="136"/>
      <c r="E880" s="136"/>
      <c r="F880" s="136" t="str">
        <f>IF(B880="","",D880-SUMIFS(Issue!$D$3:$D993,Issue!$C$3:$C993,C880,Issue!$B$3:$B993,B880))</f>
        <v/>
      </c>
      <c r="G880" s="232"/>
    </row>
    <row r="881" spans="1:7">
      <c r="A881" s="136" t="str">
        <f t="shared" si="3"/>
        <v/>
      </c>
      <c r="B881" s="137"/>
      <c r="C881" s="137"/>
      <c r="D881" s="136"/>
      <c r="E881" s="136"/>
      <c r="F881" s="136" t="str">
        <f>IF(B881="","",D881-SUMIFS(Issue!$D$3:$D993,Issue!$C$3:$C993,C881,Issue!$B$3:$B993,B881))</f>
        <v/>
      </c>
      <c r="G881" s="232"/>
    </row>
    <row r="882" spans="1:7">
      <c r="A882" s="136" t="str">
        <f t="shared" si="3"/>
        <v/>
      </c>
      <c r="B882" s="137"/>
      <c r="C882" s="137"/>
      <c r="D882" s="136"/>
      <c r="E882" s="136"/>
      <c r="F882" s="136" t="str">
        <f>IF(B882="","",D882-SUMIFS(Issue!$D$3:$D993,Issue!$C$3:$C993,C882,Issue!$B$3:$B993,B882))</f>
        <v/>
      </c>
      <c r="G882" s="232"/>
    </row>
    <row r="883" spans="1:7">
      <c r="A883" s="136" t="str">
        <f t="shared" si="3"/>
        <v/>
      </c>
      <c r="B883" s="137"/>
      <c r="C883" s="137"/>
      <c r="D883" s="136"/>
      <c r="E883" s="136"/>
      <c r="F883" s="136" t="str">
        <f>IF(B883="","",D883-SUMIFS(Issue!$D$3:$D993,Issue!$C$3:$C993,C883,Issue!$B$3:$B993,B883))</f>
        <v/>
      </c>
      <c r="G883" s="232"/>
    </row>
    <row r="884" spans="1:7">
      <c r="A884" s="136" t="str">
        <f t="shared" si="3"/>
        <v/>
      </c>
      <c r="B884" s="137"/>
      <c r="C884" s="137"/>
      <c r="D884" s="136"/>
      <c r="E884" s="136"/>
      <c r="F884" s="136" t="str">
        <f>IF(B884="","",D884-SUMIFS(Issue!$D$3:$D993,Issue!$C$3:$C993,C884,Issue!$B$3:$B993,B884))</f>
        <v/>
      </c>
      <c r="G884" s="232"/>
    </row>
    <row r="885" spans="1:7">
      <c r="A885" s="136" t="str">
        <f t="shared" si="3"/>
        <v/>
      </c>
      <c r="B885" s="137"/>
      <c r="C885" s="137"/>
      <c r="D885" s="136"/>
      <c r="E885" s="136"/>
      <c r="F885" s="136" t="str">
        <f>IF(B885="","",D885-SUMIFS(Issue!$D$3:$D993,Issue!$C$3:$C993,C885,Issue!$B$3:$B993,B885))</f>
        <v/>
      </c>
      <c r="G885" s="232"/>
    </row>
    <row r="886" spans="1:7">
      <c r="A886" s="136" t="str">
        <f t="shared" si="3"/>
        <v/>
      </c>
      <c r="B886" s="137"/>
      <c r="C886" s="137"/>
      <c r="D886" s="136"/>
      <c r="E886" s="136"/>
      <c r="F886" s="136" t="str">
        <f>IF(B886="","",D886-SUMIFS(Issue!$D$3:$D993,Issue!$C$3:$C993,C886,Issue!$B$3:$B993,B886))</f>
        <v/>
      </c>
      <c r="G886" s="232"/>
    </row>
    <row r="887" spans="1:7">
      <c r="A887" s="136" t="str">
        <f t="shared" si="3"/>
        <v/>
      </c>
      <c r="B887" s="137"/>
      <c r="C887" s="137"/>
      <c r="D887" s="136"/>
      <c r="E887" s="136"/>
      <c r="F887" s="136" t="str">
        <f>IF(B887="","",D887-SUMIFS(Issue!$D$3:$D993,Issue!$C$3:$C993,C887,Issue!$B$3:$B993,B887))</f>
        <v/>
      </c>
      <c r="G887" s="232"/>
    </row>
    <row r="888" spans="1:7">
      <c r="A888" s="136" t="str">
        <f t="shared" si="3"/>
        <v/>
      </c>
      <c r="B888" s="137"/>
      <c r="C888" s="137"/>
      <c r="D888" s="136"/>
      <c r="E888" s="136"/>
      <c r="F888" s="136" t="str">
        <f>IF(B888="","",D888-SUMIFS(Issue!$D$3:$D993,Issue!$C$3:$C993,C888,Issue!$B$3:$B993,B888))</f>
        <v/>
      </c>
      <c r="G888" s="232"/>
    </row>
    <row r="889" spans="1:7">
      <c r="A889" s="136" t="str">
        <f t="shared" si="3"/>
        <v/>
      </c>
      <c r="B889" s="137"/>
      <c r="C889" s="137"/>
      <c r="D889" s="136"/>
      <c r="E889" s="136"/>
      <c r="F889" s="136" t="str">
        <f>IF(B889="","",D889-SUMIFS(Issue!$D$3:$D993,Issue!$C$3:$C993,C889,Issue!$B$3:$B993,B889))</f>
        <v/>
      </c>
      <c r="G889" s="232"/>
    </row>
    <row r="890" spans="1:7">
      <c r="A890" s="136" t="str">
        <f t="shared" si="3"/>
        <v/>
      </c>
      <c r="B890" s="137"/>
      <c r="C890" s="137"/>
      <c r="D890" s="136"/>
      <c r="E890" s="136"/>
      <c r="F890" s="136" t="str">
        <f>IF(B890="","",D890-SUMIFS(Issue!$D$3:$D993,Issue!$C$3:$C993,C890,Issue!$B$3:$B993,B890))</f>
        <v/>
      </c>
      <c r="G890" s="232"/>
    </row>
    <row r="891" spans="1:7">
      <c r="A891" s="136" t="str">
        <f t="shared" si="3"/>
        <v/>
      </c>
      <c r="B891" s="137"/>
      <c r="C891" s="137"/>
      <c r="D891" s="136"/>
      <c r="E891" s="136"/>
      <c r="F891" s="136" t="str">
        <f>IF(B891="","",D891-SUMIFS(Issue!$D$3:$D993,Issue!$C$3:$C993,C891,Issue!$B$3:$B993,B891))</f>
        <v/>
      </c>
      <c r="G891" s="232"/>
    </row>
    <row r="892" spans="1:7">
      <c r="A892" s="136" t="str">
        <f t="shared" si="3"/>
        <v/>
      </c>
      <c r="B892" s="137"/>
      <c r="C892" s="137"/>
      <c r="D892" s="136"/>
      <c r="E892" s="136"/>
      <c r="F892" s="136" t="str">
        <f>IF(B892="","",D892-SUMIFS(Issue!$D$3:$D993,Issue!$C$3:$C993,C892,Issue!$B$3:$B993,B892))</f>
        <v/>
      </c>
      <c r="G892" s="232"/>
    </row>
    <row r="893" spans="1:7">
      <c r="A893" s="136" t="str">
        <f t="shared" si="3"/>
        <v/>
      </c>
      <c r="B893" s="137"/>
      <c r="C893" s="137"/>
      <c r="D893" s="136"/>
      <c r="E893" s="136"/>
      <c r="F893" s="136" t="str">
        <f>IF(B893="","",D893-SUMIFS(Issue!$D$3:$D993,Issue!$C$3:$C993,C893,Issue!$B$3:$B993,B893))</f>
        <v/>
      </c>
      <c r="G893" s="232"/>
    </row>
    <row r="894" spans="1:7">
      <c r="A894" s="136" t="str">
        <f t="shared" si="3"/>
        <v/>
      </c>
      <c r="B894" s="137"/>
      <c r="C894" s="137"/>
      <c r="D894" s="136"/>
      <c r="E894" s="136"/>
      <c r="F894" s="136" t="str">
        <f>IF(B894="","",D894-SUMIFS(Issue!$D$3:$D993,Issue!$C$3:$C993,C894,Issue!$B$3:$B993,B894))</f>
        <v/>
      </c>
      <c r="G894" s="232"/>
    </row>
    <row r="895" spans="1:7">
      <c r="A895" s="136" t="str">
        <f t="shared" si="3"/>
        <v/>
      </c>
      <c r="B895" s="137"/>
      <c r="C895" s="137"/>
      <c r="D895" s="136"/>
      <c r="E895" s="136"/>
      <c r="F895" s="136" t="str">
        <f>IF(B895="","",D895-SUMIFS(Issue!$D$3:$D993,Issue!$C$3:$C993,C895,Issue!$B$3:$B993,B895))</f>
        <v/>
      </c>
      <c r="G895" s="232"/>
    </row>
    <row r="896" spans="1:7">
      <c r="A896" s="136" t="str">
        <f t="shared" si="3"/>
        <v/>
      </c>
      <c r="B896" s="137"/>
      <c r="C896" s="137"/>
      <c r="D896" s="136"/>
      <c r="E896" s="136"/>
      <c r="F896" s="136" t="str">
        <f>IF(B896="","",D896-SUMIFS(Issue!$D$3:$D993,Issue!$C$3:$C993,C896,Issue!$B$3:$B993,B896))</f>
        <v/>
      </c>
      <c r="G896" s="232"/>
    </row>
    <row r="897" spans="1:7">
      <c r="A897" s="136" t="str">
        <f t="shared" si="3"/>
        <v/>
      </c>
      <c r="B897" s="137"/>
      <c r="C897" s="137"/>
      <c r="D897" s="136"/>
      <c r="E897" s="136"/>
      <c r="F897" s="136" t="str">
        <f>IF(B897="","",D897-SUMIFS(Issue!$D$3:$D993,Issue!$C$3:$C993,C897,Issue!$B$3:$B993,B897))</f>
        <v/>
      </c>
      <c r="G897" s="232"/>
    </row>
    <row r="898" spans="1:7">
      <c r="A898" s="136" t="str">
        <f t="shared" si="3"/>
        <v/>
      </c>
      <c r="B898" s="137"/>
      <c r="C898" s="137"/>
      <c r="D898" s="136"/>
      <c r="E898" s="136"/>
      <c r="F898" s="136" t="str">
        <f>IF(B898="","",D898-SUMIFS(Issue!$D$3:$D993,Issue!$C$3:$C993,C898,Issue!$B$3:$B993,B898))</f>
        <v/>
      </c>
      <c r="G898" s="232"/>
    </row>
    <row r="899" spans="1:7">
      <c r="A899" s="136" t="str">
        <f t="shared" si="3"/>
        <v/>
      </c>
      <c r="B899" s="137"/>
      <c r="C899" s="137"/>
      <c r="D899" s="136"/>
      <c r="E899" s="136"/>
      <c r="F899" s="136" t="str">
        <f>IF(B899="","",D899-SUMIFS(Issue!$D$3:$D993,Issue!$C$3:$C993,C899,Issue!$B$3:$B993,B899))</f>
        <v/>
      </c>
      <c r="G899" s="232"/>
    </row>
    <row r="900" spans="1:7">
      <c r="A900" s="136" t="str">
        <f t="shared" si="3"/>
        <v/>
      </c>
      <c r="B900" s="137"/>
      <c r="C900" s="137"/>
      <c r="D900" s="136"/>
      <c r="E900" s="136"/>
      <c r="F900" s="136" t="str">
        <f>IF(B900="","",D900-SUMIFS(Issue!$D$3:$D993,Issue!$C$3:$C993,C900,Issue!$B$3:$B993,B900))</f>
        <v/>
      </c>
      <c r="G900" s="232"/>
    </row>
    <row r="901" spans="1:7">
      <c r="A901" s="136" t="str">
        <f t="shared" si="3"/>
        <v/>
      </c>
      <c r="B901" s="137"/>
      <c r="C901" s="137"/>
      <c r="D901" s="136"/>
      <c r="E901" s="136"/>
      <c r="F901" s="136" t="str">
        <f>IF(B901="","",D901-SUMIFS(Issue!$D$3:$D993,Issue!$C$3:$C993,C901,Issue!$B$3:$B993,B901))</f>
        <v/>
      </c>
      <c r="G901" s="232"/>
    </row>
    <row r="902" spans="1:7">
      <c r="A902" s="136" t="str">
        <f t="shared" si="3"/>
        <v/>
      </c>
      <c r="B902" s="137"/>
      <c r="C902" s="137"/>
      <c r="D902" s="136"/>
      <c r="E902" s="136"/>
      <c r="F902" s="136" t="str">
        <f>IF(B902="","",D902-SUMIFS(Issue!$D$3:$D993,Issue!$C$3:$C993,C902,Issue!$B$3:$B993,B902))</f>
        <v/>
      </c>
      <c r="G902" s="232"/>
    </row>
    <row r="903" spans="1:7">
      <c r="A903" s="136" t="str">
        <f t="shared" si="3"/>
        <v/>
      </c>
      <c r="B903" s="137"/>
      <c r="C903" s="137"/>
      <c r="D903" s="136"/>
      <c r="E903" s="136"/>
      <c r="F903" s="136" t="str">
        <f>IF(B903="","",D903-SUMIFS(Issue!$D$3:$D993,Issue!$C$3:$C993,C903,Issue!$B$3:$B993,B903))</f>
        <v/>
      </c>
      <c r="G903" s="232"/>
    </row>
    <row r="904" spans="1:7">
      <c r="A904" s="136" t="str">
        <f t="shared" si="3"/>
        <v/>
      </c>
      <c r="B904" s="137"/>
      <c r="C904" s="137"/>
      <c r="D904" s="136"/>
      <c r="E904" s="136"/>
      <c r="F904" s="136" t="str">
        <f>IF(B904="","",D904-SUMIFS(Issue!$D$3:$D993,Issue!$C$3:$C993,C904,Issue!$B$3:$B993,B904))</f>
        <v/>
      </c>
      <c r="G904" s="232"/>
    </row>
    <row r="905" spans="1:7">
      <c r="A905" s="136" t="str">
        <f t="shared" si="3"/>
        <v/>
      </c>
      <c r="B905" s="137"/>
      <c r="C905" s="137"/>
      <c r="D905" s="136"/>
      <c r="E905" s="136"/>
      <c r="F905" s="136" t="str">
        <f>IF(B905="","",D905-SUMIFS(Issue!$D$3:$D993,Issue!$C$3:$C993,C905,Issue!$B$3:$B993,B905))</f>
        <v/>
      </c>
      <c r="G905" s="232"/>
    </row>
    <row r="906" spans="1:7">
      <c r="A906" s="136" t="str">
        <f t="shared" si="3"/>
        <v/>
      </c>
      <c r="B906" s="137"/>
      <c r="C906" s="137"/>
      <c r="D906" s="136"/>
      <c r="E906" s="136"/>
      <c r="F906" s="136" t="str">
        <f>IF(B906="","",D906-SUMIFS(Issue!$D$3:$D993,Issue!$C$3:$C993,C906,Issue!$B$3:$B993,B906))</f>
        <v/>
      </c>
      <c r="G906" s="232"/>
    </row>
    <row r="907" spans="1:7">
      <c r="A907" s="136" t="str">
        <f t="shared" si="3"/>
        <v/>
      </c>
      <c r="B907" s="137"/>
      <c r="C907" s="137"/>
      <c r="D907" s="136"/>
      <c r="E907" s="136"/>
      <c r="F907" s="136" t="str">
        <f>IF(B907="","",D907-SUMIFS(Issue!$D$3:$D993,Issue!$C$3:$C993,C907,Issue!$B$3:$B993,B907))</f>
        <v/>
      </c>
      <c r="G907" s="232"/>
    </row>
    <row r="908" spans="1:7">
      <c r="A908" s="136" t="str">
        <f t="shared" si="3"/>
        <v/>
      </c>
      <c r="B908" s="137"/>
      <c r="C908" s="137"/>
      <c r="D908" s="136"/>
      <c r="E908" s="136"/>
      <c r="F908" s="136" t="str">
        <f>IF(B908="","",D908-SUMIFS(Issue!$D$3:$D993,Issue!$C$3:$C993,C908,Issue!$B$3:$B993,B908))</f>
        <v/>
      </c>
      <c r="G908" s="232"/>
    </row>
    <row r="909" spans="1:7">
      <c r="A909" s="136" t="str">
        <f t="shared" si="3"/>
        <v/>
      </c>
      <c r="B909" s="137"/>
      <c r="C909" s="137"/>
      <c r="D909" s="136"/>
      <c r="E909" s="136"/>
      <c r="F909" s="136" t="str">
        <f>IF(B909="","",D909-SUMIFS(Issue!$D$3:$D993,Issue!$C$3:$C993,C909,Issue!$B$3:$B993,B909))</f>
        <v/>
      </c>
      <c r="G909" s="232"/>
    </row>
    <row r="910" spans="1:7">
      <c r="A910" s="136" t="str">
        <f t="shared" si="3"/>
        <v/>
      </c>
      <c r="B910" s="137"/>
      <c r="C910" s="137"/>
      <c r="D910" s="136"/>
      <c r="E910" s="136"/>
      <c r="F910" s="136" t="str">
        <f>IF(B910="","",D910-SUMIFS(Issue!$D$3:$D993,Issue!$C$3:$C993,C910,Issue!$B$3:$B993,B910))</f>
        <v/>
      </c>
      <c r="G910" s="232"/>
    </row>
    <row r="911" spans="1:7">
      <c r="A911" s="136" t="str">
        <f t="shared" si="3"/>
        <v/>
      </c>
      <c r="B911" s="137"/>
      <c r="C911" s="137"/>
      <c r="D911" s="136"/>
      <c r="E911" s="136"/>
      <c r="F911" s="136" t="str">
        <f>IF(B911="","",D911-SUMIFS(Issue!$D$3:$D993,Issue!$C$3:$C993,C911,Issue!$B$3:$B993,B911))</f>
        <v/>
      </c>
      <c r="G911" s="232"/>
    </row>
    <row r="912" spans="1:7">
      <c r="A912" s="136" t="str">
        <f t="shared" si="3"/>
        <v/>
      </c>
      <c r="B912" s="137"/>
      <c r="C912" s="137"/>
      <c r="D912" s="136"/>
      <c r="E912" s="136"/>
      <c r="F912" s="136" t="str">
        <f>IF(B912="","",D912-SUMIFS(Issue!$D$3:$D993,Issue!$C$3:$C993,C912,Issue!$B$3:$B993,B912))</f>
        <v/>
      </c>
      <c r="G912" s="232"/>
    </row>
    <row r="913" spans="1:7">
      <c r="A913" s="136" t="str">
        <f t="shared" si="3"/>
        <v/>
      </c>
      <c r="B913" s="137"/>
      <c r="C913" s="137"/>
      <c r="D913" s="136"/>
      <c r="E913" s="136"/>
      <c r="F913" s="136" t="str">
        <f>IF(B913="","",D913-SUMIFS(Issue!$D$3:$D993,Issue!$C$3:$C993,C913,Issue!$B$3:$B993,B913))</f>
        <v/>
      </c>
      <c r="G913" s="232"/>
    </row>
    <row r="914" spans="1:7">
      <c r="A914" s="136" t="str">
        <f t="shared" si="3"/>
        <v/>
      </c>
      <c r="B914" s="137"/>
      <c r="C914" s="137"/>
      <c r="D914" s="136"/>
      <c r="E914" s="136"/>
      <c r="F914" s="136" t="str">
        <f>IF(B914="","",D914-SUMIFS(Issue!$D$3:$D993,Issue!$C$3:$C993,C914,Issue!$B$3:$B993,B914))</f>
        <v/>
      </c>
      <c r="G914" s="232"/>
    </row>
    <row r="915" spans="1:7">
      <c r="A915" s="136" t="str">
        <f t="shared" si="3"/>
        <v/>
      </c>
      <c r="B915" s="137"/>
      <c r="C915" s="137"/>
      <c r="D915" s="136"/>
      <c r="E915" s="136"/>
      <c r="F915" s="136" t="str">
        <f>IF(B915="","",D915-SUMIFS(Issue!$D$3:$D993,Issue!$C$3:$C993,C915,Issue!$B$3:$B993,B915))</f>
        <v/>
      </c>
      <c r="G915" s="232"/>
    </row>
    <row r="916" spans="1:7">
      <c r="A916" s="136" t="str">
        <f t="shared" si="3"/>
        <v/>
      </c>
      <c r="B916" s="137"/>
      <c r="C916" s="137"/>
      <c r="D916" s="136"/>
      <c r="E916" s="136"/>
      <c r="F916" s="136" t="str">
        <f>IF(B916="","",D916-SUMIFS(Issue!$D$3:$D993,Issue!$C$3:$C993,C916,Issue!$B$3:$B993,B916))</f>
        <v/>
      </c>
      <c r="G916" s="232"/>
    </row>
    <row r="917" spans="1:7">
      <c r="A917" s="136" t="str">
        <f t="shared" si="3"/>
        <v/>
      </c>
      <c r="B917" s="137"/>
      <c r="C917" s="137"/>
      <c r="D917" s="136"/>
      <c r="E917" s="136"/>
      <c r="F917" s="136" t="str">
        <f>IF(B917="","",D917-SUMIFS(Issue!$D$3:$D993,Issue!$C$3:$C993,C917,Issue!$B$3:$B993,B917))</f>
        <v/>
      </c>
      <c r="G917" s="232"/>
    </row>
    <row r="918" spans="1:7">
      <c r="A918" s="136" t="str">
        <f t="shared" si="3"/>
        <v/>
      </c>
      <c r="B918" s="137"/>
      <c r="C918" s="137"/>
      <c r="D918" s="136"/>
      <c r="E918" s="136"/>
      <c r="F918" s="136" t="str">
        <f>IF(B918="","",D918-SUMIFS(Issue!$D$3:$D993,Issue!$C$3:$C993,C918,Issue!$B$3:$B993,B918))</f>
        <v/>
      </c>
      <c r="G918" s="232"/>
    </row>
    <row r="919" spans="1:7">
      <c r="A919" s="136" t="str">
        <f t="shared" si="3"/>
        <v/>
      </c>
      <c r="B919" s="137"/>
      <c r="C919" s="137"/>
      <c r="D919" s="136"/>
      <c r="E919" s="136"/>
      <c r="F919" s="136" t="str">
        <f>IF(B919="","",D919-SUMIFS(Issue!$D$3:$D993,Issue!$C$3:$C993,C919,Issue!$B$3:$B993,B919))</f>
        <v/>
      </c>
      <c r="G919" s="232"/>
    </row>
    <row r="920" spans="1:7">
      <c r="A920" s="136" t="str">
        <f t="shared" si="3"/>
        <v/>
      </c>
      <c r="B920" s="137"/>
      <c r="C920" s="137"/>
      <c r="D920" s="136"/>
      <c r="E920" s="136"/>
      <c r="F920" s="136" t="str">
        <f>IF(B920="","",D920-SUMIFS(Issue!$D$3:$D993,Issue!$C$3:$C993,C920,Issue!$B$3:$B993,B920))</f>
        <v/>
      </c>
      <c r="G920" s="232"/>
    </row>
    <row r="921" spans="1:7">
      <c r="A921" s="136" t="str">
        <f t="shared" si="3"/>
        <v/>
      </c>
      <c r="B921" s="137"/>
      <c r="C921" s="137"/>
      <c r="D921" s="136"/>
      <c r="E921" s="136"/>
      <c r="F921" s="136" t="str">
        <f>IF(B921="","",D921-SUMIFS(Issue!$D$3:$D993,Issue!$C$3:$C993,C921,Issue!$B$3:$B993,B921))</f>
        <v/>
      </c>
      <c r="G921" s="232"/>
    </row>
    <row r="922" spans="1:7">
      <c r="A922" s="136" t="str">
        <f t="shared" si="3"/>
        <v/>
      </c>
      <c r="B922" s="137"/>
      <c r="C922" s="137"/>
      <c r="D922" s="136"/>
      <c r="E922" s="136"/>
      <c r="F922" s="136" t="str">
        <f>IF(B922="","",D922-SUMIFS(Issue!$D$3:$D993,Issue!$C$3:$C993,C922,Issue!$B$3:$B993,B922))</f>
        <v/>
      </c>
      <c r="G922" s="232"/>
    </row>
    <row r="923" spans="1:7">
      <c r="A923" s="136" t="str">
        <f t="shared" si="3"/>
        <v/>
      </c>
      <c r="B923" s="137"/>
      <c r="C923" s="137"/>
      <c r="D923" s="136"/>
      <c r="E923" s="136"/>
      <c r="F923" s="136" t="str">
        <f>IF(B923="","",D923-SUMIFS(Issue!$D$3:$D993,Issue!$C$3:$C993,C923,Issue!$B$3:$B993,B923))</f>
        <v/>
      </c>
      <c r="G923" s="232"/>
    </row>
    <row r="924" spans="1:7">
      <c r="A924" s="136" t="str">
        <f t="shared" si="3"/>
        <v/>
      </c>
      <c r="B924" s="137"/>
      <c r="C924" s="137"/>
      <c r="D924" s="136"/>
      <c r="E924" s="136"/>
      <c r="F924" s="136" t="str">
        <f>IF(B924="","",D924-SUMIFS(Issue!$D$3:$D993,Issue!$C$3:$C993,C924,Issue!$B$3:$B993,B924))</f>
        <v/>
      </c>
      <c r="G924" s="232"/>
    </row>
    <row r="925" spans="1:7">
      <c r="A925" s="136" t="str">
        <f t="shared" si="3"/>
        <v/>
      </c>
      <c r="B925" s="137"/>
      <c r="C925" s="137"/>
      <c r="D925" s="136"/>
      <c r="E925" s="136"/>
      <c r="F925" s="136" t="str">
        <f>IF(B925="","",D925-SUMIFS(Issue!$D$3:$D993,Issue!$C$3:$C993,C925,Issue!$B$3:$B993,B925))</f>
        <v/>
      </c>
      <c r="G925" s="232"/>
    </row>
    <row r="926" spans="1:7">
      <c r="A926" s="136" t="str">
        <f t="shared" si="3"/>
        <v/>
      </c>
      <c r="B926" s="137"/>
      <c r="C926" s="137"/>
      <c r="D926" s="136"/>
      <c r="E926" s="136"/>
      <c r="F926" s="136" t="str">
        <f>IF(B926="","",D926-SUMIFS(Issue!$D$3:$D993,Issue!$C$3:$C993,C926,Issue!$B$3:$B993,B926))</f>
        <v/>
      </c>
      <c r="G926" s="232"/>
    </row>
    <row r="927" spans="1:7">
      <c r="A927" s="136" t="str">
        <f t="shared" si="3"/>
        <v/>
      </c>
      <c r="B927" s="137"/>
      <c r="C927" s="137"/>
      <c r="D927" s="136"/>
      <c r="E927" s="136"/>
      <c r="F927" s="136" t="str">
        <f>IF(B927="","",D927-SUMIFS(Issue!$D$3:$D993,Issue!$C$3:$C993,C927,Issue!$B$3:$B993,B927))</f>
        <v/>
      </c>
      <c r="G927" s="232"/>
    </row>
    <row r="928" spans="1:7">
      <c r="A928" s="136" t="str">
        <f t="shared" si="3"/>
        <v/>
      </c>
      <c r="B928" s="137"/>
      <c r="C928" s="137"/>
      <c r="D928" s="136"/>
      <c r="E928" s="136"/>
      <c r="F928" s="136" t="str">
        <f>IF(B928="","",D928-SUMIFS(Issue!$D$3:$D993,Issue!$C$3:$C993,C928,Issue!$B$3:$B993,B928))</f>
        <v/>
      </c>
      <c r="G928" s="232"/>
    </row>
    <row r="929" spans="1:7">
      <c r="A929" s="136" t="str">
        <f t="shared" si="3"/>
        <v/>
      </c>
      <c r="B929" s="137"/>
      <c r="C929" s="137"/>
      <c r="D929" s="136"/>
      <c r="E929" s="136"/>
      <c r="F929" s="136" t="str">
        <f>IF(B929="","",D929-SUMIFS(Issue!$D$3:$D993,Issue!$C$3:$C993,C929,Issue!$B$3:$B993,B929))</f>
        <v/>
      </c>
      <c r="G929" s="232"/>
    </row>
    <row r="930" spans="1:7">
      <c r="A930" s="136" t="str">
        <f t="shared" si="3"/>
        <v/>
      </c>
      <c r="B930" s="137"/>
      <c r="C930" s="137"/>
      <c r="D930" s="136"/>
      <c r="E930" s="136"/>
      <c r="F930" s="136" t="str">
        <f>IF(B930="","",D930-SUMIFS(Issue!$D$3:$D993,Issue!$C$3:$C993,C930,Issue!$B$3:$B993,B930))</f>
        <v/>
      </c>
      <c r="G930" s="232"/>
    </row>
    <row r="931" spans="1:7">
      <c r="A931" s="136" t="str">
        <f t="shared" si="3"/>
        <v/>
      </c>
      <c r="B931" s="137"/>
      <c r="C931" s="137"/>
      <c r="D931" s="136"/>
      <c r="E931" s="136"/>
      <c r="F931" s="136" t="str">
        <f>IF(B931="","",D931-SUMIFS(Issue!$D$3:$D993,Issue!$C$3:$C993,C931,Issue!$B$3:$B993,B931))</f>
        <v/>
      </c>
      <c r="G931" s="232"/>
    </row>
    <row r="932" spans="1:7">
      <c r="A932" s="136" t="str">
        <f t="shared" si="3"/>
        <v/>
      </c>
      <c r="B932" s="137"/>
      <c r="C932" s="137"/>
      <c r="D932" s="136"/>
      <c r="E932" s="136"/>
      <c r="F932" s="136" t="str">
        <f>IF(B932="","",D932-SUMIFS(Issue!$D$3:$D993,Issue!$C$3:$C993,C932,Issue!$B$3:$B993,B932))</f>
        <v/>
      </c>
      <c r="G932" s="232"/>
    </row>
    <row r="933" spans="1:7">
      <c r="A933" s="136" t="str">
        <f t="shared" si="3"/>
        <v/>
      </c>
      <c r="B933" s="137"/>
      <c r="C933" s="137"/>
      <c r="D933" s="136"/>
      <c r="E933" s="136"/>
      <c r="F933" s="136" t="str">
        <f>IF(B933="","",D933-SUMIFS(Issue!$D$3:$D993,Issue!$C$3:$C993,C933,Issue!$B$3:$B993,B933))</f>
        <v/>
      </c>
      <c r="G933" s="232"/>
    </row>
    <row r="934" spans="1:7">
      <c r="A934" s="136" t="str">
        <f t="shared" si="3"/>
        <v/>
      </c>
      <c r="B934" s="137"/>
      <c r="C934" s="137"/>
      <c r="D934" s="136"/>
      <c r="E934" s="136"/>
      <c r="F934" s="136" t="str">
        <f>IF(B934="","",D934-SUMIFS(Issue!$D$3:$D993,Issue!$C$3:$C993,C934,Issue!$B$3:$B993,B934))</f>
        <v/>
      </c>
      <c r="G934" s="232"/>
    </row>
    <row r="935" spans="1:7">
      <c r="A935" s="136" t="str">
        <f t="shared" si="3"/>
        <v/>
      </c>
      <c r="B935" s="137"/>
      <c r="C935" s="137"/>
      <c r="D935" s="136"/>
      <c r="E935" s="136"/>
      <c r="F935" s="136" t="str">
        <f>IF(B935="","",D935-SUMIFS(Issue!$D$3:$D993,Issue!$C$3:$C993,C935,Issue!$B$3:$B993,B935))</f>
        <v/>
      </c>
      <c r="G935" s="232"/>
    </row>
    <row r="936" spans="1:7">
      <c r="A936" s="136" t="str">
        <f t="shared" si="3"/>
        <v/>
      </c>
      <c r="B936" s="137"/>
      <c r="C936" s="137"/>
      <c r="D936" s="136"/>
      <c r="E936" s="136"/>
      <c r="F936" s="136" t="str">
        <f>IF(B936="","",D936-SUMIFS(Issue!$D$3:$D993,Issue!$C$3:$C993,C936,Issue!$B$3:$B993,B936))</f>
        <v/>
      </c>
      <c r="G936" s="232"/>
    </row>
    <row r="937" spans="1:7">
      <c r="A937" s="136" t="str">
        <f t="shared" si="3"/>
        <v/>
      </c>
      <c r="B937" s="137"/>
      <c r="C937" s="137"/>
      <c r="D937" s="136"/>
      <c r="E937" s="136"/>
      <c r="F937" s="136" t="str">
        <f>IF(B937="","",D937-SUMIFS(Issue!$D$3:$D993,Issue!$C$3:$C993,C937,Issue!$B$3:$B993,B937))</f>
        <v/>
      </c>
      <c r="G937" s="232"/>
    </row>
    <row r="938" spans="1:7">
      <c r="A938" s="136" t="str">
        <f t="shared" si="3"/>
        <v/>
      </c>
      <c r="B938" s="137"/>
      <c r="C938" s="137"/>
      <c r="D938" s="136"/>
      <c r="E938" s="136"/>
      <c r="F938" s="136" t="str">
        <f>IF(B938="","",D938-SUMIFS(Issue!$D$3:$D993,Issue!$C$3:$C993,C938,Issue!$B$3:$B993,B938))</f>
        <v/>
      </c>
      <c r="G938" s="232"/>
    </row>
    <row r="939" spans="1:7">
      <c r="A939" s="136" t="str">
        <f t="shared" si="3"/>
        <v/>
      </c>
      <c r="B939" s="137"/>
      <c r="C939" s="137"/>
      <c r="D939" s="136"/>
      <c r="E939" s="136"/>
      <c r="F939" s="136" t="str">
        <f>IF(B939="","",D939-SUMIFS(Issue!$D$3:$D993,Issue!$C$3:$C993,C939,Issue!$B$3:$B993,B939))</f>
        <v/>
      </c>
      <c r="G939" s="232"/>
    </row>
    <row r="940" spans="1:7">
      <c r="A940" s="136" t="str">
        <f t="shared" si="3"/>
        <v/>
      </c>
      <c r="B940" s="137"/>
      <c r="C940" s="137"/>
      <c r="D940" s="136"/>
      <c r="E940" s="136"/>
      <c r="F940" s="136" t="str">
        <f>IF(B940="","",D940-SUMIFS(Issue!$D$3:$D993,Issue!$C$3:$C993,C940,Issue!$B$3:$B993,B940))</f>
        <v/>
      </c>
      <c r="G940" s="232"/>
    </row>
    <row r="941" spans="1:7">
      <c r="A941" s="136" t="str">
        <f t="shared" si="3"/>
        <v/>
      </c>
      <c r="B941" s="137"/>
      <c r="C941" s="137"/>
      <c r="D941" s="136"/>
      <c r="E941" s="136"/>
      <c r="F941" s="136" t="str">
        <f>IF(B941="","",D941-SUMIFS(Issue!$D$3:$D993,Issue!$C$3:$C993,C941,Issue!$B$3:$B993,B941))</f>
        <v/>
      </c>
      <c r="G941" s="232"/>
    </row>
    <row r="942" spans="1:7">
      <c r="A942" s="136" t="str">
        <f t="shared" si="3"/>
        <v/>
      </c>
      <c r="B942" s="137"/>
      <c r="C942" s="137"/>
      <c r="D942" s="136"/>
      <c r="E942" s="136"/>
      <c r="F942" s="136" t="str">
        <f>IF(B942="","",D942-SUMIFS(Issue!$D$3:$D993,Issue!$C$3:$C993,C942,Issue!$B$3:$B993,B942))</f>
        <v/>
      </c>
      <c r="G942" s="232"/>
    </row>
    <row r="943" spans="1:7">
      <c r="A943" s="136" t="str">
        <f t="shared" si="3"/>
        <v/>
      </c>
      <c r="B943" s="137"/>
      <c r="C943" s="137"/>
      <c r="D943" s="136"/>
      <c r="E943" s="136"/>
      <c r="F943" s="136" t="str">
        <f>IF(B943="","",D943-SUMIFS(Issue!$D$3:$D993,Issue!$C$3:$C993,C943,Issue!$B$3:$B993,B943))</f>
        <v/>
      </c>
      <c r="G943" s="232"/>
    </row>
    <row r="944" spans="1:7">
      <c r="A944" s="136" t="str">
        <f t="shared" si="3"/>
        <v/>
      </c>
      <c r="B944" s="137"/>
      <c r="C944" s="137"/>
      <c r="D944" s="136"/>
      <c r="E944" s="136"/>
      <c r="F944" s="136" t="str">
        <f>IF(B944="","",D944-SUMIFS(Issue!$D$3:$D993,Issue!$C$3:$C993,C944,Issue!$B$3:$B993,B944))</f>
        <v/>
      </c>
      <c r="G944" s="232"/>
    </row>
    <row r="945" spans="1:7">
      <c r="A945" s="136" t="str">
        <f t="shared" si="3"/>
        <v/>
      </c>
      <c r="B945" s="137"/>
      <c r="C945" s="137"/>
      <c r="D945" s="136"/>
      <c r="E945" s="136"/>
      <c r="F945" s="136" t="str">
        <f>IF(B945="","",D945-SUMIFS(Issue!$D$3:$D993,Issue!$C$3:$C993,C945,Issue!$B$3:$B993,B945))</f>
        <v/>
      </c>
      <c r="G945" s="232"/>
    </row>
    <row r="946" spans="1:7">
      <c r="A946" s="136" t="str">
        <f t="shared" si="3"/>
        <v/>
      </c>
      <c r="B946" s="137"/>
      <c r="C946" s="137"/>
      <c r="D946" s="136"/>
      <c r="E946" s="136"/>
      <c r="F946" s="136" t="str">
        <f>IF(B946="","",D946-SUMIFS(Issue!$D$3:$D993,Issue!$C$3:$C993,C946,Issue!$B$3:$B993,B946))</f>
        <v/>
      </c>
      <c r="G946" s="232"/>
    </row>
    <row r="947" spans="1:7">
      <c r="A947" s="136" t="str">
        <f t="shared" si="3"/>
        <v/>
      </c>
      <c r="B947" s="137"/>
      <c r="C947" s="137"/>
      <c r="D947" s="136"/>
      <c r="E947" s="136"/>
      <c r="F947" s="136" t="str">
        <f>IF(B947="","",D947-SUMIFS(Issue!$D$3:$D993,Issue!$C$3:$C993,C947,Issue!$B$3:$B993,B947))</f>
        <v/>
      </c>
      <c r="G947" s="232"/>
    </row>
    <row r="948" spans="1:7">
      <c r="A948" s="136" t="str">
        <f t="shared" si="3"/>
        <v/>
      </c>
      <c r="B948" s="137"/>
      <c r="C948" s="137"/>
      <c r="D948" s="136"/>
      <c r="E948" s="136"/>
      <c r="F948" s="136" t="str">
        <f>IF(B948="","",D948-SUMIFS(Issue!$D$3:$D993,Issue!$C$3:$C993,C948,Issue!$B$3:$B993,B948))</f>
        <v/>
      </c>
      <c r="G948" s="232"/>
    </row>
    <row r="949" spans="1:7">
      <c r="A949" s="136" t="str">
        <f t="shared" si="3"/>
        <v/>
      </c>
      <c r="B949" s="137"/>
      <c r="C949" s="137"/>
      <c r="D949" s="136"/>
      <c r="E949" s="136"/>
      <c r="F949" s="136" t="str">
        <f>IF(B949="","",D949-SUMIFS(Issue!$D$3:$D993,Issue!$C$3:$C993,C949,Issue!$B$3:$B993,B949))</f>
        <v/>
      </c>
      <c r="G949" s="232"/>
    </row>
    <row r="950" spans="1:7">
      <c r="A950" s="136" t="str">
        <f t="shared" si="3"/>
        <v/>
      </c>
      <c r="B950" s="137"/>
      <c r="C950" s="137"/>
      <c r="D950" s="136"/>
      <c r="E950" s="136"/>
      <c r="F950" s="136" t="str">
        <f>IF(B950="","",D950-SUMIFS(Issue!$D$3:$D993,Issue!$C$3:$C993,C950,Issue!$B$3:$B993,B950))</f>
        <v/>
      </c>
      <c r="G950" s="232"/>
    </row>
    <row r="951" spans="1:7">
      <c r="A951" s="136" t="str">
        <f t="shared" si="3"/>
        <v/>
      </c>
      <c r="B951" s="137"/>
      <c r="C951" s="137"/>
      <c r="D951" s="136"/>
      <c r="E951" s="136"/>
      <c r="F951" s="136" t="str">
        <f>IF(B951="","",D951-SUMIFS(Issue!$D$3:$D993,Issue!$C$3:$C993,C951,Issue!$B$3:$B993,B951))</f>
        <v/>
      </c>
      <c r="G951" s="232"/>
    </row>
    <row r="952" spans="1:7">
      <c r="A952" s="136" t="str">
        <f t="shared" si="3"/>
        <v/>
      </c>
      <c r="B952" s="137"/>
      <c r="C952" s="137"/>
      <c r="D952" s="136"/>
      <c r="E952" s="136"/>
      <c r="F952" s="136" t="str">
        <f>IF(B952="","",D952-SUMIFS(Issue!$D$3:$D993,Issue!$C$3:$C993,C952,Issue!$B$3:$B993,B952))</f>
        <v/>
      </c>
      <c r="G952" s="232"/>
    </row>
    <row r="953" spans="1:7">
      <c r="A953" s="136" t="str">
        <f t="shared" si="3"/>
        <v/>
      </c>
      <c r="B953" s="137"/>
      <c r="C953" s="137"/>
      <c r="D953" s="136"/>
      <c r="E953" s="136"/>
      <c r="F953" s="136" t="str">
        <f>IF(B953="","",D953-SUMIFS(Issue!$D$3:$D993,Issue!$C$3:$C993,C953,Issue!$B$3:$B993,B953))</f>
        <v/>
      </c>
      <c r="G953" s="232"/>
    </row>
    <row r="954" spans="1:7">
      <c r="A954" s="136" t="str">
        <f t="shared" si="3"/>
        <v/>
      </c>
      <c r="B954" s="137"/>
      <c r="C954" s="137"/>
      <c r="D954" s="136"/>
      <c r="E954" s="136"/>
      <c r="F954" s="136" t="str">
        <f>IF(B954="","",D954-SUMIFS(Issue!$D$3:$D993,Issue!$C$3:$C993,C954,Issue!$B$3:$B993,B954))</f>
        <v/>
      </c>
      <c r="G954" s="232"/>
    </row>
    <row r="955" spans="1:7">
      <c r="A955" s="136" t="str">
        <f t="shared" si="3"/>
        <v/>
      </c>
      <c r="B955" s="137"/>
      <c r="C955" s="137"/>
      <c r="D955" s="136"/>
      <c r="E955" s="136"/>
      <c r="F955" s="136" t="str">
        <f>IF(B955="","",D955-SUMIFS(Issue!$D$3:$D993,Issue!$C$3:$C993,C955,Issue!$B$3:$B993,B955))</f>
        <v/>
      </c>
      <c r="G955" s="232"/>
    </row>
    <row r="956" spans="1:7">
      <c r="A956" s="136" t="str">
        <f t="shared" si="3"/>
        <v/>
      </c>
      <c r="B956" s="137"/>
      <c r="C956" s="137"/>
      <c r="D956" s="136"/>
      <c r="E956" s="136"/>
      <c r="F956" s="136" t="str">
        <f>IF(B956="","",D956-SUMIFS(Issue!$D$3:$D993,Issue!$C$3:$C993,C956,Issue!$B$3:$B993,B956))</f>
        <v/>
      </c>
      <c r="G956" s="232"/>
    </row>
    <row r="957" spans="1:7">
      <c r="A957" s="136" t="str">
        <f t="shared" si="3"/>
        <v/>
      </c>
      <c r="B957" s="137"/>
      <c r="C957" s="137"/>
      <c r="D957" s="136"/>
      <c r="E957" s="136"/>
      <c r="F957" s="136" t="str">
        <f>IF(B957="","",D957-SUMIFS(Issue!$D$3:$D993,Issue!$C$3:$C993,C957,Issue!$B$3:$B993,B957))</f>
        <v/>
      </c>
      <c r="G957" s="232"/>
    </row>
    <row r="958" spans="1:7">
      <c r="A958" s="136" t="str">
        <f t="shared" si="3"/>
        <v/>
      </c>
      <c r="B958" s="137"/>
      <c r="C958" s="137"/>
      <c r="D958" s="136"/>
      <c r="E958" s="136"/>
      <c r="F958" s="136" t="str">
        <f>IF(B958="","",D958-SUMIFS(Issue!$D$3:$D993,Issue!$C$3:$C993,C958,Issue!$B$3:$B993,B958))</f>
        <v/>
      </c>
      <c r="G958" s="232"/>
    </row>
    <row r="959" spans="1:7">
      <c r="A959" s="136" t="str">
        <f t="shared" si="3"/>
        <v/>
      </c>
      <c r="B959" s="137"/>
      <c r="C959" s="137"/>
      <c r="D959" s="136"/>
      <c r="E959" s="136"/>
      <c r="F959" s="136" t="str">
        <f>IF(B959="","",D959-SUMIFS(Issue!$D$3:$D993,Issue!$C$3:$C993,C959,Issue!$B$3:$B993,B959))</f>
        <v/>
      </c>
      <c r="G959" s="232"/>
    </row>
    <row r="960" spans="1:7">
      <c r="A960" s="136" t="str">
        <f t="shared" si="3"/>
        <v/>
      </c>
      <c r="B960" s="137"/>
      <c r="C960" s="137"/>
      <c r="D960" s="136"/>
      <c r="E960" s="136"/>
      <c r="F960" s="136" t="str">
        <f>IF(B960="","",D960-SUMIFS(Issue!$D$3:$D993,Issue!$C$3:$C993,C960,Issue!$B$3:$B993,B960))</f>
        <v/>
      </c>
      <c r="G960" s="232"/>
    </row>
    <row r="961" spans="1:7">
      <c r="A961" s="136" t="str">
        <f t="shared" si="3"/>
        <v/>
      </c>
      <c r="B961" s="137"/>
      <c r="C961" s="137"/>
      <c r="D961" s="136"/>
      <c r="E961" s="136"/>
      <c r="F961" s="136" t="str">
        <f>IF(B961="","",D961-SUMIFS(Issue!$D$3:$D993,Issue!$C$3:$C993,C961,Issue!$B$3:$B993,B961))</f>
        <v/>
      </c>
      <c r="G961" s="232"/>
    </row>
    <row r="962" spans="1:7">
      <c r="A962" s="136" t="str">
        <f t="shared" si="3"/>
        <v/>
      </c>
      <c r="B962" s="137"/>
      <c r="C962" s="137"/>
      <c r="D962" s="136"/>
      <c r="E962" s="136"/>
      <c r="F962" s="136" t="str">
        <f>IF(B962="","",D962-SUMIFS(Issue!$D$3:$D993,Issue!$C$3:$C993,C962,Issue!$B$3:$B993,B962))</f>
        <v/>
      </c>
      <c r="G962" s="232"/>
    </row>
    <row r="963" spans="1:7">
      <c r="A963" s="136" t="str">
        <f t="shared" si="3"/>
        <v/>
      </c>
      <c r="B963" s="137"/>
      <c r="C963" s="137"/>
      <c r="D963" s="136"/>
      <c r="E963" s="136"/>
      <c r="F963" s="136" t="str">
        <f>IF(B963="","",D963-SUMIFS(Issue!$D$3:$D993,Issue!$C$3:$C993,C963,Issue!$B$3:$B993,B963))</f>
        <v/>
      </c>
      <c r="G963" s="232"/>
    </row>
    <row r="964" spans="1:7">
      <c r="A964" s="136" t="str">
        <f t="shared" si="3"/>
        <v/>
      </c>
      <c r="B964" s="137"/>
      <c r="C964" s="137"/>
      <c r="D964" s="136"/>
      <c r="E964" s="136"/>
      <c r="F964" s="136" t="str">
        <f>IF(B964="","",D964-SUMIFS(Issue!$D$3:$D993,Issue!$C$3:$C993,C964,Issue!$B$3:$B993,B964))</f>
        <v/>
      </c>
      <c r="G964" s="232"/>
    </row>
    <row r="965" spans="1:7">
      <c r="A965" s="136" t="str">
        <f t="shared" si="3"/>
        <v/>
      </c>
      <c r="B965" s="137"/>
      <c r="C965" s="137"/>
      <c r="D965" s="136"/>
      <c r="E965" s="136"/>
      <c r="F965" s="136" t="str">
        <f>IF(B965="","",D965-SUMIFS(Issue!$D$3:$D993,Issue!$C$3:$C993,C965,Issue!$B$3:$B993,B965))</f>
        <v/>
      </c>
      <c r="G965" s="232"/>
    </row>
    <row r="966" spans="1:7">
      <c r="A966" s="136" t="str">
        <f t="shared" si="3"/>
        <v/>
      </c>
      <c r="B966" s="137"/>
      <c r="C966" s="137"/>
      <c r="D966" s="136"/>
      <c r="E966" s="136"/>
      <c r="F966" s="136" t="str">
        <f>IF(B966="","",D966-SUMIFS(Issue!$D$3:$D993,Issue!$C$3:$C993,C966,Issue!$B$3:$B993,B966))</f>
        <v/>
      </c>
      <c r="G966" s="232"/>
    </row>
    <row r="967" spans="1:7">
      <c r="A967" s="136" t="str">
        <f t="shared" si="3"/>
        <v/>
      </c>
      <c r="B967" s="137"/>
      <c r="C967" s="137"/>
      <c r="D967" s="136"/>
      <c r="E967" s="136"/>
      <c r="F967" s="136" t="str">
        <f>IF(B967="","",D967-SUMIFS(Issue!$D$3:$D993,Issue!$C$3:$C993,C967,Issue!$B$3:$B993,B967))</f>
        <v/>
      </c>
      <c r="G967" s="232"/>
    </row>
    <row r="968" spans="1:7">
      <c r="A968" s="136" t="str">
        <f t="shared" si="3"/>
        <v/>
      </c>
      <c r="B968" s="137"/>
      <c r="C968" s="137"/>
      <c r="D968" s="136"/>
      <c r="E968" s="136"/>
      <c r="F968" s="136" t="str">
        <f>IF(B968="","",D968-SUMIFS(Issue!$D$3:$D993,Issue!$C$3:$C993,C968,Issue!$B$3:$B993,B968))</f>
        <v/>
      </c>
      <c r="G968" s="232"/>
    </row>
    <row r="969" spans="1:7">
      <c r="A969" s="136" t="str">
        <f t="shared" si="3"/>
        <v/>
      </c>
      <c r="B969" s="137"/>
      <c r="C969" s="137"/>
      <c r="D969" s="136"/>
      <c r="E969" s="136"/>
      <c r="F969" s="136" t="str">
        <f>IF(B969="","",D969-SUMIFS(Issue!$D$3:$D993,Issue!$C$3:$C993,C969,Issue!$B$3:$B993,B969))</f>
        <v/>
      </c>
      <c r="G969" s="232"/>
    </row>
    <row r="970" spans="1:7">
      <c r="A970" s="136" t="str">
        <f t="shared" si="3"/>
        <v/>
      </c>
      <c r="B970" s="137"/>
      <c r="C970" s="137"/>
      <c r="D970" s="136"/>
      <c r="E970" s="136"/>
      <c r="F970" s="136" t="str">
        <f>IF(B970="","",D970-SUMIFS(Issue!$D$3:$D993,Issue!$C$3:$C993,C970,Issue!$B$3:$B993,B970))</f>
        <v/>
      </c>
      <c r="G970" s="232"/>
    </row>
    <row r="971" spans="1:7">
      <c r="A971" s="136" t="str">
        <f t="shared" si="3"/>
        <v/>
      </c>
      <c r="B971" s="137"/>
      <c r="C971" s="137"/>
      <c r="D971" s="136"/>
      <c r="E971" s="136"/>
      <c r="F971" s="136" t="str">
        <f>IF(B971="","",D971-SUMIFS(Issue!$D$3:$D993,Issue!$C$3:$C993,C971,Issue!$B$3:$B993,B971))</f>
        <v/>
      </c>
      <c r="G971" s="232"/>
    </row>
    <row r="972" spans="1:7">
      <c r="A972" s="136" t="str">
        <f t="shared" si="3"/>
        <v/>
      </c>
      <c r="B972" s="137"/>
      <c r="C972" s="137"/>
      <c r="D972" s="136"/>
      <c r="E972" s="136"/>
      <c r="F972" s="136" t="str">
        <f>IF(B972="","",D972-SUMIFS(Issue!$D$3:$D993,Issue!$C$3:$C993,C972,Issue!$B$3:$B993,B972))</f>
        <v/>
      </c>
      <c r="G972" s="232"/>
    </row>
    <row r="973" spans="1:7">
      <c r="A973" s="136" t="str">
        <f t="shared" si="3"/>
        <v/>
      </c>
      <c r="B973" s="137"/>
      <c r="C973" s="137"/>
      <c r="D973" s="136"/>
      <c r="E973" s="136"/>
      <c r="F973" s="136" t="str">
        <f>IF(B973="","",D973-SUMIFS(Issue!$D$3:$D993,Issue!$C$3:$C993,C973,Issue!$B$3:$B993,B973))</f>
        <v/>
      </c>
      <c r="G973" s="232"/>
    </row>
    <row r="974" spans="1:7">
      <c r="A974" s="136" t="str">
        <f t="shared" si="3"/>
        <v/>
      </c>
      <c r="B974" s="137"/>
      <c r="C974" s="137"/>
      <c r="D974" s="136"/>
      <c r="E974" s="136"/>
      <c r="F974" s="136" t="str">
        <f>IF(B974="","",D974-SUMIFS(Issue!$D$3:$D993,Issue!$C$3:$C993,C974,Issue!$B$3:$B993,B974))</f>
        <v/>
      </c>
      <c r="G974" s="232"/>
    </row>
    <row r="975" spans="1:7">
      <c r="A975" s="136" t="str">
        <f t="shared" si="3"/>
        <v/>
      </c>
      <c r="B975" s="137"/>
      <c r="C975" s="137"/>
      <c r="D975" s="136"/>
      <c r="E975" s="136"/>
      <c r="F975" s="136" t="str">
        <f>IF(B975="","",D975-SUMIFS(Issue!$D$3:$D993,Issue!$C$3:$C993,C975,Issue!$B$3:$B993,B975))</f>
        <v/>
      </c>
      <c r="G975" s="232"/>
    </row>
    <row r="976" spans="1:7">
      <c r="A976" s="136" t="str">
        <f t="shared" si="3"/>
        <v/>
      </c>
      <c r="B976" s="137"/>
      <c r="C976" s="137"/>
      <c r="D976" s="136"/>
      <c r="E976" s="136"/>
      <c r="F976" s="136" t="str">
        <f>IF(B976="","",D976-SUMIFS(Issue!$D$3:$D993,Issue!$C$3:$C993,C976,Issue!$B$3:$B993,B976))</f>
        <v/>
      </c>
      <c r="G976" s="232"/>
    </row>
    <row r="977" spans="1:7">
      <c r="A977" s="136" t="str">
        <f t="shared" si="3"/>
        <v/>
      </c>
      <c r="B977" s="137"/>
      <c r="C977" s="137"/>
      <c r="D977" s="136"/>
      <c r="E977" s="136"/>
      <c r="F977" s="136" t="str">
        <f>IF(B977="","",D977-SUMIFS(Issue!$D$3:$D993,Issue!$C$3:$C993,C977,Issue!$B$3:$B993,B977))</f>
        <v/>
      </c>
      <c r="G977" s="232"/>
    </row>
    <row r="978" spans="1:7">
      <c r="A978" s="136" t="str">
        <f t="shared" si="3"/>
        <v/>
      </c>
      <c r="B978" s="137"/>
      <c r="C978" s="137"/>
      <c r="D978" s="136"/>
      <c r="E978" s="136"/>
      <c r="F978" s="136" t="str">
        <f>IF(B978="","",D978-SUMIFS(Issue!$D$3:$D993,Issue!$C$3:$C993,C978,Issue!$B$3:$B993,B978))</f>
        <v/>
      </c>
      <c r="G978" s="232"/>
    </row>
    <row r="979" spans="1:7">
      <c r="A979" s="136" t="str">
        <f t="shared" si="3"/>
        <v/>
      </c>
      <c r="B979" s="137"/>
      <c r="C979" s="137"/>
      <c r="D979" s="136"/>
      <c r="E979" s="136"/>
      <c r="F979" s="136" t="str">
        <f>IF(B979="","",D979-SUMIFS(Issue!$D$3:$D993,Issue!$C$3:$C993,C979,Issue!$B$3:$B993,B979))</f>
        <v/>
      </c>
      <c r="G979" s="232"/>
    </row>
    <row r="980" spans="1:7">
      <c r="A980" s="136" t="str">
        <f t="shared" si="3"/>
        <v/>
      </c>
      <c r="B980" s="137"/>
      <c r="C980" s="137"/>
      <c r="D980" s="136"/>
      <c r="E980" s="136"/>
      <c r="F980" s="136" t="str">
        <f>IF(B980="","",D980-SUMIFS(Issue!$D$3:$D993,Issue!$C$3:$C993,C980,Issue!$B$3:$B993,B980))</f>
        <v/>
      </c>
      <c r="G980" s="232"/>
    </row>
    <row r="981" spans="1:7">
      <c r="A981" s="136" t="str">
        <f t="shared" si="3"/>
        <v/>
      </c>
      <c r="B981" s="137"/>
      <c r="C981" s="137"/>
      <c r="D981" s="136"/>
      <c r="E981" s="136"/>
      <c r="F981" s="136" t="str">
        <f>IF(B981="","",D981-SUMIFS(Issue!$D$3:$D993,Issue!$C$3:$C993,C981,Issue!$B$3:$B993,B981))</f>
        <v/>
      </c>
      <c r="G981" s="232"/>
    </row>
    <row r="982" spans="1:7">
      <c r="A982" s="136" t="str">
        <f t="shared" si="3"/>
        <v/>
      </c>
      <c r="B982" s="137"/>
      <c r="C982" s="137"/>
      <c r="D982" s="136"/>
      <c r="E982" s="136"/>
      <c r="F982" s="136" t="str">
        <f>IF(B982="","",D982-SUMIFS(Issue!$D$3:$D993,Issue!$C$3:$C993,C982,Issue!$B$3:$B993,B982))</f>
        <v/>
      </c>
      <c r="G982" s="232"/>
    </row>
    <row r="983" spans="1:7">
      <c r="A983" s="136" t="str">
        <f t="shared" si="3"/>
        <v/>
      </c>
      <c r="B983" s="137"/>
      <c r="C983" s="137"/>
      <c r="D983" s="136"/>
      <c r="E983" s="136"/>
      <c r="F983" s="136" t="str">
        <f>IF(B983="","",D983-SUMIFS(Issue!$D$3:$D993,Issue!$C$3:$C993,C983,Issue!$B$3:$B993,B983))</f>
        <v/>
      </c>
      <c r="G983" s="232"/>
    </row>
    <row r="984" spans="1:7">
      <c r="A984" s="136" t="str">
        <f t="shared" si="3"/>
        <v/>
      </c>
      <c r="B984" s="137"/>
      <c r="C984" s="137"/>
      <c r="D984" s="136"/>
      <c r="E984" s="136"/>
      <c r="F984" s="136" t="str">
        <f>IF(B984="","",D984-SUMIFS(Issue!$D$3:$D993,Issue!$C$3:$C993,C984,Issue!$B$3:$B993,B984))</f>
        <v/>
      </c>
      <c r="G984" s="232"/>
    </row>
    <row r="985" spans="1:7">
      <c r="A985" s="136" t="str">
        <f t="shared" si="3"/>
        <v/>
      </c>
      <c r="B985" s="137"/>
      <c r="C985" s="137"/>
      <c r="D985" s="136"/>
      <c r="E985" s="136"/>
      <c r="F985" s="136" t="str">
        <f>IF(B985="","",D985-SUMIFS(Issue!$D$3:$D993,Issue!$C$3:$C993,C985,Issue!$B$3:$B993,B985))</f>
        <v/>
      </c>
      <c r="G985" s="232"/>
    </row>
    <row r="986" spans="1:7">
      <c r="A986" s="136" t="str">
        <f t="shared" si="3"/>
        <v/>
      </c>
      <c r="B986" s="137"/>
      <c r="C986" s="137"/>
      <c r="D986" s="136"/>
      <c r="E986" s="136"/>
      <c r="F986" s="136" t="str">
        <f>IF(B986="","",D986-SUMIFS(Issue!$D$3:$D993,Issue!$C$3:$C993,C986,Issue!$B$3:$B993,B986))</f>
        <v/>
      </c>
      <c r="G986" s="232"/>
    </row>
    <row r="987" spans="1:7">
      <c r="A987" s="136" t="str">
        <f t="shared" si="3"/>
        <v/>
      </c>
      <c r="B987" s="137"/>
      <c r="C987" s="137"/>
      <c r="D987" s="136"/>
      <c r="E987" s="136"/>
      <c r="F987" s="136" t="str">
        <f>IF(B987="","",D987-SUMIFS(Issue!$D$3:$D993,Issue!$C$3:$C993,C987,Issue!$B$3:$B993,B987))</f>
        <v/>
      </c>
      <c r="G987" s="232"/>
    </row>
    <row r="988" spans="1:7">
      <c r="A988" s="136" t="str">
        <f t="shared" si="3"/>
        <v/>
      </c>
      <c r="B988" s="137"/>
      <c r="C988" s="137"/>
      <c r="D988" s="136"/>
      <c r="E988" s="136"/>
      <c r="F988" s="136" t="str">
        <f>IF(B988="","",D988-SUMIFS(Issue!$D$3:$D993,Issue!$C$3:$C993,C988,Issue!$B$3:$B993,B988))</f>
        <v/>
      </c>
      <c r="G988" s="232"/>
    </row>
    <row r="989" spans="1:7">
      <c r="A989" s="136" t="str">
        <f t="shared" si="3"/>
        <v/>
      </c>
      <c r="B989" s="137"/>
      <c r="C989" s="137"/>
      <c r="D989" s="136"/>
      <c r="E989" s="136"/>
      <c r="F989" s="136" t="str">
        <f>IF(B989="","",D989-SUMIFS(Issue!$D$3:$D993,Issue!$C$3:$C993,C989,Issue!$B$3:$B993,B989))</f>
        <v/>
      </c>
      <c r="G989" s="232"/>
    </row>
    <row r="990" spans="1:7">
      <c r="A990" s="136" t="str">
        <f t="shared" si="3"/>
        <v/>
      </c>
      <c r="B990" s="137"/>
      <c r="C990" s="137"/>
      <c r="D990" s="136"/>
      <c r="E990" s="136"/>
      <c r="F990" s="136" t="str">
        <f>IF(B990="","",D990-SUMIFS(Issue!$D$3:$D993,Issue!$C$3:$C993,C990,Issue!$B$3:$B993,B990))</f>
        <v/>
      </c>
      <c r="G990" s="232"/>
    </row>
    <row r="991" spans="1:7">
      <c r="A991" s="136" t="str">
        <f t="shared" si="3"/>
        <v/>
      </c>
      <c r="B991" s="137"/>
      <c r="C991" s="137"/>
      <c r="D991" s="136"/>
      <c r="E991" s="136"/>
      <c r="F991" s="136" t="str">
        <f>IF(B991="","",D991-SUMIFS(Issue!$D$3:$D993,Issue!$C$3:$C993,C991,Issue!$B$3:$B993,B991))</f>
        <v/>
      </c>
      <c r="G991" s="232"/>
    </row>
    <row r="992" spans="1:7">
      <c r="A992" s="136" t="str">
        <f t="shared" si="3"/>
        <v/>
      </c>
      <c r="B992" s="137"/>
      <c r="C992" s="137"/>
      <c r="D992" s="136"/>
      <c r="E992" s="136"/>
      <c r="F992" s="136" t="str">
        <f>IF(B992="","",D992-SUMIFS(Issue!$D$3:$D993,Issue!$C$3:$C993,C992,Issue!$B$3:$B993,B992))</f>
        <v/>
      </c>
      <c r="G992" s="232"/>
    </row>
    <row r="993" spans="1:7">
      <c r="A993" s="136" t="str">
        <f t="shared" si="3"/>
        <v/>
      </c>
      <c r="B993" s="137"/>
      <c r="C993" s="137"/>
      <c r="D993" s="136"/>
      <c r="E993" s="136"/>
      <c r="F993" s="136" t="str">
        <f>IF(B993="","",D993-SUMIFS(Issue!$D$3:$D993,Issue!$C$3:$C993,C993,Issue!$B$3:$B993,B993))</f>
        <v/>
      </c>
      <c r="G993" s="232"/>
    </row>
  </sheetData>
  <conditionalFormatting sqref="C3:C993">
    <cfRule type="expression" dxfId="2" priority="1">
      <formula>AND(B3&lt;&gt;"",C3="")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1700-000000000000}">
          <x14:formula1>
            <xm:f>Projects!$B$2:$B$999</xm:f>
          </x14:formula1>
          <xm:sqref>B3:B993</xm:sqref>
        </x14:dataValidation>
        <x14:dataValidation type="list" allowBlank="1" showErrorMessage="1" xr:uid="{00000000-0002-0000-1700-000001000000}">
          <x14:formula1>
            <xm:f>CombineFG!$H$2:$H993</xm:f>
          </x14:formula1>
          <xm:sqref>C3:C993</xm:sqref>
        </x14:dataValidation>
      </x14:dataValidations>
    </ext>
  </extLst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Y1001"/>
  <sheetViews>
    <sheetView topLeftCell="W1" workbookViewId="0"/>
  </sheetViews>
  <sheetFormatPr defaultColWidth="14.453125" defaultRowHeight="15" customHeight="1"/>
  <cols>
    <col min="1" max="1" width="28.26953125" hidden="1" customWidth="1"/>
    <col min="2" max="2" width="34.453125" hidden="1" customWidth="1"/>
    <col min="3" max="4" width="14.453125" hidden="1"/>
    <col min="5" max="5" width="20.26953125" hidden="1" customWidth="1"/>
    <col min="6" max="6" width="6.26953125" hidden="1" customWidth="1"/>
    <col min="7" max="7" width="3.81640625" hidden="1" customWidth="1"/>
    <col min="8" max="8" width="37.1796875" hidden="1" customWidth="1"/>
    <col min="9" max="9" width="35" hidden="1" customWidth="1"/>
    <col min="10" max="10" width="8.7265625" hidden="1" customWidth="1"/>
    <col min="11" max="12" width="20.26953125" hidden="1" customWidth="1"/>
    <col min="13" max="13" width="4.7265625" hidden="1" customWidth="1"/>
    <col min="14" max="17" width="35" hidden="1" customWidth="1"/>
    <col min="18" max="18" width="6.54296875" hidden="1" customWidth="1"/>
    <col min="19" max="19" width="35" hidden="1" customWidth="1"/>
    <col min="20" max="22" width="14.453125" hidden="1"/>
    <col min="23" max="23" width="3.54296875" customWidth="1"/>
    <col min="24" max="24" width="35" customWidth="1"/>
  </cols>
  <sheetData>
    <row r="1" spans="1:25">
      <c r="A1" s="67" t="s">
        <v>2034</v>
      </c>
      <c r="B1" s="67"/>
      <c r="C1" s="67"/>
      <c r="D1" s="67"/>
      <c r="E1" s="67" t="s">
        <v>1718</v>
      </c>
      <c r="F1" s="67" t="s">
        <v>2035</v>
      </c>
      <c r="H1" s="67" t="s">
        <v>1739</v>
      </c>
      <c r="I1" s="67"/>
      <c r="J1" s="67"/>
      <c r="K1" s="67"/>
      <c r="L1" s="67" t="s">
        <v>1718</v>
      </c>
      <c r="N1" s="67" t="s">
        <v>2036</v>
      </c>
      <c r="O1" s="234"/>
      <c r="P1" s="234"/>
      <c r="Q1" s="67" t="s">
        <v>1718</v>
      </c>
      <c r="S1" s="67" t="s">
        <v>2037</v>
      </c>
      <c r="T1" s="67"/>
      <c r="U1" s="67"/>
      <c r="V1" s="67"/>
      <c r="X1" s="67" t="s">
        <v>1714</v>
      </c>
      <c r="Y1" s="67" t="s">
        <v>1718</v>
      </c>
    </row>
    <row r="2" spans="1:25">
      <c r="A2" t="str">
        <f ca="1">IFERROR(__xludf.DUMMYFUNCTION("FILTER('A-BOM'!B3:E1001,match('A-BOM'!B3:B1001,Issue!C3:C1001, 0))"),"Saif Seas Life - DSR")</f>
        <v>Saif Seas Life - DSR</v>
      </c>
      <c r="B2" t="str">
        <f ca="1">IFERROR(__xludf.DUMMYFUNCTION("""COMPUTED_VALUE"""),"Jet Motor Assy")</f>
        <v>Jet Motor Assy</v>
      </c>
      <c r="C2">
        <f ca="1">IFERROR(__xludf.DUMMYFUNCTION("""COMPUTED_VALUE"""),2)</f>
        <v>2</v>
      </c>
      <c r="D2" t="str">
        <f ca="1">IFERROR(__xludf.DUMMYFUNCTION("""COMPUTED_VALUE"""),"Number")</f>
        <v>Number</v>
      </c>
      <c r="E2">
        <f ca="1">IF(A2="","",SUMIFS(Issue!$D$3:$D1001,Issue!$C$3:$C1001,A2)*C2)</f>
        <v>82</v>
      </c>
      <c r="F2" t="e">
        <f ca="1">_xludf.IFNA(VLOOKUP(B2,'S-FG'!$B$3:$B1001,1,FALSE),"")</f>
        <v>#NAME?</v>
      </c>
      <c r="H2" t="str">
        <f ca="1">IFERROR(__xludf.DUMMYFUNCTION("FILTER('S-BOM'!$B$3:$E1001, COUNTIF($F$2:$F1001, 'S-BOM'!$B$3:$B1001))"),"Jet Motor Assy")</f>
        <v>Jet Motor Assy</v>
      </c>
      <c r="I2" t="str">
        <f ca="1">IFERROR(__xludf.DUMMYFUNCTION("""COMPUTED_VALUE"""),"Coupling Hood")</f>
        <v>Coupling Hood</v>
      </c>
      <c r="J2" s="235">
        <f ca="1">IFERROR(__xludf.DUMMYFUNCTION("""COMPUTED_VALUE"""),1)</f>
        <v>1</v>
      </c>
      <c r="L2">
        <f t="shared" ref="L2:L256" ca="1" si="0">IF(H2="","",SUMIFS($E$2:$E1001,$F$2:$F1001,H2)*J2)</f>
        <v>0</v>
      </c>
      <c r="N2" t="str">
        <f ca="1">IFERROR(__xludf.DUMMYFUNCTION("FILTER(RM!C4:F1001,match(RM!C4:C1001,'PR-BOM'!C3:C1001, 0))"),"#N/A")</f>
        <v>#N/A</v>
      </c>
      <c r="Q2">
        <f ca="1">IF(N2="","",SUMIFS(Issue!$D$3:$D1001,Issue!$C$3:$C1001,N2))</f>
        <v>0</v>
      </c>
      <c r="S2" t="str">
        <f ca="1">IFERROR(__xludf.DUMMYFUNCTION("{FILTER($B$2:$E1001,$B$2:$B1001&lt;&gt;""""); FILTER($I$2:$L1001,$I$2:$I1001&lt;&gt;"""");FILTER($N$2:$Q1001,$N$2:$N1001&lt;&gt;"""")}"),"#VALUE!")</f>
        <v>#VALUE!</v>
      </c>
    </row>
    <row r="3" spans="1:25">
      <c r="A3" t="str">
        <f ca="1">IFERROR(__xludf.DUMMYFUNCTION("""COMPUTED_VALUE"""),"Saif Seas Life - DSR")</f>
        <v>Saif Seas Life - DSR</v>
      </c>
      <c r="B3" t="str">
        <f ca="1">IFERROR(__xludf.DUMMYFUNCTION("""COMPUTED_VALUE"""),"Power Switch Assy")</f>
        <v>Power Switch Assy</v>
      </c>
      <c r="C3">
        <f ca="1">IFERROR(__xludf.DUMMYFUNCTION("""COMPUTED_VALUE"""),1)</f>
        <v>1</v>
      </c>
      <c r="D3" t="str">
        <f ca="1">IFERROR(__xludf.DUMMYFUNCTION("""COMPUTED_VALUE"""),"Number")</f>
        <v>Number</v>
      </c>
      <c r="E3">
        <f ca="1">IF(A3="","",SUMIFS(Issue!$D$3:$D1001,Issue!$C$3:$C1001,A3)*C3)</f>
        <v>41</v>
      </c>
      <c r="F3" t="e">
        <f ca="1">_xludf.IFNA(VLOOKUP(B3,'S-FG'!$B$3:$B1001,1,FALSE),"")</f>
        <v>#NAME?</v>
      </c>
      <c r="H3" t="str">
        <f ca="1">IFERROR(__xludf.DUMMYFUNCTION("""COMPUTED_VALUE"""),"Jet Motor Assy")</f>
        <v>Jet Motor Assy</v>
      </c>
      <c r="I3" t="str">
        <f ca="1">IFERROR(__xludf.DUMMYFUNCTION("""COMPUTED_VALUE"""),"Battery Clamp")</f>
        <v>Battery Clamp</v>
      </c>
      <c r="J3" s="235">
        <f ca="1">IFERROR(__xludf.DUMMYFUNCTION("""COMPUTED_VALUE"""),2)</f>
        <v>2</v>
      </c>
      <c r="K3" t="str">
        <f ca="1">IFERROR(__xludf.DUMMYFUNCTION("""COMPUTED_VALUE"""),"#N/A")</f>
        <v>#N/A</v>
      </c>
      <c r="L3">
        <f t="shared" ca="1" si="0"/>
        <v>0</v>
      </c>
      <c r="Q3" t="str">
        <f>IF(N3="","",SUMIFS('PR-BOM'!$D$3:$D1001,'PR-BOM'!$C$3:$C1001,N3))</f>
        <v/>
      </c>
    </row>
    <row r="4" spans="1:25">
      <c r="A4" t="str">
        <f ca="1">IFERROR(__xludf.DUMMYFUNCTION("""COMPUTED_VALUE"""),"Saif Seas Life - DSR")</f>
        <v>Saif Seas Life - DSR</v>
      </c>
      <c r="B4" t="str">
        <f ca="1">IFERROR(__xludf.DUMMYFUNCTION("""COMPUTED_VALUE"""),"Charging PM Assy")</f>
        <v>Charging PM Assy</v>
      </c>
      <c r="C4">
        <f ca="1">IFERROR(__xludf.DUMMYFUNCTION("""COMPUTED_VALUE"""),1)</f>
        <v>1</v>
      </c>
      <c r="D4" t="str">
        <f ca="1">IFERROR(__xludf.DUMMYFUNCTION("""COMPUTED_VALUE"""),"Number")</f>
        <v>Number</v>
      </c>
      <c r="E4">
        <f ca="1">IF(A4="","",SUMIFS(Issue!$D$3:$D1001,Issue!$C$3:$C1001,A4)*C4)</f>
        <v>41</v>
      </c>
      <c r="F4" t="e">
        <f ca="1">_xludf.IFNA(VLOOKUP(B4,'S-FG'!$B$3:$B1001,1,FALSE),"")</f>
        <v>#NAME?</v>
      </c>
      <c r="H4" t="str">
        <f ca="1">IFERROR(__xludf.DUMMYFUNCTION("""COMPUTED_VALUE"""),"Jet Motor Assy")</f>
        <v>Jet Motor Assy</v>
      </c>
      <c r="I4" t="str">
        <f ca="1">IFERROR(__xludf.DUMMYFUNCTION("""COMPUTED_VALUE"""),"M4x25 Hex Head")</f>
        <v>M4x25 Hex Head</v>
      </c>
      <c r="J4" s="235">
        <f ca="1">IFERROR(__xludf.DUMMYFUNCTION("""COMPUTED_VALUE"""),4)</f>
        <v>4</v>
      </c>
      <c r="K4" t="str">
        <f ca="1">IFERROR(__xludf.DUMMYFUNCTION("""COMPUTED_VALUE"""),"#N/A")</f>
        <v>#N/A</v>
      </c>
      <c r="L4">
        <f t="shared" ca="1" si="0"/>
        <v>0</v>
      </c>
      <c r="Q4" t="str">
        <f>IF(N4="","",SUMIFS('PR-BOM'!$D$3:$D1001,'PR-BOM'!$C$3:$C1001,N4))</f>
        <v/>
      </c>
    </row>
    <row r="5" spans="1:25">
      <c r="A5" t="str">
        <f ca="1">IFERROR(__xludf.DUMMYFUNCTION("""COMPUTED_VALUE"""),"Saif Seas Life - DSR")</f>
        <v>Saif Seas Life - DSR</v>
      </c>
      <c r="B5" t="str">
        <f ca="1">IFERROR(__xludf.DUMMYFUNCTION("""COMPUTED_VALUE"""),"Charging CM Assy")</f>
        <v>Charging CM Assy</v>
      </c>
      <c r="C5">
        <f ca="1">IFERROR(__xludf.DUMMYFUNCTION("""COMPUTED_VALUE"""),1)</f>
        <v>1</v>
      </c>
      <c r="D5" t="str">
        <f ca="1">IFERROR(__xludf.DUMMYFUNCTION("""COMPUTED_VALUE"""),"Number")</f>
        <v>Number</v>
      </c>
      <c r="E5">
        <f ca="1">IF(A5="","",SUMIFS(Issue!$D$3:$D1001,Issue!$C$3:$C1001,A5)*C5)</f>
        <v>41</v>
      </c>
      <c r="F5" t="e">
        <f ca="1">_xludf.IFNA(VLOOKUP(B5,'S-FG'!$B$3:$B1001,1,FALSE),"")</f>
        <v>#NAME?</v>
      </c>
      <c r="H5" t="str">
        <f ca="1">IFERROR(__xludf.DUMMYFUNCTION("""COMPUTED_VALUE"""),"Jet Motor Assy")</f>
        <v>Jet Motor Assy</v>
      </c>
      <c r="I5" t="str">
        <f ca="1">IFERROR(__xludf.DUMMYFUNCTION("""COMPUTED_VALUE"""),"M4 Square Nut")</f>
        <v>M4 Square Nut</v>
      </c>
      <c r="J5" s="235">
        <f ca="1">IFERROR(__xludf.DUMMYFUNCTION("""COMPUTED_VALUE"""),7)</f>
        <v>7</v>
      </c>
      <c r="K5" t="str">
        <f ca="1">IFERROR(__xludf.DUMMYFUNCTION("""COMPUTED_VALUE"""),"#N/A")</f>
        <v>#N/A</v>
      </c>
      <c r="L5">
        <f t="shared" ca="1" si="0"/>
        <v>0</v>
      </c>
      <c r="Q5" t="str">
        <f>IF(N5="","",SUMIFS('PR-BOM'!$D$3:$D1001,'PR-BOM'!$C$3:$C1001,N5))</f>
        <v/>
      </c>
    </row>
    <row r="6" spans="1:25">
      <c r="A6" t="str">
        <f ca="1">IFERROR(__xludf.DUMMYFUNCTION("""COMPUTED_VALUE"""),"Saif Seas Life - DSR")</f>
        <v>Saif Seas Life - DSR</v>
      </c>
      <c r="B6" t="str">
        <f ca="1">IFERROR(__xludf.DUMMYFUNCTION("""COMPUTED_VALUE"""),"STBD Signal PM Assy")</f>
        <v>STBD Signal PM Assy</v>
      </c>
      <c r="C6">
        <f ca="1">IFERROR(__xludf.DUMMYFUNCTION("""COMPUTED_VALUE"""),1)</f>
        <v>1</v>
      </c>
      <c r="D6" t="str">
        <f ca="1">IFERROR(__xludf.DUMMYFUNCTION("""COMPUTED_VALUE"""),"Number")</f>
        <v>Number</v>
      </c>
      <c r="E6">
        <f ca="1">IF(A6="","",SUMIFS(Issue!$D$3:$D1001,Issue!$C$3:$C1001,A6)*C6)</f>
        <v>41</v>
      </c>
      <c r="F6" t="e">
        <f ca="1">_xludf.IFNA(VLOOKUP(B6,'S-FG'!$B$3:$B1001,1,FALSE),"")</f>
        <v>#NAME?</v>
      </c>
      <c r="H6" t="str">
        <f ca="1">IFERROR(__xludf.DUMMYFUNCTION("""COMPUTED_VALUE"""),"Jet Motor Assy")</f>
        <v>Jet Motor Assy</v>
      </c>
      <c r="I6" t="str">
        <f ca="1">IFERROR(__xludf.DUMMYFUNCTION("""COMPUTED_VALUE"""),"M4 Nyloc")</f>
        <v>M4 Nyloc</v>
      </c>
      <c r="J6" s="235">
        <f ca="1">IFERROR(__xludf.DUMMYFUNCTION("""COMPUTED_VALUE"""),16)</f>
        <v>16</v>
      </c>
      <c r="K6" t="str">
        <f ca="1">IFERROR(__xludf.DUMMYFUNCTION("""COMPUTED_VALUE"""),"#N/A")</f>
        <v>#N/A</v>
      </c>
      <c r="L6">
        <f t="shared" ca="1" si="0"/>
        <v>0</v>
      </c>
      <c r="Q6" t="str">
        <f>IF(N6="","",SUMIFS('PR-BOM'!$D$3:$D1001,'PR-BOM'!$C$3:$C1001,N6))</f>
        <v/>
      </c>
    </row>
    <row r="7" spans="1:25">
      <c r="A7" t="str">
        <f ca="1">IFERROR(__xludf.DUMMYFUNCTION("""COMPUTED_VALUE"""),"Saif Seas Life - DSR")</f>
        <v>Saif Seas Life - DSR</v>
      </c>
      <c r="B7" t="str">
        <f ca="1">IFERROR(__xludf.DUMMYFUNCTION("""COMPUTED_VALUE"""),"PORT Signal PM Assy")</f>
        <v>PORT Signal PM Assy</v>
      </c>
      <c r="C7">
        <f ca="1">IFERROR(__xludf.DUMMYFUNCTION("""COMPUTED_VALUE"""),1)</f>
        <v>1</v>
      </c>
      <c r="D7" t="str">
        <f ca="1">IFERROR(__xludf.DUMMYFUNCTION("""COMPUTED_VALUE"""),"Number")</f>
        <v>Number</v>
      </c>
      <c r="E7">
        <f ca="1">IF(A7="","",SUMIFS(Issue!$D$3:$D1001,Issue!$C$3:$C1001,A7)*C7)</f>
        <v>41</v>
      </c>
      <c r="F7" t="e">
        <f ca="1">_xludf.IFNA(VLOOKUP(B7,'S-FG'!$B$3:$B1001,1,FALSE),"")</f>
        <v>#NAME?</v>
      </c>
      <c r="H7" t="str">
        <f ca="1">IFERROR(__xludf.DUMMYFUNCTION("""COMPUTED_VALUE"""),"Jet Motor Assy")</f>
        <v>Jet Motor Assy</v>
      </c>
      <c r="I7" t="str">
        <f ca="1">IFERROR(__xludf.DUMMYFUNCTION("""COMPUTED_VALUE"""),"M4 Spring washer")</f>
        <v>M4 Spring washer</v>
      </c>
      <c r="J7" s="235">
        <f ca="1">IFERROR(__xludf.DUMMYFUNCTION("""COMPUTED_VALUE"""),20)</f>
        <v>20</v>
      </c>
      <c r="K7" t="str">
        <f ca="1">IFERROR(__xludf.DUMMYFUNCTION("""COMPUTED_VALUE"""),"#N/A")</f>
        <v>#N/A</v>
      </c>
      <c r="L7">
        <f t="shared" ca="1" si="0"/>
        <v>0</v>
      </c>
      <c r="Q7" t="str">
        <f>IF(N7="","",SUMIFS('PR-BOM'!$D$3:$D1001,'PR-BOM'!$C$3:$C1001,N7))</f>
        <v/>
      </c>
      <c r="Y7" t="str">
        <f>IF(X7="","",SUMIFS(Issue!$D$3:$D1001,Issue!$C$3:$C1001,X7))</f>
        <v/>
      </c>
    </row>
    <row r="8" spans="1:25">
      <c r="A8" t="str">
        <f ca="1">IFERROR(__xludf.DUMMYFUNCTION("""COMPUTED_VALUE"""),"Saif Seas Life - DSR")</f>
        <v>Saif Seas Life - DSR</v>
      </c>
      <c r="B8" t="str">
        <f ca="1">IFERROR(__xludf.DUMMYFUNCTION("""COMPUTED_VALUE"""),"PORT Signal CM Assy")</f>
        <v>PORT Signal CM Assy</v>
      </c>
      <c r="C8">
        <f ca="1">IFERROR(__xludf.DUMMYFUNCTION("""COMPUTED_VALUE"""),1)</f>
        <v>1</v>
      </c>
      <c r="D8" t="str">
        <f ca="1">IFERROR(__xludf.DUMMYFUNCTION("""COMPUTED_VALUE"""),"Number")</f>
        <v>Number</v>
      </c>
      <c r="E8">
        <f ca="1">IF(A8="","",SUMIFS(Issue!$D$3:$D1001,Issue!$C$3:$C1001,A8)*C8)</f>
        <v>41</v>
      </c>
      <c r="F8" t="e">
        <f ca="1">_xludf.IFNA(VLOOKUP(B8,'S-FG'!$B$3:$B1001,1,FALSE),"")</f>
        <v>#NAME?</v>
      </c>
      <c r="H8" t="str">
        <f ca="1">IFERROR(__xludf.DUMMYFUNCTION("""COMPUTED_VALUE"""),"Jet Motor Assy")</f>
        <v>Jet Motor Assy</v>
      </c>
      <c r="I8" t="str">
        <f ca="1">IFERROR(__xludf.DUMMYFUNCTION("""COMPUTED_VALUE"""),"M4x12 plain washer")</f>
        <v>M4x12 plain washer</v>
      </c>
      <c r="J8" s="235">
        <f ca="1">IFERROR(__xludf.DUMMYFUNCTION("""COMPUTED_VALUE"""),24)</f>
        <v>24</v>
      </c>
      <c r="K8" t="str">
        <f ca="1">IFERROR(__xludf.DUMMYFUNCTION("""COMPUTED_VALUE"""),"#N/A")</f>
        <v>#N/A</v>
      </c>
      <c r="L8">
        <f t="shared" ca="1" si="0"/>
        <v>0</v>
      </c>
      <c r="Q8" t="str">
        <f>IF(N8="","",SUMIFS('PR-BOM'!$D$3:$D1001,'PR-BOM'!$C$3:$C1001,N8))</f>
        <v/>
      </c>
      <c r="Y8" t="str">
        <f>IF(X8="","",SUMIFS(Issue!$D$3:$D1001,Issue!$C$3:$C1001,X8))</f>
        <v/>
      </c>
    </row>
    <row r="9" spans="1:25">
      <c r="A9" t="str">
        <f ca="1">IFERROR(__xludf.DUMMYFUNCTION("""COMPUTED_VALUE"""),"Saif Seas Life - DSR")</f>
        <v>Saif Seas Life - DSR</v>
      </c>
      <c r="B9" t="str">
        <f ca="1">IFERROR(__xludf.DUMMYFUNCTION("""COMPUTED_VALUE"""),"A21 MotherBoard Assy")</f>
        <v>A21 MotherBoard Assy</v>
      </c>
      <c r="C9">
        <f ca="1">IFERROR(__xludf.DUMMYFUNCTION("""COMPUTED_VALUE"""),1)</f>
        <v>1</v>
      </c>
      <c r="D9" t="str">
        <f ca="1">IFERROR(__xludf.DUMMYFUNCTION("""COMPUTED_VALUE"""),"Number")</f>
        <v>Number</v>
      </c>
      <c r="E9">
        <f ca="1">IF(A9="","",SUMIFS(Issue!$D$3:$D1001,Issue!$C$3:$C1001,A9)*C9)</f>
        <v>41</v>
      </c>
      <c r="F9" t="e">
        <f ca="1">_xludf.IFNA(VLOOKUP(B9,'S-FG'!$B$3:$B1001,1,FALSE),"")</f>
        <v>#NAME?</v>
      </c>
      <c r="H9" t="str">
        <f ca="1">IFERROR(__xludf.DUMMYFUNCTION("""COMPUTED_VALUE"""),"Jet Motor Assy")</f>
        <v>Jet Motor Assy</v>
      </c>
      <c r="I9" t="str">
        <f ca="1">IFERROR(__xludf.DUMMYFUNCTION("""COMPUTED_VALUE"""),"M4x16 CSK Phillips")</f>
        <v>M4x16 CSK Phillips</v>
      </c>
      <c r="J9" s="235">
        <f ca="1">IFERROR(__xludf.DUMMYFUNCTION("""COMPUTED_VALUE"""),4)</f>
        <v>4</v>
      </c>
      <c r="K9" t="str">
        <f ca="1">IFERROR(__xludf.DUMMYFUNCTION("""COMPUTED_VALUE"""),"#N/A")</f>
        <v>#N/A</v>
      </c>
      <c r="L9">
        <f t="shared" ca="1" si="0"/>
        <v>0</v>
      </c>
      <c r="Q9" t="str">
        <f>IF(N9="","",SUMIFS('PR-BOM'!$D$3:$D1001,'PR-BOM'!$C$3:$C1001,N9))</f>
        <v/>
      </c>
      <c r="Y9" t="str">
        <f>IF(X9="","",SUMIFS(Issue!$D$3:$D1001,Issue!$C$3:$C1001,X9))</f>
        <v/>
      </c>
    </row>
    <row r="10" spans="1:25">
      <c r="A10" t="str">
        <f ca="1">IFERROR(__xludf.DUMMYFUNCTION("""COMPUTED_VALUE"""),"Saif Seas Life - DSR")</f>
        <v>Saif Seas Life - DSR</v>
      </c>
      <c r="B10" t="str">
        <f ca="1">IFERROR(__xludf.DUMMYFUNCTION("""COMPUTED_VALUE"""),"Battery Block Assy")</f>
        <v>Battery Block Assy</v>
      </c>
      <c r="C10">
        <f ca="1">IFERROR(__xludf.DUMMYFUNCTION("""COMPUTED_VALUE"""),2)</f>
        <v>2</v>
      </c>
      <c r="D10" t="str">
        <f ca="1">IFERROR(__xludf.DUMMYFUNCTION("""COMPUTED_VALUE"""),"Number")</f>
        <v>Number</v>
      </c>
      <c r="E10">
        <f ca="1">IF(A10="","",SUMIFS(Issue!$D$3:$D1001,Issue!$C$3:$C1001,A10)*C10)</f>
        <v>82</v>
      </c>
      <c r="F10" t="e">
        <f ca="1">_xludf.IFNA(VLOOKUP(B10,'S-FG'!$B$3:$B1001,1,FALSE),"")</f>
        <v>#NAME?</v>
      </c>
      <c r="H10" t="str">
        <f ca="1">IFERROR(__xludf.DUMMYFUNCTION("""COMPUTED_VALUE"""),"Jet Motor Assy")</f>
        <v>Jet Motor Assy</v>
      </c>
      <c r="I10" t="str">
        <f ca="1">IFERROR(__xludf.DUMMYFUNCTION("""COMPUTED_VALUE"""),"M4x10 CSK Phillips ")</f>
        <v xml:space="preserve">M4x10 CSK Phillips </v>
      </c>
      <c r="J10" s="235">
        <f ca="1">IFERROR(__xludf.DUMMYFUNCTION("""COMPUTED_VALUE"""),0)</f>
        <v>0</v>
      </c>
      <c r="K10" t="str">
        <f ca="1">IFERROR(__xludf.DUMMYFUNCTION("""COMPUTED_VALUE"""),"#N/A")</f>
        <v>#N/A</v>
      </c>
      <c r="L10">
        <f t="shared" ca="1" si="0"/>
        <v>0</v>
      </c>
      <c r="Q10" t="str">
        <f>IF(N10="","",SUMIFS('PR-BOM'!$D$3:$D1001,'PR-BOM'!$C$3:$C1001,N10))</f>
        <v/>
      </c>
      <c r="Y10" t="str">
        <f>IF(X10="","",SUMIFS(Issue!$D$3:$D1001,Issue!$C$3:$C1001,X10))</f>
        <v/>
      </c>
    </row>
    <row r="11" spans="1:25">
      <c r="A11" t="str">
        <f ca="1">IFERROR(__xludf.DUMMYFUNCTION("""COMPUTED_VALUE"""),"Saif Seas Life - DSR")</f>
        <v>Saif Seas Life - DSR</v>
      </c>
      <c r="B11" t="str">
        <f ca="1">IFERROR(__xludf.DUMMYFUNCTION("""COMPUTED_VALUE"""),"STBD_ESC Assy")</f>
        <v>STBD_ESC Assy</v>
      </c>
      <c r="C11">
        <f ca="1">IFERROR(__xludf.DUMMYFUNCTION("""COMPUTED_VALUE"""),1)</f>
        <v>1</v>
      </c>
      <c r="D11" t="str">
        <f ca="1">IFERROR(__xludf.DUMMYFUNCTION("""COMPUTED_VALUE"""),"Number")</f>
        <v>Number</v>
      </c>
      <c r="E11">
        <f ca="1">IF(A11="","",SUMIFS(Issue!$D$3:$D1001,Issue!$C$3:$C1001,A11)*C11)</f>
        <v>41</v>
      </c>
      <c r="F11" t="e">
        <f ca="1">_xludf.IFNA(VLOOKUP(B11,'S-FG'!$B$3:$B1001,1,FALSE),"")</f>
        <v>#NAME?</v>
      </c>
      <c r="H11" t="str">
        <f ca="1">IFERROR(__xludf.DUMMYFUNCTION("""COMPUTED_VALUE"""),"Jet Motor Assy")</f>
        <v>Jet Motor Assy</v>
      </c>
      <c r="I11" t="str">
        <f ca="1">IFERROR(__xludf.DUMMYFUNCTION("""COMPUTED_VALUE"""),"M4x20 CSK Phillips")</f>
        <v>M4x20 CSK Phillips</v>
      </c>
      <c r="J11" s="235">
        <f ca="1">IFERROR(__xludf.DUMMYFUNCTION("""COMPUTED_VALUE"""),8)</f>
        <v>8</v>
      </c>
      <c r="K11" t="str">
        <f ca="1">IFERROR(__xludf.DUMMYFUNCTION("""COMPUTED_VALUE"""),"#N/A")</f>
        <v>#N/A</v>
      </c>
      <c r="L11">
        <f t="shared" ca="1" si="0"/>
        <v>0</v>
      </c>
      <c r="Q11" t="str">
        <f>IF(N11="","",SUMIFS('PR-BOM'!$D$3:$D1001,'PR-BOM'!$C$3:$C1001,N11))</f>
        <v/>
      </c>
      <c r="Y11" t="str">
        <f>IF(X11="","",SUMIFS(Issue!$D$3:$D1001,Issue!$C$3:$C1001,X11))</f>
        <v/>
      </c>
    </row>
    <row r="12" spans="1:25">
      <c r="A12" t="str">
        <f ca="1">IFERROR(__xludf.DUMMYFUNCTION("""COMPUTED_VALUE"""),"Saif Seas Life - DSR")</f>
        <v>Saif Seas Life - DSR</v>
      </c>
      <c r="B12" t="str">
        <f ca="1">IFERROR(__xludf.DUMMYFUNCTION("""COMPUTED_VALUE"""),"PORT_ESC Assy")</f>
        <v>PORT_ESC Assy</v>
      </c>
      <c r="C12">
        <f ca="1">IFERROR(__xludf.DUMMYFUNCTION("""COMPUTED_VALUE"""),1)</f>
        <v>1</v>
      </c>
      <c r="D12" t="str">
        <f ca="1">IFERROR(__xludf.DUMMYFUNCTION("""COMPUTED_VALUE"""),"Number")</f>
        <v>Number</v>
      </c>
      <c r="E12">
        <f ca="1">IF(A12="","",SUMIFS(Issue!$D$3:$D1001,Issue!$C$3:$C1001,A12)*C12)</f>
        <v>41</v>
      </c>
      <c r="F12" t="e">
        <f ca="1">_xludf.IFNA(VLOOKUP(B12,'S-FG'!$B$3:$B1001,1,FALSE),"")</f>
        <v>#NAME?</v>
      </c>
      <c r="H12" t="str">
        <f ca="1">IFERROR(__xludf.DUMMYFUNCTION("""COMPUTED_VALUE"""),"Jet Motor Assy")</f>
        <v>Jet Motor Assy</v>
      </c>
      <c r="I12" t="str">
        <f ca="1">IFERROR(__xludf.DUMMYFUNCTION("""COMPUTED_VALUE"""),"Grub M6x10 SS (Coupling tightening)")</f>
        <v>Grub M6x10 SS (Coupling tightening)</v>
      </c>
      <c r="J12" s="235">
        <f ca="1">IFERROR(__xludf.DUMMYFUNCTION("""COMPUTED_VALUE"""),2)</f>
        <v>2</v>
      </c>
      <c r="K12" t="str">
        <f ca="1">IFERROR(__xludf.DUMMYFUNCTION("""COMPUTED_VALUE"""),"#N/A")</f>
        <v>#N/A</v>
      </c>
      <c r="L12">
        <f t="shared" ca="1" si="0"/>
        <v>0</v>
      </c>
      <c r="Q12" t="str">
        <f>IF(N12="","",SUMIFS('PR-BOM'!$D$3:$D1001,'PR-BOM'!$C$3:$C1001,N12))</f>
        <v/>
      </c>
      <c r="Y12" t="str">
        <f>IF(X12="","",SUMIFS(Issue!$D$3:$D1001,Issue!$C$3:$C1001,X12))</f>
        <v/>
      </c>
    </row>
    <row r="13" spans="1:25">
      <c r="A13" t="str">
        <f ca="1">IFERROR(__xludf.DUMMYFUNCTION("""COMPUTED_VALUE"""),"Saif Seas Life - DSR")</f>
        <v>Saif Seas Life - DSR</v>
      </c>
      <c r="B13" t="str">
        <f ca="1">IFERROR(__xludf.DUMMYFUNCTION("""COMPUTED_VALUE"""),"STBD Battery Assy")</f>
        <v>STBD Battery Assy</v>
      </c>
      <c r="C13">
        <f ca="1">IFERROR(__xludf.DUMMYFUNCTION("""COMPUTED_VALUE"""),1)</f>
        <v>1</v>
      </c>
      <c r="D13" t="str">
        <f ca="1">IFERROR(__xludf.DUMMYFUNCTION("""COMPUTED_VALUE"""),"Number")</f>
        <v>Number</v>
      </c>
      <c r="E13">
        <f ca="1">IF(A13="","",SUMIFS(Issue!$D$3:$D1001,Issue!$C$3:$C1001,A13)*C13)</f>
        <v>41</v>
      </c>
      <c r="F13" t="e">
        <f ca="1">_xludf.IFNA(VLOOKUP(B13,'S-FG'!$B$3:$B1001,1,FALSE),"")</f>
        <v>#NAME?</v>
      </c>
      <c r="H13" t="str">
        <f ca="1">IFERROR(__xludf.DUMMYFUNCTION("""COMPUTED_VALUE"""),"Jet Motor Assy")</f>
        <v>Jet Motor Assy</v>
      </c>
      <c r="I13" t="str">
        <f ca="1">IFERROR(__xludf.DUMMYFUNCTION("""COMPUTED_VALUE"""),"Rotex14 Coupling")</f>
        <v>Rotex14 Coupling</v>
      </c>
      <c r="J13" s="235">
        <f ca="1">IFERROR(__xludf.DUMMYFUNCTION("""COMPUTED_VALUE"""),1)</f>
        <v>1</v>
      </c>
      <c r="K13" t="str">
        <f ca="1">IFERROR(__xludf.DUMMYFUNCTION("""COMPUTED_VALUE"""),"#N/A")</f>
        <v>#N/A</v>
      </c>
      <c r="L13">
        <f t="shared" ca="1" si="0"/>
        <v>0</v>
      </c>
      <c r="Q13" t="str">
        <f>IF(N13="","",SUMIFS('PR-BOM'!$D$3:$D1001,'PR-BOM'!$C$3:$C1001,N13))</f>
        <v/>
      </c>
      <c r="Y13" t="str">
        <f>IF(X13="","",SUMIFS(Issue!$D$3:$D1001,Issue!$C$3:$C1001,X13))</f>
        <v/>
      </c>
    </row>
    <row r="14" spans="1:25">
      <c r="A14" t="str">
        <f ca="1">IFERROR(__xludf.DUMMYFUNCTION("""COMPUTED_VALUE"""),"Saif Seas Life - DSR")</f>
        <v>Saif Seas Life - DSR</v>
      </c>
      <c r="B14" t="str">
        <f ca="1">IFERROR(__xludf.DUMMYFUNCTION("""COMPUTED_VALUE"""),"PORT Battery Assy")</f>
        <v>PORT Battery Assy</v>
      </c>
      <c r="C14">
        <f ca="1">IFERROR(__xludf.DUMMYFUNCTION("""COMPUTED_VALUE"""),1)</f>
        <v>1</v>
      </c>
      <c r="D14" t="str">
        <f ca="1">IFERROR(__xludf.DUMMYFUNCTION("""COMPUTED_VALUE"""),"Number")</f>
        <v>Number</v>
      </c>
      <c r="E14">
        <f ca="1">IF(A14="","",SUMIFS(Issue!$D$3:$D1001,Issue!$C$3:$C1001,A14)*C14)</f>
        <v>41</v>
      </c>
      <c r="F14" t="e">
        <f ca="1">_xludf.IFNA(VLOOKUP(B14,'S-FG'!$B$3:$B1001,1,FALSE),"")</f>
        <v>#NAME?</v>
      </c>
      <c r="H14" t="str">
        <f ca="1">IFERROR(__xludf.DUMMYFUNCTION("""COMPUTED_VALUE"""),"Jet Motor Assy")</f>
        <v>Jet Motor Assy</v>
      </c>
      <c r="I14" t="str">
        <f ca="1">IFERROR(__xludf.DUMMYFUNCTION("""COMPUTED_VALUE"""),"Teroson MS930")</f>
        <v>Teroson MS930</v>
      </c>
      <c r="J14" s="235">
        <f ca="1">IFERROR(__xludf.DUMMYFUNCTION("""COMPUTED_VALUE"""),15)</f>
        <v>15</v>
      </c>
      <c r="K14" t="str">
        <f ca="1">IFERROR(__xludf.DUMMYFUNCTION("""COMPUTED_VALUE"""),"#N/A")</f>
        <v>#N/A</v>
      </c>
      <c r="L14">
        <f t="shared" ca="1" si="0"/>
        <v>0</v>
      </c>
      <c r="Q14" t="str">
        <f>IF(N14="","",SUMIFS('PR-BOM'!$D$3:$D1001,'PR-BOM'!$C$3:$C1001,N14))</f>
        <v/>
      </c>
      <c r="Y14" t="str">
        <f>IF(X14="","",SUMIFS(Issue!$D$3:$D1001,Issue!$C$3:$C1001,X14))</f>
        <v/>
      </c>
    </row>
    <row r="15" spans="1:25">
      <c r="A15" t="str">
        <f ca="1">IFERROR(__xludf.DUMMYFUNCTION("""COMPUTED_VALUE"""),"Saif Seas Life - DSR")</f>
        <v>Saif Seas Life - DSR</v>
      </c>
      <c r="B15" t="str">
        <f ca="1">IFERROR(__xludf.DUMMYFUNCTION("""COMPUTED_VALUE"""),"Charger Box Assy")</f>
        <v>Charger Box Assy</v>
      </c>
      <c r="C15">
        <f ca="1">IFERROR(__xludf.DUMMYFUNCTION("""COMPUTED_VALUE"""),1)</f>
        <v>1</v>
      </c>
      <c r="D15" t="str">
        <f ca="1">IFERROR(__xludf.DUMMYFUNCTION("""COMPUTED_VALUE"""),"Number")</f>
        <v>Number</v>
      </c>
      <c r="E15">
        <f ca="1">IF(A15="","",SUMIFS(Issue!$D$3:$D1001,Issue!$C$3:$C1001,A15)*C15)</f>
        <v>41</v>
      </c>
      <c r="F15" t="e">
        <f ca="1">_xludf.IFNA(VLOOKUP(B15,'S-FG'!$B$3:$B1001,1,FALSE),"")</f>
        <v>#NAME?</v>
      </c>
      <c r="H15" t="str">
        <f ca="1">IFERROR(__xludf.DUMMYFUNCTION("""COMPUTED_VALUE"""),"Jet Motor Assy")</f>
        <v>Jet Motor Assy</v>
      </c>
      <c r="I15" t="str">
        <f ca="1">IFERROR(__xludf.DUMMYFUNCTION("""COMPUTED_VALUE"""),"Nozzle on Jet")</f>
        <v>Nozzle on Jet</v>
      </c>
      <c r="J15" s="235">
        <f ca="1">IFERROR(__xludf.DUMMYFUNCTION("""COMPUTED_VALUE"""),1)</f>
        <v>1</v>
      </c>
      <c r="L15">
        <f t="shared" ca="1" si="0"/>
        <v>0</v>
      </c>
      <c r="Q15" t="str">
        <f>IF(N15="","",SUMIFS('PR-BOM'!$D$3:$D1001,'PR-BOM'!$C$3:$C1001,N15))</f>
        <v/>
      </c>
      <c r="Y15" t="str">
        <f>IF(X15="","",SUMIFS(Issue!$D$3:$D1001,Issue!$C$3:$C1001,X15))</f>
        <v/>
      </c>
    </row>
    <row r="16" spans="1:25">
      <c r="A16" t="str">
        <f ca="1">IFERROR(__xludf.DUMMYFUNCTION("""COMPUTED_VALUE"""),"Saif Seas Life - DSR")</f>
        <v>Saif Seas Life - DSR</v>
      </c>
      <c r="B16" t="str">
        <f ca="1">IFERROR(__xludf.DUMMYFUNCTION("""COMPUTED_VALUE"""),"Electronic Box Assy")</f>
        <v>Electronic Box Assy</v>
      </c>
      <c r="C16">
        <f ca="1">IFERROR(__xludf.DUMMYFUNCTION("""COMPUTED_VALUE"""),1)</f>
        <v>1</v>
      </c>
      <c r="D16" t="str">
        <f ca="1">IFERROR(__xludf.DUMMYFUNCTION("""COMPUTED_VALUE"""),"Number")</f>
        <v>Number</v>
      </c>
      <c r="E16">
        <f ca="1">IF(A16="","",SUMIFS(Issue!$D$3:$D1001,Issue!$C$3:$C1001,A16)*C16)</f>
        <v>41</v>
      </c>
      <c r="F16" t="e">
        <f ca="1">_xludf.IFNA(VLOOKUP(B16,'S-FG'!$B$3:$B1001,1,FALSE),"")</f>
        <v>#NAME?</v>
      </c>
      <c r="H16" t="str">
        <f ca="1">IFERROR(__xludf.DUMMYFUNCTION("""COMPUTED_VALUE"""),"Jet Motor Assy")</f>
        <v>Jet Motor Assy</v>
      </c>
      <c r="I16" t="str">
        <f ca="1">IFERROR(__xludf.DUMMYFUNCTION("""COMPUTED_VALUE"""),"Silicon hose pipe clip 7mm")</f>
        <v>Silicon hose pipe clip 7mm</v>
      </c>
      <c r="J16" s="235">
        <f ca="1">IFERROR(__xludf.DUMMYFUNCTION("""COMPUTED_VALUE"""),1)</f>
        <v>1</v>
      </c>
      <c r="K16" t="str">
        <f ca="1">IFERROR(__xludf.DUMMYFUNCTION("""COMPUTED_VALUE"""),"#N/A")</f>
        <v>#N/A</v>
      </c>
      <c r="L16">
        <f t="shared" ca="1" si="0"/>
        <v>0</v>
      </c>
      <c r="Q16" t="str">
        <f>IF(N16="","",SUMIFS('PR-BOM'!$D$3:$D1001,'PR-BOM'!$C$3:$C1001,N16))</f>
        <v/>
      </c>
      <c r="Y16" t="str">
        <f>IF(X16="","",SUMIFS(Issue!$D$3:$D1001,Issue!$C$3:$C1001,X16))</f>
        <v/>
      </c>
    </row>
    <row r="17" spans="1:25">
      <c r="A17" t="str">
        <f ca="1">IFERROR(__xludf.DUMMYFUNCTION("""COMPUTED_VALUE"""),"Saif Seas Life - DSR")</f>
        <v>Saif Seas Life - DSR</v>
      </c>
      <c r="B17" t="str">
        <f ca="1">IFERROR(__xludf.DUMMYFUNCTION("""COMPUTED_VALUE"""),"FL_STBD Elec")</f>
        <v>FL_STBD Elec</v>
      </c>
      <c r="C17">
        <f ca="1">IFERROR(__xludf.DUMMYFUNCTION("""COMPUTED_VALUE"""),1)</f>
        <v>1</v>
      </c>
      <c r="D17" t="str">
        <f ca="1">IFERROR(__xludf.DUMMYFUNCTION("""COMPUTED_VALUE"""),"Number")</f>
        <v>Number</v>
      </c>
      <c r="E17">
        <f ca="1">IF(A17="","",SUMIFS(Issue!$D$3:$D1001,Issue!$C$3:$C1001,A17)*C17)</f>
        <v>41</v>
      </c>
      <c r="F17" t="e">
        <f ca="1">_xludf.IFNA(VLOOKUP(B17,'S-FG'!$B$3:$B1001,1,FALSE),"")</f>
        <v>#NAME?</v>
      </c>
      <c r="H17" t="str">
        <f ca="1">IFERROR(__xludf.DUMMYFUNCTION("""COMPUTED_VALUE"""),"Jet Motor Assy")</f>
        <v>Jet Motor Assy</v>
      </c>
      <c r="I17" t="str">
        <f ca="1">IFERROR(__xludf.DUMMYFUNCTION("""COMPUTED_VALUE"""),"Water Jet pump Jet S52")</f>
        <v>Water Jet pump Jet S52</v>
      </c>
      <c r="J17" s="235">
        <f ca="1">IFERROR(__xludf.DUMMYFUNCTION("""COMPUTED_VALUE"""),1)</f>
        <v>1</v>
      </c>
      <c r="K17" t="str">
        <f ca="1">IFERROR(__xludf.DUMMYFUNCTION("""COMPUTED_VALUE"""),"#N/A")</f>
        <v>#N/A</v>
      </c>
      <c r="L17">
        <f t="shared" ca="1" si="0"/>
        <v>0</v>
      </c>
      <c r="Q17" t="str">
        <f>IF(N17="","",SUMIFS('PR-BOM'!$D$3:$D1001,'PR-BOM'!$C$3:$C1001,N17))</f>
        <v/>
      </c>
      <c r="Y17" t="str">
        <f>IF(X17="","",SUMIFS(Issue!$D$3:$D1001,Issue!$C$3:$C1001,X17))</f>
        <v/>
      </c>
    </row>
    <row r="18" spans="1:25">
      <c r="A18" t="str">
        <f ca="1">IFERROR(__xludf.DUMMYFUNCTION("""COMPUTED_VALUE"""),"Saif Seas Life - DSR")</f>
        <v>Saif Seas Life - DSR</v>
      </c>
      <c r="B18" t="str">
        <f ca="1">IFERROR(__xludf.DUMMYFUNCTION("""COMPUTED_VALUE"""),"FL_PORT Elec")</f>
        <v>FL_PORT Elec</v>
      </c>
      <c r="C18">
        <f ca="1">IFERROR(__xludf.DUMMYFUNCTION("""COMPUTED_VALUE"""),1)</f>
        <v>1</v>
      </c>
      <c r="D18" t="str">
        <f ca="1">IFERROR(__xludf.DUMMYFUNCTION("""COMPUTED_VALUE"""),"Number")</f>
        <v>Number</v>
      </c>
      <c r="E18">
        <f ca="1">IF(A18="","",SUMIFS(Issue!$D$3:$D1001,Issue!$C$3:$C1001,A18)*C18)</f>
        <v>41</v>
      </c>
      <c r="F18" t="e">
        <f ca="1">_xludf.IFNA(VLOOKUP(B18,'S-FG'!$B$3:$B1001,1,FALSE),"")</f>
        <v>#NAME?</v>
      </c>
      <c r="H18" t="str">
        <f ca="1">IFERROR(__xludf.DUMMYFUNCTION("""COMPUTED_VALUE"""),"Jet Motor Assy")</f>
        <v>Jet Motor Assy</v>
      </c>
      <c r="I18" t="str">
        <f ca="1">IFERROR(__xludf.DUMMYFUNCTION("""COMPUTED_VALUE"""),"ESC Mounting Plate")</f>
        <v>ESC Mounting Plate</v>
      </c>
      <c r="J18" s="235">
        <f ca="1">IFERROR(__xludf.DUMMYFUNCTION("""COMPUTED_VALUE"""),1)</f>
        <v>1</v>
      </c>
      <c r="K18" t="str">
        <f ca="1">IFERROR(__xludf.DUMMYFUNCTION("""COMPUTED_VALUE"""),"#N/A")</f>
        <v>#N/A</v>
      </c>
      <c r="L18">
        <f t="shared" ca="1" si="0"/>
        <v>0</v>
      </c>
      <c r="Q18" t="str">
        <f>IF(N18="","",SUMIFS('PR-BOM'!$D$3:$D1001,'PR-BOM'!$C$3:$C1001,N18))</f>
        <v/>
      </c>
      <c r="Y18" t="str">
        <f>IF(X18="","",SUMIFS(Issue!$D$3:$D1001,Issue!$C$3:$C1001,X18))</f>
        <v/>
      </c>
    </row>
    <row r="19" spans="1:25">
      <c r="A19" t="str">
        <f ca="1">IFERROR(__xludf.DUMMYFUNCTION("""COMPUTED_VALUE"""),"Saif Seas Life - DSR")</f>
        <v>Saif Seas Life - DSR</v>
      </c>
      <c r="B19" t="str">
        <f ca="1">IFERROR(__xludf.DUMMYFUNCTION("""COMPUTED_VALUE"""),"FL_STBD Mech")</f>
        <v>FL_STBD Mech</v>
      </c>
      <c r="C19">
        <f ca="1">IFERROR(__xludf.DUMMYFUNCTION("""COMPUTED_VALUE"""),1)</f>
        <v>1</v>
      </c>
      <c r="D19" t="str">
        <f ca="1">IFERROR(__xludf.DUMMYFUNCTION("""COMPUTED_VALUE"""),"Number")</f>
        <v>Number</v>
      </c>
      <c r="E19">
        <f ca="1">IF(A19="","",SUMIFS(Issue!$D$3:$D1001,Issue!$C$3:$C1001,A19)*C19)</f>
        <v>41</v>
      </c>
      <c r="F19" t="e">
        <f ca="1">_xludf.IFNA(VLOOKUP(B19,'S-FG'!$B$3:$B1001,1,FALSE),"")</f>
        <v>#NAME?</v>
      </c>
      <c r="H19" t="str">
        <f ca="1">IFERROR(__xludf.DUMMYFUNCTION("""COMPUTED_VALUE"""),"Jet Motor Assy")</f>
        <v>Jet Motor Assy</v>
      </c>
      <c r="I19" t="str">
        <f ca="1">IFERROR(__xludf.DUMMYFUNCTION("""COMPUTED_VALUE"""),"Jet S52 Mounting plate")</f>
        <v>Jet S52 Mounting plate</v>
      </c>
      <c r="J19" s="235">
        <f ca="1">IFERROR(__xludf.DUMMYFUNCTION("""COMPUTED_VALUE"""),1)</f>
        <v>1</v>
      </c>
      <c r="K19" t="str">
        <f ca="1">IFERROR(__xludf.DUMMYFUNCTION("""COMPUTED_VALUE"""),"#N/A")</f>
        <v>#N/A</v>
      </c>
      <c r="L19">
        <f t="shared" ca="1" si="0"/>
        <v>0</v>
      </c>
      <c r="Q19" t="str">
        <f>IF(N19="","",SUMIFS('PR-BOM'!$D$3:$D1001,'PR-BOM'!$C$3:$C1001,N19))</f>
        <v/>
      </c>
      <c r="Y19" t="str">
        <f>IF(X19="","",SUMIFS(Issue!$D$3:$D1001,Issue!$C$3:$C1001,X19))</f>
        <v/>
      </c>
    </row>
    <row r="20" spans="1:25">
      <c r="A20" t="str">
        <f ca="1">IFERROR(__xludf.DUMMYFUNCTION("""COMPUTED_VALUE"""),"Saif Seas Life - DSR")</f>
        <v>Saif Seas Life - DSR</v>
      </c>
      <c r="B20" t="str">
        <f ca="1">IFERROR(__xludf.DUMMYFUNCTION("""COMPUTED_VALUE"""),"FL_PORT Mech")</f>
        <v>FL_PORT Mech</v>
      </c>
      <c r="C20">
        <f ca="1">IFERROR(__xludf.DUMMYFUNCTION("""COMPUTED_VALUE"""),1)</f>
        <v>1</v>
      </c>
      <c r="D20" t="str">
        <f ca="1">IFERROR(__xludf.DUMMYFUNCTION("""COMPUTED_VALUE"""),"Number")</f>
        <v>Number</v>
      </c>
      <c r="E20">
        <f ca="1">IF(A20="","",SUMIFS(Issue!$D$3:$D1001,Issue!$C$3:$C1001,A20)*C20)</f>
        <v>41</v>
      </c>
      <c r="F20" t="e">
        <f ca="1">_xludf.IFNA(VLOOKUP(B20,'S-FG'!$B$3:$B1001,1,FALSE),"")</f>
        <v>#NAME?</v>
      </c>
      <c r="H20" t="str">
        <f ca="1">IFERROR(__xludf.DUMMYFUNCTION("""COMPUTED_VALUE"""),"Jet Motor Assy")</f>
        <v>Jet Motor Assy</v>
      </c>
      <c r="I20" t="str">
        <f ca="1">IFERROR(__xludf.DUMMYFUNCTION("""COMPUTED_VALUE"""),"Motor Mount 5692")</f>
        <v>Motor Mount 5692</v>
      </c>
      <c r="J20" s="235">
        <f ca="1">IFERROR(__xludf.DUMMYFUNCTION("""COMPUTED_VALUE"""),2)</f>
        <v>2</v>
      </c>
      <c r="K20" t="str">
        <f ca="1">IFERROR(__xludf.DUMMYFUNCTION("""COMPUTED_VALUE"""),"#N/A")</f>
        <v>#N/A</v>
      </c>
      <c r="L20">
        <f t="shared" ca="1" si="0"/>
        <v>0</v>
      </c>
      <c r="Q20" t="str">
        <f>IF(N20="","",SUMIFS('PR-BOM'!$D$3:$D1001,'PR-BOM'!$C$3:$C1001,N20))</f>
        <v/>
      </c>
      <c r="Y20" t="str">
        <f>IF(X20="","",SUMIFS(Issue!$D$3:$D1001,Issue!$C$3:$C1001,X20))</f>
        <v/>
      </c>
    </row>
    <row r="21" spans="1:25">
      <c r="A21" t="str">
        <f ca="1">IFERROR(__xludf.DUMMYFUNCTION("""COMPUTED_VALUE"""),"Saif Seas Life - DSR")</f>
        <v>Saif Seas Life - DSR</v>
      </c>
      <c r="B21" t="str">
        <f ca="1">IFERROR(__xludf.DUMMYFUNCTION("""COMPUTED_VALUE"""),"STBD Unit Assy")</f>
        <v>STBD Unit Assy</v>
      </c>
      <c r="C21">
        <f ca="1">IFERROR(__xludf.DUMMYFUNCTION("""COMPUTED_VALUE"""),1)</f>
        <v>1</v>
      </c>
      <c r="D21" t="str">
        <f ca="1">IFERROR(__xludf.DUMMYFUNCTION("""COMPUTED_VALUE"""),"Number")</f>
        <v>Number</v>
      </c>
      <c r="E21">
        <f ca="1">IF(A21="","",SUMIFS(Issue!$D$3:$D1001,Issue!$C$3:$C1001,A21)*C21)</f>
        <v>41</v>
      </c>
      <c r="F21" t="e">
        <f ca="1">_xludf.IFNA(VLOOKUP(B21,'S-FG'!$B$3:$B1001,1,FALSE),"")</f>
        <v>#NAME?</v>
      </c>
      <c r="H21" t="str">
        <f ca="1">IFERROR(__xludf.DUMMYFUNCTION("""COMPUTED_VALUE"""),"Jet Motor Assy")</f>
        <v>Jet Motor Assy</v>
      </c>
      <c r="I21" t="str">
        <f ca="1">IFERROR(__xludf.DUMMYFUNCTION("""COMPUTED_VALUE"""),"Motor 5692 495 KV")</f>
        <v>Motor 5692 495 KV</v>
      </c>
      <c r="J21" s="235">
        <f ca="1">IFERROR(__xludf.DUMMYFUNCTION("""COMPUTED_VALUE"""),1)</f>
        <v>1</v>
      </c>
      <c r="K21" t="str">
        <f ca="1">IFERROR(__xludf.DUMMYFUNCTION("""COMPUTED_VALUE"""),"#N/A")</f>
        <v>#N/A</v>
      </c>
      <c r="L21">
        <f t="shared" ca="1" si="0"/>
        <v>0</v>
      </c>
      <c r="Q21" t="str">
        <f>IF(N21="","",SUMIFS('PR-BOM'!$D$3:$D1001,'PR-BOM'!$C$3:$C1001,N21))</f>
        <v/>
      </c>
      <c r="Y21" t="str">
        <f>IF(X21="","",SUMIFS(Issue!$D$3:$D1001,Issue!$C$3:$C1001,X21))</f>
        <v/>
      </c>
    </row>
    <row r="22" spans="1:25">
      <c r="A22" t="str">
        <f ca="1">IFERROR(__xludf.DUMMYFUNCTION("""COMPUTED_VALUE"""),"Saif Seas Life - DSR")</f>
        <v>Saif Seas Life - DSR</v>
      </c>
      <c r="B22" t="str">
        <f ca="1">IFERROR(__xludf.DUMMYFUNCTION("""COMPUTED_VALUE"""),"PORT Unit Assy")</f>
        <v>PORT Unit Assy</v>
      </c>
      <c r="C22">
        <f ca="1">IFERROR(__xludf.DUMMYFUNCTION("""COMPUTED_VALUE"""),1)</f>
        <v>1</v>
      </c>
      <c r="D22" t="str">
        <f ca="1">IFERROR(__xludf.DUMMYFUNCTION("""COMPUTED_VALUE"""),"Number")</f>
        <v>Number</v>
      </c>
      <c r="E22">
        <f ca="1">IF(A22="","",SUMIFS(Issue!$D$3:$D1001,Issue!$C$3:$C1001,A22)*C22)</f>
        <v>41</v>
      </c>
      <c r="F22" t="e">
        <f ca="1">_xludf.IFNA(VLOOKUP(B22,'S-FG'!$B$3:$B1001,1,FALSE),"")</f>
        <v>#NAME?</v>
      </c>
      <c r="H22" t="str">
        <f ca="1">IFERROR(__xludf.DUMMYFUNCTION("""COMPUTED_VALUE"""),"Jet Motor Assy")</f>
        <v>Jet Motor Assy</v>
      </c>
      <c r="I22" t="str">
        <f ca="1">IFERROR(__xludf.DUMMYFUNCTION("""COMPUTED_VALUE"""),"Motor Cooling Jacket 56mm x 50mm")</f>
        <v>Motor Cooling Jacket 56mm x 50mm</v>
      </c>
      <c r="J22" s="235">
        <f ca="1">IFERROR(__xludf.DUMMYFUNCTION("""COMPUTED_VALUE"""),1)</f>
        <v>1</v>
      </c>
      <c r="K22" t="str">
        <f ca="1">IFERROR(__xludf.DUMMYFUNCTION("""COMPUTED_VALUE"""),"#N/A")</f>
        <v>#N/A</v>
      </c>
      <c r="L22">
        <f t="shared" ca="1" si="0"/>
        <v>0</v>
      </c>
      <c r="Q22" t="str">
        <f>IF(N22="","",SUMIFS('PR-BOM'!$D$3:$D1001,'PR-BOM'!$C$3:$C1001,N22))</f>
        <v/>
      </c>
      <c r="Y22" t="str">
        <f>IF(X22="","",SUMIFS(Issue!$D$3:$D1001,Issue!$C$3:$C1001,X22))</f>
        <v/>
      </c>
    </row>
    <row r="23" spans="1:25">
      <c r="A23" t="str">
        <f ca="1">IFERROR(__xludf.DUMMYFUNCTION("""COMPUTED_VALUE"""),"Saif Seas Life - DSR")</f>
        <v>Saif Seas Life - DSR</v>
      </c>
      <c r="B23" t="str">
        <f ca="1">IFERROR(__xludf.DUMMYFUNCTION("""COMPUTED_VALUE"""),"Self Rightening Assy")</f>
        <v>Self Rightening Assy</v>
      </c>
      <c r="C23">
        <f ca="1">IFERROR(__xludf.DUMMYFUNCTION("""COMPUTED_VALUE"""),1)</f>
        <v>1</v>
      </c>
      <c r="D23" t="str">
        <f ca="1">IFERROR(__xludf.DUMMYFUNCTION("""COMPUTED_VALUE"""),"Number")</f>
        <v>Number</v>
      </c>
      <c r="E23">
        <f ca="1">IF(A23="","",SUMIFS(Issue!$D$3:$D1001,Issue!$C$3:$C1001,A23)*C23)</f>
        <v>41</v>
      </c>
      <c r="F23" t="e">
        <f ca="1">_xludf.IFNA(VLOOKUP(B23,'S-FG'!$B$3:$B1001,1,FALSE),"")</f>
        <v>#NAME?</v>
      </c>
      <c r="H23" t="str">
        <f ca="1">IFERROR(__xludf.DUMMYFUNCTION("""COMPUTED_VALUE"""),"Jet Motor Assy")</f>
        <v>Jet Motor Assy</v>
      </c>
      <c r="I23" t="str">
        <f ca="1">IFERROR(__xludf.DUMMYFUNCTION("""COMPUTED_VALUE"""),"Silicon Hose 4mm x 8mm")</f>
        <v>Silicon Hose 4mm x 8mm</v>
      </c>
      <c r="J23" s="235">
        <f ca="1">IFERROR(__xludf.DUMMYFUNCTION("""COMPUTED_VALUE"""),0.2)</f>
        <v>0.2</v>
      </c>
      <c r="L23">
        <f t="shared" ca="1" si="0"/>
        <v>0</v>
      </c>
      <c r="Q23" t="str">
        <f>IF(N23="","",SUMIFS('PR-BOM'!$D$3:$D1001,'PR-BOM'!$C$3:$C1001,N23))</f>
        <v/>
      </c>
      <c r="Y23" t="str">
        <f>IF(X23="","",SUMIFS(Issue!$D$3:$D1001,Issue!$C$3:$C1001,X23))</f>
        <v/>
      </c>
    </row>
    <row r="24" spans="1:25">
      <c r="A24" t="str">
        <f ca="1">IFERROR(__xludf.DUMMYFUNCTION("""COMPUTED_VALUE"""),"Saif Seas Life - DSR")</f>
        <v>Saif Seas Life - DSR</v>
      </c>
      <c r="B24" t="str">
        <f ca="1">IFERROR(__xludf.DUMMYFUNCTION("""COMPUTED_VALUE"""),"IP Remote Assy")</f>
        <v>IP Remote Assy</v>
      </c>
      <c r="C24">
        <f ca="1">IFERROR(__xludf.DUMMYFUNCTION("""COMPUTED_VALUE"""),1)</f>
        <v>1</v>
      </c>
      <c r="D24" t="str">
        <f ca="1">IFERROR(__xludf.DUMMYFUNCTION("""COMPUTED_VALUE"""),"Number")</f>
        <v>Number</v>
      </c>
      <c r="E24">
        <f ca="1">IF(A24="","",SUMIFS(Issue!$D$3:$D1001,Issue!$C$3:$C1001,A24)*C24)</f>
        <v>41</v>
      </c>
      <c r="F24" t="e">
        <f ca="1">_xludf.IFNA(VLOOKUP(B24,'S-FG'!$B$3:$B1001,1,FALSE),"")</f>
        <v>#NAME?</v>
      </c>
      <c r="H24" t="str">
        <f ca="1">IFERROR(__xludf.DUMMYFUNCTION("""COMPUTED_VALUE"""),"Jet Motor Assy")</f>
        <v>Jet Motor Assy</v>
      </c>
      <c r="I24" t="str">
        <f ca="1">IFERROR(__xludf.DUMMYFUNCTION("""COMPUTED_VALUE"""),"Silicon Hose 3mm x 6mm")</f>
        <v>Silicon Hose 3mm x 6mm</v>
      </c>
      <c r="J24" s="235">
        <f ca="1">IFERROR(__xludf.DUMMYFUNCTION("""COMPUTED_VALUE"""),0.75)</f>
        <v>0.75</v>
      </c>
      <c r="L24">
        <f t="shared" ca="1" si="0"/>
        <v>0</v>
      </c>
      <c r="Q24" t="str">
        <f>IF(N24="","",SUMIFS('PR-BOM'!$D$3:$D1001,'PR-BOM'!$C$3:$C1001,N24))</f>
        <v/>
      </c>
      <c r="Y24" t="str">
        <f>IF(X24="","",SUMIFS(Issue!$D$3:$D1001,Issue!$C$3:$C1001,X24))</f>
        <v/>
      </c>
    </row>
    <row r="25" spans="1:25">
      <c r="A25" t="str">
        <f ca="1">IFERROR(__xludf.DUMMYFUNCTION("""COMPUTED_VALUE"""),"Saif Seas Life - DSR")</f>
        <v>Saif Seas Life - DSR</v>
      </c>
      <c r="B25" t="str">
        <f ca="1">IFERROR(__xludf.DUMMYFUNCTION("""COMPUTED_VALUE"""),"IP Remote Charging Cable Assy")</f>
        <v>IP Remote Charging Cable Assy</v>
      </c>
      <c r="C25">
        <f ca="1">IFERROR(__xludf.DUMMYFUNCTION("""COMPUTED_VALUE"""),1)</f>
        <v>1</v>
      </c>
      <c r="D25" t="str">
        <f ca="1">IFERROR(__xludf.DUMMYFUNCTION("""COMPUTED_VALUE"""),"Number")</f>
        <v>Number</v>
      </c>
      <c r="E25">
        <f ca="1">IF(A25="","",SUMIFS(Issue!$D$3:$D1001,Issue!$C$3:$C1001,A25)*C25)</f>
        <v>41</v>
      </c>
      <c r="F25" t="e">
        <f ca="1">_xludf.IFNA(VLOOKUP(B25,'S-FG'!$B$3:$B1001,1,FALSE),"")</f>
        <v>#NAME?</v>
      </c>
      <c r="H25" t="str">
        <f ca="1">IFERROR(__xludf.DUMMYFUNCTION("""COMPUTED_VALUE"""),"Jet Motor Assy")</f>
        <v>Jet Motor Assy</v>
      </c>
      <c r="I25" t="str">
        <f ca="1">IFERROR(__xludf.DUMMYFUNCTION("""COMPUTED_VALUE"""),"Thread locker 242/270/290")</f>
        <v>Thread locker 242/270/290</v>
      </c>
      <c r="J25" s="235">
        <f ca="1">IFERROR(__xludf.DUMMYFUNCTION("""COMPUTED_VALUE"""),2)</f>
        <v>2</v>
      </c>
      <c r="K25" t="str">
        <f ca="1">IFERROR(__xludf.DUMMYFUNCTION("""COMPUTED_VALUE"""),"#N/A")</f>
        <v>#N/A</v>
      </c>
      <c r="L25">
        <f t="shared" ca="1" si="0"/>
        <v>0</v>
      </c>
      <c r="Q25" t="str">
        <f>IF(N25="","",SUMIFS('PR-BOM'!$D$3:$D1001,'PR-BOM'!$C$3:$C1001,N25))</f>
        <v/>
      </c>
      <c r="Y25" t="str">
        <f>IF(X25="","",SUMIFS(Issue!$D$3:$D1001,Issue!$C$3:$C1001,X25))</f>
        <v/>
      </c>
    </row>
    <row r="26" spans="1:25">
      <c r="A26" t="str">
        <f ca="1">IFERROR(__xludf.DUMMYFUNCTION("""COMPUTED_VALUE"""),"Saif Seas Life - DSR")</f>
        <v>Saif Seas Life - DSR</v>
      </c>
      <c r="B26" t="str">
        <f ca="1">IFERROR(__xludf.DUMMYFUNCTION("""COMPUTED_VALUE"""),"AMCA Elec Assy")</f>
        <v>AMCA Elec Assy</v>
      </c>
      <c r="C26">
        <f ca="1">IFERROR(__xludf.DUMMYFUNCTION("""COMPUTED_VALUE"""),0)</f>
        <v>0</v>
      </c>
      <c r="D26" t="str">
        <f ca="1">IFERROR(__xludf.DUMMYFUNCTION("""COMPUTED_VALUE"""),"Number")</f>
        <v>Number</v>
      </c>
      <c r="E26">
        <f ca="1">IF(A26="","",SUMIFS(Issue!$D$3:$D1001,Issue!$C$3:$C1001,A26)*C26)</f>
        <v>0</v>
      </c>
      <c r="F26" t="e">
        <f ca="1">_xludf.IFNA(VLOOKUP(B26,'S-FG'!$B$3:$B1001,1,FALSE),"")</f>
        <v>#NAME?</v>
      </c>
      <c r="H26" t="str">
        <f ca="1">IFERROR(__xludf.DUMMYFUNCTION("""COMPUTED_VALUE"""),"Jet Motor Assy")</f>
        <v>Jet Motor Assy</v>
      </c>
      <c r="I26" t="str">
        <f ca="1">IFERROR(__xludf.DUMMYFUNCTION("""COMPUTED_VALUE"""),"Thread locker Activator")</f>
        <v>Thread locker Activator</v>
      </c>
      <c r="J26" s="235">
        <f ca="1">IFERROR(__xludf.DUMMYFUNCTION("""COMPUTED_VALUE"""),2)</f>
        <v>2</v>
      </c>
      <c r="K26" t="str">
        <f ca="1">IFERROR(__xludf.DUMMYFUNCTION("""COMPUTED_VALUE"""),"#N/A")</f>
        <v>#N/A</v>
      </c>
      <c r="L26">
        <f t="shared" ca="1" si="0"/>
        <v>0</v>
      </c>
      <c r="Q26" t="str">
        <f>IF(N26="","",SUMIFS('PR-BOM'!$D$3:$D1001,'PR-BOM'!$C$3:$C1001,N26))</f>
        <v/>
      </c>
      <c r="Y26" t="str">
        <f>IF(X26="","",SUMIFS(Issue!$D$3:$D1001,Issue!$C$3:$C1001,X26))</f>
        <v/>
      </c>
    </row>
    <row r="27" spans="1:25">
      <c r="A27" t="str">
        <f ca="1">IFERROR(__xludf.DUMMYFUNCTION("""COMPUTED_VALUE"""),"Saif Seas Life - DSR")</f>
        <v>Saif Seas Life - DSR</v>
      </c>
      <c r="B27" t="str">
        <f ca="1">IFERROR(__xludf.DUMMYFUNCTION("""COMPUTED_VALUE"""),"AMCA Mech Assy")</f>
        <v>AMCA Mech Assy</v>
      </c>
      <c r="C27">
        <f ca="1">IFERROR(__xludf.DUMMYFUNCTION("""COMPUTED_VALUE"""),0)</f>
        <v>0</v>
      </c>
      <c r="D27" t="str">
        <f ca="1">IFERROR(__xludf.DUMMYFUNCTION("""COMPUTED_VALUE"""),"Number")</f>
        <v>Number</v>
      </c>
      <c r="E27">
        <f ca="1">IF(A27="","",SUMIFS(Issue!$D$3:$D1001,Issue!$C$3:$C1001,A27)*C27)</f>
        <v>0</v>
      </c>
      <c r="F27" t="e">
        <f ca="1">_xludf.IFNA(VLOOKUP(B27,'S-FG'!$B$3:$B1001,1,FALSE),"")</f>
        <v>#NAME?</v>
      </c>
      <c r="H27" t="str">
        <f ca="1">IFERROR(__xludf.DUMMYFUNCTION("""COMPUTED_VALUE"""),"STBD_ESC Assy")</f>
        <v>STBD_ESC Assy</v>
      </c>
      <c r="I27" t="str">
        <f ca="1">IFERROR(__xludf.DUMMYFUNCTION("""COMPUTED_VALUE"""),"5.5mm Female Bullet connector")</f>
        <v>5.5mm Female Bullet connector</v>
      </c>
      <c r="J27" s="235">
        <f ca="1">IFERROR(__xludf.DUMMYFUNCTION("""COMPUTED_VALUE"""),1)</f>
        <v>1</v>
      </c>
      <c r="K27" t="str">
        <f ca="1">IFERROR(__xludf.DUMMYFUNCTION("""COMPUTED_VALUE"""),"#N/A")</f>
        <v>#N/A</v>
      </c>
      <c r="L27">
        <f t="shared" ca="1" si="0"/>
        <v>0</v>
      </c>
      <c r="Q27" t="str">
        <f>IF(N27="","",SUMIFS('PR-BOM'!$D$3:$D1001,'PR-BOM'!$C$3:$C1001,N27))</f>
        <v/>
      </c>
      <c r="Y27" t="str">
        <f>IF(X27="","",SUMIFS(Issue!$D$3:$D1001,Issue!$C$3:$C1001,X27))</f>
        <v/>
      </c>
    </row>
    <row r="28" spans="1:25">
      <c r="A28" t="str">
        <f ca="1">IFERROR(__xludf.DUMMYFUNCTION("""COMPUTED_VALUE"""),"Saif Seas Life - DSR")</f>
        <v>Saif Seas Life - DSR</v>
      </c>
      <c r="B28" t="str">
        <f ca="1">IFERROR(__xludf.DUMMYFUNCTION("""COMPUTED_VALUE"""),"Final Craft Assy")</f>
        <v>Final Craft Assy</v>
      </c>
      <c r="C28">
        <f ca="1">IFERROR(__xludf.DUMMYFUNCTION("""COMPUTED_VALUE"""),1)</f>
        <v>1</v>
      </c>
      <c r="D28" t="str">
        <f ca="1">IFERROR(__xludf.DUMMYFUNCTION("""COMPUTED_VALUE"""),"Number")</f>
        <v>Number</v>
      </c>
      <c r="E28">
        <f ca="1">IF(A28="","",SUMIFS(Issue!$D$3:$D1001,Issue!$C$3:$C1001,A28)*C28)</f>
        <v>41</v>
      </c>
      <c r="F28" t="e">
        <f ca="1">_xludf.IFNA(VLOOKUP(B28,'S-FG'!$B$3:$B1001,1,FALSE),"")</f>
        <v>#NAME?</v>
      </c>
      <c r="H28" t="str">
        <f ca="1">IFERROR(__xludf.DUMMYFUNCTION("""COMPUTED_VALUE"""),"STBD_ESC Assy")</f>
        <v>STBD_ESC Assy</v>
      </c>
      <c r="I28" t="str">
        <f ca="1">IFERROR(__xludf.DUMMYFUNCTION("""COMPUTED_VALUE"""),"4mm Male Bullet connector")</f>
        <v>4mm Male Bullet connector</v>
      </c>
      <c r="J28" s="235">
        <f ca="1">IFERROR(__xludf.DUMMYFUNCTION("""COMPUTED_VALUE"""),2)</f>
        <v>2</v>
      </c>
      <c r="K28" t="str">
        <f ca="1">IFERROR(__xludf.DUMMYFUNCTION("""COMPUTED_VALUE"""),"#N/A")</f>
        <v>#N/A</v>
      </c>
      <c r="L28">
        <f t="shared" ca="1" si="0"/>
        <v>0</v>
      </c>
      <c r="Q28" t="str">
        <f>IF(N28="","",SUMIFS('PR-BOM'!$D$3:$D1001,'PR-BOM'!$C$3:$C1001,N28))</f>
        <v/>
      </c>
      <c r="Y28" t="str">
        <f>IF(X28="","",SUMIFS(Issue!$D$3:$D1001,Issue!$C$3:$C1001,X28))</f>
        <v/>
      </c>
    </row>
    <row r="29" spans="1:25">
      <c r="A29" t="str">
        <f ca="1">IFERROR(__xludf.DUMMYFUNCTION("""COMPUTED_VALUE"""),"Saif Seas Life - DSR")</f>
        <v>Saif Seas Life - DSR</v>
      </c>
      <c r="B29" t="str">
        <f ca="1">IFERROR(__xludf.DUMMYFUNCTION("""COMPUTED_VALUE"""),"STBD Aft Plate Assy")</f>
        <v>STBD Aft Plate Assy</v>
      </c>
      <c r="C29">
        <f ca="1">IFERROR(__xludf.DUMMYFUNCTION("""COMPUTED_VALUE"""),1)</f>
        <v>1</v>
      </c>
      <c r="D29" t="str">
        <f ca="1">IFERROR(__xludf.DUMMYFUNCTION("""COMPUTED_VALUE"""),"Number")</f>
        <v>Number</v>
      </c>
      <c r="E29">
        <f ca="1">IF(A29="","",SUMIFS(Issue!$D$3:$D1001,Issue!$C$3:$C1001,A29)*C29)</f>
        <v>41</v>
      </c>
      <c r="F29" t="e">
        <f ca="1">_xludf.IFNA(VLOOKUP(B29,'S-FG'!$B$3:$B1001,1,FALSE),"")</f>
        <v>#NAME?</v>
      </c>
      <c r="H29" t="str">
        <f ca="1">IFERROR(__xludf.DUMMYFUNCTION("""COMPUTED_VALUE"""),"STBD_ESC Assy")</f>
        <v>STBD_ESC Assy</v>
      </c>
      <c r="I29" t="str">
        <f ca="1">IFERROR(__xludf.DUMMYFUNCTION("""COMPUTED_VALUE"""),"4mm Female Bullet connector")</f>
        <v>4mm Female Bullet connector</v>
      </c>
      <c r="J29" s="235">
        <f ca="1">IFERROR(__xludf.DUMMYFUNCTION("""COMPUTED_VALUE"""),1)</f>
        <v>1</v>
      </c>
      <c r="K29" t="str">
        <f ca="1">IFERROR(__xludf.DUMMYFUNCTION("""COMPUTED_VALUE"""),"#N/A")</f>
        <v>#N/A</v>
      </c>
      <c r="L29">
        <f t="shared" ca="1" si="0"/>
        <v>0</v>
      </c>
      <c r="Q29" t="str">
        <f>IF(N29="","",SUMIFS('PR-BOM'!$D$3:$D1001,'PR-BOM'!$C$3:$C1001,N29))</f>
        <v/>
      </c>
      <c r="Y29" t="str">
        <f>IF(X29="","",SUMIFS(Issue!$D$3:$D1001,Issue!$C$3:$C1001,X29))</f>
        <v/>
      </c>
    </row>
    <row r="30" spans="1:25">
      <c r="A30" t="str">
        <f ca="1">IFERROR(__xludf.DUMMYFUNCTION("""COMPUTED_VALUE"""),"Saif Seas Life - DSR")</f>
        <v>Saif Seas Life - DSR</v>
      </c>
      <c r="B30" t="str">
        <f ca="1">IFERROR(__xludf.DUMMYFUNCTION("""COMPUTED_VALUE"""),"PORT Aft Plate Assy")</f>
        <v>PORT Aft Plate Assy</v>
      </c>
      <c r="C30">
        <f ca="1">IFERROR(__xludf.DUMMYFUNCTION("""COMPUTED_VALUE"""),1)</f>
        <v>1</v>
      </c>
      <c r="D30" t="str">
        <f ca="1">IFERROR(__xludf.DUMMYFUNCTION("""COMPUTED_VALUE"""),"Number")</f>
        <v>Number</v>
      </c>
      <c r="E30">
        <f ca="1">IF(A30="","",SUMIFS(Issue!$D$3:$D1001,Issue!$C$3:$C1001,A30)*C30)</f>
        <v>41</v>
      </c>
      <c r="F30" t="e">
        <f ca="1">_xludf.IFNA(VLOOKUP(B30,'S-FG'!$B$3:$B1001,1,FALSE),"")</f>
        <v>#NAME?</v>
      </c>
      <c r="H30" t="str">
        <f ca="1">IFERROR(__xludf.DUMMYFUNCTION("""COMPUTED_VALUE"""),"STBD_ESC Assy")</f>
        <v>STBD_ESC Assy</v>
      </c>
      <c r="I30" t="str">
        <f ca="1">IFERROR(__xludf.DUMMYFUNCTION("""COMPUTED_VALUE"""),"Black 12AWG")</f>
        <v>Black 12AWG</v>
      </c>
      <c r="J30" s="235">
        <f ca="1">IFERROR(__xludf.DUMMYFUNCTION("""COMPUTED_VALUE"""),0.55)</f>
        <v>0.55000000000000004</v>
      </c>
      <c r="K30" t="str">
        <f ca="1">IFERROR(__xludf.DUMMYFUNCTION("""COMPUTED_VALUE"""),"#N/A")</f>
        <v>#N/A</v>
      </c>
      <c r="L30">
        <f t="shared" ca="1" si="0"/>
        <v>0</v>
      </c>
      <c r="Q30" t="str">
        <f>IF(N30="","",SUMIFS('PR-BOM'!$D$3:$D1001,'PR-BOM'!$C$3:$C1001,N30))</f>
        <v/>
      </c>
      <c r="Y30" t="str">
        <f>IF(X30="","",SUMIFS(Issue!$D$3:$D1001,Issue!$C$3:$C1001,X30))</f>
        <v/>
      </c>
    </row>
    <row r="31" spans="1:25">
      <c r="A31" t="str">
        <f ca="1">IFERROR(__xludf.DUMMYFUNCTION("""COMPUTED_VALUE"""),"Saif Seas Life - DSR")</f>
        <v>Saif Seas Life - DSR</v>
      </c>
      <c r="B31" t="str">
        <f ca="1">IFERROR(__xludf.DUMMYFUNCTION("""COMPUTED_VALUE"""),"Current Sensor Assy")</f>
        <v>Current Sensor Assy</v>
      </c>
      <c r="C31">
        <f ca="1">IFERROR(__xludf.DUMMYFUNCTION("""COMPUTED_VALUE"""),1)</f>
        <v>1</v>
      </c>
      <c r="D31" t="str">
        <f ca="1">IFERROR(__xludf.DUMMYFUNCTION("""COMPUTED_VALUE"""),"Number")</f>
        <v>Number</v>
      </c>
      <c r="E31">
        <f ca="1">IF(A31="","",SUMIFS(Issue!$D$3:$D1001,Issue!$C$3:$C1001,A31)*C31)</f>
        <v>41</v>
      </c>
      <c r="F31" t="e">
        <f ca="1">_xludf.IFNA(VLOOKUP(B31,'S-FG'!$B$3:$B1001,1,FALSE),"")</f>
        <v>#NAME?</v>
      </c>
      <c r="H31" t="str">
        <f ca="1">IFERROR(__xludf.DUMMYFUNCTION("""COMPUTED_VALUE"""),"STBD_ESC Assy")</f>
        <v>STBD_ESC Assy</v>
      </c>
      <c r="I31" t="str">
        <f ca="1">IFERROR(__xludf.DUMMYFUNCTION("""COMPUTED_VALUE"""),"Red 12AWG")</f>
        <v>Red 12AWG</v>
      </c>
      <c r="J31" s="235">
        <f ca="1">IFERROR(__xludf.DUMMYFUNCTION("""COMPUTED_VALUE"""),0.55)</f>
        <v>0.55000000000000004</v>
      </c>
      <c r="K31" t="str">
        <f ca="1">IFERROR(__xludf.DUMMYFUNCTION("""COMPUTED_VALUE"""),"#N/A")</f>
        <v>#N/A</v>
      </c>
      <c r="L31">
        <f t="shared" ca="1" si="0"/>
        <v>0</v>
      </c>
      <c r="Q31" t="str">
        <f>IF(N31="","",SUMIFS('PR-BOM'!$D$3:$D1001,'PR-BOM'!$C$3:$C1001,N31))</f>
        <v/>
      </c>
      <c r="Y31" t="str">
        <f>IF(X31="","",SUMIFS(Issue!$D$3:$D1001,Issue!$C$3:$C1001,X31))</f>
        <v/>
      </c>
    </row>
    <row r="32" spans="1:25">
      <c r="A32" t="str">
        <f ca="1">IFERROR(__xludf.DUMMYFUNCTION("""COMPUTED_VALUE"""),"Saif Seas Life - DSR")</f>
        <v>Saif Seas Life - DSR</v>
      </c>
      <c r="B32" t="str">
        <f ca="1">IFERROR(__xludf.DUMMYFUNCTION("""COMPUTED_VALUE"""),"RPM Sensor Assy")</f>
        <v>RPM Sensor Assy</v>
      </c>
      <c r="C32">
        <f ca="1">IFERROR(__xludf.DUMMYFUNCTION("""COMPUTED_VALUE"""),1)</f>
        <v>1</v>
      </c>
      <c r="D32" t="str">
        <f ca="1">IFERROR(__xludf.DUMMYFUNCTION("""COMPUTED_VALUE"""),"Number")</f>
        <v>Number</v>
      </c>
      <c r="E32">
        <f ca="1">IF(A32="","",SUMIFS(Issue!$D$3:$D1001,Issue!$C$3:$C1001,A32)*C32)</f>
        <v>41</v>
      </c>
      <c r="F32" t="e">
        <f ca="1">_xludf.IFNA(VLOOKUP(B32,'S-FG'!$B$3:$B1001,1,FALSE),"")</f>
        <v>#NAME?</v>
      </c>
      <c r="H32" t="str">
        <f ca="1">IFERROR(__xludf.DUMMYFUNCTION("""COMPUTED_VALUE"""),"STBD_ESC Assy")</f>
        <v>STBD_ESC Assy</v>
      </c>
      <c r="I32" t="str">
        <f ca="1">IFERROR(__xludf.DUMMYFUNCTION("""COMPUTED_VALUE"""),"Ferrite Core")</f>
        <v>Ferrite Core</v>
      </c>
      <c r="J32" s="235">
        <f ca="1">IFERROR(__xludf.DUMMYFUNCTION("""COMPUTED_VALUE"""),1)</f>
        <v>1</v>
      </c>
      <c r="K32" t="str">
        <f ca="1">IFERROR(__xludf.DUMMYFUNCTION("""COMPUTED_VALUE"""),"CF199T1306C")</f>
        <v>CF199T1306C</v>
      </c>
      <c r="L32">
        <f t="shared" ca="1" si="0"/>
        <v>0</v>
      </c>
      <c r="Q32" t="str">
        <f>IF(N32="","",SUMIFS('PR-BOM'!$D$3:$D1001,'PR-BOM'!$C$3:$C1001,N32))</f>
        <v/>
      </c>
      <c r="Y32" t="str">
        <f>IF(X32="","",SUMIFS(Issue!$D$3:$D1001,Issue!$C$3:$C1001,X32))</f>
        <v/>
      </c>
    </row>
    <row r="33" spans="1:25">
      <c r="A33" t="str">
        <f ca="1">IFERROR(__xludf.DUMMYFUNCTION("""COMPUTED_VALUE"""),"Saif Seas Life - DSR")</f>
        <v>Saif Seas Life - DSR</v>
      </c>
      <c r="B33" t="str">
        <f ca="1">IFERROR(__xludf.DUMMYFUNCTION("""COMPUTED_VALUE"""),"R9MX Adapter")</f>
        <v>R9MX Adapter</v>
      </c>
      <c r="C33">
        <f ca="1">IFERROR(__xludf.DUMMYFUNCTION("""COMPUTED_VALUE"""),1)</f>
        <v>1</v>
      </c>
      <c r="D33" t="str">
        <f ca="1">IFERROR(__xludf.DUMMYFUNCTION("""COMPUTED_VALUE"""),"Number")</f>
        <v>Number</v>
      </c>
      <c r="E33">
        <f ca="1">IF(A33="","",SUMIFS(Issue!$D$3:$D1001,Issue!$C$3:$C1001,A33)*C33)</f>
        <v>41</v>
      </c>
      <c r="F33" t="e">
        <f ca="1">_xludf.IFNA(VLOOKUP(B33,'S-FG'!$B$3:$B1001,1,FALSE),"")</f>
        <v>#NAME?</v>
      </c>
      <c r="H33" t="str">
        <f ca="1">IFERROR(__xludf.DUMMYFUNCTION("""COMPUTED_VALUE"""),"STBD_ESC Assy")</f>
        <v>STBD_ESC Assy</v>
      </c>
      <c r="I33" t="str">
        <f ca="1">IFERROR(__xludf.DUMMYFUNCTION("""COMPUTED_VALUE"""),"16AWG Lead")</f>
        <v>16AWG Lead</v>
      </c>
      <c r="J33" s="235">
        <f ca="1">IFERROR(__xludf.DUMMYFUNCTION("""COMPUTED_VALUE"""),5)</f>
        <v>5</v>
      </c>
      <c r="K33" t="str">
        <f ca="1">IFERROR(__xludf.DUMMYFUNCTION("""COMPUTED_VALUE"""),"#N/A")</f>
        <v>#N/A</v>
      </c>
      <c r="L33">
        <f t="shared" ca="1" si="0"/>
        <v>0</v>
      </c>
      <c r="Q33" t="str">
        <f>IF(N33="","",SUMIFS('PR-BOM'!$D$3:$D1001,'PR-BOM'!$C$3:$C1001,N33))</f>
        <v/>
      </c>
      <c r="Y33" t="str">
        <f>IF(X33="","",SUMIFS(Issue!$D$3:$D1001,Issue!$C$3:$C1001,X33))</f>
        <v/>
      </c>
    </row>
    <row r="34" spans="1:25">
      <c r="A34" t="str">
        <f ca="1">IFERROR(__xludf.DUMMYFUNCTION("""COMPUTED_VALUE"""),"Saif Seas Life - DSR")</f>
        <v>Saif Seas Life - DSR</v>
      </c>
      <c r="B34" t="str">
        <f ca="1">IFERROR(__xludf.DUMMYFUNCTION("""COMPUTED_VALUE"""),"Final Packing")</f>
        <v>Final Packing</v>
      </c>
      <c r="C34">
        <f ca="1">IFERROR(__xludf.DUMMYFUNCTION("""COMPUTED_VALUE"""),1)</f>
        <v>1</v>
      </c>
      <c r="D34" t="str">
        <f ca="1">IFERROR(__xludf.DUMMYFUNCTION("""COMPUTED_VALUE"""),"Number")</f>
        <v>Number</v>
      </c>
      <c r="E34">
        <f ca="1">IF(A34="","",SUMIFS(Issue!$D$3:$D1001,Issue!$C$3:$C1001,A34)*C34)</f>
        <v>41</v>
      </c>
      <c r="F34" t="e">
        <f ca="1">_xludf.IFNA(VLOOKUP(B34,'S-FG'!$B$3:$B1001,1,FALSE),"")</f>
        <v>#NAME?</v>
      </c>
      <c r="H34" t="str">
        <f ca="1">IFERROR(__xludf.DUMMYFUNCTION("""COMPUTED_VALUE"""),"STBD_ESC Assy")</f>
        <v>STBD_ESC Assy</v>
      </c>
      <c r="I34" t="str">
        <f ca="1">IFERROR(__xludf.DUMMYFUNCTION("""COMPUTED_VALUE"""),"Heatshrink Tube 9:3")</f>
        <v>Heatshrink Tube 9:3</v>
      </c>
      <c r="J34" s="235">
        <f ca="1">IFERROR(__xludf.DUMMYFUNCTION("""COMPUTED_VALUE"""),0.05)</f>
        <v>0.05</v>
      </c>
      <c r="K34" t="str">
        <f ca="1">IFERROR(__xludf.DUMMYFUNCTION("""COMPUTED_VALUE"""),"#N/A")</f>
        <v>#N/A</v>
      </c>
      <c r="L34">
        <f t="shared" ca="1" si="0"/>
        <v>0</v>
      </c>
      <c r="Q34" t="str">
        <f>IF(N34="","",SUMIFS('PR-BOM'!$D$3:$D1001,'PR-BOM'!$C$3:$C1001,N34))</f>
        <v/>
      </c>
      <c r="Y34" t="str">
        <f>IF(X34="","",SUMIFS(Issue!$D$3:$D1001,Issue!$C$3:$C1001,X34))</f>
        <v/>
      </c>
    </row>
    <row r="35" spans="1:25">
      <c r="A35" t="str">
        <f ca="1">IFERROR(__xludf.DUMMYFUNCTION("""COMPUTED_VALUE"""),"Saif Seas Life - DSR")</f>
        <v>Saif Seas Life - DSR</v>
      </c>
      <c r="B35" t="str">
        <f ca="1">IFERROR(__xludf.DUMMYFUNCTION("""COMPUTED_VALUE"""),"Bottom Block Assy")</f>
        <v>Bottom Block Assy</v>
      </c>
      <c r="C35">
        <f ca="1">IFERROR(__xludf.DUMMYFUNCTION("""COMPUTED_VALUE"""),1)</f>
        <v>1</v>
      </c>
      <c r="D35" t="str">
        <f ca="1">IFERROR(__xludf.DUMMYFUNCTION("""COMPUTED_VALUE"""),"Number")</f>
        <v>Number</v>
      </c>
      <c r="E35">
        <f ca="1">IF(A35="","",SUMIFS(Issue!$D$3:$D1001,Issue!$C$3:$C1001,A35)*C35)</f>
        <v>41</v>
      </c>
      <c r="F35" t="e">
        <f ca="1">_xludf.IFNA(VLOOKUP(B35,'S-FG'!$B$3:$B1001,1,FALSE),"")</f>
        <v>#NAME?</v>
      </c>
      <c r="H35" t="str">
        <f ca="1">IFERROR(__xludf.DUMMYFUNCTION("""COMPUTED_VALUE"""),"STBD_ESC Assy")</f>
        <v>STBD_ESC Assy</v>
      </c>
      <c r="I35" t="str">
        <f ca="1">IFERROR(__xludf.DUMMYFUNCTION("""COMPUTED_VALUE"""),"HeatShrink Tube 4.8/1.2")</f>
        <v>HeatShrink Tube 4.8/1.2</v>
      </c>
      <c r="J35" s="235">
        <f ca="1">IFERROR(__xludf.DUMMYFUNCTION("""COMPUTED_VALUE"""),0.05)</f>
        <v>0.05</v>
      </c>
      <c r="K35" t="str">
        <f ca="1">IFERROR(__xludf.DUMMYFUNCTION("""COMPUTED_VALUE"""),"#N/A")</f>
        <v>#N/A</v>
      </c>
      <c r="L35">
        <f t="shared" ca="1" si="0"/>
        <v>0</v>
      </c>
      <c r="Q35" t="str">
        <f>IF(N35="","",SUMIFS('PR-BOM'!$D$3:$D1001,'PR-BOM'!$C$3:$C1001,N35))</f>
        <v/>
      </c>
      <c r="Y35" t="str">
        <f>IF(X35="","",SUMIFS(Issue!$D$3:$D1001,Issue!$C$3:$C1001,X35))</f>
        <v/>
      </c>
    </row>
    <row r="36" spans="1:25">
      <c r="E36" t="str">
        <f>IF(A36="","",SUMIFS(Issue!$D$3:$D1001,Issue!$C$3:$C1001,A36)*C36)</f>
        <v/>
      </c>
      <c r="F36" t="e">
        <f ca="1">_xludf.IFNA(VLOOKUP(B36,'S-FG'!$B$3:$B1001,1,FALSE),"")</f>
        <v>#NAME?</v>
      </c>
      <c r="H36" t="str">
        <f ca="1">IFERROR(__xludf.DUMMYFUNCTION("""COMPUTED_VALUE"""),"STBD_ESC Assy")</f>
        <v>STBD_ESC Assy</v>
      </c>
      <c r="I36" t="str">
        <f ca="1">IFERROR(__xludf.DUMMYFUNCTION("""COMPUTED_VALUE"""),"HV130 ESC")</f>
        <v>HV130 ESC</v>
      </c>
      <c r="J36" s="235">
        <f ca="1">IFERROR(__xludf.DUMMYFUNCTION("""COMPUTED_VALUE"""),1)</f>
        <v>1</v>
      </c>
      <c r="K36" t="str">
        <f ca="1">IFERROR(__xludf.DUMMYFUNCTION("""COMPUTED_VALUE"""),"#N/A")</f>
        <v>#N/A</v>
      </c>
      <c r="L36">
        <f t="shared" ca="1" si="0"/>
        <v>0</v>
      </c>
      <c r="Q36" t="str">
        <f>IF(N36="","",SUMIFS('PR-BOM'!$D$3:$D1001,'PR-BOM'!$C$3:$C1001,N36))</f>
        <v/>
      </c>
      <c r="Y36" t="str">
        <f>IF(X36="","",SUMIFS(Issue!$D$3:$D1001,Issue!$C$3:$C1001,X36))</f>
        <v/>
      </c>
    </row>
    <row r="37" spans="1:25">
      <c r="E37" t="str">
        <f>IF(A37="","",SUMIFS(Issue!$D$3:$D1001,Issue!$C$3:$C1001,A37)*C37)</f>
        <v/>
      </c>
      <c r="F37" t="e">
        <f ca="1">_xludf.IFNA(VLOOKUP(B37,'S-FG'!$B$3:$B1001,1,FALSE),"")</f>
        <v>#NAME?</v>
      </c>
      <c r="H37" t="str">
        <f ca="1">IFERROR(__xludf.DUMMYFUNCTION("""COMPUTED_VALUE"""),"PORT_ESC Assy")</f>
        <v>PORT_ESC Assy</v>
      </c>
      <c r="I37" t="str">
        <f ca="1">IFERROR(__xludf.DUMMYFUNCTION("""COMPUTED_VALUE"""),"5.5mm Female Bullet connector")</f>
        <v>5.5mm Female Bullet connector</v>
      </c>
      <c r="J37" s="235">
        <f ca="1">IFERROR(__xludf.DUMMYFUNCTION("""COMPUTED_VALUE"""),1)</f>
        <v>1</v>
      </c>
      <c r="K37" t="str">
        <f ca="1">IFERROR(__xludf.DUMMYFUNCTION("""COMPUTED_VALUE"""),"#N/A")</f>
        <v>#N/A</v>
      </c>
      <c r="L37">
        <f t="shared" ca="1" si="0"/>
        <v>0</v>
      </c>
      <c r="Q37" t="str">
        <f>IF(N37="","",SUMIFS('PR-BOM'!$D$3:$D1001,'PR-BOM'!$C$3:$C1001,N37))</f>
        <v/>
      </c>
      <c r="Y37" t="str">
        <f>IF(X37="","",SUMIFS(Issue!$D$3:$D1001,Issue!$C$3:$C1001,X37))</f>
        <v/>
      </c>
    </row>
    <row r="38" spans="1:25">
      <c r="E38" t="str">
        <f>IF(A38="","",SUMIFS(Issue!$D$3:$D1001,Issue!$C$3:$C1001,A38)*C38)</f>
        <v/>
      </c>
      <c r="F38" t="e">
        <f ca="1">_xludf.IFNA(VLOOKUP(B38,'S-FG'!$B$3:$B1001,1,FALSE),"")</f>
        <v>#NAME?</v>
      </c>
      <c r="H38" t="str">
        <f ca="1">IFERROR(__xludf.DUMMYFUNCTION("""COMPUTED_VALUE"""),"PORT_ESC Assy")</f>
        <v>PORT_ESC Assy</v>
      </c>
      <c r="I38" t="str">
        <f ca="1">IFERROR(__xludf.DUMMYFUNCTION("""COMPUTED_VALUE"""),"4mm Male Bullet connector")</f>
        <v>4mm Male Bullet connector</v>
      </c>
      <c r="J38" s="235">
        <f ca="1">IFERROR(__xludf.DUMMYFUNCTION("""COMPUTED_VALUE"""),2)</f>
        <v>2</v>
      </c>
      <c r="K38" t="str">
        <f ca="1">IFERROR(__xludf.DUMMYFUNCTION("""COMPUTED_VALUE"""),"#N/A")</f>
        <v>#N/A</v>
      </c>
      <c r="L38">
        <f t="shared" ca="1" si="0"/>
        <v>0</v>
      </c>
      <c r="Q38" t="str">
        <f>IF(N38="","",SUMIFS('PR-BOM'!$D$3:$D1001,'PR-BOM'!$C$3:$C1001,N38))</f>
        <v/>
      </c>
      <c r="Y38" t="str">
        <f>IF(X38="","",SUMIFS(Issue!$D$3:$D1001,Issue!$C$3:$C1001,X38))</f>
        <v/>
      </c>
    </row>
    <row r="39" spans="1:25">
      <c r="E39" t="str">
        <f>IF(A39="","",SUMIFS(Issue!$D$3:$D1001,Issue!$C$3:$C1001,A39)*C39)</f>
        <v/>
      </c>
      <c r="F39" t="e">
        <f ca="1">_xludf.IFNA(VLOOKUP(B39,'S-FG'!$B$3:$B1001,1,FALSE),"")</f>
        <v>#NAME?</v>
      </c>
      <c r="H39" t="str">
        <f ca="1">IFERROR(__xludf.DUMMYFUNCTION("""COMPUTED_VALUE"""),"PORT_ESC Assy")</f>
        <v>PORT_ESC Assy</v>
      </c>
      <c r="I39" t="str">
        <f ca="1">IFERROR(__xludf.DUMMYFUNCTION("""COMPUTED_VALUE"""),"4mm Female Bullet connector")</f>
        <v>4mm Female Bullet connector</v>
      </c>
      <c r="J39" s="235">
        <f ca="1">IFERROR(__xludf.DUMMYFUNCTION("""COMPUTED_VALUE"""),1)</f>
        <v>1</v>
      </c>
      <c r="K39" t="str">
        <f ca="1">IFERROR(__xludf.DUMMYFUNCTION("""COMPUTED_VALUE"""),"#N/A")</f>
        <v>#N/A</v>
      </c>
      <c r="L39">
        <f t="shared" ca="1" si="0"/>
        <v>0</v>
      </c>
      <c r="Q39" t="str">
        <f>IF(N39="","",SUMIFS('PR-BOM'!$D$3:$D1001,'PR-BOM'!$C$3:$C1001,N39))</f>
        <v/>
      </c>
      <c r="Y39" t="str">
        <f>IF(X39="","",SUMIFS(Issue!$D$3:$D1001,Issue!$C$3:$C1001,X39))</f>
        <v/>
      </c>
    </row>
    <row r="40" spans="1:25">
      <c r="E40" t="str">
        <f>IF(A40="","",SUMIFS(Issue!$D$3:$D1001,Issue!$C$3:$C1001,A40)*C40)</f>
        <v/>
      </c>
      <c r="F40" t="e">
        <f ca="1">_xludf.IFNA(VLOOKUP(B40,'S-FG'!$B$3:$B1001,1,FALSE),"")</f>
        <v>#NAME?</v>
      </c>
      <c r="H40" t="str">
        <f ca="1">IFERROR(__xludf.DUMMYFUNCTION("""COMPUTED_VALUE"""),"PORT_ESC Assy")</f>
        <v>PORT_ESC Assy</v>
      </c>
      <c r="I40" t="str">
        <f ca="1">IFERROR(__xludf.DUMMYFUNCTION("""COMPUTED_VALUE"""),"Red 12AWG")</f>
        <v>Red 12AWG</v>
      </c>
      <c r="J40" s="235">
        <f ca="1">IFERROR(__xludf.DUMMYFUNCTION("""COMPUTED_VALUE"""),0.55)</f>
        <v>0.55000000000000004</v>
      </c>
      <c r="K40" t="str">
        <f ca="1">IFERROR(__xludf.DUMMYFUNCTION("""COMPUTED_VALUE"""),"#N/A")</f>
        <v>#N/A</v>
      </c>
      <c r="L40">
        <f t="shared" ca="1" si="0"/>
        <v>0</v>
      </c>
      <c r="Q40" t="str">
        <f>IF(N40="","",SUMIFS('PR-BOM'!$D$3:$D1001,'PR-BOM'!$C$3:$C1001,N40))</f>
        <v/>
      </c>
      <c r="Y40" t="str">
        <f>IF(X40="","",SUMIFS(Issue!$D$3:$D1001,Issue!$C$3:$C1001,X40))</f>
        <v/>
      </c>
    </row>
    <row r="41" spans="1:25">
      <c r="E41" t="str">
        <f>IF(A41="","",SUMIFS(Issue!$D$3:$D1001,Issue!$C$3:$C1001,A41)*C41)</f>
        <v/>
      </c>
      <c r="F41" t="e">
        <f ca="1">_xludf.IFNA(VLOOKUP(B41,'S-FG'!$B$3:$B1001,1,FALSE),"")</f>
        <v>#NAME?</v>
      </c>
      <c r="H41" t="str">
        <f ca="1">IFERROR(__xludf.DUMMYFUNCTION("""COMPUTED_VALUE"""),"PORT_ESC Assy")</f>
        <v>PORT_ESC Assy</v>
      </c>
      <c r="I41" t="str">
        <f ca="1">IFERROR(__xludf.DUMMYFUNCTION("""COMPUTED_VALUE"""),"Ferrite Core")</f>
        <v>Ferrite Core</v>
      </c>
      <c r="J41" s="235">
        <f ca="1">IFERROR(__xludf.DUMMYFUNCTION("""COMPUTED_VALUE"""),1)</f>
        <v>1</v>
      </c>
      <c r="K41" t="str">
        <f ca="1">IFERROR(__xludf.DUMMYFUNCTION("""COMPUTED_VALUE"""),"CF199T1306C")</f>
        <v>CF199T1306C</v>
      </c>
      <c r="L41">
        <f t="shared" ca="1" si="0"/>
        <v>0</v>
      </c>
      <c r="Q41" t="str">
        <f>IF(N41="","",SUMIFS('PR-BOM'!$D$3:$D1001,'PR-BOM'!$C$3:$C1001,N41))</f>
        <v/>
      </c>
      <c r="Y41" t="str">
        <f>IF(X41="","",SUMIFS(Issue!$D$3:$D1001,Issue!$C$3:$C1001,X41))</f>
        <v/>
      </c>
    </row>
    <row r="42" spans="1:25">
      <c r="E42" t="str">
        <f>IF(A42="","",SUMIFS(Issue!$D$3:$D1001,Issue!$C$3:$C1001,A42)*C42)</f>
        <v/>
      </c>
      <c r="F42" t="e">
        <f ca="1">_xludf.IFNA(VLOOKUP(B42,'S-FG'!$B$3:$B1001,1,FALSE),"")</f>
        <v>#NAME?</v>
      </c>
      <c r="H42" t="str">
        <f ca="1">IFERROR(__xludf.DUMMYFUNCTION("""COMPUTED_VALUE"""),"PORT_ESC Assy")</f>
        <v>PORT_ESC Assy</v>
      </c>
      <c r="I42" t="str">
        <f ca="1">IFERROR(__xludf.DUMMYFUNCTION("""COMPUTED_VALUE"""),"16AWG Lead")</f>
        <v>16AWG Lead</v>
      </c>
      <c r="J42" s="235">
        <f ca="1">IFERROR(__xludf.DUMMYFUNCTION("""COMPUTED_VALUE"""),5)</f>
        <v>5</v>
      </c>
      <c r="K42" t="str">
        <f ca="1">IFERROR(__xludf.DUMMYFUNCTION("""COMPUTED_VALUE"""),"#N/A")</f>
        <v>#N/A</v>
      </c>
      <c r="L42">
        <f t="shared" ca="1" si="0"/>
        <v>0</v>
      </c>
      <c r="Q42" t="str">
        <f>IF(N42="","",SUMIFS('PR-BOM'!$D$3:$D1001,'PR-BOM'!$C$3:$C1001,N42))</f>
        <v/>
      </c>
      <c r="Y42" t="str">
        <f>IF(X42="","",SUMIFS(Issue!$D$3:$D1001,Issue!$C$3:$C1001,X42))</f>
        <v/>
      </c>
    </row>
    <row r="43" spans="1:25">
      <c r="E43" t="str">
        <f>IF(A43="","",SUMIFS(Issue!$D$3:$D1001,Issue!$C$3:$C1001,A43)*C43)</f>
        <v/>
      </c>
      <c r="F43" t="e">
        <f ca="1">_xludf.IFNA(VLOOKUP(B43,'S-FG'!$B$3:$B1001,1,FALSE),"")</f>
        <v>#NAME?</v>
      </c>
      <c r="H43" t="str">
        <f ca="1">IFERROR(__xludf.DUMMYFUNCTION("""COMPUTED_VALUE"""),"PORT_ESC Assy")</f>
        <v>PORT_ESC Assy</v>
      </c>
      <c r="I43" t="str">
        <f ca="1">IFERROR(__xludf.DUMMYFUNCTION("""COMPUTED_VALUE"""),"Heatshrink Tube 9:3")</f>
        <v>Heatshrink Tube 9:3</v>
      </c>
      <c r="J43" s="235">
        <f ca="1">IFERROR(__xludf.DUMMYFUNCTION("""COMPUTED_VALUE"""),0.05)</f>
        <v>0.05</v>
      </c>
      <c r="K43" t="str">
        <f ca="1">IFERROR(__xludf.DUMMYFUNCTION("""COMPUTED_VALUE"""),"#N/A")</f>
        <v>#N/A</v>
      </c>
      <c r="L43">
        <f t="shared" ca="1" si="0"/>
        <v>0</v>
      </c>
      <c r="Q43" t="str">
        <f>IF(N43="","",SUMIFS('PR-BOM'!$D$3:$D1001,'PR-BOM'!$C$3:$C1001,N43))</f>
        <v/>
      </c>
      <c r="Y43" t="str">
        <f>IF(X43="","",SUMIFS(Issue!$D$3:$D1001,Issue!$C$3:$C1001,X43))</f>
        <v/>
      </c>
    </row>
    <row r="44" spans="1:25">
      <c r="E44" t="str">
        <f>IF(A44="","",SUMIFS(Issue!$D$3:$D1001,Issue!$C$3:$C1001,A44)*C44)</f>
        <v/>
      </c>
      <c r="F44" t="e">
        <f ca="1">_xludf.IFNA(VLOOKUP(B44,'S-FG'!$B$3:$B1001,1,FALSE),"")</f>
        <v>#NAME?</v>
      </c>
      <c r="H44" t="str">
        <f ca="1">IFERROR(__xludf.DUMMYFUNCTION("""COMPUTED_VALUE"""),"PORT_ESC Assy")</f>
        <v>PORT_ESC Assy</v>
      </c>
      <c r="I44" t="str">
        <f ca="1">IFERROR(__xludf.DUMMYFUNCTION("""COMPUTED_VALUE"""),"HeatShrink Tube 4.8/1.2")</f>
        <v>HeatShrink Tube 4.8/1.2</v>
      </c>
      <c r="J44" s="235">
        <f ca="1">IFERROR(__xludf.DUMMYFUNCTION("""COMPUTED_VALUE"""),0.05)</f>
        <v>0.05</v>
      </c>
      <c r="K44" t="str">
        <f ca="1">IFERROR(__xludf.DUMMYFUNCTION("""COMPUTED_VALUE"""),"#N/A")</f>
        <v>#N/A</v>
      </c>
      <c r="L44">
        <f t="shared" ca="1" si="0"/>
        <v>0</v>
      </c>
      <c r="Q44" t="str">
        <f>IF(N44="","",SUMIFS('PR-BOM'!$D$3:$D1001,'PR-BOM'!$C$3:$C1001,N44))</f>
        <v/>
      </c>
      <c r="Y44" t="str">
        <f>IF(X44="","",SUMIFS(Issue!$D$3:$D1001,Issue!$C$3:$C1001,X44))</f>
        <v/>
      </c>
    </row>
    <row r="45" spans="1:25">
      <c r="E45" t="str">
        <f>IF(A45="","",SUMIFS(Issue!$D$3:$D1001,Issue!$C$3:$C1001,A45)*C45)</f>
        <v/>
      </c>
      <c r="F45" t="e">
        <f ca="1">_xludf.IFNA(VLOOKUP(B45,'S-FG'!$B$3:$B1001,1,FALSE),"")</f>
        <v>#NAME?</v>
      </c>
      <c r="H45" t="str">
        <f ca="1">IFERROR(__xludf.DUMMYFUNCTION("""COMPUTED_VALUE"""),"PORT_ESC Assy")</f>
        <v>PORT_ESC Assy</v>
      </c>
      <c r="I45" t="str">
        <f ca="1">IFERROR(__xludf.DUMMYFUNCTION("""COMPUTED_VALUE"""),"HV130 ESC")</f>
        <v>HV130 ESC</v>
      </c>
      <c r="J45" s="235">
        <f ca="1">IFERROR(__xludf.DUMMYFUNCTION("""COMPUTED_VALUE"""),1)</f>
        <v>1</v>
      </c>
      <c r="K45" t="str">
        <f ca="1">IFERROR(__xludf.DUMMYFUNCTION("""COMPUTED_VALUE"""),"#N/A")</f>
        <v>#N/A</v>
      </c>
      <c r="L45">
        <f t="shared" ca="1" si="0"/>
        <v>0</v>
      </c>
      <c r="Q45" t="str">
        <f>IF(N45="","",SUMIFS('PR-BOM'!$D$3:$D1001,'PR-BOM'!$C$3:$C1001,N45))</f>
        <v/>
      </c>
      <c r="Y45" t="str">
        <f>IF(X45="","",SUMIFS(Issue!$D$3:$D1001,Issue!$C$3:$C1001,X45))</f>
        <v/>
      </c>
    </row>
    <row r="46" spans="1:25">
      <c r="E46" t="str">
        <f>IF(A46="","",SUMIFS(Issue!$D$3:$D1001,Issue!$C$3:$C1001,A46)*C46)</f>
        <v/>
      </c>
      <c r="F46" t="e">
        <f ca="1">_xludf.IFNA(VLOOKUP(B46,'S-FG'!$B$3:$B1001,1,FALSE),"")</f>
        <v>#NAME?</v>
      </c>
      <c r="H46" t="str">
        <f ca="1">IFERROR(__xludf.DUMMYFUNCTION("""COMPUTED_VALUE"""),"STBD Signal PM Assy")</f>
        <v>STBD Signal PM Assy</v>
      </c>
      <c r="I46" t="str">
        <f ca="1">IFERROR(__xludf.DUMMYFUNCTION("""COMPUTED_VALUE"""),"15 pin JST-XH housing")</f>
        <v>15 pin JST-XH housing</v>
      </c>
      <c r="J46" s="235">
        <f ca="1">IFERROR(__xludf.DUMMYFUNCTION("""COMPUTED_VALUE"""),1)</f>
        <v>1</v>
      </c>
      <c r="K46" t="str">
        <f ca="1">IFERROR(__xludf.DUMMYFUNCTION("""COMPUTED_VALUE"""),"#N/A")</f>
        <v>#N/A</v>
      </c>
      <c r="L46">
        <f t="shared" ca="1" si="0"/>
        <v>0</v>
      </c>
      <c r="Q46" t="str">
        <f>IF(N46="","",SUMIFS('PR-BOM'!$D$3:$D1001,'PR-BOM'!$C$3:$C1001,N46))</f>
        <v/>
      </c>
      <c r="Y46" t="str">
        <f>IF(X46="","",SUMIFS(Issue!$D$3:$D1001,Issue!$C$3:$C1001,X46))</f>
        <v/>
      </c>
    </row>
    <row r="47" spans="1:25">
      <c r="E47" t="str">
        <f>IF(A47="","",SUMIFS(Issue!$D$3:$D1001,Issue!$C$3:$C1001,A47)*C47)</f>
        <v/>
      </c>
      <c r="F47" t="e">
        <f ca="1">_xludf.IFNA(VLOOKUP(B47,'S-FG'!$B$3:$B1001,1,FALSE),"")</f>
        <v>#NAME?</v>
      </c>
      <c r="H47" t="str">
        <f ca="1">IFERROR(__xludf.DUMMYFUNCTION("""COMPUTED_VALUE"""),"STBD Signal PM Assy")</f>
        <v>STBD Signal PM Assy</v>
      </c>
      <c r="I47" t="str">
        <f ca="1">IFERROR(__xludf.DUMMYFUNCTION("""COMPUTED_VALUE"""),"10cm one sided JST crimped Black")</f>
        <v>10cm one sided JST crimped Black</v>
      </c>
      <c r="J47" s="235">
        <f ca="1">IFERROR(__xludf.DUMMYFUNCTION("""COMPUTED_VALUE"""),1)</f>
        <v>1</v>
      </c>
      <c r="K47" t="str">
        <f ca="1">IFERROR(__xludf.DUMMYFUNCTION("""COMPUTED_VALUE"""),"#N/A")</f>
        <v>#N/A</v>
      </c>
      <c r="L47">
        <f t="shared" ca="1" si="0"/>
        <v>0</v>
      </c>
      <c r="Q47" t="str">
        <f>IF(N47="","",SUMIFS('PR-BOM'!$D$3:$D1001,'PR-BOM'!$C$3:$C1001,N47))</f>
        <v/>
      </c>
      <c r="Y47" t="str">
        <f>IF(X47="","",SUMIFS(Issue!$D$3:$D1001,Issue!$C$3:$C1001,X47))</f>
        <v/>
      </c>
    </row>
    <row r="48" spans="1:25">
      <c r="E48" t="str">
        <f>IF(A48="","",SUMIFS(Issue!$D$3:$D1001,Issue!$C$3:$C1001,A48)*C48)</f>
        <v/>
      </c>
      <c r="F48" t="e">
        <f ca="1">_xludf.IFNA(VLOOKUP(B48,'S-FG'!$B$3:$B1001,1,FALSE),"")</f>
        <v>#NAME?</v>
      </c>
      <c r="H48" t="str">
        <f ca="1">IFERROR(__xludf.DUMMYFUNCTION("""COMPUTED_VALUE"""),"STBD Signal PM Assy")</f>
        <v>STBD Signal PM Assy</v>
      </c>
      <c r="I48" t="str">
        <f ca="1">IFERROR(__xludf.DUMMYFUNCTION("""COMPUTED_VALUE"""),"10cm one sided JST crimped Green")</f>
        <v>10cm one sided JST crimped Green</v>
      </c>
      <c r="J48" s="235">
        <f ca="1">IFERROR(__xludf.DUMMYFUNCTION("""COMPUTED_VALUE"""),1)</f>
        <v>1</v>
      </c>
      <c r="K48" t="str">
        <f ca="1">IFERROR(__xludf.DUMMYFUNCTION("""COMPUTED_VALUE"""),"#N/A")</f>
        <v>#N/A</v>
      </c>
      <c r="L48">
        <f t="shared" ca="1" si="0"/>
        <v>0</v>
      </c>
      <c r="Q48" t="str">
        <f>IF(N48="","",SUMIFS('PR-BOM'!$D$3:$D1001,'PR-BOM'!$C$3:$C1001,N48))</f>
        <v/>
      </c>
      <c r="Y48" t="str">
        <f>IF(X48="","",SUMIFS(Issue!$D$3:$D1001,Issue!$C$3:$C1001,X48))</f>
        <v/>
      </c>
    </row>
    <row r="49" spans="5:25">
      <c r="E49" t="str">
        <f>IF(A49="","",SUMIFS(Issue!$D$3:$D1001,Issue!$C$3:$C1001,A49)*C49)</f>
        <v/>
      </c>
      <c r="F49" t="e">
        <f ca="1">_xludf.IFNA(VLOOKUP(B49,'S-FG'!$B$3:$B1001,1,FALSE),"")</f>
        <v>#NAME?</v>
      </c>
      <c r="H49" t="str">
        <f ca="1">IFERROR(__xludf.DUMMYFUNCTION("""COMPUTED_VALUE"""),"STBD Signal PM Assy")</f>
        <v>STBD Signal PM Assy</v>
      </c>
      <c r="I49" t="str">
        <f ca="1">IFERROR(__xludf.DUMMYFUNCTION("""COMPUTED_VALUE"""),"10cm one sided JST crimped Voilet")</f>
        <v>10cm one sided JST crimped Voilet</v>
      </c>
      <c r="J49" s="235">
        <f ca="1">IFERROR(__xludf.DUMMYFUNCTION("""COMPUTED_VALUE"""),1)</f>
        <v>1</v>
      </c>
      <c r="K49" t="str">
        <f ca="1">IFERROR(__xludf.DUMMYFUNCTION("""COMPUTED_VALUE"""),"#N/A")</f>
        <v>#N/A</v>
      </c>
      <c r="L49">
        <f t="shared" ca="1" si="0"/>
        <v>0</v>
      </c>
      <c r="Q49" t="str">
        <f>IF(N49="","",SUMIFS('PR-BOM'!$D$3:$D1001,'PR-BOM'!$C$3:$C1001,N49))</f>
        <v/>
      </c>
      <c r="Y49" t="str">
        <f>IF(X49="","",SUMIFS(Issue!$D$3:$D1001,Issue!$C$3:$C1001,X49))</f>
        <v/>
      </c>
    </row>
    <row r="50" spans="5:25">
      <c r="E50" t="str">
        <f>IF(A50="","",SUMIFS(Issue!$D$3:$D1001,Issue!$C$3:$C1001,A50)*C50)</f>
        <v/>
      </c>
      <c r="F50" t="e">
        <f ca="1">_xludf.IFNA(VLOOKUP(B50,'S-FG'!$B$3:$B1001,1,FALSE),"")</f>
        <v>#NAME?</v>
      </c>
      <c r="H50" t="str">
        <f ca="1">IFERROR(__xludf.DUMMYFUNCTION("""COMPUTED_VALUE"""),"STBD Signal PM Assy")</f>
        <v>STBD Signal PM Assy</v>
      </c>
      <c r="I50" t="str">
        <f ca="1">IFERROR(__xludf.DUMMYFUNCTION("""COMPUTED_VALUE"""),"10cm one sided JST crimped Yellow")</f>
        <v>10cm one sided JST crimped Yellow</v>
      </c>
      <c r="J50" s="235">
        <f ca="1">IFERROR(__xludf.DUMMYFUNCTION("""COMPUTED_VALUE"""),1)</f>
        <v>1</v>
      </c>
      <c r="K50" t="str">
        <f ca="1">IFERROR(__xludf.DUMMYFUNCTION("""COMPUTED_VALUE"""),"#N/A")</f>
        <v>#N/A</v>
      </c>
      <c r="L50">
        <f t="shared" ca="1" si="0"/>
        <v>0</v>
      </c>
      <c r="Q50" t="str">
        <f>IF(N50="","",SUMIFS('PR-BOM'!$D$3:$D1001,'PR-BOM'!$C$3:$C1001,N50))</f>
        <v/>
      </c>
      <c r="Y50" t="str">
        <f>IF(X50="","",SUMIFS(Issue!$D$3:$D1001,Issue!$C$3:$C1001,X50))</f>
        <v/>
      </c>
    </row>
    <row r="51" spans="5:25">
      <c r="E51" t="str">
        <f>IF(A51="","",SUMIFS(Issue!$D$3:$D1001,Issue!$C$3:$C1001,A51)*C51)</f>
        <v/>
      </c>
      <c r="F51" t="e">
        <f ca="1">_xludf.IFNA(VLOOKUP(B51,'S-FG'!$B$3:$B1001,1,FALSE),"")</f>
        <v>#NAME?</v>
      </c>
      <c r="H51" t="str">
        <f ca="1">IFERROR(__xludf.DUMMYFUNCTION("""COMPUTED_VALUE"""),"STBD Signal PM Assy")</f>
        <v>STBD Signal PM Assy</v>
      </c>
      <c r="I51" t="str">
        <f ca="1">IFERROR(__xludf.DUMMYFUNCTION("""COMPUTED_VALUE"""),"10cm one sided JST crimped Sky Blue")</f>
        <v>10cm one sided JST crimped Sky Blue</v>
      </c>
      <c r="J51" s="235">
        <f ca="1">IFERROR(__xludf.DUMMYFUNCTION("""COMPUTED_VALUE"""),1)</f>
        <v>1</v>
      </c>
      <c r="K51" t="str">
        <f ca="1">IFERROR(__xludf.DUMMYFUNCTION("""COMPUTED_VALUE"""),"#N/A")</f>
        <v>#N/A</v>
      </c>
      <c r="L51">
        <f t="shared" ca="1" si="0"/>
        <v>0</v>
      </c>
      <c r="Q51" t="str">
        <f>IF(N51="","",SUMIFS('PR-BOM'!$D$3:$D1001,'PR-BOM'!$C$3:$C1001,N51))</f>
        <v/>
      </c>
      <c r="Y51" t="str">
        <f>IF(X51="","",SUMIFS(Issue!$D$3:$D1001,Issue!$C$3:$C1001,X51))</f>
        <v/>
      </c>
    </row>
    <row r="52" spans="5:25">
      <c r="E52" t="str">
        <f>IF(A52="","",SUMIFS(Issue!$D$3:$D1001,Issue!$C$3:$C1001,A52)*C52)</f>
        <v/>
      </c>
      <c r="F52" t="e">
        <f ca="1">_xludf.IFNA(VLOOKUP(B52,'S-FG'!$B$3:$B1001,1,FALSE),"")</f>
        <v>#NAME?</v>
      </c>
      <c r="H52" t="str">
        <f ca="1">IFERROR(__xludf.DUMMYFUNCTION("""COMPUTED_VALUE"""),"STBD Signal PM Assy")</f>
        <v>STBD Signal PM Assy</v>
      </c>
      <c r="I52" t="str">
        <f ca="1">IFERROR(__xludf.DUMMYFUNCTION("""COMPUTED_VALUE"""),"10cm one sided JST crimped Pink")</f>
        <v>10cm one sided JST crimped Pink</v>
      </c>
      <c r="J52" s="235">
        <f ca="1">IFERROR(__xludf.DUMMYFUNCTION("""COMPUTED_VALUE"""),1)</f>
        <v>1</v>
      </c>
      <c r="K52" t="str">
        <f ca="1">IFERROR(__xludf.DUMMYFUNCTION("""COMPUTED_VALUE"""),"#N/A")</f>
        <v>#N/A</v>
      </c>
      <c r="L52">
        <f t="shared" ca="1" si="0"/>
        <v>0</v>
      </c>
      <c r="Q52" t="str">
        <f>IF(N52="","",SUMIFS('PR-BOM'!$D$3:$D1001,'PR-BOM'!$C$3:$C1001,N52))</f>
        <v/>
      </c>
      <c r="Y52" t="str">
        <f>IF(X52="","",SUMIFS(Issue!$D$3:$D1001,Issue!$C$3:$C1001,X52))</f>
        <v/>
      </c>
    </row>
    <row r="53" spans="5:25">
      <c r="E53" t="str">
        <f>IF(A53="","",SUMIFS(Issue!$D$3:$D1001,Issue!$C$3:$C1001,A53)*C53)</f>
        <v/>
      </c>
      <c r="F53" t="e">
        <f ca="1">_xludf.IFNA(VLOOKUP(B53,'S-FG'!$B$3:$B1001,1,FALSE),"")</f>
        <v>#NAME?</v>
      </c>
      <c r="H53" t="str">
        <f ca="1">IFERROR(__xludf.DUMMYFUNCTION("""COMPUTED_VALUE"""),"STBD Signal PM Assy")</f>
        <v>STBD Signal PM Assy</v>
      </c>
      <c r="I53" t="str">
        <f ca="1">IFERROR(__xludf.DUMMYFUNCTION("""COMPUTED_VALUE"""),"10cm one sided JST crimped Orange")</f>
        <v>10cm one sided JST crimped Orange</v>
      </c>
      <c r="J53" s="235">
        <f ca="1">IFERROR(__xludf.DUMMYFUNCTION("""COMPUTED_VALUE"""),1)</f>
        <v>1</v>
      </c>
      <c r="K53" t="str">
        <f ca="1">IFERROR(__xludf.DUMMYFUNCTION("""COMPUTED_VALUE"""),"#N/A")</f>
        <v>#N/A</v>
      </c>
      <c r="L53">
        <f t="shared" ca="1" si="0"/>
        <v>0</v>
      </c>
      <c r="Q53" t="str">
        <f>IF(N53="","",SUMIFS('PR-BOM'!$D$3:$D1001,'PR-BOM'!$C$3:$C1001,N53))</f>
        <v/>
      </c>
      <c r="Y53" t="str">
        <f>IF(X53="","",SUMIFS(Issue!$D$3:$D1001,Issue!$C$3:$C1001,X53))</f>
        <v/>
      </c>
    </row>
    <row r="54" spans="5:25">
      <c r="E54" t="str">
        <f>IF(A54="","",SUMIFS(Issue!$D$3:$D1001,Issue!$C$3:$C1001,A54)*C54)</f>
        <v/>
      </c>
      <c r="F54" t="e">
        <f ca="1">_xludf.IFNA(VLOOKUP(B54,'S-FG'!$B$3:$B1001,1,FALSE),"")</f>
        <v>#NAME?</v>
      </c>
      <c r="H54" t="str">
        <f ca="1">IFERROR(__xludf.DUMMYFUNCTION("""COMPUTED_VALUE"""),"STBD Signal PM Assy")</f>
        <v>STBD Signal PM Assy</v>
      </c>
      <c r="I54" t="str">
        <f ca="1">IFERROR(__xludf.DUMMYFUNCTION("""COMPUTED_VALUE"""),"10cm one sided JST crimped Dark Blue")</f>
        <v>10cm one sided JST crimped Dark Blue</v>
      </c>
      <c r="J54" s="235">
        <f ca="1">IFERROR(__xludf.DUMMYFUNCTION("""COMPUTED_VALUE"""),1)</f>
        <v>1</v>
      </c>
      <c r="K54" t="str">
        <f ca="1">IFERROR(__xludf.DUMMYFUNCTION("""COMPUTED_VALUE"""),"#N/A")</f>
        <v>#N/A</v>
      </c>
      <c r="L54">
        <f t="shared" ca="1" si="0"/>
        <v>0</v>
      </c>
      <c r="Q54" t="str">
        <f>IF(N54="","",SUMIFS('PR-BOM'!$D$3:$D1001,'PR-BOM'!$C$3:$C1001,N54))</f>
        <v/>
      </c>
      <c r="Y54" t="str">
        <f>IF(X54="","",SUMIFS(Issue!$D$3:$D1001,Issue!$C$3:$C1001,X54))</f>
        <v/>
      </c>
    </row>
    <row r="55" spans="5:25">
      <c r="E55" t="str">
        <f>IF(A55="","",SUMIFS(Issue!$D$3:$D1001,Issue!$C$3:$C1001,A55)*C55)</f>
        <v/>
      </c>
      <c r="F55" t="e">
        <f ca="1">_xludf.IFNA(VLOOKUP(B55,'S-FG'!$B$3:$B1001,1,FALSE),"")</f>
        <v>#NAME?</v>
      </c>
      <c r="H55" t="str">
        <f ca="1">IFERROR(__xludf.DUMMYFUNCTION("""COMPUTED_VALUE"""),"STBD Signal PM Assy")</f>
        <v>STBD Signal PM Assy</v>
      </c>
      <c r="I55" t="str">
        <f ca="1">IFERROR(__xludf.DUMMYFUNCTION("""COMPUTED_VALUE"""),"10cm one sided JST crimped Light Brown")</f>
        <v>10cm one sided JST crimped Light Brown</v>
      </c>
      <c r="J55" s="235">
        <f ca="1">IFERROR(__xludf.DUMMYFUNCTION("""COMPUTED_VALUE"""),1)</f>
        <v>1</v>
      </c>
      <c r="K55" t="str">
        <f ca="1">IFERROR(__xludf.DUMMYFUNCTION("""COMPUTED_VALUE"""),"#N/A")</f>
        <v>#N/A</v>
      </c>
      <c r="L55">
        <f t="shared" ca="1" si="0"/>
        <v>0</v>
      </c>
      <c r="Q55" t="str">
        <f>IF(N55="","",SUMIFS('PR-BOM'!$D$3:$D1001,'PR-BOM'!$C$3:$C1001,N55))</f>
        <v/>
      </c>
      <c r="Y55" t="str">
        <f>IF(X55="","",SUMIFS(Issue!$D$3:$D1001,Issue!$C$3:$C1001,X55))</f>
        <v/>
      </c>
    </row>
    <row r="56" spans="5:25">
      <c r="E56" t="str">
        <f>IF(A56="","",SUMIFS(Issue!$D$3:$D1001,Issue!$C$3:$C1001,A56)*C56)</f>
        <v/>
      </c>
      <c r="F56" t="e">
        <f ca="1">_xludf.IFNA(VLOOKUP(B56,'S-FG'!$B$3:$B1001,1,FALSE),"")</f>
        <v>#NAME?</v>
      </c>
      <c r="H56" t="str">
        <f ca="1">IFERROR(__xludf.DUMMYFUNCTION("""COMPUTED_VALUE"""),"STBD Signal PM Assy")</f>
        <v>STBD Signal PM Assy</v>
      </c>
      <c r="I56" t="str">
        <f ca="1">IFERROR(__xludf.DUMMYFUNCTION("""COMPUTED_VALUE"""),"10cm one sided JST crimped Dark Brown")</f>
        <v>10cm one sided JST crimped Dark Brown</v>
      </c>
      <c r="J56" s="235">
        <f ca="1">IFERROR(__xludf.DUMMYFUNCTION("""COMPUTED_VALUE"""),1)</f>
        <v>1</v>
      </c>
      <c r="K56" t="str">
        <f ca="1">IFERROR(__xludf.DUMMYFUNCTION("""COMPUTED_VALUE"""),"#N/A")</f>
        <v>#N/A</v>
      </c>
      <c r="L56">
        <f t="shared" ca="1" si="0"/>
        <v>0</v>
      </c>
      <c r="Q56" t="str">
        <f>IF(N56="","",SUMIFS('PR-BOM'!$D$3:$D1001,'PR-BOM'!$C$3:$C1001,N56))</f>
        <v/>
      </c>
      <c r="Y56" t="str">
        <f>IF(X56="","",SUMIFS(Issue!$D$3:$D1001,Issue!$C$3:$C1001,X56))</f>
        <v/>
      </c>
    </row>
    <row r="57" spans="5:25">
      <c r="E57" t="str">
        <f>IF(A57="","",SUMIFS(Issue!$D$3:$D1001,Issue!$C$3:$C1001,A57)*C57)</f>
        <v/>
      </c>
      <c r="F57" t="e">
        <f ca="1">_xludf.IFNA(VLOOKUP(B57,'S-FG'!$B$3:$B1001,1,FALSE),"")</f>
        <v>#NAME?</v>
      </c>
      <c r="H57" t="str">
        <f ca="1">IFERROR(__xludf.DUMMYFUNCTION("""COMPUTED_VALUE"""),"STBD Signal PM Assy")</f>
        <v>STBD Signal PM Assy</v>
      </c>
      <c r="I57" t="str">
        <f ca="1">IFERROR(__xludf.DUMMYFUNCTION("""COMPUTED_VALUE"""),"10cm one sided JST crimped White with Red strip")</f>
        <v>10cm one sided JST crimped White with Red strip</v>
      </c>
      <c r="J57" s="235">
        <f ca="1">IFERROR(__xludf.DUMMYFUNCTION("""COMPUTED_VALUE"""),1)</f>
        <v>1</v>
      </c>
      <c r="K57" t="str">
        <f ca="1">IFERROR(__xludf.DUMMYFUNCTION("""COMPUTED_VALUE"""),"#N/A")</f>
        <v>#N/A</v>
      </c>
      <c r="L57">
        <f t="shared" ca="1" si="0"/>
        <v>0</v>
      </c>
      <c r="Q57" t="str">
        <f>IF(N57="","",SUMIFS('PR-BOM'!$D$3:$D1001,'PR-BOM'!$C$3:$C1001,N57))</f>
        <v/>
      </c>
      <c r="Y57" t="str">
        <f>IF(X57="","",SUMIFS(Issue!$D$3:$D1001,Issue!$C$3:$C1001,X57))</f>
        <v/>
      </c>
    </row>
    <row r="58" spans="5:25">
      <c r="E58" t="str">
        <f>IF(A58="","",SUMIFS(Issue!$D$3:$D1001,Issue!$C$3:$C1001,A58)*C58)</f>
        <v/>
      </c>
      <c r="F58" t="e">
        <f ca="1">_xludf.IFNA(VLOOKUP(B58,'S-FG'!$B$3:$B1001,1,FALSE),"")</f>
        <v>#NAME?</v>
      </c>
      <c r="H58" t="str">
        <f ca="1">IFERROR(__xludf.DUMMYFUNCTION("""COMPUTED_VALUE"""),"STBD Signal PM Assy")</f>
        <v>STBD Signal PM Assy</v>
      </c>
      <c r="I58" t="str">
        <f ca="1">IFERROR(__xludf.DUMMYFUNCTION("""COMPUTED_VALUE"""),"10cm one sided JST crimped White with black strip")</f>
        <v>10cm one sided JST crimped White with black strip</v>
      </c>
      <c r="J58" s="235">
        <f ca="1">IFERROR(__xludf.DUMMYFUNCTION("""COMPUTED_VALUE"""),1)</f>
        <v>1</v>
      </c>
      <c r="K58" t="str">
        <f ca="1">IFERROR(__xludf.DUMMYFUNCTION("""COMPUTED_VALUE"""),"#N/A")</f>
        <v>#N/A</v>
      </c>
      <c r="L58">
        <f t="shared" ca="1" si="0"/>
        <v>0</v>
      </c>
      <c r="Q58" t="str">
        <f>IF(N58="","",SUMIFS('PR-BOM'!$D$3:$D1001,'PR-BOM'!$C$3:$C1001,N58))</f>
        <v/>
      </c>
      <c r="Y58" t="str">
        <f>IF(X58="","",SUMIFS(Issue!$D$3:$D1001,Issue!$C$3:$C1001,X58))</f>
        <v/>
      </c>
    </row>
    <row r="59" spans="5:25">
      <c r="E59" t="str">
        <f>IF(A59="","",SUMIFS(Issue!$D$3:$D1001,Issue!$C$3:$C1001,A59)*C59)</f>
        <v/>
      </c>
      <c r="F59" t="e">
        <f ca="1">_xludf.IFNA(VLOOKUP(B59,'S-FG'!$B$3:$B1001,1,FALSE),"")</f>
        <v>#NAME?</v>
      </c>
      <c r="H59" t="str">
        <f ca="1">IFERROR(__xludf.DUMMYFUNCTION("""COMPUTED_VALUE"""),"STBD Signal PM Assy")</f>
        <v>STBD Signal PM Assy</v>
      </c>
      <c r="I59" t="str">
        <f ca="1">IFERROR(__xludf.DUMMYFUNCTION("""COMPUTED_VALUE"""),"10cm one sided JST crimped White")</f>
        <v>10cm one sided JST crimped White</v>
      </c>
      <c r="J59" s="235">
        <f ca="1">IFERROR(__xludf.DUMMYFUNCTION("""COMPUTED_VALUE"""),1)</f>
        <v>1</v>
      </c>
      <c r="K59" t="str">
        <f ca="1">IFERROR(__xludf.DUMMYFUNCTION("""COMPUTED_VALUE"""),"#N/A")</f>
        <v>#N/A</v>
      </c>
      <c r="L59">
        <f t="shared" ca="1" si="0"/>
        <v>0</v>
      </c>
      <c r="Q59" t="str">
        <f>IF(N59="","",SUMIFS('PR-BOM'!$D$3:$D1001,'PR-BOM'!$C$3:$C1001,N59))</f>
        <v/>
      </c>
      <c r="Y59" t="str">
        <f>IF(X59="","",SUMIFS(Issue!$D$3:$D1001,Issue!$C$3:$C1001,X59))</f>
        <v/>
      </c>
    </row>
    <row r="60" spans="5:25">
      <c r="E60" t="str">
        <f>IF(A60="","",SUMIFS(Issue!$D$3:$D1001,Issue!$C$3:$C1001,A60)*C60)</f>
        <v/>
      </c>
      <c r="F60" t="e">
        <f ca="1">_xludf.IFNA(VLOOKUP(B60,'S-FG'!$B$3:$B1001,1,FALSE),"")</f>
        <v>#NAME?</v>
      </c>
      <c r="H60" t="str">
        <f ca="1">IFERROR(__xludf.DUMMYFUNCTION("""COMPUTED_VALUE"""),"STBD Signal PM Assy")</f>
        <v>STBD Signal PM Assy</v>
      </c>
      <c r="I60" t="str">
        <f ca="1">IFERROR(__xludf.DUMMYFUNCTION("""COMPUTED_VALUE"""),"10cm one sided JST crimped Red")</f>
        <v>10cm one sided JST crimped Red</v>
      </c>
      <c r="J60" s="235">
        <f ca="1">IFERROR(__xludf.DUMMYFUNCTION("""COMPUTED_VALUE"""),1)</f>
        <v>1</v>
      </c>
      <c r="K60" t="str">
        <f ca="1">IFERROR(__xludf.DUMMYFUNCTION("""COMPUTED_VALUE"""),"#N/A")</f>
        <v>#N/A</v>
      </c>
      <c r="L60">
        <f t="shared" ca="1" si="0"/>
        <v>0</v>
      </c>
      <c r="Q60" t="str">
        <f>IF(N60="","",SUMIFS('PR-BOM'!$D$3:$D1001,'PR-BOM'!$C$3:$C1001,N60))</f>
        <v/>
      </c>
      <c r="Y60" t="str">
        <f>IF(X60="","",SUMIFS(Issue!$D$3:$D1001,Issue!$C$3:$C1001,X60))</f>
        <v/>
      </c>
    </row>
    <row r="61" spans="5:25">
      <c r="E61" t="str">
        <f>IF(A61="","",SUMIFS(Issue!$D$3:$D1001,Issue!$C$3:$C1001,A61)*C61)</f>
        <v/>
      </c>
      <c r="F61" t="e">
        <f ca="1">_xludf.IFNA(VLOOKUP(B61,'S-FG'!$B$3:$B1001,1,FALSE),"")</f>
        <v>#NAME?</v>
      </c>
      <c r="H61" t="str">
        <f ca="1">IFERROR(__xludf.DUMMYFUNCTION("""COMPUTED_VALUE"""),"STBD Signal PM Assy")</f>
        <v>STBD Signal PM Assy</v>
      </c>
      <c r="I61" t="str">
        <f ca="1">IFERROR(__xludf.DUMMYFUNCTION("""COMPUTED_VALUE"""),"SY21-15 pin panel mount")</f>
        <v>SY21-15 pin panel mount</v>
      </c>
      <c r="J61" s="235">
        <f ca="1">IFERROR(__xludf.DUMMYFUNCTION("""COMPUTED_VALUE"""),1)</f>
        <v>1</v>
      </c>
      <c r="K61" t="str">
        <f ca="1">IFERROR(__xludf.DUMMYFUNCTION("""COMPUTED_VALUE"""),"#N/A")</f>
        <v>#N/A</v>
      </c>
      <c r="L61">
        <f t="shared" ca="1" si="0"/>
        <v>0</v>
      </c>
      <c r="Q61" t="str">
        <f>IF(N61="","",SUMIFS('PR-BOM'!$D$3:$D1001,'PR-BOM'!$C$3:$C1001,N61))</f>
        <v/>
      </c>
      <c r="Y61" t="str">
        <f>IF(X61="","",SUMIFS(Issue!$D$3:$D1001,Issue!$C$3:$C1001,X61))</f>
        <v/>
      </c>
    </row>
    <row r="62" spans="5:25">
      <c r="E62" t="str">
        <f>IF(A62="","",SUMIFS(Issue!$D$3:$D1001,Issue!$C$3:$C1001,A62)*C62)</f>
        <v/>
      </c>
      <c r="F62" t="e">
        <f ca="1">_xludf.IFNA(VLOOKUP(B62,'S-FG'!$B$3:$B1001,1,FALSE),"")</f>
        <v>#NAME?</v>
      </c>
      <c r="H62" t="str">
        <f ca="1">IFERROR(__xludf.DUMMYFUNCTION("""COMPUTED_VALUE"""),"STBD Signal PM Assy")</f>
        <v>STBD Signal PM Assy</v>
      </c>
      <c r="I62" t="str">
        <f ca="1">IFERROR(__xludf.DUMMYFUNCTION("""COMPUTED_VALUE"""),"HeatShrink Tube 1.5mm/1.6mm")</f>
        <v>HeatShrink Tube 1.5mm/1.6mm</v>
      </c>
      <c r="J62" s="235">
        <f ca="1">IFERROR(__xludf.DUMMYFUNCTION("""COMPUTED_VALUE"""),0.15)</f>
        <v>0.15</v>
      </c>
      <c r="L62">
        <f t="shared" ca="1" si="0"/>
        <v>0</v>
      </c>
      <c r="Q62" t="str">
        <f>IF(N62="","",SUMIFS('PR-BOM'!$D$3:$D1001,'PR-BOM'!$C$3:$C1001,N62))</f>
        <v/>
      </c>
      <c r="Y62" t="str">
        <f>IF(X62="","",SUMIFS(Issue!$D$3:$D1001,Issue!$C$3:$C1001,X62))</f>
        <v/>
      </c>
    </row>
    <row r="63" spans="5:25">
      <c r="E63" t="str">
        <f>IF(A63="","",SUMIFS(Issue!$D$3:$D1001,Issue!$C$3:$C1001,A63)*C63)</f>
        <v/>
      </c>
      <c r="F63" t="e">
        <f ca="1">_xludf.IFNA(VLOOKUP(B63,'S-FG'!$B$3:$B1001,1,FALSE),"")</f>
        <v>#NAME?</v>
      </c>
      <c r="H63" t="str">
        <f ca="1">IFERROR(__xludf.DUMMYFUNCTION("""COMPUTED_VALUE"""),"STBD Signal PM Assy")</f>
        <v>STBD Signal PM Assy</v>
      </c>
      <c r="I63" t="str">
        <f ca="1">IFERROR(__xludf.DUMMYFUNCTION("""COMPUTED_VALUE"""),"Teroson MS930")</f>
        <v>Teroson MS930</v>
      </c>
      <c r="J63" s="235">
        <f ca="1">IFERROR(__xludf.DUMMYFUNCTION("""COMPUTED_VALUE"""),2)</f>
        <v>2</v>
      </c>
      <c r="K63" t="str">
        <f ca="1">IFERROR(__xludf.DUMMYFUNCTION("""COMPUTED_VALUE"""),"#N/A")</f>
        <v>#N/A</v>
      </c>
      <c r="L63">
        <f t="shared" ca="1" si="0"/>
        <v>0</v>
      </c>
      <c r="Q63" t="str">
        <f>IF(N63="","",SUMIFS('PR-BOM'!$D$3:$D1001,'PR-BOM'!$C$3:$C1001,N63))</f>
        <v/>
      </c>
      <c r="Y63" t="str">
        <f>IF(X63="","",SUMIFS(Issue!$D$3:$D1001,Issue!$C$3:$C1001,X63))</f>
        <v/>
      </c>
    </row>
    <row r="64" spans="5:25">
      <c r="E64" t="str">
        <f>IF(A64="","",SUMIFS(Issue!$D$3:$D1001,Issue!$C$3:$C1001,A64)*C64)</f>
        <v/>
      </c>
      <c r="F64" t="e">
        <f ca="1">_xludf.IFNA(VLOOKUP(B64,'S-FG'!$B$3:$B1001,1,FALSE),"")</f>
        <v>#NAME?</v>
      </c>
      <c r="H64" t="str">
        <f ca="1">IFERROR(__xludf.DUMMYFUNCTION("""COMPUTED_VALUE"""),"STBD Signal PM Assy")</f>
        <v>STBD Signal PM Assy</v>
      </c>
      <c r="I64" t="str">
        <f ca="1">IFERROR(__xludf.DUMMYFUNCTION("""COMPUTED_VALUE"""),"Silicon RTV 734 Potting compound")</f>
        <v>Silicon RTV 734 Potting compound</v>
      </c>
      <c r="J64" s="235">
        <f ca="1">IFERROR(__xludf.DUMMYFUNCTION("""COMPUTED_VALUE"""),5)</f>
        <v>5</v>
      </c>
      <c r="K64" t="str">
        <f ca="1">IFERROR(__xludf.DUMMYFUNCTION("""COMPUTED_VALUE"""),"#N/A")</f>
        <v>#N/A</v>
      </c>
      <c r="L64">
        <f t="shared" ca="1" si="0"/>
        <v>0</v>
      </c>
      <c r="Q64" t="str">
        <f>IF(N64="","",SUMIFS('PR-BOM'!$D$3:$D1001,'PR-BOM'!$C$3:$C1001,N64))</f>
        <v/>
      </c>
      <c r="Y64" t="str">
        <f>IF(X64="","",SUMIFS(Issue!$D$3:$D1001,Issue!$C$3:$C1001,X64))</f>
        <v/>
      </c>
    </row>
    <row r="65" spans="5:25">
      <c r="E65" t="str">
        <f>IF(A65="","",SUMIFS(Issue!$D$3:$D1001,Issue!$C$3:$C1001,A65)*C65)</f>
        <v/>
      </c>
      <c r="F65" t="e">
        <f ca="1">_xludf.IFNA(VLOOKUP(B65,'S-FG'!$B$3:$B1001,1,FALSE),"")</f>
        <v>#NAME?</v>
      </c>
      <c r="H65" t="str">
        <f ca="1">IFERROR(__xludf.DUMMYFUNCTION("""COMPUTED_VALUE"""),"STBD Signal PM Assy")</f>
        <v>STBD Signal PM Assy</v>
      </c>
      <c r="I65" t="str">
        <f ca="1">IFERROR(__xludf.DUMMYFUNCTION("""COMPUTED_VALUE"""),"Lead wire 22AWG")</f>
        <v>Lead wire 22AWG</v>
      </c>
      <c r="J65" s="235">
        <f ca="1">IFERROR(__xludf.DUMMYFUNCTION("""COMPUTED_VALUE"""),5)</f>
        <v>5</v>
      </c>
      <c r="L65">
        <f t="shared" ca="1" si="0"/>
        <v>0</v>
      </c>
      <c r="Q65" t="str">
        <f>IF(N65="","",SUMIFS('PR-BOM'!$D$3:$D1001,'PR-BOM'!$C$3:$C1001,N65))</f>
        <v/>
      </c>
      <c r="Y65" t="str">
        <f>IF(X65="","",SUMIFS(Issue!$D$3:$D1001,Issue!$C$3:$C1001,X65))</f>
        <v/>
      </c>
    </row>
    <row r="66" spans="5:25">
      <c r="E66" t="str">
        <f>IF(A66="","",SUMIFS(Issue!$D$3:$D1001,Issue!$C$3:$C1001,A66)*C66)</f>
        <v/>
      </c>
      <c r="F66" t="e">
        <f ca="1">_xludf.IFNA(VLOOKUP(B66,'S-FG'!$B$3:$B1001,1,FALSE),"")</f>
        <v>#NAME?</v>
      </c>
      <c r="H66" t="str">
        <f ca="1">IFERROR(__xludf.DUMMYFUNCTION("""COMPUTED_VALUE"""),"PORT Signal PM Assy")</f>
        <v>PORT Signal PM Assy</v>
      </c>
      <c r="I66" t="str">
        <f ca="1">IFERROR(__xludf.DUMMYFUNCTION("""COMPUTED_VALUE"""),"15 pin JST-XH housing")</f>
        <v>15 pin JST-XH housing</v>
      </c>
      <c r="J66" s="235">
        <f ca="1">IFERROR(__xludf.DUMMYFUNCTION("""COMPUTED_VALUE"""),1)</f>
        <v>1</v>
      </c>
      <c r="K66" t="str">
        <f ca="1">IFERROR(__xludf.DUMMYFUNCTION("""COMPUTED_VALUE"""),"#N/A")</f>
        <v>#N/A</v>
      </c>
      <c r="L66">
        <f t="shared" ca="1" si="0"/>
        <v>0</v>
      </c>
      <c r="Q66" t="str">
        <f>IF(N66="","",SUMIFS('PR-BOM'!$D$3:$D1001,'PR-BOM'!$C$3:$C1001,N66))</f>
        <v/>
      </c>
      <c r="Y66" t="str">
        <f>IF(X66="","",SUMIFS(Issue!$D$3:$D1001,Issue!$C$3:$C1001,X66))</f>
        <v/>
      </c>
    </row>
    <row r="67" spans="5:25">
      <c r="E67" t="str">
        <f>IF(A67="","",SUMIFS(Issue!$D$3:$D1001,Issue!$C$3:$C1001,A67)*C67)</f>
        <v/>
      </c>
      <c r="F67" t="e">
        <f ca="1">_xludf.IFNA(VLOOKUP(B67,'S-FG'!$B$3:$B1001,1,FALSE),"")</f>
        <v>#NAME?</v>
      </c>
      <c r="H67" t="str">
        <f ca="1">IFERROR(__xludf.DUMMYFUNCTION("""COMPUTED_VALUE"""),"PORT Signal PM Assy")</f>
        <v>PORT Signal PM Assy</v>
      </c>
      <c r="I67" t="str">
        <f ca="1">IFERROR(__xludf.DUMMYFUNCTION("""COMPUTED_VALUE"""),"10cm one sided JST crimped Black")</f>
        <v>10cm one sided JST crimped Black</v>
      </c>
      <c r="J67" s="235">
        <f ca="1">IFERROR(__xludf.DUMMYFUNCTION("""COMPUTED_VALUE"""),1)</f>
        <v>1</v>
      </c>
      <c r="K67" t="str">
        <f ca="1">IFERROR(__xludf.DUMMYFUNCTION("""COMPUTED_VALUE"""),"#N/A")</f>
        <v>#N/A</v>
      </c>
      <c r="L67">
        <f t="shared" ca="1" si="0"/>
        <v>0</v>
      </c>
      <c r="Q67" t="str">
        <f>IF(N67="","",SUMIFS('PR-BOM'!$D$3:$D1001,'PR-BOM'!$C$3:$C1001,N67))</f>
        <v/>
      </c>
      <c r="Y67" t="str">
        <f>IF(X67="","",SUMIFS(Issue!$D$3:$D1001,Issue!$C$3:$C1001,X67))</f>
        <v/>
      </c>
    </row>
    <row r="68" spans="5:25">
      <c r="E68" t="str">
        <f>IF(A68="","",SUMIFS(Issue!$D$3:$D1001,Issue!$C$3:$C1001,A68)*C68)</f>
        <v/>
      </c>
      <c r="F68" t="e">
        <f ca="1">_xludf.IFNA(VLOOKUP(B68,'S-FG'!$B$3:$B1001,1,FALSE),"")</f>
        <v>#NAME?</v>
      </c>
      <c r="H68" t="str">
        <f ca="1">IFERROR(__xludf.DUMMYFUNCTION("""COMPUTED_VALUE"""),"PORT Signal PM Assy")</f>
        <v>PORT Signal PM Assy</v>
      </c>
      <c r="I68" t="str">
        <f ca="1">IFERROR(__xludf.DUMMYFUNCTION("""COMPUTED_VALUE"""),"10cm one sided JST crimped Green")</f>
        <v>10cm one sided JST crimped Green</v>
      </c>
      <c r="J68" s="235">
        <f ca="1">IFERROR(__xludf.DUMMYFUNCTION("""COMPUTED_VALUE"""),1)</f>
        <v>1</v>
      </c>
      <c r="K68" t="str">
        <f ca="1">IFERROR(__xludf.DUMMYFUNCTION("""COMPUTED_VALUE"""),"#N/A")</f>
        <v>#N/A</v>
      </c>
      <c r="L68">
        <f t="shared" ca="1" si="0"/>
        <v>0</v>
      </c>
      <c r="Q68" t="str">
        <f>IF(N68="","",SUMIFS('PR-BOM'!$D$3:$D1001,'PR-BOM'!$C$3:$C1001,N68))</f>
        <v/>
      </c>
      <c r="Y68" t="str">
        <f>IF(X68="","",SUMIFS(Issue!$D$3:$D1001,Issue!$C$3:$C1001,X68))</f>
        <v/>
      </c>
    </row>
    <row r="69" spans="5:25">
      <c r="E69" t="str">
        <f>IF(A69="","",SUMIFS(Issue!$D$3:$D1001,Issue!$C$3:$C1001,A69)*C69)</f>
        <v/>
      </c>
      <c r="F69" t="e">
        <f ca="1">_xludf.IFNA(VLOOKUP(B69,'S-FG'!$B$3:$B1001,1,FALSE),"")</f>
        <v>#NAME?</v>
      </c>
      <c r="H69" t="str">
        <f ca="1">IFERROR(__xludf.DUMMYFUNCTION("""COMPUTED_VALUE"""),"PORT Signal PM Assy")</f>
        <v>PORT Signal PM Assy</v>
      </c>
      <c r="I69" t="str">
        <f ca="1">IFERROR(__xludf.DUMMYFUNCTION("""COMPUTED_VALUE"""),"10cm one sided JST crimped Voilet")</f>
        <v>10cm one sided JST crimped Voilet</v>
      </c>
      <c r="J69" s="235">
        <f ca="1">IFERROR(__xludf.DUMMYFUNCTION("""COMPUTED_VALUE"""),1)</f>
        <v>1</v>
      </c>
      <c r="K69" t="str">
        <f ca="1">IFERROR(__xludf.DUMMYFUNCTION("""COMPUTED_VALUE"""),"#N/A")</f>
        <v>#N/A</v>
      </c>
      <c r="L69">
        <f t="shared" ca="1" si="0"/>
        <v>0</v>
      </c>
      <c r="Q69" t="str">
        <f>IF(N69="","",SUMIFS('PR-BOM'!$D$3:$D1001,'PR-BOM'!$C$3:$C1001,N69))</f>
        <v/>
      </c>
      <c r="Y69" t="str">
        <f>IF(X69="","",SUMIFS(Issue!$D$3:$D1001,Issue!$C$3:$C1001,X69))</f>
        <v/>
      </c>
    </row>
    <row r="70" spans="5:25">
      <c r="E70" t="str">
        <f>IF(A70="","",SUMIFS(Issue!$D$3:$D1001,Issue!$C$3:$C1001,A70)*C70)</f>
        <v/>
      </c>
      <c r="F70" t="e">
        <f ca="1">_xludf.IFNA(VLOOKUP(B70,'S-FG'!$B$3:$B1001,1,FALSE),"")</f>
        <v>#NAME?</v>
      </c>
      <c r="H70" t="str">
        <f ca="1">IFERROR(__xludf.DUMMYFUNCTION("""COMPUTED_VALUE"""),"PORT Signal PM Assy")</f>
        <v>PORT Signal PM Assy</v>
      </c>
      <c r="I70" t="str">
        <f ca="1">IFERROR(__xludf.DUMMYFUNCTION("""COMPUTED_VALUE"""),"10cm one sided JST crimped Yellow")</f>
        <v>10cm one sided JST crimped Yellow</v>
      </c>
      <c r="J70" s="235">
        <f ca="1">IFERROR(__xludf.DUMMYFUNCTION("""COMPUTED_VALUE"""),1)</f>
        <v>1</v>
      </c>
      <c r="K70" t="str">
        <f ca="1">IFERROR(__xludf.DUMMYFUNCTION("""COMPUTED_VALUE"""),"#N/A")</f>
        <v>#N/A</v>
      </c>
      <c r="L70">
        <f t="shared" ca="1" si="0"/>
        <v>0</v>
      </c>
      <c r="Q70" t="str">
        <f>IF(N70="","",SUMIFS('PR-BOM'!$D$3:$D1001,'PR-BOM'!$C$3:$C1001,N70))</f>
        <v/>
      </c>
      <c r="Y70" t="str">
        <f>IF(X70="","",SUMIFS(Issue!$D$3:$D1001,Issue!$C$3:$C1001,X70))</f>
        <v/>
      </c>
    </row>
    <row r="71" spans="5:25">
      <c r="E71" t="str">
        <f>IF(A71="","",SUMIFS(Issue!$D$3:$D1001,Issue!$C$3:$C1001,A71)*C71)</f>
        <v/>
      </c>
      <c r="F71" t="e">
        <f ca="1">_xludf.IFNA(VLOOKUP(B71,'S-FG'!$B$3:$B1001,1,FALSE),"")</f>
        <v>#NAME?</v>
      </c>
      <c r="H71" t="str">
        <f ca="1">IFERROR(__xludf.DUMMYFUNCTION("""COMPUTED_VALUE"""),"PORT Signal PM Assy")</f>
        <v>PORT Signal PM Assy</v>
      </c>
      <c r="I71" t="str">
        <f ca="1">IFERROR(__xludf.DUMMYFUNCTION("""COMPUTED_VALUE"""),"10cm one sided JST crimped Sky Blue")</f>
        <v>10cm one sided JST crimped Sky Blue</v>
      </c>
      <c r="J71" s="235">
        <f ca="1">IFERROR(__xludf.DUMMYFUNCTION("""COMPUTED_VALUE"""),1)</f>
        <v>1</v>
      </c>
      <c r="K71" t="str">
        <f ca="1">IFERROR(__xludf.DUMMYFUNCTION("""COMPUTED_VALUE"""),"#N/A")</f>
        <v>#N/A</v>
      </c>
      <c r="L71">
        <f t="shared" ca="1" si="0"/>
        <v>0</v>
      </c>
      <c r="Q71" t="str">
        <f>IF(N71="","",SUMIFS('PR-BOM'!$D$3:$D1001,'PR-BOM'!$C$3:$C1001,N71))</f>
        <v/>
      </c>
      <c r="Y71" t="str">
        <f>IF(X71="","",SUMIFS(Issue!$D$3:$D1001,Issue!$C$3:$C1001,X71))</f>
        <v/>
      </c>
    </row>
    <row r="72" spans="5:25">
      <c r="E72" t="str">
        <f>IF(A72="","",SUMIFS(Issue!$D$3:$D1001,Issue!$C$3:$C1001,A72)*C72)</f>
        <v/>
      </c>
      <c r="F72" t="e">
        <f ca="1">_xludf.IFNA(VLOOKUP(B72,'S-FG'!$B$3:$B1001,1,FALSE),"")</f>
        <v>#NAME?</v>
      </c>
      <c r="H72" t="str">
        <f ca="1">IFERROR(__xludf.DUMMYFUNCTION("""COMPUTED_VALUE"""),"PORT Signal PM Assy")</f>
        <v>PORT Signal PM Assy</v>
      </c>
      <c r="I72" t="str">
        <f ca="1">IFERROR(__xludf.DUMMYFUNCTION("""COMPUTED_VALUE"""),"10cm one sided JST crimped Pink")</f>
        <v>10cm one sided JST crimped Pink</v>
      </c>
      <c r="J72" s="235">
        <f ca="1">IFERROR(__xludf.DUMMYFUNCTION("""COMPUTED_VALUE"""),1)</f>
        <v>1</v>
      </c>
      <c r="K72" t="str">
        <f ca="1">IFERROR(__xludf.DUMMYFUNCTION("""COMPUTED_VALUE"""),"#N/A")</f>
        <v>#N/A</v>
      </c>
      <c r="L72">
        <f t="shared" ca="1" si="0"/>
        <v>0</v>
      </c>
      <c r="Q72" t="str">
        <f>IF(N72="","",SUMIFS('PR-BOM'!$D$3:$D1001,'PR-BOM'!$C$3:$C1001,N72))</f>
        <v/>
      </c>
      <c r="Y72" t="str">
        <f>IF(X72="","",SUMIFS(Issue!$D$3:$D1001,Issue!$C$3:$C1001,X72))</f>
        <v/>
      </c>
    </row>
    <row r="73" spans="5:25">
      <c r="E73" t="str">
        <f>IF(A73="","",SUMIFS(Issue!$D$3:$D1001,Issue!$C$3:$C1001,A73)*C73)</f>
        <v/>
      </c>
      <c r="F73" t="e">
        <f ca="1">_xludf.IFNA(VLOOKUP(B73,'S-FG'!$B$3:$B1001,1,FALSE),"")</f>
        <v>#NAME?</v>
      </c>
      <c r="H73" t="str">
        <f ca="1">IFERROR(__xludf.DUMMYFUNCTION("""COMPUTED_VALUE"""),"PORT Signal PM Assy")</f>
        <v>PORT Signal PM Assy</v>
      </c>
      <c r="I73" t="str">
        <f ca="1">IFERROR(__xludf.DUMMYFUNCTION("""COMPUTED_VALUE"""),"10cm one sided JST crimped Orange")</f>
        <v>10cm one sided JST crimped Orange</v>
      </c>
      <c r="J73" s="235">
        <f ca="1">IFERROR(__xludf.DUMMYFUNCTION("""COMPUTED_VALUE"""),1)</f>
        <v>1</v>
      </c>
      <c r="K73" t="str">
        <f ca="1">IFERROR(__xludf.DUMMYFUNCTION("""COMPUTED_VALUE"""),"#N/A")</f>
        <v>#N/A</v>
      </c>
      <c r="L73">
        <f t="shared" ca="1" si="0"/>
        <v>0</v>
      </c>
      <c r="Q73" t="str">
        <f>IF(N73="","",SUMIFS('PR-BOM'!$D$3:$D1001,'PR-BOM'!$C$3:$C1001,N73))</f>
        <v/>
      </c>
      <c r="Y73" t="str">
        <f>IF(X73="","",SUMIFS(Issue!$D$3:$D1001,Issue!$C$3:$C1001,X73))</f>
        <v/>
      </c>
    </row>
    <row r="74" spans="5:25">
      <c r="E74" t="str">
        <f>IF(A74="","",SUMIFS(Issue!$D$3:$D1001,Issue!$C$3:$C1001,A74)*C74)</f>
        <v/>
      </c>
      <c r="F74" t="e">
        <f ca="1">_xludf.IFNA(VLOOKUP(B74,'S-FG'!$B$3:$B1001,1,FALSE),"")</f>
        <v>#NAME?</v>
      </c>
      <c r="H74" t="str">
        <f ca="1">IFERROR(__xludf.DUMMYFUNCTION("""COMPUTED_VALUE"""),"PORT Signal PM Assy")</f>
        <v>PORT Signal PM Assy</v>
      </c>
      <c r="I74" t="str">
        <f ca="1">IFERROR(__xludf.DUMMYFUNCTION("""COMPUTED_VALUE"""),"10cm one sided JST crimped Dark Blue")</f>
        <v>10cm one sided JST crimped Dark Blue</v>
      </c>
      <c r="J74" s="235">
        <f ca="1">IFERROR(__xludf.DUMMYFUNCTION("""COMPUTED_VALUE"""),1)</f>
        <v>1</v>
      </c>
      <c r="K74" t="str">
        <f ca="1">IFERROR(__xludf.DUMMYFUNCTION("""COMPUTED_VALUE"""),"#N/A")</f>
        <v>#N/A</v>
      </c>
      <c r="L74">
        <f t="shared" ca="1" si="0"/>
        <v>0</v>
      </c>
      <c r="Q74" t="str">
        <f>IF(N74="","",SUMIFS('PR-BOM'!$D$3:$D1001,'PR-BOM'!$C$3:$C1001,N74))</f>
        <v/>
      </c>
      <c r="Y74" t="str">
        <f>IF(X74="","",SUMIFS(Issue!$D$3:$D1001,Issue!$C$3:$C1001,X74))</f>
        <v/>
      </c>
    </row>
    <row r="75" spans="5:25">
      <c r="E75" t="str">
        <f>IF(A75="","",SUMIFS(Issue!$D$3:$D1001,Issue!$C$3:$C1001,A75)*C75)</f>
        <v/>
      </c>
      <c r="F75" t="e">
        <f ca="1">_xludf.IFNA(VLOOKUP(B75,'S-FG'!$B$3:$B1001,1,FALSE),"")</f>
        <v>#NAME?</v>
      </c>
      <c r="H75" t="str">
        <f ca="1">IFERROR(__xludf.DUMMYFUNCTION("""COMPUTED_VALUE"""),"PORT Signal PM Assy")</f>
        <v>PORT Signal PM Assy</v>
      </c>
      <c r="I75" t="str">
        <f ca="1">IFERROR(__xludf.DUMMYFUNCTION("""COMPUTED_VALUE"""),"10cm one sided JST crimped Light Brown")</f>
        <v>10cm one sided JST crimped Light Brown</v>
      </c>
      <c r="J75" s="235">
        <f ca="1">IFERROR(__xludf.DUMMYFUNCTION("""COMPUTED_VALUE"""),1)</f>
        <v>1</v>
      </c>
      <c r="K75" t="str">
        <f ca="1">IFERROR(__xludf.DUMMYFUNCTION("""COMPUTED_VALUE"""),"#N/A")</f>
        <v>#N/A</v>
      </c>
      <c r="L75">
        <f t="shared" ca="1" si="0"/>
        <v>0</v>
      </c>
      <c r="Q75" t="str">
        <f>IF(N75="","",SUMIFS('PR-BOM'!$D$3:$D1001,'PR-BOM'!$C$3:$C1001,N75))</f>
        <v/>
      </c>
      <c r="Y75" t="str">
        <f>IF(X75="","",SUMIFS(Issue!$D$3:$D1001,Issue!$C$3:$C1001,X75))</f>
        <v/>
      </c>
    </row>
    <row r="76" spans="5:25">
      <c r="E76" t="str">
        <f>IF(A76="","",SUMIFS(Issue!$D$3:$D1001,Issue!$C$3:$C1001,A76)*C76)</f>
        <v/>
      </c>
      <c r="F76" t="e">
        <f ca="1">_xludf.IFNA(VLOOKUP(B76,'S-FG'!$B$3:$B1001,1,FALSE),"")</f>
        <v>#NAME?</v>
      </c>
      <c r="H76" t="str">
        <f ca="1">IFERROR(__xludf.DUMMYFUNCTION("""COMPUTED_VALUE"""),"PORT Signal PM Assy")</f>
        <v>PORT Signal PM Assy</v>
      </c>
      <c r="I76" t="str">
        <f ca="1">IFERROR(__xludf.DUMMYFUNCTION("""COMPUTED_VALUE"""),"10cm one sided JST crimped Dark Brown")</f>
        <v>10cm one sided JST crimped Dark Brown</v>
      </c>
      <c r="J76" s="235">
        <f ca="1">IFERROR(__xludf.DUMMYFUNCTION("""COMPUTED_VALUE"""),1)</f>
        <v>1</v>
      </c>
      <c r="K76" t="str">
        <f ca="1">IFERROR(__xludf.DUMMYFUNCTION("""COMPUTED_VALUE"""),"#N/A")</f>
        <v>#N/A</v>
      </c>
      <c r="L76">
        <f t="shared" ca="1" si="0"/>
        <v>0</v>
      </c>
      <c r="Q76" t="str">
        <f>IF(N76="","",SUMIFS('PR-BOM'!$D$3:$D1001,'PR-BOM'!$C$3:$C1001,N76))</f>
        <v/>
      </c>
      <c r="Y76" t="str">
        <f>IF(X76="","",SUMIFS(Issue!$D$3:$D1001,Issue!$C$3:$C1001,X76))</f>
        <v/>
      </c>
    </row>
    <row r="77" spans="5:25">
      <c r="E77" t="str">
        <f>IF(A77="","",SUMIFS(Issue!$D$3:$D1001,Issue!$C$3:$C1001,A77)*C77)</f>
        <v/>
      </c>
      <c r="F77" t="e">
        <f ca="1">_xludf.IFNA(VLOOKUP(B77,'S-FG'!$B$3:$B1001,1,FALSE),"")</f>
        <v>#NAME?</v>
      </c>
      <c r="H77" t="str">
        <f ca="1">IFERROR(__xludf.DUMMYFUNCTION("""COMPUTED_VALUE"""),"PORT Signal PM Assy")</f>
        <v>PORT Signal PM Assy</v>
      </c>
      <c r="I77" t="str">
        <f ca="1">IFERROR(__xludf.DUMMYFUNCTION("""COMPUTED_VALUE"""),"10cm one sided JST crimped White with Red strip")</f>
        <v>10cm one sided JST crimped White with Red strip</v>
      </c>
      <c r="J77" s="235">
        <f ca="1">IFERROR(__xludf.DUMMYFUNCTION("""COMPUTED_VALUE"""),1)</f>
        <v>1</v>
      </c>
      <c r="K77" t="str">
        <f ca="1">IFERROR(__xludf.DUMMYFUNCTION("""COMPUTED_VALUE"""),"#N/A")</f>
        <v>#N/A</v>
      </c>
      <c r="L77">
        <f t="shared" ca="1" si="0"/>
        <v>0</v>
      </c>
      <c r="Q77" t="str">
        <f>IF(N77="","",SUMIFS('PR-BOM'!$D$3:$D1001,'PR-BOM'!$C$3:$C1001,N77))</f>
        <v/>
      </c>
      <c r="Y77" t="str">
        <f>IF(X77="","",SUMIFS(Issue!$D$3:$D1001,Issue!$C$3:$C1001,X77))</f>
        <v/>
      </c>
    </row>
    <row r="78" spans="5:25">
      <c r="E78" t="str">
        <f>IF(A78="","",SUMIFS(Issue!$D$3:$D1001,Issue!$C$3:$C1001,A78)*C78)</f>
        <v/>
      </c>
      <c r="F78" t="e">
        <f ca="1">_xludf.IFNA(VLOOKUP(B78,'S-FG'!$B$3:$B1001,1,FALSE),"")</f>
        <v>#NAME?</v>
      </c>
      <c r="H78" t="str">
        <f ca="1">IFERROR(__xludf.DUMMYFUNCTION("""COMPUTED_VALUE"""),"PORT Signal PM Assy")</f>
        <v>PORT Signal PM Assy</v>
      </c>
      <c r="I78" t="str">
        <f ca="1">IFERROR(__xludf.DUMMYFUNCTION("""COMPUTED_VALUE"""),"10cm one sided JST crimped White with black strip")</f>
        <v>10cm one sided JST crimped White with black strip</v>
      </c>
      <c r="J78" s="235">
        <f ca="1">IFERROR(__xludf.DUMMYFUNCTION("""COMPUTED_VALUE"""),1)</f>
        <v>1</v>
      </c>
      <c r="K78" t="str">
        <f ca="1">IFERROR(__xludf.DUMMYFUNCTION("""COMPUTED_VALUE"""),"#N/A")</f>
        <v>#N/A</v>
      </c>
      <c r="L78">
        <f t="shared" ca="1" si="0"/>
        <v>0</v>
      </c>
      <c r="Q78" t="str">
        <f>IF(N78="","",SUMIFS('PR-BOM'!$D$3:$D1001,'PR-BOM'!$C$3:$C1001,N78))</f>
        <v/>
      </c>
      <c r="Y78" t="str">
        <f>IF(X78="","",SUMIFS(Issue!$D$3:$D1001,Issue!$C$3:$C1001,X78))</f>
        <v/>
      </c>
    </row>
    <row r="79" spans="5:25">
      <c r="E79" t="str">
        <f>IF(A79="","",SUMIFS(Issue!$D$3:$D1001,Issue!$C$3:$C1001,A79)*C79)</f>
        <v/>
      </c>
      <c r="F79" t="e">
        <f ca="1">_xludf.IFNA(VLOOKUP(B79,'S-FG'!$B$3:$B1001,1,FALSE),"")</f>
        <v>#NAME?</v>
      </c>
      <c r="H79" t="str">
        <f ca="1">IFERROR(__xludf.DUMMYFUNCTION("""COMPUTED_VALUE"""),"PORT Signal PM Assy")</f>
        <v>PORT Signal PM Assy</v>
      </c>
      <c r="I79" t="str">
        <f ca="1">IFERROR(__xludf.DUMMYFUNCTION("""COMPUTED_VALUE"""),"10cm one sided JST crimped White")</f>
        <v>10cm one sided JST crimped White</v>
      </c>
      <c r="J79" s="235">
        <f ca="1">IFERROR(__xludf.DUMMYFUNCTION("""COMPUTED_VALUE"""),1)</f>
        <v>1</v>
      </c>
      <c r="K79" t="str">
        <f ca="1">IFERROR(__xludf.DUMMYFUNCTION("""COMPUTED_VALUE"""),"#N/A")</f>
        <v>#N/A</v>
      </c>
      <c r="L79">
        <f t="shared" ca="1" si="0"/>
        <v>0</v>
      </c>
      <c r="Q79" t="str">
        <f>IF(N79="","",SUMIFS('PR-BOM'!$D$3:$D1001,'PR-BOM'!$C$3:$C1001,N79))</f>
        <v/>
      </c>
      <c r="Y79" t="str">
        <f>IF(X79="","",SUMIFS(Issue!$D$3:$D1001,Issue!$C$3:$C1001,X79))</f>
        <v/>
      </c>
    </row>
    <row r="80" spans="5:25">
      <c r="E80" t="str">
        <f>IF(A80="","",SUMIFS(Issue!$D$3:$D1001,Issue!$C$3:$C1001,A80)*C80)</f>
        <v/>
      </c>
      <c r="F80" t="e">
        <f ca="1">_xludf.IFNA(VLOOKUP(B80,'S-FG'!$B$3:$B1001,1,FALSE),"")</f>
        <v>#NAME?</v>
      </c>
      <c r="H80" t="str">
        <f ca="1">IFERROR(__xludf.DUMMYFUNCTION("""COMPUTED_VALUE"""),"PORT Signal PM Assy")</f>
        <v>PORT Signal PM Assy</v>
      </c>
      <c r="I80" t="str">
        <f ca="1">IFERROR(__xludf.DUMMYFUNCTION("""COMPUTED_VALUE"""),"10cm one sided JST crimped Dark Parrot Green")</f>
        <v>10cm one sided JST crimped Dark Parrot Green</v>
      </c>
      <c r="J80" s="235">
        <f ca="1">IFERROR(__xludf.DUMMYFUNCTION("""COMPUTED_VALUE"""),1)</f>
        <v>1</v>
      </c>
      <c r="K80" t="str">
        <f ca="1">IFERROR(__xludf.DUMMYFUNCTION("""COMPUTED_VALUE"""),"#N/A")</f>
        <v>#N/A</v>
      </c>
      <c r="L80">
        <f t="shared" ca="1" si="0"/>
        <v>0</v>
      </c>
      <c r="Q80" t="str">
        <f>IF(N80="","",SUMIFS('PR-BOM'!$D$3:$D1001,'PR-BOM'!$C$3:$C1001,N80))</f>
        <v/>
      </c>
      <c r="Y80" t="str">
        <f>IF(X80="","",SUMIFS(Issue!$D$3:$D1001,Issue!$C$3:$C1001,X80))</f>
        <v/>
      </c>
    </row>
    <row r="81" spans="5:25">
      <c r="E81" t="str">
        <f>IF(A81="","",SUMIFS(Issue!$D$3:$D1001,Issue!$C$3:$C1001,A81)*C81)</f>
        <v/>
      </c>
      <c r="F81" t="e">
        <f ca="1">_xludf.IFNA(VLOOKUP(B81,'S-FG'!$B$3:$B1001,1,FALSE),"")</f>
        <v>#NAME?</v>
      </c>
      <c r="H81" t="str">
        <f ca="1">IFERROR(__xludf.DUMMYFUNCTION("""COMPUTED_VALUE"""),"PORT Signal PM Assy")</f>
        <v>PORT Signal PM Assy</v>
      </c>
      <c r="I81" t="str">
        <f ca="1">IFERROR(__xludf.DUMMYFUNCTION("""COMPUTED_VALUE"""),"SY21-15 pin panel mount")</f>
        <v>SY21-15 pin panel mount</v>
      </c>
      <c r="J81" s="235">
        <f ca="1">IFERROR(__xludf.DUMMYFUNCTION("""COMPUTED_VALUE"""),1)</f>
        <v>1</v>
      </c>
      <c r="K81" t="str">
        <f ca="1">IFERROR(__xludf.DUMMYFUNCTION("""COMPUTED_VALUE"""),"#N/A")</f>
        <v>#N/A</v>
      </c>
      <c r="L81">
        <f t="shared" ca="1" si="0"/>
        <v>0</v>
      </c>
      <c r="Q81" t="str">
        <f>IF(N81="","",SUMIFS('PR-BOM'!$D$3:$D1001,'PR-BOM'!$C$3:$C1001,N81))</f>
        <v/>
      </c>
      <c r="Y81" t="str">
        <f>IF(X81="","",SUMIFS(Issue!$D$3:$D1001,Issue!$C$3:$C1001,X81))</f>
        <v/>
      </c>
    </row>
    <row r="82" spans="5:25">
      <c r="E82" t="str">
        <f>IF(A82="","",SUMIFS(Issue!$D$3:$D1001,Issue!$C$3:$C1001,A82)*C82)</f>
        <v/>
      </c>
      <c r="F82" t="e">
        <f ca="1">_xludf.IFNA(VLOOKUP(B82,'S-FG'!$B$3:$B1001,1,FALSE),"")</f>
        <v>#NAME?</v>
      </c>
      <c r="H82" t="str">
        <f ca="1">IFERROR(__xludf.DUMMYFUNCTION("""COMPUTED_VALUE"""),"PORT Signal PM Assy")</f>
        <v>PORT Signal PM Assy</v>
      </c>
      <c r="I82" t="str">
        <f ca="1">IFERROR(__xludf.DUMMYFUNCTION("""COMPUTED_VALUE"""),"HeatShrink Tube 1.5mm/1.6mm")</f>
        <v>HeatShrink Tube 1.5mm/1.6mm</v>
      </c>
      <c r="J82" s="235">
        <f ca="1">IFERROR(__xludf.DUMMYFUNCTION("""COMPUTED_VALUE"""),0.15)</f>
        <v>0.15</v>
      </c>
      <c r="L82">
        <f t="shared" ca="1" si="0"/>
        <v>0</v>
      </c>
      <c r="Q82" t="str">
        <f>IF(N82="","",SUMIFS('PR-BOM'!$D$3:$D1001,'PR-BOM'!$C$3:$C1001,N82))</f>
        <v/>
      </c>
      <c r="Y82" t="str">
        <f>IF(X82="","",SUMIFS(Issue!$D$3:$D1001,Issue!$C$3:$C1001,X82))</f>
        <v/>
      </c>
    </row>
    <row r="83" spans="5:25">
      <c r="E83" t="str">
        <f>IF(A83="","",SUMIFS(Issue!$D$3:$D1001,Issue!$C$3:$C1001,A83)*C83)</f>
        <v/>
      </c>
      <c r="F83" t="e">
        <f ca="1">_xludf.IFNA(VLOOKUP(B83,'S-FG'!$B$3:$B1001,1,FALSE),"")</f>
        <v>#NAME?</v>
      </c>
      <c r="H83" t="str">
        <f ca="1">IFERROR(__xludf.DUMMYFUNCTION("""COMPUTED_VALUE"""),"PORT Signal PM Assy")</f>
        <v>PORT Signal PM Assy</v>
      </c>
      <c r="I83" t="str">
        <f ca="1">IFERROR(__xludf.DUMMYFUNCTION("""COMPUTED_VALUE"""),"Teroson MS930")</f>
        <v>Teroson MS930</v>
      </c>
      <c r="J83" s="235">
        <f ca="1">IFERROR(__xludf.DUMMYFUNCTION("""COMPUTED_VALUE"""),2)</f>
        <v>2</v>
      </c>
      <c r="K83" t="str">
        <f ca="1">IFERROR(__xludf.DUMMYFUNCTION("""COMPUTED_VALUE"""),"#N/A")</f>
        <v>#N/A</v>
      </c>
      <c r="L83">
        <f t="shared" ca="1" si="0"/>
        <v>0</v>
      </c>
      <c r="Q83" t="str">
        <f>IF(N83="","",SUMIFS('PR-BOM'!$D$3:$D1001,'PR-BOM'!$C$3:$C1001,N83))</f>
        <v/>
      </c>
      <c r="Y83" t="str">
        <f>IF(X83="","",SUMIFS(Issue!$D$3:$D1001,Issue!$C$3:$C1001,X83))</f>
        <v/>
      </c>
    </row>
    <row r="84" spans="5:25">
      <c r="E84" t="str">
        <f>IF(A84="","",SUMIFS(Issue!$D$3:$D1001,Issue!$C$3:$C1001,A84)*C84)</f>
        <v/>
      </c>
      <c r="F84" t="e">
        <f ca="1">_xludf.IFNA(VLOOKUP(B84,'S-FG'!$B$3:$B1001,1,FALSE),"")</f>
        <v>#NAME?</v>
      </c>
      <c r="H84" t="str">
        <f ca="1">IFERROR(__xludf.DUMMYFUNCTION("""COMPUTED_VALUE"""),"PORT Signal PM Assy")</f>
        <v>PORT Signal PM Assy</v>
      </c>
      <c r="I84" t="str">
        <f ca="1">IFERROR(__xludf.DUMMYFUNCTION("""COMPUTED_VALUE"""),"Silicon RTV 734 Potting compound")</f>
        <v>Silicon RTV 734 Potting compound</v>
      </c>
      <c r="J84" s="235">
        <f ca="1">IFERROR(__xludf.DUMMYFUNCTION("""COMPUTED_VALUE"""),5)</f>
        <v>5</v>
      </c>
      <c r="K84" t="str">
        <f ca="1">IFERROR(__xludf.DUMMYFUNCTION("""COMPUTED_VALUE"""),"#N/A")</f>
        <v>#N/A</v>
      </c>
      <c r="L84">
        <f t="shared" ca="1" si="0"/>
        <v>0</v>
      </c>
      <c r="Q84" t="str">
        <f>IF(N84="","",SUMIFS('PR-BOM'!$D$3:$D1001,'PR-BOM'!$C$3:$C1001,N84))</f>
        <v/>
      </c>
      <c r="Y84" t="str">
        <f>IF(X84="","",SUMIFS(Issue!$D$3:$D1001,Issue!$C$3:$C1001,X84))</f>
        <v/>
      </c>
    </row>
    <row r="85" spans="5:25">
      <c r="E85" t="str">
        <f>IF(A85="","",SUMIFS(Issue!$D$3:$D1001,Issue!$C$3:$C1001,A85)*C85)</f>
        <v/>
      </c>
      <c r="F85" t="e">
        <f ca="1">_xludf.IFNA(VLOOKUP(B85,'S-FG'!$B$3:$B1001,1,FALSE),"")</f>
        <v>#NAME?</v>
      </c>
      <c r="H85" t="str">
        <f ca="1">IFERROR(__xludf.DUMMYFUNCTION("""COMPUTED_VALUE"""),"PORT Signal PM Assy")</f>
        <v>PORT Signal PM Assy</v>
      </c>
      <c r="I85" t="str">
        <f ca="1">IFERROR(__xludf.DUMMYFUNCTION("""COMPUTED_VALUE"""),"Lead wire 22AWG")</f>
        <v>Lead wire 22AWG</v>
      </c>
      <c r="J85" s="235">
        <f ca="1">IFERROR(__xludf.DUMMYFUNCTION("""COMPUTED_VALUE"""),5)</f>
        <v>5</v>
      </c>
      <c r="L85">
        <f t="shared" ca="1" si="0"/>
        <v>0</v>
      </c>
      <c r="Q85" t="str">
        <f>IF(N85="","",SUMIFS('PR-BOM'!$D$3:$D1001,'PR-BOM'!$C$3:$C1001,N85))</f>
        <v/>
      </c>
      <c r="Y85" t="str">
        <f>IF(X85="","",SUMIFS(Issue!$D$3:$D1001,Issue!$C$3:$C1001,X85))</f>
        <v/>
      </c>
    </row>
    <row r="86" spans="5:25">
      <c r="E86" t="str">
        <f>IF(A86="","",SUMIFS(Issue!$D$3:$D1001,Issue!$C$3:$C1001,A86)*C86)</f>
        <v/>
      </c>
      <c r="F86" t="e">
        <f ca="1">_xludf.IFNA(VLOOKUP(B86,'S-FG'!$B$3:$B1001,1,FALSE),"")</f>
        <v>#NAME?</v>
      </c>
      <c r="H86" t="str">
        <f ca="1">IFERROR(__xludf.DUMMYFUNCTION("""COMPUTED_VALUE"""),"PORT Signal CM Assy")</f>
        <v>PORT Signal CM Assy</v>
      </c>
      <c r="I86" t="str">
        <f ca="1">IFERROR(__xludf.DUMMYFUNCTION("""COMPUTED_VALUE"""),"2mm male bullet connector")</f>
        <v>2mm male bullet connector</v>
      </c>
      <c r="J86" s="235">
        <f ca="1">IFERROR(__xludf.DUMMYFUNCTION("""COMPUTED_VALUE"""),0)</f>
        <v>0</v>
      </c>
      <c r="K86" t="str">
        <f ca="1">IFERROR(__xludf.DUMMYFUNCTION("""COMPUTED_VALUE"""),"#N/A")</f>
        <v>#N/A</v>
      </c>
      <c r="L86">
        <f t="shared" ca="1" si="0"/>
        <v>0</v>
      </c>
      <c r="Q86" t="str">
        <f>IF(N86="","",SUMIFS('PR-BOM'!$D$3:$D1001,'PR-BOM'!$C$3:$C1001,N86))</f>
        <v/>
      </c>
      <c r="Y86" t="str">
        <f>IF(X86="","",SUMIFS(Issue!$D$3:$D1001,Issue!$C$3:$C1001,X86))</f>
        <v/>
      </c>
    </row>
    <row r="87" spans="5:25">
      <c r="E87" t="str">
        <f>IF(A87="","",SUMIFS(Issue!$D$3:$D1001,Issue!$C$3:$C1001,A87)*C87)</f>
        <v/>
      </c>
      <c r="F87" t="e">
        <f ca="1">_xludf.IFNA(VLOOKUP(B87,'S-FG'!$B$3:$B1001,1,FALSE),"")</f>
        <v>#NAME?</v>
      </c>
      <c r="H87" t="str">
        <f ca="1">IFERROR(__xludf.DUMMYFUNCTION("""COMPUTED_VALUE"""),"PORT Signal CM Assy")</f>
        <v>PORT Signal CM Assy</v>
      </c>
      <c r="I87" t="str">
        <f ca="1">IFERROR(__xludf.DUMMYFUNCTION("""COMPUTED_VALUE"""),"2mm Female Bullet connector")</f>
        <v>2mm Female Bullet connector</v>
      </c>
      <c r="J87" s="235">
        <f ca="1">IFERROR(__xludf.DUMMYFUNCTION("""COMPUTED_VALUE"""),0)</f>
        <v>0</v>
      </c>
      <c r="K87" t="str">
        <f ca="1">IFERROR(__xludf.DUMMYFUNCTION("""COMPUTED_VALUE"""),"#N/A")</f>
        <v>#N/A</v>
      </c>
      <c r="L87">
        <f t="shared" ca="1" si="0"/>
        <v>0</v>
      </c>
      <c r="Q87" t="str">
        <f>IF(N87="","",SUMIFS('PR-BOM'!$D$3:$D1001,'PR-BOM'!$C$3:$C1001,N87))</f>
        <v/>
      </c>
      <c r="Y87" t="str">
        <f>IF(X87="","",SUMIFS(Issue!$D$3:$D1001,Issue!$C$3:$C1001,X87))</f>
        <v/>
      </c>
    </row>
    <row r="88" spans="5:25">
      <c r="E88" t="str">
        <f>IF(A88="","",SUMIFS(Issue!$D$3:$D1001,Issue!$C$3:$C1001,A88)*C88)</f>
        <v/>
      </c>
      <c r="F88" t="e">
        <f ca="1">_xludf.IFNA(VLOOKUP(B88,'S-FG'!$B$3:$B1001,1,FALSE),"")</f>
        <v>#NAME?</v>
      </c>
      <c r="H88" t="str">
        <f ca="1">IFERROR(__xludf.DUMMYFUNCTION("""COMPUTED_VALUE"""),"PORT Signal CM Assy")</f>
        <v>PORT Signal CM Assy</v>
      </c>
      <c r="I88" t="str">
        <f ca="1">IFERROR(__xludf.DUMMYFUNCTION("""COMPUTED_VALUE"""),"Lead wire 22AWG")</f>
        <v>Lead wire 22AWG</v>
      </c>
      <c r="J88" s="235">
        <f ca="1">IFERROR(__xludf.DUMMYFUNCTION("""COMPUTED_VALUE"""),5)</f>
        <v>5</v>
      </c>
      <c r="L88">
        <f t="shared" ca="1" si="0"/>
        <v>0</v>
      </c>
      <c r="Q88" t="str">
        <f>IF(N88="","",SUMIFS('PR-BOM'!$D$3:$D1001,'PR-BOM'!$C$3:$C1001,N88))</f>
        <v/>
      </c>
      <c r="Y88" t="str">
        <f>IF(X88="","",SUMIFS(Issue!$D$3:$D1001,Issue!$C$3:$C1001,X88))</f>
        <v/>
      </c>
    </row>
    <row r="89" spans="5:25">
      <c r="E89" t="str">
        <f>IF(A89="","",SUMIFS(Issue!$D$3:$D1001,Issue!$C$3:$C1001,A89)*C89)</f>
        <v/>
      </c>
      <c r="F89" t="e">
        <f ca="1">_xludf.IFNA(VLOOKUP(B89,'S-FG'!$B$3:$B1001,1,FALSE),"")</f>
        <v>#NAME?</v>
      </c>
      <c r="H89" t="str">
        <f ca="1">IFERROR(__xludf.DUMMYFUNCTION("""COMPUTED_VALUE"""),"PORT Signal CM Assy")</f>
        <v>PORT Signal CM Assy</v>
      </c>
      <c r="I89" t="str">
        <f ca="1">IFERROR(__xludf.DUMMYFUNCTION("""COMPUTED_VALUE"""),"Soldering flux")</f>
        <v>Soldering flux</v>
      </c>
      <c r="J89" s="235">
        <f ca="1">IFERROR(__xludf.DUMMYFUNCTION("""COMPUTED_VALUE"""),2)</f>
        <v>2</v>
      </c>
      <c r="L89">
        <f t="shared" ca="1" si="0"/>
        <v>0</v>
      </c>
      <c r="Q89" t="str">
        <f>IF(N89="","",SUMIFS('PR-BOM'!$D$3:$D1001,'PR-BOM'!$C$3:$C1001,N89))</f>
        <v/>
      </c>
      <c r="Y89" t="str">
        <f>IF(X89="","",SUMIFS(Issue!$D$3:$D1001,Issue!$C$3:$C1001,X89))</f>
        <v/>
      </c>
    </row>
    <row r="90" spans="5:25">
      <c r="E90" t="str">
        <f>IF(A90="","",SUMIFS(Issue!$D$3:$D1001,Issue!$C$3:$C1001,A90)*C90)</f>
        <v/>
      </c>
      <c r="F90" t="e">
        <f ca="1">_xludf.IFNA(VLOOKUP(B90,'S-FG'!$B$3:$B1001,1,FALSE),"")</f>
        <v>#NAME?</v>
      </c>
      <c r="H90" t="str">
        <f ca="1">IFERROR(__xludf.DUMMYFUNCTION("""COMPUTED_VALUE"""),"PORT Signal CM Assy")</f>
        <v>PORT Signal CM Assy</v>
      </c>
      <c r="I90" t="str">
        <f ca="1">IFERROR(__xludf.DUMMYFUNCTION("""COMPUTED_VALUE"""),"LM61 Temperature Sensor")</f>
        <v>LM61 Temperature Sensor</v>
      </c>
      <c r="J90" s="235">
        <f ca="1">IFERROR(__xludf.DUMMYFUNCTION("""COMPUTED_VALUE"""),1)</f>
        <v>1</v>
      </c>
      <c r="K90" t="str">
        <f ca="1">IFERROR(__xludf.DUMMYFUNCTION("""COMPUTED_VALUE"""),"LM61BIZ/NOPB")</f>
        <v>LM61BIZ/NOPB</v>
      </c>
      <c r="L90">
        <f t="shared" ca="1" si="0"/>
        <v>0</v>
      </c>
      <c r="Q90" t="str">
        <f>IF(N90="","",SUMIFS('PR-BOM'!$D$3:$D1001,'PR-BOM'!$C$3:$C1001,N90))</f>
        <v/>
      </c>
      <c r="Y90" t="str">
        <f>IF(X90="","",SUMIFS(Issue!$D$3:$D1001,Issue!$C$3:$C1001,X90))</f>
        <v/>
      </c>
    </row>
    <row r="91" spans="5:25">
      <c r="E91" t="str">
        <f>IF(A91="","",SUMIFS(Issue!$D$3:$D1001,Issue!$C$3:$C1001,A91)*C91)</f>
        <v/>
      </c>
      <c r="F91" t="e">
        <f ca="1">_xludf.IFNA(VLOOKUP(B91,'S-FG'!$B$3:$B1001,1,FALSE),"")</f>
        <v>#NAME?</v>
      </c>
      <c r="H91" t="str">
        <f ca="1">IFERROR(__xludf.DUMMYFUNCTION("""COMPUTED_VALUE"""),"PORT Signal CM Assy")</f>
        <v>PORT Signal CM Assy</v>
      </c>
      <c r="I91" t="str">
        <f ca="1">IFERROR(__xludf.DUMMYFUNCTION("""COMPUTED_VALUE"""),"20Core Wire 14/38")</f>
        <v>20Core Wire 14/38</v>
      </c>
      <c r="J91" s="235">
        <f ca="1">IFERROR(__xludf.DUMMYFUNCTION("""COMPUTED_VALUE"""),0.85)</f>
        <v>0.85</v>
      </c>
      <c r="K91" t="str">
        <f ca="1">IFERROR(__xludf.DUMMYFUNCTION("""COMPUTED_VALUE"""),"#N/A")</f>
        <v>#N/A</v>
      </c>
      <c r="L91">
        <f t="shared" ca="1" si="0"/>
        <v>0</v>
      </c>
      <c r="Q91" t="str">
        <f>IF(N91="","",SUMIFS('PR-BOM'!$D$3:$D1001,'PR-BOM'!$C$3:$C1001,N91))</f>
        <v/>
      </c>
      <c r="Y91" t="str">
        <f>IF(X91="","",SUMIFS(Issue!$D$3:$D1001,Issue!$C$3:$C1001,X91))</f>
        <v/>
      </c>
    </row>
    <row r="92" spans="5:25">
      <c r="E92" t="str">
        <f>IF(A92="","",SUMIFS(Issue!$D$3:$D1001,Issue!$C$3:$C1001,A92)*C92)</f>
        <v/>
      </c>
      <c r="F92" t="e">
        <f ca="1">_xludf.IFNA(VLOOKUP(B92,'S-FG'!$B$3:$B1001,1,FALSE),"")</f>
        <v>#NAME?</v>
      </c>
      <c r="H92" t="str">
        <f ca="1">IFERROR(__xludf.DUMMYFUNCTION("""COMPUTED_VALUE"""),"PORT Signal CM Assy")</f>
        <v>PORT Signal CM Assy</v>
      </c>
      <c r="I92" t="str">
        <f ca="1">IFERROR(__xludf.DUMMYFUNCTION("""COMPUTED_VALUE"""),"Black 14/38 Wire")</f>
        <v>Black 14/38 Wire</v>
      </c>
      <c r="J92" s="235">
        <f ca="1">IFERROR(__xludf.DUMMYFUNCTION("""COMPUTED_VALUE"""),0.15)</f>
        <v>0.15</v>
      </c>
      <c r="L92">
        <f t="shared" ca="1" si="0"/>
        <v>0</v>
      </c>
      <c r="Q92" t="str">
        <f>IF(N92="","",SUMIFS('PR-BOM'!$D$3:$D1001,'PR-BOM'!$C$3:$C1001,N92))</f>
        <v/>
      </c>
      <c r="Y92" t="str">
        <f>IF(X92="","",SUMIFS(Issue!$D$3:$D1001,Issue!$C$3:$C1001,X92))</f>
        <v/>
      </c>
    </row>
    <row r="93" spans="5:25">
      <c r="E93" t="str">
        <f>IF(A93="","",SUMIFS(Issue!$D$3:$D1001,Issue!$C$3:$C1001,A93)*C93)</f>
        <v/>
      </c>
      <c r="F93" t="e">
        <f ca="1">_xludf.IFNA(VLOOKUP(B93,'S-FG'!$B$3:$B1001,1,FALSE),"")</f>
        <v>#NAME?</v>
      </c>
      <c r="H93" t="str">
        <f ca="1">IFERROR(__xludf.DUMMYFUNCTION("""COMPUTED_VALUE"""),"PORT Signal CM Assy")</f>
        <v>PORT Signal CM Assy</v>
      </c>
      <c r="I93" t="str">
        <f ca="1">IFERROR(__xludf.DUMMYFUNCTION("""COMPUTED_VALUE"""),"SY21-15 pin Cable Mount")</f>
        <v>SY21-15 pin Cable Mount</v>
      </c>
      <c r="J93" s="235">
        <f ca="1">IFERROR(__xludf.DUMMYFUNCTION("""COMPUTED_VALUE"""),1)</f>
        <v>1</v>
      </c>
      <c r="K93" t="str">
        <f ca="1">IFERROR(__xludf.DUMMYFUNCTION("""COMPUTED_VALUE"""),"#N/A")</f>
        <v>#N/A</v>
      </c>
      <c r="L93">
        <f t="shared" ca="1" si="0"/>
        <v>0</v>
      </c>
      <c r="Q93" t="str">
        <f>IF(N93="","",SUMIFS('PR-BOM'!$D$3:$D1001,'PR-BOM'!$C$3:$C1001,N93))</f>
        <v/>
      </c>
      <c r="Y93" t="str">
        <f>IF(X93="","",SUMIFS(Issue!$D$3:$D1001,Issue!$C$3:$C1001,X93))</f>
        <v/>
      </c>
    </row>
    <row r="94" spans="5:25">
      <c r="E94" t="str">
        <f>IF(A94="","",SUMIFS(Issue!$D$3:$D1001,Issue!$C$3:$C1001,A94)*C94)</f>
        <v/>
      </c>
      <c r="F94" t="e">
        <f ca="1">_xludf.IFNA(VLOOKUP(B94,'S-FG'!$B$3:$B1001,1,FALSE),"")</f>
        <v>#NAME?</v>
      </c>
      <c r="H94" t="str">
        <f ca="1">IFERROR(__xludf.DUMMYFUNCTION("""COMPUTED_VALUE"""),"PORT Signal CM Assy")</f>
        <v>PORT Signal CM Assy</v>
      </c>
      <c r="I94" t="str">
        <f ca="1">IFERROR(__xludf.DUMMYFUNCTION("""COMPUTED_VALUE"""),"BlueRobotics Leak")</f>
        <v>BlueRobotics Leak</v>
      </c>
      <c r="J94" s="235">
        <f ca="1">IFERROR(__xludf.DUMMYFUNCTION("""COMPUTED_VALUE"""),1)</f>
        <v>1</v>
      </c>
      <c r="K94" t="str">
        <f ca="1">IFERROR(__xludf.DUMMYFUNCTION("""COMPUTED_VALUE"""),"#N/A")</f>
        <v>#N/A</v>
      </c>
      <c r="L94">
        <f t="shared" ca="1" si="0"/>
        <v>0</v>
      </c>
      <c r="Q94" t="str">
        <f>IF(N94="","",SUMIFS('PR-BOM'!$D$3:$D1001,'PR-BOM'!$C$3:$C1001,N94))</f>
        <v/>
      </c>
      <c r="Y94" t="str">
        <f>IF(X94="","",SUMIFS(Issue!$D$3:$D1001,Issue!$C$3:$C1001,X94))</f>
        <v/>
      </c>
    </row>
    <row r="95" spans="5:25">
      <c r="E95" t="str">
        <f>IF(A95="","",SUMIFS(Issue!$D$3:$D1001,Issue!$C$3:$C1001,A95)*C95)</f>
        <v/>
      </c>
      <c r="F95" t="e">
        <f ca="1">_xludf.IFNA(VLOOKUP(B95,'S-FG'!$B$3:$B1001,1,FALSE),"")</f>
        <v>#NAME?</v>
      </c>
      <c r="H95" t="str">
        <f ca="1">IFERROR(__xludf.DUMMYFUNCTION("""COMPUTED_VALUE"""),"PORT Signal CM Assy")</f>
        <v>PORT Signal CM Assy</v>
      </c>
      <c r="I95" t="str">
        <f ca="1">IFERROR(__xludf.DUMMYFUNCTION("""COMPUTED_VALUE"""),"HeatShrink Tube 4:1")</f>
        <v>HeatShrink Tube 4:1</v>
      </c>
      <c r="J95" s="235">
        <f ca="1">IFERROR(__xludf.DUMMYFUNCTION("""COMPUTED_VALUE"""),0.05)</f>
        <v>0.05</v>
      </c>
      <c r="K95" t="str">
        <f ca="1">IFERROR(__xludf.DUMMYFUNCTION("""COMPUTED_VALUE"""),"#N/A")</f>
        <v>#N/A</v>
      </c>
      <c r="L95">
        <f t="shared" ca="1" si="0"/>
        <v>0</v>
      </c>
      <c r="Q95" t="str">
        <f>IF(N95="","",SUMIFS('PR-BOM'!$D$3:$D1001,'PR-BOM'!$C$3:$C1001,N95))</f>
        <v/>
      </c>
      <c r="Y95" t="str">
        <f>IF(X95="","",SUMIFS(Issue!$D$3:$D1001,Issue!$C$3:$C1001,X95))</f>
        <v/>
      </c>
    </row>
    <row r="96" spans="5:25">
      <c r="E96" t="str">
        <f>IF(A96="","",SUMIFS(Issue!$D$3:$D1001,Issue!$C$3:$C1001,A96)*C96)</f>
        <v/>
      </c>
      <c r="F96" t="e">
        <f ca="1">_xludf.IFNA(VLOOKUP(B96,'S-FG'!$B$3:$B1001,1,FALSE),"")</f>
        <v>#NAME?</v>
      </c>
      <c r="H96" t="str">
        <f ca="1">IFERROR(__xludf.DUMMYFUNCTION("""COMPUTED_VALUE"""),"PORT Signal CM Assy")</f>
        <v>PORT Signal CM Assy</v>
      </c>
      <c r="I96" t="str">
        <f ca="1">IFERROR(__xludf.DUMMYFUNCTION("""COMPUTED_VALUE"""),"HeatShrink Tube 12:3")</f>
        <v>HeatShrink Tube 12:3</v>
      </c>
      <c r="J96" s="235">
        <f ca="1">IFERROR(__xludf.DUMMYFUNCTION("""COMPUTED_VALUE"""),0.1)</f>
        <v>0.1</v>
      </c>
      <c r="K96" t="str">
        <f ca="1">IFERROR(__xludf.DUMMYFUNCTION("""COMPUTED_VALUE"""),"#N/A")</f>
        <v>#N/A</v>
      </c>
      <c r="L96">
        <f t="shared" ca="1" si="0"/>
        <v>0</v>
      </c>
      <c r="Q96" t="str">
        <f>IF(N96="","",SUMIFS('PR-BOM'!$D$3:$D1001,'PR-BOM'!$C$3:$C1001,N96))</f>
        <v/>
      </c>
      <c r="Y96" t="str">
        <f>IF(X96="","",SUMIFS(Issue!$D$3:$D1001,Issue!$C$3:$C1001,X96))</f>
        <v/>
      </c>
    </row>
    <row r="97" spans="5:25">
      <c r="E97" t="str">
        <f>IF(A97="","",SUMIFS(Issue!$D$3:$D1001,Issue!$C$3:$C1001,A97)*C97)</f>
        <v/>
      </c>
      <c r="F97" t="e">
        <f ca="1">_xludf.IFNA(VLOOKUP(B97,'S-FG'!$B$3:$B1001,1,FALSE),"")</f>
        <v>#NAME?</v>
      </c>
      <c r="H97" t="str">
        <f ca="1">IFERROR(__xludf.DUMMYFUNCTION("""COMPUTED_VALUE"""),"PORT Signal CM Assy")</f>
        <v>PORT Signal CM Assy</v>
      </c>
      <c r="I97" t="str">
        <f ca="1">IFERROR(__xludf.DUMMYFUNCTION("""COMPUTED_VALUE"""),"HeatShrink Tube 1.5mm/1.6mm")</f>
        <v>HeatShrink Tube 1.5mm/1.6mm</v>
      </c>
      <c r="J97" s="235">
        <f ca="1">IFERROR(__xludf.DUMMYFUNCTION("""COMPUTED_VALUE"""),0.15)</f>
        <v>0.15</v>
      </c>
      <c r="L97">
        <f t="shared" ca="1" si="0"/>
        <v>0</v>
      </c>
      <c r="Q97" t="str">
        <f>IF(N97="","",SUMIFS('PR-BOM'!$D$3:$D1001,'PR-BOM'!$C$3:$C1001,N97))</f>
        <v/>
      </c>
      <c r="Y97" t="str">
        <f>IF(X97="","",SUMIFS(Issue!$D$3:$D1001,Issue!$C$3:$C1001,X97))</f>
        <v/>
      </c>
    </row>
    <row r="98" spans="5:25">
      <c r="E98" t="str">
        <f>IF(A98="","",SUMIFS(Issue!$D$3:$D1001,Issue!$C$3:$C1001,A98)*C98)</f>
        <v/>
      </c>
      <c r="F98" t="e">
        <f ca="1">_xludf.IFNA(VLOOKUP(B98,'S-FG'!$B$3:$B1001,1,FALSE),"")</f>
        <v>#NAME?</v>
      </c>
      <c r="H98" t="str">
        <f ca="1">IFERROR(__xludf.DUMMYFUNCTION("""COMPUTED_VALUE"""),"PORT Signal CM Assy")</f>
        <v>PORT Signal CM Assy</v>
      </c>
      <c r="I98" t="str">
        <f ca="1">IFERROR(__xludf.DUMMYFUNCTION("""COMPUTED_VALUE"""),"1uF 0805 PANASONIC")</f>
        <v>1uF 0805 PANASONIC</v>
      </c>
      <c r="J98" s="235">
        <f ca="1">IFERROR(__xludf.DUMMYFUNCTION("""COMPUTED_VALUE"""),1)</f>
        <v>1</v>
      </c>
      <c r="K98" t="str">
        <f ca="1">IFERROR(__xludf.DUMMYFUNCTION("""COMPUTED_VALUE"""),"GCM21BR71E105KA56L")</f>
        <v>GCM21BR71E105KA56L</v>
      </c>
      <c r="L98">
        <f t="shared" ca="1" si="0"/>
        <v>0</v>
      </c>
      <c r="Q98" t="str">
        <f>IF(N98="","",SUMIFS('PR-BOM'!$D$3:$D1001,'PR-BOM'!$C$3:$C1001,N98))</f>
        <v/>
      </c>
      <c r="Y98" t="str">
        <f>IF(X98="","",SUMIFS(Issue!$D$3:$D1001,Issue!$C$3:$C1001,X98))</f>
        <v/>
      </c>
    </row>
    <row r="99" spans="5:25">
      <c r="E99" t="str">
        <f>IF(A99="","",SUMIFS(Issue!$D$3:$D1001,Issue!$C$3:$C1001,A99)*C99)</f>
        <v/>
      </c>
      <c r="F99" t="e">
        <f ca="1">_xludf.IFNA(VLOOKUP(B99,'S-FG'!$B$3:$B1001,1,FALSE),"")</f>
        <v>#NAME?</v>
      </c>
      <c r="H99" t="str">
        <f ca="1">IFERROR(__xludf.DUMMYFUNCTION("""COMPUTED_VALUE"""),"PORT Signal CM Assy")</f>
        <v>PORT Signal CM Assy</v>
      </c>
      <c r="I99" t="str">
        <f ca="1">IFERROR(__xludf.DUMMYFUNCTION("""COMPUTED_VALUE"""),"HeatShrink Tube 3:1")</f>
        <v>HeatShrink Tube 3:1</v>
      </c>
      <c r="J99" s="235">
        <f ca="1">IFERROR(__xludf.DUMMYFUNCTION("""COMPUTED_VALUE"""),0.1)</f>
        <v>0.1</v>
      </c>
      <c r="K99" t="str">
        <f ca="1">IFERROR(__xludf.DUMMYFUNCTION("""COMPUTED_VALUE"""),"#N/A")</f>
        <v>#N/A</v>
      </c>
      <c r="L99">
        <f t="shared" ca="1" si="0"/>
        <v>0</v>
      </c>
      <c r="Q99" t="str">
        <f>IF(N99="","",SUMIFS('PR-BOM'!$D$3:$D1001,'PR-BOM'!$C$3:$C1001,N99))</f>
        <v/>
      </c>
      <c r="Y99" t="str">
        <f>IF(X99="","",SUMIFS(Issue!$D$3:$D1001,Issue!$C$3:$C1001,X99))</f>
        <v/>
      </c>
    </row>
    <row r="100" spans="5:25">
      <c r="E100" t="str">
        <f>IF(A100="","",SUMIFS(Issue!$D$3:$D1001,Issue!$C$3:$C1001,A100)*C100)</f>
        <v/>
      </c>
      <c r="F100" t="e">
        <f ca="1">_xludf.IFNA(VLOOKUP(B100,'S-FG'!$B$3:$B1001,1,FALSE),"")</f>
        <v>#NAME?</v>
      </c>
      <c r="H100" t="str">
        <f ca="1">IFERROR(__xludf.DUMMYFUNCTION("""COMPUTED_VALUE"""),"PORT Signal CM Assy")</f>
        <v>PORT Signal CM Assy</v>
      </c>
      <c r="I100" t="str">
        <f ca="1">IFERROR(__xludf.DUMMYFUNCTION("""COMPUTED_VALUE"""),"Silicon RTV 734 Potting compound")</f>
        <v>Silicon RTV 734 Potting compound</v>
      </c>
      <c r="J100" s="235">
        <f ca="1">IFERROR(__xludf.DUMMYFUNCTION("""COMPUTED_VALUE"""),10)</f>
        <v>10</v>
      </c>
      <c r="K100" t="str">
        <f ca="1">IFERROR(__xludf.DUMMYFUNCTION("""COMPUTED_VALUE"""),"#N/A")</f>
        <v>#N/A</v>
      </c>
      <c r="L100">
        <f t="shared" ca="1" si="0"/>
        <v>0</v>
      </c>
      <c r="Q100" t="str">
        <f>IF(N100="","",SUMIFS('PR-BOM'!$D$3:$D1001,'PR-BOM'!$C$3:$C1001,N100))</f>
        <v/>
      </c>
      <c r="Y100" t="str">
        <f>IF(X100="","",SUMIFS(Issue!$D$3:$D1001,Issue!$C$3:$C1001,X100))</f>
        <v/>
      </c>
    </row>
    <row r="101" spans="5:25">
      <c r="E101" t="str">
        <f>IF(A101="","",SUMIFS(Issue!$D$3:$D1001,Issue!$C$3:$C1001,A101)*C101)</f>
        <v/>
      </c>
      <c r="F101" t="e">
        <f ca="1">_xludf.IFNA(VLOOKUP(B101,'S-FG'!$B$3:$B1001,1,FALSE),"")</f>
        <v>#NAME?</v>
      </c>
      <c r="H101" t="str">
        <f ca="1">IFERROR(__xludf.DUMMYFUNCTION("""COMPUTED_VALUE"""),"Charging PM Assy")</f>
        <v>Charging PM Assy</v>
      </c>
      <c r="I101" t="str">
        <f ca="1">IFERROR(__xludf.DUMMYFUNCTION("""COMPUTED_VALUE"""),"2mm male bullet connector")</f>
        <v>2mm male bullet connector</v>
      </c>
      <c r="J101" s="235">
        <f ca="1">IFERROR(__xludf.DUMMYFUNCTION("""COMPUTED_VALUE"""),1)</f>
        <v>1</v>
      </c>
      <c r="K101" t="str">
        <f ca="1">IFERROR(__xludf.DUMMYFUNCTION("""COMPUTED_VALUE"""),"#N/A")</f>
        <v>#N/A</v>
      </c>
      <c r="L101">
        <f t="shared" ca="1" si="0"/>
        <v>0</v>
      </c>
      <c r="Q101" t="str">
        <f>IF(N101="","",SUMIFS('PR-BOM'!$D$3:$D1001,'PR-BOM'!$C$3:$C1001,N101))</f>
        <v/>
      </c>
      <c r="Y101" t="str">
        <f>IF(X101="","",SUMIFS(Issue!$D$3:$D1001,Issue!$C$3:$C1001,X101))</f>
        <v/>
      </c>
    </row>
    <row r="102" spans="5:25">
      <c r="E102" t="str">
        <f>IF(A102="","",SUMIFS(Issue!$D$3:$D1001,Issue!$C$3:$C1001,A102)*C102)</f>
        <v/>
      </c>
      <c r="F102" t="e">
        <f ca="1">_xludf.IFNA(VLOOKUP(B102,'S-FG'!$B$3:$B1001,1,FALSE),"")</f>
        <v>#NAME?</v>
      </c>
      <c r="H102" t="str">
        <f ca="1">IFERROR(__xludf.DUMMYFUNCTION("""COMPUTED_VALUE"""),"Charging PM Assy")</f>
        <v>Charging PM Assy</v>
      </c>
      <c r="I102" t="str">
        <f ca="1">IFERROR(__xludf.DUMMYFUNCTION("""COMPUTED_VALUE"""),"Black 18 AWG")</f>
        <v>Black 18 AWG</v>
      </c>
      <c r="J102" s="235">
        <f ca="1">IFERROR(__xludf.DUMMYFUNCTION("""COMPUTED_VALUE"""),0.35)</f>
        <v>0.35</v>
      </c>
      <c r="K102" t="str">
        <f ca="1">IFERROR(__xludf.DUMMYFUNCTION("""COMPUTED_VALUE"""),"#N/A")</f>
        <v>#N/A</v>
      </c>
      <c r="L102">
        <f t="shared" ca="1" si="0"/>
        <v>0</v>
      </c>
      <c r="Q102" t="str">
        <f>IF(N102="","",SUMIFS('PR-BOM'!$D$3:$D1001,'PR-BOM'!$C$3:$C1001,N102))</f>
        <v/>
      </c>
      <c r="Y102" t="str">
        <f>IF(X102="","",SUMIFS(Issue!$D$3:$D1001,Issue!$C$3:$C1001,X102))</f>
        <v/>
      </c>
    </row>
    <row r="103" spans="5:25">
      <c r="E103" t="str">
        <f>IF(A103="","",SUMIFS(Issue!$D$3:$D1001,Issue!$C$3:$C1001,A103)*C103)</f>
        <v/>
      </c>
      <c r="F103" t="e">
        <f ca="1">_xludf.IFNA(VLOOKUP(B103,'S-FG'!$B$3:$B1001,1,FALSE),"")</f>
        <v>#NAME?</v>
      </c>
      <c r="H103" t="str">
        <f ca="1">IFERROR(__xludf.DUMMYFUNCTION("""COMPUTED_VALUE"""),"Charging PM Assy")</f>
        <v>Charging PM Assy</v>
      </c>
      <c r="I103" t="str">
        <f ca="1">IFERROR(__xludf.DUMMYFUNCTION("""COMPUTED_VALUE"""),"Black 20 AWG")</f>
        <v>Black 20 AWG</v>
      </c>
      <c r="J103" s="235">
        <f ca="1">IFERROR(__xludf.DUMMYFUNCTION("""COMPUTED_VALUE"""),0.3)</f>
        <v>0.3</v>
      </c>
      <c r="K103" t="str">
        <f ca="1">IFERROR(__xludf.DUMMYFUNCTION("""COMPUTED_VALUE"""),"#N/A")</f>
        <v>#N/A</v>
      </c>
      <c r="L103">
        <f t="shared" ca="1" si="0"/>
        <v>0</v>
      </c>
      <c r="Q103" t="str">
        <f>IF(N103="","",SUMIFS('PR-BOM'!$D$3:$D1001,'PR-BOM'!$C$3:$C1001,N103))</f>
        <v/>
      </c>
      <c r="Y103" t="str">
        <f>IF(X103="","",SUMIFS(Issue!$D$3:$D1001,Issue!$C$3:$C1001,X103))</f>
        <v/>
      </c>
    </row>
    <row r="104" spans="5:25">
      <c r="E104" t="str">
        <f>IF(A104="","",SUMIFS(Issue!$D$3:$D1001,Issue!$C$3:$C1001,A104)*C104)</f>
        <v/>
      </c>
      <c r="F104" t="e">
        <f ca="1">_xludf.IFNA(VLOOKUP(B104,'S-FG'!$B$3:$B1001,1,FALSE),"")</f>
        <v>#NAME?</v>
      </c>
      <c r="H104" t="str">
        <f ca="1">IFERROR(__xludf.DUMMYFUNCTION("""COMPUTED_VALUE"""),"Charging PM Assy")</f>
        <v>Charging PM Assy</v>
      </c>
      <c r="I104" t="str">
        <f ca="1">IFERROR(__xludf.DUMMYFUNCTION("""COMPUTED_VALUE"""),"Red 20 AWG")</f>
        <v>Red 20 AWG</v>
      </c>
      <c r="J104" s="235">
        <f ca="1">IFERROR(__xludf.DUMMYFUNCTION("""COMPUTED_VALUE"""),0.3)</f>
        <v>0.3</v>
      </c>
      <c r="K104" t="str">
        <f ca="1">IFERROR(__xludf.DUMMYFUNCTION("""COMPUTED_VALUE"""),"#N/A")</f>
        <v>#N/A</v>
      </c>
      <c r="L104">
        <f t="shared" ca="1" si="0"/>
        <v>0</v>
      </c>
      <c r="Q104" t="str">
        <f>IF(N104="","",SUMIFS('PR-BOM'!$D$3:$D1001,'PR-BOM'!$C$3:$C1001,N104))</f>
        <v/>
      </c>
      <c r="Y104" t="str">
        <f>IF(X104="","",SUMIFS(Issue!$D$3:$D1001,Issue!$C$3:$C1001,X104))</f>
        <v/>
      </c>
    </row>
    <row r="105" spans="5:25">
      <c r="E105" t="str">
        <f>IF(A105="","",SUMIFS(Issue!$D$3:$D1001,Issue!$C$3:$C1001,A105)*C105)</f>
        <v/>
      </c>
      <c r="F105" t="e">
        <f ca="1">_xludf.IFNA(VLOOKUP(B105,'S-FG'!$B$3:$B1001,1,FALSE),"")</f>
        <v>#NAME?</v>
      </c>
      <c r="H105" t="str">
        <f ca="1">IFERROR(__xludf.DUMMYFUNCTION("""COMPUTED_VALUE"""),"Charging PM Assy")</f>
        <v>Charging PM Assy</v>
      </c>
      <c r="I105" t="str">
        <f ca="1">IFERROR(__xludf.DUMMYFUNCTION("""COMPUTED_VALUE"""),"13 pin JST-XH housing")</f>
        <v>13 pin JST-XH housing</v>
      </c>
      <c r="J105" s="235">
        <f ca="1">IFERROR(__xludf.DUMMYFUNCTION("""COMPUTED_VALUE"""),1)</f>
        <v>1</v>
      </c>
      <c r="K105" t="str">
        <f ca="1">IFERROR(__xludf.DUMMYFUNCTION("""COMPUTED_VALUE"""),"#N/A")</f>
        <v>#N/A</v>
      </c>
      <c r="L105">
        <f t="shared" ca="1" si="0"/>
        <v>0</v>
      </c>
      <c r="Q105" t="str">
        <f>IF(N105="","",SUMIFS('PR-BOM'!$D$3:$D1001,'PR-BOM'!$C$3:$C1001,N105))</f>
        <v/>
      </c>
      <c r="Y105" t="str">
        <f>IF(X105="","",SUMIFS(Issue!$D$3:$D1001,Issue!$C$3:$C1001,X105))</f>
        <v/>
      </c>
    </row>
    <row r="106" spans="5:25">
      <c r="E106" t="str">
        <f>IF(A106="","",SUMIFS(Issue!$D$3:$D1001,Issue!$C$3:$C1001,A106)*C106)</f>
        <v/>
      </c>
      <c r="F106" t="e">
        <f ca="1">_xludf.IFNA(VLOOKUP(B106,'S-FG'!$B$3:$B1001,1,FALSE),"")</f>
        <v>#NAME?</v>
      </c>
      <c r="H106" t="str">
        <f ca="1">IFERROR(__xludf.DUMMYFUNCTION("""COMPUTED_VALUE"""),"Charging PM Assy")</f>
        <v>Charging PM Assy</v>
      </c>
      <c r="I106" t="str">
        <f ca="1">IFERROR(__xludf.DUMMYFUNCTION("""COMPUTED_VALUE"""),"10cm one sided JST crimped Green")</f>
        <v>10cm one sided JST crimped Green</v>
      </c>
      <c r="J106" s="235">
        <f ca="1">IFERROR(__xludf.DUMMYFUNCTION("""COMPUTED_VALUE"""),1)</f>
        <v>1</v>
      </c>
      <c r="K106" t="str">
        <f ca="1">IFERROR(__xludf.DUMMYFUNCTION("""COMPUTED_VALUE"""),"#N/A")</f>
        <v>#N/A</v>
      </c>
      <c r="L106">
        <f t="shared" ca="1" si="0"/>
        <v>0</v>
      </c>
      <c r="Q106" t="str">
        <f>IF(N106="","",SUMIFS('PR-BOM'!$D$3:$D1001,'PR-BOM'!$C$3:$C1001,N106))</f>
        <v/>
      </c>
      <c r="Y106" t="str">
        <f>IF(X106="","",SUMIFS(Issue!$D$3:$D1001,Issue!$C$3:$C1001,X106))</f>
        <v/>
      </c>
    </row>
    <row r="107" spans="5:25">
      <c r="E107" t="str">
        <f>IF(A107="","",SUMIFS(Issue!$D$3:$D1001,Issue!$C$3:$C1001,A107)*C107)</f>
        <v/>
      </c>
      <c r="F107" t="e">
        <f ca="1">_xludf.IFNA(VLOOKUP(B107,'S-FG'!$B$3:$B1001,1,FALSE),"")</f>
        <v>#NAME?</v>
      </c>
      <c r="H107" t="str">
        <f ca="1">IFERROR(__xludf.DUMMYFUNCTION("""COMPUTED_VALUE"""),"Charging PM Assy")</f>
        <v>Charging PM Assy</v>
      </c>
      <c r="I107" t="str">
        <f ca="1">IFERROR(__xludf.DUMMYFUNCTION("""COMPUTED_VALUE"""),"10cm one sided JST crimped Voilet")</f>
        <v>10cm one sided JST crimped Voilet</v>
      </c>
      <c r="J107" s="235">
        <f ca="1">IFERROR(__xludf.DUMMYFUNCTION("""COMPUTED_VALUE"""),1)</f>
        <v>1</v>
      </c>
      <c r="K107" t="str">
        <f ca="1">IFERROR(__xludf.DUMMYFUNCTION("""COMPUTED_VALUE"""),"#N/A")</f>
        <v>#N/A</v>
      </c>
      <c r="L107">
        <f t="shared" ca="1" si="0"/>
        <v>0</v>
      </c>
      <c r="Q107" t="str">
        <f>IF(N107="","",SUMIFS('PR-BOM'!$D$3:$D1001,'PR-BOM'!$C$3:$C1001,N107))</f>
        <v/>
      </c>
      <c r="Y107" t="str">
        <f>IF(X107="","",SUMIFS(Issue!$D$3:$D1001,Issue!$C$3:$C1001,X107))</f>
        <v/>
      </c>
    </row>
    <row r="108" spans="5:25">
      <c r="E108" t="str">
        <f>IF(A108="","",SUMIFS(Issue!$D$3:$D1001,Issue!$C$3:$C1001,A108)*C108)</f>
        <v/>
      </c>
      <c r="F108" t="e">
        <f ca="1">_xludf.IFNA(VLOOKUP(B108,'S-FG'!$B$3:$B1001,1,FALSE),"")</f>
        <v>#NAME?</v>
      </c>
      <c r="H108" t="str">
        <f ca="1">IFERROR(__xludf.DUMMYFUNCTION("""COMPUTED_VALUE"""),"Charging PM Assy")</f>
        <v>Charging PM Assy</v>
      </c>
      <c r="I108" t="str">
        <f ca="1">IFERROR(__xludf.DUMMYFUNCTION("""COMPUTED_VALUE"""),"10cm one sided JST crimped Yellow")</f>
        <v>10cm one sided JST crimped Yellow</v>
      </c>
      <c r="J108" s="235">
        <f ca="1">IFERROR(__xludf.DUMMYFUNCTION("""COMPUTED_VALUE"""),1)</f>
        <v>1</v>
      </c>
      <c r="K108" t="str">
        <f ca="1">IFERROR(__xludf.DUMMYFUNCTION("""COMPUTED_VALUE"""),"#N/A")</f>
        <v>#N/A</v>
      </c>
      <c r="L108">
        <f t="shared" ca="1" si="0"/>
        <v>0</v>
      </c>
      <c r="Q108" t="str">
        <f>IF(N108="","",SUMIFS('PR-BOM'!$D$3:$D1001,'PR-BOM'!$C$3:$C1001,N108))</f>
        <v/>
      </c>
      <c r="Y108" t="str">
        <f>IF(X108="","",SUMIFS(Issue!$D$3:$D1001,Issue!$C$3:$C1001,X108))</f>
        <v/>
      </c>
    </row>
    <row r="109" spans="5:25">
      <c r="E109" t="str">
        <f>IF(A109="","",SUMIFS(Issue!$D$3:$D1001,Issue!$C$3:$C1001,A109)*C109)</f>
        <v/>
      </c>
      <c r="F109" t="e">
        <f ca="1">_xludf.IFNA(VLOOKUP(B109,'S-FG'!$B$3:$B1001,1,FALSE),"")</f>
        <v>#NAME?</v>
      </c>
      <c r="H109" t="str">
        <f ca="1">IFERROR(__xludf.DUMMYFUNCTION("""COMPUTED_VALUE"""),"Charging PM Assy")</f>
        <v>Charging PM Assy</v>
      </c>
      <c r="I109" t="str">
        <f ca="1">IFERROR(__xludf.DUMMYFUNCTION("""COMPUTED_VALUE"""),"10cm one sided JST crimped Sky Blue")</f>
        <v>10cm one sided JST crimped Sky Blue</v>
      </c>
      <c r="J109" s="235">
        <f ca="1">IFERROR(__xludf.DUMMYFUNCTION("""COMPUTED_VALUE"""),1)</f>
        <v>1</v>
      </c>
      <c r="K109" t="str">
        <f ca="1">IFERROR(__xludf.DUMMYFUNCTION("""COMPUTED_VALUE"""),"#N/A")</f>
        <v>#N/A</v>
      </c>
      <c r="L109">
        <f t="shared" ca="1" si="0"/>
        <v>0</v>
      </c>
      <c r="Q109" t="str">
        <f>IF(N109="","",SUMIFS('PR-BOM'!$D$3:$D1001,'PR-BOM'!$C$3:$C1001,N109))</f>
        <v/>
      </c>
      <c r="Y109" t="str">
        <f>IF(X109="","",SUMIFS(Issue!$D$3:$D1001,Issue!$C$3:$C1001,X109))</f>
        <v/>
      </c>
    </row>
    <row r="110" spans="5:25">
      <c r="E110" t="str">
        <f>IF(A110="","",SUMIFS(Issue!$D$3:$D1001,Issue!$C$3:$C1001,A110)*C110)</f>
        <v/>
      </c>
      <c r="F110" t="e">
        <f ca="1">_xludf.IFNA(VLOOKUP(B110,'S-FG'!$B$3:$B1001,1,FALSE),"")</f>
        <v>#NAME?</v>
      </c>
      <c r="H110" t="str">
        <f ca="1">IFERROR(__xludf.DUMMYFUNCTION("""COMPUTED_VALUE"""),"Charging PM Assy")</f>
        <v>Charging PM Assy</v>
      </c>
      <c r="I110" t="str">
        <f ca="1">IFERROR(__xludf.DUMMYFUNCTION("""COMPUTED_VALUE"""),"10cm one sided JST crimped Pink")</f>
        <v>10cm one sided JST crimped Pink</v>
      </c>
      <c r="J110" s="235">
        <f ca="1">IFERROR(__xludf.DUMMYFUNCTION("""COMPUTED_VALUE"""),1)</f>
        <v>1</v>
      </c>
      <c r="K110" t="str">
        <f ca="1">IFERROR(__xludf.DUMMYFUNCTION("""COMPUTED_VALUE"""),"#N/A")</f>
        <v>#N/A</v>
      </c>
      <c r="L110">
        <f t="shared" ca="1" si="0"/>
        <v>0</v>
      </c>
      <c r="Q110" t="str">
        <f>IF(N110="","",SUMIFS('PR-BOM'!$D$3:$D1001,'PR-BOM'!$C$3:$C1001,N110))</f>
        <v/>
      </c>
      <c r="Y110" t="str">
        <f>IF(X110="","",SUMIFS(Issue!$D$3:$D1001,Issue!$C$3:$C1001,X110))</f>
        <v/>
      </c>
    </row>
    <row r="111" spans="5:25">
      <c r="E111" t="str">
        <f>IF(A111="","",SUMIFS(Issue!$D$3:$D1001,Issue!$C$3:$C1001,A111)*C111)</f>
        <v/>
      </c>
      <c r="F111" t="e">
        <f ca="1">_xludf.IFNA(VLOOKUP(B111,'S-FG'!$B$3:$B1001,1,FALSE),"")</f>
        <v>#NAME?</v>
      </c>
      <c r="H111" t="str">
        <f ca="1">IFERROR(__xludf.DUMMYFUNCTION("""COMPUTED_VALUE"""),"Charging PM Assy")</f>
        <v>Charging PM Assy</v>
      </c>
      <c r="I111" t="str">
        <f ca="1">IFERROR(__xludf.DUMMYFUNCTION("""COMPUTED_VALUE"""),"10cm one sided JST crimped Orange")</f>
        <v>10cm one sided JST crimped Orange</v>
      </c>
      <c r="J111" s="235">
        <f ca="1">IFERROR(__xludf.DUMMYFUNCTION("""COMPUTED_VALUE"""),1)</f>
        <v>1</v>
      </c>
      <c r="K111" t="str">
        <f ca="1">IFERROR(__xludf.DUMMYFUNCTION("""COMPUTED_VALUE"""),"#N/A")</f>
        <v>#N/A</v>
      </c>
      <c r="L111">
        <f t="shared" ca="1" si="0"/>
        <v>0</v>
      </c>
      <c r="Q111" t="str">
        <f>IF(N111="","",SUMIFS('PR-BOM'!$D$3:$D1001,'PR-BOM'!$C$3:$C1001,N111))</f>
        <v/>
      </c>
      <c r="Y111" t="str">
        <f>IF(X111="","",SUMIFS(Issue!$D$3:$D1001,Issue!$C$3:$C1001,X111))</f>
        <v/>
      </c>
    </row>
    <row r="112" spans="5:25">
      <c r="E112" t="str">
        <f>IF(A112="","",SUMIFS(Issue!$D$3:$D1001,Issue!$C$3:$C1001,A112)*C112)</f>
        <v/>
      </c>
      <c r="F112" t="e">
        <f ca="1">_xludf.IFNA(VLOOKUP(B112,'S-FG'!$B$3:$B1001,1,FALSE),"")</f>
        <v>#NAME?</v>
      </c>
      <c r="H112" t="str">
        <f ca="1">IFERROR(__xludf.DUMMYFUNCTION("""COMPUTED_VALUE"""),"Charging PM Assy")</f>
        <v>Charging PM Assy</v>
      </c>
      <c r="I112" t="str">
        <f ca="1">IFERROR(__xludf.DUMMYFUNCTION("""COMPUTED_VALUE"""),"10cm one sided JST crimped Dark Blue")</f>
        <v>10cm one sided JST crimped Dark Blue</v>
      </c>
      <c r="J112" s="235">
        <f ca="1">IFERROR(__xludf.DUMMYFUNCTION("""COMPUTED_VALUE"""),1)</f>
        <v>1</v>
      </c>
      <c r="K112" t="str">
        <f ca="1">IFERROR(__xludf.DUMMYFUNCTION("""COMPUTED_VALUE"""),"#N/A")</f>
        <v>#N/A</v>
      </c>
      <c r="L112">
        <f t="shared" ca="1" si="0"/>
        <v>0</v>
      </c>
      <c r="Q112" t="str">
        <f>IF(N112="","",SUMIFS('PR-BOM'!$D$3:$D1001,'PR-BOM'!$C$3:$C1001,N112))</f>
        <v/>
      </c>
      <c r="Y112" t="str">
        <f>IF(X112="","",SUMIFS(Issue!$D$3:$D1001,Issue!$C$3:$C1001,X112))</f>
        <v/>
      </c>
    </row>
    <row r="113" spans="5:25">
      <c r="E113" t="str">
        <f>IF(A113="","",SUMIFS(Issue!$D$3:$D1001,Issue!$C$3:$C1001,A113)*C113)</f>
        <v/>
      </c>
      <c r="F113" t="e">
        <f ca="1">_xludf.IFNA(VLOOKUP(B113,'S-FG'!$B$3:$B1001,1,FALSE),"")</f>
        <v>#NAME?</v>
      </c>
      <c r="H113" t="str">
        <f ca="1">IFERROR(__xludf.DUMMYFUNCTION("""COMPUTED_VALUE"""),"Charging PM Assy")</f>
        <v>Charging PM Assy</v>
      </c>
      <c r="I113" t="str">
        <f ca="1">IFERROR(__xludf.DUMMYFUNCTION("""COMPUTED_VALUE"""),"10cm one sided JST crimped Light Brown")</f>
        <v>10cm one sided JST crimped Light Brown</v>
      </c>
      <c r="J113" s="235">
        <f ca="1">IFERROR(__xludf.DUMMYFUNCTION("""COMPUTED_VALUE"""),1)</f>
        <v>1</v>
      </c>
      <c r="K113" t="str">
        <f ca="1">IFERROR(__xludf.DUMMYFUNCTION("""COMPUTED_VALUE"""),"#N/A")</f>
        <v>#N/A</v>
      </c>
      <c r="L113">
        <f t="shared" ca="1" si="0"/>
        <v>0</v>
      </c>
      <c r="Q113" t="str">
        <f>IF(N113="","",SUMIFS('PR-BOM'!$D$3:$D1001,'PR-BOM'!$C$3:$C1001,N113))</f>
        <v/>
      </c>
      <c r="Y113" t="str">
        <f>IF(X113="","",SUMIFS(Issue!$D$3:$D1001,Issue!$C$3:$C1001,X113))</f>
        <v/>
      </c>
    </row>
    <row r="114" spans="5:25">
      <c r="E114" t="str">
        <f>IF(A114="","",SUMIFS(Issue!$D$3:$D1001,Issue!$C$3:$C1001,A114)*C114)</f>
        <v/>
      </c>
      <c r="F114" t="e">
        <f ca="1">_xludf.IFNA(VLOOKUP(B114,'S-FG'!$B$3:$B1001,1,FALSE),"")</f>
        <v>#NAME?</v>
      </c>
      <c r="H114" t="str">
        <f ca="1">IFERROR(__xludf.DUMMYFUNCTION("""COMPUTED_VALUE"""),"Charging PM Assy")</f>
        <v>Charging PM Assy</v>
      </c>
      <c r="I114" t="str">
        <f ca="1">IFERROR(__xludf.DUMMYFUNCTION("""COMPUTED_VALUE"""),"10cm one sided JST crimped Dark Brown")</f>
        <v>10cm one sided JST crimped Dark Brown</v>
      </c>
      <c r="J114" s="235">
        <f ca="1">IFERROR(__xludf.DUMMYFUNCTION("""COMPUTED_VALUE"""),1)</f>
        <v>1</v>
      </c>
      <c r="K114" t="str">
        <f ca="1">IFERROR(__xludf.DUMMYFUNCTION("""COMPUTED_VALUE"""),"#N/A")</f>
        <v>#N/A</v>
      </c>
      <c r="L114">
        <f t="shared" ca="1" si="0"/>
        <v>0</v>
      </c>
      <c r="Q114" t="str">
        <f>IF(N114="","",SUMIFS('PR-BOM'!$D$3:$D1001,'PR-BOM'!$C$3:$C1001,N114))</f>
        <v/>
      </c>
      <c r="Y114" t="str">
        <f>IF(X114="","",SUMIFS(Issue!$D$3:$D1001,Issue!$C$3:$C1001,X114))</f>
        <v/>
      </c>
    </row>
    <row r="115" spans="5:25">
      <c r="E115" t="str">
        <f>IF(A115="","",SUMIFS(Issue!$D$3:$D1001,Issue!$C$3:$C1001,A115)*C115)</f>
        <v/>
      </c>
      <c r="F115" t="e">
        <f ca="1">_xludf.IFNA(VLOOKUP(B115,'S-FG'!$B$3:$B1001,1,FALSE),"")</f>
        <v>#NAME?</v>
      </c>
      <c r="H115" t="str">
        <f ca="1">IFERROR(__xludf.DUMMYFUNCTION("""COMPUTED_VALUE"""),"Charging PM Assy")</f>
        <v>Charging PM Assy</v>
      </c>
      <c r="I115" t="str">
        <f ca="1">IFERROR(__xludf.DUMMYFUNCTION("""COMPUTED_VALUE"""),"10cm one sided JST crimped White with Red strip")</f>
        <v>10cm one sided JST crimped White with Red strip</v>
      </c>
      <c r="J115" s="235">
        <f ca="1">IFERROR(__xludf.DUMMYFUNCTION("""COMPUTED_VALUE"""),1)</f>
        <v>1</v>
      </c>
      <c r="K115" t="str">
        <f ca="1">IFERROR(__xludf.DUMMYFUNCTION("""COMPUTED_VALUE"""),"#N/A")</f>
        <v>#N/A</v>
      </c>
      <c r="L115">
        <f t="shared" ca="1" si="0"/>
        <v>0</v>
      </c>
      <c r="Q115" t="str">
        <f>IF(N115="","",SUMIFS('PR-BOM'!$D$3:$D1001,'PR-BOM'!$C$3:$C1001,N115))</f>
        <v/>
      </c>
      <c r="Y115" t="str">
        <f>IF(X115="","",SUMIFS(Issue!$D$3:$D1001,Issue!$C$3:$C1001,X115))</f>
        <v/>
      </c>
    </row>
    <row r="116" spans="5:25">
      <c r="E116" t="str">
        <f>IF(A116="","",SUMIFS(Issue!$D$3:$D1001,Issue!$C$3:$C1001,A116)*C116)</f>
        <v/>
      </c>
      <c r="F116" t="e">
        <f ca="1">_xludf.IFNA(VLOOKUP(B116,'S-FG'!$B$3:$B1001,1,FALSE),"")</f>
        <v>#NAME?</v>
      </c>
      <c r="H116" t="str">
        <f ca="1">IFERROR(__xludf.DUMMYFUNCTION("""COMPUTED_VALUE"""),"Charging PM Assy")</f>
        <v>Charging PM Assy</v>
      </c>
      <c r="I116" t="str">
        <f ca="1">IFERROR(__xludf.DUMMYFUNCTION("""COMPUTED_VALUE"""),"10cm one sided JST crimped White with black strip")</f>
        <v>10cm one sided JST crimped White with black strip</v>
      </c>
      <c r="J116" s="235">
        <f ca="1">IFERROR(__xludf.DUMMYFUNCTION("""COMPUTED_VALUE"""),1)</f>
        <v>1</v>
      </c>
      <c r="K116" t="str">
        <f ca="1">IFERROR(__xludf.DUMMYFUNCTION("""COMPUTED_VALUE"""),"#N/A")</f>
        <v>#N/A</v>
      </c>
      <c r="L116">
        <f t="shared" ca="1" si="0"/>
        <v>0</v>
      </c>
      <c r="Q116" t="str">
        <f>IF(N116="","",SUMIFS('PR-BOM'!$D$3:$D1001,'PR-BOM'!$C$3:$C1001,N116))</f>
        <v/>
      </c>
      <c r="Y116" t="str">
        <f>IF(X116="","",SUMIFS(Issue!$D$3:$D1001,Issue!$C$3:$C1001,X116))</f>
        <v/>
      </c>
    </row>
    <row r="117" spans="5:25">
      <c r="E117" t="str">
        <f>IF(A117="","",SUMIFS(Issue!$D$3:$D1001,Issue!$C$3:$C1001,A117)*C117)</f>
        <v/>
      </c>
      <c r="F117" t="e">
        <f ca="1">_xludf.IFNA(VLOOKUP(B117,'S-FG'!$B$3:$B1001,1,FALSE),"")</f>
        <v>#NAME?</v>
      </c>
      <c r="H117" t="str">
        <f ca="1">IFERROR(__xludf.DUMMYFUNCTION("""COMPUTED_VALUE"""),"Charging PM Assy")</f>
        <v>Charging PM Assy</v>
      </c>
      <c r="I117" t="str">
        <f ca="1">IFERROR(__xludf.DUMMYFUNCTION("""COMPUTED_VALUE"""),"10cm one sided JST crimped White")</f>
        <v>10cm one sided JST crimped White</v>
      </c>
      <c r="J117" s="235">
        <f ca="1">IFERROR(__xludf.DUMMYFUNCTION("""COMPUTED_VALUE"""),1)</f>
        <v>1</v>
      </c>
      <c r="K117" t="str">
        <f ca="1">IFERROR(__xludf.DUMMYFUNCTION("""COMPUTED_VALUE"""),"#N/A")</f>
        <v>#N/A</v>
      </c>
      <c r="L117">
        <f t="shared" ca="1" si="0"/>
        <v>0</v>
      </c>
      <c r="Q117" t="str">
        <f>IF(N117="","",SUMIFS('PR-BOM'!$D$3:$D1001,'PR-BOM'!$C$3:$C1001,N117))</f>
        <v/>
      </c>
      <c r="Y117" t="str">
        <f>IF(X117="","",SUMIFS(Issue!$D$3:$D1001,Issue!$C$3:$C1001,X117))</f>
        <v/>
      </c>
    </row>
    <row r="118" spans="5:25">
      <c r="E118" t="str">
        <f>IF(A118="","",SUMIFS(Issue!$D$3:$D1001,Issue!$C$3:$C1001,A118)*C118)</f>
        <v/>
      </c>
      <c r="F118" t="e">
        <f ca="1">_xludf.IFNA(VLOOKUP(B118,'S-FG'!$B$3:$B1001,1,FALSE),"")</f>
        <v>#NAME?</v>
      </c>
      <c r="H118" t="str">
        <f ca="1">IFERROR(__xludf.DUMMYFUNCTION("""COMPUTED_VALUE"""),"Charging PM Assy")</f>
        <v>Charging PM Assy</v>
      </c>
      <c r="I118" t="str">
        <f ca="1">IFERROR(__xludf.DUMMYFUNCTION("""COMPUTED_VALUE"""),"10cm one sided JST crimped Light Grey")</f>
        <v>10cm one sided JST crimped Light Grey</v>
      </c>
      <c r="J118" s="235">
        <f ca="1">IFERROR(__xludf.DUMMYFUNCTION("""COMPUTED_VALUE"""),1)</f>
        <v>1</v>
      </c>
      <c r="K118" t="str">
        <f ca="1">IFERROR(__xludf.DUMMYFUNCTION("""COMPUTED_VALUE"""),"#N/A")</f>
        <v>#N/A</v>
      </c>
      <c r="L118">
        <f t="shared" ca="1" si="0"/>
        <v>0</v>
      </c>
      <c r="Q118" t="str">
        <f>IF(N118="","",SUMIFS('PR-BOM'!$D$3:$D1001,'PR-BOM'!$C$3:$C1001,N118))</f>
        <v/>
      </c>
      <c r="Y118" t="str">
        <f>IF(X118="","",SUMIFS(Issue!$D$3:$D1001,Issue!$C$3:$C1001,X118))</f>
        <v/>
      </c>
    </row>
    <row r="119" spans="5:25">
      <c r="E119" t="str">
        <f>IF(A119="","",SUMIFS(Issue!$D$3:$D1001,Issue!$C$3:$C1001,A119)*C119)</f>
        <v/>
      </c>
      <c r="F119" t="e">
        <f ca="1">_xludf.IFNA(VLOOKUP(B119,'S-FG'!$B$3:$B1001,1,FALSE),"")</f>
        <v>#NAME?</v>
      </c>
      <c r="H119" t="str">
        <f ca="1">IFERROR(__xludf.DUMMYFUNCTION("""COMPUTED_VALUE"""),"Charging PM Assy")</f>
        <v>Charging PM Assy</v>
      </c>
      <c r="I119" t="str">
        <f ca="1">IFERROR(__xludf.DUMMYFUNCTION("""COMPUTED_VALUE"""),"WY-28 Metal connector PM")</f>
        <v>WY-28 Metal connector PM</v>
      </c>
      <c r="J119" s="235">
        <f ca="1">IFERROR(__xludf.DUMMYFUNCTION("""COMPUTED_VALUE"""),1)</f>
        <v>1</v>
      </c>
      <c r="K119" t="str">
        <f ca="1">IFERROR(__xludf.DUMMYFUNCTION("""COMPUTED_VALUE"""),"#N/A")</f>
        <v>#N/A</v>
      </c>
      <c r="L119">
        <f t="shared" ca="1" si="0"/>
        <v>0</v>
      </c>
      <c r="Q119" t="str">
        <f>IF(N119="","",SUMIFS('PR-BOM'!$D$3:$D1001,'PR-BOM'!$C$3:$C1001,N119))</f>
        <v/>
      </c>
      <c r="Y119" t="str">
        <f>IF(X119="","",SUMIFS(Issue!$D$3:$D1001,Issue!$C$3:$C1001,X119))</f>
        <v/>
      </c>
    </row>
    <row r="120" spans="5:25">
      <c r="E120" t="str">
        <f>IF(A120="","",SUMIFS(Issue!$D$3:$D1001,Issue!$C$3:$C1001,A120)*C120)</f>
        <v/>
      </c>
      <c r="F120" t="e">
        <f ca="1">_xludf.IFNA(VLOOKUP(B120,'S-FG'!$B$3:$B1001,1,FALSE),"")</f>
        <v>#NAME?</v>
      </c>
      <c r="H120" t="str">
        <f ca="1">IFERROR(__xludf.DUMMYFUNCTION("""COMPUTED_VALUE"""),"Charging PM Assy")</f>
        <v>Charging PM Assy</v>
      </c>
      <c r="I120" t="str">
        <f ca="1">IFERROR(__xludf.DUMMYFUNCTION("""COMPUTED_VALUE"""),"Heatshrink Tube 6.4:1.6")</f>
        <v>Heatshrink Tube 6.4:1.6</v>
      </c>
      <c r="J120" s="235">
        <f ca="1">IFERROR(__xludf.DUMMYFUNCTION("""COMPUTED_VALUE"""),0.05)</f>
        <v>0.05</v>
      </c>
      <c r="K120" t="str">
        <f ca="1">IFERROR(__xludf.DUMMYFUNCTION("""COMPUTED_VALUE"""),"#N/A")</f>
        <v>#N/A</v>
      </c>
      <c r="L120">
        <f t="shared" ca="1" si="0"/>
        <v>0</v>
      </c>
      <c r="Q120" t="str">
        <f>IF(N120="","",SUMIFS('PR-BOM'!$D$3:$D1001,'PR-BOM'!$C$3:$C1001,N120))</f>
        <v/>
      </c>
      <c r="Y120" t="str">
        <f>IF(X120="","",SUMIFS(Issue!$D$3:$D1001,Issue!$C$3:$C1001,X120))</f>
        <v/>
      </c>
    </row>
    <row r="121" spans="5:25">
      <c r="E121" t="str">
        <f>IF(A121="","",SUMIFS(Issue!$D$3:$D1001,Issue!$C$3:$C1001,A121)*C121)</f>
        <v/>
      </c>
      <c r="F121" t="e">
        <f ca="1">_xludf.IFNA(VLOOKUP(B121,'S-FG'!$B$3:$B1001,1,FALSE),"")</f>
        <v>#NAME?</v>
      </c>
      <c r="H121" t="str">
        <f ca="1">IFERROR(__xludf.DUMMYFUNCTION("""COMPUTED_VALUE"""),"Charging PM Assy")</f>
        <v>Charging PM Assy</v>
      </c>
      <c r="I121" t="str">
        <f ca="1">IFERROR(__xludf.DUMMYFUNCTION("""COMPUTED_VALUE"""),"HeatShrink Tube 4:1")</f>
        <v>HeatShrink Tube 4:1</v>
      </c>
      <c r="J121" s="235">
        <f ca="1">IFERROR(__xludf.DUMMYFUNCTION("""COMPUTED_VALUE"""),0.06)</f>
        <v>0.06</v>
      </c>
      <c r="K121" t="str">
        <f ca="1">IFERROR(__xludf.DUMMYFUNCTION("""COMPUTED_VALUE"""),"#N/A")</f>
        <v>#N/A</v>
      </c>
      <c r="L121">
        <f t="shared" ca="1" si="0"/>
        <v>0</v>
      </c>
      <c r="Q121" t="str">
        <f>IF(N121="","",SUMIFS('PR-BOM'!$D$3:$D1001,'PR-BOM'!$C$3:$C1001,N121))</f>
        <v/>
      </c>
      <c r="Y121" t="str">
        <f>IF(X121="","",SUMIFS(Issue!$D$3:$D1001,Issue!$C$3:$C1001,X121))</f>
        <v/>
      </c>
    </row>
    <row r="122" spans="5:25">
      <c r="E122" t="str">
        <f>IF(A122="","",SUMIFS(Issue!$D$3:$D1001,Issue!$C$3:$C1001,A122)*C122)</f>
        <v/>
      </c>
      <c r="F122" t="e">
        <f ca="1">_xludf.IFNA(VLOOKUP(B122,'S-FG'!$B$3:$B1001,1,FALSE),"")</f>
        <v>#NAME?</v>
      </c>
      <c r="H122" t="str">
        <f ca="1">IFERROR(__xludf.DUMMYFUNCTION("""COMPUTED_VALUE"""),"Charging PM Assy")</f>
        <v>Charging PM Assy</v>
      </c>
      <c r="I122" t="str">
        <f ca="1">IFERROR(__xludf.DUMMYFUNCTION("""COMPUTED_VALUE"""),"HeatShrink Tube 1.5mm/1.6mm")</f>
        <v>HeatShrink Tube 1.5mm/1.6mm</v>
      </c>
      <c r="J122" s="235">
        <f ca="1">IFERROR(__xludf.DUMMYFUNCTION("""COMPUTED_VALUE"""),0.2)</f>
        <v>0.2</v>
      </c>
      <c r="L122">
        <f t="shared" ca="1" si="0"/>
        <v>0</v>
      </c>
      <c r="Q122" t="str">
        <f>IF(N122="","",SUMIFS('PR-BOM'!$D$3:$D1001,'PR-BOM'!$C$3:$C1001,N122))</f>
        <v/>
      </c>
      <c r="Y122" t="str">
        <f>IF(X122="","",SUMIFS(Issue!$D$3:$D1001,Issue!$C$3:$C1001,X122))</f>
        <v/>
      </c>
    </row>
    <row r="123" spans="5:25">
      <c r="E123" t="str">
        <f>IF(A123="","",SUMIFS(Issue!$D$3:$D1001,Issue!$C$3:$C1001,A123)*C123)</f>
        <v/>
      </c>
      <c r="F123" t="e">
        <f ca="1">_xludf.IFNA(VLOOKUP(B123,'S-FG'!$B$3:$B1001,1,FALSE),"")</f>
        <v>#NAME?</v>
      </c>
      <c r="H123" t="str">
        <f ca="1">IFERROR(__xludf.DUMMYFUNCTION("""COMPUTED_VALUE"""),"Charging PM Assy")</f>
        <v>Charging PM Assy</v>
      </c>
      <c r="I123" t="str">
        <f ca="1">IFERROR(__xludf.DUMMYFUNCTION("""COMPUTED_VALUE"""),"Teroson MS930")</f>
        <v>Teroson MS930</v>
      </c>
      <c r="J123" s="235">
        <f ca="1">IFERROR(__xludf.DUMMYFUNCTION("""COMPUTED_VALUE"""),2)</f>
        <v>2</v>
      </c>
      <c r="K123" t="str">
        <f ca="1">IFERROR(__xludf.DUMMYFUNCTION("""COMPUTED_VALUE"""),"#N/A")</f>
        <v>#N/A</v>
      </c>
      <c r="L123">
        <f t="shared" ca="1" si="0"/>
        <v>0</v>
      </c>
      <c r="Q123" t="str">
        <f>IF(N123="","",SUMIFS('PR-BOM'!$D$3:$D1001,'PR-BOM'!$C$3:$C1001,N123))</f>
        <v/>
      </c>
      <c r="Y123" t="str">
        <f>IF(X123="","",SUMIFS(Issue!$D$3:$D1001,Issue!$C$3:$C1001,X123))</f>
        <v/>
      </c>
    </row>
    <row r="124" spans="5:25">
      <c r="E124" t="str">
        <f>IF(A124="","",SUMIFS(Issue!$D$3:$D1001,Issue!$C$3:$C1001,A124)*C124)</f>
        <v/>
      </c>
      <c r="F124" t="e">
        <f ca="1">_xludf.IFNA(VLOOKUP(B124,'S-FG'!$B$3:$B1001,1,FALSE),"")</f>
        <v>#NAME?</v>
      </c>
      <c r="H124" t="str">
        <f ca="1">IFERROR(__xludf.DUMMYFUNCTION("""COMPUTED_VALUE"""),"Charging PM Assy")</f>
        <v>Charging PM Assy</v>
      </c>
      <c r="I124" t="str">
        <f ca="1">IFERROR(__xludf.DUMMYFUNCTION("""COMPUTED_VALUE"""),"Silicon RTV 734 Potting compound")</f>
        <v>Silicon RTV 734 Potting compound</v>
      </c>
      <c r="J124" s="235">
        <f ca="1">IFERROR(__xludf.DUMMYFUNCTION("""COMPUTED_VALUE"""),10)</f>
        <v>10</v>
      </c>
      <c r="K124" t="str">
        <f ca="1">IFERROR(__xludf.DUMMYFUNCTION("""COMPUTED_VALUE"""),"#N/A")</f>
        <v>#N/A</v>
      </c>
      <c r="L124">
        <f t="shared" ca="1" si="0"/>
        <v>0</v>
      </c>
      <c r="Q124" t="str">
        <f>IF(N124="","",SUMIFS('PR-BOM'!$D$3:$D1001,'PR-BOM'!$C$3:$C1001,N124))</f>
        <v/>
      </c>
      <c r="Y124" t="str">
        <f>IF(X124="","",SUMIFS(Issue!$D$3:$D1001,Issue!$C$3:$C1001,X124))</f>
        <v/>
      </c>
    </row>
    <row r="125" spans="5:25">
      <c r="E125" t="str">
        <f>IF(A125="","",SUMIFS(Issue!$D$3:$D1001,Issue!$C$3:$C1001,A125)*C125)</f>
        <v/>
      </c>
      <c r="F125" t="e">
        <f ca="1">_xludf.IFNA(VLOOKUP(B125,'S-FG'!$B$3:$B1001,1,FALSE),"")</f>
        <v>#NAME?</v>
      </c>
      <c r="H125" t="str">
        <f ca="1">IFERROR(__xludf.DUMMYFUNCTION("""COMPUTED_VALUE"""),"Charger Box Assy")</f>
        <v>Charger Box Assy</v>
      </c>
      <c r="I125" t="str">
        <f ca="1">IFERROR(__xludf.DUMMYFUNCTION("""COMPUTED_VALUE"""),"24v AC/DC module")</f>
        <v>24v AC/DC module</v>
      </c>
      <c r="J125" s="235">
        <f ca="1">IFERROR(__xludf.DUMMYFUNCTION("""COMPUTED_VALUE"""),1)</f>
        <v>1</v>
      </c>
      <c r="K125" t="str">
        <f ca="1">IFERROR(__xludf.DUMMYFUNCTION("""COMPUTED_VALUE"""),"#N/A")</f>
        <v>#N/A</v>
      </c>
      <c r="L125">
        <f t="shared" ca="1" si="0"/>
        <v>0</v>
      </c>
      <c r="Q125" t="str">
        <f>IF(N125="","",SUMIFS('PR-BOM'!$D$3:$D1001,'PR-BOM'!$C$3:$C1001,N125))</f>
        <v/>
      </c>
      <c r="Y125" t="str">
        <f>IF(X125="","",SUMIFS(Issue!$D$3:$D1001,Issue!$C$3:$C1001,X125))</f>
        <v/>
      </c>
    </row>
    <row r="126" spans="5:25">
      <c r="E126" t="str">
        <f>IF(A126="","",SUMIFS(Issue!$D$3:$D1001,Issue!$C$3:$C1001,A126)*C126)</f>
        <v/>
      </c>
      <c r="F126" t="e">
        <f ca="1">_xludf.IFNA(VLOOKUP(B126,'S-FG'!$B$3:$B1001,1,FALSE),"")</f>
        <v>#NAME?</v>
      </c>
      <c r="H126" t="str">
        <f ca="1">IFERROR(__xludf.DUMMYFUNCTION("""COMPUTED_VALUE"""),"Charger Box Assy")</f>
        <v>Charger Box Assy</v>
      </c>
      <c r="I126" t="str">
        <f ca="1">IFERROR(__xludf.DUMMYFUNCTION("""COMPUTED_VALUE"""),"Lead wire 22AWG")</f>
        <v>Lead wire 22AWG</v>
      </c>
      <c r="J126" s="235">
        <f ca="1">IFERROR(__xludf.DUMMYFUNCTION("""COMPUTED_VALUE"""),10)</f>
        <v>10</v>
      </c>
      <c r="L126">
        <f t="shared" ca="1" si="0"/>
        <v>0</v>
      </c>
      <c r="Q126" t="str">
        <f>IF(N126="","",SUMIFS('PR-BOM'!$D$3:$D1001,'PR-BOM'!$C$3:$C1001,N126))</f>
        <v/>
      </c>
      <c r="Y126" t="str">
        <f>IF(X126="","",SUMIFS(Issue!$D$3:$D1001,Issue!$C$3:$C1001,X126))</f>
        <v/>
      </c>
    </row>
    <row r="127" spans="5:25">
      <c r="E127" t="str">
        <f>IF(A127="","",SUMIFS(Issue!$D$3:$D1001,Issue!$C$3:$C1001,A127)*C127)</f>
        <v/>
      </c>
      <c r="F127" t="e">
        <f ca="1">_xludf.IFNA(VLOOKUP(B127,'S-FG'!$B$3:$B1001,1,FALSE),"")</f>
        <v>#NAME?</v>
      </c>
      <c r="H127" t="str">
        <f ca="1">IFERROR(__xludf.DUMMYFUNCTION("""COMPUTED_VALUE"""),"Charger Box Assy")</f>
        <v>Charger Box Assy</v>
      </c>
      <c r="I127" t="str">
        <f ca="1">IFERROR(__xludf.DUMMYFUNCTION("""COMPUTED_VALUE"""),"Soldering flux")</f>
        <v>Soldering flux</v>
      </c>
      <c r="J127" s="235">
        <f ca="1">IFERROR(__xludf.DUMMYFUNCTION("""COMPUTED_VALUE"""),1)</f>
        <v>1</v>
      </c>
      <c r="L127">
        <f t="shared" ca="1" si="0"/>
        <v>0</v>
      </c>
      <c r="Q127" t="str">
        <f>IF(N127="","",SUMIFS('PR-BOM'!$D$3:$D1001,'PR-BOM'!$C$3:$C1001,N127))</f>
        <v/>
      </c>
      <c r="Y127" t="str">
        <f>IF(X127="","",SUMIFS(Issue!$D$3:$D1001,Issue!$C$3:$C1001,X127))</f>
        <v/>
      </c>
    </row>
    <row r="128" spans="5:25">
      <c r="E128" t="str">
        <f>IF(A128="","",SUMIFS(Issue!$D$3:$D1001,Issue!$C$3:$C1001,A128)*C128)</f>
        <v/>
      </c>
      <c r="F128" t="e">
        <f ca="1">_xludf.IFNA(VLOOKUP(B128,'S-FG'!$B$3:$B1001,1,FALSE),"")</f>
        <v>#NAME?</v>
      </c>
      <c r="H128" t="str">
        <f ca="1">IFERROR(__xludf.DUMMYFUNCTION("""COMPUTED_VALUE"""),"Charger Box Assy")</f>
        <v>Charger Box Assy</v>
      </c>
      <c r="I128" t="str">
        <f ca="1">IFERROR(__xludf.DUMMYFUNCTION("""COMPUTED_VALUE"""),"3 pin 3 yrd power cord")</f>
        <v>3 pin 3 yrd power cord</v>
      </c>
      <c r="J128" s="235">
        <f ca="1">IFERROR(__xludf.DUMMYFUNCTION("""COMPUTED_VALUE"""),1)</f>
        <v>1</v>
      </c>
      <c r="L128">
        <f t="shared" ca="1" si="0"/>
        <v>0</v>
      </c>
      <c r="Q128" t="str">
        <f>IF(N128="","",SUMIFS('PR-BOM'!$D$3:$D1001,'PR-BOM'!$C$3:$C1001,N128))</f>
        <v/>
      </c>
      <c r="Y128" t="str">
        <f>IF(X128="","",SUMIFS(Issue!$D$3:$D1001,Issue!$C$3:$C1001,X128))</f>
        <v/>
      </c>
    </row>
    <row r="129" spans="5:25">
      <c r="E129" t="str">
        <f>IF(A129="","",SUMIFS(Issue!$D$3:$D1001,Issue!$C$3:$C1001,A129)*C129)</f>
        <v/>
      </c>
      <c r="F129" t="e">
        <f ca="1">_xludf.IFNA(VLOOKUP(B129,'S-FG'!$B$3:$B1001,1,FALSE),"")</f>
        <v>#NAME?</v>
      </c>
      <c r="H129" t="str">
        <f ca="1">IFERROR(__xludf.DUMMYFUNCTION("""COMPUTED_VALUE"""),"Charger Box Assy")</f>
        <v>Charger Box Assy</v>
      </c>
      <c r="I129" t="str">
        <f ca="1">IFERROR(__xludf.DUMMYFUNCTION("""COMPUTED_VALUE"""),"25cm Black Microfit one side crimped wires")</f>
        <v>25cm Black Microfit one side crimped wires</v>
      </c>
      <c r="J129" s="235">
        <f ca="1">IFERROR(__xludf.DUMMYFUNCTION("""COMPUTED_VALUE"""),1)</f>
        <v>1</v>
      </c>
      <c r="K129" t="str">
        <f ca="1">IFERROR(__xludf.DUMMYFUNCTION("""COMPUTED_VALUE"""),"#N/A")</f>
        <v>#N/A</v>
      </c>
      <c r="L129">
        <f t="shared" ca="1" si="0"/>
        <v>0</v>
      </c>
      <c r="Q129" t="str">
        <f>IF(N129="","",SUMIFS('PR-BOM'!$D$3:$D1001,'PR-BOM'!$C$3:$C1001,N129))</f>
        <v/>
      </c>
      <c r="Y129" t="str">
        <f>IF(X129="","",SUMIFS(Issue!$D$3:$D1001,Issue!$C$3:$C1001,X129))</f>
        <v/>
      </c>
    </row>
    <row r="130" spans="5:25">
      <c r="E130" t="str">
        <f>IF(A130="","",SUMIFS(Issue!$D$3:$D1001,Issue!$C$3:$C1001,A130)*C130)</f>
        <v/>
      </c>
      <c r="F130" t="e">
        <f ca="1">_xludf.IFNA(VLOOKUP(B130,'S-FG'!$B$3:$B1001,1,FALSE),"")</f>
        <v>#NAME?</v>
      </c>
      <c r="H130" t="str">
        <f ca="1">IFERROR(__xludf.DUMMYFUNCTION("""COMPUTED_VALUE"""),"Charger Box Assy")</f>
        <v>Charger Box Assy</v>
      </c>
      <c r="I130" t="str">
        <f ca="1">IFERROR(__xludf.DUMMYFUNCTION("""COMPUTED_VALUE"""),"25cm Green Microfit one side crimped wires")</f>
        <v>25cm Green Microfit one side crimped wires</v>
      </c>
      <c r="J130" s="235">
        <f ca="1">IFERROR(__xludf.DUMMYFUNCTION("""COMPUTED_VALUE"""),1)</f>
        <v>1</v>
      </c>
      <c r="K130" t="str">
        <f ca="1">IFERROR(__xludf.DUMMYFUNCTION("""COMPUTED_VALUE"""),"#N/A")</f>
        <v>#N/A</v>
      </c>
      <c r="L130">
        <f t="shared" ca="1" si="0"/>
        <v>0</v>
      </c>
      <c r="Q130" t="str">
        <f>IF(N130="","",SUMIFS('PR-BOM'!$D$3:$D1001,'PR-BOM'!$C$3:$C1001,N130))</f>
        <v/>
      </c>
      <c r="Y130" t="str">
        <f>IF(X130="","",SUMIFS(Issue!$D$3:$D1001,Issue!$C$3:$C1001,X130))</f>
        <v/>
      </c>
    </row>
    <row r="131" spans="5:25">
      <c r="E131" t="str">
        <f>IF(A131="","",SUMIFS(Issue!$D$3:$D1001,Issue!$C$3:$C1001,A131)*C131)</f>
        <v/>
      </c>
      <c r="F131" t="e">
        <f ca="1">_xludf.IFNA(VLOOKUP(B131,'S-FG'!$B$3:$B1001,1,FALSE),"")</f>
        <v>#NAME?</v>
      </c>
      <c r="H131" t="str">
        <f ca="1">IFERROR(__xludf.DUMMYFUNCTION("""COMPUTED_VALUE"""),"Charger Box Assy")</f>
        <v>Charger Box Assy</v>
      </c>
      <c r="I131" t="str">
        <f ca="1">IFERROR(__xludf.DUMMYFUNCTION("""COMPUTED_VALUE"""),"25cm Violet Microfit one side crimped wires")</f>
        <v>25cm Violet Microfit one side crimped wires</v>
      </c>
      <c r="J131" s="235">
        <f ca="1">IFERROR(__xludf.DUMMYFUNCTION("""COMPUTED_VALUE"""),1)</f>
        <v>1</v>
      </c>
      <c r="K131" t="str">
        <f ca="1">IFERROR(__xludf.DUMMYFUNCTION("""COMPUTED_VALUE"""),"#N/A")</f>
        <v>#N/A</v>
      </c>
      <c r="L131">
        <f t="shared" ca="1" si="0"/>
        <v>0</v>
      </c>
      <c r="Q131" t="str">
        <f>IF(N131="","",SUMIFS('PR-BOM'!$D$3:$D1001,'PR-BOM'!$C$3:$C1001,N131))</f>
        <v/>
      </c>
      <c r="Y131" t="str">
        <f>IF(X131="","",SUMIFS(Issue!$D$3:$D1001,Issue!$C$3:$C1001,X131))</f>
        <v/>
      </c>
    </row>
    <row r="132" spans="5:25">
      <c r="E132" t="str">
        <f>IF(A132="","",SUMIFS(Issue!$D$3:$D1001,Issue!$C$3:$C1001,A132)*C132)</f>
        <v/>
      </c>
      <c r="F132" t="e">
        <f ca="1">_xludf.IFNA(VLOOKUP(B132,'S-FG'!$B$3:$B1001,1,FALSE),"")</f>
        <v>#NAME?</v>
      </c>
      <c r="H132" t="str">
        <f ca="1">IFERROR(__xludf.DUMMYFUNCTION("""COMPUTED_VALUE"""),"Charger Box Assy")</f>
        <v>Charger Box Assy</v>
      </c>
      <c r="I132" t="str">
        <f ca="1">IFERROR(__xludf.DUMMYFUNCTION("""COMPUTED_VALUE"""),"25cm Yellow Microfit one side crimped wires")</f>
        <v>25cm Yellow Microfit one side crimped wires</v>
      </c>
      <c r="J132" s="235">
        <f ca="1">IFERROR(__xludf.DUMMYFUNCTION("""COMPUTED_VALUE"""),1)</f>
        <v>1</v>
      </c>
      <c r="K132" t="str">
        <f ca="1">IFERROR(__xludf.DUMMYFUNCTION("""COMPUTED_VALUE"""),"#N/A")</f>
        <v>#N/A</v>
      </c>
      <c r="L132">
        <f t="shared" ca="1" si="0"/>
        <v>0</v>
      </c>
      <c r="Q132" t="str">
        <f>IF(N132="","",SUMIFS('PR-BOM'!$D$3:$D1001,'PR-BOM'!$C$3:$C1001,N132))</f>
        <v/>
      </c>
      <c r="Y132" t="str">
        <f>IF(X132="","",SUMIFS(Issue!$D$3:$D1001,Issue!$C$3:$C1001,X132))</f>
        <v/>
      </c>
    </row>
    <row r="133" spans="5:25">
      <c r="E133" t="str">
        <f>IF(A133="","",SUMIFS(Issue!$D$3:$D1001,Issue!$C$3:$C1001,A133)*C133)</f>
        <v/>
      </c>
      <c r="F133" t="e">
        <f ca="1">_xludf.IFNA(VLOOKUP(B133,'S-FG'!$B$3:$B1001,1,FALSE),"")</f>
        <v>#NAME?</v>
      </c>
      <c r="H133" t="str">
        <f ca="1">IFERROR(__xludf.DUMMYFUNCTION("""COMPUTED_VALUE"""),"Charger Box Assy")</f>
        <v>Charger Box Assy</v>
      </c>
      <c r="I133" t="str">
        <f ca="1">IFERROR(__xludf.DUMMYFUNCTION("""COMPUTED_VALUE"""),"25cm Blue Microfit one side crimped wires")</f>
        <v>25cm Blue Microfit one side crimped wires</v>
      </c>
      <c r="J133" s="235">
        <f ca="1">IFERROR(__xludf.DUMMYFUNCTION("""COMPUTED_VALUE"""),1)</f>
        <v>1</v>
      </c>
      <c r="K133" t="str">
        <f ca="1">IFERROR(__xludf.DUMMYFUNCTION("""COMPUTED_VALUE"""),"#N/A")</f>
        <v>#N/A</v>
      </c>
      <c r="L133">
        <f t="shared" ca="1" si="0"/>
        <v>0</v>
      </c>
      <c r="Q133" t="str">
        <f>IF(N133="","",SUMIFS('PR-BOM'!$D$3:$D1001,'PR-BOM'!$C$3:$C1001,N133))</f>
        <v/>
      </c>
      <c r="Y133" t="str">
        <f>IF(X133="","",SUMIFS(Issue!$D$3:$D1001,Issue!$C$3:$C1001,X133))</f>
        <v/>
      </c>
    </row>
    <row r="134" spans="5:25">
      <c r="E134" t="str">
        <f>IF(A134="","",SUMIFS(Issue!$D$3:$D1001,Issue!$C$3:$C1001,A134)*C134)</f>
        <v/>
      </c>
      <c r="F134" t="e">
        <f ca="1">_xludf.IFNA(VLOOKUP(B134,'S-FG'!$B$3:$B1001,1,FALSE),"")</f>
        <v>#NAME?</v>
      </c>
      <c r="H134" t="str">
        <f ca="1">IFERROR(__xludf.DUMMYFUNCTION("""COMPUTED_VALUE"""),"Charger Box Assy")</f>
        <v>Charger Box Assy</v>
      </c>
      <c r="I134" t="str">
        <f ca="1">IFERROR(__xludf.DUMMYFUNCTION("""COMPUTED_VALUE"""),"25cm Pink Microfit one side crimped wires")</f>
        <v>25cm Pink Microfit one side crimped wires</v>
      </c>
      <c r="J134" s="235">
        <f ca="1">IFERROR(__xludf.DUMMYFUNCTION("""COMPUTED_VALUE"""),1)</f>
        <v>1</v>
      </c>
      <c r="K134" t="str">
        <f ca="1">IFERROR(__xludf.DUMMYFUNCTION("""COMPUTED_VALUE"""),"#N/A")</f>
        <v>#N/A</v>
      </c>
      <c r="L134">
        <f t="shared" ca="1" si="0"/>
        <v>0</v>
      </c>
      <c r="Q134" t="str">
        <f>IF(N134="","",SUMIFS('PR-BOM'!$D$3:$D1001,'PR-BOM'!$C$3:$C1001,N134))</f>
        <v/>
      </c>
      <c r="Y134" t="str">
        <f>IF(X134="","",SUMIFS(Issue!$D$3:$D1001,Issue!$C$3:$C1001,X134))</f>
        <v/>
      </c>
    </row>
    <row r="135" spans="5:25">
      <c r="E135" t="str">
        <f>IF(A135="","",SUMIFS(Issue!$D$3:$D1001,Issue!$C$3:$C1001,A135)*C135)</f>
        <v/>
      </c>
      <c r="F135" t="e">
        <f ca="1">_xludf.IFNA(VLOOKUP(B135,'S-FG'!$B$3:$B1001,1,FALSE),"")</f>
        <v>#NAME?</v>
      </c>
      <c r="H135" t="str">
        <f ca="1">IFERROR(__xludf.DUMMYFUNCTION("""COMPUTED_VALUE"""),"Charger Box Assy")</f>
        <v>Charger Box Assy</v>
      </c>
      <c r="I135" t="str">
        <f ca="1">IFERROR(__xludf.DUMMYFUNCTION("""COMPUTED_VALUE"""),"25cm L.Brown Microfit one side crimped wires")</f>
        <v>25cm L.Brown Microfit one side crimped wires</v>
      </c>
      <c r="J135" s="235">
        <f ca="1">IFERROR(__xludf.DUMMYFUNCTION("""COMPUTED_VALUE"""),1)</f>
        <v>1</v>
      </c>
      <c r="K135" t="str">
        <f ca="1">IFERROR(__xludf.DUMMYFUNCTION("""COMPUTED_VALUE"""),"#N/A")</f>
        <v>#N/A</v>
      </c>
      <c r="L135">
        <f t="shared" ca="1" si="0"/>
        <v>0</v>
      </c>
      <c r="Q135" t="str">
        <f>IF(N135="","",SUMIFS('PR-BOM'!$D$3:$D1001,'PR-BOM'!$C$3:$C1001,N135))</f>
        <v/>
      </c>
      <c r="Y135" t="str">
        <f>IF(X135="","",SUMIFS(Issue!$D$3:$D1001,Issue!$C$3:$C1001,X135))</f>
        <v/>
      </c>
    </row>
    <row r="136" spans="5:25">
      <c r="E136" t="str">
        <f>IF(A136="","",SUMIFS(Issue!$D$3:$D1001,Issue!$C$3:$C1001,A136)*C136)</f>
        <v/>
      </c>
      <c r="F136" t="e">
        <f ca="1">_xludf.IFNA(VLOOKUP(B136,'S-FG'!$B$3:$B1001,1,FALSE),"")</f>
        <v>#NAME?</v>
      </c>
      <c r="H136" t="str">
        <f ca="1">IFERROR(__xludf.DUMMYFUNCTION("""COMPUTED_VALUE"""),"Charger Box Assy")</f>
        <v>Charger Box Assy</v>
      </c>
      <c r="I136" t="str">
        <f ca="1">IFERROR(__xludf.DUMMYFUNCTION("""COMPUTED_VALUE"""),"25cm D.Brown Microfit one side crimped wires")</f>
        <v>25cm D.Brown Microfit one side crimped wires</v>
      </c>
      <c r="J136" s="235">
        <f ca="1">IFERROR(__xludf.DUMMYFUNCTION("""COMPUTED_VALUE"""),1)</f>
        <v>1</v>
      </c>
      <c r="K136" t="str">
        <f ca="1">IFERROR(__xludf.DUMMYFUNCTION("""COMPUTED_VALUE"""),"#N/A")</f>
        <v>#N/A</v>
      </c>
      <c r="L136">
        <f t="shared" ca="1" si="0"/>
        <v>0</v>
      </c>
      <c r="Q136" t="str">
        <f>IF(N136="","",SUMIFS('PR-BOM'!$D$3:$D1001,'PR-BOM'!$C$3:$C1001,N136))</f>
        <v/>
      </c>
      <c r="Y136" t="str">
        <f>IF(X136="","",SUMIFS(Issue!$D$3:$D1001,Issue!$C$3:$C1001,X136))</f>
        <v/>
      </c>
    </row>
    <row r="137" spans="5:25">
      <c r="E137" t="str">
        <f>IF(A137="","",SUMIFS(Issue!$D$3:$D1001,Issue!$C$3:$C1001,A137)*C137)</f>
        <v/>
      </c>
      <c r="F137" t="e">
        <f ca="1">_xludf.IFNA(VLOOKUP(B137,'S-FG'!$B$3:$B1001,1,FALSE),"")</f>
        <v>#NAME?</v>
      </c>
      <c r="H137" t="str">
        <f ca="1">IFERROR(__xludf.DUMMYFUNCTION("""COMPUTED_VALUE"""),"Charger Box Assy")</f>
        <v>Charger Box Assy</v>
      </c>
      <c r="I137" t="str">
        <f ca="1">IFERROR(__xludf.DUMMYFUNCTION("""COMPUTED_VALUE"""),"25cm White Microfit one side crimped wires")</f>
        <v>25cm White Microfit one side crimped wires</v>
      </c>
      <c r="J137" s="235">
        <f ca="1">IFERROR(__xludf.DUMMYFUNCTION("""COMPUTED_VALUE"""),1)</f>
        <v>1</v>
      </c>
      <c r="K137" t="str">
        <f ca="1">IFERROR(__xludf.DUMMYFUNCTION("""COMPUTED_VALUE"""),"#N/A")</f>
        <v>#N/A</v>
      </c>
      <c r="L137">
        <f t="shared" ca="1" si="0"/>
        <v>0</v>
      </c>
      <c r="Q137" t="str">
        <f>IF(N137="","",SUMIFS('PR-BOM'!$D$3:$D1001,'PR-BOM'!$C$3:$C1001,N137))</f>
        <v/>
      </c>
      <c r="Y137" t="str">
        <f>IF(X137="","",SUMIFS(Issue!$D$3:$D1001,Issue!$C$3:$C1001,X137))</f>
        <v/>
      </c>
    </row>
    <row r="138" spans="5:25">
      <c r="E138" t="str">
        <f>IF(A138="","",SUMIFS(Issue!$D$3:$D1001,Issue!$C$3:$C1001,A138)*C138)</f>
        <v/>
      </c>
      <c r="F138" t="e">
        <f ca="1">_xludf.IFNA(VLOOKUP(B138,'S-FG'!$B$3:$B1001,1,FALSE),"")</f>
        <v>#NAME?</v>
      </c>
      <c r="H138" t="str">
        <f ca="1">IFERROR(__xludf.DUMMYFUNCTION("""COMPUTED_VALUE"""),"Charger Box Assy")</f>
        <v>Charger Box Assy</v>
      </c>
      <c r="I138" t="str">
        <f ca="1">IFERROR(__xludf.DUMMYFUNCTION("""COMPUTED_VALUE"""),"25cm White-Red Microfit one side crimped wires")</f>
        <v>25cm White-Red Microfit one side crimped wires</v>
      </c>
      <c r="J138" s="235">
        <f ca="1">IFERROR(__xludf.DUMMYFUNCTION("""COMPUTED_VALUE"""),1)</f>
        <v>1</v>
      </c>
      <c r="K138" t="str">
        <f ca="1">IFERROR(__xludf.DUMMYFUNCTION("""COMPUTED_VALUE"""),"#N/A")</f>
        <v>#N/A</v>
      </c>
      <c r="L138">
        <f t="shared" ca="1" si="0"/>
        <v>0</v>
      </c>
      <c r="Q138" t="str">
        <f>IF(N138="","",SUMIFS('PR-BOM'!$D$3:$D1001,'PR-BOM'!$C$3:$C1001,N138))</f>
        <v/>
      </c>
      <c r="Y138" t="str">
        <f>IF(X138="","",SUMIFS(Issue!$D$3:$D1001,Issue!$C$3:$C1001,X138))</f>
        <v/>
      </c>
    </row>
    <row r="139" spans="5:25">
      <c r="E139" t="str">
        <f>IF(A139="","",SUMIFS(Issue!$D$3:$D1001,Issue!$C$3:$C1001,A139)*C139)</f>
        <v/>
      </c>
      <c r="F139" t="e">
        <f ca="1">_xludf.IFNA(VLOOKUP(B139,'S-FG'!$B$3:$B1001,1,FALSE),"")</f>
        <v>#NAME?</v>
      </c>
      <c r="H139" t="str">
        <f ca="1">IFERROR(__xludf.DUMMYFUNCTION("""COMPUTED_VALUE"""),"Charger Box Assy")</f>
        <v>Charger Box Assy</v>
      </c>
      <c r="I139" t="str">
        <f ca="1">IFERROR(__xludf.DUMMYFUNCTION("""COMPUTED_VALUE"""),"25cm Red Microfit one side crimped wires")</f>
        <v>25cm Red Microfit one side crimped wires</v>
      </c>
      <c r="J139" s="235">
        <f ca="1">IFERROR(__xludf.DUMMYFUNCTION("""COMPUTED_VALUE"""),1)</f>
        <v>1</v>
      </c>
      <c r="K139" t="str">
        <f ca="1">IFERROR(__xludf.DUMMYFUNCTION("""COMPUTED_VALUE"""),"#N/A")</f>
        <v>#N/A</v>
      </c>
      <c r="L139">
        <f t="shared" ca="1" si="0"/>
        <v>0</v>
      </c>
      <c r="Q139" t="str">
        <f>IF(N139="","",SUMIFS('PR-BOM'!$D$3:$D1001,'PR-BOM'!$C$3:$C1001,N139))</f>
        <v/>
      </c>
      <c r="Y139" t="str">
        <f>IF(X139="","",SUMIFS(Issue!$D$3:$D1001,Issue!$C$3:$C1001,X139))</f>
        <v/>
      </c>
    </row>
    <row r="140" spans="5:25">
      <c r="E140" t="str">
        <f>IF(A140="","",SUMIFS(Issue!$D$3:$D1001,Issue!$C$3:$C1001,A140)*C140)</f>
        <v/>
      </c>
      <c r="F140" t="e">
        <f ca="1">_xludf.IFNA(VLOOKUP(B140,'S-FG'!$B$3:$B1001,1,FALSE),"")</f>
        <v>#NAME?</v>
      </c>
      <c r="H140" t="str">
        <f ca="1">IFERROR(__xludf.DUMMYFUNCTION("""COMPUTED_VALUE"""),"Charger Box Assy")</f>
        <v>Charger Box Assy</v>
      </c>
      <c r="I140" t="str">
        <f ca="1">IFERROR(__xludf.DUMMYFUNCTION("""COMPUTED_VALUE"""),"25cm Dark Blue Microfit one side crimped wires")</f>
        <v>25cm Dark Blue Microfit one side crimped wires</v>
      </c>
      <c r="J140" s="235">
        <f ca="1">IFERROR(__xludf.DUMMYFUNCTION("""COMPUTED_VALUE"""),1)</f>
        <v>1</v>
      </c>
      <c r="K140" t="str">
        <f ca="1">IFERROR(__xludf.DUMMYFUNCTION("""COMPUTED_VALUE"""),"#N/A")</f>
        <v>#N/A</v>
      </c>
      <c r="L140">
        <f t="shared" ca="1" si="0"/>
        <v>0</v>
      </c>
      <c r="Q140" t="str">
        <f>IF(N140="","",SUMIFS('PR-BOM'!$D$3:$D1001,'PR-BOM'!$C$3:$C1001,N140))</f>
        <v/>
      </c>
      <c r="Y140" t="str">
        <f>IF(X140="","",SUMIFS(Issue!$D$3:$D1001,Issue!$C$3:$C1001,X140))</f>
        <v/>
      </c>
    </row>
    <row r="141" spans="5:25">
      <c r="E141" t="str">
        <f>IF(A141="","",SUMIFS(Issue!$D$3:$D1001,Issue!$C$3:$C1001,A141)*C141)</f>
        <v/>
      </c>
      <c r="F141" t="e">
        <f ca="1">_xludf.IFNA(VLOOKUP(B141,'S-FG'!$B$3:$B1001,1,FALSE),"")</f>
        <v>#NAME?</v>
      </c>
      <c r="H141" t="str">
        <f ca="1">IFERROR(__xludf.DUMMYFUNCTION("""COMPUTED_VALUE"""),"Charger Box Assy")</f>
        <v>Charger Box Assy</v>
      </c>
      <c r="I141" t="str">
        <f ca="1">IFERROR(__xludf.DUMMYFUNCTION("""COMPUTED_VALUE"""),"25cm Orange Microfit one side crimped wires")</f>
        <v>25cm Orange Microfit one side crimped wires</v>
      </c>
      <c r="J141" s="235">
        <f ca="1">IFERROR(__xludf.DUMMYFUNCTION("""COMPUTED_VALUE"""),1)</f>
        <v>1</v>
      </c>
      <c r="K141" t="str">
        <f ca="1">IFERROR(__xludf.DUMMYFUNCTION("""COMPUTED_VALUE"""),"#N/A")</f>
        <v>#N/A</v>
      </c>
      <c r="L141">
        <f t="shared" ca="1" si="0"/>
        <v>0</v>
      </c>
      <c r="Q141" t="str">
        <f>IF(N141="","",SUMIFS('PR-BOM'!$D$3:$D1001,'PR-BOM'!$C$3:$C1001,N141))</f>
        <v/>
      </c>
      <c r="Y141" t="str">
        <f>IF(X141="","",SUMIFS(Issue!$D$3:$D1001,Issue!$C$3:$C1001,X141))</f>
        <v/>
      </c>
    </row>
    <row r="142" spans="5:25">
      <c r="E142" t="str">
        <f>IF(A142="","",SUMIFS(Issue!$D$3:$D1001,Issue!$C$3:$C1001,A142)*C142)</f>
        <v/>
      </c>
      <c r="F142" t="e">
        <f ca="1">_xludf.IFNA(VLOOKUP(B142,'S-FG'!$B$3:$B1001,1,FALSE),"")</f>
        <v>#NAME?</v>
      </c>
      <c r="H142" t="str">
        <f ca="1">IFERROR(__xludf.DUMMYFUNCTION("""COMPUTED_VALUE"""),"Charger Box Assy")</f>
        <v>Charger Box Assy</v>
      </c>
      <c r="I142" t="str">
        <f ca="1">IFERROR(__xludf.DUMMYFUNCTION("""COMPUTED_VALUE"""),"18pin Microfit housing")</f>
        <v>18pin Microfit housing</v>
      </c>
      <c r="J142" s="235">
        <f ca="1">IFERROR(__xludf.DUMMYFUNCTION("""COMPUTED_VALUE"""),1)</f>
        <v>1</v>
      </c>
      <c r="K142" t="str">
        <f ca="1">IFERROR(__xludf.DUMMYFUNCTION("""COMPUTED_VALUE"""),"#N/A")</f>
        <v>#N/A</v>
      </c>
      <c r="L142">
        <f t="shared" ca="1" si="0"/>
        <v>0</v>
      </c>
      <c r="Q142" t="str">
        <f>IF(N142="","",SUMIFS('PR-BOM'!$D$3:$D1001,'PR-BOM'!$C$3:$C1001,N142))</f>
        <v/>
      </c>
      <c r="Y142" t="str">
        <f>IF(X142="","",SUMIFS(Issue!$D$3:$D1001,Issue!$C$3:$C1001,X142))</f>
        <v/>
      </c>
    </row>
    <row r="143" spans="5:25">
      <c r="E143" t="str">
        <f>IF(A143="","",SUMIFS(Issue!$D$3:$D1001,Issue!$C$3:$C1001,A143)*C143)</f>
        <v/>
      </c>
      <c r="F143" t="e">
        <f ca="1">_xludf.IFNA(VLOOKUP(B143,'S-FG'!$B$3:$B1001,1,FALSE),"")</f>
        <v>#NAME?</v>
      </c>
      <c r="H143" t="str">
        <f ca="1">IFERROR(__xludf.DUMMYFUNCTION("""COMPUTED_VALUE"""),"Charger Box Assy")</f>
        <v>Charger Box Assy</v>
      </c>
      <c r="I143" t="str">
        <f ca="1">IFERROR(__xludf.DUMMYFUNCTION("""COMPUTED_VALUE"""),"12S Lipo Charger")</f>
        <v>12S Lipo Charger</v>
      </c>
      <c r="J143" s="235">
        <f ca="1">IFERROR(__xludf.DUMMYFUNCTION("""COMPUTED_VALUE"""),1)</f>
        <v>1</v>
      </c>
      <c r="K143" t="str">
        <f ca="1">IFERROR(__xludf.DUMMYFUNCTION("""COMPUTED_VALUE"""),"#N/A")</f>
        <v>#N/A</v>
      </c>
      <c r="L143">
        <f t="shared" ca="1" si="0"/>
        <v>0</v>
      </c>
      <c r="Q143" t="str">
        <f>IF(N143="","",SUMIFS('PR-BOM'!$D$3:$D1001,'PR-BOM'!$C$3:$C1001,N143))</f>
        <v/>
      </c>
      <c r="Y143" t="str">
        <f>IF(X143="","",SUMIFS(Issue!$D$3:$D1001,Issue!$C$3:$C1001,X143))</f>
        <v/>
      </c>
    </row>
    <row r="144" spans="5:25">
      <c r="E144" t="str">
        <f>IF(A144="","",SUMIFS(Issue!$D$3:$D1001,Issue!$C$3:$C1001,A144)*C144)</f>
        <v/>
      </c>
      <c r="F144" t="e">
        <f ca="1">_xludf.IFNA(VLOOKUP(B144,'S-FG'!$B$3:$B1001,1,FALSE),"")</f>
        <v>#NAME?</v>
      </c>
      <c r="H144" t="str">
        <f ca="1">IFERROR(__xludf.DUMMYFUNCTION("""COMPUTED_VALUE"""),"Charger Box Assy")</f>
        <v>Charger Box Assy</v>
      </c>
      <c r="I144" t="str">
        <f ca="1">IFERROR(__xludf.DUMMYFUNCTION("""COMPUTED_VALUE"""),"130x80x60 enclosure box")</f>
        <v>130x80x60 enclosure box</v>
      </c>
      <c r="J144" s="235">
        <f ca="1">IFERROR(__xludf.DUMMYFUNCTION("""COMPUTED_VALUE"""),1)</f>
        <v>1</v>
      </c>
      <c r="L144">
        <f t="shared" ca="1" si="0"/>
        <v>0</v>
      </c>
      <c r="Q144" t="str">
        <f>IF(N144="","",SUMIFS('PR-BOM'!$D$3:$D1001,'PR-BOM'!$C$3:$C1001,N144))</f>
        <v/>
      </c>
      <c r="Y144" t="str">
        <f>IF(X144="","",SUMIFS(Issue!$D$3:$D1001,Issue!$C$3:$C1001,X144))</f>
        <v/>
      </c>
    </row>
    <row r="145" spans="5:25">
      <c r="E145" t="str">
        <f>IF(A145="","",SUMIFS(Issue!$D$3:$D1001,Issue!$C$3:$C1001,A145)*C145)</f>
        <v/>
      </c>
      <c r="F145" t="e">
        <f ca="1">_xludf.IFNA(VLOOKUP(B145,'S-FG'!$B$3:$B1001,1,FALSE),"")</f>
        <v>#NAME?</v>
      </c>
      <c r="H145" t="str">
        <f ca="1">IFERROR(__xludf.DUMMYFUNCTION("""COMPUTED_VALUE"""),"Charger Box Assy")</f>
        <v>Charger Box Assy</v>
      </c>
      <c r="I145" t="str">
        <f ca="1">IFERROR(__xludf.DUMMYFUNCTION("""COMPUTED_VALUE"""),"PG-7 Cable Gland")</f>
        <v>PG-7 Cable Gland</v>
      </c>
      <c r="J145" s="235">
        <f ca="1">IFERROR(__xludf.DUMMYFUNCTION("""COMPUTED_VALUE"""),2)</f>
        <v>2</v>
      </c>
      <c r="K145" t="str">
        <f ca="1">IFERROR(__xludf.DUMMYFUNCTION("""COMPUTED_VALUE"""),"#N/A")</f>
        <v>#N/A</v>
      </c>
      <c r="L145">
        <f t="shared" ca="1" si="0"/>
        <v>0</v>
      </c>
      <c r="Q145" t="str">
        <f>IF(N145="","",SUMIFS('PR-BOM'!$D$3:$D1001,'PR-BOM'!$C$3:$C1001,N145))</f>
        <v/>
      </c>
      <c r="Y145" t="str">
        <f>IF(X145="","",SUMIFS(Issue!$D$3:$D1001,Issue!$C$3:$C1001,X145))</f>
        <v/>
      </c>
    </row>
    <row r="146" spans="5:25">
      <c r="E146" t="str">
        <f>IF(A146="","",SUMIFS(Issue!$D$3:$D1001,Issue!$C$3:$C1001,A146)*C146)</f>
        <v/>
      </c>
      <c r="F146" t="e">
        <f ca="1">_xludf.IFNA(VLOOKUP(B146,'S-FG'!$B$3:$B1001,1,FALSE),"")</f>
        <v>#NAME?</v>
      </c>
      <c r="H146" t="str">
        <f ca="1">IFERROR(__xludf.DUMMYFUNCTION("""COMPUTED_VALUE"""),"Charger Box Assy")</f>
        <v>Charger Box Assy</v>
      </c>
      <c r="I146" t="str">
        <f ca="1">IFERROR(__xludf.DUMMYFUNCTION("""COMPUTED_VALUE"""),"PG-11 Cable Gland")</f>
        <v>PG-11 Cable Gland</v>
      </c>
      <c r="J146" s="235">
        <f ca="1">IFERROR(__xludf.DUMMYFUNCTION("""COMPUTED_VALUE"""),2)</f>
        <v>2</v>
      </c>
      <c r="K146" t="str">
        <f ca="1">IFERROR(__xludf.DUMMYFUNCTION("""COMPUTED_VALUE"""),"#N/A")</f>
        <v>#N/A</v>
      </c>
      <c r="L146">
        <f t="shared" ca="1" si="0"/>
        <v>0</v>
      </c>
      <c r="Q146" t="str">
        <f>IF(N146="","",SUMIFS('PR-BOM'!$D$3:$D1001,'PR-BOM'!$C$3:$C1001,N146))</f>
        <v/>
      </c>
      <c r="Y146" t="str">
        <f>IF(X146="","",SUMIFS(Issue!$D$3:$D1001,Issue!$C$3:$C1001,X146))</f>
        <v/>
      </c>
    </row>
    <row r="147" spans="5:25">
      <c r="E147" t="str">
        <f>IF(A147="","",SUMIFS(Issue!$D$3:$D1001,Issue!$C$3:$C1001,A147)*C147)</f>
        <v/>
      </c>
      <c r="F147" t="e">
        <f ca="1">_xludf.IFNA(VLOOKUP(B147,'S-FG'!$B$3:$B1001,1,FALSE),"")</f>
        <v>#NAME?</v>
      </c>
      <c r="H147" t="str">
        <f ca="1">IFERROR(__xludf.DUMMYFUNCTION("""COMPUTED_VALUE"""),"Charger Box Assy")</f>
        <v>Charger Box Assy</v>
      </c>
      <c r="I147" t="str">
        <f ca="1">IFERROR(__xludf.DUMMYFUNCTION("""COMPUTED_VALUE"""),"Teroson MS930")</f>
        <v>Teroson MS930</v>
      </c>
      <c r="J147" s="235">
        <f ca="1">IFERROR(__xludf.DUMMYFUNCTION("""COMPUTED_VALUE"""),10)</f>
        <v>10</v>
      </c>
      <c r="K147" t="str">
        <f ca="1">IFERROR(__xludf.DUMMYFUNCTION("""COMPUTED_VALUE"""),"#N/A")</f>
        <v>#N/A</v>
      </c>
      <c r="L147">
        <f t="shared" ca="1" si="0"/>
        <v>0</v>
      </c>
      <c r="Q147" t="str">
        <f>IF(N147="","",SUMIFS('PR-BOM'!$D$3:$D1001,'PR-BOM'!$C$3:$C1001,N147))</f>
        <v/>
      </c>
      <c r="Y147" t="str">
        <f>IF(X147="","",SUMIFS(Issue!$D$3:$D1001,Issue!$C$3:$C1001,X147))</f>
        <v/>
      </c>
    </row>
    <row r="148" spans="5:25">
      <c r="E148" t="str">
        <f>IF(A148="","",SUMIFS(Issue!$D$3:$D1001,Issue!$C$3:$C1001,A148)*C148)</f>
        <v/>
      </c>
      <c r="F148" t="e">
        <f ca="1">_xludf.IFNA(VLOOKUP(B148,'S-FG'!$B$3:$B1001,1,FALSE),"")</f>
        <v>#NAME?</v>
      </c>
      <c r="H148" t="str">
        <f ca="1">IFERROR(__xludf.DUMMYFUNCTION("""COMPUTED_VALUE"""),"Charger Box Assy")</f>
        <v>Charger Box Assy</v>
      </c>
      <c r="I148" t="str">
        <f ca="1">IFERROR(__xludf.DUMMYFUNCTION("""COMPUTED_VALUE"""),"Red 18 AWG")</f>
        <v>Red 18 AWG</v>
      </c>
      <c r="J148" s="235">
        <f ca="1">IFERROR(__xludf.DUMMYFUNCTION("""COMPUTED_VALUE"""),0.25)</f>
        <v>0.25</v>
      </c>
      <c r="K148" t="str">
        <f ca="1">IFERROR(__xludf.DUMMYFUNCTION("""COMPUTED_VALUE"""),"#N/A")</f>
        <v>#N/A</v>
      </c>
      <c r="L148">
        <f t="shared" ca="1" si="0"/>
        <v>0</v>
      </c>
      <c r="Q148" t="str">
        <f>IF(N148="","",SUMIFS('PR-BOM'!$D$3:$D1001,'PR-BOM'!$C$3:$C1001,N148))</f>
        <v/>
      </c>
      <c r="Y148" t="str">
        <f>IF(X148="","",SUMIFS(Issue!$D$3:$D1001,Issue!$C$3:$C1001,X148))</f>
        <v/>
      </c>
    </row>
    <row r="149" spans="5:25">
      <c r="E149" t="str">
        <f>IF(A149="","",SUMIFS(Issue!$D$3:$D1001,Issue!$C$3:$C1001,A149)*C149)</f>
        <v/>
      </c>
      <c r="F149" t="e">
        <f ca="1">_xludf.IFNA(VLOOKUP(B149,'S-FG'!$B$3:$B1001,1,FALSE),"")</f>
        <v>#NAME?</v>
      </c>
      <c r="H149" t="str">
        <f ca="1">IFERROR(__xludf.DUMMYFUNCTION("""COMPUTED_VALUE"""),"Charger Box Assy")</f>
        <v>Charger Box Assy</v>
      </c>
      <c r="I149" t="str">
        <f ca="1">IFERROR(__xludf.DUMMYFUNCTION("""COMPUTED_VALUE"""),"Black 18 AWG")</f>
        <v>Black 18 AWG</v>
      </c>
      <c r="J149" s="235">
        <f ca="1">IFERROR(__xludf.DUMMYFUNCTION("""COMPUTED_VALUE"""),0.25)</f>
        <v>0.25</v>
      </c>
      <c r="K149" t="str">
        <f ca="1">IFERROR(__xludf.DUMMYFUNCTION("""COMPUTED_VALUE"""),"#N/A")</f>
        <v>#N/A</v>
      </c>
      <c r="L149">
        <f t="shared" ca="1" si="0"/>
        <v>0</v>
      </c>
      <c r="Q149" t="str">
        <f>IF(N149="","",SUMIFS('PR-BOM'!$D$3:$D1001,'PR-BOM'!$C$3:$C1001,N149))</f>
        <v/>
      </c>
      <c r="Y149" t="str">
        <f>IF(X149="","",SUMIFS(Issue!$D$3:$D1001,Issue!$C$3:$C1001,X149))</f>
        <v/>
      </c>
    </row>
    <row r="150" spans="5:25">
      <c r="E150" t="str">
        <f>IF(A150="","",SUMIFS(Issue!$D$3:$D1001,Issue!$C$3:$C1001,A150)*C150)</f>
        <v/>
      </c>
      <c r="F150" t="e">
        <f ca="1">_xludf.IFNA(VLOOKUP(B150,'S-FG'!$B$3:$B1001,1,FALSE),"")</f>
        <v>#NAME?</v>
      </c>
      <c r="H150" t="str">
        <f ca="1">IFERROR(__xludf.DUMMYFUNCTION("""COMPUTED_VALUE"""),"Charging CM Assy")</f>
        <v>Charging CM Assy</v>
      </c>
      <c r="I150" t="str">
        <f ca="1">IFERROR(__xludf.DUMMYFUNCTION("""COMPUTED_VALUE"""),"Lead wire 22AWG")</f>
        <v>Lead wire 22AWG</v>
      </c>
      <c r="J150" s="235">
        <f ca="1">IFERROR(__xludf.DUMMYFUNCTION("""COMPUTED_VALUE"""),10)</f>
        <v>10</v>
      </c>
      <c r="L150">
        <f t="shared" ca="1" si="0"/>
        <v>0</v>
      </c>
      <c r="Q150" t="str">
        <f>IF(N150="","",SUMIFS('PR-BOM'!$D$3:$D1001,'PR-BOM'!$C$3:$C1001,N150))</f>
        <v/>
      </c>
      <c r="Y150" t="str">
        <f>IF(X150="","",SUMIFS(Issue!$D$3:$D1001,Issue!$C$3:$C1001,X150))</f>
        <v/>
      </c>
    </row>
    <row r="151" spans="5:25">
      <c r="E151" t="str">
        <f>IF(A151="","",SUMIFS(Issue!$D$3:$D1001,Issue!$C$3:$C1001,A151)*C151)</f>
        <v/>
      </c>
      <c r="F151" t="e">
        <f ca="1">_xludf.IFNA(VLOOKUP(B151,'S-FG'!$B$3:$B1001,1,FALSE),"")</f>
        <v>#NAME?</v>
      </c>
      <c r="H151" t="str">
        <f ca="1">IFERROR(__xludf.DUMMYFUNCTION("""COMPUTED_VALUE"""),"Charging CM Assy")</f>
        <v>Charging CM Assy</v>
      </c>
      <c r="I151" t="str">
        <f ca="1">IFERROR(__xludf.DUMMYFUNCTION("""COMPUTED_VALUE"""),"Soldering flux")</f>
        <v>Soldering flux</v>
      </c>
      <c r="J151" s="235">
        <f ca="1">IFERROR(__xludf.DUMMYFUNCTION("""COMPUTED_VALUE"""),1)</f>
        <v>1</v>
      </c>
      <c r="L151">
        <f t="shared" ca="1" si="0"/>
        <v>0</v>
      </c>
      <c r="Q151" t="str">
        <f>IF(N151="","",SUMIFS('PR-BOM'!$D$3:$D1001,'PR-BOM'!$C$3:$C1001,N151))</f>
        <v/>
      </c>
      <c r="Y151" t="str">
        <f>IF(X151="","",SUMIFS(Issue!$D$3:$D1001,Issue!$C$3:$C1001,X151))</f>
        <v/>
      </c>
    </row>
    <row r="152" spans="5:25">
      <c r="E152" t="str">
        <f>IF(A152="","",SUMIFS(Issue!$D$3:$D1001,Issue!$C$3:$C1001,A152)*C152)</f>
        <v/>
      </c>
      <c r="F152" t="e">
        <f ca="1">_xludf.IFNA(VLOOKUP(B152,'S-FG'!$B$3:$B1001,1,FALSE),"")</f>
        <v>#NAME?</v>
      </c>
      <c r="H152" t="str">
        <f ca="1">IFERROR(__xludf.DUMMYFUNCTION("""COMPUTED_VALUE"""),"Charging CM Assy")</f>
        <v>Charging CM Assy</v>
      </c>
      <c r="I152" t="str">
        <f ca="1">IFERROR(__xludf.DUMMYFUNCTION("""COMPUTED_VALUE"""),"20Core Wire 14/38")</f>
        <v>20Core Wire 14/38</v>
      </c>
      <c r="J152" s="235">
        <f ca="1">IFERROR(__xludf.DUMMYFUNCTION("""COMPUTED_VALUE"""),1.5)</f>
        <v>1.5</v>
      </c>
      <c r="K152" t="str">
        <f ca="1">IFERROR(__xludf.DUMMYFUNCTION("""COMPUTED_VALUE"""),"#N/A")</f>
        <v>#N/A</v>
      </c>
      <c r="L152">
        <f t="shared" ca="1" si="0"/>
        <v>0</v>
      </c>
      <c r="Q152" t="str">
        <f>IF(N152="","",SUMIFS('PR-BOM'!$D$3:$D1001,'PR-BOM'!$C$3:$C1001,N152))</f>
        <v/>
      </c>
      <c r="Y152" t="str">
        <f>IF(X152="","",SUMIFS(Issue!$D$3:$D1001,Issue!$C$3:$C1001,X152))</f>
        <v/>
      </c>
    </row>
    <row r="153" spans="5:25">
      <c r="E153" t="str">
        <f>IF(A153="","",SUMIFS(Issue!$D$3:$D1001,Issue!$C$3:$C1001,A153)*C153)</f>
        <v/>
      </c>
      <c r="F153" t="e">
        <f ca="1">_xludf.IFNA(VLOOKUP(B153,'S-FG'!$B$3:$B1001,1,FALSE),"")</f>
        <v>#NAME?</v>
      </c>
      <c r="H153" t="str">
        <f ca="1">IFERROR(__xludf.DUMMYFUNCTION("""COMPUTED_VALUE"""),"Charging CM Assy")</f>
        <v>Charging CM Assy</v>
      </c>
      <c r="I153" t="str">
        <f ca="1">IFERROR(__xludf.DUMMYFUNCTION("""COMPUTED_VALUE"""),"WY-28 Metal connector CM")</f>
        <v>WY-28 Metal connector CM</v>
      </c>
      <c r="J153" s="235">
        <f ca="1">IFERROR(__xludf.DUMMYFUNCTION("""COMPUTED_VALUE"""),1)</f>
        <v>1</v>
      </c>
      <c r="K153" t="str">
        <f ca="1">IFERROR(__xludf.DUMMYFUNCTION("""COMPUTED_VALUE"""),"#N/A")</f>
        <v>#N/A</v>
      </c>
      <c r="L153">
        <f t="shared" ca="1" si="0"/>
        <v>0</v>
      </c>
      <c r="Q153" t="str">
        <f>IF(N153="","",SUMIFS('PR-BOM'!$D$3:$D1001,'PR-BOM'!$C$3:$C1001,N153))</f>
        <v/>
      </c>
      <c r="Y153" t="str">
        <f>IF(X153="","",SUMIFS(Issue!$D$3:$D1001,Issue!$C$3:$C1001,X153))</f>
        <v/>
      </c>
    </row>
    <row r="154" spans="5:25">
      <c r="E154" t="str">
        <f>IF(A154="","",SUMIFS(Issue!$D$3:$D1001,Issue!$C$3:$C1001,A154)*C154)</f>
        <v/>
      </c>
      <c r="F154" t="e">
        <f ca="1">_xludf.IFNA(VLOOKUP(B154,'S-FG'!$B$3:$B1001,1,FALSE),"")</f>
        <v>#NAME?</v>
      </c>
      <c r="H154" t="str">
        <f ca="1">IFERROR(__xludf.DUMMYFUNCTION("""COMPUTED_VALUE"""),"RPM Sensor Assy")</f>
        <v>RPM Sensor Assy</v>
      </c>
      <c r="I154" t="str">
        <f ca="1">IFERROR(__xludf.DUMMYFUNCTION("""COMPUTED_VALUE"""),"PWB of RPM Sensor")</f>
        <v>PWB of RPM Sensor</v>
      </c>
      <c r="J154" s="235">
        <f ca="1">IFERROR(__xludf.DUMMYFUNCTION("""COMPUTED_VALUE"""),1)</f>
        <v>1</v>
      </c>
      <c r="K154" t="str">
        <f ca="1">IFERROR(__xludf.DUMMYFUNCTION("""COMPUTED_VALUE"""),"#N/A")</f>
        <v>#N/A</v>
      </c>
      <c r="L154">
        <f t="shared" ca="1" si="0"/>
        <v>0</v>
      </c>
      <c r="Q154" t="str">
        <f>IF(N154="","",SUMIFS('PR-BOM'!$D$3:$D1001,'PR-BOM'!$C$3:$C1001,N154))</f>
        <v/>
      </c>
      <c r="Y154" t="str">
        <f>IF(X154="","",SUMIFS(Issue!$D$3:$D1001,Issue!$C$3:$C1001,X154))</f>
        <v/>
      </c>
    </row>
    <row r="155" spans="5:25">
      <c r="E155" t="str">
        <f>IF(A155="","",SUMIFS(Issue!$D$3:$D1001,Issue!$C$3:$C1001,A155)*C155)</f>
        <v/>
      </c>
      <c r="F155" t="e">
        <f ca="1">_xludf.IFNA(VLOOKUP(B155,'S-FG'!$B$3:$B1001,1,FALSE),"")</f>
        <v>#NAME?</v>
      </c>
      <c r="H155" t="str">
        <f ca="1">IFERROR(__xludf.DUMMYFUNCTION("""COMPUTED_VALUE"""),"RPM Sensor Assy")</f>
        <v>RPM Sensor Assy</v>
      </c>
      <c r="I155" t="str">
        <f ca="1">IFERROR(__xludf.DUMMYFUNCTION("""COMPUTED_VALUE"""),"LM358D SMD")</f>
        <v>LM358D SMD</v>
      </c>
      <c r="J155" s="235">
        <f ca="1">IFERROR(__xludf.DUMMYFUNCTION("""COMPUTED_VALUE"""),1)</f>
        <v>1</v>
      </c>
      <c r="K155" t="str">
        <f ca="1">IFERROR(__xludf.DUMMYFUNCTION("""COMPUTED_VALUE"""),"#N/A")</f>
        <v>#N/A</v>
      </c>
      <c r="L155">
        <f t="shared" ca="1" si="0"/>
        <v>0</v>
      </c>
      <c r="Q155" t="str">
        <f>IF(N155="","",SUMIFS('PR-BOM'!$D$3:$D1001,'PR-BOM'!$C$3:$C1001,N155))</f>
        <v/>
      </c>
      <c r="Y155" t="str">
        <f>IF(X155="","",SUMIFS(Issue!$D$3:$D1001,Issue!$C$3:$C1001,X155))</f>
        <v/>
      </c>
    </row>
    <row r="156" spans="5:25">
      <c r="E156" t="str">
        <f>IF(A156="","",SUMIFS(Issue!$D$3:$D1001,Issue!$C$3:$C1001,A156)*C156)</f>
        <v/>
      </c>
      <c r="F156" t="e">
        <f ca="1">_xludf.IFNA(VLOOKUP(B156,'S-FG'!$B$3:$B1001,1,FALSE),"")</f>
        <v>#NAME?</v>
      </c>
      <c r="H156" t="str">
        <f ca="1">IFERROR(__xludf.DUMMYFUNCTION("""COMPUTED_VALUE"""),"RPM Sensor Assy")</f>
        <v>RPM Sensor Assy</v>
      </c>
      <c r="I156" t="str">
        <f ca="1">IFERROR(__xludf.DUMMYFUNCTION("""COMPUTED_VALUE"""),"47k 0805")</f>
        <v>47k 0805</v>
      </c>
      <c r="J156" s="235">
        <f ca="1">IFERROR(__xludf.DUMMYFUNCTION("""COMPUTED_VALUE"""),8)</f>
        <v>8</v>
      </c>
      <c r="K156" t="str">
        <f ca="1">IFERROR(__xludf.DUMMYFUNCTION("""COMPUTED_VALUE"""),"#N/A")</f>
        <v>#N/A</v>
      </c>
      <c r="L156">
        <f t="shared" ca="1" si="0"/>
        <v>0</v>
      </c>
      <c r="Q156" t="str">
        <f>IF(N156="","",SUMIFS('PR-BOM'!$D$3:$D1001,'PR-BOM'!$C$3:$C1001,N156))</f>
        <v/>
      </c>
      <c r="Y156" t="str">
        <f>IF(X156="","",SUMIFS(Issue!$D$3:$D1001,Issue!$C$3:$C1001,X156))</f>
        <v/>
      </c>
    </row>
    <row r="157" spans="5:25">
      <c r="E157" t="str">
        <f>IF(A157="","",SUMIFS(Issue!$D$3:$D1001,Issue!$C$3:$C1001,A157)*C157)</f>
        <v/>
      </c>
      <c r="F157" t="e">
        <f ca="1">_xludf.IFNA(VLOOKUP(B157,'S-FG'!$B$3:$B1001,1,FALSE),"")</f>
        <v>#NAME?</v>
      </c>
      <c r="H157" t="str">
        <f ca="1">IFERROR(__xludf.DUMMYFUNCTION("""COMPUTED_VALUE"""),"RPM Sensor Assy")</f>
        <v>RPM Sensor Assy</v>
      </c>
      <c r="I157" t="str">
        <f ca="1">IFERROR(__xludf.DUMMYFUNCTION("""COMPUTED_VALUE"""),"470k 0805 Com grade")</f>
        <v>470k 0805 Com grade</v>
      </c>
      <c r="J157" s="235">
        <f ca="1">IFERROR(__xludf.DUMMYFUNCTION("""COMPUTED_VALUE"""),4)</f>
        <v>4</v>
      </c>
      <c r="K157" t="str">
        <f ca="1">IFERROR(__xludf.DUMMYFUNCTION("""COMPUTED_VALUE"""),"#N/A")</f>
        <v>#N/A</v>
      </c>
      <c r="L157">
        <f t="shared" ca="1" si="0"/>
        <v>0</v>
      </c>
      <c r="Q157" t="str">
        <f>IF(N157="","",SUMIFS('PR-BOM'!$D$3:$D1001,'PR-BOM'!$C$3:$C1001,N157))</f>
        <v/>
      </c>
      <c r="Y157" t="str">
        <f>IF(X157="","",SUMIFS(Issue!$D$3:$D1001,Issue!$C$3:$C1001,X157))</f>
        <v/>
      </c>
    </row>
    <row r="158" spans="5:25">
      <c r="E158" t="str">
        <f>IF(A158="","",SUMIFS(Issue!$D$3:$D1001,Issue!$C$3:$C1001,A158)*C158)</f>
        <v/>
      </c>
      <c r="F158" t="e">
        <f ca="1">_xludf.IFNA(VLOOKUP(B158,'S-FG'!$B$3:$B1001,1,FALSE),"")</f>
        <v>#NAME?</v>
      </c>
      <c r="H158" t="str">
        <f ca="1">IFERROR(__xludf.DUMMYFUNCTION("""COMPUTED_VALUE"""),"RPM Sensor Assy")</f>
        <v>RPM Sensor Assy</v>
      </c>
      <c r="I158" t="str">
        <f ca="1">IFERROR(__xludf.DUMMYFUNCTION("""COMPUTED_VALUE"""),"0.1uF 0805")</f>
        <v>0.1uF 0805</v>
      </c>
      <c r="J158" s="235">
        <f ca="1">IFERROR(__xludf.DUMMYFUNCTION("""COMPUTED_VALUE"""),2)</f>
        <v>2</v>
      </c>
      <c r="K158" t="str">
        <f ca="1">IFERROR(__xludf.DUMMYFUNCTION("""COMPUTED_VALUE"""),"#N/A")</f>
        <v>#N/A</v>
      </c>
      <c r="L158">
        <f t="shared" ca="1" si="0"/>
        <v>0</v>
      </c>
      <c r="Q158" t="str">
        <f>IF(N158="","",SUMIFS('PR-BOM'!$D$3:$D1001,'PR-BOM'!$C$3:$C1001,N158))</f>
        <v/>
      </c>
      <c r="Y158" t="str">
        <f>IF(X158="","",SUMIFS(Issue!$D$3:$D1001,Issue!$C$3:$C1001,X158))</f>
        <v/>
      </c>
    </row>
    <row r="159" spans="5:25">
      <c r="E159" t="str">
        <f>IF(A159="","",SUMIFS(Issue!$D$3:$D1001,Issue!$C$3:$C1001,A159)*C159)</f>
        <v/>
      </c>
      <c r="F159" t="e">
        <f ca="1">_xludf.IFNA(VLOOKUP(B159,'S-FG'!$B$3:$B1001,1,FALSE),"")</f>
        <v>#NAME?</v>
      </c>
      <c r="H159" t="str">
        <f ca="1">IFERROR(__xludf.DUMMYFUNCTION("""COMPUTED_VALUE"""),"RPM Sensor Assy")</f>
        <v>RPM Sensor Assy</v>
      </c>
      <c r="I159" t="str">
        <f ca="1">IFERROR(__xludf.DUMMYFUNCTION("""COMPUTED_VALUE"""),"0.01uF 0805")</f>
        <v>0.01uF 0805</v>
      </c>
      <c r="J159" s="235">
        <f ca="1">IFERROR(__xludf.DUMMYFUNCTION("""COMPUTED_VALUE"""),2)</f>
        <v>2</v>
      </c>
      <c r="K159" t="str">
        <f ca="1">IFERROR(__xludf.DUMMYFUNCTION("""COMPUTED_VALUE"""),"#N/A")</f>
        <v>#N/A</v>
      </c>
      <c r="L159">
        <f t="shared" ca="1" si="0"/>
        <v>0</v>
      </c>
      <c r="Q159" t="str">
        <f>IF(N159="","",SUMIFS('PR-BOM'!$D$3:$D1001,'PR-BOM'!$C$3:$C1001,N159))</f>
        <v/>
      </c>
      <c r="Y159" t="str">
        <f>IF(X159="","",SUMIFS(Issue!$D$3:$D1001,Issue!$C$3:$C1001,X159))</f>
        <v/>
      </c>
    </row>
    <row r="160" spans="5:25">
      <c r="E160" t="str">
        <f>IF(A160="","",SUMIFS(Issue!$D$3:$D1001,Issue!$C$3:$C1001,A160)*C160)</f>
        <v/>
      </c>
      <c r="F160" t="e">
        <f ca="1">_xludf.IFNA(VLOOKUP(B160,'S-FG'!$B$3:$B1001,1,FALSE),"")</f>
        <v>#NAME?</v>
      </c>
      <c r="H160" t="str">
        <f ca="1">IFERROR(__xludf.DUMMYFUNCTION("""COMPUTED_VALUE"""),"RPM Sensor Assy")</f>
        <v>RPM Sensor Assy</v>
      </c>
      <c r="I160" t="str">
        <f ca="1">IFERROR(__xludf.DUMMYFUNCTION("""COMPUTED_VALUE"""),"LED 0805 SMD")</f>
        <v>LED 0805 SMD</v>
      </c>
      <c r="J160" s="235">
        <f ca="1">IFERROR(__xludf.DUMMYFUNCTION("""COMPUTED_VALUE"""),1)</f>
        <v>1</v>
      </c>
      <c r="K160" t="str">
        <f ca="1">IFERROR(__xludf.DUMMYFUNCTION("""COMPUTED_VALUE"""),"KPTD-2012LVSURCK")</f>
        <v>KPTD-2012LVSURCK</v>
      </c>
      <c r="L160">
        <f t="shared" ca="1" si="0"/>
        <v>0</v>
      </c>
      <c r="Q160" t="str">
        <f>IF(N160="","",SUMIFS('PR-BOM'!$D$3:$D1001,'PR-BOM'!$C$3:$C1001,N160))</f>
        <v/>
      </c>
      <c r="Y160" t="str">
        <f>IF(X160="","",SUMIFS(Issue!$D$3:$D1001,Issue!$C$3:$C1001,X160))</f>
        <v/>
      </c>
    </row>
    <row r="161" spans="5:25">
      <c r="E161" t="str">
        <f>IF(A161="","",SUMIFS(Issue!$D$3:$D1001,Issue!$C$3:$C1001,A161)*C161)</f>
        <v/>
      </c>
      <c r="F161" t="e">
        <f ca="1">_xludf.IFNA(VLOOKUP(B161,'S-FG'!$B$3:$B1001,1,FALSE),"")</f>
        <v>#NAME?</v>
      </c>
      <c r="H161" t="str">
        <f ca="1">IFERROR(__xludf.DUMMYFUNCTION("""COMPUTED_VALUE"""),"RPM Sensor Assy")</f>
        <v>RPM Sensor Assy</v>
      </c>
      <c r="I161" t="str">
        <f ca="1">IFERROR(__xludf.DUMMYFUNCTION("""COMPUTED_VALUE"""),"1N4148 SMD")</f>
        <v>1N4148 SMD</v>
      </c>
      <c r="J161" s="235">
        <f ca="1">IFERROR(__xludf.DUMMYFUNCTION("""COMPUTED_VALUE"""),4)</f>
        <v>4</v>
      </c>
      <c r="K161" t="str">
        <f ca="1">IFERROR(__xludf.DUMMYFUNCTION("""COMPUTED_VALUE"""),"1N4148W-7-F")</f>
        <v>1N4148W-7-F</v>
      </c>
      <c r="L161">
        <f t="shared" ca="1" si="0"/>
        <v>0</v>
      </c>
      <c r="Q161" t="str">
        <f>IF(N161="","",SUMIFS('PR-BOM'!$D$3:$D1001,'PR-BOM'!$C$3:$C1001,N161))</f>
        <v/>
      </c>
      <c r="Y161" t="str">
        <f>IF(X161="","",SUMIFS(Issue!$D$3:$D1001,Issue!$C$3:$C1001,X161))</f>
        <v/>
      </c>
    </row>
    <row r="162" spans="5:25">
      <c r="E162" t="str">
        <f>IF(A162="","",SUMIFS(Issue!$D$3:$D1001,Issue!$C$3:$C1001,A162)*C162)</f>
        <v/>
      </c>
      <c r="F162" t="e">
        <f ca="1">_xludf.IFNA(VLOOKUP(B162,'S-FG'!$B$3:$B1001,1,FALSE),"")</f>
        <v>#NAME?</v>
      </c>
      <c r="H162" t="str">
        <f ca="1">IFERROR(__xludf.DUMMYFUNCTION("""COMPUTED_VALUE"""),"RPM Sensor Assy")</f>
        <v>RPM Sensor Assy</v>
      </c>
      <c r="I162" t="str">
        <f ca="1">IFERROR(__xludf.DUMMYFUNCTION("""COMPUTED_VALUE"""),"2 pin JST-XH male side entry")</f>
        <v>2 pin JST-XH male side entry</v>
      </c>
      <c r="J162" s="235">
        <f ca="1">IFERROR(__xludf.DUMMYFUNCTION("""COMPUTED_VALUE"""),2)</f>
        <v>2</v>
      </c>
      <c r="L162">
        <f t="shared" ca="1" si="0"/>
        <v>0</v>
      </c>
      <c r="Q162" t="str">
        <f>IF(N162="","",SUMIFS('PR-BOM'!$D$3:$D1001,'PR-BOM'!$C$3:$C1001,N162))</f>
        <v/>
      </c>
      <c r="Y162" t="str">
        <f>IF(X162="","",SUMIFS(Issue!$D$3:$D1001,Issue!$C$3:$C1001,X162))</f>
        <v/>
      </c>
    </row>
    <row r="163" spans="5:25">
      <c r="E163" t="str">
        <f>IF(A163="","",SUMIFS(Issue!$D$3:$D1001,Issue!$C$3:$C1001,A163)*C163)</f>
        <v/>
      </c>
      <c r="F163" t="e">
        <f ca="1">_xludf.IFNA(VLOOKUP(B163,'S-FG'!$B$3:$B1001,1,FALSE),"")</f>
        <v>#NAME?</v>
      </c>
      <c r="H163" t="str">
        <f ca="1">IFERROR(__xludf.DUMMYFUNCTION("""COMPUTED_VALUE"""),"Current Sensor Assy")</f>
        <v>Current Sensor Assy</v>
      </c>
      <c r="I163" t="str">
        <f ca="1">IFERROR(__xludf.DUMMYFUNCTION("""COMPUTED_VALUE"""),"PWB of Current Sensor")</f>
        <v>PWB of Current Sensor</v>
      </c>
      <c r="J163" s="235">
        <f ca="1">IFERROR(__xludf.DUMMYFUNCTION("""COMPUTED_VALUE"""),1)</f>
        <v>1</v>
      </c>
      <c r="K163" t="str">
        <f ca="1">IFERROR(__xludf.DUMMYFUNCTION("""COMPUTED_VALUE"""),"#N/A")</f>
        <v>#N/A</v>
      </c>
      <c r="L163">
        <f t="shared" ca="1" si="0"/>
        <v>0</v>
      </c>
      <c r="Q163" t="str">
        <f>IF(N163="","",SUMIFS('PR-BOM'!$D$3:$D1001,'PR-BOM'!$C$3:$C1001,N163))</f>
        <v/>
      </c>
      <c r="Y163" t="str">
        <f>IF(X163="","",SUMIFS(Issue!$D$3:$D1001,Issue!$C$3:$C1001,X163))</f>
        <v/>
      </c>
    </row>
    <row r="164" spans="5:25">
      <c r="E164" t="str">
        <f>IF(A164="","",SUMIFS(Issue!$D$3:$D1001,Issue!$C$3:$C1001,A164)*C164)</f>
        <v/>
      </c>
      <c r="F164" t="e">
        <f ca="1">_xludf.IFNA(VLOOKUP(B164,'S-FG'!$B$3:$B1001,1,FALSE),"")</f>
        <v>#NAME?</v>
      </c>
      <c r="H164" t="str">
        <f ca="1">IFERROR(__xludf.DUMMYFUNCTION("""COMPUTED_VALUE"""),"Current Sensor Assy")</f>
        <v>Current Sensor Assy</v>
      </c>
      <c r="I164" t="str">
        <f ca="1">IFERROR(__xludf.DUMMYFUNCTION("""COMPUTED_VALUE"""),"WCS1700 current Sensor")</f>
        <v>WCS1700 current Sensor</v>
      </c>
      <c r="J164" s="235">
        <f ca="1">IFERROR(__xludf.DUMMYFUNCTION("""COMPUTED_VALUE"""),2)</f>
        <v>2</v>
      </c>
      <c r="K164" t="str">
        <f ca="1">IFERROR(__xludf.DUMMYFUNCTION("""COMPUTED_VALUE"""),"#N/A")</f>
        <v>#N/A</v>
      </c>
      <c r="L164">
        <f t="shared" ca="1" si="0"/>
        <v>0</v>
      </c>
      <c r="Q164" t="str">
        <f>IF(N164="","",SUMIFS('PR-BOM'!$D$3:$D1001,'PR-BOM'!$C$3:$C1001,N164))</f>
        <v/>
      </c>
      <c r="Y164" t="str">
        <f>IF(X164="","",SUMIFS(Issue!$D$3:$D1001,Issue!$C$3:$C1001,X164))</f>
        <v/>
      </c>
    </row>
    <row r="165" spans="5:25">
      <c r="E165" t="str">
        <f>IF(A165="","",SUMIFS(Issue!$D$3:$D1001,Issue!$C$3:$C1001,A165)*C165)</f>
        <v/>
      </c>
      <c r="F165" t="e">
        <f ca="1">_xludf.IFNA(VLOOKUP(B165,'S-FG'!$B$3:$B1001,1,FALSE),"")</f>
        <v>#NAME?</v>
      </c>
      <c r="H165" t="str">
        <f ca="1">IFERROR(__xludf.DUMMYFUNCTION("""COMPUTED_VALUE"""),"Current Sensor Assy")</f>
        <v>Current Sensor Assy</v>
      </c>
      <c r="I165" t="str">
        <f ca="1">IFERROR(__xludf.DUMMYFUNCTION("""COMPUTED_VALUE"""),"0.1uF 0805")</f>
        <v>0.1uF 0805</v>
      </c>
      <c r="J165" s="235">
        <f ca="1">IFERROR(__xludf.DUMMYFUNCTION("""COMPUTED_VALUE"""),2)</f>
        <v>2</v>
      </c>
      <c r="K165" t="str">
        <f ca="1">IFERROR(__xludf.DUMMYFUNCTION("""COMPUTED_VALUE"""),"#N/A")</f>
        <v>#N/A</v>
      </c>
      <c r="L165">
        <f t="shared" ca="1" si="0"/>
        <v>0</v>
      </c>
      <c r="Q165" t="str">
        <f>IF(N165="","",SUMIFS('PR-BOM'!$D$3:$D1001,'PR-BOM'!$C$3:$C1001,N165))</f>
        <v/>
      </c>
      <c r="Y165" t="str">
        <f>IF(X165="","",SUMIFS(Issue!$D$3:$D1001,Issue!$C$3:$C1001,X165))</f>
        <v/>
      </c>
    </row>
    <row r="166" spans="5:25">
      <c r="E166" t="str">
        <f>IF(A166="","",SUMIFS(Issue!$D$3:$D1001,Issue!$C$3:$C1001,A166)*C166)</f>
        <v/>
      </c>
      <c r="F166" t="e">
        <f ca="1">_xludf.IFNA(VLOOKUP(B166,'S-FG'!$B$3:$B1001,1,FALSE),"")</f>
        <v>#NAME?</v>
      </c>
      <c r="H166" t="str">
        <f ca="1">IFERROR(__xludf.DUMMYFUNCTION("""COMPUTED_VALUE"""),"Current Sensor Assy")</f>
        <v>Current Sensor Assy</v>
      </c>
      <c r="I166" t="str">
        <f ca="1">IFERROR(__xludf.DUMMYFUNCTION("""COMPUTED_VALUE"""),"4 pin JST-XH male side entry")</f>
        <v>4 pin JST-XH male side entry</v>
      </c>
      <c r="J166" s="235">
        <f ca="1">IFERROR(__xludf.DUMMYFUNCTION("""COMPUTED_VALUE"""),1)</f>
        <v>1</v>
      </c>
      <c r="L166">
        <f t="shared" ca="1" si="0"/>
        <v>0</v>
      </c>
      <c r="Q166" t="str">
        <f>IF(N166="","",SUMIFS('PR-BOM'!$D$3:$D1001,'PR-BOM'!$C$3:$C1001,N166))</f>
        <v/>
      </c>
      <c r="Y166" t="str">
        <f>IF(X166="","",SUMIFS(Issue!$D$3:$D1001,Issue!$C$3:$C1001,X166))</f>
        <v/>
      </c>
    </row>
    <row r="167" spans="5:25">
      <c r="E167" t="str">
        <f>IF(A167="","",SUMIFS(Issue!$D$3:$D1001,Issue!$C$3:$C1001,A167)*C167)</f>
        <v/>
      </c>
      <c r="F167" t="e">
        <f ca="1">_xludf.IFNA(VLOOKUP(B167,'S-FG'!$B$3:$B1001,1,FALSE),"")</f>
        <v>#NAME?</v>
      </c>
      <c r="H167" t="str">
        <f ca="1">IFERROR(__xludf.DUMMYFUNCTION("""COMPUTED_VALUE"""),"A21 MotherBoard Assy")</f>
        <v>A21 MotherBoard Assy</v>
      </c>
      <c r="I167" t="str">
        <f ca="1">IFERROR(__xludf.DUMMYFUNCTION("""COMPUTED_VALUE"""),"Receiver Module R9MM/R9MX/R9")</f>
        <v>Receiver Module R9MM/R9MX/R9</v>
      </c>
      <c r="J167" s="235">
        <f ca="1">IFERROR(__xludf.DUMMYFUNCTION("""COMPUTED_VALUE"""),1)</f>
        <v>1</v>
      </c>
      <c r="K167" t="str">
        <f ca="1">IFERROR(__xludf.DUMMYFUNCTION("""COMPUTED_VALUE"""),"#N/A")</f>
        <v>#N/A</v>
      </c>
      <c r="L167">
        <f t="shared" ca="1" si="0"/>
        <v>0</v>
      </c>
      <c r="Q167" t="str">
        <f>IF(N167="","",SUMIFS('PR-BOM'!$D$3:$D1001,'PR-BOM'!$C$3:$C1001,N167))</f>
        <v/>
      </c>
      <c r="Y167" t="str">
        <f>IF(X167="","",SUMIFS(Issue!$D$3:$D1001,Issue!$C$3:$C1001,X167))</f>
        <v/>
      </c>
    </row>
    <row r="168" spans="5:25">
      <c r="E168" t="str">
        <f>IF(A168="","",SUMIFS(Issue!$D$3:$D1001,Issue!$C$3:$C1001,A168)*C168)</f>
        <v/>
      </c>
      <c r="F168" t="e">
        <f ca="1">_xludf.IFNA(VLOOKUP(B168,'S-FG'!$B$3:$B1001,1,FALSE),"")</f>
        <v>#NAME?</v>
      </c>
      <c r="H168" t="str">
        <f ca="1">IFERROR(__xludf.DUMMYFUNCTION("""COMPUTED_VALUE"""),"A21 MotherBoard Assy")</f>
        <v>A21 MotherBoard Assy</v>
      </c>
      <c r="I168" t="str">
        <f ca="1">IFERROR(__xludf.DUMMYFUNCTION("""COMPUTED_VALUE"""),"Free Wheel Diode SMD M7")</f>
        <v>Free Wheel Diode SMD M7</v>
      </c>
      <c r="J168" s="235">
        <f ca="1">IFERROR(__xludf.DUMMYFUNCTION("""COMPUTED_VALUE"""),7)</f>
        <v>7</v>
      </c>
      <c r="K168" t="str">
        <f ca="1">IFERROR(__xludf.DUMMYFUNCTION("""COMPUTED_VALUE"""),"Robu-597541")</f>
        <v>Robu-597541</v>
      </c>
      <c r="L168">
        <f t="shared" ca="1" si="0"/>
        <v>0</v>
      </c>
      <c r="Q168" t="str">
        <f>IF(N168="","",SUMIFS('PR-BOM'!$D$3:$D1001,'PR-BOM'!$C$3:$C1001,N168))</f>
        <v/>
      </c>
      <c r="Y168" t="str">
        <f>IF(X168="","",SUMIFS(Issue!$D$3:$D1001,Issue!$C$3:$C1001,X168))</f>
        <v/>
      </c>
    </row>
    <row r="169" spans="5:25">
      <c r="E169" t="str">
        <f>IF(A169="","",SUMIFS(Issue!$D$3:$D1001,Issue!$C$3:$C1001,A169)*C169)</f>
        <v/>
      </c>
      <c r="F169" t="e">
        <f ca="1">_xludf.IFNA(VLOOKUP(B169,'S-FG'!$B$3:$B1001,1,FALSE),"")</f>
        <v>#NAME?</v>
      </c>
      <c r="H169" t="str">
        <f ca="1">IFERROR(__xludf.DUMMYFUNCTION("""COMPUTED_VALUE"""),"A21 MotherBoard Assy")</f>
        <v>A21 MotherBoard Assy</v>
      </c>
      <c r="I169" t="str">
        <f ca="1">IFERROR(__xludf.DUMMYFUNCTION("""COMPUTED_VALUE"""),"LM1117 5.0v")</f>
        <v>LM1117 5.0v</v>
      </c>
      <c r="J169" s="235">
        <f ca="1">IFERROR(__xludf.DUMMYFUNCTION("""COMPUTED_VALUE"""),3)</f>
        <v>3</v>
      </c>
      <c r="K169" t="str">
        <f ca="1">IFERROR(__xludf.DUMMYFUNCTION("""COMPUTED_VALUE"""),"#N/A")</f>
        <v>#N/A</v>
      </c>
      <c r="L169">
        <f t="shared" ca="1" si="0"/>
        <v>0</v>
      </c>
      <c r="Q169" t="str">
        <f>IF(N169="","",SUMIFS('PR-BOM'!$D$3:$D1001,'PR-BOM'!$C$3:$C1001,N169))</f>
        <v/>
      </c>
      <c r="Y169" t="str">
        <f>IF(X169="","",SUMIFS(Issue!$D$3:$D1001,Issue!$C$3:$C1001,X169))</f>
        <v/>
      </c>
    </row>
    <row r="170" spans="5:25">
      <c r="E170" t="str">
        <f>IF(A170="","",SUMIFS(Issue!$D$3:$D1001,Issue!$C$3:$C1001,A170)*C170)</f>
        <v/>
      </c>
      <c r="F170" t="e">
        <f ca="1">_xludf.IFNA(VLOOKUP(B170,'S-FG'!$B$3:$B1001,1,FALSE),"")</f>
        <v>#NAME?</v>
      </c>
      <c r="H170" t="str">
        <f ca="1">IFERROR(__xludf.DUMMYFUNCTION("""COMPUTED_VALUE"""),"A21 MotherBoard Assy")</f>
        <v>A21 MotherBoard Assy</v>
      </c>
      <c r="I170" t="str">
        <f ca="1">IFERROR(__xludf.DUMMYFUNCTION("""COMPUTED_VALUE"""),"LM1117 3.3v")</f>
        <v>LM1117 3.3v</v>
      </c>
      <c r="J170" s="235">
        <f ca="1">IFERROR(__xludf.DUMMYFUNCTION("""COMPUTED_VALUE"""),1)</f>
        <v>1</v>
      </c>
      <c r="K170" t="str">
        <f ca="1">IFERROR(__xludf.DUMMYFUNCTION("""COMPUTED_VALUE"""),"#N/A")</f>
        <v>#N/A</v>
      </c>
      <c r="L170">
        <f t="shared" ca="1" si="0"/>
        <v>0</v>
      </c>
      <c r="Q170" t="str">
        <f>IF(N170="","",SUMIFS('PR-BOM'!$D$3:$D1001,'PR-BOM'!$C$3:$C1001,N170))</f>
        <v/>
      </c>
      <c r="Y170" t="str">
        <f>IF(X170="","",SUMIFS(Issue!$D$3:$D1001,Issue!$C$3:$C1001,X170))</f>
        <v/>
      </c>
    </row>
    <row r="171" spans="5:25">
      <c r="E171" t="str">
        <f>IF(A171="","",SUMIFS(Issue!$D$3:$D1001,Issue!$C$3:$C1001,A171)*C171)</f>
        <v/>
      </c>
      <c r="F171" t="e">
        <f ca="1">_xludf.IFNA(VLOOKUP(B171,'S-FG'!$B$3:$B1001,1,FALSE),"")</f>
        <v>#NAME?</v>
      </c>
      <c r="H171" t="str">
        <f ca="1">IFERROR(__xludf.DUMMYFUNCTION("""COMPUTED_VALUE"""),"A21 MotherBoard Assy")</f>
        <v>A21 MotherBoard Assy</v>
      </c>
      <c r="I171" t="str">
        <f ca="1">IFERROR(__xludf.DUMMYFUNCTION("""COMPUTED_VALUE"""),"NEO-6M GPS")</f>
        <v>NEO-6M GPS</v>
      </c>
      <c r="J171" s="235">
        <f ca="1">IFERROR(__xludf.DUMMYFUNCTION("""COMPUTED_VALUE"""),1)</f>
        <v>1</v>
      </c>
      <c r="K171" t="str">
        <f ca="1">IFERROR(__xludf.DUMMYFUNCTION("""COMPUTED_VALUE"""),"#N/A")</f>
        <v>#N/A</v>
      </c>
      <c r="L171">
        <f t="shared" ca="1" si="0"/>
        <v>0</v>
      </c>
      <c r="Q171" t="str">
        <f>IF(N171="","",SUMIFS('PR-BOM'!$D$3:$D1001,'PR-BOM'!$C$3:$C1001,N171))</f>
        <v/>
      </c>
      <c r="Y171" t="str">
        <f>IF(X171="","",SUMIFS(Issue!$D$3:$D1001,Issue!$C$3:$C1001,X171))</f>
        <v/>
      </c>
    </row>
    <row r="172" spans="5:25">
      <c r="E172" t="str">
        <f>IF(A172="","",SUMIFS(Issue!$D$3:$D1001,Issue!$C$3:$C1001,A172)*C172)</f>
        <v/>
      </c>
      <c r="F172" t="e">
        <f ca="1">_xludf.IFNA(VLOOKUP(B172,'S-FG'!$B$3:$B1001,1,FALSE),"")</f>
        <v>#NAME?</v>
      </c>
      <c r="H172" t="str">
        <f ca="1">IFERROR(__xludf.DUMMYFUNCTION("""COMPUTED_VALUE"""),"A21 MotherBoard Assy")</f>
        <v>A21 MotherBoard Assy</v>
      </c>
      <c r="I172" t="str">
        <f ca="1">IFERROR(__xludf.DUMMYFUNCTION("""COMPUTED_VALUE"""),"4mm Male Bullet connector")</f>
        <v>4mm Male Bullet connector</v>
      </c>
      <c r="J172" s="235">
        <f ca="1">IFERROR(__xludf.DUMMYFUNCTION("""COMPUTED_VALUE"""),2)</f>
        <v>2</v>
      </c>
      <c r="K172" t="str">
        <f ca="1">IFERROR(__xludf.DUMMYFUNCTION("""COMPUTED_VALUE"""),"#N/A")</f>
        <v>#N/A</v>
      </c>
      <c r="L172">
        <f t="shared" ca="1" si="0"/>
        <v>0</v>
      </c>
      <c r="Q172" t="str">
        <f>IF(N172="","",SUMIFS('PR-BOM'!$D$3:$D1001,'PR-BOM'!$C$3:$C1001,N172))</f>
        <v/>
      </c>
      <c r="Y172" t="str">
        <f>IF(X172="","",SUMIFS(Issue!$D$3:$D1001,Issue!$C$3:$C1001,X172))</f>
        <v/>
      </c>
    </row>
    <row r="173" spans="5:25">
      <c r="E173" t="str">
        <f>IF(A173="","",SUMIFS(Issue!$D$3:$D1001,Issue!$C$3:$C1001,A173)*C173)</f>
        <v/>
      </c>
      <c r="F173" t="e">
        <f ca="1">_xludf.IFNA(VLOOKUP(B173,'S-FG'!$B$3:$B1001,1,FALSE),"")</f>
        <v>#NAME?</v>
      </c>
      <c r="H173" t="str">
        <f ca="1">IFERROR(__xludf.DUMMYFUNCTION("""COMPUTED_VALUE"""),"A21 MotherBoard Assy")</f>
        <v>A21 MotherBoard Assy</v>
      </c>
      <c r="I173" t="str">
        <f ca="1">IFERROR(__xludf.DUMMYFUNCTION("""COMPUTED_VALUE"""),"4mm Female Bullet connector")</f>
        <v>4mm Female Bullet connector</v>
      </c>
      <c r="J173" s="235">
        <f ca="1">IFERROR(__xludf.DUMMYFUNCTION("""COMPUTED_VALUE"""),4)</f>
        <v>4</v>
      </c>
      <c r="K173" t="str">
        <f ca="1">IFERROR(__xludf.DUMMYFUNCTION("""COMPUTED_VALUE"""),"#N/A")</f>
        <v>#N/A</v>
      </c>
      <c r="L173">
        <f t="shared" ca="1" si="0"/>
        <v>0</v>
      </c>
      <c r="Q173" t="str">
        <f>IF(N173="","",SUMIFS('PR-BOM'!$D$3:$D1001,'PR-BOM'!$C$3:$C1001,N173))</f>
        <v/>
      </c>
      <c r="Y173" t="str">
        <f>IF(X173="","",SUMIFS(Issue!$D$3:$D1001,Issue!$C$3:$C1001,X173))</f>
        <v/>
      </c>
    </row>
    <row r="174" spans="5:25">
      <c r="E174" t="str">
        <f>IF(A174="","",SUMIFS(Issue!$D$3:$D1001,Issue!$C$3:$C1001,A174)*C174)</f>
        <v/>
      </c>
      <c r="F174" t="e">
        <f ca="1">_xludf.IFNA(VLOOKUP(B174,'S-FG'!$B$3:$B1001,1,FALSE),"")</f>
        <v>#NAME?</v>
      </c>
      <c r="H174" t="str">
        <f ca="1">IFERROR(__xludf.DUMMYFUNCTION("""COMPUTED_VALUE"""),"A21 MotherBoard Assy")</f>
        <v>A21 MotherBoard Assy</v>
      </c>
      <c r="I174" t="str">
        <f ca="1">IFERROR(__xludf.DUMMYFUNCTION("""COMPUTED_VALUE"""),"2mm male bullet connector")</f>
        <v>2mm male bullet connector</v>
      </c>
      <c r="J174" s="235">
        <f ca="1">IFERROR(__xludf.DUMMYFUNCTION("""COMPUTED_VALUE"""),0)</f>
        <v>0</v>
      </c>
      <c r="K174" t="str">
        <f ca="1">IFERROR(__xludf.DUMMYFUNCTION("""COMPUTED_VALUE"""),"#N/A")</f>
        <v>#N/A</v>
      </c>
      <c r="L174">
        <f t="shared" ca="1" si="0"/>
        <v>0</v>
      </c>
      <c r="Q174" t="str">
        <f>IF(N174="","",SUMIFS('PR-BOM'!$D$3:$D1001,'PR-BOM'!$C$3:$C1001,N174))</f>
        <v/>
      </c>
      <c r="Y174" t="str">
        <f>IF(X174="","",SUMIFS(Issue!$D$3:$D1001,Issue!$C$3:$C1001,X174))</f>
        <v/>
      </c>
    </row>
    <row r="175" spans="5:25">
      <c r="E175" t="str">
        <f>IF(A175="","",SUMIFS(Issue!$D$3:$D1001,Issue!$C$3:$C1001,A175)*C175)</f>
        <v/>
      </c>
      <c r="F175" t="e">
        <f ca="1">_xludf.IFNA(VLOOKUP(B175,'S-FG'!$B$3:$B1001,1,FALSE),"")</f>
        <v>#NAME?</v>
      </c>
      <c r="H175" t="str">
        <f ca="1">IFERROR(__xludf.DUMMYFUNCTION("""COMPUTED_VALUE"""),"A21 MotherBoard Assy")</f>
        <v>A21 MotherBoard Assy</v>
      </c>
      <c r="I175" t="str">
        <f ca="1">IFERROR(__xludf.DUMMYFUNCTION("""COMPUTED_VALUE"""),"2mm Female Bullet connector")</f>
        <v>2mm Female Bullet connector</v>
      </c>
      <c r="J175" s="235">
        <f ca="1">IFERROR(__xludf.DUMMYFUNCTION("""COMPUTED_VALUE"""),0)</f>
        <v>0</v>
      </c>
      <c r="K175" t="str">
        <f ca="1">IFERROR(__xludf.DUMMYFUNCTION("""COMPUTED_VALUE"""),"#N/A")</f>
        <v>#N/A</v>
      </c>
      <c r="L175">
        <f t="shared" ca="1" si="0"/>
        <v>0</v>
      </c>
      <c r="Q175" t="str">
        <f>IF(N175="","",SUMIFS('PR-BOM'!$D$3:$D1001,'PR-BOM'!$C$3:$C1001,N175))</f>
        <v/>
      </c>
      <c r="Y175" t="str">
        <f>IF(X175="","",SUMIFS(Issue!$D$3:$D1001,Issue!$C$3:$C1001,X175))</f>
        <v/>
      </c>
    </row>
    <row r="176" spans="5:25">
      <c r="E176" t="str">
        <f>IF(A176="","",SUMIFS(Issue!$D$3:$D1001,Issue!$C$3:$C1001,A176)*C176)</f>
        <v/>
      </c>
      <c r="F176" t="e">
        <f ca="1">_xludf.IFNA(VLOOKUP(B176,'S-FG'!$B$3:$B1001,1,FALSE),"")</f>
        <v>#NAME?</v>
      </c>
      <c r="H176" t="str">
        <f ca="1">IFERROR(__xludf.DUMMYFUNCTION("""COMPUTED_VALUE"""),"A21 MotherBoard Assy")</f>
        <v>A21 MotherBoard Assy</v>
      </c>
      <c r="I176" t="str">
        <f ca="1">IFERROR(__xludf.DUMMYFUNCTION("""COMPUTED_VALUE"""),"6mm male bullet connector")</f>
        <v>6mm male bullet connector</v>
      </c>
      <c r="J176" s="235">
        <f ca="1">IFERROR(__xludf.DUMMYFUNCTION("""COMPUTED_VALUE"""),2)</f>
        <v>2</v>
      </c>
      <c r="K176" t="str">
        <f ca="1">IFERROR(__xludf.DUMMYFUNCTION("""COMPUTED_VALUE"""),"#N/A")</f>
        <v>#N/A</v>
      </c>
      <c r="L176">
        <f t="shared" ca="1" si="0"/>
        <v>0</v>
      </c>
      <c r="Q176" t="str">
        <f>IF(N176="","",SUMIFS('PR-BOM'!$D$3:$D1001,'PR-BOM'!$C$3:$C1001,N176))</f>
        <v/>
      </c>
      <c r="Y176" t="str">
        <f>IF(X176="","",SUMIFS(Issue!$D$3:$D1001,Issue!$C$3:$C1001,X176))</f>
        <v/>
      </c>
    </row>
    <row r="177" spans="5:25">
      <c r="E177" t="str">
        <f>IF(A177="","",SUMIFS(Issue!$D$3:$D1001,Issue!$C$3:$C1001,A177)*C177)</f>
        <v/>
      </c>
      <c r="F177" t="e">
        <f ca="1">_xludf.IFNA(VLOOKUP(B177,'S-FG'!$B$3:$B1001,1,FALSE),"")</f>
        <v>#NAME?</v>
      </c>
      <c r="H177" t="str">
        <f ca="1">IFERROR(__xludf.DUMMYFUNCTION("""COMPUTED_VALUE"""),"A21 MotherBoard Assy")</f>
        <v>A21 MotherBoard Assy</v>
      </c>
      <c r="I177" t="str">
        <f ca="1">IFERROR(__xludf.DUMMYFUNCTION("""COMPUTED_VALUE"""),"6mm female bullet connector")</f>
        <v>6mm female bullet connector</v>
      </c>
      <c r="J177" s="235">
        <f ca="1">IFERROR(__xludf.DUMMYFUNCTION("""COMPUTED_VALUE"""),1)</f>
        <v>1</v>
      </c>
      <c r="K177" t="str">
        <f ca="1">IFERROR(__xludf.DUMMYFUNCTION("""COMPUTED_VALUE"""),"#N/A")</f>
        <v>#N/A</v>
      </c>
      <c r="L177">
        <f t="shared" ca="1" si="0"/>
        <v>0</v>
      </c>
      <c r="Q177" t="str">
        <f>IF(N177="","",SUMIFS('PR-BOM'!$D$3:$D1001,'PR-BOM'!$C$3:$C1001,N177))</f>
        <v/>
      </c>
      <c r="Y177" t="str">
        <f>IF(X177="","",SUMIFS(Issue!$D$3:$D1001,Issue!$C$3:$C1001,X177))</f>
        <v/>
      </c>
    </row>
    <row r="178" spans="5:25">
      <c r="E178" t="str">
        <f>IF(A178="","",SUMIFS(Issue!$D$3:$D1001,Issue!$C$3:$C1001,A178)*C178)</f>
        <v/>
      </c>
      <c r="F178" t="e">
        <f ca="1">_xludf.IFNA(VLOOKUP(B178,'S-FG'!$B$3:$B1001,1,FALSE),"")</f>
        <v>#NAME?</v>
      </c>
      <c r="H178" t="str">
        <f ca="1">IFERROR(__xludf.DUMMYFUNCTION("""COMPUTED_VALUE"""),"A21 MotherBoard Assy")</f>
        <v>A21 MotherBoard Assy</v>
      </c>
      <c r="I178" t="str">
        <f ca="1">IFERROR(__xludf.DUMMYFUNCTION("""COMPUTED_VALUE"""),"Red 8AWG")</f>
        <v>Red 8AWG</v>
      </c>
      <c r="J178" s="235">
        <f ca="1">IFERROR(__xludf.DUMMYFUNCTION("""COMPUTED_VALUE"""),0.25)</f>
        <v>0.25</v>
      </c>
      <c r="K178" t="str">
        <f ca="1">IFERROR(__xludf.DUMMYFUNCTION("""COMPUTED_VALUE"""),"#N/A")</f>
        <v>#N/A</v>
      </c>
      <c r="L178">
        <f t="shared" ca="1" si="0"/>
        <v>0</v>
      </c>
      <c r="Q178" t="str">
        <f>IF(N178="","",SUMIFS('PR-BOM'!$D$3:$D1001,'PR-BOM'!$C$3:$C1001,N178))</f>
        <v/>
      </c>
      <c r="Y178" t="str">
        <f>IF(X178="","",SUMIFS(Issue!$D$3:$D1001,Issue!$C$3:$C1001,X178))</f>
        <v/>
      </c>
    </row>
    <row r="179" spans="5:25">
      <c r="E179" t="str">
        <f>IF(A179="","",SUMIFS(Issue!$D$3:$D1001,Issue!$C$3:$C1001,A179)*C179)</f>
        <v/>
      </c>
      <c r="F179" t="e">
        <f ca="1">_xludf.IFNA(VLOOKUP(B179,'S-FG'!$B$3:$B1001,1,FALSE),"")</f>
        <v>#NAME?</v>
      </c>
      <c r="H179" t="str">
        <f ca="1">IFERROR(__xludf.DUMMYFUNCTION("""COMPUTED_VALUE"""),"A21 MotherBoard Assy")</f>
        <v>A21 MotherBoard Assy</v>
      </c>
      <c r="I179" t="str">
        <f ca="1">IFERROR(__xludf.DUMMYFUNCTION("""COMPUTED_VALUE"""),"Red 12AWG")</f>
        <v>Red 12AWG</v>
      </c>
      <c r="J179" s="235">
        <f ca="1">IFERROR(__xludf.DUMMYFUNCTION("""COMPUTED_VALUE"""),0.5)</f>
        <v>0.5</v>
      </c>
      <c r="K179" t="str">
        <f ca="1">IFERROR(__xludf.DUMMYFUNCTION("""COMPUTED_VALUE"""),"#N/A")</f>
        <v>#N/A</v>
      </c>
      <c r="L179">
        <f t="shared" ca="1" si="0"/>
        <v>0</v>
      </c>
      <c r="Q179" t="str">
        <f>IF(N179="","",SUMIFS('PR-BOM'!$D$3:$D1001,'PR-BOM'!$C$3:$C1001,N179))</f>
        <v/>
      </c>
      <c r="Y179" t="str">
        <f>IF(X179="","",SUMIFS(Issue!$D$3:$D1001,Issue!$C$3:$C1001,X179))</f>
        <v/>
      </c>
    </row>
    <row r="180" spans="5:25">
      <c r="E180" t="str">
        <f>IF(A180="","",SUMIFS(Issue!$D$3:$D1001,Issue!$C$3:$C1001,A180)*C180)</f>
        <v/>
      </c>
      <c r="F180" t="e">
        <f ca="1">_xludf.IFNA(VLOOKUP(B180,'S-FG'!$B$3:$B1001,1,FALSE),"")</f>
        <v>#NAME?</v>
      </c>
      <c r="H180" t="str">
        <f ca="1">IFERROR(__xludf.DUMMYFUNCTION("""COMPUTED_VALUE"""),"A21 MotherBoard Assy")</f>
        <v>A21 MotherBoard Assy</v>
      </c>
      <c r="I180" t="str">
        <f ca="1">IFERROR(__xludf.DUMMYFUNCTION("""COMPUTED_VALUE"""),"Red 18 AWG")</f>
        <v>Red 18 AWG</v>
      </c>
      <c r="J180" s="235">
        <f ca="1">IFERROR(__xludf.DUMMYFUNCTION("""COMPUTED_VALUE"""),0.3)</f>
        <v>0.3</v>
      </c>
      <c r="K180" t="str">
        <f ca="1">IFERROR(__xludf.DUMMYFUNCTION("""COMPUTED_VALUE"""),"#N/A")</f>
        <v>#N/A</v>
      </c>
      <c r="L180">
        <f t="shared" ca="1" si="0"/>
        <v>0</v>
      </c>
      <c r="Q180" t="str">
        <f>IF(N180="","",SUMIFS('PR-BOM'!$D$3:$D1001,'PR-BOM'!$C$3:$C1001,N180))</f>
        <v/>
      </c>
      <c r="Y180" t="str">
        <f>IF(X180="","",SUMIFS(Issue!$D$3:$D1001,Issue!$C$3:$C1001,X180))</f>
        <v/>
      </c>
    </row>
    <row r="181" spans="5:25">
      <c r="E181" t="str">
        <f>IF(A181="","",SUMIFS(Issue!$D$3:$D1001,Issue!$C$3:$C1001,A181)*C181)</f>
        <v/>
      </c>
      <c r="F181" t="e">
        <f ca="1">_xludf.IFNA(VLOOKUP(B181,'S-FG'!$B$3:$B1001,1,FALSE),"")</f>
        <v>#NAME?</v>
      </c>
      <c r="H181" t="str">
        <f ca="1">IFERROR(__xludf.DUMMYFUNCTION("""COMPUTED_VALUE"""),"A21 MotherBoard Assy")</f>
        <v>A21 MotherBoard Assy</v>
      </c>
      <c r="I181" t="str">
        <f ca="1">IFERROR(__xludf.DUMMYFUNCTION("""COMPUTED_VALUE"""),"Buck converter XL7015 50v")</f>
        <v>Buck converter XL7015 50v</v>
      </c>
      <c r="J181" s="235">
        <f ca="1">IFERROR(__xludf.DUMMYFUNCTION("""COMPUTED_VALUE"""),2)</f>
        <v>2</v>
      </c>
      <c r="K181" t="str">
        <f ca="1">IFERROR(__xludf.DUMMYFUNCTION("""COMPUTED_VALUE"""),"#N/A")</f>
        <v>#N/A</v>
      </c>
      <c r="L181">
        <f t="shared" ca="1" si="0"/>
        <v>0</v>
      </c>
      <c r="Q181" t="str">
        <f>IF(N181="","",SUMIFS('PR-BOM'!$D$3:$D1001,'PR-BOM'!$C$3:$C1001,N181))</f>
        <v/>
      </c>
      <c r="Y181" t="str">
        <f>IF(X181="","",SUMIFS(Issue!$D$3:$D1001,Issue!$C$3:$C1001,X181))</f>
        <v/>
      </c>
    </row>
    <row r="182" spans="5:25">
      <c r="E182" t="str">
        <f>IF(A182="","",SUMIFS(Issue!$D$3:$D1001,Issue!$C$3:$C1001,A182)*C182)</f>
        <v/>
      </c>
      <c r="F182" t="e">
        <f ca="1">_xludf.IFNA(VLOOKUP(B182,'S-FG'!$B$3:$B1001,1,FALSE),"")</f>
        <v>#NAME?</v>
      </c>
      <c r="H182" t="str">
        <f ca="1">IFERROR(__xludf.DUMMYFUNCTION("""COMPUTED_VALUE"""),"A21 MotherBoard Assy")</f>
        <v>A21 MotherBoard Assy</v>
      </c>
      <c r="I182" t="str">
        <f ca="1">IFERROR(__xludf.DUMMYFUNCTION("""COMPUTED_VALUE"""),"LM2596HW for PC")</f>
        <v>LM2596HW for PC</v>
      </c>
      <c r="J182" s="235">
        <f ca="1">IFERROR(__xludf.DUMMYFUNCTION("""COMPUTED_VALUE"""),1)</f>
        <v>1</v>
      </c>
      <c r="K182" t="str">
        <f ca="1">IFERROR(__xludf.DUMMYFUNCTION("""COMPUTED_VALUE"""),"#N/A")</f>
        <v>#N/A</v>
      </c>
      <c r="L182">
        <f t="shared" ca="1" si="0"/>
        <v>0</v>
      </c>
      <c r="Q182" t="str">
        <f>IF(N182="","",SUMIFS('PR-BOM'!$D$3:$D1001,'PR-BOM'!$C$3:$C1001,N182))</f>
        <v/>
      </c>
      <c r="Y182" t="str">
        <f>IF(X182="","",SUMIFS(Issue!$D$3:$D1001,Issue!$C$3:$C1001,X182))</f>
        <v/>
      </c>
    </row>
    <row r="183" spans="5:25">
      <c r="E183" t="str">
        <f>IF(A183="","",SUMIFS(Issue!$D$3:$D1001,Issue!$C$3:$C1001,A183)*C183)</f>
        <v/>
      </c>
      <c r="F183" t="e">
        <f ca="1">_xludf.IFNA(VLOOKUP(B183,'S-FG'!$B$3:$B1001,1,FALSE),"")</f>
        <v>#NAME?</v>
      </c>
      <c r="H183" t="str">
        <f ca="1">IFERROR(__xludf.DUMMYFUNCTION("""COMPUTED_VALUE"""),"A21 MotherBoard Assy")</f>
        <v>A21 MotherBoard Assy</v>
      </c>
      <c r="I183" t="str">
        <f ca="1">IFERROR(__xludf.DUMMYFUNCTION("""COMPUTED_VALUE"""),"PWB of Motherboard")</f>
        <v>PWB of Motherboard</v>
      </c>
      <c r="J183" s="235">
        <f ca="1">IFERROR(__xludf.DUMMYFUNCTION("""COMPUTED_VALUE"""),1)</f>
        <v>1</v>
      </c>
      <c r="K183" t="str">
        <f ca="1">IFERROR(__xludf.DUMMYFUNCTION("""COMPUTED_VALUE"""),"#N/A")</f>
        <v>#N/A</v>
      </c>
      <c r="L183">
        <f t="shared" ca="1" si="0"/>
        <v>0</v>
      </c>
      <c r="Q183" t="str">
        <f>IF(N183="","",SUMIFS('PR-BOM'!$D$3:$D1001,'PR-BOM'!$C$3:$C1001,N183))</f>
        <v/>
      </c>
      <c r="Y183" t="str">
        <f>IF(X183="","",SUMIFS(Issue!$D$3:$D1001,Issue!$C$3:$C1001,X183))</f>
        <v/>
      </c>
    </row>
    <row r="184" spans="5:25">
      <c r="E184" t="str">
        <f>IF(A184="","",SUMIFS(Issue!$D$3:$D1001,Issue!$C$3:$C1001,A184)*C184)</f>
        <v/>
      </c>
      <c r="F184" t="e">
        <f ca="1">_xludf.IFNA(VLOOKUP(B184,'S-FG'!$B$3:$B1001,1,FALSE),"")</f>
        <v>#NAME?</v>
      </c>
      <c r="H184" t="str">
        <f ca="1">IFERROR(__xludf.DUMMYFUNCTION("""COMPUTED_VALUE"""),"A21 MotherBoard Assy")</f>
        <v>A21 MotherBoard Assy</v>
      </c>
      <c r="I184" t="str">
        <f ca="1">IFERROR(__xludf.DUMMYFUNCTION("""COMPUTED_VALUE"""),"Lead paste")</f>
        <v>Lead paste</v>
      </c>
      <c r="J184" s="235">
        <f ca="1">IFERROR(__xludf.DUMMYFUNCTION("""COMPUTED_VALUE"""),10)</f>
        <v>10</v>
      </c>
      <c r="L184">
        <f t="shared" ca="1" si="0"/>
        <v>0</v>
      </c>
      <c r="Q184" t="str">
        <f>IF(N184="","",SUMIFS('PR-BOM'!$D$3:$D1001,'PR-BOM'!$C$3:$C1001,N184))</f>
        <v/>
      </c>
      <c r="Y184" t="str">
        <f>IF(X184="","",SUMIFS(Issue!$D$3:$D1001,Issue!$C$3:$C1001,X184))</f>
        <v/>
      </c>
    </row>
    <row r="185" spans="5:25">
      <c r="E185" t="str">
        <f>IF(A185="","",SUMIFS(Issue!$D$3:$D1001,Issue!$C$3:$C1001,A185)*C185)</f>
        <v/>
      </c>
      <c r="F185" t="e">
        <f ca="1">_xludf.IFNA(VLOOKUP(B185,'S-FG'!$B$3:$B1001,1,FALSE),"")</f>
        <v>#NAME?</v>
      </c>
      <c r="H185" t="str">
        <f ca="1">IFERROR(__xludf.DUMMYFUNCTION("""COMPUTED_VALUE"""),"A21 MotherBoard Assy")</f>
        <v>A21 MotherBoard Assy</v>
      </c>
      <c r="I185" t="str">
        <f ca="1">IFERROR(__xludf.DUMMYFUNCTION("""COMPUTED_VALUE"""),"Lead wire 22AWG")</f>
        <v>Lead wire 22AWG</v>
      </c>
      <c r="J185" s="235">
        <f ca="1">IFERROR(__xludf.DUMMYFUNCTION("""COMPUTED_VALUE"""),10)</f>
        <v>10</v>
      </c>
      <c r="L185">
        <f t="shared" ca="1" si="0"/>
        <v>0</v>
      </c>
      <c r="Q185" t="str">
        <f>IF(N185="","",SUMIFS('PR-BOM'!$D$3:$D1001,'PR-BOM'!$C$3:$C1001,N185))</f>
        <v/>
      </c>
      <c r="Y185" t="str">
        <f>IF(X185="","",SUMIFS(Issue!$D$3:$D1001,Issue!$C$3:$C1001,X185))</f>
        <v/>
      </c>
    </row>
    <row r="186" spans="5:25">
      <c r="E186" t="str">
        <f>IF(A186="","",SUMIFS(Issue!$D$3:$D1001,Issue!$C$3:$C1001,A186)*C186)</f>
        <v/>
      </c>
      <c r="F186" t="e">
        <f ca="1">_xludf.IFNA(VLOOKUP(B186,'S-FG'!$B$3:$B1001,1,FALSE),"")</f>
        <v>#NAME?</v>
      </c>
      <c r="H186" t="str">
        <f ca="1">IFERROR(__xludf.DUMMYFUNCTION("""COMPUTED_VALUE"""),"A21 MotherBoard Assy")</f>
        <v>A21 MotherBoard Assy</v>
      </c>
      <c r="I186" t="str">
        <f ca="1">IFERROR(__xludf.DUMMYFUNCTION("""COMPUTED_VALUE"""),"LED 0805 SMD")</f>
        <v>LED 0805 SMD</v>
      </c>
      <c r="J186" s="235">
        <f ca="1">IFERROR(__xludf.DUMMYFUNCTION("""COMPUTED_VALUE"""),1)</f>
        <v>1</v>
      </c>
      <c r="K186" t="str">
        <f ca="1">IFERROR(__xludf.DUMMYFUNCTION("""COMPUTED_VALUE"""),"KPTD-2012LVSURCK")</f>
        <v>KPTD-2012LVSURCK</v>
      </c>
      <c r="L186">
        <f t="shared" ca="1" si="0"/>
        <v>0</v>
      </c>
      <c r="Q186" t="str">
        <f>IF(N186="","",SUMIFS('PR-BOM'!$D$3:$D1001,'PR-BOM'!$C$3:$C1001,N186))</f>
        <v/>
      </c>
      <c r="Y186" t="str">
        <f>IF(X186="","",SUMIFS(Issue!$D$3:$D1001,Issue!$C$3:$C1001,X186))</f>
        <v/>
      </c>
    </row>
    <row r="187" spans="5:25">
      <c r="E187" t="str">
        <f>IF(A187="","",SUMIFS(Issue!$D$3:$D1001,Issue!$C$3:$C1001,A187)*C187)</f>
        <v/>
      </c>
      <c r="F187" t="e">
        <f ca="1">_xludf.IFNA(VLOOKUP(B187,'S-FG'!$B$3:$B1001,1,FALSE),"")</f>
        <v>#NAME?</v>
      </c>
      <c r="H187" t="str">
        <f ca="1">IFERROR(__xludf.DUMMYFUNCTION("""COMPUTED_VALUE"""),"A21 MotherBoard Assy")</f>
        <v>A21 MotherBoard Assy</v>
      </c>
      <c r="I187" t="str">
        <f ca="1">IFERROR(__xludf.DUMMYFUNCTION("""COMPUTED_VALUE"""),"18pF 0805 capacitor")</f>
        <v>18pF 0805 capacitor</v>
      </c>
      <c r="J187" s="235">
        <f ca="1">IFERROR(__xludf.DUMMYFUNCTION("""COMPUTED_VALUE"""),4)</f>
        <v>4</v>
      </c>
      <c r="K187" t="str">
        <f ca="1">IFERROR(__xludf.DUMMYFUNCTION("""COMPUTED_VALUE"""),"MC0805N180J500CT")</f>
        <v>MC0805N180J500CT</v>
      </c>
      <c r="L187">
        <f t="shared" ca="1" si="0"/>
        <v>0</v>
      </c>
      <c r="Q187" t="str">
        <f>IF(N187="","",SUMIFS('PR-BOM'!$D$3:$D1001,'PR-BOM'!$C$3:$C1001,N187))</f>
        <v/>
      </c>
      <c r="Y187" t="str">
        <f>IF(X187="","",SUMIFS(Issue!$D$3:$D1001,Issue!$C$3:$C1001,X187))</f>
        <v/>
      </c>
    </row>
    <row r="188" spans="5:25">
      <c r="E188" t="str">
        <f>IF(A188="","",SUMIFS(Issue!$D$3:$D1001,Issue!$C$3:$C1001,A188)*C188)</f>
        <v/>
      </c>
      <c r="F188" t="e">
        <f ca="1">_xludf.IFNA(VLOOKUP(B188,'S-FG'!$B$3:$B1001,1,FALSE),"")</f>
        <v>#NAME?</v>
      </c>
      <c r="H188" t="str">
        <f ca="1">IFERROR(__xludf.DUMMYFUNCTION("""COMPUTED_VALUE"""),"A21 MotherBoard Assy")</f>
        <v>A21 MotherBoard Assy</v>
      </c>
      <c r="I188" t="str">
        <f ca="1">IFERROR(__xludf.DUMMYFUNCTION("""COMPUTED_VALUE"""),"10uF 10v Tantalum Capacitor Case A")</f>
        <v>10uF 10v Tantalum Capacitor Case A</v>
      </c>
      <c r="J188" s="235">
        <f ca="1">IFERROR(__xludf.DUMMYFUNCTION("""COMPUTED_VALUE"""),3)</f>
        <v>3</v>
      </c>
      <c r="K188" t="str">
        <f ca="1">IFERROR(__xludf.DUMMYFUNCTION("""COMPUTED_VALUE"""),"T491A106K010AT")</f>
        <v>T491A106K010AT</v>
      </c>
      <c r="L188">
        <f t="shared" ca="1" si="0"/>
        <v>0</v>
      </c>
      <c r="Q188" t="str">
        <f>IF(N188="","",SUMIFS('PR-BOM'!$D$3:$D1001,'PR-BOM'!$C$3:$C1001,N188))</f>
        <v/>
      </c>
      <c r="Y188" t="str">
        <f>IF(X188="","",SUMIFS(Issue!$D$3:$D1001,Issue!$C$3:$C1001,X188))</f>
        <v/>
      </c>
    </row>
    <row r="189" spans="5:25">
      <c r="E189" t="str">
        <f>IF(A189="","",SUMIFS(Issue!$D$3:$D1001,Issue!$C$3:$C1001,A189)*C189)</f>
        <v/>
      </c>
      <c r="F189" t="e">
        <f ca="1">_xludf.IFNA(VLOOKUP(B189,'S-FG'!$B$3:$B1001,1,FALSE),"")</f>
        <v>#NAME?</v>
      </c>
      <c r="H189" t="str">
        <f ca="1">IFERROR(__xludf.DUMMYFUNCTION("""COMPUTED_VALUE"""),"A21 MotherBoard Assy")</f>
        <v>A21 MotherBoard Assy</v>
      </c>
      <c r="I189" t="str">
        <f ca="1">IFERROR(__xludf.DUMMYFUNCTION("""COMPUTED_VALUE"""),"SPST relay 5A-12v ANTI_S &amp; KILL")</f>
        <v>SPST relay 5A-12v ANTI_S &amp; KILL</v>
      </c>
      <c r="J189" s="235">
        <f ca="1">IFERROR(__xludf.DUMMYFUNCTION("""COMPUTED_VALUE"""),2)</f>
        <v>2</v>
      </c>
      <c r="K189" t="str">
        <f ca="1">IFERROR(__xludf.DUMMYFUNCTION("""COMPUTED_VALUE"""),"#N/A")</f>
        <v>#N/A</v>
      </c>
      <c r="L189">
        <f t="shared" ca="1" si="0"/>
        <v>0</v>
      </c>
      <c r="Q189" t="str">
        <f>IF(N189="","",SUMIFS('PR-BOM'!$D$3:$D1001,'PR-BOM'!$C$3:$C1001,N189))</f>
        <v/>
      </c>
      <c r="Y189" t="str">
        <f>IF(X189="","",SUMIFS(Issue!$D$3:$D1001,Issue!$C$3:$C1001,X189))</f>
        <v/>
      </c>
    </row>
    <row r="190" spans="5:25">
      <c r="E190" t="str">
        <f>IF(A190="","",SUMIFS(Issue!$D$3:$D1001,Issue!$C$3:$C1001,A190)*C190)</f>
        <v/>
      </c>
      <c r="F190" t="e">
        <f ca="1">_xludf.IFNA(VLOOKUP(B190,'S-FG'!$B$3:$B1001,1,FALSE),"")</f>
        <v>#NAME?</v>
      </c>
      <c r="H190" t="str">
        <f ca="1">IFERROR(__xludf.DUMMYFUNCTION("""COMPUTED_VALUE"""),"A21 MotherBoard Assy")</f>
        <v>A21 MotherBoard Assy</v>
      </c>
      <c r="I190" t="str">
        <f ca="1">IFERROR(__xludf.DUMMYFUNCTION("""COMPUTED_VALUE"""),"Balancing 1A DPDT 24v Relay")</f>
        <v>Balancing 1A DPDT 24v Relay</v>
      </c>
      <c r="J190" s="235">
        <f ca="1">IFERROR(__xludf.DUMMYFUNCTION("""COMPUTED_VALUE"""),5)</f>
        <v>5</v>
      </c>
      <c r="K190" t="str">
        <f ca="1">IFERROR(__xludf.DUMMYFUNCTION("""COMPUTED_VALUE"""),"#N/A")</f>
        <v>#N/A</v>
      </c>
      <c r="L190">
        <f t="shared" ca="1" si="0"/>
        <v>0</v>
      </c>
      <c r="Q190" t="str">
        <f>IF(N190="","",SUMIFS('PR-BOM'!$D$3:$D1001,'PR-BOM'!$C$3:$C1001,N190))</f>
        <v/>
      </c>
      <c r="Y190" t="str">
        <f>IF(X190="","",SUMIFS(Issue!$D$3:$D1001,Issue!$C$3:$C1001,X190))</f>
        <v/>
      </c>
    </row>
    <row r="191" spans="5:25">
      <c r="E191" t="str">
        <f>IF(A191="","",SUMIFS(Issue!$D$3:$D1001,Issue!$C$3:$C1001,A191)*C191)</f>
        <v/>
      </c>
      <c r="F191" t="e">
        <f ca="1">_xludf.IFNA(VLOOKUP(B191,'S-FG'!$B$3:$B1001,1,FALSE),"")</f>
        <v>#NAME?</v>
      </c>
      <c r="H191" t="str">
        <f ca="1">IFERROR(__xludf.DUMMYFUNCTION("""COMPUTED_VALUE"""),"A21 MotherBoard Assy")</f>
        <v>A21 MotherBoard Assy</v>
      </c>
      <c r="I191" t="str">
        <f ca="1">IFERROR(__xludf.DUMMYFUNCTION("""COMPUTED_VALUE"""),"Balancing relay 5A/2A 24v SPST")</f>
        <v>Balancing relay 5A/2A 24v SPST</v>
      </c>
      <c r="J191" s="235">
        <f ca="1">IFERROR(__xludf.DUMMYFUNCTION("""COMPUTED_VALUE"""),1)</f>
        <v>1</v>
      </c>
      <c r="K191" t="str">
        <f ca="1">IFERROR(__xludf.DUMMYFUNCTION("""COMPUTED_VALUE"""),"#N/A")</f>
        <v>#N/A</v>
      </c>
      <c r="L191">
        <f t="shared" ca="1" si="0"/>
        <v>0</v>
      </c>
      <c r="Q191" t="str">
        <f>IF(N191="","",SUMIFS('PR-BOM'!$D$3:$D1001,'PR-BOM'!$C$3:$C1001,N191))</f>
        <v/>
      </c>
      <c r="Y191" t="str">
        <f>IF(X191="","",SUMIFS(Issue!$D$3:$D1001,Issue!$C$3:$C1001,X191))</f>
        <v/>
      </c>
    </row>
    <row r="192" spans="5:25">
      <c r="E192" t="str">
        <f>IF(A192="","",SUMIFS(Issue!$D$3:$D1001,Issue!$C$3:$C1001,A192)*C192)</f>
        <v/>
      </c>
      <c r="F192" t="e">
        <f ca="1">_xludf.IFNA(VLOOKUP(B192,'S-FG'!$B$3:$B1001,1,FALSE),"")</f>
        <v>#NAME?</v>
      </c>
      <c r="H192" t="str">
        <f ca="1">IFERROR(__xludf.DUMMYFUNCTION("""COMPUTED_VALUE"""),"A21 MotherBoard Assy")</f>
        <v>A21 MotherBoard Assy</v>
      </c>
      <c r="I192" t="str">
        <f ca="1">IFERROR(__xludf.DUMMYFUNCTION("""COMPUTED_VALUE"""),"BlueTooth Module")</f>
        <v>BlueTooth Module</v>
      </c>
      <c r="J192" s="235">
        <f ca="1">IFERROR(__xludf.DUMMYFUNCTION("""COMPUTED_VALUE"""),1)</f>
        <v>1</v>
      </c>
      <c r="K192" t="str">
        <f ca="1">IFERROR(__xludf.DUMMYFUNCTION("""COMPUTED_VALUE"""),"HC-05")</f>
        <v>HC-05</v>
      </c>
      <c r="L192">
        <f t="shared" ca="1" si="0"/>
        <v>0</v>
      </c>
      <c r="Q192" t="str">
        <f>IF(N192="","",SUMIFS('PR-BOM'!$D$3:$D1001,'PR-BOM'!$C$3:$C1001,N192))</f>
        <v/>
      </c>
      <c r="Y192" t="str">
        <f>IF(X192="","",SUMIFS(Issue!$D$3:$D1001,Issue!$C$3:$C1001,X192))</f>
        <v/>
      </c>
    </row>
    <row r="193" spans="5:25">
      <c r="E193" t="str">
        <f>IF(A193="","",SUMIFS(Issue!$D$3:$D1001,Issue!$C$3:$C1001,A193)*C193)</f>
        <v/>
      </c>
      <c r="F193" t="e">
        <f ca="1">_xludf.IFNA(VLOOKUP(B193,'S-FG'!$B$3:$B1001,1,FALSE),"")</f>
        <v>#NAME?</v>
      </c>
      <c r="H193" t="str">
        <f ca="1">IFERROR(__xludf.DUMMYFUNCTION("""COMPUTED_VALUE"""),"A21 MotherBoard Assy")</f>
        <v>A21 MotherBoard Assy</v>
      </c>
      <c r="I193" t="str">
        <f ca="1">IFERROR(__xludf.DUMMYFUNCTION("""COMPUTED_VALUE"""),"24AWG Soldering Wire")</f>
        <v>24AWG Soldering Wire</v>
      </c>
      <c r="J193" s="235">
        <f ca="1">IFERROR(__xludf.DUMMYFUNCTION("""COMPUTED_VALUE"""),10)</f>
        <v>10</v>
      </c>
      <c r="K193" t="str">
        <f ca="1">IFERROR(__xludf.DUMMYFUNCTION("""COMPUTED_VALUE"""),"#N/A")</f>
        <v>#N/A</v>
      </c>
      <c r="L193">
        <f t="shared" ca="1" si="0"/>
        <v>0</v>
      </c>
      <c r="Q193" t="str">
        <f>IF(N193="","",SUMIFS('PR-BOM'!$D$3:$D1001,'PR-BOM'!$C$3:$C1001,N193))</f>
        <v/>
      </c>
      <c r="Y193" t="str">
        <f>IF(X193="","",SUMIFS(Issue!$D$3:$D1001,Issue!$C$3:$C1001,X193))</f>
        <v/>
      </c>
    </row>
    <row r="194" spans="5:25">
      <c r="E194" t="str">
        <f>IF(A194="","",SUMIFS(Issue!$D$3:$D1001,Issue!$C$3:$C1001,A194)*C194)</f>
        <v/>
      </c>
      <c r="F194" t="e">
        <f ca="1">_xludf.IFNA(VLOOKUP(B194,'S-FG'!$B$3:$B1001,1,FALSE),"")</f>
        <v>#NAME?</v>
      </c>
      <c r="H194" t="str">
        <f ca="1">IFERROR(__xludf.DUMMYFUNCTION("""COMPUTED_VALUE"""),"A21 MotherBoard Assy")</f>
        <v>A21 MotherBoard Assy</v>
      </c>
      <c r="I194" t="str">
        <f ca="1">IFERROR(__xludf.DUMMYFUNCTION("""COMPUTED_VALUE"""),"12E 2W Resistor THT")</f>
        <v>12E 2W Resistor THT</v>
      </c>
      <c r="J194" s="235">
        <f ca="1">IFERROR(__xludf.DUMMYFUNCTION("""COMPUTED_VALUE"""),1)</f>
        <v>1</v>
      </c>
      <c r="K194" t="str">
        <f ca="1">IFERROR(__xludf.DUMMYFUNCTION("""COMPUTED_VALUE"""),"#N/A")</f>
        <v>#N/A</v>
      </c>
      <c r="L194">
        <f t="shared" ca="1" si="0"/>
        <v>0</v>
      </c>
      <c r="Q194" t="str">
        <f>IF(N194="","",SUMIFS('PR-BOM'!$D$3:$D1001,'PR-BOM'!$C$3:$C1001,N194))</f>
        <v/>
      </c>
      <c r="Y194" t="str">
        <f>IF(X194="","",SUMIFS(Issue!$D$3:$D1001,Issue!$C$3:$C1001,X194))</f>
        <v/>
      </c>
    </row>
    <row r="195" spans="5:25">
      <c r="E195" t="str">
        <f>IF(A195="","",SUMIFS(Issue!$D$3:$D1001,Issue!$C$3:$C1001,A195)*C195)</f>
        <v/>
      </c>
      <c r="F195" t="e">
        <f ca="1">_xludf.IFNA(VLOOKUP(B195,'S-FG'!$B$3:$B1001,1,FALSE),"")</f>
        <v>#NAME?</v>
      </c>
      <c r="H195" t="str">
        <f ca="1">IFERROR(__xludf.DUMMYFUNCTION("""COMPUTED_VALUE"""),"A21 MotherBoard Assy")</f>
        <v>A21 MotherBoard Assy</v>
      </c>
      <c r="I195" t="str">
        <f ca="1">IFERROR(__xludf.DUMMYFUNCTION("""COMPUTED_VALUE"""),"1k 0805 Resistor")</f>
        <v>1k 0805 Resistor</v>
      </c>
      <c r="J195" s="235">
        <f ca="1">IFERROR(__xludf.DUMMYFUNCTION("""COMPUTED_VALUE"""),1)</f>
        <v>1</v>
      </c>
      <c r="K195" t="str">
        <f ca="1">IFERROR(__xludf.DUMMYFUNCTION("""COMPUTED_VALUE"""),"ERA6AEB102V (to be modified)")</f>
        <v>ERA6AEB102V (to be modified)</v>
      </c>
      <c r="L195">
        <f t="shared" ca="1" si="0"/>
        <v>0</v>
      </c>
      <c r="Q195" t="str">
        <f>IF(N195="","",SUMIFS('PR-BOM'!$D$3:$D1001,'PR-BOM'!$C$3:$C1001,N195))</f>
        <v/>
      </c>
      <c r="Y195" t="str">
        <f>IF(X195="","",SUMIFS(Issue!$D$3:$D1001,Issue!$C$3:$C1001,X195))</f>
        <v/>
      </c>
    </row>
    <row r="196" spans="5:25">
      <c r="E196" t="str">
        <f>IF(A196="","",SUMIFS(Issue!$D$3:$D1001,Issue!$C$3:$C1001,A196)*C196)</f>
        <v/>
      </c>
      <c r="F196" t="e">
        <f ca="1">_xludf.IFNA(VLOOKUP(B196,'S-FG'!$B$3:$B1001,1,FALSE),"")</f>
        <v>#NAME?</v>
      </c>
      <c r="H196" t="str">
        <f ca="1">IFERROR(__xludf.DUMMYFUNCTION("""COMPUTED_VALUE"""),"A21 MotherBoard Assy")</f>
        <v>A21 MotherBoard Assy</v>
      </c>
      <c r="I196" t="str">
        <f ca="1">IFERROR(__xludf.DUMMYFUNCTION("""COMPUTED_VALUE"""),"51k 0805 resistor")</f>
        <v>51k 0805 resistor</v>
      </c>
      <c r="J196" s="235">
        <f ca="1">IFERROR(__xludf.DUMMYFUNCTION("""COMPUTED_VALUE"""),2)</f>
        <v>2</v>
      </c>
      <c r="K196" t="str">
        <f ca="1">IFERROR(__xludf.DUMMYFUNCTION("""COMPUTED_VALUE"""),"#N/A")</f>
        <v>#N/A</v>
      </c>
      <c r="L196">
        <f t="shared" ca="1" si="0"/>
        <v>0</v>
      </c>
      <c r="Q196" t="str">
        <f>IF(N196="","",SUMIFS('PR-BOM'!$D$3:$D1001,'PR-BOM'!$C$3:$C1001,N196))</f>
        <v/>
      </c>
      <c r="Y196" t="str">
        <f>IF(X196="","",SUMIFS(Issue!$D$3:$D1001,Issue!$C$3:$C1001,X196))</f>
        <v/>
      </c>
    </row>
    <row r="197" spans="5:25">
      <c r="E197" t="str">
        <f>IF(A197="","",SUMIFS(Issue!$D$3:$D1001,Issue!$C$3:$C1001,A197)*C197)</f>
        <v/>
      </c>
      <c r="F197" t="e">
        <f ca="1">_xludf.IFNA(VLOOKUP(B197,'S-FG'!$B$3:$B1001,1,FALSE),"")</f>
        <v>#NAME?</v>
      </c>
      <c r="H197" t="str">
        <f ca="1">IFERROR(__xludf.DUMMYFUNCTION("""COMPUTED_VALUE"""),"A21 MotherBoard Assy")</f>
        <v>A21 MotherBoard Assy</v>
      </c>
      <c r="I197" t="str">
        <f ca="1">IFERROR(__xludf.DUMMYFUNCTION("""COMPUTED_VALUE"""),"10k 0805 resistor")</f>
        <v>10k 0805 resistor</v>
      </c>
      <c r="J197" s="235">
        <f ca="1">IFERROR(__xludf.DUMMYFUNCTION("""COMPUTED_VALUE"""),1)</f>
        <v>1</v>
      </c>
      <c r="K197" t="str">
        <f ca="1">IFERROR(__xludf.DUMMYFUNCTION("""COMPUTED_VALUE"""),"ERA6AEB103V (to be modified)")</f>
        <v>ERA6AEB103V (to be modified)</v>
      </c>
      <c r="L197">
        <f t="shared" ca="1" si="0"/>
        <v>0</v>
      </c>
      <c r="Q197" t="str">
        <f>IF(N197="","",SUMIFS('PR-BOM'!$D$3:$D1001,'PR-BOM'!$C$3:$C1001,N197))</f>
        <v/>
      </c>
      <c r="Y197" t="str">
        <f>IF(X197="","",SUMIFS(Issue!$D$3:$D1001,Issue!$C$3:$C1001,X197))</f>
        <v/>
      </c>
    </row>
    <row r="198" spans="5:25">
      <c r="E198" t="str">
        <f>IF(A198="","",SUMIFS(Issue!$D$3:$D1001,Issue!$C$3:$C1001,A198)*C198)</f>
        <v/>
      </c>
      <c r="F198" t="e">
        <f ca="1">_xludf.IFNA(VLOOKUP(B198,'S-FG'!$B$3:$B1001,1,FALSE),"")</f>
        <v>#NAME?</v>
      </c>
      <c r="H198" t="str">
        <f ca="1">IFERROR(__xludf.DUMMYFUNCTION("""COMPUTED_VALUE"""),"A21 MotherBoard Assy")</f>
        <v>A21 MotherBoard Assy</v>
      </c>
      <c r="I198" t="str">
        <f ca="1">IFERROR(__xludf.DUMMYFUNCTION("""COMPUTED_VALUE"""),"330E 0805 Resistor")</f>
        <v>330E 0805 Resistor</v>
      </c>
      <c r="J198" s="235">
        <f ca="1">IFERROR(__xludf.DUMMYFUNCTION("""COMPUTED_VALUE"""),12)</f>
        <v>12</v>
      </c>
      <c r="K198" t="str">
        <f ca="1">IFERROR(__xludf.DUMMYFUNCTION("""COMPUTED_VALUE"""),"MCWR08X3300FTL (to be modified)")</f>
        <v>MCWR08X3300FTL (to be modified)</v>
      </c>
      <c r="L198">
        <f t="shared" ca="1" si="0"/>
        <v>0</v>
      </c>
      <c r="Q198" t="str">
        <f>IF(N198="","",SUMIFS('PR-BOM'!$D$3:$D1001,'PR-BOM'!$C$3:$C1001,N198))</f>
        <v/>
      </c>
      <c r="Y198" t="str">
        <f>IF(X198="","",SUMIFS(Issue!$D$3:$D1001,Issue!$C$3:$C1001,X198))</f>
        <v/>
      </c>
    </row>
    <row r="199" spans="5:25">
      <c r="E199" t="str">
        <f>IF(A199="","",SUMIFS(Issue!$D$3:$D1001,Issue!$C$3:$C1001,A199)*C199)</f>
        <v/>
      </c>
      <c r="F199" t="e">
        <f ca="1">_xludf.IFNA(VLOOKUP(B199,'S-FG'!$B$3:$B1001,1,FALSE),"")</f>
        <v>#NAME?</v>
      </c>
      <c r="H199" t="str">
        <f ca="1">IFERROR(__xludf.DUMMYFUNCTION("""COMPUTED_VALUE"""),"A21 MotherBoard Assy")</f>
        <v>A21 MotherBoard Assy</v>
      </c>
      <c r="I199" t="str">
        <f ca="1">IFERROR(__xludf.DUMMYFUNCTION("""COMPUTED_VALUE"""),"Female Bergstrip 40x1 2.54mm")</f>
        <v>Female Bergstrip 40x1 2.54mm</v>
      </c>
      <c r="J199" s="235">
        <f ca="1">IFERROR(__xludf.DUMMYFUNCTION("""COMPUTED_VALUE"""),1)</f>
        <v>1</v>
      </c>
      <c r="L199">
        <f t="shared" ca="1" si="0"/>
        <v>0</v>
      </c>
      <c r="Q199" t="str">
        <f>IF(N199="","",SUMIFS('PR-BOM'!$D$3:$D1001,'PR-BOM'!$C$3:$C1001,N199))</f>
        <v/>
      </c>
      <c r="Y199" t="str">
        <f>IF(X199="","",SUMIFS(Issue!$D$3:$D1001,Issue!$C$3:$C1001,X199))</f>
        <v/>
      </c>
    </row>
    <row r="200" spans="5:25">
      <c r="E200" t="str">
        <f>IF(A200="","",SUMIFS(Issue!$D$3:$D1001,Issue!$C$3:$C1001,A200)*C200)</f>
        <v/>
      </c>
      <c r="F200" t="e">
        <f ca="1">_xludf.IFNA(VLOOKUP(B200,'S-FG'!$B$3:$B1001,1,FALSE),"")</f>
        <v>#NAME?</v>
      </c>
      <c r="H200" t="str">
        <f ca="1">IFERROR(__xludf.DUMMYFUNCTION("""COMPUTED_VALUE"""),"A21 MotherBoard Assy")</f>
        <v>A21 MotherBoard Assy</v>
      </c>
      <c r="I200" t="str">
        <f ca="1">IFERROR(__xludf.DUMMYFUNCTION("""COMPUTED_VALUE"""),"Male Bergstrip 40x1 2.54mm")</f>
        <v>Male Bergstrip 40x1 2.54mm</v>
      </c>
      <c r="J200" s="235">
        <f ca="1">IFERROR(__xludf.DUMMYFUNCTION("""COMPUTED_VALUE"""),1)</f>
        <v>1</v>
      </c>
      <c r="L200">
        <f t="shared" ca="1" si="0"/>
        <v>0</v>
      </c>
      <c r="Q200" t="str">
        <f>IF(N200="","",SUMIFS('PR-BOM'!$D$3:$D1001,'PR-BOM'!$C$3:$C1001,N200))</f>
        <v/>
      </c>
      <c r="Y200" t="str">
        <f>IF(X200="","",SUMIFS(Issue!$D$3:$D1001,Issue!$C$3:$C1001,X200))</f>
        <v/>
      </c>
    </row>
    <row r="201" spans="5:25">
      <c r="E201" t="str">
        <f>IF(A201="","",SUMIFS(Issue!$D$3:$D1001,Issue!$C$3:$C1001,A201)*C201)</f>
        <v/>
      </c>
      <c r="F201" t="e">
        <f ca="1">_xludf.IFNA(VLOOKUP(B201,'S-FG'!$B$3:$B1001,1,FALSE),"")</f>
        <v>#NAME?</v>
      </c>
      <c r="H201" t="str">
        <f ca="1">IFERROR(__xludf.DUMMYFUNCTION("""COMPUTED_VALUE"""),"A21 MotherBoard Assy")</f>
        <v>A21 MotherBoard Assy</v>
      </c>
      <c r="I201" t="str">
        <f ca="1">IFERROR(__xludf.DUMMYFUNCTION("""COMPUTED_VALUE"""),"Conformal Coating")</f>
        <v>Conformal Coating</v>
      </c>
      <c r="J201" s="235">
        <f ca="1">IFERROR(__xludf.DUMMYFUNCTION("""COMPUTED_VALUE"""),20)</f>
        <v>20</v>
      </c>
      <c r="L201">
        <f t="shared" ca="1" si="0"/>
        <v>0</v>
      </c>
      <c r="Q201" t="str">
        <f>IF(N201="","",SUMIFS('PR-BOM'!$D$3:$D1001,'PR-BOM'!$C$3:$C1001,N201))</f>
        <v/>
      </c>
      <c r="Y201" t="str">
        <f>IF(X201="","",SUMIFS(Issue!$D$3:$D1001,Issue!$C$3:$C1001,X201))</f>
        <v/>
      </c>
    </row>
    <row r="202" spans="5:25">
      <c r="E202" t="str">
        <f>IF(A202="","",SUMIFS(Issue!$D$3:$D1001,Issue!$C$3:$C1001,A202)*C202)</f>
        <v/>
      </c>
      <c r="F202" t="e">
        <f ca="1">_xludf.IFNA(VLOOKUP(B202,'S-FG'!$B$3:$B1001,1,FALSE),"")</f>
        <v>#NAME?</v>
      </c>
      <c r="H202" t="str">
        <f ca="1">IFERROR(__xludf.DUMMYFUNCTION("""COMPUTED_VALUE"""),"A21 MotherBoard Assy")</f>
        <v>A21 MotherBoard Assy</v>
      </c>
      <c r="I202" t="str">
        <f ca="1">IFERROR(__xludf.DUMMYFUNCTION("""COMPUTED_VALUE"""),"Soldering flux")</f>
        <v>Soldering flux</v>
      </c>
      <c r="J202" s="235">
        <f ca="1">IFERROR(__xludf.DUMMYFUNCTION("""COMPUTED_VALUE"""),5)</f>
        <v>5</v>
      </c>
      <c r="L202">
        <f t="shared" ca="1" si="0"/>
        <v>0</v>
      </c>
      <c r="Q202" t="str">
        <f>IF(N202="","",SUMIFS('PR-BOM'!$D$3:$D1001,'PR-BOM'!$C$3:$C1001,N202))</f>
        <v/>
      </c>
      <c r="Y202" t="str">
        <f>IF(X202="","",SUMIFS(Issue!$D$3:$D1001,Issue!$C$3:$C1001,X202))</f>
        <v/>
      </c>
    </row>
    <row r="203" spans="5:25">
      <c r="E203" t="str">
        <f>IF(A203="","",SUMIFS(Issue!$D$3:$D1001,Issue!$C$3:$C1001,A203)*C203)</f>
        <v/>
      </c>
      <c r="F203" t="e">
        <f ca="1">_xludf.IFNA(VLOOKUP(B203,'S-FG'!$B$3:$B1001,1,FALSE),"")</f>
        <v>#NAME?</v>
      </c>
      <c r="H203" t="str">
        <f ca="1">IFERROR(__xludf.DUMMYFUNCTION("""COMPUTED_VALUE"""),"A21 MotherBoard Assy")</f>
        <v>A21 MotherBoard Assy</v>
      </c>
      <c r="I203" t="str">
        <f ca="1">IFERROR(__xludf.DUMMYFUNCTION("""COMPUTED_VALUE"""),"2 pin JST-XH male top entry")</f>
        <v>2 pin JST-XH male top entry</v>
      </c>
      <c r="J203" s="235">
        <f ca="1">IFERROR(__xludf.DUMMYFUNCTION("""COMPUTED_VALUE"""),3)</f>
        <v>3</v>
      </c>
      <c r="K203" t="str">
        <f ca="1">IFERROR(__xludf.DUMMYFUNCTION("""COMPUTED_VALUE"""),"#N/A")</f>
        <v>#N/A</v>
      </c>
      <c r="L203">
        <f t="shared" ca="1" si="0"/>
        <v>0</v>
      </c>
      <c r="Q203" t="str">
        <f>IF(N203="","",SUMIFS('PR-BOM'!$D$3:$D1001,'PR-BOM'!$C$3:$C1001,N203))</f>
        <v/>
      </c>
      <c r="Y203" t="str">
        <f>IF(X203="","",SUMIFS(Issue!$D$3:$D1001,Issue!$C$3:$C1001,X203))</f>
        <v/>
      </c>
    </row>
    <row r="204" spans="5:25">
      <c r="E204" t="str">
        <f>IF(A204="","",SUMIFS(Issue!$D$3:$D1001,Issue!$C$3:$C1001,A204)*C204)</f>
        <v/>
      </c>
      <c r="F204" t="e">
        <f ca="1">_xludf.IFNA(VLOOKUP(B204,'S-FG'!$B$3:$B1001,1,FALSE),"")</f>
        <v>#NAME?</v>
      </c>
      <c r="H204" t="str">
        <f ca="1">IFERROR(__xludf.DUMMYFUNCTION("""COMPUTED_VALUE"""),"A21 MotherBoard Assy")</f>
        <v>A21 MotherBoard Assy</v>
      </c>
      <c r="I204" t="str">
        <f ca="1">IFERROR(__xludf.DUMMYFUNCTION("""COMPUTED_VALUE"""),"2 pin JST-XH male top entry RED")</f>
        <v>2 pin JST-XH male top entry RED</v>
      </c>
      <c r="J204" s="235">
        <f ca="1">IFERROR(__xludf.DUMMYFUNCTION("""COMPUTED_VALUE"""),1)</f>
        <v>1</v>
      </c>
      <c r="L204">
        <f t="shared" ca="1" si="0"/>
        <v>0</v>
      </c>
      <c r="Q204" t="str">
        <f>IF(N204="","",SUMIFS('PR-BOM'!$D$3:$D1001,'PR-BOM'!$C$3:$C1001,N204))</f>
        <v/>
      </c>
      <c r="Y204" t="str">
        <f>IF(X204="","",SUMIFS(Issue!$D$3:$D1001,Issue!$C$3:$C1001,X204))</f>
        <v/>
      </c>
    </row>
    <row r="205" spans="5:25">
      <c r="E205" t="str">
        <f>IF(A205="","",SUMIFS(Issue!$D$3:$D1001,Issue!$C$3:$C1001,A205)*C205)</f>
        <v/>
      </c>
      <c r="F205" t="e">
        <f ca="1">_xludf.IFNA(VLOOKUP(B205,'S-FG'!$B$3:$B1001,1,FALSE),"")</f>
        <v>#NAME?</v>
      </c>
      <c r="H205" t="str">
        <f ca="1">IFERROR(__xludf.DUMMYFUNCTION("""COMPUTED_VALUE"""),"A21 MotherBoard Assy")</f>
        <v>A21 MotherBoard Assy</v>
      </c>
      <c r="I205" t="str">
        <f ca="1">IFERROR(__xludf.DUMMYFUNCTION("""COMPUTED_VALUE"""),"13 pin JST-XH male top entry")</f>
        <v>13 pin JST-XH male top entry</v>
      </c>
      <c r="J205" s="235">
        <f ca="1">IFERROR(__xludf.DUMMYFUNCTION("""COMPUTED_VALUE"""),1)</f>
        <v>1</v>
      </c>
      <c r="K205" t="str">
        <f ca="1">IFERROR(__xludf.DUMMYFUNCTION("""COMPUTED_VALUE"""),"#N/A")</f>
        <v>#N/A</v>
      </c>
      <c r="L205">
        <f t="shared" ca="1" si="0"/>
        <v>0</v>
      </c>
      <c r="Q205" t="str">
        <f>IF(N205="","",SUMIFS('PR-BOM'!$D$3:$D1001,'PR-BOM'!$C$3:$C1001,N205))</f>
        <v/>
      </c>
      <c r="Y205" t="str">
        <f>IF(X205="","",SUMIFS(Issue!$D$3:$D1001,Issue!$C$3:$C1001,X205))</f>
        <v/>
      </c>
    </row>
    <row r="206" spans="5:25">
      <c r="E206" t="str">
        <f>IF(A206="","",SUMIFS(Issue!$D$3:$D1001,Issue!$C$3:$C1001,A206)*C206)</f>
        <v/>
      </c>
      <c r="F206" t="e">
        <f ca="1">_xludf.IFNA(VLOOKUP(B206,'S-FG'!$B$3:$B1001,1,FALSE),"")</f>
        <v>#NAME?</v>
      </c>
      <c r="H206" t="str">
        <f ca="1">IFERROR(__xludf.DUMMYFUNCTION("""COMPUTED_VALUE"""),"A21 MotherBoard Assy")</f>
        <v>A21 MotherBoard Assy</v>
      </c>
      <c r="I206" t="str">
        <f ca="1">IFERROR(__xludf.DUMMYFUNCTION("""COMPUTED_VALUE"""),"15 pin JST-XH male top entry")</f>
        <v>15 pin JST-XH male top entry</v>
      </c>
      <c r="J206" s="235">
        <f ca="1">IFERROR(__xludf.DUMMYFUNCTION("""COMPUTED_VALUE"""),2)</f>
        <v>2</v>
      </c>
      <c r="K206" t="str">
        <f ca="1">IFERROR(__xludf.DUMMYFUNCTION("""COMPUTED_VALUE"""),"#N/A")</f>
        <v>#N/A</v>
      </c>
      <c r="L206">
        <f t="shared" ca="1" si="0"/>
        <v>0</v>
      </c>
      <c r="Q206" t="str">
        <f>IF(N206="","",SUMIFS('PR-BOM'!$D$3:$D1001,'PR-BOM'!$C$3:$C1001,N206))</f>
        <v/>
      </c>
      <c r="Y206" t="str">
        <f>IF(X206="","",SUMIFS(Issue!$D$3:$D1001,Issue!$C$3:$C1001,X206))</f>
        <v/>
      </c>
    </row>
    <row r="207" spans="5:25">
      <c r="E207" t="str">
        <f>IF(A207="","",SUMIFS(Issue!$D$3:$D1001,Issue!$C$3:$C1001,A207)*C207)</f>
        <v/>
      </c>
      <c r="F207" t="e">
        <f ca="1">_xludf.IFNA(VLOOKUP(B207,'S-FG'!$B$3:$B1001,1,FALSE),"")</f>
        <v>#NAME?</v>
      </c>
      <c r="H207" t="str">
        <f ca="1">IFERROR(__xludf.DUMMYFUNCTION("""COMPUTED_VALUE"""),"A21 MotherBoard Assy")</f>
        <v>A21 MotherBoard Assy</v>
      </c>
      <c r="I207" t="str">
        <f ca="1">IFERROR(__xludf.DUMMYFUNCTION("""COMPUTED_VALUE"""),"JST-XH Crimping pins")</f>
        <v>JST-XH Crimping pins</v>
      </c>
      <c r="J207" s="235">
        <f ca="1">IFERROR(__xludf.DUMMYFUNCTION("""COMPUTED_VALUE"""),10)</f>
        <v>10</v>
      </c>
      <c r="L207">
        <f t="shared" ca="1" si="0"/>
        <v>0</v>
      </c>
      <c r="Q207" t="str">
        <f>IF(N207="","",SUMIFS('PR-BOM'!$D$3:$D1001,'PR-BOM'!$C$3:$C1001,N207))</f>
        <v/>
      </c>
      <c r="Y207" t="str">
        <f>IF(X207="","",SUMIFS(Issue!$D$3:$D1001,Issue!$C$3:$C1001,X207))</f>
        <v/>
      </c>
    </row>
    <row r="208" spans="5:25">
      <c r="E208" t="str">
        <f>IF(A208="","",SUMIFS(Issue!$D$3:$D1001,Issue!$C$3:$C1001,A208)*C208)</f>
        <v/>
      </c>
      <c r="F208" t="e">
        <f ca="1">_xludf.IFNA(VLOOKUP(B208,'S-FG'!$B$3:$B1001,1,FALSE),"")</f>
        <v>#NAME?</v>
      </c>
      <c r="H208" t="str">
        <f ca="1">IFERROR(__xludf.DUMMYFUNCTION("""COMPUTED_VALUE"""),"A21 MotherBoard Assy")</f>
        <v>A21 MotherBoard Assy</v>
      </c>
      <c r="I208" t="str">
        <f ca="1">IFERROR(__xludf.DUMMYFUNCTION("""COMPUTED_VALUE"""),"Fuse 500mA")</f>
        <v>Fuse 500mA</v>
      </c>
      <c r="J208" s="235">
        <f ca="1">IFERROR(__xludf.DUMMYFUNCTION("""COMPUTED_VALUE"""),1)</f>
        <v>1</v>
      </c>
      <c r="L208">
        <f t="shared" ca="1" si="0"/>
        <v>0</v>
      </c>
      <c r="Q208" t="str">
        <f>IF(N208="","",SUMIFS('PR-BOM'!$D$3:$D1001,'PR-BOM'!$C$3:$C1001,N208))</f>
        <v/>
      </c>
      <c r="Y208" t="str">
        <f>IF(X208="","",SUMIFS(Issue!$D$3:$D1001,Issue!$C$3:$C1001,X208))</f>
        <v/>
      </c>
    </row>
    <row r="209" spans="5:25">
      <c r="E209" t="str">
        <f>IF(A209="","",SUMIFS(Issue!$D$3:$D1001,Issue!$C$3:$C1001,A209)*C209)</f>
        <v/>
      </c>
      <c r="F209" t="e">
        <f ca="1">_xludf.IFNA(VLOOKUP(B209,'S-FG'!$B$3:$B1001,1,FALSE),"")</f>
        <v>#NAME?</v>
      </c>
      <c r="H209" t="str">
        <f ca="1">IFERROR(__xludf.DUMMYFUNCTION("""COMPUTED_VALUE"""),"A21 MotherBoard Assy")</f>
        <v>A21 MotherBoard Assy</v>
      </c>
      <c r="I209" t="str">
        <f ca="1">IFERROR(__xludf.DUMMYFUNCTION("""COMPUTED_VALUE"""),"MCP3208")</f>
        <v>MCP3208</v>
      </c>
      <c r="J209" s="235">
        <f ca="1">IFERROR(__xludf.DUMMYFUNCTION("""COMPUTED_VALUE"""),2)</f>
        <v>2</v>
      </c>
      <c r="K209" t="str">
        <f ca="1">IFERROR(__xludf.DUMMYFUNCTION("""COMPUTED_VALUE"""),"#N/A")</f>
        <v>#N/A</v>
      </c>
      <c r="L209">
        <f t="shared" ca="1" si="0"/>
        <v>0</v>
      </c>
      <c r="Q209" t="str">
        <f>IF(N209="","",SUMIFS('PR-BOM'!$D$3:$D1001,'PR-BOM'!$C$3:$C1001,N209))</f>
        <v/>
      </c>
      <c r="Y209" t="str">
        <f>IF(X209="","",SUMIFS(Issue!$D$3:$D1001,Issue!$C$3:$C1001,X209))</f>
        <v/>
      </c>
    </row>
    <row r="210" spans="5:25">
      <c r="E210" t="str">
        <f>IF(A210="","",SUMIFS(Issue!$D$3:$D1001,Issue!$C$3:$C1001,A210)*C210)</f>
        <v/>
      </c>
      <c r="F210" t="e">
        <f ca="1">_xludf.IFNA(VLOOKUP(B210,'S-FG'!$B$3:$B1001,1,FALSE),"")</f>
        <v>#NAME?</v>
      </c>
      <c r="H210" t="str">
        <f ca="1">IFERROR(__xludf.DUMMYFUNCTION("""COMPUTED_VALUE"""),"A21 MotherBoard Assy")</f>
        <v>A21 MotherBoard Assy</v>
      </c>
      <c r="I210" t="str">
        <f ca="1">IFERROR(__xludf.DUMMYFUNCTION("""COMPUTED_VALUE"""),"23A 24v Power relay")</f>
        <v>23A 24v Power relay</v>
      </c>
      <c r="J210" s="235">
        <f ca="1">IFERROR(__xludf.DUMMYFUNCTION("""COMPUTED_VALUE"""),1)</f>
        <v>1</v>
      </c>
      <c r="K210" t="str">
        <f ca="1">IFERROR(__xludf.DUMMYFUNCTION("""COMPUTED_VALUE"""),"#N/A")</f>
        <v>#N/A</v>
      </c>
      <c r="L210">
        <f t="shared" ca="1" si="0"/>
        <v>0</v>
      </c>
      <c r="Q210" t="str">
        <f>IF(N210="","",SUMIFS('PR-BOM'!$D$3:$D1001,'PR-BOM'!$C$3:$C1001,N210))</f>
        <v/>
      </c>
      <c r="Y210" t="str">
        <f>IF(X210="","",SUMIFS(Issue!$D$3:$D1001,Issue!$C$3:$C1001,X210))</f>
        <v/>
      </c>
    </row>
    <row r="211" spans="5:25">
      <c r="E211" t="str">
        <f>IF(A211="","",SUMIFS(Issue!$D$3:$D1001,Issue!$C$3:$C1001,A211)*C211)</f>
        <v/>
      </c>
      <c r="F211" t="e">
        <f ca="1">_xludf.IFNA(VLOOKUP(B211,'S-FG'!$B$3:$B1001,1,FALSE),"")</f>
        <v>#NAME?</v>
      </c>
      <c r="H211" t="str">
        <f ca="1">IFERROR(__xludf.DUMMYFUNCTION("""COMPUTED_VALUE"""),"A21 MotherBoard Assy")</f>
        <v>A21 MotherBoard Assy</v>
      </c>
      <c r="I211" t="str">
        <f ca="1">IFERROR(__xludf.DUMMYFUNCTION("""COMPUTED_VALUE"""),"470k 0805 PANASONIC")</f>
        <v>470k 0805 PANASONIC</v>
      </c>
      <c r="J211" s="235">
        <f ca="1">IFERROR(__xludf.DUMMYFUNCTION("""COMPUTED_VALUE"""),12)</f>
        <v>12</v>
      </c>
      <c r="K211" t="str">
        <f ca="1">IFERROR(__xludf.DUMMYFUNCTION("""COMPUTED_VALUE"""),"ERJUP6F4703V")</f>
        <v>ERJUP6F4703V</v>
      </c>
      <c r="L211">
        <f t="shared" ca="1" si="0"/>
        <v>0</v>
      </c>
      <c r="Q211" t="str">
        <f>IF(N211="","",SUMIFS('PR-BOM'!$D$3:$D1001,'PR-BOM'!$C$3:$C1001,N211))</f>
        <v/>
      </c>
      <c r="Y211" t="str">
        <f>IF(X211="","",SUMIFS(Issue!$D$3:$D1001,Issue!$C$3:$C1001,X211))</f>
        <v/>
      </c>
    </row>
    <row r="212" spans="5:25">
      <c r="E212" t="str">
        <f>IF(A212="","",SUMIFS(Issue!$D$3:$D1001,Issue!$C$3:$C1001,A212)*C212)</f>
        <v/>
      </c>
      <c r="F212" t="e">
        <f ca="1">_xludf.IFNA(VLOOKUP(B212,'S-FG'!$B$3:$B1001,1,FALSE),"")</f>
        <v>#NAME?</v>
      </c>
      <c r="H212" t="str">
        <f ca="1">IFERROR(__xludf.DUMMYFUNCTION("""COMPUTED_VALUE"""),"A21 MotherBoard Assy")</f>
        <v>A21 MotherBoard Assy</v>
      </c>
      <c r="I212" t="str">
        <f ca="1">IFERROR(__xludf.DUMMYFUNCTION("""COMPUTED_VALUE"""),"20k 0805 resistor PANASONIC")</f>
        <v>20k 0805 resistor PANASONIC</v>
      </c>
      <c r="J212" s="235">
        <f ca="1">IFERROR(__xludf.DUMMYFUNCTION("""COMPUTED_VALUE"""),12)</f>
        <v>12</v>
      </c>
      <c r="K212" t="str">
        <f ca="1">IFERROR(__xludf.DUMMYFUNCTION("""COMPUTED_VALUE"""),"#N/A")</f>
        <v>#N/A</v>
      </c>
      <c r="L212">
        <f t="shared" ca="1" si="0"/>
        <v>0</v>
      </c>
      <c r="Q212" t="str">
        <f>IF(N212="","",SUMIFS('PR-BOM'!$D$3:$D1001,'PR-BOM'!$C$3:$C1001,N212))</f>
        <v/>
      </c>
      <c r="Y212" t="str">
        <f>IF(X212="","",SUMIFS(Issue!$D$3:$D1001,Issue!$C$3:$C1001,X212))</f>
        <v/>
      </c>
    </row>
    <row r="213" spans="5:25">
      <c r="E213" t="str">
        <f>IF(A213="","",SUMIFS(Issue!$D$3:$D1001,Issue!$C$3:$C1001,A213)*C213)</f>
        <v/>
      </c>
      <c r="F213" t="e">
        <f ca="1">_xludf.IFNA(VLOOKUP(B213,'S-FG'!$B$3:$B1001,1,FALSE),"")</f>
        <v>#NAME?</v>
      </c>
      <c r="H213" t="str">
        <f ca="1">IFERROR(__xludf.DUMMYFUNCTION("""COMPUTED_VALUE"""),"A21 MotherBoard Assy")</f>
        <v>A21 MotherBoard Assy</v>
      </c>
      <c r="I213" t="str">
        <f ca="1">IFERROR(__xludf.DUMMYFUNCTION("""COMPUTED_VALUE"""),"1uF 0805 PANASONIC")</f>
        <v>1uF 0805 PANASONIC</v>
      </c>
      <c r="J213" s="235">
        <f ca="1">IFERROR(__xludf.DUMMYFUNCTION("""COMPUTED_VALUE"""),12)</f>
        <v>12</v>
      </c>
      <c r="K213" t="str">
        <f ca="1">IFERROR(__xludf.DUMMYFUNCTION("""COMPUTED_VALUE"""),"GCM21BR71E105KA56L")</f>
        <v>GCM21BR71E105KA56L</v>
      </c>
      <c r="L213">
        <f t="shared" ca="1" si="0"/>
        <v>0</v>
      </c>
      <c r="Q213" t="str">
        <f>IF(N213="","",SUMIFS('PR-BOM'!$D$3:$D1001,'PR-BOM'!$C$3:$C1001,N213))</f>
        <v/>
      </c>
      <c r="Y213" t="str">
        <f>IF(X213="","",SUMIFS(Issue!$D$3:$D1001,Issue!$C$3:$C1001,X213))</f>
        <v/>
      </c>
    </row>
    <row r="214" spans="5:25">
      <c r="E214" t="str">
        <f>IF(A214="","",SUMIFS(Issue!$D$3:$D1001,Issue!$C$3:$C1001,A214)*C214)</f>
        <v/>
      </c>
      <c r="F214" t="e">
        <f ca="1">_xludf.IFNA(VLOOKUP(B214,'S-FG'!$B$3:$B1001,1,FALSE),"")</f>
        <v>#NAME?</v>
      </c>
      <c r="H214" t="str">
        <f ca="1">IFERROR(__xludf.DUMMYFUNCTION("""COMPUTED_VALUE"""),"A21 MotherBoard Assy")</f>
        <v>A21 MotherBoard Assy</v>
      </c>
      <c r="I214" t="str">
        <f ca="1">IFERROR(__xludf.DUMMYFUNCTION("""COMPUTED_VALUE"""),"16MHz Crystal Oscillator")</f>
        <v>16MHz Crystal Oscillator</v>
      </c>
      <c r="J214" s="235">
        <f ca="1">IFERROR(__xludf.DUMMYFUNCTION("""COMPUTED_VALUE"""),2)</f>
        <v>2</v>
      </c>
      <c r="K214" t="str">
        <f ca="1">IFERROR(__xludf.DUMMYFUNCTION("""COMPUTED_VALUE"""),"ABM3-16.000MHZ-B2-T")</f>
        <v>ABM3-16.000MHZ-B2-T</v>
      </c>
      <c r="L214">
        <f t="shared" ca="1" si="0"/>
        <v>0</v>
      </c>
      <c r="Q214" t="str">
        <f>IF(N214="","",SUMIFS('PR-BOM'!$D$3:$D1001,'PR-BOM'!$C$3:$C1001,N214))</f>
        <v/>
      </c>
      <c r="Y214" t="str">
        <f>IF(X214="","",SUMIFS(Issue!$D$3:$D1001,Issue!$C$3:$C1001,X214))</f>
        <v/>
      </c>
    </row>
    <row r="215" spans="5:25">
      <c r="E215" t="str">
        <f>IF(A215="","",SUMIFS(Issue!$D$3:$D1001,Issue!$C$3:$C1001,A215)*C215)</f>
        <v/>
      </c>
      <c r="F215" t="e">
        <f ca="1">_xludf.IFNA(VLOOKUP(B215,'S-FG'!$B$3:$B1001,1,FALSE),"")</f>
        <v>#NAME?</v>
      </c>
      <c r="H215" t="str">
        <f ca="1">IFERROR(__xludf.DUMMYFUNCTION("""COMPUTED_VALUE"""),"A21 MotherBoard Assy")</f>
        <v>A21 MotherBoard Assy</v>
      </c>
      <c r="I215" t="str">
        <f ca="1">IFERROR(__xludf.DUMMYFUNCTION("""COMPUTED_VALUE"""),"ULN2004 SMD")</f>
        <v>ULN2004 SMD</v>
      </c>
      <c r="J215" s="235">
        <f ca="1">IFERROR(__xludf.DUMMYFUNCTION("""COMPUTED_VALUE"""),1)</f>
        <v>1</v>
      </c>
      <c r="K215" t="str">
        <f ca="1">IFERROR(__xludf.DUMMYFUNCTION("""COMPUTED_VALUE"""),"#N/A")</f>
        <v>#N/A</v>
      </c>
      <c r="L215">
        <f t="shared" ca="1" si="0"/>
        <v>0</v>
      </c>
      <c r="Q215" t="str">
        <f>IF(N215="","",SUMIFS('PR-BOM'!$D$3:$D1001,'PR-BOM'!$C$3:$C1001,N215))</f>
        <v/>
      </c>
      <c r="Y215" t="str">
        <f>IF(X215="","",SUMIFS(Issue!$D$3:$D1001,Issue!$C$3:$C1001,X215))</f>
        <v/>
      </c>
    </row>
    <row r="216" spans="5:25">
      <c r="E216" t="str">
        <f>IF(A216="","",SUMIFS(Issue!$D$3:$D1001,Issue!$C$3:$C1001,A216)*C216)</f>
        <v/>
      </c>
      <c r="F216" t="e">
        <f ca="1">_xludf.IFNA(VLOOKUP(B216,'S-FG'!$B$3:$B1001,1,FALSE),"")</f>
        <v>#NAME?</v>
      </c>
      <c r="H216" t="str">
        <f ca="1">IFERROR(__xludf.DUMMYFUNCTION("""COMPUTED_VALUE"""),"A21 MotherBoard Assy")</f>
        <v>A21 MotherBoard Assy</v>
      </c>
      <c r="I216" t="str">
        <f ca="1">IFERROR(__xludf.DUMMYFUNCTION("""COMPUTED_VALUE"""),"SSR AQW282SX")</f>
        <v>SSR AQW282SX</v>
      </c>
      <c r="J216" s="235">
        <f ca="1">IFERROR(__xludf.DUMMYFUNCTION("""COMPUTED_VALUE"""),6)</f>
        <v>6</v>
      </c>
      <c r="K216" t="str">
        <f ca="1">IFERROR(__xludf.DUMMYFUNCTION("""COMPUTED_VALUE"""),"AQW282SX")</f>
        <v>AQW282SX</v>
      </c>
      <c r="L216">
        <f t="shared" ca="1" si="0"/>
        <v>0</v>
      </c>
      <c r="Q216" t="str">
        <f>IF(N216="","",SUMIFS('PR-BOM'!$D$3:$D1001,'PR-BOM'!$C$3:$C1001,N216))</f>
        <v/>
      </c>
      <c r="Y216" t="str">
        <f>IF(X216="","",SUMIFS(Issue!$D$3:$D1001,Issue!$C$3:$C1001,X216))</f>
        <v/>
      </c>
    </row>
    <row r="217" spans="5:25">
      <c r="E217" t="str">
        <f>IF(A217="","",SUMIFS(Issue!$D$3:$D1001,Issue!$C$3:$C1001,A217)*C217)</f>
        <v/>
      </c>
      <c r="F217" t="e">
        <f ca="1">_xludf.IFNA(VLOOKUP(B217,'S-FG'!$B$3:$B1001,1,FALSE),"")</f>
        <v>#NAME?</v>
      </c>
      <c r="H217" t="str">
        <f ca="1">IFERROR(__xludf.DUMMYFUNCTION("""COMPUTED_VALUE"""),"A21 MotherBoard Assy")</f>
        <v>A21 MotherBoard Assy</v>
      </c>
      <c r="I217" t="str">
        <f ca="1">IFERROR(__xludf.DUMMYFUNCTION("""COMPUTED_VALUE"""),"Atmega328P-AU")</f>
        <v>Atmega328P-AU</v>
      </c>
      <c r="J217" s="235">
        <f ca="1">IFERROR(__xludf.DUMMYFUNCTION("""COMPUTED_VALUE"""),2)</f>
        <v>2</v>
      </c>
      <c r="K217" t="str">
        <f ca="1">IFERROR(__xludf.DUMMYFUNCTION("""COMPUTED_VALUE"""),"#N/A")</f>
        <v>#N/A</v>
      </c>
      <c r="L217">
        <f t="shared" ca="1" si="0"/>
        <v>0</v>
      </c>
      <c r="Q217" t="str">
        <f>IF(N217="","",SUMIFS('PR-BOM'!$D$3:$D1001,'PR-BOM'!$C$3:$C1001,N217))</f>
        <v/>
      </c>
      <c r="Y217" t="str">
        <f>IF(X217="","",SUMIFS(Issue!$D$3:$D1001,Issue!$C$3:$C1001,X217))</f>
        <v/>
      </c>
    </row>
    <row r="218" spans="5:25">
      <c r="E218" t="str">
        <f>IF(A218="","",SUMIFS(Issue!$D$3:$D1001,Issue!$C$3:$C1001,A218)*C218)</f>
        <v/>
      </c>
      <c r="F218" t="e">
        <f ca="1">_xludf.IFNA(VLOOKUP(B218,'S-FG'!$B$3:$B1001,1,FALSE),"")</f>
        <v>#NAME?</v>
      </c>
      <c r="H218" t="str">
        <f ca="1">IFERROR(__xludf.DUMMYFUNCTION("""COMPUTED_VALUE"""),"A21 MotherBoard Assy")</f>
        <v>A21 MotherBoard Assy</v>
      </c>
      <c r="I218" t="str">
        <f ca="1">IFERROR(__xludf.DUMMYFUNCTION("""COMPUTED_VALUE"""),"Power Relay 120A 12v")</f>
        <v>Power Relay 120A 12v</v>
      </c>
      <c r="J218" s="235">
        <f ca="1">IFERROR(__xludf.DUMMYFUNCTION("""COMPUTED_VALUE"""),1)</f>
        <v>1</v>
      </c>
      <c r="K218" t="str">
        <f ca="1">IFERROR(__xludf.DUMMYFUNCTION("""COMPUTED_VALUE"""),"#N/A")</f>
        <v>#N/A</v>
      </c>
      <c r="L218">
        <f t="shared" ca="1" si="0"/>
        <v>0</v>
      </c>
      <c r="Q218" t="str">
        <f>IF(N218="","",SUMIFS('PR-BOM'!$D$3:$D1001,'PR-BOM'!$C$3:$C1001,N218))</f>
        <v/>
      </c>
      <c r="Y218" t="str">
        <f>IF(X218="","",SUMIFS(Issue!$D$3:$D1001,Issue!$C$3:$C1001,X218))</f>
        <v/>
      </c>
    </row>
    <row r="219" spans="5:25">
      <c r="E219" t="str">
        <f>IF(A219="","",SUMIFS(Issue!$D$3:$D1001,Issue!$C$3:$C1001,A219)*C219)</f>
        <v/>
      </c>
      <c r="F219" t="e">
        <f ca="1">_xludf.IFNA(VLOOKUP(B219,'S-FG'!$B$3:$B1001,1,FALSE),"")</f>
        <v>#NAME?</v>
      </c>
      <c r="H219" t="str">
        <f ca="1">IFERROR(__xludf.DUMMYFUNCTION("""COMPUTED_VALUE"""),"A21 MotherBoard Assy")</f>
        <v>A21 MotherBoard Assy</v>
      </c>
      <c r="I219" t="str">
        <f ca="1">IFERROR(__xludf.DUMMYFUNCTION("""COMPUTED_VALUE"""),"Heatshrink Tube 6.4:1.6")</f>
        <v>Heatshrink Tube 6.4:1.6</v>
      </c>
      <c r="J219" s="235">
        <f ca="1">IFERROR(__xludf.DUMMYFUNCTION("""COMPUTED_VALUE"""),0.2)</f>
        <v>0.2</v>
      </c>
      <c r="K219" t="str">
        <f ca="1">IFERROR(__xludf.DUMMYFUNCTION("""COMPUTED_VALUE"""),"#N/A")</f>
        <v>#N/A</v>
      </c>
      <c r="L219">
        <f t="shared" ca="1" si="0"/>
        <v>0</v>
      </c>
      <c r="Q219" t="str">
        <f>IF(N219="","",SUMIFS('PR-BOM'!$D$3:$D1001,'PR-BOM'!$C$3:$C1001,N219))</f>
        <v/>
      </c>
      <c r="Y219" t="str">
        <f>IF(X219="","",SUMIFS(Issue!$D$3:$D1001,Issue!$C$3:$C1001,X219))</f>
        <v/>
      </c>
    </row>
    <row r="220" spans="5:25">
      <c r="E220" t="str">
        <f>IF(A220="","",SUMIFS(Issue!$D$3:$D1001,Issue!$C$3:$C1001,A220)*C220)</f>
        <v/>
      </c>
      <c r="F220" t="e">
        <f ca="1">_xludf.IFNA(VLOOKUP(B220,'S-FG'!$B$3:$B1001,1,FALSE),"")</f>
        <v>#NAME?</v>
      </c>
      <c r="H220" t="str">
        <f ca="1">IFERROR(__xludf.DUMMYFUNCTION("""COMPUTED_VALUE"""),"A21 MotherBoard Assy")</f>
        <v>A21 MotherBoard Assy</v>
      </c>
      <c r="I220" t="str">
        <f ca="1">IFERROR(__xludf.DUMMYFUNCTION("""COMPUTED_VALUE"""),"Heatshrink Tube 9:3")</f>
        <v>Heatshrink Tube 9:3</v>
      </c>
      <c r="J220" s="235">
        <f ca="1">IFERROR(__xludf.DUMMYFUNCTION("""COMPUTED_VALUE"""),0.1)</f>
        <v>0.1</v>
      </c>
      <c r="K220" t="str">
        <f ca="1">IFERROR(__xludf.DUMMYFUNCTION("""COMPUTED_VALUE"""),"#N/A")</f>
        <v>#N/A</v>
      </c>
      <c r="L220">
        <f t="shared" ca="1" si="0"/>
        <v>0</v>
      </c>
      <c r="Q220" t="str">
        <f>IF(N220="","",SUMIFS('PR-BOM'!$D$3:$D1001,'PR-BOM'!$C$3:$C1001,N220))</f>
        <v/>
      </c>
      <c r="Y220" t="str">
        <f>IF(X220="","",SUMIFS(Issue!$D$3:$D1001,Issue!$C$3:$C1001,X220))</f>
        <v/>
      </c>
    </row>
    <row r="221" spans="5:25">
      <c r="E221" t="str">
        <f>IF(A221="","",SUMIFS(Issue!$D$3:$D1001,Issue!$C$3:$C1001,A221)*C221)</f>
        <v/>
      </c>
      <c r="F221" t="e">
        <f ca="1">_xludf.IFNA(VLOOKUP(B221,'S-FG'!$B$3:$B1001,1,FALSE),"")</f>
        <v>#NAME?</v>
      </c>
      <c r="H221" t="str">
        <f ca="1">IFERROR(__xludf.DUMMYFUNCTION("""COMPUTED_VALUE"""),"A21 MotherBoard Assy")</f>
        <v>A21 MotherBoard Assy</v>
      </c>
      <c r="I221" t="str">
        <f ca="1">IFERROR(__xludf.DUMMYFUNCTION("""COMPUTED_VALUE"""),"Current Sensor Assy")</f>
        <v>Current Sensor Assy</v>
      </c>
      <c r="J221" s="235">
        <f ca="1">IFERROR(__xludf.DUMMYFUNCTION("""COMPUTED_VALUE"""),0)</f>
        <v>0</v>
      </c>
      <c r="K221">
        <f ca="1">IFERROR(__xludf.DUMMYFUNCTION("""COMPUTED_VALUE"""),15)</f>
        <v>15</v>
      </c>
      <c r="L221">
        <f t="shared" ca="1" si="0"/>
        <v>0</v>
      </c>
      <c r="Q221" t="str">
        <f>IF(N221="","",SUMIFS('PR-BOM'!$D$3:$D1001,'PR-BOM'!$C$3:$C1001,N221))</f>
        <v/>
      </c>
      <c r="Y221" t="str">
        <f>IF(X221="","",SUMIFS(Issue!$D$3:$D1001,Issue!$C$3:$C1001,X221))</f>
        <v/>
      </c>
    </row>
    <row r="222" spans="5:25">
      <c r="E222" t="str">
        <f>IF(A222="","",SUMIFS(Issue!$D$3:$D1001,Issue!$C$3:$C1001,A222)*C222)</f>
        <v/>
      </c>
      <c r="F222" t="e">
        <f ca="1">_xludf.IFNA(VLOOKUP(B222,'S-FG'!$B$3:$B1001,1,FALSE),"")</f>
        <v>#NAME?</v>
      </c>
      <c r="H222" t="str">
        <f ca="1">IFERROR(__xludf.DUMMYFUNCTION("""COMPUTED_VALUE"""),"A21 MotherBoard Assy")</f>
        <v>A21 MotherBoard Assy</v>
      </c>
      <c r="I222" t="str">
        <f ca="1">IFERROR(__xludf.DUMMYFUNCTION("""COMPUTED_VALUE"""),"RPM Sensor Assy")</f>
        <v>RPM Sensor Assy</v>
      </c>
      <c r="J222" s="235">
        <f ca="1">IFERROR(__xludf.DUMMYFUNCTION("""COMPUTED_VALUE"""),0)</f>
        <v>0</v>
      </c>
      <c r="K222" t="str">
        <f ca="1">IFERROR(__xludf.DUMMYFUNCTION("""COMPUTED_VALUE"""),"#N/A")</f>
        <v>#N/A</v>
      </c>
      <c r="L222">
        <f t="shared" ca="1" si="0"/>
        <v>0</v>
      </c>
      <c r="Q222" t="str">
        <f>IF(N222="","",SUMIFS('PR-BOM'!$D$3:$D1001,'PR-BOM'!$C$3:$C1001,N222))</f>
        <v/>
      </c>
      <c r="Y222" t="str">
        <f>IF(X222="","",SUMIFS(Issue!$D$3:$D1001,Issue!$C$3:$C1001,X222))</f>
        <v/>
      </c>
    </row>
    <row r="223" spans="5:25">
      <c r="E223" t="str">
        <f>IF(A223="","",SUMIFS(Issue!$D$3:$D1001,Issue!$C$3:$C1001,A223)*C223)</f>
        <v/>
      </c>
      <c r="F223" t="e">
        <f ca="1">_xludf.IFNA(VLOOKUP(B223,'S-FG'!$B$3:$B1001,1,FALSE),"")</f>
        <v>#NAME?</v>
      </c>
      <c r="H223" t="str">
        <f ca="1">IFERROR(__xludf.DUMMYFUNCTION("""COMPUTED_VALUE"""),"A21 MotherBoard Assy")</f>
        <v>A21 MotherBoard Assy</v>
      </c>
      <c r="I223" t="str">
        <f ca="1">IFERROR(__xludf.DUMMYFUNCTION("""COMPUTED_VALUE"""),"Tactile switch ")</f>
        <v xml:space="preserve">Tactile switch </v>
      </c>
      <c r="J223" s="235">
        <f ca="1">IFERROR(__xludf.DUMMYFUNCTION("""COMPUTED_VALUE"""),1)</f>
        <v>1</v>
      </c>
      <c r="K223" t="str">
        <f ca="1">IFERROR(__xludf.DUMMYFUNCTION("""COMPUTED_VALUE"""),"#N/A")</f>
        <v>#N/A</v>
      </c>
      <c r="L223">
        <f t="shared" ca="1" si="0"/>
        <v>0</v>
      </c>
      <c r="Q223" t="str">
        <f>IF(N223="","",SUMIFS('PR-BOM'!$D$3:$D1001,'PR-BOM'!$C$3:$C1001,N223))</f>
        <v/>
      </c>
      <c r="Y223" t="str">
        <f>IF(X223="","",SUMIFS(Issue!$D$3:$D1001,Issue!$C$3:$C1001,X223))</f>
        <v/>
      </c>
    </row>
    <row r="224" spans="5:25">
      <c r="E224" t="str">
        <f>IF(A224="","",SUMIFS(Issue!$D$3:$D1001,Issue!$C$3:$C1001,A224)*C224)</f>
        <v/>
      </c>
      <c r="F224" t="e">
        <f ca="1">_xludf.IFNA(VLOOKUP(B224,'S-FG'!$B$3:$B1001,1,FALSE),"")</f>
        <v>#NAME?</v>
      </c>
      <c r="H224" t="str">
        <f ca="1">IFERROR(__xludf.DUMMYFUNCTION("""COMPUTED_VALUE"""),"Electronic Box Assy")</f>
        <v>Electronic Box Assy</v>
      </c>
      <c r="I224" t="str">
        <f ca="1">IFERROR(__xludf.DUMMYFUNCTION("""COMPUTED_VALUE"""),"Ipex4 to SMA converter extension")</f>
        <v>Ipex4 to SMA converter extension</v>
      </c>
      <c r="J224" s="235">
        <f ca="1">IFERROR(__xludf.DUMMYFUNCTION("""COMPUTED_VALUE"""),1)</f>
        <v>1</v>
      </c>
      <c r="K224" t="str">
        <f ca="1">IFERROR(__xludf.DUMMYFUNCTION("""COMPUTED_VALUE"""),"#N/A")</f>
        <v>#N/A</v>
      </c>
      <c r="L224">
        <f t="shared" ca="1" si="0"/>
        <v>0</v>
      </c>
      <c r="Q224" t="str">
        <f>IF(N224="","",SUMIFS('PR-BOM'!$D$3:$D1001,'PR-BOM'!$C$3:$C1001,N224))</f>
        <v/>
      </c>
      <c r="Y224" t="str">
        <f>IF(X224="","",SUMIFS(Issue!$D$3:$D1001,Issue!$C$3:$C1001,X224))</f>
        <v/>
      </c>
    </row>
    <row r="225" spans="5:25">
      <c r="E225" t="str">
        <f>IF(A225="","",SUMIFS(Issue!$D$3:$D1001,Issue!$C$3:$C1001,A225)*C225)</f>
        <v/>
      </c>
      <c r="F225" t="e">
        <f ca="1">_xludf.IFNA(VLOOKUP(B225,'S-FG'!$B$3:$B1001,1,FALSE),"")</f>
        <v>#NAME?</v>
      </c>
      <c r="H225" t="str">
        <f ca="1">IFERROR(__xludf.DUMMYFUNCTION("""COMPUTED_VALUE"""),"Electronic Box Assy")</f>
        <v>Electronic Box Assy</v>
      </c>
      <c r="I225" t="str">
        <f ca="1">IFERROR(__xludf.DUMMYFUNCTION("""COMPUTED_VALUE"""),"Electronic Box Top Lid")</f>
        <v>Electronic Box Top Lid</v>
      </c>
      <c r="J225" s="235">
        <f ca="1">IFERROR(__xludf.DUMMYFUNCTION("""COMPUTED_VALUE"""),1)</f>
        <v>1</v>
      </c>
      <c r="L225">
        <f t="shared" ca="1" si="0"/>
        <v>0</v>
      </c>
      <c r="Q225" t="str">
        <f>IF(N225="","",SUMIFS('PR-BOM'!$D$3:$D1001,'PR-BOM'!$C$3:$C1001,N225))</f>
        <v/>
      </c>
      <c r="Y225" t="str">
        <f>IF(X225="","",SUMIFS(Issue!$D$3:$D1001,Issue!$C$3:$C1001,X225))</f>
        <v/>
      </c>
    </row>
    <row r="226" spans="5:25">
      <c r="E226" t="str">
        <f>IF(A226="","",SUMIFS(Issue!$D$3:$D1001,Issue!$C$3:$C1001,A226)*C226)</f>
        <v/>
      </c>
      <c r="F226" t="e">
        <f ca="1">_xludf.IFNA(VLOOKUP(B226,'S-FG'!$B$3:$B1001,1,FALSE),"")</f>
        <v>#NAME?</v>
      </c>
      <c r="H226" t="str">
        <f ca="1">IFERROR(__xludf.DUMMYFUNCTION("""COMPUTED_VALUE"""),"Electronic Box Assy")</f>
        <v>Electronic Box Assy</v>
      </c>
      <c r="I226" t="str">
        <f ca="1">IFERROR(__xludf.DUMMYFUNCTION("""COMPUTED_VALUE"""),"BlueRobotics Leak")</f>
        <v>BlueRobotics Leak</v>
      </c>
      <c r="J226" s="235">
        <f ca="1">IFERROR(__xludf.DUMMYFUNCTION("""COMPUTED_VALUE"""),1)</f>
        <v>1</v>
      </c>
      <c r="K226" t="str">
        <f ca="1">IFERROR(__xludf.DUMMYFUNCTION("""COMPUTED_VALUE"""),"#N/A")</f>
        <v>#N/A</v>
      </c>
      <c r="L226">
        <f t="shared" ca="1" si="0"/>
        <v>0</v>
      </c>
      <c r="Q226" t="str">
        <f>IF(N226="","",SUMIFS('PR-BOM'!$D$3:$D1001,'PR-BOM'!$C$3:$C1001,N226))</f>
        <v/>
      </c>
      <c r="Y226" t="str">
        <f>IF(X226="","",SUMIFS(Issue!$D$3:$D1001,Issue!$C$3:$C1001,X226))</f>
        <v/>
      </c>
    </row>
    <row r="227" spans="5:25">
      <c r="E227" t="str">
        <f>IF(A227="","",SUMIFS(Issue!$D$3:$D1001,Issue!$C$3:$C1001,A227)*C227)</f>
        <v/>
      </c>
      <c r="F227" t="e">
        <f ca="1">_xludf.IFNA(VLOOKUP(B227,'S-FG'!$B$3:$B1001,1,FALSE),"")</f>
        <v>#NAME?</v>
      </c>
      <c r="H227" t="str">
        <f ca="1">IFERROR(__xludf.DUMMYFUNCTION("""COMPUTED_VALUE"""),"Electronic Box Assy")</f>
        <v>Electronic Box Assy</v>
      </c>
      <c r="I227" t="str">
        <f ca="1">IFERROR(__xludf.DUMMYFUNCTION("""COMPUTED_VALUE"""),"BlueRobotics Indicator")</f>
        <v>BlueRobotics Indicator</v>
      </c>
      <c r="J227" s="235">
        <f ca="1">IFERROR(__xludf.DUMMYFUNCTION("""COMPUTED_VALUE"""),1)</f>
        <v>1</v>
      </c>
      <c r="K227" t="str">
        <f ca="1">IFERROR(__xludf.DUMMYFUNCTION("""COMPUTED_VALUE"""),"#N/A")</f>
        <v>#N/A</v>
      </c>
      <c r="L227">
        <f t="shared" ca="1" si="0"/>
        <v>0</v>
      </c>
      <c r="Q227" t="str">
        <f>IF(N227="","",SUMIFS('PR-BOM'!$D$3:$D1001,'PR-BOM'!$C$3:$C1001,N227))</f>
        <v/>
      </c>
      <c r="Y227" t="str">
        <f>IF(X227="","",SUMIFS(Issue!$D$3:$D1001,Issue!$C$3:$C1001,X227))</f>
        <v/>
      </c>
    </row>
    <row r="228" spans="5:25">
      <c r="E228" t="str">
        <f>IF(A228="","",SUMIFS(Issue!$D$3:$D1001,Issue!$C$3:$C1001,A228)*C228)</f>
        <v/>
      </c>
      <c r="F228" t="e">
        <f ca="1">_xludf.IFNA(VLOOKUP(B228,'S-FG'!$B$3:$B1001,1,FALSE),"")</f>
        <v>#NAME?</v>
      </c>
      <c r="H228" t="str">
        <f ca="1">IFERROR(__xludf.DUMMYFUNCTION("""COMPUTED_VALUE"""),"Electronic Box Assy")</f>
        <v>Electronic Box Assy</v>
      </c>
      <c r="I228" t="str">
        <f ca="1">IFERROR(__xludf.DUMMYFUNCTION("""COMPUTED_VALUE"""),"M4x6 PCB mount screw Magnetic")</f>
        <v>M4x6 PCB mount screw Magnetic</v>
      </c>
      <c r="J228" s="235">
        <f ca="1">IFERROR(__xludf.DUMMYFUNCTION("""COMPUTED_VALUE"""),5)</f>
        <v>5</v>
      </c>
      <c r="K228" t="str">
        <f ca="1">IFERROR(__xludf.DUMMYFUNCTION("""COMPUTED_VALUE"""),"#N/A")</f>
        <v>#N/A</v>
      </c>
      <c r="L228">
        <f t="shared" ca="1" si="0"/>
        <v>0</v>
      </c>
      <c r="Q228" t="str">
        <f>IF(N228="","",SUMIFS('PR-BOM'!$D$3:$D1001,'PR-BOM'!$C$3:$C1001,N228))</f>
        <v/>
      </c>
      <c r="Y228" t="str">
        <f>IF(X228="","",SUMIFS(Issue!$D$3:$D1001,Issue!$C$3:$C1001,X228))</f>
        <v/>
      </c>
    </row>
    <row r="229" spans="5:25">
      <c r="E229" t="str">
        <f>IF(A229="","",SUMIFS(Issue!$D$3:$D1001,Issue!$C$3:$C1001,A229)*C229)</f>
        <v/>
      </c>
      <c r="F229" t="e">
        <f ca="1">_xludf.IFNA(VLOOKUP(B229,'S-FG'!$B$3:$B1001,1,FALSE),"")</f>
        <v>#NAME?</v>
      </c>
      <c r="H229" t="str">
        <f ca="1">IFERROR(__xludf.DUMMYFUNCTION("""COMPUTED_VALUE"""),"Electronic Box Assy")</f>
        <v>Electronic Box Assy</v>
      </c>
      <c r="I229" t="str">
        <f ca="1">IFERROR(__xludf.DUMMYFUNCTION("""COMPUTED_VALUE"""),"PG-7 Cable Gland")</f>
        <v>PG-7 Cable Gland</v>
      </c>
      <c r="J229" s="235">
        <f ca="1">IFERROR(__xludf.DUMMYFUNCTION("""COMPUTED_VALUE"""),3)</f>
        <v>3</v>
      </c>
      <c r="K229" t="str">
        <f ca="1">IFERROR(__xludf.DUMMYFUNCTION("""COMPUTED_VALUE"""),"#N/A")</f>
        <v>#N/A</v>
      </c>
      <c r="L229">
        <f t="shared" ca="1" si="0"/>
        <v>0</v>
      </c>
      <c r="Q229" t="str">
        <f>IF(N229="","",SUMIFS('PR-BOM'!$D$3:$D1001,'PR-BOM'!$C$3:$C1001,N229))</f>
        <v/>
      </c>
      <c r="Y229" t="str">
        <f>IF(X229="","",SUMIFS(Issue!$D$3:$D1001,Issue!$C$3:$C1001,X229))</f>
        <v/>
      </c>
    </row>
    <row r="230" spans="5:25">
      <c r="E230" t="str">
        <f>IF(A230="","",SUMIFS(Issue!$D$3:$D1001,Issue!$C$3:$C1001,A230)*C230)</f>
        <v/>
      </c>
      <c r="F230" t="e">
        <f ca="1">_xludf.IFNA(VLOOKUP(B230,'S-FG'!$B$3:$B1001,1,FALSE),"")</f>
        <v>#NAME?</v>
      </c>
      <c r="H230" t="str">
        <f ca="1">IFERROR(__xludf.DUMMYFUNCTION("""COMPUTED_VALUE"""),"Electronic Box Assy")</f>
        <v>Electronic Box Assy</v>
      </c>
      <c r="I230" t="str">
        <f ca="1">IFERROR(__xludf.DUMMYFUNCTION("""COMPUTED_VALUE"""),"Electronic Box")</f>
        <v>Electronic Box</v>
      </c>
      <c r="J230" s="235">
        <f ca="1">IFERROR(__xludf.DUMMYFUNCTION("""COMPUTED_VALUE"""),1)</f>
        <v>1</v>
      </c>
      <c r="K230" t="str">
        <f ca="1">IFERROR(__xludf.DUMMYFUNCTION("""COMPUTED_VALUE"""),"#N/A")</f>
        <v>#N/A</v>
      </c>
      <c r="L230">
        <f t="shared" ca="1" si="0"/>
        <v>0</v>
      </c>
      <c r="Q230" t="str">
        <f>IF(N230="","",SUMIFS('PR-BOM'!$D$3:$D1001,'PR-BOM'!$C$3:$C1001,N230))</f>
        <v/>
      </c>
      <c r="Y230" t="str">
        <f>IF(X230="","",SUMIFS(Issue!$D$3:$D1001,Issue!$C$3:$C1001,X230))</f>
        <v/>
      </c>
    </row>
    <row r="231" spans="5:25">
      <c r="E231" t="str">
        <f>IF(A231="","",SUMIFS(Issue!$D$3:$D1001,Issue!$C$3:$C1001,A231)*C231)</f>
        <v/>
      </c>
      <c r="F231" t="e">
        <f ca="1">_xludf.IFNA(VLOOKUP(B231,'S-FG'!$B$3:$B1001,1,FALSE),"")</f>
        <v>#NAME?</v>
      </c>
      <c r="H231" t="str">
        <f ca="1">IFERROR(__xludf.DUMMYFUNCTION("""COMPUTED_VALUE"""),"Electronic Box Assy")</f>
        <v>Electronic Box Assy</v>
      </c>
      <c r="I231" t="str">
        <f ca="1">IFERROR(__xludf.DUMMYFUNCTION("""COMPUTED_VALUE"""),"IM Front Lid")</f>
        <v>IM Front Lid</v>
      </c>
      <c r="J231" s="235">
        <f ca="1">IFERROR(__xludf.DUMMYFUNCTION("""COMPUTED_VALUE"""),1)</f>
        <v>1</v>
      </c>
      <c r="K231" t="str">
        <f ca="1">IFERROR(__xludf.DUMMYFUNCTION("""COMPUTED_VALUE"""),"#N/A")</f>
        <v>#N/A</v>
      </c>
      <c r="L231">
        <f t="shared" ca="1" si="0"/>
        <v>0</v>
      </c>
      <c r="Q231" t="str">
        <f>IF(N231="","",SUMIFS('PR-BOM'!$D$3:$D1001,'PR-BOM'!$C$3:$C1001,N231))</f>
        <v/>
      </c>
      <c r="Y231" t="str">
        <f>IF(X231="","",SUMIFS(Issue!$D$3:$D1001,Issue!$C$3:$C1001,X231))</f>
        <v/>
      </c>
    </row>
    <row r="232" spans="5:25">
      <c r="E232" t="str">
        <f>IF(A232="","",SUMIFS(Issue!$D$3:$D1001,Issue!$C$3:$C1001,A232)*C232)</f>
        <v/>
      </c>
      <c r="F232" t="e">
        <f ca="1">_xludf.IFNA(VLOOKUP(B232,'S-FG'!$B$3:$B1001,1,FALSE),"")</f>
        <v>#NAME?</v>
      </c>
      <c r="H232" t="str">
        <f ca="1">IFERROR(__xludf.DUMMYFUNCTION("""COMPUTED_VALUE"""),"Electronic Box Assy")</f>
        <v>Electronic Box Assy</v>
      </c>
      <c r="I232" t="str">
        <f ca="1">IFERROR(__xludf.DUMMYFUNCTION("""COMPUTED_VALUE"""),"Teroson MS930")</f>
        <v>Teroson MS930</v>
      </c>
      <c r="J232" s="235">
        <f ca="1">IFERROR(__xludf.DUMMYFUNCTION("""COMPUTED_VALUE"""),10)</f>
        <v>10</v>
      </c>
      <c r="K232" t="str">
        <f ca="1">IFERROR(__xludf.DUMMYFUNCTION("""COMPUTED_VALUE"""),"#N/A")</f>
        <v>#N/A</v>
      </c>
      <c r="L232">
        <f t="shared" ca="1" si="0"/>
        <v>0</v>
      </c>
      <c r="Q232" t="str">
        <f>IF(N232="","",SUMIFS('PR-BOM'!$D$3:$D1001,'PR-BOM'!$C$3:$C1001,N232))</f>
        <v/>
      </c>
      <c r="Y232" t="str">
        <f>IF(X232="","",SUMIFS(Issue!$D$3:$D1001,Issue!$C$3:$C1001,X232))</f>
        <v/>
      </c>
    </row>
    <row r="233" spans="5:25">
      <c r="E233" t="str">
        <f>IF(A233="","",SUMIFS(Issue!$D$3:$D1001,Issue!$C$3:$C1001,A233)*C233)</f>
        <v/>
      </c>
      <c r="F233" t="e">
        <f ca="1">_xludf.IFNA(VLOOKUP(B233,'S-FG'!$B$3:$B1001,1,FALSE),"")</f>
        <v>#NAME?</v>
      </c>
      <c r="H233" t="str">
        <f ca="1">IFERROR(__xludf.DUMMYFUNCTION("""COMPUTED_VALUE"""),"Electronic Box Assy")</f>
        <v>Electronic Box Assy</v>
      </c>
      <c r="I233" t="str">
        <f ca="1">IFERROR(__xludf.DUMMYFUNCTION("""COMPUTED_VALUE"""),"Silicon RTV 732")</f>
        <v>Silicon RTV 732</v>
      </c>
      <c r="J233" s="235">
        <f ca="1">IFERROR(__xludf.DUMMYFUNCTION("""COMPUTED_VALUE"""),20)</f>
        <v>20</v>
      </c>
      <c r="K233" t="str">
        <f ca="1">IFERROR(__xludf.DUMMYFUNCTION("""COMPUTED_VALUE"""),"#N/A")</f>
        <v>#N/A</v>
      </c>
      <c r="L233">
        <f t="shared" ca="1" si="0"/>
        <v>0</v>
      </c>
      <c r="Q233" t="str">
        <f>IF(N233="","",SUMIFS('PR-BOM'!$D$3:$D1001,'PR-BOM'!$C$3:$C1001,N233))</f>
        <v/>
      </c>
      <c r="Y233" t="str">
        <f>IF(X233="","",SUMIFS(Issue!$D$3:$D1001,Issue!$C$3:$C1001,X233))</f>
        <v/>
      </c>
    </row>
    <row r="234" spans="5:25">
      <c r="E234" t="str">
        <f>IF(A234="","",SUMIFS(Issue!$D$3:$D1001,Issue!$C$3:$C1001,A234)*C234)</f>
        <v/>
      </c>
      <c r="F234" t="e">
        <f ca="1">_xludf.IFNA(VLOOKUP(B234,'S-FG'!$B$3:$B1001,1,FALSE),"")</f>
        <v>#NAME?</v>
      </c>
      <c r="H234" t="str">
        <f ca="1">IFERROR(__xludf.DUMMYFUNCTION("""COMPUTED_VALUE"""),"Electronic Box Assy")</f>
        <v>Electronic Box Assy</v>
      </c>
      <c r="I234" t="str">
        <f ca="1">IFERROR(__xludf.DUMMYFUNCTION("""COMPUTED_VALUE"""),"Power Switch Assy")</f>
        <v>Power Switch Assy</v>
      </c>
      <c r="J234" s="235">
        <f ca="1">IFERROR(__xludf.DUMMYFUNCTION("""COMPUTED_VALUE"""),0)</f>
        <v>0</v>
      </c>
      <c r="K234" t="str">
        <f ca="1">IFERROR(__xludf.DUMMYFUNCTION("""COMPUTED_VALUE"""),"#N/A")</f>
        <v>#N/A</v>
      </c>
      <c r="L234">
        <f t="shared" ca="1" si="0"/>
        <v>0</v>
      </c>
      <c r="Q234" t="str">
        <f>IF(N234="","",SUMIFS('PR-BOM'!$D$3:$D1001,'PR-BOM'!$C$3:$C1001,N234))</f>
        <v/>
      </c>
      <c r="Y234" t="str">
        <f>IF(X234="","",SUMIFS(Issue!$D$3:$D1001,Issue!$C$3:$C1001,X234))</f>
        <v/>
      </c>
    </row>
    <row r="235" spans="5:25">
      <c r="E235" t="str">
        <f>IF(A235="","",SUMIFS(Issue!$D$3:$D1001,Issue!$C$3:$C1001,A235)*C235)</f>
        <v/>
      </c>
      <c r="F235" t="e">
        <f ca="1">_xludf.IFNA(VLOOKUP(B235,'S-FG'!$B$3:$B1001,1,FALSE),"")</f>
        <v>#NAME?</v>
      </c>
      <c r="H235" t="str">
        <f ca="1">IFERROR(__xludf.DUMMYFUNCTION("""COMPUTED_VALUE"""),"Electronic Box Assy")</f>
        <v>Electronic Box Assy</v>
      </c>
      <c r="I235" t="str">
        <f ca="1">IFERROR(__xludf.DUMMYFUNCTION("""COMPUTED_VALUE"""),"M4x20 CSK Phillips")</f>
        <v>M4x20 CSK Phillips</v>
      </c>
      <c r="J235" s="235">
        <f ca="1">IFERROR(__xludf.DUMMYFUNCTION("""COMPUTED_VALUE"""),4)</f>
        <v>4</v>
      </c>
      <c r="K235" t="str">
        <f ca="1">IFERROR(__xludf.DUMMYFUNCTION("""COMPUTED_VALUE"""),"#N/A")</f>
        <v>#N/A</v>
      </c>
      <c r="L235">
        <f t="shared" ca="1" si="0"/>
        <v>0</v>
      </c>
      <c r="Q235" t="str">
        <f>IF(N235="","",SUMIFS('PR-BOM'!$D$3:$D1001,'PR-BOM'!$C$3:$C1001,N235))</f>
        <v/>
      </c>
      <c r="Y235" t="str">
        <f>IF(X235="","",SUMIFS(Issue!$D$3:$D1001,Issue!$C$3:$C1001,X235))</f>
        <v/>
      </c>
    </row>
    <row r="236" spans="5:25">
      <c r="E236" t="str">
        <f>IF(A236="","",SUMIFS(Issue!$D$3:$D1001,Issue!$C$3:$C1001,A236)*C236)</f>
        <v/>
      </c>
      <c r="F236" t="e">
        <f ca="1">_xludf.IFNA(VLOOKUP(B236,'S-FG'!$B$3:$B1001,1,FALSE),"")</f>
        <v>#NAME?</v>
      </c>
      <c r="H236" t="str">
        <f ca="1">IFERROR(__xludf.DUMMYFUNCTION("""COMPUTED_VALUE"""),"Electronic Box Assy")</f>
        <v>Electronic Box Assy</v>
      </c>
      <c r="I236" t="str">
        <f ca="1">IFERROR(__xludf.DUMMYFUNCTION("""COMPUTED_VALUE"""),"STBD Signal PM Assy")</f>
        <v>STBD Signal PM Assy</v>
      </c>
      <c r="J236" s="235">
        <f ca="1">IFERROR(__xludf.DUMMYFUNCTION("""COMPUTED_VALUE"""),0)</f>
        <v>0</v>
      </c>
      <c r="K236" t="str">
        <f ca="1">IFERROR(__xludf.DUMMYFUNCTION("""COMPUTED_VALUE"""),"#N/A")</f>
        <v>#N/A</v>
      </c>
      <c r="L236">
        <f t="shared" ca="1" si="0"/>
        <v>0</v>
      </c>
      <c r="Q236" t="str">
        <f>IF(N236="","",SUMIFS('PR-BOM'!$D$3:$D1001,'PR-BOM'!$C$3:$C1001,N236))</f>
        <v/>
      </c>
      <c r="Y236" t="str">
        <f>IF(X236="","",SUMIFS(Issue!$D$3:$D1001,Issue!$C$3:$C1001,X236))</f>
        <v/>
      </c>
    </row>
    <row r="237" spans="5:25">
      <c r="E237" t="str">
        <f>IF(A237="","",SUMIFS(Issue!$D$3:$D1001,Issue!$C$3:$C1001,A237)*C237)</f>
        <v/>
      </c>
      <c r="F237" t="e">
        <f ca="1">_xludf.IFNA(VLOOKUP(B237,'S-FG'!$B$3:$B1001,1,FALSE),"")</f>
        <v>#NAME?</v>
      </c>
      <c r="H237" t="str">
        <f ca="1">IFERROR(__xludf.DUMMYFUNCTION("""COMPUTED_VALUE"""),"Electronic Box Assy")</f>
        <v>Electronic Box Assy</v>
      </c>
      <c r="I237" t="str">
        <f ca="1">IFERROR(__xludf.DUMMYFUNCTION("""COMPUTED_VALUE"""),"PORT Signal PM Assy")</f>
        <v>PORT Signal PM Assy</v>
      </c>
      <c r="J237" s="235">
        <f ca="1">IFERROR(__xludf.DUMMYFUNCTION("""COMPUTED_VALUE"""),0)</f>
        <v>0</v>
      </c>
      <c r="K237" t="str">
        <f ca="1">IFERROR(__xludf.DUMMYFUNCTION("""COMPUTED_VALUE"""),"#N/A")</f>
        <v>#N/A</v>
      </c>
      <c r="L237">
        <f t="shared" ca="1" si="0"/>
        <v>0</v>
      </c>
      <c r="Q237" t="str">
        <f>IF(N237="","",SUMIFS('PR-BOM'!$D$3:$D1001,'PR-BOM'!$C$3:$C1001,N237))</f>
        <v/>
      </c>
      <c r="Y237" t="str">
        <f>IF(X237="","",SUMIFS(Issue!$D$3:$D1001,Issue!$C$3:$C1001,X237))</f>
        <v/>
      </c>
    </row>
    <row r="238" spans="5:25">
      <c r="E238" t="str">
        <f>IF(A238="","",SUMIFS(Issue!$D$3:$D1001,Issue!$C$3:$C1001,A238)*C238)</f>
        <v/>
      </c>
      <c r="F238" t="e">
        <f ca="1">_xludf.IFNA(VLOOKUP(B238,'S-FG'!$B$3:$B1001,1,FALSE),"")</f>
        <v>#NAME?</v>
      </c>
      <c r="H238" t="str">
        <f ca="1">IFERROR(__xludf.DUMMYFUNCTION("""COMPUTED_VALUE"""),"Electronic Box Assy")</f>
        <v>Electronic Box Assy</v>
      </c>
      <c r="I238" t="str">
        <f ca="1">IFERROR(__xludf.DUMMYFUNCTION("""COMPUTED_VALUE"""),"Current Sensor Assy")</f>
        <v>Current Sensor Assy</v>
      </c>
      <c r="J238" s="235">
        <f ca="1">IFERROR(__xludf.DUMMYFUNCTION("""COMPUTED_VALUE"""),0)</f>
        <v>0</v>
      </c>
      <c r="K238">
        <f ca="1">IFERROR(__xludf.DUMMYFUNCTION("""COMPUTED_VALUE"""),15)</f>
        <v>15</v>
      </c>
      <c r="L238">
        <f t="shared" ca="1" si="0"/>
        <v>0</v>
      </c>
      <c r="Q238" t="str">
        <f>IF(N238="","",SUMIFS('PR-BOM'!$D$3:$D1001,'PR-BOM'!$C$3:$C1001,N238))</f>
        <v/>
      </c>
      <c r="Y238" t="str">
        <f>IF(X238="","",SUMIFS(Issue!$D$3:$D1001,Issue!$C$3:$C1001,X238))</f>
        <v/>
      </c>
    </row>
    <row r="239" spans="5:25">
      <c r="E239" t="str">
        <f>IF(A239="","",SUMIFS(Issue!$D$3:$D1001,Issue!$C$3:$C1001,A239)*C239)</f>
        <v/>
      </c>
      <c r="F239" t="e">
        <f ca="1">_xludf.IFNA(VLOOKUP(B239,'S-FG'!$B$3:$B1001,1,FALSE),"")</f>
        <v>#NAME?</v>
      </c>
      <c r="H239" t="str">
        <f ca="1">IFERROR(__xludf.DUMMYFUNCTION("""COMPUTED_VALUE"""),"Electronic Box Assy")</f>
        <v>Electronic Box Assy</v>
      </c>
      <c r="I239" t="str">
        <f ca="1">IFERROR(__xludf.DUMMYFUNCTION("""COMPUTED_VALUE"""),"A21 MotherBoard Assy")</f>
        <v>A21 MotherBoard Assy</v>
      </c>
      <c r="J239" s="235">
        <f ca="1">IFERROR(__xludf.DUMMYFUNCTION("""COMPUTED_VALUE"""),0)</f>
        <v>0</v>
      </c>
      <c r="K239" t="str">
        <f ca="1">IFERROR(__xludf.DUMMYFUNCTION("""COMPUTED_VALUE"""),"#N/A")</f>
        <v>#N/A</v>
      </c>
      <c r="L239">
        <f t="shared" ca="1" si="0"/>
        <v>0</v>
      </c>
      <c r="Q239" t="str">
        <f>IF(N239="","",SUMIFS('PR-BOM'!$D$3:$D1001,'PR-BOM'!$C$3:$C1001,N239))</f>
        <v/>
      </c>
      <c r="Y239" t="str">
        <f>IF(X239="","",SUMIFS(Issue!$D$3:$D1001,Issue!$C$3:$C1001,X239))</f>
        <v/>
      </c>
    </row>
    <row r="240" spans="5:25">
      <c r="E240" t="str">
        <f>IF(A240="","",SUMIFS(Issue!$D$3:$D1001,Issue!$C$3:$C1001,A240)*C240)</f>
        <v/>
      </c>
      <c r="F240" t="e">
        <f ca="1">_xludf.IFNA(VLOOKUP(B240,'S-FG'!$B$3:$B1001,1,FALSE),"")</f>
        <v>#NAME?</v>
      </c>
      <c r="H240" t="str">
        <f ca="1">IFERROR(__xludf.DUMMYFUNCTION("""COMPUTED_VALUE"""),"FL_STBD Elec")</f>
        <v>FL_STBD Elec</v>
      </c>
      <c r="I240" t="str">
        <f ca="1">IFERROR(__xludf.DUMMYFUNCTION("""COMPUTED_VALUE"""),"2mm male bullet connector")</f>
        <v>2mm male bullet connector</v>
      </c>
      <c r="J240" s="235">
        <f ca="1">IFERROR(__xludf.DUMMYFUNCTION("""COMPUTED_VALUE"""),2)</f>
        <v>2</v>
      </c>
      <c r="K240" t="str">
        <f ca="1">IFERROR(__xludf.DUMMYFUNCTION("""COMPUTED_VALUE"""),"#N/A")</f>
        <v>#N/A</v>
      </c>
      <c r="L240">
        <f t="shared" ca="1" si="0"/>
        <v>0</v>
      </c>
      <c r="Q240" t="str">
        <f>IF(N240="","",SUMIFS('PR-BOM'!$D$3:$D1001,'PR-BOM'!$C$3:$C1001,N240))</f>
        <v/>
      </c>
      <c r="Y240" t="str">
        <f>IF(X240="","",SUMIFS(Issue!$D$3:$D1001,Issue!$C$3:$C1001,X240))</f>
        <v/>
      </c>
    </row>
    <row r="241" spans="5:25">
      <c r="E241" t="str">
        <f>IF(A241="","",SUMIFS(Issue!$D$3:$D1001,Issue!$C$3:$C1001,A241)*C241)</f>
        <v/>
      </c>
      <c r="F241" t="e">
        <f ca="1">_xludf.IFNA(VLOOKUP(B241,'S-FG'!$B$3:$B1001,1,FALSE),"")</f>
        <v>#NAME?</v>
      </c>
      <c r="H241" t="str">
        <f ca="1">IFERROR(__xludf.DUMMYFUNCTION("""COMPUTED_VALUE"""),"FL_STBD Elec")</f>
        <v>FL_STBD Elec</v>
      </c>
      <c r="I241" t="str">
        <f ca="1">IFERROR(__xludf.DUMMYFUNCTION("""COMPUTED_VALUE"""),"PWB of STBD flash light")</f>
        <v>PWB of STBD flash light</v>
      </c>
      <c r="J241" s="235">
        <f ca="1">IFERROR(__xludf.DUMMYFUNCTION("""COMPUTED_VALUE"""),1)</f>
        <v>1</v>
      </c>
      <c r="K241" t="str">
        <f ca="1">IFERROR(__xludf.DUMMYFUNCTION("""COMPUTED_VALUE"""),"#N/A")</f>
        <v>#N/A</v>
      </c>
      <c r="L241">
        <f t="shared" ca="1" si="0"/>
        <v>0</v>
      </c>
      <c r="Q241" t="str">
        <f>IF(N241="","",SUMIFS('PR-BOM'!$D$3:$D1001,'PR-BOM'!$C$3:$C1001,N241))</f>
        <v/>
      </c>
      <c r="Y241" t="str">
        <f>IF(X241="","",SUMIFS(Issue!$D$3:$D1001,Issue!$C$3:$C1001,X241))</f>
        <v/>
      </c>
    </row>
    <row r="242" spans="5:25">
      <c r="E242" t="str">
        <f>IF(A242="","",SUMIFS(Issue!$D$3:$D1001,Issue!$C$3:$C1001,A242)*C242)</f>
        <v/>
      </c>
      <c r="F242" t="e">
        <f ca="1">_xludf.IFNA(VLOOKUP(B242,'S-FG'!$B$3:$B1001,1,FALSE),"")</f>
        <v>#NAME?</v>
      </c>
      <c r="H242" t="str">
        <f ca="1">IFERROR(__xludf.DUMMYFUNCTION("""COMPUTED_VALUE"""),"FL_STBD Elec")</f>
        <v>FL_STBD Elec</v>
      </c>
      <c r="I242" t="str">
        <f ca="1">IFERROR(__xludf.DUMMYFUNCTION("""COMPUTED_VALUE"""),"Red 14/38 wire")</f>
        <v>Red 14/38 wire</v>
      </c>
      <c r="J242" s="235">
        <f ca="1">IFERROR(__xludf.DUMMYFUNCTION("""COMPUTED_VALUE"""),0.55)</f>
        <v>0.55000000000000004</v>
      </c>
      <c r="L242">
        <f t="shared" ca="1" si="0"/>
        <v>0</v>
      </c>
      <c r="Q242" t="str">
        <f>IF(N242="","",SUMIFS('PR-BOM'!$D$3:$D1001,'PR-BOM'!$C$3:$C1001,N242))</f>
        <v/>
      </c>
      <c r="Y242" t="str">
        <f>IF(X242="","",SUMIFS(Issue!$D$3:$D1001,Issue!$C$3:$C1001,X242))</f>
        <v/>
      </c>
    </row>
    <row r="243" spans="5:25">
      <c r="E243" t="str">
        <f>IF(A243="","",SUMIFS(Issue!$D$3:$D1001,Issue!$C$3:$C1001,A243)*C243)</f>
        <v/>
      </c>
      <c r="F243" t="e">
        <f ca="1">_xludf.IFNA(VLOOKUP(B243,'S-FG'!$B$3:$B1001,1,FALSE),"")</f>
        <v>#NAME?</v>
      </c>
      <c r="H243" t="str">
        <f ca="1">IFERROR(__xludf.DUMMYFUNCTION("""COMPUTED_VALUE"""),"FL_STBD Elec")</f>
        <v>FL_STBD Elec</v>
      </c>
      <c r="I243" t="str">
        <f ca="1">IFERROR(__xludf.DUMMYFUNCTION("""COMPUTED_VALUE"""),"Black 14/38 Wire")</f>
        <v>Black 14/38 Wire</v>
      </c>
      <c r="J243" s="235">
        <f ca="1">IFERROR(__xludf.DUMMYFUNCTION("""COMPUTED_VALUE"""),0.35)</f>
        <v>0.35</v>
      </c>
      <c r="L243">
        <f t="shared" ca="1" si="0"/>
        <v>0</v>
      </c>
      <c r="Q243" t="str">
        <f>IF(N243="","",SUMIFS('PR-BOM'!$D$3:$D1001,'PR-BOM'!$C$3:$C1001,N243))</f>
        <v/>
      </c>
      <c r="Y243" t="str">
        <f>IF(X243="","",SUMIFS(Issue!$D$3:$D1001,Issue!$C$3:$C1001,X243))</f>
        <v/>
      </c>
    </row>
    <row r="244" spans="5:25">
      <c r="E244" t="str">
        <f>IF(A244="","",SUMIFS(Issue!$D$3:$D1001,Issue!$C$3:$C1001,A244)*C244)</f>
        <v/>
      </c>
      <c r="F244" t="e">
        <f ca="1">_xludf.IFNA(VLOOKUP(B244,'S-FG'!$B$3:$B1001,1,FALSE),"")</f>
        <v>#NAME?</v>
      </c>
      <c r="H244" t="str">
        <f ca="1">IFERROR(__xludf.DUMMYFUNCTION("""COMPUTED_VALUE"""),"FL_STBD Elec")</f>
        <v>FL_STBD Elec</v>
      </c>
      <c r="I244" t="str">
        <f ca="1">IFERROR(__xludf.DUMMYFUNCTION("""COMPUTED_VALUE"""),"Green 2835 SMD LED 1W")</f>
        <v>Green 2835 SMD LED 1W</v>
      </c>
      <c r="J244" s="235">
        <f ca="1">IFERROR(__xludf.DUMMYFUNCTION("""COMPUTED_VALUE"""),4)</f>
        <v>4</v>
      </c>
      <c r="K244" t="str">
        <f ca="1">IFERROR(__xludf.DUMMYFUNCTION("""COMPUTED_VALUE"""),"#N/A")</f>
        <v>#N/A</v>
      </c>
      <c r="L244">
        <f t="shared" ca="1" si="0"/>
        <v>0</v>
      </c>
      <c r="Q244" t="str">
        <f>IF(N244="","",SUMIFS('PR-BOM'!$D$3:$D1001,'PR-BOM'!$C$3:$C1001,N244))</f>
        <v/>
      </c>
      <c r="Y244" t="str">
        <f>IF(X244="","",SUMIFS(Issue!$D$3:$D1001,Issue!$C$3:$C1001,X244))</f>
        <v/>
      </c>
    </row>
    <row r="245" spans="5:25">
      <c r="E245" t="str">
        <f>IF(A245="","",SUMIFS(Issue!$D$3:$D1001,Issue!$C$3:$C1001,A245)*C245)</f>
        <v/>
      </c>
      <c r="F245" t="e">
        <f ca="1">_xludf.IFNA(VLOOKUP(B245,'S-FG'!$B$3:$B1001,1,FALSE),"")</f>
        <v>#NAME?</v>
      </c>
      <c r="H245" t="str">
        <f ca="1">IFERROR(__xludf.DUMMYFUNCTION("""COMPUTED_VALUE"""),"FL_PORT Elec")</f>
        <v>FL_PORT Elec</v>
      </c>
      <c r="I245" t="str">
        <f ca="1">IFERROR(__xludf.DUMMYFUNCTION("""COMPUTED_VALUE"""),"2mm male bullet connector")</f>
        <v>2mm male bullet connector</v>
      </c>
      <c r="J245" s="235">
        <f ca="1">IFERROR(__xludf.DUMMYFUNCTION("""COMPUTED_VALUE"""),1)</f>
        <v>1</v>
      </c>
      <c r="K245" t="str">
        <f ca="1">IFERROR(__xludf.DUMMYFUNCTION("""COMPUTED_VALUE"""),"#N/A")</f>
        <v>#N/A</v>
      </c>
      <c r="L245">
        <f t="shared" ca="1" si="0"/>
        <v>0</v>
      </c>
      <c r="Q245" t="str">
        <f>IF(N245="","",SUMIFS('PR-BOM'!$D$3:$D1001,'PR-BOM'!$C$3:$C1001,N245))</f>
        <v/>
      </c>
      <c r="Y245" t="str">
        <f>IF(X245="","",SUMIFS(Issue!$D$3:$D1001,Issue!$C$3:$C1001,X245))</f>
        <v/>
      </c>
    </row>
    <row r="246" spans="5:25">
      <c r="E246" t="str">
        <f>IF(A246="","",SUMIFS(Issue!$D$3:$D1001,Issue!$C$3:$C1001,A246)*C246)</f>
        <v/>
      </c>
      <c r="F246" t="e">
        <f ca="1">_xludf.IFNA(VLOOKUP(B246,'S-FG'!$B$3:$B1001,1,FALSE),"")</f>
        <v>#NAME?</v>
      </c>
      <c r="H246" t="str">
        <f ca="1">IFERROR(__xludf.DUMMYFUNCTION("""COMPUTED_VALUE"""),"FL_PORT Elec")</f>
        <v>FL_PORT Elec</v>
      </c>
      <c r="I246" t="str">
        <f ca="1">IFERROR(__xludf.DUMMYFUNCTION("""COMPUTED_VALUE"""),"2mm Female Bullet connector")</f>
        <v>2mm Female Bullet connector</v>
      </c>
      <c r="J246" s="235">
        <f ca="1">IFERROR(__xludf.DUMMYFUNCTION("""COMPUTED_VALUE"""),1)</f>
        <v>1</v>
      </c>
      <c r="K246" t="str">
        <f ca="1">IFERROR(__xludf.DUMMYFUNCTION("""COMPUTED_VALUE"""),"#N/A")</f>
        <v>#N/A</v>
      </c>
      <c r="L246">
        <f t="shared" ca="1" si="0"/>
        <v>0</v>
      </c>
      <c r="Q246" t="str">
        <f>IF(N246="","",SUMIFS('PR-BOM'!$D$3:$D1001,'PR-BOM'!$C$3:$C1001,N246))</f>
        <v/>
      </c>
      <c r="Y246" t="str">
        <f>IF(X246="","",SUMIFS(Issue!$D$3:$D1001,Issue!$C$3:$C1001,X246))</f>
        <v/>
      </c>
    </row>
    <row r="247" spans="5:25">
      <c r="E247" t="str">
        <f>IF(A247="","",SUMIFS(Issue!$D$3:$D1001,Issue!$C$3:$C1001,A247)*C247)</f>
        <v/>
      </c>
      <c r="F247" t="e">
        <f ca="1">_xludf.IFNA(VLOOKUP(B247,'S-FG'!$B$3:$B1001,1,FALSE),"")</f>
        <v>#NAME?</v>
      </c>
      <c r="H247" t="str">
        <f ca="1">IFERROR(__xludf.DUMMYFUNCTION("""COMPUTED_VALUE"""),"FL_PORT Elec")</f>
        <v>FL_PORT Elec</v>
      </c>
      <c r="I247" t="str">
        <f ca="1">IFERROR(__xludf.DUMMYFUNCTION("""COMPUTED_VALUE"""),"PWB of PORT flash light")</f>
        <v>PWB of PORT flash light</v>
      </c>
      <c r="J247" s="235">
        <f ca="1">IFERROR(__xludf.DUMMYFUNCTION("""COMPUTED_VALUE"""),1)</f>
        <v>1</v>
      </c>
      <c r="K247" t="str">
        <f ca="1">IFERROR(__xludf.DUMMYFUNCTION("""COMPUTED_VALUE"""),"#N/A")</f>
        <v>#N/A</v>
      </c>
      <c r="L247">
        <f t="shared" ca="1" si="0"/>
        <v>0</v>
      </c>
      <c r="Q247" t="str">
        <f>IF(N247="","",SUMIFS('PR-BOM'!$D$3:$D1001,'PR-BOM'!$C$3:$C1001,N247))</f>
        <v/>
      </c>
      <c r="Y247" t="str">
        <f>IF(X247="","",SUMIFS(Issue!$D$3:$D1001,Issue!$C$3:$C1001,X247))</f>
        <v/>
      </c>
    </row>
    <row r="248" spans="5:25">
      <c r="E248" t="str">
        <f>IF(A248="","",SUMIFS(Issue!$D$3:$D1001,Issue!$C$3:$C1001,A248)*C248)</f>
        <v/>
      </c>
      <c r="F248" t="e">
        <f ca="1">_xludf.IFNA(VLOOKUP(B248,'S-FG'!$B$3:$B1001,1,FALSE),"")</f>
        <v>#NAME?</v>
      </c>
      <c r="H248" t="str">
        <f ca="1">IFERROR(__xludf.DUMMYFUNCTION("""COMPUTED_VALUE"""),"FL_PORT Elec")</f>
        <v>FL_PORT Elec</v>
      </c>
      <c r="I248" t="str">
        <f ca="1">IFERROR(__xludf.DUMMYFUNCTION("""COMPUTED_VALUE"""),"Red 14/38 wire")</f>
        <v>Red 14/38 wire</v>
      </c>
      <c r="J248" s="235">
        <f ca="1">IFERROR(__xludf.DUMMYFUNCTION("""COMPUTED_VALUE"""),0.35)</f>
        <v>0.35</v>
      </c>
      <c r="L248">
        <f t="shared" ca="1" si="0"/>
        <v>0</v>
      </c>
      <c r="Q248" t="str">
        <f>IF(N248="","",SUMIFS('PR-BOM'!$D$3:$D1001,'PR-BOM'!$C$3:$C1001,N248))</f>
        <v/>
      </c>
      <c r="Y248" t="str">
        <f>IF(X248="","",SUMIFS(Issue!$D$3:$D1001,Issue!$C$3:$C1001,X248))</f>
        <v/>
      </c>
    </row>
    <row r="249" spans="5:25">
      <c r="E249" t="str">
        <f>IF(A249="","",SUMIFS(Issue!$D$3:$D1001,Issue!$C$3:$C1001,A249)*C249)</f>
        <v/>
      </c>
      <c r="F249" t="e">
        <f ca="1">_xludf.IFNA(VLOOKUP(B249,'S-FG'!$B$3:$B1001,1,FALSE),"")</f>
        <v>#NAME?</v>
      </c>
      <c r="H249" t="str">
        <f ca="1">IFERROR(__xludf.DUMMYFUNCTION("""COMPUTED_VALUE"""),"FL_PORT Elec")</f>
        <v>FL_PORT Elec</v>
      </c>
      <c r="I249" t="str">
        <f ca="1">IFERROR(__xludf.DUMMYFUNCTION("""COMPUTED_VALUE"""),"Black 14/38 Wire")</f>
        <v>Black 14/38 Wire</v>
      </c>
      <c r="J249" s="235">
        <f ca="1">IFERROR(__xludf.DUMMYFUNCTION("""COMPUTED_VALUE"""),0.55)</f>
        <v>0.55000000000000004</v>
      </c>
      <c r="L249">
        <f t="shared" ca="1" si="0"/>
        <v>0</v>
      </c>
      <c r="Q249" t="str">
        <f>IF(N249="","",SUMIFS('PR-BOM'!$D$3:$D1001,'PR-BOM'!$C$3:$C1001,N249))</f>
        <v/>
      </c>
      <c r="Y249" t="str">
        <f>IF(X249="","",SUMIFS(Issue!$D$3:$D1001,Issue!$C$3:$C1001,X249))</f>
        <v/>
      </c>
    </row>
    <row r="250" spans="5:25">
      <c r="E250" t="str">
        <f>IF(A250="","",SUMIFS(Issue!$D$3:$D1001,Issue!$C$3:$C1001,A250)*C250)</f>
        <v/>
      </c>
      <c r="F250" t="e">
        <f ca="1">_xludf.IFNA(VLOOKUP(B250,'S-FG'!$B$3:$B1001,1,FALSE),"")</f>
        <v>#NAME?</v>
      </c>
      <c r="H250" t="str">
        <f ca="1">IFERROR(__xludf.DUMMYFUNCTION("""COMPUTED_VALUE"""),"FL_PORT Elec")</f>
        <v>FL_PORT Elec</v>
      </c>
      <c r="I250" t="str">
        <f ca="1">IFERROR(__xludf.DUMMYFUNCTION("""COMPUTED_VALUE"""),"Red 2835 SMD LED 1W")</f>
        <v>Red 2835 SMD LED 1W</v>
      </c>
      <c r="J250" s="235">
        <f ca="1">IFERROR(__xludf.DUMMYFUNCTION("""COMPUTED_VALUE"""),6)</f>
        <v>6</v>
      </c>
      <c r="K250" t="str">
        <f ca="1">IFERROR(__xludf.DUMMYFUNCTION("""COMPUTED_VALUE"""),"#N/A")</f>
        <v>#N/A</v>
      </c>
      <c r="L250">
        <f t="shared" ca="1" si="0"/>
        <v>0</v>
      </c>
      <c r="Q250" t="str">
        <f>IF(N250="","",SUMIFS('PR-BOM'!$D$3:$D1001,'PR-BOM'!$C$3:$C1001,N250))</f>
        <v/>
      </c>
      <c r="Y250" t="str">
        <f>IF(X250="","",SUMIFS(Issue!$D$3:$D1001,Issue!$C$3:$C1001,X250))</f>
        <v/>
      </c>
    </row>
    <row r="251" spans="5:25">
      <c r="E251" t="str">
        <f>IF(A251="","",SUMIFS(Issue!$D$3:$D1001,Issue!$C$3:$C1001,A251)*C251)</f>
        <v/>
      </c>
      <c r="F251" t="e">
        <f ca="1">_xludf.IFNA(VLOOKUP(B251,'S-FG'!$B$3:$B1001,1,FALSE),"")</f>
        <v>#NAME?</v>
      </c>
      <c r="H251" t="str">
        <f ca="1">IFERROR(__xludf.DUMMYFUNCTION("""COMPUTED_VALUE"""),"FL_STBD Mech")</f>
        <v>FL_STBD Mech</v>
      </c>
      <c r="I251" t="str">
        <f ca="1">IFERROR(__xludf.DUMMYFUNCTION("""COMPUTED_VALUE"""),"M3x8 Button Head")</f>
        <v>M3x8 Button Head</v>
      </c>
      <c r="J251" s="235">
        <f ca="1">IFERROR(__xludf.DUMMYFUNCTION("""COMPUTED_VALUE"""),6)</f>
        <v>6</v>
      </c>
      <c r="K251" t="str">
        <f ca="1">IFERROR(__xludf.DUMMYFUNCTION("""COMPUTED_VALUE"""),"#N/A")</f>
        <v>#N/A</v>
      </c>
      <c r="L251">
        <f t="shared" ca="1" si="0"/>
        <v>0</v>
      </c>
      <c r="Q251" t="str">
        <f>IF(N251="","",SUMIFS('PR-BOM'!$D$3:$D1001,'PR-BOM'!$C$3:$C1001,N251))</f>
        <v/>
      </c>
      <c r="Y251" t="str">
        <f>IF(X251="","",SUMIFS(Issue!$D$3:$D1001,Issue!$C$3:$C1001,X251))</f>
        <v/>
      </c>
    </row>
    <row r="252" spans="5:25">
      <c r="E252" t="str">
        <f>IF(A252="","",SUMIFS(Issue!$D$3:$D1001,Issue!$C$3:$C1001,A252)*C252)</f>
        <v/>
      </c>
      <c r="F252" t="e">
        <f ca="1">_xludf.IFNA(VLOOKUP(B252,'S-FG'!$B$3:$B1001,1,FALSE),"")</f>
        <v>#NAME?</v>
      </c>
      <c r="H252" t="str">
        <f ca="1">IFERROR(__xludf.DUMMYFUNCTION("""COMPUTED_VALUE"""),"FL_STBD Mech")</f>
        <v>FL_STBD Mech</v>
      </c>
      <c r="I252" t="str">
        <f ca="1">IFERROR(__xludf.DUMMYFUNCTION("""COMPUTED_VALUE"""),"Flashing Light glass")</f>
        <v>Flashing Light glass</v>
      </c>
      <c r="J252" s="235">
        <f ca="1">IFERROR(__xludf.DUMMYFUNCTION("""COMPUTED_VALUE"""),1)</f>
        <v>1</v>
      </c>
      <c r="K252" t="str">
        <f ca="1">IFERROR(__xludf.DUMMYFUNCTION("""COMPUTED_VALUE"""),"#N/A")</f>
        <v>#N/A</v>
      </c>
      <c r="L252">
        <f t="shared" ca="1" si="0"/>
        <v>0</v>
      </c>
      <c r="Q252" t="str">
        <f>IF(N252="","",SUMIFS('PR-BOM'!$D$3:$D1001,'PR-BOM'!$C$3:$C1001,N252))</f>
        <v/>
      </c>
      <c r="Y252" t="str">
        <f>IF(X252="","",SUMIFS(Issue!$D$3:$D1001,Issue!$C$3:$C1001,X252))</f>
        <v/>
      </c>
    </row>
    <row r="253" spans="5:25">
      <c r="E253" t="str">
        <f>IF(A253="","",SUMIFS(Issue!$D$3:$D1001,Issue!$C$3:$C1001,A253)*C253)</f>
        <v/>
      </c>
      <c r="F253" t="e">
        <f ca="1">_xludf.IFNA(VLOOKUP(B253,'S-FG'!$B$3:$B1001,1,FALSE),"")</f>
        <v>#NAME?</v>
      </c>
      <c r="H253" t="str">
        <f ca="1">IFERROR(__xludf.DUMMYFUNCTION("""COMPUTED_VALUE"""),"FL_STBD Mech")</f>
        <v>FL_STBD Mech</v>
      </c>
      <c r="I253" t="str">
        <f ca="1">IFERROR(__xludf.DUMMYFUNCTION("""COMPUTED_VALUE"""),"Flashing Light bottom plate")</f>
        <v>Flashing Light bottom plate</v>
      </c>
      <c r="J253" s="235">
        <f ca="1">IFERROR(__xludf.DUMMYFUNCTION("""COMPUTED_VALUE"""),1)</f>
        <v>1</v>
      </c>
      <c r="K253" t="str">
        <f ca="1">IFERROR(__xludf.DUMMYFUNCTION("""COMPUTED_VALUE"""),"#N/A")</f>
        <v>#N/A</v>
      </c>
      <c r="L253">
        <f t="shared" ca="1" si="0"/>
        <v>0</v>
      </c>
      <c r="Q253" t="str">
        <f>IF(N253="","",SUMIFS('PR-BOM'!$D$3:$D1001,'PR-BOM'!$C$3:$C1001,N253))</f>
        <v/>
      </c>
      <c r="Y253" t="str">
        <f>IF(X253="","",SUMIFS(Issue!$D$3:$D1001,Issue!$C$3:$C1001,X253))</f>
        <v/>
      </c>
    </row>
    <row r="254" spans="5:25">
      <c r="E254" t="str">
        <f>IF(A254="","",SUMIFS(Issue!$D$3:$D1001,Issue!$C$3:$C1001,A254)*C254)</f>
        <v/>
      </c>
      <c r="F254" t="e">
        <f ca="1">_xludf.IFNA(VLOOKUP(B254,'S-FG'!$B$3:$B1001,1,FALSE),"")</f>
        <v>#NAME?</v>
      </c>
      <c r="H254" t="str">
        <f ca="1">IFERROR(__xludf.DUMMYFUNCTION("""COMPUTED_VALUE"""),"FL_STBD Mech")</f>
        <v>FL_STBD Mech</v>
      </c>
      <c r="I254" t="str">
        <f ca="1">IFERROR(__xludf.DUMMYFUNCTION("""COMPUTED_VALUE"""),"Heatsink paste")</f>
        <v>Heatsink paste</v>
      </c>
      <c r="J254" s="235">
        <f ca="1">IFERROR(__xludf.DUMMYFUNCTION("""COMPUTED_VALUE"""),5)</f>
        <v>5</v>
      </c>
      <c r="K254" t="str">
        <f ca="1">IFERROR(__xludf.DUMMYFUNCTION("""COMPUTED_VALUE"""),"#N/A")</f>
        <v>#N/A</v>
      </c>
      <c r="L254">
        <f t="shared" ca="1" si="0"/>
        <v>0</v>
      </c>
      <c r="Q254" t="str">
        <f>IF(N254="","",SUMIFS('PR-BOM'!$D$3:$D1001,'PR-BOM'!$C$3:$C1001,N254))</f>
        <v/>
      </c>
      <c r="Y254" t="str">
        <f>IF(X254="","",SUMIFS(Issue!$D$3:$D1001,Issue!$C$3:$C1001,X254))</f>
        <v/>
      </c>
    </row>
    <row r="255" spans="5:25">
      <c r="E255" t="str">
        <f>IF(A255="","",SUMIFS(Issue!$D$3:$D1001,Issue!$C$3:$C1001,A255)*C255)</f>
        <v/>
      </c>
      <c r="F255" t="e">
        <f ca="1">_xludf.IFNA(VLOOKUP(B255,'S-FG'!$B$3:$B1001,1,FALSE),"")</f>
        <v>#NAME?</v>
      </c>
      <c r="H255" t="str">
        <f ca="1">IFERROR(__xludf.DUMMYFUNCTION("""COMPUTED_VALUE"""),"FL_STBD Mech")</f>
        <v>FL_STBD Mech</v>
      </c>
      <c r="I255" t="str">
        <f ca="1">IFERROR(__xludf.DUMMYFUNCTION("""COMPUTED_VALUE"""),"M3x6 Allen Head")</f>
        <v>M3x6 Allen Head</v>
      </c>
      <c r="J255" s="235">
        <f ca="1">IFERROR(__xludf.DUMMYFUNCTION("""COMPUTED_VALUE"""),2)</f>
        <v>2</v>
      </c>
      <c r="L255">
        <f t="shared" ca="1" si="0"/>
        <v>0</v>
      </c>
      <c r="Q255" t="str">
        <f>IF(N255="","",SUMIFS('PR-BOM'!$D$3:$D1001,'PR-BOM'!$C$3:$C1001,N255))</f>
        <v/>
      </c>
      <c r="Y255" t="str">
        <f>IF(X255="","",SUMIFS(Issue!$D$3:$D1001,Issue!$C$3:$C1001,X255))</f>
        <v/>
      </c>
    </row>
    <row r="256" spans="5:25">
      <c r="E256" t="str">
        <f>IF(A256="","",SUMIFS(Issue!$D$3:$D1001,Issue!$C$3:$C1001,A256)*C256)</f>
        <v/>
      </c>
      <c r="F256" t="e">
        <f ca="1">_xludf.IFNA(VLOOKUP(B256,'S-FG'!$B$3:$B1001,1,FALSE),"")</f>
        <v>#NAME?</v>
      </c>
      <c r="H256" t="str">
        <f ca="1">IFERROR(__xludf.DUMMYFUNCTION("""COMPUTED_VALUE"""),"FL_STBD Mech")</f>
        <v>FL_STBD Mech</v>
      </c>
      <c r="I256" t="str">
        <f ca="1">IFERROR(__xludf.DUMMYFUNCTION("""COMPUTED_VALUE"""),"M4x12 Allen Head")</f>
        <v>M4x12 Allen Head</v>
      </c>
      <c r="J256" s="235">
        <f ca="1">IFERROR(__xludf.DUMMYFUNCTION("""COMPUTED_VALUE"""),2)</f>
        <v>2</v>
      </c>
      <c r="K256" t="str">
        <f ca="1">IFERROR(__xludf.DUMMYFUNCTION("""COMPUTED_VALUE"""),"#N/A")</f>
        <v>#N/A</v>
      </c>
      <c r="L256">
        <f t="shared" ca="1" si="0"/>
        <v>0</v>
      </c>
      <c r="Q256" t="str">
        <f>IF(N256="","",SUMIFS('PR-BOM'!$D$3:$D1001,'PR-BOM'!$C$3:$C1001,N256))</f>
        <v/>
      </c>
      <c r="Y256" t="str">
        <f>IF(X256="","",SUMIFS(Issue!$D$3:$D1001,Issue!$C$3:$C1001,X256))</f>
        <v/>
      </c>
    </row>
    <row r="257" spans="5:25">
      <c r="E257" t="str">
        <f>IF(A257="","",SUMIFS(Issue!$D$3:$D1001,Issue!$C$3:$C1001,A257)*C257)</f>
        <v/>
      </c>
      <c r="F257" t="e">
        <f ca="1">_xludf.IFNA(VLOOKUP(B257,'S-FG'!$B$3:$B1001,1,FALSE),"")</f>
        <v>#NAME?</v>
      </c>
      <c r="H257" t="str">
        <f ca="1">IFERROR(__xludf.DUMMYFUNCTION("""COMPUTED_VALUE"""),"FL_STBD Mech")</f>
        <v>FL_STBD Mech</v>
      </c>
      <c r="I257" t="str">
        <f ca="1">IFERROR(__xludf.DUMMYFUNCTION("""COMPUTED_VALUE"""),"Teroson MS930")</f>
        <v>Teroson MS930</v>
      </c>
      <c r="J257" s="235">
        <f ca="1">IFERROR(__xludf.DUMMYFUNCTION("""COMPUTED_VALUE"""),5)</f>
        <v>5</v>
      </c>
      <c r="K257" t="str">
        <f ca="1">IFERROR(__xludf.DUMMYFUNCTION("""COMPUTED_VALUE"""),"#N/A")</f>
        <v>#N/A</v>
      </c>
      <c r="L257">
        <f t="shared" ref="L257:L511" ca="1" si="1">IF(H257="","",SUMIFS($E$2:$E1256,$F$2:$F1256,H257)*J257)</f>
        <v>0</v>
      </c>
      <c r="Q257" t="str">
        <f>IF(N257="","",SUMIFS('PR-BOM'!$D$3:$D1001,'PR-BOM'!$C$3:$C1001,N257))</f>
        <v/>
      </c>
      <c r="Y257" t="str">
        <f>IF(X257="","",SUMIFS(Issue!$D$3:$D1001,Issue!$C$3:$C1001,X257))</f>
        <v/>
      </c>
    </row>
    <row r="258" spans="5:25">
      <c r="E258" t="str">
        <f>IF(A258="","",SUMIFS(Issue!$D$3:$D1001,Issue!$C$3:$C1001,A258)*C258)</f>
        <v/>
      </c>
      <c r="F258" t="e">
        <f ca="1">_xludf.IFNA(VLOOKUP(B258,'S-FG'!$B$3:$B1001,1,FALSE),"")</f>
        <v>#NAME?</v>
      </c>
      <c r="H258" t="str">
        <f ca="1">IFERROR(__xludf.DUMMYFUNCTION("""COMPUTED_VALUE"""),"FL_PORT Mech")</f>
        <v>FL_PORT Mech</v>
      </c>
      <c r="I258" t="str">
        <f ca="1">IFERROR(__xludf.DUMMYFUNCTION("""COMPUTED_VALUE"""),"M3x8 Button Head")</f>
        <v>M3x8 Button Head</v>
      </c>
      <c r="J258" s="235">
        <f ca="1">IFERROR(__xludf.DUMMYFUNCTION("""COMPUTED_VALUE"""),6)</f>
        <v>6</v>
      </c>
      <c r="K258" t="str">
        <f ca="1">IFERROR(__xludf.DUMMYFUNCTION("""COMPUTED_VALUE"""),"#N/A")</f>
        <v>#N/A</v>
      </c>
      <c r="L258">
        <f t="shared" ca="1" si="1"/>
        <v>0</v>
      </c>
      <c r="Q258" t="str">
        <f>IF(N258="","",SUMIFS('PR-BOM'!$D$3:$D1001,'PR-BOM'!$C$3:$C1001,N258))</f>
        <v/>
      </c>
      <c r="Y258" t="str">
        <f>IF(X258="","",SUMIFS(Issue!$D$3:$D1001,Issue!$C$3:$C1001,X258))</f>
        <v/>
      </c>
    </row>
    <row r="259" spans="5:25">
      <c r="E259" t="str">
        <f>IF(A259="","",SUMIFS(Issue!$D$3:$D1001,Issue!$C$3:$C1001,A259)*C259)</f>
        <v/>
      </c>
      <c r="F259" t="e">
        <f ca="1">_xludf.IFNA(VLOOKUP(B259,'S-FG'!$B$3:$B1001,1,FALSE),"")</f>
        <v>#NAME?</v>
      </c>
      <c r="H259" t="str">
        <f ca="1">IFERROR(__xludf.DUMMYFUNCTION("""COMPUTED_VALUE"""),"FL_PORT Mech")</f>
        <v>FL_PORT Mech</v>
      </c>
      <c r="I259" t="str">
        <f ca="1">IFERROR(__xludf.DUMMYFUNCTION("""COMPUTED_VALUE"""),"Flashing Light glass")</f>
        <v>Flashing Light glass</v>
      </c>
      <c r="J259" s="235">
        <f ca="1">IFERROR(__xludf.DUMMYFUNCTION("""COMPUTED_VALUE"""),1)</f>
        <v>1</v>
      </c>
      <c r="K259" t="str">
        <f ca="1">IFERROR(__xludf.DUMMYFUNCTION("""COMPUTED_VALUE"""),"#N/A")</f>
        <v>#N/A</v>
      </c>
      <c r="L259">
        <f t="shared" ca="1" si="1"/>
        <v>0</v>
      </c>
      <c r="Q259" t="str">
        <f>IF(N259="","",SUMIFS('PR-BOM'!$D$3:$D1001,'PR-BOM'!$C$3:$C1001,N259))</f>
        <v/>
      </c>
      <c r="Y259" t="str">
        <f>IF(X259="","",SUMIFS(Issue!$D$3:$D1001,Issue!$C$3:$C1001,X259))</f>
        <v/>
      </c>
    </row>
    <row r="260" spans="5:25">
      <c r="E260" t="str">
        <f>IF(A260="","",SUMIFS(Issue!$D$3:$D1001,Issue!$C$3:$C1001,A260)*C260)</f>
        <v/>
      </c>
      <c r="F260" t="e">
        <f ca="1">_xludf.IFNA(VLOOKUP(B260,'S-FG'!$B$3:$B1001,1,FALSE),"")</f>
        <v>#NAME?</v>
      </c>
      <c r="H260" t="str">
        <f ca="1">IFERROR(__xludf.DUMMYFUNCTION("""COMPUTED_VALUE"""),"FL_PORT Mech")</f>
        <v>FL_PORT Mech</v>
      </c>
      <c r="I260" t="str">
        <f ca="1">IFERROR(__xludf.DUMMYFUNCTION("""COMPUTED_VALUE"""),"Flashing Light bottom plate")</f>
        <v>Flashing Light bottom plate</v>
      </c>
      <c r="J260" s="235">
        <f ca="1">IFERROR(__xludf.DUMMYFUNCTION("""COMPUTED_VALUE"""),1)</f>
        <v>1</v>
      </c>
      <c r="K260" t="str">
        <f ca="1">IFERROR(__xludf.DUMMYFUNCTION("""COMPUTED_VALUE"""),"#N/A")</f>
        <v>#N/A</v>
      </c>
      <c r="L260">
        <f t="shared" ca="1" si="1"/>
        <v>0</v>
      </c>
      <c r="Q260" t="str">
        <f>IF(N260="","",SUMIFS('PR-BOM'!$D$3:$D1001,'PR-BOM'!$C$3:$C1001,N260))</f>
        <v/>
      </c>
      <c r="Y260" t="str">
        <f>IF(X260="","",SUMIFS(Issue!$D$3:$D1001,Issue!$C$3:$C1001,X260))</f>
        <v/>
      </c>
    </row>
    <row r="261" spans="5:25">
      <c r="E261" t="str">
        <f>IF(A261="","",SUMIFS(Issue!$D$3:$D1001,Issue!$C$3:$C1001,A261)*C261)</f>
        <v/>
      </c>
      <c r="F261" t="e">
        <f ca="1">_xludf.IFNA(VLOOKUP(B261,'S-FG'!$B$3:$B1001,1,FALSE),"")</f>
        <v>#NAME?</v>
      </c>
      <c r="H261" t="str">
        <f ca="1">IFERROR(__xludf.DUMMYFUNCTION("""COMPUTED_VALUE"""),"FL_PORT Mech")</f>
        <v>FL_PORT Mech</v>
      </c>
      <c r="I261" t="str">
        <f ca="1">IFERROR(__xludf.DUMMYFUNCTION("""COMPUTED_VALUE"""),"Heatsink paste")</f>
        <v>Heatsink paste</v>
      </c>
      <c r="J261" s="235">
        <f ca="1">IFERROR(__xludf.DUMMYFUNCTION("""COMPUTED_VALUE"""),5)</f>
        <v>5</v>
      </c>
      <c r="K261" t="str">
        <f ca="1">IFERROR(__xludf.DUMMYFUNCTION("""COMPUTED_VALUE"""),"#N/A")</f>
        <v>#N/A</v>
      </c>
      <c r="L261">
        <f t="shared" ca="1" si="1"/>
        <v>0</v>
      </c>
      <c r="Q261" t="str">
        <f>IF(N261="","",SUMIFS('PR-BOM'!$D$3:$D1001,'PR-BOM'!$C$3:$C1001,N261))</f>
        <v/>
      </c>
      <c r="Y261" t="str">
        <f>IF(X261="","",SUMIFS(Issue!$D$3:$D1001,Issue!$C$3:$C1001,X261))</f>
        <v/>
      </c>
    </row>
    <row r="262" spans="5:25">
      <c r="E262" t="str">
        <f>IF(A262="","",SUMIFS(Issue!$D$3:$D1001,Issue!$C$3:$C1001,A262)*C262)</f>
        <v/>
      </c>
      <c r="F262" t="e">
        <f ca="1">_xludf.IFNA(VLOOKUP(B262,'S-FG'!$B$3:$B1001,1,FALSE),"")</f>
        <v>#NAME?</v>
      </c>
      <c r="H262" t="str">
        <f ca="1">IFERROR(__xludf.DUMMYFUNCTION("""COMPUTED_VALUE"""),"FL_PORT Mech")</f>
        <v>FL_PORT Mech</v>
      </c>
      <c r="I262" t="str">
        <f ca="1">IFERROR(__xludf.DUMMYFUNCTION("""COMPUTED_VALUE"""),"M3x6 Allen Head")</f>
        <v>M3x6 Allen Head</v>
      </c>
      <c r="J262" s="235">
        <f ca="1">IFERROR(__xludf.DUMMYFUNCTION("""COMPUTED_VALUE"""),2)</f>
        <v>2</v>
      </c>
      <c r="L262">
        <f t="shared" ca="1" si="1"/>
        <v>0</v>
      </c>
      <c r="Q262" t="str">
        <f>IF(N262="","",SUMIFS('PR-BOM'!$D$3:$D1001,'PR-BOM'!$C$3:$C1001,N262))</f>
        <v/>
      </c>
      <c r="Y262" t="str">
        <f>IF(X262="","",SUMIFS(Issue!$D$3:$D1001,Issue!$C$3:$C1001,X262))</f>
        <v/>
      </c>
    </row>
    <row r="263" spans="5:25">
      <c r="E263" t="str">
        <f>IF(A263="","",SUMIFS(Issue!$D$3:$D1001,Issue!$C$3:$C1001,A263)*C263)</f>
        <v/>
      </c>
      <c r="F263" t="e">
        <f ca="1">_xludf.IFNA(VLOOKUP(B263,'S-FG'!$B$3:$B1001,1,FALSE),"")</f>
        <v>#NAME?</v>
      </c>
      <c r="H263" t="str">
        <f ca="1">IFERROR(__xludf.DUMMYFUNCTION("""COMPUTED_VALUE"""),"FL_PORT Mech")</f>
        <v>FL_PORT Mech</v>
      </c>
      <c r="I263" t="str">
        <f ca="1">IFERROR(__xludf.DUMMYFUNCTION("""COMPUTED_VALUE"""),"M4x12 Allen Head")</f>
        <v>M4x12 Allen Head</v>
      </c>
      <c r="J263" s="235">
        <f ca="1">IFERROR(__xludf.DUMMYFUNCTION("""COMPUTED_VALUE"""),2)</f>
        <v>2</v>
      </c>
      <c r="K263" t="str">
        <f ca="1">IFERROR(__xludf.DUMMYFUNCTION("""COMPUTED_VALUE"""),"#N/A")</f>
        <v>#N/A</v>
      </c>
      <c r="L263">
        <f t="shared" ca="1" si="1"/>
        <v>0</v>
      </c>
      <c r="Q263" t="str">
        <f>IF(N263="","",SUMIFS('PR-BOM'!$D$3:$D1001,'PR-BOM'!$C$3:$C1001,N263))</f>
        <v/>
      </c>
      <c r="Y263" t="str">
        <f>IF(X263="","",SUMIFS(Issue!$D$3:$D1001,Issue!$C$3:$C1001,X263))</f>
        <v/>
      </c>
    </row>
    <row r="264" spans="5:25">
      <c r="E264" t="str">
        <f>IF(A264="","",SUMIFS(Issue!$D$3:$D1001,Issue!$C$3:$C1001,A264)*C264)</f>
        <v/>
      </c>
      <c r="F264" t="e">
        <f ca="1">_xludf.IFNA(VLOOKUP(B264,'S-FG'!$B$3:$B1001,1,FALSE),"")</f>
        <v>#NAME?</v>
      </c>
      <c r="H264" t="str">
        <f ca="1">IFERROR(__xludf.DUMMYFUNCTION("""COMPUTED_VALUE"""),"FL_PORT Mech")</f>
        <v>FL_PORT Mech</v>
      </c>
      <c r="I264" t="str">
        <f ca="1">IFERROR(__xludf.DUMMYFUNCTION("""COMPUTED_VALUE"""),"Teroson MS930")</f>
        <v>Teroson MS930</v>
      </c>
      <c r="J264" s="235">
        <f ca="1">IFERROR(__xludf.DUMMYFUNCTION("""COMPUTED_VALUE"""),5)</f>
        <v>5</v>
      </c>
      <c r="K264" t="str">
        <f ca="1">IFERROR(__xludf.DUMMYFUNCTION("""COMPUTED_VALUE"""),"#N/A")</f>
        <v>#N/A</v>
      </c>
      <c r="L264">
        <f t="shared" ca="1" si="1"/>
        <v>0</v>
      </c>
      <c r="Q264" t="str">
        <f>IF(N264="","",SUMIFS('PR-BOM'!$D$3:$D1001,'PR-BOM'!$C$3:$C1001,N264))</f>
        <v/>
      </c>
      <c r="Y264" t="str">
        <f>IF(X264="","",SUMIFS(Issue!$D$3:$D1001,Issue!$C$3:$C1001,X264))</f>
        <v/>
      </c>
    </row>
    <row r="265" spans="5:25">
      <c r="E265" t="str">
        <f>IF(A265="","",SUMIFS(Issue!$D$3:$D1001,Issue!$C$3:$C1001,A265)*C265)</f>
        <v/>
      </c>
      <c r="F265" t="e">
        <f ca="1">_xludf.IFNA(VLOOKUP(B265,'S-FG'!$B$3:$B1001,1,FALSE),"")</f>
        <v>#NAME?</v>
      </c>
      <c r="H265" t="str">
        <f ca="1">IFERROR(__xludf.DUMMYFUNCTION("""COMPUTED_VALUE"""),"Battery Block Assy")</f>
        <v>Battery Block Assy</v>
      </c>
      <c r="I265" t="str">
        <f ca="1">IFERROR(__xludf.DUMMYFUNCTION("""COMPUTED_VALUE"""),"Li-In 21700 Cells Molicel P42A/ Samsung-40T")</f>
        <v>Li-In 21700 Cells Molicel P42A/ Samsung-40T</v>
      </c>
      <c r="J265" s="235">
        <f ca="1">IFERROR(__xludf.DUMMYFUNCTION("""COMPUTED_VALUE"""),18)</f>
        <v>18</v>
      </c>
      <c r="K265" t="str">
        <f ca="1">IFERROR(__xludf.DUMMYFUNCTION("""COMPUTED_VALUE"""),"#N/A")</f>
        <v>#N/A</v>
      </c>
      <c r="L265">
        <f t="shared" ca="1" si="1"/>
        <v>0</v>
      </c>
      <c r="Q265" t="str">
        <f>IF(N265="","",SUMIFS('PR-BOM'!$D$3:$D1001,'PR-BOM'!$C$3:$C1001,N265))</f>
        <v/>
      </c>
      <c r="Y265" t="str">
        <f>IF(X265="","",SUMIFS(Issue!$D$3:$D1001,Issue!$C$3:$C1001,X265))</f>
        <v/>
      </c>
    </row>
    <row r="266" spans="5:25">
      <c r="E266" t="str">
        <f>IF(A266="","",SUMIFS(Issue!$D$3:$D1001,Issue!$C$3:$C1001,A266)*C266)</f>
        <v/>
      </c>
      <c r="F266" t="e">
        <f ca="1">_xludf.IFNA(VLOOKUP(B266,'S-FG'!$B$3:$B1001,1,FALSE),"")</f>
        <v>#NAME?</v>
      </c>
      <c r="H266" t="str">
        <f ca="1">IFERROR(__xludf.DUMMYFUNCTION("""COMPUTED_VALUE"""),"Battery Block Assy")</f>
        <v>Battery Block Assy</v>
      </c>
      <c r="I266" t="str">
        <f ca="1">IFERROR(__xludf.DUMMYFUNCTION("""COMPUTED_VALUE"""),"Soldering flux")</f>
        <v>Soldering flux</v>
      </c>
      <c r="J266" s="235">
        <f ca="1">IFERROR(__xludf.DUMMYFUNCTION("""COMPUTED_VALUE"""),5)</f>
        <v>5</v>
      </c>
      <c r="L266">
        <f t="shared" ca="1" si="1"/>
        <v>0</v>
      </c>
      <c r="Q266" t="str">
        <f>IF(N266="","",SUMIFS('PR-BOM'!$D$3:$D1001,'PR-BOM'!$C$3:$C1001,N266))</f>
        <v/>
      </c>
      <c r="Y266" t="str">
        <f>IF(X266="","",SUMIFS(Issue!$D$3:$D1001,Issue!$C$3:$C1001,X266))</f>
        <v/>
      </c>
    </row>
    <row r="267" spans="5:25">
      <c r="E267" t="str">
        <f>IF(A267="","",SUMIFS(Issue!$D$3:$D1001,Issue!$C$3:$C1001,A267)*C267)</f>
        <v/>
      </c>
      <c r="F267" t="e">
        <f ca="1">_xludf.IFNA(VLOOKUP(B267,'S-FG'!$B$3:$B1001,1,FALSE),"")</f>
        <v>#NAME?</v>
      </c>
      <c r="H267" t="str">
        <f ca="1">IFERROR(__xludf.DUMMYFUNCTION("""COMPUTED_VALUE"""),"Battery Block Assy")</f>
        <v>Battery Block Assy</v>
      </c>
      <c r="I267" t="str">
        <f ca="1">IFERROR(__xludf.DUMMYFUNCTION("""COMPUTED_VALUE"""),"Copper Strips 3x2 cells")</f>
        <v>Copper Strips 3x2 cells</v>
      </c>
      <c r="J267" s="235">
        <f ca="1">IFERROR(__xludf.DUMMYFUNCTION("""COMPUTED_VALUE"""),5)</f>
        <v>5</v>
      </c>
      <c r="L267">
        <f t="shared" ca="1" si="1"/>
        <v>0</v>
      </c>
      <c r="Q267" t="str">
        <f>IF(N267="","",SUMIFS('PR-BOM'!$D$3:$D1001,'PR-BOM'!$C$3:$C1001,N267))</f>
        <v/>
      </c>
      <c r="Y267" t="str">
        <f>IF(X267="","",SUMIFS(Issue!$D$3:$D1001,Issue!$C$3:$C1001,X267))</f>
        <v/>
      </c>
    </row>
    <row r="268" spans="5:25">
      <c r="E268" t="str">
        <f>IF(A268="","",SUMIFS(Issue!$D$3:$D1001,Issue!$C$3:$C1001,A268)*C268)</f>
        <v/>
      </c>
      <c r="F268" t="e">
        <f ca="1">_xludf.IFNA(VLOOKUP(B268,'S-FG'!$B$3:$B1001,1,FALSE),"")</f>
        <v>#NAME?</v>
      </c>
      <c r="H268" t="str">
        <f ca="1">IFERROR(__xludf.DUMMYFUNCTION("""COMPUTED_VALUE"""),"Battery Block Assy")</f>
        <v>Battery Block Assy</v>
      </c>
      <c r="I268" t="str">
        <f ca="1">IFERROR(__xludf.DUMMYFUNCTION("""COMPUTED_VALUE"""),"70mm Paper Separator")</f>
        <v>70mm Paper Separator</v>
      </c>
      <c r="J268" s="235">
        <f ca="1">IFERROR(__xludf.DUMMYFUNCTION("""COMPUTED_VALUE"""),2.5)</f>
        <v>2.5</v>
      </c>
      <c r="K268" t="str">
        <f ca="1">IFERROR(__xludf.DUMMYFUNCTION("""COMPUTED_VALUE"""),"#N/A")</f>
        <v>#N/A</v>
      </c>
      <c r="L268">
        <f t="shared" ca="1" si="1"/>
        <v>0</v>
      </c>
      <c r="Q268" t="str">
        <f>IF(N268="","",SUMIFS('PR-BOM'!$D$3:$D1001,'PR-BOM'!$C$3:$C1001,N268))</f>
        <v/>
      </c>
      <c r="Y268" t="str">
        <f>IF(X268="","",SUMIFS(Issue!$D$3:$D1001,Issue!$C$3:$C1001,X268))</f>
        <v/>
      </c>
    </row>
    <row r="269" spans="5:25">
      <c r="E269" t="str">
        <f>IF(A269="","",SUMIFS(Issue!$D$3:$D1001,Issue!$C$3:$C1001,A269)*C269)</f>
        <v/>
      </c>
      <c r="F269" t="e">
        <f ca="1">_xludf.IFNA(VLOOKUP(B269,'S-FG'!$B$3:$B1001,1,FALSE),"")</f>
        <v>#NAME?</v>
      </c>
      <c r="H269" t="str">
        <f ca="1">IFERROR(__xludf.DUMMYFUNCTION("""COMPUTED_VALUE"""),"Battery Block Assy")</f>
        <v>Battery Block Assy</v>
      </c>
      <c r="I269" t="str">
        <f ca="1">IFERROR(__xludf.DUMMYFUNCTION("""COMPUTED_VALUE"""),"Barley paper for 21700 cylindrical cell")</f>
        <v>Barley paper for 21700 cylindrical cell</v>
      </c>
      <c r="J269" s="235">
        <f ca="1">IFERROR(__xludf.DUMMYFUNCTION("""COMPUTED_VALUE"""),18)</f>
        <v>18</v>
      </c>
      <c r="K269" t="str">
        <f ca="1">IFERROR(__xludf.DUMMYFUNCTION("""COMPUTED_VALUE"""),"#N/A")</f>
        <v>#N/A</v>
      </c>
      <c r="L269">
        <f t="shared" ca="1" si="1"/>
        <v>0</v>
      </c>
      <c r="Q269" t="str">
        <f>IF(N269="","",SUMIFS('PR-BOM'!$D$3:$D1001,'PR-BOM'!$C$3:$C1001,N269))</f>
        <v/>
      </c>
      <c r="Y269" t="str">
        <f>IF(X269="","",SUMIFS(Issue!$D$3:$D1001,Issue!$C$3:$C1001,X269))</f>
        <v/>
      </c>
    </row>
    <row r="270" spans="5:25">
      <c r="E270" t="str">
        <f>IF(A270="","",SUMIFS(Issue!$D$3:$D1001,Issue!$C$3:$C1001,A270)*C270)</f>
        <v/>
      </c>
      <c r="F270" t="e">
        <f ca="1">_xludf.IFNA(VLOOKUP(B270,'S-FG'!$B$3:$B1001,1,FALSE),"")</f>
        <v>#NAME?</v>
      </c>
      <c r="H270" t="str">
        <f ca="1">IFERROR(__xludf.DUMMYFUNCTION("""COMPUTED_VALUE"""),"Battery Block Assy")</f>
        <v>Battery Block Assy</v>
      </c>
      <c r="I270" t="str">
        <f ca="1">IFERROR(__xludf.DUMMYFUNCTION("""COMPUTED_VALUE"""),"1"" Masking Tape")</f>
        <v>1" Masking Tape</v>
      </c>
      <c r="J270" s="235">
        <f ca="1">IFERROR(__xludf.DUMMYFUNCTION("""COMPUTED_VALUE"""),0.5)</f>
        <v>0.5</v>
      </c>
      <c r="L270">
        <f t="shared" ca="1" si="1"/>
        <v>0</v>
      </c>
      <c r="Q270" t="str">
        <f>IF(N270="","",SUMIFS('PR-BOM'!$D$3:$D1001,'PR-BOM'!$C$3:$C1001,N270))</f>
        <v/>
      </c>
      <c r="Y270" t="str">
        <f>IF(X270="","",SUMIFS(Issue!$D$3:$D1001,Issue!$C$3:$C1001,X270))</f>
        <v/>
      </c>
    </row>
    <row r="271" spans="5:25">
      <c r="E271" t="str">
        <f>IF(A271="","",SUMIFS(Issue!$D$3:$D1001,Issue!$C$3:$C1001,A271)*C271)</f>
        <v/>
      </c>
      <c r="F271" t="e">
        <f ca="1">_xludf.IFNA(VLOOKUP(B271,'S-FG'!$B$3:$B1001,1,FALSE),"")</f>
        <v>#NAME?</v>
      </c>
      <c r="H271" t="str">
        <f ca="1">IFERROR(__xludf.DUMMYFUNCTION("""COMPUTED_VALUE"""),"STBD Battery Assy")</f>
        <v>STBD Battery Assy</v>
      </c>
      <c r="I271" t="str">
        <f ca="1">IFERROR(__xludf.DUMMYFUNCTION("""COMPUTED_VALUE"""),"6mm female bullet connector")</f>
        <v>6mm female bullet connector</v>
      </c>
      <c r="J271" s="235">
        <f ca="1">IFERROR(__xludf.DUMMYFUNCTION("""COMPUTED_VALUE"""),1)</f>
        <v>1</v>
      </c>
      <c r="K271" t="str">
        <f ca="1">IFERROR(__xludf.DUMMYFUNCTION("""COMPUTED_VALUE"""),"#N/A")</f>
        <v>#N/A</v>
      </c>
      <c r="L271">
        <f t="shared" ca="1" si="1"/>
        <v>0</v>
      </c>
      <c r="Q271" t="str">
        <f>IF(N271="","",SUMIFS('PR-BOM'!$D$3:$D1001,'PR-BOM'!$C$3:$C1001,N271))</f>
        <v/>
      </c>
      <c r="Y271" t="str">
        <f>IF(X271="","",SUMIFS(Issue!$D$3:$D1001,Issue!$C$3:$C1001,X271))</f>
        <v/>
      </c>
    </row>
    <row r="272" spans="5:25">
      <c r="E272" t="str">
        <f>IF(A272="","",SUMIFS(Issue!$D$3:$D1001,Issue!$C$3:$C1001,A272)*C272)</f>
        <v/>
      </c>
      <c r="F272" t="e">
        <f ca="1">_xludf.IFNA(VLOOKUP(B272,'S-FG'!$B$3:$B1001,1,FALSE),"")</f>
        <v>#NAME?</v>
      </c>
      <c r="H272" t="str">
        <f ca="1">IFERROR(__xludf.DUMMYFUNCTION("""COMPUTED_VALUE"""),"STBD Battery Assy")</f>
        <v>STBD Battery Assy</v>
      </c>
      <c r="I272" t="str">
        <f ca="1">IFERROR(__xludf.DUMMYFUNCTION("""COMPUTED_VALUE"""),"8mm male bullet connector")</f>
        <v>8mm male bullet connector</v>
      </c>
      <c r="J272" s="235">
        <f ca="1">IFERROR(__xludf.DUMMYFUNCTION("""COMPUTED_VALUE"""),1)</f>
        <v>1</v>
      </c>
      <c r="K272" t="str">
        <f ca="1">IFERROR(__xludf.DUMMYFUNCTION("""COMPUTED_VALUE"""),"#N/A")</f>
        <v>#N/A</v>
      </c>
      <c r="L272">
        <f t="shared" ca="1" si="1"/>
        <v>0</v>
      </c>
      <c r="Q272" t="str">
        <f>IF(N272="","",SUMIFS('PR-BOM'!$D$3:$D1001,'PR-BOM'!$C$3:$C1001,N272))</f>
        <v/>
      </c>
      <c r="Y272" t="str">
        <f>IF(X272="","",SUMIFS(Issue!$D$3:$D1001,Issue!$C$3:$C1001,X272))</f>
        <v/>
      </c>
    </row>
    <row r="273" spans="5:25">
      <c r="E273" t="str">
        <f>IF(A273="","",SUMIFS(Issue!$D$3:$D1001,Issue!$C$3:$C1001,A273)*C273)</f>
        <v/>
      </c>
      <c r="F273" t="e">
        <f ca="1">_xludf.IFNA(VLOOKUP(B273,'S-FG'!$B$3:$B1001,1,FALSE),"")</f>
        <v>#NAME?</v>
      </c>
      <c r="H273" t="str">
        <f ca="1">IFERROR(__xludf.DUMMYFUNCTION("""COMPUTED_VALUE"""),"STBD Battery Assy")</f>
        <v>STBD Battery Assy</v>
      </c>
      <c r="I273" t="str">
        <f ca="1">IFERROR(__xludf.DUMMYFUNCTION("""COMPUTED_VALUE"""),"Black 8AWG")</f>
        <v>Black 8AWG</v>
      </c>
      <c r="J273" s="235">
        <f ca="1">IFERROR(__xludf.DUMMYFUNCTION("""COMPUTED_VALUE"""),0.65)</f>
        <v>0.65</v>
      </c>
      <c r="K273" t="str">
        <f ca="1">IFERROR(__xludf.DUMMYFUNCTION("""COMPUTED_VALUE"""),"#N/A")</f>
        <v>#N/A</v>
      </c>
      <c r="L273">
        <f t="shared" ca="1" si="1"/>
        <v>0</v>
      </c>
      <c r="Q273" t="str">
        <f>IF(N273="","",SUMIFS('PR-BOM'!$D$3:$D1001,'PR-BOM'!$C$3:$C1001,N273))</f>
        <v/>
      </c>
      <c r="Y273" t="str">
        <f>IF(X273="","",SUMIFS(Issue!$D$3:$D1001,Issue!$C$3:$C1001,X273))</f>
        <v/>
      </c>
    </row>
    <row r="274" spans="5:25">
      <c r="E274" t="str">
        <f>IF(A274="","",SUMIFS(Issue!$D$3:$D1001,Issue!$C$3:$C1001,A274)*C274)</f>
        <v/>
      </c>
      <c r="F274" t="e">
        <f ca="1">_xludf.IFNA(VLOOKUP(B274,'S-FG'!$B$3:$B1001,1,FALSE),"")</f>
        <v>#NAME?</v>
      </c>
      <c r="H274" t="str">
        <f ca="1">IFERROR(__xludf.DUMMYFUNCTION("""COMPUTED_VALUE"""),"STBD Battery Assy")</f>
        <v>STBD Battery Assy</v>
      </c>
      <c r="I274" t="str">
        <f ca="1">IFERROR(__xludf.DUMMYFUNCTION("""COMPUTED_VALUE"""),"Red 8AWG")</f>
        <v>Red 8AWG</v>
      </c>
      <c r="J274" s="235">
        <f ca="1">IFERROR(__xludf.DUMMYFUNCTION("""COMPUTED_VALUE"""),0.65)</f>
        <v>0.65</v>
      </c>
      <c r="K274" t="str">
        <f ca="1">IFERROR(__xludf.DUMMYFUNCTION("""COMPUTED_VALUE"""),"#N/A")</f>
        <v>#N/A</v>
      </c>
      <c r="L274">
        <f t="shared" ca="1" si="1"/>
        <v>0</v>
      </c>
      <c r="Q274" t="str">
        <f>IF(N274="","",SUMIFS('PR-BOM'!$D$3:$D1001,'PR-BOM'!$C$3:$C1001,N274))</f>
        <v/>
      </c>
      <c r="Y274" t="str">
        <f>IF(X274="","",SUMIFS(Issue!$D$3:$D1001,Issue!$C$3:$C1001,X274))</f>
        <v/>
      </c>
    </row>
    <row r="275" spans="5:25">
      <c r="E275" t="str">
        <f>IF(A275="","",SUMIFS(Issue!$D$3:$D1001,Issue!$C$3:$C1001,A275)*C275)</f>
        <v/>
      </c>
      <c r="F275" t="e">
        <f ca="1">_xludf.IFNA(VLOOKUP(B275,'S-FG'!$B$3:$B1001,1,FALSE),"")</f>
        <v>#NAME?</v>
      </c>
      <c r="H275" t="str">
        <f ca="1">IFERROR(__xludf.DUMMYFUNCTION("""COMPUTED_VALUE"""),"STBD Battery Assy")</f>
        <v>STBD Battery Assy</v>
      </c>
      <c r="I275" t="str">
        <f ca="1">IFERROR(__xludf.DUMMYFUNCTION("""COMPUTED_VALUE"""),"Soldering flux")</f>
        <v>Soldering flux</v>
      </c>
      <c r="J275" s="235">
        <f ca="1">IFERROR(__xludf.DUMMYFUNCTION("""COMPUTED_VALUE"""),5)</f>
        <v>5</v>
      </c>
      <c r="L275">
        <f t="shared" ca="1" si="1"/>
        <v>0</v>
      </c>
      <c r="Q275" t="str">
        <f>IF(N275="","",SUMIFS('PR-BOM'!$D$3:$D1001,'PR-BOM'!$C$3:$C1001,N275))</f>
        <v/>
      </c>
      <c r="Y275" t="str">
        <f>IF(X275="","",SUMIFS(Issue!$D$3:$D1001,Issue!$C$3:$C1001,X275))</f>
        <v/>
      </c>
    </row>
    <row r="276" spans="5:25">
      <c r="E276" t="str">
        <f>IF(A276="","",SUMIFS(Issue!$D$3:$D1001,Issue!$C$3:$C1001,A276)*C276)</f>
        <v/>
      </c>
      <c r="F276" t="e">
        <f ca="1">_xludf.IFNA(VLOOKUP(B276,'S-FG'!$B$3:$B1001,1,FALSE),"")</f>
        <v>#NAME?</v>
      </c>
      <c r="H276" t="str">
        <f ca="1">IFERROR(__xludf.DUMMYFUNCTION("""COMPUTED_VALUE"""),"STBD Battery Assy")</f>
        <v>STBD Battery Assy</v>
      </c>
      <c r="I276" t="str">
        <f ca="1">IFERROR(__xludf.DUMMYFUNCTION("""COMPUTED_VALUE"""),"2mm FRP 60x70mm")</f>
        <v>2mm FRP 60x70mm</v>
      </c>
      <c r="J276" s="235">
        <f ca="1">IFERROR(__xludf.DUMMYFUNCTION("""COMPUTED_VALUE"""),1)</f>
        <v>1</v>
      </c>
      <c r="K276" t="str">
        <f ca="1">IFERROR(__xludf.DUMMYFUNCTION("""COMPUTED_VALUE"""),"#N/A")</f>
        <v>#N/A</v>
      </c>
      <c r="L276">
        <f t="shared" ca="1" si="1"/>
        <v>0</v>
      </c>
      <c r="Q276" t="str">
        <f>IF(N276="","",SUMIFS('PR-BOM'!$D$3:$D1001,'PR-BOM'!$C$3:$C1001,N276))</f>
        <v/>
      </c>
      <c r="Y276" t="str">
        <f>IF(X276="","",SUMIFS(Issue!$D$3:$D1001,Issue!$C$3:$C1001,X276))</f>
        <v/>
      </c>
    </row>
    <row r="277" spans="5:25">
      <c r="E277" t="str">
        <f>IF(A277="","",SUMIFS(Issue!$D$3:$D1001,Issue!$C$3:$C1001,A277)*C277)</f>
        <v/>
      </c>
      <c r="F277" t="e">
        <f ca="1">_xludf.IFNA(VLOOKUP(B277,'S-FG'!$B$3:$B1001,1,FALSE),"")</f>
        <v>#NAME?</v>
      </c>
      <c r="H277" t="str">
        <f ca="1">IFERROR(__xludf.DUMMYFUNCTION("""COMPUTED_VALUE"""),"STBD Battery Assy")</f>
        <v>STBD Battery Assy</v>
      </c>
      <c r="I277" t="str">
        <f ca="1">IFERROR(__xludf.DUMMYFUNCTION("""COMPUTED_VALUE"""),"2mm FRP 60x70mm with 18 mm hole")</f>
        <v>2mm FRP 60x70mm with 18 mm hole</v>
      </c>
      <c r="J277" s="235">
        <f ca="1">IFERROR(__xludf.DUMMYFUNCTION("""COMPUTED_VALUE"""),1)</f>
        <v>1</v>
      </c>
      <c r="L277">
        <f t="shared" ca="1" si="1"/>
        <v>0</v>
      </c>
      <c r="Q277" t="str">
        <f>IF(N277="","",SUMIFS('PR-BOM'!$D$3:$D1001,'PR-BOM'!$C$3:$C1001,N277))</f>
        <v/>
      </c>
      <c r="Y277" t="str">
        <f>IF(X277="","",SUMIFS(Issue!$D$3:$D1001,Issue!$C$3:$C1001,X277))</f>
        <v/>
      </c>
    </row>
    <row r="278" spans="5:25">
      <c r="E278" t="str">
        <f>IF(A278="","",SUMIFS(Issue!$D$3:$D1001,Issue!$C$3:$C1001,A278)*C278)</f>
        <v/>
      </c>
      <c r="F278" t="e">
        <f ca="1">_xludf.IFNA(VLOOKUP(B278,'S-FG'!$B$3:$B1001,1,FALSE),"")</f>
        <v>#NAME?</v>
      </c>
      <c r="H278" t="str">
        <f ca="1">IFERROR(__xludf.DUMMYFUNCTION("""COMPUTED_VALUE"""),"STBD Battery Assy")</f>
        <v>STBD Battery Assy</v>
      </c>
      <c r="I278" t="str">
        <f ca="1">IFERROR(__xludf.DUMMYFUNCTION("""COMPUTED_VALUE"""),"70mm Paper Separator")</f>
        <v>70mm Paper Separator</v>
      </c>
      <c r="J278" s="235">
        <f ca="1">IFERROR(__xludf.DUMMYFUNCTION("""COMPUTED_VALUE"""),0.5)</f>
        <v>0.5</v>
      </c>
      <c r="K278" t="str">
        <f ca="1">IFERROR(__xludf.DUMMYFUNCTION("""COMPUTED_VALUE"""),"#N/A")</f>
        <v>#N/A</v>
      </c>
      <c r="L278">
        <f t="shared" ca="1" si="1"/>
        <v>0</v>
      </c>
      <c r="Q278" t="str">
        <f>IF(N278="","",SUMIFS('PR-BOM'!$D$3:$D1001,'PR-BOM'!$C$3:$C1001,N278))</f>
        <v/>
      </c>
      <c r="Y278" t="str">
        <f>IF(X278="","",SUMIFS(Issue!$D$3:$D1001,Issue!$C$3:$C1001,X278))</f>
        <v/>
      </c>
    </row>
    <row r="279" spans="5:25">
      <c r="E279" t="str">
        <f>IF(A279="","",SUMIFS(Issue!$D$3:$D1001,Issue!$C$3:$C1001,A279)*C279)</f>
        <v/>
      </c>
      <c r="F279" t="e">
        <f ca="1">_xludf.IFNA(VLOOKUP(B279,'S-FG'!$B$3:$B1001,1,FALSE),"")</f>
        <v>#NAME?</v>
      </c>
      <c r="H279" t="str">
        <f ca="1">IFERROR(__xludf.DUMMYFUNCTION("""COMPUTED_VALUE"""),"STBD Battery Assy")</f>
        <v>STBD Battery Assy</v>
      </c>
      <c r="I279" t="str">
        <f ca="1">IFERROR(__xludf.DUMMYFUNCTION("""COMPUTED_VALUE"""),"16AWG Lead")</f>
        <v>16AWG Lead</v>
      </c>
      <c r="J279" s="235">
        <f ca="1">IFERROR(__xludf.DUMMYFUNCTION("""COMPUTED_VALUE"""),30)</f>
        <v>30</v>
      </c>
      <c r="K279" t="str">
        <f ca="1">IFERROR(__xludf.DUMMYFUNCTION("""COMPUTED_VALUE"""),"#N/A")</f>
        <v>#N/A</v>
      </c>
      <c r="L279">
        <f t="shared" ca="1" si="1"/>
        <v>0</v>
      </c>
      <c r="Q279" t="str">
        <f>IF(N279="","",SUMIFS('PR-BOM'!$D$3:$D1001,'PR-BOM'!$C$3:$C1001,N279))</f>
        <v/>
      </c>
      <c r="Y279" t="str">
        <f>IF(X279="","",SUMIFS(Issue!$D$3:$D1001,Issue!$C$3:$C1001,X279))</f>
        <v/>
      </c>
    </row>
    <row r="280" spans="5:25">
      <c r="E280" t="str">
        <f>IF(A280="","",SUMIFS(Issue!$D$3:$D1001,Issue!$C$3:$C1001,A280)*C280)</f>
        <v/>
      </c>
      <c r="F280" t="e">
        <f ca="1">_xludf.IFNA(VLOOKUP(B280,'S-FG'!$B$3:$B1001,1,FALSE),"")</f>
        <v>#NAME?</v>
      </c>
      <c r="H280" t="str">
        <f ca="1">IFERROR(__xludf.DUMMYFUNCTION("""COMPUTED_VALUE"""),"STBD Battery Assy")</f>
        <v>STBD Battery Assy</v>
      </c>
      <c r="I280" t="str">
        <f ca="1">IFERROR(__xludf.DUMMYFUNCTION("""COMPUTED_VALUE"""),"HeatShrink Tube 12:3")</f>
        <v>HeatShrink Tube 12:3</v>
      </c>
      <c r="J280" s="235">
        <f ca="1">IFERROR(__xludf.DUMMYFUNCTION("""COMPUTED_VALUE"""),0.06)</f>
        <v>0.06</v>
      </c>
      <c r="K280" t="str">
        <f ca="1">IFERROR(__xludf.DUMMYFUNCTION("""COMPUTED_VALUE"""),"#N/A")</f>
        <v>#N/A</v>
      </c>
      <c r="L280">
        <f t="shared" ca="1" si="1"/>
        <v>0</v>
      </c>
      <c r="Q280" t="str">
        <f>IF(N280="","",SUMIFS('PR-BOM'!$D$3:$D1001,'PR-BOM'!$C$3:$C1001,N280))</f>
        <v/>
      </c>
      <c r="Y280" t="str">
        <f>IF(X280="","",SUMIFS(Issue!$D$3:$D1001,Issue!$C$3:$C1001,X280))</f>
        <v/>
      </c>
    </row>
    <row r="281" spans="5:25">
      <c r="E281" t="str">
        <f>IF(A281="","",SUMIFS(Issue!$D$3:$D1001,Issue!$C$3:$C1001,A281)*C281)</f>
        <v/>
      </c>
      <c r="F281" t="e">
        <f ca="1">_xludf.IFNA(VLOOKUP(B281,'S-FG'!$B$3:$B1001,1,FALSE),"")</f>
        <v>#NAME?</v>
      </c>
      <c r="H281" t="str">
        <f ca="1">IFERROR(__xludf.DUMMYFUNCTION("""COMPUTED_VALUE"""),"STBD Battery Assy")</f>
        <v>STBD Battery Assy</v>
      </c>
      <c r="I281" t="str">
        <f ca="1">IFERROR(__xludf.DUMMYFUNCTION("""COMPUTED_VALUE"""),"STBD Signal CM Assy")</f>
        <v>STBD Signal CM Assy</v>
      </c>
      <c r="J281" s="235">
        <f ca="1">IFERROR(__xludf.DUMMYFUNCTION("""COMPUTED_VALUE"""),1)</f>
        <v>1</v>
      </c>
      <c r="K281" t="str">
        <f ca="1">IFERROR(__xludf.DUMMYFUNCTION("""COMPUTED_VALUE"""),"#N/A")</f>
        <v>#N/A</v>
      </c>
      <c r="L281">
        <f t="shared" ca="1" si="1"/>
        <v>0</v>
      </c>
      <c r="Q281" t="str">
        <f>IF(N281="","",SUMIFS('PR-BOM'!$D$3:$D1001,'PR-BOM'!$C$3:$C1001,N281))</f>
        <v/>
      </c>
      <c r="Y281" t="str">
        <f>IF(X281="","",SUMIFS(Issue!$D$3:$D1001,Issue!$C$3:$C1001,X281))</f>
        <v/>
      </c>
    </row>
    <row r="282" spans="5:25">
      <c r="E282" t="str">
        <f>IF(A282="","",SUMIFS(Issue!$D$3:$D1001,Issue!$C$3:$C1001,A282)*C282)</f>
        <v/>
      </c>
      <c r="F282" t="e">
        <f ca="1">_xludf.IFNA(VLOOKUP(B282,'S-FG'!$B$3:$B1001,1,FALSE),"")</f>
        <v>#NAME?</v>
      </c>
      <c r="H282" t="str">
        <f ca="1">IFERROR(__xludf.DUMMYFUNCTION("""COMPUTED_VALUE"""),"STBD Battery Assy")</f>
        <v>STBD Battery Assy</v>
      </c>
      <c r="I282" t="str">
        <f ca="1">IFERROR(__xludf.DUMMYFUNCTION("""COMPUTED_VALUE"""),"Battery Block Assy")</f>
        <v>Battery Block Assy</v>
      </c>
      <c r="J282" s="235">
        <f ca="1">IFERROR(__xludf.DUMMYFUNCTION("""COMPUTED_VALUE"""),0)</f>
        <v>0</v>
      </c>
      <c r="K282" t="str">
        <f ca="1">IFERROR(__xludf.DUMMYFUNCTION("""COMPUTED_VALUE"""),"#N/A")</f>
        <v>#N/A</v>
      </c>
      <c r="L282">
        <f t="shared" ca="1" si="1"/>
        <v>0</v>
      </c>
      <c r="Q282" t="str">
        <f>IF(N282="","",SUMIFS('PR-BOM'!$D$3:$D1001,'PR-BOM'!$C$3:$C1001,N282))</f>
        <v/>
      </c>
      <c r="Y282" t="str">
        <f>IF(X282="","",SUMIFS(Issue!$D$3:$D1001,Issue!$C$3:$C1001,X282))</f>
        <v/>
      </c>
    </row>
    <row r="283" spans="5:25">
      <c r="E283" t="str">
        <f>IF(A283="","",SUMIFS(Issue!$D$3:$D1001,Issue!$C$3:$C1001,A283)*C283)</f>
        <v/>
      </c>
      <c r="F283" t="e">
        <f ca="1">_xludf.IFNA(VLOOKUP(B283,'S-FG'!$B$3:$B1001,1,FALSE),"")</f>
        <v>#NAME?</v>
      </c>
      <c r="H283" t="str">
        <f ca="1">IFERROR(__xludf.DUMMYFUNCTION("""COMPUTED_VALUE"""),"STBD Battery Assy")</f>
        <v>STBD Battery Assy</v>
      </c>
      <c r="I283" t="str">
        <f ca="1">IFERROR(__xludf.DUMMYFUNCTION("""COMPUTED_VALUE"""),"HeatShrink Tube 100mm")</f>
        <v>HeatShrink Tube 100mm</v>
      </c>
      <c r="J283" s="235">
        <f ca="1">IFERROR(__xludf.DUMMYFUNCTION("""COMPUTED_VALUE"""),0.17)</f>
        <v>0.17</v>
      </c>
      <c r="K283" t="str">
        <f ca="1">IFERROR(__xludf.DUMMYFUNCTION("""COMPUTED_VALUE"""),"#N/A")</f>
        <v>#N/A</v>
      </c>
      <c r="L283">
        <f t="shared" ca="1" si="1"/>
        <v>0</v>
      </c>
      <c r="Q283" t="str">
        <f>IF(N283="","",SUMIFS('PR-BOM'!$D$3:$D1001,'PR-BOM'!$C$3:$C1001,N283))</f>
        <v/>
      </c>
      <c r="Y283" t="str">
        <f>IF(X283="","",SUMIFS(Issue!$D$3:$D1001,Issue!$C$3:$C1001,X283))</f>
        <v/>
      </c>
    </row>
    <row r="284" spans="5:25">
      <c r="E284" t="str">
        <f>IF(A284="","",SUMIFS(Issue!$D$3:$D1001,Issue!$C$3:$C1001,A284)*C284)</f>
        <v/>
      </c>
      <c r="F284" t="e">
        <f ca="1">_xludf.IFNA(VLOOKUP(B284,'S-FG'!$B$3:$B1001,1,FALSE),"")</f>
        <v>#NAME?</v>
      </c>
      <c r="H284" t="str">
        <f ca="1">IFERROR(__xludf.DUMMYFUNCTION("""COMPUTED_VALUE"""),"STBD Battery Assy")</f>
        <v>STBD Battery Assy</v>
      </c>
      <c r="I284" t="str">
        <f ca="1">IFERROR(__xludf.DUMMYFUNCTION("""COMPUTED_VALUE"""),"Teroson MS930")</f>
        <v>Teroson MS930</v>
      </c>
      <c r="J284" s="235">
        <f ca="1">IFERROR(__xludf.DUMMYFUNCTION("""COMPUTED_VALUE"""),20)</f>
        <v>20</v>
      </c>
      <c r="K284" t="str">
        <f ca="1">IFERROR(__xludf.DUMMYFUNCTION("""COMPUTED_VALUE"""),"#N/A")</f>
        <v>#N/A</v>
      </c>
      <c r="L284">
        <f t="shared" ca="1" si="1"/>
        <v>0</v>
      </c>
      <c r="Q284" t="str">
        <f>IF(N284="","",SUMIFS('PR-BOM'!$D$3:$D1001,'PR-BOM'!$C$3:$C1001,N284))</f>
        <v/>
      </c>
      <c r="Y284" t="str">
        <f>IF(X284="","",SUMIFS(Issue!$D$3:$D1001,Issue!$C$3:$C1001,X284))</f>
        <v/>
      </c>
    </row>
    <row r="285" spans="5:25">
      <c r="E285" t="str">
        <f>IF(A285="","",SUMIFS(Issue!$D$3:$D1001,Issue!$C$3:$C1001,A285)*C285)</f>
        <v/>
      </c>
      <c r="F285" t="e">
        <f ca="1">_xludf.IFNA(VLOOKUP(B285,'S-FG'!$B$3:$B1001,1,FALSE),"")</f>
        <v>#NAME?</v>
      </c>
      <c r="H285" t="str">
        <f ca="1">IFERROR(__xludf.DUMMYFUNCTION("""COMPUTED_VALUE"""),"PORT Battery Assy")</f>
        <v>PORT Battery Assy</v>
      </c>
      <c r="I285" t="str">
        <f ca="1">IFERROR(__xludf.DUMMYFUNCTION("""COMPUTED_VALUE"""),"4mm Female Bullet connector")</f>
        <v>4mm Female Bullet connector</v>
      </c>
      <c r="J285" s="235">
        <f ca="1">IFERROR(__xludf.DUMMYFUNCTION("""COMPUTED_VALUE"""),2)</f>
        <v>2</v>
      </c>
      <c r="K285" t="str">
        <f ca="1">IFERROR(__xludf.DUMMYFUNCTION("""COMPUTED_VALUE"""),"#N/A")</f>
        <v>#N/A</v>
      </c>
      <c r="L285">
        <f t="shared" ca="1" si="1"/>
        <v>0</v>
      </c>
      <c r="Q285" t="str">
        <f>IF(N285="","",SUMIFS('PR-BOM'!$D$3:$D1001,'PR-BOM'!$C$3:$C1001,N285))</f>
        <v/>
      </c>
      <c r="Y285" t="str">
        <f>IF(X285="","",SUMIFS(Issue!$D$3:$D1001,Issue!$C$3:$C1001,X285))</f>
        <v/>
      </c>
    </row>
    <row r="286" spans="5:25">
      <c r="E286" t="str">
        <f>IF(A286="","",SUMIFS(Issue!$D$3:$D1001,Issue!$C$3:$C1001,A286)*C286)</f>
        <v/>
      </c>
      <c r="F286" t="e">
        <f ca="1">_xludf.IFNA(VLOOKUP(B286,'S-FG'!$B$3:$B1001,1,FALSE),"")</f>
        <v>#NAME?</v>
      </c>
      <c r="H286" t="str">
        <f ca="1">IFERROR(__xludf.DUMMYFUNCTION("""COMPUTED_VALUE"""),"PORT Battery Assy")</f>
        <v>PORT Battery Assy</v>
      </c>
      <c r="I286" t="str">
        <f ca="1">IFERROR(__xludf.DUMMYFUNCTION("""COMPUTED_VALUE"""),"2mm Female Bullet connector")</f>
        <v>2mm Female Bullet connector</v>
      </c>
      <c r="J286" s="235">
        <f ca="1">IFERROR(__xludf.DUMMYFUNCTION("""COMPUTED_VALUE"""),1)</f>
        <v>1</v>
      </c>
      <c r="K286" t="str">
        <f ca="1">IFERROR(__xludf.DUMMYFUNCTION("""COMPUTED_VALUE"""),"#N/A")</f>
        <v>#N/A</v>
      </c>
      <c r="L286">
        <f t="shared" ca="1" si="1"/>
        <v>0</v>
      </c>
      <c r="Q286" t="str">
        <f>IF(N286="","",SUMIFS('PR-BOM'!$D$3:$D1001,'PR-BOM'!$C$3:$C1001,N286))</f>
        <v/>
      </c>
      <c r="Y286" t="str">
        <f>IF(X286="","",SUMIFS(Issue!$D$3:$D1001,Issue!$C$3:$C1001,X286))</f>
        <v/>
      </c>
    </row>
    <row r="287" spans="5:25">
      <c r="E287" t="str">
        <f>IF(A287="","",SUMIFS(Issue!$D$3:$D1001,Issue!$C$3:$C1001,A287)*C287)</f>
        <v/>
      </c>
      <c r="F287" t="e">
        <f ca="1">_xludf.IFNA(VLOOKUP(B287,'S-FG'!$B$3:$B1001,1,FALSE),"")</f>
        <v>#NAME?</v>
      </c>
      <c r="H287" t="str">
        <f ca="1">IFERROR(__xludf.DUMMYFUNCTION("""COMPUTED_VALUE"""),"PORT Battery Assy")</f>
        <v>PORT Battery Assy</v>
      </c>
      <c r="I287" t="str">
        <f ca="1">IFERROR(__xludf.DUMMYFUNCTION("""COMPUTED_VALUE"""),"8mm female bullet connector")</f>
        <v>8mm female bullet connector</v>
      </c>
      <c r="J287" s="235">
        <f ca="1">IFERROR(__xludf.DUMMYFUNCTION("""COMPUTED_VALUE"""),1)</f>
        <v>1</v>
      </c>
      <c r="K287" t="str">
        <f ca="1">IFERROR(__xludf.DUMMYFUNCTION("""COMPUTED_VALUE"""),"#N/A")</f>
        <v>#N/A</v>
      </c>
      <c r="L287">
        <f t="shared" ca="1" si="1"/>
        <v>0</v>
      </c>
      <c r="Q287" t="str">
        <f>IF(N287="","",SUMIFS('PR-BOM'!$D$3:$D1001,'PR-BOM'!$C$3:$C1001,N287))</f>
        <v/>
      </c>
      <c r="Y287" t="str">
        <f>IF(X287="","",SUMIFS(Issue!$D$3:$D1001,Issue!$C$3:$C1001,X287))</f>
        <v/>
      </c>
    </row>
    <row r="288" spans="5:25">
      <c r="E288" t="str">
        <f>IF(A288="","",SUMIFS(Issue!$D$3:$D1001,Issue!$C$3:$C1001,A288)*C288)</f>
        <v/>
      </c>
      <c r="F288" t="e">
        <f ca="1">_xludf.IFNA(VLOOKUP(B288,'S-FG'!$B$3:$B1001,1,FALSE),"")</f>
        <v>#NAME?</v>
      </c>
      <c r="H288" t="str">
        <f ca="1">IFERROR(__xludf.DUMMYFUNCTION("""COMPUTED_VALUE"""),"PORT Battery Assy")</f>
        <v>PORT Battery Assy</v>
      </c>
      <c r="I288" t="str">
        <f ca="1">IFERROR(__xludf.DUMMYFUNCTION("""COMPUTED_VALUE"""),"Red 8AWG")</f>
        <v>Red 8AWG</v>
      </c>
      <c r="J288" s="235">
        <f ca="1">IFERROR(__xludf.DUMMYFUNCTION("""COMPUTED_VALUE"""),0.65)</f>
        <v>0.65</v>
      </c>
      <c r="K288" t="str">
        <f ca="1">IFERROR(__xludf.DUMMYFUNCTION("""COMPUTED_VALUE"""),"#N/A")</f>
        <v>#N/A</v>
      </c>
      <c r="L288">
        <f t="shared" ca="1" si="1"/>
        <v>0</v>
      </c>
      <c r="Q288" t="str">
        <f>IF(N288="","",SUMIFS('PR-BOM'!$D$3:$D1001,'PR-BOM'!$C$3:$C1001,N288))</f>
        <v/>
      </c>
      <c r="Y288" t="str">
        <f>IF(X288="","",SUMIFS(Issue!$D$3:$D1001,Issue!$C$3:$C1001,X288))</f>
        <v/>
      </c>
    </row>
    <row r="289" spans="5:25">
      <c r="E289" t="str">
        <f>IF(A289="","",SUMIFS(Issue!$D$3:$D1001,Issue!$C$3:$C1001,A289)*C289)</f>
        <v/>
      </c>
      <c r="F289" t="e">
        <f ca="1">_xludf.IFNA(VLOOKUP(B289,'S-FG'!$B$3:$B1001,1,FALSE),"")</f>
        <v>#NAME?</v>
      </c>
      <c r="H289" t="str">
        <f ca="1">IFERROR(__xludf.DUMMYFUNCTION("""COMPUTED_VALUE"""),"PORT Battery Assy")</f>
        <v>PORT Battery Assy</v>
      </c>
      <c r="I289" t="str">
        <f ca="1">IFERROR(__xludf.DUMMYFUNCTION("""COMPUTED_VALUE"""),"Black 12AWG")</f>
        <v>Black 12AWG</v>
      </c>
      <c r="J289" s="235">
        <f ca="1">IFERROR(__xludf.DUMMYFUNCTION("""COMPUTED_VALUE"""),0.8)</f>
        <v>0.8</v>
      </c>
      <c r="K289" t="str">
        <f ca="1">IFERROR(__xludf.DUMMYFUNCTION("""COMPUTED_VALUE"""),"#N/A")</f>
        <v>#N/A</v>
      </c>
      <c r="L289">
        <f t="shared" ca="1" si="1"/>
        <v>0</v>
      </c>
      <c r="Q289" t="str">
        <f>IF(N289="","",SUMIFS('PR-BOM'!$D$3:$D1001,'PR-BOM'!$C$3:$C1001,N289))</f>
        <v/>
      </c>
      <c r="Y289" t="str">
        <f>IF(X289="","",SUMIFS(Issue!$D$3:$D1001,Issue!$C$3:$C1001,X289))</f>
        <v/>
      </c>
    </row>
    <row r="290" spans="5:25">
      <c r="E290" t="str">
        <f>IF(A290="","",SUMIFS(Issue!$D$3:$D1001,Issue!$C$3:$C1001,A290)*C290)</f>
        <v/>
      </c>
      <c r="F290" t="e">
        <f ca="1">_xludf.IFNA(VLOOKUP(B290,'S-FG'!$B$3:$B1001,1,FALSE),"")</f>
        <v>#NAME?</v>
      </c>
      <c r="H290" t="str">
        <f ca="1">IFERROR(__xludf.DUMMYFUNCTION("""COMPUTED_VALUE"""),"PORT Battery Assy")</f>
        <v>PORT Battery Assy</v>
      </c>
      <c r="I290" t="str">
        <f ca="1">IFERROR(__xludf.DUMMYFUNCTION("""COMPUTED_VALUE"""),"Black 18 AWG")</f>
        <v>Black 18 AWG</v>
      </c>
      <c r="J290" s="235">
        <f ca="1">IFERROR(__xludf.DUMMYFUNCTION("""COMPUTED_VALUE"""),0.55)</f>
        <v>0.55000000000000004</v>
      </c>
      <c r="K290" t="str">
        <f ca="1">IFERROR(__xludf.DUMMYFUNCTION("""COMPUTED_VALUE"""),"#N/A")</f>
        <v>#N/A</v>
      </c>
      <c r="L290">
        <f t="shared" ca="1" si="1"/>
        <v>0</v>
      </c>
      <c r="Q290" t="str">
        <f>IF(N290="","",SUMIFS('PR-BOM'!$D$3:$D1001,'PR-BOM'!$C$3:$C1001,N290))</f>
        <v/>
      </c>
      <c r="Y290" t="str">
        <f>IF(X290="","",SUMIFS(Issue!$D$3:$D1001,Issue!$C$3:$C1001,X290))</f>
        <v/>
      </c>
    </row>
    <row r="291" spans="5:25">
      <c r="E291" t="str">
        <f>IF(A291="","",SUMIFS(Issue!$D$3:$D1001,Issue!$C$3:$C1001,A291)*C291)</f>
        <v/>
      </c>
      <c r="F291" t="e">
        <f ca="1">_xludf.IFNA(VLOOKUP(B291,'S-FG'!$B$3:$B1001,1,FALSE),"")</f>
        <v>#NAME?</v>
      </c>
      <c r="H291" t="str">
        <f ca="1">IFERROR(__xludf.DUMMYFUNCTION("""COMPUTED_VALUE"""),"PORT Battery Assy")</f>
        <v>PORT Battery Assy</v>
      </c>
      <c r="I291" t="str">
        <f ca="1">IFERROR(__xludf.DUMMYFUNCTION("""COMPUTED_VALUE"""),"Soldering flux")</f>
        <v>Soldering flux</v>
      </c>
      <c r="J291" s="235">
        <f ca="1">IFERROR(__xludf.DUMMYFUNCTION("""COMPUTED_VALUE"""),5)</f>
        <v>5</v>
      </c>
      <c r="L291">
        <f t="shared" ca="1" si="1"/>
        <v>0</v>
      </c>
      <c r="Q291" t="str">
        <f>IF(N291="","",SUMIFS('PR-BOM'!$D$3:$D1001,'PR-BOM'!$C$3:$C1001,N291))</f>
        <v/>
      </c>
      <c r="Y291" t="str">
        <f>IF(X291="","",SUMIFS(Issue!$D$3:$D1001,Issue!$C$3:$C1001,X291))</f>
        <v/>
      </c>
    </row>
    <row r="292" spans="5:25">
      <c r="E292" t="str">
        <f>IF(A292="","",SUMIFS(Issue!$D$3:$D1001,Issue!$C$3:$C1001,A292)*C292)</f>
        <v/>
      </c>
      <c r="F292" t="e">
        <f ca="1">_xludf.IFNA(VLOOKUP(B292,'S-FG'!$B$3:$B1001,1,FALSE),"")</f>
        <v>#NAME?</v>
      </c>
      <c r="H292" t="str">
        <f ca="1">IFERROR(__xludf.DUMMYFUNCTION("""COMPUTED_VALUE"""),"PORT Battery Assy")</f>
        <v>PORT Battery Assy</v>
      </c>
      <c r="I292" t="str">
        <f ca="1">IFERROR(__xludf.DUMMYFUNCTION("""COMPUTED_VALUE"""),"2mm FRP 60x70mm")</f>
        <v>2mm FRP 60x70mm</v>
      </c>
      <c r="J292" s="235">
        <f ca="1">IFERROR(__xludf.DUMMYFUNCTION("""COMPUTED_VALUE"""),1)</f>
        <v>1</v>
      </c>
      <c r="K292" t="str">
        <f ca="1">IFERROR(__xludf.DUMMYFUNCTION("""COMPUTED_VALUE"""),"#N/A")</f>
        <v>#N/A</v>
      </c>
      <c r="L292">
        <f t="shared" ca="1" si="1"/>
        <v>0</v>
      </c>
      <c r="Q292" t="str">
        <f>IF(N292="","",SUMIFS('PR-BOM'!$D$3:$D1001,'PR-BOM'!$C$3:$C1001,N292))</f>
        <v/>
      </c>
      <c r="Y292" t="str">
        <f>IF(X292="","",SUMIFS(Issue!$D$3:$D1001,Issue!$C$3:$C1001,X292))</f>
        <v/>
      </c>
    </row>
    <row r="293" spans="5:25">
      <c r="E293" t="str">
        <f>IF(A293="","",SUMIFS(Issue!$D$3:$D1001,Issue!$C$3:$C1001,A293)*C293)</f>
        <v/>
      </c>
      <c r="F293" t="e">
        <f ca="1">_xludf.IFNA(VLOOKUP(B293,'S-FG'!$B$3:$B1001,1,FALSE),"")</f>
        <v>#NAME?</v>
      </c>
      <c r="H293" t="str">
        <f ca="1">IFERROR(__xludf.DUMMYFUNCTION("""COMPUTED_VALUE"""),"PORT Battery Assy")</f>
        <v>PORT Battery Assy</v>
      </c>
      <c r="I293" t="str">
        <f ca="1">IFERROR(__xludf.DUMMYFUNCTION("""COMPUTED_VALUE"""),"2mm FRP 60x70mm with 18 mm hole")</f>
        <v>2mm FRP 60x70mm with 18 mm hole</v>
      </c>
      <c r="J293" s="235">
        <f ca="1">IFERROR(__xludf.DUMMYFUNCTION("""COMPUTED_VALUE"""),1)</f>
        <v>1</v>
      </c>
      <c r="L293">
        <f t="shared" ca="1" si="1"/>
        <v>0</v>
      </c>
      <c r="Q293" t="str">
        <f>IF(N293="","",SUMIFS('PR-BOM'!$D$3:$D1001,'PR-BOM'!$C$3:$C1001,N293))</f>
        <v/>
      </c>
      <c r="Y293" t="str">
        <f>IF(X293="","",SUMIFS(Issue!$D$3:$D1001,Issue!$C$3:$C1001,X293))</f>
        <v/>
      </c>
    </row>
    <row r="294" spans="5:25">
      <c r="E294" t="str">
        <f>IF(A294="","",SUMIFS(Issue!$D$3:$D1001,Issue!$C$3:$C1001,A294)*C294)</f>
        <v/>
      </c>
      <c r="F294" t="e">
        <f ca="1">_xludf.IFNA(VLOOKUP(B294,'S-FG'!$B$3:$B1001,1,FALSE),"")</f>
        <v>#NAME?</v>
      </c>
      <c r="H294" t="str">
        <f ca="1">IFERROR(__xludf.DUMMYFUNCTION("""COMPUTED_VALUE"""),"PORT Battery Assy")</f>
        <v>PORT Battery Assy</v>
      </c>
      <c r="I294" t="str">
        <f ca="1">IFERROR(__xludf.DUMMYFUNCTION("""COMPUTED_VALUE"""),"70mm Paper Separator")</f>
        <v>70mm Paper Separator</v>
      </c>
      <c r="J294" s="235">
        <f ca="1">IFERROR(__xludf.DUMMYFUNCTION("""COMPUTED_VALUE"""),0.5)</f>
        <v>0.5</v>
      </c>
      <c r="K294" t="str">
        <f ca="1">IFERROR(__xludf.DUMMYFUNCTION("""COMPUTED_VALUE"""),"#N/A")</f>
        <v>#N/A</v>
      </c>
      <c r="L294">
        <f t="shared" ca="1" si="1"/>
        <v>0</v>
      </c>
      <c r="Q294" t="str">
        <f>IF(N294="","",SUMIFS('PR-BOM'!$D$3:$D1001,'PR-BOM'!$C$3:$C1001,N294))</f>
        <v/>
      </c>
      <c r="Y294" t="str">
        <f>IF(X294="","",SUMIFS(Issue!$D$3:$D1001,Issue!$C$3:$C1001,X294))</f>
        <v/>
      </c>
    </row>
    <row r="295" spans="5:25">
      <c r="E295" t="str">
        <f>IF(A295="","",SUMIFS(Issue!$D$3:$D1001,Issue!$C$3:$C1001,A295)*C295)</f>
        <v/>
      </c>
      <c r="F295" t="e">
        <f ca="1">_xludf.IFNA(VLOOKUP(B295,'S-FG'!$B$3:$B1001,1,FALSE),"")</f>
        <v>#NAME?</v>
      </c>
      <c r="H295" t="str">
        <f ca="1">IFERROR(__xludf.DUMMYFUNCTION("""COMPUTED_VALUE"""),"PORT Battery Assy")</f>
        <v>PORT Battery Assy</v>
      </c>
      <c r="I295" t="str">
        <f ca="1">IFERROR(__xludf.DUMMYFUNCTION("""COMPUTED_VALUE"""),"16AWG Lead")</f>
        <v>16AWG Lead</v>
      </c>
      <c r="J295" s="235">
        <f ca="1">IFERROR(__xludf.DUMMYFUNCTION("""COMPUTED_VALUE"""),30)</f>
        <v>30</v>
      </c>
      <c r="K295" t="str">
        <f ca="1">IFERROR(__xludf.DUMMYFUNCTION("""COMPUTED_VALUE"""),"#N/A")</f>
        <v>#N/A</v>
      </c>
      <c r="L295">
        <f t="shared" ca="1" si="1"/>
        <v>0</v>
      </c>
      <c r="Q295" t="str">
        <f>IF(N295="","",SUMIFS('PR-BOM'!$D$3:$D1001,'PR-BOM'!$C$3:$C1001,N295))</f>
        <v/>
      </c>
      <c r="Y295" t="str">
        <f>IF(X295="","",SUMIFS(Issue!$D$3:$D1001,Issue!$C$3:$C1001,X295))</f>
        <v/>
      </c>
    </row>
    <row r="296" spans="5:25">
      <c r="E296" t="str">
        <f>IF(A296="","",SUMIFS(Issue!$D$3:$D1001,Issue!$C$3:$C1001,A296)*C296)</f>
        <v/>
      </c>
      <c r="F296" t="e">
        <f ca="1">_xludf.IFNA(VLOOKUP(B296,'S-FG'!$B$3:$B1001,1,FALSE),"")</f>
        <v>#NAME?</v>
      </c>
      <c r="H296" t="str">
        <f ca="1">IFERROR(__xludf.DUMMYFUNCTION("""COMPUTED_VALUE"""),"PORT Battery Assy")</f>
        <v>PORT Battery Assy</v>
      </c>
      <c r="I296" t="str">
        <f ca="1">IFERROR(__xludf.DUMMYFUNCTION("""COMPUTED_VALUE"""),"HeatShrink Tube 12:3")</f>
        <v>HeatShrink Tube 12:3</v>
      </c>
      <c r="J296" s="235">
        <f ca="1">IFERROR(__xludf.DUMMYFUNCTION("""COMPUTED_VALUE"""),0.03)</f>
        <v>0.03</v>
      </c>
      <c r="K296" t="str">
        <f ca="1">IFERROR(__xludf.DUMMYFUNCTION("""COMPUTED_VALUE"""),"#N/A")</f>
        <v>#N/A</v>
      </c>
      <c r="L296">
        <f t="shared" ca="1" si="1"/>
        <v>0</v>
      </c>
      <c r="Q296" t="str">
        <f>IF(N296="","",SUMIFS('PR-BOM'!$D$3:$D1001,'PR-BOM'!$C$3:$C1001,N296))</f>
        <v/>
      </c>
      <c r="Y296" t="str">
        <f>IF(X296="","",SUMIFS(Issue!$D$3:$D1001,Issue!$C$3:$C1001,X296))</f>
        <v/>
      </c>
    </row>
    <row r="297" spans="5:25">
      <c r="E297" t="str">
        <f>IF(A297="","",SUMIFS(Issue!$D$3:$D1001,Issue!$C$3:$C1001,A297)*C297)</f>
        <v/>
      </c>
      <c r="F297" t="e">
        <f ca="1">_xludf.IFNA(VLOOKUP(B297,'S-FG'!$B$3:$B1001,1,FALSE),"")</f>
        <v>#NAME?</v>
      </c>
      <c r="H297" t="str">
        <f ca="1">IFERROR(__xludf.DUMMYFUNCTION("""COMPUTED_VALUE"""),"PORT Battery Assy")</f>
        <v>PORT Battery Assy</v>
      </c>
      <c r="I297" t="str">
        <f ca="1">IFERROR(__xludf.DUMMYFUNCTION("""COMPUTED_VALUE"""),"PORT Signal CM Assy")</f>
        <v>PORT Signal CM Assy</v>
      </c>
      <c r="J297" s="235">
        <f ca="1">IFERROR(__xludf.DUMMYFUNCTION("""COMPUTED_VALUE"""),0)</f>
        <v>0</v>
      </c>
      <c r="K297" t="str">
        <f ca="1">IFERROR(__xludf.DUMMYFUNCTION("""COMPUTED_VALUE"""),"#N/A")</f>
        <v>#N/A</v>
      </c>
      <c r="L297">
        <f t="shared" ca="1" si="1"/>
        <v>0</v>
      </c>
      <c r="Q297" t="str">
        <f>IF(N297="","",SUMIFS('PR-BOM'!$D$3:$D1001,'PR-BOM'!$C$3:$C1001,N297))</f>
        <v/>
      </c>
      <c r="Y297" t="str">
        <f>IF(X297="","",SUMIFS(Issue!$D$3:$D1001,Issue!$C$3:$C1001,X297))</f>
        <v/>
      </c>
    </row>
    <row r="298" spans="5:25">
      <c r="E298" t="str">
        <f>IF(A298="","",SUMIFS(Issue!$D$3:$D1001,Issue!$C$3:$C1001,A298)*C298)</f>
        <v/>
      </c>
      <c r="F298" t="e">
        <f ca="1">_xludf.IFNA(VLOOKUP(B298,'S-FG'!$B$3:$B1001,1,FALSE),"")</f>
        <v>#NAME?</v>
      </c>
      <c r="H298" t="str">
        <f ca="1">IFERROR(__xludf.DUMMYFUNCTION("""COMPUTED_VALUE"""),"PORT Battery Assy")</f>
        <v>PORT Battery Assy</v>
      </c>
      <c r="I298" t="str">
        <f ca="1">IFERROR(__xludf.DUMMYFUNCTION("""COMPUTED_VALUE"""),"Battery Block Assy")</f>
        <v>Battery Block Assy</v>
      </c>
      <c r="J298" s="235">
        <f ca="1">IFERROR(__xludf.DUMMYFUNCTION("""COMPUTED_VALUE"""),0)</f>
        <v>0</v>
      </c>
      <c r="K298" t="str">
        <f ca="1">IFERROR(__xludf.DUMMYFUNCTION("""COMPUTED_VALUE"""),"#N/A")</f>
        <v>#N/A</v>
      </c>
      <c r="L298">
        <f t="shared" ca="1" si="1"/>
        <v>0</v>
      </c>
      <c r="Q298" t="str">
        <f>IF(N298="","",SUMIFS('PR-BOM'!$D$3:$D1001,'PR-BOM'!$C$3:$C1001,N298))</f>
        <v/>
      </c>
      <c r="Y298" t="str">
        <f>IF(X298="","",SUMIFS(Issue!$D$3:$D1001,Issue!$C$3:$C1001,X298))</f>
        <v/>
      </c>
    </row>
    <row r="299" spans="5:25">
      <c r="E299" t="str">
        <f>IF(A299="","",SUMIFS(Issue!$D$3:$D1001,Issue!$C$3:$C1001,A299)*C299)</f>
        <v/>
      </c>
      <c r="F299" t="e">
        <f ca="1">_xludf.IFNA(VLOOKUP(B299,'S-FG'!$B$3:$B1001,1,FALSE),"")</f>
        <v>#NAME?</v>
      </c>
      <c r="H299" t="str">
        <f ca="1">IFERROR(__xludf.DUMMYFUNCTION("""COMPUTED_VALUE"""),"PORT Battery Assy")</f>
        <v>PORT Battery Assy</v>
      </c>
      <c r="I299" t="str">
        <f ca="1">IFERROR(__xludf.DUMMYFUNCTION("""COMPUTED_VALUE"""),"HeatShrink Tube 100mm")</f>
        <v>HeatShrink Tube 100mm</v>
      </c>
      <c r="J299" s="235">
        <f ca="1">IFERROR(__xludf.DUMMYFUNCTION("""COMPUTED_VALUE"""),0.17)</f>
        <v>0.17</v>
      </c>
      <c r="K299" t="str">
        <f ca="1">IFERROR(__xludf.DUMMYFUNCTION("""COMPUTED_VALUE"""),"#N/A")</f>
        <v>#N/A</v>
      </c>
      <c r="L299">
        <f t="shared" ca="1" si="1"/>
        <v>0</v>
      </c>
      <c r="Q299" t="str">
        <f>IF(N299="","",SUMIFS('PR-BOM'!$D$3:$D1001,'PR-BOM'!$C$3:$C1001,N299))</f>
        <v/>
      </c>
      <c r="Y299" t="str">
        <f>IF(X299="","",SUMIFS(Issue!$D$3:$D1001,Issue!$C$3:$C1001,X299))</f>
        <v/>
      </c>
    </row>
    <row r="300" spans="5:25">
      <c r="E300" t="str">
        <f>IF(A300="","",SUMIFS(Issue!$D$3:$D1001,Issue!$C$3:$C1001,A300)*C300)</f>
        <v/>
      </c>
      <c r="F300" t="e">
        <f ca="1">_xludf.IFNA(VLOOKUP(B300,'S-FG'!$B$3:$B1001,1,FALSE),"")</f>
        <v>#NAME?</v>
      </c>
      <c r="H300" t="str">
        <f ca="1">IFERROR(__xludf.DUMMYFUNCTION("""COMPUTED_VALUE"""),"PORT Battery Assy")</f>
        <v>PORT Battery Assy</v>
      </c>
      <c r="I300" t="str">
        <f ca="1">IFERROR(__xludf.DUMMYFUNCTION("""COMPUTED_VALUE"""),"Teroson MS930")</f>
        <v>Teroson MS930</v>
      </c>
      <c r="J300" s="235">
        <f ca="1">IFERROR(__xludf.DUMMYFUNCTION("""COMPUTED_VALUE"""),20)</f>
        <v>20</v>
      </c>
      <c r="K300" t="str">
        <f ca="1">IFERROR(__xludf.DUMMYFUNCTION("""COMPUTED_VALUE"""),"#N/A")</f>
        <v>#N/A</v>
      </c>
      <c r="L300">
        <f t="shared" ca="1" si="1"/>
        <v>0</v>
      </c>
      <c r="Q300" t="str">
        <f>IF(N300="","",SUMIFS('PR-BOM'!$D$3:$D1001,'PR-BOM'!$C$3:$C1001,N300))</f>
        <v/>
      </c>
      <c r="Y300" t="str">
        <f>IF(X300="","",SUMIFS(Issue!$D$3:$D1001,Issue!$C$3:$C1001,X300))</f>
        <v/>
      </c>
    </row>
    <row r="301" spans="5:25">
      <c r="E301" t="str">
        <f>IF(A301="","",SUMIFS(Issue!$D$3:$D1001,Issue!$C$3:$C1001,A301)*C301)</f>
        <v/>
      </c>
      <c r="F301" t="e">
        <f ca="1">_xludf.IFNA(VLOOKUP(B301,'S-FG'!$B$3:$B1001,1,FALSE),"")</f>
        <v>#NAME?</v>
      </c>
      <c r="H301" t="str">
        <f ca="1">IFERROR(__xludf.DUMMYFUNCTION("""COMPUTED_VALUE"""),"STBD Unit Assy")</f>
        <v>STBD Unit Assy</v>
      </c>
      <c r="I301" t="str">
        <f ca="1">IFERROR(__xludf.DUMMYFUNCTION("""COMPUTED_VALUE"""),"ESC Mounting Clamp")</f>
        <v>ESC Mounting Clamp</v>
      </c>
      <c r="J301" s="235">
        <f ca="1">IFERROR(__xludf.DUMMYFUNCTION("""COMPUTED_VALUE"""),1)</f>
        <v>1</v>
      </c>
      <c r="K301" t="str">
        <f ca="1">IFERROR(__xludf.DUMMYFUNCTION("""COMPUTED_VALUE"""),"#N/A")</f>
        <v>#N/A</v>
      </c>
      <c r="L301">
        <f t="shared" ca="1" si="1"/>
        <v>0</v>
      </c>
      <c r="Q301" t="str">
        <f>IF(N301="","",SUMIFS('PR-BOM'!$D$3:$D1001,'PR-BOM'!$C$3:$C1001,N301))</f>
        <v/>
      </c>
      <c r="Y301" t="str">
        <f>IF(X301="","",SUMIFS(Issue!$D$3:$D1001,Issue!$C$3:$C1001,X301))</f>
        <v/>
      </c>
    </row>
    <row r="302" spans="5:25">
      <c r="E302" t="str">
        <f>IF(A302="","",SUMIFS(Issue!$D$3:$D1001,Issue!$C$3:$C1001,A302)*C302)</f>
        <v/>
      </c>
      <c r="F302" t="e">
        <f ca="1">_xludf.IFNA(VLOOKUP(B302,'S-FG'!$B$3:$B1001,1,FALSE),"")</f>
        <v>#NAME?</v>
      </c>
      <c r="H302" t="str">
        <f ca="1">IFERROR(__xludf.DUMMYFUNCTION("""COMPUTED_VALUE"""),"STBD Unit Assy")</f>
        <v>STBD Unit Assy</v>
      </c>
      <c r="I302" t="str">
        <f ca="1">IFERROR(__xludf.DUMMYFUNCTION("""COMPUTED_VALUE"""),"M4 Nyloc")</f>
        <v>M4 Nyloc</v>
      </c>
      <c r="J302" s="235">
        <f ca="1">IFERROR(__xludf.DUMMYFUNCTION("""COMPUTED_VALUE"""),4)</f>
        <v>4</v>
      </c>
      <c r="K302" t="str">
        <f ca="1">IFERROR(__xludf.DUMMYFUNCTION("""COMPUTED_VALUE"""),"#N/A")</f>
        <v>#N/A</v>
      </c>
      <c r="L302">
        <f t="shared" ca="1" si="1"/>
        <v>0</v>
      </c>
      <c r="Q302" t="str">
        <f>IF(N302="","",SUMIFS('PR-BOM'!$D$3:$D1001,'PR-BOM'!$C$3:$C1001,N302))</f>
        <v/>
      </c>
      <c r="Y302" t="str">
        <f>IF(X302="","",SUMIFS(Issue!$D$3:$D1001,Issue!$C$3:$C1001,X302))</f>
        <v/>
      </c>
    </row>
    <row r="303" spans="5:25">
      <c r="E303" t="str">
        <f>IF(A303="","",SUMIFS(Issue!$D$3:$D1001,Issue!$C$3:$C1001,A303)*C303)</f>
        <v/>
      </c>
      <c r="F303" t="e">
        <f ca="1">_xludf.IFNA(VLOOKUP(B303,'S-FG'!$B$3:$B1001,1,FALSE),"")</f>
        <v>#NAME?</v>
      </c>
      <c r="H303" t="str">
        <f ca="1">IFERROR(__xludf.DUMMYFUNCTION("""COMPUTED_VALUE"""),"STBD Unit Assy")</f>
        <v>STBD Unit Assy</v>
      </c>
      <c r="I303" t="str">
        <f ca="1">IFERROR(__xludf.DUMMYFUNCTION("""COMPUTED_VALUE"""),"M4 Spring washer")</f>
        <v>M4 Spring washer</v>
      </c>
      <c r="J303" s="235">
        <f ca="1">IFERROR(__xludf.DUMMYFUNCTION("""COMPUTED_VALUE"""),4)</f>
        <v>4</v>
      </c>
      <c r="K303" t="str">
        <f ca="1">IFERROR(__xludf.DUMMYFUNCTION("""COMPUTED_VALUE"""),"#N/A")</f>
        <v>#N/A</v>
      </c>
      <c r="L303">
        <f t="shared" ca="1" si="1"/>
        <v>0</v>
      </c>
      <c r="Q303" t="str">
        <f>IF(N303="","",SUMIFS('PR-BOM'!$D$3:$D1001,'PR-BOM'!$C$3:$C1001,N303))</f>
        <v/>
      </c>
      <c r="Y303" t="str">
        <f>IF(X303="","",SUMIFS(Issue!$D$3:$D1001,Issue!$C$3:$C1001,X303))</f>
        <v/>
      </c>
    </row>
    <row r="304" spans="5:25">
      <c r="E304" t="str">
        <f>IF(A304="","",SUMIFS(Issue!$D$3:$D1001,Issue!$C$3:$C1001,A304)*C304)</f>
        <v/>
      </c>
      <c r="F304" t="e">
        <f ca="1">_xludf.IFNA(VLOOKUP(B304,'S-FG'!$B$3:$B1001,1,FALSE),"")</f>
        <v>#NAME?</v>
      </c>
      <c r="H304" t="str">
        <f ca="1">IFERROR(__xludf.DUMMYFUNCTION("""COMPUTED_VALUE"""),"STBD Unit Assy")</f>
        <v>STBD Unit Assy</v>
      </c>
      <c r="I304" t="str">
        <f ca="1">IFERROR(__xludf.DUMMYFUNCTION("""COMPUTED_VALUE"""),"M4x12 plain washer")</f>
        <v>M4x12 plain washer</v>
      </c>
      <c r="J304" s="235">
        <f ca="1">IFERROR(__xludf.DUMMYFUNCTION("""COMPUTED_VALUE"""),4)</f>
        <v>4</v>
      </c>
      <c r="K304" t="str">
        <f ca="1">IFERROR(__xludf.DUMMYFUNCTION("""COMPUTED_VALUE"""),"#N/A")</f>
        <v>#N/A</v>
      </c>
      <c r="L304">
        <f t="shared" ca="1" si="1"/>
        <v>0</v>
      </c>
      <c r="Q304" t="str">
        <f>IF(N304="","",SUMIFS('PR-BOM'!$D$3:$D1001,'PR-BOM'!$C$3:$C1001,N304))</f>
        <v/>
      </c>
      <c r="Y304" t="str">
        <f>IF(X304="","",SUMIFS(Issue!$D$3:$D1001,Issue!$C$3:$C1001,X304))</f>
        <v/>
      </c>
    </row>
    <row r="305" spans="5:25">
      <c r="E305" t="str">
        <f>IF(A305="","",SUMIFS(Issue!$D$3:$D1001,Issue!$C$3:$C1001,A305)*C305)</f>
        <v/>
      </c>
      <c r="F305" t="e">
        <f ca="1">_xludf.IFNA(VLOOKUP(B305,'S-FG'!$B$3:$B1001,1,FALSE),"")</f>
        <v>#NAME?</v>
      </c>
      <c r="H305" t="str">
        <f ca="1">IFERROR(__xludf.DUMMYFUNCTION("""COMPUTED_VALUE"""),"STBD Unit Assy")</f>
        <v>STBD Unit Assy</v>
      </c>
      <c r="I305" t="str">
        <f ca="1">IFERROR(__xludf.DUMMYFUNCTION("""COMPUTED_VALUE"""),"3mm Silicon Rubber Gaskets (35mmx10mm)")</f>
        <v>3mm Silicon Rubber Gaskets (35mmx10mm)</v>
      </c>
      <c r="J305" s="235">
        <f ca="1">IFERROR(__xludf.DUMMYFUNCTION("""COMPUTED_VALUE"""),1)</f>
        <v>1</v>
      </c>
      <c r="K305" t="str">
        <f ca="1">IFERROR(__xludf.DUMMYFUNCTION("""COMPUTED_VALUE"""),"#N/A")</f>
        <v>#N/A</v>
      </c>
      <c r="L305">
        <f t="shared" ca="1" si="1"/>
        <v>0</v>
      </c>
      <c r="Q305" t="str">
        <f>IF(N305="","",SUMIFS('PR-BOM'!$D$3:$D1001,'PR-BOM'!$C$3:$C1001,N305))</f>
        <v/>
      </c>
      <c r="Y305" t="str">
        <f>IF(X305="","",SUMIFS(Issue!$D$3:$D1001,Issue!$C$3:$C1001,X305))</f>
        <v/>
      </c>
    </row>
    <row r="306" spans="5:25">
      <c r="E306" t="str">
        <f>IF(A306="","",SUMIFS(Issue!$D$3:$D1001,Issue!$C$3:$C1001,A306)*C306)</f>
        <v/>
      </c>
      <c r="F306" t="e">
        <f ca="1">_xludf.IFNA(VLOOKUP(B306,'S-FG'!$B$3:$B1001,1,FALSE),"")</f>
        <v>#NAME?</v>
      </c>
      <c r="H306" t="str">
        <f ca="1">IFERROR(__xludf.DUMMYFUNCTION("""COMPUTED_VALUE"""),"STBD Unit Assy")</f>
        <v>STBD Unit Assy</v>
      </c>
      <c r="I306" t="str">
        <f ca="1">IFERROR(__xludf.DUMMYFUNCTION("""COMPUTED_VALUE"""),"Jet Motor Assy")</f>
        <v>Jet Motor Assy</v>
      </c>
      <c r="J306" s="235">
        <f ca="1">IFERROR(__xludf.DUMMYFUNCTION("""COMPUTED_VALUE"""),0)</f>
        <v>0</v>
      </c>
      <c r="K306" t="str">
        <f ca="1">IFERROR(__xludf.DUMMYFUNCTION("""COMPUTED_VALUE"""),"#N/A")</f>
        <v>#N/A</v>
      </c>
      <c r="L306">
        <f t="shared" ca="1" si="1"/>
        <v>0</v>
      </c>
      <c r="Q306" t="str">
        <f>IF(N306="","",SUMIFS('PR-BOM'!$D$3:$D1001,'PR-BOM'!$C$3:$C1001,N306))</f>
        <v/>
      </c>
      <c r="Y306" t="str">
        <f>IF(X306="","",SUMIFS(Issue!$D$3:$D1001,Issue!$C$3:$C1001,X306))</f>
        <v/>
      </c>
    </row>
    <row r="307" spans="5:25">
      <c r="E307" t="str">
        <f>IF(A307="","",SUMIFS(Issue!$D$3:$D1001,Issue!$C$3:$C1001,A307)*C307)</f>
        <v/>
      </c>
      <c r="F307" t="e">
        <f ca="1">_xludf.IFNA(VLOOKUP(B307,'S-FG'!$B$3:$B1001,1,FALSE),"")</f>
        <v>#NAME?</v>
      </c>
      <c r="H307" t="str">
        <f ca="1">IFERROR(__xludf.DUMMYFUNCTION("""COMPUTED_VALUE"""),"STBD Unit Assy")</f>
        <v>STBD Unit Assy</v>
      </c>
      <c r="I307" t="str">
        <f ca="1">IFERROR(__xludf.DUMMYFUNCTION("""COMPUTED_VALUE"""),"STBD_ESC Assy")</f>
        <v>STBD_ESC Assy</v>
      </c>
      <c r="J307" s="235">
        <f ca="1">IFERROR(__xludf.DUMMYFUNCTION("""COMPUTED_VALUE"""),0)</f>
        <v>0</v>
      </c>
      <c r="K307" t="str">
        <f ca="1">IFERROR(__xludf.DUMMYFUNCTION("""COMPUTED_VALUE"""),"#N/A")</f>
        <v>#N/A</v>
      </c>
      <c r="L307">
        <f t="shared" ca="1" si="1"/>
        <v>0</v>
      </c>
      <c r="Q307" t="str">
        <f>IF(N307="","",SUMIFS('PR-BOM'!$D$3:$D1001,'PR-BOM'!$C$3:$C1001,N307))</f>
        <v/>
      </c>
      <c r="Y307" t="str">
        <f>IF(X307="","",SUMIFS(Issue!$D$3:$D1001,Issue!$C$3:$C1001,X307))</f>
        <v/>
      </c>
    </row>
    <row r="308" spans="5:25">
      <c r="E308" t="str">
        <f>IF(A308="","",SUMIFS(Issue!$D$3:$D1001,Issue!$C$3:$C1001,A308)*C308)</f>
        <v/>
      </c>
      <c r="F308" t="e">
        <f ca="1">_xludf.IFNA(VLOOKUP(B308,'S-FG'!$B$3:$B1001,1,FALSE),"")</f>
        <v>#NAME?</v>
      </c>
      <c r="H308" t="str">
        <f ca="1">IFERROR(__xludf.DUMMYFUNCTION("""COMPUTED_VALUE"""),"STBD Unit Assy")</f>
        <v>STBD Unit Assy</v>
      </c>
      <c r="I308" t="str">
        <f ca="1">IFERROR(__xludf.DUMMYFUNCTION("""COMPUTED_VALUE"""),"STBD Battery Assy")</f>
        <v>STBD Battery Assy</v>
      </c>
      <c r="J308" s="235">
        <f ca="1">IFERROR(__xludf.DUMMYFUNCTION("""COMPUTED_VALUE"""),0)</f>
        <v>0</v>
      </c>
      <c r="K308" t="str">
        <f ca="1">IFERROR(__xludf.DUMMYFUNCTION("""COMPUTED_VALUE"""),"#N/A")</f>
        <v>#N/A</v>
      </c>
      <c r="L308">
        <f t="shared" ca="1" si="1"/>
        <v>0</v>
      </c>
      <c r="Q308" t="str">
        <f>IF(N308="","",SUMIFS('PR-BOM'!$D$3:$D1001,'PR-BOM'!$C$3:$C1001,N308))</f>
        <v/>
      </c>
      <c r="Y308" t="str">
        <f>IF(X308="","",SUMIFS(Issue!$D$3:$D1001,Issue!$C$3:$C1001,X308))</f>
        <v/>
      </c>
    </row>
    <row r="309" spans="5:25">
      <c r="E309" t="str">
        <f>IF(A309="","",SUMIFS(Issue!$D$3:$D1001,Issue!$C$3:$C1001,A309)*C309)</f>
        <v/>
      </c>
      <c r="F309" t="e">
        <f ca="1">_xludf.IFNA(VLOOKUP(B309,'S-FG'!$B$3:$B1001,1,FALSE),"")</f>
        <v>#NAME?</v>
      </c>
      <c r="H309" t="str">
        <f ca="1">IFERROR(__xludf.DUMMYFUNCTION("""COMPUTED_VALUE"""),"STBD Unit Assy")</f>
        <v>STBD Unit Assy</v>
      </c>
      <c r="I309" t="str">
        <f ca="1">IFERROR(__xludf.DUMMYFUNCTION("""COMPUTED_VALUE"""),"M4x20 CSK Phillips")</f>
        <v>M4x20 CSK Phillips</v>
      </c>
      <c r="J309" s="235">
        <f ca="1">IFERROR(__xludf.DUMMYFUNCTION("""COMPUTED_VALUE"""),2)</f>
        <v>2</v>
      </c>
      <c r="K309" t="str">
        <f ca="1">IFERROR(__xludf.DUMMYFUNCTION("""COMPUTED_VALUE"""),"#N/A")</f>
        <v>#N/A</v>
      </c>
      <c r="L309">
        <f t="shared" ca="1" si="1"/>
        <v>0</v>
      </c>
      <c r="Q309" t="str">
        <f>IF(N309="","",SUMIFS('PR-BOM'!$D$3:$D1001,'PR-BOM'!$C$3:$C1001,N309))</f>
        <v/>
      </c>
      <c r="Y309" t="str">
        <f>IF(X309="","",SUMIFS(Issue!$D$3:$D1001,Issue!$C$3:$C1001,X309))</f>
        <v/>
      </c>
    </row>
    <row r="310" spans="5:25">
      <c r="E310" t="str">
        <f>IF(A310="","",SUMIFS(Issue!$D$3:$D1001,Issue!$C$3:$C1001,A310)*C310)</f>
        <v/>
      </c>
      <c r="F310" t="e">
        <f ca="1">_xludf.IFNA(VLOOKUP(B310,'S-FG'!$B$3:$B1001,1,FALSE),"")</f>
        <v>#NAME?</v>
      </c>
      <c r="H310" t="str">
        <f ca="1">IFERROR(__xludf.DUMMYFUNCTION("""COMPUTED_VALUE"""),"STBD Unit Assy")</f>
        <v>STBD Unit Assy</v>
      </c>
      <c r="I310" t="str">
        <f ca="1">IFERROR(__xludf.DUMMYFUNCTION("""COMPUTED_VALUE"""),"M4x16 Allen Head")</f>
        <v>M4x16 Allen Head</v>
      </c>
      <c r="J310" s="235">
        <f ca="1">IFERROR(__xludf.DUMMYFUNCTION("""COMPUTED_VALUE"""),2)</f>
        <v>2</v>
      </c>
      <c r="K310" t="str">
        <f ca="1">IFERROR(__xludf.DUMMYFUNCTION("""COMPUTED_VALUE"""),"#N/A")</f>
        <v>#N/A</v>
      </c>
      <c r="L310">
        <f t="shared" ca="1" si="1"/>
        <v>0</v>
      </c>
      <c r="Q310" t="str">
        <f>IF(N310="","",SUMIFS('PR-BOM'!$D$3:$D1001,'PR-BOM'!$C$3:$C1001,N310))</f>
        <v/>
      </c>
      <c r="Y310" t="str">
        <f>IF(X310="","",SUMIFS(Issue!$D$3:$D1001,Issue!$C$3:$C1001,X310))</f>
        <v/>
      </c>
    </row>
    <row r="311" spans="5:25">
      <c r="E311" t="str">
        <f>IF(A311="","",SUMIFS(Issue!$D$3:$D1001,Issue!$C$3:$C1001,A311)*C311)</f>
        <v/>
      </c>
      <c r="F311" t="e">
        <f ca="1">_xludf.IFNA(VLOOKUP(B311,'S-FG'!$B$3:$B1001,1,FALSE),"")</f>
        <v>#NAME?</v>
      </c>
      <c r="H311" t="str">
        <f ca="1">IFERROR(__xludf.DUMMYFUNCTION("""COMPUTED_VALUE"""),"PORT Unit Assy")</f>
        <v>PORT Unit Assy</v>
      </c>
      <c r="I311" t="str">
        <f ca="1">IFERROR(__xludf.DUMMYFUNCTION("""COMPUTED_VALUE"""),"ESC Mounting Clamp")</f>
        <v>ESC Mounting Clamp</v>
      </c>
      <c r="J311" s="235">
        <f ca="1">IFERROR(__xludf.DUMMYFUNCTION("""COMPUTED_VALUE"""),1)</f>
        <v>1</v>
      </c>
      <c r="K311" t="str">
        <f ca="1">IFERROR(__xludf.DUMMYFUNCTION("""COMPUTED_VALUE"""),"#N/A")</f>
        <v>#N/A</v>
      </c>
      <c r="L311">
        <f t="shared" ca="1" si="1"/>
        <v>0</v>
      </c>
      <c r="Q311" t="str">
        <f>IF(N311="","",SUMIFS('PR-BOM'!$D$3:$D1001,'PR-BOM'!$C$3:$C1001,N311))</f>
        <v/>
      </c>
      <c r="Y311" t="str">
        <f>IF(X311="","",SUMIFS(Issue!$D$3:$D1001,Issue!$C$3:$C1001,X311))</f>
        <v/>
      </c>
    </row>
    <row r="312" spans="5:25">
      <c r="E312" t="str">
        <f>IF(A312="","",SUMIFS(Issue!$D$3:$D1001,Issue!$C$3:$C1001,A312)*C312)</f>
        <v/>
      </c>
      <c r="F312" t="e">
        <f ca="1">_xludf.IFNA(VLOOKUP(B312,'S-FG'!$B$3:$B1001,1,FALSE),"")</f>
        <v>#NAME?</v>
      </c>
      <c r="H312" t="str">
        <f ca="1">IFERROR(__xludf.DUMMYFUNCTION("""COMPUTED_VALUE"""),"PORT Unit Assy")</f>
        <v>PORT Unit Assy</v>
      </c>
      <c r="I312" t="str">
        <f ca="1">IFERROR(__xludf.DUMMYFUNCTION("""COMPUTED_VALUE"""),"M4 Nyloc")</f>
        <v>M4 Nyloc</v>
      </c>
      <c r="J312" s="235">
        <f ca="1">IFERROR(__xludf.DUMMYFUNCTION("""COMPUTED_VALUE"""),4)</f>
        <v>4</v>
      </c>
      <c r="K312" t="str">
        <f ca="1">IFERROR(__xludf.DUMMYFUNCTION("""COMPUTED_VALUE"""),"#N/A")</f>
        <v>#N/A</v>
      </c>
      <c r="L312">
        <f t="shared" ca="1" si="1"/>
        <v>0</v>
      </c>
      <c r="Q312" t="str">
        <f>IF(N312="","",SUMIFS('PR-BOM'!$D$3:$D1001,'PR-BOM'!$C$3:$C1001,N312))</f>
        <v/>
      </c>
      <c r="Y312" t="str">
        <f>IF(X312="","",SUMIFS(Issue!$D$3:$D1001,Issue!$C$3:$C1001,X312))</f>
        <v/>
      </c>
    </row>
    <row r="313" spans="5:25">
      <c r="E313" t="str">
        <f>IF(A313="","",SUMIFS(Issue!$D$3:$D1001,Issue!$C$3:$C1001,A313)*C313)</f>
        <v/>
      </c>
      <c r="F313" t="e">
        <f ca="1">_xludf.IFNA(VLOOKUP(B313,'S-FG'!$B$3:$B1001,1,FALSE),"")</f>
        <v>#NAME?</v>
      </c>
      <c r="H313" t="str">
        <f ca="1">IFERROR(__xludf.DUMMYFUNCTION("""COMPUTED_VALUE"""),"PORT Unit Assy")</f>
        <v>PORT Unit Assy</v>
      </c>
      <c r="I313" t="str">
        <f ca="1">IFERROR(__xludf.DUMMYFUNCTION("""COMPUTED_VALUE"""),"M4 Spring washer")</f>
        <v>M4 Spring washer</v>
      </c>
      <c r="J313" s="235">
        <f ca="1">IFERROR(__xludf.DUMMYFUNCTION("""COMPUTED_VALUE"""),4)</f>
        <v>4</v>
      </c>
      <c r="K313" t="str">
        <f ca="1">IFERROR(__xludf.DUMMYFUNCTION("""COMPUTED_VALUE"""),"#N/A")</f>
        <v>#N/A</v>
      </c>
      <c r="L313">
        <f t="shared" ca="1" si="1"/>
        <v>0</v>
      </c>
      <c r="Q313" t="str">
        <f>IF(N313="","",SUMIFS('PR-BOM'!$D$3:$D1001,'PR-BOM'!$C$3:$C1001,N313))</f>
        <v/>
      </c>
      <c r="Y313" t="str">
        <f>IF(X313="","",SUMIFS(Issue!$D$3:$D1001,Issue!$C$3:$C1001,X313))</f>
        <v/>
      </c>
    </row>
    <row r="314" spans="5:25">
      <c r="E314" t="str">
        <f>IF(A314="","",SUMIFS(Issue!$D$3:$D1001,Issue!$C$3:$C1001,A314)*C314)</f>
        <v/>
      </c>
      <c r="F314" t="e">
        <f ca="1">_xludf.IFNA(VLOOKUP(B314,'S-FG'!$B$3:$B1001,1,FALSE),"")</f>
        <v>#NAME?</v>
      </c>
      <c r="H314" t="str">
        <f ca="1">IFERROR(__xludf.DUMMYFUNCTION("""COMPUTED_VALUE"""),"PORT Unit Assy")</f>
        <v>PORT Unit Assy</v>
      </c>
      <c r="I314" t="str">
        <f ca="1">IFERROR(__xludf.DUMMYFUNCTION("""COMPUTED_VALUE"""),"M4x12 plain washer")</f>
        <v>M4x12 plain washer</v>
      </c>
      <c r="J314" s="235">
        <f ca="1">IFERROR(__xludf.DUMMYFUNCTION("""COMPUTED_VALUE"""),4)</f>
        <v>4</v>
      </c>
      <c r="K314" t="str">
        <f ca="1">IFERROR(__xludf.DUMMYFUNCTION("""COMPUTED_VALUE"""),"#N/A")</f>
        <v>#N/A</v>
      </c>
      <c r="L314">
        <f t="shared" ca="1" si="1"/>
        <v>0</v>
      </c>
      <c r="Q314" t="str">
        <f>IF(N314="","",SUMIFS('PR-BOM'!$D$3:$D1001,'PR-BOM'!$C$3:$C1001,N314))</f>
        <v/>
      </c>
      <c r="Y314" t="str">
        <f>IF(X314="","",SUMIFS(Issue!$D$3:$D1001,Issue!$C$3:$C1001,X314))</f>
        <v/>
      </c>
    </row>
    <row r="315" spans="5:25">
      <c r="E315" t="str">
        <f>IF(A315="","",SUMIFS(Issue!$D$3:$D1001,Issue!$C$3:$C1001,A315)*C315)</f>
        <v/>
      </c>
      <c r="F315" t="e">
        <f ca="1">_xludf.IFNA(VLOOKUP(B315,'S-FG'!$B$3:$B1001,1,FALSE),"")</f>
        <v>#NAME?</v>
      </c>
      <c r="H315" t="str">
        <f ca="1">IFERROR(__xludf.DUMMYFUNCTION("""COMPUTED_VALUE"""),"PORT Unit Assy")</f>
        <v>PORT Unit Assy</v>
      </c>
      <c r="I315" t="str">
        <f ca="1">IFERROR(__xludf.DUMMYFUNCTION("""COMPUTED_VALUE"""),"3mm Silicon Rubber Gaskets (35mmx10mm)")</f>
        <v>3mm Silicon Rubber Gaskets (35mmx10mm)</v>
      </c>
      <c r="J315" s="235">
        <f ca="1">IFERROR(__xludf.DUMMYFUNCTION("""COMPUTED_VALUE"""),1)</f>
        <v>1</v>
      </c>
      <c r="K315" t="str">
        <f ca="1">IFERROR(__xludf.DUMMYFUNCTION("""COMPUTED_VALUE"""),"#N/A")</f>
        <v>#N/A</v>
      </c>
      <c r="L315">
        <f t="shared" ca="1" si="1"/>
        <v>0</v>
      </c>
      <c r="Q315" t="str">
        <f>IF(N315="","",SUMIFS('PR-BOM'!$D$3:$D1001,'PR-BOM'!$C$3:$C1001,N315))</f>
        <v/>
      </c>
      <c r="Y315" t="str">
        <f>IF(X315="","",SUMIFS(Issue!$D$3:$D1001,Issue!$C$3:$C1001,X315))</f>
        <v/>
      </c>
    </row>
    <row r="316" spans="5:25">
      <c r="E316" t="str">
        <f>IF(A316="","",SUMIFS(Issue!$D$3:$D1001,Issue!$C$3:$C1001,A316)*C316)</f>
        <v/>
      </c>
      <c r="F316" t="e">
        <f ca="1">_xludf.IFNA(VLOOKUP(B316,'S-FG'!$B$3:$B1001,1,FALSE),"")</f>
        <v>#NAME?</v>
      </c>
      <c r="H316" t="str">
        <f ca="1">IFERROR(__xludf.DUMMYFUNCTION("""COMPUTED_VALUE"""),"PORT Unit Assy")</f>
        <v>PORT Unit Assy</v>
      </c>
      <c r="I316" t="str">
        <f ca="1">IFERROR(__xludf.DUMMYFUNCTION("""COMPUTED_VALUE"""),"Jet Motor Assy")</f>
        <v>Jet Motor Assy</v>
      </c>
      <c r="J316" s="235">
        <f ca="1">IFERROR(__xludf.DUMMYFUNCTION("""COMPUTED_VALUE"""),0)</f>
        <v>0</v>
      </c>
      <c r="K316" t="str">
        <f ca="1">IFERROR(__xludf.DUMMYFUNCTION("""COMPUTED_VALUE"""),"#N/A")</f>
        <v>#N/A</v>
      </c>
      <c r="L316">
        <f t="shared" ca="1" si="1"/>
        <v>0</v>
      </c>
      <c r="Q316" t="str">
        <f>IF(N316="","",SUMIFS('PR-BOM'!$D$3:$D1001,'PR-BOM'!$C$3:$C1001,N316))</f>
        <v/>
      </c>
      <c r="Y316" t="str">
        <f>IF(X316="","",SUMIFS(Issue!$D$3:$D1001,Issue!$C$3:$C1001,X316))</f>
        <v/>
      </c>
    </row>
    <row r="317" spans="5:25">
      <c r="E317" t="str">
        <f>IF(A317="","",SUMIFS(Issue!$D$3:$D1001,Issue!$C$3:$C1001,A317)*C317)</f>
        <v/>
      </c>
      <c r="F317" t="e">
        <f ca="1">_xludf.IFNA(VLOOKUP(B317,'S-FG'!$B$3:$B1001,1,FALSE),"")</f>
        <v>#NAME?</v>
      </c>
      <c r="H317" t="str">
        <f ca="1">IFERROR(__xludf.DUMMYFUNCTION("""COMPUTED_VALUE"""),"PORT Unit Assy")</f>
        <v>PORT Unit Assy</v>
      </c>
      <c r="I317" t="str">
        <f ca="1">IFERROR(__xludf.DUMMYFUNCTION("""COMPUTED_VALUE"""),"PORT_ESC Assy")</f>
        <v>PORT_ESC Assy</v>
      </c>
      <c r="J317" s="235">
        <f ca="1">IFERROR(__xludf.DUMMYFUNCTION("""COMPUTED_VALUE"""),0)</f>
        <v>0</v>
      </c>
      <c r="K317" t="str">
        <f ca="1">IFERROR(__xludf.DUMMYFUNCTION("""COMPUTED_VALUE"""),"#N/A")</f>
        <v>#N/A</v>
      </c>
      <c r="L317">
        <f t="shared" ca="1" si="1"/>
        <v>0</v>
      </c>
      <c r="Q317" t="str">
        <f>IF(N317="","",SUMIFS('PR-BOM'!$D$3:$D1001,'PR-BOM'!$C$3:$C1001,N317))</f>
        <v/>
      </c>
      <c r="Y317" t="str">
        <f>IF(X317="","",SUMIFS(Issue!$D$3:$D1001,Issue!$C$3:$C1001,X317))</f>
        <v/>
      </c>
    </row>
    <row r="318" spans="5:25">
      <c r="E318" t="str">
        <f>IF(A318="","",SUMIFS(Issue!$D$3:$D1001,Issue!$C$3:$C1001,A318)*C318)</f>
        <v/>
      </c>
      <c r="F318" t="e">
        <f ca="1">_xludf.IFNA(VLOOKUP(B318,'S-FG'!$B$3:$B1001,1,FALSE),"")</f>
        <v>#NAME?</v>
      </c>
      <c r="H318" t="str">
        <f ca="1">IFERROR(__xludf.DUMMYFUNCTION("""COMPUTED_VALUE"""),"PORT Unit Assy")</f>
        <v>PORT Unit Assy</v>
      </c>
      <c r="I318" t="str">
        <f ca="1">IFERROR(__xludf.DUMMYFUNCTION("""COMPUTED_VALUE"""),"PORT Battery Assy")</f>
        <v>PORT Battery Assy</v>
      </c>
      <c r="J318" s="235">
        <f ca="1">IFERROR(__xludf.DUMMYFUNCTION("""COMPUTED_VALUE"""),0)</f>
        <v>0</v>
      </c>
      <c r="K318" t="str">
        <f ca="1">IFERROR(__xludf.DUMMYFUNCTION("""COMPUTED_VALUE"""),"#N/A")</f>
        <v>#N/A</v>
      </c>
      <c r="L318">
        <f t="shared" ca="1" si="1"/>
        <v>0</v>
      </c>
      <c r="Q318" t="str">
        <f>IF(N318="","",SUMIFS('PR-BOM'!$D$3:$D1001,'PR-BOM'!$C$3:$C1001,N318))</f>
        <v/>
      </c>
      <c r="Y318" t="str">
        <f>IF(X318="","",SUMIFS(Issue!$D$3:$D1001,Issue!$C$3:$C1001,X318))</f>
        <v/>
      </c>
    </row>
    <row r="319" spans="5:25">
      <c r="E319" t="str">
        <f>IF(A319="","",SUMIFS(Issue!$D$3:$D1001,Issue!$C$3:$C1001,A319)*C319)</f>
        <v/>
      </c>
      <c r="F319" t="e">
        <f ca="1">_xludf.IFNA(VLOOKUP(B319,'S-FG'!$B$3:$B1001,1,FALSE),"")</f>
        <v>#NAME?</v>
      </c>
      <c r="H319" t="str">
        <f ca="1">IFERROR(__xludf.DUMMYFUNCTION("""COMPUTED_VALUE"""),"PORT Unit Assy")</f>
        <v>PORT Unit Assy</v>
      </c>
      <c r="I319" t="str">
        <f ca="1">IFERROR(__xludf.DUMMYFUNCTION("""COMPUTED_VALUE"""),"M4x20 CSK Phillips")</f>
        <v>M4x20 CSK Phillips</v>
      </c>
      <c r="J319" s="235">
        <f ca="1">IFERROR(__xludf.DUMMYFUNCTION("""COMPUTED_VALUE"""),2)</f>
        <v>2</v>
      </c>
      <c r="K319" t="str">
        <f ca="1">IFERROR(__xludf.DUMMYFUNCTION("""COMPUTED_VALUE"""),"#N/A")</f>
        <v>#N/A</v>
      </c>
      <c r="L319">
        <f t="shared" ca="1" si="1"/>
        <v>0</v>
      </c>
      <c r="Q319" t="str">
        <f>IF(N319="","",SUMIFS('PR-BOM'!$D$3:$D1001,'PR-BOM'!$C$3:$C1001,N319))</f>
        <v/>
      </c>
      <c r="Y319" t="str">
        <f>IF(X319="","",SUMIFS(Issue!$D$3:$D1001,Issue!$C$3:$C1001,X319))</f>
        <v/>
      </c>
    </row>
    <row r="320" spans="5:25">
      <c r="E320" t="str">
        <f>IF(A320="","",SUMIFS(Issue!$D$3:$D1001,Issue!$C$3:$C1001,A320)*C320)</f>
        <v/>
      </c>
      <c r="F320" t="e">
        <f ca="1">_xludf.IFNA(VLOOKUP(B320,'S-FG'!$B$3:$B1001,1,FALSE),"")</f>
        <v>#NAME?</v>
      </c>
      <c r="H320" t="str">
        <f ca="1">IFERROR(__xludf.DUMMYFUNCTION("""COMPUTED_VALUE"""),"Self Rightening Assy")</f>
        <v>Self Rightening Assy</v>
      </c>
      <c r="I320" t="str">
        <f ca="1">IFERROR(__xludf.DUMMYFUNCTION("""COMPUTED_VALUE"""),"SR Structure")</f>
        <v>SR Structure</v>
      </c>
      <c r="J320" s="235">
        <f ca="1">IFERROR(__xludf.DUMMYFUNCTION("""COMPUTED_VALUE"""),1)</f>
        <v>1</v>
      </c>
      <c r="K320" t="str">
        <f ca="1">IFERROR(__xludf.DUMMYFUNCTION("""COMPUTED_VALUE"""),"#N/A")</f>
        <v>#N/A</v>
      </c>
      <c r="L320">
        <f t="shared" ca="1" si="1"/>
        <v>0</v>
      </c>
      <c r="Q320" t="str">
        <f>IF(N320="","",SUMIFS('PR-BOM'!$D$3:$D1001,'PR-BOM'!$C$3:$C1001,N320))</f>
        <v/>
      </c>
      <c r="Y320" t="str">
        <f>IF(X320="","",SUMIFS(Issue!$D$3:$D1001,Issue!$C$3:$C1001,X320))</f>
        <v/>
      </c>
    </row>
    <row r="321" spans="5:25">
      <c r="E321" t="str">
        <f>IF(A321="","",SUMIFS(Issue!$D$3:$D1001,Issue!$C$3:$C1001,A321)*C321)</f>
        <v/>
      </c>
      <c r="F321" t="e">
        <f ca="1">_xludf.IFNA(VLOOKUP(B321,'S-FG'!$B$3:$B1001,1,FALSE),"")</f>
        <v>#NAME?</v>
      </c>
      <c r="H321" t="str">
        <f ca="1">IFERROR(__xludf.DUMMYFUNCTION("""COMPUTED_VALUE"""),"Self Rightening Assy")</f>
        <v>Self Rightening Assy</v>
      </c>
      <c r="I321" t="str">
        <f ca="1">IFERROR(__xludf.DUMMYFUNCTION("""COMPUTED_VALUE"""),"SR Pillow")</f>
        <v>SR Pillow</v>
      </c>
      <c r="J321" s="235">
        <f ca="1">IFERROR(__xludf.DUMMYFUNCTION("""COMPUTED_VALUE"""),1)</f>
        <v>1</v>
      </c>
      <c r="K321" t="str">
        <f ca="1">IFERROR(__xludf.DUMMYFUNCTION("""COMPUTED_VALUE"""),"#N/A")</f>
        <v>#N/A</v>
      </c>
      <c r="L321">
        <f t="shared" ca="1" si="1"/>
        <v>0</v>
      </c>
      <c r="Q321" t="str">
        <f>IF(N321="","",SUMIFS('PR-BOM'!$D$3:$D1001,'PR-BOM'!$C$3:$C1001,N321))</f>
        <v/>
      </c>
      <c r="Y321" t="str">
        <f>IF(X321="","",SUMIFS(Issue!$D$3:$D1001,Issue!$C$3:$C1001,X321))</f>
        <v/>
      </c>
    </row>
    <row r="322" spans="5:25">
      <c r="E322" t="str">
        <f>IF(A322="","",SUMIFS(Issue!$D$3:$D1001,Issue!$C$3:$C1001,A322)*C322)</f>
        <v/>
      </c>
      <c r="F322" t="e">
        <f ca="1">_xludf.IFNA(VLOOKUP(B322,'S-FG'!$B$3:$B1001,1,FALSE),"")</f>
        <v>#NAME?</v>
      </c>
      <c r="H322" t="str">
        <f ca="1">IFERROR(__xludf.DUMMYFUNCTION("""COMPUTED_VALUE"""),"Self Rightening Assy")</f>
        <v>Self Rightening Assy</v>
      </c>
      <c r="I322" t="str">
        <f ca="1">IFERROR(__xludf.DUMMYFUNCTION("""COMPUTED_VALUE"""),"M6x50 Button head")</f>
        <v>M6x50 Button head</v>
      </c>
      <c r="J322" s="235">
        <f ca="1">IFERROR(__xludf.DUMMYFUNCTION("""COMPUTED_VALUE"""),6)</f>
        <v>6</v>
      </c>
      <c r="K322" t="str">
        <f ca="1">IFERROR(__xludf.DUMMYFUNCTION("""COMPUTED_VALUE"""),"#N/A")</f>
        <v>#N/A</v>
      </c>
      <c r="L322">
        <f t="shared" ca="1" si="1"/>
        <v>0</v>
      </c>
      <c r="Q322" t="str">
        <f>IF(N322="","",SUMIFS('PR-BOM'!$D$3:$D1001,'PR-BOM'!$C$3:$C1001,N322))</f>
        <v/>
      </c>
      <c r="Y322" t="str">
        <f>IF(X322="","",SUMIFS(Issue!$D$3:$D1001,Issue!$C$3:$C1001,X322))</f>
        <v/>
      </c>
    </row>
    <row r="323" spans="5:25">
      <c r="E323" t="str">
        <f>IF(A323="","",SUMIFS(Issue!$D$3:$D1001,Issue!$C$3:$C1001,A323)*C323)</f>
        <v/>
      </c>
      <c r="F323" t="e">
        <f ca="1">_xludf.IFNA(VLOOKUP(B323,'S-FG'!$B$3:$B1001,1,FALSE),"")</f>
        <v>#NAME?</v>
      </c>
      <c r="H323" t="str">
        <f ca="1">IFERROR(__xludf.DUMMYFUNCTION("""COMPUTED_VALUE"""),"Self Rightening Assy")</f>
        <v>Self Rightening Assy</v>
      </c>
      <c r="I323" t="str">
        <f ca="1">IFERROR(__xludf.DUMMYFUNCTION("""COMPUTED_VALUE"""),"M6 Spring washer (SR structure clamping)")</f>
        <v>M6 Spring washer (SR structure clamping)</v>
      </c>
      <c r="J323" s="235">
        <f ca="1">IFERROR(__xludf.DUMMYFUNCTION("""COMPUTED_VALUE"""),6)</f>
        <v>6</v>
      </c>
      <c r="K323" t="str">
        <f ca="1">IFERROR(__xludf.DUMMYFUNCTION("""COMPUTED_VALUE"""),"#N/A")</f>
        <v>#N/A</v>
      </c>
      <c r="L323">
        <f t="shared" ca="1" si="1"/>
        <v>0</v>
      </c>
      <c r="Q323" t="str">
        <f>IF(N323="","",SUMIFS('PR-BOM'!$D$3:$D1001,'PR-BOM'!$C$3:$C1001,N323))</f>
        <v/>
      </c>
      <c r="Y323" t="str">
        <f>IF(X323="","",SUMIFS(Issue!$D$3:$D1001,Issue!$C$3:$C1001,X323))</f>
        <v/>
      </c>
    </row>
    <row r="324" spans="5:25">
      <c r="E324" t="str">
        <f>IF(A324="","",SUMIFS(Issue!$D$3:$D1001,Issue!$C$3:$C1001,A324)*C324)</f>
        <v/>
      </c>
      <c r="F324" t="e">
        <f ca="1">_xludf.IFNA(VLOOKUP(B324,'S-FG'!$B$3:$B1001,1,FALSE),"")</f>
        <v>#NAME?</v>
      </c>
      <c r="H324" t="str">
        <f ca="1">IFERROR(__xludf.DUMMYFUNCTION("""COMPUTED_VALUE"""),"Self Rightening Assy")</f>
        <v>Self Rightening Assy</v>
      </c>
      <c r="I324" t="str">
        <f ca="1">IFERROR(__xludf.DUMMYFUNCTION("""COMPUTED_VALUE"""),"M6x20 Plain washer (SR structure clamping)")</f>
        <v>M6x20 Plain washer (SR structure clamping)</v>
      </c>
      <c r="J324" s="235">
        <f ca="1">IFERROR(__xludf.DUMMYFUNCTION("""COMPUTED_VALUE"""),22)</f>
        <v>22</v>
      </c>
      <c r="K324" t="str">
        <f ca="1">IFERROR(__xludf.DUMMYFUNCTION("""COMPUTED_VALUE"""),"#N/A")</f>
        <v>#N/A</v>
      </c>
      <c r="L324">
        <f t="shared" ca="1" si="1"/>
        <v>0</v>
      </c>
      <c r="Q324" t="str">
        <f>IF(N324="","",SUMIFS('PR-BOM'!$D$3:$D1001,'PR-BOM'!$C$3:$C1001,N324))</f>
        <v/>
      </c>
      <c r="Y324" t="str">
        <f>IF(X324="","",SUMIFS(Issue!$D$3:$D1001,Issue!$C$3:$C1001,X324))</f>
        <v/>
      </c>
    </row>
    <row r="325" spans="5:25">
      <c r="E325" t="str">
        <f>IF(A325="","",SUMIFS(Issue!$D$3:$D1001,Issue!$C$3:$C1001,A325)*C325)</f>
        <v/>
      </c>
      <c r="F325" t="e">
        <f ca="1">_xludf.IFNA(VLOOKUP(B325,'S-FG'!$B$3:$B1001,1,FALSE),"")</f>
        <v>#NAME?</v>
      </c>
      <c r="H325" t="str">
        <f ca="1">IFERROR(__xludf.DUMMYFUNCTION("""COMPUTED_VALUE"""),"Self Rightening Assy")</f>
        <v>Self Rightening Assy</v>
      </c>
      <c r="I325" t="str">
        <f ca="1">IFERROR(__xludf.DUMMYFUNCTION("""COMPUTED_VALUE"""),"M6 Dome NUT SS (SR structure Clamping)")</f>
        <v>M6 Dome NUT SS (SR structure Clamping)</v>
      </c>
      <c r="J325" s="235">
        <f ca="1">IFERROR(__xludf.DUMMYFUNCTION("""COMPUTED_VALUE"""),6)</f>
        <v>6</v>
      </c>
      <c r="K325" t="str">
        <f ca="1">IFERROR(__xludf.DUMMYFUNCTION("""COMPUTED_VALUE"""),"#N/A")</f>
        <v>#N/A</v>
      </c>
      <c r="L325">
        <f t="shared" ca="1" si="1"/>
        <v>0</v>
      </c>
      <c r="Q325" t="str">
        <f>IF(N325="","",SUMIFS('PR-BOM'!$D$3:$D1001,'PR-BOM'!$C$3:$C1001,N325))</f>
        <v/>
      </c>
      <c r="Y325" t="str">
        <f>IF(X325="","",SUMIFS(Issue!$D$3:$D1001,Issue!$C$3:$C1001,X325))</f>
        <v/>
      </c>
    </row>
    <row r="326" spans="5:25">
      <c r="E326" t="str">
        <f>IF(A326="","",SUMIFS(Issue!$D$3:$D1001,Issue!$C$3:$C1001,A326)*C326)</f>
        <v/>
      </c>
      <c r="F326" t="e">
        <f ca="1">_xludf.IFNA(VLOOKUP(B326,'S-FG'!$B$3:$B1001,1,FALSE),"")</f>
        <v>#NAME?</v>
      </c>
      <c r="H326" t="str">
        <f ca="1">IFERROR(__xludf.DUMMYFUNCTION("""COMPUTED_VALUE"""),"Self Rightening Assy")</f>
        <v>Self Rightening Assy</v>
      </c>
      <c r="I326" t="str">
        <f ca="1">IFERROR(__xludf.DUMMYFUNCTION("""COMPUTED_VALUE"""),"Teroson MS930")</f>
        <v>Teroson MS930</v>
      </c>
      <c r="J326" s="235">
        <f ca="1">IFERROR(__xludf.DUMMYFUNCTION("""COMPUTED_VALUE"""),20)</f>
        <v>20</v>
      </c>
      <c r="K326" t="str">
        <f ca="1">IFERROR(__xludf.DUMMYFUNCTION("""COMPUTED_VALUE"""),"#N/A")</f>
        <v>#N/A</v>
      </c>
      <c r="L326">
        <f t="shared" ca="1" si="1"/>
        <v>0</v>
      </c>
      <c r="Q326" t="str">
        <f>IF(N326="","",SUMIFS('PR-BOM'!$D$3:$D1001,'PR-BOM'!$C$3:$C1001,N326))</f>
        <v/>
      </c>
      <c r="Y326" t="str">
        <f>IF(X326="","",SUMIFS(Issue!$D$3:$D1001,Issue!$C$3:$C1001,X326))</f>
        <v/>
      </c>
    </row>
    <row r="327" spans="5:25">
      <c r="E327" t="str">
        <f>IF(A327="","",SUMIFS(Issue!$D$3:$D1001,Issue!$C$3:$C1001,A327)*C327)</f>
        <v/>
      </c>
      <c r="F327" t="e">
        <f ca="1">_xludf.IFNA(VLOOKUP(B327,'S-FG'!$B$3:$B1001,1,FALSE),"")</f>
        <v>#NAME?</v>
      </c>
      <c r="H327" t="str">
        <f ca="1">IFERROR(__xludf.DUMMYFUNCTION("""COMPUTED_VALUE"""),"Self Rightening Assy")</f>
        <v>Self Rightening Assy</v>
      </c>
      <c r="I327" t="str">
        <f ca="1">IFERROR(__xludf.DUMMYFUNCTION("""COMPUTED_VALUE"""),"3D printed SR Pillow Side Caps")</f>
        <v>3D printed SR Pillow Side Caps</v>
      </c>
      <c r="J327" s="235">
        <f ca="1">IFERROR(__xludf.DUMMYFUNCTION("""COMPUTED_VALUE"""),4)</f>
        <v>4</v>
      </c>
      <c r="K327" t="str">
        <f ca="1">IFERROR(__xludf.DUMMYFUNCTION("""COMPUTED_VALUE"""),"#N/A")</f>
        <v>#N/A</v>
      </c>
      <c r="L327">
        <f t="shared" ca="1" si="1"/>
        <v>0</v>
      </c>
      <c r="Q327" t="str">
        <f>IF(N327="","",SUMIFS('PR-BOM'!$D$3:$D1001,'PR-BOM'!$C$3:$C1001,N327))</f>
        <v/>
      </c>
      <c r="Y327" t="str">
        <f>IF(X327="","",SUMIFS(Issue!$D$3:$D1001,Issue!$C$3:$C1001,X327))</f>
        <v/>
      </c>
    </row>
    <row r="328" spans="5:25">
      <c r="E328" t="str">
        <f>IF(A328="","",SUMIFS(Issue!$D$3:$D1001,Issue!$C$3:$C1001,A328)*C328)</f>
        <v/>
      </c>
      <c r="F328" t="e">
        <f ca="1">_xludf.IFNA(VLOOKUP(B328,'S-FG'!$B$3:$B1001,1,FALSE),"")</f>
        <v>#NAME?</v>
      </c>
      <c r="H328" t="str">
        <f ca="1">IFERROR(__xludf.DUMMYFUNCTION("""COMPUTED_VALUE"""),"Self Rightening Assy")</f>
        <v>Self Rightening Assy</v>
      </c>
      <c r="I328" t="str">
        <f ca="1">IFERROR(__xludf.DUMMYFUNCTION("""COMPUTED_VALUE"""),"3D printed SR Pillow Middle Caps")</f>
        <v>3D printed SR Pillow Middle Caps</v>
      </c>
      <c r="J328" s="235">
        <f ca="1">IFERROR(__xludf.DUMMYFUNCTION("""COMPUTED_VALUE"""),2)</f>
        <v>2</v>
      </c>
      <c r="K328" t="str">
        <f ca="1">IFERROR(__xludf.DUMMYFUNCTION("""COMPUTED_VALUE"""),"#N/A")</f>
        <v>#N/A</v>
      </c>
      <c r="L328">
        <f t="shared" ca="1" si="1"/>
        <v>0</v>
      </c>
      <c r="Q328" t="str">
        <f>IF(N328="","",SUMIFS('PR-BOM'!$D$3:$D1001,'PR-BOM'!$C$3:$C1001,N328))</f>
        <v/>
      </c>
      <c r="Y328" t="str">
        <f>IF(X328="","",SUMIFS(Issue!$D$3:$D1001,Issue!$C$3:$C1001,X328))</f>
        <v/>
      </c>
    </row>
    <row r="329" spans="5:25">
      <c r="E329" t="str">
        <f>IF(A329="","",SUMIFS(Issue!$D$3:$D1001,Issue!$C$3:$C1001,A329)*C329)</f>
        <v/>
      </c>
      <c r="F329" t="e">
        <f ca="1">_xludf.IFNA(VLOOKUP(B329,'S-FG'!$B$3:$B1001,1,FALSE),"")</f>
        <v>#NAME?</v>
      </c>
      <c r="H329" t="str">
        <f ca="1">IFERROR(__xludf.DUMMYFUNCTION("""COMPUTED_VALUE"""),"Self Rightening Assy")</f>
        <v>Self Rightening Assy</v>
      </c>
      <c r="I329" t="str">
        <f ca="1">IFERROR(__xludf.DUMMYFUNCTION("""COMPUTED_VALUE"""),"6mmx12mm Rubber Bush")</f>
        <v>6mmx12mm Rubber Bush</v>
      </c>
      <c r="J329" s="235">
        <f ca="1">IFERROR(__xludf.DUMMYFUNCTION("""COMPUTED_VALUE"""),0.15)</f>
        <v>0.15</v>
      </c>
      <c r="K329" t="str">
        <f ca="1">IFERROR(__xludf.DUMMYFUNCTION("""COMPUTED_VALUE"""),"#N/A")</f>
        <v>#N/A</v>
      </c>
      <c r="L329">
        <f t="shared" ca="1" si="1"/>
        <v>0</v>
      </c>
      <c r="Q329" t="str">
        <f>IF(N329="","",SUMIFS('PR-BOM'!$D$3:$D1001,'PR-BOM'!$C$3:$C1001,N329))</f>
        <v/>
      </c>
      <c r="Y329" t="str">
        <f>IF(X329="","",SUMIFS(Issue!$D$3:$D1001,Issue!$C$3:$C1001,X329))</f>
        <v/>
      </c>
    </row>
    <row r="330" spans="5:25">
      <c r="E330" t="str">
        <f>IF(A330="","",SUMIFS(Issue!$D$3:$D1001,Issue!$C$3:$C1001,A330)*C330)</f>
        <v/>
      </c>
      <c r="F330" t="e">
        <f ca="1">_xludf.IFNA(VLOOKUP(B330,'S-FG'!$B$3:$B1001,1,FALSE),"")</f>
        <v>#NAME?</v>
      </c>
      <c r="H330" t="str">
        <f ca="1">IFERROR(__xludf.DUMMYFUNCTION("""COMPUTED_VALUE"""),"Self Rightening Assy")</f>
        <v>Self Rightening Assy</v>
      </c>
      <c r="I330" t="str">
        <f ca="1">IFERROR(__xludf.DUMMYFUNCTION("""COMPUTED_VALUE"""),"Thread locker 242/270/290")</f>
        <v>Thread locker 242/270/290</v>
      </c>
      <c r="J330" s="235">
        <f ca="1">IFERROR(__xludf.DUMMYFUNCTION("""COMPUTED_VALUE"""),1)</f>
        <v>1</v>
      </c>
      <c r="K330" t="str">
        <f ca="1">IFERROR(__xludf.DUMMYFUNCTION("""COMPUTED_VALUE"""),"#N/A")</f>
        <v>#N/A</v>
      </c>
      <c r="L330">
        <f t="shared" ca="1" si="1"/>
        <v>0</v>
      </c>
      <c r="Q330" t="str">
        <f>IF(N330="","",SUMIFS('PR-BOM'!$D$3:$D1001,'PR-BOM'!$C$3:$C1001,N330))</f>
        <v/>
      </c>
      <c r="Y330" t="str">
        <f>IF(X330="","",SUMIFS(Issue!$D$3:$D1001,Issue!$C$3:$C1001,X330))</f>
        <v/>
      </c>
    </row>
    <row r="331" spans="5:25">
      <c r="E331" t="str">
        <f>IF(A331="","",SUMIFS(Issue!$D$3:$D1001,Issue!$C$3:$C1001,A331)*C331)</f>
        <v/>
      </c>
      <c r="F331" t="e">
        <f ca="1">_xludf.IFNA(VLOOKUP(B331,'S-FG'!$B$3:$B1001,1,FALSE),"")</f>
        <v>#NAME?</v>
      </c>
      <c r="H331" t="str">
        <f ca="1">IFERROR(__xludf.DUMMYFUNCTION("""COMPUTED_VALUE"""),"Self Rightening Assy")</f>
        <v>Self Rightening Assy</v>
      </c>
      <c r="I331" t="str">
        <f ca="1">IFERROR(__xludf.DUMMYFUNCTION("""COMPUTED_VALUE"""),"Instant Adhesive 407 for EPE sticking")</f>
        <v>Instant Adhesive 407 for EPE sticking</v>
      </c>
      <c r="J331" s="235">
        <f ca="1">IFERROR(__xludf.DUMMYFUNCTION("""COMPUTED_VALUE"""),5)</f>
        <v>5</v>
      </c>
      <c r="K331" t="str">
        <f ca="1">IFERROR(__xludf.DUMMYFUNCTION("""COMPUTED_VALUE"""),"#N/A")</f>
        <v>#N/A</v>
      </c>
      <c r="L331">
        <f t="shared" ca="1" si="1"/>
        <v>0</v>
      </c>
      <c r="Q331" t="str">
        <f>IF(N331="","",SUMIFS('PR-BOM'!$D$3:$D1001,'PR-BOM'!$C$3:$C1001,N331))</f>
        <v/>
      </c>
      <c r="Y331" t="str">
        <f>IF(X331="","",SUMIFS(Issue!$D$3:$D1001,Issue!$C$3:$C1001,X331))</f>
        <v/>
      </c>
    </row>
    <row r="332" spans="5:25">
      <c r="E332" t="str">
        <f>IF(A332="","",SUMIFS(Issue!$D$3:$D1001,Issue!$C$3:$C1001,A332)*C332)</f>
        <v/>
      </c>
      <c r="F332" t="e">
        <f ca="1">_xludf.IFNA(VLOOKUP(B332,'S-FG'!$B$3:$B1001,1,FALSE),"")</f>
        <v>#NAME?</v>
      </c>
      <c r="H332" t="str">
        <f ca="1">IFERROR(__xludf.DUMMYFUNCTION("""COMPUTED_VALUE"""),"Self Rightening Assy")</f>
        <v>Self Rightening Assy</v>
      </c>
      <c r="I332" t="str">
        <f ca="1">IFERROR(__xludf.DUMMYFUNCTION("""COMPUTED_VALUE"""),"STBD SR Rubber Boot")</f>
        <v>STBD SR Rubber Boot</v>
      </c>
      <c r="J332" s="235">
        <f ca="1">IFERROR(__xludf.DUMMYFUNCTION("""COMPUTED_VALUE"""),1)</f>
        <v>1</v>
      </c>
      <c r="K332" t="str">
        <f ca="1">IFERROR(__xludf.DUMMYFUNCTION("""COMPUTED_VALUE"""),"#N/A")</f>
        <v>#N/A</v>
      </c>
      <c r="L332">
        <f t="shared" ca="1" si="1"/>
        <v>0</v>
      </c>
      <c r="Q332" t="str">
        <f>IF(N332="","",SUMIFS('PR-BOM'!$D$3:$D1001,'PR-BOM'!$C$3:$C1001,N332))</f>
        <v/>
      </c>
      <c r="Y332" t="str">
        <f>IF(X332="","",SUMIFS(Issue!$D$3:$D1001,Issue!$C$3:$C1001,X332))</f>
        <v/>
      </c>
    </row>
    <row r="333" spans="5:25">
      <c r="E333" t="str">
        <f>IF(A333="","",SUMIFS(Issue!$D$3:$D1001,Issue!$C$3:$C1001,A333)*C333)</f>
        <v/>
      </c>
      <c r="F333" t="e">
        <f ca="1">_xludf.IFNA(VLOOKUP(B333,'S-FG'!$B$3:$B1001,1,FALSE),"")</f>
        <v>#NAME?</v>
      </c>
      <c r="H333" t="str">
        <f ca="1">IFERROR(__xludf.DUMMYFUNCTION("""COMPUTED_VALUE"""),"Self Rightening Assy")</f>
        <v>Self Rightening Assy</v>
      </c>
      <c r="I333" t="str">
        <f ca="1">IFERROR(__xludf.DUMMYFUNCTION("""COMPUTED_VALUE"""),"PORT SR Rubber Boot")</f>
        <v>PORT SR Rubber Boot</v>
      </c>
      <c r="J333" s="235">
        <f ca="1">IFERROR(__xludf.DUMMYFUNCTION("""COMPUTED_VALUE"""),1)</f>
        <v>1</v>
      </c>
      <c r="K333" t="str">
        <f ca="1">IFERROR(__xludf.DUMMYFUNCTION("""COMPUTED_VALUE"""),"#N/A")</f>
        <v>#N/A</v>
      </c>
      <c r="L333">
        <f t="shared" ca="1" si="1"/>
        <v>0</v>
      </c>
      <c r="Q333" t="str">
        <f>IF(N333="","",SUMIFS('PR-BOM'!$D$3:$D1001,'PR-BOM'!$C$3:$C1001,N333))</f>
        <v/>
      </c>
      <c r="Y333" t="str">
        <f>IF(X333="","",SUMIFS(Issue!$D$3:$D1001,Issue!$C$3:$C1001,X333))</f>
        <v/>
      </c>
    </row>
    <row r="334" spans="5:25">
      <c r="E334" t="str">
        <f>IF(A334="","",SUMIFS(Issue!$D$3:$D1001,Issue!$C$3:$C1001,A334)*C334)</f>
        <v/>
      </c>
      <c r="F334" t="e">
        <f ca="1">_xludf.IFNA(VLOOKUP(B334,'S-FG'!$B$3:$B1001,1,FALSE),"")</f>
        <v>#NAME?</v>
      </c>
      <c r="H334" t="str">
        <f ca="1">IFERROR(__xludf.DUMMYFUNCTION("""COMPUTED_VALUE"""),"Self Rightening Assy")</f>
        <v>Self Rightening Assy</v>
      </c>
      <c r="I334" t="str">
        <f ca="1">IFERROR(__xludf.DUMMYFUNCTION("""COMPUTED_VALUE"""),"M6x150 Allen head ")</f>
        <v xml:space="preserve">M6x150 Allen head </v>
      </c>
      <c r="J334" s="235">
        <f ca="1">IFERROR(__xludf.DUMMYFUNCTION("""COMPUTED_VALUE"""),4)</f>
        <v>4</v>
      </c>
      <c r="K334" t="str">
        <f ca="1">IFERROR(__xludf.DUMMYFUNCTION("""COMPUTED_VALUE"""),"#N/A")</f>
        <v>#N/A</v>
      </c>
      <c r="L334">
        <f t="shared" ca="1" si="1"/>
        <v>0</v>
      </c>
      <c r="Q334" t="str">
        <f>IF(N334="","",SUMIFS('PR-BOM'!$D$3:$D1001,'PR-BOM'!$C$3:$C1001,N334))</f>
        <v/>
      </c>
      <c r="Y334" t="str">
        <f>IF(X334="","",SUMIFS(Issue!$D$3:$D1001,Issue!$C$3:$C1001,X334))</f>
        <v/>
      </c>
    </row>
    <row r="335" spans="5:25">
      <c r="E335" t="str">
        <f>IF(A335="","",SUMIFS(Issue!$D$3:$D1001,Issue!$C$3:$C1001,A335)*C335)</f>
        <v/>
      </c>
      <c r="F335" t="e">
        <f ca="1">_xludf.IFNA(VLOOKUP(B335,'S-FG'!$B$3:$B1001,1,FALSE),"")</f>
        <v>#NAME?</v>
      </c>
      <c r="H335" t="str">
        <f ca="1">IFERROR(__xludf.DUMMYFUNCTION("""COMPUTED_VALUE"""),"Self Rightening Assy")</f>
        <v>Self Rightening Assy</v>
      </c>
      <c r="I335" t="str">
        <f ca="1">IFERROR(__xludf.DUMMYFUNCTION("""COMPUTED_VALUE"""),"M6 Nyloc Nut")</f>
        <v>M6 Nyloc Nut</v>
      </c>
      <c r="J335" s="235">
        <f ca="1">IFERROR(__xludf.DUMMYFUNCTION("""COMPUTED_VALUE"""),4)</f>
        <v>4</v>
      </c>
      <c r="K335" t="str">
        <f ca="1">IFERROR(__xludf.DUMMYFUNCTION("""COMPUTED_VALUE"""),"#N/A")</f>
        <v>#N/A</v>
      </c>
      <c r="L335">
        <f t="shared" ca="1" si="1"/>
        <v>0</v>
      </c>
      <c r="Q335" t="str">
        <f>IF(N335="","",SUMIFS('PR-BOM'!$D$3:$D1001,'PR-BOM'!$C$3:$C1001,N335))</f>
        <v/>
      </c>
      <c r="Y335" t="str">
        <f>IF(X335="","",SUMIFS(Issue!$D$3:$D1001,Issue!$C$3:$C1001,X335))</f>
        <v/>
      </c>
    </row>
    <row r="336" spans="5:25">
      <c r="E336" t="str">
        <f>IF(A336="","",SUMIFS(Issue!$D$3:$D1001,Issue!$C$3:$C1001,A336)*C336)</f>
        <v/>
      </c>
      <c r="F336" t="e">
        <f ca="1">_xludf.IFNA(VLOOKUP(B336,'S-FG'!$B$3:$B1001,1,FALSE),"")</f>
        <v>#NAME?</v>
      </c>
      <c r="H336" t="str">
        <f ca="1">IFERROR(__xludf.DUMMYFUNCTION("""COMPUTED_VALUE"""),"Self Rightening Assy")</f>
        <v>Self Rightening Assy</v>
      </c>
      <c r="I336" t="str">
        <f ca="1">IFERROR(__xludf.DUMMYFUNCTION("""COMPUTED_VALUE"""),"M6x12 Plain washer")</f>
        <v>M6x12 Plain washer</v>
      </c>
      <c r="J336" s="235">
        <f ca="1">IFERROR(__xludf.DUMMYFUNCTION("""COMPUTED_VALUE"""),0)</f>
        <v>0</v>
      </c>
      <c r="K336" t="str">
        <f ca="1">IFERROR(__xludf.DUMMYFUNCTION("""COMPUTED_VALUE"""),"#N/A")</f>
        <v>#N/A</v>
      </c>
      <c r="L336">
        <f t="shared" ca="1" si="1"/>
        <v>0</v>
      </c>
      <c r="Q336" t="str">
        <f>IF(N336="","",SUMIFS('PR-BOM'!$D$3:$D1001,'PR-BOM'!$C$3:$C1001,N336))</f>
        <v/>
      </c>
      <c r="Y336" t="str">
        <f>IF(X336="","",SUMIFS(Issue!$D$3:$D1001,Issue!$C$3:$C1001,X336))</f>
        <v/>
      </c>
    </row>
    <row r="337" spans="5:25">
      <c r="E337" t="str">
        <f>IF(A337="","",SUMIFS(Issue!$D$3:$D1001,Issue!$C$3:$C1001,A337)*C337)</f>
        <v/>
      </c>
      <c r="F337" t="e">
        <f ca="1">_xludf.IFNA(VLOOKUP(B337,'S-FG'!$B$3:$B1001,1,FALSE),"")</f>
        <v>#NAME?</v>
      </c>
      <c r="H337" t="str">
        <f ca="1">IFERROR(__xludf.DUMMYFUNCTION("""COMPUTED_VALUE"""),"Self Rightening Assy")</f>
        <v>Self Rightening Assy</v>
      </c>
      <c r="I337" t="str">
        <f ca="1">IFERROR(__xludf.DUMMYFUNCTION("""COMPUTED_VALUE"""),"RR Tape")</f>
        <v>RR Tape</v>
      </c>
      <c r="J337" s="235">
        <f ca="1">IFERROR(__xludf.DUMMYFUNCTION("""COMPUTED_VALUE"""),2.6)</f>
        <v>2.6</v>
      </c>
      <c r="L337">
        <f t="shared" ca="1" si="1"/>
        <v>0</v>
      </c>
      <c r="Q337" t="str">
        <f>IF(N337="","",SUMIFS('PR-BOM'!$D$3:$D1001,'PR-BOM'!$C$3:$C1001,N337))</f>
        <v/>
      </c>
      <c r="Y337" t="str">
        <f>IF(X337="","",SUMIFS(Issue!$D$3:$D1001,Issue!$C$3:$C1001,X337))</f>
        <v/>
      </c>
    </row>
    <row r="338" spans="5:25">
      <c r="E338" t="str">
        <f>IF(A338="","",SUMIFS(Issue!$D$3:$D1001,Issue!$C$3:$C1001,A338)*C338)</f>
        <v/>
      </c>
      <c r="F338" t="e">
        <f ca="1">_xludf.IFNA(VLOOKUP(B338,'S-FG'!$B$3:$B1001,1,FALSE),"")</f>
        <v>#NAME?</v>
      </c>
      <c r="H338" t="str">
        <f ca="1">IFERROR(__xludf.DUMMYFUNCTION("""COMPUTED_VALUE"""),"IP Remote Assy")</f>
        <v>IP Remote Assy</v>
      </c>
      <c r="I338" t="str">
        <f ca="1">IFERROR(__xludf.DUMMYFUNCTION("""COMPUTED_VALUE"""),"QX7 Transmitter with R9M")</f>
        <v>QX7 Transmitter with R9M</v>
      </c>
      <c r="J338" s="235">
        <f ca="1">IFERROR(__xludf.DUMMYFUNCTION("""COMPUTED_VALUE"""),1)</f>
        <v>1</v>
      </c>
      <c r="K338" t="str">
        <f ca="1">IFERROR(__xludf.DUMMYFUNCTION("""COMPUTED_VALUE"""),"#N/A")</f>
        <v>#N/A</v>
      </c>
      <c r="L338">
        <f t="shared" ca="1" si="1"/>
        <v>0</v>
      </c>
      <c r="Q338" t="str">
        <f>IF(N338="","",SUMIFS('PR-BOM'!$D$3:$D1001,'PR-BOM'!$C$3:$C1001,N338))</f>
        <v/>
      </c>
      <c r="Y338" t="str">
        <f>IF(X338="","",SUMIFS(Issue!$D$3:$D1001,Issue!$C$3:$C1001,X338))</f>
        <v/>
      </c>
    </row>
    <row r="339" spans="5:25">
      <c r="E339" t="str">
        <f>IF(A339="","",SUMIFS(Issue!$D$3:$D1001,Issue!$C$3:$C1001,A339)*C339)</f>
        <v/>
      </c>
      <c r="F339" t="e">
        <f ca="1">_xludf.IFNA(VLOOKUP(B339,'S-FG'!$B$3:$B1001,1,FALSE),"")</f>
        <v>#NAME?</v>
      </c>
      <c r="H339" t="str">
        <f ca="1">IFERROR(__xludf.DUMMYFUNCTION("""COMPUTED_VALUE"""),"IP Remote Assy")</f>
        <v>IP Remote Assy</v>
      </c>
      <c r="I339" t="str">
        <f ca="1">IFERROR(__xludf.DUMMYFUNCTION("""COMPUTED_VALUE"""),"PWB of Button -2")</f>
        <v>PWB of Button -2</v>
      </c>
      <c r="J339" s="235">
        <f ca="1">IFERROR(__xludf.DUMMYFUNCTION("""COMPUTED_VALUE"""),2)</f>
        <v>2</v>
      </c>
      <c r="L339">
        <f t="shared" ca="1" si="1"/>
        <v>0</v>
      </c>
      <c r="Q339" t="str">
        <f>IF(N339="","",SUMIFS('PR-BOM'!$D$3:$D1001,'PR-BOM'!$C$3:$C1001,N339))</f>
        <v/>
      </c>
      <c r="Y339" t="str">
        <f>IF(X339="","",SUMIFS(Issue!$D$3:$D1001,Issue!$C$3:$C1001,X339))</f>
        <v/>
      </c>
    </row>
    <row r="340" spans="5:25">
      <c r="E340" t="str">
        <f>IF(A340="","",SUMIFS(Issue!$D$3:$D1001,Issue!$C$3:$C1001,A340)*C340)</f>
        <v/>
      </c>
      <c r="F340" t="e">
        <f ca="1">_xludf.IFNA(VLOOKUP(B340,'S-FG'!$B$3:$B1001,1,FALSE),"")</f>
        <v>#NAME?</v>
      </c>
      <c r="H340" t="str">
        <f ca="1">IFERROR(__xludf.DUMMYFUNCTION("""COMPUTED_VALUE"""),"IP Remote Assy")</f>
        <v>IP Remote Assy</v>
      </c>
      <c r="I340" t="str">
        <f ca="1">IFERROR(__xludf.DUMMYFUNCTION("""COMPUTED_VALUE"""),"Li-In 21700 Cells Molicel P42A/ Samsung-40T")</f>
        <v>Li-In 21700 Cells Molicel P42A/ Samsung-40T</v>
      </c>
      <c r="J340" s="235">
        <f ca="1">IFERROR(__xludf.DUMMYFUNCTION("""COMPUTED_VALUE"""),2)</f>
        <v>2</v>
      </c>
      <c r="K340" t="str">
        <f ca="1">IFERROR(__xludf.DUMMYFUNCTION("""COMPUTED_VALUE"""),"#N/A")</f>
        <v>#N/A</v>
      </c>
      <c r="L340">
        <f t="shared" ca="1" si="1"/>
        <v>0</v>
      </c>
      <c r="Q340" t="str">
        <f>IF(N340="","",SUMIFS('PR-BOM'!$D$3:$D1001,'PR-BOM'!$C$3:$C1001,N340))</f>
        <v/>
      </c>
      <c r="Y340" t="str">
        <f>IF(X340="","",SUMIFS(Issue!$D$3:$D1001,Issue!$C$3:$C1001,X340))</f>
        <v/>
      </c>
    </row>
    <row r="341" spans="5:25">
      <c r="E341" t="str">
        <f>IF(A341="","",SUMIFS(Issue!$D$3:$D1001,Issue!$C$3:$C1001,A341)*C341)</f>
        <v/>
      </c>
      <c r="F341" t="e">
        <f ca="1">_xludf.IFNA(VLOOKUP(B341,'S-FG'!$B$3:$B1001,1,FALSE),"")</f>
        <v>#NAME?</v>
      </c>
      <c r="H341" t="str">
        <f ca="1">IFERROR(__xludf.DUMMYFUNCTION("""COMPUTED_VALUE"""),"IP Remote Assy")</f>
        <v>IP Remote Assy</v>
      </c>
      <c r="I341" t="str">
        <f ca="1">IFERROR(__xludf.DUMMYFUNCTION("""COMPUTED_VALUE"""),"3 pin JST-XH housing")</f>
        <v>3 pin JST-XH housing</v>
      </c>
      <c r="J341" s="235">
        <f ca="1">IFERROR(__xludf.DUMMYFUNCTION("""COMPUTED_VALUE"""),1)</f>
        <v>1</v>
      </c>
      <c r="L341">
        <f t="shared" ca="1" si="1"/>
        <v>0</v>
      </c>
      <c r="Q341" t="str">
        <f>IF(N341="","",SUMIFS('PR-BOM'!$D$3:$D1001,'PR-BOM'!$C$3:$C1001,N341))</f>
        <v/>
      </c>
      <c r="Y341" t="str">
        <f>IF(X341="","",SUMIFS(Issue!$D$3:$D1001,Issue!$C$3:$C1001,X341))</f>
        <v/>
      </c>
    </row>
    <row r="342" spans="5:25">
      <c r="E342" t="str">
        <f>IF(A342="","",SUMIFS(Issue!$D$3:$D1001,Issue!$C$3:$C1001,A342)*C342)</f>
        <v/>
      </c>
      <c r="F342" t="e">
        <f ca="1">_xludf.IFNA(VLOOKUP(B342,'S-FG'!$B$3:$B1001,1,FALSE),"")</f>
        <v>#NAME?</v>
      </c>
      <c r="H342" t="str">
        <f ca="1">IFERROR(__xludf.DUMMYFUNCTION("""COMPUTED_VALUE"""),"IP Remote Assy")</f>
        <v>IP Remote Assy</v>
      </c>
      <c r="I342" t="str">
        <f ca="1">IFERROR(__xludf.DUMMYFUNCTION("""COMPUTED_VALUE"""),"25cm Red one side crimped wire")</f>
        <v>25cm Red one side crimped wire</v>
      </c>
      <c r="J342" s="235">
        <f ca="1">IFERROR(__xludf.DUMMYFUNCTION("""COMPUTED_VALUE"""),1)</f>
        <v>1</v>
      </c>
      <c r="K342" t="str">
        <f ca="1">IFERROR(__xludf.DUMMYFUNCTION("""COMPUTED_VALUE"""),"#N/A")</f>
        <v>#N/A</v>
      </c>
      <c r="L342">
        <f t="shared" ca="1" si="1"/>
        <v>0</v>
      </c>
      <c r="Q342" t="str">
        <f>IF(N342="","",SUMIFS('PR-BOM'!$D$3:$D1001,'PR-BOM'!$C$3:$C1001,N342))</f>
        <v/>
      </c>
      <c r="Y342" t="str">
        <f>IF(X342="","",SUMIFS(Issue!$D$3:$D1001,Issue!$C$3:$C1001,X342))</f>
        <v/>
      </c>
    </row>
    <row r="343" spans="5:25">
      <c r="E343" t="str">
        <f>IF(A343="","",SUMIFS(Issue!$D$3:$D1001,Issue!$C$3:$C1001,A343)*C343)</f>
        <v/>
      </c>
      <c r="F343" t="e">
        <f ca="1">_xludf.IFNA(VLOOKUP(B343,'S-FG'!$B$3:$B1001,1,FALSE),"")</f>
        <v>#NAME?</v>
      </c>
      <c r="H343" t="str">
        <f ca="1">IFERROR(__xludf.DUMMYFUNCTION("""COMPUTED_VALUE"""),"IP Remote Assy")</f>
        <v>IP Remote Assy</v>
      </c>
      <c r="I343" t="str">
        <f ca="1">IFERROR(__xludf.DUMMYFUNCTION("""COMPUTED_VALUE"""),"25cm Green one side crimped wire")</f>
        <v>25cm Green one side crimped wire</v>
      </c>
      <c r="J343" s="235">
        <f ca="1">IFERROR(__xludf.DUMMYFUNCTION("""COMPUTED_VALUE"""),1)</f>
        <v>1</v>
      </c>
      <c r="K343" t="str">
        <f ca="1">IFERROR(__xludf.DUMMYFUNCTION("""COMPUTED_VALUE"""),"#N/A")</f>
        <v>#N/A</v>
      </c>
      <c r="L343">
        <f t="shared" ca="1" si="1"/>
        <v>0</v>
      </c>
      <c r="Q343" t="str">
        <f>IF(N343="","",SUMIFS('PR-BOM'!$D$3:$D1001,'PR-BOM'!$C$3:$C1001,N343))</f>
        <v/>
      </c>
      <c r="Y343" t="str">
        <f>IF(X343="","",SUMIFS(Issue!$D$3:$D1001,Issue!$C$3:$C1001,X343))</f>
        <v/>
      </c>
    </row>
    <row r="344" spans="5:25">
      <c r="E344" t="str">
        <f>IF(A344="","",SUMIFS(Issue!$D$3:$D1001,Issue!$C$3:$C1001,A344)*C344)</f>
        <v/>
      </c>
      <c r="F344" t="e">
        <f ca="1">_xludf.IFNA(VLOOKUP(B344,'S-FG'!$B$3:$B1001,1,FALSE),"")</f>
        <v>#NAME?</v>
      </c>
      <c r="H344" t="str">
        <f ca="1">IFERROR(__xludf.DUMMYFUNCTION("""COMPUTED_VALUE"""),"IP Remote Assy")</f>
        <v>IP Remote Assy</v>
      </c>
      <c r="I344" t="str">
        <f ca="1">IFERROR(__xludf.DUMMYFUNCTION("""COMPUTED_VALUE"""),"25cm Black one side crimped wire")</f>
        <v>25cm Black one side crimped wire</v>
      </c>
      <c r="J344" s="235">
        <f ca="1">IFERROR(__xludf.DUMMYFUNCTION("""COMPUTED_VALUE"""),1)</f>
        <v>1</v>
      </c>
      <c r="K344" t="str">
        <f ca="1">IFERROR(__xludf.DUMMYFUNCTION("""COMPUTED_VALUE"""),"#N/A")</f>
        <v>#N/A</v>
      </c>
      <c r="L344">
        <f t="shared" ca="1" si="1"/>
        <v>0</v>
      </c>
      <c r="Q344" t="str">
        <f>IF(N344="","",SUMIFS('PR-BOM'!$D$3:$D1001,'PR-BOM'!$C$3:$C1001,N344))</f>
        <v/>
      </c>
      <c r="Y344" t="str">
        <f>IF(X344="","",SUMIFS(Issue!$D$3:$D1001,Issue!$C$3:$C1001,X344))</f>
        <v/>
      </c>
    </row>
    <row r="345" spans="5:25">
      <c r="E345" t="str">
        <f>IF(A345="","",SUMIFS(Issue!$D$3:$D1001,Issue!$C$3:$C1001,A345)*C345)</f>
        <v/>
      </c>
      <c r="F345" t="e">
        <f ca="1">_xludf.IFNA(VLOOKUP(B345,'S-FG'!$B$3:$B1001,1,FALSE),"")</f>
        <v>#NAME?</v>
      </c>
      <c r="H345" t="str">
        <f ca="1">IFERROR(__xludf.DUMMYFUNCTION("""COMPUTED_VALUE"""),"IP Remote Assy")</f>
        <v>IP Remote Assy</v>
      </c>
      <c r="I345" t="str">
        <f ca="1">IFERROR(__xludf.DUMMYFUNCTION("""COMPUTED_VALUE"""),"Tactile switch ")</f>
        <v xml:space="preserve">Tactile switch </v>
      </c>
      <c r="J345" s="235">
        <f ca="1">IFERROR(__xludf.DUMMYFUNCTION("""COMPUTED_VALUE"""),0)</f>
        <v>0</v>
      </c>
      <c r="K345" t="str">
        <f ca="1">IFERROR(__xludf.DUMMYFUNCTION("""COMPUTED_VALUE"""),"#N/A")</f>
        <v>#N/A</v>
      </c>
      <c r="L345">
        <f t="shared" ca="1" si="1"/>
        <v>0</v>
      </c>
      <c r="Q345" t="str">
        <f>IF(N345="","",SUMIFS('PR-BOM'!$D$3:$D1001,'PR-BOM'!$C$3:$C1001,N345))</f>
        <v/>
      </c>
      <c r="Y345" t="str">
        <f>IF(X345="","",SUMIFS(Issue!$D$3:$D1001,Issue!$C$3:$C1001,X345))</f>
        <v/>
      </c>
    </row>
    <row r="346" spans="5:25">
      <c r="E346" t="str">
        <f>IF(A346="","",SUMIFS(Issue!$D$3:$D1001,Issue!$C$3:$C1001,A346)*C346)</f>
        <v/>
      </c>
      <c r="F346" t="e">
        <f ca="1">_xludf.IFNA(VLOOKUP(B346,'S-FG'!$B$3:$B1001,1,FALSE),"")</f>
        <v>#NAME?</v>
      </c>
      <c r="H346" t="str">
        <f ca="1">IFERROR(__xludf.DUMMYFUNCTION("""COMPUTED_VALUE"""),"IP Remote Assy")</f>
        <v>IP Remote Assy</v>
      </c>
      <c r="I346" t="str">
        <f ca="1">IFERROR(__xludf.DUMMYFUNCTION("""COMPUTED_VALUE"""),"R9M Antenna Extension wire RP-SMA to Open")</f>
        <v>R9M Antenna Extension wire RP-SMA to Open</v>
      </c>
      <c r="J346" s="235">
        <f ca="1">IFERROR(__xludf.DUMMYFUNCTION("""COMPUTED_VALUE"""),1)</f>
        <v>1</v>
      </c>
      <c r="K346" t="str">
        <f ca="1">IFERROR(__xludf.DUMMYFUNCTION("""COMPUTED_VALUE"""),"#N/A")</f>
        <v>#N/A</v>
      </c>
      <c r="L346">
        <f t="shared" ca="1" si="1"/>
        <v>0</v>
      </c>
      <c r="Q346" t="str">
        <f>IF(N346="","",SUMIFS('PR-BOM'!$D$3:$D1001,'PR-BOM'!$C$3:$C1001,N346))</f>
        <v/>
      </c>
      <c r="Y346" t="str">
        <f>IF(X346="","",SUMIFS(Issue!$D$3:$D1001,Issue!$C$3:$C1001,X346))</f>
        <v/>
      </c>
    </row>
    <row r="347" spans="5:25">
      <c r="E347" t="str">
        <f>IF(A347="","",SUMIFS(Issue!$D$3:$D1001,Issue!$C$3:$C1001,A347)*C347)</f>
        <v/>
      </c>
      <c r="F347" t="e">
        <f ca="1">_xludf.IFNA(VLOOKUP(B347,'S-FG'!$B$3:$B1001,1,FALSE),"")</f>
        <v>#NAME?</v>
      </c>
      <c r="H347" t="str">
        <f ca="1">IFERROR(__xludf.DUMMYFUNCTION("""COMPUTED_VALUE"""),"IP Remote Assy")</f>
        <v>IP Remote Assy</v>
      </c>
      <c r="I347" t="str">
        <f ca="1">IFERROR(__xludf.DUMMYFUNCTION("""COMPUTED_VALUE"""),"Black 14/38 Wire")</f>
        <v>Black 14/38 Wire</v>
      </c>
      <c r="J347" s="235">
        <f ca="1">IFERROR(__xludf.DUMMYFUNCTION("""COMPUTED_VALUE"""),0.2)</f>
        <v>0.2</v>
      </c>
      <c r="L347">
        <f t="shared" ca="1" si="1"/>
        <v>0</v>
      </c>
      <c r="Q347" t="str">
        <f>IF(N347="","",SUMIFS('PR-BOM'!$D$3:$D1001,'PR-BOM'!$C$3:$C1001,N347))</f>
        <v/>
      </c>
      <c r="Y347" t="str">
        <f>IF(X347="","",SUMIFS(Issue!$D$3:$D1001,Issue!$C$3:$C1001,X347))</f>
        <v/>
      </c>
    </row>
    <row r="348" spans="5:25">
      <c r="E348" t="str">
        <f>IF(A348="","",SUMIFS(Issue!$D$3:$D1001,Issue!$C$3:$C1001,A348)*C348)</f>
        <v/>
      </c>
      <c r="F348" t="e">
        <f ca="1">_xludf.IFNA(VLOOKUP(B348,'S-FG'!$B$3:$B1001,1,FALSE),"")</f>
        <v>#NAME?</v>
      </c>
      <c r="H348" t="str">
        <f ca="1">IFERROR(__xludf.DUMMYFUNCTION("""COMPUTED_VALUE"""),"IP Remote Assy")</f>
        <v>IP Remote Assy</v>
      </c>
      <c r="I348" t="str">
        <f ca="1">IFERROR(__xludf.DUMMYFUNCTION("""COMPUTED_VALUE"""),"White 14/38 Wire")</f>
        <v>White 14/38 Wire</v>
      </c>
      <c r="J348" s="235">
        <f ca="1">IFERROR(__xludf.DUMMYFUNCTION("""COMPUTED_VALUE"""),0.2)</f>
        <v>0.2</v>
      </c>
      <c r="L348">
        <f t="shared" ca="1" si="1"/>
        <v>0</v>
      </c>
      <c r="Q348" t="str">
        <f>IF(N348="","",SUMIFS('PR-BOM'!$D$3:$D1001,'PR-BOM'!$C$3:$C1001,N348))</f>
        <v/>
      </c>
      <c r="Y348" t="str">
        <f>IF(X348="","",SUMIFS(Issue!$D$3:$D1001,Issue!$C$3:$C1001,X348))</f>
        <v/>
      </c>
    </row>
    <row r="349" spans="5:25">
      <c r="E349" t="str">
        <f>IF(A349="","",SUMIFS(Issue!$D$3:$D1001,Issue!$C$3:$C1001,A349)*C349)</f>
        <v/>
      </c>
      <c r="F349" t="e">
        <f ca="1">_xludf.IFNA(VLOOKUP(B349,'S-FG'!$B$3:$B1001,1,FALSE),"")</f>
        <v>#NAME?</v>
      </c>
      <c r="H349" t="str">
        <f ca="1">IFERROR(__xludf.DUMMYFUNCTION("""COMPUTED_VALUE"""),"IP Remote Assy")</f>
        <v>IP Remote Assy</v>
      </c>
      <c r="I349" t="str">
        <f ca="1">IFERROR(__xludf.DUMMYFUNCTION("""COMPUTED_VALUE"""),"Sky Blue 14/38 Wire")</f>
        <v>Sky Blue 14/38 Wire</v>
      </c>
      <c r="J349" s="235">
        <f ca="1">IFERROR(__xludf.DUMMYFUNCTION("""COMPUTED_VALUE"""),0.2)</f>
        <v>0.2</v>
      </c>
      <c r="L349">
        <f t="shared" ca="1" si="1"/>
        <v>0</v>
      </c>
      <c r="Q349" t="str">
        <f>IF(N349="","",SUMIFS('PR-BOM'!$D$3:$D1001,'PR-BOM'!$C$3:$C1001,N349))</f>
        <v/>
      </c>
      <c r="Y349" t="str">
        <f>IF(X349="","",SUMIFS(Issue!$D$3:$D1001,Issue!$C$3:$C1001,X349))</f>
        <v/>
      </c>
    </row>
    <row r="350" spans="5:25">
      <c r="E350" t="str">
        <f>IF(A350="","",SUMIFS(Issue!$D$3:$D1001,Issue!$C$3:$C1001,A350)*C350)</f>
        <v/>
      </c>
      <c r="F350" t="e">
        <f ca="1">_xludf.IFNA(VLOOKUP(B350,'S-FG'!$B$3:$B1001,1,FALSE),"")</f>
        <v>#NAME?</v>
      </c>
      <c r="H350" t="str">
        <f ca="1">IFERROR(__xludf.DUMMYFUNCTION("""COMPUTED_VALUE"""),"IP Remote Assy")</f>
        <v>IP Remote Assy</v>
      </c>
      <c r="I350" t="str">
        <f ca="1">IFERROR(__xludf.DUMMYFUNCTION("""COMPUTED_VALUE"""),"Red 14/38 wire")</f>
        <v>Red 14/38 wire</v>
      </c>
      <c r="J350" s="235">
        <f ca="1">IFERROR(__xludf.DUMMYFUNCTION("""COMPUTED_VALUE"""),0.2)</f>
        <v>0.2</v>
      </c>
      <c r="L350">
        <f t="shared" ca="1" si="1"/>
        <v>0</v>
      </c>
      <c r="Q350" t="str">
        <f>IF(N350="","",SUMIFS('PR-BOM'!$D$3:$D1001,'PR-BOM'!$C$3:$C1001,N350))</f>
        <v/>
      </c>
      <c r="Y350" t="str">
        <f>IF(X350="","",SUMIFS(Issue!$D$3:$D1001,Issue!$C$3:$C1001,X350))</f>
        <v/>
      </c>
    </row>
    <row r="351" spans="5:25">
      <c r="E351" t="str">
        <f>IF(A351="","",SUMIFS(Issue!$D$3:$D1001,Issue!$C$3:$C1001,A351)*C351)</f>
        <v/>
      </c>
      <c r="F351" t="e">
        <f ca="1">_xludf.IFNA(VLOOKUP(B351,'S-FG'!$B$3:$B1001,1,FALSE),"")</f>
        <v>#NAME?</v>
      </c>
      <c r="H351" t="str">
        <f ca="1">IFERROR(__xludf.DUMMYFUNCTION("""COMPUTED_VALUE"""),"IP Remote Assy")</f>
        <v>IP Remote Assy</v>
      </c>
      <c r="I351" t="str">
        <f ca="1">IFERROR(__xludf.DUMMYFUNCTION("""COMPUTED_VALUE"""),"Yellow 14/38 Wire")</f>
        <v>Yellow 14/38 Wire</v>
      </c>
      <c r="J351" s="235">
        <f ca="1">IFERROR(__xludf.DUMMYFUNCTION("""COMPUTED_VALUE"""),0.2)</f>
        <v>0.2</v>
      </c>
      <c r="L351">
        <f t="shared" ca="1" si="1"/>
        <v>0</v>
      </c>
      <c r="Q351" t="str">
        <f>IF(N351="","",SUMIFS('PR-BOM'!$D$3:$D1001,'PR-BOM'!$C$3:$C1001,N351))</f>
        <v/>
      </c>
      <c r="Y351" t="str">
        <f>IF(X351="","",SUMIFS(Issue!$D$3:$D1001,Issue!$C$3:$C1001,X351))</f>
        <v/>
      </c>
    </row>
    <row r="352" spans="5:25">
      <c r="E352" t="str">
        <f>IF(A352="","",SUMIFS(Issue!$D$3:$D1001,Issue!$C$3:$C1001,A352)*C352)</f>
        <v/>
      </c>
      <c r="F352" t="e">
        <f ca="1">_xludf.IFNA(VLOOKUP(B352,'S-FG'!$B$3:$B1001,1,FALSE),"")</f>
        <v>#NAME?</v>
      </c>
      <c r="H352" t="str">
        <f ca="1">IFERROR(__xludf.DUMMYFUNCTION("""COMPUTED_VALUE"""),"IP Remote Assy")</f>
        <v>IP Remote Assy</v>
      </c>
      <c r="I352" t="str">
        <f ca="1">IFERROR(__xludf.DUMMYFUNCTION("""COMPUTED_VALUE"""),"Orange 14/38 Wire")</f>
        <v>Orange 14/38 Wire</v>
      </c>
      <c r="J352" s="235">
        <f ca="1">IFERROR(__xludf.DUMMYFUNCTION("""COMPUTED_VALUE"""),0.2)</f>
        <v>0.2</v>
      </c>
      <c r="L352">
        <f t="shared" ca="1" si="1"/>
        <v>0</v>
      </c>
      <c r="Q352" t="str">
        <f>IF(N352="","",SUMIFS('PR-BOM'!$D$3:$D1001,'PR-BOM'!$C$3:$C1001,N352))</f>
        <v/>
      </c>
      <c r="Y352" t="str">
        <f>IF(X352="","",SUMIFS(Issue!$D$3:$D1001,Issue!$C$3:$C1001,X352))</f>
        <v/>
      </c>
    </row>
    <row r="353" spans="5:25">
      <c r="E353" t="str">
        <f>IF(A353="","",SUMIFS(Issue!$D$3:$D1001,Issue!$C$3:$C1001,A353)*C353)</f>
        <v/>
      </c>
      <c r="F353" t="e">
        <f ca="1">_xludf.IFNA(VLOOKUP(B353,'S-FG'!$B$3:$B1001,1,FALSE),"")</f>
        <v>#NAME?</v>
      </c>
      <c r="H353" t="str">
        <f ca="1">IFERROR(__xludf.DUMMYFUNCTION("""COMPUTED_VALUE"""),"IP Remote Assy")</f>
        <v>IP Remote Assy</v>
      </c>
      <c r="I353" t="str">
        <f ca="1">IFERROR(__xludf.DUMMYFUNCTION("""COMPUTED_VALUE"""),"Green 14/38 Wire")</f>
        <v>Green 14/38 Wire</v>
      </c>
      <c r="J353" s="235">
        <f ca="1">IFERROR(__xludf.DUMMYFUNCTION("""COMPUTED_VALUE"""),0.2)</f>
        <v>0.2</v>
      </c>
      <c r="L353">
        <f t="shared" ca="1" si="1"/>
        <v>0</v>
      </c>
      <c r="Q353" t="str">
        <f>IF(N353="","",SUMIFS('PR-BOM'!$D$3:$D1001,'PR-BOM'!$C$3:$C1001,N353))</f>
        <v/>
      </c>
      <c r="Y353" t="str">
        <f>IF(X353="","",SUMIFS(Issue!$D$3:$D1001,Issue!$C$3:$C1001,X353))</f>
        <v/>
      </c>
    </row>
    <row r="354" spans="5:25">
      <c r="E354" t="str">
        <f>IF(A354="","",SUMIFS(Issue!$D$3:$D1001,Issue!$C$3:$C1001,A354)*C354)</f>
        <v/>
      </c>
      <c r="F354" t="e">
        <f ca="1">_xludf.IFNA(VLOOKUP(B354,'S-FG'!$B$3:$B1001,1,FALSE),"")</f>
        <v>#NAME?</v>
      </c>
      <c r="H354" t="str">
        <f ca="1">IFERROR(__xludf.DUMMYFUNCTION("""COMPUTED_VALUE"""),"IP Remote Assy")</f>
        <v>IP Remote Assy</v>
      </c>
      <c r="I354" t="str">
        <f ca="1">IFERROR(__xludf.DUMMYFUNCTION("""COMPUTED_VALUE"""),"Purple 14/38 Wire")</f>
        <v>Purple 14/38 Wire</v>
      </c>
      <c r="J354" s="235">
        <f ca="1">IFERROR(__xludf.DUMMYFUNCTION("""COMPUTED_VALUE"""),0.2)</f>
        <v>0.2</v>
      </c>
      <c r="L354">
        <f t="shared" ca="1" si="1"/>
        <v>0</v>
      </c>
      <c r="Q354" t="str">
        <f>IF(N354="","",SUMIFS('PR-BOM'!$D$3:$D1001,'PR-BOM'!$C$3:$C1001,N354))</f>
        <v/>
      </c>
      <c r="Y354" t="str">
        <f>IF(X354="","",SUMIFS(Issue!$D$3:$D1001,Issue!$C$3:$C1001,X354))</f>
        <v/>
      </c>
    </row>
    <row r="355" spans="5:25">
      <c r="E355" t="str">
        <f>IF(A355="","",SUMIFS(Issue!$D$3:$D1001,Issue!$C$3:$C1001,A355)*C355)</f>
        <v/>
      </c>
      <c r="F355" t="e">
        <f ca="1">_xludf.IFNA(VLOOKUP(B355,'S-FG'!$B$3:$B1001,1,FALSE),"")</f>
        <v>#NAME?</v>
      </c>
      <c r="H355" t="str">
        <f ca="1">IFERROR(__xludf.DUMMYFUNCTION("""COMPUTED_VALUE"""),"IP Remote Assy")</f>
        <v>IP Remote Assy</v>
      </c>
      <c r="I355" t="str">
        <f ca="1">IFERROR(__xludf.DUMMYFUNCTION("""COMPUTED_VALUE"""),"Brown 14/38 Wire")</f>
        <v>Brown 14/38 Wire</v>
      </c>
      <c r="J355" s="235">
        <f ca="1">IFERROR(__xludf.DUMMYFUNCTION("""COMPUTED_VALUE"""),0.2)</f>
        <v>0.2</v>
      </c>
      <c r="L355">
        <f t="shared" ca="1" si="1"/>
        <v>0</v>
      </c>
      <c r="Q355" t="str">
        <f>IF(N355="","",SUMIFS('PR-BOM'!$D$3:$D1001,'PR-BOM'!$C$3:$C1001,N355))</f>
        <v/>
      </c>
      <c r="Y355" t="str">
        <f>IF(X355="","",SUMIFS(Issue!$D$3:$D1001,Issue!$C$3:$C1001,X355))</f>
        <v/>
      </c>
    </row>
    <row r="356" spans="5:25">
      <c r="E356" t="str">
        <f>IF(A356="","",SUMIFS(Issue!$D$3:$D1001,Issue!$C$3:$C1001,A356)*C356)</f>
        <v/>
      </c>
      <c r="F356" t="e">
        <f ca="1">_xludf.IFNA(VLOOKUP(B356,'S-FG'!$B$3:$B1001,1,FALSE),"")</f>
        <v>#NAME?</v>
      </c>
      <c r="H356" t="str">
        <f ca="1">IFERROR(__xludf.DUMMYFUNCTION("""COMPUTED_VALUE"""),"IP Remote Assy")</f>
        <v>IP Remote Assy</v>
      </c>
      <c r="I356" t="str">
        <f ca="1">IFERROR(__xludf.DUMMYFUNCTION("""COMPUTED_VALUE"""),"SA12 9pin PM Pushpull")</f>
        <v>SA12 9pin PM Pushpull</v>
      </c>
      <c r="J356" s="235">
        <f ca="1">IFERROR(__xludf.DUMMYFUNCTION("""COMPUTED_VALUE"""),1)</f>
        <v>1</v>
      </c>
      <c r="K356" t="str">
        <f ca="1">IFERROR(__xludf.DUMMYFUNCTION("""COMPUTED_VALUE"""),"#N/A")</f>
        <v>#N/A</v>
      </c>
      <c r="L356">
        <f t="shared" ca="1" si="1"/>
        <v>0</v>
      </c>
      <c r="Q356" t="str">
        <f>IF(N356="","",SUMIFS('PR-BOM'!$D$3:$D1001,'PR-BOM'!$C$3:$C1001,N356))</f>
        <v/>
      </c>
      <c r="Y356" t="str">
        <f>IF(X356="","",SUMIFS(Issue!$D$3:$D1001,Issue!$C$3:$C1001,X356))</f>
        <v/>
      </c>
    </row>
    <row r="357" spans="5:25">
      <c r="E357" t="str">
        <f>IF(A357="","",SUMIFS(Issue!$D$3:$D1001,Issue!$C$3:$C1001,A357)*C357)</f>
        <v/>
      </c>
      <c r="F357" t="e">
        <f ca="1">_xludf.IFNA(VLOOKUP(B357,'S-FG'!$B$3:$B1001,1,FALSE),"")</f>
        <v>#NAME?</v>
      </c>
      <c r="H357" t="str">
        <f ca="1">IFERROR(__xludf.DUMMYFUNCTION("""COMPUTED_VALUE"""),"IP Remote Assy")</f>
        <v>IP Remote Assy</v>
      </c>
      <c r="I357" t="str">
        <f ca="1">IFERROR(__xludf.DUMMYFUNCTION("""COMPUTED_VALUE"""),"IP Remote Lower Shell")</f>
        <v>IP Remote Lower Shell</v>
      </c>
      <c r="J357" s="235">
        <f ca="1">IFERROR(__xludf.DUMMYFUNCTION("""COMPUTED_VALUE"""),1)</f>
        <v>1</v>
      </c>
      <c r="K357" t="str">
        <f ca="1">IFERROR(__xludf.DUMMYFUNCTION("""COMPUTED_VALUE"""),"#N/A")</f>
        <v>#N/A</v>
      </c>
      <c r="L357">
        <f t="shared" ca="1" si="1"/>
        <v>0</v>
      </c>
      <c r="Q357" t="str">
        <f>IF(N357="","",SUMIFS('PR-BOM'!$D$3:$D1001,'PR-BOM'!$C$3:$C1001,N357))</f>
        <v/>
      </c>
      <c r="Y357" t="str">
        <f>IF(X357="","",SUMIFS(Issue!$D$3:$D1001,Issue!$C$3:$C1001,X357))</f>
        <v/>
      </c>
    </row>
    <row r="358" spans="5:25">
      <c r="E358" t="str">
        <f>IF(A358="","",SUMIFS(Issue!$D$3:$D1001,Issue!$C$3:$C1001,A358)*C358)</f>
        <v/>
      </c>
      <c r="F358" t="e">
        <f ca="1">_xludf.IFNA(VLOOKUP(B358,'S-FG'!$B$3:$B1001,1,FALSE),"")</f>
        <v>#NAME?</v>
      </c>
      <c r="H358" t="str">
        <f ca="1">IFERROR(__xludf.DUMMYFUNCTION("""COMPUTED_VALUE"""),"IP Remote Assy")</f>
        <v>IP Remote Assy</v>
      </c>
      <c r="I358" t="str">
        <f ca="1">IFERROR(__xludf.DUMMYFUNCTION("""COMPUTED_VALUE"""),"IP Remote Upper Shell")</f>
        <v>IP Remote Upper Shell</v>
      </c>
      <c r="J358" s="235">
        <f ca="1">IFERROR(__xludf.DUMMYFUNCTION("""COMPUTED_VALUE"""),1)</f>
        <v>1</v>
      </c>
      <c r="K358" t="str">
        <f ca="1">IFERROR(__xludf.DUMMYFUNCTION("""COMPUTED_VALUE"""),"#N/A")</f>
        <v>#N/A</v>
      </c>
      <c r="L358">
        <f t="shared" ca="1" si="1"/>
        <v>0</v>
      </c>
      <c r="Q358" t="str">
        <f>IF(N358="","",SUMIFS('PR-BOM'!$D$3:$D1001,'PR-BOM'!$C$3:$C1001,N358))</f>
        <v/>
      </c>
      <c r="Y358" t="str">
        <f>IF(X358="","",SUMIFS(Issue!$D$3:$D1001,Issue!$C$3:$C1001,X358))</f>
        <v/>
      </c>
    </row>
    <row r="359" spans="5:25">
      <c r="E359" t="str">
        <f>IF(A359="","",SUMIFS(Issue!$D$3:$D1001,Issue!$C$3:$C1001,A359)*C359)</f>
        <v/>
      </c>
      <c r="F359" t="e">
        <f ca="1">_xludf.IFNA(VLOOKUP(B359,'S-FG'!$B$3:$B1001,1,FALSE),"")</f>
        <v>#NAME?</v>
      </c>
      <c r="H359" t="str">
        <f ca="1">IFERROR(__xludf.DUMMYFUNCTION("""COMPUTED_VALUE"""),"IP Remote Assy")</f>
        <v>IP Remote Assy</v>
      </c>
      <c r="I359" t="str">
        <f ca="1">IFERROR(__xludf.DUMMYFUNCTION("""COMPUTED_VALUE"""),"PU Gasket Remote Lower Shell")</f>
        <v>PU Gasket Remote Lower Shell</v>
      </c>
      <c r="J359" s="235">
        <f ca="1">IFERROR(__xludf.DUMMYFUNCTION("""COMPUTED_VALUE"""),1)</f>
        <v>1</v>
      </c>
      <c r="K359" t="str">
        <f ca="1">IFERROR(__xludf.DUMMYFUNCTION("""COMPUTED_VALUE"""),"#N/A")</f>
        <v>#N/A</v>
      </c>
      <c r="L359">
        <f t="shared" ca="1" si="1"/>
        <v>0</v>
      </c>
      <c r="Q359" t="str">
        <f>IF(N359="","",SUMIFS('PR-BOM'!$D$3:$D1001,'PR-BOM'!$C$3:$C1001,N359))</f>
        <v/>
      </c>
      <c r="Y359" t="str">
        <f>IF(X359="","",SUMIFS(Issue!$D$3:$D1001,Issue!$C$3:$C1001,X359))</f>
        <v/>
      </c>
    </row>
    <row r="360" spans="5:25">
      <c r="E360" t="str">
        <f>IF(A360="","",SUMIFS(Issue!$D$3:$D1001,Issue!$C$3:$C1001,A360)*C360)</f>
        <v/>
      </c>
      <c r="F360" t="e">
        <f ca="1">_xludf.IFNA(VLOOKUP(B360,'S-FG'!$B$3:$B1001,1,FALSE),"")</f>
        <v>#NAME?</v>
      </c>
      <c r="H360" t="str">
        <f ca="1">IFERROR(__xludf.DUMMYFUNCTION("""COMPUTED_VALUE"""),"IP Remote Assy")</f>
        <v>IP Remote Assy</v>
      </c>
      <c r="I360" t="str">
        <f ca="1">IFERROR(__xludf.DUMMYFUNCTION("""COMPUTED_VALUE"""),"Teroson MS930")</f>
        <v>Teroson MS930</v>
      </c>
      <c r="J360" s="235">
        <f ca="1">IFERROR(__xludf.DUMMYFUNCTION("""COMPUTED_VALUE"""),20)</f>
        <v>20</v>
      </c>
      <c r="K360" t="str">
        <f ca="1">IFERROR(__xludf.DUMMYFUNCTION("""COMPUTED_VALUE"""),"#N/A")</f>
        <v>#N/A</v>
      </c>
      <c r="L360">
        <f t="shared" ca="1" si="1"/>
        <v>0</v>
      </c>
      <c r="Q360" t="str">
        <f>IF(N360="","",SUMIFS('PR-BOM'!$D$3:$D1001,'PR-BOM'!$C$3:$C1001,N360))</f>
        <v/>
      </c>
      <c r="Y360" t="str">
        <f>IF(X360="","",SUMIFS(Issue!$D$3:$D1001,Issue!$C$3:$C1001,X360))</f>
        <v/>
      </c>
    </row>
    <row r="361" spans="5:25">
      <c r="E361" t="str">
        <f>IF(A361="","",SUMIFS(Issue!$D$3:$D1001,Issue!$C$3:$C1001,A361)*C361)</f>
        <v/>
      </c>
      <c r="F361" t="e">
        <f ca="1">_xludf.IFNA(VLOOKUP(B361,'S-FG'!$B$3:$B1001,1,FALSE),"")</f>
        <v>#NAME?</v>
      </c>
      <c r="H361" t="str">
        <f ca="1">IFERROR(__xludf.DUMMYFUNCTION("""COMPUTED_VALUE"""),"IP Remote Assy")</f>
        <v>IP Remote Assy</v>
      </c>
      <c r="I361" t="str">
        <f ca="1">IFERROR(__xludf.DUMMYFUNCTION("""COMPUTED_VALUE"""),"Button Spacer No. 1")</f>
        <v>Button Spacer No. 1</v>
      </c>
      <c r="J361" s="235">
        <f ca="1">IFERROR(__xludf.DUMMYFUNCTION("""COMPUTED_VALUE"""),2)</f>
        <v>2</v>
      </c>
      <c r="K361" t="str">
        <f ca="1">IFERROR(__xludf.DUMMYFUNCTION("""COMPUTED_VALUE"""),"#N/A")</f>
        <v>#N/A</v>
      </c>
      <c r="L361">
        <f t="shared" ca="1" si="1"/>
        <v>0</v>
      </c>
      <c r="Q361" t="str">
        <f>IF(N361="","",SUMIFS('PR-BOM'!$D$3:$D1001,'PR-BOM'!$C$3:$C1001,N361))</f>
        <v/>
      </c>
      <c r="Y361" t="str">
        <f>IF(X361="","",SUMIFS(Issue!$D$3:$D1001,Issue!$C$3:$C1001,X361))</f>
        <v/>
      </c>
    </row>
    <row r="362" spans="5:25">
      <c r="E362" t="str">
        <f>IF(A362="","",SUMIFS(Issue!$D$3:$D1001,Issue!$C$3:$C1001,A362)*C362)</f>
        <v/>
      </c>
      <c r="F362" t="e">
        <f ca="1">_xludf.IFNA(VLOOKUP(B362,'S-FG'!$B$3:$B1001,1,FALSE),"")</f>
        <v>#NAME?</v>
      </c>
      <c r="H362" t="str">
        <f ca="1">IFERROR(__xludf.DUMMYFUNCTION("""COMPUTED_VALUE"""),"IP Remote Assy")</f>
        <v>IP Remote Assy</v>
      </c>
      <c r="I362" t="str">
        <f ca="1">IFERROR(__xludf.DUMMYFUNCTION("""COMPUTED_VALUE"""),"Button Spacer No. 2")</f>
        <v>Button Spacer No. 2</v>
      </c>
      <c r="J362" s="235">
        <f ca="1">IFERROR(__xludf.DUMMYFUNCTION("""COMPUTED_VALUE"""),2)</f>
        <v>2</v>
      </c>
      <c r="K362" t="str">
        <f ca="1">IFERROR(__xludf.DUMMYFUNCTION("""COMPUTED_VALUE"""),"#N/A")</f>
        <v>#N/A</v>
      </c>
      <c r="L362">
        <f t="shared" ca="1" si="1"/>
        <v>0</v>
      </c>
      <c r="Q362" t="str">
        <f>IF(N362="","",SUMIFS('PR-BOM'!$D$3:$D1001,'PR-BOM'!$C$3:$C1001,N362))</f>
        <v/>
      </c>
      <c r="Y362" t="str">
        <f>IF(X362="","",SUMIFS(Issue!$D$3:$D1001,Issue!$C$3:$C1001,X362))</f>
        <v/>
      </c>
    </row>
    <row r="363" spans="5:25">
      <c r="E363" t="str">
        <f>IF(A363="","",SUMIFS(Issue!$D$3:$D1001,Issue!$C$3:$C1001,A363)*C363)</f>
        <v/>
      </c>
      <c r="F363" t="e">
        <f ca="1">_xludf.IFNA(VLOOKUP(B363,'S-FG'!$B$3:$B1001,1,FALSE),"")</f>
        <v>#NAME?</v>
      </c>
      <c r="H363" t="str">
        <f ca="1">IFERROR(__xludf.DUMMYFUNCTION("""COMPUTED_VALUE"""),"IP Remote Assy")</f>
        <v>IP Remote Assy</v>
      </c>
      <c r="I363" t="str">
        <f ca="1">IFERROR(__xludf.DUMMYFUNCTION("""COMPUTED_VALUE"""),"Button No. 1 pressure bracket")</f>
        <v>Button No. 1 pressure bracket</v>
      </c>
      <c r="J363" s="235">
        <f ca="1">IFERROR(__xludf.DUMMYFUNCTION("""COMPUTED_VALUE"""),2)</f>
        <v>2</v>
      </c>
      <c r="K363" t="str">
        <f ca="1">IFERROR(__xludf.DUMMYFUNCTION("""COMPUTED_VALUE"""),"#N/A")</f>
        <v>#N/A</v>
      </c>
      <c r="L363">
        <f t="shared" ca="1" si="1"/>
        <v>0</v>
      </c>
      <c r="Q363" t="str">
        <f>IF(N363="","",SUMIFS('PR-BOM'!$D$3:$D1001,'PR-BOM'!$C$3:$C1001,N363))</f>
        <v/>
      </c>
      <c r="Y363" t="str">
        <f>IF(X363="","",SUMIFS(Issue!$D$3:$D1001,Issue!$C$3:$C1001,X363))</f>
        <v/>
      </c>
    </row>
    <row r="364" spans="5:25">
      <c r="E364" t="str">
        <f>IF(A364="","",SUMIFS(Issue!$D$3:$D1001,Issue!$C$3:$C1001,A364)*C364)</f>
        <v/>
      </c>
      <c r="F364" t="e">
        <f ca="1">_xludf.IFNA(VLOOKUP(B364,'S-FG'!$B$3:$B1001,1,FALSE),"")</f>
        <v>#NAME?</v>
      </c>
      <c r="H364" t="str">
        <f ca="1">IFERROR(__xludf.DUMMYFUNCTION("""COMPUTED_VALUE"""),"IP Remote Assy")</f>
        <v>IP Remote Assy</v>
      </c>
      <c r="I364" t="str">
        <f ca="1">IFERROR(__xludf.DUMMYFUNCTION("""COMPUTED_VALUE"""),"Remote Battery Holding Bracket")</f>
        <v>Remote Battery Holding Bracket</v>
      </c>
      <c r="J364" s="235">
        <f ca="1">IFERROR(__xludf.DUMMYFUNCTION("""COMPUTED_VALUE"""),4)</f>
        <v>4</v>
      </c>
      <c r="K364" t="str">
        <f ca="1">IFERROR(__xludf.DUMMYFUNCTION("""COMPUTED_VALUE"""),"#N/A")</f>
        <v>#N/A</v>
      </c>
      <c r="L364">
        <f t="shared" ca="1" si="1"/>
        <v>0</v>
      </c>
      <c r="Q364" t="str">
        <f>IF(N364="","",SUMIFS('PR-BOM'!$D$3:$D1001,'PR-BOM'!$C$3:$C1001,N364))</f>
        <v/>
      </c>
      <c r="Y364" t="str">
        <f>IF(X364="","",SUMIFS(Issue!$D$3:$D1001,Issue!$C$3:$C1001,X364))</f>
        <v/>
      </c>
    </row>
    <row r="365" spans="5:25">
      <c r="E365" t="str">
        <f>IF(A365="","",SUMIFS(Issue!$D$3:$D1001,Issue!$C$3:$C1001,A365)*C365)</f>
        <v/>
      </c>
      <c r="F365" t="e">
        <f ca="1">_xludf.IFNA(VLOOKUP(B365,'S-FG'!$B$3:$B1001,1,FALSE),"")</f>
        <v>#NAME?</v>
      </c>
      <c r="H365" t="str">
        <f ca="1">IFERROR(__xludf.DUMMYFUNCTION("""COMPUTED_VALUE"""),"IP Remote Assy")</f>
        <v>IP Remote Assy</v>
      </c>
      <c r="I365" t="str">
        <f ca="1">IFERROR(__xludf.DUMMYFUNCTION("""COMPUTED_VALUE"""),"Antenna clamp -1")</f>
        <v>Antenna clamp -1</v>
      </c>
      <c r="J365" s="235">
        <f ca="1">IFERROR(__xludf.DUMMYFUNCTION("""COMPUTED_VALUE"""),1)</f>
        <v>1</v>
      </c>
      <c r="K365" t="str">
        <f ca="1">IFERROR(__xludf.DUMMYFUNCTION("""COMPUTED_VALUE"""),"#N/A")</f>
        <v>#N/A</v>
      </c>
      <c r="L365">
        <f t="shared" ca="1" si="1"/>
        <v>0</v>
      </c>
      <c r="Q365" t="str">
        <f>IF(N365="","",SUMIFS('PR-BOM'!$D$3:$D1001,'PR-BOM'!$C$3:$C1001,N365))</f>
        <v/>
      </c>
      <c r="Y365" t="str">
        <f>IF(X365="","",SUMIFS(Issue!$D$3:$D1001,Issue!$C$3:$C1001,X365))</f>
        <v/>
      </c>
    </row>
    <row r="366" spans="5:25">
      <c r="E366" t="str">
        <f>IF(A366="","",SUMIFS(Issue!$D$3:$D1001,Issue!$C$3:$C1001,A366)*C366)</f>
        <v/>
      </c>
      <c r="F366" t="e">
        <f ca="1">_xludf.IFNA(VLOOKUP(B366,'S-FG'!$B$3:$B1001,1,FALSE),"")</f>
        <v>#NAME?</v>
      </c>
      <c r="H366" t="str">
        <f ca="1">IFERROR(__xludf.DUMMYFUNCTION("""COMPUTED_VALUE"""),"IP Remote Assy")</f>
        <v>IP Remote Assy</v>
      </c>
      <c r="I366" t="str">
        <f ca="1">IFERROR(__xludf.DUMMYFUNCTION("""COMPUTED_VALUE"""),"Antenna Clamp -2")</f>
        <v>Antenna Clamp -2</v>
      </c>
      <c r="J366" s="235">
        <f ca="1">IFERROR(__xludf.DUMMYFUNCTION("""COMPUTED_VALUE"""),1)</f>
        <v>1</v>
      </c>
      <c r="K366" t="str">
        <f ca="1">IFERROR(__xludf.DUMMYFUNCTION("""COMPUTED_VALUE"""),"#N/A")</f>
        <v>#N/A</v>
      </c>
      <c r="L366">
        <f t="shared" ca="1" si="1"/>
        <v>0</v>
      </c>
      <c r="Q366" t="str">
        <f>IF(N366="","",SUMIFS('PR-BOM'!$D$3:$D1001,'PR-BOM'!$C$3:$C1001,N366))</f>
        <v/>
      </c>
      <c r="Y366" t="str">
        <f>IF(X366="","",SUMIFS(Issue!$D$3:$D1001,Issue!$C$3:$C1001,X366))</f>
        <v/>
      </c>
    </row>
    <row r="367" spans="5:25">
      <c r="E367" t="str">
        <f>IF(A367="","",SUMIFS(Issue!$D$3:$D1001,Issue!$C$3:$C1001,A367)*C367)</f>
        <v/>
      </c>
      <c r="F367" t="e">
        <f ca="1">_xludf.IFNA(VLOOKUP(B367,'S-FG'!$B$3:$B1001,1,FALSE),"")</f>
        <v>#NAME?</v>
      </c>
      <c r="H367" t="str">
        <f ca="1">IFERROR(__xludf.DUMMYFUNCTION("""COMPUTED_VALUE"""),"IP Remote Assy")</f>
        <v>IP Remote Assy</v>
      </c>
      <c r="I367" t="str">
        <f ca="1">IFERROR(__xludf.DUMMYFUNCTION("""COMPUTED_VALUE"""),"Cable Holder")</f>
        <v>Cable Holder</v>
      </c>
      <c r="J367" s="235">
        <f ca="1">IFERROR(__xludf.DUMMYFUNCTION("""COMPUTED_VALUE"""),2)</f>
        <v>2</v>
      </c>
      <c r="K367" t="str">
        <f ca="1">IFERROR(__xludf.DUMMYFUNCTION("""COMPUTED_VALUE"""),"#N/A")</f>
        <v>#N/A</v>
      </c>
      <c r="L367">
        <f t="shared" ca="1" si="1"/>
        <v>0</v>
      </c>
      <c r="Q367" t="str">
        <f>IF(N367="","",SUMIFS('PR-BOM'!$D$3:$D1001,'PR-BOM'!$C$3:$C1001,N367))</f>
        <v/>
      </c>
      <c r="Y367" t="str">
        <f>IF(X367="","",SUMIFS(Issue!$D$3:$D1001,Issue!$C$3:$C1001,X367))</f>
        <v/>
      </c>
    </row>
    <row r="368" spans="5:25">
      <c r="E368" t="str">
        <f>IF(A368="","",SUMIFS(Issue!$D$3:$D1001,Issue!$C$3:$C1001,A368)*C368)</f>
        <v/>
      </c>
      <c r="F368" t="e">
        <f ca="1">_xludf.IFNA(VLOOKUP(B368,'S-FG'!$B$3:$B1001,1,FALSE),"")</f>
        <v>#NAME?</v>
      </c>
      <c r="H368" t="str">
        <f ca="1">IFERROR(__xludf.DUMMYFUNCTION("""COMPUTED_VALUE"""),"IP Remote Assy")</f>
        <v>IP Remote Assy</v>
      </c>
      <c r="I368" t="str">
        <f ca="1">IFERROR(__xludf.DUMMYFUNCTION("""COMPUTED_VALUE"""),"Remote Handle")</f>
        <v>Remote Handle</v>
      </c>
      <c r="J368" s="235">
        <f ca="1">IFERROR(__xludf.DUMMYFUNCTION("""COMPUTED_VALUE"""),1)</f>
        <v>1</v>
      </c>
      <c r="K368" t="str">
        <f ca="1">IFERROR(__xludf.DUMMYFUNCTION("""COMPUTED_VALUE"""),"#N/A")</f>
        <v>#N/A</v>
      </c>
      <c r="L368">
        <f t="shared" ca="1" si="1"/>
        <v>0</v>
      </c>
      <c r="Q368" t="str">
        <f>IF(N368="","",SUMIFS('PR-BOM'!$D$3:$D1001,'PR-BOM'!$C$3:$C1001,N368))</f>
        <v/>
      </c>
      <c r="Y368" t="str">
        <f>IF(X368="","",SUMIFS(Issue!$D$3:$D1001,Issue!$C$3:$C1001,X368))</f>
        <v/>
      </c>
    </row>
    <row r="369" spans="5:25">
      <c r="E369" t="str">
        <f>IF(A369="","",SUMIFS(Issue!$D$3:$D1001,Issue!$C$3:$C1001,A369)*C369)</f>
        <v/>
      </c>
      <c r="F369" t="e">
        <f ca="1">_xludf.IFNA(VLOOKUP(B369,'S-FG'!$B$3:$B1001,1,FALSE),"")</f>
        <v>#NAME?</v>
      </c>
      <c r="H369" t="str">
        <f ca="1">IFERROR(__xludf.DUMMYFUNCTION("""COMPUTED_VALUE"""),"IP Remote Assy")</f>
        <v>IP Remote Assy</v>
      </c>
      <c r="I369" t="str">
        <f ca="1">IFERROR(__xludf.DUMMYFUNCTION("""COMPUTED_VALUE"""),"Polycarbonate Glass for Remote")</f>
        <v>Polycarbonate Glass for Remote</v>
      </c>
      <c r="J369" s="235">
        <f ca="1">IFERROR(__xludf.DUMMYFUNCTION("""COMPUTED_VALUE"""),1)</f>
        <v>1</v>
      </c>
      <c r="K369" t="str">
        <f ca="1">IFERROR(__xludf.DUMMYFUNCTION("""COMPUTED_VALUE"""),"#N/A")</f>
        <v>#N/A</v>
      </c>
      <c r="L369">
        <f t="shared" ca="1" si="1"/>
        <v>0</v>
      </c>
      <c r="Q369" t="str">
        <f>IF(N369="","",SUMIFS('PR-BOM'!$D$3:$D1001,'PR-BOM'!$C$3:$C1001,N369))</f>
        <v/>
      </c>
      <c r="Y369" t="str">
        <f>IF(X369="","",SUMIFS(Issue!$D$3:$D1001,Issue!$C$3:$C1001,X369))</f>
        <v/>
      </c>
    </row>
    <row r="370" spans="5:25">
      <c r="E370" t="str">
        <f>IF(A370="","",SUMIFS(Issue!$D$3:$D1001,Issue!$C$3:$C1001,A370)*C370)</f>
        <v/>
      </c>
      <c r="F370" t="e">
        <f ca="1">_xludf.IFNA(VLOOKUP(B370,'S-FG'!$B$3:$B1001,1,FALSE),"")</f>
        <v>#NAME?</v>
      </c>
      <c r="H370" t="str">
        <f ca="1">IFERROR(__xludf.DUMMYFUNCTION("""COMPUTED_VALUE"""),"IP Remote Assy")</f>
        <v>IP Remote Assy</v>
      </c>
      <c r="I370" t="str">
        <f ca="1">IFERROR(__xludf.DUMMYFUNCTION("""COMPUTED_VALUE"""),"Joystick Water proof rubber")</f>
        <v>Joystick Water proof rubber</v>
      </c>
      <c r="J370" s="235">
        <f ca="1">IFERROR(__xludf.DUMMYFUNCTION("""COMPUTED_VALUE"""),2)</f>
        <v>2</v>
      </c>
      <c r="K370" t="str">
        <f ca="1">IFERROR(__xludf.DUMMYFUNCTION("""COMPUTED_VALUE"""),"#N/A")</f>
        <v>#N/A</v>
      </c>
      <c r="L370">
        <f t="shared" ca="1" si="1"/>
        <v>0</v>
      </c>
      <c r="Q370" t="str">
        <f>IF(N370="","",SUMIFS('PR-BOM'!$D$3:$D1001,'PR-BOM'!$C$3:$C1001,N370))</f>
        <v/>
      </c>
      <c r="Y370" t="str">
        <f>IF(X370="","",SUMIFS(Issue!$D$3:$D1001,Issue!$C$3:$C1001,X370))</f>
        <v/>
      </c>
    </row>
    <row r="371" spans="5:25">
      <c r="E371" t="str">
        <f>IF(A371="","",SUMIFS(Issue!$D$3:$D1001,Issue!$C$3:$C1001,A371)*C371)</f>
        <v/>
      </c>
      <c r="F371" t="e">
        <f ca="1">_xludf.IFNA(VLOOKUP(B371,'S-FG'!$B$3:$B1001,1,FALSE),"")</f>
        <v>#NAME?</v>
      </c>
      <c r="H371" t="str">
        <f ca="1">IFERROR(__xludf.DUMMYFUNCTION("""COMPUTED_VALUE"""),"IP Remote Assy")</f>
        <v>IP Remote Assy</v>
      </c>
      <c r="I371" t="str">
        <f ca="1">IFERROR(__xludf.DUMMYFUNCTION("""COMPUTED_VALUE"""),"Button Silicon Cover No. 1")</f>
        <v>Button Silicon Cover No. 1</v>
      </c>
      <c r="J371" s="235">
        <f ca="1">IFERROR(__xludf.DUMMYFUNCTION("""COMPUTED_VALUE"""),2)</f>
        <v>2</v>
      </c>
      <c r="K371" t="str">
        <f ca="1">IFERROR(__xludf.DUMMYFUNCTION("""COMPUTED_VALUE"""),"#N/A")</f>
        <v>#N/A</v>
      </c>
      <c r="L371">
        <f t="shared" ca="1" si="1"/>
        <v>0</v>
      </c>
      <c r="Q371" t="str">
        <f>IF(N371="","",SUMIFS('PR-BOM'!$D$3:$D1001,'PR-BOM'!$C$3:$C1001,N371))</f>
        <v/>
      </c>
      <c r="Y371" t="str">
        <f>IF(X371="","",SUMIFS(Issue!$D$3:$D1001,Issue!$C$3:$C1001,X371))</f>
        <v/>
      </c>
    </row>
    <row r="372" spans="5:25">
      <c r="E372" t="str">
        <f>IF(A372="","",SUMIFS(Issue!$D$3:$D1001,Issue!$C$3:$C1001,A372)*C372)</f>
        <v/>
      </c>
      <c r="F372" t="e">
        <f ca="1">_xludf.IFNA(VLOOKUP(B372,'S-FG'!$B$3:$B1001,1,FALSE),"")</f>
        <v>#NAME?</v>
      </c>
      <c r="H372" t="str">
        <f ca="1">IFERROR(__xludf.DUMMYFUNCTION("""COMPUTED_VALUE"""),"IP Remote Assy")</f>
        <v>IP Remote Assy</v>
      </c>
      <c r="I372" t="str">
        <f ca="1">IFERROR(__xludf.DUMMYFUNCTION("""COMPUTED_VALUE"""),"Button Silicon Cover No. 2")</f>
        <v>Button Silicon Cover No. 2</v>
      </c>
      <c r="J372" s="235">
        <f ca="1">IFERROR(__xludf.DUMMYFUNCTION("""COMPUTED_VALUE"""),2)</f>
        <v>2</v>
      </c>
      <c r="K372" t="str">
        <f ca="1">IFERROR(__xludf.DUMMYFUNCTION("""COMPUTED_VALUE"""),"#N/A")</f>
        <v>#N/A</v>
      </c>
      <c r="L372">
        <f t="shared" ca="1" si="1"/>
        <v>0</v>
      </c>
      <c r="Q372" t="str">
        <f>IF(N372="","",SUMIFS('PR-BOM'!$D$3:$D1001,'PR-BOM'!$C$3:$C1001,N372))</f>
        <v/>
      </c>
      <c r="Y372" t="str">
        <f>IF(X372="","",SUMIFS(Issue!$D$3:$D1001,Issue!$C$3:$C1001,X372))</f>
        <v/>
      </c>
    </row>
    <row r="373" spans="5:25">
      <c r="E373" t="str">
        <f>IF(A373="","",SUMIFS(Issue!$D$3:$D1001,Issue!$C$3:$C1001,A373)*C373)</f>
        <v/>
      </c>
      <c r="F373" t="e">
        <f ca="1">_xludf.IFNA(VLOOKUP(B373,'S-FG'!$B$3:$B1001,1,FALSE),"")</f>
        <v>#NAME?</v>
      </c>
      <c r="H373" t="str">
        <f ca="1">IFERROR(__xludf.DUMMYFUNCTION("""COMPUTED_VALUE"""),"IP Remote Assy")</f>
        <v>IP Remote Assy</v>
      </c>
      <c r="I373" t="str">
        <f ca="1">IFERROR(__xludf.DUMMYFUNCTION("""COMPUTED_VALUE"""),"Neck Strap Hook")</f>
        <v>Neck Strap Hook</v>
      </c>
      <c r="J373" s="235">
        <f ca="1">IFERROR(__xludf.DUMMYFUNCTION("""COMPUTED_VALUE"""),1)</f>
        <v>1</v>
      </c>
      <c r="K373" t="str">
        <f ca="1">IFERROR(__xludf.DUMMYFUNCTION("""COMPUTED_VALUE"""),"#N/A")</f>
        <v>#N/A</v>
      </c>
      <c r="L373">
        <f t="shared" ca="1" si="1"/>
        <v>0</v>
      </c>
      <c r="Q373" t="str">
        <f>IF(N373="","",SUMIFS('PR-BOM'!$D$3:$D1001,'PR-BOM'!$C$3:$C1001,N373))</f>
        <v/>
      </c>
      <c r="Y373" t="str">
        <f>IF(X373="","",SUMIFS(Issue!$D$3:$D1001,Issue!$C$3:$C1001,X373))</f>
        <v/>
      </c>
    </row>
    <row r="374" spans="5:25">
      <c r="E374" t="str">
        <f>IF(A374="","",SUMIFS(Issue!$D$3:$D1001,Issue!$C$3:$C1001,A374)*C374)</f>
        <v/>
      </c>
      <c r="F374" t="e">
        <f ca="1">_xludf.IFNA(VLOOKUP(B374,'S-FG'!$B$3:$B1001,1,FALSE),"")</f>
        <v>#NAME?</v>
      </c>
      <c r="H374" t="str">
        <f ca="1">IFERROR(__xludf.DUMMYFUNCTION("""COMPUTED_VALUE"""),"IP Remote Assy")</f>
        <v>IP Remote Assy</v>
      </c>
      <c r="I374" t="str">
        <f ca="1">IFERROR(__xludf.DUMMYFUNCTION("""COMPUTED_VALUE"""),"Neck Strap")</f>
        <v>Neck Strap</v>
      </c>
      <c r="J374" s="235">
        <f ca="1">IFERROR(__xludf.DUMMYFUNCTION("""COMPUTED_VALUE"""),1)</f>
        <v>1</v>
      </c>
      <c r="K374" t="str">
        <f ca="1">IFERROR(__xludf.DUMMYFUNCTION("""COMPUTED_VALUE"""),"#N/A")</f>
        <v>#N/A</v>
      </c>
      <c r="L374">
        <f t="shared" ca="1" si="1"/>
        <v>0</v>
      </c>
      <c r="Q374" t="str">
        <f>IF(N374="","",SUMIFS('PR-BOM'!$D$3:$D1001,'PR-BOM'!$C$3:$C1001,N374))</f>
        <v/>
      </c>
      <c r="Y374" t="str">
        <f>IF(X374="","",SUMIFS(Issue!$D$3:$D1001,Issue!$C$3:$C1001,X374))</f>
        <v/>
      </c>
    </row>
    <row r="375" spans="5:25">
      <c r="E375" t="str">
        <f>IF(A375="","",SUMIFS(Issue!$D$3:$D1001,Issue!$C$3:$C1001,A375)*C375)</f>
        <v/>
      </c>
      <c r="F375" t="e">
        <f ca="1">_xludf.IFNA(VLOOKUP(B375,'S-FG'!$B$3:$B1001,1,FALSE),"")</f>
        <v>#NAME?</v>
      </c>
      <c r="H375" t="str">
        <f ca="1">IFERROR(__xludf.DUMMYFUNCTION("""COMPUTED_VALUE"""),"IP Remote Assy")</f>
        <v>IP Remote Assy</v>
      </c>
      <c r="I375" t="str">
        <f ca="1">IFERROR(__xludf.DUMMYFUNCTION("""COMPUTED_VALUE"""),"M2x12 Allen Head SS304")</f>
        <v>M2x12 Allen Head SS304</v>
      </c>
      <c r="J375" s="235">
        <f ca="1">IFERROR(__xludf.DUMMYFUNCTION("""COMPUTED_VALUE"""),20)</f>
        <v>20</v>
      </c>
      <c r="K375" t="str">
        <f ca="1">IFERROR(__xludf.DUMMYFUNCTION("""COMPUTED_VALUE"""),"#N/A")</f>
        <v>#N/A</v>
      </c>
      <c r="L375">
        <f t="shared" ca="1" si="1"/>
        <v>0</v>
      </c>
      <c r="Q375" t="str">
        <f>IF(N375="","",SUMIFS('PR-BOM'!$D$3:$D1001,'PR-BOM'!$C$3:$C1001,N375))</f>
        <v/>
      </c>
      <c r="Y375" t="str">
        <f>IF(X375="","",SUMIFS(Issue!$D$3:$D1001,Issue!$C$3:$C1001,X375))</f>
        <v/>
      </c>
    </row>
    <row r="376" spans="5:25">
      <c r="E376" t="str">
        <f>IF(A376="","",SUMIFS(Issue!$D$3:$D1001,Issue!$C$3:$C1001,A376)*C376)</f>
        <v/>
      </c>
      <c r="F376" t="e">
        <f ca="1">_xludf.IFNA(VLOOKUP(B376,'S-FG'!$B$3:$B1001,1,FALSE),"")</f>
        <v>#NAME?</v>
      </c>
      <c r="H376" t="str">
        <f ca="1">IFERROR(__xludf.DUMMYFUNCTION("""COMPUTED_VALUE"""),"IP Remote Assy")</f>
        <v>IP Remote Assy</v>
      </c>
      <c r="I376" t="str">
        <f ca="1">IFERROR(__xludf.DUMMYFUNCTION("""COMPUTED_VALUE"""),"32Gb SD Card")</f>
        <v>32Gb SD Card</v>
      </c>
      <c r="J376" s="235">
        <f ca="1">IFERROR(__xludf.DUMMYFUNCTION("""COMPUTED_VALUE"""),1)</f>
        <v>1</v>
      </c>
      <c r="K376" t="str">
        <f ca="1">IFERROR(__xludf.DUMMYFUNCTION("""COMPUTED_VALUE"""),"#N/A")</f>
        <v>#N/A</v>
      </c>
      <c r="L376">
        <f t="shared" ca="1" si="1"/>
        <v>0</v>
      </c>
      <c r="Q376" t="str">
        <f>IF(N376="","",SUMIFS('PR-BOM'!$D$3:$D1001,'PR-BOM'!$C$3:$C1001,N376))</f>
        <v/>
      </c>
      <c r="Y376" t="str">
        <f>IF(X376="","",SUMIFS(Issue!$D$3:$D1001,Issue!$C$3:$C1001,X376))</f>
        <v/>
      </c>
    </row>
    <row r="377" spans="5:25">
      <c r="E377" t="str">
        <f>IF(A377="","",SUMIFS(Issue!$D$3:$D1001,Issue!$C$3:$C1001,A377)*C377)</f>
        <v/>
      </c>
      <c r="F377" t="e">
        <f ca="1">_xludf.IFNA(VLOOKUP(B377,'S-FG'!$B$3:$B1001,1,FALSE),"")</f>
        <v>#NAME?</v>
      </c>
      <c r="H377" t="str">
        <f ca="1">IFERROR(__xludf.DUMMYFUNCTION("""COMPUTED_VALUE"""),"IP Remote Charging Cable Assy")</f>
        <v>IP Remote Charging Cable Assy</v>
      </c>
      <c r="I377" t="str">
        <f ca="1">IFERROR(__xludf.DUMMYFUNCTION("""COMPUTED_VALUE"""),"USB Data &amp; Charging Cable 1m length")</f>
        <v>USB Data &amp; Charging Cable 1m length</v>
      </c>
      <c r="J377" s="235">
        <f ca="1">IFERROR(__xludf.DUMMYFUNCTION("""COMPUTED_VALUE"""),1)</f>
        <v>1</v>
      </c>
      <c r="K377" t="str">
        <f ca="1">IFERROR(__xludf.DUMMYFUNCTION("""COMPUTED_VALUE"""),"#N/A")</f>
        <v>#N/A</v>
      </c>
      <c r="L377">
        <f t="shared" ca="1" si="1"/>
        <v>0</v>
      </c>
      <c r="Q377" t="str">
        <f>IF(N377="","",SUMIFS('PR-BOM'!$D$3:$D1001,'PR-BOM'!$C$3:$C1001,N377))</f>
        <v/>
      </c>
      <c r="Y377" t="str">
        <f>IF(X377="","",SUMIFS(Issue!$D$3:$D1001,Issue!$C$3:$C1001,X377))</f>
        <v/>
      </c>
    </row>
    <row r="378" spans="5:25">
      <c r="E378" t="str">
        <f>IF(A378="","",SUMIFS(Issue!$D$3:$D1001,Issue!$C$3:$C1001,A378)*C378)</f>
        <v/>
      </c>
      <c r="F378" t="e">
        <f ca="1">_xludf.IFNA(VLOOKUP(B378,'S-FG'!$B$3:$B1001,1,FALSE),"")</f>
        <v>#NAME?</v>
      </c>
      <c r="H378" t="str">
        <f ca="1">IFERROR(__xludf.DUMMYFUNCTION("""COMPUTED_VALUE"""),"IP Remote Charging Cable Assy")</f>
        <v>IP Remote Charging Cable Assy</v>
      </c>
      <c r="I378" t="str">
        <f ca="1">IFERROR(__xludf.DUMMYFUNCTION("""COMPUTED_VALUE"""),"5v 2A USB Adapter")</f>
        <v>5v 2A USB Adapter</v>
      </c>
      <c r="J378" s="235">
        <f ca="1">IFERROR(__xludf.DUMMYFUNCTION("""COMPUTED_VALUE"""),1)</f>
        <v>1</v>
      </c>
      <c r="K378" t="str">
        <f ca="1">IFERROR(__xludf.DUMMYFUNCTION("""COMPUTED_VALUE"""),"#N/A")</f>
        <v>#N/A</v>
      </c>
      <c r="L378">
        <f t="shared" ca="1" si="1"/>
        <v>0</v>
      </c>
      <c r="Q378" t="str">
        <f>IF(N378="","",SUMIFS('PR-BOM'!$D$3:$D1001,'PR-BOM'!$C$3:$C1001,N378))</f>
        <v/>
      </c>
      <c r="Y378" t="str">
        <f>IF(X378="","",SUMIFS(Issue!$D$3:$D1001,Issue!$C$3:$C1001,X378))</f>
        <v/>
      </c>
    </row>
    <row r="379" spans="5:25">
      <c r="E379" t="str">
        <f>IF(A379="","",SUMIFS(Issue!$D$3:$D1001,Issue!$C$3:$C1001,A379)*C379)</f>
        <v/>
      </c>
      <c r="F379" t="e">
        <f ca="1">_xludf.IFNA(VLOOKUP(B379,'S-FG'!$B$3:$B1001,1,FALSE),"")</f>
        <v>#NAME?</v>
      </c>
      <c r="H379" t="str">
        <f ca="1">IFERROR(__xludf.DUMMYFUNCTION("""COMPUTED_VALUE"""),"IP Remote Charging Cable Assy")</f>
        <v>IP Remote Charging Cable Assy</v>
      </c>
      <c r="I379" t="str">
        <f ca="1">IFERROR(__xludf.DUMMYFUNCTION("""COMPUTED_VALUE"""),"SA12 9pin CM Pushpull")</f>
        <v>SA12 9pin CM Pushpull</v>
      </c>
      <c r="J379" s="235">
        <f ca="1">IFERROR(__xludf.DUMMYFUNCTION("""COMPUTED_VALUE"""),1)</f>
        <v>1</v>
      </c>
      <c r="K379" t="str">
        <f ca="1">IFERROR(__xludf.DUMMYFUNCTION("""COMPUTED_VALUE"""),"#N/A")</f>
        <v>#N/A</v>
      </c>
      <c r="L379">
        <f t="shared" ca="1" si="1"/>
        <v>0</v>
      </c>
      <c r="Q379" t="str">
        <f>IF(N379="","",SUMIFS('PR-BOM'!$D$3:$D1001,'PR-BOM'!$C$3:$C1001,N379))</f>
        <v/>
      </c>
      <c r="Y379" t="str">
        <f>IF(X379="","",SUMIFS(Issue!$D$3:$D1001,Issue!$C$3:$C1001,X379))</f>
        <v/>
      </c>
    </row>
    <row r="380" spans="5:25">
      <c r="E380" t="str">
        <f>IF(A380="","",SUMIFS(Issue!$D$3:$D1001,Issue!$C$3:$C1001,A380)*C380)</f>
        <v/>
      </c>
      <c r="F380" t="e">
        <f ca="1">_xludf.IFNA(VLOOKUP(B380,'S-FG'!$B$3:$B1001,1,FALSE),"")</f>
        <v>#NAME?</v>
      </c>
      <c r="H380" t="str">
        <f ca="1">IFERROR(__xludf.DUMMYFUNCTION("""COMPUTED_VALUE"""),"IP Remote Charging Cable Assy")</f>
        <v>IP Remote Charging Cable Assy</v>
      </c>
      <c r="I380" t="str">
        <f ca="1">IFERROR(__xludf.DUMMYFUNCTION("""COMPUTED_VALUE"""),"Rotary Knob Box 3D print")</f>
        <v>Rotary Knob Box 3D print</v>
      </c>
      <c r="J380" s="235">
        <f ca="1">IFERROR(__xludf.DUMMYFUNCTION("""COMPUTED_VALUE"""),1)</f>
        <v>1</v>
      </c>
      <c r="K380" t="str">
        <f ca="1">IFERROR(__xludf.DUMMYFUNCTION("""COMPUTED_VALUE"""),"#N/A")</f>
        <v>#N/A</v>
      </c>
      <c r="L380">
        <f t="shared" ca="1" si="1"/>
        <v>0</v>
      </c>
      <c r="Q380" t="str">
        <f>IF(N380="","",SUMIFS('PR-BOM'!$D$3:$D1001,'PR-BOM'!$C$3:$C1001,N380))</f>
        <v/>
      </c>
      <c r="Y380" t="str">
        <f>IF(X380="","",SUMIFS(Issue!$D$3:$D1001,Issue!$C$3:$C1001,X380))</f>
        <v/>
      </c>
    </row>
    <row r="381" spans="5:25">
      <c r="E381" t="str">
        <f>IF(A381="","",SUMIFS(Issue!$D$3:$D1001,Issue!$C$3:$C1001,A381)*C381)</f>
        <v/>
      </c>
      <c r="F381" t="e">
        <f ca="1">_xludf.IFNA(VLOOKUP(B381,'S-FG'!$B$3:$B1001,1,FALSE),"")</f>
        <v>#NAME?</v>
      </c>
      <c r="H381" t="str">
        <f ca="1">IFERROR(__xludf.DUMMYFUNCTION("""COMPUTED_VALUE"""),"AMCA Elec Assy")</f>
        <v>AMCA Elec Assy</v>
      </c>
      <c r="I381" t="str">
        <f ca="1">IFERROR(__xludf.DUMMYFUNCTION("""COMPUTED_VALUE"""),"1N4007 THT diode")</f>
        <v>1N4007 THT diode</v>
      </c>
      <c r="J381" s="235">
        <f ca="1">IFERROR(__xludf.DUMMYFUNCTION("""COMPUTED_VALUE"""),4)</f>
        <v>4</v>
      </c>
      <c r="K381" t="str">
        <f ca="1">IFERROR(__xludf.DUMMYFUNCTION("""COMPUTED_VALUE"""),"#N/A")</f>
        <v>#N/A</v>
      </c>
      <c r="L381">
        <f t="shared" ca="1" si="1"/>
        <v>0</v>
      </c>
      <c r="Q381" t="str">
        <f>IF(N381="","",SUMIFS('PR-BOM'!$D$3:$D1001,'PR-BOM'!$C$3:$C1001,N381))</f>
        <v/>
      </c>
      <c r="Y381" t="str">
        <f>IF(X381="","",SUMIFS(Issue!$D$3:$D1001,Issue!$C$3:$C1001,X381))</f>
        <v/>
      </c>
    </row>
    <row r="382" spans="5:25">
      <c r="E382" t="str">
        <f>IF(A382="","",SUMIFS(Issue!$D$3:$D1001,Issue!$C$3:$C1001,A382)*C382)</f>
        <v/>
      </c>
      <c r="F382" t="e">
        <f ca="1">_xludf.IFNA(VLOOKUP(B382,'S-FG'!$B$3:$B1001,1,FALSE),"")</f>
        <v>#NAME?</v>
      </c>
      <c r="H382" t="str">
        <f ca="1">IFERROR(__xludf.DUMMYFUNCTION("""COMPUTED_VALUE"""),"AMCA Elec Assy")</f>
        <v>AMCA Elec Assy</v>
      </c>
      <c r="I382" t="str">
        <f ca="1">IFERROR(__xludf.DUMMYFUNCTION("""COMPUTED_VALUE"""),"Water flow sensor")</f>
        <v>Water flow sensor</v>
      </c>
      <c r="J382" s="235">
        <f ca="1">IFERROR(__xludf.DUMMYFUNCTION("""COMPUTED_VALUE"""),1)</f>
        <v>1</v>
      </c>
      <c r="K382" t="str">
        <f ca="1">IFERROR(__xludf.DUMMYFUNCTION("""COMPUTED_VALUE"""),"#N/A")</f>
        <v>#N/A</v>
      </c>
      <c r="L382">
        <f t="shared" ca="1" si="1"/>
        <v>0</v>
      </c>
      <c r="Q382" t="str">
        <f>IF(N382="","",SUMIFS('PR-BOM'!$D$3:$D1001,'PR-BOM'!$C$3:$C1001,N382))</f>
        <v/>
      </c>
      <c r="Y382" t="str">
        <f>IF(X382="","",SUMIFS(Issue!$D$3:$D1001,Issue!$C$3:$C1001,X382))</f>
        <v/>
      </c>
    </row>
    <row r="383" spans="5:25">
      <c r="E383" t="str">
        <f>IF(A383="","",SUMIFS(Issue!$D$3:$D1001,Issue!$C$3:$C1001,A383)*C383)</f>
        <v/>
      </c>
      <c r="F383" t="e">
        <f ca="1">_xludf.IFNA(VLOOKUP(B383,'S-FG'!$B$3:$B1001,1,FALSE),"")</f>
        <v>#NAME?</v>
      </c>
      <c r="H383" t="str">
        <f ca="1">IFERROR(__xludf.DUMMYFUNCTION("""COMPUTED_VALUE"""),"AMCA Elec Assy")</f>
        <v>AMCA Elec Assy</v>
      </c>
      <c r="I383" t="str">
        <f ca="1">IFERROR(__xludf.DUMMYFUNCTION("""COMPUTED_VALUE"""),"Water pump")</f>
        <v>Water pump</v>
      </c>
      <c r="J383" s="235">
        <f ca="1">IFERROR(__xludf.DUMMYFUNCTION("""COMPUTED_VALUE"""),1)</f>
        <v>1</v>
      </c>
      <c r="K383" t="str">
        <f ca="1">IFERROR(__xludf.DUMMYFUNCTION("""COMPUTED_VALUE"""),"#N/A")</f>
        <v>#N/A</v>
      </c>
      <c r="L383">
        <f t="shared" ca="1" si="1"/>
        <v>0</v>
      </c>
      <c r="Q383" t="str">
        <f>IF(N383="","",SUMIFS('PR-BOM'!$D$3:$D1001,'PR-BOM'!$C$3:$C1001,N383))</f>
        <v/>
      </c>
      <c r="Y383" t="str">
        <f>IF(X383="","",SUMIFS(Issue!$D$3:$D1001,Issue!$C$3:$C1001,X383))</f>
        <v/>
      </c>
    </row>
    <row r="384" spans="5:25">
      <c r="E384" t="str">
        <f>IF(A384="","",SUMIFS(Issue!$D$3:$D1001,Issue!$C$3:$C1001,A384)*C384)</f>
        <v/>
      </c>
      <c r="F384" t="e">
        <f ca="1">_xludf.IFNA(VLOOKUP(B384,'S-FG'!$B$3:$B1001,1,FALSE),"")</f>
        <v>#NAME?</v>
      </c>
      <c r="H384" t="str">
        <f ca="1">IFERROR(__xludf.DUMMYFUNCTION("""COMPUTED_VALUE"""),"AMCA Elec Assy")</f>
        <v>AMCA Elec Assy</v>
      </c>
      <c r="I384" t="str">
        <f ca="1">IFERROR(__xludf.DUMMYFUNCTION("""COMPUTED_VALUE"""),"3S Lipo indicator")</f>
        <v>3S Lipo indicator</v>
      </c>
      <c r="J384" s="235">
        <f ca="1">IFERROR(__xludf.DUMMYFUNCTION("""COMPUTED_VALUE"""),1)</f>
        <v>1</v>
      </c>
      <c r="K384" t="str">
        <f ca="1">IFERROR(__xludf.DUMMYFUNCTION("""COMPUTED_VALUE"""),"#N/A")</f>
        <v>#N/A</v>
      </c>
      <c r="L384">
        <f t="shared" ca="1" si="1"/>
        <v>0</v>
      </c>
      <c r="Q384" t="str">
        <f>IF(N384="","",SUMIFS('PR-BOM'!$D$3:$D1001,'PR-BOM'!$C$3:$C1001,N384))</f>
        <v/>
      </c>
      <c r="Y384" t="str">
        <f>IF(X384="","",SUMIFS(Issue!$D$3:$D1001,Issue!$C$3:$C1001,X384))</f>
        <v/>
      </c>
    </row>
    <row r="385" spans="5:25">
      <c r="E385" t="str">
        <f>IF(A385="","",SUMIFS(Issue!$D$3:$D1001,Issue!$C$3:$C1001,A385)*C385)</f>
        <v/>
      </c>
      <c r="F385" t="e">
        <f ca="1">_xludf.IFNA(VLOOKUP(B385,'S-FG'!$B$3:$B1001,1,FALSE),"")</f>
        <v>#NAME?</v>
      </c>
      <c r="H385" t="str">
        <f ca="1">IFERROR(__xludf.DUMMYFUNCTION("""COMPUTED_VALUE"""),"AMCA Elec Assy")</f>
        <v>AMCA Elec Assy</v>
      </c>
      <c r="I385" t="str">
        <f ca="1">IFERROR(__xludf.DUMMYFUNCTION("""COMPUTED_VALUE"""),"Lipo Indicator Casings")</f>
        <v>Lipo Indicator Casings</v>
      </c>
      <c r="J385" s="235">
        <f ca="1">IFERROR(__xludf.DUMMYFUNCTION("""COMPUTED_VALUE"""),1)</f>
        <v>1</v>
      </c>
      <c r="L385">
        <f t="shared" ca="1" si="1"/>
        <v>0</v>
      </c>
      <c r="Q385" t="str">
        <f>IF(N385="","",SUMIFS('PR-BOM'!$D$3:$D1001,'PR-BOM'!$C$3:$C1001,N385))</f>
        <v/>
      </c>
      <c r="Y385" t="str">
        <f>IF(X385="","",SUMIFS(Issue!$D$3:$D1001,Issue!$C$3:$C1001,X385))</f>
        <v/>
      </c>
    </row>
    <row r="386" spans="5:25">
      <c r="E386" t="str">
        <f>IF(A386="","",SUMIFS(Issue!$D$3:$D1001,Issue!$C$3:$C1001,A386)*C386)</f>
        <v/>
      </c>
      <c r="F386" t="e">
        <f ca="1">_xludf.IFNA(VLOOKUP(B386,'S-FG'!$B$3:$B1001,1,FALSE),"")</f>
        <v>#NAME?</v>
      </c>
      <c r="H386" t="str">
        <f ca="1">IFERROR(__xludf.DUMMYFUNCTION("""COMPUTED_VALUE"""),"AMCA Elec Assy")</f>
        <v>AMCA Elec Assy</v>
      </c>
      <c r="I386" t="str">
        <f ca="1">IFERROR(__xludf.DUMMYFUNCTION("""COMPUTED_VALUE"""),"LM2596HW for PC")</f>
        <v>LM2596HW for PC</v>
      </c>
      <c r="J386" s="235">
        <f ca="1">IFERROR(__xludf.DUMMYFUNCTION("""COMPUTED_VALUE"""),1)</f>
        <v>1</v>
      </c>
      <c r="K386" t="str">
        <f ca="1">IFERROR(__xludf.DUMMYFUNCTION("""COMPUTED_VALUE"""),"#N/A")</f>
        <v>#N/A</v>
      </c>
      <c r="L386">
        <f t="shared" ca="1" si="1"/>
        <v>0</v>
      </c>
      <c r="Q386" t="str">
        <f>IF(N386="","",SUMIFS('PR-BOM'!$D$3:$D1001,'PR-BOM'!$C$3:$C1001,N386))</f>
        <v/>
      </c>
      <c r="Y386" t="str">
        <f>IF(X386="","",SUMIFS(Issue!$D$3:$D1001,Issue!$C$3:$C1001,X386))</f>
        <v/>
      </c>
    </row>
    <row r="387" spans="5:25">
      <c r="E387" t="str">
        <f>IF(A387="","",SUMIFS(Issue!$D$3:$D1001,Issue!$C$3:$C1001,A387)*C387)</f>
        <v/>
      </c>
      <c r="F387" t="e">
        <f ca="1">_xludf.IFNA(VLOOKUP(B387,'S-FG'!$B$3:$B1001,1,FALSE),"")</f>
        <v>#NAME?</v>
      </c>
      <c r="H387" t="str">
        <f ca="1">IFERROR(__xludf.DUMMYFUNCTION("""COMPUTED_VALUE"""),"AMCA Elec Assy")</f>
        <v>AMCA Elec Assy</v>
      </c>
      <c r="I387" t="str">
        <f ca="1">IFERROR(__xludf.DUMMYFUNCTION("""COMPUTED_VALUE"""),"Momentary Switch JCB")</f>
        <v>Momentary Switch JCB</v>
      </c>
      <c r="J387" s="235">
        <f ca="1">IFERROR(__xludf.DUMMYFUNCTION("""COMPUTED_VALUE"""),1)</f>
        <v>1</v>
      </c>
      <c r="L387">
        <f t="shared" ca="1" si="1"/>
        <v>0</v>
      </c>
      <c r="Q387" t="str">
        <f>IF(N387="","",SUMIFS('PR-BOM'!$D$3:$D1001,'PR-BOM'!$C$3:$C1001,N387))</f>
        <v/>
      </c>
      <c r="Y387" t="str">
        <f>IF(X387="","",SUMIFS(Issue!$D$3:$D1001,Issue!$C$3:$C1001,X387))</f>
        <v/>
      </c>
    </row>
    <row r="388" spans="5:25">
      <c r="E388" t="str">
        <f>IF(A388="","",SUMIFS(Issue!$D$3:$D1001,Issue!$C$3:$C1001,A388)*C388)</f>
        <v/>
      </c>
      <c r="F388" t="e">
        <f ca="1">_xludf.IFNA(VLOOKUP(B388,'S-FG'!$B$3:$B1001,1,FALSE),"")</f>
        <v>#NAME?</v>
      </c>
      <c r="H388" t="str">
        <f ca="1">IFERROR(__xludf.DUMMYFUNCTION("""COMPUTED_VALUE"""),"AMCA Elec Assy")</f>
        <v>AMCA Elec Assy</v>
      </c>
      <c r="I388" t="str">
        <f ca="1">IFERROR(__xludf.DUMMYFUNCTION("""COMPUTED_VALUE"""),"Latching Power switch JCB")</f>
        <v>Latching Power switch JCB</v>
      </c>
      <c r="J388" s="235">
        <f ca="1">IFERROR(__xludf.DUMMYFUNCTION("""COMPUTED_VALUE"""),1)</f>
        <v>1</v>
      </c>
      <c r="L388">
        <f t="shared" ca="1" si="1"/>
        <v>0</v>
      </c>
      <c r="Q388" t="str">
        <f>IF(N388="","",SUMIFS('PR-BOM'!$D$3:$D1001,'PR-BOM'!$C$3:$C1001,N388))</f>
        <v/>
      </c>
      <c r="Y388" t="str">
        <f>IF(X388="","",SUMIFS(Issue!$D$3:$D1001,Issue!$C$3:$C1001,X388))</f>
        <v/>
      </c>
    </row>
    <row r="389" spans="5:25">
      <c r="E389" t="str">
        <f>IF(A389="","",SUMIFS(Issue!$D$3:$D1001,Issue!$C$3:$C1001,A389)*C389)</f>
        <v/>
      </c>
      <c r="F389" t="e">
        <f ca="1">_xludf.IFNA(VLOOKUP(B389,'S-FG'!$B$3:$B1001,1,FALSE),"")</f>
        <v>#NAME?</v>
      </c>
      <c r="H389" t="str">
        <f ca="1">IFERROR(__xludf.DUMMYFUNCTION("""COMPUTED_VALUE"""),"AMCA Elec Assy")</f>
        <v>AMCA Elec Assy</v>
      </c>
      <c r="I389" t="str">
        <f ca="1">IFERROR(__xludf.DUMMYFUNCTION("""COMPUTED_VALUE"""),"PWB for JCB")</f>
        <v>PWB for JCB</v>
      </c>
      <c r="J389" s="235">
        <f ca="1">IFERROR(__xludf.DUMMYFUNCTION("""COMPUTED_VALUE"""),1)</f>
        <v>1</v>
      </c>
      <c r="K389" t="str">
        <f ca="1">IFERROR(__xludf.DUMMYFUNCTION("""COMPUTED_VALUE"""),"#N/A")</f>
        <v>#N/A</v>
      </c>
      <c r="L389">
        <f t="shared" ca="1" si="1"/>
        <v>0</v>
      </c>
      <c r="Q389" t="str">
        <f>IF(N389="","",SUMIFS('PR-BOM'!$D$3:$D1001,'PR-BOM'!$C$3:$C1001,N389))</f>
        <v/>
      </c>
      <c r="Y389" t="str">
        <f>IF(X389="","",SUMIFS(Issue!$D$3:$D1001,Issue!$C$3:$C1001,X389))</f>
        <v/>
      </c>
    </row>
    <row r="390" spans="5:25">
      <c r="E390" t="str">
        <f>IF(A390="","",SUMIFS(Issue!$D$3:$D1001,Issue!$C$3:$C1001,A390)*C390)</f>
        <v/>
      </c>
      <c r="F390" t="e">
        <f ca="1">_xludf.IFNA(VLOOKUP(B390,'S-FG'!$B$3:$B1001,1,FALSE),"")</f>
        <v>#NAME?</v>
      </c>
      <c r="H390" t="str">
        <f ca="1">IFERROR(__xludf.DUMMYFUNCTION("""COMPUTED_VALUE"""),"AMCA Elec Assy")</f>
        <v>AMCA Elec Assy</v>
      </c>
      <c r="I390" t="str">
        <f ca="1">IFERROR(__xludf.DUMMYFUNCTION("""COMPUTED_VALUE"""),"3S, &gt;2Ah Li-Ion cell for JCB")</f>
        <v>3S, &gt;2Ah Li-Ion cell for JCB</v>
      </c>
      <c r="J390" s="235">
        <f ca="1">IFERROR(__xludf.DUMMYFUNCTION("""COMPUTED_VALUE"""),3)</f>
        <v>3</v>
      </c>
      <c r="K390" t="str">
        <f ca="1">IFERROR(__xludf.DUMMYFUNCTION("""COMPUTED_VALUE"""),"#N/A")</f>
        <v>#N/A</v>
      </c>
      <c r="L390">
        <f t="shared" ca="1" si="1"/>
        <v>0</v>
      </c>
      <c r="Q390" t="str">
        <f>IF(N390="","",SUMIFS('PR-BOM'!$D$3:$D1001,'PR-BOM'!$C$3:$C1001,N390))</f>
        <v/>
      </c>
      <c r="Y390" t="str">
        <f>IF(X390="","",SUMIFS(Issue!$D$3:$D1001,Issue!$C$3:$C1001,X390))</f>
        <v/>
      </c>
    </row>
    <row r="391" spans="5:25">
      <c r="E391" t="str">
        <f>IF(A391="","",SUMIFS(Issue!$D$3:$D1001,Issue!$C$3:$C1001,A391)*C391)</f>
        <v/>
      </c>
      <c r="F391" t="e">
        <f ca="1">_xludf.IFNA(VLOOKUP(B391,'S-FG'!$B$3:$B1001,1,FALSE),"")</f>
        <v>#NAME?</v>
      </c>
      <c r="H391" t="str">
        <f ca="1">IFERROR(__xludf.DUMMYFUNCTION("""COMPUTED_VALUE"""),"AMCA Elec Assy")</f>
        <v>AMCA Elec Assy</v>
      </c>
      <c r="I391" t="str">
        <f ca="1">IFERROR(__xludf.DUMMYFUNCTION("""COMPUTED_VALUE"""),"DC JAck Panel Mount")</f>
        <v>DC JAck Panel Mount</v>
      </c>
      <c r="J391" s="235">
        <f ca="1">IFERROR(__xludf.DUMMYFUNCTION("""COMPUTED_VALUE"""),1)</f>
        <v>1</v>
      </c>
      <c r="K391" t="str">
        <f ca="1">IFERROR(__xludf.DUMMYFUNCTION("""COMPUTED_VALUE"""),"#N/A")</f>
        <v>#N/A</v>
      </c>
      <c r="L391">
        <f t="shared" ca="1" si="1"/>
        <v>0</v>
      </c>
      <c r="Q391" t="str">
        <f>IF(N391="","",SUMIFS('PR-BOM'!$D$3:$D1001,'PR-BOM'!$C$3:$C1001,N391))</f>
        <v/>
      </c>
      <c r="Y391" t="str">
        <f>IF(X391="","",SUMIFS(Issue!$D$3:$D1001,Issue!$C$3:$C1001,X391))</f>
        <v/>
      </c>
    </row>
    <row r="392" spans="5:25">
      <c r="E392" t="str">
        <f>IF(A392="","",SUMIFS(Issue!$D$3:$D1001,Issue!$C$3:$C1001,A392)*C392)</f>
        <v/>
      </c>
      <c r="F392" t="e">
        <f ca="1">_xludf.IFNA(VLOOKUP(B392,'S-FG'!$B$3:$B1001,1,FALSE),"")</f>
        <v>#NAME?</v>
      </c>
      <c r="H392" t="str">
        <f ca="1">IFERROR(__xludf.DUMMYFUNCTION("""COMPUTED_VALUE"""),"AMCA Elec Assy")</f>
        <v>AMCA Elec Assy</v>
      </c>
      <c r="I392" t="str">
        <f ca="1">IFERROR(__xludf.DUMMYFUNCTION("""COMPUTED_VALUE"""),"Lead wire 22AWG")</f>
        <v>Lead wire 22AWG</v>
      </c>
      <c r="J392" s="235">
        <f ca="1">IFERROR(__xludf.DUMMYFUNCTION("""COMPUTED_VALUE"""),5)</f>
        <v>5</v>
      </c>
      <c r="L392">
        <f t="shared" ca="1" si="1"/>
        <v>0</v>
      </c>
      <c r="Q392" t="str">
        <f>IF(N392="","",SUMIFS('PR-BOM'!$D$3:$D1001,'PR-BOM'!$C$3:$C1001,N392))</f>
        <v/>
      </c>
      <c r="Y392" t="str">
        <f>IF(X392="","",SUMIFS(Issue!$D$3:$D1001,Issue!$C$3:$C1001,X392))</f>
        <v/>
      </c>
    </row>
    <row r="393" spans="5:25">
      <c r="E393" t="str">
        <f>IF(A393="","",SUMIFS(Issue!$D$3:$D1001,Issue!$C$3:$C1001,A393)*C393)</f>
        <v/>
      </c>
      <c r="F393" t="e">
        <f ca="1">_xludf.IFNA(VLOOKUP(B393,'S-FG'!$B$3:$B1001,1,FALSE),"")</f>
        <v>#NAME?</v>
      </c>
      <c r="H393" t="str">
        <f ca="1">IFERROR(__xludf.DUMMYFUNCTION("""COMPUTED_VALUE"""),"AMCA Elec Assy")</f>
        <v>AMCA Elec Assy</v>
      </c>
      <c r="I393" t="str">
        <f ca="1">IFERROR(__xludf.DUMMYFUNCTION("""COMPUTED_VALUE"""),"16pin IC base")</f>
        <v>16pin IC base</v>
      </c>
      <c r="J393" s="235">
        <f ca="1">IFERROR(__xludf.DUMMYFUNCTION("""COMPUTED_VALUE"""),1)</f>
        <v>1</v>
      </c>
      <c r="L393">
        <f t="shared" ca="1" si="1"/>
        <v>0</v>
      </c>
      <c r="Q393" t="str">
        <f>IF(N393="","",SUMIFS('PR-BOM'!$D$3:$D1001,'PR-BOM'!$C$3:$C1001,N393))</f>
        <v/>
      </c>
      <c r="Y393" t="str">
        <f>IF(X393="","",SUMIFS(Issue!$D$3:$D1001,Issue!$C$3:$C1001,X393))</f>
        <v/>
      </c>
    </row>
    <row r="394" spans="5:25">
      <c r="E394" t="str">
        <f>IF(A394="","",SUMIFS(Issue!$D$3:$D1001,Issue!$C$3:$C1001,A394)*C394)</f>
        <v/>
      </c>
      <c r="F394" t="e">
        <f ca="1">_xludf.IFNA(VLOOKUP(B394,'S-FG'!$B$3:$B1001,1,FALSE),"")</f>
        <v>#NAME?</v>
      </c>
      <c r="H394" t="str">
        <f ca="1">IFERROR(__xludf.DUMMYFUNCTION("""COMPUTED_VALUE"""),"AMCA Elec Assy")</f>
        <v>AMCA Elec Assy</v>
      </c>
      <c r="I394" t="str">
        <f ca="1">IFERROR(__xludf.DUMMYFUNCTION("""COMPUTED_VALUE"""),"ULN2003A THT")</f>
        <v>ULN2003A THT</v>
      </c>
      <c r="J394" s="235">
        <f ca="1">IFERROR(__xludf.DUMMYFUNCTION("""COMPUTED_VALUE"""),1)</f>
        <v>1</v>
      </c>
      <c r="K394" t="str">
        <f ca="1">IFERROR(__xludf.DUMMYFUNCTION("""COMPUTED_VALUE"""),"#N/A")</f>
        <v>#N/A</v>
      </c>
      <c r="L394">
        <f t="shared" ca="1" si="1"/>
        <v>0</v>
      </c>
      <c r="Q394" t="str">
        <f>IF(N394="","",SUMIFS('PR-BOM'!$D$3:$D1001,'PR-BOM'!$C$3:$C1001,N394))</f>
        <v/>
      </c>
      <c r="Y394" t="str">
        <f>IF(X394="","",SUMIFS(Issue!$D$3:$D1001,Issue!$C$3:$C1001,X394))</f>
        <v/>
      </c>
    </row>
    <row r="395" spans="5:25">
      <c r="E395" t="str">
        <f>IF(A395="","",SUMIFS(Issue!$D$3:$D1001,Issue!$C$3:$C1001,A395)*C395)</f>
        <v/>
      </c>
      <c r="F395" t="e">
        <f ca="1">_xludf.IFNA(VLOOKUP(B395,'S-FG'!$B$3:$B1001,1,FALSE),"")</f>
        <v>#NAME?</v>
      </c>
      <c r="H395" t="str">
        <f ca="1">IFERROR(__xludf.DUMMYFUNCTION("""COMPUTED_VALUE"""),"AMCA Elec Assy")</f>
        <v>AMCA Elec Assy</v>
      </c>
      <c r="I395" t="str">
        <f ca="1">IFERROR(__xludf.DUMMYFUNCTION("""COMPUTED_VALUE"""),"iMAx B3 Charger")</f>
        <v>iMAx B3 Charger</v>
      </c>
      <c r="J395" s="235">
        <f ca="1">IFERROR(__xludf.DUMMYFUNCTION("""COMPUTED_VALUE"""),1)</f>
        <v>1</v>
      </c>
      <c r="L395">
        <f t="shared" ca="1" si="1"/>
        <v>0</v>
      </c>
      <c r="Q395" t="str">
        <f>IF(N395="","",SUMIFS('PR-BOM'!$D$3:$D1001,'PR-BOM'!$C$3:$C1001,N395))</f>
        <v/>
      </c>
      <c r="Y395" t="str">
        <f>IF(X395="","",SUMIFS(Issue!$D$3:$D1001,Issue!$C$3:$C1001,X395))</f>
        <v/>
      </c>
    </row>
    <row r="396" spans="5:25">
      <c r="E396" t="str">
        <f>IF(A396="","",SUMIFS(Issue!$D$3:$D1001,Issue!$C$3:$C1001,A396)*C396)</f>
        <v/>
      </c>
      <c r="F396" t="e">
        <f ca="1">_xludf.IFNA(VLOOKUP(B396,'S-FG'!$B$3:$B1001,1,FALSE),"")</f>
        <v>#NAME?</v>
      </c>
      <c r="H396" t="str">
        <f ca="1">IFERROR(__xludf.DUMMYFUNCTION("""COMPUTED_VALUE"""),"AMCA Elec Assy")</f>
        <v>AMCA Elec Assy</v>
      </c>
      <c r="I396" t="str">
        <f ca="1">IFERROR(__xludf.DUMMYFUNCTION("""COMPUTED_VALUE"""),"8core Wire 14/38")</f>
        <v>8core Wire 14/38</v>
      </c>
      <c r="J396" s="235">
        <f ca="1">IFERROR(__xludf.DUMMYFUNCTION("""COMPUTED_VALUE"""),1)</f>
        <v>1</v>
      </c>
      <c r="K396" t="str">
        <f ca="1">IFERROR(__xludf.DUMMYFUNCTION("""COMPUTED_VALUE"""),"#N/A")</f>
        <v>#N/A</v>
      </c>
      <c r="L396">
        <f t="shared" ca="1" si="1"/>
        <v>0</v>
      </c>
      <c r="Q396" t="str">
        <f>IF(N396="","",SUMIFS('PR-BOM'!$D$3:$D1001,'PR-BOM'!$C$3:$C1001,N396))</f>
        <v/>
      </c>
      <c r="Y396" t="str">
        <f>IF(X396="","",SUMIFS(Issue!$D$3:$D1001,Issue!$C$3:$C1001,X396))</f>
        <v/>
      </c>
    </row>
    <row r="397" spans="5:25">
      <c r="E397" t="str">
        <f>IF(A397="","",SUMIFS(Issue!$D$3:$D1001,Issue!$C$3:$C1001,A397)*C397)</f>
        <v/>
      </c>
      <c r="F397" t="e">
        <f ca="1">_xludf.IFNA(VLOOKUP(B397,'S-FG'!$B$3:$B1001,1,FALSE),"")</f>
        <v>#NAME?</v>
      </c>
      <c r="H397" t="str">
        <f ca="1">IFERROR(__xludf.DUMMYFUNCTION("""COMPUTED_VALUE"""),"AMCA Elec Assy")</f>
        <v>AMCA Elec Assy</v>
      </c>
      <c r="I397" t="str">
        <f ca="1">IFERROR(__xludf.DUMMYFUNCTION("""COMPUTED_VALUE"""),"LP12 4 pin plug male clip lock CM")</f>
        <v>LP12 4 pin plug male clip lock CM</v>
      </c>
      <c r="J397" s="235">
        <f ca="1">IFERROR(__xludf.DUMMYFUNCTION("""COMPUTED_VALUE"""),1)</f>
        <v>1</v>
      </c>
      <c r="K397" t="str">
        <f ca="1">IFERROR(__xludf.DUMMYFUNCTION("""COMPUTED_VALUE"""),"LP-12-C04PE-02-001")</f>
        <v>LP-12-C04PE-02-001</v>
      </c>
      <c r="L397">
        <f t="shared" ca="1" si="1"/>
        <v>0</v>
      </c>
      <c r="Q397" t="str">
        <f>IF(N397="","",SUMIFS('PR-BOM'!$D$3:$D1001,'PR-BOM'!$C$3:$C1001,N397))</f>
        <v/>
      </c>
      <c r="Y397" t="str">
        <f>IF(X397="","",SUMIFS(Issue!$D$3:$D1001,Issue!$C$3:$C1001,X397))</f>
        <v/>
      </c>
    </row>
    <row r="398" spans="5:25">
      <c r="E398" t="str">
        <f>IF(A398="","",SUMIFS(Issue!$D$3:$D1001,Issue!$C$3:$C1001,A398)*C398)</f>
        <v/>
      </c>
      <c r="F398" t="e">
        <f ca="1">_xludf.IFNA(VLOOKUP(B398,'S-FG'!$B$3:$B1001,1,FALSE),"")</f>
        <v>#NAME?</v>
      </c>
      <c r="H398" t="str">
        <f ca="1">IFERROR(__xludf.DUMMYFUNCTION("""COMPUTED_VALUE"""),"AMCA Elec Assy")</f>
        <v>AMCA Elec Assy</v>
      </c>
      <c r="I398" t="str">
        <f ca="1">IFERROR(__xludf.DUMMYFUNCTION("""COMPUTED_VALUE"""),"LP12 4 pin socket female clip lock PM")</f>
        <v>LP12 4 pin socket female clip lock PM</v>
      </c>
      <c r="J398" s="235">
        <f ca="1">IFERROR(__xludf.DUMMYFUNCTION("""COMPUTED_VALUE"""),1)</f>
        <v>1</v>
      </c>
      <c r="K398" t="str">
        <f ca="1">IFERROR(__xludf.DUMMYFUNCTION("""COMPUTED_VALUE"""),"LP-12-J04SX-03-001")</f>
        <v>LP-12-J04SX-03-001</v>
      </c>
      <c r="L398">
        <f t="shared" ca="1" si="1"/>
        <v>0</v>
      </c>
      <c r="Q398" t="str">
        <f>IF(N398="","",SUMIFS('PR-BOM'!$D$3:$D1001,'PR-BOM'!$C$3:$C1001,N398))</f>
        <v/>
      </c>
      <c r="Y398" t="str">
        <f>IF(X398="","",SUMIFS(Issue!$D$3:$D1001,Issue!$C$3:$C1001,X398))</f>
        <v/>
      </c>
    </row>
    <row r="399" spans="5:25">
      <c r="E399" t="str">
        <f>IF(A399="","",SUMIFS(Issue!$D$3:$D1001,Issue!$C$3:$C1001,A399)*C399)</f>
        <v/>
      </c>
      <c r="F399" t="e">
        <f ca="1">_xludf.IFNA(VLOOKUP(B399,'S-FG'!$B$3:$B1001,1,FALSE),"")</f>
        <v>#NAME?</v>
      </c>
      <c r="H399" t="str">
        <f ca="1">IFERROR(__xludf.DUMMYFUNCTION("""COMPUTED_VALUE"""),"AMCA Elec Assy")</f>
        <v>AMCA Elec Assy</v>
      </c>
      <c r="I399" t="str">
        <f ca="1">IFERROR(__xludf.DUMMYFUNCTION("""COMPUTED_VALUE"""),"9v Piezo Electric Buzzer")</f>
        <v>9v Piezo Electric Buzzer</v>
      </c>
      <c r="J399" s="235">
        <f ca="1">IFERROR(__xludf.DUMMYFUNCTION("""COMPUTED_VALUE"""),1)</f>
        <v>1</v>
      </c>
      <c r="L399">
        <f t="shared" ca="1" si="1"/>
        <v>0</v>
      </c>
      <c r="Q399" t="str">
        <f>IF(N399="","",SUMIFS('PR-BOM'!$D$3:$D1001,'PR-BOM'!$C$3:$C1001,N399))</f>
        <v/>
      </c>
      <c r="Y399" t="str">
        <f>IF(X399="","",SUMIFS(Issue!$D$3:$D1001,Issue!$C$3:$C1001,X399))</f>
        <v/>
      </c>
    </row>
    <row r="400" spans="5:25">
      <c r="E400" t="str">
        <f>IF(A400="","",SUMIFS(Issue!$D$3:$D1001,Issue!$C$3:$C1001,A400)*C400)</f>
        <v/>
      </c>
      <c r="F400" t="e">
        <f ca="1">_xludf.IFNA(VLOOKUP(B400,'S-FG'!$B$3:$B1001,1,FALSE),"")</f>
        <v>#NAME?</v>
      </c>
      <c r="H400" t="str">
        <f ca="1">IFERROR(__xludf.DUMMYFUNCTION("""COMPUTED_VALUE"""),"AMCA Elec Assy")</f>
        <v>AMCA Elec Assy</v>
      </c>
      <c r="I400" t="str">
        <f ca="1">IFERROR(__xludf.DUMMYFUNCTION("""COMPUTED_VALUE"""),"Female Bergstrip 40x1 2.54mm")</f>
        <v>Female Bergstrip 40x1 2.54mm</v>
      </c>
      <c r="J400" s="235">
        <f ca="1">IFERROR(__xludf.DUMMYFUNCTION("""COMPUTED_VALUE"""),1)</f>
        <v>1</v>
      </c>
      <c r="L400">
        <f t="shared" ca="1" si="1"/>
        <v>0</v>
      </c>
      <c r="Q400" t="str">
        <f>IF(N400="","",SUMIFS('PR-BOM'!$D$3:$D1001,'PR-BOM'!$C$3:$C1001,N400))</f>
        <v/>
      </c>
      <c r="Y400" t="str">
        <f>IF(X400="","",SUMIFS(Issue!$D$3:$D1001,Issue!$C$3:$C1001,X400))</f>
        <v/>
      </c>
    </row>
    <row r="401" spans="5:25">
      <c r="E401" t="str">
        <f>IF(A401="","",SUMIFS(Issue!$D$3:$D1001,Issue!$C$3:$C1001,A401)*C401)</f>
        <v/>
      </c>
      <c r="F401" t="e">
        <f ca="1">_xludf.IFNA(VLOOKUP(B401,'S-FG'!$B$3:$B1001,1,FALSE),"")</f>
        <v>#NAME?</v>
      </c>
      <c r="H401" t="str">
        <f ca="1">IFERROR(__xludf.DUMMYFUNCTION("""COMPUTED_VALUE"""),"AMCA Elec Assy")</f>
        <v>AMCA Elec Assy</v>
      </c>
      <c r="I401" t="str">
        <f ca="1">IFERROR(__xludf.DUMMYFUNCTION("""COMPUTED_VALUE"""),"Male Bergstrip 40x1 2.54mm")</f>
        <v>Male Bergstrip 40x1 2.54mm</v>
      </c>
      <c r="J401" s="235">
        <f ca="1">IFERROR(__xludf.DUMMYFUNCTION("""COMPUTED_VALUE"""),1)</f>
        <v>1</v>
      </c>
      <c r="L401">
        <f t="shared" ca="1" si="1"/>
        <v>0</v>
      </c>
      <c r="Q401" t="str">
        <f>IF(N401="","",SUMIFS('PR-BOM'!$D$3:$D1001,'PR-BOM'!$C$3:$C1001,N401))</f>
        <v/>
      </c>
      <c r="Y401" t="str">
        <f>IF(X401="","",SUMIFS(Issue!$D$3:$D1001,Issue!$C$3:$C1001,X401))</f>
        <v/>
      </c>
    </row>
    <row r="402" spans="5:25">
      <c r="E402" t="str">
        <f>IF(A402="","",SUMIFS(Issue!$D$3:$D1001,Issue!$C$3:$C1001,A402)*C402)</f>
        <v/>
      </c>
      <c r="F402" t="e">
        <f ca="1">_xludf.IFNA(VLOOKUP(B402,'S-FG'!$B$3:$B1001,1,FALSE),"")</f>
        <v>#NAME?</v>
      </c>
      <c r="H402" t="str">
        <f ca="1">IFERROR(__xludf.DUMMYFUNCTION("""COMPUTED_VALUE"""),"AMCA Elec Assy")</f>
        <v>AMCA Elec Assy</v>
      </c>
      <c r="I402" t="str">
        <f ca="1">IFERROR(__xludf.DUMMYFUNCTION("""COMPUTED_VALUE"""),"Conformal Coating")</f>
        <v>Conformal Coating</v>
      </c>
      <c r="J402" s="235">
        <f ca="1">IFERROR(__xludf.DUMMYFUNCTION("""COMPUTED_VALUE"""),10)</f>
        <v>10</v>
      </c>
      <c r="L402">
        <f t="shared" ca="1" si="1"/>
        <v>0</v>
      </c>
      <c r="Q402" t="str">
        <f>IF(N402="","",SUMIFS('PR-BOM'!$D$3:$D1001,'PR-BOM'!$C$3:$C1001,N402))</f>
        <v/>
      </c>
      <c r="Y402" t="str">
        <f>IF(X402="","",SUMIFS(Issue!$D$3:$D1001,Issue!$C$3:$C1001,X402))</f>
        <v/>
      </c>
    </row>
    <row r="403" spans="5:25">
      <c r="E403" t="str">
        <f>IF(A403="","",SUMIFS(Issue!$D$3:$D1001,Issue!$C$3:$C1001,A403)*C403)</f>
        <v/>
      </c>
      <c r="F403" t="e">
        <f ca="1">_xludf.IFNA(VLOOKUP(B403,'S-FG'!$B$3:$B1001,1,FALSE),"")</f>
        <v>#NAME?</v>
      </c>
      <c r="H403" t="str">
        <f ca="1">IFERROR(__xludf.DUMMYFUNCTION("""COMPUTED_VALUE"""),"AMCA Elec Assy")</f>
        <v>AMCA Elec Assy</v>
      </c>
      <c r="I403" t="str">
        <f ca="1">IFERROR(__xludf.DUMMYFUNCTION("""COMPUTED_VALUE"""),"Soldering flux")</f>
        <v>Soldering flux</v>
      </c>
      <c r="J403" s="235">
        <f ca="1">IFERROR(__xludf.DUMMYFUNCTION("""COMPUTED_VALUE"""),2)</f>
        <v>2</v>
      </c>
      <c r="L403">
        <f t="shared" ca="1" si="1"/>
        <v>0</v>
      </c>
      <c r="Q403" t="str">
        <f>IF(N403="","",SUMIFS('PR-BOM'!$D$3:$D1001,'PR-BOM'!$C$3:$C1001,N403))</f>
        <v/>
      </c>
      <c r="Y403" t="str">
        <f>IF(X403="","",SUMIFS(Issue!$D$3:$D1001,Issue!$C$3:$C1001,X403))</f>
        <v/>
      </c>
    </row>
    <row r="404" spans="5:25">
      <c r="E404" t="str">
        <f>IF(A404="","",SUMIFS(Issue!$D$3:$D1001,Issue!$C$3:$C1001,A404)*C404)</f>
        <v/>
      </c>
      <c r="F404" t="e">
        <f ca="1">_xludf.IFNA(VLOOKUP(B404,'S-FG'!$B$3:$B1001,1,FALSE),"")</f>
        <v>#NAME?</v>
      </c>
      <c r="H404" t="str">
        <f ca="1">IFERROR(__xludf.DUMMYFUNCTION("""COMPUTED_VALUE"""),"AMCA Elec Assy")</f>
        <v>AMCA Elec Assy</v>
      </c>
      <c r="I404" t="str">
        <f ca="1">IFERROR(__xludf.DUMMYFUNCTION("""COMPUTED_VALUE"""),"2 pin JST-XH housing")</f>
        <v>2 pin JST-XH housing</v>
      </c>
      <c r="J404" s="235">
        <f ca="1">IFERROR(__xludf.DUMMYFUNCTION("""COMPUTED_VALUE"""),3)</f>
        <v>3</v>
      </c>
      <c r="L404">
        <f t="shared" ca="1" si="1"/>
        <v>0</v>
      </c>
      <c r="Q404" t="str">
        <f>IF(N404="","",SUMIFS('PR-BOM'!$D$3:$D1001,'PR-BOM'!$C$3:$C1001,N404))</f>
        <v/>
      </c>
      <c r="Y404" t="str">
        <f>IF(X404="","",SUMIFS(Issue!$D$3:$D1001,Issue!$C$3:$C1001,X404))</f>
        <v/>
      </c>
    </row>
    <row r="405" spans="5:25">
      <c r="E405" t="str">
        <f>IF(A405="","",SUMIFS(Issue!$D$3:$D1001,Issue!$C$3:$C1001,A405)*C405)</f>
        <v/>
      </c>
      <c r="F405" t="e">
        <f ca="1">_xludf.IFNA(VLOOKUP(B405,'S-FG'!$B$3:$B1001,1,FALSE),"")</f>
        <v>#NAME?</v>
      </c>
      <c r="H405" t="str">
        <f ca="1">IFERROR(__xludf.DUMMYFUNCTION("""COMPUTED_VALUE"""),"AMCA Elec Assy")</f>
        <v>AMCA Elec Assy</v>
      </c>
      <c r="I405" t="str">
        <f ca="1">IFERROR(__xludf.DUMMYFUNCTION("""COMPUTED_VALUE"""),"2 pin JST-XH male top entry")</f>
        <v>2 pin JST-XH male top entry</v>
      </c>
      <c r="J405" s="235">
        <f ca="1">IFERROR(__xludf.DUMMYFUNCTION("""COMPUTED_VALUE"""),3)</f>
        <v>3</v>
      </c>
      <c r="K405" t="str">
        <f ca="1">IFERROR(__xludf.DUMMYFUNCTION("""COMPUTED_VALUE"""),"#N/A")</f>
        <v>#N/A</v>
      </c>
      <c r="L405">
        <f t="shared" ca="1" si="1"/>
        <v>0</v>
      </c>
      <c r="Q405" t="str">
        <f>IF(N405="","",SUMIFS('PR-BOM'!$D$3:$D1001,'PR-BOM'!$C$3:$C1001,N405))</f>
        <v/>
      </c>
      <c r="Y405" t="str">
        <f>IF(X405="","",SUMIFS(Issue!$D$3:$D1001,Issue!$C$3:$C1001,X405))</f>
        <v/>
      </c>
    </row>
    <row r="406" spans="5:25">
      <c r="E406" t="str">
        <f>IF(A406="","",SUMIFS(Issue!$D$3:$D1001,Issue!$C$3:$C1001,A406)*C406)</f>
        <v/>
      </c>
      <c r="F406" t="e">
        <f ca="1">_xludf.IFNA(VLOOKUP(B406,'S-FG'!$B$3:$B1001,1,FALSE),"")</f>
        <v>#NAME?</v>
      </c>
      <c r="H406" t="str">
        <f ca="1">IFERROR(__xludf.DUMMYFUNCTION("""COMPUTED_VALUE"""),"AMCA Elec Assy")</f>
        <v>AMCA Elec Assy</v>
      </c>
      <c r="I406" t="str">
        <f ca="1">IFERROR(__xludf.DUMMYFUNCTION("""COMPUTED_VALUE"""),"3 pin JST-XH male top entry")</f>
        <v>3 pin JST-XH male top entry</v>
      </c>
      <c r="J406" s="235">
        <f ca="1">IFERROR(__xludf.DUMMYFUNCTION("""COMPUTED_VALUE"""),1)</f>
        <v>1</v>
      </c>
      <c r="L406">
        <f t="shared" ca="1" si="1"/>
        <v>0</v>
      </c>
      <c r="Q406" t="str">
        <f>IF(N406="","",SUMIFS('PR-BOM'!$D$3:$D1001,'PR-BOM'!$C$3:$C1001,N406))</f>
        <v/>
      </c>
      <c r="Y406" t="str">
        <f>IF(X406="","",SUMIFS(Issue!$D$3:$D1001,Issue!$C$3:$C1001,X406))</f>
        <v/>
      </c>
    </row>
    <row r="407" spans="5:25">
      <c r="E407" t="str">
        <f>IF(A407="","",SUMIFS(Issue!$D$3:$D1001,Issue!$C$3:$C1001,A407)*C407)</f>
        <v/>
      </c>
      <c r="F407" t="e">
        <f ca="1">_xludf.IFNA(VLOOKUP(B407,'S-FG'!$B$3:$B1001,1,FALSE),"")</f>
        <v>#NAME?</v>
      </c>
      <c r="H407" t="str">
        <f ca="1">IFERROR(__xludf.DUMMYFUNCTION("""COMPUTED_VALUE"""),"AMCA Elec Assy")</f>
        <v>AMCA Elec Assy</v>
      </c>
      <c r="I407" t="str">
        <f ca="1">IFERROR(__xludf.DUMMYFUNCTION("""COMPUTED_VALUE"""),"10cm one sided JST crimped Black")</f>
        <v>10cm one sided JST crimped Black</v>
      </c>
      <c r="J407" s="235">
        <f ca="1">IFERROR(__xludf.DUMMYFUNCTION("""COMPUTED_VALUE"""),2)</f>
        <v>2</v>
      </c>
      <c r="K407" t="str">
        <f ca="1">IFERROR(__xludf.DUMMYFUNCTION("""COMPUTED_VALUE"""),"#N/A")</f>
        <v>#N/A</v>
      </c>
      <c r="L407">
        <f t="shared" ca="1" si="1"/>
        <v>0</v>
      </c>
      <c r="Q407" t="str">
        <f>IF(N407="","",SUMIFS('PR-BOM'!$D$3:$D1001,'PR-BOM'!$C$3:$C1001,N407))</f>
        <v/>
      </c>
      <c r="Y407" t="str">
        <f>IF(X407="","",SUMIFS(Issue!$D$3:$D1001,Issue!$C$3:$C1001,X407))</f>
        <v/>
      </c>
    </row>
    <row r="408" spans="5:25">
      <c r="E408" t="str">
        <f>IF(A408="","",SUMIFS(Issue!$D$3:$D1001,Issue!$C$3:$C1001,A408)*C408)</f>
        <v/>
      </c>
      <c r="F408" t="e">
        <f ca="1">_xludf.IFNA(VLOOKUP(B408,'S-FG'!$B$3:$B1001,1,FALSE),"")</f>
        <v>#NAME?</v>
      </c>
      <c r="H408" t="str">
        <f ca="1">IFERROR(__xludf.DUMMYFUNCTION("""COMPUTED_VALUE"""),"AMCA Elec Assy")</f>
        <v>AMCA Elec Assy</v>
      </c>
      <c r="I408" t="str">
        <f ca="1">IFERROR(__xludf.DUMMYFUNCTION("""COMPUTED_VALUE"""),"10cm one sided JST crimped Red")</f>
        <v>10cm one sided JST crimped Red</v>
      </c>
      <c r="J408" s="235">
        <f ca="1">IFERROR(__xludf.DUMMYFUNCTION("""COMPUTED_VALUE"""),2)</f>
        <v>2</v>
      </c>
      <c r="K408" t="str">
        <f ca="1">IFERROR(__xludf.DUMMYFUNCTION("""COMPUTED_VALUE"""),"#N/A")</f>
        <v>#N/A</v>
      </c>
      <c r="L408">
        <f t="shared" ca="1" si="1"/>
        <v>0</v>
      </c>
      <c r="Q408" t="str">
        <f>IF(N408="","",SUMIFS('PR-BOM'!$D$3:$D1001,'PR-BOM'!$C$3:$C1001,N408))</f>
        <v/>
      </c>
      <c r="Y408" t="str">
        <f>IF(X408="","",SUMIFS(Issue!$D$3:$D1001,Issue!$C$3:$C1001,X408))</f>
        <v/>
      </c>
    </row>
    <row r="409" spans="5:25">
      <c r="E409" t="str">
        <f>IF(A409="","",SUMIFS(Issue!$D$3:$D1001,Issue!$C$3:$C1001,A409)*C409)</f>
        <v/>
      </c>
      <c r="F409" t="e">
        <f ca="1">_xludf.IFNA(VLOOKUP(B409,'S-FG'!$B$3:$B1001,1,FALSE),"")</f>
        <v>#NAME?</v>
      </c>
      <c r="H409" t="str">
        <f ca="1">IFERROR(__xludf.DUMMYFUNCTION("""COMPUTED_VALUE"""),"AMCA Elec Assy")</f>
        <v>AMCA Elec Assy</v>
      </c>
      <c r="I409" t="str">
        <f ca="1">IFERROR(__xludf.DUMMYFUNCTION("""COMPUTED_VALUE"""),"Atmega328P-AU")</f>
        <v>Atmega328P-AU</v>
      </c>
      <c r="J409" s="235">
        <f ca="1">IFERROR(__xludf.DUMMYFUNCTION("""COMPUTED_VALUE"""),1)</f>
        <v>1</v>
      </c>
      <c r="K409" t="str">
        <f ca="1">IFERROR(__xludf.DUMMYFUNCTION("""COMPUTED_VALUE"""),"#N/A")</f>
        <v>#N/A</v>
      </c>
      <c r="L409">
        <f t="shared" ca="1" si="1"/>
        <v>0</v>
      </c>
      <c r="Q409" t="str">
        <f>IF(N409="","",SUMIFS('PR-BOM'!$D$3:$D1001,'PR-BOM'!$C$3:$C1001,N409))</f>
        <v/>
      </c>
      <c r="Y409" t="str">
        <f>IF(X409="","",SUMIFS(Issue!$D$3:$D1001,Issue!$C$3:$C1001,X409))</f>
        <v/>
      </c>
    </row>
    <row r="410" spans="5:25">
      <c r="E410" t="str">
        <f>IF(A410="","",SUMIFS(Issue!$D$3:$D1001,Issue!$C$3:$C1001,A410)*C410)</f>
        <v/>
      </c>
      <c r="F410" t="e">
        <f ca="1">_xludf.IFNA(VLOOKUP(B410,'S-FG'!$B$3:$B1001,1,FALSE),"")</f>
        <v>#NAME?</v>
      </c>
      <c r="H410" t="str">
        <f ca="1">IFERROR(__xludf.DUMMYFUNCTION("""COMPUTED_VALUE"""),"AMCA Elec Assy")</f>
        <v>AMCA Elec Assy</v>
      </c>
      <c r="I410" t="str">
        <f ca="1">IFERROR(__xludf.DUMMYFUNCTION("""COMPUTED_VALUE"""),"Red 14/38 wire")</f>
        <v>Red 14/38 wire</v>
      </c>
      <c r="J410" s="235">
        <f ca="1">IFERROR(__xludf.DUMMYFUNCTION("""COMPUTED_VALUE"""),2)</f>
        <v>2</v>
      </c>
      <c r="L410">
        <f t="shared" ca="1" si="1"/>
        <v>0</v>
      </c>
      <c r="Q410" t="str">
        <f>IF(N410="","",SUMIFS('PR-BOM'!$D$3:$D1001,'PR-BOM'!$C$3:$C1001,N410))</f>
        <v/>
      </c>
      <c r="Y410" t="str">
        <f>IF(X410="","",SUMIFS(Issue!$D$3:$D1001,Issue!$C$3:$C1001,X410))</f>
        <v/>
      </c>
    </row>
    <row r="411" spans="5:25">
      <c r="E411" t="str">
        <f>IF(A411="","",SUMIFS(Issue!$D$3:$D1001,Issue!$C$3:$C1001,A411)*C411)</f>
        <v/>
      </c>
      <c r="F411" t="e">
        <f ca="1">_xludf.IFNA(VLOOKUP(B411,'S-FG'!$B$3:$B1001,1,FALSE),"")</f>
        <v>#NAME?</v>
      </c>
      <c r="H411" t="str">
        <f ca="1">IFERROR(__xludf.DUMMYFUNCTION("""COMPUTED_VALUE"""),"AMCA Elec Assy")</f>
        <v>AMCA Elec Assy</v>
      </c>
      <c r="I411" t="str">
        <f ca="1">IFERROR(__xludf.DUMMYFUNCTION("""COMPUTED_VALUE"""),"Black 14/38 Wire")</f>
        <v>Black 14/38 Wire</v>
      </c>
      <c r="J411" s="235">
        <f ca="1">IFERROR(__xludf.DUMMYFUNCTION("""COMPUTED_VALUE"""),2)</f>
        <v>2</v>
      </c>
      <c r="L411">
        <f t="shared" ca="1" si="1"/>
        <v>0</v>
      </c>
      <c r="Q411" t="str">
        <f>IF(N411="","",SUMIFS('PR-BOM'!$D$3:$D1001,'PR-BOM'!$C$3:$C1001,N411))</f>
        <v/>
      </c>
      <c r="Y411" t="str">
        <f>IF(X411="","",SUMIFS(Issue!$D$3:$D1001,Issue!$C$3:$C1001,X411))</f>
        <v/>
      </c>
    </row>
    <row r="412" spans="5:25">
      <c r="E412" t="str">
        <f>IF(A412="","",SUMIFS(Issue!$D$3:$D1001,Issue!$C$3:$C1001,A412)*C412)</f>
        <v/>
      </c>
      <c r="F412" t="e">
        <f ca="1">_xludf.IFNA(VLOOKUP(B412,'S-FG'!$B$3:$B1001,1,FALSE),"")</f>
        <v>#NAME?</v>
      </c>
      <c r="H412" t="str">
        <f ca="1">IFERROR(__xludf.DUMMYFUNCTION("""COMPUTED_VALUE"""),"AMCA Elec Assy")</f>
        <v>AMCA Elec Assy</v>
      </c>
      <c r="I412" t="str">
        <f ca="1">IFERROR(__xludf.DUMMYFUNCTION("""COMPUTED_VALUE"""),"Yellow 14/38 Wire")</f>
        <v>Yellow 14/38 Wire</v>
      </c>
      <c r="J412" s="235">
        <f ca="1">IFERROR(__xludf.DUMMYFUNCTION("""COMPUTED_VALUE"""),2)</f>
        <v>2</v>
      </c>
      <c r="L412">
        <f t="shared" ca="1" si="1"/>
        <v>0</v>
      </c>
      <c r="Q412" t="str">
        <f>IF(N412="","",SUMIFS('PR-BOM'!$D$3:$D1001,'PR-BOM'!$C$3:$C1001,N412))</f>
        <v/>
      </c>
      <c r="Y412" t="str">
        <f>IF(X412="","",SUMIFS(Issue!$D$3:$D1001,Issue!$C$3:$C1001,X412))</f>
        <v/>
      </c>
    </row>
    <row r="413" spans="5:25">
      <c r="E413" t="str">
        <f>IF(A413="","",SUMIFS(Issue!$D$3:$D1001,Issue!$C$3:$C1001,A413)*C413)</f>
        <v/>
      </c>
      <c r="F413" t="e">
        <f ca="1">_xludf.IFNA(VLOOKUP(B413,'S-FG'!$B$3:$B1001,1,FALSE),"")</f>
        <v>#NAME?</v>
      </c>
      <c r="H413" t="str">
        <f ca="1">IFERROR(__xludf.DUMMYFUNCTION("""COMPUTED_VALUE"""),"AMCA Elec Assy")</f>
        <v>AMCA Elec Assy</v>
      </c>
      <c r="I413" t="str">
        <f ca="1">IFERROR(__xludf.DUMMYFUNCTION("""COMPUTED_VALUE"""),"3S BMS")</f>
        <v>3S BMS</v>
      </c>
      <c r="J413" s="235">
        <f ca="1">IFERROR(__xludf.DUMMYFUNCTION("""COMPUTED_VALUE"""),1)</f>
        <v>1</v>
      </c>
      <c r="L413">
        <f t="shared" ca="1" si="1"/>
        <v>0</v>
      </c>
      <c r="Q413" t="str">
        <f>IF(N413="","",SUMIFS('PR-BOM'!$D$3:$D1001,'PR-BOM'!$C$3:$C1001,N413))</f>
        <v/>
      </c>
      <c r="Y413" t="str">
        <f>IF(X413="","",SUMIFS(Issue!$D$3:$D1001,Issue!$C$3:$C1001,X413))</f>
        <v/>
      </c>
    </row>
    <row r="414" spans="5:25">
      <c r="E414" t="str">
        <f>IF(A414="","",SUMIFS(Issue!$D$3:$D1001,Issue!$C$3:$C1001,A414)*C414)</f>
        <v/>
      </c>
      <c r="F414" t="e">
        <f ca="1">_xludf.IFNA(VLOOKUP(B414,'S-FG'!$B$3:$B1001,1,FALSE),"")</f>
        <v>#NAME?</v>
      </c>
      <c r="H414" t="str">
        <f ca="1">IFERROR(__xludf.DUMMYFUNCTION("""COMPUTED_VALUE"""),"AMCA Elec Assy")</f>
        <v>AMCA Elec Assy</v>
      </c>
      <c r="I414" t="str">
        <f ca="1">IFERROR(__xludf.DUMMYFUNCTION("""COMPUTED_VALUE"""),"130x80x60 enclosure box")</f>
        <v>130x80x60 enclosure box</v>
      </c>
      <c r="J414" s="235">
        <f ca="1">IFERROR(__xludf.DUMMYFUNCTION("""COMPUTED_VALUE"""),1)</f>
        <v>1</v>
      </c>
      <c r="L414">
        <f t="shared" ca="1" si="1"/>
        <v>0</v>
      </c>
      <c r="Q414" t="str">
        <f>IF(N414="","",SUMIFS('PR-BOM'!$D$3:$D1001,'PR-BOM'!$C$3:$C1001,N414))</f>
        <v/>
      </c>
      <c r="Y414" t="str">
        <f>IF(X414="","",SUMIFS(Issue!$D$3:$D1001,Issue!$C$3:$C1001,X414))</f>
        <v/>
      </c>
    </row>
    <row r="415" spans="5:25">
      <c r="E415" t="str">
        <f>IF(A415="","",SUMIFS(Issue!$D$3:$D1001,Issue!$C$3:$C1001,A415)*C415)</f>
        <v/>
      </c>
      <c r="F415" t="e">
        <f ca="1">_xludf.IFNA(VLOOKUP(B415,'S-FG'!$B$3:$B1001,1,FALSE),"")</f>
        <v>#NAME?</v>
      </c>
      <c r="H415" t="str">
        <f ca="1">IFERROR(__xludf.DUMMYFUNCTION("""COMPUTED_VALUE"""),"AMCA Elec Assy")</f>
        <v>AMCA Elec Assy</v>
      </c>
      <c r="I415" t="str">
        <f ca="1">IFERROR(__xludf.DUMMYFUNCTION("""COMPUTED_VALUE"""),"2mm male bullet connector")</f>
        <v>2mm male bullet connector</v>
      </c>
      <c r="J415" s="235">
        <f ca="1">IFERROR(__xludf.DUMMYFUNCTION("""COMPUTED_VALUE"""),6)</f>
        <v>6</v>
      </c>
      <c r="K415" t="str">
        <f ca="1">IFERROR(__xludf.DUMMYFUNCTION("""COMPUTED_VALUE"""),"#N/A")</f>
        <v>#N/A</v>
      </c>
      <c r="L415">
        <f t="shared" ca="1" si="1"/>
        <v>0</v>
      </c>
      <c r="Q415" t="str">
        <f>IF(N415="","",SUMIFS('PR-BOM'!$D$3:$D1001,'PR-BOM'!$C$3:$C1001,N415))</f>
        <v/>
      </c>
      <c r="Y415" t="str">
        <f>IF(X415="","",SUMIFS(Issue!$D$3:$D1001,Issue!$C$3:$C1001,X415))</f>
        <v/>
      </c>
    </row>
    <row r="416" spans="5:25">
      <c r="E416" t="str">
        <f>IF(A416="","",SUMIFS(Issue!$D$3:$D1001,Issue!$C$3:$C1001,A416)*C416)</f>
        <v/>
      </c>
      <c r="F416" t="e">
        <f ca="1">_xludf.IFNA(VLOOKUP(B416,'S-FG'!$B$3:$B1001,1,FALSE),"")</f>
        <v>#NAME?</v>
      </c>
      <c r="H416" t="str">
        <f ca="1">IFERROR(__xludf.DUMMYFUNCTION("""COMPUTED_VALUE"""),"AMCA Elec Assy")</f>
        <v>AMCA Elec Assy</v>
      </c>
      <c r="I416" t="str">
        <f ca="1">IFERROR(__xludf.DUMMYFUNCTION("""COMPUTED_VALUE"""),"2mm Female Bullet connector")</f>
        <v>2mm Female Bullet connector</v>
      </c>
      <c r="J416" s="235">
        <f ca="1">IFERROR(__xludf.DUMMYFUNCTION("""COMPUTED_VALUE"""),6)</f>
        <v>6</v>
      </c>
      <c r="K416" t="str">
        <f ca="1">IFERROR(__xludf.DUMMYFUNCTION("""COMPUTED_VALUE"""),"#N/A")</f>
        <v>#N/A</v>
      </c>
      <c r="L416">
        <f t="shared" ca="1" si="1"/>
        <v>0</v>
      </c>
      <c r="Q416" t="str">
        <f>IF(N416="","",SUMIFS('PR-BOM'!$D$3:$D1001,'PR-BOM'!$C$3:$C1001,N416))</f>
        <v/>
      </c>
      <c r="Y416" t="str">
        <f>IF(X416="","",SUMIFS(Issue!$D$3:$D1001,Issue!$C$3:$C1001,X416))</f>
        <v/>
      </c>
    </row>
    <row r="417" spans="5:25">
      <c r="E417" t="str">
        <f>IF(A417="","",SUMIFS(Issue!$D$3:$D1001,Issue!$C$3:$C1001,A417)*C417)</f>
        <v/>
      </c>
      <c r="F417" t="e">
        <f ca="1">_xludf.IFNA(VLOOKUP(B417,'S-FG'!$B$3:$B1001,1,FALSE),"")</f>
        <v>#NAME?</v>
      </c>
      <c r="H417" t="str">
        <f ca="1">IFERROR(__xludf.DUMMYFUNCTION("""COMPUTED_VALUE"""),"AMCA Elec Assy")</f>
        <v>AMCA Elec Assy</v>
      </c>
      <c r="I417" t="str">
        <f ca="1">IFERROR(__xludf.DUMMYFUNCTION("""COMPUTED_VALUE"""),"HeatShrink Tube 3:1")</f>
        <v>HeatShrink Tube 3:1</v>
      </c>
      <c r="J417" s="235">
        <f ca="1">IFERROR(__xludf.DUMMYFUNCTION("""COMPUTED_VALUE"""),0.12)</f>
        <v>0.12</v>
      </c>
      <c r="K417" t="str">
        <f ca="1">IFERROR(__xludf.DUMMYFUNCTION("""COMPUTED_VALUE"""),"#N/A")</f>
        <v>#N/A</v>
      </c>
      <c r="L417">
        <f t="shared" ca="1" si="1"/>
        <v>0</v>
      </c>
      <c r="Q417" t="str">
        <f>IF(N417="","",SUMIFS('PR-BOM'!$D$3:$D1001,'PR-BOM'!$C$3:$C1001,N417))</f>
        <v/>
      </c>
      <c r="Y417" t="str">
        <f>IF(X417="","",SUMIFS(Issue!$D$3:$D1001,Issue!$C$3:$C1001,X417))</f>
        <v/>
      </c>
    </row>
    <row r="418" spans="5:25">
      <c r="E418" t="str">
        <f>IF(A418="","",SUMIFS(Issue!$D$3:$D1001,Issue!$C$3:$C1001,A418)*C418)</f>
        <v/>
      </c>
      <c r="F418" t="e">
        <f ca="1">_xludf.IFNA(VLOOKUP(B418,'S-FG'!$B$3:$B1001,1,FALSE),"")</f>
        <v>#NAME?</v>
      </c>
      <c r="H418" t="str">
        <f ca="1">IFERROR(__xludf.DUMMYFUNCTION("""COMPUTED_VALUE"""),"AMCA Elec Assy")</f>
        <v>AMCA Elec Assy</v>
      </c>
      <c r="I418" t="str">
        <f ca="1">IFERROR(__xludf.DUMMYFUNCTION("""COMPUTED_VALUE"""),"Teroson MS930")</f>
        <v>Teroson MS930</v>
      </c>
      <c r="J418" s="235">
        <f ca="1">IFERROR(__xludf.DUMMYFUNCTION("""COMPUTED_VALUE"""),10)</f>
        <v>10</v>
      </c>
      <c r="K418" t="str">
        <f ca="1">IFERROR(__xludf.DUMMYFUNCTION("""COMPUTED_VALUE"""),"#N/A")</f>
        <v>#N/A</v>
      </c>
      <c r="L418">
        <f t="shared" ca="1" si="1"/>
        <v>0</v>
      </c>
      <c r="Q418" t="str">
        <f>IF(N418="","",SUMIFS('PR-BOM'!$D$3:$D1001,'PR-BOM'!$C$3:$C1001,N418))</f>
        <v/>
      </c>
      <c r="Y418" t="str">
        <f>IF(X418="","",SUMIFS(Issue!$D$3:$D1001,Issue!$C$3:$C1001,X418))</f>
        <v/>
      </c>
    </row>
    <row r="419" spans="5:25">
      <c r="E419" t="str">
        <f>IF(A419="","",SUMIFS(Issue!$D$3:$D1001,Issue!$C$3:$C1001,A419)*C419)</f>
        <v/>
      </c>
      <c r="F419" t="e">
        <f ca="1">_xludf.IFNA(VLOOKUP(B419,'S-FG'!$B$3:$B1001,1,FALSE),"")</f>
        <v>#NAME?</v>
      </c>
      <c r="H419" t="str">
        <f ca="1">IFERROR(__xludf.DUMMYFUNCTION("""COMPUTED_VALUE"""),"AMCA Mech Assy")</f>
        <v>AMCA Mech Assy</v>
      </c>
      <c r="I419" t="str">
        <f ca="1">IFERROR(__xludf.DUMMYFUNCTION("""COMPUTED_VALUE"""),"JCB Body cum mounting frame")</f>
        <v>JCB Body cum mounting frame</v>
      </c>
      <c r="J419" s="235">
        <f ca="1">IFERROR(__xludf.DUMMYFUNCTION("""COMPUTED_VALUE"""),1)</f>
        <v>1</v>
      </c>
      <c r="L419">
        <f t="shared" ca="1" si="1"/>
        <v>0</v>
      </c>
      <c r="Q419" t="str">
        <f>IF(N419="","",SUMIFS('PR-BOM'!$D$3:$D1001,'PR-BOM'!$C$3:$C1001,N419))</f>
        <v/>
      </c>
      <c r="Y419" t="str">
        <f>IF(X419="","",SUMIFS(Issue!$D$3:$D1001,Issue!$C$3:$C1001,X419))</f>
        <v/>
      </c>
    </row>
    <row r="420" spans="5:25">
      <c r="E420" t="str">
        <f>IF(A420="","",SUMIFS(Issue!$D$3:$D1001,Issue!$C$3:$C1001,A420)*C420)</f>
        <v/>
      </c>
      <c r="F420" t="e">
        <f ca="1">_xludf.IFNA(VLOOKUP(B420,'S-FG'!$B$3:$B1001,1,FALSE),"")</f>
        <v>#NAME?</v>
      </c>
      <c r="H420" t="str">
        <f ca="1">IFERROR(__xludf.DUMMYFUNCTION("""COMPUTED_VALUE"""),"AMCA Mech Assy")</f>
        <v>AMCA Mech Assy</v>
      </c>
      <c r="I420" t="str">
        <f ca="1">IFERROR(__xludf.DUMMYFUNCTION("""COMPUTED_VALUE"""),"flow sensor Clamp")</f>
        <v>flow sensor Clamp</v>
      </c>
      <c r="J420" s="235">
        <f ca="1">IFERROR(__xludf.DUMMYFUNCTION("""COMPUTED_VALUE"""),2)</f>
        <v>2</v>
      </c>
      <c r="L420">
        <f t="shared" ca="1" si="1"/>
        <v>0</v>
      </c>
      <c r="Q420" t="str">
        <f>IF(N420="","",SUMIFS('PR-BOM'!$D$3:$D1001,'PR-BOM'!$C$3:$C1001,N420))</f>
        <v/>
      </c>
      <c r="Y420" t="str">
        <f>IF(X420="","",SUMIFS(Issue!$D$3:$D1001,Issue!$C$3:$C1001,X420))</f>
        <v/>
      </c>
    </row>
    <row r="421" spans="5:25">
      <c r="E421" t="str">
        <f>IF(A421="","",SUMIFS(Issue!$D$3:$D1001,Issue!$C$3:$C1001,A421)*C421)</f>
        <v/>
      </c>
      <c r="F421" t="e">
        <f ca="1">_xludf.IFNA(VLOOKUP(B421,'S-FG'!$B$3:$B1001,1,FALSE),"")</f>
        <v>#NAME?</v>
      </c>
      <c r="H421" t="str">
        <f ca="1">IFERROR(__xludf.DUMMYFUNCTION("""COMPUTED_VALUE"""),"AMCA Mech Assy")</f>
        <v>AMCA Mech Assy</v>
      </c>
      <c r="I421" t="str">
        <f ca="1">IFERROR(__xludf.DUMMYFUNCTION("""COMPUTED_VALUE"""),"Water tank with clamp")</f>
        <v>Water tank with clamp</v>
      </c>
      <c r="J421" s="235">
        <f ca="1">IFERROR(__xludf.DUMMYFUNCTION("""COMPUTED_VALUE"""),1)</f>
        <v>1</v>
      </c>
      <c r="K421" t="str">
        <f ca="1">IFERROR(__xludf.DUMMYFUNCTION("""COMPUTED_VALUE"""),"#N/A")</f>
        <v>#N/A</v>
      </c>
      <c r="L421">
        <f t="shared" ca="1" si="1"/>
        <v>0</v>
      </c>
      <c r="Q421" t="str">
        <f>IF(N421="","",SUMIFS('PR-BOM'!$D$3:$D1001,'PR-BOM'!$C$3:$C1001,N421))</f>
        <v/>
      </c>
      <c r="Y421" t="str">
        <f>IF(X421="","",SUMIFS(Issue!$D$3:$D1001,Issue!$C$3:$C1001,X421))</f>
        <v/>
      </c>
    </row>
    <row r="422" spans="5:25">
      <c r="E422" t="str">
        <f>IF(A422="","",SUMIFS(Issue!$D$3:$D1001,Issue!$C$3:$C1001,A422)*C422)</f>
        <v/>
      </c>
      <c r="F422" t="e">
        <f ca="1">_xludf.IFNA(VLOOKUP(B422,'S-FG'!$B$3:$B1001,1,FALSE),"")</f>
        <v>#NAME?</v>
      </c>
      <c r="H422" t="str">
        <f ca="1">IFERROR(__xludf.DUMMYFUNCTION("""COMPUTED_VALUE"""),"AMCA Mech Assy")</f>
        <v>AMCA Mech Assy</v>
      </c>
      <c r="I422" t="str">
        <f ca="1">IFERROR(__xludf.DUMMYFUNCTION("""COMPUTED_VALUE"""),"M5x10 Allen / M5x12")</f>
        <v>M5x10 Allen / M5x12</v>
      </c>
      <c r="J422" s="235">
        <f ca="1">IFERROR(__xludf.DUMMYFUNCTION("""COMPUTED_VALUE"""),10)</f>
        <v>10</v>
      </c>
      <c r="K422" t="str">
        <f ca="1">IFERROR(__xludf.DUMMYFUNCTION("""COMPUTED_VALUE"""),"#N/A")</f>
        <v>#N/A</v>
      </c>
      <c r="L422">
        <f t="shared" ca="1" si="1"/>
        <v>0</v>
      </c>
      <c r="Q422" t="str">
        <f>IF(N422="","",SUMIFS('PR-BOM'!$D$3:$D1001,'PR-BOM'!$C$3:$C1001,N422))</f>
        <v/>
      </c>
      <c r="Y422" t="str">
        <f>IF(X422="","",SUMIFS(Issue!$D$3:$D1001,Issue!$C$3:$C1001,X422))</f>
        <v/>
      </c>
    </row>
    <row r="423" spans="5:25">
      <c r="E423" t="str">
        <f>IF(A423="","",SUMIFS(Issue!$D$3:$D1001,Issue!$C$3:$C1001,A423)*C423)</f>
        <v/>
      </c>
      <c r="F423" t="e">
        <f ca="1">_xludf.IFNA(VLOOKUP(B423,'S-FG'!$B$3:$B1001,1,FALSE),"")</f>
        <v>#NAME?</v>
      </c>
      <c r="H423" t="str">
        <f ca="1">IFERROR(__xludf.DUMMYFUNCTION("""COMPUTED_VALUE"""),"AMCA Mech Assy")</f>
        <v>AMCA Mech Assy</v>
      </c>
      <c r="I423" t="str">
        <f ca="1">IFERROR(__xludf.DUMMYFUNCTION("""COMPUTED_VALUE"""),"M4x12 Allen Head")</f>
        <v>M4x12 Allen Head</v>
      </c>
      <c r="J423" s="235">
        <f ca="1">IFERROR(__xludf.DUMMYFUNCTION("""COMPUTED_VALUE"""),4)</f>
        <v>4</v>
      </c>
      <c r="K423" t="str">
        <f ca="1">IFERROR(__xludf.DUMMYFUNCTION("""COMPUTED_VALUE"""),"#N/A")</f>
        <v>#N/A</v>
      </c>
      <c r="L423">
        <f t="shared" ca="1" si="1"/>
        <v>0</v>
      </c>
      <c r="Q423" t="str">
        <f>IF(N423="","",SUMIFS('PR-BOM'!$D$3:$D1001,'PR-BOM'!$C$3:$C1001,N423))</f>
        <v/>
      </c>
      <c r="Y423" t="str">
        <f>IF(X423="","",SUMIFS(Issue!$D$3:$D1001,Issue!$C$3:$C1001,X423))</f>
        <v/>
      </c>
    </row>
    <row r="424" spans="5:25">
      <c r="E424" t="str">
        <f>IF(A424="","",SUMIFS(Issue!$D$3:$D1001,Issue!$C$3:$C1001,A424)*C424)</f>
        <v/>
      </c>
      <c r="F424" t="e">
        <f ca="1">_xludf.IFNA(VLOOKUP(B424,'S-FG'!$B$3:$B1001,1,FALSE),"")</f>
        <v>#NAME?</v>
      </c>
      <c r="H424" t="str">
        <f ca="1">IFERROR(__xludf.DUMMYFUNCTION("""COMPUTED_VALUE"""),"AMCA Mech Assy")</f>
        <v>AMCA Mech Assy</v>
      </c>
      <c r="I424" t="str">
        <f ca="1">IFERROR(__xludf.DUMMYFUNCTION("""COMPUTED_VALUE"""),"M4x16 Allen Head")</f>
        <v>M4x16 Allen Head</v>
      </c>
      <c r="J424" s="235">
        <f ca="1">IFERROR(__xludf.DUMMYFUNCTION("""COMPUTED_VALUE"""),6)</f>
        <v>6</v>
      </c>
      <c r="K424" t="str">
        <f ca="1">IFERROR(__xludf.DUMMYFUNCTION("""COMPUTED_VALUE"""),"#N/A")</f>
        <v>#N/A</v>
      </c>
      <c r="L424">
        <f t="shared" ca="1" si="1"/>
        <v>0</v>
      </c>
      <c r="Q424" t="str">
        <f>IF(N424="","",SUMIFS('PR-BOM'!$D$3:$D1001,'PR-BOM'!$C$3:$C1001,N424))</f>
        <v/>
      </c>
      <c r="Y424" t="str">
        <f>IF(X424="","",SUMIFS(Issue!$D$3:$D1001,Issue!$C$3:$C1001,X424))</f>
        <v/>
      </c>
    </row>
    <row r="425" spans="5:25">
      <c r="E425" t="str">
        <f>IF(A425="","",SUMIFS(Issue!$D$3:$D1001,Issue!$C$3:$C1001,A425)*C425)</f>
        <v/>
      </c>
      <c r="F425" t="e">
        <f ca="1">_xludf.IFNA(VLOOKUP(B425,'S-FG'!$B$3:$B1001,1,FALSE),"")</f>
        <v>#NAME?</v>
      </c>
      <c r="H425" t="str">
        <f ca="1">IFERROR(__xludf.DUMMYFUNCTION("""COMPUTED_VALUE"""),"AMCA Mech Assy")</f>
        <v>AMCA Mech Assy</v>
      </c>
      <c r="I425" t="str">
        <f ca="1">IFERROR(__xludf.DUMMYFUNCTION("""COMPUTED_VALUE"""),"M4 Nyloc")</f>
        <v>M4 Nyloc</v>
      </c>
      <c r="J425" s="235">
        <f ca="1">IFERROR(__xludf.DUMMYFUNCTION("""COMPUTED_VALUE"""),10)</f>
        <v>10</v>
      </c>
      <c r="K425" t="str">
        <f ca="1">IFERROR(__xludf.DUMMYFUNCTION("""COMPUTED_VALUE"""),"#N/A")</f>
        <v>#N/A</v>
      </c>
      <c r="L425">
        <f t="shared" ca="1" si="1"/>
        <v>0</v>
      </c>
      <c r="Q425" t="str">
        <f>IF(N425="","",SUMIFS('PR-BOM'!$D$3:$D1001,'PR-BOM'!$C$3:$C1001,N425))</f>
        <v/>
      </c>
      <c r="Y425" t="str">
        <f>IF(X425="","",SUMIFS(Issue!$D$3:$D1001,Issue!$C$3:$C1001,X425))</f>
        <v/>
      </c>
    </row>
    <row r="426" spans="5:25">
      <c r="E426" t="str">
        <f>IF(A426="","",SUMIFS(Issue!$D$3:$D1001,Issue!$C$3:$C1001,A426)*C426)</f>
        <v/>
      </c>
      <c r="F426" t="e">
        <f ca="1">_xludf.IFNA(VLOOKUP(B426,'S-FG'!$B$3:$B1001,1,FALSE),"")</f>
        <v>#NAME?</v>
      </c>
      <c r="H426" t="str">
        <f ca="1">IFERROR(__xludf.DUMMYFUNCTION("""COMPUTED_VALUE"""),"AMCA Mech Assy")</f>
        <v>AMCA Mech Assy</v>
      </c>
      <c r="I426" t="str">
        <f ca="1">IFERROR(__xludf.DUMMYFUNCTION("""COMPUTED_VALUE"""),"M4 Spring washer")</f>
        <v>M4 Spring washer</v>
      </c>
      <c r="J426" s="235">
        <f ca="1">IFERROR(__xludf.DUMMYFUNCTION("""COMPUTED_VALUE"""),10)</f>
        <v>10</v>
      </c>
      <c r="K426" t="str">
        <f ca="1">IFERROR(__xludf.DUMMYFUNCTION("""COMPUTED_VALUE"""),"#N/A")</f>
        <v>#N/A</v>
      </c>
      <c r="L426">
        <f t="shared" ca="1" si="1"/>
        <v>0</v>
      </c>
      <c r="Q426" t="str">
        <f>IF(N426="","",SUMIFS('PR-BOM'!$D$3:$D1001,'PR-BOM'!$C$3:$C1001,N426))</f>
        <v/>
      </c>
      <c r="Y426" t="str">
        <f>IF(X426="","",SUMIFS(Issue!$D$3:$D1001,Issue!$C$3:$C1001,X426))</f>
        <v/>
      </c>
    </row>
    <row r="427" spans="5:25">
      <c r="E427" t="str">
        <f>IF(A427="","",SUMIFS(Issue!$D$3:$D1001,Issue!$C$3:$C1001,A427)*C427)</f>
        <v/>
      </c>
      <c r="F427" t="e">
        <f ca="1">_xludf.IFNA(VLOOKUP(B427,'S-FG'!$B$3:$B1001,1,FALSE),"")</f>
        <v>#NAME?</v>
      </c>
      <c r="H427" t="str">
        <f ca="1">IFERROR(__xludf.DUMMYFUNCTION("""COMPUTED_VALUE"""),"AMCA Mech Assy")</f>
        <v>AMCA Mech Assy</v>
      </c>
      <c r="I427" t="str">
        <f ca="1">IFERROR(__xludf.DUMMYFUNCTION("""COMPUTED_VALUE"""),"M4x12 plain washer")</f>
        <v>M4x12 plain washer</v>
      </c>
      <c r="J427" s="235">
        <f ca="1">IFERROR(__xludf.DUMMYFUNCTION("""COMPUTED_VALUE"""),14)</f>
        <v>14</v>
      </c>
      <c r="K427" t="str">
        <f ca="1">IFERROR(__xludf.DUMMYFUNCTION("""COMPUTED_VALUE"""),"#N/A")</f>
        <v>#N/A</v>
      </c>
      <c r="L427">
        <f t="shared" ca="1" si="1"/>
        <v>0</v>
      </c>
      <c r="Q427" t="str">
        <f>IF(N427="","",SUMIFS('PR-BOM'!$D$3:$D1001,'PR-BOM'!$C$3:$C1001,N427))</f>
        <v/>
      </c>
      <c r="Y427" t="str">
        <f>IF(X427="","",SUMIFS(Issue!$D$3:$D1001,Issue!$C$3:$C1001,X427))</f>
        <v/>
      </c>
    </row>
    <row r="428" spans="5:25">
      <c r="E428" t="str">
        <f>IF(A428="","",SUMIFS(Issue!$D$3:$D1001,Issue!$C$3:$C1001,A428)*C428)</f>
        <v/>
      </c>
      <c r="F428" t="e">
        <f ca="1">_xludf.IFNA(VLOOKUP(B428,'S-FG'!$B$3:$B1001,1,FALSE),"")</f>
        <v>#NAME?</v>
      </c>
      <c r="H428" t="str">
        <f ca="1">IFERROR(__xludf.DUMMYFUNCTION("""COMPUTED_VALUE"""),"AMCA Mech Assy")</f>
        <v>AMCA Mech Assy</v>
      </c>
      <c r="I428" t="str">
        <f ca="1">IFERROR(__xludf.DUMMYFUNCTION("""COMPUTED_VALUE"""),"Brass nozzle for water outlet from JCB")</f>
        <v>Brass nozzle for water outlet from JCB</v>
      </c>
      <c r="J428" s="235">
        <f ca="1">IFERROR(__xludf.DUMMYFUNCTION("""COMPUTED_VALUE"""),1)</f>
        <v>1</v>
      </c>
      <c r="L428">
        <f t="shared" ca="1" si="1"/>
        <v>0</v>
      </c>
      <c r="Q428" t="str">
        <f>IF(N428="","",SUMIFS('PR-BOM'!$D$3:$D1001,'PR-BOM'!$C$3:$C1001,N428))</f>
        <v/>
      </c>
      <c r="Y428" t="str">
        <f>IF(X428="","",SUMIFS(Issue!$D$3:$D1001,Issue!$C$3:$C1001,X428))</f>
        <v/>
      </c>
    </row>
    <row r="429" spans="5:25">
      <c r="E429" t="str">
        <f>IF(A429="","",SUMIFS(Issue!$D$3:$D1001,Issue!$C$3:$C1001,A429)*C429)</f>
        <v/>
      </c>
      <c r="F429" t="e">
        <f ca="1">_xludf.IFNA(VLOOKUP(B429,'S-FG'!$B$3:$B1001,1,FALSE),"")</f>
        <v>#NAME?</v>
      </c>
      <c r="H429" t="str">
        <f ca="1">IFERROR(__xludf.DUMMYFUNCTION("""COMPUTED_VALUE"""),"AMCA Mech Assy")</f>
        <v>AMCA Mech Assy</v>
      </c>
      <c r="I429" t="str">
        <f ca="1">IFERROR(__xludf.DUMMYFUNCTION("""COMPUTED_VALUE"""),"8 mm OD pneaumatic pipe")</f>
        <v>8 mm OD pneaumatic pipe</v>
      </c>
      <c r="J429" s="235">
        <f ca="1">IFERROR(__xludf.DUMMYFUNCTION("""COMPUTED_VALUE"""),0.5)</f>
        <v>0.5</v>
      </c>
      <c r="L429">
        <f t="shared" ca="1" si="1"/>
        <v>0</v>
      </c>
      <c r="Q429" t="str">
        <f>IF(N429="","",SUMIFS('PR-BOM'!$D$3:$D1001,'PR-BOM'!$C$3:$C1001,N429))</f>
        <v/>
      </c>
      <c r="Y429" t="str">
        <f>IF(X429="","",SUMIFS(Issue!$D$3:$D1001,Issue!$C$3:$C1001,X429))</f>
        <v/>
      </c>
    </row>
    <row r="430" spans="5:25">
      <c r="E430" t="str">
        <f>IF(A430="","",SUMIFS(Issue!$D$3:$D1001,Issue!$C$3:$C1001,A430)*C430)</f>
        <v/>
      </c>
      <c r="F430" t="e">
        <f ca="1">_xludf.IFNA(VLOOKUP(B430,'S-FG'!$B$3:$B1001,1,FALSE),"")</f>
        <v>#NAME?</v>
      </c>
      <c r="H430" t="str">
        <f ca="1">IFERROR(__xludf.DUMMYFUNCTION("""COMPUTED_VALUE"""),"AMCA Mech Assy")</f>
        <v>AMCA Mech Assy</v>
      </c>
      <c r="I430" t="str">
        <f ca="1">IFERROR(__xludf.DUMMYFUNCTION("""COMPUTED_VALUE"""),"12 to 8 reducer with lock clips")</f>
        <v>12 to 8 reducer with lock clips</v>
      </c>
      <c r="J430" s="235">
        <f ca="1">IFERROR(__xludf.DUMMYFUNCTION("""COMPUTED_VALUE"""),2)</f>
        <v>2</v>
      </c>
      <c r="K430" t="str">
        <f ca="1">IFERROR(__xludf.DUMMYFUNCTION("""COMPUTED_VALUE"""),"#N/A")</f>
        <v>#N/A</v>
      </c>
      <c r="L430">
        <f t="shared" ca="1" si="1"/>
        <v>0</v>
      </c>
      <c r="Q430" t="str">
        <f>IF(N430="","",SUMIFS('PR-BOM'!$D$3:$D1001,'PR-BOM'!$C$3:$C1001,N430))</f>
        <v/>
      </c>
      <c r="Y430" t="str">
        <f>IF(X430="","",SUMIFS(Issue!$D$3:$D1001,Issue!$C$3:$C1001,X430))</f>
        <v/>
      </c>
    </row>
    <row r="431" spans="5:25">
      <c r="E431" t="str">
        <f>IF(A431="","",SUMIFS(Issue!$D$3:$D1001,Issue!$C$3:$C1001,A431)*C431)</f>
        <v/>
      </c>
      <c r="F431" t="e">
        <f ca="1">_xludf.IFNA(VLOOKUP(B431,'S-FG'!$B$3:$B1001,1,FALSE),"")</f>
        <v>#NAME?</v>
      </c>
      <c r="H431" t="str">
        <f ca="1">IFERROR(__xludf.DUMMYFUNCTION("""COMPUTED_VALUE"""),"AMCA Mech Assy")</f>
        <v>AMCA Mech Assy</v>
      </c>
      <c r="I431" t="str">
        <f ca="1">IFERROR(__xludf.DUMMYFUNCTION("""COMPUTED_VALUE"""),"12mm OD pneumatic pipe")</f>
        <v>12mm OD pneumatic pipe</v>
      </c>
      <c r="J431" s="235">
        <f ca="1">IFERROR(__xludf.DUMMYFUNCTION("""COMPUTED_VALUE"""),0.1)</f>
        <v>0.1</v>
      </c>
      <c r="L431">
        <f t="shared" ca="1" si="1"/>
        <v>0</v>
      </c>
      <c r="Q431" t="str">
        <f>IF(N431="","",SUMIFS('PR-BOM'!$D$3:$D1001,'PR-BOM'!$C$3:$C1001,N431))</f>
        <v/>
      </c>
      <c r="Y431" t="str">
        <f>IF(X431="","",SUMIFS(Issue!$D$3:$D1001,Issue!$C$3:$C1001,X431))</f>
        <v/>
      </c>
    </row>
    <row r="432" spans="5:25">
      <c r="E432" t="str">
        <f>IF(A432="","",SUMIFS(Issue!$D$3:$D1001,Issue!$C$3:$C1001,A432)*C432)</f>
        <v/>
      </c>
      <c r="F432" t="e">
        <f ca="1">_xludf.IFNA(VLOOKUP(B432,'S-FG'!$B$3:$B1001,1,FALSE),"")</f>
        <v>#NAME?</v>
      </c>
      <c r="H432" t="str">
        <f ca="1">IFERROR(__xludf.DUMMYFUNCTION("""COMPUTED_VALUE"""),"AMCA Mech Assy")</f>
        <v>AMCA Mech Assy</v>
      </c>
      <c r="I432" t="str">
        <f ca="1">IFERROR(__xludf.DUMMYFUNCTION("""COMPUTED_VALUE"""),"Silicon Hose 3mm x 6mm")</f>
        <v>Silicon Hose 3mm x 6mm</v>
      </c>
      <c r="J432" s="235">
        <f ca="1">IFERROR(__xludf.DUMMYFUNCTION("""COMPUTED_VALUE"""),1)</f>
        <v>1</v>
      </c>
      <c r="L432">
        <f t="shared" ca="1" si="1"/>
        <v>0</v>
      </c>
      <c r="Q432" t="str">
        <f>IF(N432="","",SUMIFS('PR-BOM'!$D$3:$D1001,'PR-BOM'!$C$3:$C1001,N432))</f>
        <v/>
      </c>
      <c r="Y432" t="str">
        <f>IF(X432="","",SUMIFS(Issue!$D$3:$D1001,Issue!$C$3:$C1001,X432))</f>
        <v/>
      </c>
    </row>
    <row r="433" spans="5:25">
      <c r="E433" t="str">
        <f>IF(A433="","",SUMIFS(Issue!$D$3:$D1001,Issue!$C$3:$C1001,A433)*C433)</f>
        <v/>
      </c>
      <c r="F433" t="e">
        <f ca="1">_xludf.IFNA(VLOOKUP(B433,'S-FG'!$B$3:$B1001,1,FALSE),"")</f>
        <v>#NAME?</v>
      </c>
      <c r="H433" t="str">
        <f ca="1">IFERROR(__xludf.DUMMYFUNCTION("""COMPUTED_VALUE"""),"Final Craft Assy")</f>
        <v>Final Craft Assy</v>
      </c>
      <c r="I433" t="str">
        <f ca="1">IFERROR(__xludf.DUMMYFUNCTION("""COMPUTED_VALUE"""),"M4x20 Allen Head")</f>
        <v>M4x20 Allen Head</v>
      </c>
      <c r="J433" s="235">
        <f ca="1">IFERROR(__xludf.DUMMYFUNCTION("""COMPUTED_VALUE"""),14)</f>
        <v>14</v>
      </c>
      <c r="K433" t="str">
        <f ca="1">IFERROR(__xludf.DUMMYFUNCTION("""COMPUTED_VALUE"""),"#N/A")</f>
        <v>#N/A</v>
      </c>
      <c r="L433">
        <f t="shared" ca="1" si="1"/>
        <v>0</v>
      </c>
      <c r="Q433" t="str">
        <f>IF(N433="","",SUMIFS('PR-BOM'!$D$3:$D1001,'PR-BOM'!$C$3:$C1001,N433))</f>
        <v/>
      </c>
      <c r="Y433" t="str">
        <f>IF(X433="","",SUMIFS(Issue!$D$3:$D1001,Issue!$C$3:$C1001,X433))</f>
        <v/>
      </c>
    </row>
    <row r="434" spans="5:25">
      <c r="E434" t="str">
        <f>IF(A434="","",SUMIFS(Issue!$D$3:$D1001,Issue!$C$3:$C1001,A434)*C434)</f>
        <v/>
      </c>
      <c r="F434" t="e">
        <f ca="1">_xludf.IFNA(VLOOKUP(B434,'S-FG'!$B$3:$B1001,1,FALSE),"")</f>
        <v>#NAME?</v>
      </c>
      <c r="H434" t="str">
        <f ca="1">IFERROR(__xludf.DUMMYFUNCTION("""COMPUTED_VALUE"""),"Final Craft Assy")</f>
        <v>Final Craft Assy</v>
      </c>
      <c r="I434" t="str">
        <f ca="1">IFERROR(__xludf.DUMMYFUNCTION("""COMPUTED_VALUE"""),"M5x10 Torx")</f>
        <v>M5x10 Torx</v>
      </c>
      <c r="J434" s="235">
        <f ca="1">IFERROR(__xludf.DUMMYFUNCTION("""COMPUTED_VALUE"""),28)</f>
        <v>28</v>
      </c>
      <c r="K434" t="str">
        <f ca="1">IFERROR(__xludf.DUMMYFUNCTION("""COMPUTED_VALUE"""),"#N/A")</f>
        <v>#N/A</v>
      </c>
      <c r="L434">
        <f t="shared" ca="1" si="1"/>
        <v>0</v>
      </c>
      <c r="Q434" t="str">
        <f>IF(N434="","",SUMIFS('PR-BOM'!$D$3:$D1001,'PR-BOM'!$C$3:$C1001,N434))</f>
        <v/>
      </c>
      <c r="Y434" t="str">
        <f>IF(X434="","",SUMIFS(Issue!$D$3:$D1001,Issue!$C$3:$C1001,X434))</f>
        <v/>
      </c>
    </row>
    <row r="435" spans="5:25">
      <c r="E435" t="str">
        <f>IF(A435="","",SUMIFS(Issue!$D$3:$D1001,Issue!$C$3:$C1001,A435)*C435)</f>
        <v/>
      </c>
      <c r="F435" t="e">
        <f ca="1">_xludf.IFNA(VLOOKUP(B435,'S-FG'!$B$3:$B1001,1,FALSE),"")</f>
        <v>#NAME?</v>
      </c>
      <c r="H435" t="str">
        <f ca="1">IFERROR(__xludf.DUMMYFUNCTION("""COMPUTED_VALUE"""),"Final Craft Assy")</f>
        <v>Final Craft Assy</v>
      </c>
      <c r="I435" t="str">
        <f ca="1">IFERROR(__xludf.DUMMYFUNCTION("""COMPUTED_VALUE"""),"Teroson MS930")</f>
        <v>Teroson MS930</v>
      </c>
      <c r="J435" s="235">
        <f ca="1">IFERROR(__xludf.DUMMYFUNCTION("""COMPUTED_VALUE"""),50)</f>
        <v>50</v>
      </c>
      <c r="K435" t="str">
        <f ca="1">IFERROR(__xludf.DUMMYFUNCTION("""COMPUTED_VALUE"""),"#N/A")</f>
        <v>#N/A</v>
      </c>
      <c r="L435">
        <f t="shared" ca="1" si="1"/>
        <v>0</v>
      </c>
      <c r="Q435" t="str">
        <f>IF(N435="","",SUMIFS('PR-BOM'!$D$3:$D1001,'PR-BOM'!$C$3:$C1001,N435))</f>
        <v/>
      </c>
      <c r="Y435" t="str">
        <f>IF(X435="","",SUMIFS(Issue!$D$3:$D1001,Issue!$C$3:$C1001,X435))</f>
        <v/>
      </c>
    </row>
    <row r="436" spans="5:25">
      <c r="E436" t="str">
        <f>IF(A436="","",SUMIFS(Issue!$D$3:$D1001,Issue!$C$3:$C1001,A436)*C436)</f>
        <v/>
      </c>
      <c r="F436" t="e">
        <f ca="1">_xludf.IFNA(VLOOKUP(B436,'S-FG'!$B$3:$B1001,1,FALSE),"")</f>
        <v>#NAME?</v>
      </c>
      <c r="H436" t="str">
        <f ca="1">IFERROR(__xludf.DUMMYFUNCTION("""COMPUTED_VALUE"""),"Final Craft Assy")</f>
        <v>Final Craft Assy</v>
      </c>
      <c r="I436" t="str">
        <f ca="1">IFERROR(__xludf.DUMMYFUNCTION("""COMPUTED_VALUE"""),"Rope 8mm")</f>
        <v>Rope 8mm</v>
      </c>
      <c r="J436" s="235">
        <f ca="1">IFERROR(__xludf.DUMMYFUNCTION("""COMPUTED_VALUE"""),4.5)</f>
        <v>4.5</v>
      </c>
      <c r="K436" t="str">
        <f ca="1">IFERROR(__xludf.DUMMYFUNCTION("""COMPUTED_VALUE"""),"#N/A")</f>
        <v>#N/A</v>
      </c>
      <c r="L436">
        <f t="shared" ca="1" si="1"/>
        <v>0</v>
      </c>
      <c r="Q436" t="str">
        <f>IF(N436="","",SUMIFS('PR-BOM'!$D$3:$D1001,'PR-BOM'!$C$3:$C1001,N436))</f>
        <v/>
      </c>
      <c r="Y436" t="str">
        <f>IF(X436="","",SUMIFS(Issue!$D$3:$D1001,Issue!$C$3:$C1001,X436))</f>
        <v/>
      </c>
    </row>
    <row r="437" spans="5:25">
      <c r="E437" t="str">
        <f>IF(A437="","",SUMIFS(Issue!$D$3:$D1001,Issue!$C$3:$C1001,A437)*C437)</f>
        <v/>
      </c>
      <c r="F437" t="e">
        <f ca="1">_xludf.IFNA(VLOOKUP(B437,'S-FG'!$B$3:$B1001,1,FALSE),"")</f>
        <v>#NAME?</v>
      </c>
      <c r="H437" t="str">
        <f ca="1">IFERROR(__xludf.DUMMYFUNCTION("""COMPUTED_VALUE"""),"Final Craft Assy")</f>
        <v>Final Craft Assy</v>
      </c>
      <c r="I437" t="str">
        <f ca="1">IFERROR(__xludf.DUMMYFUNCTION("""COMPUTED_VALUE"""),"Ferrole")</f>
        <v>Ferrole</v>
      </c>
      <c r="J437" s="235">
        <f ca="1">IFERROR(__xludf.DUMMYFUNCTION("""COMPUTED_VALUE"""),1)</f>
        <v>1</v>
      </c>
      <c r="K437" t="str">
        <f ca="1">IFERROR(__xludf.DUMMYFUNCTION("""COMPUTED_VALUE"""),"#N/A")</f>
        <v>#N/A</v>
      </c>
      <c r="L437">
        <f t="shared" ca="1" si="1"/>
        <v>0</v>
      </c>
      <c r="Q437" t="str">
        <f>IF(N437="","",SUMIFS('PR-BOM'!$D$3:$D1001,'PR-BOM'!$C$3:$C1001,N437))</f>
        <v/>
      </c>
      <c r="Y437" t="str">
        <f>IF(X437="","",SUMIFS(Issue!$D$3:$D1001,Issue!$C$3:$C1001,X437))</f>
        <v/>
      </c>
    </row>
    <row r="438" spans="5:25">
      <c r="E438" t="str">
        <f>IF(A438="","",SUMIFS(Issue!$D$3:$D1001,Issue!$C$3:$C1001,A438)*C438)</f>
        <v/>
      </c>
      <c r="F438" t="e">
        <f ca="1">_xludf.IFNA(VLOOKUP(B438,'S-FG'!$B$3:$B1001,1,FALSE),"")</f>
        <v>#NAME?</v>
      </c>
      <c r="H438" t="str">
        <f ca="1">IFERROR(__xludf.DUMMYFUNCTION("""COMPUTED_VALUE"""),"Final Craft Assy")</f>
        <v>Final Craft Assy</v>
      </c>
      <c r="I438" t="str">
        <f ca="1">IFERROR(__xludf.DUMMYFUNCTION("""COMPUTED_VALUE"""),"Hook Sticker STBD")</f>
        <v>Hook Sticker STBD</v>
      </c>
      <c r="J438" s="235">
        <f ca="1">IFERROR(__xludf.DUMMYFUNCTION("""COMPUTED_VALUE"""),1)</f>
        <v>1</v>
      </c>
      <c r="K438" t="str">
        <f ca="1">IFERROR(__xludf.DUMMYFUNCTION("""COMPUTED_VALUE"""),"#N/A")</f>
        <v>#N/A</v>
      </c>
      <c r="L438">
        <f t="shared" ca="1" si="1"/>
        <v>0</v>
      </c>
      <c r="Q438" t="str">
        <f>IF(N438="","",SUMIFS('PR-BOM'!$D$3:$D1001,'PR-BOM'!$C$3:$C1001,N438))</f>
        <v/>
      </c>
      <c r="Y438" t="str">
        <f>IF(X438="","",SUMIFS(Issue!$D$3:$D1001,Issue!$C$3:$C1001,X438))</f>
        <v/>
      </c>
    </row>
    <row r="439" spans="5:25">
      <c r="E439" t="str">
        <f>IF(A439="","",SUMIFS(Issue!$D$3:$D1001,Issue!$C$3:$C1001,A439)*C439)</f>
        <v/>
      </c>
      <c r="F439" t="e">
        <f ca="1">_xludf.IFNA(VLOOKUP(B439,'S-FG'!$B$3:$B1001,1,FALSE),"")</f>
        <v>#NAME?</v>
      </c>
      <c r="H439" t="str">
        <f ca="1">IFERROR(__xludf.DUMMYFUNCTION("""COMPUTED_VALUE"""),"Final Craft Assy")</f>
        <v>Final Craft Assy</v>
      </c>
      <c r="I439" t="str">
        <f ca="1">IFERROR(__xludf.DUMMYFUNCTION("""COMPUTED_VALUE"""),"Hook Stiker PORT")</f>
        <v>Hook Stiker PORT</v>
      </c>
      <c r="J439" s="235">
        <f ca="1">IFERROR(__xludf.DUMMYFUNCTION("""COMPUTED_VALUE"""),1)</f>
        <v>1</v>
      </c>
      <c r="K439" t="str">
        <f ca="1">IFERROR(__xludf.DUMMYFUNCTION("""COMPUTED_VALUE"""),"#N/A")</f>
        <v>#N/A</v>
      </c>
      <c r="L439">
        <f t="shared" ca="1" si="1"/>
        <v>0</v>
      </c>
      <c r="Q439" t="str">
        <f>IF(N439="","",SUMIFS('PR-BOM'!$D$3:$D1001,'PR-BOM'!$C$3:$C1001,N439))</f>
        <v/>
      </c>
      <c r="Y439" t="str">
        <f>IF(X439="","",SUMIFS(Issue!$D$3:$D1001,Issue!$C$3:$C1001,X439))</f>
        <v/>
      </c>
    </row>
    <row r="440" spans="5:25">
      <c r="E440" t="str">
        <f>IF(A440="","",SUMIFS(Issue!$D$3:$D1001,Issue!$C$3:$C1001,A440)*C440)</f>
        <v/>
      </c>
      <c r="F440" t="e">
        <f ca="1">_xludf.IFNA(VLOOKUP(B440,'S-FG'!$B$3:$B1001,1,FALSE),"")</f>
        <v>#NAME?</v>
      </c>
      <c r="H440" t="str">
        <f ca="1">IFERROR(__xludf.DUMMYFUNCTION("""COMPUTED_VALUE"""),"Final Craft Assy")</f>
        <v>Final Craft Assy</v>
      </c>
      <c r="I440" t="str">
        <f ca="1">IFERROR(__xludf.DUMMYFUNCTION("""COMPUTED_VALUE"""),"Hold here sticker STBD")</f>
        <v>Hold here sticker STBD</v>
      </c>
      <c r="J440" s="235">
        <f ca="1">IFERROR(__xludf.DUMMYFUNCTION("""COMPUTED_VALUE"""),1)</f>
        <v>1</v>
      </c>
      <c r="K440" t="str">
        <f ca="1">IFERROR(__xludf.DUMMYFUNCTION("""COMPUTED_VALUE"""),"#N/A")</f>
        <v>#N/A</v>
      </c>
      <c r="L440">
        <f t="shared" ca="1" si="1"/>
        <v>0</v>
      </c>
      <c r="Q440" t="str">
        <f>IF(N440="","",SUMIFS('PR-BOM'!$D$3:$D1001,'PR-BOM'!$C$3:$C1001,N440))</f>
        <v/>
      </c>
      <c r="Y440" t="str">
        <f>IF(X440="","",SUMIFS(Issue!$D$3:$D1001,Issue!$C$3:$C1001,X440))</f>
        <v/>
      </c>
    </row>
    <row r="441" spans="5:25">
      <c r="E441" t="str">
        <f>IF(A441="","",SUMIFS(Issue!$D$3:$D1001,Issue!$C$3:$C1001,A441)*C441)</f>
        <v/>
      </c>
      <c r="F441" t="e">
        <f ca="1">_xludf.IFNA(VLOOKUP(B441,'S-FG'!$B$3:$B1001,1,FALSE),"")</f>
        <v>#NAME?</v>
      </c>
      <c r="H441" t="str">
        <f ca="1">IFERROR(__xludf.DUMMYFUNCTION("""COMPUTED_VALUE"""),"Final Craft Assy")</f>
        <v>Final Craft Assy</v>
      </c>
      <c r="I441" t="str">
        <f ca="1">IFERROR(__xludf.DUMMYFUNCTION("""COMPUTED_VALUE"""),"Hold here sticker PORT")</f>
        <v>Hold here sticker PORT</v>
      </c>
      <c r="J441" s="235">
        <f ca="1">IFERROR(__xludf.DUMMYFUNCTION("""COMPUTED_VALUE"""),1)</f>
        <v>1</v>
      </c>
      <c r="K441" t="str">
        <f ca="1">IFERROR(__xludf.DUMMYFUNCTION("""COMPUTED_VALUE"""),"#N/A")</f>
        <v>#N/A</v>
      </c>
      <c r="L441">
        <f t="shared" ca="1" si="1"/>
        <v>0</v>
      </c>
      <c r="Q441" t="str">
        <f>IF(N441="","",SUMIFS('PR-BOM'!$D$3:$D1001,'PR-BOM'!$C$3:$C1001,N441))</f>
        <v/>
      </c>
      <c r="Y441" t="str">
        <f>IF(X441="","",SUMIFS(Issue!$D$3:$D1001,Issue!$C$3:$C1001,X441))</f>
        <v/>
      </c>
    </row>
    <row r="442" spans="5:25">
      <c r="E442" t="str">
        <f>IF(A442="","",SUMIFS(Issue!$D$3:$D1001,Issue!$C$3:$C1001,A442)*C442)</f>
        <v/>
      </c>
      <c r="F442" t="e">
        <f ca="1">_xludf.IFNA(VLOOKUP(B442,'S-FG'!$B$3:$B1001,1,FALSE),"")</f>
        <v>#NAME?</v>
      </c>
      <c r="H442" t="str">
        <f ca="1">IFERROR(__xludf.DUMMYFUNCTION("""COMPUTED_VALUE"""),"Final Craft Assy")</f>
        <v>Final Craft Assy</v>
      </c>
      <c r="I442" t="str">
        <f ca="1">IFERROR(__xludf.DUMMYFUNCTION("""COMPUTED_VALUE"""),"M4x12 plain washer")</f>
        <v>M4x12 plain washer</v>
      </c>
      <c r="J442" s="235">
        <f ca="1">IFERROR(__xludf.DUMMYFUNCTION("""COMPUTED_VALUE"""),8)</f>
        <v>8</v>
      </c>
      <c r="K442" t="str">
        <f ca="1">IFERROR(__xludf.DUMMYFUNCTION("""COMPUTED_VALUE"""),"#N/A")</f>
        <v>#N/A</v>
      </c>
      <c r="L442">
        <f t="shared" ca="1" si="1"/>
        <v>0</v>
      </c>
      <c r="Q442" t="str">
        <f>IF(N442="","",SUMIFS('PR-BOM'!$D$3:$D1001,'PR-BOM'!$C$3:$C1001,N442))</f>
        <v/>
      </c>
      <c r="Y442" t="str">
        <f>IF(X442="","",SUMIFS(Issue!$D$3:$D1001,Issue!$C$3:$C1001,X442))</f>
        <v/>
      </c>
    </row>
    <row r="443" spans="5:25">
      <c r="E443" t="str">
        <f>IF(A443="","",SUMIFS(Issue!$D$3:$D1001,Issue!$C$3:$C1001,A443)*C443)</f>
        <v/>
      </c>
      <c r="F443" t="e">
        <f ca="1">_xludf.IFNA(VLOOKUP(B443,'S-FG'!$B$3:$B1001,1,FALSE),"")</f>
        <v>#NAME?</v>
      </c>
      <c r="H443" t="str">
        <f ca="1">IFERROR(__xludf.DUMMYFUNCTION("""COMPUTED_VALUE"""),"Final Craft Assy")</f>
        <v>Final Craft Assy</v>
      </c>
      <c r="I443" t="str">
        <f ca="1">IFERROR(__xludf.DUMMYFUNCTION("""COMPUTED_VALUE"""),"915MHz Antenna")</f>
        <v>915MHz Antenna</v>
      </c>
      <c r="J443" s="235">
        <f ca="1">IFERROR(__xludf.DUMMYFUNCTION("""COMPUTED_VALUE"""),1)</f>
        <v>1</v>
      </c>
      <c r="K443" t="str">
        <f ca="1">IFERROR(__xludf.DUMMYFUNCTION("""COMPUTED_VALUE"""),"#N/A")</f>
        <v>#N/A</v>
      </c>
      <c r="L443">
        <f t="shared" ca="1" si="1"/>
        <v>0</v>
      </c>
      <c r="Q443" t="str">
        <f>IF(N443="","",SUMIFS('PR-BOM'!$D$3:$D1001,'PR-BOM'!$C$3:$C1001,N443))</f>
        <v/>
      </c>
      <c r="Y443" t="str">
        <f>IF(X443="","",SUMIFS(Issue!$D$3:$D1001,Issue!$C$3:$C1001,X443))</f>
        <v/>
      </c>
    </row>
    <row r="444" spans="5:25">
      <c r="E444" t="str">
        <f>IF(A444="","",SUMIFS(Issue!$D$3:$D1001,Issue!$C$3:$C1001,A444)*C444)</f>
        <v/>
      </c>
      <c r="F444" t="e">
        <f ca="1">_xludf.IFNA(VLOOKUP(B444,'S-FG'!$B$3:$B1001,1,FALSE),"")</f>
        <v>#NAME?</v>
      </c>
      <c r="H444" t="str">
        <f ca="1">IFERROR(__xludf.DUMMYFUNCTION("""COMPUTED_VALUE"""),"Final Craft Assy")</f>
        <v>Final Craft Assy</v>
      </c>
      <c r="I444" t="str">
        <f ca="1">IFERROR(__xludf.DUMMYFUNCTION("""COMPUTED_VALUE"""),"M4x20 plain washer")</f>
        <v>M4x20 plain washer</v>
      </c>
      <c r="J444" s="235">
        <f ca="1">IFERROR(__xludf.DUMMYFUNCTION("""COMPUTED_VALUE"""),6)</f>
        <v>6</v>
      </c>
      <c r="L444">
        <f t="shared" ca="1" si="1"/>
        <v>0</v>
      </c>
      <c r="Q444" t="str">
        <f>IF(N444="","",SUMIFS('PR-BOM'!$D$3:$D1001,'PR-BOM'!$C$3:$C1001,N444))</f>
        <v/>
      </c>
      <c r="Y444" t="str">
        <f>IF(X444="","",SUMIFS(Issue!$D$3:$D1001,Issue!$C$3:$C1001,X444))</f>
        <v/>
      </c>
    </row>
    <row r="445" spans="5:25">
      <c r="E445" t="str">
        <f>IF(A445="","",SUMIFS(Issue!$D$3:$D1001,Issue!$C$3:$C1001,A445)*C445)</f>
        <v/>
      </c>
      <c r="F445" t="e">
        <f ca="1">_xludf.IFNA(VLOOKUP(B445,'S-FG'!$B$3:$B1001,1,FALSE),"")</f>
        <v>#NAME?</v>
      </c>
      <c r="H445" t="str">
        <f ca="1">IFERROR(__xludf.DUMMYFUNCTION("""COMPUTED_VALUE"""),"Final Craft Assy")</f>
        <v>Final Craft Assy</v>
      </c>
      <c r="I445" t="str">
        <f ca="1">IFERROR(__xludf.DUMMYFUNCTION("""COMPUTED_VALUE"""),"M4x12 Button head")</f>
        <v>M4x12 Button head</v>
      </c>
      <c r="J445" s="235">
        <f ca="1">IFERROR(__xludf.DUMMYFUNCTION("""COMPUTED_VALUE"""),4)</f>
        <v>4</v>
      </c>
      <c r="K445" t="str">
        <f ca="1">IFERROR(__xludf.DUMMYFUNCTION("""COMPUTED_VALUE"""),"#N/A")</f>
        <v>#N/A</v>
      </c>
      <c r="L445">
        <f t="shared" ca="1" si="1"/>
        <v>0</v>
      </c>
      <c r="Q445" t="str">
        <f>IF(N445="","",SUMIFS('PR-BOM'!$D$3:$D1001,'PR-BOM'!$C$3:$C1001,N445))</f>
        <v/>
      </c>
      <c r="Y445" t="str">
        <f>IF(X445="","",SUMIFS(Issue!$D$3:$D1001,Issue!$C$3:$C1001,X445))</f>
        <v/>
      </c>
    </row>
    <row r="446" spans="5:25">
      <c r="E446" t="str">
        <f>IF(A446="","",SUMIFS(Issue!$D$3:$D1001,Issue!$C$3:$C1001,A446)*C446)</f>
        <v/>
      </c>
      <c r="F446" t="e">
        <f ca="1">_xludf.IFNA(VLOOKUP(B446,'S-FG'!$B$3:$B1001,1,FALSE),"")</f>
        <v>#NAME?</v>
      </c>
      <c r="H446" t="str">
        <f ca="1">IFERROR(__xludf.DUMMYFUNCTION("""COMPUTED_VALUE"""),"Final Craft Assy")</f>
        <v>Final Craft Assy</v>
      </c>
      <c r="I446" t="str">
        <f ca="1">IFERROR(__xludf.DUMMYFUNCTION("""COMPUTED_VALUE"""),"8kg Hull")</f>
        <v>8kg Hull</v>
      </c>
      <c r="J446" s="235">
        <f ca="1">IFERROR(__xludf.DUMMYFUNCTION("""COMPUTED_VALUE"""),1)</f>
        <v>1</v>
      </c>
      <c r="K446" t="str">
        <f ca="1">IFERROR(__xludf.DUMMYFUNCTION("""COMPUTED_VALUE"""),"#N/A")</f>
        <v>#N/A</v>
      </c>
      <c r="L446">
        <f t="shared" ca="1" si="1"/>
        <v>0</v>
      </c>
      <c r="Q446" t="str">
        <f>IF(N446="","",SUMIFS('PR-BOM'!$D$3:$D1001,'PR-BOM'!$C$3:$C1001,N446))</f>
        <v/>
      </c>
      <c r="Y446" t="str">
        <f>IF(X446="","",SUMIFS(Issue!$D$3:$D1001,Issue!$C$3:$C1001,X446))</f>
        <v/>
      </c>
    </row>
    <row r="447" spans="5:25">
      <c r="E447" t="str">
        <f>IF(A447="","",SUMIFS(Issue!$D$3:$D1001,Issue!$C$3:$C1001,A447)*C447)</f>
        <v/>
      </c>
      <c r="F447" t="e">
        <f ca="1">_xludf.IFNA(VLOOKUP(B447,'S-FG'!$B$3:$B1001,1,FALSE),"")</f>
        <v>#NAME?</v>
      </c>
      <c r="H447" t="str">
        <f ca="1">IFERROR(__xludf.DUMMYFUNCTION("""COMPUTED_VALUE"""),"Bottom Block Assy")</f>
        <v>Bottom Block Assy</v>
      </c>
      <c r="I447" t="str">
        <f ca="1">IFERROR(__xludf.DUMMYFUNCTION("""COMPUTED_VALUE"""),"IM Bottom Block")</f>
        <v>IM Bottom Block</v>
      </c>
      <c r="J447" s="235">
        <f ca="1">IFERROR(__xludf.DUMMYFUNCTION("""COMPUTED_VALUE"""),2)</f>
        <v>2</v>
      </c>
      <c r="K447" t="str">
        <f ca="1">IFERROR(__xludf.DUMMYFUNCTION("""COMPUTED_VALUE"""),"#N/A")</f>
        <v>#N/A</v>
      </c>
      <c r="L447">
        <f t="shared" ca="1" si="1"/>
        <v>0</v>
      </c>
      <c r="Q447" t="str">
        <f>IF(N447="","",SUMIFS('PR-BOM'!$D$3:$D1001,'PR-BOM'!$C$3:$C1001,N447))</f>
        <v/>
      </c>
      <c r="Y447" t="str">
        <f>IF(X447="","",SUMIFS(Issue!$D$3:$D1001,Issue!$C$3:$C1001,X447))</f>
        <v/>
      </c>
    </row>
    <row r="448" spans="5:25">
      <c r="E448" t="str">
        <f>IF(A448="","",SUMIFS(Issue!$D$3:$D1001,Issue!$C$3:$C1001,A448)*C448)</f>
        <v/>
      </c>
      <c r="F448" t="e">
        <f ca="1">_xludf.IFNA(VLOOKUP(B448,'S-FG'!$B$3:$B1001,1,FALSE),"")</f>
        <v>#NAME?</v>
      </c>
      <c r="H448" t="str">
        <f ca="1">IFERROR(__xludf.DUMMYFUNCTION("""COMPUTED_VALUE"""),"Bottom Block Assy")</f>
        <v>Bottom Block Assy</v>
      </c>
      <c r="I448" t="str">
        <f ca="1">IFERROR(__xludf.DUMMYFUNCTION("""COMPUTED_VALUE"""),"Bottom Mesh (120mm x 100mm, 5""x4"")")</f>
        <v>Bottom Mesh (120mm x 100mm, 5"x4")</v>
      </c>
      <c r="J448" s="235">
        <f ca="1">IFERROR(__xludf.DUMMYFUNCTION("""COMPUTED_VALUE"""),2)</f>
        <v>2</v>
      </c>
      <c r="K448" t="str">
        <f ca="1">IFERROR(__xludf.DUMMYFUNCTION("""COMPUTED_VALUE"""),"#N/A")</f>
        <v>#N/A</v>
      </c>
      <c r="L448">
        <f t="shared" ca="1" si="1"/>
        <v>0</v>
      </c>
      <c r="Q448" t="str">
        <f>IF(N448="","",SUMIFS('PR-BOM'!$D$3:$D1001,'PR-BOM'!$C$3:$C1001,N448))</f>
        <v/>
      </c>
      <c r="Y448" t="str">
        <f>IF(X448="","",SUMIFS(Issue!$D$3:$D1001,Issue!$C$3:$C1001,X448))</f>
        <v/>
      </c>
    </row>
    <row r="449" spans="5:25">
      <c r="E449" t="str">
        <f>IF(A449="","",SUMIFS(Issue!$D$3:$D1001,Issue!$C$3:$C1001,A449)*C449)</f>
        <v/>
      </c>
      <c r="F449" t="e">
        <f ca="1">_xludf.IFNA(VLOOKUP(B449,'S-FG'!$B$3:$B1001,1,FALSE),"")</f>
        <v>#NAME?</v>
      </c>
      <c r="H449" t="str">
        <f ca="1">IFERROR(__xludf.DUMMYFUNCTION("""COMPUTED_VALUE"""),"Bottom Block Assy")</f>
        <v>Bottom Block Assy</v>
      </c>
      <c r="I449" t="str">
        <f ca="1">IFERROR(__xludf.DUMMYFUNCTION("""COMPUTED_VALUE"""),"M4x12 Pan Combi Screws")</f>
        <v>M4x12 Pan Combi Screws</v>
      </c>
      <c r="J449" s="235">
        <f ca="1">IFERROR(__xludf.DUMMYFUNCTION("""COMPUTED_VALUE"""),8)</f>
        <v>8</v>
      </c>
      <c r="K449" t="str">
        <f ca="1">IFERROR(__xludf.DUMMYFUNCTION("""COMPUTED_VALUE"""),"#N/A")</f>
        <v>#N/A</v>
      </c>
      <c r="L449">
        <f t="shared" ca="1" si="1"/>
        <v>0</v>
      </c>
      <c r="Q449" t="str">
        <f>IF(N449="","",SUMIFS('PR-BOM'!$D$3:$D1001,'PR-BOM'!$C$3:$C1001,N449))</f>
        <v/>
      </c>
      <c r="Y449" t="str">
        <f>IF(X449="","",SUMIFS(Issue!$D$3:$D1001,Issue!$C$3:$C1001,X449))</f>
        <v/>
      </c>
    </row>
    <row r="450" spans="5:25">
      <c r="E450" t="str">
        <f>IF(A450="","",SUMIFS(Issue!$D$3:$D1001,Issue!$C$3:$C1001,A450)*C450)</f>
        <v/>
      </c>
      <c r="F450" t="e">
        <f ca="1">_xludf.IFNA(VLOOKUP(B450,'S-FG'!$B$3:$B1001,1,FALSE),"")</f>
        <v>#NAME?</v>
      </c>
      <c r="H450" t="str">
        <f ca="1">IFERROR(__xludf.DUMMYFUNCTION("""COMPUTED_VALUE"""),"Bottom Block Assy")</f>
        <v>Bottom Block Assy</v>
      </c>
      <c r="I450" t="str">
        <f ca="1">IFERROR(__xludf.DUMMYFUNCTION("""COMPUTED_VALUE"""),"M3x8 CSK Phillips")</f>
        <v>M3x8 CSK Phillips</v>
      </c>
      <c r="J450" s="235">
        <f ca="1">IFERROR(__xludf.DUMMYFUNCTION("""COMPUTED_VALUE"""),14)</f>
        <v>14</v>
      </c>
      <c r="K450" t="str">
        <f ca="1">IFERROR(__xludf.DUMMYFUNCTION("""COMPUTED_VALUE"""),"#N/A")</f>
        <v>#N/A</v>
      </c>
      <c r="L450">
        <f t="shared" ca="1" si="1"/>
        <v>0</v>
      </c>
      <c r="Q450" t="str">
        <f>IF(N450="","",SUMIFS('PR-BOM'!$D$3:$D1001,'PR-BOM'!$C$3:$C1001,N450))</f>
        <v/>
      </c>
      <c r="Y450" t="str">
        <f>IF(X450="","",SUMIFS(Issue!$D$3:$D1001,Issue!$C$3:$C1001,X450))</f>
        <v/>
      </c>
    </row>
    <row r="451" spans="5:25">
      <c r="E451" t="str">
        <f>IF(A451="","",SUMIFS(Issue!$D$3:$D1001,Issue!$C$3:$C1001,A451)*C451)</f>
        <v/>
      </c>
      <c r="F451" t="e">
        <f ca="1">_xludf.IFNA(VLOOKUP(B451,'S-FG'!$B$3:$B1001,1,FALSE),"")</f>
        <v>#NAME?</v>
      </c>
      <c r="H451" t="str">
        <f ca="1">IFERROR(__xludf.DUMMYFUNCTION("""COMPUTED_VALUE"""),"Bottom Block Assy")</f>
        <v>Bottom Block Assy</v>
      </c>
      <c r="I451" t="str">
        <f ca="1">IFERROR(__xludf.DUMMYFUNCTION("""COMPUTED_VALUE"""),"M3x8 plain wahser")</f>
        <v>M3x8 plain wahser</v>
      </c>
      <c r="J451" s="235">
        <f ca="1">IFERROR(__xludf.DUMMYFUNCTION("""COMPUTED_VALUE"""),2.5)</f>
        <v>2.5</v>
      </c>
      <c r="K451" t="str">
        <f ca="1">IFERROR(__xludf.DUMMYFUNCTION("""COMPUTED_VALUE"""),"#N/A")</f>
        <v>#N/A</v>
      </c>
      <c r="L451">
        <f t="shared" ca="1" si="1"/>
        <v>0</v>
      </c>
      <c r="Q451" t="str">
        <f>IF(N451="","",SUMIFS('PR-BOM'!$D$3:$D1001,'PR-BOM'!$C$3:$C1001,N451))</f>
        <v/>
      </c>
      <c r="Y451" t="str">
        <f>IF(X451="","",SUMIFS(Issue!$D$3:$D1001,Issue!$C$3:$C1001,X451))</f>
        <v/>
      </c>
    </row>
    <row r="452" spans="5:25">
      <c r="E452" t="str">
        <f>IF(A452="","",SUMIFS(Issue!$D$3:$D1001,Issue!$C$3:$C1001,A452)*C452)</f>
        <v/>
      </c>
      <c r="F452" t="e">
        <f ca="1">_xludf.IFNA(VLOOKUP(B452,'S-FG'!$B$3:$B1001,1,FALSE),"")</f>
        <v>#NAME?</v>
      </c>
      <c r="H452" t="str">
        <f ca="1">IFERROR(__xludf.DUMMYFUNCTION("""COMPUTED_VALUE"""),"STBD Aft Plate Assy")</f>
        <v>STBD Aft Plate Assy</v>
      </c>
      <c r="I452" t="str">
        <f ca="1">IFERROR(__xludf.DUMMYFUNCTION("""COMPUTED_VALUE"""),"STBD Aft Plate")</f>
        <v>STBD Aft Plate</v>
      </c>
      <c r="J452" s="235">
        <f ca="1">IFERROR(__xludf.DUMMYFUNCTION("""COMPUTED_VALUE"""),1)</f>
        <v>1</v>
      </c>
      <c r="K452" t="str">
        <f ca="1">IFERROR(__xludf.DUMMYFUNCTION("""COMPUTED_VALUE"""),"#N/A")</f>
        <v>#N/A</v>
      </c>
      <c r="L452">
        <f t="shared" ca="1" si="1"/>
        <v>0</v>
      </c>
      <c r="Q452" t="str">
        <f>IF(N452="","",SUMIFS('PR-BOM'!$D$3:$D1001,'PR-BOM'!$C$3:$C1001,N452))</f>
        <v/>
      </c>
      <c r="Y452" t="str">
        <f>IF(X452="","",SUMIFS(Issue!$D$3:$D1001,Issue!$C$3:$C1001,X452))</f>
        <v/>
      </c>
    </row>
    <row r="453" spans="5:25">
      <c r="E453" t="str">
        <f>IF(A453="","",SUMIFS(Issue!$D$3:$D1001,Issue!$C$3:$C1001,A453)*C453)</f>
        <v/>
      </c>
      <c r="F453" t="e">
        <f ca="1">_xludf.IFNA(VLOOKUP(B453,'S-FG'!$B$3:$B1001,1,FALSE),"")</f>
        <v>#NAME?</v>
      </c>
      <c r="H453" t="str">
        <f ca="1">IFERROR(__xludf.DUMMYFUNCTION("""COMPUTED_VALUE"""),"STBD Aft Plate Assy")</f>
        <v>STBD Aft Plate Assy</v>
      </c>
      <c r="I453" t="str">
        <f ca="1">IFERROR(__xludf.DUMMYFUNCTION("""COMPUTED_VALUE"""),"SS Cooling Water Inlet nozzle")</f>
        <v>SS Cooling Water Inlet nozzle</v>
      </c>
      <c r="J453" s="235">
        <f ca="1">IFERROR(__xludf.DUMMYFUNCTION("""COMPUTED_VALUE"""),1)</f>
        <v>1</v>
      </c>
      <c r="L453">
        <f t="shared" ca="1" si="1"/>
        <v>0</v>
      </c>
      <c r="Q453" t="str">
        <f>IF(N453="","",SUMIFS('PR-BOM'!$D$3:$D1001,'PR-BOM'!$C$3:$C1001,N453))</f>
        <v/>
      </c>
      <c r="Y453" t="str">
        <f>IF(X453="","",SUMIFS(Issue!$D$3:$D1001,Issue!$C$3:$C1001,X453))</f>
        <v/>
      </c>
    </row>
    <row r="454" spans="5:25">
      <c r="E454" t="str">
        <f>IF(A454="","",SUMIFS(Issue!$D$3:$D1001,Issue!$C$3:$C1001,A454)*C454)</f>
        <v/>
      </c>
      <c r="F454" t="e">
        <f ca="1">_xludf.IFNA(VLOOKUP(B454,'S-FG'!$B$3:$B1001,1,FALSE),"")</f>
        <v>#NAME?</v>
      </c>
      <c r="H454" t="str">
        <f ca="1">IFERROR(__xludf.DUMMYFUNCTION("""COMPUTED_VALUE"""),"STBD Aft Plate Assy")</f>
        <v>STBD Aft Plate Assy</v>
      </c>
      <c r="I454" t="str">
        <f ca="1">IFERROR(__xludf.DUMMYFUNCTION("""COMPUTED_VALUE"""),"SS Cooling Water Outlet nozzle")</f>
        <v>SS Cooling Water Outlet nozzle</v>
      </c>
      <c r="J454" s="235">
        <f ca="1">IFERROR(__xludf.DUMMYFUNCTION("""COMPUTED_VALUE"""),1)</f>
        <v>1</v>
      </c>
      <c r="L454">
        <f t="shared" ca="1" si="1"/>
        <v>0</v>
      </c>
      <c r="Q454" t="str">
        <f>IF(N454="","",SUMIFS('PR-BOM'!$D$3:$D1001,'PR-BOM'!$C$3:$C1001,N454))</f>
        <v/>
      </c>
      <c r="Y454" t="str">
        <f>IF(X454="","",SUMIFS(Issue!$D$3:$D1001,Issue!$C$3:$C1001,X454))</f>
        <v/>
      </c>
    </row>
    <row r="455" spans="5:25">
      <c r="E455" t="str">
        <f>IF(A455="","",SUMIFS(Issue!$D$3:$D1001,Issue!$C$3:$C1001,A455)*C455)</f>
        <v/>
      </c>
      <c r="F455" t="e">
        <f ca="1">_xludf.IFNA(VLOOKUP(B455,'S-FG'!$B$3:$B1001,1,FALSE),"")</f>
        <v>#NAME?</v>
      </c>
      <c r="H455" t="str">
        <f ca="1">IFERROR(__xludf.DUMMYFUNCTION("""COMPUTED_VALUE"""),"STBD Aft Plate Assy")</f>
        <v>STBD Aft Plate Assy</v>
      </c>
      <c r="I455" t="str">
        <f ca="1">IFERROR(__xludf.DUMMYFUNCTION("""COMPUTED_VALUE"""),"Greasing nozzle")</f>
        <v>Greasing nozzle</v>
      </c>
      <c r="J455" s="235">
        <f ca="1">IFERROR(__xludf.DUMMYFUNCTION("""COMPUTED_VALUE"""),1)</f>
        <v>1</v>
      </c>
      <c r="L455">
        <f t="shared" ca="1" si="1"/>
        <v>0</v>
      </c>
      <c r="Q455" t="str">
        <f>IF(N455="","",SUMIFS('PR-BOM'!$D$3:$D1001,'PR-BOM'!$C$3:$C1001,N455))</f>
        <v/>
      </c>
      <c r="Y455" t="str">
        <f>IF(X455="","",SUMIFS(Issue!$D$3:$D1001,Issue!$C$3:$C1001,X455))</f>
        <v/>
      </c>
    </row>
    <row r="456" spans="5:25">
      <c r="E456" t="str">
        <f>IF(A456="","",SUMIFS(Issue!$D$3:$D1001,Issue!$C$3:$C1001,A456)*C456)</f>
        <v/>
      </c>
      <c r="F456" t="e">
        <f ca="1">_xludf.IFNA(VLOOKUP(B456,'S-FG'!$B$3:$B1001,1,FALSE),"")</f>
        <v>#NAME?</v>
      </c>
      <c r="H456" t="str">
        <f ca="1">IFERROR(__xludf.DUMMYFUNCTION("""COMPUTED_VALUE"""),"STBD Aft Plate Assy")</f>
        <v>STBD Aft Plate Assy</v>
      </c>
      <c r="I456" t="str">
        <f ca="1">IFERROR(__xludf.DUMMYFUNCTION("""COMPUTED_VALUE"""),"M8 Slim Locknut")</f>
        <v>M8 Slim Locknut</v>
      </c>
      <c r="J456" s="235">
        <f ca="1">IFERROR(__xludf.DUMMYFUNCTION("""COMPUTED_VALUE"""),3)</f>
        <v>3</v>
      </c>
      <c r="K456" t="str">
        <f ca="1">IFERROR(__xludf.DUMMYFUNCTION("""COMPUTED_VALUE"""),"#N/A")</f>
        <v>#N/A</v>
      </c>
      <c r="L456">
        <f t="shared" ca="1" si="1"/>
        <v>0</v>
      </c>
      <c r="Q456" t="str">
        <f>IF(N456="","",SUMIFS('PR-BOM'!$D$3:$D1001,'PR-BOM'!$C$3:$C1001,N456))</f>
        <v/>
      </c>
      <c r="Y456" t="str">
        <f>IF(X456="","",SUMIFS(Issue!$D$3:$D1001,Issue!$C$3:$C1001,X456))</f>
        <v/>
      </c>
    </row>
    <row r="457" spans="5:25">
      <c r="E457" t="str">
        <f>IF(A457="","",SUMIFS(Issue!$D$3:$D1001,Issue!$C$3:$C1001,A457)*C457)</f>
        <v/>
      </c>
      <c r="F457" t="e">
        <f ca="1">_xludf.IFNA(VLOOKUP(B457,'S-FG'!$B$3:$B1001,1,FALSE),"")</f>
        <v>#NAME?</v>
      </c>
      <c r="H457" t="str">
        <f ca="1">IFERROR(__xludf.DUMMYFUNCTION("""COMPUTED_VALUE"""),"PORT Aft Plate Assy")</f>
        <v>PORT Aft Plate Assy</v>
      </c>
      <c r="I457" t="str">
        <f ca="1">IFERROR(__xludf.DUMMYFUNCTION("""COMPUTED_VALUE"""),"PORT Aft Plate")</f>
        <v>PORT Aft Plate</v>
      </c>
      <c r="J457" s="235">
        <f ca="1">IFERROR(__xludf.DUMMYFUNCTION("""COMPUTED_VALUE"""),1)</f>
        <v>1</v>
      </c>
      <c r="K457" t="str">
        <f ca="1">IFERROR(__xludf.DUMMYFUNCTION("""COMPUTED_VALUE"""),"#N/A")</f>
        <v>#N/A</v>
      </c>
      <c r="L457">
        <f t="shared" ca="1" si="1"/>
        <v>0</v>
      </c>
      <c r="Q457" t="str">
        <f>IF(N457="","",SUMIFS('PR-BOM'!$D$3:$D1001,'PR-BOM'!$C$3:$C1001,N457))</f>
        <v/>
      </c>
      <c r="Y457" t="str">
        <f>IF(X457="","",SUMIFS(Issue!$D$3:$D1001,Issue!$C$3:$C1001,X457))</f>
        <v/>
      </c>
    </row>
    <row r="458" spans="5:25">
      <c r="E458" t="str">
        <f>IF(A458="","",SUMIFS(Issue!$D$3:$D1001,Issue!$C$3:$C1001,A458)*C458)</f>
        <v/>
      </c>
      <c r="F458" t="e">
        <f ca="1">_xludf.IFNA(VLOOKUP(B458,'S-FG'!$B$3:$B1001,1,FALSE),"")</f>
        <v>#NAME?</v>
      </c>
      <c r="H458" t="str">
        <f ca="1">IFERROR(__xludf.DUMMYFUNCTION("""COMPUTED_VALUE"""),"PORT Aft Plate Assy")</f>
        <v>PORT Aft Plate Assy</v>
      </c>
      <c r="I458" t="str">
        <f ca="1">IFERROR(__xludf.DUMMYFUNCTION("""COMPUTED_VALUE"""),"SS Cooling Water Inlet nozzle")</f>
        <v>SS Cooling Water Inlet nozzle</v>
      </c>
      <c r="J458" s="235">
        <f ca="1">IFERROR(__xludf.DUMMYFUNCTION("""COMPUTED_VALUE"""),1)</f>
        <v>1</v>
      </c>
      <c r="L458">
        <f t="shared" ca="1" si="1"/>
        <v>0</v>
      </c>
      <c r="Q458" t="str">
        <f>IF(N458="","",SUMIFS('PR-BOM'!$D$3:$D1001,'PR-BOM'!$C$3:$C1001,N458))</f>
        <v/>
      </c>
      <c r="Y458" t="str">
        <f>IF(X458="","",SUMIFS(Issue!$D$3:$D1001,Issue!$C$3:$C1001,X458))</f>
        <v/>
      </c>
    </row>
    <row r="459" spans="5:25">
      <c r="E459" t="str">
        <f>IF(A459="","",SUMIFS(Issue!$D$3:$D1001,Issue!$C$3:$C1001,A459)*C459)</f>
        <v/>
      </c>
      <c r="F459" t="e">
        <f ca="1">_xludf.IFNA(VLOOKUP(B459,'S-FG'!$B$3:$B1001,1,FALSE),"")</f>
        <v>#NAME?</v>
      </c>
      <c r="H459" t="str">
        <f ca="1">IFERROR(__xludf.DUMMYFUNCTION("""COMPUTED_VALUE"""),"PORT Aft Plate Assy")</f>
        <v>PORT Aft Plate Assy</v>
      </c>
      <c r="I459" t="str">
        <f ca="1">IFERROR(__xludf.DUMMYFUNCTION("""COMPUTED_VALUE"""),"SS Cooling Water Outlet nozzle")</f>
        <v>SS Cooling Water Outlet nozzle</v>
      </c>
      <c r="J459" s="235">
        <f ca="1">IFERROR(__xludf.DUMMYFUNCTION("""COMPUTED_VALUE"""),1)</f>
        <v>1</v>
      </c>
      <c r="L459">
        <f t="shared" ca="1" si="1"/>
        <v>0</v>
      </c>
      <c r="Q459" t="str">
        <f>IF(N459="","",SUMIFS('PR-BOM'!$D$3:$D1001,'PR-BOM'!$C$3:$C1001,N459))</f>
        <v/>
      </c>
      <c r="Y459" t="str">
        <f>IF(X459="","",SUMIFS(Issue!$D$3:$D1001,Issue!$C$3:$C1001,X459))</f>
        <v/>
      </c>
    </row>
    <row r="460" spans="5:25">
      <c r="E460" t="str">
        <f>IF(A460="","",SUMIFS(Issue!$D$3:$D1001,Issue!$C$3:$C1001,A460)*C460)</f>
        <v/>
      </c>
      <c r="F460" t="e">
        <f ca="1">_xludf.IFNA(VLOOKUP(B460,'S-FG'!$B$3:$B1001,1,FALSE),"")</f>
        <v>#NAME?</v>
      </c>
      <c r="H460" t="str">
        <f ca="1">IFERROR(__xludf.DUMMYFUNCTION("""COMPUTED_VALUE"""),"PORT Aft Plate Assy")</f>
        <v>PORT Aft Plate Assy</v>
      </c>
      <c r="I460" t="str">
        <f ca="1">IFERROR(__xludf.DUMMYFUNCTION("""COMPUTED_VALUE"""),"Greasing nozzle")</f>
        <v>Greasing nozzle</v>
      </c>
      <c r="J460" s="235">
        <f ca="1">IFERROR(__xludf.DUMMYFUNCTION("""COMPUTED_VALUE"""),1)</f>
        <v>1</v>
      </c>
      <c r="L460">
        <f t="shared" ca="1" si="1"/>
        <v>0</v>
      </c>
      <c r="Q460" t="str">
        <f>IF(N460="","",SUMIFS('PR-BOM'!$D$3:$D1001,'PR-BOM'!$C$3:$C1001,N460))</f>
        <v/>
      </c>
      <c r="Y460" t="str">
        <f>IF(X460="","",SUMIFS(Issue!$D$3:$D1001,Issue!$C$3:$C1001,X460))</f>
        <v/>
      </c>
    </row>
    <row r="461" spans="5:25">
      <c r="E461" t="str">
        <f>IF(A461="","",SUMIFS(Issue!$D$3:$D1001,Issue!$C$3:$C1001,A461)*C461)</f>
        <v/>
      </c>
      <c r="F461" t="e">
        <f ca="1">_xludf.IFNA(VLOOKUP(B461,'S-FG'!$B$3:$B1001,1,FALSE),"")</f>
        <v>#NAME?</v>
      </c>
      <c r="H461" t="str">
        <f ca="1">IFERROR(__xludf.DUMMYFUNCTION("""COMPUTED_VALUE"""),"PORT Aft Plate Assy")</f>
        <v>PORT Aft Plate Assy</v>
      </c>
      <c r="I461" t="str">
        <f ca="1">IFERROR(__xludf.DUMMYFUNCTION("""COMPUTED_VALUE"""),"Air nozzle")</f>
        <v>Air nozzle</v>
      </c>
      <c r="J461" s="235">
        <f ca="1">IFERROR(__xludf.DUMMYFUNCTION("""COMPUTED_VALUE"""),1)</f>
        <v>1</v>
      </c>
      <c r="K461" t="str">
        <f ca="1">IFERROR(__xludf.DUMMYFUNCTION("""COMPUTED_VALUE"""),"#N/A")</f>
        <v>#N/A</v>
      </c>
      <c r="L461">
        <f t="shared" ca="1" si="1"/>
        <v>0</v>
      </c>
      <c r="Q461" t="str">
        <f>IF(N461="","",SUMIFS('PR-BOM'!$D$3:$D1001,'PR-BOM'!$C$3:$C1001,N461))</f>
        <v/>
      </c>
      <c r="Y461" t="str">
        <f>IF(X461="","",SUMIFS(Issue!$D$3:$D1001,Issue!$C$3:$C1001,X461))</f>
        <v/>
      </c>
    </row>
    <row r="462" spans="5:25">
      <c r="E462" t="str">
        <f>IF(A462="","",SUMIFS(Issue!$D$3:$D1001,Issue!$C$3:$C1001,A462)*C462)</f>
        <v/>
      </c>
      <c r="F462" t="e">
        <f ca="1">_xludf.IFNA(VLOOKUP(B462,'S-FG'!$B$3:$B1001,1,FALSE),"")</f>
        <v>#NAME?</v>
      </c>
      <c r="H462" t="str">
        <f ca="1">IFERROR(__xludf.DUMMYFUNCTION("""COMPUTED_VALUE"""),"PORT Aft Plate Assy")</f>
        <v>PORT Aft Plate Assy</v>
      </c>
      <c r="I462" t="str">
        <f ca="1">IFERROR(__xludf.DUMMYFUNCTION("""COMPUTED_VALUE"""),"M8 Slim Locknut")</f>
        <v>M8 Slim Locknut</v>
      </c>
      <c r="J462" s="235">
        <f ca="1">IFERROR(__xludf.DUMMYFUNCTION("""COMPUTED_VALUE"""),3)</f>
        <v>3</v>
      </c>
      <c r="K462" t="str">
        <f ca="1">IFERROR(__xludf.DUMMYFUNCTION("""COMPUTED_VALUE"""),"#N/A")</f>
        <v>#N/A</v>
      </c>
      <c r="L462">
        <f t="shared" ca="1" si="1"/>
        <v>0</v>
      </c>
      <c r="Q462" t="str">
        <f>IF(N462="","",SUMIFS('PR-BOM'!$D$3:$D1001,'PR-BOM'!$C$3:$C1001,N462))</f>
        <v/>
      </c>
      <c r="Y462" t="str">
        <f>IF(X462="","",SUMIFS(Issue!$D$3:$D1001,Issue!$C$3:$C1001,X462))</f>
        <v/>
      </c>
    </row>
    <row r="463" spans="5:25">
      <c r="E463" t="str">
        <f>IF(A463="","",SUMIFS(Issue!$D$3:$D1001,Issue!$C$3:$C1001,A463)*C463)</f>
        <v/>
      </c>
      <c r="F463" t="e">
        <f ca="1">_xludf.IFNA(VLOOKUP(B463,'S-FG'!$B$3:$B1001,1,FALSE),"")</f>
        <v>#NAME?</v>
      </c>
      <c r="H463" t="str">
        <f ca="1">IFERROR(__xludf.DUMMYFUNCTION("""COMPUTED_VALUE"""),"R9MX Adapter")</f>
        <v>R9MX Adapter</v>
      </c>
      <c r="I463" t="str">
        <f ca="1">IFERROR(__xludf.DUMMYFUNCTION("""COMPUTED_VALUE"""),"PWB of R9MX adapter")</f>
        <v>PWB of R9MX adapter</v>
      </c>
      <c r="J463" s="235">
        <f ca="1">IFERROR(__xludf.DUMMYFUNCTION("""COMPUTED_VALUE"""),1)</f>
        <v>1</v>
      </c>
      <c r="K463" t="str">
        <f ca="1">IFERROR(__xludf.DUMMYFUNCTION("""COMPUTED_VALUE"""),"#N/A")</f>
        <v>#N/A</v>
      </c>
      <c r="L463">
        <f t="shared" ca="1" si="1"/>
        <v>0</v>
      </c>
      <c r="Q463" t="str">
        <f>IF(N463="","",SUMIFS('PR-BOM'!$D$3:$D1001,'PR-BOM'!$C$3:$C1001,N463))</f>
        <v/>
      </c>
      <c r="Y463" t="str">
        <f>IF(X463="","",SUMIFS(Issue!$D$3:$D1001,Issue!$C$3:$C1001,X463))</f>
        <v/>
      </c>
    </row>
    <row r="464" spans="5:25">
      <c r="E464" t="str">
        <f>IF(A464="","",SUMIFS(Issue!$D$3:$D1001,Issue!$C$3:$C1001,A464)*C464)</f>
        <v/>
      </c>
      <c r="F464" t="e">
        <f ca="1">_xludf.IFNA(VLOOKUP(B464,'S-FG'!$B$3:$B1001,1,FALSE),"")</f>
        <v>#NAME?</v>
      </c>
      <c r="H464" t="str">
        <f ca="1">IFERROR(__xludf.DUMMYFUNCTION("""COMPUTED_VALUE"""),"R9MX Adapter")</f>
        <v>R9MX Adapter</v>
      </c>
      <c r="I464" t="str">
        <f ca="1">IFERROR(__xludf.DUMMYFUNCTION("""COMPUTED_VALUE"""),"Female Bergstrip 40x1 2.0mm")</f>
        <v>Female Bergstrip 40x1 2.0mm</v>
      </c>
      <c r="J464" s="235">
        <f ca="1">IFERROR(__xludf.DUMMYFUNCTION("""COMPUTED_VALUE"""),0.25)</f>
        <v>0.25</v>
      </c>
      <c r="L464">
        <f t="shared" ca="1" si="1"/>
        <v>0</v>
      </c>
      <c r="Q464" t="str">
        <f>IF(N464="","",SUMIFS('PR-BOM'!$D$3:$D1001,'PR-BOM'!$C$3:$C1001,N464))</f>
        <v/>
      </c>
      <c r="Y464" t="str">
        <f>IF(X464="","",SUMIFS(Issue!$D$3:$D1001,Issue!$C$3:$C1001,X464))</f>
        <v/>
      </c>
    </row>
    <row r="465" spans="5:25">
      <c r="E465" t="str">
        <f>IF(A465="","",SUMIFS(Issue!$D$3:$D1001,Issue!$C$3:$C1001,A465)*C465)</f>
        <v/>
      </c>
      <c r="F465" t="e">
        <f ca="1">_xludf.IFNA(VLOOKUP(B465,'S-FG'!$B$3:$B1001,1,FALSE),"")</f>
        <v>#NAME?</v>
      </c>
      <c r="H465" t="str">
        <f ca="1">IFERROR(__xludf.DUMMYFUNCTION("""COMPUTED_VALUE"""),"R9MX Adapter")</f>
        <v>R9MX Adapter</v>
      </c>
      <c r="I465" t="str">
        <f ca="1">IFERROR(__xludf.DUMMYFUNCTION("""COMPUTED_VALUE"""),"Male Bergstrip 40x1 2.0mm")</f>
        <v>Male Bergstrip 40x1 2.0mm</v>
      </c>
      <c r="J465" s="235">
        <f ca="1">IFERROR(__xludf.DUMMYFUNCTION("""COMPUTED_VALUE"""),0.25)</f>
        <v>0.25</v>
      </c>
      <c r="L465">
        <f t="shared" ca="1" si="1"/>
        <v>0</v>
      </c>
      <c r="Q465" t="str">
        <f>IF(N465="","",SUMIFS('PR-BOM'!$D$3:$D1001,'PR-BOM'!$C$3:$C1001,N465))</f>
        <v/>
      </c>
      <c r="Y465" t="str">
        <f>IF(X465="","",SUMIFS(Issue!$D$3:$D1001,Issue!$C$3:$C1001,X465))</f>
        <v/>
      </c>
    </row>
    <row r="466" spans="5:25">
      <c r="E466" t="str">
        <f>IF(A466="","",SUMIFS(Issue!$D$3:$D1001,Issue!$C$3:$C1001,A466)*C466)</f>
        <v/>
      </c>
      <c r="F466" t="e">
        <f ca="1">_xludf.IFNA(VLOOKUP(B466,'S-FG'!$B$3:$B1001,1,FALSE),"")</f>
        <v>#NAME?</v>
      </c>
      <c r="H466" t="str">
        <f ca="1">IFERROR(__xludf.DUMMYFUNCTION("""COMPUTED_VALUE"""),"R9MX Adapter")</f>
        <v>R9MX Adapter</v>
      </c>
      <c r="I466" t="str">
        <f ca="1">IFERROR(__xludf.DUMMYFUNCTION("""COMPUTED_VALUE"""),"Lead wire 22AWG")</f>
        <v>Lead wire 22AWG</v>
      </c>
      <c r="J466" s="235">
        <f ca="1">IFERROR(__xludf.DUMMYFUNCTION("""COMPUTED_VALUE"""),2)</f>
        <v>2</v>
      </c>
      <c r="L466">
        <f t="shared" ca="1" si="1"/>
        <v>0</v>
      </c>
      <c r="Q466" t="str">
        <f>IF(N466="","",SUMIFS('PR-BOM'!$D$3:$D1001,'PR-BOM'!$C$3:$C1001,N466))</f>
        <v/>
      </c>
      <c r="Y466" t="str">
        <f>IF(X466="","",SUMIFS(Issue!$D$3:$D1001,Issue!$C$3:$C1001,X466))</f>
        <v/>
      </c>
    </row>
    <row r="467" spans="5:25">
      <c r="E467" t="str">
        <f>IF(A467="","",SUMIFS(Issue!$D$3:$D1001,Issue!$C$3:$C1001,A467)*C467)</f>
        <v/>
      </c>
      <c r="F467" t="e">
        <f ca="1">_xludf.IFNA(VLOOKUP(B467,'S-FG'!$B$3:$B1001,1,FALSE),"")</f>
        <v>#NAME?</v>
      </c>
      <c r="H467" t="str">
        <f ca="1">IFERROR(__xludf.DUMMYFUNCTION("""COMPUTED_VALUE"""),"R9MX Adapter")</f>
        <v>R9MX Adapter</v>
      </c>
      <c r="I467" t="str">
        <f ca="1">IFERROR(__xludf.DUMMYFUNCTION("""COMPUTED_VALUE"""),"LM1117 5.0v")</f>
        <v>LM1117 5.0v</v>
      </c>
      <c r="J467" s="235">
        <f ca="1">IFERROR(__xludf.DUMMYFUNCTION("""COMPUTED_VALUE"""),1)</f>
        <v>1</v>
      </c>
      <c r="K467" t="str">
        <f ca="1">IFERROR(__xludf.DUMMYFUNCTION("""COMPUTED_VALUE"""),"#N/A")</f>
        <v>#N/A</v>
      </c>
      <c r="L467">
        <f t="shared" ca="1" si="1"/>
        <v>0</v>
      </c>
      <c r="Q467" t="str">
        <f>IF(N467="","",SUMIFS('PR-BOM'!$D$3:$D1001,'PR-BOM'!$C$3:$C1001,N467))</f>
        <v/>
      </c>
      <c r="Y467" t="str">
        <f>IF(X467="","",SUMIFS(Issue!$D$3:$D1001,Issue!$C$3:$C1001,X467))</f>
        <v/>
      </c>
    </row>
    <row r="468" spans="5:25">
      <c r="E468" t="str">
        <f>IF(A468="","",SUMIFS(Issue!$D$3:$D1001,Issue!$C$3:$C1001,A468)*C468)</f>
        <v/>
      </c>
      <c r="F468" t="e">
        <f ca="1">_xludf.IFNA(VLOOKUP(B468,'S-FG'!$B$3:$B1001,1,FALSE),"")</f>
        <v>#NAME?</v>
      </c>
      <c r="H468" t="str">
        <f ca="1">IFERROR(__xludf.DUMMYFUNCTION("""COMPUTED_VALUE"""),"R9MX Adapter")</f>
        <v>R9MX Adapter</v>
      </c>
      <c r="I468" t="str">
        <f ca="1">IFERROR(__xludf.DUMMYFUNCTION("""COMPUTED_VALUE"""),"10uF 10v Tantalum Capacitor Case A")</f>
        <v>10uF 10v Tantalum Capacitor Case A</v>
      </c>
      <c r="J468" s="235">
        <f ca="1">IFERROR(__xludf.DUMMYFUNCTION("""COMPUTED_VALUE"""),1)</f>
        <v>1</v>
      </c>
      <c r="K468" t="str">
        <f ca="1">IFERROR(__xludf.DUMMYFUNCTION("""COMPUTED_VALUE"""),"T491A106K010AT")</f>
        <v>T491A106K010AT</v>
      </c>
      <c r="L468">
        <f t="shared" ca="1" si="1"/>
        <v>0</v>
      </c>
      <c r="Q468" t="str">
        <f>IF(N468="","",SUMIFS('PR-BOM'!$D$3:$D1001,'PR-BOM'!$C$3:$C1001,N468))</f>
        <v/>
      </c>
      <c r="Y468" t="str">
        <f>IF(X468="","",SUMIFS(Issue!$D$3:$D1001,Issue!$C$3:$C1001,X468))</f>
        <v/>
      </c>
    </row>
    <row r="469" spans="5:25">
      <c r="E469" t="str">
        <f>IF(A469="","",SUMIFS(Issue!$D$3:$D1001,Issue!$C$3:$C1001,A469)*C469)</f>
        <v/>
      </c>
      <c r="F469" t="e">
        <f ca="1">_xludf.IFNA(VLOOKUP(B469,'S-FG'!$B$3:$B1001,1,FALSE),"")</f>
        <v>#NAME?</v>
      </c>
      <c r="H469" t="str">
        <f ca="1">IFERROR(__xludf.DUMMYFUNCTION("""COMPUTED_VALUE"""),"Final Packing")</f>
        <v>Final Packing</v>
      </c>
      <c r="I469" t="str">
        <f ca="1">IFERROR(__xludf.DUMMYFUNCTION("""COMPUTED_VALUE"""),"66 No. Box for chraging cable &amp; Tool box")</f>
        <v>66 No. Box for chraging cable &amp; Tool box</v>
      </c>
      <c r="J469" s="235">
        <f ca="1">IFERROR(__xludf.DUMMYFUNCTION("""COMPUTED_VALUE"""),1)</f>
        <v>1</v>
      </c>
      <c r="K469" t="str">
        <f ca="1">IFERROR(__xludf.DUMMYFUNCTION("""COMPUTED_VALUE"""),"#N/A")</f>
        <v>#N/A</v>
      </c>
      <c r="L469">
        <f t="shared" ca="1" si="1"/>
        <v>0</v>
      </c>
      <c r="Q469" t="str">
        <f>IF(N469="","",SUMIFS('PR-BOM'!$D$3:$D1001,'PR-BOM'!$C$3:$C1001,N469))</f>
        <v/>
      </c>
      <c r="Y469" t="str">
        <f>IF(X469="","",SUMIFS(Issue!$D$3:$D1001,Issue!$C$3:$C1001,X469))</f>
        <v/>
      </c>
    </row>
    <row r="470" spans="5:25">
      <c r="E470" t="str">
        <f>IF(A470="","",SUMIFS(Issue!$D$3:$D1001,Issue!$C$3:$C1001,A470)*C470)</f>
        <v/>
      </c>
      <c r="F470" t="e">
        <f ca="1">_xludf.IFNA(VLOOKUP(B470,'S-FG'!$B$3:$B1001,1,FALSE),"")</f>
        <v>#NAME?</v>
      </c>
      <c r="H470" t="str">
        <f ca="1">IFERROR(__xludf.DUMMYFUNCTION("""COMPUTED_VALUE"""),"Final Packing")</f>
        <v>Final Packing</v>
      </c>
      <c r="I470" t="str">
        <f ca="1">IFERROR(__xludf.DUMMYFUNCTION("""COMPUTED_VALUE"""),"22 No. Box for SR structure screws")</f>
        <v>22 No. Box for SR structure screws</v>
      </c>
      <c r="J470" s="235">
        <f ca="1">IFERROR(__xludf.DUMMYFUNCTION("""COMPUTED_VALUE"""),1)</f>
        <v>1</v>
      </c>
      <c r="K470" t="str">
        <f ca="1">IFERROR(__xludf.DUMMYFUNCTION("""COMPUTED_VALUE"""),"                                                                                 ")</f>
        <v xml:space="preserve">                                                                                 </v>
      </c>
      <c r="L470">
        <f t="shared" ca="1" si="1"/>
        <v>0</v>
      </c>
      <c r="Q470" t="str">
        <f>IF(N470="","",SUMIFS('PR-BOM'!$D$3:$D1001,'PR-BOM'!$C$3:$C1001,N470))</f>
        <v/>
      </c>
      <c r="Y470" t="str">
        <f>IF(X470="","",SUMIFS(Issue!$D$3:$D1001,Issue!$C$3:$C1001,X470))</f>
        <v/>
      </c>
    </row>
    <row r="471" spans="5:25">
      <c r="E471" t="str">
        <f>IF(A471="","",SUMIFS(Issue!$D$3:$D1001,Issue!$C$3:$C1001,A471)*C471)</f>
        <v/>
      </c>
      <c r="F471" t="e">
        <f ca="1">_xludf.IFNA(VLOOKUP(B471,'S-FG'!$B$3:$B1001,1,FALSE),"")</f>
        <v>#NAME?</v>
      </c>
      <c r="H471" t="str">
        <f ca="1">IFERROR(__xludf.DUMMYFUNCTION("""COMPUTED_VALUE"""),"Final Packing")</f>
        <v>Final Packing</v>
      </c>
      <c r="I471" t="str">
        <f ca="1">IFERROR(__xludf.DUMMYFUNCTION("""COMPUTED_VALUE"""),"10mm Nut Driver with 15mm Depth")</f>
        <v>10mm Nut Driver with 15mm Depth</v>
      </c>
      <c r="J471" s="235">
        <f ca="1">IFERROR(__xludf.DUMMYFUNCTION("""COMPUTED_VALUE"""),1)</f>
        <v>1</v>
      </c>
      <c r="K471" t="str">
        <f ca="1">IFERROR(__xludf.DUMMYFUNCTION("""COMPUTED_VALUE"""),"#N/A")</f>
        <v>#N/A</v>
      </c>
      <c r="L471">
        <f t="shared" ca="1" si="1"/>
        <v>0</v>
      </c>
      <c r="Q471" t="str">
        <f>IF(N471="","",SUMIFS('PR-BOM'!$D$3:$D1001,'PR-BOM'!$C$3:$C1001,N471))</f>
        <v/>
      </c>
      <c r="Y471" t="str">
        <f>IF(X471="","",SUMIFS(Issue!$D$3:$D1001,Issue!$C$3:$C1001,X471))</f>
        <v/>
      </c>
    </row>
    <row r="472" spans="5:25">
      <c r="E472" t="str">
        <f>IF(A472="","",SUMIFS(Issue!$D$3:$D1001,Issue!$C$3:$C1001,A472)*C472)</f>
        <v/>
      </c>
      <c r="F472" t="e">
        <f ca="1">_xludf.IFNA(VLOOKUP(B472,'S-FG'!$B$3:$B1001,1,FALSE),"")</f>
        <v>#NAME?</v>
      </c>
      <c r="H472" t="str">
        <f ca="1">IFERROR(__xludf.DUMMYFUNCTION("""COMPUTED_VALUE"""),"Final Packing")</f>
        <v>Final Packing</v>
      </c>
      <c r="I472" t="str">
        <f ca="1">IFERROR(__xludf.DUMMYFUNCTION("""COMPUTED_VALUE"""),"4mm T-Handle")</f>
        <v>4mm T-Handle</v>
      </c>
      <c r="J472" s="235">
        <f ca="1">IFERROR(__xludf.DUMMYFUNCTION("""COMPUTED_VALUE"""),1)</f>
        <v>1</v>
      </c>
      <c r="K472" t="str">
        <f ca="1">IFERROR(__xludf.DUMMYFUNCTION("""COMPUTED_VALUE"""),"#N/A")</f>
        <v>#N/A</v>
      </c>
      <c r="L472">
        <f t="shared" ca="1" si="1"/>
        <v>0</v>
      </c>
      <c r="Q472" t="str">
        <f>IF(N472="","",SUMIFS('PR-BOM'!$D$3:$D1001,'PR-BOM'!$C$3:$C1001,N472))</f>
        <v/>
      </c>
      <c r="Y472" t="str">
        <f>IF(X472="","",SUMIFS(Issue!$D$3:$D1001,Issue!$C$3:$C1001,X472))</f>
        <v/>
      </c>
    </row>
    <row r="473" spans="5:25">
      <c r="E473" t="str">
        <f>IF(A473="","",SUMIFS(Issue!$D$3:$D1001,Issue!$C$3:$C1001,A473)*C473)</f>
        <v/>
      </c>
      <c r="F473" t="e">
        <f ca="1">_xludf.IFNA(VLOOKUP(B473,'S-FG'!$B$3:$B1001,1,FALSE),"")</f>
        <v>#NAME?</v>
      </c>
      <c r="H473" t="str">
        <f ca="1">IFERROR(__xludf.DUMMYFUNCTION("""COMPUTED_VALUE"""),"Final Packing")</f>
        <v>Final Packing</v>
      </c>
      <c r="I473" t="str">
        <f ca="1">IFERROR(__xludf.DUMMYFUNCTION("""COMPUTED_VALUE"""),"Greasing Pump")</f>
        <v>Greasing Pump</v>
      </c>
      <c r="J473" s="235">
        <f ca="1">IFERROR(__xludf.DUMMYFUNCTION("""COMPUTED_VALUE"""),1)</f>
        <v>1</v>
      </c>
      <c r="L473">
        <f t="shared" ca="1" si="1"/>
        <v>0</v>
      </c>
      <c r="Q473" t="str">
        <f>IF(N473="","",SUMIFS('PR-BOM'!$D$3:$D1001,'PR-BOM'!$C$3:$C1001,N473))</f>
        <v/>
      </c>
      <c r="Y473" t="str">
        <f>IF(X473="","",SUMIFS(Issue!$D$3:$D1001,Issue!$C$3:$C1001,X473))</f>
        <v/>
      </c>
    </row>
    <row r="474" spans="5:25">
      <c r="E474" t="str">
        <f>IF(A474="","",SUMIFS(Issue!$D$3:$D1001,Issue!$C$3:$C1001,A474)*C474)</f>
        <v/>
      </c>
      <c r="F474" t="e">
        <f ca="1">_xludf.IFNA(VLOOKUP(B474,'S-FG'!$B$3:$B1001,1,FALSE),"")</f>
        <v>#NAME?</v>
      </c>
      <c r="H474" t="str">
        <f ca="1">IFERROR(__xludf.DUMMYFUNCTION("""COMPUTED_VALUE"""),"Final Packing")</f>
        <v>Final Packing</v>
      </c>
      <c r="I474" t="str">
        <f ca="1">IFERROR(__xludf.DUMMYFUNCTION("""COMPUTED_VALUE"""),"Grease")</f>
        <v>Grease</v>
      </c>
      <c r="J474" s="235">
        <f ca="1">IFERROR(__xludf.DUMMYFUNCTION("""COMPUTED_VALUE"""),180)</f>
        <v>180</v>
      </c>
      <c r="L474">
        <f t="shared" ca="1" si="1"/>
        <v>0</v>
      </c>
      <c r="Q474" t="str">
        <f>IF(N474="","",SUMIFS('PR-BOM'!$D$3:$D1001,'PR-BOM'!$C$3:$C1001,N474))</f>
        <v/>
      </c>
      <c r="Y474" t="str">
        <f>IF(X474="","",SUMIFS(Issue!$D$3:$D1001,Issue!$C$3:$C1001,X474))</f>
        <v/>
      </c>
    </row>
    <row r="475" spans="5:25">
      <c r="E475" t="str">
        <f>IF(A475="","",SUMIFS(Issue!$D$3:$D1001,Issue!$C$3:$C1001,A475)*C475)</f>
        <v/>
      </c>
      <c r="F475" t="e">
        <f ca="1">_xludf.IFNA(VLOOKUP(B475,'S-FG'!$B$3:$B1001,1,FALSE),"")</f>
        <v>#NAME?</v>
      </c>
      <c r="H475" t="str">
        <f ca="1">IFERROR(__xludf.DUMMYFUNCTION("""COMPUTED_VALUE"""),"Final Packing")</f>
        <v>Final Packing</v>
      </c>
      <c r="I475" t="str">
        <f ca="1">IFERROR(__xludf.DUMMYFUNCTION("""COMPUTED_VALUE"""),"EPE sheet 20mm 48""x72""")</f>
        <v>EPE sheet 20mm 48"x72"</v>
      </c>
      <c r="J475" s="235">
        <f ca="1">IFERROR(__xludf.DUMMYFUNCTION("""COMPUTED_VALUE"""),1)</f>
        <v>1</v>
      </c>
      <c r="L475">
        <f t="shared" ca="1" si="1"/>
        <v>0</v>
      </c>
      <c r="Q475" t="str">
        <f>IF(N475="","",SUMIFS('PR-BOM'!$D$3:$D1001,'PR-BOM'!$C$3:$C1001,N475))</f>
        <v/>
      </c>
      <c r="Y475" t="str">
        <f>IF(X475="","",SUMIFS(Issue!$D$3:$D1001,Issue!$C$3:$C1001,X475))</f>
        <v/>
      </c>
    </row>
    <row r="476" spans="5:25">
      <c r="E476" t="str">
        <f>IF(A476="","",SUMIFS(Issue!$D$3:$D1001,Issue!$C$3:$C1001,A476)*C476)</f>
        <v/>
      </c>
      <c r="F476" t="e">
        <f ca="1">_xludf.IFNA(VLOOKUP(B476,'S-FG'!$B$3:$B1001,1,FALSE),"")</f>
        <v>#NAME?</v>
      </c>
      <c r="H476" t="str">
        <f ca="1">IFERROR(__xludf.DUMMYFUNCTION("""COMPUTED_VALUE"""),"Final Packing")</f>
        <v>Final Packing</v>
      </c>
      <c r="I476" t="str">
        <f ca="1">IFERROR(__xludf.DUMMYFUNCTION("""COMPUTED_VALUE"""),"HardBox FRP/HDPE/CARTON/EPE")</f>
        <v>HardBox FRP/HDPE/CARTON/EPE</v>
      </c>
      <c r="J476" s="235">
        <f ca="1">IFERROR(__xludf.DUMMYFUNCTION("""COMPUTED_VALUE"""),1)</f>
        <v>1</v>
      </c>
      <c r="K476" t="str">
        <f ca="1">IFERROR(__xludf.DUMMYFUNCTION("""COMPUTED_VALUE"""),"#N/A")</f>
        <v>#N/A</v>
      </c>
      <c r="L476">
        <f t="shared" ca="1" si="1"/>
        <v>0</v>
      </c>
      <c r="Q476" t="str">
        <f>IF(N476="","",SUMIFS('PR-BOM'!$D$3:$D1001,'PR-BOM'!$C$3:$C1001,N476))</f>
        <v/>
      </c>
      <c r="Y476" t="str">
        <f>IF(X476="","",SUMIFS(Issue!$D$3:$D1001,Issue!$C$3:$C1001,X476))</f>
        <v/>
      </c>
    </row>
    <row r="477" spans="5:25">
      <c r="E477" t="str">
        <f>IF(A477="","",SUMIFS(Issue!$D$3:$D1001,Issue!$C$3:$C1001,A477)*C477)</f>
        <v/>
      </c>
      <c r="F477" t="e">
        <f ca="1">_xludf.IFNA(VLOOKUP(B477,'S-FG'!$B$3:$B1001,1,FALSE),"")</f>
        <v>#NAME?</v>
      </c>
      <c r="H477" t="str">
        <f ca="1">IFERROR(__xludf.DUMMYFUNCTION("""COMPUTED_VALUE"""),"Final Packing")</f>
        <v>Final Packing</v>
      </c>
      <c r="I477" t="str">
        <f ca="1">IFERROR(__xludf.DUMMYFUNCTION("""COMPUTED_VALUE"""),"User Manual")</f>
        <v>User Manual</v>
      </c>
      <c r="J477" s="235">
        <f ca="1">IFERROR(__xludf.DUMMYFUNCTION("""COMPUTED_VALUE"""),1)</f>
        <v>1</v>
      </c>
      <c r="K477" t="str">
        <f ca="1">IFERROR(__xludf.DUMMYFUNCTION("""COMPUTED_VALUE"""),"#N/A")</f>
        <v>#N/A</v>
      </c>
      <c r="L477">
        <f t="shared" ca="1" si="1"/>
        <v>0</v>
      </c>
      <c r="Q477" t="str">
        <f>IF(N477="","",SUMIFS('PR-BOM'!$D$3:$D1001,'PR-BOM'!$C$3:$C1001,N477))</f>
        <v/>
      </c>
      <c r="Y477" t="str">
        <f>IF(X477="","",SUMIFS(Issue!$D$3:$D1001,Issue!$C$3:$C1001,X477))</f>
        <v/>
      </c>
    </row>
    <row r="478" spans="5:25">
      <c r="E478" t="str">
        <f>IF(A478="","",SUMIFS(Issue!$D$3:$D1001,Issue!$C$3:$C1001,A478)*C478)</f>
        <v/>
      </c>
      <c r="F478" t="e">
        <f ca="1">_xludf.IFNA(VLOOKUP(B478,'S-FG'!$B$3:$B1001,1,FALSE),"")</f>
        <v>#NAME?</v>
      </c>
      <c r="H478" t="str">
        <f ca="1">IFERROR(__xludf.DUMMYFUNCTION("""COMPUTED_VALUE"""),"Final Packing")</f>
        <v>Final Packing</v>
      </c>
      <c r="I478" t="str">
        <f ca="1">IFERROR(__xludf.DUMMYFUNCTION("""COMPUTED_VALUE"""),"Envelope for User Manual")</f>
        <v>Envelope for User Manual</v>
      </c>
      <c r="J478" s="235">
        <f ca="1">IFERROR(__xludf.DUMMYFUNCTION("""COMPUTED_VALUE"""),1)</f>
        <v>1</v>
      </c>
      <c r="L478">
        <f t="shared" ca="1" si="1"/>
        <v>0</v>
      </c>
      <c r="Q478" t="str">
        <f>IF(N478="","",SUMIFS('PR-BOM'!$D$3:$D1001,'PR-BOM'!$C$3:$C1001,N478))</f>
        <v/>
      </c>
      <c r="Y478" t="str">
        <f>IF(X478="","",SUMIFS(Issue!$D$3:$D1001,Issue!$C$3:$C1001,X478))</f>
        <v/>
      </c>
    </row>
    <row r="479" spans="5:25">
      <c r="E479" t="str">
        <f>IF(A479="","",SUMIFS(Issue!$D$3:$D1001,Issue!$C$3:$C1001,A479)*C479)</f>
        <v/>
      </c>
      <c r="F479" t="e">
        <f ca="1">_xludf.IFNA(VLOOKUP(B479,'S-FG'!$B$3:$B1001,1,FALSE),"")</f>
        <v>#NAME?</v>
      </c>
      <c r="H479" t="str">
        <f ca="1">IFERROR(__xludf.DUMMYFUNCTION("""COMPUTED_VALUE"""),"Final Packing")</f>
        <v>Final Packing</v>
      </c>
      <c r="I479" t="str">
        <f ca="1">IFERROR(__xludf.DUMMYFUNCTION("""COMPUTED_VALUE"""),"2.5mm T handle")</f>
        <v>2.5mm T handle</v>
      </c>
      <c r="J479" s="235">
        <f ca="1">IFERROR(__xludf.DUMMYFUNCTION("""COMPUTED_VALUE"""),1)</f>
        <v>1</v>
      </c>
      <c r="K479" t="str">
        <f ca="1">IFERROR(__xludf.DUMMYFUNCTION("""COMPUTED_VALUE"""),"#N/A")</f>
        <v>#N/A</v>
      </c>
      <c r="L479">
        <f t="shared" ca="1" si="1"/>
        <v>0</v>
      </c>
      <c r="Q479" t="str">
        <f>IF(N479="","",SUMIFS('PR-BOM'!$D$3:$D1001,'PR-BOM'!$C$3:$C1001,N479))</f>
        <v/>
      </c>
      <c r="Y479" t="str">
        <f>IF(X479="","",SUMIFS(Issue!$D$3:$D1001,Issue!$C$3:$C1001,X479))</f>
        <v/>
      </c>
    </row>
    <row r="480" spans="5:25">
      <c r="E480" t="str">
        <f>IF(A480="","",SUMIFS(Issue!$D$3:$D1001,Issue!$C$3:$C1001,A480)*C480)</f>
        <v/>
      </c>
      <c r="F480" t="e">
        <f ca="1">_xludf.IFNA(VLOOKUP(B480,'S-FG'!$B$3:$B1001,1,FALSE),"")</f>
        <v>#NAME?</v>
      </c>
      <c r="H480" t="str">
        <f ca="1">IFERROR(__xludf.DUMMYFUNCTION("""COMPUTED_VALUE"""),"Final Packing")</f>
        <v>Final Packing</v>
      </c>
      <c r="I480" t="str">
        <f ca="1">IFERROR(__xludf.DUMMYFUNCTION("""COMPUTED_VALUE"""),"Oring AFT plate")</f>
        <v>Oring AFT plate</v>
      </c>
      <c r="J480" s="235">
        <f ca="1">IFERROR(__xludf.DUMMYFUNCTION("""COMPUTED_VALUE"""),2)</f>
        <v>2</v>
      </c>
      <c r="K480" t="str">
        <f ca="1">IFERROR(__xludf.DUMMYFUNCTION("""COMPUTED_VALUE"""),"#N/A")</f>
        <v>#N/A</v>
      </c>
      <c r="L480">
        <f t="shared" ca="1" si="1"/>
        <v>0</v>
      </c>
      <c r="Q480" t="str">
        <f>IF(N480="","",SUMIFS('PR-BOM'!$D$3:$D1001,'PR-BOM'!$C$3:$C1001,N480))</f>
        <v/>
      </c>
      <c r="Y480" t="str">
        <f>IF(X480="","",SUMIFS(Issue!$D$3:$D1001,Issue!$C$3:$C1001,X480))</f>
        <v/>
      </c>
    </row>
    <row r="481" spans="5:25">
      <c r="E481" t="str">
        <f>IF(A481="","",SUMIFS(Issue!$D$3:$D1001,Issue!$C$3:$C1001,A481)*C481)</f>
        <v/>
      </c>
      <c r="F481" t="e">
        <f ca="1">_xludf.IFNA(VLOOKUP(B481,'S-FG'!$B$3:$B1001,1,FALSE),"")</f>
        <v>#NAME?</v>
      </c>
      <c r="H481" t="str">
        <f ca="1">IFERROR(__xludf.DUMMYFUNCTION("""COMPUTED_VALUE"""),"Power Switch Assy")</f>
        <v>Power Switch Assy</v>
      </c>
      <c r="I481" t="str">
        <f ca="1">IFERROR(__xludf.DUMMYFUNCTION("""COMPUTED_VALUE"""),"IP68 Rotary main Switch")</f>
        <v>IP68 Rotary main Switch</v>
      </c>
      <c r="J481" s="235">
        <f ca="1">IFERROR(__xludf.DUMMYFUNCTION("""COMPUTED_VALUE"""),1)</f>
        <v>1</v>
      </c>
      <c r="K481" t="str">
        <f ca="1">IFERROR(__xludf.DUMMYFUNCTION("""COMPUTED_VALUE"""),"#N/A")</f>
        <v>#N/A</v>
      </c>
      <c r="L481">
        <f t="shared" ca="1" si="1"/>
        <v>0</v>
      </c>
      <c r="Q481" t="str">
        <f>IF(N481="","",SUMIFS('PR-BOM'!$D$3:$D1001,'PR-BOM'!$C$3:$C1001,N481))</f>
        <v/>
      </c>
      <c r="Y481" t="str">
        <f>IF(X481="","",SUMIFS(Issue!$D$3:$D1001,Issue!$C$3:$C1001,X481))</f>
        <v/>
      </c>
    </row>
    <row r="482" spans="5:25">
      <c r="E482" t="str">
        <f>IF(A482="","",SUMIFS(Issue!$D$3:$D1001,Issue!$C$3:$C1001,A482)*C482)</f>
        <v/>
      </c>
      <c r="F482" t="e">
        <f ca="1">_xludf.IFNA(VLOOKUP(B482,'S-FG'!$B$3:$B1001,1,FALSE),"")</f>
        <v>#NAME?</v>
      </c>
      <c r="H482" t="str">
        <f ca="1">IFERROR(__xludf.DUMMYFUNCTION("""COMPUTED_VALUE"""),"Power Switch Assy")</f>
        <v>Power Switch Assy</v>
      </c>
      <c r="I482" t="str">
        <f ca="1">IFERROR(__xludf.DUMMYFUNCTION("""COMPUTED_VALUE"""),"10cm one sided JST crimped White")</f>
        <v>10cm one sided JST crimped White</v>
      </c>
      <c r="J482" s="235">
        <f ca="1">IFERROR(__xludf.DUMMYFUNCTION("""COMPUTED_VALUE"""),2)</f>
        <v>2</v>
      </c>
      <c r="K482" t="str">
        <f ca="1">IFERROR(__xludf.DUMMYFUNCTION("""COMPUTED_VALUE"""),"#N/A")</f>
        <v>#N/A</v>
      </c>
      <c r="L482">
        <f t="shared" ca="1" si="1"/>
        <v>0</v>
      </c>
      <c r="Q482" t="str">
        <f>IF(N482="","",SUMIFS('PR-BOM'!$D$3:$D1001,'PR-BOM'!$C$3:$C1001,N482))</f>
        <v/>
      </c>
      <c r="Y482" t="str">
        <f>IF(X482="","",SUMIFS(Issue!$D$3:$D1001,Issue!$C$3:$C1001,X482))</f>
        <v/>
      </c>
    </row>
    <row r="483" spans="5:25">
      <c r="E483" t="str">
        <f>IF(A483="","",SUMIFS(Issue!$D$3:$D1001,Issue!$C$3:$C1001,A483)*C483)</f>
        <v/>
      </c>
      <c r="F483" t="e">
        <f ca="1">_xludf.IFNA(VLOOKUP(B483,'S-FG'!$B$3:$B1001,1,FALSE),"")</f>
        <v>#NAME?</v>
      </c>
      <c r="H483" t="str">
        <f ca="1">IFERROR(__xludf.DUMMYFUNCTION("""COMPUTED_VALUE"""),"Power Switch Assy")</f>
        <v>Power Switch Assy</v>
      </c>
      <c r="I483" t="str">
        <f ca="1">IFERROR(__xludf.DUMMYFUNCTION("""COMPUTED_VALUE"""),"2 pin JST-XH housing")</f>
        <v>2 pin JST-XH housing</v>
      </c>
      <c r="J483" s="235">
        <f ca="1">IFERROR(__xludf.DUMMYFUNCTION("""COMPUTED_VALUE"""),1)</f>
        <v>1</v>
      </c>
      <c r="L483">
        <f t="shared" ca="1" si="1"/>
        <v>0</v>
      </c>
      <c r="Q483" t="str">
        <f>IF(N483="","",SUMIFS('PR-BOM'!$D$3:$D1001,'PR-BOM'!$C$3:$C1001,N483))</f>
        <v/>
      </c>
      <c r="Y483" t="str">
        <f>IF(X483="","",SUMIFS(Issue!$D$3:$D1001,Issue!$C$3:$C1001,X483))</f>
        <v/>
      </c>
    </row>
    <row r="484" spans="5:25">
      <c r="E484" t="str">
        <f>IF(A484="","",SUMIFS(Issue!$D$3:$D1001,Issue!$C$3:$C1001,A484)*C484)</f>
        <v/>
      </c>
      <c r="F484" t="e">
        <f ca="1">_xludf.IFNA(VLOOKUP(B484,'S-FG'!$B$3:$B1001,1,FALSE),"")</f>
        <v>#NAME?</v>
      </c>
      <c r="L484" t="str">
        <f t="shared" si="1"/>
        <v/>
      </c>
      <c r="Q484" t="str">
        <f>IF(N484="","",SUMIFS('PR-BOM'!$D$3:$D1001,'PR-BOM'!$C$3:$C1001,N484))</f>
        <v/>
      </c>
      <c r="Y484" t="str">
        <f>IF(X484="","",SUMIFS(Issue!$D$3:$D1001,Issue!$C$3:$C1001,X484))</f>
        <v/>
      </c>
    </row>
    <row r="485" spans="5:25">
      <c r="E485" t="str">
        <f>IF(A485="","",SUMIFS(Issue!$D$3:$D1001,Issue!$C$3:$C1001,A485)*C485)</f>
        <v/>
      </c>
      <c r="F485" t="e">
        <f ca="1">_xludf.IFNA(VLOOKUP(B485,'S-FG'!$B$3:$B1001,1,FALSE),"")</f>
        <v>#NAME?</v>
      </c>
      <c r="L485" t="str">
        <f t="shared" si="1"/>
        <v/>
      </c>
      <c r="Q485" t="str">
        <f>IF(N485="","",SUMIFS('PR-BOM'!$D$3:$D1001,'PR-BOM'!$C$3:$C1001,N485))</f>
        <v/>
      </c>
      <c r="Y485" t="str">
        <f>IF(X485="","",SUMIFS(Issue!$D$3:$D1001,Issue!$C$3:$C1001,X485))</f>
        <v/>
      </c>
    </row>
    <row r="486" spans="5:25">
      <c r="E486" t="str">
        <f>IF(A486="","",SUMIFS(Issue!$D$3:$D1001,Issue!$C$3:$C1001,A486)*C486)</f>
        <v/>
      </c>
      <c r="F486" t="e">
        <f ca="1">_xludf.IFNA(VLOOKUP(B486,'S-FG'!$B$3:$B1001,1,FALSE),"")</f>
        <v>#NAME?</v>
      </c>
      <c r="L486" t="str">
        <f t="shared" si="1"/>
        <v/>
      </c>
      <c r="Q486" t="str">
        <f>IF(N486="","",SUMIFS('PR-BOM'!$D$3:$D1001,'PR-BOM'!$C$3:$C1001,N486))</f>
        <v/>
      </c>
      <c r="Y486" t="str">
        <f>IF(X486="","",SUMIFS(Issue!$D$3:$D1001,Issue!$C$3:$C1001,X486))</f>
        <v/>
      </c>
    </row>
    <row r="487" spans="5:25">
      <c r="E487" t="str">
        <f>IF(A487="","",SUMIFS(Issue!$D$3:$D1001,Issue!$C$3:$C1001,A487)*C487)</f>
        <v/>
      </c>
      <c r="F487" t="e">
        <f ca="1">_xludf.IFNA(VLOOKUP(B487,'S-FG'!$B$3:$B1001,1,FALSE),"")</f>
        <v>#NAME?</v>
      </c>
      <c r="L487" t="str">
        <f t="shared" si="1"/>
        <v/>
      </c>
      <c r="Q487" t="str">
        <f>IF(N487="","",SUMIFS('PR-BOM'!$D$3:$D1001,'PR-BOM'!$C$3:$C1001,N487))</f>
        <v/>
      </c>
      <c r="Y487" t="str">
        <f>IF(X487="","",SUMIFS(Issue!$D$3:$D1001,Issue!$C$3:$C1001,X487))</f>
        <v/>
      </c>
    </row>
    <row r="488" spans="5:25">
      <c r="E488" t="str">
        <f>IF(A488="","",SUMIFS(Issue!$D$3:$D1001,Issue!$C$3:$C1001,A488)*C488)</f>
        <v/>
      </c>
      <c r="F488" t="e">
        <f ca="1">_xludf.IFNA(VLOOKUP(B488,'S-FG'!$B$3:$B1001,1,FALSE),"")</f>
        <v>#NAME?</v>
      </c>
      <c r="L488" t="str">
        <f t="shared" si="1"/>
        <v/>
      </c>
      <c r="Q488" t="str">
        <f>IF(N488="","",SUMIFS('PR-BOM'!$D$3:$D1001,'PR-BOM'!$C$3:$C1001,N488))</f>
        <v/>
      </c>
      <c r="Y488" t="str">
        <f>IF(X488="","",SUMIFS(Issue!$D$3:$D1001,Issue!$C$3:$C1001,X488))</f>
        <v/>
      </c>
    </row>
    <row r="489" spans="5:25">
      <c r="E489" t="str">
        <f>IF(A489="","",SUMIFS(Issue!$D$3:$D1001,Issue!$C$3:$C1001,A489)*C489)</f>
        <v/>
      </c>
      <c r="F489" t="e">
        <f ca="1">_xludf.IFNA(VLOOKUP(B489,'S-FG'!$B$3:$B1001,1,FALSE),"")</f>
        <v>#NAME?</v>
      </c>
      <c r="L489" t="str">
        <f t="shared" si="1"/>
        <v/>
      </c>
      <c r="Q489" t="str">
        <f>IF(N489="","",SUMIFS('PR-BOM'!$D$3:$D1001,'PR-BOM'!$C$3:$C1001,N489))</f>
        <v/>
      </c>
      <c r="Y489" t="str">
        <f>IF(X489="","",SUMIFS(Issue!$D$3:$D1001,Issue!$C$3:$C1001,X489))</f>
        <v/>
      </c>
    </row>
    <row r="490" spans="5:25">
      <c r="E490" t="str">
        <f>IF(A490="","",SUMIFS(Issue!$D$3:$D1001,Issue!$C$3:$C1001,A490)*C490)</f>
        <v/>
      </c>
      <c r="F490" t="e">
        <f ca="1">_xludf.IFNA(VLOOKUP(B490,'S-FG'!$B$3:$B1001,1,FALSE),"")</f>
        <v>#NAME?</v>
      </c>
      <c r="L490" t="str">
        <f t="shared" si="1"/>
        <v/>
      </c>
      <c r="Q490" t="str">
        <f>IF(N490="","",SUMIFS('PR-BOM'!$D$3:$D1001,'PR-BOM'!$C$3:$C1001,N490))</f>
        <v/>
      </c>
      <c r="Y490" t="str">
        <f>IF(X490="","",SUMIFS(Issue!$D$3:$D1001,Issue!$C$3:$C1001,X490))</f>
        <v/>
      </c>
    </row>
    <row r="491" spans="5:25">
      <c r="E491" t="str">
        <f>IF(A491="","",SUMIFS(Issue!$D$3:$D1001,Issue!$C$3:$C1001,A491)*C491)</f>
        <v/>
      </c>
      <c r="F491" t="e">
        <f ca="1">_xludf.IFNA(VLOOKUP(B491,'S-FG'!$B$3:$B1001,1,FALSE),"")</f>
        <v>#NAME?</v>
      </c>
      <c r="L491" t="str">
        <f t="shared" si="1"/>
        <v/>
      </c>
      <c r="Q491" t="str">
        <f>IF(N491="","",SUMIFS('PR-BOM'!$D$3:$D1001,'PR-BOM'!$C$3:$C1001,N491))</f>
        <v/>
      </c>
      <c r="Y491" t="str">
        <f>IF(X491="","",SUMIFS(Issue!$D$3:$D1001,Issue!$C$3:$C1001,X491))</f>
        <v/>
      </c>
    </row>
    <row r="492" spans="5:25">
      <c r="E492" t="str">
        <f>IF(A492="","",SUMIFS(Issue!$D$3:$D1001,Issue!$C$3:$C1001,A492)*C492)</f>
        <v/>
      </c>
      <c r="F492" t="e">
        <f ca="1">_xludf.IFNA(VLOOKUP(B492,'S-FG'!$B$3:$B1001,1,FALSE),"")</f>
        <v>#NAME?</v>
      </c>
      <c r="L492" t="str">
        <f t="shared" si="1"/>
        <v/>
      </c>
      <c r="Q492" t="str">
        <f>IF(N492="","",SUMIFS('PR-BOM'!$D$3:$D1001,'PR-BOM'!$C$3:$C1001,N492))</f>
        <v/>
      </c>
      <c r="Y492" t="str">
        <f>IF(X492="","",SUMIFS(Issue!$D$3:$D1001,Issue!$C$3:$C1001,X492))</f>
        <v/>
      </c>
    </row>
    <row r="493" spans="5:25">
      <c r="E493" t="str">
        <f>IF(A493="","",SUMIFS(Issue!$D$3:$D1001,Issue!$C$3:$C1001,A493)*C493)</f>
        <v/>
      </c>
      <c r="F493" t="e">
        <f ca="1">_xludf.IFNA(VLOOKUP(B493,'S-FG'!$B$3:$B1001,1,FALSE),"")</f>
        <v>#NAME?</v>
      </c>
      <c r="L493" t="str">
        <f t="shared" si="1"/>
        <v/>
      </c>
      <c r="Q493" t="str">
        <f>IF(N493="","",SUMIFS('PR-BOM'!$D$3:$D1001,'PR-BOM'!$C$3:$C1001,N493))</f>
        <v/>
      </c>
      <c r="Y493" t="str">
        <f>IF(X493="","",SUMIFS(Issue!$D$3:$D1001,Issue!$C$3:$C1001,X493))</f>
        <v/>
      </c>
    </row>
    <row r="494" spans="5:25">
      <c r="E494" t="str">
        <f>IF(A494="","",SUMIFS(Issue!$D$3:$D1001,Issue!$C$3:$C1001,A494)*C494)</f>
        <v/>
      </c>
      <c r="F494" t="e">
        <f ca="1">_xludf.IFNA(VLOOKUP(B494,'S-FG'!$B$3:$B1001,1,FALSE),"")</f>
        <v>#NAME?</v>
      </c>
      <c r="L494" t="str">
        <f t="shared" si="1"/>
        <v/>
      </c>
      <c r="Q494" t="str">
        <f>IF(N494="","",SUMIFS('PR-BOM'!$D$3:$D1001,'PR-BOM'!$C$3:$C1001,N494))</f>
        <v/>
      </c>
      <c r="Y494" t="str">
        <f>IF(X494="","",SUMIFS(Issue!$D$3:$D1001,Issue!$C$3:$C1001,X494))</f>
        <v/>
      </c>
    </row>
    <row r="495" spans="5:25">
      <c r="E495" t="str">
        <f>IF(A495="","",SUMIFS(Issue!$D$3:$D1001,Issue!$C$3:$C1001,A495)*C495)</f>
        <v/>
      </c>
      <c r="F495" t="e">
        <f ca="1">_xludf.IFNA(VLOOKUP(B495,'S-FG'!$B$3:$B1001,1,FALSE),"")</f>
        <v>#NAME?</v>
      </c>
      <c r="L495" t="str">
        <f t="shared" si="1"/>
        <v/>
      </c>
      <c r="Q495" t="str">
        <f>IF(N495="","",SUMIFS('PR-BOM'!$D$3:$D1001,'PR-BOM'!$C$3:$C1001,N495))</f>
        <v/>
      </c>
      <c r="Y495" t="str">
        <f>IF(X495="","",SUMIFS(Issue!$D$3:$D1001,Issue!$C$3:$C1001,X495))</f>
        <v/>
      </c>
    </row>
    <row r="496" spans="5:25">
      <c r="E496" t="str">
        <f>IF(A496="","",SUMIFS(Issue!$D$3:$D1001,Issue!$C$3:$C1001,A496)*C496)</f>
        <v/>
      </c>
      <c r="F496" t="e">
        <f ca="1">_xludf.IFNA(VLOOKUP(B496,'S-FG'!$B$3:$B1001,1,FALSE),"")</f>
        <v>#NAME?</v>
      </c>
      <c r="L496" t="str">
        <f t="shared" si="1"/>
        <v/>
      </c>
      <c r="Q496" t="str">
        <f>IF(N496="","",SUMIFS('PR-BOM'!$D$3:$D1001,'PR-BOM'!$C$3:$C1001,N496))</f>
        <v/>
      </c>
      <c r="Y496" t="str">
        <f>IF(X496="","",SUMIFS(Issue!$D$3:$D1001,Issue!$C$3:$C1001,X496))</f>
        <v/>
      </c>
    </row>
    <row r="497" spans="5:25">
      <c r="E497" t="str">
        <f>IF(A497="","",SUMIFS(Issue!$D$3:$D1001,Issue!$C$3:$C1001,A497)*C497)</f>
        <v/>
      </c>
      <c r="F497" t="e">
        <f ca="1">_xludf.IFNA(VLOOKUP(B497,'S-FG'!$B$3:$B1001,1,FALSE),"")</f>
        <v>#NAME?</v>
      </c>
      <c r="L497" t="str">
        <f t="shared" si="1"/>
        <v/>
      </c>
      <c r="Q497" t="str">
        <f>IF(N497="","",SUMIFS('PR-BOM'!$D$3:$D1001,'PR-BOM'!$C$3:$C1001,N497))</f>
        <v/>
      </c>
      <c r="Y497" t="str">
        <f>IF(X497="","",SUMIFS(Issue!$D$3:$D1001,Issue!$C$3:$C1001,X497))</f>
        <v/>
      </c>
    </row>
    <row r="498" spans="5:25">
      <c r="E498" t="str">
        <f>IF(A498="","",SUMIFS(Issue!$D$3:$D1001,Issue!$C$3:$C1001,A498)*C498)</f>
        <v/>
      </c>
      <c r="F498" t="e">
        <f ca="1">_xludf.IFNA(VLOOKUP(B498,'S-FG'!$B$3:$B1001,1,FALSE),"")</f>
        <v>#NAME?</v>
      </c>
      <c r="L498" t="str">
        <f t="shared" si="1"/>
        <v/>
      </c>
      <c r="Q498" t="str">
        <f>IF(N498="","",SUMIFS('PR-BOM'!$D$3:$D1001,'PR-BOM'!$C$3:$C1001,N498))</f>
        <v/>
      </c>
      <c r="Y498" t="str">
        <f>IF(X498="","",SUMIFS(Issue!$D$3:$D1001,Issue!$C$3:$C1001,X498))</f>
        <v/>
      </c>
    </row>
    <row r="499" spans="5:25">
      <c r="E499" t="str">
        <f>IF(A499="","",SUMIFS(Issue!$D$3:$D1001,Issue!$C$3:$C1001,A499)*C499)</f>
        <v/>
      </c>
      <c r="F499" t="e">
        <f ca="1">_xludf.IFNA(VLOOKUP(B499,'S-FG'!$B$3:$B1001,1,FALSE),"")</f>
        <v>#NAME?</v>
      </c>
      <c r="L499" t="str">
        <f t="shared" si="1"/>
        <v/>
      </c>
      <c r="Q499" t="str">
        <f>IF(N499="","",SUMIFS('PR-BOM'!$D$3:$D1001,'PR-BOM'!$C$3:$C1001,N499))</f>
        <v/>
      </c>
      <c r="Y499" t="str">
        <f>IF(X499="","",SUMIFS(Issue!$D$3:$D1001,Issue!$C$3:$C1001,X499))</f>
        <v/>
      </c>
    </row>
    <row r="500" spans="5:25">
      <c r="E500" t="str">
        <f>IF(A500="","",SUMIFS(Issue!$D$3:$D1001,Issue!$C$3:$C1001,A500)*C500)</f>
        <v/>
      </c>
      <c r="F500" t="e">
        <f ca="1">_xludf.IFNA(VLOOKUP(B500,'S-FG'!$B$3:$B1001,1,FALSE),"")</f>
        <v>#NAME?</v>
      </c>
      <c r="L500" t="str">
        <f t="shared" si="1"/>
        <v/>
      </c>
      <c r="Q500" t="str">
        <f>IF(N500="","",SUMIFS('PR-BOM'!$D$3:$D1001,'PR-BOM'!$C$3:$C1001,N500))</f>
        <v/>
      </c>
      <c r="Y500" t="str">
        <f>IF(X500="","",SUMIFS(Issue!$D$3:$D1001,Issue!$C$3:$C1001,X500))</f>
        <v/>
      </c>
    </row>
    <row r="501" spans="5:25">
      <c r="E501" t="str">
        <f>IF(A501="","",SUMIFS(Issue!$D$3:$D1001,Issue!$C$3:$C1001,A501)*C501)</f>
        <v/>
      </c>
      <c r="F501" t="e">
        <f ca="1">_xludf.IFNA(VLOOKUP(B501,'S-FG'!$B$3:$B1001,1,FALSE),"")</f>
        <v>#NAME?</v>
      </c>
      <c r="L501" t="str">
        <f t="shared" si="1"/>
        <v/>
      </c>
      <c r="Q501" t="str">
        <f>IF(N501="","",SUMIFS('PR-BOM'!$D$3:$D1001,'PR-BOM'!$C$3:$C1001,N501))</f>
        <v/>
      </c>
      <c r="Y501" t="str">
        <f>IF(X501="","",SUMIFS(Issue!$D$3:$D1001,Issue!$C$3:$C1001,X501))</f>
        <v/>
      </c>
    </row>
    <row r="502" spans="5:25">
      <c r="E502" t="str">
        <f>IF(A502="","",SUMIFS(Issue!$D$3:$D1001,Issue!$C$3:$C1001,A502)*C502)</f>
        <v/>
      </c>
      <c r="F502" t="e">
        <f ca="1">_xludf.IFNA(VLOOKUP(B502,'S-FG'!$B$3:$B1001,1,FALSE),"")</f>
        <v>#NAME?</v>
      </c>
      <c r="L502" t="str">
        <f t="shared" si="1"/>
        <v/>
      </c>
      <c r="Q502" t="str">
        <f>IF(N502="","",SUMIFS('PR-BOM'!$D$3:$D1001,'PR-BOM'!$C$3:$C1001,N502))</f>
        <v/>
      </c>
      <c r="Y502" t="str">
        <f>IF(X502="","",SUMIFS(Issue!$D$3:$D1001,Issue!$C$3:$C1001,X502))</f>
        <v/>
      </c>
    </row>
    <row r="503" spans="5:25">
      <c r="E503" t="str">
        <f>IF(A503="","",SUMIFS(Issue!$D$3:$D1001,Issue!$C$3:$C1001,A503)*C503)</f>
        <v/>
      </c>
      <c r="F503" t="e">
        <f ca="1">_xludf.IFNA(VLOOKUP(B503,'S-FG'!$B$3:$B1001,1,FALSE),"")</f>
        <v>#NAME?</v>
      </c>
      <c r="L503" t="str">
        <f t="shared" si="1"/>
        <v/>
      </c>
      <c r="Q503" t="str">
        <f>IF(N503="","",SUMIFS('PR-BOM'!$D$3:$D1001,'PR-BOM'!$C$3:$C1001,N503))</f>
        <v/>
      </c>
      <c r="Y503" t="str">
        <f>IF(X503="","",SUMIFS(Issue!$D$3:$D1001,Issue!$C$3:$C1001,X503))</f>
        <v/>
      </c>
    </row>
    <row r="504" spans="5:25">
      <c r="E504" t="str">
        <f>IF(A504="","",SUMIFS(Issue!$D$3:$D1001,Issue!$C$3:$C1001,A504)*C504)</f>
        <v/>
      </c>
      <c r="F504" t="e">
        <f ca="1">_xludf.IFNA(VLOOKUP(B504,'S-FG'!$B$3:$B1001,1,FALSE),"")</f>
        <v>#NAME?</v>
      </c>
      <c r="L504" t="str">
        <f t="shared" si="1"/>
        <v/>
      </c>
      <c r="Q504" t="str">
        <f>IF(N504="","",SUMIFS('PR-BOM'!$D$3:$D1001,'PR-BOM'!$C$3:$C1001,N504))</f>
        <v/>
      </c>
      <c r="Y504" t="str">
        <f>IF(X504="","",SUMIFS(Issue!$D$3:$D1001,Issue!$C$3:$C1001,X504))</f>
        <v/>
      </c>
    </row>
    <row r="505" spans="5:25">
      <c r="E505" t="str">
        <f>IF(A505="","",SUMIFS(Issue!$D$3:$D1001,Issue!$C$3:$C1001,A505)*C505)</f>
        <v/>
      </c>
      <c r="F505" t="e">
        <f ca="1">_xludf.IFNA(VLOOKUP(B505,'S-FG'!$B$3:$B1001,1,FALSE),"")</f>
        <v>#NAME?</v>
      </c>
      <c r="L505" t="str">
        <f t="shared" si="1"/>
        <v/>
      </c>
      <c r="Q505" t="str">
        <f>IF(N505="","",SUMIFS('PR-BOM'!$D$3:$D1001,'PR-BOM'!$C$3:$C1001,N505))</f>
        <v/>
      </c>
      <c r="Y505" t="str">
        <f>IF(X505="","",SUMIFS(Issue!$D$3:$D1001,Issue!$C$3:$C1001,X505))</f>
        <v/>
      </c>
    </row>
    <row r="506" spans="5:25">
      <c r="E506" t="str">
        <f>IF(A506="","",SUMIFS(Issue!$D$3:$D1001,Issue!$C$3:$C1001,A506)*C506)</f>
        <v/>
      </c>
      <c r="F506" t="e">
        <f ca="1">_xludf.IFNA(VLOOKUP(B506,'S-FG'!$B$3:$B1001,1,FALSE),"")</f>
        <v>#NAME?</v>
      </c>
      <c r="L506" t="str">
        <f t="shared" si="1"/>
        <v/>
      </c>
      <c r="Q506" t="str">
        <f>IF(N506="","",SUMIFS('PR-BOM'!$D$3:$D1001,'PR-BOM'!$C$3:$C1001,N506))</f>
        <v/>
      </c>
      <c r="Y506" t="str">
        <f>IF(X506="","",SUMIFS(Issue!$D$3:$D1001,Issue!$C$3:$C1001,X506))</f>
        <v/>
      </c>
    </row>
    <row r="507" spans="5:25">
      <c r="E507" t="str">
        <f>IF(A507="","",SUMIFS(Issue!$D$3:$D1001,Issue!$C$3:$C1001,A507)*C507)</f>
        <v/>
      </c>
      <c r="F507" t="e">
        <f ca="1">_xludf.IFNA(VLOOKUP(B507,'S-FG'!$B$3:$B1001,1,FALSE),"")</f>
        <v>#NAME?</v>
      </c>
      <c r="L507" t="str">
        <f t="shared" si="1"/>
        <v/>
      </c>
      <c r="Q507" t="str">
        <f>IF(N507="","",SUMIFS('PR-BOM'!$D$3:$D1001,'PR-BOM'!$C$3:$C1001,N507))</f>
        <v/>
      </c>
      <c r="Y507" t="str">
        <f>IF(X507="","",SUMIFS(Issue!$D$3:$D1001,Issue!$C$3:$C1001,X507))</f>
        <v/>
      </c>
    </row>
    <row r="508" spans="5:25">
      <c r="E508" t="str">
        <f>IF(A508="","",SUMIFS(Issue!$D$3:$D1001,Issue!$C$3:$C1001,A508)*C508)</f>
        <v/>
      </c>
      <c r="F508" t="e">
        <f ca="1">_xludf.IFNA(VLOOKUP(B508,'S-FG'!$B$3:$B1001,1,FALSE),"")</f>
        <v>#NAME?</v>
      </c>
      <c r="L508" t="str">
        <f t="shared" si="1"/>
        <v/>
      </c>
      <c r="Q508" t="str">
        <f>IF(N508="","",SUMIFS('PR-BOM'!$D$3:$D1001,'PR-BOM'!$C$3:$C1001,N508))</f>
        <v/>
      </c>
      <c r="Y508" t="str">
        <f>IF(X508="","",SUMIFS(Issue!$D$3:$D1001,Issue!$C$3:$C1001,X508))</f>
        <v/>
      </c>
    </row>
    <row r="509" spans="5:25">
      <c r="E509" t="str">
        <f>IF(A509="","",SUMIFS(Issue!$D$3:$D1001,Issue!$C$3:$C1001,A509)*C509)</f>
        <v/>
      </c>
      <c r="F509" t="e">
        <f ca="1">_xludf.IFNA(VLOOKUP(B509,'S-FG'!$B$3:$B1001,1,FALSE),"")</f>
        <v>#NAME?</v>
      </c>
      <c r="L509" t="str">
        <f t="shared" si="1"/>
        <v/>
      </c>
      <c r="Q509" t="str">
        <f>IF(N509="","",SUMIFS('PR-BOM'!$D$3:$D1001,'PR-BOM'!$C$3:$C1001,N509))</f>
        <v/>
      </c>
      <c r="Y509" t="str">
        <f>IF(X509="","",SUMIFS(Issue!$D$3:$D1001,Issue!$C$3:$C1001,X509))</f>
        <v/>
      </c>
    </row>
    <row r="510" spans="5:25">
      <c r="E510" t="str">
        <f>IF(A510="","",SUMIFS(Issue!$D$3:$D1001,Issue!$C$3:$C1001,A510)*C510)</f>
        <v/>
      </c>
      <c r="F510" t="e">
        <f ca="1">_xludf.IFNA(VLOOKUP(B510,'S-FG'!$B$3:$B1001,1,FALSE),"")</f>
        <v>#NAME?</v>
      </c>
      <c r="L510" t="str">
        <f t="shared" si="1"/>
        <v/>
      </c>
      <c r="Q510" t="str">
        <f>IF(N510="","",SUMIFS('PR-BOM'!$D$3:$D1001,'PR-BOM'!$C$3:$C1001,N510))</f>
        <v/>
      </c>
      <c r="Y510" t="str">
        <f>IF(X510="","",SUMIFS(Issue!$D$3:$D1001,Issue!$C$3:$C1001,X510))</f>
        <v/>
      </c>
    </row>
    <row r="511" spans="5:25">
      <c r="E511" t="str">
        <f>IF(A511="","",SUMIFS(Issue!$D$3:$D1001,Issue!$C$3:$C1001,A511)*C511)</f>
        <v/>
      </c>
      <c r="F511" t="e">
        <f ca="1">_xludf.IFNA(VLOOKUP(B511,'S-FG'!$B$3:$B1001,1,FALSE),"")</f>
        <v>#NAME?</v>
      </c>
      <c r="L511" t="str">
        <f t="shared" si="1"/>
        <v/>
      </c>
      <c r="Q511" t="str">
        <f>IF(N511="","",SUMIFS('PR-BOM'!$D$3:$D1001,'PR-BOM'!$C$3:$C1001,N511))</f>
        <v/>
      </c>
      <c r="Y511" t="str">
        <f>IF(X511="","",SUMIFS(Issue!$D$3:$D1001,Issue!$C$3:$C1001,X511))</f>
        <v/>
      </c>
    </row>
    <row r="512" spans="5:25">
      <c r="E512" t="str">
        <f>IF(A512="","",SUMIFS(Issue!$D$3:$D1001,Issue!$C$3:$C1001,A512)*C512)</f>
        <v/>
      </c>
      <c r="F512" t="e">
        <f ca="1">_xludf.IFNA(VLOOKUP(B512,'S-FG'!$B$3:$B1001,1,FALSE),"")</f>
        <v>#NAME?</v>
      </c>
      <c r="L512" t="str">
        <f t="shared" ref="L512:L766" si="2">IF(H512="","",SUMIFS($E$2:$E1511,$F$2:$F1511,H512)*J512)</f>
        <v/>
      </c>
      <c r="Q512" t="str">
        <f>IF(N512="","",SUMIFS('PR-BOM'!$D$3:$D1001,'PR-BOM'!$C$3:$C1001,N512))</f>
        <v/>
      </c>
      <c r="Y512" t="str">
        <f>IF(X512="","",SUMIFS(Issue!$D$3:$D1001,Issue!$C$3:$C1001,X512))</f>
        <v/>
      </c>
    </row>
    <row r="513" spans="5:25">
      <c r="E513" t="str">
        <f>IF(A513="","",SUMIFS(Issue!$D$3:$D1001,Issue!$C$3:$C1001,A513)*C513)</f>
        <v/>
      </c>
      <c r="F513" t="e">
        <f ca="1">_xludf.IFNA(VLOOKUP(B513,'S-FG'!$B$3:$B1001,1,FALSE),"")</f>
        <v>#NAME?</v>
      </c>
      <c r="L513" t="str">
        <f t="shared" si="2"/>
        <v/>
      </c>
      <c r="Q513" t="str">
        <f>IF(N513="","",SUMIFS('PR-BOM'!$D$3:$D1001,'PR-BOM'!$C$3:$C1001,N513))</f>
        <v/>
      </c>
      <c r="Y513" t="str">
        <f>IF(X513="","",SUMIFS(Issue!$D$3:$D1001,Issue!$C$3:$C1001,X513))</f>
        <v/>
      </c>
    </row>
    <row r="514" spans="5:25">
      <c r="E514" t="str">
        <f>IF(A514="","",SUMIFS(Issue!$D$3:$D1001,Issue!$C$3:$C1001,A514)*C514)</f>
        <v/>
      </c>
      <c r="F514" t="e">
        <f ca="1">_xludf.IFNA(VLOOKUP(B514,'S-FG'!$B$3:$B1001,1,FALSE),"")</f>
        <v>#NAME?</v>
      </c>
      <c r="L514" t="str">
        <f t="shared" si="2"/>
        <v/>
      </c>
      <c r="Q514" t="str">
        <f>IF(N514="","",SUMIFS('PR-BOM'!$D$3:$D1001,'PR-BOM'!$C$3:$C1001,N514))</f>
        <v/>
      </c>
      <c r="Y514" t="str">
        <f>IF(X514="","",SUMIFS(Issue!$D$3:$D1001,Issue!$C$3:$C1001,X514))</f>
        <v/>
      </c>
    </row>
    <row r="515" spans="5:25">
      <c r="E515" t="str">
        <f>IF(A515="","",SUMIFS(Issue!$D$3:$D1001,Issue!$C$3:$C1001,A515)*C515)</f>
        <v/>
      </c>
      <c r="F515" t="e">
        <f ca="1">_xludf.IFNA(VLOOKUP(B515,'S-FG'!$B$3:$B1001,1,FALSE),"")</f>
        <v>#NAME?</v>
      </c>
      <c r="L515" t="str">
        <f t="shared" si="2"/>
        <v/>
      </c>
      <c r="Q515" t="str">
        <f>IF(N515="","",SUMIFS('PR-BOM'!$D$3:$D1001,'PR-BOM'!$C$3:$C1001,N515))</f>
        <v/>
      </c>
      <c r="Y515" t="str">
        <f>IF(X515="","",SUMIFS(Issue!$D$3:$D1001,Issue!$C$3:$C1001,X515))</f>
        <v/>
      </c>
    </row>
    <row r="516" spans="5:25">
      <c r="E516" t="str">
        <f>IF(A516="","",SUMIFS(Issue!$D$3:$D1001,Issue!$C$3:$C1001,A516)*C516)</f>
        <v/>
      </c>
      <c r="F516" t="e">
        <f ca="1">_xludf.IFNA(VLOOKUP(B516,'S-FG'!$B$3:$B1001,1,FALSE),"")</f>
        <v>#NAME?</v>
      </c>
      <c r="L516" t="str">
        <f t="shared" si="2"/>
        <v/>
      </c>
      <c r="Q516" t="str">
        <f>IF(N516="","",SUMIFS('PR-BOM'!$D$3:$D1001,'PR-BOM'!$C$3:$C1001,N516))</f>
        <v/>
      </c>
      <c r="Y516" t="str">
        <f>IF(X516="","",SUMIFS(Issue!$D$3:$D1001,Issue!$C$3:$C1001,X516))</f>
        <v/>
      </c>
    </row>
    <row r="517" spans="5:25">
      <c r="E517" t="str">
        <f>IF(A517="","",SUMIFS(Issue!$D$3:$D1001,Issue!$C$3:$C1001,A517)*C517)</f>
        <v/>
      </c>
      <c r="F517" t="e">
        <f ca="1">_xludf.IFNA(VLOOKUP(B517,'S-FG'!$B$3:$B1001,1,FALSE),"")</f>
        <v>#NAME?</v>
      </c>
      <c r="L517" t="str">
        <f t="shared" si="2"/>
        <v/>
      </c>
      <c r="Q517" t="str">
        <f>IF(N517="","",SUMIFS('PR-BOM'!$D$3:$D1001,'PR-BOM'!$C$3:$C1001,N517))</f>
        <v/>
      </c>
      <c r="Y517" t="str">
        <f>IF(X517="","",SUMIFS(Issue!$D$3:$D1001,Issue!$C$3:$C1001,X517))</f>
        <v/>
      </c>
    </row>
    <row r="518" spans="5:25">
      <c r="E518" t="str">
        <f>IF(A518="","",SUMIFS(Issue!$D$3:$D1001,Issue!$C$3:$C1001,A518)*C518)</f>
        <v/>
      </c>
      <c r="F518" t="e">
        <f ca="1">_xludf.IFNA(VLOOKUP(B518,'S-FG'!$B$3:$B1001,1,FALSE),"")</f>
        <v>#NAME?</v>
      </c>
      <c r="L518" t="str">
        <f t="shared" si="2"/>
        <v/>
      </c>
      <c r="Q518" t="str">
        <f>IF(N518="","",SUMIFS('PR-BOM'!$D$3:$D1001,'PR-BOM'!$C$3:$C1001,N518))</f>
        <v/>
      </c>
      <c r="Y518" t="str">
        <f>IF(X518="","",SUMIFS(Issue!$D$3:$D1001,Issue!$C$3:$C1001,X518))</f>
        <v/>
      </c>
    </row>
    <row r="519" spans="5:25">
      <c r="E519" t="str">
        <f>IF(A519="","",SUMIFS(Issue!$D$3:$D1001,Issue!$C$3:$C1001,A519)*C519)</f>
        <v/>
      </c>
      <c r="F519" t="e">
        <f ca="1">_xludf.IFNA(VLOOKUP(B519,'S-FG'!$B$3:$B1001,1,FALSE),"")</f>
        <v>#NAME?</v>
      </c>
      <c r="L519" t="str">
        <f t="shared" si="2"/>
        <v/>
      </c>
      <c r="Q519" t="str">
        <f>IF(N519="","",SUMIFS('PR-BOM'!$D$3:$D1001,'PR-BOM'!$C$3:$C1001,N519))</f>
        <v/>
      </c>
      <c r="Y519" t="str">
        <f>IF(X519="","",SUMIFS(Issue!$D$3:$D1001,Issue!$C$3:$C1001,X519))</f>
        <v/>
      </c>
    </row>
    <row r="520" spans="5:25">
      <c r="E520" t="str">
        <f>IF(A520="","",SUMIFS(Issue!$D$3:$D1001,Issue!$C$3:$C1001,A520)*C520)</f>
        <v/>
      </c>
      <c r="F520" t="e">
        <f ca="1">_xludf.IFNA(VLOOKUP(B520,'S-FG'!$B$3:$B1001,1,FALSE),"")</f>
        <v>#NAME?</v>
      </c>
      <c r="L520" t="str">
        <f t="shared" si="2"/>
        <v/>
      </c>
      <c r="Q520" t="str">
        <f>IF(N520="","",SUMIFS('PR-BOM'!$D$3:$D1001,'PR-BOM'!$C$3:$C1001,N520))</f>
        <v/>
      </c>
      <c r="Y520" t="str">
        <f>IF(X520="","",SUMIFS(Issue!$D$3:$D1001,Issue!$C$3:$C1001,X520))</f>
        <v/>
      </c>
    </row>
    <row r="521" spans="5:25">
      <c r="E521" t="str">
        <f>IF(A521="","",SUMIFS(Issue!$D$3:$D1001,Issue!$C$3:$C1001,A521)*C521)</f>
        <v/>
      </c>
      <c r="F521" t="e">
        <f ca="1">_xludf.IFNA(VLOOKUP(B521,'S-FG'!$B$3:$B1001,1,FALSE),"")</f>
        <v>#NAME?</v>
      </c>
      <c r="L521" t="str">
        <f t="shared" si="2"/>
        <v/>
      </c>
      <c r="Q521" t="str">
        <f>IF(N521="","",SUMIFS('PR-BOM'!$D$3:$D1001,'PR-BOM'!$C$3:$C1001,N521))</f>
        <v/>
      </c>
      <c r="Y521" t="str">
        <f>IF(X521="","",SUMIFS(Issue!$D$3:$D1001,Issue!$C$3:$C1001,X521))</f>
        <v/>
      </c>
    </row>
    <row r="522" spans="5:25">
      <c r="E522" t="str">
        <f>IF(A522="","",SUMIFS(Issue!$D$3:$D1001,Issue!$C$3:$C1001,A522)*C522)</f>
        <v/>
      </c>
      <c r="F522" t="e">
        <f ca="1">_xludf.IFNA(VLOOKUP(B522,'S-FG'!$B$3:$B1001,1,FALSE),"")</f>
        <v>#NAME?</v>
      </c>
      <c r="L522" t="str">
        <f t="shared" si="2"/>
        <v/>
      </c>
      <c r="Q522" t="str">
        <f>IF(N522="","",SUMIFS('PR-BOM'!$D$3:$D1001,'PR-BOM'!$C$3:$C1001,N522))</f>
        <v/>
      </c>
      <c r="Y522" t="str">
        <f>IF(X522="","",SUMIFS(Issue!$D$3:$D1001,Issue!$C$3:$C1001,X522))</f>
        <v/>
      </c>
    </row>
    <row r="523" spans="5:25">
      <c r="E523" t="str">
        <f>IF(A523="","",SUMIFS(Issue!$D$3:$D1001,Issue!$C$3:$C1001,A523)*C523)</f>
        <v/>
      </c>
      <c r="F523" t="e">
        <f ca="1">_xludf.IFNA(VLOOKUP(B523,'S-FG'!$B$3:$B1001,1,FALSE),"")</f>
        <v>#NAME?</v>
      </c>
      <c r="L523" t="str">
        <f t="shared" si="2"/>
        <v/>
      </c>
      <c r="Q523" t="str">
        <f>IF(N523="","",SUMIFS('PR-BOM'!$D$3:$D1001,'PR-BOM'!$C$3:$C1001,N523))</f>
        <v/>
      </c>
      <c r="Y523" t="str">
        <f>IF(X523="","",SUMIFS(Issue!$D$3:$D1001,Issue!$C$3:$C1001,X523))</f>
        <v/>
      </c>
    </row>
    <row r="524" spans="5:25">
      <c r="E524" t="str">
        <f>IF(A524="","",SUMIFS(Issue!$D$3:$D1001,Issue!$C$3:$C1001,A524)*C524)</f>
        <v/>
      </c>
      <c r="F524" t="e">
        <f ca="1">_xludf.IFNA(VLOOKUP(B524,'S-FG'!$B$3:$B1001,1,FALSE),"")</f>
        <v>#NAME?</v>
      </c>
      <c r="L524" t="str">
        <f t="shared" si="2"/>
        <v/>
      </c>
      <c r="Q524" t="str">
        <f>IF(N524="","",SUMIFS('PR-BOM'!$D$3:$D1001,'PR-BOM'!$C$3:$C1001,N524))</f>
        <v/>
      </c>
      <c r="Y524" t="str">
        <f>IF(X524="","",SUMIFS(Issue!$D$3:$D1001,Issue!$C$3:$C1001,X524))</f>
        <v/>
      </c>
    </row>
    <row r="525" spans="5:25">
      <c r="E525" t="str">
        <f>IF(A525="","",SUMIFS(Issue!$D$3:$D1001,Issue!$C$3:$C1001,A525)*C525)</f>
        <v/>
      </c>
      <c r="F525" t="e">
        <f ca="1">_xludf.IFNA(VLOOKUP(B525,'S-FG'!$B$3:$B1001,1,FALSE),"")</f>
        <v>#NAME?</v>
      </c>
      <c r="L525" t="str">
        <f t="shared" si="2"/>
        <v/>
      </c>
      <c r="Q525" t="str">
        <f>IF(N525="","",SUMIFS('PR-BOM'!$D$3:$D1001,'PR-BOM'!$C$3:$C1001,N525))</f>
        <v/>
      </c>
      <c r="Y525" t="str">
        <f>IF(X525="","",SUMIFS(Issue!$D$3:$D1001,Issue!$C$3:$C1001,X525))</f>
        <v/>
      </c>
    </row>
    <row r="526" spans="5:25">
      <c r="E526" t="str">
        <f>IF(A526="","",SUMIFS(Issue!$D$3:$D1001,Issue!$C$3:$C1001,A526)*C526)</f>
        <v/>
      </c>
      <c r="F526" t="e">
        <f ca="1">_xludf.IFNA(VLOOKUP(B526,'S-FG'!$B$3:$B1001,1,FALSE),"")</f>
        <v>#NAME?</v>
      </c>
      <c r="L526" t="str">
        <f t="shared" si="2"/>
        <v/>
      </c>
      <c r="Q526" t="str">
        <f>IF(N526="","",SUMIFS('PR-BOM'!$D$3:$D1001,'PR-BOM'!$C$3:$C1001,N526))</f>
        <v/>
      </c>
      <c r="Y526" t="str">
        <f>IF(X526="","",SUMIFS(Issue!$D$3:$D1001,Issue!$C$3:$C1001,X526))</f>
        <v/>
      </c>
    </row>
    <row r="527" spans="5:25">
      <c r="E527" t="str">
        <f>IF(A527="","",SUMIFS(Issue!$D$3:$D1001,Issue!$C$3:$C1001,A527)*C527)</f>
        <v/>
      </c>
      <c r="F527" t="e">
        <f ca="1">_xludf.IFNA(VLOOKUP(B527,'S-FG'!$B$3:$B1001,1,FALSE),"")</f>
        <v>#NAME?</v>
      </c>
      <c r="L527" t="str">
        <f t="shared" si="2"/>
        <v/>
      </c>
      <c r="Q527" t="str">
        <f>IF(N527="","",SUMIFS('PR-BOM'!$D$3:$D1001,'PR-BOM'!$C$3:$C1001,N527))</f>
        <v/>
      </c>
      <c r="Y527" t="str">
        <f>IF(X527="","",SUMIFS(Issue!$D$3:$D1001,Issue!$C$3:$C1001,X527))</f>
        <v/>
      </c>
    </row>
    <row r="528" spans="5:25">
      <c r="E528" t="str">
        <f>IF(A528="","",SUMIFS(Issue!$D$3:$D1001,Issue!$C$3:$C1001,A528)*C528)</f>
        <v/>
      </c>
      <c r="F528" t="e">
        <f ca="1">_xludf.IFNA(VLOOKUP(B528,'S-FG'!$B$3:$B1001,1,FALSE),"")</f>
        <v>#NAME?</v>
      </c>
      <c r="L528" t="str">
        <f t="shared" si="2"/>
        <v/>
      </c>
      <c r="Q528" t="str">
        <f>IF(N528="","",SUMIFS('PR-BOM'!$D$3:$D1001,'PR-BOM'!$C$3:$C1001,N528))</f>
        <v/>
      </c>
      <c r="Y528" t="str">
        <f>IF(X528="","",SUMIFS(Issue!$D$3:$D1001,Issue!$C$3:$C1001,X528))</f>
        <v/>
      </c>
    </row>
    <row r="529" spans="5:25">
      <c r="E529" t="str">
        <f>IF(A529="","",SUMIFS(Issue!$D$3:$D1001,Issue!$C$3:$C1001,A529)*C529)</f>
        <v/>
      </c>
      <c r="F529" t="e">
        <f ca="1">_xludf.IFNA(VLOOKUP(B529,'S-FG'!$B$3:$B1001,1,FALSE),"")</f>
        <v>#NAME?</v>
      </c>
      <c r="L529" t="str">
        <f t="shared" si="2"/>
        <v/>
      </c>
      <c r="Q529" t="str">
        <f>IF(N529="","",SUMIFS('PR-BOM'!$D$3:$D1001,'PR-BOM'!$C$3:$C1001,N529))</f>
        <v/>
      </c>
      <c r="Y529" t="str">
        <f>IF(X529="","",SUMIFS(Issue!$D$3:$D1001,Issue!$C$3:$C1001,X529))</f>
        <v/>
      </c>
    </row>
    <row r="530" spans="5:25">
      <c r="E530" t="str">
        <f>IF(A530="","",SUMIFS(Issue!$D$3:$D1001,Issue!$C$3:$C1001,A530)*C530)</f>
        <v/>
      </c>
      <c r="F530" t="e">
        <f ca="1">_xludf.IFNA(VLOOKUP(B530,'S-FG'!$B$3:$B1001,1,FALSE),"")</f>
        <v>#NAME?</v>
      </c>
      <c r="L530" t="str">
        <f t="shared" si="2"/>
        <v/>
      </c>
      <c r="Q530" t="str">
        <f>IF(N530="","",SUMIFS('PR-BOM'!$D$3:$D1001,'PR-BOM'!$C$3:$C1001,N530))</f>
        <v/>
      </c>
      <c r="Y530" t="str">
        <f>IF(X530="","",SUMIFS(Issue!$D$3:$D1001,Issue!$C$3:$C1001,X530))</f>
        <v/>
      </c>
    </row>
    <row r="531" spans="5:25">
      <c r="E531" t="str">
        <f>IF(A531="","",SUMIFS(Issue!$D$3:$D1001,Issue!$C$3:$C1001,A531)*C531)</f>
        <v/>
      </c>
      <c r="F531" t="e">
        <f ca="1">_xludf.IFNA(VLOOKUP(B531,'S-FG'!$B$3:$B1001,1,FALSE),"")</f>
        <v>#NAME?</v>
      </c>
      <c r="L531" t="str">
        <f t="shared" si="2"/>
        <v/>
      </c>
      <c r="Q531" t="str">
        <f>IF(N531="","",SUMIFS('PR-BOM'!$D$3:$D1001,'PR-BOM'!$C$3:$C1001,N531))</f>
        <v/>
      </c>
      <c r="Y531" t="str">
        <f>IF(X531="","",SUMIFS(Issue!$D$3:$D1001,Issue!$C$3:$C1001,X531))</f>
        <v/>
      </c>
    </row>
    <row r="532" spans="5:25">
      <c r="E532" t="str">
        <f>IF(A532="","",SUMIFS(Issue!$D$3:$D1001,Issue!$C$3:$C1001,A532)*C532)</f>
        <v/>
      </c>
      <c r="F532" t="e">
        <f ca="1">_xludf.IFNA(VLOOKUP(B532,'S-FG'!$B$3:$B1001,1,FALSE),"")</f>
        <v>#NAME?</v>
      </c>
      <c r="L532" t="str">
        <f t="shared" si="2"/>
        <v/>
      </c>
      <c r="Q532" t="str">
        <f>IF(N532="","",SUMIFS('PR-BOM'!$D$3:$D1001,'PR-BOM'!$C$3:$C1001,N532))</f>
        <v/>
      </c>
      <c r="Y532" t="str">
        <f>IF(X532="","",SUMIFS(Issue!$D$3:$D1001,Issue!$C$3:$C1001,X532))</f>
        <v/>
      </c>
    </row>
    <row r="533" spans="5:25">
      <c r="E533" t="str">
        <f>IF(A533="","",SUMIFS(Issue!$D$3:$D1001,Issue!$C$3:$C1001,A533)*C533)</f>
        <v/>
      </c>
      <c r="F533" t="e">
        <f ca="1">_xludf.IFNA(VLOOKUP(B533,'S-FG'!$B$3:$B1001,1,FALSE),"")</f>
        <v>#NAME?</v>
      </c>
      <c r="L533" t="str">
        <f t="shared" si="2"/>
        <v/>
      </c>
      <c r="Q533" t="str">
        <f>IF(N533="","",SUMIFS('PR-BOM'!$D$3:$D1001,'PR-BOM'!$C$3:$C1001,N533))</f>
        <v/>
      </c>
      <c r="Y533" t="str">
        <f>IF(X533="","",SUMIFS(Issue!$D$3:$D1001,Issue!$C$3:$C1001,X533))</f>
        <v/>
      </c>
    </row>
    <row r="534" spans="5:25">
      <c r="E534" t="str">
        <f>IF(A534="","",SUMIFS(Issue!$D$3:$D1001,Issue!$C$3:$C1001,A534)*C534)</f>
        <v/>
      </c>
      <c r="F534" t="e">
        <f ca="1">_xludf.IFNA(VLOOKUP(B534,'S-FG'!$B$3:$B1001,1,FALSE),"")</f>
        <v>#NAME?</v>
      </c>
      <c r="L534" t="str">
        <f t="shared" si="2"/>
        <v/>
      </c>
      <c r="Q534" t="str">
        <f>IF(N534="","",SUMIFS('PR-BOM'!$D$3:$D1001,'PR-BOM'!$C$3:$C1001,N534))</f>
        <v/>
      </c>
      <c r="Y534" t="str">
        <f>IF(X534="","",SUMIFS(Issue!$D$3:$D1001,Issue!$C$3:$C1001,X534))</f>
        <v/>
      </c>
    </row>
    <row r="535" spans="5:25">
      <c r="E535" t="str">
        <f>IF(A535="","",SUMIFS(Issue!$D$3:$D1001,Issue!$C$3:$C1001,A535)*C535)</f>
        <v/>
      </c>
      <c r="F535" t="e">
        <f ca="1">_xludf.IFNA(VLOOKUP(B535,'S-FG'!$B$3:$B1001,1,FALSE),"")</f>
        <v>#NAME?</v>
      </c>
      <c r="L535" t="str">
        <f t="shared" si="2"/>
        <v/>
      </c>
      <c r="Q535" t="str">
        <f>IF(N535="","",SUMIFS('PR-BOM'!$D$3:$D1001,'PR-BOM'!$C$3:$C1001,N535))</f>
        <v/>
      </c>
      <c r="Y535" t="str">
        <f>IF(X535="","",SUMIFS(Issue!$D$3:$D1001,Issue!$C$3:$C1001,X535))</f>
        <v/>
      </c>
    </row>
    <row r="536" spans="5:25">
      <c r="E536" t="str">
        <f>IF(A536="","",SUMIFS(Issue!$D$3:$D1001,Issue!$C$3:$C1001,A536)*C536)</f>
        <v/>
      </c>
      <c r="F536" t="e">
        <f ca="1">_xludf.IFNA(VLOOKUP(B536,'S-FG'!$B$3:$B1001,1,FALSE),"")</f>
        <v>#NAME?</v>
      </c>
      <c r="L536" t="str">
        <f t="shared" si="2"/>
        <v/>
      </c>
      <c r="Q536" t="str">
        <f>IF(N536="","",SUMIFS('PR-BOM'!$D$3:$D1001,'PR-BOM'!$C$3:$C1001,N536))</f>
        <v/>
      </c>
      <c r="Y536" t="str">
        <f>IF(X536="","",SUMIFS(Issue!$D$3:$D1001,Issue!$C$3:$C1001,X536))</f>
        <v/>
      </c>
    </row>
    <row r="537" spans="5:25">
      <c r="E537" t="str">
        <f>IF(A537="","",SUMIFS(Issue!$D$3:$D1001,Issue!$C$3:$C1001,A537)*C537)</f>
        <v/>
      </c>
      <c r="F537" t="e">
        <f ca="1">_xludf.IFNA(VLOOKUP(B537,'S-FG'!$B$3:$B1001,1,FALSE),"")</f>
        <v>#NAME?</v>
      </c>
      <c r="L537" t="str">
        <f t="shared" si="2"/>
        <v/>
      </c>
      <c r="Q537" t="str">
        <f>IF(N537="","",SUMIFS('PR-BOM'!$D$3:$D1001,'PR-BOM'!$C$3:$C1001,N537))</f>
        <v/>
      </c>
      <c r="Y537" t="str">
        <f>IF(X537="","",SUMIFS(Issue!$D$3:$D1001,Issue!$C$3:$C1001,X537))</f>
        <v/>
      </c>
    </row>
    <row r="538" spans="5:25">
      <c r="E538" t="str">
        <f>IF(A538="","",SUMIFS(Issue!$D$3:$D1001,Issue!$C$3:$C1001,A538)*C538)</f>
        <v/>
      </c>
      <c r="F538" t="e">
        <f ca="1">_xludf.IFNA(VLOOKUP(B538,'S-FG'!$B$3:$B1001,1,FALSE),"")</f>
        <v>#NAME?</v>
      </c>
      <c r="L538" t="str">
        <f t="shared" si="2"/>
        <v/>
      </c>
      <c r="Q538" t="str">
        <f>IF(N538="","",SUMIFS('PR-BOM'!$D$3:$D1001,'PR-BOM'!$C$3:$C1001,N538))</f>
        <v/>
      </c>
      <c r="Y538" t="str">
        <f>IF(X538="","",SUMIFS(Issue!$D$3:$D1001,Issue!$C$3:$C1001,X538))</f>
        <v/>
      </c>
    </row>
    <row r="539" spans="5:25">
      <c r="E539" t="str">
        <f>IF(A539="","",SUMIFS(Issue!$D$3:$D1001,Issue!$C$3:$C1001,A539)*C539)</f>
        <v/>
      </c>
      <c r="F539" t="e">
        <f ca="1">_xludf.IFNA(VLOOKUP(B539,'S-FG'!$B$3:$B1001,1,FALSE),"")</f>
        <v>#NAME?</v>
      </c>
      <c r="L539" t="str">
        <f t="shared" si="2"/>
        <v/>
      </c>
      <c r="Q539" t="str">
        <f>IF(N539="","",SUMIFS('PR-BOM'!$D$3:$D1001,'PR-BOM'!$C$3:$C1001,N539))</f>
        <v/>
      </c>
      <c r="Y539" t="str">
        <f>IF(X539="","",SUMIFS(Issue!$D$3:$D1001,Issue!$C$3:$C1001,X539))</f>
        <v/>
      </c>
    </row>
    <row r="540" spans="5:25">
      <c r="E540" t="str">
        <f>IF(A540="","",SUMIFS(Issue!$D$3:$D1001,Issue!$C$3:$C1001,A540)*C540)</f>
        <v/>
      </c>
      <c r="F540" t="e">
        <f ca="1">_xludf.IFNA(VLOOKUP(B540,'S-FG'!$B$3:$B1001,1,FALSE),"")</f>
        <v>#NAME?</v>
      </c>
      <c r="L540" t="str">
        <f t="shared" si="2"/>
        <v/>
      </c>
      <c r="Q540" t="str">
        <f>IF(N540="","",SUMIFS('PR-BOM'!$D$3:$D1001,'PR-BOM'!$C$3:$C1001,N540))</f>
        <v/>
      </c>
      <c r="Y540" t="str">
        <f>IF(X540="","",SUMIFS(Issue!$D$3:$D1001,Issue!$C$3:$C1001,X540))</f>
        <v/>
      </c>
    </row>
    <row r="541" spans="5:25">
      <c r="E541" t="str">
        <f>IF(A541="","",SUMIFS(Issue!$D$3:$D1001,Issue!$C$3:$C1001,A541)*C541)</f>
        <v/>
      </c>
      <c r="F541" t="e">
        <f ca="1">_xludf.IFNA(VLOOKUP(B541,'S-FG'!$B$3:$B1001,1,FALSE),"")</f>
        <v>#NAME?</v>
      </c>
      <c r="L541" t="str">
        <f t="shared" si="2"/>
        <v/>
      </c>
      <c r="Q541" t="str">
        <f>IF(N541="","",SUMIFS('PR-BOM'!$D$3:$D1001,'PR-BOM'!$C$3:$C1001,N541))</f>
        <v/>
      </c>
      <c r="Y541" t="str">
        <f>IF(X541="","",SUMIFS(Issue!$D$3:$D1001,Issue!$C$3:$C1001,X541))</f>
        <v/>
      </c>
    </row>
    <row r="542" spans="5:25">
      <c r="E542" t="str">
        <f>IF(A542="","",SUMIFS(Issue!$D$3:$D1001,Issue!$C$3:$C1001,A542)*C542)</f>
        <v/>
      </c>
      <c r="F542" t="e">
        <f ca="1">_xludf.IFNA(VLOOKUP(B542,'S-FG'!$B$3:$B1001,1,FALSE),"")</f>
        <v>#NAME?</v>
      </c>
      <c r="L542" t="str">
        <f t="shared" si="2"/>
        <v/>
      </c>
      <c r="Q542" t="str">
        <f>IF(N542="","",SUMIFS('PR-BOM'!$D$3:$D1001,'PR-BOM'!$C$3:$C1001,N542))</f>
        <v/>
      </c>
      <c r="Y542" t="str">
        <f>IF(X542="","",SUMIFS(Issue!$D$3:$D1001,Issue!$C$3:$C1001,X542))</f>
        <v/>
      </c>
    </row>
    <row r="543" spans="5:25">
      <c r="E543" t="str">
        <f>IF(A543="","",SUMIFS(Issue!$D$3:$D1001,Issue!$C$3:$C1001,A543)*C543)</f>
        <v/>
      </c>
      <c r="F543" t="e">
        <f ca="1">_xludf.IFNA(VLOOKUP(B543,'S-FG'!$B$3:$B1001,1,FALSE),"")</f>
        <v>#NAME?</v>
      </c>
      <c r="L543" t="str">
        <f t="shared" si="2"/>
        <v/>
      </c>
      <c r="Q543" t="str">
        <f>IF(N543="","",SUMIFS('PR-BOM'!$D$3:$D1001,'PR-BOM'!$C$3:$C1001,N543))</f>
        <v/>
      </c>
      <c r="Y543" t="str">
        <f>IF(X543="","",SUMIFS(Issue!$D$3:$D1001,Issue!$C$3:$C1001,X543))</f>
        <v/>
      </c>
    </row>
    <row r="544" spans="5:25">
      <c r="E544" t="str">
        <f>IF(A544="","",SUMIFS(Issue!$D$3:$D1001,Issue!$C$3:$C1001,A544)*C544)</f>
        <v/>
      </c>
      <c r="F544" t="e">
        <f ca="1">_xludf.IFNA(VLOOKUP(B544,'S-FG'!$B$3:$B1001,1,FALSE),"")</f>
        <v>#NAME?</v>
      </c>
      <c r="L544" t="str">
        <f t="shared" si="2"/>
        <v/>
      </c>
      <c r="Q544" t="str">
        <f>IF(N544="","",SUMIFS('PR-BOM'!$D$3:$D1001,'PR-BOM'!$C$3:$C1001,N544))</f>
        <v/>
      </c>
      <c r="Y544" t="str">
        <f>IF(X544="","",SUMIFS(Issue!$D$3:$D1001,Issue!$C$3:$C1001,X544))</f>
        <v/>
      </c>
    </row>
    <row r="545" spans="5:25">
      <c r="E545" t="str">
        <f>IF(A545="","",SUMIFS(Issue!$D$3:$D1001,Issue!$C$3:$C1001,A545)*C545)</f>
        <v/>
      </c>
      <c r="F545" t="e">
        <f ca="1">_xludf.IFNA(VLOOKUP(B545,'S-FG'!$B$3:$B1001,1,FALSE),"")</f>
        <v>#NAME?</v>
      </c>
      <c r="L545" t="str">
        <f t="shared" si="2"/>
        <v/>
      </c>
      <c r="Q545" t="str">
        <f>IF(N545="","",SUMIFS('PR-BOM'!$D$3:$D1001,'PR-BOM'!$C$3:$C1001,N545))</f>
        <v/>
      </c>
      <c r="Y545" t="str">
        <f>IF(X545="","",SUMIFS(Issue!$D$3:$D1001,Issue!$C$3:$C1001,X545))</f>
        <v/>
      </c>
    </row>
    <row r="546" spans="5:25">
      <c r="E546" t="str">
        <f>IF(A546="","",SUMIFS(Issue!$D$3:$D1001,Issue!$C$3:$C1001,A546)*C546)</f>
        <v/>
      </c>
      <c r="F546" t="e">
        <f ca="1">_xludf.IFNA(VLOOKUP(B546,'S-FG'!$B$3:$B1001,1,FALSE),"")</f>
        <v>#NAME?</v>
      </c>
      <c r="L546" t="str">
        <f t="shared" si="2"/>
        <v/>
      </c>
      <c r="Q546" t="str">
        <f>IF(N546="","",SUMIFS('PR-BOM'!$D$3:$D1001,'PR-BOM'!$C$3:$C1001,N546))</f>
        <v/>
      </c>
      <c r="Y546" t="str">
        <f>IF(X546="","",SUMIFS(Issue!$D$3:$D1001,Issue!$C$3:$C1001,X546))</f>
        <v/>
      </c>
    </row>
    <row r="547" spans="5:25">
      <c r="E547" t="str">
        <f>IF(A547="","",SUMIFS(Issue!$D$3:$D1001,Issue!$C$3:$C1001,A547)*C547)</f>
        <v/>
      </c>
      <c r="F547" t="e">
        <f ca="1">_xludf.IFNA(VLOOKUP(B547,'S-FG'!$B$3:$B1001,1,FALSE),"")</f>
        <v>#NAME?</v>
      </c>
      <c r="L547" t="str">
        <f t="shared" si="2"/>
        <v/>
      </c>
      <c r="Q547" t="str">
        <f>IF(N547="","",SUMIFS('PR-BOM'!$D$3:$D1001,'PR-BOM'!$C$3:$C1001,N547))</f>
        <v/>
      </c>
      <c r="Y547" t="str">
        <f>IF(X547="","",SUMIFS(Issue!$D$3:$D1001,Issue!$C$3:$C1001,X547))</f>
        <v/>
      </c>
    </row>
    <row r="548" spans="5:25">
      <c r="E548" t="str">
        <f>IF(A548="","",SUMIFS(Issue!$D$3:$D1001,Issue!$C$3:$C1001,A548)*C548)</f>
        <v/>
      </c>
      <c r="F548" t="e">
        <f ca="1">_xludf.IFNA(VLOOKUP(B548,'S-FG'!$B$3:$B1001,1,FALSE),"")</f>
        <v>#NAME?</v>
      </c>
      <c r="L548" t="str">
        <f t="shared" si="2"/>
        <v/>
      </c>
      <c r="Q548" t="str">
        <f>IF(N548="","",SUMIFS('PR-BOM'!$D$3:$D1001,'PR-BOM'!$C$3:$C1001,N548))</f>
        <v/>
      </c>
      <c r="Y548" t="str">
        <f>IF(X548="","",SUMIFS(Issue!$D$3:$D1001,Issue!$C$3:$C1001,X548))</f>
        <v/>
      </c>
    </row>
    <row r="549" spans="5:25">
      <c r="E549" t="str">
        <f>IF(A549="","",SUMIFS(Issue!$D$3:$D1001,Issue!$C$3:$C1001,A549)*C549)</f>
        <v/>
      </c>
      <c r="F549" t="e">
        <f ca="1">_xludf.IFNA(VLOOKUP(B549,'S-FG'!$B$3:$B1001,1,FALSE),"")</f>
        <v>#NAME?</v>
      </c>
      <c r="L549" t="str">
        <f t="shared" si="2"/>
        <v/>
      </c>
      <c r="Q549" t="str">
        <f>IF(N549="","",SUMIFS('PR-BOM'!$D$3:$D1001,'PR-BOM'!$C$3:$C1001,N549))</f>
        <v/>
      </c>
      <c r="Y549" t="str">
        <f>IF(X549="","",SUMIFS(Issue!$D$3:$D1001,Issue!$C$3:$C1001,X549))</f>
        <v/>
      </c>
    </row>
    <row r="550" spans="5:25">
      <c r="E550" t="str">
        <f>IF(A550="","",SUMIFS(Issue!$D$3:$D1001,Issue!$C$3:$C1001,A550)*C550)</f>
        <v/>
      </c>
      <c r="F550" t="e">
        <f ca="1">_xludf.IFNA(VLOOKUP(B550,'S-FG'!$B$3:$B1001,1,FALSE),"")</f>
        <v>#NAME?</v>
      </c>
      <c r="L550" t="str">
        <f t="shared" si="2"/>
        <v/>
      </c>
      <c r="Q550" t="str">
        <f>IF(N550="","",SUMIFS('PR-BOM'!$D$3:$D1001,'PR-BOM'!$C$3:$C1001,N550))</f>
        <v/>
      </c>
      <c r="Y550" t="str">
        <f>IF(X550="","",SUMIFS(Issue!$D$3:$D1001,Issue!$C$3:$C1001,X550))</f>
        <v/>
      </c>
    </row>
    <row r="551" spans="5:25">
      <c r="E551" t="str">
        <f>IF(A551="","",SUMIFS(Issue!$D$3:$D1001,Issue!$C$3:$C1001,A551)*C551)</f>
        <v/>
      </c>
      <c r="F551" t="e">
        <f ca="1">_xludf.IFNA(VLOOKUP(B551,'S-FG'!$B$3:$B1001,1,FALSE),"")</f>
        <v>#NAME?</v>
      </c>
      <c r="L551" t="str">
        <f t="shared" si="2"/>
        <v/>
      </c>
      <c r="Q551" t="str">
        <f>IF(N551="","",SUMIFS('PR-BOM'!$D$3:$D1001,'PR-BOM'!$C$3:$C1001,N551))</f>
        <v/>
      </c>
      <c r="Y551" t="str">
        <f>IF(X551="","",SUMIFS(Issue!$D$3:$D1001,Issue!$C$3:$C1001,X551))</f>
        <v/>
      </c>
    </row>
    <row r="552" spans="5:25">
      <c r="E552" t="str">
        <f>IF(A552="","",SUMIFS(Issue!$D$3:$D1001,Issue!$C$3:$C1001,A552)*C552)</f>
        <v/>
      </c>
      <c r="F552" t="e">
        <f ca="1">_xludf.IFNA(VLOOKUP(B552,'S-FG'!$B$3:$B1001,1,FALSE),"")</f>
        <v>#NAME?</v>
      </c>
      <c r="L552" t="str">
        <f t="shared" si="2"/>
        <v/>
      </c>
      <c r="Q552" t="str">
        <f>IF(N552="","",SUMIFS('PR-BOM'!$D$3:$D1001,'PR-BOM'!$C$3:$C1001,N552))</f>
        <v/>
      </c>
      <c r="Y552" t="str">
        <f>IF(X552="","",SUMIFS(Issue!$D$3:$D1001,Issue!$C$3:$C1001,X552))</f>
        <v/>
      </c>
    </row>
    <row r="553" spans="5:25">
      <c r="E553" t="str">
        <f>IF(A553="","",SUMIFS(Issue!$D$3:$D1001,Issue!$C$3:$C1001,A553)*C553)</f>
        <v/>
      </c>
      <c r="F553" t="e">
        <f ca="1">_xludf.IFNA(VLOOKUP(B553,'S-FG'!$B$3:$B1001,1,FALSE),"")</f>
        <v>#NAME?</v>
      </c>
      <c r="L553" t="str">
        <f t="shared" si="2"/>
        <v/>
      </c>
      <c r="Q553" t="str">
        <f>IF(N553="","",SUMIFS('PR-BOM'!$D$3:$D1001,'PR-BOM'!$C$3:$C1001,N553))</f>
        <v/>
      </c>
      <c r="Y553" t="str">
        <f>IF(X553="","",SUMIFS(Issue!$D$3:$D1001,Issue!$C$3:$C1001,X553))</f>
        <v/>
      </c>
    </row>
    <row r="554" spans="5:25">
      <c r="E554" t="str">
        <f>IF(A554="","",SUMIFS(Issue!$D$3:$D1001,Issue!$C$3:$C1001,A554)*C554)</f>
        <v/>
      </c>
      <c r="F554" t="e">
        <f ca="1">_xludf.IFNA(VLOOKUP(B554,'S-FG'!$B$3:$B1001,1,FALSE),"")</f>
        <v>#NAME?</v>
      </c>
      <c r="L554" t="str">
        <f t="shared" si="2"/>
        <v/>
      </c>
      <c r="Q554" t="str">
        <f>IF(N554="","",SUMIFS('PR-BOM'!$D$3:$D1001,'PR-BOM'!$C$3:$C1001,N554))</f>
        <v/>
      </c>
      <c r="Y554" t="str">
        <f>IF(X554="","",SUMIFS(Issue!$D$3:$D1001,Issue!$C$3:$C1001,X554))</f>
        <v/>
      </c>
    </row>
    <row r="555" spans="5:25">
      <c r="E555" t="str">
        <f>IF(A555="","",SUMIFS(Issue!$D$3:$D1001,Issue!$C$3:$C1001,A555)*C555)</f>
        <v/>
      </c>
      <c r="F555" t="e">
        <f ca="1">_xludf.IFNA(VLOOKUP(B555,'S-FG'!$B$3:$B1001,1,FALSE),"")</f>
        <v>#NAME?</v>
      </c>
      <c r="L555" t="str">
        <f t="shared" si="2"/>
        <v/>
      </c>
      <c r="Q555" t="str">
        <f>IF(N555="","",SUMIFS('PR-BOM'!$D$3:$D1001,'PR-BOM'!$C$3:$C1001,N555))</f>
        <v/>
      </c>
      <c r="Y555" t="str">
        <f>IF(X555="","",SUMIFS(Issue!$D$3:$D1001,Issue!$C$3:$C1001,X555))</f>
        <v/>
      </c>
    </row>
    <row r="556" spans="5:25">
      <c r="E556" t="str">
        <f>IF(A556="","",SUMIFS(Issue!$D$3:$D1001,Issue!$C$3:$C1001,A556)*C556)</f>
        <v/>
      </c>
      <c r="F556" t="e">
        <f ca="1">_xludf.IFNA(VLOOKUP(B556,'S-FG'!$B$3:$B1001,1,FALSE),"")</f>
        <v>#NAME?</v>
      </c>
      <c r="L556" t="str">
        <f t="shared" si="2"/>
        <v/>
      </c>
      <c r="Q556" t="str">
        <f>IF(N556="","",SUMIFS('PR-BOM'!$D$3:$D1001,'PR-BOM'!$C$3:$C1001,N556))</f>
        <v/>
      </c>
      <c r="Y556" t="str">
        <f>IF(X556="","",SUMIFS(Issue!$D$3:$D1001,Issue!$C$3:$C1001,X556))</f>
        <v/>
      </c>
    </row>
    <row r="557" spans="5:25">
      <c r="E557" t="str">
        <f>IF(A557="","",SUMIFS(Issue!$D$3:$D1001,Issue!$C$3:$C1001,A557)*C557)</f>
        <v/>
      </c>
      <c r="F557" t="e">
        <f ca="1">_xludf.IFNA(VLOOKUP(B557,'S-FG'!$B$3:$B1001,1,FALSE),"")</f>
        <v>#NAME?</v>
      </c>
      <c r="L557" t="str">
        <f t="shared" si="2"/>
        <v/>
      </c>
      <c r="Q557" t="str">
        <f>IF(N557="","",SUMIFS('PR-BOM'!$D$3:$D1001,'PR-BOM'!$C$3:$C1001,N557))</f>
        <v/>
      </c>
      <c r="Y557" t="str">
        <f>IF(X557="","",SUMIFS(Issue!$D$3:$D1001,Issue!$C$3:$C1001,X557))</f>
        <v/>
      </c>
    </row>
    <row r="558" spans="5:25">
      <c r="E558" t="str">
        <f>IF(A558="","",SUMIFS(Issue!$D$3:$D1001,Issue!$C$3:$C1001,A558)*C558)</f>
        <v/>
      </c>
      <c r="F558" t="e">
        <f ca="1">_xludf.IFNA(VLOOKUP(B558,'S-FG'!$B$3:$B1001,1,FALSE),"")</f>
        <v>#NAME?</v>
      </c>
      <c r="L558" t="str">
        <f t="shared" si="2"/>
        <v/>
      </c>
      <c r="Q558" t="str">
        <f>IF(N558="","",SUMIFS('PR-BOM'!$D$3:$D1001,'PR-BOM'!$C$3:$C1001,N558))</f>
        <v/>
      </c>
      <c r="Y558" t="str">
        <f>IF(X558="","",SUMIFS(Issue!$D$3:$D1001,Issue!$C$3:$C1001,X558))</f>
        <v/>
      </c>
    </row>
    <row r="559" spans="5:25">
      <c r="E559" t="str">
        <f>IF(A559="","",SUMIFS(Issue!$D$3:$D1001,Issue!$C$3:$C1001,A559)*C559)</f>
        <v/>
      </c>
      <c r="F559" t="e">
        <f ca="1">_xludf.IFNA(VLOOKUP(B559,'S-FG'!$B$3:$B1001,1,FALSE),"")</f>
        <v>#NAME?</v>
      </c>
      <c r="L559" t="str">
        <f t="shared" si="2"/>
        <v/>
      </c>
      <c r="Q559" t="str">
        <f>IF(N559="","",SUMIFS('PR-BOM'!$D$3:$D1001,'PR-BOM'!$C$3:$C1001,N559))</f>
        <v/>
      </c>
      <c r="Y559" t="str">
        <f>IF(X559="","",SUMIFS(Issue!$D$3:$D1001,Issue!$C$3:$C1001,X559))</f>
        <v/>
      </c>
    </row>
    <row r="560" spans="5:25">
      <c r="E560" t="str">
        <f>IF(A560="","",SUMIFS(Issue!$D$3:$D1001,Issue!$C$3:$C1001,A560)*C560)</f>
        <v/>
      </c>
      <c r="F560" t="e">
        <f ca="1">_xludf.IFNA(VLOOKUP(B560,'S-FG'!$B$3:$B1001,1,FALSE),"")</f>
        <v>#NAME?</v>
      </c>
      <c r="L560" t="str">
        <f t="shared" si="2"/>
        <v/>
      </c>
      <c r="Q560" t="str">
        <f>IF(N560="","",SUMIFS('PR-BOM'!$D$3:$D1001,'PR-BOM'!$C$3:$C1001,N560))</f>
        <v/>
      </c>
      <c r="Y560" t="str">
        <f>IF(X560="","",SUMIFS(Issue!$D$3:$D1001,Issue!$C$3:$C1001,X560))</f>
        <v/>
      </c>
    </row>
    <row r="561" spans="5:25">
      <c r="E561" t="str">
        <f>IF(A561="","",SUMIFS(Issue!$D$3:$D1001,Issue!$C$3:$C1001,A561)*C561)</f>
        <v/>
      </c>
      <c r="F561" t="e">
        <f ca="1">_xludf.IFNA(VLOOKUP(B561,'S-FG'!$B$3:$B1001,1,FALSE),"")</f>
        <v>#NAME?</v>
      </c>
      <c r="L561" t="str">
        <f t="shared" si="2"/>
        <v/>
      </c>
      <c r="Q561" t="str">
        <f>IF(N561="","",SUMIFS('PR-BOM'!$D$3:$D1001,'PR-BOM'!$C$3:$C1001,N561))</f>
        <v/>
      </c>
      <c r="Y561" t="str">
        <f>IF(X561="","",SUMIFS(Issue!$D$3:$D1001,Issue!$C$3:$C1001,X561))</f>
        <v/>
      </c>
    </row>
    <row r="562" spans="5:25">
      <c r="E562" t="str">
        <f>IF(A562="","",SUMIFS(Issue!$D$3:$D1001,Issue!$C$3:$C1001,A562)*C562)</f>
        <v/>
      </c>
      <c r="F562" t="e">
        <f ca="1">_xludf.IFNA(VLOOKUP(B562,'S-FG'!$B$3:$B1001,1,FALSE),"")</f>
        <v>#NAME?</v>
      </c>
      <c r="L562" t="str">
        <f t="shared" si="2"/>
        <v/>
      </c>
      <c r="Q562" t="str">
        <f>IF(N562="","",SUMIFS('PR-BOM'!$D$3:$D1001,'PR-BOM'!$C$3:$C1001,N562))</f>
        <v/>
      </c>
      <c r="Y562" t="str">
        <f>IF(X562="","",SUMIFS(Issue!$D$3:$D1001,Issue!$C$3:$C1001,X562))</f>
        <v/>
      </c>
    </row>
    <row r="563" spans="5:25">
      <c r="E563" t="str">
        <f>IF(A563="","",SUMIFS(Issue!$D$3:$D1001,Issue!$C$3:$C1001,A563)*C563)</f>
        <v/>
      </c>
      <c r="F563" t="e">
        <f ca="1">_xludf.IFNA(VLOOKUP(B563,'S-FG'!$B$3:$B1001,1,FALSE),"")</f>
        <v>#NAME?</v>
      </c>
      <c r="L563" t="str">
        <f t="shared" si="2"/>
        <v/>
      </c>
      <c r="Q563" t="str">
        <f>IF(N563="","",SUMIFS('PR-BOM'!$D$3:$D1001,'PR-BOM'!$C$3:$C1001,N563))</f>
        <v/>
      </c>
      <c r="Y563" t="str">
        <f>IF(X563="","",SUMIFS(Issue!$D$3:$D1001,Issue!$C$3:$C1001,X563))</f>
        <v/>
      </c>
    </row>
    <row r="564" spans="5:25">
      <c r="E564" t="str">
        <f>IF(A564="","",SUMIFS(Issue!$D$3:$D1001,Issue!$C$3:$C1001,A564)*C564)</f>
        <v/>
      </c>
      <c r="F564" t="e">
        <f ca="1">_xludf.IFNA(VLOOKUP(B564,'S-FG'!$B$3:$B1001,1,FALSE),"")</f>
        <v>#NAME?</v>
      </c>
      <c r="L564" t="str">
        <f t="shared" si="2"/>
        <v/>
      </c>
      <c r="Q564" t="str">
        <f>IF(N564="","",SUMIFS('PR-BOM'!$D$3:$D1001,'PR-BOM'!$C$3:$C1001,N564))</f>
        <v/>
      </c>
      <c r="Y564" t="str">
        <f>IF(X564="","",SUMIFS(Issue!$D$3:$D1001,Issue!$C$3:$C1001,X564))</f>
        <v/>
      </c>
    </row>
    <row r="565" spans="5:25">
      <c r="E565" t="str">
        <f>IF(A565="","",SUMIFS(Issue!$D$3:$D1001,Issue!$C$3:$C1001,A565)*C565)</f>
        <v/>
      </c>
      <c r="F565" t="e">
        <f ca="1">_xludf.IFNA(VLOOKUP(B565,'S-FG'!$B$3:$B1001,1,FALSE),"")</f>
        <v>#NAME?</v>
      </c>
      <c r="L565" t="str">
        <f t="shared" si="2"/>
        <v/>
      </c>
      <c r="Q565" t="str">
        <f>IF(N565="","",SUMIFS('PR-BOM'!$D$3:$D1001,'PR-BOM'!$C$3:$C1001,N565))</f>
        <v/>
      </c>
      <c r="Y565" t="str">
        <f>IF(X565="","",SUMIFS(Issue!$D$3:$D1001,Issue!$C$3:$C1001,X565))</f>
        <v/>
      </c>
    </row>
    <row r="566" spans="5:25">
      <c r="E566" t="str">
        <f>IF(A566="","",SUMIFS(Issue!$D$3:$D1001,Issue!$C$3:$C1001,A566)*C566)</f>
        <v/>
      </c>
      <c r="F566" t="e">
        <f ca="1">_xludf.IFNA(VLOOKUP(B566,'S-FG'!$B$3:$B1001,1,FALSE),"")</f>
        <v>#NAME?</v>
      </c>
      <c r="L566" t="str">
        <f t="shared" si="2"/>
        <v/>
      </c>
      <c r="Q566" t="str">
        <f>IF(N566="","",SUMIFS('PR-BOM'!$D$3:$D1001,'PR-BOM'!$C$3:$C1001,N566))</f>
        <v/>
      </c>
      <c r="Y566" t="str">
        <f>IF(X566="","",SUMIFS(Issue!$D$3:$D1001,Issue!$C$3:$C1001,X566))</f>
        <v/>
      </c>
    </row>
    <row r="567" spans="5:25">
      <c r="E567" t="str">
        <f>IF(A567="","",SUMIFS(Issue!$D$3:$D1001,Issue!$C$3:$C1001,A567)*C567)</f>
        <v/>
      </c>
      <c r="F567" t="e">
        <f ca="1">_xludf.IFNA(VLOOKUP(B567,'S-FG'!$B$3:$B1001,1,FALSE),"")</f>
        <v>#NAME?</v>
      </c>
      <c r="L567" t="str">
        <f t="shared" si="2"/>
        <v/>
      </c>
      <c r="Q567" t="str">
        <f>IF(N567="","",SUMIFS('PR-BOM'!$D$3:$D1001,'PR-BOM'!$C$3:$C1001,N567))</f>
        <v/>
      </c>
      <c r="Y567" t="str">
        <f>IF(X567="","",SUMIFS(Issue!$D$3:$D1001,Issue!$C$3:$C1001,X567))</f>
        <v/>
      </c>
    </row>
    <row r="568" spans="5:25">
      <c r="E568" t="str">
        <f>IF(A568="","",SUMIFS(Issue!$D$3:$D1001,Issue!$C$3:$C1001,A568)*C568)</f>
        <v/>
      </c>
      <c r="F568" t="e">
        <f ca="1">_xludf.IFNA(VLOOKUP(B568,'S-FG'!$B$3:$B1001,1,FALSE),"")</f>
        <v>#NAME?</v>
      </c>
      <c r="L568" t="str">
        <f t="shared" si="2"/>
        <v/>
      </c>
      <c r="Q568" t="str">
        <f>IF(N568="","",SUMIFS('PR-BOM'!$D$3:$D1001,'PR-BOM'!$C$3:$C1001,N568))</f>
        <v/>
      </c>
      <c r="Y568" t="str">
        <f>IF(X568="","",SUMIFS(Issue!$D$3:$D1001,Issue!$C$3:$C1001,X568))</f>
        <v/>
      </c>
    </row>
    <row r="569" spans="5:25">
      <c r="E569" t="str">
        <f>IF(A569="","",SUMIFS(Issue!$D$3:$D1001,Issue!$C$3:$C1001,A569)*C569)</f>
        <v/>
      </c>
      <c r="F569" t="e">
        <f ca="1">_xludf.IFNA(VLOOKUP(B569,'S-FG'!$B$3:$B1001,1,FALSE),"")</f>
        <v>#NAME?</v>
      </c>
      <c r="L569" t="str">
        <f t="shared" si="2"/>
        <v/>
      </c>
      <c r="Q569" t="str">
        <f>IF(N569="","",SUMIFS('PR-BOM'!$D$3:$D1001,'PR-BOM'!$C$3:$C1001,N569))</f>
        <v/>
      </c>
      <c r="Y569" t="str">
        <f>IF(X569="","",SUMIFS(Issue!$D$3:$D1001,Issue!$C$3:$C1001,X569))</f>
        <v/>
      </c>
    </row>
    <row r="570" spans="5:25">
      <c r="E570" t="str">
        <f>IF(A570="","",SUMIFS(Issue!$D$3:$D1001,Issue!$C$3:$C1001,A570)*C570)</f>
        <v/>
      </c>
      <c r="F570" t="e">
        <f ca="1">_xludf.IFNA(VLOOKUP(B570,'S-FG'!$B$3:$B1001,1,FALSE),"")</f>
        <v>#NAME?</v>
      </c>
      <c r="L570" t="str">
        <f t="shared" si="2"/>
        <v/>
      </c>
      <c r="Q570" t="str">
        <f>IF(N570="","",SUMIFS('PR-BOM'!$D$3:$D1001,'PR-BOM'!$C$3:$C1001,N570))</f>
        <v/>
      </c>
      <c r="Y570" t="str">
        <f>IF(X570="","",SUMIFS(Issue!$D$3:$D1001,Issue!$C$3:$C1001,X570))</f>
        <v/>
      </c>
    </row>
    <row r="571" spans="5:25">
      <c r="E571" t="str">
        <f>IF(A571="","",SUMIFS(Issue!$D$3:$D1001,Issue!$C$3:$C1001,A571)*C571)</f>
        <v/>
      </c>
      <c r="F571" t="e">
        <f ca="1">_xludf.IFNA(VLOOKUP(B571,'S-FG'!$B$3:$B1001,1,FALSE),"")</f>
        <v>#NAME?</v>
      </c>
      <c r="L571" t="str">
        <f t="shared" si="2"/>
        <v/>
      </c>
      <c r="Q571" t="str">
        <f>IF(N571="","",SUMIFS('PR-BOM'!$D$3:$D1001,'PR-BOM'!$C$3:$C1001,N571))</f>
        <v/>
      </c>
      <c r="Y571" t="str">
        <f>IF(X571="","",SUMIFS(Issue!$D$3:$D1001,Issue!$C$3:$C1001,X571))</f>
        <v/>
      </c>
    </row>
    <row r="572" spans="5:25">
      <c r="E572" t="str">
        <f>IF(A572="","",SUMIFS(Issue!$D$3:$D1001,Issue!$C$3:$C1001,A572)*C572)</f>
        <v/>
      </c>
      <c r="F572" t="e">
        <f ca="1">_xludf.IFNA(VLOOKUP(B572,'S-FG'!$B$3:$B1001,1,FALSE),"")</f>
        <v>#NAME?</v>
      </c>
      <c r="L572" t="str">
        <f t="shared" si="2"/>
        <v/>
      </c>
      <c r="Q572" t="str">
        <f>IF(N572="","",SUMIFS('PR-BOM'!$D$3:$D1001,'PR-BOM'!$C$3:$C1001,N572))</f>
        <v/>
      </c>
      <c r="Y572" t="str">
        <f>IF(X572="","",SUMIFS(Issue!$D$3:$D1001,Issue!$C$3:$C1001,X572))</f>
        <v/>
      </c>
    </row>
    <row r="573" spans="5:25">
      <c r="E573" t="str">
        <f>IF(A573="","",SUMIFS(Issue!$D$3:$D1001,Issue!$C$3:$C1001,A573)*C573)</f>
        <v/>
      </c>
      <c r="F573" t="e">
        <f ca="1">_xludf.IFNA(VLOOKUP(B573,'S-FG'!$B$3:$B1001,1,FALSE),"")</f>
        <v>#NAME?</v>
      </c>
      <c r="L573" t="str">
        <f t="shared" si="2"/>
        <v/>
      </c>
      <c r="Q573" t="str">
        <f>IF(N573="","",SUMIFS('PR-BOM'!$D$3:$D1001,'PR-BOM'!$C$3:$C1001,N573))</f>
        <v/>
      </c>
      <c r="Y573" t="str">
        <f>IF(X573="","",SUMIFS(Issue!$D$3:$D1001,Issue!$C$3:$C1001,X573))</f>
        <v/>
      </c>
    </row>
    <row r="574" spans="5:25">
      <c r="E574" t="str">
        <f>IF(A574="","",SUMIFS(Issue!$D$3:$D1001,Issue!$C$3:$C1001,A574)*C574)</f>
        <v/>
      </c>
      <c r="F574" t="e">
        <f ca="1">_xludf.IFNA(VLOOKUP(B574,'S-FG'!$B$3:$B1001,1,FALSE),"")</f>
        <v>#NAME?</v>
      </c>
      <c r="L574" t="str">
        <f t="shared" si="2"/>
        <v/>
      </c>
      <c r="Q574" t="str">
        <f>IF(N574="","",SUMIFS('PR-BOM'!$D$3:$D1001,'PR-BOM'!$C$3:$C1001,N574))</f>
        <v/>
      </c>
      <c r="Y574" t="str">
        <f>IF(X574="","",SUMIFS(Issue!$D$3:$D1001,Issue!$C$3:$C1001,X574))</f>
        <v/>
      </c>
    </row>
    <row r="575" spans="5:25">
      <c r="E575" t="str">
        <f>IF(A575="","",SUMIFS(Issue!$D$3:$D1001,Issue!$C$3:$C1001,A575)*C575)</f>
        <v/>
      </c>
      <c r="F575" t="e">
        <f ca="1">_xludf.IFNA(VLOOKUP(B575,'S-FG'!$B$3:$B1001,1,FALSE),"")</f>
        <v>#NAME?</v>
      </c>
      <c r="L575" t="str">
        <f t="shared" si="2"/>
        <v/>
      </c>
      <c r="Q575" t="str">
        <f>IF(N575="","",SUMIFS('PR-BOM'!$D$3:$D1001,'PR-BOM'!$C$3:$C1001,N575))</f>
        <v/>
      </c>
      <c r="Y575" t="str">
        <f>IF(X575="","",SUMIFS(Issue!$D$3:$D1001,Issue!$C$3:$C1001,X575))</f>
        <v/>
      </c>
    </row>
    <row r="576" spans="5:25">
      <c r="E576" t="str">
        <f>IF(A576="","",SUMIFS(Issue!$D$3:$D1001,Issue!$C$3:$C1001,A576)*C576)</f>
        <v/>
      </c>
      <c r="F576" t="e">
        <f ca="1">_xludf.IFNA(VLOOKUP(B576,'S-FG'!$B$3:$B1001,1,FALSE),"")</f>
        <v>#NAME?</v>
      </c>
      <c r="L576" t="str">
        <f t="shared" si="2"/>
        <v/>
      </c>
      <c r="Q576" t="str">
        <f>IF(N576="","",SUMIFS('PR-BOM'!$D$3:$D1001,'PR-BOM'!$C$3:$C1001,N576))</f>
        <v/>
      </c>
      <c r="Y576" t="str">
        <f>IF(X576="","",SUMIFS(Issue!$D$3:$D1001,Issue!$C$3:$C1001,X576))</f>
        <v/>
      </c>
    </row>
    <row r="577" spans="5:25">
      <c r="E577" t="str">
        <f>IF(A577="","",SUMIFS(Issue!$D$3:$D1001,Issue!$C$3:$C1001,A577)*C577)</f>
        <v/>
      </c>
      <c r="F577" t="e">
        <f ca="1">_xludf.IFNA(VLOOKUP(B577,'S-FG'!$B$3:$B1001,1,FALSE),"")</f>
        <v>#NAME?</v>
      </c>
      <c r="L577" t="str">
        <f t="shared" si="2"/>
        <v/>
      </c>
      <c r="Q577" t="str">
        <f>IF(N577="","",SUMIFS('PR-BOM'!$D$3:$D1001,'PR-BOM'!$C$3:$C1001,N577))</f>
        <v/>
      </c>
      <c r="Y577" t="str">
        <f>IF(X577="","",SUMIFS(Issue!$D$3:$D1001,Issue!$C$3:$C1001,X577))</f>
        <v/>
      </c>
    </row>
    <row r="578" spans="5:25">
      <c r="E578" t="str">
        <f>IF(A578="","",SUMIFS(Issue!$D$3:$D1001,Issue!$C$3:$C1001,A578)*C578)</f>
        <v/>
      </c>
      <c r="F578" t="e">
        <f ca="1">_xludf.IFNA(VLOOKUP(B578,'S-FG'!$B$3:$B1001,1,FALSE),"")</f>
        <v>#NAME?</v>
      </c>
      <c r="L578" t="str">
        <f t="shared" si="2"/>
        <v/>
      </c>
      <c r="Q578" t="str">
        <f>IF(N578="","",SUMIFS('PR-BOM'!$D$3:$D1001,'PR-BOM'!$C$3:$C1001,N578))</f>
        <v/>
      </c>
      <c r="Y578" t="str">
        <f>IF(X578="","",SUMIFS(Issue!$D$3:$D1001,Issue!$C$3:$C1001,X578))</f>
        <v/>
      </c>
    </row>
    <row r="579" spans="5:25">
      <c r="E579" t="str">
        <f>IF(A579="","",SUMIFS(Issue!$D$3:$D1001,Issue!$C$3:$C1001,A579)*C579)</f>
        <v/>
      </c>
      <c r="F579" t="e">
        <f ca="1">_xludf.IFNA(VLOOKUP(B579,'S-FG'!$B$3:$B1001,1,FALSE),"")</f>
        <v>#NAME?</v>
      </c>
      <c r="L579" t="str">
        <f t="shared" si="2"/>
        <v/>
      </c>
      <c r="Q579" t="str">
        <f>IF(N579="","",SUMIFS('PR-BOM'!$D$3:$D1001,'PR-BOM'!$C$3:$C1001,N579))</f>
        <v/>
      </c>
      <c r="Y579" t="str">
        <f>IF(X579="","",SUMIFS(Issue!$D$3:$D1001,Issue!$C$3:$C1001,X579))</f>
        <v/>
      </c>
    </row>
    <row r="580" spans="5:25">
      <c r="E580" t="str">
        <f>IF(A580="","",SUMIFS(Issue!$D$3:$D1001,Issue!$C$3:$C1001,A580)*C580)</f>
        <v/>
      </c>
      <c r="F580" t="e">
        <f ca="1">_xludf.IFNA(VLOOKUP(B580,'S-FG'!$B$3:$B1001,1,FALSE),"")</f>
        <v>#NAME?</v>
      </c>
      <c r="L580" t="str">
        <f t="shared" si="2"/>
        <v/>
      </c>
      <c r="Q580" t="str">
        <f>IF(N580="","",SUMIFS('PR-BOM'!$D$3:$D1001,'PR-BOM'!$C$3:$C1001,N580))</f>
        <v/>
      </c>
      <c r="Y580" t="str">
        <f>IF(X580="","",SUMIFS(Issue!$D$3:$D1001,Issue!$C$3:$C1001,X580))</f>
        <v/>
      </c>
    </row>
    <row r="581" spans="5:25">
      <c r="E581" t="str">
        <f>IF(A581="","",SUMIFS(Issue!$D$3:$D1001,Issue!$C$3:$C1001,A581)*C581)</f>
        <v/>
      </c>
      <c r="F581" t="e">
        <f ca="1">_xludf.IFNA(VLOOKUP(B581,'S-FG'!$B$3:$B1001,1,FALSE),"")</f>
        <v>#NAME?</v>
      </c>
      <c r="L581" t="str">
        <f t="shared" si="2"/>
        <v/>
      </c>
      <c r="Q581" t="str">
        <f>IF(N581="","",SUMIFS('PR-BOM'!$D$3:$D1001,'PR-BOM'!$C$3:$C1001,N581))</f>
        <v/>
      </c>
      <c r="Y581" t="str">
        <f>IF(X581="","",SUMIFS(Issue!$D$3:$D1001,Issue!$C$3:$C1001,X581))</f>
        <v/>
      </c>
    </row>
    <row r="582" spans="5:25">
      <c r="E582" t="str">
        <f>IF(A582="","",SUMIFS(Issue!$D$3:$D1001,Issue!$C$3:$C1001,A582)*C582)</f>
        <v/>
      </c>
      <c r="F582" t="e">
        <f ca="1">_xludf.IFNA(VLOOKUP(B582,'S-FG'!$B$3:$B1001,1,FALSE),"")</f>
        <v>#NAME?</v>
      </c>
      <c r="L582" t="str">
        <f t="shared" si="2"/>
        <v/>
      </c>
      <c r="Q582" t="str">
        <f>IF(N582="","",SUMIFS('PR-BOM'!$D$3:$D1001,'PR-BOM'!$C$3:$C1001,N582))</f>
        <v/>
      </c>
      <c r="Y582" t="str">
        <f>IF(X582="","",SUMIFS(Issue!$D$3:$D1001,Issue!$C$3:$C1001,X582))</f>
        <v/>
      </c>
    </row>
    <row r="583" spans="5:25">
      <c r="E583" t="str">
        <f>IF(A583="","",SUMIFS(Issue!$D$3:$D1001,Issue!$C$3:$C1001,A583)*C583)</f>
        <v/>
      </c>
      <c r="F583" t="e">
        <f ca="1">_xludf.IFNA(VLOOKUP(B583,'S-FG'!$B$3:$B1001,1,FALSE),"")</f>
        <v>#NAME?</v>
      </c>
      <c r="L583" t="str">
        <f t="shared" si="2"/>
        <v/>
      </c>
      <c r="Q583" t="str">
        <f>IF(N583="","",SUMIFS('PR-BOM'!$D$3:$D1001,'PR-BOM'!$C$3:$C1001,N583))</f>
        <v/>
      </c>
      <c r="Y583" t="str">
        <f>IF(X583="","",SUMIFS(Issue!$D$3:$D1001,Issue!$C$3:$C1001,X583))</f>
        <v/>
      </c>
    </row>
    <row r="584" spans="5:25">
      <c r="E584" t="str">
        <f>IF(A584="","",SUMIFS(Issue!$D$3:$D1001,Issue!$C$3:$C1001,A584)*C584)</f>
        <v/>
      </c>
      <c r="F584" t="e">
        <f ca="1">_xludf.IFNA(VLOOKUP(B584,'S-FG'!$B$3:$B1001,1,FALSE),"")</f>
        <v>#NAME?</v>
      </c>
      <c r="L584" t="str">
        <f t="shared" si="2"/>
        <v/>
      </c>
      <c r="Q584" t="str">
        <f>IF(N584="","",SUMIFS('PR-BOM'!$D$3:$D1001,'PR-BOM'!$C$3:$C1001,N584))</f>
        <v/>
      </c>
      <c r="Y584" t="str">
        <f>IF(X584="","",SUMIFS(Issue!$D$3:$D1001,Issue!$C$3:$C1001,X584))</f>
        <v/>
      </c>
    </row>
    <row r="585" spans="5:25">
      <c r="E585" t="str">
        <f>IF(A585="","",SUMIFS(Issue!$D$3:$D1001,Issue!$C$3:$C1001,A585)*C585)</f>
        <v/>
      </c>
      <c r="F585" t="e">
        <f ca="1">_xludf.IFNA(VLOOKUP(B585,'S-FG'!$B$3:$B1001,1,FALSE),"")</f>
        <v>#NAME?</v>
      </c>
      <c r="L585" t="str">
        <f t="shared" si="2"/>
        <v/>
      </c>
      <c r="Q585" t="str">
        <f>IF(N585="","",SUMIFS('PR-BOM'!$D$3:$D1001,'PR-BOM'!$C$3:$C1001,N585))</f>
        <v/>
      </c>
      <c r="Y585" t="str">
        <f>IF(X585="","",SUMIFS(Issue!$D$3:$D1001,Issue!$C$3:$C1001,X585))</f>
        <v/>
      </c>
    </row>
    <row r="586" spans="5:25">
      <c r="E586" t="str">
        <f>IF(A586="","",SUMIFS(Issue!$D$3:$D1001,Issue!$C$3:$C1001,A586)*C586)</f>
        <v/>
      </c>
      <c r="F586" t="e">
        <f ca="1">_xludf.IFNA(VLOOKUP(B586,'S-FG'!$B$3:$B1001,1,FALSE),"")</f>
        <v>#NAME?</v>
      </c>
      <c r="L586" t="str">
        <f t="shared" si="2"/>
        <v/>
      </c>
      <c r="Q586" t="str">
        <f>IF(N586="","",SUMIFS('PR-BOM'!$D$3:$D1001,'PR-BOM'!$C$3:$C1001,N586))</f>
        <v/>
      </c>
      <c r="Y586" t="str">
        <f>IF(X586="","",SUMIFS(Issue!$D$3:$D1001,Issue!$C$3:$C1001,X586))</f>
        <v/>
      </c>
    </row>
    <row r="587" spans="5:25">
      <c r="E587" t="str">
        <f>IF(A587="","",SUMIFS(Issue!$D$3:$D1001,Issue!$C$3:$C1001,A587)*C587)</f>
        <v/>
      </c>
      <c r="F587" t="e">
        <f ca="1">_xludf.IFNA(VLOOKUP(B587,'S-FG'!$B$3:$B1001,1,FALSE),"")</f>
        <v>#NAME?</v>
      </c>
      <c r="L587" t="str">
        <f t="shared" si="2"/>
        <v/>
      </c>
      <c r="Q587" t="str">
        <f>IF(N587="","",SUMIFS('PR-BOM'!$D$3:$D1001,'PR-BOM'!$C$3:$C1001,N587))</f>
        <v/>
      </c>
      <c r="Y587" t="str">
        <f>IF(X587="","",SUMIFS(Issue!$D$3:$D1001,Issue!$C$3:$C1001,X587))</f>
        <v/>
      </c>
    </row>
    <row r="588" spans="5:25">
      <c r="E588" t="str">
        <f>IF(A588="","",SUMIFS(Issue!$D$3:$D1001,Issue!$C$3:$C1001,A588)*C588)</f>
        <v/>
      </c>
      <c r="F588" t="e">
        <f ca="1">_xludf.IFNA(VLOOKUP(B588,'S-FG'!$B$3:$B1001,1,FALSE),"")</f>
        <v>#NAME?</v>
      </c>
      <c r="L588" t="str">
        <f t="shared" si="2"/>
        <v/>
      </c>
      <c r="Q588" t="str">
        <f>IF(N588="","",SUMIFS('PR-BOM'!$D$3:$D1001,'PR-BOM'!$C$3:$C1001,N588))</f>
        <v/>
      </c>
      <c r="Y588" t="str">
        <f>IF(X588="","",SUMIFS(Issue!$D$3:$D1001,Issue!$C$3:$C1001,X588))</f>
        <v/>
      </c>
    </row>
    <row r="589" spans="5:25">
      <c r="E589" t="str">
        <f>IF(A589="","",SUMIFS(Issue!$D$3:$D1001,Issue!$C$3:$C1001,A589)*C589)</f>
        <v/>
      </c>
      <c r="F589" t="e">
        <f ca="1">_xludf.IFNA(VLOOKUP(B589,'S-FG'!$B$3:$B1001,1,FALSE),"")</f>
        <v>#NAME?</v>
      </c>
      <c r="L589" t="str">
        <f t="shared" si="2"/>
        <v/>
      </c>
      <c r="Q589" t="str">
        <f>IF(N589="","",SUMIFS('PR-BOM'!$D$3:$D1001,'PR-BOM'!$C$3:$C1001,N589))</f>
        <v/>
      </c>
      <c r="Y589" t="str">
        <f>IF(X589="","",SUMIFS(Issue!$D$3:$D1001,Issue!$C$3:$C1001,X589))</f>
        <v/>
      </c>
    </row>
    <row r="590" spans="5:25">
      <c r="E590" t="str">
        <f>IF(A590="","",SUMIFS(Issue!$D$3:$D1001,Issue!$C$3:$C1001,A590)*C590)</f>
        <v/>
      </c>
      <c r="F590" t="e">
        <f ca="1">_xludf.IFNA(VLOOKUP(B590,'S-FG'!$B$3:$B1001,1,FALSE),"")</f>
        <v>#NAME?</v>
      </c>
      <c r="L590" t="str">
        <f t="shared" si="2"/>
        <v/>
      </c>
      <c r="Q590" t="str">
        <f>IF(N590="","",SUMIFS('PR-BOM'!$D$3:$D1001,'PR-BOM'!$C$3:$C1001,N590))</f>
        <v/>
      </c>
      <c r="Y590" t="str">
        <f>IF(X590="","",SUMIFS(Issue!$D$3:$D1001,Issue!$C$3:$C1001,X590))</f>
        <v/>
      </c>
    </row>
    <row r="591" spans="5:25">
      <c r="E591" t="str">
        <f>IF(A591="","",SUMIFS(Issue!$D$3:$D1001,Issue!$C$3:$C1001,A591)*C591)</f>
        <v/>
      </c>
      <c r="F591" t="e">
        <f ca="1">_xludf.IFNA(VLOOKUP(B591,'S-FG'!$B$3:$B1001,1,FALSE),"")</f>
        <v>#NAME?</v>
      </c>
      <c r="L591" t="str">
        <f t="shared" si="2"/>
        <v/>
      </c>
      <c r="Q591" t="str">
        <f>IF(N591="","",SUMIFS('PR-BOM'!$D$3:$D1001,'PR-BOM'!$C$3:$C1001,N591))</f>
        <v/>
      </c>
      <c r="Y591" t="str">
        <f>IF(X591="","",SUMIFS(Issue!$D$3:$D1001,Issue!$C$3:$C1001,X591))</f>
        <v/>
      </c>
    </row>
    <row r="592" spans="5:25">
      <c r="E592" t="str">
        <f>IF(A592="","",SUMIFS(Issue!$D$3:$D1001,Issue!$C$3:$C1001,A592)*C592)</f>
        <v/>
      </c>
      <c r="F592" t="e">
        <f ca="1">_xludf.IFNA(VLOOKUP(B592,'S-FG'!$B$3:$B1001,1,FALSE),"")</f>
        <v>#NAME?</v>
      </c>
      <c r="L592" t="str">
        <f t="shared" si="2"/>
        <v/>
      </c>
      <c r="Q592" t="str">
        <f>IF(N592="","",SUMIFS('PR-BOM'!$D$3:$D1001,'PR-BOM'!$C$3:$C1001,N592))</f>
        <v/>
      </c>
      <c r="Y592" t="str">
        <f>IF(X592="","",SUMIFS(Issue!$D$3:$D1001,Issue!$C$3:$C1001,X592))</f>
        <v/>
      </c>
    </row>
    <row r="593" spans="5:25">
      <c r="E593" t="str">
        <f>IF(A593="","",SUMIFS(Issue!$D$3:$D1001,Issue!$C$3:$C1001,A593)*C593)</f>
        <v/>
      </c>
      <c r="F593" t="e">
        <f ca="1">_xludf.IFNA(VLOOKUP(B593,'S-FG'!$B$3:$B1001,1,FALSE),"")</f>
        <v>#NAME?</v>
      </c>
      <c r="L593" t="str">
        <f t="shared" si="2"/>
        <v/>
      </c>
      <c r="Q593" t="str">
        <f>IF(N593="","",SUMIFS('PR-BOM'!$D$3:$D1001,'PR-BOM'!$C$3:$C1001,N593))</f>
        <v/>
      </c>
      <c r="Y593" t="str">
        <f>IF(X593="","",SUMIFS(Issue!$D$3:$D1001,Issue!$C$3:$C1001,X593))</f>
        <v/>
      </c>
    </row>
    <row r="594" spans="5:25">
      <c r="E594" t="str">
        <f>IF(A594="","",SUMIFS(Issue!$D$3:$D1001,Issue!$C$3:$C1001,A594)*C594)</f>
        <v/>
      </c>
      <c r="F594" t="e">
        <f ca="1">_xludf.IFNA(VLOOKUP(B594,'S-FG'!$B$3:$B1001,1,FALSE),"")</f>
        <v>#NAME?</v>
      </c>
      <c r="L594" t="str">
        <f t="shared" si="2"/>
        <v/>
      </c>
      <c r="Q594" t="str">
        <f>IF(N594="","",SUMIFS('PR-BOM'!$D$3:$D1001,'PR-BOM'!$C$3:$C1001,N594))</f>
        <v/>
      </c>
      <c r="Y594" t="str">
        <f>IF(X594="","",SUMIFS(Issue!$D$3:$D1001,Issue!$C$3:$C1001,X594))</f>
        <v/>
      </c>
    </row>
    <row r="595" spans="5:25">
      <c r="E595" t="str">
        <f>IF(A595="","",SUMIFS(Issue!$D$3:$D1001,Issue!$C$3:$C1001,A595)*C595)</f>
        <v/>
      </c>
      <c r="F595" t="e">
        <f ca="1">_xludf.IFNA(VLOOKUP(B595,'S-FG'!$B$3:$B1001,1,FALSE),"")</f>
        <v>#NAME?</v>
      </c>
      <c r="L595" t="str">
        <f t="shared" si="2"/>
        <v/>
      </c>
      <c r="Q595" t="str">
        <f>IF(N595="","",SUMIFS('PR-BOM'!$D$3:$D1001,'PR-BOM'!$C$3:$C1001,N595))</f>
        <v/>
      </c>
      <c r="Y595" t="str">
        <f>IF(X595="","",SUMIFS(Issue!$D$3:$D1001,Issue!$C$3:$C1001,X595))</f>
        <v/>
      </c>
    </row>
    <row r="596" spans="5:25">
      <c r="E596" t="str">
        <f>IF(A596="","",SUMIFS(Issue!$D$3:$D1001,Issue!$C$3:$C1001,A596)*C596)</f>
        <v/>
      </c>
      <c r="F596" t="e">
        <f ca="1">_xludf.IFNA(VLOOKUP(B596,'S-FG'!$B$3:$B1001,1,FALSE),"")</f>
        <v>#NAME?</v>
      </c>
      <c r="L596" t="str">
        <f t="shared" si="2"/>
        <v/>
      </c>
      <c r="Q596" t="str">
        <f>IF(N596="","",SUMIFS('PR-BOM'!$D$3:$D1001,'PR-BOM'!$C$3:$C1001,N596))</f>
        <v/>
      </c>
      <c r="Y596" t="str">
        <f>IF(X596="","",SUMIFS(Issue!$D$3:$D1001,Issue!$C$3:$C1001,X596))</f>
        <v/>
      </c>
    </row>
    <row r="597" spans="5:25">
      <c r="E597" t="str">
        <f>IF(A597="","",SUMIFS(Issue!$D$3:$D1001,Issue!$C$3:$C1001,A597)*C597)</f>
        <v/>
      </c>
      <c r="F597" t="e">
        <f ca="1">_xludf.IFNA(VLOOKUP(B597,'S-FG'!$B$3:$B1001,1,FALSE),"")</f>
        <v>#NAME?</v>
      </c>
      <c r="L597" t="str">
        <f t="shared" si="2"/>
        <v/>
      </c>
      <c r="Q597" t="str">
        <f>IF(N597="","",SUMIFS('PR-BOM'!$D$3:$D1001,'PR-BOM'!$C$3:$C1001,N597))</f>
        <v/>
      </c>
      <c r="Y597" t="str">
        <f>IF(X597="","",SUMIFS(Issue!$D$3:$D1001,Issue!$C$3:$C1001,X597))</f>
        <v/>
      </c>
    </row>
    <row r="598" spans="5:25">
      <c r="E598" t="str">
        <f>IF(A598="","",SUMIFS(Issue!$D$3:$D1001,Issue!$C$3:$C1001,A598)*C598)</f>
        <v/>
      </c>
      <c r="F598" t="e">
        <f ca="1">_xludf.IFNA(VLOOKUP(B598,'S-FG'!$B$3:$B1001,1,FALSE),"")</f>
        <v>#NAME?</v>
      </c>
      <c r="L598" t="str">
        <f t="shared" si="2"/>
        <v/>
      </c>
      <c r="Q598" t="str">
        <f>IF(N598="","",SUMIFS('PR-BOM'!$D$3:$D1001,'PR-BOM'!$C$3:$C1001,N598))</f>
        <v/>
      </c>
      <c r="Y598" t="str">
        <f>IF(X598="","",SUMIFS(Issue!$D$3:$D1001,Issue!$C$3:$C1001,X598))</f>
        <v/>
      </c>
    </row>
    <row r="599" spans="5:25">
      <c r="E599" t="str">
        <f>IF(A599="","",SUMIFS(Issue!$D$3:$D1001,Issue!$C$3:$C1001,A599)*C599)</f>
        <v/>
      </c>
      <c r="F599" t="e">
        <f ca="1">_xludf.IFNA(VLOOKUP(B599,'S-FG'!$B$3:$B1001,1,FALSE),"")</f>
        <v>#NAME?</v>
      </c>
      <c r="L599" t="str">
        <f t="shared" si="2"/>
        <v/>
      </c>
      <c r="Q599" t="str">
        <f>IF(N599="","",SUMIFS('PR-BOM'!$D$3:$D1001,'PR-BOM'!$C$3:$C1001,N599))</f>
        <v/>
      </c>
      <c r="Y599" t="str">
        <f>IF(X599="","",SUMIFS(Issue!$D$3:$D1001,Issue!$C$3:$C1001,X599))</f>
        <v/>
      </c>
    </row>
    <row r="600" spans="5:25">
      <c r="E600" t="str">
        <f>IF(A600="","",SUMIFS(Issue!$D$3:$D1001,Issue!$C$3:$C1001,A600)*C600)</f>
        <v/>
      </c>
      <c r="F600" t="e">
        <f ca="1">_xludf.IFNA(VLOOKUP(B600,'S-FG'!$B$3:$B1001,1,FALSE),"")</f>
        <v>#NAME?</v>
      </c>
      <c r="L600" t="str">
        <f t="shared" si="2"/>
        <v/>
      </c>
      <c r="Q600" t="str">
        <f>IF(N600="","",SUMIFS('PR-BOM'!$D$3:$D1001,'PR-BOM'!$C$3:$C1001,N600))</f>
        <v/>
      </c>
      <c r="Y600" t="str">
        <f>IF(X600="","",SUMIFS(Issue!$D$3:$D1001,Issue!$C$3:$C1001,X600))</f>
        <v/>
      </c>
    </row>
    <row r="601" spans="5:25">
      <c r="E601" t="str">
        <f>IF(A601="","",SUMIFS(Issue!$D$3:$D1001,Issue!$C$3:$C1001,A601)*C601)</f>
        <v/>
      </c>
      <c r="F601" t="e">
        <f ca="1">_xludf.IFNA(VLOOKUP(B601,'S-FG'!$B$3:$B1001,1,FALSE),"")</f>
        <v>#NAME?</v>
      </c>
      <c r="L601" t="str">
        <f t="shared" si="2"/>
        <v/>
      </c>
      <c r="Q601" t="str">
        <f>IF(N601="","",SUMIFS('PR-BOM'!$D$3:$D1001,'PR-BOM'!$C$3:$C1001,N601))</f>
        <v/>
      </c>
      <c r="Y601" t="str">
        <f>IF(X601="","",SUMIFS(Issue!$D$3:$D1001,Issue!$C$3:$C1001,X601))</f>
        <v/>
      </c>
    </row>
    <row r="602" spans="5:25">
      <c r="E602" t="str">
        <f>IF(A602="","",SUMIFS(Issue!$D$3:$D1001,Issue!$C$3:$C1001,A602)*C602)</f>
        <v/>
      </c>
      <c r="F602" t="e">
        <f ca="1">_xludf.IFNA(VLOOKUP(B602,'S-FG'!$B$3:$B1001,1,FALSE),"")</f>
        <v>#NAME?</v>
      </c>
      <c r="L602" t="str">
        <f t="shared" si="2"/>
        <v/>
      </c>
      <c r="Q602" t="str">
        <f>IF(N602="","",SUMIFS('PR-BOM'!$D$3:$D1001,'PR-BOM'!$C$3:$C1001,N602))</f>
        <v/>
      </c>
      <c r="Y602" t="str">
        <f>IF(X602="","",SUMIFS(Issue!$D$3:$D1001,Issue!$C$3:$C1001,X602))</f>
        <v/>
      </c>
    </row>
    <row r="603" spans="5:25">
      <c r="E603" t="str">
        <f>IF(A603="","",SUMIFS(Issue!$D$3:$D1001,Issue!$C$3:$C1001,A603)*C603)</f>
        <v/>
      </c>
      <c r="F603" t="e">
        <f ca="1">_xludf.IFNA(VLOOKUP(B603,'S-FG'!$B$3:$B1001,1,FALSE),"")</f>
        <v>#NAME?</v>
      </c>
      <c r="L603" t="str">
        <f t="shared" si="2"/>
        <v/>
      </c>
      <c r="Q603" t="str">
        <f>IF(N603="","",SUMIFS('PR-BOM'!$D$3:$D1001,'PR-BOM'!$C$3:$C1001,N603))</f>
        <v/>
      </c>
      <c r="Y603" t="str">
        <f>IF(X603="","",SUMIFS(Issue!$D$3:$D1001,Issue!$C$3:$C1001,X603))</f>
        <v/>
      </c>
    </row>
    <row r="604" spans="5:25">
      <c r="E604" t="str">
        <f>IF(A604="","",SUMIFS(Issue!$D$3:$D1001,Issue!$C$3:$C1001,A604)*C604)</f>
        <v/>
      </c>
      <c r="F604" t="e">
        <f ca="1">_xludf.IFNA(VLOOKUP(B604,'S-FG'!$B$3:$B1001,1,FALSE),"")</f>
        <v>#NAME?</v>
      </c>
      <c r="L604" t="str">
        <f t="shared" si="2"/>
        <v/>
      </c>
      <c r="Q604" t="str">
        <f>IF(N604="","",SUMIFS('PR-BOM'!$D$3:$D1001,'PR-BOM'!$C$3:$C1001,N604))</f>
        <v/>
      </c>
      <c r="Y604" t="str">
        <f>IF(X604="","",SUMIFS(Issue!$D$3:$D1001,Issue!$C$3:$C1001,X604))</f>
        <v/>
      </c>
    </row>
    <row r="605" spans="5:25">
      <c r="E605" t="str">
        <f>IF(A605="","",SUMIFS(Issue!$D$3:$D1001,Issue!$C$3:$C1001,A605)*C605)</f>
        <v/>
      </c>
      <c r="F605" t="e">
        <f ca="1">_xludf.IFNA(VLOOKUP(B605,'S-FG'!$B$3:$B1001,1,FALSE),"")</f>
        <v>#NAME?</v>
      </c>
      <c r="L605" t="str">
        <f t="shared" si="2"/>
        <v/>
      </c>
      <c r="Q605" t="str">
        <f>IF(N605="","",SUMIFS('PR-BOM'!$D$3:$D1001,'PR-BOM'!$C$3:$C1001,N605))</f>
        <v/>
      </c>
      <c r="Y605" t="str">
        <f>IF(X605="","",SUMIFS(Issue!$D$3:$D1001,Issue!$C$3:$C1001,X605))</f>
        <v/>
      </c>
    </row>
    <row r="606" spans="5:25">
      <c r="E606" t="str">
        <f>IF(A606="","",SUMIFS(Issue!$D$3:$D1001,Issue!$C$3:$C1001,A606)*C606)</f>
        <v/>
      </c>
      <c r="F606" t="e">
        <f ca="1">_xludf.IFNA(VLOOKUP(B606,'S-FG'!$B$3:$B1001,1,FALSE),"")</f>
        <v>#NAME?</v>
      </c>
      <c r="L606" t="str">
        <f t="shared" si="2"/>
        <v/>
      </c>
      <c r="Q606" t="str">
        <f>IF(N606="","",SUMIFS('PR-BOM'!$D$3:$D1001,'PR-BOM'!$C$3:$C1001,N606))</f>
        <v/>
      </c>
      <c r="Y606" t="str">
        <f>IF(X606="","",SUMIFS(Issue!$D$3:$D1001,Issue!$C$3:$C1001,X606))</f>
        <v/>
      </c>
    </row>
    <row r="607" spans="5:25">
      <c r="E607" t="str">
        <f>IF(A607="","",SUMIFS(Issue!$D$3:$D1001,Issue!$C$3:$C1001,A607)*C607)</f>
        <v/>
      </c>
      <c r="F607" t="e">
        <f ca="1">_xludf.IFNA(VLOOKUP(B607,'S-FG'!$B$3:$B1001,1,FALSE),"")</f>
        <v>#NAME?</v>
      </c>
      <c r="L607" t="str">
        <f t="shared" si="2"/>
        <v/>
      </c>
      <c r="Q607" t="str">
        <f>IF(N607="","",SUMIFS('PR-BOM'!$D$3:$D1001,'PR-BOM'!$C$3:$C1001,N607))</f>
        <v/>
      </c>
      <c r="Y607" t="str">
        <f>IF(X607="","",SUMIFS(Issue!$D$3:$D1001,Issue!$C$3:$C1001,X607))</f>
        <v/>
      </c>
    </row>
    <row r="608" spans="5:25">
      <c r="E608" t="str">
        <f>IF(A608="","",SUMIFS(Issue!$D$3:$D1001,Issue!$C$3:$C1001,A608)*C608)</f>
        <v/>
      </c>
      <c r="F608" t="e">
        <f ca="1">_xludf.IFNA(VLOOKUP(B608,'S-FG'!$B$3:$B1001,1,FALSE),"")</f>
        <v>#NAME?</v>
      </c>
      <c r="L608" t="str">
        <f t="shared" si="2"/>
        <v/>
      </c>
      <c r="Q608" t="str">
        <f>IF(N608="","",SUMIFS('PR-BOM'!$D$3:$D1001,'PR-BOM'!$C$3:$C1001,N608))</f>
        <v/>
      </c>
      <c r="Y608" t="str">
        <f>IF(X608="","",SUMIFS(Issue!$D$3:$D1001,Issue!$C$3:$C1001,X608))</f>
        <v/>
      </c>
    </row>
    <row r="609" spans="5:25">
      <c r="E609" t="str">
        <f>IF(A609="","",SUMIFS(Issue!$D$3:$D1001,Issue!$C$3:$C1001,A609)*C609)</f>
        <v/>
      </c>
      <c r="F609" t="e">
        <f ca="1">_xludf.IFNA(VLOOKUP(B609,'S-FG'!$B$3:$B1001,1,FALSE),"")</f>
        <v>#NAME?</v>
      </c>
      <c r="L609" t="str">
        <f t="shared" si="2"/>
        <v/>
      </c>
      <c r="Q609" t="str">
        <f>IF(N609="","",SUMIFS('PR-BOM'!$D$3:$D1001,'PR-BOM'!$C$3:$C1001,N609))</f>
        <v/>
      </c>
      <c r="Y609" t="str">
        <f>IF(X609="","",SUMIFS(Issue!$D$3:$D1001,Issue!$C$3:$C1001,X609))</f>
        <v/>
      </c>
    </row>
    <row r="610" spans="5:25">
      <c r="E610" t="str">
        <f>IF(A610="","",SUMIFS(Issue!$D$3:$D1001,Issue!$C$3:$C1001,A610)*C610)</f>
        <v/>
      </c>
      <c r="F610" t="e">
        <f ca="1">_xludf.IFNA(VLOOKUP(B610,'S-FG'!$B$3:$B1001,1,FALSE),"")</f>
        <v>#NAME?</v>
      </c>
      <c r="L610" t="str">
        <f t="shared" si="2"/>
        <v/>
      </c>
      <c r="Q610" t="str">
        <f>IF(N610="","",SUMIFS('PR-BOM'!$D$3:$D1001,'PR-BOM'!$C$3:$C1001,N610))</f>
        <v/>
      </c>
      <c r="Y610" t="str">
        <f>IF(X610="","",SUMIFS(Issue!$D$3:$D1001,Issue!$C$3:$C1001,X610))</f>
        <v/>
      </c>
    </row>
    <row r="611" spans="5:25">
      <c r="E611" t="str">
        <f>IF(A611="","",SUMIFS(Issue!$D$3:$D1001,Issue!$C$3:$C1001,A611)*C611)</f>
        <v/>
      </c>
      <c r="F611" t="e">
        <f ca="1">_xludf.IFNA(VLOOKUP(B611,'S-FG'!$B$3:$B1001,1,FALSE),"")</f>
        <v>#NAME?</v>
      </c>
      <c r="L611" t="str">
        <f t="shared" si="2"/>
        <v/>
      </c>
      <c r="Q611" t="str">
        <f>IF(N611="","",SUMIFS('PR-BOM'!$D$3:$D1001,'PR-BOM'!$C$3:$C1001,N611))</f>
        <v/>
      </c>
      <c r="Y611" t="str">
        <f>IF(X611="","",SUMIFS(Issue!$D$3:$D1001,Issue!$C$3:$C1001,X611))</f>
        <v/>
      </c>
    </row>
    <row r="612" spans="5:25">
      <c r="E612" t="str">
        <f>IF(A612="","",SUMIFS(Issue!$D$3:$D1001,Issue!$C$3:$C1001,A612)*C612)</f>
        <v/>
      </c>
      <c r="F612" t="e">
        <f ca="1">_xludf.IFNA(VLOOKUP(B612,'S-FG'!$B$3:$B1001,1,FALSE),"")</f>
        <v>#NAME?</v>
      </c>
      <c r="L612" t="str">
        <f t="shared" si="2"/>
        <v/>
      </c>
      <c r="Q612" t="str">
        <f>IF(N612="","",SUMIFS('PR-BOM'!$D$3:$D1001,'PR-BOM'!$C$3:$C1001,N612))</f>
        <v/>
      </c>
      <c r="Y612" t="str">
        <f>IF(X612="","",SUMIFS(Issue!$D$3:$D1001,Issue!$C$3:$C1001,X612))</f>
        <v/>
      </c>
    </row>
    <row r="613" spans="5:25">
      <c r="E613" t="str">
        <f>IF(A613="","",SUMIFS(Issue!$D$3:$D1001,Issue!$C$3:$C1001,A613)*C613)</f>
        <v/>
      </c>
      <c r="F613" t="e">
        <f ca="1">_xludf.IFNA(VLOOKUP(B613,'S-FG'!$B$3:$B1001,1,FALSE),"")</f>
        <v>#NAME?</v>
      </c>
      <c r="L613" t="str">
        <f t="shared" si="2"/>
        <v/>
      </c>
      <c r="Q613" t="str">
        <f>IF(N613="","",SUMIFS('PR-BOM'!$D$3:$D1001,'PR-BOM'!$C$3:$C1001,N613))</f>
        <v/>
      </c>
      <c r="Y613" t="str">
        <f>IF(X613="","",SUMIFS(Issue!$D$3:$D1001,Issue!$C$3:$C1001,X613))</f>
        <v/>
      </c>
    </row>
    <row r="614" spans="5:25">
      <c r="E614" t="str">
        <f>IF(A614="","",SUMIFS(Issue!$D$3:$D1001,Issue!$C$3:$C1001,A614)*C614)</f>
        <v/>
      </c>
      <c r="F614" t="e">
        <f ca="1">_xludf.IFNA(VLOOKUP(B614,'S-FG'!$B$3:$B1001,1,FALSE),"")</f>
        <v>#NAME?</v>
      </c>
      <c r="L614" t="str">
        <f t="shared" si="2"/>
        <v/>
      </c>
      <c r="Q614" t="str">
        <f>IF(N614="","",SUMIFS('PR-BOM'!$D$3:$D1001,'PR-BOM'!$C$3:$C1001,N614))</f>
        <v/>
      </c>
      <c r="Y614" t="str">
        <f>IF(X614="","",SUMIFS(Issue!$D$3:$D1001,Issue!$C$3:$C1001,X614))</f>
        <v/>
      </c>
    </row>
    <row r="615" spans="5:25">
      <c r="E615" t="str">
        <f>IF(A615="","",SUMIFS(Issue!$D$3:$D1001,Issue!$C$3:$C1001,A615)*C615)</f>
        <v/>
      </c>
      <c r="F615" t="e">
        <f ca="1">_xludf.IFNA(VLOOKUP(B615,'S-FG'!$B$3:$B1001,1,FALSE),"")</f>
        <v>#NAME?</v>
      </c>
      <c r="L615" t="str">
        <f t="shared" si="2"/>
        <v/>
      </c>
      <c r="Q615" t="str">
        <f>IF(N615="","",SUMIFS('PR-BOM'!$D$3:$D1001,'PR-BOM'!$C$3:$C1001,N615))</f>
        <v/>
      </c>
      <c r="Y615" t="str">
        <f>IF(X615="","",SUMIFS(Issue!$D$3:$D1001,Issue!$C$3:$C1001,X615))</f>
        <v/>
      </c>
    </row>
    <row r="616" spans="5:25">
      <c r="E616" t="str">
        <f>IF(A616="","",SUMIFS(Issue!$D$3:$D1001,Issue!$C$3:$C1001,A616)*C616)</f>
        <v/>
      </c>
      <c r="F616" t="e">
        <f ca="1">_xludf.IFNA(VLOOKUP(B616,'S-FG'!$B$3:$B1001,1,FALSE),"")</f>
        <v>#NAME?</v>
      </c>
      <c r="L616" t="str">
        <f t="shared" si="2"/>
        <v/>
      </c>
      <c r="Q616" t="str">
        <f>IF(N616="","",SUMIFS('PR-BOM'!$D$3:$D1001,'PR-BOM'!$C$3:$C1001,N616))</f>
        <v/>
      </c>
      <c r="Y616" t="str">
        <f>IF(X616="","",SUMIFS(Issue!$D$3:$D1001,Issue!$C$3:$C1001,X616))</f>
        <v/>
      </c>
    </row>
    <row r="617" spans="5:25">
      <c r="E617" t="str">
        <f>IF(A617="","",SUMIFS(Issue!$D$3:$D1001,Issue!$C$3:$C1001,A617)*C617)</f>
        <v/>
      </c>
      <c r="F617" t="e">
        <f ca="1">_xludf.IFNA(VLOOKUP(B617,'S-FG'!$B$3:$B1001,1,FALSE),"")</f>
        <v>#NAME?</v>
      </c>
      <c r="L617" t="str">
        <f t="shared" si="2"/>
        <v/>
      </c>
      <c r="Q617" t="str">
        <f>IF(N617="","",SUMIFS('PR-BOM'!$D$3:$D1001,'PR-BOM'!$C$3:$C1001,N617))</f>
        <v/>
      </c>
      <c r="Y617" t="str">
        <f>IF(X617="","",SUMIFS(Issue!$D$3:$D1001,Issue!$C$3:$C1001,X617))</f>
        <v/>
      </c>
    </row>
    <row r="618" spans="5:25">
      <c r="E618" t="str">
        <f>IF(A618="","",SUMIFS(Issue!$D$3:$D1001,Issue!$C$3:$C1001,A618)*C618)</f>
        <v/>
      </c>
      <c r="F618" t="e">
        <f ca="1">_xludf.IFNA(VLOOKUP(B618,'S-FG'!$B$3:$B1001,1,FALSE),"")</f>
        <v>#NAME?</v>
      </c>
      <c r="L618" t="str">
        <f t="shared" si="2"/>
        <v/>
      </c>
      <c r="Q618" t="str">
        <f>IF(N618="","",SUMIFS('PR-BOM'!$D$3:$D1001,'PR-BOM'!$C$3:$C1001,N618))</f>
        <v/>
      </c>
      <c r="Y618" t="str">
        <f>IF(X618="","",SUMIFS(Issue!$D$3:$D1001,Issue!$C$3:$C1001,X618))</f>
        <v/>
      </c>
    </row>
    <row r="619" spans="5:25">
      <c r="E619" t="str">
        <f>IF(A619="","",SUMIFS(Issue!$D$3:$D1001,Issue!$C$3:$C1001,A619)*C619)</f>
        <v/>
      </c>
      <c r="F619" t="e">
        <f ca="1">_xludf.IFNA(VLOOKUP(B619,'S-FG'!$B$3:$B1001,1,FALSE),"")</f>
        <v>#NAME?</v>
      </c>
      <c r="L619" t="str">
        <f t="shared" si="2"/>
        <v/>
      </c>
      <c r="Q619" t="str">
        <f>IF(N619="","",SUMIFS('PR-BOM'!$D$3:$D1001,'PR-BOM'!$C$3:$C1001,N619))</f>
        <v/>
      </c>
      <c r="Y619" t="str">
        <f>IF(X619="","",SUMIFS(Issue!$D$3:$D1001,Issue!$C$3:$C1001,X619))</f>
        <v/>
      </c>
    </row>
    <row r="620" spans="5:25">
      <c r="E620" t="str">
        <f>IF(A620="","",SUMIFS(Issue!$D$3:$D1001,Issue!$C$3:$C1001,A620)*C620)</f>
        <v/>
      </c>
      <c r="F620" t="e">
        <f ca="1">_xludf.IFNA(VLOOKUP(B620,'S-FG'!$B$3:$B1001,1,FALSE),"")</f>
        <v>#NAME?</v>
      </c>
      <c r="L620" t="str">
        <f t="shared" si="2"/>
        <v/>
      </c>
      <c r="Q620" t="str">
        <f>IF(N620="","",SUMIFS('PR-BOM'!$D$3:$D1001,'PR-BOM'!$C$3:$C1001,N620))</f>
        <v/>
      </c>
      <c r="Y620" t="str">
        <f>IF(X620="","",SUMIFS(Issue!$D$3:$D1001,Issue!$C$3:$C1001,X620))</f>
        <v/>
      </c>
    </row>
    <row r="621" spans="5:25">
      <c r="E621" t="str">
        <f>IF(A621="","",SUMIFS(Issue!$D$3:$D1001,Issue!$C$3:$C1001,A621)*C621)</f>
        <v/>
      </c>
      <c r="F621" t="e">
        <f ca="1">_xludf.IFNA(VLOOKUP(B621,'S-FG'!$B$3:$B1001,1,FALSE),"")</f>
        <v>#NAME?</v>
      </c>
      <c r="L621" t="str">
        <f t="shared" si="2"/>
        <v/>
      </c>
      <c r="Q621" t="str">
        <f>IF(N621="","",SUMIFS('PR-BOM'!$D$3:$D1001,'PR-BOM'!$C$3:$C1001,N621))</f>
        <v/>
      </c>
      <c r="Y621" t="str">
        <f>IF(X621="","",SUMIFS(Issue!$D$3:$D1001,Issue!$C$3:$C1001,X621))</f>
        <v/>
      </c>
    </row>
    <row r="622" spans="5:25">
      <c r="E622" t="str">
        <f>IF(A622="","",SUMIFS(Issue!$D$3:$D1001,Issue!$C$3:$C1001,A622)*C622)</f>
        <v/>
      </c>
      <c r="F622" t="e">
        <f ca="1">_xludf.IFNA(VLOOKUP(B622,'S-FG'!$B$3:$B1001,1,FALSE),"")</f>
        <v>#NAME?</v>
      </c>
      <c r="L622" t="str">
        <f t="shared" si="2"/>
        <v/>
      </c>
      <c r="Q622" t="str">
        <f>IF(N622="","",SUMIFS('PR-BOM'!$D$3:$D1001,'PR-BOM'!$C$3:$C1001,N622))</f>
        <v/>
      </c>
      <c r="Y622" t="str">
        <f>IF(X622="","",SUMIFS(Issue!$D$3:$D1001,Issue!$C$3:$C1001,X622))</f>
        <v/>
      </c>
    </row>
    <row r="623" spans="5:25">
      <c r="E623" t="str">
        <f>IF(A623="","",SUMIFS(Issue!$D$3:$D1001,Issue!$C$3:$C1001,A623)*C623)</f>
        <v/>
      </c>
      <c r="F623" t="e">
        <f ca="1">_xludf.IFNA(VLOOKUP(B623,'S-FG'!$B$3:$B1001,1,FALSE),"")</f>
        <v>#NAME?</v>
      </c>
      <c r="L623" t="str">
        <f t="shared" si="2"/>
        <v/>
      </c>
      <c r="Q623" t="str">
        <f>IF(N623="","",SUMIFS('PR-BOM'!$D$3:$D1001,'PR-BOM'!$C$3:$C1001,N623))</f>
        <v/>
      </c>
      <c r="Y623" t="str">
        <f>IF(X623="","",SUMIFS(Issue!$D$3:$D1001,Issue!$C$3:$C1001,X623))</f>
        <v/>
      </c>
    </row>
    <row r="624" spans="5:25">
      <c r="E624" t="str">
        <f>IF(A624="","",SUMIFS(Issue!$D$3:$D1001,Issue!$C$3:$C1001,A624)*C624)</f>
        <v/>
      </c>
      <c r="F624" t="e">
        <f ca="1">_xludf.IFNA(VLOOKUP(B624,'S-FG'!$B$3:$B1001,1,FALSE),"")</f>
        <v>#NAME?</v>
      </c>
      <c r="L624" t="str">
        <f t="shared" si="2"/>
        <v/>
      </c>
      <c r="Q624" t="str">
        <f>IF(N624="","",SUMIFS('PR-BOM'!$D$3:$D1001,'PR-BOM'!$C$3:$C1001,N624))</f>
        <v/>
      </c>
      <c r="Y624" t="str">
        <f>IF(X624="","",SUMIFS(Issue!$D$3:$D1001,Issue!$C$3:$C1001,X624))</f>
        <v/>
      </c>
    </row>
    <row r="625" spans="5:25">
      <c r="E625" t="str">
        <f>IF(A625="","",SUMIFS(Issue!$D$3:$D1001,Issue!$C$3:$C1001,A625)*C625)</f>
        <v/>
      </c>
      <c r="F625" t="e">
        <f ca="1">_xludf.IFNA(VLOOKUP(B625,'S-FG'!$B$3:$B1001,1,FALSE),"")</f>
        <v>#NAME?</v>
      </c>
      <c r="L625" t="str">
        <f t="shared" si="2"/>
        <v/>
      </c>
      <c r="Q625" t="str">
        <f>IF(N625="","",SUMIFS('PR-BOM'!$D$3:$D1001,'PR-BOM'!$C$3:$C1001,N625))</f>
        <v/>
      </c>
      <c r="Y625" t="str">
        <f>IF(X625="","",SUMIFS(Issue!$D$3:$D1001,Issue!$C$3:$C1001,X625))</f>
        <v/>
      </c>
    </row>
    <row r="626" spans="5:25">
      <c r="E626" t="str">
        <f>IF(A626="","",SUMIFS(Issue!$D$3:$D1001,Issue!$C$3:$C1001,A626)*C626)</f>
        <v/>
      </c>
      <c r="F626" t="e">
        <f ca="1">_xludf.IFNA(VLOOKUP(B626,'S-FG'!$B$3:$B1001,1,FALSE),"")</f>
        <v>#NAME?</v>
      </c>
      <c r="L626" t="str">
        <f t="shared" si="2"/>
        <v/>
      </c>
      <c r="Q626" t="str">
        <f>IF(N626="","",SUMIFS('PR-BOM'!$D$3:$D1001,'PR-BOM'!$C$3:$C1001,N626))</f>
        <v/>
      </c>
      <c r="Y626" t="str">
        <f>IF(X626="","",SUMIFS(Issue!$D$3:$D1001,Issue!$C$3:$C1001,X626))</f>
        <v/>
      </c>
    </row>
    <row r="627" spans="5:25">
      <c r="E627" t="str">
        <f>IF(A627="","",SUMIFS(Issue!$D$3:$D1001,Issue!$C$3:$C1001,A627)*C627)</f>
        <v/>
      </c>
      <c r="F627" t="e">
        <f ca="1">_xludf.IFNA(VLOOKUP(B627,'S-FG'!$B$3:$B1001,1,FALSE),"")</f>
        <v>#NAME?</v>
      </c>
      <c r="L627" t="str">
        <f t="shared" si="2"/>
        <v/>
      </c>
      <c r="Q627" t="str">
        <f>IF(N627="","",SUMIFS('PR-BOM'!$D$3:$D1001,'PR-BOM'!$C$3:$C1001,N627))</f>
        <v/>
      </c>
      <c r="Y627" t="str">
        <f>IF(X627="","",SUMIFS(Issue!$D$3:$D1001,Issue!$C$3:$C1001,X627))</f>
        <v/>
      </c>
    </row>
    <row r="628" spans="5:25">
      <c r="E628" t="str">
        <f>IF(A628="","",SUMIFS(Issue!$D$3:$D1001,Issue!$C$3:$C1001,A628)*C628)</f>
        <v/>
      </c>
      <c r="F628" t="e">
        <f ca="1">_xludf.IFNA(VLOOKUP(B628,'S-FG'!$B$3:$B1001,1,FALSE),"")</f>
        <v>#NAME?</v>
      </c>
      <c r="L628" t="str">
        <f t="shared" si="2"/>
        <v/>
      </c>
      <c r="Q628" t="str">
        <f>IF(N628="","",SUMIFS('PR-BOM'!$D$3:$D1001,'PR-BOM'!$C$3:$C1001,N628))</f>
        <v/>
      </c>
      <c r="Y628" t="str">
        <f>IF(X628="","",SUMIFS(Issue!$D$3:$D1001,Issue!$C$3:$C1001,X628))</f>
        <v/>
      </c>
    </row>
    <row r="629" spans="5:25">
      <c r="E629" t="str">
        <f>IF(A629="","",SUMIFS(Issue!$D$3:$D1001,Issue!$C$3:$C1001,A629)*C629)</f>
        <v/>
      </c>
      <c r="F629" t="e">
        <f ca="1">_xludf.IFNA(VLOOKUP(B629,'S-FG'!$B$3:$B1001,1,FALSE),"")</f>
        <v>#NAME?</v>
      </c>
      <c r="L629" t="str">
        <f t="shared" si="2"/>
        <v/>
      </c>
      <c r="Q629" t="str">
        <f>IF(N629="","",SUMIFS('PR-BOM'!$D$3:$D1001,'PR-BOM'!$C$3:$C1001,N629))</f>
        <v/>
      </c>
      <c r="Y629" t="str">
        <f>IF(X629="","",SUMIFS(Issue!$D$3:$D1001,Issue!$C$3:$C1001,X629))</f>
        <v/>
      </c>
    </row>
    <row r="630" spans="5:25">
      <c r="E630" t="str">
        <f>IF(A630="","",SUMIFS(Issue!$D$3:$D1001,Issue!$C$3:$C1001,A630)*C630)</f>
        <v/>
      </c>
      <c r="F630" t="e">
        <f ca="1">_xludf.IFNA(VLOOKUP(B630,'S-FG'!$B$3:$B1001,1,FALSE),"")</f>
        <v>#NAME?</v>
      </c>
      <c r="L630" t="str">
        <f t="shared" si="2"/>
        <v/>
      </c>
      <c r="Q630" t="str">
        <f>IF(N630="","",SUMIFS('PR-BOM'!$D$3:$D1001,'PR-BOM'!$C$3:$C1001,N630))</f>
        <v/>
      </c>
      <c r="Y630" t="str">
        <f>IF(X630="","",SUMIFS(Issue!$D$3:$D1001,Issue!$C$3:$C1001,X630))</f>
        <v/>
      </c>
    </row>
    <row r="631" spans="5:25">
      <c r="E631" t="str">
        <f>IF(A631="","",SUMIFS(Issue!$D$3:$D1001,Issue!$C$3:$C1001,A631)*C631)</f>
        <v/>
      </c>
      <c r="F631" t="e">
        <f ca="1">_xludf.IFNA(VLOOKUP(B631,'S-FG'!$B$3:$B1001,1,FALSE),"")</f>
        <v>#NAME?</v>
      </c>
      <c r="L631" t="str">
        <f t="shared" si="2"/>
        <v/>
      </c>
      <c r="Q631" t="str">
        <f>IF(N631="","",SUMIFS('PR-BOM'!$D$3:$D1001,'PR-BOM'!$C$3:$C1001,N631))</f>
        <v/>
      </c>
      <c r="Y631" t="str">
        <f>IF(X631="","",SUMIFS(Issue!$D$3:$D1001,Issue!$C$3:$C1001,X631))</f>
        <v/>
      </c>
    </row>
    <row r="632" spans="5:25">
      <c r="E632" t="str">
        <f>IF(A632="","",SUMIFS(Issue!$D$3:$D1001,Issue!$C$3:$C1001,A632)*C632)</f>
        <v/>
      </c>
      <c r="F632" t="e">
        <f ca="1">_xludf.IFNA(VLOOKUP(B632,'S-FG'!$B$3:$B1001,1,FALSE),"")</f>
        <v>#NAME?</v>
      </c>
      <c r="L632" t="str">
        <f t="shared" si="2"/>
        <v/>
      </c>
      <c r="Q632" t="str">
        <f>IF(N632="","",SUMIFS('PR-BOM'!$D$3:$D1001,'PR-BOM'!$C$3:$C1001,N632))</f>
        <v/>
      </c>
      <c r="Y632" t="str">
        <f>IF(X632="","",SUMIFS(Issue!$D$3:$D1001,Issue!$C$3:$C1001,X632))</f>
        <v/>
      </c>
    </row>
    <row r="633" spans="5:25">
      <c r="E633" t="str">
        <f>IF(A633="","",SUMIFS(Issue!$D$3:$D1001,Issue!$C$3:$C1001,A633)*C633)</f>
        <v/>
      </c>
      <c r="F633" t="e">
        <f ca="1">_xludf.IFNA(VLOOKUP(B633,'S-FG'!$B$3:$B1001,1,FALSE),"")</f>
        <v>#NAME?</v>
      </c>
      <c r="L633" t="str">
        <f t="shared" si="2"/>
        <v/>
      </c>
      <c r="Q633" t="str">
        <f>IF(N633="","",SUMIFS('PR-BOM'!$D$3:$D1001,'PR-BOM'!$C$3:$C1001,N633))</f>
        <v/>
      </c>
      <c r="Y633" t="str">
        <f>IF(X633="","",SUMIFS(Issue!$D$3:$D1001,Issue!$C$3:$C1001,X633))</f>
        <v/>
      </c>
    </row>
    <row r="634" spans="5:25">
      <c r="E634" t="str">
        <f>IF(A634="","",SUMIFS(Issue!$D$3:$D1001,Issue!$C$3:$C1001,A634)*C634)</f>
        <v/>
      </c>
      <c r="F634" t="e">
        <f ca="1">_xludf.IFNA(VLOOKUP(B634,'S-FG'!$B$3:$B1001,1,FALSE),"")</f>
        <v>#NAME?</v>
      </c>
      <c r="L634" t="str">
        <f t="shared" si="2"/>
        <v/>
      </c>
      <c r="Q634" t="str">
        <f>IF(N634="","",SUMIFS('PR-BOM'!$D$3:$D1001,'PR-BOM'!$C$3:$C1001,N634))</f>
        <v/>
      </c>
      <c r="Y634" t="str">
        <f>IF(X634="","",SUMIFS(Issue!$D$3:$D1001,Issue!$C$3:$C1001,X634))</f>
        <v/>
      </c>
    </row>
    <row r="635" spans="5:25">
      <c r="E635" t="str">
        <f>IF(A635="","",SUMIFS(Issue!$D$3:$D1001,Issue!$C$3:$C1001,A635)*C635)</f>
        <v/>
      </c>
      <c r="F635" t="e">
        <f ca="1">_xludf.IFNA(VLOOKUP(B635,'S-FG'!$B$3:$B1001,1,FALSE),"")</f>
        <v>#NAME?</v>
      </c>
      <c r="L635" t="str">
        <f t="shared" si="2"/>
        <v/>
      </c>
      <c r="Q635" t="str">
        <f>IF(N635="","",SUMIFS('PR-BOM'!$D$3:$D1001,'PR-BOM'!$C$3:$C1001,N635))</f>
        <v/>
      </c>
      <c r="Y635" t="str">
        <f>IF(X635="","",SUMIFS(Issue!$D$3:$D1001,Issue!$C$3:$C1001,X635))</f>
        <v/>
      </c>
    </row>
    <row r="636" spans="5:25">
      <c r="E636" t="str">
        <f>IF(A636="","",SUMIFS(Issue!$D$3:$D1001,Issue!$C$3:$C1001,A636)*C636)</f>
        <v/>
      </c>
      <c r="F636" t="e">
        <f ca="1">_xludf.IFNA(VLOOKUP(B636,'S-FG'!$B$3:$B1001,1,FALSE),"")</f>
        <v>#NAME?</v>
      </c>
      <c r="L636" t="str">
        <f t="shared" si="2"/>
        <v/>
      </c>
      <c r="Q636" t="str">
        <f>IF(N636="","",SUMIFS('PR-BOM'!$D$3:$D1001,'PR-BOM'!$C$3:$C1001,N636))</f>
        <v/>
      </c>
      <c r="Y636" t="str">
        <f>IF(X636="","",SUMIFS(Issue!$D$3:$D1001,Issue!$C$3:$C1001,X636))</f>
        <v/>
      </c>
    </row>
    <row r="637" spans="5:25">
      <c r="E637" t="str">
        <f>IF(A637="","",SUMIFS(Issue!$D$3:$D1001,Issue!$C$3:$C1001,A637)*C637)</f>
        <v/>
      </c>
      <c r="F637" t="e">
        <f ca="1">_xludf.IFNA(VLOOKUP(B637,'S-FG'!$B$3:$B1001,1,FALSE),"")</f>
        <v>#NAME?</v>
      </c>
      <c r="L637" t="str">
        <f t="shared" si="2"/>
        <v/>
      </c>
      <c r="Q637" t="str">
        <f>IF(N637="","",SUMIFS('PR-BOM'!$D$3:$D1001,'PR-BOM'!$C$3:$C1001,N637))</f>
        <v/>
      </c>
      <c r="Y637" t="str">
        <f>IF(X637="","",SUMIFS(Issue!$D$3:$D1001,Issue!$C$3:$C1001,X637))</f>
        <v/>
      </c>
    </row>
    <row r="638" spans="5:25">
      <c r="E638" t="str">
        <f>IF(A638="","",SUMIFS(Issue!$D$3:$D1001,Issue!$C$3:$C1001,A638)*C638)</f>
        <v/>
      </c>
      <c r="F638" t="e">
        <f ca="1">_xludf.IFNA(VLOOKUP(B638,'S-FG'!$B$3:$B1001,1,FALSE),"")</f>
        <v>#NAME?</v>
      </c>
      <c r="L638" t="str">
        <f t="shared" si="2"/>
        <v/>
      </c>
      <c r="Q638" t="str">
        <f>IF(N638="","",SUMIFS('PR-BOM'!$D$3:$D1001,'PR-BOM'!$C$3:$C1001,N638))</f>
        <v/>
      </c>
      <c r="Y638" t="str">
        <f>IF(X638="","",SUMIFS(Issue!$D$3:$D1001,Issue!$C$3:$C1001,X638))</f>
        <v/>
      </c>
    </row>
    <row r="639" spans="5:25">
      <c r="E639" t="str">
        <f>IF(A639="","",SUMIFS(Issue!$D$3:$D1001,Issue!$C$3:$C1001,A639)*C639)</f>
        <v/>
      </c>
      <c r="F639" t="e">
        <f ca="1">_xludf.IFNA(VLOOKUP(B639,'S-FG'!$B$3:$B1001,1,FALSE),"")</f>
        <v>#NAME?</v>
      </c>
      <c r="L639" t="str">
        <f t="shared" si="2"/>
        <v/>
      </c>
      <c r="Q639" t="str">
        <f>IF(N639="","",SUMIFS('PR-BOM'!$D$3:$D1001,'PR-BOM'!$C$3:$C1001,N639))</f>
        <v/>
      </c>
      <c r="Y639" t="str">
        <f>IF(X639="","",SUMIFS(Issue!$D$3:$D1001,Issue!$C$3:$C1001,X639))</f>
        <v/>
      </c>
    </row>
    <row r="640" spans="5:25">
      <c r="E640" t="str">
        <f>IF(A640="","",SUMIFS(Issue!$D$3:$D1001,Issue!$C$3:$C1001,A640)*C640)</f>
        <v/>
      </c>
      <c r="F640" t="e">
        <f ca="1">_xludf.IFNA(VLOOKUP(B640,'S-FG'!$B$3:$B1001,1,FALSE),"")</f>
        <v>#NAME?</v>
      </c>
      <c r="L640" t="str">
        <f t="shared" si="2"/>
        <v/>
      </c>
      <c r="Q640" t="str">
        <f>IF(N640="","",SUMIFS('PR-BOM'!$D$3:$D1001,'PR-BOM'!$C$3:$C1001,N640))</f>
        <v/>
      </c>
      <c r="Y640" t="str">
        <f>IF(X640="","",SUMIFS(Issue!$D$3:$D1001,Issue!$C$3:$C1001,X640))</f>
        <v/>
      </c>
    </row>
    <row r="641" spans="5:25">
      <c r="E641" t="str">
        <f>IF(A641="","",SUMIFS(Issue!$D$3:$D1001,Issue!$C$3:$C1001,A641)*C641)</f>
        <v/>
      </c>
      <c r="F641" t="e">
        <f ca="1">_xludf.IFNA(VLOOKUP(B641,'S-FG'!$B$3:$B1001,1,FALSE),"")</f>
        <v>#NAME?</v>
      </c>
      <c r="L641" t="str">
        <f t="shared" si="2"/>
        <v/>
      </c>
      <c r="Q641" t="str">
        <f>IF(N641="","",SUMIFS('PR-BOM'!$D$3:$D1001,'PR-BOM'!$C$3:$C1001,N641))</f>
        <v/>
      </c>
      <c r="Y641" t="str">
        <f>IF(X641="","",SUMIFS(Issue!$D$3:$D1001,Issue!$C$3:$C1001,X641))</f>
        <v/>
      </c>
    </row>
    <row r="642" spans="5:25">
      <c r="E642" t="str">
        <f>IF(A642="","",SUMIFS(Issue!$D$3:$D1001,Issue!$C$3:$C1001,A642)*C642)</f>
        <v/>
      </c>
      <c r="F642" t="e">
        <f ca="1">_xludf.IFNA(VLOOKUP(B642,'S-FG'!$B$3:$B1001,1,FALSE),"")</f>
        <v>#NAME?</v>
      </c>
      <c r="L642" t="str">
        <f t="shared" si="2"/>
        <v/>
      </c>
      <c r="Q642" t="str">
        <f>IF(N642="","",SUMIFS('PR-BOM'!$D$3:$D1001,'PR-BOM'!$C$3:$C1001,N642))</f>
        <v/>
      </c>
      <c r="Y642" t="str">
        <f>IF(X642="","",SUMIFS(Issue!$D$3:$D1001,Issue!$C$3:$C1001,X642))</f>
        <v/>
      </c>
    </row>
    <row r="643" spans="5:25">
      <c r="E643" t="str">
        <f>IF(A643="","",SUMIFS(Issue!$D$3:$D1001,Issue!$C$3:$C1001,A643)*C643)</f>
        <v/>
      </c>
      <c r="F643" t="e">
        <f ca="1">_xludf.IFNA(VLOOKUP(B643,'S-FG'!$B$3:$B1001,1,FALSE),"")</f>
        <v>#NAME?</v>
      </c>
      <c r="L643" t="str">
        <f t="shared" si="2"/>
        <v/>
      </c>
      <c r="Q643" t="str">
        <f>IF(N643="","",SUMIFS('PR-BOM'!$D$3:$D1001,'PR-BOM'!$C$3:$C1001,N643))</f>
        <v/>
      </c>
      <c r="Y643" t="str">
        <f>IF(X643="","",SUMIFS(Issue!$D$3:$D1001,Issue!$C$3:$C1001,X643))</f>
        <v/>
      </c>
    </row>
    <row r="644" spans="5:25">
      <c r="E644" t="str">
        <f>IF(A644="","",SUMIFS(Issue!$D$3:$D1001,Issue!$C$3:$C1001,A644)*C644)</f>
        <v/>
      </c>
      <c r="F644" t="e">
        <f ca="1">_xludf.IFNA(VLOOKUP(B644,'S-FG'!$B$3:$B1001,1,FALSE),"")</f>
        <v>#NAME?</v>
      </c>
      <c r="L644" t="str">
        <f t="shared" si="2"/>
        <v/>
      </c>
      <c r="Q644" t="str">
        <f>IF(N644="","",SUMIFS('PR-BOM'!$D$3:$D1001,'PR-BOM'!$C$3:$C1001,N644))</f>
        <v/>
      </c>
      <c r="Y644" t="str">
        <f>IF(X644="","",SUMIFS(Issue!$D$3:$D1001,Issue!$C$3:$C1001,X644))</f>
        <v/>
      </c>
    </row>
    <row r="645" spans="5:25">
      <c r="E645" t="str">
        <f>IF(A645="","",SUMIFS(Issue!$D$3:$D1001,Issue!$C$3:$C1001,A645)*C645)</f>
        <v/>
      </c>
      <c r="F645" t="e">
        <f ca="1">_xludf.IFNA(VLOOKUP(B645,'S-FG'!$B$3:$B1001,1,FALSE),"")</f>
        <v>#NAME?</v>
      </c>
      <c r="L645" t="str">
        <f t="shared" si="2"/>
        <v/>
      </c>
      <c r="Q645" t="str">
        <f>IF(N645="","",SUMIFS('PR-BOM'!$D$3:$D1001,'PR-BOM'!$C$3:$C1001,N645))</f>
        <v/>
      </c>
      <c r="Y645" t="str">
        <f>IF(X645="","",SUMIFS(Issue!$D$3:$D1001,Issue!$C$3:$C1001,X645))</f>
        <v/>
      </c>
    </row>
    <row r="646" spans="5:25">
      <c r="E646" t="str">
        <f>IF(A646="","",SUMIFS(Issue!$D$3:$D1001,Issue!$C$3:$C1001,A646)*C646)</f>
        <v/>
      </c>
      <c r="F646" t="e">
        <f ca="1">_xludf.IFNA(VLOOKUP(B646,'S-FG'!$B$3:$B1001,1,FALSE),"")</f>
        <v>#NAME?</v>
      </c>
      <c r="L646" t="str">
        <f t="shared" si="2"/>
        <v/>
      </c>
      <c r="Q646" t="str">
        <f>IF(N646="","",SUMIFS('PR-BOM'!$D$3:$D1001,'PR-BOM'!$C$3:$C1001,N646))</f>
        <v/>
      </c>
      <c r="Y646" t="str">
        <f>IF(X646="","",SUMIFS(Issue!$D$3:$D1001,Issue!$C$3:$C1001,X646))</f>
        <v/>
      </c>
    </row>
    <row r="647" spans="5:25">
      <c r="E647" t="str">
        <f>IF(A647="","",SUMIFS(Issue!$D$3:$D1001,Issue!$C$3:$C1001,A647)*C647)</f>
        <v/>
      </c>
      <c r="F647" t="e">
        <f ca="1">_xludf.IFNA(VLOOKUP(B647,'S-FG'!$B$3:$B1001,1,FALSE),"")</f>
        <v>#NAME?</v>
      </c>
      <c r="L647" t="str">
        <f t="shared" si="2"/>
        <v/>
      </c>
      <c r="Q647" t="str">
        <f>IF(N647="","",SUMIFS('PR-BOM'!$D$3:$D1001,'PR-BOM'!$C$3:$C1001,N647))</f>
        <v/>
      </c>
      <c r="Y647" t="str">
        <f>IF(X647="","",SUMIFS(Issue!$D$3:$D1001,Issue!$C$3:$C1001,X647))</f>
        <v/>
      </c>
    </row>
    <row r="648" spans="5:25">
      <c r="E648" t="str">
        <f>IF(A648="","",SUMIFS(Issue!$D$3:$D1001,Issue!$C$3:$C1001,A648)*C648)</f>
        <v/>
      </c>
      <c r="F648" t="e">
        <f ca="1">_xludf.IFNA(VLOOKUP(B648,'S-FG'!$B$3:$B1001,1,FALSE),"")</f>
        <v>#NAME?</v>
      </c>
      <c r="L648" t="str">
        <f t="shared" si="2"/>
        <v/>
      </c>
      <c r="Q648" t="str">
        <f>IF(N648="","",SUMIFS('PR-BOM'!$D$3:$D1001,'PR-BOM'!$C$3:$C1001,N648))</f>
        <v/>
      </c>
      <c r="Y648" t="str">
        <f>IF(X648="","",SUMIFS(Issue!$D$3:$D1001,Issue!$C$3:$C1001,X648))</f>
        <v/>
      </c>
    </row>
    <row r="649" spans="5:25">
      <c r="E649" t="str">
        <f>IF(A649="","",SUMIFS(Issue!$D$3:$D1001,Issue!$C$3:$C1001,A649)*C649)</f>
        <v/>
      </c>
      <c r="F649" t="e">
        <f ca="1">_xludf.IFNA(VLOOKUP(B649,'S-FG'!$B$3:$B1001,1,FALSE),"")</f>
        <v>#NAME?</v>
      </c>
      <c r="L649" t="str">
        <f t="shared" si="2"/>
        <v/>
      </c>
      <c r="Q649" t="str">
        <f>IF(N649="","",SUMIFS('PR-BOM'!$D$3:$D1001,'PR-BOM'!$C$3:$C1001,N649))</f>
        <v/>
      </c>
      <c r="Y649" t="str">
        <f>IF(X649="","",SUMIFS(Issue!$D$3:$D1001,Issue!$C$3:$C1001,X649))</f>
        <v/>
      </c>
    </row>
    <row r="650" spans="5:25">
      <c r="E650" t="str">
        <f>IF(A650="","",SUMIFS(Issue!$D$3:$D1001,Issue!$C$3:$C1001,A650)*C650)</f>
        <v/>
      </c>
      <c r="F650" t="e">
        <f ca="1">_xludf.IFNA(VLOOKUP(B650,'S-FG'!$B$3:$B1001,1,FALSE),"")</f>
        <v>#NAME?</v>
      </c>
      <c r="L650" t="str">
        <f t="shared" si="2"/>
        <v/>
      </c>
      <c r="Q650" t="str">
        <f>IF(N650="","",SUMIFS('PR-BOM'!$D$3:$D1001,'PR-BOM'!$C$3:$C1001,N650))</f>
        <v/>
      </c>
      <c r="Y650" t="str">
        <f>IF(X650="","",SUMIFS(Issue!$D$3:$D1001,Issue!$C$3:$C1001,X650))</f>
        <v/>
      </c>
    </row>
    <row r="651" spans="5:25">
      <c r="E651" t="str">
        <f>IF(A651="","",SUMIFS(Issue!$D$3:$D1001,Issue!$C$3:$C1001,A651)*C651)</f>
        <v/>
      </c>
      <c r="F651" t="e">
        <f ca="1">_xludf.IFNA(VLOOKUP(B651,'S-FG'!$B$3:$B1001,1,FALSE),"")</f>
        <v>#NAME?</v>
      </c>
      <c r="L651" t="str">
        <f t="shared" si="2"/>
        <v/>
      </c>
      <c r="Q651" t="str">
        <f>IF(N651="","",SUMIFS('PR-BOM'!$D$3:$D1001,'PR-BOM'!$C$3:$C1001,N651))</f>
        <v/>
      </c>
      <c r="Y651" t="str">
        <f>IF(X651="","",SUMIFS(Issue!$D$3:$D1001,Issue!$C$3:$C1001,X651))</f>
        <v/>
      </c>
    </row>
    <row r="652" spans="5:25">
      <c r="E652" t="str">
        <f>IF(A652="","",SUMIFS(Issue!$D$3:$D1001,Issue!$C$3:$C1001,A652)*C652)</f>
        <v/>
      </c>
      <c r="F652" t="e">
        <f ca="1">_xludf.IFNA(VLOOKUP(B652,'S-FG'!$B$3:$B1001,1,FALSE),"")</f>
        <v>#NAME?</v>
      </c>
      <c r="L652" t="str">
        <f t="shared" si="2"/>
        <v/>
      </c>
      <c r="Q652" t="str">
        <f>IF(N652="","",SUMIFS('PR-BOM'!$D$3:$D1001,'PR-BOM'!$C$3:$C1001,N652))</f>
        <v/>
      </c>
      <c r="Y652" t="str">
        <f>IF(X652="","",SUMIFS(Issue!$D$3:$D1001,Issue!$C$3:$C1001,X652))</f>
        <v/>
      </c>
    </row>
    <row r="653" spans="5:25">
      <c r="E653" t="str">
        <f>IF(A653="","",SUMIFS(Issue!$D$3:$D1001,Issue!$C$3:$C1001,A653)*C653)</f>
        <v/>
      </c>
      <c r="F653" t="e">
        <f ca="1">_xludf.IFNA(VLOOKUP(B653,'S-FG'!$B$3:$B1001,1,FALSE),"")</f>
        <v>#NAME?</v>
      </c>
      <c r="L653" t="str">
        <f t="shared" si="2"/>
        <v/>
      </c>
      <c r="Q653" t="str">
        <f>IF(N653="","",SUMIFS('PR-BOM'!$D$3:$D1001,'PR-BOM'!$C$3:$C1001,N653))</f>
        <v/>
      </c>
      <c r="Y653" t="str">
        <f>IF(X653="","",SUMIFS(Issue!$D$3:$D1001,Issue!$C$3:$C1001,X653))</f>
        <v/>
      </c>
    </row>
    <row r="654" spans="5:25">
      <c r="E654" t="str">
        <f>IF(A654="","",SUMIFS(Issue!$D$3:$D1001,Issue!$C$3:$C1001,A654)*C654)</f>
        <v/>
      </c>
      <c r="F654" t="e">
        <f ca="1">_xludf.IFNA(VLOOKUP(B654,'S-FG'!$B$3:$B1001,1,FALSE),"")</f>
        <v>#NAME?</v>
      </c>
      <c r="L654" t="str">
        <f t="shared" si="2"/>
        <v/>
      </c>
      <c r="Q654" t="str">
        <f>IF(N654="","",SUMIFS('PR-BOM'!$D$3:$D1001,'PR-BOM'!$C$3:$C1001,N654))</f>
        <v/>
      </c>
      <c r="Y654" t="str">
        <f>IF(X654="","",SUMIFS(Issue!$D$3:$D1001,Issue!$C$3:$C1001,X654))</f>
        <v/>
      </c>
    </row>
    <row r="655" spans="5:25">
      <c r="E655" t="str">
        <f>IF(A655="","",SUMIFS(Issue!$D$3:$D1001,Issue!$C$3:$C1001,A655)*C655)</f>
        <v/>
      </c>
      <c r="F655" t="e">
        <f ca="1">_xludf.IFNA(VLOOKUP(B655,'S-FG'!$B$3:$B1001,1,FALSE),"")</f>
        <v>#NAME?</v>
      </c>
      <c r="L655" t="str">
        <f t="shared" si="2"/>
        <v/>
      </c>
      <c r="Q655" t="str">
        <f>IF(N655="","",SUMIFS('PR-BOM'!$D$3:$D1001,'PR-BOM'!$C$3:$C1001,N655))</f>
        <v/>
      </c>
      <c r="Y655" t="str">
        <f>IF(X655="","",SUMIFS(Issue!$D$3:$D1001,Issue!$C$3:$C1001,X655))</f>
        <v/>
      </c>
    </row>
    <row r="656" spans="5:25">
      <c r="E656" t="str">
        <f>IF(A656="","",SUMIFS(Issue!$D$3:$D1001,Issue!$C$3:$C1001,A656)*C656)</f>
        <v/>
      </c>
      <c r="F656" t="e">
        <f ca="1">_xludf.IFNA(VLOOKUP(B656,'S-FG'!$B$3:$B1001,1,FALSE),"")</f>
        <v>#NAME?</v>
      </c>
      <c r="L656" t="str">
        <f t="shared" si="2"/>
        <v/>
      </c>
      <c r="Q656" t="str">
        <f>IF(N656="","",SUMIFS('PR-BOM'!$D$3:$D1001,'PR-BOM'!$C$3:$C1001,N656))</f>
        <v/>
      </c>
      <c r="Y656" t="str">
        <f>IF(X656="","",SUMIFS(Issue!$D$3:$D1001,Issue!$C$3:$C1001,X656))</f>
        <v/>
      </c>
    </row>
    <row r="657" spans="5:25">
      <c r="E657" t="str">
        <f>IF(A657="","",SUMIFS(Issue!$D$3:$D1001,Issue!$C$3:$C1001,A657)*C657)</f>
        <v/>
      </c>
      <c r="F657" t="e">
        <f ca="1">_xludf.IFNA(VLOOKUP(B657,'S-FG'!$B$3:$B1001,1,FALSE),"")</f>
        <v>#NAME?</v>
      </c>
      <c r="L657" t="str">
        <f t="shared" si="2"/>
        <v/>
      </c>
      <c r="Q657" t="str">
        <f>IF(N657="","",SUMIFS('PR-BOM'!$D$3:$D1001,'PR-BOM'!$C$3:$C1001,N657))</f>
        <v/>
      </c>
      <c r="Y657" t="str">
        <f>IF(X657="","",SUMIFS(Issue!$D$3:$D1001,Issue!$C$3:$C1001,X657))</f>
        <v/>
      </c>
    </row>
    <row r="658" spans="5:25">
      <c r="E658" t="str">
        <f>IF(A658="","",SUMIFS(Issue!$D$3:$D1001,Issue!$C$3:$C1001,A658)*C658)</f>
        <v/>
      </c>
      <c r="F658" t="e">
        <f ca="1">_xludf.IFNA(VLOOKUP(B658,'S-FG'!$B$3:$B1001,1,FALSE),"")</f>
        <v>#NAME?</v>
      </c>
      <c r="L658" t="str">
        <f t="shared" si="2"/>
        <v/>
      </c>
      <c r="Q658" t="str">
        <f>IF(N658="","",SUMIFS('PR-BOM'!$D$3:$D1001,'PR-BOM'!$C$3:$C1001,N658))</f>
        <v/>
      </c>
      <c r="Y658" t="str">
        <f>IF(X658="","",SUMIFS(Issue!$D$3:$D1001,Issue!$C$3:$C1001,X658))</f>
        <v/>
      </c>
    </row>
    <row r="659" spans="5:25">
      <c r="E659" t="str">
        <f>IF(A659="","",SUMIFS(Issue!$D$3:$D1001,Issue!$C$3:$C1001,A659)*C659)</f>
        <v/>
      </c>
      <c r="F659" t="e">
        <f ca="1">_xludf.IFNA(VLOOKUP(B659,'S-FG'!$B$3:$B1001,1,FALSE),"")</f>
        <v>#NAME?</v>
      </c>
      <c r="L659" t="str">
        <f t="shared" si="2"/>
        <v/>
      </c>
      <c r="Q659" t="str">
        <f>IF(N659="","",SUMIFS('PR-BOM'!$D$3:$D1001,'PR-BOM'!$C$3:$C1001,N659))</f>
        <v/>
      </c>
      <c r="Y659" t="str">
        <f>IF(X659="","",SUMIFS(Issue!$D$3:$D1001,Issue!$C$3:$C1001,X659))</f>
        <v/>
      </c>
    </row>
    <row r="660" spans="5:25">
      <c r="E660" t="str">
        <f>IF(A660="","",SUMIFS(Issue!$D$3:$D1001,Issue!$C$3:$C1001,A660)*C660)</f>
        <v/>
      </c>
      <c r="F660" t="e">
        <f ca="1">_xludf.IFNA(VLOOKUP(B660,'S-FG'!$B$3:$B1001,1,FALSE),"")</f>
        <v>#NAME?</v>
      </c>
      <c r="L660" t="str">
        <f t="shared" si="2"/>
        <v/>
      </c>
      <c r="Q660" t="str">
        <f>IF(N660="","",SUMIFS('PR-BOM'!$D$3:$D1001,'PR-BOM'!$C$3:$C1001,N660))</f>
        <v/>
      </c>
      <c r="Y660" t="str">
        <f>IF(X660="","",SUMIFS(Issue!$D$3:$D1001,Issue!$C$3:$C1001,X660))</f>
        <v/>
      </c>
    </row>
    <row r="661" spans="5:25">
      <c r="E661" t="str">
        <f>IF(A661="","",SUMIFS(Issue!$D$3:$D1001,Issue!$C$3:$C1001,A661)*C661)</f>
        <v/>
      </c>
      <c r="F661" t="e">
        <f ca="1">_xludf.IFNA(VLOOKUP(B661,'S-FG'!$B$3:$B1001,1,FALSE),"")</f>
        <v>#NAME?</v>
      </c>
      <c r="L661" t="str">
        <f t="shared" si="2"/>
        <v/>
      </c>
      <c r="Q661" t="str">
        <f>IF(N661="","",SUMIFS('PR-BOM'!$D$3:$D1001,'PR-BOM'!$C$3:$C1001,N661))</f>
        <v/>
      </c>
      <c r="Y661" t="str">
        <f>IF(X661="","",SUMIFS(Issue!$D$3:$D1001,Issue!$C$3:$C1001,X661))</f>
        <v/>
      </c>
    </row>
    <row r="662" spans="5:25">
      <c r="E662" t="str">
        <f>IF(A662="","",SUMIFS(Issue!$D$3:$D1001,Issue!$C$3:$C1001,A662)*C662)</f>
        <v/>
      </c>
      <c r="F662" t="e">
        <f ca="1">_xludf.IFNA(VLOOKUP(B662,'S-FG'!$B$3:$B1001,1,FALSE),"")</f>
        <v>#NAME?</v>
      </c>
      <c r="L662" t="str">
        <f t="shared" si="2"/>
        <v/>
      </c>
      <c r="Q662" t="str">
        <f>IF(N662="","",SUMIFS('PR-BOM'!$D$3:$D1001,'PR-BOM'!$C$3:$C1001,N662))</f>
        <v/>
      </c>
      <c r="Y662" t="str">
        <f>IF(X662="","",SUMIFS(Issue!$D$3:$D1001,Issue!$C$3:$C1001,X662))</f>
        <v/>
      </c>
    </row>
    <row r="663" spans="5:25">
      <c r="E663" t="str">
        <f>IF(A663="","",SUMIFS(Issue!$D$3:$D1001,Issue!$C$3:$C1001,A663)*C663)</f>
        <v/>
      </c>
      <c r="F663" t="e">
        <f ca="1">_xludf.IFNA(VLOOKUP(B663,'S-FG'!$B$3:$B1001,1,FALSE),"")</f>
        <v>#NAME?</v>
      </c>
      <c r="L663" t="str">
        <f t="shared" si="2"/>
        <v/>
      </c>
      <c r="Q663" t="str">
        <f>IF(N663="","",SUMIFS('PR-BOM'!$D$3:$D1001,'PR-BOM'!$C$3:$C1001,N663))</f>
        <v/>
      </c>
      <c r="Y663" t="str">
        <f>IF(X663="","",SUMIFS(Issue!$D$3:$D1001,Issue!$C$3:$C1001,X663))</f>
        <v/>
      </c>
    </row>
    <row r="664" spans="5:25">
      <c r="E664" t="str">
        <f>IF(A664="","",SUMIFS(Issue!$D$3:$D1001,Issue!$C$3:$C1001,A664)*C664)</f>
        <v/>
      </c>
      <c r="F664" t="e">
        <f ca="1">_xludf.IFNA(VLOOKUP(B664,'S-FG'!$B$3:$B1001,1,FALSE),"")</f>
        <v>#NAME?</v>
      </c>
      <c r="L664" t="str">
        <f t="shared" si="2"/>
        <v/>
      </c>
      <c r="Q664" t="str">
        <f>IF(N664="","",SUMIFS('PR-BOM'!$D$3:$D1001,'PR-BOM'!$C$3:$C1001,N664))</f>
        <v/>
      </c>
      <c r="Y664" t="str">
        <f>IF(X664="","",SUMIFS(Issue!$D$3:$D1001,Issue!$C$3:$C1001,X664))</f>
        <v/>
      </c>
    </row>
    <row r="665" spans="5:25">
      <c r="E665" t="str">
        <f>IF(A665="","",SUMIFS(Issue!$D$3:$D1001,Issue!$C$3:$C1001,A665)*C665)</f>
        <v/>
      </c>
      <c r="F665" t="e">
        <f ca="1">_xludf.IFNA(VLOOKUP(B665,'S-FG'!$B$3:$B1001,1,FALSE),"")</f>
        <v>#NAME?</v>
      </c>
      <c r="L665" t="str">
        <f t="shared" si="2"/>
        <v/>
      </c>
      <c r="Q665" t="str">
        <f>IF(N665="","",SUMIFS('PR-BOM'!$D$3:$D1001,'PR-BOM'!$C$3:$C1001,N665))</f>
        <v/>
      </c>
      <c r="Y665" t="str">
        <f>IF(X665="","",SUMIFS(Issue!$D$3:$D1001,Issue!$C$3:$C1001,X665))</f>
        <v/>
      </c>
    </row>
    <row r="666" spans="5:25">
      <c r="E666" t="str">
        <f>IF(A666="","",SUMIFS(Issue!$D$3:$D1001,Issue!$C$3:$C1001,A666)*C666)</f>
        <v/>
      </c>
      <c r="F666" t="e">
        <f ca="1">_xludf.IFNA(VLOOKUP(B666,'S-FG'!$B$3:$B1001,1,FALSE),"")</f>
        <v>#NAME?</v>
      </c>
      <c r="L666" t="str">
        <f t="shared" si="2"/>
        <v/>
      </c>
      <c r="Q666" t="str">
        <f>IF(N666="","",SUMIFS('PR-BOM'!$D$3:$D1001,'PR-BOM'!$C$3:$C1001,N666))</f>
        <v/>
      </c>
      <c r="Y666" t="str">
        <f>IF(X666="","",SUMIFS(Issue!$D$3:$D1001,Issue!$C$3:$C1001,X666))</f>
        <v/>
      </c>
    </row>
    <row r="667" spans="5:25">
      <c r="E667" t="str">
        <f>IF(A667="","",SUMIFS(Issue!$D$3:$D1001,Issue!$C$3:$C1001,A667)*C667)</f>
        <v/>
      </c>
      <c r="F667" t="e">
        <f ca="1">_xludf.IFNA(VLOOKUP(B667,'S-FG'!$B$3:$B1001,1,FALSE),"")</f>
        <v>#NAME?</v>
      </c>
      <c r="L667" t="str">
        <f t="shared" si="2"/>
        <v/>
      </c>
      <c r="Q667" t="str">
        <f>IF(N667="","",SUMIFS('PR-BOM'!$D$3:$D1001,'PR-BOM'!$C$3:$C1001,N667))</f>
        <v/>
      </c>
      <c r="Y667" t="str">
        <f>IF(X667="","",SUMIFS(Issue!$D$3:$D1001,Issue!$C$3:$C1001,X667))</f>
        <v/>
      </c>
    </row>
    <row r="668" spans="5:25">
      <c r="E668" t="str">
        <f>IF(A668="","",SUMIFS(Issue!$D$3:$D1001,Issue!$C$3:$C1001,A668)*C668)</f>
        <v/>
      </c>
      <c r="F668" t="e">
        <f ca="1">_xludf.IFNA(VLOOKUP(B668,'S-FG'!$B$3:$B1001,1,FALSE),"")</f>
        <v>#NAME?</v>
      </c>
      <c r="L668" t="str">
        <f t="shared" si="2"/>
        <v/>
      </c>
      <c r="Q668" t="str">
        <f>IF(N668="","",SUMIFS('PR-BOM'!$D$3:$D1001,'PR-BOM'!$C$3:$C1001,N668))</f>
        <v/>
      </c>
      <c r="Y668" t="str">
        <f>IF(X668="","",SUMIFS(Issue!$D$3:$D1001,Issue!$C$3:$C1001,X668))</f>
        <v/>
      </c>
    </row>
    <row r="669" spans="5:25">
      <c r="E669" t="str">
        <f>IF(A669="","",SUMIFS(Issue!$D$3:$D1001,Issue!$C$3:$C1001,A669)*C669)</f>
        <v/>
      </c>
      <c r="F669" t="e">
        <f ca="1">_xludf.IFNA(VLOOKUP(B669,'S-FG'!$B$3:$B1001,1,FALSE),"")</f>
        <v>#NAME?</v>
      </c>
      <c r="L669" t="str">
        <f t="shared" si="2"/>
        <v/>
      </c>
      <c r="Q669" t="str">
        <f>IF(N669="","",SUMIFS('PR-BOM'!$D$3:$D1001,'PR-BOM'!$C$3:$C1001,N669))</f>
        <v/>
      </c>
      <c r="Y669" t="str">
        <f>IF(X669="","",SUMIFS(Issue!$D$3:$D1001,Issue!$C$3:$C1001,X669))</f>
        <v/>
      </c>
    </row>
    <row r="670" spans="5:25">
      <c r="E670" t="str">
        <f>IF(A670="","",SUMIFS(Issue!$D$3:$D1001,Issue!$C$3:$C1001,A670)*C670)</f>
        <v/>
      </c>
      <c r="F670" t="e">
        <f ca="1">_xludf.IFNA(VLOOKUP(B670,'S-FG'!$B$3:$B1001,1,FALSE),"")</f>
        <v>#NAME?</v>
      </c>
      <c r="L670" t="str">
        <f t="shared" si="2"/>
        <v/>
      </c>
      <c r="Q670" t="str">
        <f>IF(N670="","",SUMIFS('PR-BOM'!$D$3:$D1001,'PR-BOM'!$C$3:$C1001,N670))</f>
        <v/>
      </c>
      <c r="Y670" t="str">
        <f>IF(X670="","",SUMIFS(Issue!$D$3:$D1001,Issue!$C$3:$C1001,X670))</f>
        <v/>
      </c>
    </row>
    <row r="671" spans="5:25">
      <c r="E671" t="str">
        <f>IF(A671="","",SUMIFS(Issue!$D$3:$D1001,Issue!$C$3:$C1001,A671)*C671)</f>
        <v/>
      </c>
      <c r="F671" t="e">
        <f ca="1">_xludf.IFNA(VLOOKUP(B671,'S-FG'!$B$3:$B1001,1,FALSE),"")</f>
        <v>#NAME?</v>
      </c>
      <c r="L671" t="str">
        <f t="shared" si="2"/>
        <v/>
      </c>
      <c r="Q671" t="str">
        <f>IF(N671="","",SUMIFS('PR-BOM'!$D$3:$D1001,'PR-BOM'!$C$3:$C1001,N671))</f>
        <v/>
      </c>
      <c r="Y671" t="str">
        <f>IF(X671="","",SUMIFS(Issue!$D$3:$D1001,Issue!$C$3:$C1001,X671))</f>
        <v/>
      </c>
    </row>
    <row r="672" spans="5:25">
      <c r="E672" t="str">
        <f>IF(A672="","",SUMIFS(Issue!$D$3:$D1001,Issue!$C$3:$C1001,A672)*C672)</f>
        <v/>
      </c>
      <c r="F672" t="e">
        <f ca="1">_xludf.IFNA(VLOOKUP(B672,'S-FG'!$B$3:$B1001,1,FALSE),"")</f>
        <v>#NAME?</v>
      </c>
      <c r="L672" t="str">
        <f t="shared" si="2"/>
        <v/>
      </c>
      <c r="Q672" t="str">
        <f>IF(N672="","",SUMIFS('PR-BOM'!$D$3:$D1001,'PR-BOM'!$C$3:$C1001,N672))</f>
        <v/>
      </c>
      <c r="Y672" t="str">
        <f>IF(X672="","",SUMIFS(Issue!$D$3:$D1001,Issue!$C$3:$C1001,X672))</f>
        <v/>
      </c>
    </row>
    <row r="673" spans="5:25">
      <c r="E673" t="str">
        <f>IF(A673="","",SUMIFS(Issue!$D$3:$D1001,Issue!$C$3:$C1001,A673)*C673)</f>
        <v/>
      </c>
      <c r="F673" t="e">
        <f ca="1">_xludf.IFNA(VLOOKUP(B673,'S-FG'!$B$3:$B1001,1,FALSE),"")</f>
        <v>#NAME?</v>
      </c>
      <c r="L673" t="str">
        <f t="shared" si="2"/>
        <v/>
      </c>
      <c r="Q673" t="str">
        <f>IF(N673="","",SUMIFS('PR-BOM'!$D$3:$D1001,'PR-BOM'!$C$3:$C1001,N673))</f>
        <v/>
      </c>
      <c r="Y673" t="str">
        <f>IF(X673="","",SUMIFS(Issue!$D$3:$D1001,Issue!$C$3:$C1001,X673))</f>
        <v/>
      </c>
    </row>
    <row r="674" spans="5:25">
      <c r="E674" t="str">
        <f>IF(A674="","",SUMIFS(Issue!$D$3:$D1001,Issue!$C$3:$C1001,A674)*C674)</f>
        <v/>
      </c>
      <c r="F674" t="e">
        <f ca="1">_xludf.IFNA(VLOOKUP(B674,'S-FG'!$B$3:$B1001,1,FALSE),"")</f>
        <v>#NAME?</v>
      </c>
      <c r="L674" t="str">
        <f t="shared" si="2"/>
        <v/>
      </c>
      <c r="Q674" t="str">
        <f>IF(N674="","",SUMIFS('PR-BOM'!$D$3:$D1001,'PR-BOM'!$C$3:$C1001,N674))</f>
        <v/>
      </c>
      <c r="Y674" t="str">
        <f>IF(X674="","",SUMIFS(Issue!$D$3:$D1001,Issue!$C$3:$C1001,X674))</f>
        <v/>
      </c>
    </row>
    <row r="675" spans="5:25">
      <c r="E675" t="str">
        <f>IF(A675="","",SUMIFS(Issue!$D$3:$D1001,Issue!$C$3:$C1001,A675)*C675)</f>
        <v/>
      </c>
      <c r="F675" t="e">
        <f ca="1">_xludf.IFNA(VLOOKUP(B675,'S-FG'!$B$3:$B1001,1,FALSE),"")</f>
        <v>#NAME?</v>
      </c>
      <c r="L675" t="str">
        <f t="shared" si="2"/>
        <v/>
      </c>
      <c r="Q675" t="str">
        <f>IF(N675="","",SUMIFS('PR-BOM'!$D$3:$D1001,'PR-BOM'!$C$3:$C1001,N675))</f>
        <v/>
      </c>
      <c r="Y675" t="str">
        <f>IF(X675="","",SUMIFS(Issue!$D$3:$D1001,Issue!$C$3:$C1001,X675))</f>
        <v/>
      </c>
    </row>
    <row r="676" spans="5:25">
      <c r="E676" t="str">
        <f>IF(A676="","",SUMIFS(Issue!$D$3:$D1001,Issue!$C$3:$C1001,A676)*C676)</f>
        <v/>
      </c>
      <c r="F676" t="e">
        <f ca="1">_xludf.IFNA(VLOOKUP(B676,'S-FG'!$B$3:$B1001,1,FALSE),"")</f>
        <v>#NAME?</v>
      </c>
      <c r="L676" t="str">
        <f t="shared" si="2"/>
        <v/>
      </c>
      <c r="Q676" t="str">
        <f>IF(N676="","",SUMIFS('PR-BOM'!$D$3:$D1001,'PR-BOM'!$C$3:$C1001,N676))</f>
        <v/>
      </c>
      <c r="Y676" t="str">
        <f>IF(X676="","",SUMIFS(Issue!$D$3:$D1001,Issue!$C$3:$C1001,X676))</f>
        <v/>
      </c>
    </row>
    <row r="677" spans="5:25">
      <c r="E677" t="str">
        <f>IF(A677="","",SUMIFS(Issue!$D$3:$D1001,Issue!$C$3:$C1001,A677)*C677)</f>
        <v/>
      </c>
      <c r="F677" t="e">
        <f ca="1">_xludf.IFNA(VLOOKUP(B677,'S-FG'!$B$3:$B1001,1,FALSE),"")</f>
        <v>#NAME?</v>
      </c>
      <c r="L677" t="str">
        <f t="shared" si="2"/>
        <v/>
      </c>
      <c r="Q677" t="str">
        <f>IF(N677="","",SUMIFS('PR-BOM'!$D$3:$D1001,'PR-BOM'!$C$3:$C1001,N677))</f>
        <v/>
      </c>
      <c r="Y677" t="str">
        <f>IF(X677="","",SUMIFS(Issue!$D$3:$D1001,Issue!$C$3:$C1001,X677))</f>
        <v/>
      </c>
    </row>
    <row r="678" spans="5:25">
      <c r="E678" t="str">
        <f>IF(A678="","",SUMIFS(Issue!$D$3:$D1001,Issue!$C$3:$C1001,A678)*C678)</f>
        <v/>
      </c>
      <c r="F678" t="e">
        <f ca="1">_xludf.IFNA(VLOOKUP(B678,'S-FG'!$B$3:$B1001,1,FALSE),"")</f>
        <v>#NAME?</v>
      </c>
      <c r="L678" t="str">
        <f t="shared" si="2"/>
        <v/>
      </c>
      <c r="Q678" t="str">
        <f>IF(N678="","",SUMIFS('PR-BOM'!$D$3:$D1001,'PR-BOM'!$C$3:$C1001,N678))</f>
        <v/>
      </c>
      <c r="Y678" t="str">
        <f>IF(X678="","",SUMIFS(Issue!$D$3:$D1001,Issue!$C$3:$C1001,X678))</f>
        <v/>
      </c>
    </row>
    <row r="679" spans="5:25">
      <c r="E679" t="str">
        <f>IF(A679="","",SUMIFS(Issue!$D$3:$D1001,Issue!$C$3:$C1001,A679)*C679)</f>
        <v/>
      </c>
      <c r="F679" t="e">
        <f ca="1">_xludf.IFNA(VLOOKUP(B679,'S-FG'!$B$3:$B1001,1,FALSE),"")</f>
        <v>#NAME?</v>
      </c>
      <c r="L679" t="str">
        <f t="shared" si="2"/>
        <v/>
      </c>
      <c r="Q679" t="str">
        <f>IF(N679="","",SUMIFS('PR-BOM'!$D$3:$D1001,'PR-BOM'!$C$3:$C1001,N679))</f>
        <v/>
      </c>
      <c r="Y679" t="str">
        <f>IF(X679="","",SUMIFS(Issue!$D$3:$D1001,Issue!$C$3:$C1001,X679))</f>
        <v/>
      </c>
    </row>
    <row r="680" spans="5:25">
      <c r="E680" t="str">
        <f>IF(A680="","",SUMIFS(Issue!$D$3:$D1001,Issue!$C$3:$C1001,A680)*C680)</f>
        <v/>
      </c>
      <c r="F680" t="e">
        <f ca="1">_xludf.IFNA(VLOOKUP(B680,'S-FG'!$B$3:$B1001,1,FALSE),"")</f>
        <v>#NAME?</v>
      </c>
      <c r="L680" t="str">
        <f t="shared" si="2"/>
        <v/>
      </c>
      <c r="Q680" t="str">
        <f>IF(N680="","",SUMIFS('PR-BOM'!$D$3:$D1001,'PR-BOM'!$C$3:$C1001,N680))</f>
        <v/>
      </c>
      <c r="Y680" t="str">
        <f>IF(X680="","",SUMIFS(Issue!$D$3:$D1001,Issue!$C$3:$C1001,X680))</f>
        <v/>
      </c>
    </row>
    <row r="681" spans="5:25">
      <c r="E681" t="str">
        <f>IF(A681="","",SUMIFS(Issue!$D$3:$D1001,Issue!$C$3:$C1001,A681)*C681)</f>
        <v/>
      </c>
      <c r="F681" t="e">
        <f ca="1">_xludf.IFNA(VLOOKUP(B681,'S-FG'!$B$3:$B1001,1,FALSE),"")</f>
        <v>#NAME?</v>
      </c>
      <c r="L681" t="str">
        <f t="shared" si="2"/>
        <v/>
      </c>
      <c r="Q681" t="str">
        <f>IF(N681="","",SUMIFS('PR-BOM'!$D$3:$D1001,'PR-BOM'!$C$3:$C1001,N681))</f>
        <v/>
      </c>
      <c r="Y681" t="str">
        <f>IF(X681="","",SUMIFS(Issue!$D$3:$D1001,Issue!$C$3:$C1001,X681))</f>
        <v/>
      </c>
    </row>
    <row r="682" spans="5:25">
      <c r="E682" t="str">
        <f>IF(A682="","",SUMIFS(Issue!$D$3:$D1001,Issue!$C$3:$C1001,A682)*C682)</f>
        <v/>
      </c>
      <c r="F682" t="e">
        <f ca="1">_xludf.IFNA(VLOOKUP(B682,'S-FG'!$B$3:$B1001,1,FALSE),"")</f>
        <v>#NAME?</v>
      </c>
      <c r="L682" t="str">
        <f t="shared" si="2"/>
        <v/>
      </c>
      <c r="Q682" t="str">
        <f>IF(N682="","",SUMIFS('PR-BOM'!$D$3:$D1001,'PR-BOM'!$C$3:$C1001,N682))</f>
        <v/>
      </c>
      <c r="Y682" t="str">
        <f>IF(X682="","",SUMIFS(Issue!$D$3:$D1001,Issue!$C$3:$C1001,X682))</f>
        <v/>
      </c>
    </row>
    <row r="683" spans="5:25">
      <c r="E683" t="str">
        <f>IF(A683="","",SUMIFS(Issue!$D$3:$D1001,Issue!$C$3:$C1001,A683)*C683)</f>
        <v/>
      </c>
      <c r="F683" t="e">
        <f ca="1">_xludf.IFNA(VLOOKUP(B683,'S-FG'!$B$3:$B1001,1,FALSE),"")</f>
        <v>#NAME?</v>
      </c>
      <c r="L683" t="str">
        <f t="shared" si="2"/>
        <v/>
      </c>
      <c r="Q683" t="str">
        <f>IF(N683="","",SUMIFS('PR-BOM'!$D$3:$D1001,'PR-BOM'!$C$3:$C1001,N683))</f>
        <v/>
      </c>
      <c r="Y683" t="str">
        <f>IF(X683="","",SUMIFS(Issue!$D$3:$D1001,Issue!$C$3:$C1001,X683))</f>
        <v/>
      </c>
    </row>
    <row r="684" spans="5:25">
      <c r="E684" t="str">
        <f>IF(A684="","",SUMIFS(Issue!$D$3:$D1001,Issue!$C$3:$C1001,A684)*C684)</f>
        <v/>
      </c>
      <c r="F684" t="e">
        <f ca="1">_xludf.IFNA(VLOOKUP(B684,'S-FG'!$B$3:$B1001,1,FALSE),"")</f>
        <v>#NAME?</v>
      </c>
      <c r="L684" t="str">
        <f t="shared" si="2"/>
        <v/>
      </c>
      <c r="Q684" t="str">
        <f>IF(N684="","",SUMIFS('PR-BOM'!$D$3:$D1001,'PR-BOM'!$C$3:$C1001,N684))</f>
        <v/>
      </c>
      <c r="Y684" t="str">
        <f>IF(X684="","",SUMIFS(Issue!$D$3:$D1001,Issue!$C$3:$C1001,X684))</f>
        <v/>
      </c>
    </row>
    <row r="685" spans="5:25">
      <c r="E685" t="str">
        <f>IF(A685="","",SUMIFS(Issue!$D$3:$D1001,Issue!$C$3:$C1001,A685)*C685)</f>
        <v/>
      </c>
      <c r="F685" t="e">
        <f ca="1">_xludf.IFNA(VLOOKUP(B685,'S-FG'!$B$3:$B1001,1,FALSE),"")</f>
        <v>#NAME?</v>
      </c>
      <c r="L685" t="str">
        <f t="shared" si="2"/>
        <v/>
      </c>
      <c r="Q685" t="str">
        <f>IF(N685="","",SUMIFS('PR-BOM'!$D$3:$D1001,'PR-BOM'!$C$3:$C1001,N685))</f>
        <v/>
      </c>
      <c r="Y685" t="str">
        <f>IF(X685="","",SUMIFS(Issue!$D$3:$D1001,Issue!$C$3:$C1001,X685))</f>
        <v/>
      </c>
    </row>
    <row r="686" spans="5:25">
      <c r="E686" t="str">
        <f>IF(A686="","",SUMIFS(Issue!$D$3:$D1001,Issue!$C$3:$C1001,A686)*C686)</f>
        <v/>
      </c>
      <c r="F686" t="e">
        <f ca="1">_xludf.IFNA(VLOOKUP(B686,'S-FG'!$B$3:$B1001,1,FALSE),"")</f>
        <v>#NAME?</v>
      </c>
      <c r="L686" t="str">
        <f t="shared" si="2"/>
        <v/>
      </c>
      <c r="Q686" t="str">
        <f>IF(N686="","",SUMIFS('PR-BOM'!$D$3:$D1001,'PR-BOM'!$C$3:$C1001,N686))</f>
        <v/>
      </c>
      <c r="Y686" t="str">
        <f>IF(X686="","",SUMIFS(Issue!$D$3:$D1001,Issue!$C$3:$C1001,X686))</f>
        <v/>
      </c>
    </row>
    <row r="687" spans="5:25">
      <c r="E687" t="str">
        <f>IF(A687="","",SUMIFS(Issue!$D$3:$D1001,Issue!$C$3:$C1001,A687)*C687)</f>
        <v/>
      </c>
      <c r="F687" t="e">
        <f ca="1">_xludf.IFNA(VLOOKUP(B687,'S-FG'!$B$3:$B1001,1,FALSE),"")</f>
        <v>#NAME?</v>
      </c>
      <c r="L687" t="str">
        <f t="shared" si="2"/>
        <v/>
      </c>
      <c r="Q687" t="str">
        <f>IF(N687="","",SUMIFS('PR-BOM'!$D$3:$D1001,'PR-BOM'!$C$3:$C1001,N687))</f>
        <v/>
      </c>
      <c r="Y687" t="str">
        <f>IF(X687="","",SUMIFS(Issue!$D$3:$D1001,Issue!$C$3:$C1001,X687))</f>
        <v/>
      </c>
    </row>
    <row r="688" spans="5:25">
      <c r="E688" t="str">
        <f>IF(A688="","",SUMIFS(Issue!$D$3:$D1001,Issue!$C$3:$C1001,A688)*C688)</f>
        <v/>
      </c>
      <c r="F688" t="e">
        <f ca="1">_xludf.IFNA(VLOOKUP(B688,'S-FG'!$B$3:$B1001,1,FALSE),"")</f>
        <v>#NAME?</v>
      </c>
      <c r="L688" t="str">
        <f t="shared" si="2"/>
        <v/>
      </c>
      <c r="Q688" t="str">
        <f>IF(N688="","",SUMIFS('PR-BOM'!$D$3:$D1001,'PR-BOM'!$C$3:$C1001,N688))</f>
        <v/>
      </c>
      <c r="Y688" t="str">
        <f>IF(X688="","",SUMIFS(Issue!$D$3:$D1001,Issue!$C$3:$C1001,X688))</f>
        <v/>
      </c>
    </row>
    <row r="689" spans="5:25">
      <c r="E689" t="str">
        <f>IF(A689="","",SUMIFS(Issue!$D$3:$D1001,Issue!$C$3:$C1001,A689)*C689)</f>
        <v/>
      </c>
      <c r="F689" t="e">
        <f ca="1">_xludf.IFNA(VLOOKUP(B689,'S-FG'!$B$3:$B1001,1,FALSE),"")</f>
        <v>#NAME?</v>
      </c>
      <c r="L689" t="str">
        <f t="shared" si="2"/>
        <v/>
      </c>
      <c r="Q689" t="str">
        <f>IF(N689="","",SUMIFS('PR-BOM'!$D$3:$D1001,'PR-BOM'!$C$3:$C1001,N689))</f>
        <v/>
      </c>
      <c r="Y689" t="str">
        <f>IF(X689="","",SUMIFS(Issue!$D$3:$D1001,Issue!$C$3:$C1001,X689))</f>
        <v/>
      </c>
    </row>
    <row r="690" spans="5:25">
      <c r="E690" t="str">
        <f>IF(A690="","",SUMIFS(Issue!$D$3:$D1001,Issue!$C$3:$C1001,A690)*C690)</f>
        <v/>
      </c>
      <c r="F690" t="e">
        <f ca="1">_xludf.IFNA(VLOOKUP(B690,'S-FG'!$B$3:$B1001,1,FALSE),"")</f>
        <v>#NAME?</v>
      </c>
      <c r="L690" t="str">
        <f t="shared" si="2"/>
        <v/>
      </c>
      <c r="Q690" t="str">
        <f>IF(N690="","",SUMIFS('PR-BOM'!$D$3:$D1001,'PR-BOM'!$C$3:$C1001,N690))</f>
        <v/>
      </c>
      <c r="Y690" t="str">
        <f>IF(X690="","",SUMIFS(Issue!$D$3:$D1001,Issue!$C$3:$C1001,X690))</f>
        <v/>
      </c>
    </row>
    <row r="691" spans="5:25">
      <c r="E691" t="str">
        <f>IF(A691="","",SUMIFS(Issue!$D$3:$D1001,Issue!$C$3:$C1001,A691)*C691)</f>
        <v/>
      </c>
      <c r="F691" t="e">
        <f ca="1">_xludf.IFNA(VLOOKUP(B691,'S-FG'!$B$3:$B1001,1,FALSE),"")</f>
        <v>#NAME?</v>
      </c>
      <c r="L691" t="str">
        <f t="shared" si="2"/>
        <v/>
      </c>
      <c r="Q691" t="str">
        <f>IF(N691="","",SUMIFS('PR-BOM'!$D$3:$D1001,'PR-BOM'!$C$3:$C1001,N691))</f>
        <v/>
      </c>
      <c r="Y691" t="str">
        <f>IF(X691="","",SUMIFS(Issue!$D$3:$D1001,Issue!$C$3:$C1001,X691))</f>
        <v/>
      </c>
    </row>
    <row r="692" spans="5:25">
      <c r="E692" t="str">
        <f>IF(A692="","",SUMIFS(Issue!$D$3:$D1001,Issue!$C$3:$C1001,A692)*C692)</f>
        <v/>
      </c>
      <c r="F692" t="e">
        <f ca="1">_xludf.IFNA(VLOOKUP(B692,'S-FG'!$B$3:$B1001,1,FALSE),"")</f>
        <v>#NAME?</v>
      </c>
      <c r="L692" t="str">
        <f t="shared" si="2"/>
        <v/>
      </c>
      <c r="Q692" t="str">
        <f>IF(N692="","",SUMIFS('PR-BOM'!$D$3:$D1001,'PR-BOM'!$C$3:$C1001,N692))</f>
        <v/>
      </c>
      <c r="Y692" t="str">
        <f>IF(X692="","",SUMIFS(Issue!$D$3:$D1001,Issue!$C$3:$C1001,X692))</f>
        <v/>
      </c>
    </row>
    <row r="693" spans="5:25">
      <c r="E693" t="str">
        <f>IF(A693="","",SUMIFS(Issue!$D$3:$D1001,Issue!$C$3:$C1001,A693)*C693)</f>
        <v/>
      </c>
      <c r="F693" t="e">
        <f ca="1">_xludf.IFNA(VLOOKUP(B693,'S-FG'!$B$3:$B1001,1,FALSE),"")</f>
        <v>#NAME?</v>
      </c>
      <c r="L693" t="str">
        <f t="shared" si="2"/>
        <v/>
      </c>
      <c r="Q693" t="str">
        <f>IF(N693="","",SUMIFS('PR-BOM'!$D$3:$D1001,'PR-BOM'!$C$3:$C1001,N693))</f>
        <v/>
      </c>
      <c r="Y693" t="str">
        <f>IF(X693="","",SUMIFS(Issue!$D$3:$D1001,Issue!$C$3:$C1001,X693))</f>
        <v/>
      </c>
    </row>
    <row r="694" spans="5:25">
      <c r="E694" t="str">
        <f>IF(A694="","",SUMIFS(Issue!$D$3:$D1001,Issue!$C$3:$C1001,A694)*C694)</f>
        <v/>
      </c>
      <c r="F694" t="e">
        <f ca="1">_xludf.IFNA(VLOOKUP(B694,'S-FG'!$B$3:$B1001,1,FALSE),"")</f>
        <v>#NAME?</v>
      </c>
      <c r="L694" t="str">
        <f t="shared" si="2"/>
        <v/>
      </c>
      <c r="Q694" t="str">
        <f>IF(N694="","",SUMIFS('PR-BOM'!$D$3:$D1001,'PR-BOM'!$C$3:$C1001,N694))</f>
        <v/>
      </c>
      <c r="Y694" t="str">
        <f>IF(X694="","",SUMIFS(Issue!$D$3:$D1001,Issue!$C$3:$C1001,X694))</f>
        <v/>
      </c>
    </row>
    <row r="695" spans="5:25">
      <c r="E695" t="str">
        <f>IF(A695="","",SUMIFS(Issue!$D$3:$D1001,Issue!$C$3:$C1001,A695)*C695)</f>
        <v/>
      </c>
      <c r="F695" t="e">
        <f ca="1">_xludf.IFNA(VLOOKUP(B695,'S-FG'!$B$3:$B1001,1,FALSE),"")</f>
        <v>#NAME?</v>
      </c>
      <c r="L695" t="str">
        <f t="shared" si="2"/>
        <v/>
      </c>
      <c r="Q695" t="str">
        <f>IF(N695="","",SUMIFS('PR-BOM'!$D$3:$D1001,'PR-BOM'!$C$3:$C1001,N695))</f>
        <v/>
      </c>
      <c r="Y695" t="str">
        <f>IF(X695="","",SUMIFS(Issue!$D$3:$D1001,Issue!$C$3:$C1001,X695))</f>
        <v/>
      </c>
    </row>
    <row r="696" spans="5:25">
      <c r="E696" t="str">
        <f>IF(A696="","",SUMIFS(Issue!$D$3:$D1001,Issue!$C$3:$C1001,A696)*C696)</f>
        <v/>
      </c>
      <c r="F696" t="e">
        <f ca="1">_xludf.IFNA(VLOOKUP(B696,'S-FG'!$B$3:$B1001,1,FALSE),"")</f>
        <v>#NAME?</v>
      </c>
      <c r="L696" t="str">
        <f t="shared" si="2"/>
        <v/>
      </c>
      <c r="Q696" t="str">
        <f>IF(N696="","",SUMIFS('PR-BOM'!$D$3:$D1001,'PR-BOM'!$C$3:$C1001,N696))</f>
        <v/>
      </c>
      <c r="Y696" t="str">
        <f>IF(X696="","",SUMIFS(Issue!$D$3:$D1001,Issue!$C$3:$C1001,X696))</f>
        <v/>
      </c>
    </row>
    <row r="697" spans="5:25">
      <c r="E697" t="str">
        <f>IF(A697="","",SUMIFS(Issue!$D$3:$D1001,Issue!$C$3:$C1001,A697)*C697)</f>
        <v/>
      </c>
      <c r="F697" t="e">
        <f ca="1">_xludf.IFNA(VLOOKUP(B697,'S-FG'!$B$3:$B1001,1,FALSE),"")</f>
        <v>#NAME?</v>
      </c>
      <c r="L697" t="str">
        <f t="shared" si="2"/>
        <v/>
      </c>
      <c r="Q697" t="str">
        <f>IF(N697="","",SUMIFS('PR-BOM'!$D$3:$D1001,'PR-BOM'!$C$3:$C1001,N697))</f>
        <v/>
      </c>
      <c r="Y697" t="str">
        <f>IF(X697="","",SUMIFS(Issue!$D$3:$D1001,Issue!$C$3:$C1001,X697))</f>
        <v/>
      </c>
    </row>
    <row r="698" spans="5:25">
      <c r="E698" t="str">
        <f>IF(A698="","",SUMIFS(Issue!$D$3:$D1001,Issue!$C$3:$C1001,A698)*C698)</f>
        <v/>
      </c>
      <c r="F698" t="e">
        <f ca="1">_xludf.IFNA(VLOOKUP(B698,'S-FG'!$B$3:$B1001,1,FALSE),"")</f>
        <v>#NAME?</v>
      </c>
      <c r="L698" t="str">
        <f t="shared" si="2"/>
        <v/>
      </c>
      <c r="Q698" t="str">
        <f>IF(N698="","",SUMIFS('PR-BOM'!$D$3:$D1001,'PR-BOM'!$C$3:$C1001,N698))</f>
        <v/>
      </c>
      <c r="Y698" t="str">
        <f>IF(X698="","",SUMIFS(Issue!$D$3:$D1001,Issue!$C$3:$C1001,X698))</f>
        <v/>
      </c>
    </row>
    <row r="699" spans="5:25">
      <c r="E699" t="str">
        <f>IF(A699="","",SUMIFS(Issue!$D$3:$D1001,Issue!$C$3:$C1001,A699)*C699)</f>
        <v/>
      </c>
      <c r="F699" t="e">
        <f ca="1">_xludf.IFNA(VLOOKUP(B699,'S-FG'!$B$3:$B1001,1,FALSE),"")</f>
        <v>#NAME?</v>
      </c>
      <c r="L699" t="str">
        <f t="shared" si="2"/>
        <v/>
      </c>
      <c r="Q699" t="str">
        <f>IF(N699="","",SUMIFS('PR-BOM'!$D$3:$D1001,'PR-BOM'!$C$3:$C1001,N699))</f>
        <v/>
      </c>
      <c r="Y699" t="str">
        <f>IF(X699="","",SUMIFS(Issue!$D$3:$D1001,Issue!$C$3:$C1001,X699))</f>
        <v/>
      </c>
    </row>
    <row r="700" spans="5:25">
      <c r="E700" t="str">
        <f>IF(A700="","",SUMIFS(Issue!$D$3:$D1001,Issue!$C$3:$C1001,A700)*C700)</f>
        <v/>
      </c>
      <c r="F700" t="e">
        <f ca="1">_xludf.IFNA(VLOOKUP(B700,'S-FG'!$B$3:$B1001,1,FALSE),"")</f>
        <v>#NAME?</v>
      </c>
      <c r="L700" t="str">
        <f t="shared" si="2"/>
        <v/>
      </c>
      <c r="Q700" t="str">
        <f>IF(N700="","",SUMIFS('PR-BOM'!$D$3:$D1001,'PR-BOM'!$C$3:$C1001,N700))</f>
        <v/>
      </c>
      <c r="Y700" t="str">
        <f>IF(X700="","",SUMIFS(Issue!$D$3:$D1001,Issue!$C$3:$C1001,X700))</f>
        <v/>
      </c>
    </row>
    <row r="701" spans="5:25">
      <c r="E701" t="str">
        <f>IF(A701="","",SUMIFS(Issue!$D$3:$D1001,Issue!$C$3:$C1001,A701)*C701)</f>
        <v/>
      </c>
      <c r="F701" t="e">
        <f ca="1">_xludf.IFNA(VLOOKUP(B701,'S-FG'!$B$3:$B1001,1,FALSE),"")</f>
        <v>#NAME?</v>
      </c>
      <c r="L701" t="str">
        <f t="shared" si="2"/>
        <v/>
      </c>
      <c r="Q701" t="str">
        <f>IF(N701="","",SUMIFS('PR-BOM'!$D$3:$D1001,'PR-BOM'!$C$3:$C1001,N701))</f>
        <v/>
      </c>
      <c r="Y701" t="str">
        <f>IF(X701="","",SUMIFS(Issue!$D$3:$D1001,Issue!$C$3:$C1001,X701))</f>
        <v/>
      </c>
    </row>
    <row r="702" spans="5:25">
      <c r="E702" t="str">
        <f>IF(A702="","",SUMIFS(Issue!$D$3:$D1001,Issue!$C$3:$C1001,A702)*C702)</f>
        <v/>
      </c>
      <c r="F702" t="e">
        <f ca="1">_xludf.IFNA(VLOOKUP(B702,'S-FG'!$B$3:$B1001,1,FALSE),"")</f>
        <v>#NAME?</v>
      </c>
      <c r="L702" t="str">
        <f t="shared" si="2"/>
        <v/>
      </c>
      <c r="Q702" t="str">
        <f>IF(N702="","",SUMIFS('PR-BOM'!$D$3:$D1001,'PR-BOM'!$C$3:$C1001,N702))</f>
        <v/>
      </c>
      <c r="Y702" t="str">
        <f>IF(X702="","",SUMIFS(Issue!$D$3:$D1001,Issue!$C$3:$C1001,X702))</f>
        <v/>
      </c>
    </row>
    <row r="703" spans="5:25">
      <c r="E703" t="str">
        <f>IF(A703="","",SUMIFS(Issue!$D$3:$D1001,Issue!$C$3:$C1001,A703)*C703)</f>
        <v/>
      </c>
      <c r="F703" t="e">
        <f ca="1">_xludf.IFNA(VLOOKUP(B703,'S-FG'!$B$3:$B1001,1,FALSE),"")</f>
        <v>#NAME?</v>
      </c>
      <c r="L703" t="str">
        <f t="shared" si="2"/>
        <v/>
      </c>
      <c r="Q703" t="str">
        <f>IF(N703="","",SUMIFS('PR-BOM'!$D$3:$D1001,'PR-BOM'!$C$3:$C1001,N703))</f>
        <v/>
      </c>
      <c r="Y703" t="str">
        <f>IF(X703="","",SUMIFS(Issue!$D$3:$D1001,Issue!$C$3:$C1001,X703))</f>
        <v/>
      </c>
    </row>
    <row r="704" spans="5:25">
      <c r="E704" t="str">
        <f>IF(A704="","",SUMIFS(Issue!$D$3:$D1001,Issue!$C$3:$C1001,A704)*C704)</f>
        <v/>
      </c>
      <c r="F704" t="e">
        <f ca="1">_xludf.IFNA(VLOOKUP(B704,'S-FG'!$B$3:$B1001,1,FALSE),"")</f>
        <v>#NAME?</v>
      </c>
      <c r="L704" t="str">
        <f t="shared" si="2"/>
        <v/>
      </c>
      <c r="Q704" t="str">
        <f>IF(N704="","",SUMIFS('PR-BOM'!$D$3:$D1001,'PR-BOM'!$C$3:$C1001,N704))</f>
        <v/>
      </c>
      <c r="Y704" t="str">
        <f>IF(X704="","",SUMIFS(Issue!$D$3:$D1001,Issue!$C$3:$C1001,X704))</f>
        <v/>
      </c>
    </row>
    <row r="705" spans="5:25">
      <c r="E705" t="str">
        <f>IF(A705="","",SUMIFS(Issue!$D$3:$D1001,Issue!$C$3:$C1001,A705)*C705)</f>
        <v/>
      </c>
      <c r="F705" t="e">
        <f ca="1">_xludf.IFNA(VLOOKUP(B705,'S-FG'!$B$3:$B1001,1,FALSE),"")</f>
        <v>#NAME?</v>
      </c>
      <c r="L705" t="str">
        <f t="shared" si="2"/>
        <v/>
      </c>
      <c r="Q705" t="str">
        <f>IF(N705="","",SUMIFS('PR-BOM'!$D$3:$D1001,'PR-BOM'!$C$3:$C1001,N705))</f>
        <v/>
      </c>
      <c r="Y705" t="str">
        <f>IF(X705="","",SUMIFS(Issue!$D$3:$D1001,Issue!$C$3:$C1001,X705))</f>
        <v/>
      </c>
    </row>
    <row r="706" spans="5:25">
      <c r="E706" t="str">
        <f>IF(A706="","",SUMIFS(Issue!$D$3:$D1001,Issue!$C$3:$C1001,A706)*C706)</f>
        <v/>
      </c>
      <c r="F706" t="e">
        <f ca="1">_xludf.IFNA(VLOOKUP(B706,'S-FG'!$B$3:$B1001,1,FALSE),"")</f>
        <v>#NAME?</v>
      </c>
      <c r="L706" t="str">
        <f t="shared" si="2"/>
        <v/>
      </c>
      <c r="Q706" t="str">
        <f>IF(N706="","",SUMIFS('PR-BOM'!$D$3:$D1001,'PR-BOM'!$C$3:$C1001,N706))</f>
        <v/>
      </c>
      <c r="Y706" t="str">
        <f>IF(X706="","",SUMIFS(Issue!$D$3:$D1001,Issue!$C$3:$C1001,X706))</f>
        <v/>
      </c>
    </row>
    <row r="707" spans="5:25">
      <c r="E707" t="str">
        <f>IF(A707="","",SUMIFS(Issue!$D$3:$D1001,Issue!$C$3:$C1001,A707)*C707)</f>
        <v/>
      </c>
      <c r="F707" t="e">
        <f ca="1">_xludf.IFNA(VLOOKUP(B707,'S-FG'!$B$3:$B1001,1,FALSE),"")</f>
        <v>#NAME?</v>
      </c>
      <c r="L707" t="str">
        <f t="shared" si="2"/>
        <v/>
      </c>
      <c r="Q707" t="str">
        <f>IF(N707="","",SUMIFS('PR-BOM'!$D$3:$D1001,'PR-BOM'!$C$3:$C1001,N707))</f>
        <v/>
      </c>
      <c r="Y707" t="str">
        <f>IF(X707="","",SUMIFS(Issue!$D$3:$D1001,Issue!$C$3:$C1001,X707))</f>
        <v/>
      </c>
    </row>
    <row r="708" spans="5:25">
      <c r="E708" t="str">
        <f>IF(A708="","",SUMIFS(Issue!$D$3:$D1001,Issue!$C$3:$C1001,A708)*C708)</f>
        <v/>
      </c>
      <c r="F708" t="e">
        <f ca="1">_xludf.IFNA(VLOOKUP(B708,'S-FG'!$B$3:$B1001,1,FALSE),"")</f>
        <v>#NAME?</v>
      </c>
      <c r="L708" t="str">
        <f t="shared" si="2"/>
        <v/>
      </c>
      <c r="Q708" t="str">
        <f>IF(N708="","",SUMIFS('PR-BOM'!$D$3:$D1001,'PR-BOM'!$C$3:$C1001,N708))</f>
        <v/>
      </c>
      <c r="Y708" t="str">
        <f>IF(X708="","",SUMIFS(Issue!$D$3:$D1001,Issue!$C$3:$C1001,X708))</f>
        <v/>
      </c>
    </row>
    <row r="709" spans="5:25">
      <c r="E709" t="str">
        <f>IF(A709="","",SUMIFS(Issue!$D$3:$D1001,Issue!$C$3:$C1001,A709)*C709)</f>
        <v/>
      </c>
      <c r="F709" t="e">
        <f ca="1">_xludf.IFNA(VLOOKUP(B709,'S-FG'!$B$3:$B1001,1,FALSE),"")</f>
        <v>#NAME?</v>
      </c>
      <c r="L709" t="str">
        <f t="shared" si="2"/>
        <v/>
      </c>
      <c r="Q709" t="str">
        <f>IF(N709="","",SUMIFS('PR-BOM'!$D$3:$D1001,'PR-BOM'!$C$3:$C1001,N709))</f>
        <v/>
      </c>
      <c r="Y709" t="str">
        <f>IF(X709="","",SUMIFS(Issue!$D$3:$D1001,Issue!$C$3:$C1001,X709))</f>
        <v/>
      </c>
    </row>
    <row r="710" spans="5:25">
      <c r="E710" t="str">
        <f>IF(A710="","",SUMIFS(Issue!$D$3:$D1001,Issue!$C$3:$C1001,A710)*C710)</f>
        <v/>
      </c>
      <c r="F710" t="e">
        <f ca="1">_xludf.IFNA(VLOOKUP(B710,'S-FG'!$B$3:$B1001,1,FALSE),"")</f>
        <v>#NAME?</v>
      </c>
      <c r="L710" t="str">
        <f t="shared" si="2"/>
        <v/>
      </c>
      <c r="Q710" t="str">
        <f>IF(N710="","",SUMIFS('PR-BOM'!$D$3:$D1001,'PR-BOM'!$C$3:$C1001,N710))</f>
        <v/>
      </c>
      <c r="Y710" t="str">
        <f>IF(X710="","",SUMIFS(Issue!$D$3:$D1001,Issue!$C$3:$C1001,X710))</f>
        <v/>
      </c>
    </row>
    <row r="711" spans="5:25">
      <c r="E711" t="str">
        <f>IF(A711="","",SUMIFS(Issue!$D$3:$D1001,Issue!$C$3:$C1001,A711)*C711)</f>
        <v/>
      </c>
      <c r="F711" t="e">
        <f ca="1">_xludf.IFNA(VLOOKUP(B711,'S-FG'!$B$3:$B1001,1,FALSE),"")</f>
        <v>#NAME?</v>
      </c>
      <c r="L711" t="str">
        <f t="shared" si="2"/>
        <v/>
      </c>
      <c r="Q711" t="str">
        <f>IF(N711="","",SUMIFS('PR-BOM'!$D$3:$D1001,'PR-BOM'!$C$3:$C1001,N711))</f>
        <v/>
      </c>
      <c r="Y711" t="str">
        <f>IF(X711="","",SUMIFS(Issue!$D$3:$D1001,Issue!$C$3:$C1001,X711))</f>
        <v/>
      </c>
    </row>
    <row r="712" spans="5:25">
      <c r="E712" t="str">
        <f>IF(A712="","",SUMIFS(Issue!$D$3:$D1001,Issue!$C$3:$C1001,A712)*C712)</f>
        <v/>
      </c>
      <c r="F712" t="e">
        <f ca="1">_xludf.IFNA(VLOOKUP(B712,'S-FG'!$B$3:$B1001,1,FALSE),"")</f>
        <v>#NAME?</v>
      </c>
      <c r="L712" t="str">
        <f t="shared" si="2"/>
        <v/>
      </c>
      <c r="Q712" t="str">
        <f>IF(N712="","",SUMIFS('PR-BOM'!$D$3:$D1001,'PR-BOM'!$C$3:$C1001,N712))</f>
        <v/>
      </c>
      <c r="Y712" t="str">
        <f>IF(X712="","",SUMIFS(Issue!$D$3:$D1001,Issue!$C$3:$C1001,X712))</f>
        <v/>
      </c>
    </row>
    <row r="713" spans="5:25">
      <c r="E713" t="str">
        <f>IF(A713="","",SUMIFS(Issue!$D$3:$D1001,Issue!$C$3:$C1001,A713)*C713)</f>
        <v/>
      </c>
      <c r="F713" t="e">
        <f ca="1">_xludf.IFNA(VLOOKUP(B713,'S-FG'!$B$3:$B1001,1,FALSE),"")</f>
        <v>#NAME?</v>
      </c>
      <c r="L713" t="str">
        <f t="shared" si="2"/>
        <v/>
      </c>
      <c r="Q713" t="str">
        <f>IF(N713="","",SUMIFS('PR-BOM'!$D$3:$D1001,'PR-BOM'!$C$3:$C1001,N713))</f>
        <v/>
      </c>
      <c r="Y713" t="str">
        <f>IF(X713="","",SUMIFS(Issue!$D$3:$D1001,Issue!$C$3:$C1001,X713))</f>
        <v/>
      </c>
    </row>
    <row r="714" spans="5:25">
      <c r="E714" t="str">
        <f>IF(A714="","",SUMIFS(Issue!$D$3:$D1001,Issue!$C$3:$C1001,A714)*C714)</f>
        <v/>
      </c>
      <c r="F714" t="e">
        <f ca="1">_xludf.IFNA(VLOOKUP(B714,'S-FG'!$B$3:$B1001,1,FALSE),"")</f>
        <v>#NAME?</v>
      </c>
      <c r="L714" t="str">
        <f t="shared" si="2"/>
        <v/>
      </c>
      <c r="Q714" t="str">
        <f>IF(N714="","",SUMIFS('PR-BOM'!$D$3:$D1001,'PR-BOM'!$C$3:$C1001,N714))</f>
        <v/>
      </c>
      <c r="Y714" t="str">
        <f>IF(X714="","",SUMIFS(Issue!$D$3:$D1001,Issue!$C$3:$C1001,X714))</f>
        <v/>
      </c>
    </row>
    <row r="715" spans="5:25">
      <c r="E715" t="str">
        <f>IF(A715="","",SUMIFS(Issue!$D$3:$D1001,Issue!$C$3:$C1001,A715)*C715)</f>
        <v/>
      </c>
      <c r="F715" t="e">
        <f ca="1">_xludf.IFNA(VLOOKUP(B715,'S-FG'!$B$3:$B1001,1,FALSE),"")</f>
        <v>#NAME?</v>
      </c>
      <c r="L715" t="str">
        <f t="shared" si="2"/>
        <v/>
      </c>
      <c r="Q715" t="str">
        <f>IF(N715="","",SUMIFS('PR-BOM'!$D$3:$D1001,'PR-BOM'!$C$3:$C1001,N715))</f>
        <v/>
      </c>
      <c r="Y715" t="str">
        <f>IF(X715="","",SUMIFS(Issue!$D$3:$D1001,Issue!$C$3:$C1001,X715))</f>
        <v/>
      </c>
    </row>
    <row r="716" spans="5:25">
      <c r="E716" t="str">
        <f>IF(A716="","",SUMIFS(Issue!$D$3:$D1001,Issue!$C$3:$C1001,A716)*C716)</f>
        <v/>
      </c>
      <c r="F716" t="e">
        <f ca="1">_xludf.IFNA(VLOOKUP(B716,'S-FG'!$B$3:$B1001,1,FALSE),"")</f>
        <v>#NAME?</v>
      </c>
      <c r="L716" t="str">
        <f t="shared" si="2"/>
        <v/>
      </c>
      <c r="Q716" t="str">
        <f>IF(N716="","",SUMIFS('PR-BOM'!$D$3:$D1001,'PR-BOM'!$C$3:$C1001,N716))</f>
        <v/>
      </c>
      <c r="Y716" t="str">
        <f>IF(X716="","",SUMIFS(Issue!$D$3:$D1001,Issue!$C$3:$C1001,X716))</f>
        <v/>
      </c>
    </row>
    <row r="717" spans="5:25">
      <c r="E717" t="str">
        <f>IF(A717="","",SUMIFS(Issue!$D$3:$D1001,Issue!$C$3:$C1001,A717)*C717)</f>
        <v/>
      </c>
      <c r="F717" t="e">
        <f ca="1">_xludf.IFNA(VLOOKUP(B717,'S-FG'!$B$3:$B1001,1,FALSE),"")</f>
        <v>#NAME?</v>
      </c>
      <c r="L717" t="str">
        <f t="shared" si="2"/>
        <v/>
      </c>
      <c r="Q717" t="str">
        <f>IF(N717="","",SUMIFS('PR-BOM'!$D$3:$D1001,'PR-BOM'!$C$3:$C1001,N717))</f>
        <v/>
      </c>
      <c r="Y717" t="str">
        <f>IF(X717="","",SUMIFS(Issue!$D$3:$D1001,Issue!$C$3:$C1001,X717))</f>
        <v/>
      </c>
    </row>
    <row r="718" spans="5:25">
      <c r="E718" t="str">
        <f>IF(A718="","",SUMIFS(Issue!$D$3:$D1001,Issue!$C$3:$C1001,A718)*C718)</f>
        <v/>
      </c>
      <c r="F718" t="e">
        <f ca="1">_xludf.IFNA(VLOOKUP(B718,'S-FG'!$B$3:$B1001,1,FALSE),"")</f>
        <v>#NAME?</v>
      </c>
      <c r="L718" t="str">
        <f t="shared" si="2"/>
        <v/>
      </c>
      <c r="Q718" t="str">
        <f>IF(N718="","",SUMIFS('PR-BOM'!$D$3:$D1001,'PR-BOM'!$C$3:$C1001,N718))</f>
        <v/>
      </c>
      <c r="Y718" t="str">
        <f>IF(X718="","",SUMIFS(Issue!$D$3:$D1001,Issue!$C$3:$C1001,X718))</f>
        <v/>
      </c>
    </row>
    <row r="719" spans="5:25">
      <c r="E719" t="str">
        <f>IF(A719="","",SUMIFS(Issue!$D$3:$D1001,Issue!$C$3:$C1001,A719)*C719)</f>
        <v/>
      </c>
      <c r="F719" t="e">
        <f ca="1">_xludf.IFNA(VLOOKUP(B719,'S-FG'!$B$3:$B1001,1,FALSE),"")</f>
        <v>#NAME?</v>
      </c>
      <c r="L719" t="str">
        <f t="shared" si="2"/>
        <v/>
      </c>
      <c r="Q719" t="str">
        <f>IF(N719="","",SUMIFS('PR-BOM'!$D$3:$D1001,'PR-BOM'!$C$3:$C1001,N719))</f>
        <v/>
      </c>
      <c r="Y719" t="str">
        <f>IF(X719="","",SUMIFS(Issue!$D$3:$D1001,Issue!$C$3:$C1001,X719))</f>
        <v/>
      </c>
    </row>
    <row r="720" spans="5:25">
      <c r="E720" t="str">
        <f>IF(A720="","",SUMIFS(Issue!$D$3:$D1001,Issue!$C$3:$C1001,A720)*C720)</f>
        <v/>
      </c>
      <c r="F720" t="e">
        <f ca="1">_xludf.IFNA(VLOOKUP(B720,'S-FG'!$B$3:$B1001,1,FALSE),"")</f>
        <v>#NAME?</v>
      </c>
      <c r="L720" t="str">
        <f t="shared" si="2"/>
        <v/>
      </c>
      <c r="Q720" t="str">
        <f>IF(N720="","",SUMIFS('PR-BOM'!$D$3:$D1001,'PR-BOM'!$C$3:$C1001,N720))</f>
        <v/>
      </c>
      <c r="Y720" t="str">
        <f>IF(X720="","",SUMIFS(Issue!$D$3:$D1001,Issue!$C$3:$C1001,X720))</f>
        <v/>
      </c>
    </row>
    <row r="721" spans="5:25">
      <c r="E721" t="str">
        <f>IF(A721="","",SUMIFS(Issue!$D$3:$D1001,Issue!$C$3:$C1001,A721)*C721)</f>
        <v/>
      </c>
      <c r="F721" t="e">
        <f ca="1">_xludf.IFNA(VLOOKUP(B721,'S-FG'!$B$3:$B1001,1,FALSE),"")</f>
        <v>#NAME?</v>
      </c>
      <c r="L721" t="str">
        <f t="shared" si="2"/>
        <v/>
      </c>
      <c r="Q721" t="str">
        <f>IF(N721="","",SUMIFS('PR-BOM'!$D$3:$D1001,'PR-BOM'!$C$3:$C1001,N721))</f>
        <v/>
      </c>
      <c r="Y721" t="str">
        <f>IF(X721="","",SUMIFS(Issue!$D$3:$D1001,Issue!$C$3:$C1001,X721))</f>
        <v/>
      </c>
    </row>
    <row r="722" spans="5:25">
      <c r="E722" t="str">
        <f>IF(A722="","",SUMIFS(Issue!$D$3:$D1001,Issue!$C$3:$C1001,A722)*C722)</f>
        <v/>
      </c>
      <c r="F722" t="e">
        <f ca="1">_xludf.IFNA(VLOOKUP(B722,'S-FG'!$B$3:$B1001,1,FALSE),"")</f>
        <v>#NAME?</v>
      </c>
      <c r="L722" t="str">
        <f t="shared" si="2"/>
        <v/>
      </c>
      <c r="Q722" t="str">
        <f>IF(N722="","",SUMIFS('PR-BOM'!$D$3:$D1001,'PR-BOM'!$C$3:$C1001,N722))</f>
        <v/>
      </c>
      <c r="Y722" t="str">
        <f>IF(X722="","",SUMIFS(Issue!$D$3:$D1001,Issue!$C$3:$C1001,X722))</f>
        <v/>
      </c>
    </row>
    <row r="723" spans="5:25">
      <c r="E723" t="str">
        <f>IF(A723="","",SUMIFS(Issue!$D$3:$D1001,Issue!$C$3:$C1001,A723)*C723)</f>
        <v/>
      </c>
      <c r="F723" t="e">
        <f ca="1">_xludf.IFNA(VLOOKUP(B723,'S-FG'!$B$3:$B1001,1,FALSE),"")</f>
        <v>#NAME?</v>
      </c>
      <c r="L723" t="str">
        <f t="shared" si="2"/>
        <v/>
      </c>
      <c r="Q723" t="str">
        <f>IF(N723="","",SUMIFS('PR-BOM'!$D$3:$D1001,'PR-BOM'!$C$3:$C1001,N723))</f>
        <v/>
      </c>
      <c r="Y723" t="str">
        <f>IF(X723="","",SUMIFS(Issue!$D$3:$D1001,Issue!$C$3:$C1001,X723))</f>
        <v/>
      </c>
    </row>
    <row r="724" spans="5:25">
      <c r="E724" t="str">
        <f>IF(A724="","",SUMIFS(Issue!$D$3:$D1001,Issue!$C$3:$C1001,A724)*C724)</f>
        <v/>
      </c>
      <c r="F724" t="e">
        <f ca="1">_xludf.IFNA(VLOOKUP(B724,'S-FG'!$B$3:$B1001,1,FALSE),"")</f>
        <v>#NAME?</v>
      </c>
      <c r="L724" t="str">
        <f t="shared" si="2"/>
        <v/>
      </c>
      <c r="Q724" t="str">
        <f>IF(N724="","",SUMIFS('PR-BOM'!$D$3:$D1001,'PR-BOM'!$C$3:$C1001,N724))</f>
        <v/>
      </c>
      <c r="Y724" t="str">
        <f>IF(X724="","",SUMIFS(Issue!$D$3:$D1001,Issue!$C$3:$C1001,X724))</f>
        <v/>
      </c>
    </row>
    <row r="725" spans="5:25">
      <c r="E725" t="str">
        <f>IF(A725="","",SUMIFS(Issue!$D$3:$D1001,Issue!$C$3:$C1001,A725)*C725)</f>
        <v/>
      </c>
      <c r="F725" t="e">
        <f ca="1">_xludf.IFNA(VLOOKUP(B725,'S-FG'!$B$3:$B1001,1,FALSE),"")</f>
        <v>#NAME?</v>
      </c>
      <c r="L725" t="str">
        <f t="shared" si="2"/>
        <v/>
      </c>
      <c r="Q725" t="str">
        <f>IF(N725="","",SUMIFS('PR-BOM'!$D$3:$D1001,'PR-BOM'!$C$3:$C1001,N725))</f>
        <v/>
      </c>
      <c r="Y725" t="str">
        <f>IF(X725="","",SUMIFS(Issue!$D$3:$D1001,Issue!$C$3:$C1001,X725))</f>
        <v/>
      </c>
    </row>
    <row r="726" spans="5:25">
      <c r="E726" t="str">
        <f>IF(A726="","",SUMIFS(Issue!$D$3:$D1001,Issue!$C$3:$C1001,A726)*C726)</f>
        <v/>
      </c>
      <c r="F726" t="e">
        <f ca="1">_xludf.IFNA(VLOOKUP(B726,'S-FG'!$B$3:$B1001,1,FALSE),"")</f>
        <v>#NAME?</v>
      </c>
      <c r="L726" t="str">
        <f t="shared" si="2"/>
        <v/>
      </c>
      <c r="Q726" t="str">
        <f>IF(N726="","",SUMIFS('PR-BOM'!$D$3:$D1001,'PR-BOM'!$C$3:$C1001,N726))</f>
        <v/>
      </c>
      <c r="Y726" t="str">
        <f>IF(X726="","",SUMIFS(Issue!$D$3:$D1001,Issue!$C$3:$C1001,X726))</f>
        <v/>
      </c>
    </row>
    <row r="727" spans="5:25">
      <c r="E727" t="str">
        <f>IF(A727="","",SUMIFS(Issue!$D$3:$D1001,Issue!$C$3:$C1001,A727)*C727)</f>
        <v/>
      </c>
      <c r="F727" t="e">
        <f ca="1">_xludf.IFNA(VLOOKUP(B727,'S-FG'!$B$3:$B1001,1,FALSE),"")</f>
        <v>#NAME?</v>
      </c>
      <c r="L727" t="str">
        <f t="shared" si="2"/>
        <v/>
      </c>
      <c r="Q727" t="str">
        <f>IF(N727="","",SUMIFS('PR-BOM'!$D$3:$D1001,'PR-BOM'!$C$3:$C1001,N727))</f>
        <v/>
      </c>
      <c r="Y727" t="str">
        <f>IF(X727="","",SUMIFS(Issue!$D$3:$D1001,Issue!$C$3:$C1001,X727))</f>
        <v/>
      </c>
    </row>
    <row r="728" spans="5:25">
      <c r="E728" t="str">
        <f>IF(A728="","",SUMIFS(Issue!$D$3:$D1001,Issue!$C$3:$C1001,A728)*C728)</f>
        <v/>
      </c>
      <c r="F728" t="e">
        <f ca="1">_xludf.IFNA(VLOOKUP(B728,'S-FG'!$B$3:$B1001,1,FALSE),"")</f>
        <v>#NAME?</v>
      </c>
      <c r="L728" t="str">
        <f t="shared" si="2"/>
        <v/>
      </c>
      <c r="Q728" t="str">
        <f>IF(N728="","",SUMIFS('PR-BOM'!$D$3:$D1001,'PR-BOM'!$C$3:$C1001,N728))</f>
        <v/>
      </c>
      <c r="Y728" t="str">
        <f>IF(X728="","",SUMIFS(Issue!$D$3:$D1001,Issue!$C$3:$C1001,X728))</f>
        <v/>
      </c>
    </row>
    <row r="729" spans="5:25">
      <c r="E729" t="str">
        <f>IF(A729="","",SUMIFS(Issue!$D$3:$D1001,Issue!$C$3:$C1001,A729)*C729)</f>
        <v/>
      </c>
      <c r="F729" t="e">
        <f ca="1">_xludf.IFNA(VLOOKUP(B729,'S-FG'!$B$3:$B1001,1,FALSE),"")</f>
        <v>#NAME?</v>
      </c>
      <c r="L729" t="str">
        <f t="shared" si="2"/>
        <v/>
      </c>
      <c r="Q729" t="str">
        <f>IF(N729="","",SUMIFS('PR-BOM'!$D$3:$D1001,'PR-BOM'!$C$3:$C1001,N729))</f>
        <v/>
      </c>
      <c r="Y729" t="str">
        <f>IF(X729="","",SUMIFS(Issue!$D$3:$D1001,Issue!$C$3:$C1001,X729))</f>
        <v/>
      </c>
    </row>
    <row r="730" spans="5:25">
      <c r="E730" t="str">
        <f>IF(A730="","",SUMIFS(Issue!$D$3:$D1001,Issue!$C$3:$C1001,A730)*C730)</f>
        <v/>
      </c>
      <c r="F730" t="e">
        <f ca="1">_xludf.IFNA(VLOOKUP(B730,'S-FG'!$B$3:$B1001,1,FALSE),"")</f>
        <v>#NAME?</v>
      </c>
      <c r="L730" t="str">
        <f t="shared" si="2"/>
        <v/>
      </c>
      <c r="Q730" t="str">
        <f>IF(N730="","",SUMIFS('PR-BOM'!$D$3:$D1001,'PR-BOM'!$C$3:$C1001,N730))</f>
        <v/>
      </c>
      <c r="Y730" t="str">
        <f>IF(X730="","",SUMIFS(Issue!$D$3:$D1001,Issue!$C$3:$C1001,X730))</f>
        <v/>
      </c>
    </row>
    <row r="731" spans="5:25">
      <c r="E731" t="str">
        <f>IF(A731="","",SUMIFS(Issue!$D$3:$D1001,Issue!$C$3:$C1001,A731)*C731)</f>
        <v/>
      </c>
      <c r="F731" t="e">
        <f ca="1">_xludf.IFNA(VLOOKUP(B731,'S-FG'!$B$3:$B1001,1,FALSE),"")</f>
        <v>#NAME?</v>
      </c>
      <c r="L731" t="str">
        <f t="shared" si="2"/>
        <v/>
      </c>
      <c r="Q731" t="str">
        <f>IF(N731="","",SUMIFS('PR-BOM'!$D$3:$D1001,'PR-BOM'!$C$3:$C1001,N731))</f>
        <v/>
      </c>
      <c r="Y731" t="str">
        <f>IF(X731="","",SUMIFS(Issue!$D$3:$D1001,Issue!$C$3:$C1001,X731))</f>
        <v/>
      </c>
    </row>
    <row r="732" spans="5:25">
      <c r="E732" t="str">
        <f>IF(A732="","",SUMIFS(Issue!$D$3:$D1001,Issue!$C$3:$C1001,A732)*C732)</f>
        <v/>
      </c>
      <c r="F732" t="e">
        <f ca="1">_xludf.IFNA(VLOOKUP(B732,'S-FG'!$B$3:$B1001,1,FALSE),"")</f>
        <v>#NAME?</v>
      </c>
      <c r="L732" t="str">
        <f t="shared" si="2"/>
        <v/>
      </c>
      <c r="Q732" t="str">
        <f>IF(N732="","",SUMIFS('PR-BOM'!$D$3:$D1001,'PR-BOM'!$C$3:$C1001,N732))</f>
        <v/>
      </c>
      <c r="Y732" t="str">
        <f>IF(X732="","",SUMIFS(Issue!$D$3:$D1001,Issue!$C$3:$C1001,X732))</f>
        <v/>
      </c>
    </row>
    <row r="733" spans="5:25">
      <c r="E733" t="str">
        <f>IF(A733="","",SUMIFS(Issue!$D$3:$D1001,Issue!$C$3:$C1001,A733)*C733)</f>
        <v/>
      </c>
      <c r="F733" t="e">
        <f ca="1">_xludf.IFNA(VLOOKUP(B733,'S-FG'!$B$3:$B1001,1,FALSE),"")</f>
        <v>#NAME?</v>
      </c>
      <c r="L733" t="str">
        <f t="shared" si="2"/>
        <v/>
      </c>
      <c r="Q733" t="str">
        <f>IF(N733="","",SUMIFS('PR-BOM'!$D$3:$D1001,'PR-BOM'!$C$3:$C1001,N733))</f>
        <v/>
      </c>
      <c r="Y733" t="str">
        <f>IF(X733="","",SUMIFS(Issue!$D$3:$D1001,Issue!$C$3:$C1001,X733))</f>
        <v/>
      </c>
    </row>
    <row r="734" spans="5:25">
      <c r="E734" t="str">
        <f>IF(A734="","",SUMIFS(Issue!$D$3:$D1001,Issue!$C$3:$C1001,A734)*C734)</f>
        <v/>
      </c>
      <c r="F734" t="e">
        <f ca="1">_xludf.IFNA(VLOOKUP(B734,'S-FG'!$B$3:$B1001,1,FALSE),"")</f>
        <v>#NAME?</v>
      </c>
      <c r="L734" t="str">
        <f t="shared" si="2"/>
        <v/>
      </c>
      <c r="Q734" t="str">
        <f>IF(N734="","",SUMIFS('PR-BOM'!$D$3:$D1001,'PR-BOM'!$C$3:$C1001,N734))</f>
        <v/>
      </c>
      <c r="Y734" t="str">
        <f>IF(X734="","",SUMIFS(Issue!$D$3:$D1001,Issue!$C$3:$C1001,X734))</f>
        <v/>
      </c>
    </row>
    <row r="735" spans="5:25">
      <c r="E735" t="str">
        <f>IF(A735="","",SUMIFS(Issue!$D$3:$D1001,Issue!$C$3:$C1001,A735)*C735)</f>
        <v/>
      </c>
      <c r="F735" t="e">
        <f ca="1">_xludf.IFNA(VLOOKUP(B735,'S-FG'!$B$3:$B1001,1,FALSE),"")</f>
        <v>#NAME?</v>
      </c>
      <c r="L735" t="str">
        <f t="shared" si="2"/>
        <v/>
      </c>
      <c r="Q735" t="str">
        <f>IF(N735="","",SUMIFS('PR-BOM'!$D$3:$D1001,'PR-BOM'!$C$3:$C1001,N735))</f>
        <v/>
      </c>
      <c r="Y735" t="str">
        <f>IF(X735="","",SUMIFS(Issue!$D$3:$D1001,Issue!$C$3:$C1001,X735))</f>
        <v/>
      </c>
    </row>
    <row r="736" spans="5:25">
      <c r="E736" t="str">
        <f>IF(A736="","",SUMIFS(Issue!$D$3:$D1001,Issue!$C$3:$C1001,A736)*C736)</f>
        <v/>
      </c>
      <c r="F736" t="e">
        <f ca="1">_xludf.IFNA(VLOOKUP(B736,'S-FG'!$B$3:$B1001,1,FALSE),"")</f>
        <v>#NAME?</v>
      </c>
      <c r="L736" t="str">
        <f t="shared" si="2"/>
        <v/>
      </c>
      <c r="Q736" t="str">
        <f>IF(N736="","",SUMIFS('PR-BOM'!$D$3:$D1001,'PR-BOM'!$C$3:$C1001,N736))</f>
        <v/>
      </c>
      <c r="Y736" t="str">
        <f>IF(X736="","",SUMIFS(Issue!$D$3:$D1001,Issue!$C$3:$C1001,X736))</f>
        <v/>
      </c>
    </row>
    <row r="737" spans="5:25">
      <c r="E737" t="str">
        <f>IF(A737="","",SUMIFS(Issue!$D$3:$D1001,Issue!$C$3:$C1001,A737)*C737)</f>
        <v/>
      </c>
      <c r="F737" t="e">
        <f ca="1">_xludf.IFNA(VLOOKUP(B737,'S-FG'!$B$3:$B1001,1,FALSE),"")</f>
        <v>#NAME?</v>
      </c>
      <c r="L737" t="str">
        <f t="shared" si="2"/>
        <v/>
      </c>
      <c r="Q737" t="str">
        <f>IF(N737="","",SUMIFS('PR-BOM'!$D$3:$D1001,'PR-BOM'!$C$3:$C1001,N737))</f>
        <v/>
      </c>
      <c r="Y737" t="str">
        <f>IF(X737="","",SUMIFS(Issue!$D$3:$D1001,Issue!$C$3:$C1001,X737))</f>
        <v/>
      </c>
    </row>
    <row r="738" spans="5:25">
      <c r="E738" t="str">
        <f>IF(A738="","",SUMIFS(Issue!$D$3:$D1001,Issue!$C$3:$C1001,A738)*C738)</f>
        <v/>
      </c>
      <c r="F738" t="e">
        <f ca="1">_xludf.IFNA(VLOOKUP(B738,'S-FG'!$B$3:$B1001,1,FALSE),"")</f>
        <v>#NAME?</v>
      </c>
      <c r="L738" t="str">
        <f t="shared" si="2"/>
        <v/>
      </c>
      <c r="Q738" t="str">
        <f>IF(N738="","",SUMIFS('PR-BOM'!$D$3:$D1001,'PR-BOM'!$C$3:$C1001,N738))</f>
        <v/>
      </c>
      <c r="Y738" t="str">
        <f>IF(X738="","",SUMIFS(Issue!$D$3:$D1001,Issue!$C$3:$C1001,X738))</f>
        <v/>
      </c>
    </row>
    <row r="739" spans="5:25">
      <c r="E739" t="str">
        <f>IF(A739="","",SUMIFS(Issue!$D$3:$D1001,Issue!$C$3:$C1001,A739)*C739)</f>
        <v/>
      </c>
      <c r="F739" t="e">
        <f ca="1">_xludf.IFNA(VLOOKUP(B739,'S-FG'!$B$3:$B1001,1,FALSE),"")</f>
        <v>#NAME?</v>
      </c>
      <c r="L739" t="str">
        <f t="shared" si="2"/>
        <v/>
      </c>
      <c r="Q739" t="str">
        <f>IF(N739="","",SUMIFS('PR-BOM'!$D$3:$D1001,'PR-BOM'!$C$3:$C1001,N739))</f>
        <v/>
      </c>
      <c r="Y739" t="str">
        <f>IF(X739="","",SUMIFS(Issue!$D$3:$D1001,Issue!$C$3:$C1001,X739))</f>
        <v/>
      </c>
    </row>
    <row r="740" spans="5:25">
      <c r="E740" t="str">
        <f>IF(A740="","",SUMIFS(Issue!$D$3:$D1001,Issue!$C$3:$C1001,A740)*C740)</f>
        <v/>
      </c>
      <c r="F740" t="e">
        <f ca="1">_xludf.IFNA(VLOOKUP(B740,'S-FG'!$B$3:$B1001,1,FALSE),"")</f>
        <v>#NAME?</v>
      </c>
      <c r="L740" t="str">
        <f t="shared" si="2"/>
        <v/>
      </c>
      <c r="Q740" t="str">
        <f>IF(N740="","",SUMIFS('PR-BOM'!$D$3:$D1001,'PR-BOM'!$C$3:$C1001,N740))</f>
        <v/>
      </c>
      <c r="Y740" t="str">
        <f>IF(X740="","",SUMIFS(Issue!$D$3:$D1001,Issue!$C$3:$C1001,X740))</f>
        <v/>
      </c>
    </row>
    <row r="741" spans="5:25">
      <c r="E741" t="str">
        <f>IF(A741="","",SUMIFS(Issue!$D$3:$D1001,Issue!$C$3:$C1001,A741)*C741)</f>
        <v/>
      </c>
      <c r="F741" t="e">
        <f ca="1">_xludf.IFNA(VLOOKUP(B741,'S-FG'!$B$3:$B1001,1,FALSE),"")</f>
        <v>#NAME?</v>
      </c>
      <c r="L741" t="str">
        <f t="shared" si="2"/>
        <v/>
      </c>
      <c r="Q741" t="str">
        <f>IF(N741="","",SUMIFS('PR-BOM'!$D$3:$D1001,'PR-BOM'!$C$3:$C1001,N741))</f>
        <v/>
      </c>
      <c r="Y741" t="str">
        <f>IF(X741="","",SUMIFS(Issue!$D$3:$D1001,Issue!$C$3:$C1001,X741))</f>
        <v/>
      </c>
    </row>
    <row r="742" spans="5:25">
      <c r="E742" t="str">
        <f>IF(A742="","",SUMIFS(Issue!$D$3:$D1001,Issue!$C$3:$C1001,A742)*C742)</f>
        <v/>
      </c>
      <c r="F742" t="e">
        <f ca="1">_xludf.IFNA(VLOOKUP(B742,'S-FG'!$B$3:$B1001,1,FALSE),"")</f>
        <v>#NAME?</v>
      </c>
      <c r="L742" t="str">
        <f t="shared" si="2"/>
        <v/>
      </c>
      <c r="Q742" t="str">
        <f>IF(N742="","",SUMIFS('PR-BOM'!$D$3:$D1001,'PR-BOM'!$C$3:$C1001,N742))</f>
        <v/>
      </c>
      <c r="Y742" t="str">
        <f>IF(X742="","",SUMIFS(Issue!$D$3:$D1001,Issue!$C$3:$C1001,X742))</f>
        <v/>
      </c>
    </row>
    <row r="743" spans="5:25">
      <c r="E743" t="str">
        <f>IF(A743="","",SUMIFS(Issue!$D$3:$D1001,Issue!$C$3:$C1001,A743)*C743)</f>
        <v/>
      </c>
      <c r="F743" t="e">
        <f ca="1">_xludf.IFNA(VLOOKUP(B743,'S-FG'!$B$3:$B1001,1,FALSE),"")</f>
        <v>#NAME?</v>
      </c>
      <c r="L743" t="str">
        <f t="shared" si="2"/>
        <v/>
      </c>
      <c r="Q743" t="str">
        <f>IF(N743="","",SUMIFS('PR-BOM'!$D$3:$D1001,'PR-BOM'!$C$3:$C1001,N743))</f>
        <v/>
      </c>
      <c r="Y743" t="str">
        <f>IF(X743="","",SUMIFS(Issue!$D$3:$D1001,Issue!$C$3:$C1001,X743))</f>
        <v/>
      </c>
    </row>
    <row r="744" spans="5:25">
      <c r="E744" t="str">
        <f>IF(A744="","",SUMIFS(Issue!$D$3:$D1001,Issue!$C$3:$C1001,A744)*C744)</f>
        <v/>
      </c>
      <c r="F744" t="e">
        <f ca="1">_xludf.IFNA(VLOOKUP(B744,'S-FG'!$B$3:$B1001,1,FALSE),"")</f>
        <v>#NAME?</v>
      </c>
      <c r="L744" t="str">
        <f t="shared" si="2"/>
        <v/>
      </c>
      <c r="Q744" t="str">
        <f>IF(N744="","",SUMIFS('PR-BOM'!$D$3:$D1001,'PR-BOM'!$C$3:$C1001,N744))</f>
        <v/>
      </c>
      <c r="Y744" t="str">
        <f>IF(X744="","",SUMIFS(Issue!$D$3:$D1001,Issue!$C$3:$C1001,X744))</f>
        <v/>
      </c>
    </row>
    <row r="745" spans="5:25">
      <c r="E745" t="str">
        <f>IF(A745="","",SUMIFS(Issue!$D$3:$D1001,Issue!$C$3:$C1001,A745)*C745)</f>
        <v/>
      </c>
      <c r="F745" t="e">
        <f ca="1">_xludf.IFNA(VLOOKUP(B745,'S-FG'!$B$3:$B1001,1,FALSE),"")</f>
        <v>#NAME?</v>
      </c>
      <c r="L745" t="str">
        <f t="shared" si="2"/>
        <v/>
      </c>
      <c r="Q745" t="str">
        <f>IF(N745="","",SUMIFS('PR-BOM'!$D$3:$D1001,'PR-BOM'!$C$3:$C1001,N745))</f>
        <v/>
      </c>
      <c r="Y745" t="str">
        <f>IF(X745="","",SUMIFS(Issue!$D$3:$D1001,Issue!$C$3:$C1001,X745))</f>
        <v/>
      </c>
    </row>
    <row r="746" spans="5:25">
      <c r="E746" t="str">
        <f>IF(A746="","",SUMIFS(Issue!$D$3:$D1001,Issue!$C$3:$C1001,A746)*C746)</f>
        <v/>
      </c>
      <c r="F746" t="e">
        <f ca="1">_xludf.IFNA(VLOOKUP(B746,'S-FG'!$B$3:$B1001,1,FALSE),"")</f>
        <v>#NAME?</v>
      </c>
      <c r="L746" t="str">
        <f t="shared" si="2"/>
        <v/>
      </c>
      <c r="Q746" t="str">
        <f>IF(N746="","",SUMIFS('PR-BOM'!$D$3:$D1001,'PR-BOM'!$C$3:$C1001,N746))</f>
        <v/>
      </c>
      <c r="Y746" t="str">
        <f>IF(X746="","",SUMIFS(Issue!$D$3:$D1001,Issue!$C$3:$C1001,X746))</f>
        <v/>
      </c>
    </row>
    <row r="747" spans="5:25">
      <c r="E747" t="str">
        <f>IF(A747="","",SUMIFS(Issue!$D$3:$D1001,Issue!$C$3:$C1001,A747)*C747)</f>
        <v/>
      </c>
      <c r="F747" t="e">
        <f ca="1">_xludf.IFNA(VLOOKUP(B747,'S-FG'!$B$3:$B1001,1,FALSE),"")</f>
        <v>#NAME?</v>
      </c>
      <c r="L747" t="str">
        <f t="shared" si="2"/>
        <v/>
      </c>
      <c r="Q747" t="str">
        <f>IF(N747="","",SUMIFS('PR-BOM'!$D$3:$D1001,'PR-BOM'!$C$3:$C1001,N747))</f>
        <v/>
      </c>
      <c r="Y747" t="str">
        <f>IF(X747="","",SUMIFS(Issue!$D$3:$D1001,Issue!$C$3:$C1001,X747))</f>
        <v/>
      </c>
    </row>
    <row r="748" spans="5:25">
      <c r="E748" t="str">
        <f>IF(A748="","",SUMIFS(Issue!$D$3:$D1001,Issue!$C$3:$C1001,A748)*C748)</f>
        <v/>
      </c>
      <c r="F748" t="e">
        <f ca="1">_xludf.IFNA(VLOOKUP(B748,'S-FG'!$B$3:$B1001,1,FALSE),"")</f>
        <v>#NAME?</v>
      </c>
      <c r="L748" t="str">
        <f t="shared" si="2"/>
        <v/>
      </c>
      <c r="Q748" t="str">
        <f>IF(N748="","",SUMIFS('PR-BOM'!$D$3:$D1001,'PR-BOM'!$C$3:$C1001,N748))</f>
        <v/>
      </c>
      <c r="Y748" t="str">
        <f>IF(X748="","",SUMIFS(Issue!$D$3:$D1001,Issue!$C$3:$C1001,X748))</f>
        <v/>
      </c>
    </row>
    <row r="749" spans="5:25">
      <c r="E749" t="str">
        <f>IF(A749="","",SUMIFS(Issue!$D$3:$D1001,Issue!$C$3:$C1001,A749)*C749)</f>
        <v/>
      </c>
      <c r="F749" t="e">
        <f ca="1">_xludf.IFNA(VLOOKUP(B749,'S-FG'!$B$3:$B1001,1,FALSE),"")</f>
        <v>#NAME?</v>
      </c>
      <c r="L749" t="str">
        <f t="shared" si="2"/>
        <v/>
      </c>
      <c r="Q749" t="str">
        <f>IF(N749="","",SUMIFS('PR-BOM'!$D$3:$D1001,'PR-BOM'!$C$3:$C1001,N749))</f>
        <v/>
      </c>
      <c r="Y749" t="str">
        <f>IF(X749="","",SUMIFS(Issue!$D$3:$D1001,Issue!$C$3:$C1001,X749))</f>
        <v/>
      </c>
    </row>
    <row r="750" spans="5:25">
      <c r="E750" t="str">
        <f>IF(A750="","",SUMIFS(Issue!$D$3:$D1001,Issue!$C$3:$C1001,A750)*C750)</f>
        <v/>
      </c>
      <c r="F750" t="e">
        <f ca="1">_xludf.IFNA(VLOOKUP(B750,'S-FG'!$B$3:$B1001,1,FALSE),"")</f>
        <v>#NAME?</v>
      </c>
      <c r="L750" t="str">
        <f t="shared" si="2"/>
        <v/>
      </c>
      <c r="Q750" t="str">
        <f>IF(N750="","",SUMIFS('PR-BOM'!$D$3:$D1001,'PR-BOM'!$C$3:$C1001,N750))</f>
        <v/>
      </c>
      <c r="Y750" t="str">
        <f>IF(X750="","",SUMIFS(Issue!$D$3:$D1001,Issue!$C$3:$C1001,X750))</f>
        <v/>
      </c>
    </row>
    <row r="751" spans="5:25">
      <c r="E751" t="str">
        <f>IF(A751="","",SUMIFS(Issue!$D$3:$D1001,Issue!$C$3:$C1001,A751)*C751)</f>
        <v/>
      </c>
      <c r="F751" t="e">
        <f ca="1">_xludf.IFNA(VLOOKUP(B751,'S-FG'!$B$3:$B1001,1,FALSE),"")</f>
        <v>#NAME?</v>
      </c>
      <c r="L751" t="str">
        <f t="shared" si="2"/>
        <v/>
      </c>
      <c r="Q751" t="str">
        <f>IF(N751="","",SUMIFS('PR-BOM'!$D$3:$D1001,'PR-BOM'!$C$3:$C1001,N751))</f>
        <v/>
      </c>
      <c r="Y751" t="str">
        <f>IF(X751="","",SUMIFS(Issue!$D$3:$D1001,Issue!$C$3:$C1001,X751))</f>
        <v/>
      </c>
    </row>
    <row r="752" spans="5:25">
      <c r="E752" t="str">
        <f>IF(A752="","",SUMIFS(Issue!$D$3:$D1001,Issue!$C$3:$C1001,A752)*C752)</f>
        <v/>
      </c>
      <c r="F752" t="e">
        <f ca="1">_xludf.IFNA(VLOOKUP(B752,'S-FG'!$B$3:$B1001,1,FALSE),"")</f>
        <v>#NAME?</v>
      </c>
      <c r="L752" t="str">
        <f t="shared" si="2"/>
        <v/>
      </c>
      <c r="Q752" t="str">
        <f>IF(N752="","",SUMIFS('PR-BOM'!$D$3:$D1001,'PR-BOM'!$C$3:$C1001,N752))</f>
        <v/>
      </c>
      <c r="Y752" t="str">
        <f>IF(X752="","",SUMIFS(Issue!$D$3:$D1001,Issue!$C$3:$C1001,X752))</f>
        <v/>
      </c>
    </row>
    <row r="753" spans="5:25">
      <c r="E753" t="str">
        <f>IF(A753="","",SUMIFS(Issue!$D$3:$D1001,Issue!$C$3:$C1001,A753)*C753)</f>
        <v/>
      </c>
      <c r="F753" t="e">
        <f ca="1">_xludf.IFNA(VLOOKUP(B753,'S-FG'!$B$3:$B1001,1,FALSE),"")</f>
        <v>#NAME?</v>
      </c>
      <c r="L753" t="str">
        <f t="shared" si="2"/>
        <v/>
      </c>
      <c r="Q753" t="str">
        <f>IF(N753="","",SUMIFS('PR-BOM'!$D$3:$D1001,'PR-BOM'!$C$3:$C1001,N753))</f>
        <v/>
      </c>
      <c r="Y753" t="str">
        <f>IF(X753="","",SUMIFS(Issue!$D$3:$D1001,Issue!$C$3:$C1001,X753))</f>
        <v/>
      </c>
    </row>
    <row r="754" spans="5:25">
      <c r="E754" t="str">
        <f>IF(A754="","",SUMIFS(Issue!$D$3:$D1001,Issue!$C$3:$C1001,A754)*C754)</f>
        <v/>
      </c>
      <c r="F754" t="e">
        <f ca="1">_xludf.IFNA(VLOOKUP(B754,'S-FG'!$B$3:$B1001,1,FALSE),"")</f>
        <v>#NAME?</v>
      </c>
      <c r="L754" t="str">
        <f t="shared" si="2"/>
        <v/>
      </c>
      <c r="Q754" t="str">
        <f>IF(N754="","",SUMIFS('PR-BOM'!$D$3:$D1001,'PR-BOM'!$C$3:$C1001,N754))</f>
        <v/>
      </c>
      <c r="Y754" t="str">
        <f>IF(X754="","",SUMIFS(Issue!$D$3:$D1001,Issue!$C$3:$C1001,X754))</f>
        <v/>
      </c>
    </row>
    <row r="755" spans="5:25">
      <c r="E755" t="str">
        <f>IF(A755="","",SUMIFS(Issue!$D$3:$D1001,Issue!$C$3:$C1001,A755)*C755)</f>
        <v/>
      </c>
      <c r="F755" t="e">
        <f ca="1">_xludf.IFNA(VLOOKUP(B755,'S-FG'!$B$3:$B1001,1,FALSE),"")</f>
        <v>#NAME?</v>
      </c>
      <c r="L755" t="str">
        <f t="shared" si="2"/>
        <v/>
      </c>
      <c r="Q755" t="str">
        <f>IF(N755="","",SUMIFS('PR-BOM'!$D$3:$D1001,'PR-BOM'!$C$3:$C1001,N755))</f>
        <v/>
      </c>
      <c r="Y755" t="str">
        <f>IF(X755="","",SUMIFS(Issue!$D$3:$D1001,Issue!$C$3:$C1001,X755))</f>
        <v/>
      </c>
    </row>
    <row r="756" spans="5:25">
      <c r="E756" t="str">
        <f>IF(A756="","",SUMIFS(Issue!$D$3:$D1001,Issue!$C$3:$C1001,A756)*C756)</f>
        <v/>
      </c>
      <c r="F756" t="e">
        <f ca="1">_xludf.IFNA(VLOOKUP(B756,'S-FG'!$B$3:$B1001,1,FALSE),"")</f>
        <v>#NAME?</v>
      </c>
      <c r="L756" t="str">
        <f t="shared" si="2"/>
        <v/>
      </c>
      <c r="Q756" t="str">
        <f>IF(N756="","",SUMIFS('PR-BOM'!$D$3:$D1001,'PR-BOM'!$C$3:$C1001,N756))</f>
        <v/>
      </c>
      <c r="Y756" t="str">
        <f>IF(X756="","",SUMIFS(Issue!$D$3:$D1001,Issue!$C$3:$C1001,X756))</f>
        <v/>
      </c>
    </row>
    <row r="757" spans="5:25">
      <c r="E757" t="str">
        <f>IF(A757="","",SUMIFS(Issue!$D$3:$D1001,Issue!$C$3:$C1001,A757)*C757)</f>
        <v/>
      </c>
      <c r="F757" t="e">
        <f ca="1">_xludf.IFNA(VLOOKUP(B757,'S-FG'!$B$3:$B1001,1,FALSE),"")</f>
        <v>#NAME?</v>
      </c>
      <c r="L757" t="str">
        <f t="shared" si="2"/>
        <v/>
      </c>
      <c r="Q757" t="str">
        <f>IF(N757="","",SUMIFS('PR-BOM'!$D$3:$D1001,'PR-BOM'!$C$3:$C1001,N757))</f>
        <v/>
      </c>
      <c r="Y757" t="str">
        <f>IF(X757="","",SUMIFS(Issue!$D$3:$D1001,Issue!$C$3:$C1001,X757))</f>
        <v/>
      </c>
    </row>
    <row r="758" spans="5:25">
      <c r="E758" t="str">
        <f>IF(A758="","",SUMIFS(Issue!$D$3:$D1001,Issue!$C$3:$C1001,A758)*C758)</f>
        <v/>
      </c>
      <c r="F758" t="e">
        <f ca="1">_xludf.IFNA(VLOOKUP(B758,'S-FG'!$B$3:$B1001,1,FALSE),"")</f>
        <v>#NAME?</v>
      </c>
      <c r="L758" t="str">
        <f t="shared" si="2"/>
        <v/>
      </c>
      <c r="Q758" t="str">
        <f>IF(N758="","",SUMIFS('PR-BOM'!$D$3:$D1001,'PR-BOM'!$C$3:$C1001,N758))</f>
        <v/>
      </c>
      <c r="Y758" t="str">
        <f>IF(X758="","",SUMIFS(Issue!$D$3:$D1001,Issue!$C$3:$C1001,X758))</f>
        <v/>
      </c>
    </row>
    <row r="759" spans="5:25">
      <c r="E759" t="str">
        <f>IF(A759="","",SUMIFS(Issue!$D$3:$D1001,Issue!$C$3:$C1001,A759)*C759)</f>
        <v/>
      </c>
      <c r="F759" t="e">
        <f ca="1">_xludf.IFNA(VLOOKUP(B759,'S-FG'!$B$3:$B1001,1,FALSE),"")</f>
        <v>#NAME?</v>
      </c>
      <c r="L759" t="str">
        <f t="shared" si="2"/>
        <v/>
      </c>
      <c r="Q759" t="str">
        <f>IF(N759="","",SUMIFS('PR-BOM'!$D$3:$D1001,'PR-BOM'!$C$3:$C1001,N759))</f>
        <v/>
      </c>
      <c r="Y759" t="str">
        <f>IF(X759="","",SUMIFS(Issue!$D$3:$D1001,Issue!$C$3:$C1001,X759))</f>
        <v/>
      </c>
    </row>
    <row r="760" spans="5:25">
      <c r="E760" t="str">
        <f>IF(A760="","",SUMIFS(Issue!$D$3:$D1001,Issue!$C$3:$C1001,A760)*C760)</f>
        <v/>
      </c>
      <c r="F760" t="e">
        <f ca="1">_xludf.IFNA(VLOOKUP(B760,'S-FG'!$B$3:$B1001,1,FALSE),"")</f>
        <v>#NAME?</v>
      </c>
      <c r="L760" t="str">
        <f t="shared" si="2"/>
        <v/>
      </c>
      <c r="Q760" t="str">
        <f>IF(N760="","",SUMIFS('PR-BOM'!$D$3:$D1001,'PR-BOM'!$C$3:$C1001,N760))</f>
        <v/>
      </c>
      <c r="Y760" t="str">
        <f>IF(X760="","",SUMIFS(Issue!$D$3:$D1001,Issue!$C$3:$C1001,X760))</f>
        <v/>
      </c>
    </row>
    <row r="761" spans="5:25">
      <c r="E761" t="str">
        <f>IF(A761="","",SUMIFS(Issue!$D$3:$D1001,Issue!$C$3:$C1001,A761)*C761)</f>
        <v/>
      </c>
      <c r="F761" t="e">
        <f ca="1">_xludf.IFNA(VLOOKUP(B761,'S-FG'!$B$3:$B1001,1,FALSE),"")</f>
        <v>#NAME?</v>
      </c>
      <c r="L761" t="str">
        <f t="shared" si="2"/>
        <v/>
      </c>
      <c r="Q761" t="str">
        <f>IF(N761="","",SUMIFS('PR-BOM'!$D$3:$D1001,'PR-BOM'!$C$3:$C1001,N761))</f>
        <v/>
      </c>
      <c r="Y761" t="str">
        <f>IF(X761="","",SUMIFS(Issue!$D$3:$D1001,Issue!$C$3:$C1001,X761))</f>
        <v/>
      </c>
    </row>
    <row r="762" spans="5:25">
      <c r="E762" t="str">
        <f>IF(A762="","",SUMIFS(Issue!$D$3:$D1001,Issue!$C$3:$C1001,A762)*C762)</f>
        <v/>
      </c>
      <c r="F762" t="e">
        <f ca="1">_xludf.IFNA(VLOOKUP(B762,'S-FG'!$B$3:$B1001,1,FALSE),"")</f>
        <v>#NAME?</v>
      </c>
      <c r="L762" t="str">
        <f t="shared" si="2"/>
        <v/>
      </c>
      <c r="Q762" t="str">
        <f>IF(N762="","",SUMIFS('PR-BOM'!$D$3:$D1001,'PR-BOM'!$C$3:$C1001,N762))</f>
        <v/>
      </c>
      <c r="Y762" t="str">
        <f>IF(X762="","",SUMIFS(Issue!$D$3:$D1001,Issue!$C$3:$C1001,X762))</f>
        <v/>
      </c>
    </row>
    <row r="763" spans="5:25">
      <c r="E763" t="str">
        <f>IF(A763="","",SUMIFS(Issue!$D$3:$D1001,Issue!$C$3:$C1001,A763)*C763)</f>
        <v/>
      </c>
      <c r="F763" t="e">
        <f ca="1">_xludf.IFNA(VLOOKUP(B763,'S-FG'!$B$3:$B1001,1,FALSE),"")</f>
        <v>#NAME?</v>
      </c>
      <c r="L763" t="str">
        <f t="shared" si="2"/>
        <v/>
      </c>
      <c r="Q763" t="str">
        <f>IF(N763="","",SUMIFS('PR-BOM'!$D$3:$D1001,'PR-BOM'!$C$3:$C1001,N763))</f>
        <v/>
      </c>
      <c r="Y763" t="str">
        <f>IF(X763="","",SUMIFS(Issue!$D$3:$D1001,Issue!$C$3:$C1001,X763))</f>
        <v/>
      </c>
    </row>
    <row r="764" spans="5:25">
      <c r="E764" t="str">
        <f>IF(A764="","",SUMIFS(Issue!$D$3:$D1001,Issue!$C$3:$C1001,A764)*C764)</f>
        <v/>
      </c>
      <c r="F764" t="e">
        <f ca="1">_xludf.IFNA(VLOOKUP(B764,'S-FG'!$B$3:$B1001,1,FALSE),"")</f>
        <v>#NAME?</v>
      </c>
      <c r="L764" t="str">
        <f t="shared" si="2"/>
        <v/>
      </c>
      <c r="Q764" t="str">
        <f>IF(N764="","",SUMIFS('PR-BOM'!$D$3:$D1001,'PR-BOM'!$C$3:$C1001,N764))</f>
        <v/>
      </c>
      <c r="Y764" t="str">
        <f>IF(X764="","",SUMIFS(Issue!$D$3:$D1001,Issue!$C$3:$C1001,X764))</f>
        <v/>
      </c>
    </row>
    <row r="765" spans="5:25">
      <c r="E765" t="str">
        <f>IF(A765="","",SUMIFS(Issue!$D$3:$D1001,Issue!$C$3:$C1001,A765)*C765)</f>
        <v/>
      </c>
      <c r="F765" t="e">
        <f ca="1">_xludf.IFNA(VLOOKUP(B765,'S-FG'!$B$3:$B1001,1,FALSE),"")</f>
        <v>#NAME?</v>
      </c>
      <c r="L765" t="str">
        <f t="shared" si="2"/>
        <v/>
      </c>
      <c r="Q765" t="str">
        <f>IF(N765="","",SUMIFS('PR-BOM'!$D$3:$D1001,'PR-BOM'!$C$3:$C1001,N765))</f>
        <v/>
      </c>
      <c r="Y765" t="str">
        <f>IF(X765="","",SUMIFS(Issue!$D$3:$D1001,Issue!$C$3:$C1001,X765))</f>
        <v/>
      </c>
    </row>
    <row r="766" spans="5:25">
      <c r="E766" t="str">
        <f>IF(A766="","",SUMIFS(Issue!$D$3:$D1001,Issue!$C$3:$C1001,A766)*C766)</f>
        <v/>
      </c>
      <c r="F766" t="e">
        <f ca="1">_xludf.IFNA(VLOOKUP(B766,'S-FG'!$B$3:$B1001,1,FALSE),"")</f>
        <v>#NAME?</v>
      </c>
      <c r="L766" t="str">
        <f t="shared" si="2"/>
        <v/>
      </c>
      <c r="Q766" t="str">
        <f>IF(N766="","",SUMIFS('PR-BOM'!$D$3:$D1001,'PR-BOM'!$C$3:$C1001,N766))</f>
        <v/>
      </c>
      <c r="Y766" t="str">
        <f>IF(X766="","",SUMIFS(Issue!$D$3:$D1001,Issue!$C$3:$C1001,X766))</f>
        <v/>
      </c>
    </row>
    <row r="767" spans="5:25">
      <c r="E767" t="str">
        <f>IF(A767="","",SUMIFS(Issue!$D$3:$D1001,Issue!$C$3:$C1001,A767)*C767)</f>
        <v/>
      </c>
      <c r="F767" t="e">
        <f ca="1">_xludf.IFNA(VLOOKUP(B767,'S-FG'!$B$3:$B1001,1,FALSE),"")</f>
        <v>#NAME?</v>
      </c>
      <c r="L767" t="str">
        <f t="shared" ref="L767:L1001" si="3">IF(H767="","",SUMIFS($E$2:$E1766,$F$2:$F1766,H767)*J767)</f>
        <v/>
      </c>
      <c r="Q767" t="str">
        <f>IF(N767="","",SUMIFS('PR-BOM'!$D$3:$D1001,'PR-BOM'!$C$3:$C1001,N767))</f>
        <v/>
      </c>
      <c r="Y767" t="str">
        <f>IF(X767="","",SUMIFS(Issue!$D$3:$D1001,Issue!$C$3:$C1001,X767))</f>
        <v/>
      </c>
    </row>
    <row r="768" spans="5:25">
      <c r="E768" t="str">
        <f>IF(A768="","",SUMIFS(Issue!$D$3:$D1001,Issue!$C$3:$C1001,A768)*C768)</f>
        <v/>
      </c>
      <c r="F768" t="e">
        <f ca="1">_xludf.IFNA(VLOOKUP(B768,'S-FG'!$B$3:$B1001,1,FALSE),"")</f>
        <v>#NAME?</v>
      </c>
      <c r="L768" t="str">
        <f t="shared" si="3"/>
        <v/>
      </c>
      <c r="Q768" t="str">
        <f>IF(N768="","",SUMIFS('PR-BOM'!$D$3:$D1001,'PR-BOM'!$C$3:$C1001,N768))</f>
        <v/>
      </c>
      <c r="Y768" t="str">
        <f>IF(X768="","",SUMIFS(Issue!$D$3:$D1001,Issue!$C$3:$C1001,X768))</f>
        <v/>
      </c>
    </row>
    <row r="769" spans="5:25">
      <c r="E769" t="str">
        <f>IF(A769="","",SUMIFS(Issue!$D$3:$D1001,Issue!$C$3:$C1001,A769)*C769)</f>
        <v/>
      </c>
      <c r="F769" t="e">
        <f ca="1">_xludf.IFNA(VLOOKUP(B769,'S-FG'!$B$3:$B1001,1,FALSE),"")</f>
        <v>#NAME?</v>
      </c>
      <c r="L769" t="str">
        <f t="shared" si="3"/>
        <v/>
      </c>
      <c r="Q769" t="str">
        <f>IF(N769="","",SUMIFS('PR-BOM'!$D$3:$D1001,'PR-BOM'!$C$3:$C1001,N769))</f>
        <v/>
      </c>
      <c r="Y769" t="str">
        <f>IF(X769="","",SUMIFS(Issue!$D$3:$D1001,Issue!$C$3:$C1001,X769))</f>
        <v/>
      </c>
    </row>
    <row r="770" spans="5:25">
      <c r="E770" t="str">
        <f>IF(A770="","",SUMIFS(Issue!$D$3:$D1001,Issue!$C$3:$C1001,A770)*C770)</f>
        <v/>
      </c>
      <c r="F770" t="e">
        <f ca="1">_xludf.IFNA(VLOOKUP(B770,'S-FG'!$B$3:$B1001,1,FALSE),"")</f>
        <v>#NAME?</v>
      </c>
      <c r="L770" t="str">
        <f t="shared" si="3"/>
        <v/>
      </c>
      <c r="Q770" t="str">
        <f>IF(N770="","",SUMIFS('PR-BOM'!$D$3:$D1001,'PR-BOM'!$C$3:$C1001,N770))</f>
        <v/>
      </c>
      <c r="Y770" t="str">
        <f>IF(X770="","",SUMIFS(Issue!$D$3:$D1001,Issue!$C$3:$C1001,X770))</f>
        <v/>
      </c>
    </row>
    <row r="771" spans="5:25">
      <c r="E771" t="str">
        <f>IF(A771="","",SUMIFS(Issue!$D$3:$D1001,Issue!$C$3:$C1001,A771)*C771)</f>
        <v/>
      </c>
      <c r="F771" t="e">
        <f ca="1">_xludf.IFNA(VLOOKUP(B771,'S-FG'!$B$3:$B1001,1,FALSE),"")</f>
        <v>#NAME?</v>
      </c>
      <c r="L771" t="str">
        <f t="shared" si="3"/>
        <v/>
      </c>
      <c r="Q771" t="str">
        <f>IF(N771="","",SUMIFS('PR-BOM'!$D$3:$D1001,'PR-BOM'!$C$3:$C1001,N771))</f>
        <v/>
      </c>
      <c r="Y771" t="str">
        <f>IF(X771="","",SUMIFS(Issue!$D$3:$D1001,Issue!$C$3:$C1001,X771))</f>
        <v/>
      </c>
    </row>
    <row r="772" spans="5:25">
      <c r="E772" t="str">
        <f>IF(A772="","",SUMIFS(Issue!$D$3:$D1001,Issue!$C$3:$C1001,A772)*C772)</f>
        <v/>
      </c>
      <c r="F772" t="e">
        <f ca="1">_xludf.IFNA(VLOOKUP(B772,'S-FG'!$B$3:$B1001,1,FALSE),"")</f>
        <v>#NAME?</v>
      </c>
      <c r="L772" t="str">
        <f t="shared" si="3"/>
        <v/>
      </c>
      <c r="Q772" t="str">
        <f>IF(N772="","",SUMIFS('PR-BOM'!$D$3:$D1001,'PR-BOM'!$C$3:$C1001,N772))</f>
        <v/>
      </c>
      <c r="Y772" t="str">
        <f>IF(X772="","",SUMIFS(Issue!$D$3:$D1001,Issue!$C$3:$C1001,X772))</f>
        <v/>
      </c>
    </row>
    <row r="773" spans="5:25">
      <c r="E773" t="str">
        <f>IF(A773="","",SUMIFS(Issue!$D$3:$D1001,Issue!$C$3:$C1001,A773)*C773)</f>
        <v/>
      </c>
      <c r="F773" t="e">
        <f ca="1">_xludf.IFNA(VLOOKUP(B773,'S-FG'!$B$3:$B1001,1,FALSE),"")</f>
        <v>#NAME?</v>
      </c>
      <c r="L773" t="str">
        <f t="shared" si="3"/>
        <v/>
      </c>
      <c r="Q773" t="str">
        <f>IF(N773="","",SUMIFS('PR-BOM'!$D$3:$D1001,'PR-BOM'!$C$3:$C1001,N773))</f>
        <v/>
      </c>
      <c r="Y773" t="str">
        <f>IF(X773="","",SUMIFS(Issue!$D$3:$D1001,Issue!$C$3:$C1001,X773))</f>
        <v/>
      </c>
    </row>
    <row r="774" spans="5:25">
      <c r="E774" t="str">
        <f>IF(A774="","",SUMIFS(Issue!$D$3:$D1001,Issue!$C$3:$C1001,A774)*C774)</f>
        <v/>
      </c>
      <c r="F774" t="e">
        <f ca="1">_xludf.IFNA(VLOOKUP(B774,'S-FG'!$B$3:$B1001,1,FALSE),"")</f>
        <v>#NAME?</v>
      </c>
      <c r="L774" t="str">
        <f t="shared" si="3"/>
        <v/>
      </c>
      <c r="Q774" t="str">
        <f>IF(N774="","",SUMIFS('PR-BOM'!$D$3:$D1001,'PR-BOM'!$C$3:$C1001,N774))</f>
        <v/>
      </c>
      <c r="Y774" t="str">
        <f>IF(X774="","",SUMIFS(Issue!$D$3:$D1001,Issue!$C$3:$C1001,X774))</f>
        <v/>
      </c>
    </row>
    <row r="775" spans="5:25">
      <c r="E775" t="str">
        <f>IF(A775="","",SUMIFS(Issue!$D$3:$D1001,Issue!$C$3:$C1001,A775)*C775)</f>
        <v/>
      </c>
      <c r="F775" t="e">
        <f ca="1">_xludf.IFNA(VLOOKUP(B775,'S-FG'!$B$3:$B1001,1,FALSE),"")</f>
        <v>#NAME?</v>
      </c>
      <c r="L775" t="str">
        <f t="shared" si="3"/>
        <v/>
      </c>
      <c r="Q775" t="str">
        <f>IF(N775="","",SUMIFS('PR-BOM'!$D$3:$D1001,'PR-BOM'!$C$3:$C1001,N775))</f>
        <v/>
      </c>
      <c r="Y775" t="str">
        <f>IF(X775="","",SUMIFS(Issue!$D$3:$D1001,Issue!$C$3:$C1001,X775))</f>
        <v/>
      </c>
    </row>
    <row r="776" spans="5:25">
      <c r="E776" t="str">
        <f>IF(A776="","",SUMIFS(Issue!$D$3:$D1001,Issue!$C$3:$C1001,A776)*C776)</f>
        <v/>
      </c>
      <c r="F776" t="e">
        <f ca="1">_xludf.IFNA(VLOOKUP(B776,'S-FG'!$B$3:$B1001,1,FALSE),"")</f>
        <v>#NAME?</v>
      </c>
      <c r="L776" t="str">
        <f t="shared" si="3"/>
        <v/>
      </c>
      <c r="Q776" t="str">
        <f>IF(N776="","",SUMIFS('PR-BOM'!$D$3:$D1001,'PR-BOM'!$C$3:$C1001,N776))</f>
        <v/>
      </c>
      <c r="Y776" t="str">
        <f>IF(X776="","",SUMIFS(Issue!$D$3:$D1001,Issue!$C$3:$C1001,X776))</f>
        <v/>
      </c>
    </row>
    <row r="777" spans="5:25">
      <c r="E777" t="str">
        <f>IF(A777="","",SUMIFS(Issue!$D$3:$D1001,Issue!$C$3:$C1001,A777)*C777)</f>
        <v/>
      </c>
      <c r="F777" t="e">
        <f ca="1">_xludf.IFNA(VLOOKUP(B777,'S-FG'!$B$3:$B1001,1,FALSE),"")</f>
        <v>#NAME?</v>
      </c>
      <c r="L777" t="str">
        <f t="shared" si="3"/>
        <v/>
      </c>
      <c r="Q777" t="str">
        <f>IF(N777="","",SUMIFS('PR-BOM'!$D$3:$D1001,'PR-BOM'!$C$3:$C1001,N777))</f>
        <v/>
      </c>
      <c r="Y777" t="str">
        <f>IF(X777="","",SUMIFS(Issue!$D$3:$D1001,Issue!$C$3:$C1001,X777))</f>
        <v/>
      </c>
    </row>
    <row r="778" spans="5:25">
      <c r="E778" t="str">
        <f>IF(A778="","",SUMIFS(Issue!$D$3:$D1001,Issue!$C$3:$C1001,A778)*C778)</f>
        <v/>
      </c>
      <c r="F778" t="e">
        <f ca="1">_xludf.IFNA(VLOOKUP(B778,'S-FG'!$B$3:$B1001,1,FALSE),"")</f>
        <v>#NAME?</v>
      </c>
      <c r="L778" t="str">
        <f t="shared" si="3"/>
        <v/>
      </c>
      <c r="Q778" t="str">
        <f>IF(N778="","",SUMIFS('PR-BOM'!$D$3:$D1001,'PR-BOM'!$C$3:$C1001,N778))</f>
        <v/>
      </c>
      <c r="Y778" t="str">
        <f>IF(X778="","",SUMIFS(Issue!$D$3:$D1001,Issue!$C$3:$C1001,X778))</f>
        <v/>
      </c>
    </row>
    <row r="779" spans="5:25">
      <c r="E779" t="str">
        <f>IF(A779="","",SUMIFS(Issue!$D$3:$D1001,Issue!$C$3:$C1001,A779)*C779)</f>
        <v/>
      </c>
      <c r="F779" t="e">
        <f ca="1">_xludf.IFNA(VLOOKUP(B779,'S-FG'!$B$3:$B1001,1,FALSE),"")</f>
        <v>#NAME?</v>
      </c>
      <c r="L779" t="str">
        <f t="shared" si="3"/>
        <v/>
      </c>
      <c r="Q779" t="str">
        <f>IF(N779="","",SUMIFS('PR-BOM'!$D$3:$D1001,'PR-BOM'!$C$3:$C1001,N779))</f>
        <v/>
      </c>
      <c r="Y779" t="str">
        <f>IF(X779="","",SUMIFS(Issue!$D$3:$D1001,Issue!$C$3:$C1001,X779))</f>
        <v/>
      </c>
    </row>
    <row r="780" spans="5:25">
      <c r="E780" t="str">
        <f>IF(A780="","",SUMIFS(Issue!$D$3:$D1001,Issue!$C$3:$C1001,A780)*C780)</f>
        <v/>
      </c>
      <c r="F780" t="e">
        <f ca="1">_xludf.IFNA(VLOOKUP(B780,'S-FG'!$B$3:$B1001,1,FALSE),"")</f>
        <v>#NAME?</v>
      </c>
      <c r="L780" t="str">
        <f t="shared" si="3"/>
        <v/>
      </c>
      <c r="Q780" t="str">
        <f>IF(N780="","",SUMIFS('PR-BOM'!$D$3:$D1001,'PR-BOM'!$C$3:$C1001,N780))</f>
        <v/>
      </c>
      <c r="Y780" t="str">
        <f>IF(X780="","",SUMIFS(Issue!$D$3:$D1001,Issue!$C$3:$C1001,X780))</f>
        <v/>
      </c>
    </row>
    <row r="781" spans="5:25">
      <c r="E781" t="str">
        <f>IF(A781="","",SUMIFS(Issue!$D$3:$D1001,Issue!$C$3:$C1001,A781)*C781)</f>
        <v/>
      </c>
      <c r="F781" t="e">
        <f ca="1">_xludf.IFNA(VLOOKUP(B781,'S-FG'!$B$3:$B1001,1,FALSE),"")</f>
        <v>#NAME?</v>
      </c>
      <c r="L781" t="str">
        <f t="shared" si="3"/>
        <v/>
      </c>
      <c r="Q781" t="str">
        <f>IF(N781="","",SUMIFS('PR-BOM'!$D$3:$D1001,'PR-BOM'!$C$3:$C1001,N781))</f>
        <v/>
      </c>
      <c r="Y781" t="str">
        <f>IF(X781="","",SUMIFS(Issue!$D$3:$D1001,Issue!$C$3:$C1001,X781))</f>
        <v/>
      </c>
    </row>
    <row r="782" spans="5:25">
      <c r="E782" t="str">
        <f>IF(A782="","",SUMIFS(Issue!$D$3:$D1001,Issue!$C$3:$C1001,A782)*C782)</f>
        <v/>
      </c>
      <c r="F782" t="e">
        <f ca="1">_xludf.IFNA(VLOOKUP(B782,'S-FG'!$B$3:$B1001,1,FALSE),"")</f>
        <v>#NAME?</v>
      </c>
      <c r="L782" t="str">
        <f t="shared" si="3"/>
        <v/>
      </c>
      <c r="Q782" t="str">
        <f>IF(N782="","",SUMIFS('PR-BOM'!$D$3:$D1001,'PR-BOM'!$C$3:$C1001,N782))</f>
        <v/>
      </c>
      <c r="Y782" t="str">
        <f>IF(X782="","",SUMIFS(Issue!$D$3:$D1001,Issue!$C$3:$C1001,X782))</f>
        <v/>
      </c>
    </row>
    <row r="783" spans="5:25">
      <c r="E783" t="str">
        <f>IF(A783="","",SUMIFS(Issue!$D$3:$D1001,Issue!$C$3:$C1001,A783)*C783)</f>
        <v/>
      </c>
      <c r="F783" t="e">
        <f ca="1">_xludf.IFNA(VLOOKUP(B783,'S-FG'!$B$3:$B1001,1,FALSE),"")</f>
        <v>#NAME?</v>
      </c>
      <c r="L783" t="str">
        <f t="shared" si="3"/>
        <v/>
      </c>
      <c r="Q783" t="str">
        <f>IF(N783="","",SUMIFS('PR-BOM'!$D$3:$D1001,'PR-BOM'!$C$3:$C1001,N783))</f>
        <v/>
      </c>
      <c r="Y783" t="str">
        <f>IF(X783="","",SUMIFS(Issue!$D$3:$D1001,Issue!$C$3:$C1001,X783))</f>
        <v/>
      </c>
    </row>
    <row r="784" spans="5:25">
      <c r="E784" t="str">
        <f>IF(A784="","",SUMIFS(Issue!$D$3:$D1001,Issue!$C$3:$C1001,A784)*C784)</f>
        <v/>
      </c>
      <c r="F784" t="e">
        <f ca="1">_xludf.IFNA(VLOOKUP(B784,'S-FG'!$B$3:$B1001,1,FALSE),"")</f>
        <v>#NAME?</v>
      </c>
      <c r="L784" t="str">
        <f t="shared" si="3"/>
        <v/>
      </c>
      <c r="Q784" t="str">
        <f>IF(N784="","",SUMIFS('PR-BOM'!$D$3:$D1001,'PR-BOM'!$C$3:$C1001,N784))</f>
        <v/>
      </c>
      <c r="Y784" t="str">
        <f>IF(X784="","",SUMIFS(Issue!$D$3:$D1001,Issue!$C$3:$C1001,X784))</f>
        <v/>
      </c>
    </row>
    <row r="785" spans="5:25">
      <c r="E785" t="str">
        <f>IF(A785="","",SUMIFS(Issue!$D$3:$D1001,Issue!$C$3:$C1001,A785)*C785)</f>
        <v/>
      </c>
      <c r="F785" t="e">
        <f ca="1">_xludf.IFNA(VLOOKUP(B785,'S-FG'!$B$3:$B1001,1,FALSE),"")</f>
        <v>#NAME?</v>
      </c>
      <c r="L785" t="str">
        <f t="shared" si="3"/>
        <v/>
      </c>
      <c r="Q785" t="str">
        <f>IF(N785="","",SUMIFS('PR-BOM'!$D$3:$D1001,'PR-BOM'!$C$3:$C1001,N785))</f>
        <v/>
      </c>
      <c r="Y785" t="str">
        <f>IF(X785="","",SUMIFS(Issue!$D$3:$D1001,Issue!$C$3:$C1001,X785))</f>
        <v/>
      </c>
    </row>
    <row r="786" spans="5:25">
      <c r="E786" t="str">
        <f>IF(A786="","",SUMIFS(Issue!$D$3:$D1001,Issue!$C$3:$C1001,A786)*C786)</f>
        <v/>
      </c>
      <c r="F786" t="e">
        <f ca="1">_xludf.IFNA(VLOOKUP(B786,'S-FG'!$B$3:$B1001,1,FALSE),"")</f>
        <v>#NAME?</v>
      </c>
      <c r="L786" t="str">
        <f t="shared" si="3"/>
        <v/>
      </c>
      <c r="Q786" t="str">
        <f>IF(N786="","",SUMIFS('PR-BOM'!$D$3:$D1001,'PR-BOM'!$C$3:$C1001,N786))</f>
        <v/>
      </c>
      <c r="Y786" t="str">
        <f>IF(X786="","",SUMIFS(Issue!$D$3:$D1001,Issue!$C$3:$C1001,X786))</f>
        <v/>
      </c>
    </row>
    <row r="787" spans="5:25">
      <c r="E787" t="str">
        <f>IF(A787="","",SUMIFS(Issue!$D$3:$D1001,Issue!$C$3:$C1001,A787)*C787)</f>
        <v/>
      </c>
      <c r="F787" t="e">
        <f ca="1">_xludf.IFNA(VLOOKUP(B787,'S-FG'!$B$3:$B1001,1,FALSE),"")</f>
        <v>#NAME?</v>
      </c>
      <c r="L787" t="str">
        <f t="shared" si="3"/>
        <v/>
      </c>
      <c r="Q787" t="str">
        <f>IF(N787="","",SUMIFS('PR-BOM'!$D$3:$D1001,'PR-BOM'!$C$3:$C1001,N787))</f>
        <v/>
      </c>
      <c r="Y787" t="str">
        <f>IF(X787="","",SUMIFS(Issue!$D$3:$D1001,Issue!$C$3:$C1001,X787))</f>
        <v/>
      </c>
    </row>
    <row r="788" spans="5:25">
      <c r="E788" t="str">
        <f>IF(A788="","",SUMIFS(Issue!$D$3:$D1001,Issue!$C$3:$C1001,A788)*C788)</f>
        <v/>
      </c>
      <c r="F788" t="e">
        <f ca="1">_xludf.IFNA(VLOOKUP(B788,'S-FG'!$B$3:$B1001,1,FALSE),"")</f>
        <v>#NAME?</v>
      </c>
      <c r="L788" t="str">
        <f t="shared" si="3"/>
        <v/>
      </c>
      <c r="Q788" t="str">
        <f>IF(N788="","",SUMIFS('PR-BOM'!$D$3:$D1001,'PR-BOM'!$C$3:$C1001,N788))</f>
        <v/>
      </c>
      <c r="Y788" t="str">
        <f>IF(X788="","",SUMIFS(Issue!$D$3:$D1001,Issue!$C$3:$C1001,X788))</f>
        <v/>
      </c>
    </row>
    <row r="789" spans="5:25">
      <c r="E789" t="str">
        <f>IF(A789="","",SUMIFS(Issue!$D$3:$D1001,Issue!$C$3:$C1001,A789)*C789)</f>
        <v/>
      </c>
      <c r="F789" t="e">
        <f ca="1">_xludf.IFNA(VLOOKUP(B789,'S-FG'!$B$3:$B1001,1,FALSE),"")</f>
        <v>#NAME?</v>
      </c>
      <c r="L789" t="str">
        <f t="shared" si="3"/>
        <v/>
      </c>
      <c r="Q789" t="str">
        <f>IF(N789="","",SUMIFS('PR-BOM'!$D$3:$D1001,'PR-BOM'!$C$3:$C1001,N789))</f>
        <v/>
      </c>
      <c r="Y789" t="str">
        <f>IF(X789="","",SUMIFS(Issue!$D$3:$D1001,Issue!$C$3:$C1001,X789))</f>
        <v/>
      </c>
    </row>
    <row r="790" spans="5:25">
      <c r="E790" t="str">
        <f>IF(A790="","",SUMIFS(Issue!$D$3:$D1001,Issue!$C$3:$C1001,A790)*C790)</f>
        <v/>
      </c>
      <c r="F790" t="e">
        <f ca="1">_xludf.IFNA(VLOOKUP(B790,'S-FG'!$B$3:$B1001,1,FALSE),"")</f>
        <v>#NAME?</v>
      </c>
      <c r="L790" t="str">
        <f t="shared" si="3"/>
        <v/>
      </c>
      <c r="Q790" t="str">
        <f>IF(N790="","",SUMIFS('PR-BOM'!$D$3:$D1001,'PR-BOM'!$C$3:$C1001,N790))</f>
        <v/>
      </c>
      <c r="Y790" t="str">
        <f>IF(X790="","",SUMIFS(Issue!$D$3:$D1001,Issue!$C$3:$C1001,X790))</f>
        <v/>
      </c>
    </row>
    <row r="791" spans="5:25">
      <c r="E791" t="str">
        <f>IF(A791="","",SUMIFS(Issue!$D$3:$D1001,Issue!$C$3:$C1001,A791)*C791)</f>
        <v/>
      </c>
      <c r="F791" t="e">
        <f ca="1">_xludf.IFNA(VLOOKUP(B791,'S-FG'!$B$3:$B1001,1,FALSE),"")</f>
        <v>#NAME?</v>
      </c>
      <c r="L791" t="str">
        <f t="shared" si="3"/>
        <v/>
      </c>
      <c r="Q791" t="str">
        <f>IF(N791="","",SUMIFS('PR-BOM'!$D$3:$D1001,'PR-BOM'!$C$3:$C1001,N791))</f>
        <v/>
      </c>
      <c r="Y791" t="str">
        <f>IF(X791="","",SUMIFS(Issue!$D$3:$D1001,Issue!$C$3:$C1001,X791))</f>
        <v/>
      </c>
    </row>
    <row r="792" spans="5:25">
      <c r="E792" t="str">
        <f>IF(A792="","",SUMIFS(Issue!$D$3:$D1001,Issue!$C$3:$C1001,A792)*C792)</f>
        <v/>
      </c>
      <c r="F792" t="e">
        <f ca="1">_xludf.IFNA(VLOOKUP(B792,'S-FG'!$B$3:$B1001,1,FALSE),"")</f>
        <v>#NAME?</v>
      </c>
      <c r="L792" t="str">
        <f t="shared" si="3"/>
        <v/>
      </c>
      <c r="Q792" t="str">
        <f>IF(N792="","",SUMIFS('PR-BOM'!$D$3:$D1001,'PR-BOM'!$C$3:$C1001,N792))</f>
        <v/>
      </c>
      <c r="Y792" t="str">
        <f>IF(X792="","",SUMIFS(Issue!$D$3:$D1001,Issue!$C$3:$C1001,X792))</f>
        <v/>
      </c>
    </row>
    <row r="793" spans="5:25">
      <c r="E793" t="str">
        <f>IF(A793="","",SUMIFS(Issue!$D$3:$D1001,Issue!$C$3:$C1001,A793)*C793)</f>
        <v/>
      </c>
      <c r="F793" t="e">
        <f ca="1">_xludf.IFNA(VLOOKUP(B793,'S-FG'!$B$3:$B1001,1,FALSE),"")</f>
        <v>#NAME?</v>
      </c>
      <c r="L793" t="str">
        <f t="shared" si="3"/>
        <v/>
      </c>
      <c r="Q793" t="str">
        <f>IF(N793="","",SUMIFS('PR-BOM'!$D$3:$D1001,'PR-BOM'!$C$3:$C1001,N793))</f>
        <v/>
      </c>
      <c r="Y793" t="str">
        <f>IF(X793="","",SUMIFS(Issue!$D$3:$D1001,Issue!$C$3:$C1001,X793))</f>
        <v/>
      </c>
    </row>
    <row r="794" spans="5:25">
      <c r="E794" t="str">
        <f>IF(A794="","",SUMIFS(Issue!$D$3:$D1001,Issue!$C$3:$C1001,A794)*C794)</f>
        <v/>
      </c>
      <c r="F794" t="e">
        <f ca="1">_xludf.IFNA(VLOOKUP(B794,'S-FG'!$B$3:$B1001,1,FALSE),"")</f>
        <v>#NAME?</v>
      </c>
      <c r="L794" t="str">
        <f t="shared" si="3"/>
        <v/>
      </c>
      <c r="Q794" t="str">
        <f>IF(N794="","",SUMIFS('PR-BOM'!$D$3:$D1001,'PR-BOM'!$C$3:$C1001,N794))</f>
        <v/>
      </c>
      <c r="Y794" t="str">
        <f>IF(X794="","",SUMIFS(Issue!$D$3:$D1001,Issue!$C$3:$C1001,X794))</f>
        <v/>
      </c>
    </row>
    <row r="795" spans="5:25">
      <c r="E795" t="str">
        <f>IF(A795="","",SUMIFS(Issue!$D$3:$D1001,Issue!$C$3:$C1001,A795)*C795)</f>
        <v/>
      </c>
      <c r="F795" t="e">
        <f ca="1">_xludf.IFNA(VLOOKUP(B795,'S-FG'!$B$3:$B1001,1,FALSE),"")</f>
        <v>#NAME?</v>
      </c>
      <c r="L795" t="str">
        <f t="shared" si="3"/>
        <v/>
      </c>
      <c r="Q795" t="str">
        <f>IF(N795="","",SUMIFS('PR-BOM'!$D$3:$D1001,'PR-BOM'!$C$3:$C1001,N795))</f>
        <v/>
      </c>
      <c r="Y795" t="str">
        <f>IF(X795="","",SUMIFS(Issue!$D$3:$D1001,Issue!$C$3:$C1001,X795))</f>
        <v/>
      </c>
    </row>
    <row r="796" spans="5:25">
      <c r="E796" t="str">
        <f>IF(A796="","",SUMIFS(Issue!$D$3:$D1001,Issue!$C$3:$C1001,A796)*C796)</f>
        <v/>
      </c>
      <c r="F796" t="e">
        <f ca="1">_xludf.IFNA(VLOOKUP(B796,'S-FG'!$B$3:$B1001,1,FALSE),"")</f>
        <v>#NAME?</v>
      </c>
      <c r="L796" t="str">
        <f t="shared" si="3"/>
        <v/>
      </c>
      <c r="Q796" t="str">
        <f>IF(N796="","",SUMIFS('PR-BOM'!$D$3:$D1001,'PR-BOM'!$C$3:$C1001,N796))</f>
        <v/>
      </c>
      <c r="Y796" t="str">
        <f>IF(X796="","",SUMIFS(Issue!$D$3:$D1001,Issue!$C$3:$C1001,X796))</f>
        <v/>
      </c>
    </row>
    <row r="797" spans="5:25">
      <c r="E797" t="str">
        <f>IF(A797="","",SUMIFS(Issue!$D$3:$D1001,Issue!$C$3:$C1001,A797)*C797)</f>
        <v/>
      </c>
      <c r="F797" t="e">
        <f ca="1">_xludf.IFNA(VLOOKUP(B797,'S-FG'!$B$3:$B1001,1,FALSE),"")</f>
        <v>#NAME?</v>
      </c>
      <c r="L797" t="str">
        <f t="shared" si="3"/>
        <v/>
      </c>
      <c r="Q797" t="str">
        <f>IF(N797="","",SUMIFS('PR-BOM'!$D$3:$D1001,'PR-BOM'!$C$3:$C1001,N797))</f>
        <v/>
      </c>
      <c r="Y797" t="str">
        <f>IF(X797="","",SUMIFS(Issue!$D$3:$D1001,Issue!$C$3:$C1001,X797))</f>
        <v/>
      </c>
    </row>
    <row r="798" spans="5:25">
      <c r="E798" t="str">
        <f>IF(A798="","",SUMIFS(Issue!$D$3:$D1001,Issue!$C$3:$C1001,A798)*C798)</f>
        <v/>
      </c>
      <c r="F798" t="e">
        <f ca="1">_xludf.IFNA(VLOOKUP(B798,'S-FG'!$B$3:$B1001,1,FALSE),"")</f>
        <v>#NAME?</v>
      </c>
      <c r="L798" t="str">
        <f t="shared" si="3"/>
        <v/>
      </c>
      <c r="Q798" t="str">
        <f>IF(N798="","",SUMIFS('PR-BOM'!$D$3:$D1001,'PR-BOM'!$C$3:$C1001,N798))</f>
        <v/>
      </c>
      <c r="Y798" t="str">
        <f>IF(X798="","",SUMIFS(Issue!$D$3:$D1001,Issue!$C$3:$C1001,X798))</f>
        <v/>
      </c>
    </row>
    <row r="799" spans="5:25">
      <c r="E799" t="str">
        <f>IF(A799="","",SUMIFS(Issue!$D$3:$D1001,Issue!$C$3:$C1001,A799)*C799)</f>
        <v/>
      </c>
      <c r="F799" t="e">
        <f ca="1">_xludf.IFNA(VLOOKUP(B799,'S-FG'!$B$3:$B1001,1,FALSE),"")</f>
        <v>#NAME?</v>
      </c>
      <c r="L799" t="str">
        <f t="shared" si="3"/>
        <v/>
      </c>
      <c r="Q799" t="str">
        <f>IF(N799="","",SUMIFS('PR-BOM'!$D$3:$D1001,'PR-BOM'!$C$3:$C1001,N799))</f>
        <v/>
      </c>
      <c r="Y799" t="str">
        <f>IF(X799="","",SUMIFS(Issue!$D$3:$D1001,Issue!$C$3:$C1001,X799))</f>
        <v/>
      </c>
    </row>
    <row r="800" spans="5:25">
      <c r="E800" t="str">
        <f>IF(A800="","",SUMIFS(Issue!$D$3:$D1001,Issue!$C$3:$C1001,A800)*C800)</f>
        <v/>
      </c>
      <c r="F800" t="e">
        <f ca="1">_xludf.IFNA(VLOOKUP(B800,'S-FG'!$B$3:$B1001,1,FALSE),"")</f>
        <v>#NAME?</v>
      </c>
      <c r="L800" t="str">
        <f t="shared" si="3"/>
        <v/>
      </c>
      <c r="Q800" t="str">
        <f>IF(N800="","",SUMIFS('PR-BOM'!$D$3:$D1001,'PR-BOM'!$C$3:$C1001,N800))</f>
        <v/>
      </c>
      <c r="Y800" t="str">
        <f>IF(X800="","",SUMIFS(Issue!$D$3:$D1001,Issue!$C$3:$C1001,X800))</f>
        <v/>
      </c>
    </row>
    <row r="801" spans="5:25">
      <c r="E801" t="str">
        <f>IF(A801="","",SUMIFS(Issue!$D$3:$D1001,Issue!$C$3:$C1001,A801)*C801)</f>
        <v/>
      </c>
      <c r="F801" t="e">
        <f ca="1">_xludf.IFNA(VLOOKUP(B801,'S-FG'!$B$3:$B1001,1,FALSE),"")</f>
        <v>#NAME?</v>
      </c>
      <c r="L801" t="str">
        <f t="shared" si="3"/>
        <v/>
      </c>
      <c r="Q801" t="str">
        <f>IF(N801="","",SUMIFS('PR-BOM'!$D$3:$D1001,'PR-BOM'!$C$3:$C1001,N801))</f>
        <v/>
      </c>
      <c r="Y801" t="str">
        <f>IF(X801="","",SUMIFS(Issue!$D$3:$D1001,Issue!$C$3:$C1001,X801))</f>
        <v/>
      </c>
    </row>
    <row r="802" spans="5:25">
      <c r="E802" t="str">
        <f>IF(A802="","",SUMIFS(Issue!$D$3:$D1001,Issue!$C$3:$C1001,A802)*C802)</f>
        <v/>
      </c>
      <c r="F802" t="e">
        <f ca="1">_xludf.IFNA(VLOOKUP(B802,'S-FG'!$B$3:$B1001,1,FALSE),"")</f>
        <v>#NAME?</v>
      </c>
      <c r="L802" t="str">
        <f t="shared" si="3"/>
        <v/>
      </c>
      <c r="Q802" t="str">
        <f>IF(N802="","",SUMIFS('PR-BOM'!$D$3:$D1001,'PR-BOM'!$C$3:$C1001,N802))</f>
        <v/>
      </c>
      <c r="Y802" t="str">
        <f>IF(X802="","",SUMIFS(Issue!$D$3:$D1001,Issue!$C$3:$C1001,X802))</f>
        <v/>
      </c>
    </row>
    <row r="803" spans="5:25">
      <c r="E803" t="str">
        <f>IF(A803="","",SUMIFS(Issue!$D$3:$D1001,Issue!$C$3:$C1001,A803)*C803)</f>
        <v/>
      </c>
      <c r="F803" t="e">
        <f ca="1">_xludf.IFNA(VLOOKUP(B803,'S-FG'!$B$3:$B1001,1,FALSE),"")</f>
        <v>#NAME?</v>
      </c>
      <c r="L803" t="str">
        <f t="shared" si="3"/>
        <v/>
      </c>
      <c r="Q803" t="str">
        <f>IF(N803="","",SUMIFS('PR-BOM'!$D$3:$D1001,'PR-BOM'!$C$3:$C1001,N803))</f>
        <v/>
      </c>
      <c r="Y803" t="str">
        <f>IF(X803="","",SUMIFS(Issue!$D$3:$D1001,Issue!$C$3:$C1001,X803))</f>
        <v/>
      </c>
    </row>
    <row r="804" spans="5:25">
      <c r="E804" t="str">
        <f>IF(A804="","",SUMIFS(Issue!$D$3:$D1001,Issue!$C$3:$C1001,A804)*C804)</f>
        <v/>
      </c>
      <c r="F804" t="e">
        <f ca="1">_xludf.IFNA(VLOOKUP(B804,'S-FG'!$B$3:$B1001,1,FALSE),"")</f>
        <v>#NAME?</v>
      </c>
      <c r="L804" t="str">
        <f t="shared" si="3"/>
        <v/>
      </c>
      <c r="Q804" t="str">
        <f>IF(N804="","",SUMIFS('PR-BOM'!$D$3:$D1001,'PR-BOM'!$C$3:$C1001,N804))</f>
        <v/>
      </c>
      <c r="Y804" t="str">
        <f>IF(X804="","",SUMIFS(Issue!$D$3:$D1001,Issue!$C$3:$C1001,X804))</f>
        <v/>
      </c>
    </row>
    <row r="805" spans="5:25">
      <c r="E805" t="str">
        <f>IF(A805="","",SUMIFS(Issue!$D$3:$D1001,Issue!$C$3:$C1001,A805)*C805)</f>
        <v/>
      </c>
      <c r="F805" t="e">
        <f ca="1">_xludf.IFNA(VLOOKUP(B805,'S-FG'!$B$3:$B1001,1,FALSE),"")</f>
        <v>#NAME?</v>
      </c>
      <c r="L805" t="str">
        <f t="shared" si="3"/>
        <v/>
      </c>
      <c r="Q805" t="str">
        <f>IF(N805="","",SUMIFS('PR-BOM'!$D$3:$D1001,'PR-BOM'!$C$3:$C1001,N805))</f>
        <v/>
      </c>
      <c r="Y805" t="str">
        <f>IF(X805="","",SUMIFS(Issue!$D$3:$D1001,Issue!$C$3:$C1001,X805))</f>
        <v/>
      </c>
    </row>
    <row r="806" spans="5:25">
      <c r="E806" t="str">
        <f>IF(A806="","",SUMIFS(Issue!$D$3:$D1001,Issue!$C$3:$C1001,A806)*C806)</f>
        <v/>
      </c>
      <c r="F806" t="e">
        <f ca="1">_xludf.IFNA(VLOOKUP(B806,'S-FG'!$B$3:$B1001,1,FALSE),"")</f>
        <v>#NAME?</v>
      </c>
      <c r="L806" t="str">
        <f t="shared" si="3"/>
        <v/>
      </c>
      <c r="Q806" t="str">
        <f>IF(N806="","",SUMIFS('PR-BOM'!$D$3:$D1001,'PR-BOM'!$C$3:$C1001,N806))</f>
        <v/>
      </c>
      <c r="Y806" t="str">
        <f>IF(X806="","",SUMIFS(Issue!$D$3:$D1001,Issue!$C$3:$C1001,X806))</f>
        <v/>
      </c>
    </row>
    <row r="807" spans="5:25">
      <c r="E807" t="str">
        <f>IF(A807="","",SUMIFS(Issue!$D$3:$D1001,Issue!$C$3:$C1001,A807)*C807)</f>
        <v/>
      </c>
      <c r="F807" t="e">
        <f ca="1">_xludf.IFNA(VLOOKUP(B807,'S-FG'!$B$3:$B1001,1,FALSE),"")</f>
        <v>#NAME?</v>
      </c>
      <c r="L807" t="str">
        <f t="shared" si="3"/>
        <v/>
      </c>
      <c r="Q807" t="str">
        <f>IF(N807="","",SUMIFS('PR-BOM'!$D$3:$D1001,'PR-BOM'!$C$3:$C1001,N807))</f>
        <v/>
      </c>
      <c r="Y807" t="str">
        <f>IF(X807="","",SUMIFS(Issue!$D$3:$D1001,Issue!$C$3:$C1001,X807))</f>
        <v/>
      </c>
    </row>
    <row r="808" spans="5:25">
      <c r="E808" t="str">
        <f>IF(A808="","",SUMIFS(Issue!$D$3:$D1001,Issue!$C$3:$C1001,A808)*C808)</f>
        <v/>
      </c>
      <c r="F808" t="e">
        <f ca="1">_xludf.IFNA(VLOOKUP(B808,'S-FG'!$B$3:$B1001,1,FALSE),"")</f>
        <v>#NAME?</v>
      </c>
      <c r="L808" t="str">
        <f t="shared" si="3"/>
        <v/>
      </c>
      <c r="Q808" t="str">
        <f>IF(N808="","",SUMIFS('PR-BOM'!$D$3:$D1001,'PR-BOM'!$C$3:$C1001,N808))</f>
        <v/>
      </c>
      <c r="Y808" t="str">
        <f>IF(X808="","",SUMIFS(Issue!$D$3:$D1001,Issue!$C$3:$C1001,X808))</f>
        <v/>
      </c>
    </row>
    <row r="809" spans="5:25">
      <c r="E809" t="str">
        <f>IF(A809="","",SUMIFS(Issue!$D$3:$D1001,Issue!$C$3:$C1001,A809)*C809)</f>
        <v/>
      </c>
      <c r="F809" t="e">
        <f ca="1">_xludf.IFNA(VLOOKUP(B809,'S-FG'!$B$3:$B1001,1,FALSE),"")</f>
        <v>#NAME?</v>
      </c>
      <c r="L809" t="str">
        <f t="shared" si="3"/>
        <v/>
      </c>
      <c r="Q809" t="str">
        <f>IF(N809="","",SUMIFS('PR-BOM'!$D$3:$D1001,'PR-BOM'!$C$3:$C1001,N809))</f>
        <v/>
      </c>
      <c r="Y809" t="str">
        <f>IF(X809="","",SUMIFS(Issue!$D$3:$D1001,Issue!$C$3:$C1001,X809))</f>
        <v/>
      </c>
    </row>
    <row r="810" spans="5:25">
      <c r="E810" t="str">
        <f>IF(A810="","",SUMIFS(Issue!$D$3:$D1001,Issue!$C$3:$C1001,A810)*C810)</f>
        <v/>
      </c>
      <c r="F810" t="e">
        <f ca="1">_xludf.IFNA(VLOOKUP(B810,'S-FG'!$B$3:$B1001,1,FALSE),"")</f>
        <v>#NAME?</v>
      </c>
      <c r="L810" t="str">
        <f t="shared" si="3"/>
        <v/>
      </c>
      <c r="Q810" t="str">
        <f>IF(N810="","",SUMIFS('PR-BOM'!$D$3:$D1001,'PR-BOM'!$C$3:$C1001,N810))</f>
        <v/>
      </c>
      <c r="Y810" t="str">
        <f>IF(X810="","",SUMIFS(Issue!$D$3:$D1001,Issue!$C$3:$C1001,X810))</f>
        <v/>
      </c>
    </row>
    <row r="811" spans="5:25">
      <c r="E811" t="str">
        <f>IF(A811="","",SUMIFS(Issue!$D$3:$D1001,Issue!$C$3:$C1001,A811)*C811)</f>
        <v/>
      </c>
      <c r="F811" t="e">
        <f ca="1">_xludf.IFNA(VLOOKUP(B811,'S-FG'!$B$3:$B1001,1,FALSE),"")</f>
        <v>#NAME?</v>
      </c>
      <c r="L811" t="str">
        <f t="shared" si="3"/>
        <v/>
      </c>
      <c r="Q811" t="str">
        <f>IF(N811="","",SUMIFS('PR-BOM'!$D$3:$D1001,'PR-BOM'!$C$3:$C1001,N811))</f>
        <v/>
      </c>
      <c r="Y811" t="str">
        <f>IF(X811="","",SUMIFS(Issue!$D$3:$D1001,Issue!$C$3:$C1001,X811))</f>
        <v/>
      </c>
    </row>
    <row r="812" spans="5:25">
      <c r="E812" t="str">
        <f>IF(A812="","",SUMIFS(Issue!$D$3:$D1001,Issue!$C$3:$C1001,A812)*C812)</f>
        <v/>
      </c>
      <c r="F812" t="e">
        <f ca="1">_xludf.IFNA(VLOOKUP(B812,'S-FG'!$B$3:$B1001,1,FALSE),"")</f>
        <v>#NAME?</v>
      </c>
      <c r="L812" t="str">
        <f t="shared" si="3"/>
        <v/>
      </c>
      <c r="Q812" t="str">
        <f>IF(N812="","",SUMIFS('PR-BOM'!$D$3:$D1001,'PR-BOM'!$C$3:$C1001,N812))</f>
        <v/>
      </c>
      <c r="Y812" t="str">
        <f>IF(X812="","",SUMIFS(Issue!$D$3:$D1001,Issue!$C$3:$C1001,X812))</f>
        <v/>
      </c>
    </row>
    <row r="813" spans="5:25">
      <c r="E813" t="str">
        <f>IF(A813="","",SUMIFS(Issue!$D$3:$D1001,Issue!$C$3:$C1001,A813)*C813)</f>
        <v/>
      </c>
      <c r="F813" t="e">
        <f ca="1">_xludf.IFNA(VLOOKUP(B813,'S-FG'!$B$3:$B1001,1,FALSE),"")</f>
        <v>#NAME?</v>
      </c>
      <c r="L813" t="str">
        <f t="shared" si="3"/>
        <v/>
      </c>
      <c r="Q813" t="str">
        <f>IF(N813="","",SUMIFS('PR-BOM'!$D$3:$D1001,'PR-BOM'!$C$3:$C1001,N813))</f>
        <v/>
      </c>
      <c r="Y813" t="str">
        <f>IF(X813="","",SUMIFS(Issue!$D$3:$D1001,Issue!$C$3:$C1001,X813))</f>
        <v/>
      </c>
    </row>
    <row r="814" spans="5:25">
      <c r="E814" t="str">
        <f>IF(A814="","",SUMIFS(Issue!$D$3:$D1001,Issue!$C$3:$C1001,A814)*C814)</f>
        <v/>
      </c>
      <c r="F814" t="e">
        <f ca="1">_xludf.IFNA(VLOOKUP(B814,'S-FG'!$B$3:$B1001,1,FALSE),"")</f>
        <v>#NAME?</v>
      </c>
      <c r="L814" t="str">
        <f t="shared" si="3"/>
        <v/>
      </c>
      <c r="Q814" t="str">
        <f>IF(N814="","",SUMIFS('PR-BOM'!$D$3:$D1001,'PR-BOM'!$C$3:$C1001,N814))</f>
        <v/>
      </c>
      <c r="Y814" t="str">
        <f>IF(X814="","",SUMIFS(Issue!$D$3:$D1001,Issue!$C$3:$C1001,X814))</f>
        <v/>
      </c>
    </row>
    <row r="815" spans="5:25">
      <c r="E815" t="str">
        <f>IF(A815="","",SUMIFS(Issue!$D$3:$D1001,Issue!$C$3:$C1001,A815)*C815)</f>
        <v/>
      </c>
      <c r="F815" t="e">
        <f ca="1">_xludf.IFNA(VLOOKUP(B815,'S-FG'!$B$3:$B1001,1,FALSE),"")</f>
        <v>#NAME?</v>
      </c>
      <c r="L815" t="str">
        <f t="shared" si="3"/>
        <v/>
      </c>
      <c r="Q815" t="str">
        <f>IF(N815="","",SUMIFS('PR-BOM'!$D$3:$D1001,'PR-BOM'!$C$3:$C1001,N815))</f>
        <v/>
      </c>
      <c r="Y815" t="str">
        <f>IF(X815="","",SUMIFS(Issue!$D$3:$D1001,Issue!$C$3:$C1001,X815))</f>
        <v/>
      </c>
    </row>
    <row r="816" spans="5:25">
      <c r="E816" t="str">
        <f>IF(A816="","",SUMIFS(Issue!$D$3:$D1001,Issue!$C$3:$C1001,A816)*C816)</f>
        <v/>
      </c>
      <c r="F816" t="e">
        <f ca="1">_xludf.IFNA(VLOOKUP(B816,'S-FG'!$B$3:$B1001,1,FALSE),"")</f>
        <v>#NAME?</v>
      </c>
      <c r="L816" t="str">
        <f t="shared" si="3"/>
        <v/>
      </c>
      <c r="Q816" t="str">
        <f>IF(N816="","",SUMIFS('PR-BOM'!$D$3:$D1001,'PR-BOM'!$C$3:$C1001,N816))</f>
        <v/>
      </c>
      <c r="Y816" t="str">
        <f>IF(X816="","",SUMIFS(Issue!$D$3:$D1001,Issue!$C$3:$C1001,X816))</f>
        <v/>
      </c>
    </row>
    <row r="817" spans="5:25">
      <c r="E817" t="str">
        <f>IF(A817="","",SUMIFS(Issue!$D$3:$D1001,Issue!$C$3:$C1001,A817)*C817)</f>
        <v/>
      </c>
      <c r="F817" t="e">
        <f ca="1">_xludf.IFNA(VLOOKUP(B817,'S-FG'!$B$3:$B1001,1,FALSE),"")</f>
        <v>#NAME?</v>
      </c>
      <c r="L817" t="str">
        <f t="shared" si="3"/>
        <v/>
      </c>
      <c r="Q817" t="str">
        <f>IF(N817="","",SUMIFS('PR-BOM'!$D$3:$D1001,'PR-BOM'!$C$3:$C1001,N817))</f>
        <v/>
      </c>
      <c r="Y817" t="str">
        <f>IF(X817="","",SUMIFS(Issue!$D$3:$D1001,Issue!$C$3:$C1001,X817))</f>
        <v/>
      </c>
    </row>
    <row r="818" spans="5:25">
      <c r="E818" t="str">
        <f>IF(A818="","",SUMIFS(Issue!$D$3:$D1001,Issue!$C$3:$C1001,A818)*C818)</f>
        <v/>
      </c>
      <c r="F818" t="e">
        <f ca="1">_xludf.IFNA(VLOOKUP(B818,'S-FG'!$B$3:$B1001,1,FALSE),"")</f>
        <v>#NAME?</v>
      </c>
      <c r="L818" t="str">
        <f t="shared" si="3"/>
        <v/>
      </c>
      <c r="Q818" t="str">
        <f>IF(N818="","",SUMIFS('PR-BOM'!$D$3:$D1001,'PR-BOM'!$C$3:$C1001,N818))</f>
        <v/>
      </c>
      <c r="Y818" t="str">
        <f>IF(X818="","",SUMIFS(Issue!$D$3:$D1001,Issue!$C$3:$C1001,X818))</f>
        <v/>
      </c>
    </row>
    <row r="819" spans="5:25">
      <c r="E819" t="str">
        <f>IF(A819="","",SUMIFS(Issue!$D$3:$D1001,Issue!$C$3:$C1001,A819)*C819)</f>
        <v/>
      </c>
      <c r="F819" t="e">
        <f ca="1">_xludf.IFNA(VLOOKUP(B819,'S-FG'!$B$3:$B1001,1,FALSE),"")</f>
        <v>#NAME?</v>
      </c>
      <c r="L819" t="str">
        <f t="shared" si="3"/>
        <v/>
      </c>
      <c r="Q819" t="str">
        <f>IF(N819="","",SUMIFS('PR-BOM'!$D$3:$D1001,'PR-BOM'!$C$3:$C1001,N819))</f>
        <v/>
      </c>
      <c r="Y819" t="str">
        <f>IF(X819="","",SUMIFS(Issue!$D$3:$D1001,Issue!$C$3:$C1001,X819))</f>
        <v/>
      </c>
    </row>
    <row r="820" spans="5:25">
      <c r="E820" t="str">
        <f>IF(A820="","",SUMIFS(Issue!$D$3:$D1001,Issue!$C$3:$C1001,A820)*C820)</f>
        <v/>
      </c>
      <c r="F820" t="e">
        <f ca="1">_xludf.IFNA(VLOOKUP(B820,'S-FG'!$B$3:$B1001,1,FALSE),"")</f>
        <v>#NAME?</v>
      </c>
      <c r="L820" t="str">
        <f t="shared" si="3"/>
        <v/>
      </c>
      <c r="Q820" t="str">
        <f>IF(N820="","",SUMIFS('PR-BOM'!$D$3:$D1001,'PR-BOM'!$C$3:$C1001,N820))</f>
        <v/>
      </c>
      <c r="Y820" t="str">
        <f>IF(X820="","",SUMIFS(Issue!$D$3:$D1001,Issue!$C$3:$C1001,X820))</f>
        <v/>
      </c>
    </row>
    <row r="821" spans="5:25">
      <c r="E821" t="str">
        <f>IF(A821="","",SUMIFS(Issue!$D$3:$D1001,Issue!$C$3:$C1001,A821)*C821)</f>
        <v/>
      </c>
      <c r="F821" t="e">
        <f ca="1">_xludf.IFNA(VLOOKUP(B821,'S-FG'!$B$3:$B1001,1,FALSE),"")</f>
        <v>#NAME?</v>
      </c>
      <c r="L821" t="str">
        <f t="shared" si="3"/>
        <v/>
      </c>
      <c r="Q821" t="str">
        <f>IF(N821="","",SUMIFS('PR-BOM'!$D$3:$D1001,'PR-BOM'!$C$3:$C1001,N821))</f>
        <v/>
      </c>
      <c r="Y821" t="str">
        <f>IF(X821="","",SUMIFS(Issue!$D$3:$D1001,Issue!$C$3:$C1001,X821))</f>
        <v/>
      </c>
    </row>
    <row r="822" spans="5:25">
      <c r="E822" t="str">
        <f>IF(A822="","",SUMIFS(Issue!$D$3:$D1001,Issue!$C$3:$C1001,A822)*C822)</f>
        <v/>
      </c>
      <c r="F822" t="e">
        <f ca="1">_xludf.IFNA(VLOOKUP(B822,'S-FG'!$B$3:$B1001,1,FALSE),"")</f>
        <v>#NAME?</v>
      </c>
      <c r="L822" t="str">
        <f t="shared" si="3"/>
        <v/>
      </c>
      <c r="Q822" t="str">
        <f>IF(N822="","",SUMIFS('PR-BOM'!$D$3:$D1001,'PR-BOM'!$C$3:$C1001,N822))</f>
        <v/>
      </c>
      <c r="Y822" t="str">
        <f>IF(X822="","",SUMIFS(Issue!$D$3:$D1001,Issue!$C$3:$C1001,X822))</f>
        <v/>
      </c>
    </row>
    <row r="823" spans="5:25">
      <c r="E823" t="str">
        <f>IF(A823="","",SUMIFS(Issue!$D$3:$D1001,Issue!$C$3:$C1001,A823)*C823)</f>
        <v/>
      </c>
      <c r="F823" t="e">
        <f ca="1">_xludf.IFNA(VLOOKUP(B823,'S-FG'!$B$3:$B1001,1,FALSE),"")</f>
        <v>#NAME?</v>
      </c>
      <c r="L823" t="str">
        <f t="shared" si="3"/>
        <v/>
      </c>
      <c r="Q823" t="str">
        <f>IF(N823="","",SUMIFS('PR-BOM'!$D$3:$D1001,'PR-BOM'!$C$3:$C1001,N823))</f>
        <v/>
      </c>
      <c r="Y823" t="str">
        <f>IF(X823="","",SUMIFS(Issue!$D$3:$D1001,Issue!$C$3:$C1001,X823))</f>
        <v/>
      </c>
    </row>
    <row r="824" spans="5:25">
      <c r="E824" t="str">
        <f>IF(A824="","",SUMIFS(Issue!$D$3:$D1001,Issue!$C$3:$C1001,A824)*C824)</f>
        <v/>
      </c>
      <c r="F824" t="e">
        <f ca="1">_xludf.IFNA(VLOOKUP(B824,'S-FG'!$B$3:$B1001,1,FALSE),"")</f>
        <v>#NAME?</v>
      </c>
      <c r="L824" t="str">
        <f t="shared" si="3"/>
        <v/>
      </c>
      <c r="Q824" t="str">
        <f>IF(N824="","",SUMIFS('PR-BOM'!$D$3:$D1001,'PR-BOM'!$C$3:$C1001,N824))</f>
        <v/>
      </c>
      <c r="Y824" t="str">
        <f>IF(X824="","",SUMIFS(Issue!$D$3:$D1001,Issue!$C$3:$C1001,X824))</f>
        <v/>
      </c>
    </row>
    <row r="825" spans="5:25">
      <c r="E825" t="str">
        <f>IF(A825="","",SUMIFS(Issue!$D$3:$D1001,Issue!$C$3:$C1001,A825)*C825)</f>
        <v/>
      </c>
      <c r="F825" t="e">
        <f ca="1">_xludf.IFNA(VLOOKUP(B825,'S-FG'!$B$3:$B1001,1,FALSE),"")</f>
        <v>#NAME?</v>
      </c>
      <c r="L825" t="str">
        <f t="shared" si="3"/>
        <v/>
      </c>
      <c r="Q825" t="str">
        <f>IF(N825="","",SUMIFS('PR-BOM'!$D$3:$D1001,'PR-BOM'!$C$3:$C1001,N825))</f>
        <v/>
      </c>
      <c r="Y825" t="str">
        <f>IF(X825="","",SUMIFS(Issue!$D$3:$D1001,Issue!$C$3:$C1001,X825))</f>
        <v/>
      </c>
    </row>
    <row r="826" spans="5:25">
      <c r="E826" t="str">
        <f>IF(A826="","",SUMIFS(Issue!$D$3:$D1001,Issue!$C$3:$C1001,A826)*C826)</f>
        <v/>
      </c>
      <c r="F826" t="e">
        <f ca="1">_xludf.IFNA(VLOOKUP(B826,'S-FG'!$B$3:$B1001,1,FALSE),"")</f>
        <v>#NAME?</v>
      </c>
      <c r="L826" t="str">
        <f t="shared" si="3"/>
        <v/>
      </c>
      <c r="Q826" t="str">
        <f>IF(N826="","",SUMIFS('PR-BOM'!$D$3:$D1001,'PR-BOM'!$C$3:$C1001,N826))</f>
        <v/>
      </c>
      <c r="Y826" t="str">
        <f>IF(X826="","",SUMIFS(Issue!$D$3:$D1001,Issue!$C$3:$C1001,X826))</f>
        <v/>
      </c>
    </row>
    <row r="827" spans="5:25">
      <c r="E827" t="str">
        <f>IF(A827="","",SUMIFS(Issue!$D$3:$D1001,Issue!$C$3:$C1001,A827)*C827)</f>
        <v/>
      </c>
      <c r="F827" t="e">
        <f ca="1">_xludf.IFNA(VLOOKUP(B827,'S-FG'!$B$3:$B1001,1,FALSE),"")</f>
        <v>#NAME?</v>
      </c>
      <c r="L827" t="str">
        <f t="shared" si="3"/>
        <v/>
      </c>
      <c r="Q827" t="str">
        <f>IF(N827="","",SUMIFS('PR-BOM'!$D$3:$D1001,'PR-BOM'!$C$3:$C1001,N827))</f>
        <v/>
      </c>
      <c r="Y827" t="str">
        <f>IF(X827="","",SUMIFS(Issue!$D$3:$D1001,Issue!$C$3:$C1001,X827))</f>
        <v/>
      </c>
    </row>
    <row r="828" spans="5:25">
      <c r="E828" t="str">
        <f>IF(A828="","",SUMIFS(Issue!$D$3:$D1001,Issue!$C$3:$C1001,A828)*C828)</f>
        <v/>
      </c>
      <c r="F828" t="e">
        <f ca="1">_xludf.IFNA(VLOOKUP(B828,'S-FG'!$B$3:$B1001,1,FALSE),"")</f>
        <v>#NAME?</v>
      </c>
      <c r="L828" t="str">
        <f t="shared" si="3"/>
        <v/>
      </c>
      <c r="Q828" t="str">
        <f>IF(N828="","",SUMIFS('PR-BOM'!$D$3:$D1001,'PR-BOM'!$C$3:$C1001,N828))</f>
        <v/>
      </c>
      <c r="Y828" t="str">
        <f>IF(X828="","",SUMIFS(Issue!$D$3:$D1001,Issue!$C$3:$C1001,X828))</f>
        <v/>
      </c>
    </row>
    <row r="829" spans="5:25">
      <c r="E829" t="str">
        <f>IF(A829="","",SUMIFS(Issue!$D$3:$D1001,Issue!$C$3:$C1001,A829)*C829)</f>
        <v/>
      </c>
      <c r="F829" t="e">
        <f ca="1">_xludf.IFNA(VLOOKUP(B829,'S-FG'!$B$3:$B1001,1,FALSE),"")</f>
        <v>#NAME?</v>
      </c>
      <c r="L829" t="str">
        <f t="shared" si="3"/>
        <v/>
      </c>
      <c r="Q829" t="str">
        <f>IF(N829="","",SUMIFS('PR-BOM'!$D$3:$D1001,'PR-BOM'!$C$3:$C1001,N829))</f>
        <v/>
      </c>
      <c r="Y829" t="str">
        <f>IF(X829="","",SUMIFS(Issue!$D$3:$D1001,Issue!$C$3:$C1001,X829))</f>
        <v/>
      </c>
    </row>
    <row r="830" spans="5:25">
      <c r="E830" t="str">
        <f>IF(A830="","",SUMIFS(Issue!$D$3:$D1001,Issue!$C$3:$C1001,A830)*C830)</f>
        <v/>
      </c>
      <c r="F830" t="e">
        <f ca="1">_xludf.IFNA(VLOOKUP(B830,'S-FG'!$B$3:$B1001,1,FALSE),"")</f>
        <v>#NAME?</v>
      </c>
      <c r="L830" t="str">
        <f t="shared" si="3"/>
        <v/>
      </c>
      <c r="Q830" t="str">
        <f>IF(N830="","",SUMIFS('PR-BOM'!$D$3:$D1001,'PR-BOM'!$C$3:$C1001,N830))</f>
        <v/>
      </c>
      <c r="Y830" t="str">
        <f>IF(X830="","",SUMIFS(Issue!$D$3:$D1001,Issue!$C$3:$C1001,X830))</f>
        <v/>
      </c>
    </row>
    <row r="831" spans="5:25">
      <c r="E831" t="str">
        <f>IF(A831="","",SUMIFS(Issue!$D$3:$D1001,Issue!$C$3:$C1001,A831)*C831)</f>
        <v/>
      </c>
      <c r="F831" t="e">
        <f ca="1">_xludf.IFNA(VLOOKUP(B831,'S-FG'!$B$3:$B1001,1,FALSE),"")</f>
        <v>#NAME?</v>
      </c>
      <c r="L831" t="str">
        <f t="shared" si="3"/>
        <v/>
      </c>
      <c r="Q831" t="str">
        <f>IF(N831="","",SUMIFS('PR-BOM'!$D$3:$D1001,'PR-BOM'!$C$3:$C1001,N831))</f>
        <v/>
      </c>
      <c r="Y831" t="str">
        <f>IF(X831="","",SUMIFS(Issue!$D$3:$D1001,Issue!$C$3:$C1001,X831))</f>
        <v/>
      </c>
    </row>
    <row r="832" spans="5:25">
      <c r="E832" t="str">
        <f>IF(A832="","",SUMIFS(Issue!$D$3:$D1001,Issue!$C$3:$C1001,A832)*C832)</f>
        <v/>
      </c>
      <c r="F832" t="e">
        <f ca="1">_xludf.IFNA(VLOOKUP(B832,'S-FG'!$B$3:$B1001,1,FALSE),"")</f>
        <v>#NAME?</v>
      </c>
      <c r="L832" t="str">
        <f t="shared" si="3"/>
        <v/>
      </c>
      <c r="Q832" t="str">
        <f>IF(N832="","",SUMIFS('PR-BOM'!$D$3:$D1001,'PR-BOM'!$C$3:$C1001,N832))</f>
        <v/>
      </c>
      <c r="Y832" t="str">
        <f>IF(X832="","",SUMIFS(Issue!$D$3:$D1001,Issue!$C$3:$C1001,X832))</f>
        <v/>
      </c>
    </row>
    <row r="833" spans="5:25">
      <c r="E833" t="str">
        <f>IF(A833="","",SUMIFS(Issue!$D$3:$D1001,Issue!$C$3:$C1001,A833)*C833)</f>
        <v/>
      </c>
      <c r="F833" t="e">
        <f ca="1">_xludf.IFNA(VLOOKUP(B833,'S-FG'!$B$3:$B1001,1,FALSE),"")</f>
        <v>#NAME?</v>
      </c>
      <c r="L833" t="str">
        <f t="shared" si="3"/>
        <v/>
      </c>
      <c r="Q833" t="str">
        <f>IF(N833="","",SUMIFS('PR-BOM'!$D$3:$D1001,'PR-BOM'!$C$3:$C1001,N833))</f>
        <v/>
      </c>
      <c r="Y833" t="str">
        <f>IF(X833="","",SUMIFS(Issue!$D$3:$D1001,Issue!$C$3:$C1001,X833))</f>
        <v/>
      </c>
    </row>
    <row r="834" spans="5:25">
      <c r="E834" t="str">
        <f>IF(A834="","",SUMIFS(Issue!$D$3:$D1001,Issue!$C$3:$C1001,A834)*C834)</f>
        <v/>
      </c>
      <c r="F834" t="e">
        <f ca="1">_xludf.IFNA(VLOOKUP(B834,'S-FG'!$B$3:$B1001,1,FALSE),"")</f>
        <v>#NAME?</v>
      </c>
      <c r="L834" t="str">
        <f t="shared" si="3"/>
        <v/>
      </c>
      <c r="Q834" t="str">
        <f>IF(N834="","",SUMIFS('PR-BOM'!$D$3:$D1001,'PR-BOM'!$C$3:$C1001,N834))</f>
        <v/>
      </c>
      <c r="Y834" t="str">
        <f>IF(X834="","",SUMIFS(Issue!$D$3:$D1001,Issue!$C$3:$C1001,X834))</f>
        <v/>
      </c>
    </row>
    <row r="835" spans="5:25">
      <c r="E835" t="str">
        <f>IF(A835="","",SUMIFS(Issue!$D$3:$D1001,Issue!$C$3:$C1001,A835)*C835)</f>
        <v/>
      </c>
      <c r="F835" t="e">
        <f ca="1">_xludf.IFNA(VLOOKUP(B835,'S-FG'!$B$3:$B1001,1,FALSE),"")</f>
        <v>#NAME?</v>
      </c>
      <c r="L835" t="str">
        <f t="shared" si="3"/>
        <v/>
      </c>
      <c r="Q835" t="str">
        <f>IF(N835="","",SUMIFS('PR-BOM'!$D$3:$D1001,'PR-BOM'!$C$3:$C1001,N835))</f>
        <v/>
      </c>
      <c r="Y835" t="str">
        <f>IF(X835="","",SUMIFS(Issue!$D$3:$D1001,Issue!$C$3:$C1001,X835))</f>
        <v/>
      </c>
    </row>
    <row r="836" spans="5:25">
      <c r="E836" t="str">
        <f>IF(A836="","",SUMIFS(Issue!$D$3:$D1001,Issue!$C$3:$C1001,A836)*C836)</f>
        <v/>
      </c>
      <c r="F836" t="e">
        <f ca="1">_xludf.IFNA(VLOOKUP(B836,'S-FG'!$B$3:$B1001,1,FALSE),"")</f>
        <v>#NAME?</v>
      </c>
      <c r="L836" t="str">
        <f t="shared" si="3"/>
        <v/>
      </c>
      <c r="Q836" t="str">
        <f>IF(N836="","",SUMIFS('PR-BOM'!$D$3:$D1001,'PR-BOM'!$C$3:$C1001,N836))</f>
        <v/>
      </c>
      <c r="Y836" t="str">
        <f>IF(X836="","",SUMIFS(Issue!$D$3:$D1001,Issue!$C$3:$C1001,X836))</f>
        <v/>
      </c>
    </row>
    <row r="837" spans="5:25">
      <c r="E837" t="str">
        <f>IF(A837="","",SUMIFS(Issue!$D$3:$D1001,Issue!$C$3:$C1001,A837)*C837)</f>
        <v/>
      </c>
      <c r="F837" t="e">
        <f ca="1">_xludf.IFNA(VLOOKUP(B837,'S-FG'!$B$3:$B1001,1,FALSE),"")</f>
        <v>#NAME?</v>
      </c>
      <c r="L837" t="str">
        <f t="shared" si="3"/>
        <v/>
      </c>
      <c r="Q837" t="str">
        <f>IF(N837="","",SUMIFS('PR-BOM'!$D$3:$D1001,'PR-BOM'!$C$3:$C1001,N837))</f>
        <v/>
      </c>
      <c r="Y837" t="str">
        <f>IF(X837="","",SUMIFS(Issue!$D$3:$D1001,Issue!$C$3:$C1001,X837))</f>
        <v/>
      </c>
    </row>
    <row r="838" spans="5:25">
      <c r="E838" t="str">
        <f>IF(A838="","",SUMIFS(Issue!$D$3:$D1001,Issue!$C$3:$C1001,A838)*C838)</f>
        <v/>
      </c>
      <c r="F838" t="e">
        <f ca="1">_xludf.IFNA(VLOOKUP(B838,'S-FG'!$B$3:$B1001,1,FALSE),"")</f>
        <v>#NAME?</v>
      </c>
      <c r="L838" t="str">
        <f t="shared" si="3"/>
        <v/>
      </c>
      <c r="Q838" t="str">
        <f>IF(N838="","",SUMIFS('PR-BOM'!$D$3:$D1001,'PR-BOM'!$C$3:$C1001,N838))</f>
        <v/>
      </c>
      <c r="Y838" t="str">
        <f>IF(X838="","",SUMIFS(Issue!$D$3:$D1001,Issue!$C$3:$C1001,X838))</f>
        <v/>
      </c>
    </row>
    <row r="839" spans="5:25">
      <c r="E839" t="str">
        <f>IF(A839="","",SUMIFS(Issue!$D$3:$D1001,Issue!$C$3:$C1001,A839)*C839)</f>
        <v/>
      </c>
      <c r="F839" t="e">
        <f ca="1">_xludf.IFNA(VLOOKUP(B839,'S-FG'!$B$3:$B1001,1,FALSE),"")</f>
        <v>#NAME?</v>
      </c>
      <c r="L839" t="str">
        <f t="shared" si="3"/>
        <v/>
      </c>
      <c r="Q839" t="str">
        <f>IF(N839="","",SUMIFS('PR-BOM'!$D$3:$D1001,'PR-BOM'!$C$3:$C1001,N839))</f>
        <v/>
      </c>
      <c r="Y839" t="str">
        <f>IF(X839="","",SUMIFS(Issue!$D$3:$D1001,Issue!$C$3:$C1001,X839))</f>
        <v/>
      </c>
    </row>
    <row r="840" spans="5:25">
      <c r="E840" t="str">
        <f>IF(A840="","",SUMIFS(Issue!$D$3:$D1001,Issue!$C$3:$C1001,A840)*C840)</f>
        <v/>
      </c>
      <c r="F840" t="e">
        <f ca="1">_xludf.IFNA(VLOOKUP(B840,'S-FG'!$B$3:$B1001,1,FALSE),"")</f>
        <v>#NAME?</v>
      </c>
      <c r="L840" t="str">
        <f t="shared" si="3"/>
        <v/>
      </c>
      <c r="Q840" t="str">
        <f>IF(N840="","",SUMIFS('PR-BOM'!$D$3:$D1001,'PR-BOM'!$C$3:$C1001,N840))</f>
        <v/>
      </c>
      <c r="Y840" t="str">
        <f>IF(X840="","",SUMIFS(Issue!$D$3:$D1001,Issue!$C$3:$C1001,X840))</f>
        <v/>
      </c>
    </row>
    <row r="841" spans="5:25">
      <c r="E841" t="str">
        <f>IF(A841="","",SUMIFS(Issue!$D$3:$D1001,Issue!$C$3:$C1001,A841)*C841)</f>
        <v/>
      </c>
      <c r="F841" t="e">
        <f ca="1">_xludf.IFNA(VLOOKUP(B841,'S-FG'!$B$3:$B1001,1,FALSE),"")</f>
        <v>#NAME?</v>
      </c>
      <c r="L841" t="str">
        <f t="shared" si="3"/>
        <v/>
      </c>
      <c r="Q841" t="str">
        <f>IF(N841="","",SUMIFS('PR-BOM'!$D$3:$D1001,'PR-BOM'!$C$3:$C1001,N841))</f>
        <v/>
      </c>
      <c r="Y841" t="str">
        <f>IF(X841="","",SUMIFS(Issue!$D$3:$D1001,Issue!$C$3:$C1001,X841))</f>
        <v/>
      </c>
    </row>
    <row r="842" spans="5:25">
      <c r="E842" t="str">
        <f>IF(A842="","",SUMIFS(Issue!$D$3:$D1001,Issue!$C$3:$C1001,A842)*C842)</f>
        <v/>
      </c>
      <c r="F842" t="e">
        <f ca="1">_xludf.IFNA(VLOOKUP(B842,'S-FG'!$B$3:$B1001,1,FALSE),"")</f>
        <v>#NAME?</v>
      </c>
      <c r="L842" t="str">
        <f t="shared" si="3"/>
        <v/>
      </c>
      <c r="Q842" t="str">
        <f>IF(N842="","",SUMIFS('PR-BOM'!$D$3:$D1001,'PR-BOM'!$C$3:$C1001,N842))</f>
        <v/>
      </c>
      <c r="Y842" t="str">
        <f>IF(X842="","",SUMIFS(Issue!$D$3:$D1001,Issue!$C$3:$C1001,X842))</f>
        <v/>
      </c>
    </row>
    <row r="843" spans="5:25">
      <c r="E843" t="str">
        <f>IF(A843="","",SUMIFS(Issue!$D$3:$D1001,Issue!$C$3:$C1001,A843)*C843)</f>
        <v/>
      </c>
      <c r="F843" t="e">
        <f ca="1">_xludf.IFNA(VLOOKUP(B843,'S-FG'!$B$3:$B1001,1,FALSE),"")</f>
        <v>#NAME?</v>
      </c>
      <c r="L843" t="str">
        <f t="shared" si="3"/>
        <v/>
      </c>
      <c r="Q843" t="str">
        <f>IF(N843="","",SUMIFS('PR-BOM'!$D$3:$D1001,'PR-BOM'!$C$3:$C1001,N843))</f>
        <v/>
      </c>
      <c r="Y843" t="str">
        <f>IF(X843="","",SUMIFS(Issue!$D$3:$D1001,Issue!$C$3:$C1001,X843))</f>
        <v/>
      </c>
    </row>
    <row r="844" spans="5:25">
      <c r="E844" t="str">
        <f>IF(A844="","",SUMIFS(Issue!$D$3:$D1001,Issue!$C$3:$C1001,A844)*C844)</f>
        <v/>
      </c>
      <c r="F844" t="e">
        <f ca="1">_xludf.IFNA(VLOOKUP(B844,'S-FG'!$B$3:$B1001,1,FALSE),"")</f>
        <v>#NAME?</v>
      </c>
      <c r="L844" t="str">
        <f t="shared" si="3"/>
        <v/>
      </c>
      <c r="Q844" t="str">
        <f>IF(N844="","",SUMIFS('PR-BOM'!$D$3:$D1001,'PR-BOM'!$C$3:$C1001,N844))</f>
        <v/>
      </c>
      <c r="Y844" t="str">
        <f>IF(X844="","",SUMIFS(Issue!$D$3:$D1001,Issue!$C$3:$C1001,X844))</f>
        <v/>
      </c>
    </row>
    <row r="845" spans="5:25">
      <c r="E845" t="str">
        <f>IF(A845="","",SUMIFS(Issue!$D$3:$D1001,Issue!$C$3:$C1001,A845)*C845)</f>
        <v/>
      </c>
      <c r="F845" t="e">
        <f ca="1">_xludf.IFNA(VLOOKUP(B845,'S-FG'!$B$3:$B1001,1,FALSE),"")</f>
        <v>#NAME?</v>
      </c>
      <c r="L845" t="str">
        <f t="shared" si="3"/>
        <v/>
      </c>
      <c r="Q845" t="str">
        <f>IF(N845="","",SUMIFS('PR-BOM'!$D$3:$D1001,'PR-BOM'!$C$3:$C1001,N845))</f>
        <v/>
      </c>
      <c r="Y845" t="str">
        <f>IF(X845="","",SUMIFS(Issue!$D$3:$D1001,Issue!$C$3:$C1001,X845))</f>
        <v/>
      </c>
    </row>
    <row r="846" spans="5:25">
      <c r="E846" t="str">
        <f>IF(A846="","",SUMIFS(Issue!$D$3:$D1001,Issue!$C$3:$C1001,A846)*C846)</f>
        <v/>
      </c>
      <c r="F846" t="e">
        <f ca="1">_xludf.IFNA(VLOOKUP(B846,'S-FG'!$B$3:$B1001,1,FALSE),"")</f>
        <v>#NAME?</v>
      </c>
      <c r="L846" t="str">
        <f t="shared" si="3"/>
        <v/>
      </c>
      <c r="Q846" t="str">
        <f>IF(N846="","",SUMIFS('PR-BOM'!$D$3:$D1001,'PR-BOM'!$C$3:$C1001,N846))</f>
        <v/>
      </c>
      <c r="Y846" t="str">
        <f>IF(X846="","",SUMIFS(Issue!$D$3:$D1001,Issue!$C$3:$C1001,X846))</f>
        <v/>
      </c>
    </row>
    <row r="847" spans="5:25">
      <c r="E847" t="str">
        <f>IF(A847="","",SUMIFS(Issue!$D$3:$D1001,Issue!$C$3:$C1001,A847)*C847)</f>
        <v/>
      </c>
      <c r="F847" t="e">
        <f ca="1">_xludf.IFNA(VLOOKUP(B847,'S-FG'!$B$3:$B1001,1,FALSE),"")</f>
        <v>#NAME?</v>
      </c>
      <c r="L847" t="str">
        <f t="shared" si="3"/>
        <v/>
      </c>
      <c r="Q847" t="str">
        <f>IF(N847="","",SUMIFS('PR-BOM'!$D$3:$D1001,'PR-BOM'!$C$3:$C1001,N847))</f>
        <v/>
      </c>
      <c r="Y847" t="str">
        <f>IF(X847="","",SUMIFS(Issue!$D$3:$D1001,Issue!$C$3:$C1001,X847))</f>
        <v/>
      </c>
    </row>
    <row r="848" spans="5:25">
      <c r="E848" t="str">
        <f>IF(A848="","",SUMIFS(Issue!$D$3:$D1001,Issue!$C$3:$C1001,A848)*C848)</f>
        <v/>
      </c>
      <c r="F848" t="e">
        <f ca="1">_xludf.IFNA(VLOOKUP(B848,'S-FG'!$B$3:$B1001,1,FALSE),"")</f>
        <v>#NAME?</v>
      </c>
      <c r="L848" t="str">
        <f t="shared" si="3"/>
        <v/>
      </c>
      <c r="Q848" t="str">
        <f>IF(N848="","",SUMIFS('PR-BOM'!$D$3:$D1001,'PR-BOM'!$C$3:$C1001,N848))</f>
        <v/>
      </c>
      <c r="Y848" t="str">
        <f>IF(X848="","",SUMIFS(Issue!$D$3:$D1001,Issue!$C$3:$C1001,X848))</f>
        <v/>
      </c>
    </row>
    <row r="849" spans="5:25">
      <c r="E849" t="str">
        <f>IF(A849="","",SUMIFS(Issue!$D$3:$D1001,Issue!$C$3:$C1001,A849)*C849)</f>
        <v/>
      </c>
      <c r="F849" t="e">
        <f ca="1">_xludf.IFNA(VLOOKUP(B849,'S-FG'!$B$3:$B1001,1,FALSE),"")</f>
        <v>#NAME?</v>
      </c>
      <c r="L849" t="str">
        <f t="shared" si="3"/>
        <v/>
      </c>
      <c r="Q849" t="str">
        <f>IF(N849="","",SUMIFS('PR-BOM'!$D$3:$D1001,'PR-BOM'!$C$3:$C1001,N849))</f>
        <v/>
      </c>
      <c r="Y849" t="str">
        <f>IF(X849="","",SUMIFS(Issue!$D$3:$D1001,Issue!$C$3:$C1001,X849))</f>
        <v/>
      </c>
    </row>
    <row r="850" spans="5:25">
      <c r="E850" t="str">
        <f>IF(A850="","",SUMIFS(Issue!$D$3:$D1001,Issue!$C$3:$C1001,A850)*C850)</f>
        <v/>
      </c>
      <c r="F850" t="e">
        <f ca="1">_xludf.IFNA(VLOOKUP(B850,'S-FG'!$B$3:$B1001,1,FALSE),"")</f>
        <v>#NAME?</v>
      </c>
      <c r="L850" t="str">
        <f t="shared" si="3"/>
        <v/>
      </c>
      <c r="Q850" t="str">
        <f>IF(N850="","",SUMIFS('PR-BOM'!$D$3:$D1001,'PR-BOM'!$C$3:$C1001,N850))</f>
        <v/>
      </c>
      <c r="Y850" t="str">
        <f>IF(X850="","",SUMIFS(Issue!$D$3:$D1001,Issue!$C$3:$C1001,X850))</f>
        <v/>
      </c>
    </row>
    <row r="851" spans="5:25">
      <c r="E851" t="str">
        <f>IF(A851="","",SUMIFS(Issue!$D$3:$D1001,Issue!$C$3:$C1001,A851)*C851)</f>
        <v/>
      </c>
      <c r="F851" t="e">
        <f ca="1">_xludf.IFNA(VLOOKUP(B851,'S-FG'!$B$3:$B1001,1,FALSE),"")</f>
        <v>#NAME?</v>
      </c>
      <c r="L851" t="str">
        <f t="shared" si="3"/>
        <v/>
      </c>
      <c r="Q851" t="str">
        <f>IF(N851="","",SUMIFS('PR-BOM'!$D$3:$D1001,'PR-BOM'!$C$3:$C1001,N851))</f>
        <v/>
      </c>
      <c r="Y851" t="str">
        <f>IF(X851="","",SUMIFS(Issue!$D$3:$D1001,Issue!$C$3:$C1001,X851))</f>
        <v/>
      </c>
    </row>
    <row r="852" spans="5:25">
      <c r="E852" t="str">
        <f>IF(A852="","",SUMIFS(Issue!$D$3:$D1001,Issue!$C$3:$C1001,A852)*C852)</f>
        <v/>
      </c>
      <c r="F852" t="e">
        <f ca="1">_xludf.IFNA(VLOOKUP(B852,'S-FG'!$B$3:$B1001,1,FALSE),"")</f>
        <v>#NAME?</v>
      </c>
      <c r="L852" t="str">
        <f t="shared" si="3"/>
        <v/>
      </c>
      <c r="Q852" t="str">
        <f>IF(N852="","",SUMIFS('PR-BOM'!$D$3:$D1001,'PR-BOM'!$C$3:$C1001,N852))</f>
        <v/>
      </c>
      <c r="Y852" t="str">
        <f>IF(X852="","",SUMIFS(Issue!$D$3:$D1001,Issue!$C$3:$C1001,X852))</f>
        <v/>
      </c>
    </row>
    <row r="853" spans="5:25">
      <c r="E853" t="str">
        <f>IF(A853="","",SUMIFS(Issue!$D$3:$D1001,Issue!$C$3:$C1001,A853)*C853)</f>
        <v/>
      </c>
      <c r="F853" t="e">
        <f ca="1">_xludf.IFNA(VLOOKUP(B853,'S-FG'!$B$3:$B1001,1,FALSE),"")</f>
        <v>#NAME?</v>
      </c>
      <c r="L853" t="str">
        <f t="shared" si="3"/>
        <v/>
      </c>
      <c r="Q853" t="str">
        <f>IF(N853="","",SUMIFS('PR-BOM'!$D$3:$D1001,'PR-BOM'!$C$3:$C1001,N853))</f>
        <v/>
      </c>
      <c r="Y853" t="str">
        <f>IF(X853="","",SUMIFS(Issue!$D$3:$D1001,Issue!$C$3:$C1001,X853))</f>
        <v/>
      </c>
    </row>
    <row r="854" spans="5:25">
      <c r="E854" t="str">
        <f>IF(A854="","",SUMIFS(Issue!$D$3:$D1001,Issue!$C$3:$C1001,A854)*C854)</f>
        <v/>
      </c>
      <c r="F854" t="e">
        <f ca="1">_xludf.IFNA(VLOOKUP(B854,'S-FG'!$B$3:$B1001,1,FALSE),"")</f>
        <v>#NAME?</v>
      </c>
      <c r="L854" t="str">
        <f t="shared" si="3"/>
        <v/>
      </c>
      <c r="Q854" t="str">
        <f>IF(N854="","",SUMIFS('PR-BOM'!$D$3:$D1001,'PR-BOM'!$C$3:$C1001,N854))</f>
        <v/>
      </c>
      <c r="Y854" t="str">
        <f>IF(X854="","",SUMIFS(Issue!$D$3:$D1001,Issue!$C$3:$C1001,X854))</f>
        <v/>
      </c>
    </row>
    <row r="855" spans="5:25">
      <c r="E855" t="str">
        <f>IF(A855="","",SUMIFS(Issue!$D$3:$D1001,Issue!$C$3:$C1001,A855)*C855)</f>
        <v/>
      </c>
      <c r="F855" t="e">
        <f ca="1">_xludf.IFNA(VLOOKUP(B855,'S-FG'!$B$3:$B1001,1,FALSE),"")</f>
        <v>#NAME?</v>
      </c>
      <c r="L855" t="str">
        <f t="shared" si="3"/>
        <v/>
      </c>
      <c r="Q855" t="str">
        <f>IF(N855="","",SUMIFS('PR-BOM'!$D$3:$D1001,'PR-BOM'!$C$3:$C1001,N855))</f>
        <v/>
      </c>
      <c r="Y855" t="str">
        <f>IF(X855="","",SUMIFS(Issue!$D$3:$D1001,Issue!$C$3:$C1001,X855))</f>
        <v/>
      </c>
    </row>
    <row r="856" spans="5:25">
      <c r="E856" t="str">
        <f>IF(A856="","",SUMIFS(Issue!$D$3:$D1001,Issue!$C$3:$C1001,A856)*C856)</f>
        <v/>
      </c>
      <c r="F856" t="e">
        <f ca="1">_xludf.IFNA(VLOOKUP(B856,'S-FG'!$B$3:$B1001,1,FALSE),"")</f>
        <v>#NAME?</v>
      </c>
      <c r="L856" t="str">
        <f t="shared" si="3"/>
        <v/>
      </c>
      <c r="Q856" t="str">
        <f>IF(N856="","",SUMIFS('PR-BOM'!$D$3:$D1001,'PR-BOM'!$C$3:$C1001,N856))</f>
        <v/>
      </c>
      <c r="Y856" t="str">
        <f>IF(X856="","",SUMIFS(Issue!$D$3:$D1001,Issue!$C$3:$C1001,X856))</f>
        <v/>
      </c>
    </row>
    <row r="857" spans="5:25">
      <c r="E857" t="str">
        <f>IF(A857="","",SUMIFS(Issue!$D$3:$D1001,Issue!$C$3:$C1001,A857)*C857)</f>
        <v/>
      </c>
      <c r="F857" t="e">
        <f ca="1">_xludf.IFNA(VLOOKUP(B857,'S-FG'!$B$3:$B1001,1,FALSE),"")</f>
        <v>#NAME?</v>
      </c>
      <c r="L857" t="str">
        <f t="shared" si="3"/>
        <v/>
      </c>
      <c r="Q857" t="str">
        <f>IF(N857="","",SUMIFS('PR-BOM'!$D$3:$D1001,'PR-BOM'!$C$3:$C1001,N857))</f>
        <v/>
      </c>
      <c r="Y857" t="str">
        <f>IF(X857="","",SUMIFS(Issue!$D$3:$D1001,Issue!$C$3:$C1001,X857))</f>
        <v/>
      </c>
    </row>
    <row r="858" spans="5:25">
      <c r="E858" t="str">
        <f>IF(A858="","",SUMIFS(Issue!$D$3:$D1001,Issue!$C$3:$C1001,A858)*C858)</f>
        <v/>
      </c>
      <c r="F858" t="e">
        <f ca="1">_xludf.IFNA(VLOOKUP(B858,'S-FG'!$B$3:$B1001,1,FALSE),"")</f>
        <v>#NAME?</v>
      </c>
      <c r="L858" t="str">
        <f t="shared" si="3"/>
        <v/>
      </c>
      <c r="Q858" t="str">
        <f>IF(N858="","",SUMIFS('PR-BOM'!$D$3:$D1001,'PR-BOM'!$C$3:$C1001,N858))</f>
        <v/>
      </c>
      <c r="Y858" t="str">
        <f>IF(X858="","",SUMIFS(Issue!$D$3:$D1001,Issue!$C$3:$C1001,X858))</f>
        <v/>
      </c>
    </row>
    <row r="859" spans="5:25">
      <c r="E859" t="str">
        <f>IF(A859="","",SUMIFS(Issue!$D$3:$D1001,Issue!$C$3:$C1001,A859)*C859)</f>
        <v/>
      </c>
      <c r="F859" t="e">
        <f ca="1">_xludf.IFNA(VLOOKUP(B859,'S-FG'!$B$3:$B1001,1,FALSE),"")</f>
        <v>#NAME?</v>
      </c>
      <c r="L859" t="str">
        <f t="shared" si="3"/>
        <v/>
      </c>
      <c r="Q859" t="str">
        <f>IF(N859="","",SUMIFS('PR-BOM'!$D$3:$D1001,'PR-BOM'!$C$3:$C1001,N859))</f>
        <v/>
      </c>
      <c r="Y859" t="str">
        <f>IF(X859="","",SUMIFS(Issue!$D$3:$D1001,Issue!$C$3:$C1001,X859))</f>
        <v/>
      </c>
    </row>
    <row r="860" spans="5:25">
      <c r="E860" t="str">
        <f>IF(A860="","",SUMIFS(Issue!$D$3:$D1001,Issue!$C$3:$C1001,A860)*C860)</f>
        <v/>
      </c>
      <c r="F860" t="e">
        <f ca="1">_xludf.IFNA(VLOOKUP(B860,'S-FG'!$B$3:$B1001,1,FALSE),"")</f>
        <v>#NAME?</v>
      </c>
      <c r="L860" t="str">
        <f t="shared" si="3"/>
        <v/>
      </c>
      <c r="Q860" t="str">
        <f>IF(N860="","",SUMIFS('PR-BOM'!$D$3:$D1001,'PR-BOM'!$C$3:$C1001,N860))</f>
        <v/>
      </c>
      <c r="Y860" t="str">
        <f>IF(X860="","",SUMIFS(Issue!$D$3:$D1001,Issue!$C$3:$C1001,X860))</f>
        <v/>
      </c>
    </row>
    <row r="861" spans="5:25">
      <c r="E861" t="str">
        <f>IF(A861="","",SUMIFS(Issue!$D$3:$D1001,Issue!$C$3:$C1001,A861)*C861)</f>
        <v/>
      </c>
      <c r="F861" t="e">
        <f ca="1">_xludf.IFNA(VLOOKUP(B861,'S-FG'!$B$3:$B1001,1,FALSE),"")</f>
        <v>#NAME?</v>
      </c>
      <c r="L861" t="str">
        <f t="shared" si="3"/>
        <v/>
      </c>
      <c r="Q861" t="str">
        <f>IF(N861="","",SUMIFS('PR-BOM'!$D$3:$D1001,'PR-BOM'!$C$3:$C1001,N861))</f>
        <v/>
      </c>
      <c r="Y861" t="str">
        <f>IF(X861="","",SUMIFS(Issue!$D$3:$D1001,Issue!$C$3:$C1001,X861))</f>
        <v/>
      </c>
    </row>
    <row r="862" spans="5:25">
      <c r="E862" t="str">
        <f>IF(A862="","",SUMIFS(Issue!$D$3:$D1001,Issue!$C$3:$C1001,A862)*C862)</f>
        <v/>
      </c>
      <c r="F862" t="e">
        <f ca="1">_xludf.IFNA(VLOOKUP(B862,'S-FG'!$B$3:$B1001,1,FALSE),"")</f>
        <v>#NAME?</v>
      </c>
      <c r="L862" t="str">
        <f t="shared" si="3"/>
        <v/>
      </c>
      <c r="Q862" t="str">
        <f>IF(N862="","",SUMIFS('PR-BOM'!$D$3:$D1001,'PR-BOM'!$C$3:$C1001,N862))</f>
        <v/>
      </c>
      <c r="Y862" t="str">
        <f>IF(X862="","",SUMIFS(Issue!$D$3:$D1001,Issue!$C$3:$C1001,X862))</f>
        <v/>
      </c>
    </row>
    <row r="863" spans="5:25">
      <c r="E863" t="str">
        <f>IF(A863="","",SUMIFS(Issue!$D$3:$D1001,Issue!$C$3:$C1001,A863)*C863)</f>
        <v/>
      </c>
      <c r="F863" t="e">
        <f ca="1">_xludf.IFNA(VLOOKUP(B863,'S-FG'!$B$3:$B1001,1,FALSE),"")</f>
        <v>#NAME?</v>
      </c>
      <c r="L863" t="str">
        <f t="shared" si="3"/>
        <v/>
      </c>
      <c r="Q863" t="str">
        <f>IF(N863="","",SUMIFS('PR-BOM'!$D$3:$D1001,'PR-BOM'!$C$3:$C1001,N863))</f>
        <v/>
      </c>
      <c r="Y863" t="str">
        <f>IF(X863="","",SUMIFS(Issue!$D$3:$D1001,Issue!$C$3:$C1001,X863))</f>
        <v/>
      </c>
    </row>
    <row r="864" spans="5:25">
      <c r="E864" t="str">
        <f>IF(A864="","",SUMIFS(Issue!$D$3:$D1001,Issue!$C$3:$C1001,A864)*C864)</f>
        <v/>
      </c>
      <c r="F864" t="e">
        <f ca="1">_xludf.IFNA(VLOOKUP(B864,'S-FG'!$B$3:$B1001,1,FALSE),"")</f>
        <v>#NAME?</v>
      </c>
      <c r="L864" t="str">
        <f t="shared" si="3"/>
        <v/>
      </c>
      <c r="Q864" t="str">
        <f>IF(N864="","",SUMIFS('PR-BOM'!$D$3:$D1001,'PR-BOM'!$C$3:$C1001,N864))</f>
        <v/>
      </c>
      <c r="Y864" t="str">
        <f>IF(X864="","",SUMIFS(Issue!$D$3:$D1001,Issue!$C$3:$C1001,X864))</f>
        <v/>
      </c>
    </row>
    <row r="865" spans="5:25">
      <c r="E865" t="str">
        <f>IF(A865="","",SUMIFS(Issue!$D$3:$D1001,Issue!$C$3:$C1001,A865)*C865)</f>
        <v/>
      </c>
      <c r="F865" t="e">
        <f ca="1">_xludf.IFNA(VLOOKUP(B865,'S-FG'!$B$3:$B1001,1,FALSE),"")</f>
        <v>#NAME?</v>
      </c>
      <c r="L865" t="str">
        <f t="shared" si="3"/>
        <v/>
      </c>
      <c r="Q865" t="str">
        <f>IF(N865="","",SUMIFS('PR-BOM'!$D$3:$D1001,'PR-BOM'!$C$3:$C1001,N865))</f>
        <v/>
      </c>
      <c r="Y865" t="str">
        <f>IF(X865="","",SUMIFS(Issue!$D$3:$D1001,Issue!$C$3:$C1001,X865))</f>
        <v/>
      </c>
    </row>
    <row r="866" spans="5:25">
      <c r="E866" t="str">
        <f>IF(A866="","",SUMIFS(Issue!$D$3:$D1001,Issue!$C$3:$C1001,A866)*C866)</f>
        <v/>
      </c>
      <c r="F866" t="e">
        <f ca="1">_xludf.IFNA(VLOOKUP(B866,'S-FG'!$B$3:$B1001,1,FALSE),"")</f>
        <v>#NAME?</v>
      </c>
      <c r="L866" t="str">
        <f t="shared" si="3"/>
        <v/>
      </c>
      <c r="Q866" t="str">
        <f>IF(N866="","",SUMIFS('PR-BOM'!$D$3:$D1001,'PR-BOM'!$C$3:$C1001,N866))</f>
        <v/>
      </c>
      <c r="Y866" t="str">
        <f>IF(X866="","",SUMIFS(Issue!$D$3:$D1001,Issue!$C$3:$C1001,X866))</f>
        <v/>
      </c>
    </row>
    <row r="867" spans="5:25">
      <c r="E867" t="str">
        <f>IF(A867="","",SUMIFS(Issue!$D$3:$D1001,Issue!$C$3:$C1001,A867)*C867)</f>
        <v/>
      </c>
      <c r="F867" t="e">
        <f ca="1">_xludf.IFNA(VLOOKUP(B867,'S-FG'!$B$3:$B1001,1,FALSE),"")</f>
        <v>#NAME?</v>
      </c>
      <c r="L867" t="str">
        <f t="shared" si="3"/>
        <v/>
      </c>
      <c r="Q867" t="str">
        <f>IF(N867="","",SUMIFS('PR-BOM'!$D$3:$D1001,'PR-BOM'!$C$3:$C1001,N867))</f>
        <v/>
      </c>
      <c r="Y867" t="str">
        <f>IF(X867="","",SUMIFS(Issue!$D$3:$D1001,Issue!$C$3:$C1001,X867))</f>
        <v/>
      </c>
    </row>
    <row r="868" spans="5:25">
      <c r="E868" t="str">
        <f>IF(A868="","",SUMIFS(Issue!$D$3:$D1001,Issue!$C$3:$C1001,A868)*C868)</f>
        <v/>
      </c>
      <c r="F868" t="e">
        <f ca="1">_xludf.IFNA(VLOOKUP(B868,'S-FG'!$B$3:$B1001,1,FALSE),"")</f>
        <v>#NAME?</v>
      </c>
      <c r="L868" t="str">
        <f t="shared" si="3"/>
        <v/>
      </c>
      <c r="Q868" t="str">
        <f>IF(N868="","",SUMIFS('PR-BOM'!$D$3:$D1001,'PR-BOM'!$C$3:$C1001,N868))</f>
        <v/>
      </c>
      <c r="Y868" t="str">
        <f>IF(X868="","",SUMIFS(Issue!$D$3:$D1001,Issue!$C$3:$C1001,X868))</f>
        <v/>
      </c>
    </row>
    <row r="869" spans="5:25">
      <c r="E869" t="str">
        <f>IF(A869="","",SUMIFS(Issue!$D$3:$D1001,Issue!$C$3:$C1001,A869)*C869)</f>
        <v/>
      </c>
      <c r="F869" t="e">
        <f ca="1">_xludf.IFNA(VLOOKUP(B869,'S-FG'!$B$3:$B1001,1,FALSE),"")</f>
        <v>#NAME?</v>
      </c>
      <c r="L869" t="str">
        <f t="shared" si="3"/>
        <v/>
      </c>
      <c r="Q869" t="str">
        <f>IF(N869="","",SUMIFS('PR-BOM'!$D$3:$D1001,'PR-BOM'!$C$3:$C1001,N869))</f>
        <v/>
      </c>
      <c r="Y869" t="str">
        <f>IF(X869="","",SUMIFS(Issue!$D$3:$D1001,Issue!$C$3:$C1001,X869))</f>
        <v/>
      </c>
    </row>
    <row r="870" spans="5:25">
      <c r="E870" t="str">
        <f>IF(A870="","",SUMIFS(Issue!$D$3:$D1001,Issue!$C$3:$C1001,A870)*C870)</f>
        <v/>
      </c>
      <c r="F870" t="e">
        <f ca="1">_xludf.IFNA(VLOOKUP(B870,'S-FG'!$B$3:$B1001,1,FALSE),"")</f>
        <v>#NAME?</v>
      </c>
      <c r="L870" t="str">
        <f t="shared" si="3"/>
        <v/>
      </c>
      <c r="Q870" t="str">
        <f>IF(N870="","",SUMIFS('PR-BOM'!$D$3:$D1001,'PR-BOM'!$C$3:$C1001,N870))</f>
        <v/>
      </c>
      <c r="Y870" t="str">
        <f>IF(X870="","",SUMIFS(Issue!$D$3:$D1001,Issue!$C$3:$C1001,X870))</f>
        <v/>
      </c>
    </row>
    <row r="871" spans="5:25">
      <c r="E871" t="str">
        <f>IF(A871="","",SUMIFS(Issue!$D$3:$D1001,Issue!$C$3:$C1001,A871)*C871)</f>
        <v/>
      </c>
      <c r="F871" t="e">
        <f ca="1">_xludf.IFNA(VLOOKUP(B871,'S-FG'!$B$3:$B1001,1,FALSE),"")</f>
        <v>#NAME?</v>
      </c>
      <c r="L871" t="str">
        <f t="shared" si="3"/>
        <v/>
      </c>
      <c r="Q871" t="str">
        <f>IF(N871="","",SUMIFS('PR-BOM'!$D$3:$D1001,'PR-BOM'!$C$3:$C1001,N871))</f>
        <v/>
      </c>
      <c r="Y871" t="str">
        <f>IF(X871="","",SUMIFS(Issue!$D$3:$D1001,Issue!$C$3:$C1001,X871))</f>
        <v/>
      </c>
    </row>
    <row r="872" spans="5:25">
      <c r="E872" t="str">
        <f>IF(A872="","",SUMIFS(Issue!$D$3:$D1001,Issue!$C$3:$C1001,A872)*C872)</f>
        <v/>
      </c>
      <c r="F872" t="e">
        <f ca="1">_xludf.IFNA(VLOOKUP(B872,'S-FG'!$B$3:$B1001,1,FALSE),"")</f>
        <v>#NAME?</v>
      </c>
      <c r="L872" t="str">
        <f t="shared" si="3"/>
        <v/>
      </c>
      <c r="Q872" t="str">
        <f>IF(N872="","",SUMIFS('PR-BOM'!$D$3:$D1001,'PR-BOM'!$C$3:$C1001,N872))</f>
        <v/>
      </c>
      <c r="Y872" t="str">
        <f>IF(X872="","",SUMIFS(Issue!$D$3:$D1001,Issue!$C$3:$C1001,X872))</f>
        <v/>
      </c>
    </row>
    <row r="873" spans="5:25">
      <c r="E873" t="str">
        <f>IF(A873="","",SUMIFS(Issue!$D$3:$D1001,Issue!$C$3:$C1001,A873)*C873)</f>
        <v/>
      </c>
      <c r="F873" t="e">
        <f ca="1">_xludf.IFNA(VLOOKUP(B873,'S-FG'!$B$3:$B1001,1,FALSE),"")</f>
        <v>#NAME?</v>
      </c>
      <c r="L873" t="str">
        <f t="shared" si="3"/>
        <v/>
      </c>
      <c r="Q873" t="str">
        <f>IF(N873="","",SUMIFS('PR-BOM'!$D$3:$D1001,'PR-BOM'!$C$3:$C1001,N873))</f>
        <v/>
      </c>
      <c r="Y873" t="str">
        <f>IF(X873="","",SUMIFS(Issue!$D$3:$D1001,Issue!$C$3:$C1001,X873))</f>
        <v/>
      </c>
    </row>
    <row r="874" spans="5:25">
      <c r="E874" t="str">
        <f>IF(A874="","",SUMIFS(Issue!$D$3:$D1001,Issue!$C$3:$C1001,A874)*C874)</f>
        <v/>
      </c>
      <c r="F874" t="e">
        <f ca="1">_xludf.IFNA(VLOOKUP(B874,'S-FG'!$B$3:$B1001,1,FALSE),"")</f>
        <v>#NAME?</v>
      </c>
      <c r="L874" t="str">
        <f t="shared" si="3"/>
        <v/>
      </c>
      <c r="Q874" t="str">
        <f>IF(N874="","",SUMIFS('PR-BOM'!$D$3:$D1001,'PR-BOM'!$C$3:$C1001,N874))</f>
        <v/>
      </c>
      <c r="Y874" t="str">
        <f>IF(X874="","",SUMIFS(Issue!$D$3:$D1001,Issue!$C$3:$C1001,X874))</f>
        <v/>
      </c>
    </row>
    <row r="875" spans="5:25">
      <c r="E875" t="str">
        <f>IF(A875="","",SUMIFS(Issue!$D$3:$D1001,Issue!$C$3:$C1001,A875)*C875)</f>
        <v/>
      </c>
      <c r="F875" t="e">
        <f ca="1">_xludf.IFNA(VLOOKUP(B875,'S-FG'!$B$3:$B1001,1,FALSE),"")</f>
        <v>#NAME?</v>
      </c>
      <c r="L875" t="str">
        <f t="shared" si="3"/>
        <v/>
      </c>
      <c r="Q875" t="str">
        <f>IF(N875="","",SUMIFS('PR-BOM'!$D$3:$D1001,'PR-BOM'!$C$3:$C1001,N875))</f>
        <v/>
      </c>
      <c r="Y875" t="str">
        <f>IF(X875="","",SUMIFS(Issue!$D$3:$D1001,Issue!$C$3:$C1001,X875))</f>
        <v/>
      </c>
    </row>
    <row r="876" spans="5:25">
      <c r="E876" t="str">
        <f>IF(A876="","",SUMIFS(Issue!$D$3:$D1001,Issue!$C$3:$C1001,A876)*C876)</f>
        <v/>
      </c>
      <c r="F876" t="e">
        <f ca="1">_xludf.IFNA(VLOOKUP(B876,'S-FG'!$B$3:$B1001,1,FALSE),"")</f>
        <v>#NAME?</v>
      </c>
      <c r="L876" t="str">
        <f t="shared" si="3"/>
        <v/>
      </c>
      <c r="Q876" t="str">
        <f>IF(N876="","",SUMIFS('PR-BOM'!$D$3:$D1001,'PR-BOM'!$C$3:$C1001,N876))</f>
        <v/>
      </c>
      <c r="Y876" t="str">
        <f>IF(X876="","",SUMIFS(Issue!$D$3:$D1001,Issue!$C$3:$C1001,X876))</f>
        <v/>
      </c>
    </row>
    <row r="877" spans="5:25">
      <c r="E877" t="str">
        <f>IF(A877="","",SUMIFS(Issue!$D$3:$D1001,Issue!$C$3:$C1001,A877)*C877)</f>
        <v/>
      </c>
      <c r="F877" t="e">
        <f ca="1">_xludf.IFNA(VLOOKUP(B877,'S-FG'!$B$3:$B1001,1,FALSE),"")</f>
        <v>#NAME?</v>
      </c>
      <c r="L877" t="str">
        <f t="shared" si="3"/>
        <v/>
      </c>
      <c r="Q877" t="str">
        <f>IF(N877="","",SUMIFS('PR-BOM'!$D$3:$D1001,'PR-BOM'!$C$3:$C1001,N877))</f>
        <v/>
      </c>
      <c r="Y877" t="str">
        <f>IF(X877="","",SUMIFS(Issue!$D$3:$D1001,Issue!$C$3:$C1001,X877))</f>
        <v/>
      </c>
    </row>
    <row r="878" spans="5:25">
      <c r="E878" t="str">
        <f>IF(A878="","",SUMIFS(Issue!$D$3:$D1001,Issue!$C$3:$C1001,A878)*C878)</f>
        <v/>
      </c>
      <c r="F878" t="e">
        <f ca="1">_xludf.IFNA(VLOOKUP(B878,'S-FG'!$B$3:$B1001,1,FALSE),"")</f>
        <v>#NAME?</v>
      </c>
      <c r="L878" t="str">
        <f t="shared" si="3"/>
        <v/>
      </c>
      <c r="Q878" t="str">
        <f>IF(N878="","",SUMIFS('PR-BOM'!$D$3:$D1001,'PR-BOM'!$C$3:$C1001,N878))</f>
        <v/>
      </c>
      <c r="Y878" t="str">
        <f>IF(X878="","",SUMIFS(Issue!$D$3:$D1001,Issue!$C$3:$C1001,X878))</f>
        <v/>
      </c>
    </row>
    <row r="879" spans="5:25">
      <c r="E879" t="str">
        <f>IF(A879="","",SUMIFS(Issue!$D$3:$D1001,Issue!$C$3:$C1001,A879)*C879)</f>
        <v/>
      </c>
      <c r="F879" t="e">
        <f ca="1">_xludf.IFNA(VLOOKUP(B879,'S-FG'!$B$3:$B1001,1,FALSE),"")</f>
        <v>#NAME?</v>
      </c>
      <c r="L879" t="str">
        <f t="shared" si="3"/>
        <v/>
      </c>
      <c r="Q879" t="str">
        <f>IF(N879="","",SUMIFS('PR-BOM'!$D$3:$D1001,'PR-BOM'!$C$3:$C1001,N879))</f>
        <v/>
      </c>
      <c r="Y879" t="str">
        <f>IF(X879="","",SUMIFS(Issue!$D$3:$D1001,Issue!$C$3:$C1001,X879))</f>
        <v/>
      </c>
    </row>
    <row r="880" spans="5:25">
      <c r="E880" t="str">
        <f>IF(A880="","",SUMIFS(Issue!$D$3:$D1001,Issue!$C$3:$C1001,A880)*C880)</f>
        <v/>
      </c>
      <c r="F880" t="e">
        <f ca="1">_xludf.IFNA(VLOOKUP(B880,'S-FG'!$B$3:$B1001,1,FALSE),"")</f>
        <v>#NAME?</v>
      </c>
      <c r="L880" t="str">
        <f t="shared" si="3"/>
        <v/>
      </c>
      <c r="Q880" t="str">
        <f>IF(N880="","",SUMIFS('PR-BOM'!$D$3:$D1001,'PR-BOM'!$C$3:$C1001,N880))</f>
        <v/>
      </c>
      <c r="Y880" t="str">
        <f>IF(X880="","",SUMIFS(Issue!$D$3:$D1001,Issue!$C$3:$C1001,X880))</f>
        <v/>
      </c>
    </row>
    <row r="881" spans="5:25">
      <c r="E881" t="str">
        <f>IF(A881="","",SUMIFS(Issue!$D$3:$D1001,Issue!$C$3:$C1001,A881)*C881)</f>
        <v/>
      </c>
      <c r="F881" t="e">
        <f ca="1">_xludf.IFNA(VLOOKUP(B881,'S-FG'!$B$3:$B1001,1,FALSE),"")</f>
        <v>#NAME?</v>
      </c>
      <c r="L881" t="str">
        <f t="shared" si="3"/>
        <v/>
      </c>
      <c r="Q881" t="str">
        <f>IF(N881="","",SUMIFS('PR-BOM'!$D$3:$D1001,'PR-BOM'!$C$3:$C1001,N881))</f>
        <v/>
      </c>
      <c r="Y881" t="str">
        <f>IF(X881="","",SUMIFS(Issue!$D$3:$D1001,Issue!$C$3:$C1001,X881))</f>
        <v/>
      </c>
    </row>
    <row r="882" spans="5:25">
      <c r="E882" t="str">
        <f>IF(A882="","",SUMIFS(Issue!$D$3:$D1001,Issue!$C$3:$C1001,A882)*C882)</f>
        <v/>
      </c>
      <c r="F882" t="e">
        <f ca="1">_xludf.IFNA(VLOOKUP(B882,'S-FG'!$B$3:$B1001,1,FALSE),"")</f>
        <v>#NAME?</v>
      </c>
      <c r="L882" t="str">
        <f t="shared" si="3"/>
        <v/>
      </c>
      <c r="Q882" t="str">
        <f>IF(N882="","",SUMIFS('PR-BOM'!$D$3:$D1001,'PR-BOM'!$C$3:$C1001,N882))</f>
        <v/>
      </c>
      <c r="Y882" t="str">
        <f>IF(X882="","",SUMIFS(Issue!$D$3:$D1001,Issue!$C$3:$C1001,X882))</f>
        <v/>
      </c>
    </row>
    <row r="883" spans="5:25">
      <c r="E883" t="str">
        <f>IF(A883="","",SUMIFS(Issue!$D$3:$D1001,Issue!$C$3:$C1001,A883)*C883)</f>
        <v/>
      </c>
      <c r="F883" t="e">
        <f ca="1">_xludf.IFNA(VLOOKUP(B883,'S-FG'!$B$3:$B1001,1,FALSE),"")</f>
        <v>#NAME?</v>
      </c>
      <c r="L883" t="str">
        <f t="shared" si="3"/>
        <v/>
      </c>
      <c r="Q883" t="str">
        <f>IF(N883="","",SUMIFS('PR-BOM'!$D$3:$D1001,'PR-BOM'!$C$3:$C1001,N883))</f>
        <v/>
      </c>
      <c r="Y883" t="str">
        <f>IF(X883="","",SUMIFS(Issue!$D$3:$D1001,Issue!$C$3:$C1001,X883))</f>
        <v/>
      </c>
    </row>
    <row r="884" spans="5:25">
      <c r="E884" t="str">
        <f>IF(A884="","",SUMIFS(Issue!$D$3:$D1001,Issue!$C$3:$C1001,A884)*C884)</f>
        <v/>
      </c>
      <c r="F884" t="e">
        <f ca="1">_xludf.IFNA(VLOOKUP(B884,'S-FG'!$B$3:$B1001,1,FALSE),"")</f>
        <v>#NAME?</v>
      </c>
      <c r="L884" t="str">
        <f t="shared" si="3"/>
        <v/>
      </c>
      <c r="Q884" t="str">
        <f>IF(N884="","",SUMIFS('PR-BOM'!$D$3:$D1001,'PR-BOM'!$C$3:$C1001,N884))</f>
        <v/>
      </c>
      <c r="Y884" t="str">
        <f>IF(X884="","",SUMIFS(Issue!$D$3:$D1001,Issue!$C$3:$C1001,X884))</f>
        <v/>
      </c>
    </row>
    <row r="885" spans="5:25">
      <c r="E885" t="str">
        <f>IF(A885="","",SUMIFS(Issue!$D$3:$D1001,Issue!$C$3:$C1001,A885)*C885)</f>
        <v/>
      </c>
      <c r="F885" t="e">
        <f ca="1">_xludf.IFNA(VLOOKUP(B885,'S-FG'!$B$3:$B1001,1,FALSE),"")</f>
        <v>#NAME?</v>
      </c>
      <c r="L885" t="str">
        <f t="shared" si="3"/>
        <v/>
      </c>
      <c r="Q885" t="str">
        <f>IF(N885="","",SUMIFS('PR-BOM'!$D$3:$D1001,'PR-BOM'!$C$3:$C1001,N885))</f>
        <v/>
      </c>
      <c r="Y885" t="str">
        <f>IF(X885="","",SUMIFS(Issue!$D$3:$D1001,Issue!$C$3:$C1001,X885))</f>
        <v/>
      </c>
    </row>
    <row r="886" spans="5:25">
      <c r="E886" t="str">
        <f>IF(A886="","",SUMIFS(Issue!$D$3:$D1001,Issue!$C$3:$C1001,A886)*C886)</f>
        <v/>
      </c>
      <c r="F886" t="e">
        <f ca="1">_xludf.IFNA(VLOOKUP(B886,'S-FG'!$B$3:$B1001,1,FALSE),"")</f>
        <v>#NAME?</v>
      </c>
      <c r="L886" t="str">
        <f t="shared" si="3"/>
        <v/>
      </c>
      <c r="Q886" t="str">
        <f>IF(N886="","",SUMIFS('PR-BOM'!$D$3:$D1001,'PR-BOM'!$C$3:$C1001,N886))</f>
        <v/>
      </c>
      <c r="Y886" t="str">
        <f>IF(X886="","",SUMIFS(Issue!$D$3:$D1001,Issue!$C$3:$C1001,X886))</f>
        <v/>
      </c>
    </row>
    <row r="887" spans="5:25">
      <c r="E887" t="str">
        <f>IF(A887="","",SUMIFS(Issue!$D$3:$D1001,Issue!$C$3:$C1001,A887)*C887)</f>
        <v/>
      </c>
      <c r="F887" t="e">
        <f ca="1">_xludf.IFNA(VLOOKUP(B887,'S-FG'!$B$3:$B1001,1,FALSE),"")</f>
        <v>#NAME?</v>
      </c>
      <c r="L887" t="str">
        <f t="shared" si="3"/>
        <v/>
      </c>
      <c r="Q887" t="str">
        <f>IF(N887="","",SUMIFS('PR-BOM'!$D$3:$D1001,'PR-BOM'!$C$3:$C1001,N887))</f>
        <v/>
      </c>
      <c r="Y887" t="str">
        <f>IF(X887="","",SUMIFS(Issue!$D$3:$D1001,Issue!$C$3:$C1001,X887))</f>
        <v/>
      </c>
    </row>
    <row r="888" spans="5:25">
      <c r="E888" t="str">
        <f>IF(A888="","",SUMIFS(Issue!$D$3:$D1001,Issue!$C$3:$C1001,A888)*C888)</f>
        <v/>
      </c>
      <c r="F888" t="e">
        <f ca="1">_xludf.IFNA(VLOOKUP(B888,'S-FG'!$B$3:$B1001,1,FALSE),"")</f>
        <v>#NAME?</v>
      </c>
      <c r="L888" t="str">
        <f t="shared" si="3"/>
        <v/>
      </c>
      <c r="Q888" t="str">
        <f>IF(N888="","",SUMIFS('PR-BOM'!$D$3:$D1001,'PR-BOM'!$C$3:$C1001,N888))</f>
        <v/>
      </c>
      <c r="Y888" t="str">
        <f>IF(X888="","",SUMIFS(Issue!$D$3:$D1001,Issue!$C$3:$C1001,X888))</f>
        <v/>
      </c>
    </row>
    <row r="889" spans="5:25">
      <c r="E889" t="str">
        <f>IF(A889="","",SUMIFS(Issue!$D$3:$D1001,Issue!$C$3:$C1001,A889)*C889)</f>
        <v/>
      </c>
      <c r="F889" t="e">
        <f ca="1">_xludf.IFNA(VLOOKUP(B889,'S-FG'!$B$3:$B1001,1,FALSE),"")</f>
        <v>#NAME?</v>
      </c>
      <c r="L889" t="str">
        <f t="shared" si="3"/>
        <v/>
      </c>
      <c r="Q889" t="str">
        <f>IF(N889="","",SUMIFS('PR-BOM'!$D$3:$D1001,'PR-BOM'!$C$3:$C1001,N889))</f>
        <v/>
      </c>
      <c r="Y889" t="str">
        <f>IF(X889="","",SUMIFS(Issue!$D$3:$D1001,Issue!$C$3:$C1001,X889))</f>
        <v/>
      </c>
    </row>
    <row r="890" spans="5:25">
      <c r="E890" t="str">
        <f>IF(A890="","",SUMIFS(Issue!$D$3:$D1001,Issue!$C$3:$C1001,A890)*C890)</f>
        <v/>
      </c>
      <c r="F890" t="e">
        <f ca="1">_xludf.IFNA(VLOOKUP(B890,'S-FG'!$B$3:$B1001,1,FALSE),"")</f>
        <v>#NAME?</v>
      </c>
      <c r="L890" t="str">
        <f t="shared" si="3"/>
        <v/>
      </c>
      <c r="Q890" t="str">
        <f>IF(N890="","",SUMIFS('PR-BOM'!$D$3:$D1001,'PR-BOM'!$C$3:$C1001,N890))</f>
        <v/>
      </c>
      <c r="Y890" t="str">
        <f>IF(X890="","",SUMIFS(Issue!$D$3:$D1001,Issue!$C$3:$C1001,X890))</f>
        <v/>
      </c>
    </row>
    <row r="891" spans="5:25">
      <c r="E891" t="str">
        <f>IF(A891="","",SUMIFS(Issue!$D$3:$D1001,Issue!$C$3:$C1001,A891)*C891)</f>
        <v/>
      </c>
      <c r="F891" t="e">
        <f ca="1">_xludf.IFNA(VLOOKUP(B891,'S-FG'!$B$3:$B1001,1,FALSE),"")</f>
        <v>#NAME?</v>
      </c>
      <c r="L891" t="str">
        <f t="shared" si="3"/>
        <v/>
      </c>
      <c r="Q891" t="str">
        <f>IF(N891="","",SUMIFS('PR-BOM'!$D$3:$D1001,'PR-BOM'!$C$3:$C1001,N891))</f>
        <v/>
      </c>
      <c r="Y891" t="str">
        <f>IF(X891="","",SUMIFS(Issue!$D$3:$D1001,Issue!$C$3:$C1001,X891))</f>
        <v/>
      </c>
    </row>
    <row r="892" spans="5:25">
      <c r="E892" t="str">
        <f>IF(A892="","",SUMIFS(Issue!$D$3:$D1001,Issue!$C$3:$C1001,A892)*C892)</f>
        <v/>
      </c>
      <c r="F892" t="e">
        <f ca="1">_xludf.IFNA(VLOOKUP(B892,'S-FG'!$B$3:$B1001,1,FALSE),"")</f>
        <v>#NAME?</v>
      </c>
      <c r="L892" t="str">
        <f t="shared" si="3"/>
        <v/>
      </c>
      <c r="Q892" t="str">
        <f>IF(N892="","",SUMIFS('PR-BOM'!$D$3:$D1001,'PR-BOM'!$C$3:$C1001,N892))</f>
        <v/>
      </c>
      <c r="Y892" t="str">
        <f>IF(X892="","",SUMIFS(Issue!$D$3:$D1001,Issue!$C$3:$C1001,X892))</f>
        <v/>
      </c>
    </row>
    <row r="893" spans="5:25">
      <c r="E893" t="str">
        <f>IF(A893="","",SUMIFS(Issue!$D$3:$D1001,Issue!$C$3:$C1001,A893)*C893)</f>
        <v/>
      </c>
      <c r="F893" t="e">
        <f ca="1">_xludf.IFNA(VLOOKUP(B893,'S-FG'!$B$3:$B1001,1,FALSE),"")</f>
        <v>#NAME?</v>
      </c>
      <c r="L893" t="str">
        <f t="shared" si="3"/>
        <v/>
      </c>
      <c r="Q893" t="str">
        <f>IF(N893="","",SUMIFS('PR-BOM'!$D$3:$D1001,'PR-BOM'!$C$3:$C1001,N893))</f>
        <v/>
      </c>
      <c r="Y893" t="str">
        <f>IF(X893="","",SUMIFS(Issue!$D$3:$D1001,Issue!$C$3:$C1001,X893))</f>
        <v/>
      </c>
    </row>
    <row r="894" spans="5:25">
      <c r="E894" t="str">
        <f>IF(A894="","",SUMIFS(Issue!$D$3:$D1001,Issue!$C$3:$C1001,A894)*C894)</f>
        <v/>
      </c>
      <c r="F894" t="e">
        <f ca="1">_xludf.IFNA(VLOOKUP(B894,'S-FG'!$B$3:$B1001,1,FALSE),"")</f>
        <v>#NAME?</v>
      </c>
      <c r="L894" t="str">
        <f t="shared" si="3"/>
        <v/>
      </c>
      <c r="Q894" t="str">
        <f>IF(N894="","",SUMIFS('PR-BOM'!$D$3:$D1001,'PR-BOM'!$C$3:$C1001,N894))</f>
        <v/>
      </c>
      <c r="Y894" t="str">
        <f>IF(X894="","",SUMIFS(Issue!$D$3:$D1001,Issue!$C$3:$C1001,X894))</f>
        <v/>
      </c>
    </row>
    <row r="895" spans="5:25">
      <c r="E895" t="str">
        <f>IF(A895="","",SUMIFS(Issue!$D$3:$D1001,Issue!$C$3:$C1001,A895)*C895)</f>
        <v/>
      </c>
      <c r="F895" t="e">
        <f ca="1">_xludf.IFNA(VLOOKUP(B895,'S-FG'!$B$3:$B1001,1,FALSE),"")</f>
        <v>#NAME?</v>
      </c>
      <c r="L895" t="str">
        <f t="shared" si="3"/>
        <v/>
      </c>
      <c r="Q895" t="str">
        <f>IF(N895="","",SUMIFS('PR-BOM'!$D$3:$D1001,'PR-BOM'!$C$3:$C1001,N895))</f>
        <v/>
      </c>
      <c r="Y895" t="str">
        <f>IF(X895="","",SUMIFS(Issue!$D$3:$D1001,Issue!$C$3:$C1001,X895))</f>
        <v/>
      </c>
    </row>
    <row r="896" spans="5:25">
      <c r="E896" t="str">
        <f>IF(A896="","",SUMIFS(Issue!$D$3:$D1001,Issue!$C$3:$C1001,A896)*C896)</f>
        <v/>
      </c>
      <c r="F896" t="e">
        <f ca="1">_xludf.IFNA(VLOOKUP(B896,'S-FG'!$B$3:$B1001,1,FALSE),"")</f>
        <v>#NAME?</v>
      </c>
      <c r="L896" t="str">
        <f t="shared" si="3"/>
        <v/>
      </c>
      <c r="Q896" t="str">
        <f>IF(N896="","",SUMIFS('PR-BOM'!$D$3:$D1001,'PR-BOM'!$C$3:$C1001,N896))</f>
        <v/>
      </c>
      <c r="Y896" t="str">
        <f>IF(X896="","",SUMIFS(Issue!$D$3:$D1001,Issue!$C$3:$C1001,X896))</f>
        <v/>
      </c>
    </row>
    <row r="897" spans="5:25">
      <c r="E897" t="str">
        <f>IF(A897="","",SUMIFS(Issue!$D$3:$D1001,Issue!$C$3:$C1001,A897)*C897)</f>
        <v/>
      </c>
      <c r="F897" t="e">
        <f ca="1">_xludf.IFNA(VLOOKUP(B897,'S-FG'!$B$3:$B1001,1,FALSE),"")</f>
        <v>#NAME?</v>
      </c>
      <c r="L897" t="str">
        <f t="shared" si="3"/>
        <v/>
      </c>
      <c r="Q897" t="str">
        <f>IF(N897="","",SUMIFS('PR-BOM'!$D$3:$D1001,'PR-BOM'!$C$3:$C1001,N897))</f>
        <v/>
      </c>
      <c r="Y897" t="str">
        <f>IF(X897="","",SUMIFS(Issue!$D$3:$D1001,Issue!$C$3:$C1001,X897))</f>
        <v/>
      </c>
    </row>
    <row r="898" spans="5:25">
      <c r="E898" t="str">
        <f>IF(A898="","",SUMIFS(Issue!$D$3:$D1001,Issue!$C$3:$C1001,A898)*C898)</f>
        <v/>
      </c>
      <c r="F898" t="e">
        <f ca="1">_xludf.IFNA(VLOOKUP(B898,'S-FG'!$B$3:$B1001,1,FALSE),"")</f>
        <v>#NAME?</v>
      </c>
      <c r="L898" t="str">
        <f t="shared" si="3"/>
        <v/>
      </c>
      <c r="Q898" t="str">
        <f>IF(N898="","",SUMIFS('PR-BOM'!$D$3:$D1001,'PR-BOM'!$C$3:$C1001,N898))</f>
        <v/>
      </c>
      <c r="Y898" t="str">
        <f>IF(X898="","",SUMIFS(Issue!$D$3:$D1001,Issue!$C$3:$C1001,X898))</f>
        <v/>
      </c>
    </row>
    <row r="899" spans="5:25">
      <c r="E899" t="str">
        <f>IF(A899="","",SUMIFS(Issue!$D$3:$D1001,Issue!$C$3:$C1001,A899)*C899)</f>
        <v/>
      </c>
      <c r="F899" t="e">
        <f ca="1">_xludf.IFNA(VLOOKUP(B899,'S-FG'!$B$3:$B1001,1,FALSE),"")</f>
        <v>#NAME?</v>
      </c>
      <c r="L899" t="str">
        <f t="shared" si="3"/>
        <v/>
      </c>
      <c r="Q899" t="str">
        <f>IF(N899="","",SUMIFS('PR-BOM'!$D$3:$D1001,'PR-BOM'!$C$3:$C1001,N899))</f>
        <v/>
      </c>
      <c r="Y899" t="str">
        <f>IF(X899="","",SUMIFS(Issue!$D$3:$D1001,Issue!$C$3:$C1001,X899))</f>
        <v/>
      </c>
    </row>
    <row r="900" spans="5:25">
      <c r="E900" t="str">
        <f>IF(A900="","",SUMIFS(Issue!$D$3:$D1001,Issue!$C$3:$C1001,A900)*C900)</f>
        <v/>
      </c>
      <c r="F900" t="e">
        <f ca="1">_xludf.IFNA(VLOOKUP(B900,'S-FG'!$B$3:$B1001,1,FALSE),"")</f>
        <v>#NAME?</v>
      </c>
      <c r="L900" t="str">
        <f t="shared" si="3"/>
        <v/>
      </c>
      <c r="Q900" t="str">
        <f>IF(N900="","",SUMIFS('PR-BOM'!$D$3:$D1001,'PR-BOM'!$C$3:$C1001,N900))</f>
        <v/>
      </c>
      <c r="Y900" t="str">
        <f>IF(X900="","",SUMIFS(Issue!$D$3:$D1001,Issue!$C$3:$C1001,X900))</f>
        <v/>
      </c>
    </row>
    <row r="901" spans="5:25">
      <c r="E901" t="str">
        <f>IF(A901="","",SUMIFS(Issue!$D$3:$D1001,Issue!$C$3:$C1001,A901)*C901)</f>
        <v/>
      </c>
      <c r="F901" t="e">
        <f ca="1">_xludf.IFNA(VLOOKUP(B901,'S-FG'!$B$3:$B1001,1,FALSE),"")</f>
        <v>#NAME?</v>
      </c>
      <c r="L901" t="str">
        <f t="shared" si="3"/>
        <v/>
      </c>
      <c r="Q901" t="str">
        <f>IF(N901="","",SUMIFS('PR-BOM'!$D$3:$D1001,'PR-BOM'!$C$3:$C1001,N901))</f>
        <v/>
      </c>
      <c r="Y901" t="str">
        <f>IF(X901="","",SUMIFS(Issue!$D$3:$D1001,Issue!$C$3:$C1001,X901))</f>
        <v/>
      </c>
    </row>
    <row r="902" spans="5:25">
      <c r="E902" t="str">
        <f>IF(A902="","",SUMIFS(Issue!$D$3:$D1001,Issue!$C$3:$C1001,A902)*C902)</f>
        <v/>
      </c>
      <c r="F902" t="e">
        <f ca="1">_xludf.IFNA(VLOOKUP(B902,'S-FG'!$B$3:$B1001,1,FALSE),"")</f>
        <v>#NAME?</v>
      </c>
      <c r="L902" t="str">
        <f t="shared" si="3"/>
        <v/>
      </c>
      <c r="Q902" t="str">
        <f>IF(N902="","",SUMIFS('PR-BOM'!$D$3:$D1001,'PR-BOM'!$C$3:$C1001,N902))</f>
        <v/>
      </c>
      <c r="Y902" t="str">
        <f>IF(X902="","",SUMIFS(Issue!$D$3:$D1001,Issue!$C$3:$C1001,X902))</f>
        <v/>
      </c>
    </row>
    <row r="903" spans="5:25">
      <c r="E903" t="str">
        <f>IF(A903="","",SUMIFS(Issue!$D$3:$D1001,Issue!$C$3:$C1001,A903)*C903)</f>
        <v/>
      </c>
      <c r="F903" t="e">
        <f ca="1">_xludf.IFNA(VLOOKUP(B903,'S-FG'!$B$3:$B1001,1,FALSE),"")</f>
        <v>#NAME?</v>
      </c>
      <c r="L903" t="str">
        <f t="shared" si="3"/>
        <v/>
      </c>
      <c r="Q903" t="str">
        <f>IF(N903="","",SUMIFS('PR-BOM'!$D$3:$D1001,'PR-BOM'!$C$3:$C1001,N903))</f>
        <v/>
      </c>
      <c r="Y903" t="str">
        <f>IF(X903="","",SUMIFS(Issue!$D$3:$D1001,Issue!$C$3:$C1001,X903))</f>
        <v/>
      </c>
    </row>
    <row r="904" spans="5:25">
      <c r="E904" t="str">
        <f>IF(A904="","",SUMIFS(Issue!$D$3:$D1001,Issue!$C$3:$C1001,A904)*C904)</f>
        <v/>
      </c>
      <c r="F904" t="e">
        <f ca="1">_xludf.IFNA(VLOOKUP(B904,'S-FG'!$B$3:$B1001,1,FALSE),"")</f>
        <v>#NAME?</v>
      </c>
      <c r="L904" t="str">
        <f t="shared" si="3"/>
        <v/>
      </c>
      <c r="Q904" t="str">
        <f>IF(N904="","",SUMIFS('PR-BOM'!$D$3:$D1001,'PR-BOM'!$C$3:$C1001,N904))</f>
        <v/>
      </c>
      <c r="Y904" t="str">
        <f>IF(X904="","",SUMIFS(Issue!$D$3:$D1001,Issue!$C$3:$C1001,X904))</f>
        <v/>
      </c>
    </row>
    <row r="905" spans="5:25">
      <c r="E905" t="str">
        <f>IF(A905="","",SUMIFS(Issue!$D$3:$D1001,Issue!$C$3:$C1001,A905)*C905)</f>
        <v/>
      </c>
      <c r="F905" t="e">
        <f ca="1">_xludf.IFNA(VLOOKUP(B905,'S-FG'!$B$3:$B1001,1,FALSE),"")</f>
        <v>#NAME?</v>
      </c>
      <c r="L905" t="str">
        <f t="shared" si="3"/>
        <v/>
      </c>
      <c r="Q905" t="str">
        <f>IF(N905="","",SUMIFS('PR-BOM'!$D$3:$D1001,'PR-BOM'!$C$3:$C1001,N905))</f>
        <v/>
      </c>
      <c r="Y905" t="str">
        <f>IF(X905="","",SUMIFS(Issue!$D$3:$D1001,Issue!$C$3:$C1001,X905))</f>
        <v/>
      </c>
    </row>
    <row r="906" spans="5:25">
      <c r="E906" t="str">
        <f>IF(A906="","",SUMIFS(Issue!$D$3:$D1001,Issue!$C$3:$C1001,A906)*C906)</f>
        <v/>
      </c>
      <c r="F906" t="e">
        <f ca="1">_xludf.IFNA(VLOOKUP(B906,'S-FG'!$B$3:$B1001,1,FALSE),"")</f>
        <v>#NAME?</v>
      </c>
      <c r="L906" t="str">
        <f t="shared" si="3"/>
        <v/>
      </c>
      <c r="Q906" t="str">
        <f>IF(N906="","",SUMIFS('PR-BOM'!$D$3:$D1001,'PR-BOM'!$C$3:$C1001,N906))</f>
        <v/>
      </c>
      <c r="Y906" t="str">
        <f>IF(X906="","",SUMIFS(Issue!$D$3:$D1001,Issue!$C$3:$C1001,X906))</f>
        <v/>
      </c>
    </row>
    <row r="907" spans="5:25">
      <c r="E907" t="str">
        <f>IF(A907="","",SUMIFS(Issue!$D$3:$D1001,Issue!$C$3:$C1001,A907)*C907)</f>
        <v/>
      </c>
      <c r="F907" t="e">
        <f ca="1">_xludf.IFNA(VLOOKUP(B907,'S-FG'!$B$3:$B1001,1,FALSE),"")</f>
        <v>#NAME?</v>
      </c>
      <c r="L907" t="str">
        <f t="shared" si="3"/>
        <v/>
      </c>
      <c r="Q907" t="str">
        <f>IF(N907="","",SUMIFS('PR-BOM'!$D$3:$D1001,'PR-BOM'!$C$3:$C1001,N907))</f>
        <v/>
      </c>
      <c r="Y907" t="str">
        <f>IF(X907="","",SUMIFS(Issue!$D$3:$D1001,Issue!$C$3:$C1001,X907))</f>
        <v/>
      </c>
    </row>
    <row r="908" spans="5:25">
      <c r="E908" t="str">
        <f>IF(A908="","",SUMIFS(Issue!$D$3:$D1001,Issue!$C$3:$C1001,A908)*C908)</f>
        <v/>
      </c>
      <c r="F908" t="e">
        <f ca="1">_xludf.IFNA(VLOOKUP(B908,'S-FG'!$B$3:$B1001,1,FALSE),"")</f>
        <v>#NAME?</v>
      </c>
      <c r="L908" t="str">
        <f t="shared" si="3"/>
        <v/>
      </c>
      <c r="Q908" t="str">
        <f>IF(N908="","",SUMIFS('PR-BOM'!$D$3:$D1001,'PR-BOM'!$C$3:$C1001,N908))</f>
        <v/>
      </c>
      <c r="Y908" t="str">
        <f>IF(X908="","",SUMIFS(Issue!$D$3:$D1001,Issue!$C$3:$C1001,X908))</f>
        <v/>
      </c>
    </row>
    <row r="909" spans="5:25">
      <c r="E909" t="str">
        <f>IF(A909="","",SUMIFS(Issue!$D$3:$D1001,Issue!$C$3:$C1001,A909)*C909)</f>
        <v/>
      </c>
      <c r="F909" t="e">
        <f ca="1">_xludf.IFNA(VLOOKUP(B909,'S-FG'!$B$3:$B1001,1,FALSE),"")</f>
        <v>#NAME?</v>
      </c>
      <c r="L909" t="str">
        <f t="shared" si="3"/>
        <v/>
      </c>
      <c r="Q909" t="str">
        <f>IF(N909="","",SUMIFS('PR-BOM'!$D$3:$D1001,'PR-BOM'!$C$3:$C1001,N909))</f>
        <v/>
      </c>
      <c r="Y909" t="str">
        <f>IF(X909="","",SUMIFS(Issue!$D$3:$D1001,Issue!$C$3:$C1001,X909))</f>
        <v/>
      </c>
    </row>
    <row r="910" spans="5:25">
      <c r="E910" t="str">
        <f>IF(A910="","",SUMIFS(Issue!$D$3:$D1001,Issue!$C$3:$C1001,A910)*C910)</f>
        <v/>
      </c>
      <c r="F910" t="e">
        <f ca="1">_xludf.IFNA(VLOOKUP(B910,'S-FG'!$B$3:$B1001,1,FALSE),"")</f>
        <v>#NAME?</v>
      </c>
      <c r="L910" t="str">
        <f t="shared" si="3"/>
        <v/>
      </c>
      <c r="Q910" t="str">
        <f>IF(N910="","",SUMIFS('PR-BOM'!$D$3:$D1001,'PR-BOM'!$C$3:$C1001,N910))</f>
        <v/>
      </c>
      <c r="Y910" t="str">
        <f>IF(X910="","",SUMIFS(Issue!$D$3:$D1001,Issue!$C$3:$C1001,X910))</f>
        <v/>
      </c>
    </row>
    <row r="911" spans="5:25">
      <c r="E911" t="str">
        <f>IF(A911="","",SUMIFS(Issue!$D$3:$D1001,Issue!$C$3:$C1001,A911)*C911)</f>
        <v/>
      </c>
      <c r="F911" t="e">
        <f ca="1">_xludf.IFNA(VLOOKUP(B911,'S-FG'!$B$3:$B1001,1,FALSE),"")</f>
        <v>#NAME?</v>
      </c>
      <c r="L911" t="str">
        <f t="shared" si="3"/>
        <v/>
      </c>
      <c r="Q911" t="str">
        <f>IF(N911="","",SUMIFS('PR-BOM'!$D$3:$D1001,'PR-BOM'!$C$3:$C1001,N911))</f>
        <v/>
      </c>
      <c r="Y911" t="str">
        <f>IF(X911="","",SUMIFS(Issue!$D$3:$D1001,Issue!$C$3:$C1001,X911))</f>
        <v/>
      </c>
    </row>
    <row r="912" spans="5:25">
      <c r="E912" t="str">
        <f>IF(A912="","",SUMIFS(Issue!$D$3:$D1001,Issue!$C$3:$C1001,A912)*C912)</f>
        <v/>
      </c>
      <c r="F912" t="e">
        <f ca="1">_xludf.IFNA(VLOOKUP(B912,'S-FG'!$B$3:$B1001,1,FALSE),"")</f>
        <v>#NAME?</v>
      </c>
      <c r="L912" t="str">
        <f t="shared" si="3"/>
        <v/>
      </c>
      <c r="Q912" t="str">
        <f>IF(N912="","",SUMIFS('PR-BOM'!$D$3:$D1001,'PR-BOM'!$C$3:$C1001,N912))</f>
        <v/>
      </c>
      <c r="Y912" t="str">
        <f>IF(X912="","",SUMIFS(Issue!$D$3:$D1001,Issue!$C$3:$C1001,X912))</f>
        <v/>
      </c>
    </row>
    <row r="913" spans="5:25">
      <c r="E913" t="str">
        <f>IF(A913="","",SUMIFS(Issue!$D$3:$D1001,Issue!$C$3:$C1001,A913)*C913)</f>
        <v/>
      </c>
      <c r="F913" t="e">
        <f ca="1">_xludf.IFNA(VLOOKUP(B913,'S-FG'!$B$3:$B1001,1,FALSE),"")</f>
        <v>#NAME?</v>
      </c>
      <c r="L913" t="str">
        <f t="shared" si="3"/>
        <v/>
      </c>
      <c r="Q913" t="str">
        <f>IF(N913="","",SUMIFS('PR-BOM'!$D$3:$D1001,'PR-BOM'!$C$3:$C1001,N913))</f>
        <v/>
      </c>
      <c r="Y913" t="str">
        <f>IF(X913="","",SUMIFS(Issue!$D$3:$D1001,Issue!$C$3:$C1001,X913))</f>
        <v/>
      </c>
    </row>
    <row r="914" spans="5:25">
      <c r="E914" t="str">
        <f>IF(A914="","",SUMIFS(Issue!$D$3:$D1001,Issue!$C$3:$C1001,A914)*C914)</f>
        <v/>
      </c>
      <c r="F914" t="e">
        <f ca="1">_xludf.IFNA(VLOOKUP(B914,'S-FG'!$B$3:$B1001,1,FALSE),"")</f>
        <v>#NAME?</v>
      </c>
      <c r="L914" t="str">
        <f t="shared" si="3"/>
        <v/>
      </c>
      <c r="Q914" t="str">
        <f>IF(N914="","",SUMIFS('PR-BOM'!$D$3:$D1001,'PR-BOM'!$C$3:$C1001,N914))</f>
        <v/>
      </c>
      <c r="Y914" t="str">
        <f>IF(X914="","",SUMIFS(Issue!$D$3:$D1001,Issue!$C$3:$C1001,X914))</f>
        <v/>
      </c>
    </row>
    <row r="915" spans="5:25">
      <c r="E915" t="str">
        <f>IF(A915="","",SUMIFS(Issue!$D$3:$D1001,Issue!$C$3:$C1001,A915)*C915)</f>
        <v/>
      </c>
      <c r="F915" t="e">
        <f ca="1">_xludf.IFNA(VLOOKUP(B915,'S-FG'!$B$3:$B1001,1,FALSE),"")</f>
        <v>#NAME?</v>
      </c>
      <c r="L915" t="str">
        <f t="shared" si="3"/>
        <v/>
      </c>
      <c r="Q915" t="str">
        <f>IF(N915="","",SUMIFS('PR-BOM'!$D$3:$D1001,'PR-BOM'!$C$3:$C1001,N915))</f>
        <v/>
      </c>
      <c r="Y915" t="str">
        <f>IF(X915="","",SUMIFS(Issue!$D$3:$D1001,Issue!$C$3:$C1001,X915))</f>
        <v/>
      </c>
    </row>
    <row r="916" spans="5:25">
      <c r="E916" t="str">
        <f>IF(A916="","",SUMIFS(Issue!$D$3:$D1001,Issue!$C$3:$C1001,A916)*C916)</f>
        <v/>
      </c>
      <c r="F916" t="e">
        <f ca="1">_xludf.IFNA(VLOOKUP(B916,'S-FG'!$B$3:$B1001,1,FALSE),"")</f>
        <v>#NAME?</v>
      </c>
      <c r="L916" t="str">
        <f t="shared" si="3"/>
        <v/>
      </c>
      <c r="Q916" t="str">
        <f>IF(N916="","",SUMIFS('PR-BOM'!$D$3:$D1001,'PR-BOM'!$C$3:$C1001,N916))</f>
        <v/>
      </c>
      <c r="Y916" t="str">
        <f>IF(X916="","",SUMIFS(Issue!$D$3:$D1001,Issue!$C$3:$C1001,X916))</f>
        <v/>
      </c>
    </row>
    <row r="917" spans="5:25">
      <c r="E917" t="str">
        <f>IF(A917="","",SUMIFS(Issue!$D$3:$D1001,Issue!$C$3:$C1001,A917)*C917)</f>
        <v/>
      </c>
      <c r="F917" t="e">
        <f ca="1">_xludf.IFNA(VLOOKUP(B917,'S-FG'!$B$3:$B1001,1,FALSE),"")</f>
        <v>#NAME?</v>
      </c>
      <c r="L917" t="str">
        <f t="shared" si="3"/>
        <v/>
      </c>
      <c r="Q917" t="str">
        <f>IF(N917="","",SUMIFS('PR-BOM'!$D$3:$D1001,'PR-BOM'!$C$3:$C1001,N917))</f>
        <v/>
      </c>
      <c r="Y917" t="str">
        <f>IF(X917="","",SUMIFS(Issue!$D$3:$D1001,Issue!$C$3:$C1001,X917))</f>
        <v/>
      </c>
    </row>
    <row r="918" spans="5:25">
      <c r="E918" t="str">
        <f>IF(A918="","",SUMIFS(Issue!$D$3:$D1001,Issue!$C$3:$C1001,A918)*C918)</f>
        <v/>
      </c>
      <c r="F918" t="e">
        <f ca="1">_xludf.IFNA(VLOOKUP(B918,'S-FG'!$B$3:$B1001,1,FALSE),"")</f>
        <v>#NAME?</v>
      </c>
      <c r="L918" t="str">
        <f t="shared" si="3"/>
        <v/>
      </c>
      <c r="Q918" t="str">
        <f>IF(N918="","",SUMIFS('PR-BOM'!$D$3:$D1001,'PR-BOM'!$C$3:$C1001,N918))</f>
        <v/>
      </c>
      <c r="Y918" t="str">
        <f>IF(X918="","",SUMIFS(Issue!$D$3:$D1001,Issue!$C$3:$C1001,X918))</f>
        <v/>
      </c>
    </row>
    <row r="919" spans="5:25">
      <c r="E919" t="str">
        <f>IF(A919="","",SUMIFS(Issue!$D$3:$D1001,Issue!$C$3:$C1001,A919)*C919)</f>
        <v/>
      </c>
      <c r="F919" t="e">
        <f ca="1">_xludf.IFNA(VLOOKUP(B919,'S-FG'!$B$3:$B1001,1,FALSE),"")</f>
        <v>#NAME?</v>
      </c>
      <c r="L919" t="str">
        <f t="shared" si="3"/>
        <v/>
      </c>
      <c r="Q919" t="str">
        <f>IF(N919="","",SUMIFS('PR-BOM'!$D$3:$D1001,'PR-BOM'!$C$3:$C1001,N919))</f>
        <v/>
      </c>
      <c r="Y919" t="str">
        <f>IF(X919="","",SUMIFS(Issue!$D$3:$D1001,Issue!$C$3:$C1001,X919))</f>
        <v/>
      </c>
    </row>
    <row r="920" spans="5:25">
      <c r="E920" t="str">
        <f>IF(A920="","",SUMIFS(Issue!$D$3:$D1001,Issue!$C$3:$C1001,A920)*C920)</f>
        <v/>
      </c>
      <c r="F920" t="e">
        <f ca="1">_xludf.IFNA(VLOOKUP(B920,'S-FG'!$B$3:$B1001,1,FALSE),"")</f>
        <v>#NAME?</v>
      </c>
      <c r="L920" t="str">
        <f t="shared" si="3"/>
        <v/>
      </c>
      <c r="Q920" t="str">
        <f>IF(N920="","",SUMIFS('PR-BOM'!$D$3:$D1001,'PR-BOM'!$C$3:$C1001,N920))</f>
        <v/>
      </c>
      <c r="Y920" t="str">
        <f>IF(X920="","",SUMIFS(Issue!$D$3:$D1001,Issue!$C$3:$C1001,X920))</f>
        <v/>
      </c>
    </row>
    <row r="921" spans="5:25">
      <c r="E921" t="str">
        <f>IF(A921="","",SUMIFS(Issue!$D$3:$D1001,Issue!$C$3:$C1001,A921)*C921)</f>
        <v/>
      </c>
      <c r="F921" t="e">
        <f ca="1">_xludf.IFNA(VLOOKUP(B921,'S-FG'!$B$3:$B1001,1,FALSE),"")</f>
        <v>#NAME?</v>
      </c>
      <c r="L921" t="str">
        <f t="shared" si="3"/>
        <v/>
      </c>
      <c r="Q921" t="str">
        <f>IF(N921="","",SUMIFS('PR-BOM'!$D$3:$D1001,'PR-BOM'!$C$3:$C1001,N921))</f>
        <v/>
      </c>
      <c r="Y921" t="str">
        <f>IF(X921="","",SUMIFS(Issue!$D$3:$D1001,Issue!$C$3:$C1001,X921))</f>
        <v/>
      </c>
    </row>
    <row r="922" spans="5:25">
      <c r="E922" t="str">
        <f>IF(A922="","",SUMIFS(Issue!$D$3:$D1001,Issue!$C$3:$C1001,A922)*C922)</f>
        <v/>
      </c>
      <c r="F922" t="e">
        <f ca="1">_xludf.IFNA(VLOOKUP(B922,'S-FG'!$B$3:$B1001,1,FALSE),"")</f>
        <v>#NAME?</v>
      </c>
      <c r="L922" t="str">
        <f t="shared" si="3"/>
        <v/>
      </c>
      <c r="Q922" t="str">
        <f>IF(N922="","",SUMIFS('PR-BOM'!$D$3:$D1001,'PR-BOM'!$C$3:$C1001,N922))</f>
        <v/>
      </c>
      <c r="Y922" t="str">
        <f>IF(X922="","",SUMIFS(Issue!$D$3:$D1001,Issue!$C$3:$C1001,X922))</f>
        <v/>
      </c>
    </row>
    <row r="923" spans="5:25">
      <c r="E923" t="str">
        <f>IF(A923="","",SUMIFS(Issue!$D$3:$D1001,Issue!$C$3:$C1001,A923)*C923)</f>
        <v/>
      </c>
      <c r="F923" t="e">
        <f ca="1">_xludf.IFNA(VLOOKUP(B923,'S-FG'!$B$3:$B1001,1,FALSE),"")</f>
        <v>#NAME?</v>
      </c>
      <c r="L923" t="str">
        <f t="shared" si="3"/>
        <v/>
      </c>
      <c r="Q923" t="str">
        <f>IF(N923="","",SUMIFS('PR-BOM'!$D$3:$D1001,'PR-BOM'!$C$3:$C1001,N923))</f>
        <v/>
      </c>
      <c r="Y923" t="str">
        <f>IF(X923="","",SUMIFS(Issue!$D$3:$D1001,Issue!$C$3:$C1001,X923))</f>
        <v/>
      </c>
    </row>
    <row r="924" spans="5:25">
      <c r="E924" t="str">
        <f>IF(A924="","",SUMIFS(Issue!$D$3:$D1001,Issue!$C$3:$C1001,A924)*C924)</f>
        <v/>
      </c>
      <c r="F924" t="e">
        <f ca="1">_xludf.IFNA(VLOOKUP(B924,'S-FG'!$B$3:$B1001,1,FALSE),"")</f>
        <v>#NAME?</v>
      </c>
      <c r="L924" t="str">
        <f t="shared" si="3"/>
        <v/>
      </c>
      <c r="Q924" t="str">
        <f>IF(N924="","",SUMIFS('PR-BOM'!$D$3:$D1001,'PR-BOM'!$C$3:$C1001,N924))</f>
        <v/>
      </c>
      <c r="Y924" t="str">
        <f>IF(X924="","",SUMIFS(Issue!$D$3:$D1001,Issue!$C$3:$C1001,X924))</f>
        <v/>
      </c>
    </row>
    <row r="925" spans="5:25">
      <c r="E925" t="str">
        <f>IF(A925="","",SUMIFS(Issue!$D$3:$D1001,Issue!$C$3:$C1001,A925)*C925)</f>
        <v/>
      </c>
      <c r="F925" t="e">
        <f ca="1">_xludf.IFNA(VLOOKUP(B925,'S-FG'!$B$3:$B1001,1,FALSE),"")</f>
        <v>#NAME?</v>
      </c>
      <c r="L925" t="str">
        <f t="shared" si="3"/>
        <v/>
      </c>
      <c r="Q925" t="str">
        <f>IF(N925="","",SUMIFS('PR-BOM'!$D$3:$D1001,'PR-BOM'!$C$3:$C1001,N925))</f>
        <v/>
      </c>
      <c r="Y925" t="str">
        <f>IF(X925="","",SUMIFS(Issue!$D$3:$D1001,Issue!$C$3:$C1001,X925))</f>
        <v/>
      </c>
    </row>
    <row r="926" spans="5:25">
      <c r="E926" t="str">
        <f>IF(A926="","",SUMIFS(Issue!$D$3:$D1001,Issue!$C$3:$C1001,A926)*C926)</f>
        <v/>
      </c>
      <c r="F926" t="e">
        <f ca="1">_xludf.IFNA(VLOOKUP(B926,'S-FG'!$B$3:$B1001,1,FALSE),"")</f>
        <v>#NAME?</v>
      </c>
      <c r="L926" t="str">
        <f t="shared" si="3"/>
        <v/>
      </c>
      <c r="Q926" t="str">
        <f>IF(N926="","",SUMIFS('PR-BOM'!$D$3:$D1001,'PR-BOM'!$C$3:$C1001,N926))</f>
        <v/>
      </c>
      <c r="Y926" t="str">
        <f>IF(X926="","",SUMIFS(Issue!$D$3:$D1001,Issue!$C$3:$C1001,X926))</f>
        <v/>
      </c>
    </row>
    <row r="927" spans="5:25">
      <c r="E927" t="str">
        <f>IF(A927="","",SUMIFS(Issue!$D$3:$D1001,Issue!$C$3:$C1001,A927)*C927)</f>
        <v/>
      </c>
      <c r="F927" t="e">
        <f ca="1">_xludf.IFNA(VLOOKUP(B927,'S-FG'!$B$3:$B1001,1,FALSE),"")</f>
        <v>#NAME?</v>
      </c>
      <c r="L927" t="str">
        <f t="shared" si="3"/>
        <v/>
      </c>
      <c r="Q927" t="str">
        <f>IF(N927="","",SUMIFS('PR-BOM'!$D$3:$D1001,'PR-BOM'!$C$3:$C1001,N927))</f>
        <v/>
      </c>
      <c r="Y927" t="str">
        <f>IF(X927="","",SUMIFS(Issue!$D$3:$D1001,Issue!$C$3:$C1001,X927))</f>
        <v/>
      </c>
    </row>
    <row r="928" spans="5:25">
      <c r="E928" t="str">
        <f>IF(A928="","",SUMIFS(Issue!$D$3:$D1001,Issue!$C$3:$C1001,A928)*C928)</f>
        <v/>
      </c>
      <c r="F928" t="e">
        <f ca="1">_xludf.IFNA(VLOOKUP(B928,'S-FG'!$B$3:$B1001,1,FALSE),"")</f>
        <v>#NAME?</v>
      </c>
      <c r="L928" t="str">
        <f t="shared" si="3"/>
        <v/>
      </c>
      <c r="Q928" t="str">
        <f>IF(N928="","",SUMIFS('PR-BOM'!$D$3:$D1001,'PR-BOM'!$C$3:$C1001,N928))</f>
        <v/>
      </c>
      <c r="Y928" t="str">
        <f>IF(X928="","",SUMIFS(Issue!$D$3:$D1001,Issue!$C$3:$C1001,X928))</f>
        <v/>
      </c>
    </row>
    <row r="929" spans="5:25">
      <c r="E929" t="str">
        <f>IF(A929="","",SUMIFS(Issue!$D$3:$D1001,Issue!$C$3:$C1001,A929)*C929)</f>
        <v/>
      </c>
      <c r="F929" t="e">
        <f ca="1">_xludf.IFNA(VLOOKUP(B929,'S-FG'!$B$3:$B1001,1,FALSE),"")</f>
        <v>#NAME?</v>
      </c>
      <c r="L929" t="str">
        <f t="shared" si="3"/>
        <v/>
      </c>
      <c r="Q929" t="str">
        <f>IF(N929="","",SUMIFS('PR-BOM'!$D$3:$D1001,'PR-BOM'!$C$3:$C1001,N929))</f>
        <v/>
      </c>
      <c r="Y929" t="str">
        <f>IF(X929="","",SUMIFS(Issue!$D$3:$D1001,Issue!$C$3:$C1001,X929))</f>
        <v/>
      </c>
    </row>
    <row r="930" spans="5:25">
      <c r="E930" t="str">
        <f>IF(A930="","",SUMIFS(Issue!$D$3:$D1001,Issue!$C$3:$C1001,A930)*C930)</f>
        <v/>
      </c>
      <c r="F930" t="e">
        <f ca="1">_xludf.IFNA(VLOOKUP(B930,'S-FG'!$B$3:$B1001,1,FALSE),"")</f>
        <v>#NAME?</v>
      </c>
      <c r="L930" t="str">
        <f t="shared" si="3"/>
        <v/>
      </c>
      <c r="Q930" t="str">
        <f>IF(N930="","",SUMIFS('PR-BOM'!$D$3:$D1001,'PR-BOM'!$C$3:$C1001,N930))</f>
        <v/>
      </c>
      <c r="Y930" t="str">
        <f>IF(X930="","",SUMIFS(Issue!$D$3:$D1001,Issue!$C$3:$C1001,X930))</f>
        <v/>
      </c>
    </row>
    <row r="931" spans="5:25">
      <c r="E931" t="str">
        <f>IF(A931="","",SUMIFS(Issue!$D$3:$D1001,Issue!$C$3:$C1001,A931)*C931)</f>
        <v/>
      </c>
      <c r="F931" t="e">
        <f ca="1">_xludf.IFNA(VLOOKUP(B931,'S-FG'!$B$3:$B1001,1,FALSE),"")</f>
        <v>#NAME?</v>
      </c>
      <c r="L931" t="str">
        <f t="shared" si="3"/>
        <v/>
      </c>
      <c r="Q931" t="str">
        <f>IF(N931="","",SUMIFS('PR-BOM'!$D$3:$D1001,'PR-BOM'!$C$3:$C1001,N931))</f>
        <v/>
      </c>
      <c r="Y931" t="str">
        <f>IF(X931="","",SUMIFS(Issue!$D$3:$D1001,Issue!$C$3:$C1001,X931))</f>
        <v/>
      </c>
    </row>
    <row r="932" spans="5:25">
      <c r="E932" t="str">
        <f>IF(A932="","",SUMIFS(Issue!$D$3:$D1001,Issue!$C$3:$C1001,A932)*C932)</f>
        <v/>
      </c>
      <c r="F932" t="e">
        <f ca="1">_xludf.IFNA(VLOOKUP(B932,'S-FG'!$B$3:$B1001,1,FALSE),"")</f>
        <v>#NAME?</v>
      </c>
      <c r="L932" t="str">
        <f t="shared" si="3"/>
        <v/>
      </c>
      <c r="Q932" t="str">
        <f>IF(N932="","",SUMIFS('PR-BOM'!$D$3:$D1001,'PR-BOM'!$C$3:$C1001,N932))</f>
        <v/>
      </c>
      <c r="Y932" t="str">
        <f>IF(X932="","",SUMIFS(Issue!$D$3:$D1001,Issue!$C$3:$C1001,X932))</f>
        <v/>
      </c>
    </row>
    <row r="933" spans="5:25">
      <c r="E933" t="str">
        <f>IF(A933="","",SUMIFS(Issue!$D$3:$D1001,Issue!$C$3:$C1001,A933)*C933)</f>
        <v/>
      </c>
      <c r="F933" t="e">
        <f ca="1">_xludf.IFNA(VLOOKUP(B933,'S-FG'!$B$3:$B1001,1,FALSE),"")</f>
        <v>#NAME?</v>
      </c>
      <c r="L933" t="str">
        <f t="shared" si="3"/>
        <v/>
      </c>
      <c r="Q933" t="str">
        <f>IF(N933="","",SUMIFS('PR-BOM'!$D$3:$D1001,'PR-BOM'!$C$3:$C1001,N933))</f>
        <v/>
      </c>
      <c r="Y933" t="str">
        <f>IF(X933="","",SUMIFS(Issue!$D$3:$D1001,Issue!$C$3:$C1001,X933))</f>
        <v/>
      </c>
    </row>
    <row r="934" spans="5:25">
      <c r="E934" t="str">
        <f>IF(A934="","",SUMIFS(Issue!$D$3:$D1001,Issue!$C$3:$C1001,A934)*C934)</f>
        <v/>
      </c>
      <c r="F934" t="e">
        <f ca="1">_xludf.IFNA(VLOOKUP(B934,'S-FG'!$B$3:$B1001,1,FALSE),"")</f>
        <v>#NAME?</v>
      </c>
      <c r="L934" t="str">
        <f t="shared" si="3"/>
        <v/>
      </c>
      <c r="Q934" t="str">
        <f>IF(N934="","",SUMIFS('PR-BOM'!$D$3:$D1001,'PR-BOM'!$C$3:$C1001,N934))</f>
        <v/>
      </c>
      <c r="Y934" t="str">
        <f>IF(X934="","",SUMIFS(Issue!$D$3:$D1001,Issue!$C$3:$C1001,X934))</f>
        <v/>
      </c>
    </row>
    <row r="935" spans="5:25">
      <c r="E935" t="str">
        <f>IF(A935="","",SUMIFS(Issue!$D$3:$D1001,Issue!$C$3:$C1001,A935)*C935)</f>
        <v/>
      </c>
      <c r="F935" t="e">
        <f ca="1">_xludf.IFNA(VLOOKUP(B935,'S-FG'!$B$3:$B1001,1,FALSE),"")</f>
        <v>#NAME?</v>
      </c>
      <c r="L935" t="str">
        <f t="shared" si="3"/>
        <v/>
      </c>
      <c r="Q935" t="str">
        <f>IF(N935="","",SUMIFS('PR-BOM'!$D$3:$D1001,'PR-BOM'!$C$3:$C1001,N935))</f>
        <v/>
      </c>
      <c r="Y935" t="str">
        <f>IF(X935="","",SUMIFS(Issue!$D$3:$D1001,Issue!$C$3:$C1001,X935))</f>
        <v/>
      </c>
    </row>
    <row r="936" spans="5:25">
      <c r="E936" t="str">
        <f>IF(A936="","",SUMIFS(Issue!$D$3:$D1001,Issue!$C$3:$C1001,A936)*C936)</f>
        <v/>
      </c>
      <c r="F936" t="e">
        <f ca="1">_xludf.IFNA(VLOOKUP(B936,'S-FG'!$B$3:$B1001,1,FALSE),"")</f>
        <v>#NAME?</v>
      </c>
      <c r="L936" t="str">
        <f t="shared" si="3"/>
        <v/>
      </c>
      <c r="Q936" t="str">
        <f>IF(N936="","",SUMIFS('PR-BOM'!$D$3:$D1001,'PR-BOM'!$C$3:$C1001,N936))</f>
        <v/>
      </c>
      <c r="Y936" t="str">
        <f>IF(X936="","",SUMIFS(Issue!$D$3:$D1001,Issue!$C$3:$C1001,X936))</f>
        <v/>
      </c>
    </row>
    <row r="937" spans="5:25">
      <c r="E937" t="str">
        <f>IF(A937="","",SUMIFS(Issue!$D$3:$D1001,Issue!$C$3:$C1001,A937)*C937)</f>
        <v/>
      </c>
      <c r="F937" t="e">
        <f ca="1">_xludf.IFNA(VLOOKUP(B937,'S-FG'!$B$3:$B1001,1,FALSE),"")</f>
        <v>#NAME?</v>
      </c>
      <c r="L937" t="str">
        <f t="shared" si="3"/>
        <v/>
      </c>
      <c r="Q937" t="str">
        <f>IF(N937="","",SUMIFS('PR-BOM'!$D$3:$D1001,'PR-BOM'!$C$3:$C1001,N937))</f>
        <v/>
      </c>
      <c r="Y937" t="str">
        <f>IF(X937="","",SUMIFS(Issue!$D$3:$D1001,Issue!$C$3:$C1001,X937))</f>
        <v/>
      </c>
    </row>
    <row r="938" spans="5:25">
      <c r="E938" t="str">
        <f>IF(A938="","",SUMIFS(Issue!$D$3:$D1001,Issue!$C$3:$C1001,A938)*C938)</f>
        <v/>
      </c>
      <c r="F938" t="e">
        <f ca="1">_xludf.IFNA(VLOOKUP(B938,'S-FG'!$B$3:$B1001,1,FALSE),"")</f>
        <v>#NAME?</v>
      </c>
      <c r="L938" t="str">
        <f t="shared" si="3"/>
        <v/>
      </c>
      <c r="Q938" t="str">
        <f>IF(N938="","",SUMIFS('PR-BOM'!$D$3:$D1001,'PR-BOM'!$C$3:$C1001,N938))</f>
        <v/>
      </c>
      <c r="Y938" t="str">
        <f>IF(X938="","",SUMIFS(Issue!$D$3:$D1001,Issue!$C$3:$C1001,X938))</f>
        <v/>
      </c>
    </row>
    <row r="939" spans="5:25">
      <c r="E939" t="str">
        <f>IF(A939="","",SUMIFS(Issue!$D$3:$D1001,Issue!$C$3:$C1001,A939)*C939)</f>
        <v/>
      </c>
      <c r="F939" t="e">
        <f ca="1">_xludf.IFNA(VLOOKUP(B939,'S-FG'!$B$3:$B1001,1,FALSE),"")</f>
        <v>#NAME?</v>
      </c>
      <c r="L939" t="str">
        <f t="shared" si="3"/>
        <v/>
      </c>
      <c r="Q939" t="str">
        <f>IF(N939="","",SUMIFS('PR-BOM'!$D$3:$D1001,'PR-BOM'!$C$3:$C1001,N939))</f>
        <v/>
      </c>
      <c r="Y939" t="str">
        <f>IF(X939="","",SUMIFS(Issue!$D$3:$D1001,Issue!$C$3:$C1001,X939))</f>
        <v/>
      </c>
    </row>
    <row r="940" spans="5:25">
      <c r="E940" t="str">
        <f>IF(A940="","",SUMIFS(Issue!$D$3:$D1001,Issue!$C$3:$C1001,A940)*C940)</f>
        <v/>
      </c>
      <c r="F940" t="e">
        <f ca="1">_xludf.IFNA(VLOOKUP(B940,'S-FG'!$B$3:$B1001,1,FALSE),"")</f>
        <v>#NAME?</v>
      </c>
      <c r="L940" t="str">
        <f t="shared" si="3"/>
        <v/>
      </c>
      <c r="Q940" t="str">
        <f>IF(N940="","",SUMIFS('PR-BOM'!$D$3:$D1001,'PR-BOM'!$C$3:$C1001,N940))</f>
        <v/>
      </c>
      <c r="Y940" t="str">
        <f>IF(X940="","",SUMIFS(Issue!$D$3:$D1001,Issue!$C$3:$C1001,X940))</f>
        <v/>
      </c>
    </row>
    <row r="941" spans="5:25">
      <c r="E941" t="str">
        <f>IF(A941="","",SUMIFS(Issue!$D$3:$D1001,Issue!$C$3:$C1001,A941)*C941)</f>
        <v/>
      </c>
      <c r="F941" t="e">
        <f ca="1">_xludf.IFNA(VLOOKUP(B941,'S-FG'!$B$3:$B1001,1,FALSE),"")</f>
        <v>#NAME?</v>
      </c>
      <c r="L941" t="str">
        <f t="shared" si="3"/>
        <v/>
      </c>
      <c r="Q941" t="str">
        <f>IF(N941="","",SUMIFS('PR-BOM'!$D$3:$D1001,'PR-BOM'!$C$3:$C1001,N941))</f>
        <v/>
      </c>
      <c r="Y941" t="str">
        <f>IF(X941="","",SUMIFS(Issue!$D$3:$D1001,Issue!$C$3:$C1001,X941))</f>
        <v/>
      </c>
    </row>
    <row r="942" spans="5:25">
      <c r="E942" t="str">
        <f>IF(A942="","",SUMIFS(Issue!$D$3:$D1001,Issue!$C$3:$C1001,A942)*C942)</f>
        <v/>
      </c>
      <c r="F942" t="e">
        <f ca="1">_xludf.IFNA(VLOOKUP(B942,'S-FG'!$B$3:$B1001,1,FALSE),"")</f>
        <v>#NAME?</v>
      </c>
      <c r="L942" t="str">
        <f t="shared" si="3"/>
        <v/>
      </c>
      <c r="Q942" t="str">
        <f>IF(N942="","",SUMIFS('PR-BOM'!$D$3:$D1001,'PR-BOM'!$C$3:$C1001,N942))</f>
        <v/>
      </c>
      <c r="Y942" t="str">
        <f>IF(X942="","",SUMIFS(Issue!$D$3:$D1001,Issue!$C$3:$C1001,X942))</f>
        <v/>
      </c>
    </row>
    <row r="943" spans="5:25">
      <c r="E943" t="str">
        <f>IF(A943="","",SUMIFS(Issue!$D$3:$D1001,Issue!$C$3:$C1001,A943)*C943)</f>
        <v/>
      </c>
      <c r="F943" t="e">
        <f ca="1">_xludf.IFNA(VLOOKUP(B943,'S-FG'!$B$3:$B1001,1,FALSE),"")</f>
        <v>#NAME?</v>
      </c>
      <c r="L943" t="str">
        <f t="shared" si="3"/>
        <v/>
      </c>
      <c r="Q943" t="str">
        <f>IF(N943="","",SUMIFS('PR-BOM'!$D$3:$D1001,'PR-BOM'!$C$3:$C1001,N943))</f>
        <v/>
      </c>
      <c r="Y943" t="str">
        <f>IF(X943="","",SUMIFS(Issue!$D$3:$D1001,Issue!$C$3:$C1001,X943))</f>
        <v/>
      </c>
    </row>
    <row r="944" spans="5:25">
      <c r="E944" t="str">
        <f>IF(A944="","",SUMIFS(Issue!$D$3:$D1001,Issue!$C$3:$C1001,A944)*C944)</f>
        <v/>
      </c>
      <c r="F944" t="e">
        <f ca="1">_xludf.IFNA(VLOOKUP(B944,'S-FG'!$B$3:$B1001,1,FALSE),"")</f>
        <v>#NAME?</v>
      </c>
      <c r="L944" t="str">
        <f t="shared" si="3"/>
        <v/>
      </c>
      <c r="Q944" t="str">
        <f>IF(N944="","",SUMIFS('PR-BOM'!$D$3:$D1001,'PR-BOM'!$C$3:$C1001,N944))</f>
        <v/>
      </c>
      <c r="Y944" t="str">
        <f>IF(X944="","",SUMIFS(Issue!$D$3:$D1001,Issue!$C$3:$C1001,X944))</f>
        <v/>
      </c>
    </row>
    <row r="945" spans="5:25">
      <c r="E945" t="str">
        <f>IF(A945="","",SUMIFS(Issue!$D$3:$D1001,Issue!$C$3:$C1001,A945)*C945)</f>
        <v/>
      </c>
      <c r="F945" t="e">
        <f ca="1">_xludf.IFNA(VLOOKUP(B945,'S-FG'!$B$3:$B1001,1,FALSE),"")</f>
        <v>#NAME?</v>
      </c>
      <c r="L945" t="str">
        <f t="shared" si="3"/>
        <v/>
      </c>
      <c r="Q945" t="str">
        <f>IF(N945="","",SUMIFS('PR-BOM'!$D$3:$D1001,'PR-BOM'!$C$3:$C1001,N945))</f>
        <v/>
      </c>
      <c r="Y945" t="str">
        <f>IF(X945="","",SUMIFS(Issue!$D$3:$D1001,Issue!$C$3:$C1001,X945))</f>
        <v/>
      </c>
    </row>
    <row r="946" spans="5:25">
      <c r="E946" t="str">
        <f>IF(A946="","",SUMIFS(Issue!$D$3:$D1001,Issue!$C$3:$C1001,A946)*C946)</f>
        <v/>
      </c>
      <c r="F946" t="e">
        <f ca="1">_xludf.IFNA(VLOOKUP(B946,'S-FG'!$B$3:$B1001,1,FALSE),"")</f>
        <v>#NAME?</v>
      </c>
      <c r="L946" t="str">
        <f t="shared" si="3"/>
        <v/>
      </c>
      <c r="Q946" t="str">
        <f>IF(N946="","",SUMIFS('PR-BOM'!$D$3:$D1001,'PR-BOM'!$C$3:$C1001,N946))</f>
        <v/>
      </c>
      <c r="Y946" t="str">
        <f>IF(X946="","",SUMIFS(Issue!$D$3:$D1001,Issue!$C$3:$C1001,X946))</f>
        <v/>
      </c>
    </row>
    <row r="947" spans="5:25">
      <c r="E947" t="str">
        <f>IF(A947="","",SUMIFS(Issue!$D$3:$D1001,Issue!$C$3:$C1001,A947)*C947)</f>
        <v/>
      </c>
      <c r="F947" t="e">
        <f ca="1">_xludf.IFNA(VLOOKUP(B947,'S-FG'!$B$3:$B1001,1,FALSE),"")</f>
        <v>#NAME?</v>
      </c>
      <c r="L947" t="str">
        <f t="shared" si="3"/>
        <v/>
      </c>
      <c r="Q947" t="str">
        <f>IF(N947="","",SUMIFS('PR-BOM'!$D$3:$D1001,'PR-BOM'!$C$3:$C1001,N947))</f>
        <v/>
      </c>
      <c r="Y947" t="str">
        <f>IF(X947="","",SUMIFS(Issue!$D$3:$D1001,Issue!$C$3:$C1001,X947))</f>
        <v/>
      </c>
    </row>
    <row r="948" spans="5:25">
      <c r="E948" t="str">
        <f>IF(A948="","",SUMIFS(Issue!$D$3:$D1001,Issue!$C$3:$C1001,A948)*C948)</f>
        <v/>
      </c>
      <c r="F948" t="e">
        <f ca="1">_xludf.IFNA(VLOOKUP(B948,'S-FG'!$B$3:$B1001,1,FALSE),"")</f>
        <v>#NAME?</v>
      </c>
      <c r="L948" t="str">
        <f t="shared" si="3"/>
        <v/>
      </c>
      <c r="Q948" t="str">
        <f>IF(N948="","",SUMIFS('PR-BOM'!$D$3:$D1001,'PR-BOM'!$C$3:$C1001,N948))</f>
        <v/>
      </c>
      <c r="Y948" t="str">
        <f>IF(X948="","",SUMIFS(Issue!$D$3:$D1001,Issue!$C$3:$C1001,X948))</f>
        <v/>
      </c>
    </row>
    <row r="949" spans="5:25">
      <c r="E949" t="str">
        <f>IF(A949="","",SUMIFS(Issue!$D$3:$D1001,Issue!$C$3:$C1001,A949)*C949)</f>
        <v/>
      </c>
      <c r="F949" t="e">
        <f ca="1">_xludf.IFNA(VLOOKUP(B949,'S-FG'!$B$3:$B1001,1,FALSE),"")</f>
        <v>#NAME?</v>
      </c>
      <c r="L949" t="str">
        <f t="shared" si="3"/>
        <v/>
      </c>
      <c r="Q949" t="str">
        <f>IF(N949="","",SUMIFS('PR-BOM'!$D$3:$D1001,'PR-BOM'!$C$3:$C1001,N949))</f>
        <v/>
      </c>
      <c r="Y949" t="str">
        <f>IF(X949="","",SUMIFS(Issue!$D$3:$D1001,Issue!$C$3:$C1001,X949))</f>
        <v/>
      </c>
    </row>
    <row r="950" spans="5:25">
      <c r="E950" t="str">
        <f>IF(A950="","",SUMIFS(Issue!$D$3:$D1001,Issue!$C$3:$C1001,A950)*C950)</f>
        <v/>
      </c>
      <c r="F950" t="e">
        <f ca="1">_xludf.IFNA(VLOOKUP(B950,'S-FG'!$B$3:$B1001,1,FALSE),"")</f>
        <v>#NAME?</v>
      </c>
      <c r="L950" t="str">
        <f t="shared" si="3"/>
        <v/>
      </c>
      <c r="Q950" t="str">
        <f>IF(N950="","",SUMIFS('PR-BOM'!$D$3:$D1001,'PR-BOM'!$C$3:$C1001,N950))</f>
        <v/>
      </c>
      <c r="Y950" t="str">
        <f>IF(X950="","",SUMIFS(Issue!$D$3:$D1001,Issue!$C$3:$C1001,X950))</f>
        <v/>
      </c>
    </row>
    <row r="951" spans="5:25">
      <c r="E951" t="str">
        <f>IF(A951="","",SUMIFS(Issue!$D$3:$D1001,Issue!$C$3:$C1001,A951)*C951)</f>
        <v/>
      </c>
      <c r="F951" t="e">
        <f ca="1">_xludf.IFNA(VLOOKUP(B951,'S-FG'!$B$3:$B1001,1,FALSE),"")</f>
        <v>#NAME?</v>
      </c>
      <c r="L951" t="str">
        <f t="shared" si="3"/>
        <v/>
      </c>
      <c r="Q951" t="str">
        <f>IF(N951="","",SUMIFS('PR-BOM'!$D$3:$D1001,'PR-BOM'!$C$3:$C1001,N951))</f>
        <v/>
      </c>
      <c r="Y951" t="str">
        <f>IF(X951="","",SUMIFS(Issue!$D$3:$D1001,Issue!$C$3:$C1001,X951))</f>
        <v/>
      </c>
    </row>
    <row r="952" spans="5:25">
      <c r="E952" t="str">
        <f>IF(A952="","",SUMIFS(Issue!$D$3:$D1001,Issue!$C$3:$C1001,A952)*C952)</f>
        <v/>
      </c>
      <c r="F952" t="e">
        <f ca="1">_xludf.IFNA(VLOOKUP(B952,'S-FG'!$B$3:$B1001,1,FALSE),"")</f>
        <v>#NAME?</v>
      </c>
      <c r="L952" t="str">
        <f t="shared" si="3"/>
        <v/>
      </c>
      <c r="Q952" t="str">
        <f>IF(N952="","",SUMIFS('PR-BOM'!$D$3:$D1001,'PR-BOM'!$C$3:$C1001,N952))</f>
        <v/>
      </c>
      <c r="Y952" t="str">
        <f>IF(X952="","",SUMIFS(Issue!$D$3:$D1001,Issue!$C$3:$C1001,X952))</f>
        <v/>
      </c>
    </row>
    <row r="953" spans="5:25">
      <c r="E953" t="str">
        <f>IF(A953="","",SUMIFS(Issue!$D$3:$D1001,Issue!$C$3:$C1001,A953)*C953)</f>
        <v/>
      </c>
      <c r="F953" t="e">
        <f ca="1">_xludf.IFNA(VLOOKUP(B953,'S-FG'!$B$3:$B1001,1,FALSE),"")</f>
        <v>#NAME?</v>
      </c>
      <c r="L953" t="str">
        <f t="shared" si="3"/>
        <v/>
      </c>
      <c r="Q953" t="str">
        <f>IF(N953="","",SUMIFS('PR-BOM'!$D$3:$D1001,'PR-BOM'!$C$3:$C1001,N953))</f>
        <v/>
      </c>
      <c r="Y953" t="str">
        <f>IF(X953="","",SUMIFS(Issue!$D$3:$D1001,Issue!$C$3:$C1001,X953))</f>
        <v/>
      </c>
    </row>
    <row r="954" spans="5:25">
      <c r="E954" t="str">
        <f>IF(A954="","",SUMIFS(Issue!$D$3:$D1001,Issue!$C$3:$C1001,A954)*C954)</f>
        <v/>
      </c>
      <c r="F954" t="e">
        <f ca="1">_xludf.IFNA(VLOOKUP(B954,'S-FG'!$B$3:$B1001,1,FALSE),"")</f>
        <v>#NAME?</v>
      </c>
      <c r="L954" t="str">
        <f t="shared" si="3"/>
        <v/>
      </c>
      <c r="Q954" t="str">
        <f>IF(N954="","",SUMIFS('PR-BOM'!$D$3:$D1001,'PR-BOM'!$C$3:$C1001,N954))</f>
        <v/>
      </c>
      <c r="Y954" t="str">
        <f>IF(X954="","",SUMIFS(Issue!$D$3:$D1001,Issue!$C$3:$C1001,X954))</f>
        <v/>
      </c>
    </row>
    <row r="955" spans="5:25">
      <c r="E955" t="str">
        <f>IF(A955="","",SUMIFS(Issue!$D$3:$D1001,Issue!$C$3:$C1001,A955)*C955)</f>
        <v/>
      </c>
      <c r="F955" t="e">
        <f ca="1">_xludf.IFNA(VLOOKUP(B955,'S-FG'!$B$3:$B1001,1,FALSE),"")</f>
        <v>#NAME?</v>
      </c>
      <c r="L955" t="str">
        <f t="shared" si="3"/>
        <v/>
      </c>
      <c r="Q955" t="str">
        <f>IF(N955="","",SUMIFS('PR-BOM'!$D$3:$D1001,'PR-BOM'!$C$3:$C1001,N955))</f>
        <v/>
      </c>
      <c r="Y955" t="str">
        <f>IF(X955="","",SUMIFS(Issue!$D$3:$D1001,Issue!$C$3:$C1001,X955))</f>
        <v/>
      </c>
    </row>
    <row r="956" spans="5:25">
      <c r="E956" t="str">
        <f>IF(A956="","",SUMIFS(Issue!$D$3:$D1001,Issue!$C$3:$C1001,A956)*C956)</f>
        <v/>
      </c>
      <c r="F956" t="e">
        <f ca="1">_xludf.IFNA(VLOOKUP(B956,'S-FG'!$B$3:$B1001,1,FALSE),"")</f>
        <v>#NAME?</v>
      </c>
      <c r="L956" t="str">
        <f t="shared" si="3"/>
        <v/>
      </c>
      <c r="Q956" t="str">
        <f>IF(N956="","",SUMIFS('PR-BOM'!$D$3:$D1001,'PR-BOM'!$C$3:$C1001,N956))</f>
        <v/>
      </c>
      <c r="Y956" t="str">
        <f>IF(X956="","",SUMIFS(Issue!$D$3:$D1001,Issue!$C$3:$C1001,X956))</f>
        <v/>
      </c>
    </row>
    <row r="957" spans="5:25">
      <c r="E957" t="str">
        <f>IF(A957="","",SUMIFS(Issue!$D$3:$D1001,Issue!$C$3:$C1001,A957)*C957)</f>
        <v/>
      </c>
      <c r="F957" t="e">
        <f ca="1">_xludf.IFNA(VLOOKUP(B957,'S-FG'!$B$3:$B1001,1,FALSE),"")</f>
        <v>#NAME?</v>
      </c>
      <c r="L957" t="str">
        <f t="shared" si="3"/>
        <v/>
      </c>
      <c r="Q957" t="str">
        <f>IF(N957="","",SUMIFS('PR-BOM'!$D$3:$D1001,'PR-BOM'!$C$3:$C1001,N957))</f>
        <v/>
      </c>
      <c r="Y957" t="str">
        <f>IF(X957="","",SUMIFS(Issue!$D$3:$D1001,Issue!$C$3:$C1001,X957))</f>
        <v/>
      </c>
    </row>
    <row r="958" spans="5:25">
      <c r="E958" t="str">
        <f>IF(A958="","",SUMIFS(Issue!$D$3:$D1001,Issue!$C$3:$C1001,A958)*C958)</f>
        <v/>
      </c>
      <c r="F958" t="e">
        <f ca="1">_xludf.IFNA(VLOOKUP(B958,'S-FG'!$B$3:$B1001,1,FALSE),"")</f>
        <v>#NAME?</v>
      </c>
      <c r="L958" t="str">
        <f t="shared" si="3"/>
        <v/>
      </c>
      <c r="Q958" t="str">
        <f>IF(N958="","",SUMIFS('PR-BOM'!$D$3:$D1001,'PR-BOM'!$C$3:$C1001,N958))</f>
        <v/>
      </c>
      <c r="Y958" t="str">
        <f>IF(X958="","",SUMIFS(Issue!$D$3:$D1001,Issue!$C$3:$C1001,X958))</f>
        <v/>
      </c>
    </row>
    <row r="959" spans="5:25">
      <c r="E959" t="str">
        <f>IF(A959="","",SUMIFS(Issue!$D$3:$D1001,Issue!$C$3:$C1001,A959)*C959)</f>
        <v/>
      </c>
      <c r="F959" t="e">
        <f ca="1">_xludf.IFNA(VLOOKUP(B959,'S-FG'!$B$3:$B1001,1,FALSE),"")</f>
        <v>#NAME?</v>
      </c>
      <c r="L959" t="str">
        <f t="shared" si="3"/>
        <v/>
      </c>
      <c r="Q959" t="str">
        <f>IF(N959="","",SUMIFS('PR-BOM'!$D$3:$D1001,'PR-BOM'!$C$3:$C1001,N959))</f>
        <v/>
      </c>
      <c r="Y959" t="str">
        <f>IF(X959="","",SUMIFS(Issue!$D$3:$D1001,Issue!$C$3:$C1001,X959))</f>
        <v/>
      </c>
    </row>
    <row r="960" spans="5:25">
      <c r="E960" t="str">
        <f>IF(A960="","",SUMIFS(Issue!$D$3:$D1001,Issue!$C$3:$C1001,A960)*C960)</f>
        <v/>
      </c>
      <c r="F960" t="e">
        <f ca="1">_xludf.IFNA(VLOOKUP(B960,'S-FG'!$B$3:$B1001,1,FALSE),"")</f>
        <v>#NAME?</v>
      </c>
      <c r="L960" t="str">
        <f t="shared" si="3"/>
        <v/>
      </c>
      <c r="Q960" t="str">
        <f>IF(N960="","",SUMIFS('PR-BOM'!$D$3:$D1001,'PR-BOM'!$C$3:$C1001,N960))</f>
        <v/>
      </c>
      <c r="Y960" t="str">
        <f>IF(X960="","",SUMIFS(Issue!$D$3:$D1001,Issue!$C$3:$C1001,X960))</f>
        <v/>
      </c>
    </row>
    <row r="961" spans="5:25">
      <c r="E961" t="str">
        <f>IF(A961="","",SUMIFS(Issue!$D$3:$D1001,Issue!$C$3:$C1001,A961)*C961)</f>
        <v/>
      </c>
      <c r="F961" t="e">
        <f ca="1">_xludf.IFNA(VLOOKUP(B961,'S-FG'!$B$3:$B1001,1,FALSE),"")</f>
        <v>#NAME?</v>
      </c>
      <c r="L961" t="str">
        <f t="shared" si="3"/>
        <v/>
      </c>
      <c r="Q961" t="str">
        <f>IF(N961="","",SUMIFS('PR-BOM'!$D$3:$D1001,'PR-BOM'!$C$3:$C1001,N961))</f>
        <v/>
      </c>
      <c r="Y961" t="str">
        <f>IF(X961="","",SUMIFS(Issue!$D$3:$D1001,Issue!$C$3:$C1001,X961))</f>
        <v/>
      </c>
    </row>
    <row r="962" spans="5:25">
      <c r="E962" t="str">
        <f>IF(A962="","",SUMIFS(Issue!$D$3:$D1001,Issue!$C$3:$C1001,A962)*C962)</f>
        <v/>
      </c>
      <c r="F962" t="e">
        <f ca="1">_xludf.IFNA(VLOOKUP(B962,'S-FG'!$B$3:$B1001,1,FALSE),"")</f>
        <v>#NAME?</v>
      </c>
      <c r="L962" t="str">
        <f t="shared" si="3"/>
        <v/>
      </c>
      <c r="Q962" t="str">
        <f>IF(N962="","",SUMIFS('PR-BOM'!$D$3:$D1001,'PR-BOM'!$C$3:$C1001,N962))</f>
        <v/>
      </c>
      <c r="Y962" t="str">
        <f>IF(X962="","",SUMIFS(Issue!$D$3:$D1001,Issue!$C$3:$C1001,X962))</f>
        <v/>
      </c>
    </row>
    <row r="963" spans="5:25">
      <c r="E963" t="str">
        <f>IF(A963="","",SUMIFS(Issue!$D$3:$D1001,Issue!$C$3:$C1001,A963)*C963)</f>
        <v/>
      </c>
      <c r="F963" t="e">
        <f ca="1">_xludf.IFNA(VLOOKUP(B963,'S-FG'!$B$3:$B1001,1,FALSE),"")</f>
        <v>#NAME?</v>
      </c>
      <c r="L963" t="str">
        <f t="shared" si="3"/>
        <v/>
      </c>
      <c r="Q963" t="str">
        <f>IF(N963="","",SUMIFS('PR-BOM'!$D$3:$D1001,'PR-BOM'!$C$3:$C1001,N963))</f>
        <v/>
      </c>
      <c r="Y963" t="str">
        <f>IF(X963="","",SUMIFS(Issue!$D$3:$D1001,Issue!$C$3:$C1001,X963))</f>
        <v/>
      </c>
    </row>
    <row r="964" spans="5:25">
      <c r="E964" t="str">
        <f>IF(A964="","",SUMIFS(Issue!$D$3:$D1001,Issue!$C$3:$C1001,A964)*C964)</f>
        <v/>
      </c>
      <c r="F964" t="e">
        <f ca="1">_xludf.IFNA(VLOOKUP(B964,'S-FG'!$B$3:$B1001,1,FALSE),"")</f>
        <v>#NAME?</v>
      </c>
      <c r="L964" t="str">
        <f t="shared" si="3"/>
        <v/>
      </c>
      <c r="Q964" t="str">
        <f>IF(N964="","",SUMIFS('PR-BOM'!$D$3:$D1001,'PR-BOM'!$C$3:$C1001,N964))</f>
        <v/>
      </c>
      <c r="Y964" t="str">
        <f>IF(X964="","",SUMIFS(Issue!$D$3:$D1001,Issue!$C$3:$C1001,X964))</f>
        <v/>
      </c>
    </row>
    <row r="965" spans="5:25">
      <c r="E965" t="str">
        <f>IF(A965="","",SUMIFS(Issue!$D$3:$D1001,Issue!$C$3:$C1001,A965)*C965)</f>
        <v/>
      </c>
      <c r="F965" t="e">
        <f ca="1">_xludf.IFNA(VLOOKUP(B965,'S-FG'!$B$3:$B1001,1,FALSE),"")</f>
        <v>#NAME?</v>
      </c>
      <c r="L965" t="str">
        <f t="shared" si="3"/>
        <v/>
      </c>
      <c r="Q965" t="str">
        <f>IF(N965="","",SUMIFS('PR-BOM'!$D$3:$D1001,'PR-BOM'!$C$3:$C1001,N965))</f>
        <v/>
      </c>
      <c r="Y965" t="str">
        <f>IF(X965="","",SUMIFS(Issue!$D$3:$D1001,Issue!$C$3:$C1001,X965))</f>
        <v/>
      </c>
    </row>
    <row r="966" spans="5:25">
      <c r="E966" t="str">
        <f>IF(A966="","",SUMIFS(Issue!$D$3:$D1001,Issue!$C$3:$C1001,A966)*C966)</f>
        <v/>
      </c>
      <c r="F966" t="e">
        <f ca="1">_xludf.IFNA(VLOOKUP(B966,'S-FG'!$B$3:$B1001,1,FALSE),"")</f>
        <v>#NAME?</v>
      </c>
      <c r="L966" t="str">
        <f t="shared" si="3"/>
        <v/>
      </c>
      <c r="Q966" t="str">
        <f>IF(N966="","",SUMIFS('PR-BOM'!$D$3:$D1001,'PR-BOM'!$C$3:$C1001,N966))</f>
        <v/>
      </c>
      <c r="Y966" t="str">
        <f>IF(X966="","",SUMIFS(Issue!$D$3:$D1001,Issue!$C$3:$C1001,X966))</f>
        <v/>
      </c>
    </row>
    <row r="967" spans="5:25">
      <c r="E967" t="str">
        <f>IF(A967="","",SUMIFS(Issue!$D$3:$D1001,Issue!$C$3:$C1001,A967)*C967)</f>
        <v/>
      </c>
      <c r="F967" t="e">
        <f ca="1">_xludf.IFNA(VLOOKUP(B967,'S-FG'!$B$3:$B1001,1,FALSE),"")</f>
        <v>#NAME?</v>
      </c>
      <c r="L967" t="str">
        <f t="shared" si="3"/>
        <v/>
      </c>
      <c r="Q967" t="str">
        <f>IF(N967="","",SUMIFS('PR-BOM'!$D$3:$D1001,'PR-BOM'!$C$3:$C1001,N967))</f>
        <v/>
      </c>
      <c r="Y967" t="str">
        <f>IF(X967="","",SUMIFS(Issue!$D$3:$D1001,Issue!$C$3:$C1001,X967))</f>
        <v/>
      </c>
    </row>
    <row r="968" spans="5:25">
      <c r="E968" t="str">
        <f>IF(A968="","",SUMIFS(Issue!$D$3:$D1001,Issue!$C$3:$C1001,A968)*C968)</f>
        <v/>
      </c>
      <c r="F968" t="e">
        <f ca="1">_xludf.IFNA(VLOOKUP(B968,'S-FG'!$B$3:$B1001,1,FALSE),"")</f>
        <v>#NAME?</v>
      </c>
      <c r="L968" t="str">
        <f t="shared" si="3"/>
        <v/>
      </c>
      <c r="Q968" t="str">
        <f>IF(N968="","",SUMIFS('PR-BOM'!$D$3:$D1001,'PR-BOM'!$C$3:$C1001,N968))</f>
        <v/>
      </c>
      <c r="Y968" t="str">
        <f>IF(X968="","",SUMIFS(Issue!$D$3:$D1001,Issue!$C$3:$C1001,X968))</f>
        <v/>
      </c>
    </row>
    <row r="969" spans="5:25">
      <c r="E969" t="str">
        <f>IF(A969="","",SUMIFS(Issue!$D$3:$D1001,Issue!$C$3:$C1001,A969)*C969)</f>
        <v/>
      </c>
      <c r="F969" t="e">
        <f ca="1">_xludf.IFNA(VLOOKUP(B969,'S-FG'!$B$3:$B1001,1,FALSE),"")</f>
        <v>#NAME?</v>
      </c>
      <c r="L969" t="str">
        <f t="shared" si="3"/>
        <v/>
      </c>
      <c r="Q969" t="str">
        <f>IF(N969="","",SUMIFS('PR-BOM'!$D$3:$D1001,'PR-BOM'!$C$3:$C1001,N969))</f>
        <v/>
      </c>
      <c r="Y969" t="str">
        <f>IF(X969="","",SUMIFS(Issue!$D$3:$D1001,Issue!$C$3:$C1001,X969))</f>
        <v/>
      </c>
    </row>
    <row r="970" spans="5:25">
      <c r="E970" t="str">
        <f>IF(A970="","",SUMIFS(Issue!$D$3:$D1001,Issue!$C$3:$C1001,A970)*C970)</f>
        <v/>
      </c>
      <c r="F970" t="e">
        <f ca="1">_xludf.IFNA(VLOOKUP(B970,'S-FG'!$B$3:$B1001,1,FALSE),"")</f>
        <v>#NAME?</v>
      </c>
      <c r="L970" t="str">
        <f t="shared" si="3"/>
        <v/>
      </c>
      <c r="Q970" t="str">
        <f>IF(N970="","",SUMIFS('PR-BOM'!$D$3:$D1001,'PR-BOM'!$C$3:$C1001,N970))</f>
        <v/>
      </c>
      <c r="Y970" t="str">
        <f>IF(X970="","",SUMIFS(Issue!$D$3:$D1001,Issue!$C$3:$C1001,X970))</f>
        <v/>
      </c>
    </row>
    <row r="971" spans="5:25">
      <c r="E971" t="str">
        <f>IF(A971="","",SUMIFS(Issue!$D$3:$D1001,Issue!$C$3:$C1001,A971)*C971)</f>
        <v/>
      </c>
      <c r="F971" t="e">
        <f ca="1">_xludf.IFNA(VLOOKUP(B971,'S-FG'!$B$3:$B1001,1,FALSE),"")</f>
        <v>#NAME?</v>
      </c>
      <c r="L971" t="str">
        <f t="shared" si="3"/>
        <v/>
      </c>
      <c r="Q971" t="str">
        <f>IF(N971="","",SUMIFS('PR-BOM'!$D$3:$D1001,'PR-BOM'!$C$3:$C1001,N971))</f>
        <v/>
      </c>
      <c r="Y971" t="str">
        <f>IF(X971="","",SUMIFS(Issue!$D$3:$D1001,Issue!$C$3:$C1001,X971))</f>
        <v/>
      </c>
    </row>
    <row r="972" spans="5:25">
      <c r="E972" t="str">
        <f>IF(A972="","",SUMIFS(Issue!$D$3:$D1001,Issue!$C$3:$C1001,A972)*C972)</f>
        <v/>
      </c>
      <c r="F972" t="e">
        <f ca="1">_xludf.IFNA(VLOOKUP(B972,'S-FG'!$B$3:$B1001,1,FALSE),"")</f>
        <v>#NAME?</v>
      </c>
      <c r="L972" t="str">
        <f t="shared" si="3"/>
        <v/>
      </c>
      <c r="Q972" t="str">
        <f>IF(N972="","",SUMIFS('PR-BOM'!$D$3:$D1001,'PR-BOM'!$C$3:$C1001,N972))</f>
        <v/>
      </c>
      <c r="Y972" t="str">
        <f>IF(X972="","",SUMIFS(Issue!$D$3:$D1001,Issue!$C$3:$C1001,X972))</f>
        <v/>
      </c>
    </row>
    <row r="973" spans="5:25">
      <c r="E973" t="str">
        <f>IF(A973="","",SUMIFS(Issue!$D$3:$D1001,Issue!$C$3:$C1001,A973)*C973)</f>
        <v/>
      </c>
      <c r="F973" t="e">
        <f ca="1">_xludf.IFNA(VLOOKUP(B973,'S-FG'!$B$3:$B1001,1,FALSE),"")</f>
        <v>#NAME?</v>
      </c>
      <c r="L973" t="str">
        <f t="shared" si="3"/>
        <v/>
      </c>
      <c r="Q973" t="str">
        <f>IF(N973="","",SUMIFS('PR-BOM'!$D$3:$D1001,'PR-BOM'!$C$3:$C1001,N973))</f>
        <v/>
      </c>
      <c r="Y973" t="str">
        <f>IF(X973="","",SUMIFS(Issue!$D$3:$D1001,Issue!$C$3:$C1001,X973))</f>
        <v/>
      </c>
    </row>
    <row r="974" spans="5:25">
      <c r="E974" t="str">
        <f>IF(A974="","",SUMIFS(Issue!$D$3:$D1001,Issue!$C$3:$C1001,A974)*C974)</f>
        <v/>
      </c>
      <c r="F974" t="e">
        <f ca="1">_xludf.IFNA(VLOOKUP(B974,'S-FG'!$B$3:$B1001,1,FALSE),"")</f>
        <v>#NAME?</v>
      </c>
      <c r="L974" t="str">
        <f t="shared" si="3"/>
        <v/>
      </c>
      <c r="Q974" t="str">
        <f>IF(N974="","",SUMIFS('PR-BOM'!$D$3:$D1001,'PR-BOM'!$C$3:$C1001,N974))</f>
        <v/>
      </c>
      <c r="Y974" t="str">
        <f>IF(X974="","",SUMIFS(Issue!$D$3:$D1001,Issue!$C$3:$C1001,X974))</f>
        <v/>
      </c>
    </row>
    <row r="975" spans="5:25">
      <c r="E975" t="str">
        <f>IF(A975="","",SUMIFS(Issue!$D$3:$D1001,Issue!$C$3:$C1001,A975)*C975)</f>
        <v/>
      </c>
      <c r="F975" t="e">
        <f ca="1">_xludf.IFNA(VLOOKUP(B975,'S-FG'!$B$3:$B1001,1,FALSE),"")</f>
        <v>#NAME?</v>
      </c>
      <c r="L975" t="str">
        <f t="shared" si="3"/>
        <v/>
      </c>
      <c r="Q975" t="str">
        <f>IF(N975="","",SUMIFS('PR-BOM'!$D$3:$D1001,'PR-BOM'!$C$3:$C1001,N975))</f>
        <v/>
      </c>
      <c r="Y975" t="str">
        <f>IF(X975="","",SUMIFS(Issue!$D$3:$D1001,Issue!$C$3:$C1001,X975))</f>
        <v/>
      </c>
    </row>
    <row r="976" spans="5:25">
      <c r="E976" t="str">
        <f>IF(A976="","",SUMIFS(Issue!$D$3:$D1001,Issue!$C$3:$C1001,A976)*C976)</f>
        <v/>
      </c>
      <c r="F976" t="e">
        <f ca="1">_xludf.IFNA(VLOOKUP(B976,'S-FG'!$B$3:$B1001,1,FALSE),"")</f>
        <v>#NAME?</v>
      </c>
      <c r="L976" t="str">
        <f t="shared" si="3"/>
        <v/>
      </c>
      <c r="Q976" t="str">
        <f>IF(N976="","",SUMIFS('PR-BOM'!$D$3:$D1001,'PR-BOM'!$C$3:$C1001,N976))</f>
        <v/>
      </c>
      <c r="Y976" t="str">
        <f>IF(X976="","",SUMIFS(Issue!$D$3:$D1001,Issue!$C$3:$C1001,X976))</f>
        <v/>
      </c>
    </row>
    <row r="977" spans="5:25">
      <c r="E977" t="str">
        <f>IF(A977="","",SUMIFS(Issue!$D$3:$D1001,Issue!$C$3:$C1001,A977)*C977)</f>
        <v/>
      </c>
      <c r="F977" t="e">
        <f ca="1">_xludf.IFNA(VLOOKUP(B977,'S-FG'!$B$3:$B1001,1,FALSE),"")</f>
        <v>#NAME?</v>
      </c>
      <c r="L977" t="str">
        <f t="shared" si="3"/>
        <v/>
      </c>
      <c r="Q977" t="str">
        <f>IF(N977="","",SUMIFS('PR-BOM'!$D$3:$D1001,'PR-BOM'!$C$3:$C1001,N977))</f>
        <v/>
      </c>
      <c r="Y977" t="str">
        <f>IF(X977="","",SUMIFS(Issue!$D$3:$D1001,Issue!$C$3:$C1001,X977))</f>
        <v/>
      </c>
    </row>
    <row r="978" spans="5:25">
      <c r="E978" t="str">
        <f>IF(A978="","",SUMIFS(Issue!$D$3:$D1001,Issue!$C$3:$C1001,A978)*C978)</f>
        <v/>
      </c>
      <c r="F978" t="e">
        <f ca="1">_xludf.IFNA(VLOOKUP(B978,'S-FG'!$B$3:$B1001,1,FALSE),"")</f>
        <v>#NAME?</v>
      </c>
      <c r="L978" t="str">
        <f t="shared" si="3"/>
        <v/>
      </c>
      <c r="Q978" t="str">
        <f>IF(N978="","",SUMIFS('PR-BOM'!$D$3:$D1001,'PR-BOM'!$C$3:$C1001,N978))</f>
        <v/>
      </c>
      <c r="Y978" t="str">
        <f>IF(X978="","",SUMIFS(Issue!$D$3:$D1001,Issue!$C$3:$C1001,X978))</f>
        <v/>
      </c>
    </row>
    <row r="979" spans="5:25">
      <c r="E979" t="str">
        <f>IF(A979="","",SUMIFS(Issue!$D$3:$D1001,Issue!$C$3:$C1001,A979)*C979)</f>
        <v/>
      </c>
      <c r="F979" t="e">
        <f ca="1">_xludf.IFNA(VLOOKUP(B979,'S-FG'!$B$3:$B1001,1,FALSE),"")</f>
        <v>#NAME?</v>
      </c>
      <c r="L979" t="str">
        <f t="shared" si="3"/>
        <v/>
      </c>
      <c r="Q979" t="str">
        <f>IF(N979="","",SUMIFS('PR-BOM'!$D$3:$D1001,'PR-BOM'!$C$3:$C1001,N979))</f>
        <v/>
      </c>
      <c r="Y979" t="str">
        <f>IF(X979="","",SUMIFS(Issue!$D$3:$D1001,Issue!$C$3:$C1001,X979))</f>
        <v/>
      </c>
    </row>
    <row r="980" spans="5:25">
      <c r="E980" t="str">
        <f>IF(A980="","",SUMIFS(Issue!$D$3:$D1001,Issue!$C$3:$C1001,A980)*C980)</f>
        <v/>
      </c>
      <c r="F980" t="e">
        <f ca="1">_xludf.IFNA(VLOOKUP(B980,'S-FG'!$B$3:$B1001,1,FALSE),"")</f>
        <v>#NAME?</v>
      </c>
      <c r="L980" t="str">
        <f t="shared" si="3"/>
        <v/>
      </c>
      <c r="Q980" t="str">
        <f>IF(N980="","",SUMIFS('PR-BOM'!$D$3:$D1001,'PR-BOM'!$C$3:$C1001,N980))</f>
        <v/>
      </c>
      <c r="Y980" t="str">
        <f>IF(X980="","",SUMIFS(Issue!$D$3:$D1001,Issue!$C$3:$C1001,X980))</f>
        <v/>
      </c>
    </row>
    <row r="981" spans="5:25">
      <c r="E981" t="str">
        <f>IF(A981="","",SUMIFS(Issue!$D$3:$D1001,Issue!$C$3:$C1001,A981)*C981)</f>
        <v/>
      </c>
      <c r="F981" t="e">
        <f ca="1">_xludf.IFNA(VLOOKUP(B981,'S-FG'!$B$3:$B1001,1,FALSE),"")</f>
        <v>#NAME?</v>
      </c>
      <c r="L981" t="str">
        <f t="shared" si="3"/>
        <v/>
      </c>
      <c r="Q981" t="str">
        <f>IF(N981="","",SUMIFS('PR-BOM'!$D$3:$D1001,'PR-BOM'!$C$3:$C1001,N981))</f>
        <v/>
      </c>
      <c r="Y981" t="str">
        <f>IF(X981="","",SUMIFS(Issue!$D$3:$D1001,Issue!$C$3:$C1001,X981))</f>
        <v/>
      </c>
    </row>
    <row r="982" spans="5:25">
      <c r="E982" t="str">
        <f>IF(A982="","",SUMIFS(Issue!$D$3:$D1001,Issue!$C$3:$C1001,A982)*C982)</f>
        <v/>
      </c>
      <c r="F982" t="e">
        <f ca="1">_xludf.IFNA(VLOOKUP(B982,'S-FG'!$B$3:$B1001,1,FALSE),"")</f>
        <v>#NAME?</v>
      </c>
      <c r="L982" t="str">
        <f t="shared" si="3"/>
        <v/>
      </c>
      <c r="Q982" t="str">
        <f>IF(N982="","",SUMIFS('PR-BOM'!$D$3:$D1001,'PR-BOM'!$C$3:$C1001,N982))</f>
        <v/>
      </c>
      <c r="Y982" t="str">
        <f>IF(X982="","",SUMIFS(Issue!$D$3:$D1001,Issue!$C$3:$C1001,X982))</f>
        <v/>
      </c>
    </row>
    <row r="983" spans="5:25">
      <c r="E983" t="str">
        <f>IF(A983="","",SUMIFS(Issue!$D$3:$D1001,Issue!$C$3:$C1001,A983)*C983)</f>
        <v/>
      </c>
      <c r="F983" t="e">
        <f ca="1">_xludf.IFNA(VLOOKUP(B983,'S-FG'!$B$3:$B1001,1,FALSE),"")</f>
        <v>#NAME?</v>
      </c>
      <c r="L983" t="str">
        <f t="shared" si="3"/>
        <v/>
      </c>
      <c r="Q983" t="str">
        <f>IF(N983="","",SUMIFS('PR-BOM'!$D$3:$D1001,'PR-BOM'!$C$3:$C1001,N983))</f>
        <v/>
      </c>
      <c r="Y983" t="str">
        <f>IF(X983="","",SUMIFS(Issue!$D$3:$D1001,Issue!$C$3:$C1001,X983))</f>
        <v/>
      </c>
    </row>
    <row r="984" spans="5:25">
      <c r="E984" t="str">
        <f>IF(A984="","",SUMIFS(Issue!$D$3:$D1001,Issue!$C$3:$C1001,A984)*C984)</f>
        <v/>
      </c>
      <c r="F984" t="e">
        <f ca="1">_xludf.IFNA(VLOOKUP(B984,'S-FG'!$B$3:$B1001,1,FALSE),"")</f>
        <v>#NAME?</v>
      </c>
      <c r="L984" t="str">
        <f t="shared" si="3"/>
        <v/>
      </c>
      <c r="Q984" t="str">
        <f>IF(N984="","",SUMIFS('PR-BOM'!$D$3:$D1001,'PR-BOM'!$C$3:$C1001,N984))</f>
        <v/>
      </c>
      <c r="Y984" t="str">
        <f>IF(X984="","",SUMIFS(Issue!$D$3:$D1001,Issue!$C$3:$C1001,X984))</f>
        <v/>
      </c>
    </row>
    <row r="985" spans="5:25">
      <c r="E985" t="str">
        <f>IF(A985="","",SUMIFS(Issue!$D$3:$D1001,Issue!$C$3:$C1001,A985)*C985)</f>
        <v/>
      </c>
      <c r="F985" t="e">
        <f ca="1">_xludf.IFNA(VLOOKUP(B985,'S-FG'!$B$3:$B1001,1,FALSE),"")</f>
        <v>#NAME?</v>
      </c>
      <c r="L985" t="str">
        <f t="shared" si="3"/>
        <v/>
      </c>
      <c r="Q985" t="str">
        <f>IF(N985="","",SUMIFS('PR-BOM'!$D$3:$D1001,'PR-BOM'!$C$3:$C1001,N985))</f>
        <v/>
      </c>
      <c r="Y985" t="str">
        <f>IF(X985="","",SUMIFS(Issue!$D$3:$D1001,Issue!$C$3:$C1001,X985))</f>
        <v/>
      </c>
    </row>
    <row r="986" spans="5:25">
      <c r="E986" t="str">
        <f>IF(A986="","",SUMIFS(Issue!$D$3:$D1001,Issue!$C$3:$C1001,A986)*C986)</f>
        <v/>
      </c>
      <c r="F986" t="e">
        <f ca="1">_xludf.IFNA(VLOOKUP(B986,'S-FG'!$B$3:$B1001,1,FALSE),"")</f>
        <v>#NAME?</v>
      </c>
      <c r="L986" t="str">
        <f t="shared" si="3"/>
        <v/>
      </c>
      <c r="Q986" t="str">
        <f>IF(N986="","",SUMIFS('PR-BOM'!$D$3:$D1001,'PR-BOM'!$C$3:$C1001,N986))</f>
        <v/>
      </c>
      <c r="Y986" t="str">
        <f>IF(X986="","",SUMIFS(Issue!$D$3:$D1001,Issue!$C$3:$C1001,X986))</f>
        <v/>
      </c>
    </row>
    <row r="987" spans="5:25">
      <c r="E987" t="str">
        <f>IF(A987="","",SUMIFS(Issue!$D$3:$D1001,Issue!$C$3:$C1001,A987)*C987)</f>
        <v/>
      </c>
      <c r="F987" t="e">
        <f ca="1">_xludf.IFNA(VLOOKUP(B987,'S-FG'!$B$3:$B1001,1,FALSE),"")</f>
        <v>#NAME?</v>
      </c>
      <c r="L987" t="str">
        <f t="shared" si="3"/>
        <v/>
      </c>
      <c r="Q987" t="str">
        <f>IF(N987="","",SUMIFS('PR-BOM'!$D$3:$D1001,'PR-BOM'!$C$3:$C1001,N987))</f>
        <v/>
      </c>
      <c r="Y987" t="str">
        <f>IF(X987="","",SUMIFS(Issue!$D$3:$D1001,Issue!$C$3:$C1001,X987))</f>
        <v/>
      </c>
    </row>
    <row r="988" spans="5:25">
      <c r="E988" t="str">
        <f>IF(A988="","",SUMIFS(Issue!$D$3:$D1001,Issue!$C$3:$C1001,A988)*C988)</f>
        <v/>
      </c>
      <c r="F988" t="e">
        <f ca="1">_xludf.IFNA(VLOOKUP(B988,'S-FG'!$B$3:$B1001,1,FALSE),"")</f>
        <v>#NAME?</v>
      </c>
      <c r="L988" t="str">
        <f t="shared" si="3"/>
        <v/>
      </c>
      <c r="Q988" t="str">
        <f>IF(N988="","",SUMIFS('PR-BOM'!$D$3:$D1001,'PR-BOM'!$C$3:$C1001,N988))</f>
        <v/>
      </c>
      <c r="Y988" t="str">
        <f>IF(X988="","",SUMIFS(Issue!$D$3:$D1001,Issue!$C$3:$C1001,X988))</f>
        <v/>
      </c>
    </row>
    <row r="989" spans="5:25">
      <c r="E989" t="str">
        <f>IF(A989="","",SUMIFS(Issue!$D$3:$D1001,Issue!$C$3:$C1001,A989)*C989)</f>
        <v/>
      </c>
      <c r="F989" t="e">
        <f ca="1">_xludf.IFNA(VLOOKUP(B989,'S-FG'!$B$3:$B1001,1,FALSE),"")</f>
        <v>#NAME?</v>
      </c>
      <c r="L989" t="str">
        <f t="shared" si="3"/>
        <v/>
      </c>
      <c r="Q989" t="str">
        <f>IF(N989="","",SUMIFS('PR-BOM'!$D$3:$D1001,'PR-BOM'!$C$3:$C1001,N989))</f>
        <v/>
      </c>
      <c r="Y989" t="str">
        <f>IF(X989="","",SUMIFS(Issue!$D$3:$D1001,Issue!$C$3:$C1001,X989))</f>
        <v/>
      </c>
    </row>
    <row r="990" spans="5:25">
      <c r="E990" t="str">
        <f>IF(A990="","",SUMIFS(Issue!$D$3:$D1001,Issue!$C$3:$C1001,A990)*C990)</f>
        <v/>
      </c>
      <c r="F990" t="e">
        <f ca="1">_xludf.IFNA(VLOOKUP(B990,'S-FG'!$B$3:$B1001,1,FALSE),"")</f>
        <v>#NAME?</v>
      </c>
      <c r="L990" t="str">
        <f t="shared" si="3"/>
        <v/>
      </c>
      <c r="Q990" t="str">
        <f>IF(N990="","",SUMIFS('PR-BOM'!$D$3:$D1001,'PR-BOM'!$C$3:$C1001,N990))</f>
        <v/>
      </c>
      <c r="Y990" t="str">
        <f>IF(X990="","",SUMIFS(Issue!$D$3:$D1001,Issue!$C$3:$C1001,X990))</f>
        <v/>
      </c>
    </row>
    <row r="991" spans="5:25">
      <c r="E991" t="str">
        <f>IF(A991="","",SUMIFS(Issue!$D$3:$D1001,Issue!$C$3:$C1001,A991)*C991)</f>
        <v/>
      </c>
      <c r="F991" t="e">
        <f ca="1">_xludf.IFNA(VLOOKUP(B991,'S-FG'!$B$3:$B1001,1,FALSE),"")</f>
        <v>#NAME?</v>
      </c>
      <c r="L991" t="str">
        <f t="shared" si="3"/>
        <v/>
      </c>
      <c r="Q991" t="str">
        <f>IF(N991="","",SUMIFS('PR-BOM'!$D$3:$D1001,'PR-BOM'!$C$3:$C1001,N991))</f>
        <v/>
      </c>
      <c r="Y991" t="str">
        <f>IF(X991="","",SUMIFS(Issue!$D$3:$D1001,Issue!$C$3:$C1001,X991))</f>
        <v/>
      </c>
    </row>
    <row r="992" spans="5:25">
      <c r="E992" t="str">
        <f>IF(A992="","",SUMIFS(Issue!$D$3:$D1001,Issue!$C$3:$C1001,A992)*C992)</f>
        <v/>
      </c>
      <c r="F992" t="e">
        <f ca="1">_xludf.IFNA(VLOOKUP(B992,'S-FG'!$B$3:$B1001,1,FALSE),"")</f>
        <v>#NAME?</v>
      </c>
      <c r="L992" t="str">
        <f t="shared" si="3"/>
        <v/>
      </c>
      <c r="Q992" t="str">
        <f>IF(N992="","",SUMIFS('PR-BOM'!$D$3:$D1001,'PR-BOM'!$C$3:$C1001,N992))</f>
        <v/>
      </c>
      <c r="Y992" t="str">
        <f>IF(X992="","",SUMIFS(Issue!$D$3:$D1001,Issue!$C$3:$C1001,X992))</f>
        <v/>
      </c>
    </row>
    <row r="993" spans="5:25">
      <c r="E993" t="str">
        <f>IF(A993="","",SUMIFS(Issue!$D$3:$D1001,Issue!$C$3:$C1001,A993)*C993)</f>
        <v/>
      </c>
      <c r="F993" t="e">
        <f ca="1">_xludf.IFNA(VLOOKUP(B993,'S-FG'!$B$3:$B1001,1,FALSE),"")</f>
        <v>#NAME?</v>
      </c>
      <c r="L993" t="str">
        <f t="shared" si="3"/>
        <v/>
      </c>
      <c r="Q993" t="str">
        <f>IF(N993="","",SUMIFS('PR-BOM'!$D$3:$D1001,'PR-BOM'!$C$3:$C1001,N993))</f>
        <v/>
      </c>
      <c r="Y993" t="str">
        <f>IF(X993="","",SUMIFS(Issue!$D$3:$D1001,Issue!$C$3:$C1001,X993))</f>
        <v/>
      </c>
    </row>
    <row r="994" spans="5:25">
      <c r="E994" t="str">
        <f>IF(A994="","",SUMIFS(Issue!$D$3:$D1001,Issue!$C$3:$C1001,A994)*C994)</f>
        <v/>
      </c>
      <c r="F994" t="e">
        <f ca="1">_xludf.IFNA(VLOOKUP(B994,'S-FG'!$B$3:$B1001,1,FALSE),"")</f>
        <v>#NAME?</v>
      </c>
      <c r="L994" t="str">
        <f t="shared" si="3"/>
        <v/>
      </c>
      <c r="Q994" t="str">
        <f>IF(N994="","",SUMIFS('PR-BOM'!$D$3:$D1001,'PR-BOM'!$C$3:$C1001,N994))</f>
        <v/>
      </c>
      <c r="Y994" t="str">
        <f>IF(X994="","",SUMIFS(Issue!$D$3:$D1001,Issue!$C$3:$C1001,X994))</f>
        <v/>
      </c>
    </row>
    <row r="995" spans="5:25">
      <c r="E995" t="str">
        <f>IF(A995="","",SUMIFS(Issue!$D$3:$D1001,Issue!$C$3:$C1001,A995)*C995)</f>
        <v/>
      </c>
      <c r="F995" t="e">
        <f ca="1">_xludf.IFNA(VLOOKUP(B995,'S-FG'!$B$3:$B1001,1,FALSE),"")</f>
        <v>#NAME?</v>
      </c>
      <c r="L995" t="str">
        <f t="shared" si="3"/>
        <v/>
      </c>
      <c r="Q995" t="str">
        <f>IF(N995="","",SUMIFS('PR-BOM'!$D$3:$D1001,'PR-BOM'!$C$3:$C1001,N995))</f>
        <v/>
      </c>
      <c r="Y995" t="str">
        <f>IF(X995="","",SUMIFS(Issue!$D$3:$D1001,Issue!$C$3:$C1001,X995))</f>
        <v/>
      </c>
    </row>
    <row r="996" spans="5:25">
      <c r="E996" t="str">
        <f>IF(A996="","",SUMIFS(Issue!$D$3:$D1001,Issue!$C$3:$C1001,A996)*C996)</f>
        <v/>
      </c>
      <c r="F996" t="e">
        <f ca="1">_xludf.IFNA(VLOOKUP(B996,'S-FG'!$B$3:$B1001,1,FALSE),"")</f>
        <v>#NAME?</v>
      </c>
      <c r="L996" t="str">
        <f t="shared" si="3"/>
        <v/>
      </c>
      <c r="Q996" t="str">
        <f>IF(N996="","",SUMIFS('PR-BOM'!$D$3:$D1001,'PR-BOM'!$C$3:$C1001,N996))</f>
        <v/>
      </c>
      <c r="Y996" t="str">
        <f>IF(X996="","",SUMIFS(Issue!$D$3:$D1001,Issue!$C$3:$C1001,X996))</f>
        <v/>
      </c>
    </row>
    <row r="997" spans="5:25">
      <c r="E997" t="str">
        <f>IF(A997="","",SUMIFS(Issue!$D$3:$D1001,Issue!$C$3:$C1001,A997)*C997)</f>
        <v/>
      </c>
      <c r="F997" t="e">
        <f ca="1">_xludf.IFNA(VLOOKUP(B997,'S-FG'!$B$3:$B1001,1,FALSE),"")</f>
        <v>#NAME?</v>
      </c>
      <c r="L997" t="str">
        <f t="shared" si="3"/>
        <v/>
      </c>
      <c r="Q997" t="str">
        <f>IF(N997="","",SUMIFS('PR-BOM'!$D$3:$D1001,'PR-BOM'!$C$3:$C1001,N997))</f>
        <v/>
      </c>
      <c r="Y997" t="str">
        <f>IF(X997="","",SUMIFS(Issue!$D$3:$D1001,Issue!$C$3:$C1001,X997))</f>
        <v/>
      </c>
    </row>
    <row r="998" spans="5:25">
      <c r="E998" t="str">
        <f>IF(A998="","",SUMIFS(Issue!$D$3:$D1001,Issue!$C$3:$C1001,A998)*C998)</f>
        <v/>
      </c>
      <c r="F998" t="e">
        <f ca="1">_xludf.IFNA(VLOOKUP(B998,'S-FG'!$B$3:$B1001,1,FALSE),"")</f>
        <v>#NAME?</v>
      </c>
      <c r="L998" t="str">
        <f t="shared" si="3"/>
        <v/>
      </c>
      <c r="Q998" t="str">
        <f>IF(N998="","",SUMIFS('PR-BOM'!$D$3:$D1001,'PR-BOM'!$C$3:$C1001,N998))</f>
        <v/>
      </c>
      <c r="Y998" t="str">
        <f>IF(X998="","",SUMIFS(Issue!$D$3:$D1001,Issue!$C$3:$C1001,X998))</f>
        <v/>
      </c>
    </row>
    <row r="999" spans="5:25">
      <c r="E999" t="str">
        <f>IF(A999="","",SUMIFS(Issue!$D$3:$D1001,Issue!$C$3:$C1001,A999)*C999)</f>
        <v/>
      </c>
      <c r="F999" t="e">
        <f ca="1">_xludf.IFNA(VLOOKUP(B999,'S-FG'!$B$3:$B1001,1,FALSE),"")</f>
        <v>#NAME?</v>
      </c>
      <c r="L999" t="str">
        <f t="shared" si="3"/>
        <v/>
      </c>
      <c r="Q999" t="str">
        <f>IF(N999="","",SUMIFS('PR-BOM'!$D$3:$D1001,'PR-BOM'!$C$3:$C1001,N999))</f>
        <v/>
      </c>
      <c r="Y999" t="str">
        <f>IF(X999="","",SUMIFS(Issue!$D$3:$D1001,Issue!$C$3:$C1001,X999))</f>
        <v/>
      </c>
    </row>
    <row r="1000" spans="5:25">
      <c r="E1000" t="str">
        <f>IF(A1000="","",SUMIFS(Issue!$D$3:$D1001,Issue!$C$3:$C1001,A1000)*C1000)</f>
        <v/>
      </c>
      <c r="F1000" t="e">
        <f ca="1">_xludf.IFNA(VLOOKUP(B1000,'S-FG'!$B$3:$B1001,1,FALSE),"")</f>
        <v>#NAME?</v>
      </c>
      <c r="L1000" t="str">
        <f t="shared" si="3"/>
        <v/>
      </c>
      <c r="Q1000" t="str">
        <f>IF(N1000="","",SUMIFS('PR-BOM'!$D$3:$D1001,'PR-BOM'!$C$3:$C1001,N1000))</f>
        <v/>
      </c>
      <c r="Y1000" t="str">
        <f>IF(X1000="","",SUMIFS(Issue!$D$3:$D1001,Issue!$C$3:$C1001,X1000))</f>
        <v/>
      </c>
    </row>
    <row r="1001" spans="5:25">
      <c r="E1001" t="str">
        <f>IF(A1001="","",SUMIFS(Issue!$D$3:$D1001,Issue!$C$3:$C1001,A1001)*C1001)</f>
        <v/>
      </c>
      <c r="F1001" t="e">
        <f ca="1">_xludf.IFNA(VLOOKUP(B1001,'S-FG'!$B$3:$B1001,1,FALSE),"")</f>
        <v>#NAME?</v>
      </c>
      <c r="L1001" t="str">
        <f t="shared" si="3"/>
        <v/>
      </c>
      <c r="Q1001" t="str">
        <f>IF(N1001="","",SUMIFS('PR-BOM'!$D$3:$D1001,'PR-BOM'!$C$3:$C1001,N1001))</f>
        <v/>
      </c>
      <c r="Y1001" t="str">
        <f>IF(X1001="","",SUMIFS(Issue!$D$3:$D1001,Issue!$C$3:$C1001,X1001))</f>
        <v/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BH1001"/>
  <sheetViews>
    <sheetView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/>
  <cols>
    <col min="1" max="1" width="28.26953125" customWidth="1"/>
    <col min="2" max="2" width="34.453125" customWidth="1"/>
    <col min="5" max="5" width="20.26953125" customWidth="1"/>
    <col min="6" max="6" width="27.26953125" customWidth="1"/>
    <col min="7" max="7" width="3.81640625" customWidth="1"/>
    <col min="8" max="8" width="37.1796875" customWidth="1"/>
    <col min="9" max="9" width="35" customWidth="1"/>
    <col min="10" max="10" width="8.7265625" customWidth="1"/>
    <col min="11" max="12" width="20.26953125" customWidth="1"/>
    <col min="13" max="13" width="4.7265625" customWidth="1"/>
    <col min="14" max="17" width="35" customWidth="1"/>
    <col min="18" max="18" width="6.54296875" customWidth="1"/>
    <col min="19" max="19" width="35" customWidth="1"/>
    <col min="23" max="23" width="5.7265625" customWidth="1"/>
    <col min="24" max="24" width="35" customWidth="1"/>
    <col min="32" max="32" width="24.453125" customWidth="1"/>
    <col min="34" max="34" width="34.453125" customWidth="1"/>
    <col min="35" max="35" width="35" customWidth="1"/>
    <col min="36" max="36" width="5.81640625" customWidth="1"/>
    <col min="37" max="37" width="8.1796875" customWidth="1"/>
    <col min="38" max="38" width="34.453125" customWidth="1"/>
  </cols>
  <sheetData>
    <row r="1" spans="1:60">
      <c r="A1" s="67" t="s">
        <v>2034</v>
      </c>
      <c r="B1" s="67"/>
      <c r="C1" s="67"/>
      <c r="D1" s="67"/>
      <c r="E1" s="67" t="s">
        <v>2038</v>
      </c>
      <c r="F1" s="67" t="s">
        <v>2035</v>
      </c>
      <c r="H1" s="67" t="s">
        <v>1739</v>
      </c>
      <c r="I1" s="67"/>
      <c r="J1" s="67"/>
      <c r="K1" s="67"/>
      <c r="L1" s="67" t="s">
        <v>2038</v>
      </c>
      <c r="N1" s="67" t="s">
        <v>2036</v>
      </c>
      <c r="O1" s="234"/>
      <c r="P1" s="234"/>
      <c r="Q1" s="67" t="s">
        <v>2038</v>
      </c>
      <c r="S1" s="67" t="s">
        <v>2037</v>
      </c>
      <c r="T1" s="67"/>
      <c r="U1" s="67"/>
      <c r="V1" s="67"/>
      <c r="X1" s="67" t="s">
        <v>2037</v>
      </c>
      <c r="Y1" s="67" t="s">
        <v>2039</v>
      </c>
      <c r="Z1" s="67" t="s">
        <v>1716</v>
      </c>
      <c r="AA1" s="67" t="s">
        <v>1717</v>
      </c>
      <c r="AB1" s="67" t="s">
        <v>1718</v>
      </c>
      <c r="AC1" s="67" t="s">
        <v>1719</v>
      </c>
      <c r="AD1" s="67" t="s">
        <v>1</v>
      </c>
      <c r="AE1" s="67" t="s">
        <v>1721</v>
      </c>
      <c r="AF1" s="67" t="s">
        <v>0</v>
      </c>
      <c r="AH1" s="67" t="s">
        <v>2040</v>
      </c>
    </row>
    <row r="2" spans="1:60">
      <c r="A2" t="str">
        <f ca="1">IFERROR(__xludf.DUMMYFUNCTION("IFNA(FILTER('A-BOM'!B3:E1001,match('A-BOM'!B3:B1001,'PR-BOM'!C3:C1001, 0)),""blank"")"),"Saif Seas Life - DSR")</f>
        <v>Saif Seas Life - DSR</v>
      </c>
      <c r="B2" t="str">
        <f ca="1">IFERROR(__xludf.DUMMYFUNCTION("""COMPUTED_VALUE"""),"Jet Motor Assy")</f>
        <v>Jet Motor Assy</v>
      </c>
      <c r="C2">
        <f ca="1">IFERROR(__xludf.DUMMYFUNCTION("""COMPUTED_VALUE"""),2)</f>
        <v>2</v>
      </c>
      <c r="D2" t="str">
        <f ca="1">IFERROR(__xludf.DUMMYFUNCTION("""COMPUTED_VALUE"""),"Number")</f>
        <v>Number</v>
      </c>
      <c r="E2">
        <f ca="1">IF(A2="","",SUMIFS('PR-BOM'!$D$3:$D1001,'PR-BOM'!$C$3:$C1001,A2)*C2)</f>
        <v>164</v>
      </c>
      <c r="F2" t="e">
        <f ca="1">_xludf.IFNA(VLOOKUP(B2,'S-FG'!$B$3:$B1001,1,FALSE),"")</f>
        <v>#NAME?</v>
      </c>
      <c r="H2" t="str">
        <f ca="1">IFERROR(__xludf.DUMMYFUNCTION("IFNA(FILTER('S-BOM'!$B$3:$E1001, COUNTIF($F$2:$F1001, 'S-BOM'!$B$3:$B1001)),""blank"")"),"Jet Motor Assy")</f>
        <v>Jet Motor Assy</v>
      </c>
      <c r="I2" t="str">
        <f ca="1">IFERROR(__xludf.DUMMYFUNCTION("""COMPUTED_VALUE"""),"Coupling Hood")</f>
        <v>Coupling Hood</v>
      </c>
      <c r="J2">
        <f ca="1">IFERROR(__xludf.DUMMYFUNCTION("""COMPUTED_VALUE"""),1)</f>
        <v>1</v>
      </c>
      <c r="L2">
        <f t="shared" ref="L2:L256" ca="1" si="0">IF(H2="","",SUMIFS($E$2:$E1001,$F$2:$F1001,H2)*J2)</f>
        <v>0</v>
      </c>
      <c r="N2" t="str">
        <f ca="1">IFERROR(__xludf.DUMMYFUNCTION("IFERROR(FILTER(RM!C4:F1001,match(RM!C4:C1001,'PR-BOM'!C3:C1001, 0)),"""")"),"")</f>
        <v/>
      </c>
      <c r="Q2" t="str">
        <f ca="1">IF(N2="","",SUMIFS('PR-BOM'!$D$3:$D1001,'PR-BOM'!$C$3:$C1001,N2))</f>
        <v/>
      </c>
      <c r="S2" t="str">
        <f ca="1">IFERROR(__xludf.DUMMYFUNCTION("{FILTER($B$2:$B1001,$B$2:$B1001&lt;&gt;"""",$F$2:$F1001=""""); FILTER($I$2:$I1001,$I$2:$I1001&lt;&gt;"""");FILTER($N$2:$N1001,$N$2:$N1001&lt;&gt;"""")}"),"#N/A")</f>
        <v>#N/A</v>
      </c>
      <c r="X2" t="e">
        <f t="array" aca="1" ref="X2:X322" ca="1">_xludf.UNIQUE(S2:S1001)</f>
        <v>#NAME?</v>
      </c>
      <c r="Y2" t="e">
        <f t="shared" ref="Y2:Y256" ca="1" si="1">IF(X2="","",SUMIFS($E$2:$E1001,$B$2:$B1001,X2)+SUMIFS($L$2:$L1001,$I$2:$I1001,X2)+(SUMIFS($Q$2:$Q1001,$N$2:$N1001,X2)))</f>
        <v>#NAME?</v>
      </c>
      <c r="Z2" t="e">
        <f ca="1">IF(X2="","",SUMIFS(#REF!,RM!$C$4:$C991,X2))</f>
        <v>#NAME?</v>
      </c>
      <c r="AA2" t="e">
        <f ca="1">IF(X2="","",SUMIFS(#REF!,RM!$C$4:$C991,X2))</f>
        <v>#NAME?</v>
      </c>
      <c r="AB2" t="e">
        <f ca="1">IF(X2="","",SUMIFS(IRegback!$Y$2:$Y1001,IRegback!$X$2:$X1001,X2))</f>
        <v>#NAME?</v>
      </c>
      <c r="AC2" t="e">
        <f t="shared" ref="AC2:AC256" ca="1" si="2">Y2-AA2-Z2-AB2</f>
        <v>#NAME?</v>
      </c>
      <c r="AD2" t="e">
        <f ca="1">IF(X2="","",VLOOKUP($X2,RM!$C$4:$G991,3,FALSE))</f>
        <v>#NAME?</v>
      </c>
      <c r="AE2" t="e">
        <f ca="1">IF(X2="","",VLOOKUP($X2,RM!$C$4:$G991,4,FALSE))</f>
        <v>#NAME?</v>
      </c>
      <c r="AF2" t="e">
        <f ca="1">IF(X2="","",VLOOKUP($X2,RM!$C$4:$G991,5,FALSE))</f>
        <v>#NAME?</v>
      </c>
      <c r="AH2" t="str">
        <f ca="1">IFERROR(__xludf.DUMMYFUNCTION("{FILTER($A$2:$D1001,$A$2:$A1001&lt;&gt;"""");FILTER($H$2:$K1001,$H$2:$H1001&lt;&gt;"""")}"),"Saif Seas Life - DSR")</f>
        <v>Saif Seas Life - DSR</v>
      </c>
      <c r="AI2" t="str">
        <f ca="1">IFERROR(__xludf.DUMMYFUNCTION("""COMPUTED_VALUE"""),"Jet Motor Assy")</f>
        <v>Jet Motor Assy</v>
      </c>
      <c r="AJ2">
        <f ca="1">IFERROR(__xludf.DUMMYFUNCTION("""COMPUTED_VALUE"""),2)</f>
        <v>2</v>
      </c>
      <c r="AK2" t="str">
        <f ca="1">IFERROR(__xludf.DUMMYFUNCTION("""COMPUTED_VALUE"""),"Number")</f>
        <v>Number</v>
      </c>
      <c r="AL2" t="e">
        <f ca="1">_xludf.IFNA(VLOOKUP(AH2,'S-FG'!$B$3:$B1001,1,FALSE),"")</f>
        <v>#NAME?</v>
      </c>
      <c r="AM2" t="e">
        <f ca="1">IF(AI2="","",SUMIFS(#REF!,RM!$C$4:$C991,AI2))</f>
        <v>#REF!</v>
      </c>
      <c r="AP2">
        <f ca="1">IF(A2="","",SUMIFS(Issue!$D$3:$D1001,Issue!$C$3:$C1001,A2)*C2)</f>
        <v>82</v>
      </c>
      <c r="AQ2">
        <f ca="1">IF(H2="","",SUMIFS($AP$2:$AP1001,$F$2:$F1001,H2)*J2)</f>
        <v>0</v>
      </c>
      <c r="AR2" t="str">
        <f ca="1">IFERROR(__xludf.DUMMYFUNCTION("IFERROR(FILTER(RM!C4:F1001,match(RM!C4:C1001,Issue!C3:C1001, 0)),"""")"),"")</f>
        <v/>
      </c>
      <c r="AS2" t="str">
        <f ca="1">IF(N2="","",SUMIFS(Issue!$D$3:$D1001,Issue!$C$3:$C1001,N2))</f>
        <v/>
      </c>
      <c r="BH2" t="str">
        <f t="shared" ref="BH2:BH3" ca="1" si="3">IFERROR(IF(ROUNDDOWN(G3/D3,0)&lt;=0,0,ROUNDDOWN(G3/D3,0)),"")</f>
        <v/>
      </c>
    </row>
    <row r="3" spans="1:60">
      <c r="A3" t="str">
        <f ca="1">IFERROR(__xludf.DUMMYFUNCTION("""COMPUTED_VALUE"""),"Saif Seas Life - DSR")</f>
        <v>Saif Seas Life - DSR</v>
      </c>
      <c r="B3" t="str">
        <f ca="1">IFERROR(__xludf.DUMMYFUNCTION("""COMPUTED_VALUE"""),"Power Switch Assy")</f>
        <v>Power Switch Assy</v>
      </c>
      <c r="C3">
        <f ca="1">IFERROR(__xludf.DUMMYFUNCTION("""COMPUTED_VALUE"""),1)</f>
        <v>1</v>
      </c>
      <c r="D3" t="str">
        <f ca="1">IFERROR(__xludf.DUMMYFUNCTION("""COMPUTED_VALUE"""),"Number")</f>
        <v>Number</v>
      </c>
      <c r="E3">
        <f ca="1">IF(A3="","",SUMIFS('PR-BOM'!$D$3:$D1001,'PR-BOM'!$C$3:$C1001,A3)*C3)</f>
        <v>82</v>
      </c>
      <c r="F3" t="e">
        <f ca="1">_xludf.IFNA(VLOOKUP(B3,'S-FG'!$B$3:$B1001,1,FALSE),"")</f>
        <v>#NAME?</v>
      </c>
      <c r="H3" t="str">
        <f ca="1">IFERROR(__xludf.DUMMYFUNCTION("""COMPUTED_VALUE"""),"Jet Motor Assy")</f>
        <v>Jet Motor Assy</v>
      </c>
      <c r="I3" t="str">
        <f ca="1">IFERROR(__xludf.DUMMYFUNCTION("""COMPUTED_VALUE"""),"Battery Clamp")</f>
        <v>Battery Clamp</v>
      </c>
      <c r="J3">
        <f ca="1">IFERROR(__xludf.DUMMYFUNCTION("""COMPUTED_VALUE"""),2)</f>
        <v>2</v>
      </c>
      <c r="K3" t="str">
        <f ca="1">IFERROR(__xludf.DUMMYFUNCTION("""COMPUTED_VALUE"""),"blank")</f>
        <v>blank</v>
      </c>
      <c r="L3">
        <f t="shared" ca="1" si="0"/>
        <v>0</v>
      </c>
      <c r="Q3" t="str">
        <f>IF(N3="","",SUMIFS('PR-BOM'!$D$3:$D1001,'PR-BOM'!$C$3:$C1001,N3))</f>
        <v/>
      </c>
      <c r="S3" t="str">
        <f ca="1">IFERROR(__xludf.DUMMYFUNCTION("""COMPUTED_VALUE"""),"Coupling Hood")</f>
        <v>Coupling Hood</v>
      </c>
      <c r="X3" t="e">
        <f ca="1"/>
        <v>#NAME?</v>
      </c>
      <c r="Y3" t="e">
        <f t="shared" ca="1" si="1"/>
        <v>#NAME?</v>
      </c>
      <c r="Z3" t="e">
        <f ca="1">IF(X3="","",SUMIFS(#REF!,RM!$C$4:$C991,X3))</f>
        <v>#NAME?</v>
      </c>
      <c r="AA3" t="e">
        <f ca="1">IF(X3="","",SUMIFS(#REF!,RM!$C$4:$C991,X3))</f>
        <v>#NAME?</v>
      </c>
      <c r="AB3" t="e">
        <f ca="1">IF(X3="","",SUMIFS(IRegback!$Y$2:$Y1001,IRegback!$X$2:$X1001,X3))</f>
        <v>#NAME?</v>
      </c>
      <c r="AC3" t="e">
        <f t="shared" ca="1" si="2"/>
        <v>#NAME?</v>
      </c>
      <c r="AD3" t="e">
        <f ca="1">IF(X3="","",VLOOKUP($X3,RM!$C$4:$G991,3,FALSE))</f>
        <v>#NAME?</v>
      </c>
      <c r="AE3" t="e">
        <f ca="1">IF(X3="","",VLOOKUP($X3,RM!$C$4:$G991,4,FALSE))</f>
        <v>#NAME?</v>
      </c>
      <c r="AF3" t="e">
        <f ca="1">IF(X3="","",VLOOKUP($X3,RM!$C$4:$G991,5,FALSE))</f>
        <v>#NAME?</v>
      </c>
      <c r="AH3" t="str">
        <f ca="1">IFERROR(__xludf.DUMMYFUNCTION("""COMPUTED_VALUE"""),"Saif Seas Life - DSR")</f>
        <v>Saif Seas Life - DSR</v>
      </c>
      <c r="AI3" t="str">
        <f ca="1">IFERROR(__xludf.DUMMYFUNCTION("""COMPUTED_VALUE"""),"Power Switch Assy")</f>
        <v>Power Switch Assy</v>
      </c>
      <c r="AJ3">
        <f ca="1">IFERROR(__xludf.DUMMYFUNCTION("""COMPUTED_VALUE"""),1)</f>
        <v>1</v>
      </c>
      <c r="AK3" t="str">
        <f ca="1">IFERROR(__xludf.DUMMYFUNCTION("""COMPUTED_VALUE"""),"Number")</f>
        <v>Number</v>
      </c>
      <c r="AL3" t="e">
        <f ca="1">_xludf.IFNA(VLOOKUP(AH3,'S-FG'!$B$3:$B1001,1,FALSE),"")</f>
        <v>#NAME?</v>
      </c>
      <c r="AM3" t="e">
        <f ca="1">IF(AI3="","",SUMIFS(#REF!,RM!$C$4:$C991,AI3))</f>
        <v>#REF!</v>
      </c>
      <c r="BH3" t="str">
        <f t="shared" ca="1" si="3"/>
        <v/>
      </c>
    </row>
    <row r="4" spans="1:60">
      <c r="A4" t="str">
        <f ca="1">IFERROR(__xludf.DUMMYFUNCTION("""COMPUTED_VALUE"""),"Saif Seas Life - DSR")</f>
        <v>Saif Seas Life - DSR</v>
      </c>
      <c r="B4" t="str">
        <f ca="1">IFERROR(__xludf.DUMMYFUNCTION("""COMPUTED_VALUE"""),"Charging PM Assy")</f>
        <v>Charging PM Assy</v>
      </c>
      <c r="C4">
        <f ca="1">IFERROR(__xludf.DUMMYFUNCTION("""COMPUTED_VALUE"""),1)</f>
        <v>1</v>
      </c>
      <c r="D4" t="str">
        <f ca="1">IFERROR(__xludf.DUMMYFUNCTION("""COMPUTED_VALUE"""),"Number")</f>
        <v>Number</v>
      </c>
      <c r="E4">
        <f ca="1">IF(A4="","",SUMIFS('PR-BOM'!$D$3:$D1001,'PR-BOM'!$C$3:$C1001,A4)*C4)</f>
        <v>82</v>
      </c>
      <c r="F4" t="e">
        <f ca="1">_xludf.IFNA(VLOOKUP(B4,'S-FG'!$B$3:$B1001,1,FALSE),"")</f>
        <v>#NAME?</v>
      </c>
      <c r="H4" t="str">
        <f ca="1">IFERROR(__xludf.DUMMYFUNCTION("""COMPUTED_VALUE"""),"Jet Motor Assy")</f>
        <v>Jet Motor Assy</v>
      </c>
      <c r="I4" t="str">
        <f ca="1">IFERROR(__xludf.DUMMYFUNCTION("""COMPUTED_VALUE"""),"M4x25 Hex Head")</f>
        <v>M4x25 Hex Head</v>
      </c>
      <c r="J4">
        <f ca="1">IFERROR(__xludf.DUMMYFUNCTION("""COMPUTED_VALUE"""),4)</f>
        <v>4</v>
      </c>
      <c r="K4" t="str">
        <f ca="1">IFERROR(__xludf.DUMMYFUNCTION("""COMPUTED_VALUE"""),"blank")</f>
        <v>blank</v>
      </c>
      <c r="L4">
        <f t="shared" ca="1" si="0"/>
        <v>0</v>
      </c>
      <c r="Q4" t="str">
        <f>IF(N4="","",SUMIFS('PR-BOM'!$D$3:$D1001,'PR-BOM'!$C$3:$C1001,N4))</f>
        <v/>
      </c>
      <c r="S4" t="str">
        <f ca="1">IFERROR(__xludf.DUMMYFUNCTION("""COMPUTED_VALUE"""),"Battery Clamp")</f>
        <v>Battery Clamp</v>
      </c>
      <c r="X4" t="e">
        <f ca="1"/>
        <v>#NAME?</v>
      </c>
      <c r="Y4" t="e">
        <f t="shared" ca="1" si="1"/>
        <v>#NAME?</v>
      </c>
      <c r="Z4" t="e">
        <f ca="1">IF(X4="","",SUMIFS(#REF!,RM!$C$4:$C991,X4))</f>
        <v>#NAME?</v>
      </c>
      <c r="AA4" t="e">
        <f ca="1">IF(X4="","",SUMIFS(#REF!,RM!$C$4:$C991,X4))</f>
        <v>#NAME?</v>
      </c>
      <c r="AB4" t="e">
        <f ca="1">IF(X4="","",SUMIFS(IRegback!$Y$2:$Y1001,IRegback!$X$2:$X1001,X4))</f>
        <v>#NAME?</v>
      </c>
      <c r="AC4" t="e">
        <f t="shared" ca="1" si="2"/>
        <v>#NAME?</v>
      </c>
      <c r="AD4" t="e">
        <f ca="1">IF(X4="","",VLOOKUP($X4,RM!$C$4:$G991,3,FALSE))</f>
        <v>#NAME?</v>
      </c>
      <c r="AE4" t="e">
        <f ca="1">IF(X4="","",VLOOKUP($X4,RM!$C$4:$G991,4,FALSE))</f>
        <v>#NAME?</v>
      </c>
      <c r="AF4" t="e">
        <f ca="1">IF(X4="","",VLOOKUP($X4,RM!$C$4:$G991,5,FALSE))</f>
        <v>#NAME?</v>
      </c>
      <c r="AH4" t="str">
        <f ca="1">IFERROR(__xludf.DUMMYFUNCTION("""COMPUTED_VALUE"""),"Saif Seas Life - DSR")</f>
        <v>Saif Seas Life - DSR</v>
      </c>
      <c r="AI4" t="str">
        <f ca="1">IFERROR(__xludf.DUMMYFUNCTION("""COMPUTED_VALUE"""),"Charging PM Assy")</f>
        <v>Charging PM Assy</v>
      </c>
      <c r="AJ4">
        <f ca="1">IFERROR(__xludf.DUMMYFUNCTION("""COMPUTED_VALUE"""),1)</f>
        <v>1</v>
      </c>
      <c r="AK4" t="str">
        <f ca="1">IFERROR(__xludf.DUMMYFUNCTION("""COMPUTED_VALUE"""),"Number")</f>
        <v>Number</v>
      </c>
      <c r="AL4" t="e">
        <f ca="1">_xludf.IFNA(VLOOKUP(AH4,'S-FG'!$B$3:$B1001,1,FALSE),"")</f>
        <v>#NAME?</v>
      </c>
      <c r="AM4" t="e">
        <f ca="1">IF(AI4="","",SUMIFS(#REF!,RM!$C$4:$C991,AI4))</f>
        <v>#REF!</v>
      </c>
    </row>
    <row r="5" spans="1:60">
      <c r="A5" t="str">
        <f ca="1">IFERROR(__xludf.DUMMYFUNCTION("""COMPUTED_VALUE"""),"Saif Seas Life - DSR")</f>
        <v>Saif Seas Life - DSR</v>
      </c>
      <c r="B5" t="str">
        <f ca="1">IFERROR(__xludf.DUMMYFUNCTION("""COMPUTED_VALUE"""),"Charging CM Assy")</f>
        <v>Charging CM Assy</v>
      </c>
      <c r="C5">
        <f ca="1">IFERROR(__xludf.DUMMYFUNCTION("""COMPUTED_VALUE"""),1)</f>
        <v>1</v>
      </c>
      <c r="D5" t="str">
        <f ca="1">IFERROR(__xludf.DUMMYFUNCTION("""COMPUTED_VALUE"""),"Number")</f>
        <v>Number</v>
      </c>
      <c r="E5">
        <f ca="1">IF(A5="","",SUMIFS('PR-BOM'!$D$3:$D1001,'PR-BOM'!$C$3:$C1001,A5)*C5)</f>
        <v>82</v>
      </c>
      <c r="F5" t="e">
        <f ca="1">_xludf.IFNA(VLOOKUP(B5,'S-FG'!$B$3:$B1001,1,FALSE),"")</f>
        <v>#NAME?</v>
      </c>
      <c r="H5" t="str">
        <f ca="1">IFERROR(__xludf.DUMMYFUNCTION("""COMPUTED_VALUE"""),"Jet Motor Assy")</f>
        <v>Jet Motor Assy</v>
      </c>
      <c r="I5" t="str">
        <f ca="1">IFERROR(__xludf.DUMMYFUNCTION("""COMPUTED_VALUE"""),"M4 Square Nut")</f>
        <v>M4 Square Nut</v>
      </c>
      <c r="J5">
        <f ca="1">IFERROR(__xludf.DUMMYFUNCTION("""COMPUTED_VALUE"""),7)</f>
        <v>7</v>
      </c>
      <c r="K5" t="str">
        <f ca="1">IFERROR(__xludf.DUMMYFUNCTION("""COMPUTED_VALUE"""),"blank")</f>
        <v>blank</v>
      </c>
      <c r="L5">
        <f t="shared" ca="1" si="0"/>
        <v>0</v>
      </c>
      <c r="Q5" t="str">
        <f>IF(N5="","",SUMIFS('PR-BOM'!$D$3:$D1001,'PR-BOM'!$C$3:$C1001,N5))</f>
        <v/>
      </c>
      <c r="S5" t="str">
        <f ca="1">IFERROR(__xludf.DUMMYFUNCTION("""COMPUTED_VALUE"""),"M4x25 Hex Head")</f>
        <v>M4x25 Hex Head</v>
      </c>
      <c r="X5" t="e">
        <f ca="1"/>
        <v>#NAME?</v>
      </c>
      <c r="Y5" t="e">
        <f t="shared" ca="1" si="1"/>
        <v>#NAME?</v>
      </c>
      <c r="Z5" t="e">
        <f ca="1">IF(X5="","",SUMIFS(#REF!,RM!$C$4:$C991,X5))</f>
        <v>#NAME?</v>
      </c>
      <c r="AA5" t="e">
        <f ca="1">IF(X5="","",SUMIFS(#REF!,RM!$C$4:$C991,X5))</f>
        <v>#NAME?</v>
      </c>
      <c r="AB5" t="e">
        <f ca="1">IF(X5="","",SUMIFS(IRegback!$Y$2:$Y1001,IRegback!$X$2:$X1001,X5))</f>
        <v>#NAME?</v>
      </c>
      <c r="AC5" t="e">
        <f t="shared" ca="1" si="2"/>
        <v>#NAME?</v>
      </c>
      <c r="AD5" t="e">
        <f ca="1">IF(X5="","",VLOOKUP($X5,RM!$C$4:$G991,3,FALSE))</f>
        <v>#NAME?</v>
      </c>
      <c r="AE5" t="e">
        <f ca="1">IF(X5="","",VLOOKUP($X5,RM!$C$4:$G991,4,FALSE))</f>
        <v>#NAME?</v>
      </c>
      <c r="AF5" t="e">
        <f ca="1">IF(X5="","",VLOOKUP($X5,RM!$C$4:$G991,5,FALSE))</f>
        <v>#NAME?</v>
      </c>
      <c r="AH5" t="str">
        <f ca="1">IFERROR(__xludf.DUMMYFUNCTION("""COMPUTED_VALUE"""),"Saif Seas Life - DSR")</f>
        <v>Saif Seas Life - DSR</v>
      </c>
      <c r="AI5" t="str">
        <f ca="1">IFERROR(__xludf.DUMMYFUNCTION("""COMPUTED_VALUE"""),"Charging CM Assy")</f>
        <v>Charging CM Assy</v>
      </c>
      <c r="AJ5">
        <f ca="1">IFERROR(__xludf.DUMMYFUNCTION("""COMPUTED_VALUE"""),1)</f>
        <v>1</v>
      </c>
      <c r="AK5" t="str">
        <f ca="1">IFERROR(__xludf.DUMMYFUNCTION("""COMPUTED_VALUE"""),"Number")</f>
        <v>Number</v>
      </c>
      <c r="AL5" t="e">
        <f ca="1">_xludf.IFNA(VLOOKUP(AH5,'S-FG'!$B$3:$B1001,1,FALSE),"")</f>
        <v>#NAME?</v>
      </c>
      <c r="AM5" t="e">
        <f ca="1">IF(AI5="","",SUMIFS(#REF!,RM!$C$4:$C991,AI5))</f>
        <v>#REF!</v>
      </c>
    </row>
    <row r="6" spans="1:60">
      <c r="A6" t="str">
        <f ca="1">IFERROR(__xludf.DUMMYFUNCTION("""COMPUTED_VALUE"""),"Saif Seas Life - DSR")</f>
        <v>Saif Seas Life - DSR</v>
      </c>
      <c r="B6" t="str">
        <f ca="1">IFERROR(__xludf.DUMMYFUNCTION("""COMPUTED_VALUE"""),"STBD Signal PM Assy")</f>
        <v>STBD Signal PM Assy</v>
      </c>
      <c r="C6">
        <f ca="1">IFERROR(__xludf.DUMMYFUNCTION("""COMPUTED_VALUE"""),1)</f>
        <v>1</v>
      </c>
      <c r="D6" t="str">
        <f ca="1">IFERROR(__xludf.DUMMYFUNCTION("""COMPUTED_VALUE"""),"Number")</f>
        <v>Number</v>
      </c>
      <c r="E6">
        <f ca="1">IF(A6="","",SUMIFS('PR-BOM'!$D$3:$D1001,'PR-BOM'!$C$3:$C1001,A6)*C6)</f>
        <v>82</v>
      </c>
      <c r="F6" t="e">
        <f ca="1">_xludf.IFNA(VLOOKUP(B6,'S-FG'!$B$3:$B1001,1,FALSE),"")</f>
        <v>#NAME?</v>
      </c>
      <c r="H6" t="str">
        <f ca="1">IFERROR(__xludf.DUMMYFUNCTION("""COMPUTED_VALUE"""),"Jet Motor Assy")</f>
        <v>Jet Motor Assy</v>
      </c>
      <c r="I6" t="str">
        <f ca="1">IFERROR(__xludf.DUMMYFUNCTION("""COMPUTED_VALUE"""),"M4 Nyloc")</f>
        <v>M4 Nyloc</v>
      </c>
      <c r="J6">
        <f ca="1">IFERROR(__xludf.DUMMYFUNCTION("""COMPUTED_VALUE"""),16)</f>
        <v>16</v>
      </c>
      <c r="K6" t="str">
        <f ca="1">IFERROR(__xludf.DUMMYFUNCTION("""COMPUTED_VALUE"""),"blank")</f>
        <v>blank</v>
      </c>
      <c r="L6">
        <f t="shared" ca="1" si="0"/>
        <v>0</v>
      </c>
      <c r="Q6" t="str">
        <f>IF(N6="","",SUMIFS('PR-BOM'!$D$3:$D1001,'PR-BOM'!$C$3:$C1001,N6))</f>
        <v/>
      </c>
      <c r="S6" t="str">
        <f ca="1">IFERROR(__xludf.DUMMYFUNCTION("""COMPUTED_VALUE"""),"M4 Square Nut")</f>
        <v>M4 Square Nut</v>
      </c>
      <c r="X6" t="e">
        <f ca="1"/>
        <v>#NAME?</v>
      </c>
      <c r="Y6" t="e">
        <f t="shared" ca="1" si="1"/>
        <v>#NAME?</v>
      </c>
      <c r="Z6" t="e">
        <f ca="1">IF(X6="","",SUMIFS(#REF!,RM!$C$4:$C991,X6))</f>
        <v>#NAME?</v>
      </c>
      <c r="AA6" t="e">
        <f ca="1">IF(X6="","",SUMIFS(#REF!,RM!$C$4:$C991,X6))</f>
        <v>#NAME?</v>
      </c>
      <c r="AB6" t="e">
        <f ca="1">IF(X6="","",SUMIFS(IRegback!$Y$2:$Y1001,IRegback!$X$2:$X1001,X6))</f>
        <v>#NAME?</v>
      </c>
      <c r="AC6" t="e">
        <f t="shared" ca="1" si="2"/>
        <v>#NAME?</v>
      </c>
      <c r="AD6" t="e">
        <f ca="1">IF(X6="","",VLOOKUP($X6,RM!$C$4:$G991,3,FALSE))</f>
        <v>#NAME?</v>
      </c>
      <c r="AE6" t="e">
        <f ca="1">IF(X6="","",VLOOKUP($X6,RM!$C$4:$G991,4,FALSE))</f>
        <v>#NAME?</v>
      </c>
      <c r="AF6" t="e">
        <f ca="1">IF(X6="","",VLOOKUP($X6,RM!$C$4:$G991,5,FALSE))</f>
        <v>#NAME?</v>
      </c>
      <c r="AH6" t="str">
        <f ca="1">IFERROR(__xludf.DUMMYFUNCTION("""COMPUTED_VALUE"""),"Saif Seas Life - DSR")</f>
        <v>Saif Seas Life - DSR</v>
      </c>
      <c r="AI6" t="str">
        <f ca="1">IFERROR(__xludf.DUMMYFUNCTION("""COMPUTED_VALUE"""),"STBD Signal PM Assy")</f>
        <v>STBD Signal PM Assy</v>
      </c>
      <c r="AJ6">
        <f ca="1">IFERROR(__xludf.DUMMYFUNCTION("""COMPUTED_VALUE"""),1)</f>
        <v>1</v>
      </c>
      <c r="AK6" t="str">
        <f ca="1">IFERROR(__xludf.DUMMYFUNCTION("""COMPUTED_VALUE"""),"Number")</f>
        <v>Number</v>
      </c>
      <c r="AL6" t="e">
        <f ca="1">_xludf.IFNA(VLOOKUP(AH6,'S-FG'!$B$3:$B1001,1,FALSE),"")</f>
        <v>#NAME?</v>
      </c>
      <c r="AM6" t="e">
        <f ca="1">IF(AI6="","",SUMIFS(#REF!,RM!$C$4:$C991,AI6))</f>
        <v>#REF!</v>
      </c>
    </row>
    <row r="7" spans="1:60">
      <c r="A7" t="str">
        <f ca="1">IFERROR(__xludf.DUMMYFUNCTION("""COMPUTED_VALUE"""),"Saif Seas Life - DSR")</f>
        <v>Saif Seas Life - DSR</v>
      </c>
      <c r="B7" t="str">
        <f ca="1">IFERROR(__xludf.DUMMYFUNCTION("""COMPUTED_VALUE"""),"PORT Signal PM Assy")</f>
        <v>PORT Signal PM Assy</v>
      </c>
      <c r="C7">
        <f ca="1">IFERROR(__xludf.DUMMYFUNCTION("""COMPUTED_VALUE"""),1)</f>
        <v>1</v>
      </c>
      <c r="D7" t="str">
        <f ca="1">IFERROR(__xludf.DUMMYFUNCTION("""COMPUTED_VALUE"""),"Number")</f>
        <v>Number</v>
      </c>
      <c r="E7">
        <f ca="1">IF(A7="","",SUMIFS('PR-BOM'!$D$3:$D1001,'PR-BOM'!$C$3:$C1001,A7)*C7)</f>
        <v>82</v>
      </c>
      <c r="F7" t="e">
        <f ca="1">_xludf.IFNA(VLOOKUP(B7,'S-FG'!$B$3:$B1001,1,FALSE),"")</f>
        <v>#NAME?</v>
      </c>
      <c r="H7" t="str">
        <f ca="1">IFERROR(__xludf.DUMMYFUNCTION("""COMPUTED_VALUE"""),"Jet Motor Assy")</f>
        <v>Jet Motor Assy</v>
      </c>
      <c r="I7" t="str">
        <f ca="1">IFERROR(__xludf.DUMMYFUNCTION("""COMPUTED_VALUE"""),"M4 Spring washer")</f>
        <v>M4 Spring washer</v>
      </c>
      <c r="J7">
        <f ca="1">IFERROR(__xludf.DUMMYFUNCTION("""COMPUTED_VALUE"""),20)</f>
        <v>20</v>
      </c>
      <c r="K7" t="str">
        <f ca="1">IFERROR(__xludf.DUMMYFUNCTION("""COMPUTED_VALUE"""),"blank")</f>
        <v>blank</v>
      </c>
      <c r="L7">
        <f t="shared" ca="1" si="0"/>
        <v>0</v>
      </c>
      <c r="Q7" t="str">
        <f>IF(N7="","",SUMIFS('PR-BOM'!$D$3:$D1001,'PR-BOM'!$C$3:$C1001,N7))</f>
        <v/>
      </c>
      <c r="S7" t="str">
        <f ca="1">IFERROR(__xludf.DUMMYFUNCTION("""COMPUTED_VALUE"""),"M4 Nyloc")</f>
        <v>M4 Nyloc</v>
      </c>
      <c r="X7" t="e">
        <f ca="1"/>
        <v>#NAME?</v>
      </c>
      <c r="Y7" t="e">
        <f t="shared" ca="1" si="1"/>
        <v>#NAME?</v>
      </c>
      <c r="Z7" t="e">
        <f ca="1">IF(X7="","",SUMIFS(#REF!,RM!$C$4:$C991,X7))</f>
        <v>#NAME?</v>
      </c>
      <c r="AA7" t="e">
        <f ca="1">IF(X7="","",SUMIFS(#REF!,RM!$C$4:$C991,X7))</f>
        <v>#NAME?</v>
      </c>
      <c r="AB7" t="e">
        <f ca="1">IF(X7="","",SUMIFS(IRegback!$Y$2:$Y1001,IRegback!$X$2:$X1001,X7))</f>
        <v>#NAME?</v>
      </c>
      <c r="AC7" t="e">
        <f t="shared" ca="1" si="2"/>
        <v>#NAME?</v>
      </c>
      <c r="AD7" t="e">
        <f ca="1">IF(X7="","",VLOOKUP($X7,RM!$C$4:$G991,3,FALSE))</f>
        <v>#NAME?</v>
      </c>
      <c r="AE7" t="e">
        <f ca="1">IF(X7="","",VLOOKUP($X7,RM!$C$4:$G991,4,FALSE))</f>
        <v>#NAME?</v>
      </c>
      <c r="AF7" t="e">
        <f ca="1">IF(X7="","",VLOOKUP($X7,RM!$C$4:$G991,5,FALSE))</f>
        <v>#NAME?</v>
      </c>
      <c r="AH7" t="str">
        <f ca="1">IFERROR(__xludf.DUMMYFUNCTION("""COMPUTED_VALUE"""),"Saif Seas Life - DSR")</f>
        <v>Saif Seas Life - DSR</v>
      </c>
      <c r="AI7" t="str">
        <f ca="1">IFERROR(__xludf.DUMMYFUNCTION("""COMPUTED_VALUE"""),"PORT Signal PM Assy")</f>
        <v>PORT Signal PM Assy</v>
      </c>
      <c r="AJ7">
        <f ca="1">IFERROR(__xludf.DUMMYFUNCTION("""COMPUTED_VALUE"""),1)</f>
        <v>1</v>
      </c>
      <c r="AK7" t="str">
        <f ca="1">IFERROR(__xludf.DUMMYFUNCTION("""COMPUTED_VALUE"""),"Number")</f>
        <v>Number</v>
      </c>
      <c r="AL7" t="e">
        <f ca="1">_xludf.IFNA(VLOOKUP(AH7,'S-FG'!$B$3:$B1001,1,FALSE),"")</f>
        <v>#NAME?</v>
      </c>
      <c r="AM7" t="e">
        <f ca="1">IF(AI7="","",SUMIFS(#REF!,RM!$C$4:$C991,AI7))</f>
        <v>#REF!</v>
      </c>
    </row>
    <row r="8" spans="1:60">
      <c r="A8" t="str">
        <f ca="1">IFERROR(__xludf.DUMMYFUNCTION("""COMPUTED_VALUE"""),"Saif Seas Life - DSR")</f>
        <v>Saif Seas Life - DSR</v>
      </c>
      <c r="B8" t="str">
        <f ca="1">IFERROR(__xludf.DUMMYFUNCTION("""COMPUTED_VALUE"""),"PORT Signal CM Assy")</f>
        <v>PORT Signal CM Assy</v>
      </c>
      <c r="C8">
        <f ca="1">IFERROR(__xludf.DUMMYFUNCTION("""COMPUTED_VALUE"""),1)</f>
        <v>1</v>
      </c>
      <c r="D8" t="str">
        <f ca="1">IFERROR(__xludf.DUMMYFUNCTION("""COMPUTED_VALUE"""),"Number")</f>
        <v>Number</v>
      </c>
      <c r="E8">
        <f ca="1">IF(A8="","",SUMIFS('PR-BOM'!$D$3:$D1001,'PR-BOM'!$C$3:$C1001,A8)*C8)</f>
        <v>82</v>
      </c>
      <c r="F8" t="e">
        <f ca="1">_xludf.IFNA(VLOOKUP(B8,'S-FG'!$B$3:$B1001,1,FALSE),"")</f>
        <v>#NAME?</v>
      </c>
      <c r="H8" t="str">
        <f ca="1">IFERROR(__xludf.DUMMYFUNCTION("""COMPUTED_VALUE"""),"Jet Motor Assy")</f>
        <v>Jet Motor Assy</v>
      </c>
      <c r="I8" t="str">
        <f ca="1">IFERROR(__xludf.DUMMYFUNCTION("""COMPUTED_VALUE"""),"M4x12 plain washer")</f>
        <v>M4x12 plain washer</v>
      </c>
      <c r="J8">
        <f ca="1">IFERROR(__xludf.DUMMYFUNCTION("""COMPUTED_VALUE"""),24)</f>
        <v>24</v>
      </c>
      <c r="K8" t="str">
        <f ca="1">IFERROR(__xludf.DUMMYFUNCTION("""COMPUTED_VALUE"""),"blank")</f>
        <v>blank</v>
      </c>
      <c r="L8">
        <f t="shared" ca="1" si="0"/>
        <v>0</v>
      </c>
      <c r="Q8" t="str">
        <f>IF(N8="","",SUMIFS('PR-BOM'!$D$3:$D1001,'PR-BOM'!$C$3:$C1001,N8))</f>
        <v/>
      </c>
      <c r="S8" t="str">
        <f ca="1">IFERROR(__xludf.DUMMYFUNCTION("""COMPUTED_VALUE"""),"M4 Spring washer")</f>
        <v>M4 Spring washer</v>
      </c>
      <c r="X8" t="e">
        <f ca="1"/>
        <v>#NAME?</v>
      </c>
      <c r="Y8" t="e">
        <f t="shared" ca="1" si="1"/>
        <v>#NAME?</v>
      </c>
      <c r="Z8" t="e">
        <f ca="1">IF(X8="","",SUMIFS(#REF!,RM!$C$4:$C991,X8))</f>
        <v>#NAME?</v>
      </c>
      <c r="AA8" t="e">
        <f ca="1">IF(X8="","",SUMIFS(#REF!,RM!$C$4:$C991,X8))</f>
        <v>#NAME?</v>
      </c>
      <c r="AB8" t="e">
        <f ca="1">IF(X8="","",SUMIFS(IRegback!$Y$2:$Y1001,IRegback!$X$2:$X1001,X8))</f>
        <v>#NAME?</v>
      </c>
      <c r="AC8" t="e">
        <f t="shared" ca="1" si="2"/>
        <v>#NAME?</v>
      </c>
      <c r="AD8" t="e">
        <f ca="1">IF(X8="","",VLOOKUP($X8,RM!$C$4:$G991,3,FALSE))</f>
        <v>#NAME?</v>
      </c>
      <c r="AE8" t="e">
        <f ca="1">IF(X8="","",VLOOKUP($X8,RM!$C$4:$G991,4,FALSE))</f>
        <v>#NAME?</v>
      </c>
      <c r="AF8" t="e">
        <f ca="1">IF(X8="","",VLOOKUP($X8,RM!$C$4:$G991,5,FALSE))</f>
        <v>#NAME?</v>
      </c>
      <c r="AH8" t="str">
        <f ca="1">IFERROR(__xludf.DUMMYFUNCTION("""COMPUTED_VALUE"""),"Saif Seas Life - DSR")</f>
        <v>Saif Seas Life - DSR</v>
      </c>
      <c r="AI8" t="str">
        <f ca="1">IFERROR(__xludf.DUMMYFUNCTION("""COMPUTED_VALUE"""),"PORT Signal CM Assy")</f>
        <v>PORT Signal CM Assy</v>
      </c>
      <c r="AJ8">
        <f ca="1">IFERROR(__xludf.DUMMYFUNCTION("""COMPUTED_VALUE"""),1)</f>
        <v>1</v>
      </c>
      <c r="AK8" t="str">
        <f ca="1">IFERROR(__xludf.DUMMYFUNCTION("""COMPUTED_VALUE"""),"Number")</f>
        <v>Number</v>
      </c>
      <c r="AL8" t="e">
        <f ca="1">_xludf.IFNA(VLOOKUP(AH8,'S-FG'!$B$3:$B1001,1,FALSE),"")</f>
        <v>#NAME?</v>
      </c>
      <c r="AM8" t="e">
        <f ca="1">IF(AI8="","",SUMIFS(#REF!,RM!$C$4:$C991,AI8))</f>
        <v>#REF!</v>
      </c>
    </row>
    <row r="9" spans="1:60">
      <c r="A9" t="str">
        <f ca="1">IFERROR(__xludf.DUMMYFUNCTION("""COMPUTED_VALUE"""),"Saif Seas Life - DSR")</f>
        <v>Saif Seas Life - DSR</v>
      </c>
      <c r="B9" t="str">
        <f ca="1">IFERROR(__xludf.DUMMYFUNCTION("""COMPUTED_VALUE"""),"A21 MotherBoard Assy")</f>
        <v>A21 MotherBoard Assy</v>
      </c>
      <c r="C9">
        <f ca="1">IFERROR(__xludf.DUMMYFUNCTION("""COMPUTED_VALUE"""),1)</f>
        <v>1</v>
      </c>
      <c r="D9" t="str">
        <f ca="1">IFERROR(__xludf.DUMMYFUNCTION("""COMPUTED_VALUE"""),"Number")</f>
        <v>Number</v>
      </c>
      <c r="E9">
        <f ca="1">IF(A9="","",SUMIFS('PR-BOM'!$D$3:$D1001,'PR-BOM'!$C$3:$C1001,A9)*C9)</f>
        <v>82</v>
      </c>
      <c r="F9" t="e">
        <f ca="1">_xludf.IFNA(VLOOKUP(B9,'S-FG'!$B$3:$B1001,1,FALSE),"")</f>
        <v>#NAME?</v>
      </c>
      <c r="H9" t="str">
        <f ca="1">IFERROR(__xludf.DUMMYFUNCTION("""COMPUTED_VALUE"""),"Jet Motor Assy")</f>
        <v>Jet Motor Assy</v>
      </c>
      <c r="I9" t="str">
        <f ca="1">IFERROR(__xludf.DUMMYFUNCTION("""COMPUTED_VALUE"""),"M4x16 CSK Phillips")</f>
        <v>M4x16 CSK Phillips</v>
      </c>
      <c r="J9">
        <f ca="1">IFERROR(__xludf.DUMMYFUNCTION("""COMPUTED_VALUE"""),4)</f>
        <v>4</v>
      </c>
      <c r="K9" t="str">
        <f ca="1">IFERROR(__xludf.DUMMYFUNCTION("""COMPUTED_VALUE"""),"blank")</f>
        <v>blank</v>
      </c>
      <c r="L9">
        <f t="shared" ca="1" si="0"/>
        <v>0</v>
      </c>
      <c r="Q9" t="str">
        <f>IF(N9="","",SUMIFS('PR-BOM'!$D$3:$D1001,'PR-BOM'!$C$3:$C1001,N9))</f>
        <v/>
      </c>
      <c r="S9" t="str">
        <f ca="1">IFERROR(__xludf.DUMMYFUNCTION("""COMPUTED_VALUE"""),"M4x12 plain washer")</f>
        <v>M4x12 plain washer</v>
      </c>
      <c r="X9" t="e">
        <f ca="1"/>
        <v>#NAME?</v>
      </c>
      <c r="Y9" t="e">
        <f t="shared" ca="1" si="1"/>
        <v>#NAME?</v>
      </c>
      <c r="Z9" t="e">
        <f ca="1">IF(X9="","",SUMIFS(#REF!,RM!$C$4:$C991,X9))</f>
        <v>#NAME?</v>
      </c>
      <c r="AA9" t="e">
        <f ca="1">IF(X9="","",SUMIFS(#REF!,RM!$C$4:$C991,X9))</f>
        <v>#NAME?</v>
      </c>
      <c r="AB9" t="e">
        <f ca="1">IF(X9="","",SUMIFS(IRegback!$Y$2:$Y1001,IRegback!$X$2:$X1001,X9))</f>
        <v>#NAME?</v>
      </c>
      <c r="AC9" t="e">
        <f t="shared" ca="1" si="2"/>
        <v>#NAME?</v>
      </c>
      <c r="AD9" t="e">
        <f ca="1">IF(X9="","",VLOOKUP($X9,RM!$C$4:$G991,3,FALSE))</f>
        <v>#NAME?</v>
      </c>
      <c r="AE9" t="e">
        <f ca="1">IF(X9="","",VLOOKUP($X9,RM!$C$4:$G991,4,FALSE))</f>
        <v>#NAME?</v>
      </c>
      <c r="AF9" t="e">
        <f ca="1">IF(X9="","",VLOOKUP($X9,RM!$C$4:$G991,5,FALSE))</f>
        <v>#NAME?</v>
      </c>
      <c r="AH9" t="str">
        <f ca="1">IFERROR(__xludf.DUMMYFUNCTION("""COMPUTED_VALUE"""),"Saif Seas Life - DSR")</f>
        <v>Saif Seas Life - DSR</v>
      </c>
      <c r="AI9" t="str">
        <f ca="1">IFERROR(__xludf.DUMMYFUNCTION("""COMPUTED_VALUE"""),"A21 MotherBoard Assy")</f>
        <v>A21 MotherBoard Assy</v>
      </c>
      <c r="AJ9">
        <f ca="1">IFERROR(__xludf.DUMMYFUNCTION("""COMPUTED_VALUE"""),1)</f>
        <v>1</v>
      </c>
      <c r="AK9" t="str">
        <f ca="1">IFERROR(__xludf.DUMMYFUNCTION("""COMPUTED_VALUE"""),"Number")</f>
        <v>Number</v>
      </c>
      <c r="AL9" t="e">
        <f ca="1">_xludf.IFNA(VLOOKUP(AH9,'S-FG'!$B$3:$B1001,1,FALSE),"")</f>
        <v>#NAME?</v>
      </c>
      <c r="AM9" t="e">
        <f ca="1">IF(AI9="","",SUMIFS(#REF!,RM!$C$4:$C991,AI9))</f>
        <v>#REF!</v>
      </c>
    </row>
    <row r="10" spans="1:60">
      <c r="A10" t="str">
        <f ca="1">IFERROR(__xludf.DUMMYFUNCTION("""COMPUTED_VALUE"""),"Saif Seas Life - DSR")</f>
        <v>Saif Seas Life - DSR</v>
      </c>
      <c r="B10" t="str">
        <f ca="1">IFERROR(__xludf.DUMMYFUNCTION("""COMPUTED_VALUE"""),"Battery Block Assy")</f>
        <v>Battery Block Assy</v>
      </c>
      <c r="C10">
        <f ca="1">IFERROR(__xludf.DUMMYFUNCTION("""COMPUTED_VALUE"""),2)</f>
        <v>2</v>
      </c>
      <c r="D10" t="str">
        <f ca="1">IFERROR(__xludf.DUMMYFUNCTION("""COMPUTED_VALUE"""),"Number")</f>
        <v>Number</v>
      </c>
      <c r="E10">
        <f ca="1">IF(A10="","",SUMIFS('PR-BOM'!$D$3:$D1001,'PR-BOM'!$C$3:$C1001,A10)*C10)</f>
        <v>164</v>
      </c>
      <c r="F10" t="e">
        <f ca="1">_xludf.IFNA(VLOOKUP(B10,'S-FG'!$B$3:$B1001,1,FALSE),"")</f>
        <v>#NAME?</v>
      </c>
      <c r="H10" t="str">
        <f ca="1">IFERROR(__xludf.DUMMYFUNCTION("""COMPUTED_VALUE"""),"Jet Motor Assy")</f>
        <v>Jet Motor Assy</v>
      </c>
      <c r="I10" t="str">
        <f ca="1">IFERROR(__xludf.DUMMYFUNCTION("""COMPUTED_VALUE"""),"M4x10 CSK Phillips ")</f>
        <v xml:space="preserve">M4x10 CSK Phillips </v>
      </c>
      <c r="J10">
        <f ca="1">IFERROR(__xludf.DUMMYFUNCTION("""COMPUTED_VALUE"""),0)</f>
        <v>0</v>
      </c>
      <c r="K10" t="str">
        <f ca="1">IFERROR(__xludf.DUMMYFUNCTION("""COMPUTED_VALUE"""),"blank")</f>
        <v>blank</v>
      </c>
      <c r="L10">
        <f t="shared" ca="1" si="0"/>
        <v>0</v>
      </c>
      <c r="Q10" t="str">
        <f>IF(N10="","",SUMIFS('PR-BOM'!$D$3:$D1001,'PR-BOM'!$C$3:$C1001,N10))</f>
        <v/>
      </c>
      <c r="S10" t="str">
        <f ca="1">IFERROR(__xludf.DUMMYFUNCTION("""COMPUTED_VALUE"""),"M4x16 CSK Phillips")</f>
        <v>M4x16 CSK Phillips</v>
      </c>
      <c r="X10" t="e">
        <f ca="1"/>
        <v>#NAME?</v>
      </c>
      <c r="Y10" t="e">
        <f t="shared" ca="1" si="1"/>
        <v>#NAME?</v>
      </c>
      <c r="Z10" t="e">
        <f ca="1">IF(X10="","",SUMIFS(#REF!,RM!$C$4:$C991,X10))</f>
        <v>#NAME?</v>
      </c>
      <c r="AA10" t="e">
        <f ca="1">IF(X10="","",SUMIFS(#REF!,RM!$C$4:$C991,X10))</f>
        <v>#NAME?</v>
      </c>
      <c r="AB10" t="e">
        <f ca="1">IF(X10="","",SUMIFS(IRegback!$Y$2:$Y1001,IRegback!$X$2:$X1001,X10))</f>
        <v>#NAME?</v>
      </c>
      <c r="AC10" t="e">
        <f t="shared" ca="1" si="2"/>
        <v>#NAME?</v>
      </c>
      <c r="AD10" t="e">
        <f ca="1">IF(X10="","",VLOOKUP($X10,RM!$C$4:$G991,3,FALSE))</f>
        <v>#NAME?</v>
      </c>
      <c r="AE10" t="e">
        <f ca="1">IF(X10="","",VLOOKUP($X10,RM!$C$4:$G991,4,FALSE))</f>
        <v>#NAME?</v>
      </c>
      <c r="AF10" t="e">
        <f ca="1">IF(X10="","",VLOOKUP($X10,RM!$C$4:$G991,5,FALSE))</f>
        <v>#NAME?</v>
      </c>
      <c r="AH10" t="str">
        <f ca="1">IFERROR(__xludf.DUMMYFUNCTION("""COMPUTED_VALUE"""),"Saif Seas Life - DSR")</f>
        <v>Saif Seas Life - DSR</v>
      </c>
      <c r="AI10" t="str">
        <f ca="1">IFERROR(__xludf.DUMMYFUNCTION("""COMPUTED_VALUE"""),"Battery Block Assy")</f>
        <v>Battery Block Assy</v>
      </c>
      <c r="AJ10">
        <f ca="1">IFERROR(__xludf.DUMMYFUNCTION("""COMPUTED_VALUE"""),2)</f>
        <v>2</v>
      </c>
      <c r="AK10" t="str">
        <f ca="1">IFERROR(__xludf.DUMMYFUNCTION("""COMPUTED_VALUE"""),"Number")</f>
        <v>Number</v>
      </c>
      <c r="AL10" t="e">
        <f ca="1">_xludf.IFNA(VLOOKUP(AH10,'S-FG'!$B$3:$B1001,1,FALSE),"")</f>
        <v>#NAME?</v>
      </c>
      <c r="AM10" t="e">
        <f ca="1">IF(AI10="","",SUMIFS(#REF!,RM!$C$4:$C991,AI10))</f>
        <v>#REF!</v>
      </c>
    </row>
    <row r="11" spans="1:60">
      <c r="A11" t="str">
        <f ca="1">IFERROR(__xludf.DUMMYFUNCTION("""COMPUTED_VALUE"""),"Saif Seas Life - DSR")</f>
        <v>Saif Seas Life - DSR</v>
      </c>
      <c r="B11" t="str">
        <f ca="1">IFERROR(__xludf.DUMMYFUNCTION("""COMPUTED_VALUE"""),"STBD_ESC Assy")</f>
        <v>STBD_ESC Assy</v>
      </c>
      <c r="C11">
        <f ca="1">IFERROR(__xludf.DUMMYFUNCTION("""COMPUTED_VALUE"""),1)</f>
        <v>1</v>
      </c>
      <c r="D11" t="str">
        <f ca="1">IFERROR(__xludf.DUMMYFUNCTION("""COMPUTED_VALUE"""),"Number")</f>
        <v>Number</v>
      </c>
      <c r="E11">
        <f ca="1">IF(A11="","",SUMIFS('PR-BOM'!$D$3:$D1001,'PR-BOM'!$C$3:$C1001,A11)*C11)</f>
        <v>82</v>
      </c>
      <c r="F11" t="e">
        <f ca="1">_xludf.IFNA(VLOOKUP(B11,'S-FG'!$B$3:$B1001,1,FALSE),"")</f>
        <v>#NAME?</v>
      </c>
      <c r="H11" t="str">
        <f ca="1">IFERROR(__xludf.DUMMYFUNCTION("""COMPUTED_VALUE"""),"Jet Motor Assy")</f>
        <v>Jet Motor Assy</v>
      </c>
      <c r="I11" t="str">
        <f ca="1">IFERROR(__xludf.DUMMYFUNCTION("""COMPUTED_VALUE"""),"M4x20 CSK Phillips")</f>
        <v>M4x20 CSK Phillips</v>
      </c>
      <c r="J11">
        <f ca="1">IFERROR(__xludf.DUMMYFUNCTION("""COMPUTED_VALUE"""),8)</f>
        <v>8</v>
      </c>
      <c r="K11" t="str">
        <f ca="1">IFERROR(__xludf.DUMMYFUNCTION("""COMPUTED_VALUE"""),"blank")</f>
        <v>blank</v>
      </c>
      <c r="L11">
        <f t="shared" ca="1" si="0"/>
        <v>0</v>
      </c>
      <c r="Q11" t="str">
        <f>IF(N11="","",SUMIFS('PR-BOM'!$D$3:$D1001,'PR-BOM'!$C$3:$C1001,N11))</f>
        <v/>
      </c>
      <c r="S11" t="str">
        <f ca="1">IFERROR(__xludf.DUMMYFUNCTION("""COMPUTED_VALUE"""),"M4x10 CSK Phillips ")</f>
        <v xml:space="preserve">M4x10 CSK Phillips </v>
      </c>
      <c r="X11" t="e">
        <f ca="1"/>
        <v>#NAME?</v>
      </c>
      <c r="Y11" t="e">
        <f t="shared" ca="1" si="1"/>
        <v>#NAME?</v>
      </c>
      <c r="Z11" t="e">
        <f ca="1">IF(X11="","",SUMIFS(#REF!,RM!$C$4:$C991,X11))</f>
        <v>#NAME?</v>
      </c>
      <c r="AA11" t="e">
        <f ca="1">IF(X11="","",SUMIFS(#REF!,RM!$C$4:$C991,X11))</f>
        <v>#NAME?</v>
      </c>
      <c r="AB11" t="e">
        <f ca="1">IF(X11="","",SUMIFS(IRegback!$Y$2:$Y1001,IRegback!$X$2:$X1001,X11))</f>
        <v>#NAME?</v>
      </c>
      <c r="AC11" t="e">
        <f t="shared" ca="1" si="2"/>
        <v>#NAME?</v>
      </c>
      <c r="AD11" t="e">
        <f ca="1">IF(X11="","",VLOOKUP($X11,RM!$C$4:$G991,3,FALSE))</f>
        <v>#NAME?</v>
      </c>
      <c r="AE11" t="e">
        <f ca="1">IF(X11="","",VLOOKUP($X11,RM!$C$4:$G991,4,FALSE))</f>
        <v>#NAME?</v>
      </c>
      <c r="AF11" t="e">
        <f ca="1">IF(X11="","",VLOOKUP($X11,RM!$C$4:$G991,5,FALSE))</f>
        <v>#NAME?</v>
      </c>
      <c r="AH11" t="str">
        <f ca="1">IFERROR(__xludf.DUMMYFUNCTION("""COMPUTED_VALUE"""),"Saif Seas Life - DSR")</f>
        <v>Saif Seas Life - DSR</v>
      </c>
      <c r="AI11" t="str">
        <f ca="1">IFERROR(__xludf.DUMMYFUNCTION("""COMPUTED_VALUE"""),"STBD_ESC Assy")</f>
        <v>STBD_ESC Assy</v>
      </c>
      <c r="AJ11">
        <f ca="1">IFERROR(__xludf.DUMMYFUNCTION("""COMPUTED_VALUE"""),1)</f>
        <v>1</v>
      </c>
      <c r="AK11" t="str">
        <f ca="1">IFERROR(__xludf.DUMMYFUNCTION("""COMPUTED_VALUE"""),"Number")</f>
        <v>Number</v>
      </c>
      <c r="AL11" t="e">
        <f ca="1">_xludf.IFNA(VLOOKUP(AH11,'S-FG'!$B$3:$B1001,1,FALSE),"")</f>
        <v>#NAME?</v>
      </c>
      <c r="AM11" t="e">
        <f ca="1">IF(AI11="","",SUMIFS(#REF!,RM!$C$4:$C991,AI11))</f>
        <v>#REF!</v>
      </c>
    </row>
    <row r="12" spans="1:60">
      <c r="A12" t="str">
        <f ca="1">IFERROR(__xludf.DUMMYFUNCTION("""COMPUTED_VALUE"""),"Saif Seas Life - DSR")</f>
        <v>Saif Seas Life - DSR</v>
      </c>
      <c r="B12" t="str">
        <f ca="1">IFERROR(__xludf.DUMMYFUNCTION("""COMPUTED_VALUE"""),"PORT_ESC Assy")</f>
        <v>PORT_ESC Assy</v>
      </c>
      <c r="C12">
        <f ca="1">IFERROR(__xludf.DUMMYFUNCTION("""COMPUTED_VALUE"""),1)</f>
        <v>1</v>
      </c>
      <c r="D12" t="str">
        <f ca="1">IFERROR(__xludf.DUMMYFUNCTION("""COMPUTED_VALUE"""),"Number")</f>
        <v>Number</v>
      </c>
      <c r="E12">
        <f ca="1">IF(A12="","",SUMIFS('PR-BOM'!$D$3:$D1001,'PR-BOM'!$C$3:$C1001,A12)*C12)</f>
        <v>82</v>
      </c>
      <c r="F12" t="e">
        <f ca="1">_xludf.IFNA(VLOOKUP(B12,'S-FG'!$B$3:$B1001,1,FALSE),"")</f>
        <v>#NAME?</v>
      </c>
      <c r="H12" t="str">
        <f ca="1">IFERROR(__xludf.DUMMYFUNCTION("""COMPUTED_VALUE"""),"Jet Motor Assy")</f>
        <v>Jet Motor Assy</v>
      </c>
      <c r="I12" t="str">
        <f ca="1">IFERROR(__xludf.DUMMYFUNCTION("""COMPUTED_VALUE"""),"Grub M6x10 SS (Coupling tightening)")</f>
        <v>Grub M6x10 SS (Coupling tightening)</v>
      </c>
      <c r="J12">
        <f ca="1">IFERROR(__xludf.DUMMYFUNCTION("""COMPUTED_VALUE"""),2)</f>
        <v>2</v>
      </c>
      <c r="K12" t="str">
        <f ca="1">IFERROR(__xludf.DUMMYFUNCTION("""COMPUTED_VALUE"""),"blank")</f>
        <v>blank</v>
      </c>
      <c r="L12">
        <f t="shared" ca="1" si="0"/>
        <v>0</v>
      </c>
      <c r="Q12" t="str">
        <f>IF(N12="","",SUMIFS('PR-BOM'!$D$3:$D1001,'PR-BOM'!$C$3:$C1001,N12))</f>
        <v/>
      </c>
      <c r="S12" t="str">
        <f ca="1">IFERROR(__xludf.DUMMYFUNCTION("""COMPUTED_VALUE"""),"M4x20 CSK Phillips")</f>
        <v>M4x20 CSK Phillips</v>
      </c>
      <c r="X12" t="e">
        <f ca="1"/>
        <v>#NAME?</v>
      </c>
      <c r="Y12" t="e">
        <f t="shared" ca="1" si="1"/>
        <v>#NAME?</v>
      </c>
      <c r="Z12" t="e">
        <f ca="1">IF(X12="","",SUMIFS(#REF!,RM!$C$4:$C991,X12))</f>
        <v>#NAME?</v>
      </c>
      <c r="AA12" t="e">
        <f ca="1">IF(X12="","",SUMIFS(#REF!,RM!$C$4:$C991,X12))</f>
        <v>#NAME?</v>
      </c>
      <c r="AB12" t="e">
        <f ca="1">IF(X12="","",SUMIFS(IRegback!$Y$2:$Y1001,IRegback!$X$2:$X1001,X12))</f>
        <v>#NAME?</v>
      </c>
      <c r="AC12" t="e">
        <f t="shared" ca="1" si="2"/>
        <v>#NAME?</v>
      </c>
      <c r="AD12" t="e">
        <f ca="1">IF(X12="","",VLOOKUP($X12,RM!$C$4:$G991,3,FALSE))</f>
        <v>#NAME?</v>
      </c>
      <c r="AE12" t="e">
        <f ca="1">IF(X12="","",VLOOKUP($X12,RM!$C$4:$G991,4,FALSE))</f>
        <v>#NAME?</v>
      </c>
      <c r="AF12" t="e">
        <f ca="1">IF(X12="","",VLOOKUP($X12,RM!$C$4:$G991,5,FALSE))</f>
        <v>#NAME?</v>
      </c>
      <c r="AH12" t="str">
        <f ca="1">IFERROR(__xludf.DUMMYFUNCTION("""COMPUTED_VALUE"""),"Saif Seas Life - DSR")</f>
        <v>Saif Seas Life - DSR</v>
      </c>
      <c r="AI12" t="str">
        <f ca="1">IFERROR(__xludf.DUMMYFUNCTION("""COMPUTED_VALUE"""),"PORT_ESC Assy")</f>
        <v>PORT_ESC Assy</v>
      </c>
      <c r="AJ12">
        <f ca="1">IFERROR(__xludf.DUMMYFUNCTION("""COMPUTED_VALUE"""),1)</f>
        <v>1</v>
      </c>
      <c r="AK12" t="str">
        <f ca="1">IFERROR(__xludf.DUMMYFUNCTION("""COMPUTED_VALUE"""),"Number")</f>
        <v>Number</v>
      </c>
      <c r="AL12" t="e">
        <f ca="1">_xludf.IFNA(VLOOKUP(AH12,'S-FG'!$B$3:$B1001,1,FALSE),"")</f>
        <v>#NAME?</v>
      </c>
      <c r="AM12" t="e">
        <f ca="1">IF(AI12="","",SUMIFS(#REF!,RM!$C$4:$C991,AI12))</f>
        <v>#REF!</v>
      </c>
    </row>
    <row r="13" spans="1:60">
      <c r="A13" t="str">
        <f ca="1">IFERROR(__xludf.DUMMYFUNCTION("""COMPUTED_VALUE"""),"Saif Seas Life - DSR")</f>
        <v>Saif Seas Life - DSR</v>
      </c>
      <c r="B13" t="str">
        <f ca="1">IFERROR(__xludf.DUMMYFUNCTION("""COMPUTED_VALUE"""),"STBD Battery Assy")</f>
        <v>STBD Battery Assy</v>
      </c>
      <c r="C13">
        <f ca="1">IFERROR(__xludf.DUMMYFUNCTION("""COMPUTED_VALUE"""),1)</f>
        <v>1</v>
      </c>
      <c r="D13" t="str">
        <f ca="1">IFERROR(__xludf.DUMMYFUNCTION("""COMPUTED_VALUE"""),"Number")</f>
        <v>Number</v>
      </c>
      <c r="E13">
        <f ca="1">IF(A13="","",SUMIFS('PR-BOM'!$D$3:$D1001,'PR-BOM'!$C$3:$C1001,A13)*C13)</f>
        <v>82</v>
      </c>
      <c r="F13" t="e">
        <f ca="1">_xludf.IFNA(VLOOKUP(B13,'S-FG'!$B$3:$B1001,1,FALSE),"")</f>
        <v>#NAME?</v>
      </c>
      <c r="H13" t="str">
        <f ca="1">IFERROR(__xludf.DUMMYFUNCTION("""COMPUTED_VALUE"""),"Jet Motor Assy")</f>
        <v>Jet Motor Assy</v>
      </c>
      <c r="I13" t="str">
        <f ca="1">IFERROR(__xludf.DUMMYFUNCTION("""COMPUTED_VALUE"""),"Rotex14 Coupling")</f>
        <v>Rotex14 Coupling</v>
      </c>
      <c r="J13">
        <f ca="1">IFERROR(__xludf.DUMMYFUNCTION("""COMPUTED_VALUE"""),1)</f>
        <v>1</v>
      </c>
      <c r="K13" t="str">
        <f ca="1">IFERROR(__xludf.DUMMYFUNCTION("""COMPUTED_VALUE"""),"blank")</f>
        <v>blank</v>
      </c>
      <c r="L13">
        <f t="shared" ca="1" si="0"/>
        <v>0</v>
      </c>
      <c r="Q13" t="str">
        <f>IF(N13="","",SUMIFS('PR-BOM'!$D$3:$D1001,'PR-BOM'!$C$3:$C1001,N13))</f>
        <v/>
      </c>
      <c r="S13" t="str">
        <f ca="1">IFERROR(__xludf.DUMMYFUNCTION("""COMPUTED_VALUE"""),"Grub M6x10 SS (Coupling tightening)")</f>
        <v>Grub M6x10 SS (Coupling tightening)</v>
      </c>
      <c r="X13" t="e">
        <f ca="1"/>
        <v>#NAME?</v>
      </c>
      <c r="Y13" t="e">
        <f t="shared" ca="1" si="1"/>
        <v>#NAME?</v>
      </c>
      <c r="Z13" t="e">
        <f ca="1">IF(X13="","",SUMIFS(#REF!,RM!$C$4:$C991,X13))</f>
        <v>#NAME?</v>
      </c>
      <c r="AA13" t="e">
        <f ca="1">IF(X13="","",SUMIFS(#REF!,RM!$C$4:$C991,X13))</f>
        <v>#NAME?</v>
      </c>
      <c r="AB13" t="e">
        <f ca="1">IF(X13="","",SUMIFS(IRegback!$Y$2:$Y1001,IRegback!$X$2:$X1001,X13))</f>
        <v>#NAME?</v>
      </c>
      <c r="AC13" t="e">
        <f t="shared" ca="1" si="2"/>
        <v>#NAME?</v>
      </c>
      <c r="AD13" t="e">
        <f ca="1">IF(X13="","",VLOOKUP($X13,RM!$C$4:$G991,3,FALSE))</f>
        <v>#NAME?</v>
      </c>
      <c r="AE13" t="e">
        <f ca="1">IF(X13="","",VLOOKUP($X13,RM!$C$4:$G991,4,FALSE))</f>
        <v>#NAME?</v>
      </c>
      <c r="AF13" t="e">
        <f ca="1">IF(X13="","",VLOOKUP($X13,RM!$C$4:$G991,5,FALSE))</f>
        <v>#NAME?</v>
      </c>
      <c r="AH13" t="str">
        <f ca="1">IFERROR(__xludf.DUMMYFUNCTION("""COMPUTED_VALUE"""),"Saif Seas Life - DSR")</f>
        <v>Saif Seas Life - DSR</v>
      </c>
      <c r="AI13" t="str">
        <f ca="1">IFERROR(__xludf.DUMMYFUNCTION("""COMPUTED_VALUE"""),"STBD Battery Assy")</f>
        <v>STBD Battery Assy</v>
      </c>
      <c r="AJ13">
        <f ca="1">IFERROR(__xludf.DUMMYFUNCTION("""COMPUTED_VALUE"""),1)</f>
        <v>1</v>
      </c>
      <c r="AK13" t="str">
        <f ca="1">IFERROR(__xludf.DUMMYFUNCTION("""COMPUTED_VALUE"""),"Number")</f>
        <v>Number</v>
      </c>
      <c r="AL13" t="e">
        <f ca="1">_xludf.IFNA(VLOOKUP(AH13,'S-FG'!$B$3:$B1001,1,FALSE),"")</f>
        <v>#NAME?</v>
      </c>
      <c r="AM13" t="e">
        <f ca="1">IF(AI13="","",SUMIFS(#REF!,RM!$C$4:$C991,AI13))</f>
        <v>#REF!</v>
      </c>
    </row>
    <row r="14" spans="1:60">
      <c r="A14" t="str">
        <f ca="1">IFERROR(__xludf.DUMMYFUNCTION("""COMPUTED_VALUE"""),"Saif Seas Life - DSR")</f>
        <v>Saif Seas Life - DSR</v>
      </c>
      <c r="B14" t="str">
        <f ca="1">IFERROR(__xludf.DUMMYFUNCTION("""COMPUTED_VALUE"""),"PORT Battery Assy")</f>
        <v>PORT Battery Assy</v>
      </c>
      <c r="C14">
        <f ca="1">IFERROR(__xludf.DUMMYFUNCTION("""COMPUTED_VALUE"""),1)</f>
        <v>1</v>
      </c>
      <c r="D14" t="str">
        <f ca="1">IFERROR(__xludf.DUMMYFUNCTION("""COMPUTED_VALUE"""),"Number")</f>
        <v>Number</v>
      </c>
      <c r="E14">
        <f ca="1">IF(A14="","",SUMIFS('PR-BOM'!$D$3:$D1001,'PR-BOM'!$C$3:$C1001,A14)*C14)</f>
        <v>82</v>
      </c>
      <c r="F14" t="e">
        <f ca="1">_xludf.IFNA(VLOOKUP(B14,'S-FG'!$B$3:$B1001,1,FALSE),"")</f>
        <v>#NAME?</v>
      </c>
      <c r="H14" t="str">
        <f ca="1">IFERROR(__xludf.DUMMYFUNCTION("""COMPUTED_VALUE"""),"Jet Motor Assy")</f>
        <v>Jet Motor Assy</v>
      </c>
      <c r="I14" t="str">
        <f ca="1">IFERROR(__xludf.DUMMYFUNCTION("""COMPUTED_VALUE"""),"Teroson MS930")</f>
        <v>Teroson MS930</v>
      </c>
      <c r="J14">
        <f ca="1">IFERROR(__xludf.DUMMYFUNCTION("""COMPUTED_VALUE"""),15)</f>
        <v>15</v>
      </c>
      <c r="K14" t="str">
        <f ca="1">IFERROR(__xludf.DUMMYFUNCTION("""COMPUTED_VALUE"""),"blank")</f>
        <v>blank</v>
      </c>
      <c r="L14">
        <f t="shared" ca="1" si="0"/>
        <v>0</v>
      </c>
      <c r="Q14" t="str">
        <f>IF(N14="","",SUMIFS('PR-BOM'!$D$3:$D1001,'PR-BOM'!$C$3:$C1001,N14))</f>
        <v/>
      </c>
      <c r="S14" t="str">
        <f ca="1">IFERROR(__xludf.DUMMYFUNCTION("""COMPUTED_VALUE"""),"Rotex14 Coupling")</f>
        <v>Rotex14 Coupling</v>
      </c>
      <c r="X14" t="e">
        <f ca="1"/>
        <v>#NAME?</v>
      </c>
      <c r="Y14" t="e">
        <f t="shared" ca="1" si="1"/>
        <v>#NAME?</v>
      </c>
      <c r="Z14" t="e">
        <f ca="1">IF(X14="","",SUMIFS(#REF!,RM!$C$4:$C991,X14))</f>
        <v>#NAME?</v>
      </c>
      <c r="AA14" t="e">
        <f ca="1">IF(X14="","",SUMIFS(#REF!,RM!$C$4:$C991,X14))</f>
        <v>#NAME?</v>
      </c>
      <c r="AB14" t="e">
        <f ca="1">IF(X14="","",SUMIFS(IRegback!$Y$2:$Y1001,IRegback!$X$2:$X1001,X14))</f>
        <v>#NAME?</v>
      </c>
      <c r="AC14" t="e">
        <f t="shared" ca="1" si="2"/>
        <v>#NAME?</v>
      </c>
      <c r="AD14" t="e">
        <f ca="1">IF(X14="","",VLOOKUP($X14,RM!$C$4:$G991,3,FALSE))</f>
        <v>#NAME?</v>
      </c>
      <c r="AE14" t="e">
        <f ca="1">IF(X14="","",VLOOKUP($X14,RM!$C$4:$G991,4,FALSE))</f>
        <v>#NAME?</v>
      </c>
      <c r="AF14" t="e">
        <f ca="1">IF(X14="","",VLOOKUP($X14,RM!$C$4:$G991,5,FALSE))</f>
        <v>#NAME?</v>
      </c>
      <c r="AH14" t="str">
        <f ca="1">IFERROR(__xludf.DUMMYFUNCTION("""COMPUTED_VALUE"""),"Saif Seas Life - DSR")</f>
        <v>Saif Seas Life - DSR</v>
      </c>
      <c r="AI14" t="str">
        <f ca="1">IFERROR(__xludf.DUMMYFUNCTION("""COMPUTED_VALUE"""),"PORT Battery Assy")</f>
        <v>PORT Battery Assy</v>
      </c>
      <c r="AJ14">
        <f ca="1">IFERROR(__xludf.DUMMYFUNCTION("""COMPUTED_VALUE"""),1)</f>
        <v>1</v>
      </c>
      <c r="AK14" t="str">
        <f ca="1">IFERROR(__xludf.DUMMYFUNCTION("""COMPUTED_VALUE"""),"Number")</f>
        <v>Number</v>
      </c>
      <c r="AL14" t="e">
        <f ca="1">_xludf.IFNA(VLOOKUP(AH14,'S-FG'!$B$3:$B1001,1,FALSE),"")</f>
        <v>#NAME?</v>
      </c>
      <c r="AM14" t="e">
        <f ca="1">IF(AI14="","",SUMIFS(#REF!,RM!$C$4:$C991,AI14))</f>
        <v>#REF!</v>
      </c>
    </row>
    <row r="15" spans="1:60">
      <c r="A15" t="str">
        <f ca="1">IFERROR(__xludf.DUMMYFUNCTION("""COMPUTED_VALUE"""),"Saif Seas Life - DSR")</f>
        <v>Saif Seas Life - DSR</v>
      </c>
      <c r="B15" t="str">
        <f ca="1">IFERROR(__xludf.DUMMYFUNCTION("""COMPUTED_VALUE"""),"Charger Box Assy")</f>
        <v>Charger Box Assy</v>
      </c>
      <c r="C15">
        <f ca="1">IFERROR(__xludf.DUMMYFUNCTION("""COMPUTED_VALUE"""),1)</f>
        <v>1</v>
      </c>
      <c r="D15" t="str">
        <f ca="1">IFERROR(__xludf.DUMMYFUNCTION("""COMPUTED_VALUE"""),"Number")</f>
        <v>Number</v>
      </c>
      <c r="E15">
        <f ca="1">IF(A15="","",SUMIFS('PR-BOM'!$D$3:$D1001,'PR-BOM'!$C$3:$C1001,A15)*C15)</f>
        <v>82</v>
      </c>
      <c r="F15" t="e">
        <f ca="1">_xludf.IFNA(VLOOKUP(B15,'S-FG'!$B$3:$B1001,1,FALSE),"")</f>
        <v>#NAME?</v>
      </c>
      <c r="H15" t="str">
        <f ca="1">IFERROR(__xludf.DUMMYFUNCTION("""COMPUTED_VALUE"""),"Jet Motor Assy")</f>
        <v>Jet Motor Assy</v>
      </c>
      <c r="I15" t="str">
        <f ca="1">IFERROR(__xludf.DUMMYFUNCTION("""COMPUTED_VALUE"""),"Nozzle on Jet")</f>
        <v>Nozzle on Jet</v>
      </c>
      <c r="J15">
        <f ca="1">IFERROR(__xludf.DUMMYFUNCTION("""COMPUTED_VALUE"""),1)</f>
        <v>1</v>
      </c>
      <c r="L15">
        <f t="shared" ca="1" si="0"/>
        <v>0</v>
      </c>
      <c r="Q15" t="str">
        <f>IF(N15="","",SUMIFS('PR-BOM'!$D$3:$D1001,'PR-BOM'!$C$3:$C1001,N15))</f>
        <v/>
      </c>
      <c r="S15" t="str">
        <f ca="1">IFERROR(__xludf.DUMMYFUNCTION("""COMPUTED_VALUE"""),"Teroson MS930")</f>
        <v>Teroson MS930</v>
      </c>
      <c r="X15" t="e">
        <f ca="1"/>
        <v>#NAME?</v>
      </c>
      <c r="Y15" t="e">
        <f t="shared" ca="1" si="1"/>
        <v>#NAME?</v>
      </c>
      <c r="Z15" t="e">
        <f ca="1">IF(X15="","",SUMIFS(#REF!,RM!$C$4:$C991,X15))</f>
        <v>#NAME?</v>
      </c>
      <c r="AA15" t="e">
        <f ca="1">IF(X15="","",SUMIFS(#REF!,RM!$C$4:$C991,X15))</f>
        <v>#NAME?</v>
      </c>
      <c r="AB15" t="e">
        <f ca="1">IF(X15="","",SUMIFS(IRegback!$Y$2:$Y1001,IRegback!$X$2:$X1001,X15))</f>
        <v>#NAME?</v>
      </c>
      <c r="AC15" t="e">
        <f t="shared" ca="1" si="2"/>
        <v>#NAME?</v>
      </c>
      <c r="AD15" t="e">
        <f ca="1">IF(X15="","",VLOOKUP($X15,RM!$C$4:$G991,3,FALSE))</f>
        <v>#NAME?</v>
      </c>
      <c r="AE15" t="e">
        <f ca="1">IF(X15="","",VLOOKUP($X15,RM!$C$4:$G991,4,FALSE))</f>
        <v>#NAME?</v>
      </c>
      <c r="AF15" t="e">
        <f ca="1">IF(X15="","",VLOOKUP($X15,RM!$C$4:$G991,5,FALSE))</f>
        <v>#NAME?</v>
      </c>
      <c r="AH15" t="str">
        <f ca="1">IFERROR(__xludf.DUMMYFUNCTION("""COMPUTED_VALUE"""),"Saif Seas Life - DSR")</f>
        <v>Saif Seas Life - DSR</v>
      </c>
      <c r="AI15" t="str">
        <f ca="1">IFERROR(__xludf.DUMMYFUNCTION("""COMPUTED_VALUE"""),"Charger Box Assy")</f>
        <v>Charger Box Assy</v>
      </c>
      <c r="AJ15">
        <f ca="1">IFERROR(__xludf.DUMMYFUNCTION("""COMPUTED_VALUE"""),1)</f>
        <v>1</v>
      </c>
      <c r="AK15" t="str">
        <f ca="1">IFERROR(__xludf.DUMMYFUNCTION("""COMPUTED_VALUE"""),"Number")</f>
        <v>Number</v>
      </c>
      <c r="AL15" t="e">
        <f ca="1">_xludf.IFNA(VLOOKUP(AH15,'S-FG'!$B$3:$B1001,1,FALSE),"")</f>
        <v>#NAME?</v>
      </c>
      <c r="AM15" t="e">
        <f ca="1">IF(AI15="","",SUMIFS(#REF!,RM!$C$4:$C991,AI15))</f>
        <v>#REF!</v>
      </c>
    </row>
    <row r="16" spans="1:60">
      <c r="A16" t="str">
        <f ca="1">IFERROR(__xludf.DUMMYFUNCTION("""COMPUTED_VALUE"""),"Saif Seas Life - DSR")</f>
        <v>Saif Seas Life - DSR</v>
      </c>
      <c r="B16" t="str">
        <f ca="1">IFERROR(__xludf.DUMMYFUNCTION("""COMPUTED_VALUE"""),"Electronic Box Assy")</f>
        <v>Electronic Box Assy</v>
      </c>
      <c r="C16">
        <f ca="1">IFERROR(__xludf.DUMMYFUNCTION("""COMPUTED_VALUE"""),1)</f>
        <v>1</v>
      </c>
      <c r="D16" t="str">
        <f ca="1">IFERROR(__xludf.DUMMYFUNCTION("""COMPUTED_VALUE"""),"Number")</f>
        <v>Number</v>
      </c>
      <c r="E16">
        <f ca="1">IF(A16="","",SUMIFS('PR-BOM'!$D$3:$D1001,'PR-BOM'!$C$3:$C1001,A16)*C16)</f>
        <v>82</v>
      </c>
      <c r="F16" t="e">
        <f ca="1">_xludf.IFNA(VLOOKUP(B16,'S-FG'!$B$3:$B1001,1,FALSE),"")</f>
        <v>#NAME?</v>
      </c>
      <c r="H16" t="str">
        <f ca="1">IFERROR(__xludf.DUMMYFUNCTION("""COMPUTED_VALUE"""),"Jet Motor Assy")</f>
        <v>Jet Motor Assy</v>
      </c>
      <c r="I16" t="str">
        <f ca="1">IFERROR(__xludf.DUMMYFUNCTION("""COMPUTED_VALUE"""),"Silicon hose pipe clip 7mm")</f>
        <v>Silicon hose pipe clip 7mm</v>
      </c>
      <c r="J16">
        <f ca="1">IFERROR(__xludf.DUMMYFUNCTION("""COMPUTED_VALUE"""),1)</f>
        <v>1</v>
      </c>
      <c r="K16" t="str">
        <f ca="1">IFERROR(__xludf.DUMMYFUNCTION("""COMPUTED_VALUE"""),"blank")</f>
        <v>blank</v>
      </c>
      <c r="L16">
        <f t="shared" ca="1" si="0"/>
        <v>0</v>
      </c>
      <c r="Q16" t="str">
        <f>IF(N16="","",SUMIFS('PR-BOM'!$D$3:$D1001,'PR-BOM'!$C$3:$C1001,N16))</f>
        <v/>
      </c>
      <c r="S16" t="str">
        <f ca="1">IFERROR(__xludf.DUMMYFUNCTION("""COMPUTED_VALUE"""),"Nozzle on Jet")</f>
        <v>Nozzle on Jet</v>
      </c>
      <c r="X16" t="e">
        <f ca="1"/>
        <v>#NAME?</v>
      </c>
      <c r="Y16" t="e">
        <f t="shared" ca="1" si="1"/>
        <v>#NAME?</v>
      </c>
      <c r="Z16" t="e">
        <f ca="1">IF(X16="","",SUMIFS(#REF!,RM!$C$4:$C991,X16))</f>
        <v>#NAME?</v>
      </c>
      <c r="AA16" t="e">
        <f ca="1">IF(X16="","",SUMIFS(#REF!,RM!$C$4:$C991,X16))</f>
        <v>#NAME?</v>
      </c>
      <c r="AB16" t="e">
        <f ca="1">IF(X16="","",SUMIFS(IRegback!$Y$2:$Y1001,IRegback!$X$2:$X1001,X16))</f>
        <v>#NAME?</v>
      </c>
      <c r="AC16" t="e">
        <f t="shared" ca="1" si="2"/>
        <v>#NAME?</v>
      </c>
      <c r="AD16" t="e">
        <f ca="1">IF(X16="","",VLOOKUP($X16,RM!$C$4:$G991,3,FALSE))</f>
        <v>#NAME?</v>
      </c>
      <c r="AE16" t="e">
        <f ca="1">IF(X16="","",VLOOKUP($X16,RM!$C$4:$G991,4,FALSE))</f>
        <v>#NAME?</v>
      </c>
      <c r="AF16" t="e">
        <f ca="1">IF(X16="","",VLOOKUP($X16,RM!$C$4:$G991,5,FALSE))</f>
        <v>#NAME?</v>
      </c>
      <c r="AH16" t="str">
        <f ca="1">IFERROR(__xludf.DUMMYFUNCTION("""COMPUTED_VALUE"""),"Saif Seas Life - DSR")</f>
        <v>Saif Seas Life - DSR</v>
      </c>
      <c r="AI16" t="str">
        <f ca="1">IFERROR(__xludf.DUMMYFUNCTION("""COMPUTED_VALUE"""),"Electronic Box Assy")</f>
        <v>Electronic Box Assy</v>
      </c>
      <c r="AJ16">
        <f ca="1">IFERROR(__xludf.DUMMYFUNCTION("""COMPUTED_VALUE"""),1)</f>
        <v>1</v>
      </c>
      <c r="AK16" t="str">
        <f ca="1">IFERROR(__xludf.DUMMYFUNCTION("""COMPUTED_VALUE"""),"Number")</f>
        <v>Number</v>
      </c>
      <c r="AL16" t="e">
        <f ca="1">_xludf.IFNA(VLOOKUP(AH16,'S-FG'!$B$3:$B1001,1,FALSE),"")</f>
        <v>#NAME?</v>
      </c>
      <c r="AM16" t="e">
        <f ca="1">IF(AI16="","",SUMIFS(#REF!,RM!$C$4:$C991,AI16))</f>
        <v>#REF!</v>
      </c>
    </row>
    <row r="17" spans="1:39">
      <c r="A17" t="str">
        <f ca="1">IFERROR(__xludf.DUMMYFUNCTION("""COMPUTED_VALUE"""),"Saif Seas Life - DSR")</f>
        <v>Saif Seas Life - DSR</v>
      </c>
      <c r="B17" t="str">
        <f ca="1">IFERROR(__xludf.DUMMYFUNCTION("""COMPUTED_VALUE"""),"FL_STBD Elec")</f>
        <v>FL_STBD Elec</v>
      </c>
      <c r="C17">
        <f ca="1">IFERROR(__xludf.DUMMYFUNCTION("""COMPUTED_VALUE"""),1)</f>
        <v>1</v>
      </c>
      <c r="D17" t="str">
        <f ca="1">IFERROR(__xludf.DUMMYFUNCTION("""COMPUTED_VALUE"""),"Number")</f>
        <v>Number</v>
      </c>
      <c r="E17">
        <f ca="1">IF(A17="","",SUMIFS('PR-BOM'!$D$3:$D1001,'PR-BOM'!$C$3:$C1001,A17)*C17)</f>
        <v>82</v>
      </c>
      <c r="F17" t="e">
        <f ca="1">_xludf.IFNA(VLOOKUP(B17,'S-FG'!$B$3:$B1001,1,FALSE),"")</f>
        <v>#NAME?</v>
      </c>
      <c r="H17" t="str">
        <f ca="1">IFERROR(__xludf.DUMMYFUNCTION("""COMPUTED_VALUE"""),"Jet Motor Assy")</f>
        <v>Jet Motor Assy</v>
      </c>
      <c r="I17" t="str">
        <f ca="1">IFERROR(__xludf.DUMMYFUNCTION("""COMPUTED_VALUE"""),"Water Jet pump Jet S52")</f>
        <v>Water Jet pump Jet S52</v>
      </c>
      <c r="J17">
        <f ca="1">IFERROR(__xludf.DUMMYFUNCTION("""COMPUTED_VALUE"""),1)</f>
        <v>1</v>
      </c>
      <c r="K17" t="str">
        <f ca="1">IFERROR(__xludf.DUMMYFUNCTION("""COMPUTED_VALUE"""),"blank")</f>
        <v>blank</v>
      </c>
      <c r="L17">
        <f t="shared" ca="1" si="0"/>
        <v>0</v>
      </c>
      <c r="Q17" t="str">
        <f>IF(N17="","",SUMIFS('PR-BOM'!$D$3:$D1001,'PR-BOM'!$C$3:$C1001,N17))</f>
        <v/>
      </c>
      <c r="S17" t="str">
        <f ca="1">IFERROR(__xludf.DUMMYFUNCTION("""COMPUTED_VALUE"""),"Silicon hose pipe clip 7mm")</f>
        <v>Silicon hose pipe clip 7mm</v>
      </c>
      <c r="X17" t="e">
        <f ca="1"/>
        <v>#NAME?</v>
      </c>
      <c r="Y17" t="e">
        <f t="shared" ca="1" si="1"/>
        <v>#NAME?</v>
      </c>
      <c r="Z17" t="e">
        <f ca="1">IF(X17="","",SUMIFS(#REF!,RM!$C$4:$C991,X17))</f>
        <v>#NAME?</v>
      </c>
      <c r="AA17" t="e">
        <f ca="1">IF(X17="","",SUMIFS(#REF!,RM!$C$4:$C991,X17))</f>
        <v>#NAME?</v>
      </c>
      <c r="AB17" t="e">
        <f ca="1">IF(X17="","",SUMIFS(IRegback!$Y$2:$Y1001,IRegback!$X$2:$X1001,X17))</f>
        <v>#NAME?</v>
      </c>
      <c r="AC17" t="e">
        <f t="shared" ca="1" si="2"/>
        <v>#NAME?</v>
      </c>
      <c r="AD17" t="e">
        <f ca="1">IF(X17="","",VLOOKUP($X17,RM!$C$4:$G991,3,FALSE))</f>
        <v>#NAME?</v>
      </c>
      <c r="AE17" t="e">
        <f ca="1">IF(X17="","",VLOOKUP($X17,RM!$C$4:$G991,4,FALSE))</f>
        <v>#NAME?</v>
      </c>
      <c r="AF17" t="e">
        <f ca="1">IF(X17="","",VLOOKUP($X17,RM!$C$4:$G991,5,FALSE))</f>
        <v>#NAME?</v>
      </c>
      <c r="AH17" t="str">
        <f ca="1">IFERROR(__xludf.DUMMYFUNCTION("""COMPUTED_VALUE"""),"Saif Seas Life - DSR")</f>
        <v>Saif Seas Life - DSR</v>
      </c>
      <c r="AI17" t="str">
        <f ca="1">IFERROR(__xludf.DUMMYFUNCTION("""COMPUTED_VALUE"""),"FL_STBD Elec")</f>
        <v>FL_STBD Elec</v>
      </c>
      <c r="AJ17">
        <f ca="1">IFERROR(__xludf.DUMMYFUNCTION("""COMPUTED_VALUE"""),1)</f>
        <v>1</v>
      </c>
      <c r="AK17" t="str">
        <f ca="1">IFERROR(__xludf.DUMMYFUNCTION("""COMPUTED_VALUE"""),"Number")</f>
        <v>Number</v>
      </c>
      <c r="AL17" t="e">
        <f ca="1">_xludf.IFNA(VLOOKUP(AH17,'S-FG'!$B$3:$B1001,1,FALSE),"")</f>
        <v>#NAME?</v>
      </c>
      <c r="AM17" t="e">
        <f ca="1">IF(AI17="","",SUMIFS(#REF!,RM!$C$4:$C991,AI17))</f>
        <v>#REF!</v>
      </c>
    </row>
    <row r="18" spans="1:39">
      <c r="A18" t="str">
        <f ca="1">IFERROR(__xludf.DUMMYFUNCTION("""COMPUTED_VALUE"""),"Saif Seas Life - DSR")</f>
        <v>Saif Seas Life - DSR</v>
      </c>
      <c r="B18" t="str">
        <f ca="1">IFERROR(__xludf.DUMMYFUNCTION("""COMPUTED_VALUE"""),"FL_PORT Elec")</f>
        <v>FL_PORT Elec</v>
      </c>
      <c r="C18">
        <f ca="1">IFERROR(__xludf.DUMMYFUNCTION("""COMPUTED_VALUE"""),1)</f>
        <v>1</v>
      </c>
      <c r="D18" t="str">
        <f ca="1">IFERROR(__xludf.DUMMYFUNCTION("""COMPUTED_VALUE"""),"Number")</f>
        <v>Number</v>
      </c>
      <c r="E18">
        <f ca="1">IF(A18="","",SUMIFS('PR-BOM'!$D$3:$D1001,'PR-BOM'!$C$3:$C1001,A18)*C18)</f>
        <v>82</v>
      </c>
      <c r="F18" t="e">
        <f ca="1">_xludf.IFNA(VLOOKUP(B18,'S-FG'!$B$3:$B1001,1,FALSE),"")</f>
        <v>#NAME?</v>
      </c>
      <c r="H18" t="str">
        <f ca="1">IFERROR(__xludf.DUMMYFUNCTION("""COMPUTED_VALUE"""),"Jet Motor Assy")</f>
        <v>Jet Motor Assy</v>
      </c>
      <c r="I18" t="str">
        <f ca="1">IFERROR(__xludf.DUMMYFUNCTION("""COMPUTED_VALUE"""),"ESC Mounting Plate")</f>
        <v>ESC Mounting Plate</v>
      </c>
      <c r="J18">
        <f ca="1">IFERROR(__xludf.DUMMYFUNCTION("""COMPUTED_VALUE"""),1)</f>
        <v>1</v>
      </c>
      <c r="K18" t="str">
        <f ca="1">IFERROR(__xludf.DUMMYFUNCTION("""COMPUTED_VALUE"""),"blank")</f>
        <v>blank</v>
      </c>
      <c r="L18">
        <f t="shared" ca="1" si="0"/>
        <v>0</v>
      </c>
      <c r="Q18" t="str">
        <f>IF(N18="","",SUMIFS('PR-BOM'!$D$3:$D1001,'PR-BOM'!$C$3:$C1001,N18))</f>
        <v/>
      </c>
      <c r="S18" t="str">
        <f ca="1">IFERROR(__xludf.DUMMYFUNCTION("""COMPUTED_VALUE"""),"Water Jet pump Jet S52")</f>
        <v>Water Jet pump Jet S52</v>
      </c>
      <c r="X18" t="e">
        <f ca="1"/>
        <v>#NAME?</v>
      </c>
      <c r="Y18" t="e">
        <f t="shared" ca="1" si="1"/>
        <v>#NAME?</v>
      </c>
      <c r="Z18" t="e">
        <f ca="1">IF(X18="","",SUMIFS(#REF!,RM!$C$4:$C991,X18))</f>
        <v>#NAME?</v>
      </c>
      <c r="AA18" t="e">
        <f ca="1">IF(X18="","",SUMIFS(#REF!,RM!$C$4:$C991,X18))</f>
        <v>#NAME?</v>
      </c>
      <c r="AB18" t="e">
        <f ca="1">IF(X18="","",SUMIFS(IRegback!$Y$2:$Y1001,IRegback!$X$2:$X1001,X18))</f>
        <v>#NAME?</v>
      </c>
      <c r="AC18" t="e">
        <f t="shared" ca="1" si="2"/>
        <v>#NAME?</v>
      </c>
      <c r="AD18" t="e">
        <f ca="1">IF(X18="","",VLOOKUP($X18,RM!$C$4:$G991,3,FALSE))</f>
        <v>#NAME?</v>
      </c>
      <c r="AE18" t="e">
        <f ca="1">IF(X18="","",VLOOKUP($X18,RM!$C$4:$G991,4,FALSE))</f>
        <v>#NAME?</v>
      </c>
      <c r="AF18" t="e">
        <f ca="1">IF(X18="","",VLOOKUP($X18,RM!$C$4:$G991,5,FALSE))</f>
        <v>#NAME?</v>
      </c>
      <c r="AH18" t="str">
        <f ca="1">IFERROR(__xludf.DUMMYFUNCTION("""COMPUTED_VALUE"""),"Saif Seas Life - DSR")</f>
        <v>Saif Seas Life - DSR</v>
      </c>
      <c r="AI18" t="str">
        <f ca="1">IFERROR(__xludf.DUMMYFUNCTION("""COMPUTED_VALUE"""),"FL_PORT Elec")</f>
        <v>FL_PORT Elec</v>
      </c>
      <c r="AJ18">
        <f ca="1">IFERROR(__xludf.DUMMYFUNCTION("""COMPUTED_VALUE"""),1)</f>
        <v>1</v>
      </c>
      <c r="AK18" t="str">
        <f ca="1">IFERROR(__xludf.DUMMYFUNCTION("""COMPUTED_VALUE"""),"Number")</f>
        <v>Number</v>
      </c>
      <c r="AL18" t="e">
        <f ca="1">_xludf.IFNA(VLOOKUP(AH18,'S-FG'!$B$3:$B1001,1,FALSE),"")</f>
        <v>#NAME?</v>
      </c>
      <c r="AM18" t="e">
        <f ca="1">IF(AI18="","",SUMIFS(#REF!,RM!$C$4:$C991,AI18))</f>
        <v>#REF!</v>
      </c>
    </row>
    <row r="19" spans="1:39">
      <c r="A19" t="str">
        <f ca="1">IFERROR(__xludf.DUMMYFUNCTION("""COMPUTED_VALUE"""),"Saif Seas Life - DSR")</f>
        <v>Saif Seas Life - DSR</v>
      </c>
      <c r="B19" t="str">
        <f ca="1">IFERROR(__xludf.DUMMYFUNCTION("""COMPUTED_VALUE"""),"FL_STBD Mech")</f>
        <v>FL_STBD Mech</v>
      </c>
      <c r="C19">
        <f ca="1">IFERROR(__xludf.DUMMYFUNCTION("""COMPUTED_VALUE"""),1)</f>
        <v>1</v>
      </c>
      <c r="D19" t="str">
        <f ca="1">IFERROR(__xludf.DUMMYFUNCTION("""COMPUTED_VALUE"""),"Number")</f>
        <v>Number</v>
      </c>
      <c r="E19">
        <f ca="1">IF(A19="","",SUMIFS('PR-BOM'!$D$3:$D1001,'PR-BOM'!$C$3:$C1001,A19)*C19)</f>
        <v>82</v>
      </c>
      <c r="F19" t="e">
        <f ca="1">_xludf.IFNA(VLOOKUP(B19,'S-FG'!$B$3:$B1001,1,FALSE),"")</f>
        <v>#NAME?</v>
      </c>
      <c r="H19" t="str">
        <f ca="1">IFERROR(__xludf.DUMMYFUNCTION("""COMPUTED_VALUE"""),"Jet Motor Assy")</f>
        <v>Jet Motor Assy</v>
      </c>
      <c r="I19" t="str">
        <f ca="1">IFERROR(__xludf.DUMMYFUNCTION("""COMPUTED_VALUE"""),"Jet S52 Mounting plate")</f>
        <v>Jet S52 Mounting plate</v>
      </c>
      <c r="J19">
        <f ca="1">IFERROR(__xludf.DUMMYFUNCTION("""COMPUTED_VALUE"""),1)</f>
        <v>1</v>
      </c>
      <c r="K19" t="str">
        <f ca="1">IFERROR(__xludf.DUMMYFUNCTION("""COMPUTED_VALUE"""),"blank")</f>
        <v>blank</v>
      </c>
      <c r="L19">
        <f t="shared" ca="1" si="0"/>
        <v>0</v>
      </c>
      <c r="Q19" t="str">
        <f>IF(N19="","",SUMIFS('PR-BOM'!$D$3:$D1001,'PR-BOM'!$C$3:$C1001,N19))</f>
        <v/>
      </c>
      <c r="S19" t="str">
        <f ca="1">IFERROR(__xludf.DUMMYFUNCTION("""COMPUTED_VALUE"""),"ESC Mounting Plate")</f>
        <v>ESC Mounting Plate</v>
      </c>
      <c r="X19" t="e">
        <f ca="1"/>
        <v>#NAME?</v>
      </c>
      <c r="Y19" t="e">
        <f t="shared" ca="1" si="1"/>
        <v>#NAME?</v>
      </c>
      <c r="Z19" t="e">
        <f ca="1">IF(X19="","",SUMIFS(#REF!,RM!$C$4:$C991,X19))</f>
        <v>#NAME?</v>
      </c>
      <c r="AA19" t="e">
        <f ca="1">IF(X19="","",SUMIFS(#REF!,RM!$C$4:$C991,X19))</f>
        <v>#NAME?</v>
      </c>
      <c r="AB19" t="e">
        <f ca="1">IF(X19="","",SUMIFS(IRegback!$Y$2:$Y1001,IRegback!$X$2:$X1001,X19))</f>
        <v>#NAME?</v>
      </c>
      <c r="AC19" t="e">
        <f t="shared" ca="1" si="2"/>
        <v>#NAME?</v>
      </c>
      <c r="AD19" t="e">
        <f ca="1">IF(X19="","",VLOOKUP($X19,RM!$C$4:$G991,3,FALSE))</f>
        <v>#NAME?</v>
      </c>
      <c r="AE19" t="e">
        <f ca="1">IF(X19="","",VLOOKUP($X19,RM!$C$4:$G991,4,FALSE))</f>
        <v>#NAME?</v>
      </c>
      <c r="AF19" t="e">
        <f ca="1">IF(X19="","",VLOOKUP($X19,RM!$C$4:$G991,5,FALSE))</f>
        <v>#NAME?</v>
      </c>
      <c r="AH19" t="str">
        <f ca="1">IFERROR(__xludf.DUMMYFUNCTION("""COMPUTED_VALUE"""),"Saif Seas Life - DSR")</f>
        <v>Saif Seas Life - DSR</v>
      </c>
      <c r="AI19" t="str">
        <f ca="1">IFERROR(__xludf.DUMMYFUNCTION("""COMPUTED_VALUE"""),"FL_STBD Mech")</f>
        <v>FL_STBD Mech</v>
      </c>
      <c r="AJ19">
        <f ca="1">IFERROR(__xludf.DUMMYFUNCTION("""COMPUTED_VALUE"""),1)</f>
        <v>1</v>
      </c>
      <c r="AK19" t="str">
        <f ca="1">IFERROR(__xludf.DUMMYFUNCTION("""COMPUTED_VALUE"""),"Number")</f>
        <v>Number</v>
      </c>
      <c r="AL19" t="e">
        <f ca="1">_xludf.IFNA(VLOOKUP(AH19,'S-FG'!$B$3:$B1001,1,FALSE),"")</f>
        <v>#NAME?</v>
      </c>
      <c r="AM19" t="e">
        <f ca="1">IF(AI19="","",SUMIFS(#REF!,RM!$C$4:$C991,AI19))</f>
        <v>#REF!</v>
      </c>
    </row>
    <row r="20" spans="1:39">
      <c r="A20" t="str">
        <f ca="1">IFERROR(__xludf.DUMMYFUNCTION("""COMPUTED_VALUE"""),"Saif Seas Life - DSR")</f>
        <v>Saif Seas Life - DSR</v>
      </c>
      <c r="B20" t="str">
        <f ca="1">IFERROR(__xludf.DUMMYFUNCTION("""COMPUTED_VALUE"""),"FL_PORT Mech")</f>
        <v>FL_PORT Mech</v>
      </c>
      <c r="C20">
        <f ca="1">IFERROR(__xludf.DUMMYFUNCTION("""COMPUTED_VALUE"""),1)</f>
        <v>1</v>
      </c>
      <c r="D20" t="str">
        <f ca="1">IFERROR(__xludf.DUMMYFUNCTION("""COMPUTED_VALUE"""),"Number")</f>
        <v>Number</v>
      </c>
      <c r="E20">
        <f ca="1">IF(A20="","",SUMIFS('PR-BOM'!$D$3:$D1001,'PR-BOM'!$C$3:$C1001,A20)*C20)</f>
        <v>82</v>
      </c>
      <c r="F20" t="e">
        <f ca="1">_xludf.IFNA(VLOOKUP(B20,'S-FG'!$B$3:$B1001,1,FALSE),"")</f>
        <v>#NAME?</v>
      </c>
      <c r="H20" t="str">
        <f ca="1">IFERROR(__xludf.DUMMYFUNCTION("""COMPUTED_VALUE"""),"Jet Motor Assy")</f>
        <v>Jet Motor Assy</v>
      </c>
      <c r="I20" t="str">
        <f ca="1">IFERROR(__xludf.DUMMYFUNCTION("""COMPUTED_VALUE"""),"Motor Mount 5692")</f>
        <v>Motor Mount 5692</v>
      </c>
      <c r="J20">
        <f ca="1">IFERROR(__xludf.DUMMYFUNCTION("""COMPUTED_VALUE"""),2)</f>
        <v>2</v>
      </c>
      <c r="K20" t="str">
        <f ca="1">IFERROR(__xludf.DUMMYFUNCTION("""COMPUTED_VALUE"""),"blank")</f>
        <v>blank</v>
      </c>
      <c r="L20">
        <f t="shared" ca="1" si="0"/>
        <v>0</v>
      </c>
      <c r="Q20" t="str">
        <f>IF(N20="","",SUMIFS('PR-BOM'!$D$3:$D1001,'PR-BOM'!$C$3:$C1001,N20))</f>
        <v/>
      </c>
      <c r="S20" t="str">
        <f ca="1">IFERROR(__xludf.DUMMYFUNCTION("""COMPUTED_VALUE"""),"Jet S52 Mounting plate")</f>
        <v>Jet S52 Mounting plate</v>
      </c>
      <c r="X20" t="e">
        <f ca="1"/>
        <v>#NAME?</v>
      </c>
      <c r="Y20" t="e">
        <f t="shared" ca="1" si="1"/>
        <v>#NAME?</v>
      </c>
      <c r="Z20" t="e">
        <f ca="1">IF(X20="","",SUMIFS(#REF!,RM!$C$4:$C991,X20))</f>
        <v>#NAME?</v>
      </c>
      <c r="AA20" t="e">
        <f ca="1">IF(X20="","",SUMIFS(#REF!,RM!$C$4:$C991,X20))</f>
        <v>#NAME?</v>
      </c>
      <c r="AB20" t="e">
        <f ca="1">IF(X20="","",SUMIFS(IRegback!$Y$2:$Y1001,IRegback!$X$2:$X1001,X20))</f>
        <v>#NAME?</v>
      </c>
      <c r="AC20" t="e">
        <f t="shared" ca="1" si="2"/>
        <v>#NAME?</v>
      </c>
      <c r="AD20" t="e">
        <f ca="1">IF(X20="","",VLOOKUP($X20,RM!$C$4:$G991,3,FALSE))</f>
        <v>#NAME?</v>
      </c>
      <c r="AE20" t="e">
        <f ca="1">IF(X20="","",VLOOKUP($X20,RM!$C$4:$G991,4,FALSE))</f>
        <v>#NAME?</v>
      </c>
      <c r="AF20" t="e">
        <f ca="1">IF(X20="","",VLOOKUP($X20,RM!$C$4:$G991,5,FALSE))</f>
        <v>#NAME?</v>
      </c>
      <c r="AH20" t="str">
        <f ca="1">IFERROR(__xludf.DUMMYFUNCTION("""COMPUTED_VALUE"""),"Saif Seas Life - DSR")</f>
        <v>Saif Seas Life - DSR</v>
      </c>
      <c r="AI20" t="str">
        <f ca="1">IFERROR(__xludf.DUMMYFUNCTION("""COMPUTED_VALUE"""),"FL_PORT Mech")</f>
        <v>FL_PORT Mech</v>
      </c>
      <c r="AJ20">
        <f ca="1">IFERROR(__xludf.DUMMYFUNCTION("""COMPUTED_VALUE"""),1)</f>
        <v>1</v>
      </c>
      <c r="AK20" t="str">
        <f ca="1">IFERROR(__xludf.DUMMYFUNCTION("""COMPUTED_VALUE"""),"Number")</f>
        <v>Number</v>
      </c>
      <c r="AL20" t="e">
        <f ca="1">_xludf.IFNA(VLOOKUP(AH20,'S-FG'!$B$3:$B1001,1,FALSE),"")</f>
        <v>#NAME?</v>
      </c>
      <c r="AM20" t="e">
        <f ca="1">IF(AI20="","",SUMIFS(#REF!,RM!$C$4:$C991,AI20))</f>
        <v>#REF!</v>
      </c>
    </row>
    <row r="21" spans="1:39">
      <c r="A21" t="str">
        <f ca="1">IFERROR(__xludf.DUMMYFUNCTION("""COMPUTED_VALUE"""),"Saif Seas Life - DSR")</f>
        <v>Saif Seas Life - DSR</v>
      </c>
      <c r="B21" t="str">
        <f ca="1">IFERROR(__xludf.DUMMYFUNCTION("""COMPUTED_VALUE"""),"STBD Unit Assy")</f>
        <v>STBD Unit Assy</v>
      </c>
      <c r="C21">
        <f ca="1">IFERROR(__xludf.DUMMYFUNCTION("""COMPUTED_VALUE"""),1)</f>
        <v>1</v>
      </c>
      <c r="D21" t="str">
        <f ca="1">IFERROR(__xludf.DUMMYFUNCTION("""COMPUTED_VALUE"""),"Number")</f>
        <v>Number</v>
      </c>
      <c r="E21">
        <f ca="1">IF(A21="","",SUMIFS('PR-BOM'!$D$3:$D1001,'PR-BOM'!$C$3:$C1001,A21)*C21)</f>
        <v>82</v>
      </c>
      <c r="F21" t="e">
        <f ca="1">_xludf.IFNA(VLOOKUP(B21,'S-FG'!$B$3:$B1001,1,FALSE),"")</f>
        <v>#NAME?</v>
      </c>
      <c r="H21" t="str">
        <f ca="1">IFERROR(__xludf.DUMMYFUNCTION("""COMPUTED_VALUE"""),"Jet Motor Assy")</f>
        <v>Jet Motor Assy</v>
      </c>
      <c r="I21" t="str">
        <f ca="1">IFERROR(__xludf.DUMMYFUNCTION("""COMPUTED_VALUE"""),"Motor 5692 495 KV")</f>
        <v>Motor 5692 495 KV</v>
      </c>
      <c r="J21">
        <f ca="1">IFERROR(__xludf.DUMMYFUNCTION("""COMPUTED_VALUE"""),1)</f>
        <v>1</v>
      </c>
      <c r="K21" t="str">
        <f ca="1">IFERROR(__xludf.DUMMYFUNCTION("""COMPUTED_VALUE"""),"blank")</f>
        <v>blank</v>
      </c>
      <c r="L21">
        <f t="shared" ca="1" si="0"/>
        <v>0</v>
      </c>
      <c r="Q21" t="str">
        <f>IF(N21="","",SUMIFS('PR-BOM'!$D$3:$D1001,'PR-BOM'!$C$3:$C1001,N21))</f>
        <v/>
      </c>
      <c r="S21" t="str">
        <f ca="1">IFERROR(__xludf.DUMMYFUNCTION("""COMPUTED_VALUE"""),"Motor Mount 5692")</f>
        <v>Motor Mount 5692</v>
      </c>
      <c r="X21" t="e">
        <f ca="1"/>
        <v>#NAME?</v>
      </c>
      <c r="Y21" t="e">
        <f t="shared" ca="1" si="1"/>
        <v>#NAME?</v>
      </c>
      <c r="Z21" t="e">
        <f ca="1">IF(X21="","",SUMIFS(#REF!,RM!$C$4:$C991,X21))</f>
        <v>#NAME?</v>
      </c>
      <c r="AA21" t="e">
        <f ca="1">IF(X21="","",SUMIFS(#REF!,RM!$C$4:$C991,X21))</f>
        <v>#NAME?</v>
      </c>
      <c r="AB21" t="e">
        <f ca="1">IF(X21="","",SUMIFS(IRegback!$Y$2:$Y1001,IRegback!$X$2:$X1001,X21))</f>
        <v>#NAME?</v>
      </c>
      <c r="AC21" t="e">
        <f t="shared" ca="1" si="2"/>
        <v>#NAME?</v>
      </c>
      <c r="AD21" t="e">
        <f ca="1">IF(X21="","",VLOOKUP($X21,RM!$C$4:$G991,3,FALSE))</f>
        <v>#NAME?</v>
      </c>
      <c r="AE21" t="e">
        <f ca="1">IF(X21="","",VLOOKUP($X21,RM!$C$4:$G991,4,FALSE))</f>
        <v>#NAME?</v>
      </c>
      <c r="AF21" t="e">
        <f ca="1">IF(X21="","",VLOOKUP($X21,RM!$C$4:$G991,5,FALSE))</f>
        <v>#NAME?</v>
      </c>
      <c r="AH21" t="str">
        <f ca="1">IFERROR(__xludf.DUMMYFUNCTION("""COMPUTED_VALUE"""),"Saif Seas Life - DSR")</f>
        <v>Saif Seas Life - DSR</v>
      </c>
      <c r="AI21" t="str">
        <f ca="1">IFERROR(__xludf.DUMMYFUNCTION("""COMPUTED_VALUE"""),"STBD Unit Assy")</f>
        <v>STBD Unit Assy</v>
      </c>
      <c r="AJ21">
        <f ca="1">IFERROR(__xludf.DUMMYFUNCTION("""COMPUTED_VALUE"""),1)</f>
        <v>1</v>
      </c>
      <c r="AK21" t="str">
        <f ca="1">IFERROR(__xludf.DUMMYFUNCTION("""COMPUTED_VALUE"""),"Number")</f>
        <v>Number</v>
      </c>
      <c r="AL21" t="e">
        <f ca="1">_xludf.IFNA(VLOOKUP(AH21,'S-FG'!$B$3:$B1001,1,FALSE),"")</f>
        <v>#NAME?</v>
      </c>
      <c r="AM21" t="e">
        <f ca="1">IF(AI21="","",SUMIFS(#REF!,RM!$C$4:$C991,AI21))</f>
        <v>#REF!</v>
      </c>
    </row>
    <row r="22" spans="1:39">
      <c r="A22" t="str">
        <f ca="1">IFERROR(__xludf.DUMMYFUNCTION("""COMPUTED_VALUE"""),"Saif Seas Life - DSR")</f>
        <v>Saif Seas Life - DSR</v>
      </c>
      <c r="B22" t="str">
        <f ca="1">IFERROR(__xludf.DUMMYFUNCTION("""COMPUTED_VALUE"""),"PORT Unit Assy")</f>
        <v>PORT Unit Assy</v>
      </c>
      <c r="C22">
        <f ca="1">IFERROR(__xludf.DUMMYFUNCTION("""COMPUTED_VALUE"""),1)</f>
        <v>1</v>
      </c>
      <c r="D22" t="str">
        <f ca="1">IFERROR(__xludf.DUMMYFUNCTION("""COMPUTED_VALUE"""),"Number")</f>
        <v>Number</v>
      </c>
      <c r="E22">
        <f ca="1">IF(A22="","",SUMIFS('PR-BOM'!$D$3:$D1001,'PR-BOM'!$C$3:$C1001,A22)*C22)</f>
        <v>82</v>
      </c>
      <c r="F22" t="e">
        <f ca="1">_xludf.IFNA(VLOOKUP(B22,'S-FG'!$B$3:$B1001,1,FALSE),"")</f>
        <v>#NAME?</v>
      </c>
      <c r="H22" t="str">
        <f ca="1">IFERROR(__xludf.DUMMYFUNCTION("""COMPUTED_VALUE"""),"Jet Motor Assy")</f>
        <v>Jet Motor Assy</v>
      </c>
      <c r="I22" t="str">
        <f ca="1">IFERROR(__xludf.DUMMYFUNCTION("""COMPUTED_VALUE"""),"Motor Cooling Jacket 56mm x 50mm")</f>
        <v>Motor Cooling Jacket 56mm x 50mm</v>
      </c>
      <c r="J22">
        <f ca="1">IFERROR(__xludf.DUMMYFUNCTION("""COMPUTED_VALUE"""),1)</f>
        <v>1</v>
      </c>
      <c r="K22" t="str">
        <f ca="1">IFERROR(__xludf.DUMMYFUNCTION("""COMPUTED_VALUE"""),"blank")</f>
        <v>blank</v>
      </c>
      <c r="L22">
        <f t="shared" ca="1" si="0"/>
        <v>0</v>
      </c>
      <c r="Q22" t="str">
        <f>IF(N22="","",SUMIFS('PR-BOM'!$D$3:$D1001,'PR-BOM'!$C$3:$C1001,N22))</f>
        <v/>
      </c>
      <c r="S22" t="str">
        <f ca="1">IFERROR(__xludf.DUMMYFUNCTION("""COMPUTED_VALUE"""),"Motor 5692 495 KV")</f>
        <v>Motor 5692 495 KV</v>
      </c>
      <c r="X22" t="e">
        <f ca="1"/>
        <v>#NAME?</v>
      </c>
      <c r="Y22" t="e">
        <f t="shared" ca="1" si="1"/>
        <v>#NAME?</v>
      </c>
      <c r="Z22" t="e">
        <f ca="1">IF(X22="","",SUMIFS(#REF!,RM!$C$4:$C991,X22))</f>
        <v>#NAME?</v>
      </c>
      <c r="AA22" t="e">
        <f ca="1">IF(X22="","",SUMIFS(#REF!,RM!$C$4:$C991,X22))</f>
        <v>#NAME?</v>
      </c>
      <c r="AB22" t="e">
        <f ca="1">IF(X22="","",SUMIFS(IRegback!$Y$2:$Y1001,IRegback!$X$2:$X1001,X22))</f>
        <v>#NAME?</v>
      </c>
      <c r="AC22" t="e">
        <f t="shared" ca="1" si="2"/>
        <v>#NAME?</v>
      </c>
      <c r="AD22" t="e">
        <f ca="1">IF(X22="","",VLOOKUP($X22,RM!$C$4:$G991,3,FALSE))</f>
        <v>#NAME?</v>
      </c>
      <c r="AE22" t="e">
        <f ca="1">IF(X22="","",VLOOKUP($X22,RM!$C$4:$G991,4,FALSE))</f>
        <v>#NAME?</v>
      </c>
      <c r="AF22" t="e">
        <f ca="1">IF(X22="","",VLOOKUP($X22,RM!$C$4:$G991,5,FALSE))</f>
        <v>#NAME?</v>
      </c>
      <c r="AH22" t="str">
        <f ca="1">IFERROR(__xludf.DUMMYFUNCTION("""COMPUTED_VALUE"""),"Saif Seas Life - DSR")</f>
        <v>Saif Seas Life - DSR</v>
      </c>
      <c r="AI22" t="str">
        <f ca="1">IFERROR(__xludf.DUMMYFUNCTION("""COMPUTED_VALUE"""),"PORT Unit Assy")</f>
        <v>PORT Unit Assy</v>
      </c>
      <c r="AJ22">
        <f ca="1">IFERROR(__xludf.DUMMYFUNCTION("""COMPUTED_VALUE"""),1)</f>
        <v>1</v>
      </c>
      <c r="AK22" t="str">
        <f ca="1">IFERROR(__xludf.DUMMYFUNCTION("""COMPUTED_VALUE"""),"Number")</f>
        <v>Number</v>
      </c>
      <c r="AL22" t="e">
        <f ca="1">_xludf.IFNA(VLOOKUP(AH22,'S-FG'!$B$3:$B1001,1,FALSE),"")</f>
        <v>#NAME?</v>
      </c>
      <c r="AM22" t="e">
        <f ca="1">IF(AI22="","",SUMIFS(#REF!,RM!$C$4:$C991,AI22))</f>
        <v>#REF!</v>
      </c>
    </row>
    <row r="23" spans="1:39">
      <c r="A23" t="str">
        <f ca="1">IFERROR(__xludf.DUMMYFUNCTION("""COMPUTED_VALUE"""),"Saif Seas Life - DSR")</f>
        <v>Saif Seas Life - DSR</v>
      </c>
      <c r="B23" t="str">
        <f ca="1">IFERROR(__xludf.DUMMYFUNCTION("""COMPUTED_VALUE"""),"Self Rightening Assy")</f>
        <v>Self Rightening Assy</v>
      </c>
      <c r="C23">
        <f ca="1">IFERROR(__xludf.DUMMYFUNCTION("""COMPUTED_VALUE"""),1)</f>
        <v>1</v>
      </c>
      <c r="D23" t="str">
        <f ca="1">IFERROR(__xludf.DUMMYFUNCTION("""COMPUTED_VALUE"""),"Number")</f>
        <v>Number</v>
      </c>
      <c r="E23">
        <f ca="1">IF(A23="","",SUMIFS('PR-BOM'!$D$3:$D1001,'PR-BOM'!$C$3:$C1001,A23)*C23)</f>
        <v>82</v>
      </c>
      <c r="F23" t="e">
        <f ca="1">_xludf.IFNA(VLOOKUP(B23,'S-FG'!$B$3:$B1001,1,FALSE),"")</f>
        <v>#NAME?</v>
      </c>
      <c r="H23" t="str">
        <f ca="1">IFERROR(__xludf.DUMMYFUNCTION("""COMPUTED_VALUE"""),"Jet Motor Assy")</f>
        <v>Jet Motor Assy</v>
      </c>
      <c r="I23" t="str">
        <f ca="1">IFERROR(__xludf.DUMMYFUNCTION("""COMPUTED_VALUE"""),"Silicon Hose 4mm x 8mm")</f>
        <v>Silicon Hose 4mm x 8mm</v>
      </c>
      <c r="J23">
        <f ca="1">IFERROR(__xludf.DUMMYFUNCTION("""COMPUTED_VALUE"""),0.2)</f>
        <v>0.2</v>
      </c>
      <c r="L23">
        <f t="shared" ca="1" si="0"/>
        <v>0</v>
      </c>
      <c r="Q23" t="str">
        <f>IF(N23="","",SUMIFS('PR-BOM'!$D$3:$D1001,'PR-BOM'!$C$3:$C1001,N23))</f>
        <v/>
      </c>
      <c r="S23" t="str">
        <f ca="1">IFERROR(__xludf.DUMMYFUNCTION("""COMPUTED_VALUE"""),"Motor Cooling Jacket 56mm x 50mm")</f>
        <v>Motor Cooling Jacket 56mm x 50mm</v>
      </c>
      <c r="X23" t="e">
        <f ca="1"/>
        <v>#NAME?</v>
      </c>
      <c r="Y23" t="e">
        <f t="shared" ca="1" si="1"/>
        <v>#NAME?</v>
      </c>
      <c r="Z23" t="e">
        <f ca="1">IF(X23="","",SUMIFS(#REF!,RM!$C$4:$C991,X23))</f>
        <v>#NAME?</v>
      </c>
      <c r="AA23" t="e">
        <f ca="1">IF(X23="","",SUMIFS(#REF!,RM!$C$4:$C991,X23))</f>
        <v>#NAME?</v>
      </c>
      <c r="AB23" t="e">
        <f ca="1">IF(X23="","",SUMIFS(IRegback!$Y$2:$Y1001,IRegback!$X$2:$X1001,X23))</f>
        <v>#NAME?</v>
      </c>
      <c r="AC23" t="e">
        <f t="shared" ca="1" si="2"/>
        <v>#NAME?</v>
      </c>
      <c r="AD23" t="e">
        <f ca="1">IF(X23="","",VLOOKUP($X23,RM!$C$4:$G991,3,FALSE))</f>
        <v>#NAME?</v>
      </c>
      <c r="AE23" t="e">
        <f ca="1">IF(X23="","",VLOOKUP($X23,RM!$C$4:$G991,4,FALSE))</f>
        <v>#NAME?</v>
      </c>
      <c r="AF23" t="e">
        <f ca="1">IF(X23="","",VLOOKUP($X23,RM!$C$4:$G991,5,FALSE))</f>
        <v>#NAME?</v>
      </c>
      <c r="AH23" t="str">
        <f ca="1">IFERROR(__xludf.DUMMYFUNCTION("""COMPUTED_VALUE"""),"Saif Seas Life - DSR")</f>
        <v>Saif Seas Life - DSR</v>
      </c>
      <c r="AI23" t="str">
        <f ca="1">IFERROR(__xludf.DUMMYFUNCTION("""COMPUTED_VALUE"""),"Self Rightening Assy")</f>
        <v>Self Rightening Assy</v>
      </c>
      <c r="AJ23">
        <f ca="1">IFERROR(__xludf.DUMMYFUNCTION("""COMPUTED_VALUE"""),1)</f>
        <v>1</v>
      </c>
      <c r="AK23" t="str">
        <f ca="1">IFERROR(__xludf.DUMMYFUNCTION("""COMPUTED_VALUE"""),"Number")</f>
        <v>Number</v>
      </c>
      <c r="AL23" t="e">
        <f ca="1">_xludf.IFNA(VLOOKUP(AH23,'S-FG'!$B$3:$B1001,1,FALSE),"")</f>
        <v>#NAME?</v>
      </c>
      <c r="AM23" t="e">
        <f ca="1">IF(AI23="","",SUMIFS(#REF!,RM!$C$4:$C991,AI23))</f>
        <v>#REF!</v>
      </c>
    </row>
    <row r="24" spans="1:39">
      <c r="A24" t="str">
        <f ca="1">IFERROR(__xludf.DUMMYFUNCTION("""COMPUTED_VALUE"""),"Saif Seas Life - DSR")</f>
        <v>Saif Seas Life - DSR</v>
      </c>
      <c r="B24" t="str">
        <f ca="1">IFERROR(__xludf.DUMMYFUNCTION("""COMPUTED_VALUE"""),"IP Remote Assy")</f>
        <v>IP Remote Assy</v>
      </c>
      <c r="C24">
        <f ca="1">IFERROR(__xludf.DUMMYFUNCTION("""COMPUTED_VALUE"""),1)</f>
        <v>1</v>
      </c>
      <c r="D24" t="str">
        <f ca="1">IFERROR(__xludf.DUMMYFUNCTION("""COMPUTED_VALUE"""),"Number")</f>
        <v>Number</v>
      </c>
      <c r="E24">
        <f ca="1">IF(A24="","",SUMIFS('PR-BOM'!$D$3:$D1001,'PR-BOM'!$C$3:$C1001,A24)*C24)</f>
        <v>82</v>
      </c>
      <c r="F24" t="e">
        <f ca="1">_xludf.IFNA(VLOOKUP(B24,'S-FG'!$B$3:$B1001,1,FALSE),"")</f>
        <v>#NAME?</v>
      </c>
      <c r="H24" t="str">
        <f ca="1">IFERROR(__xludf.DUMMYFUNCTION("""COMPUTED_VALUE"""),"Jet Motor Assy")</f>
        <v>Jet Motor Assy</v>
      </c>
      <c r="I24" t="str">
        <f ca="1">IFERROR(__xludf.DUMMYFUNCTION("""COMPUTED_VALUE"""),"Silicon Hose 3mm x 6mm")</f>
        <v>Silicon Hose 3mm x 6mm</v>
      </c>
      <c r="J24">
        <f ca="1">IFERROR(__xludf.DUMMYFUNCTION("""COMPUTED_VALUE"""),0.75)</f>
        <v>0.75</v>
      </c>
      <c r="L24">
        <f t="shared" ca="1" si="0"/>
        <v>0</v>
      </c>
      <c r="Q24" t="str">
        <f>IF(N24="","",SUMIFS('PR-BOM'!$D$3:$D1001,'PR-BOM'!$C$3:$C1001,N24))</f>
        <v/>
      </c>
      <c r="S24" t="str">
        <f ca="1">IFERROR(__xludf.DUMMYFUNCTION("""COMPUTED_VALUE"""),"Silicon Hose 4mm x 8mm")</f>
        <v>Silicon Hose 4mm x 8mm</v>
      </c>
      <c r="X24" t="e">
        <f ca="1"/>
        <v>#NAME?</v>
      </c>
      <c r="Y24" t="e">
        <f t="shared" ca="1" si="1"/>
        <v>#NAME?</v>
      </c>
      <c r="Z24" t="e">
        <f ca="1">IF(X24="","",SUMIFS(#REF!,RM!$C$4:$C991,X24))</f>
        <v>#NAME?</v>
      </c>
      <c r="AA24" t="e">
        <f ca="1">IF(X24="","",SUMIFS(#REF!,RM!$C$4:$C991,X24))</f>
        <v>#NAME?</v>
      </c>
      <c r="AB24" t="e">
        <f ca="1">IF(X24="","",SUMIFS(IRegback!$Y$2:$Y1001,IRegback!$X$2:$X1001,X24))</f>
        <v>#NAME?</v>
      </c>
      <c r="AC24" t="e">
        <f t="shared" ca="1" si="2"/>
        <v>#NAME?</v>
      </c>
      <c r="AD24" t="e">
        <f ca="1">IF(X24="","",VLOOKUP($X24,RM!$C$4:$G991,3,FALSE))</f>
        <v>#NAME?</v>
      </c>
      <c r="AE24" t="e">
        <f ca="1">IF(X24="","",VLOOKUP($X24,RM!$C$4:$G991,4,FALSE))</f>
        <v>#NAME?</v>
      </c>
      <c r="AF24" t="e">
        <f ca="1">IF(X24="","",VLOOKUP($X24,RM!$C$4:$G991,5,FALSE))</f>
        <v>#NAME?</v>
      </c>
      <c r="AH24" t="str">
        <f ca="1">IFERROR(__xludf.DUMMYFUNCTION("""COMPUTED_VALUE"""),"Saif Seas Life - DSR")</f>
        <v>Saif Seas Life - DSR</v>
      </c>
      <c r="AI24" t="str">
        <f ca="1">IFERROR(__xludf.DUMMYFUNCTION("""COMPUTED_VALUE"""),"IP Remote Assy")</f>
        <v>IP Remote Assy</v>
      </c>
      <c r="AJ24">
        <f ca="1">IFERROR(__xludf.DUMMYFUNCTION("""COMPUTED_VALUE"""),1)</f>
        <v>1</v>
      </c>
      <c r="AK24" t="str">
        <f ca="1">IFERROR(__xludf.DUMMYFUNCTION("""COMPUTED_VALUE"""),"Number")</f>
        <v>Number</v>
      </c>
      <c r="AL24" t="e">
        <f ca="1">_xludf.IFNA(VLOOKUP(AH24,'S-FG'!$B$3:$B1001,1,FALSE),"")</f>
        <v>#NAME?</v>
      </c>
      <c r="AM24" t="e">
        <f ca="1">IF(AI24="","",SUMIFS(#REF!,RM!$C$4:$C991,AI24))</f>
        <v>#REF!</v>
      </c>
    </row>
    <row r="25" spans="1:39">
      <c r="A25" t="str">
        <f ca="1">IFERROR(__xludf.DUMMYFUNCTION("""COMPUTED_VALUE"""),"Saif Seas Life - DSR")</f>
        <v>Saif Seas Life - DSR</v>
      </c>
      <c r="B25" t="str">
        <f ca="1">IFERROR(__xludf.DUMMYFUNCTION("""COMPUTED_VALUE"""),"IP Remote Charging Cable Assy")</f>
        <v>IP Remote Charging Cable Assy</v>
      </c>
      <c r="C25">
        <f ca="1">IFERROR(__xludf.DUMMYFUNCTION("""COMPUTED_VALUE"""),1)</f>
        <v>1</v>
      </c>
      <c r="D25" t="str">
        <f ca="1">IFERROR(__xludf.DUMMYFUNCTION("""COMPUTED_VALUE"""),"Number")</f>
        <v>Number</v>
      </c>
      <c r="E25">
        <f ca="1">IF(A25="","",SUMIFS('PR-BOM'!$D$3:$D1001,'PR-BOM'!$C$3:$C1001,A25)*C25)</f>
        <v>82</v>
      </c>
      <c r="F25" t="e">
        <f ca="1">_xludf.IFNA(VLOOKUP(B25,'S-FG'!$B$3:$B1001,1,FALSE),"")</f>
        <v>#NAME?</v>
      </c>
      <c r="H25" t="str">
        <f ca="1">IFERROR(__xludf.DUMMYFUNCTION("""COMPUTED_VALUE"""),"Jet Motor Assy")</f>
        <v>Jet Motor Assy</v>
      </c>
      <c r="I25" t="str">
        <f ca="1">IFERROR(__xludf.DUMMYFUNCTION("""COMPUTED_VALUE"""),"Thread locker 242/270/290")</f>
        <v>Thread locker 242/270/290</v>
      </c>
      <c r="J25">
        <f ca="1">IFERROR(__xludf.DUMMYFUNCTION("""COMPUTED_VALUE"""),2)</f>
        <v>2</v>
      </c>
      <c r="K25" t="str">
        <f ca="1">IFERROR(__xludf.DUMMYFUNCTION("""COMPUTED_VALUE"""),"blank")</f>
        <v>blank</v>
      </c>
      <c r="L25">
        <f t="shared" ca="1" si="0"/>
        <v>0</v>
      </c>
      <c r="Q25" t="str">
        <f>IF(N25="","",SUMIFS('PR-BOM'!$D$3:$D1001,'PR-BOM'!$C$3:$C1001,N25))</f>
        <v/>
      </c>
      <c r="S25" t="str">
        <f ca="1">IFERROR(__xludf.DUMMYFUNCTION("""COMPUTED_VALUE"""),"Silicon Hose 3mm x 6mm")</f>
        <v>Silicon Hose 3mm x 6mm</v>
      </c>
      <c r="X25" t="e">
        <f ca="1"/>
        <v>#NAME?</v>
      </c>
      <c r="Y25" t="e">
        <f t="shared" ca="1" si="1"/>
        <v>#NAME?</v>
      </c>
      <c r="Z25" t="e">
        <f ca="1">IF(X25="","",SUMIFS(#REF!,RM!$C$4:$C991,X25))</f>
        <v>#NAME?</v>
      </c>
      <c r="AA25" t="e">
        <f ca="1">IF(X25="","",SUMIFS(#REF!,RM!$C$4:$C991,X25))</f>
        <v>#NAME?</v>
      </c>
      <c r="AB25" t="e">
        <f ca="1">IF(X25="","",SUMIFS(IRegback!$Y$2:$Y1001,IRegback!$X$2:$X1001,X25))</f>
        <v>#NAME?</v>
      </c>
      <c r="AC25" t="e">
        <f t="shared" ca="1" si="2"/>
        <v>#NAME?</v>
      </c>
      <c r="AD25" t="e">
        <f ca="1">IF(X25="","",VLOOKUP($X25,RM!$C$4:$G991,3,FALSE))</f>
        <v>#NAME?</v>
      </c>
      <c r="AE25" t="e">
        <f ca="1">IF(X25="","",VLOOKUP($X25,RM!$C$4:$G991,4,FALSE))</f>
        <v>#NAME?</v>
      </c>
      <c r="AF25" t="e">
        <f ca="1">IF(X25="","",VLOOKUP($X25,RM!$C$4:$G991,5,FALSE))</f>
        <v>#NAME?</v>
      </c>
      <c r="AH25" t="str">
        <f ca="1">IFERROR(__xludf.DUMMYFUNCTION("""COMPUTED_VALUE"""),"Saif Seas Life - DSR")</f>
        <v>Saif Seas Life - DSR</v>
      </c>
      <c r="AI25" t="str">
        <f ca="1">IFERROR(__xludf.DUMMYFUNCTION("""COMPUTED_VALUE"""),"IP Remote Charging Cable Assy")</f>
        <v>IP Remote Charging Cable Assy</v>
      </c>
      <c r="AJ25">
        <f ca="1">IFERROR(__xludf.DUMMYFUNCTION("""COMPUTED_VALUE"""),1)</f>
        <v>1</v>
      </c>
      <c r="AK25" t="str">
        <f ca="1">IFERROR(__xludf.DUMMYFUNCTION("""COMPUTED_VALUE"""),"Number")</f>
        <v>Number</v>
      </c>
      <c r="AL25" t="e">
        <f ca="1">_xludf.IFNA(VLOOKUP(AH25,'S-FG'!$B$3:$B1001,1,FALSE),"")</f>
        <v>#NAME?</v>
      </c>
      <c r="AM25" t="e">
        <f ca="1">IF(AI25="","",SUMIFS(#REF!,RM!$C$4:$C991,AI25))</f>
        <v>#REF!</v>
      </c>
    </row>
    <row r="26" spans="1:39">
      <c r="A26" t="str">
        <f ca="1">IFERROR(__xludf.DUMMYFUNCTION("""COMPUTED_VALUE"""),"Saif Seas Life - DSR")</f>
        <v>Saif Seas Life - DSR</v>
      </c>
      <c r="B26" t="str">
        <f ca="1">IFERROR(__xludf.DUMMYFUNCTION("""COMPUTED_VALUE"""),"AMCA Elec Assy")</f>
        <v>AMCA Elec Assy</v>
      </c>
      <c r="C26">
        <f ca="1">IFERROR(__xludf.DUMMYFUNCTION("""COMPUTED_VALUE"""),0)</f>
        <v>0</v>
      </c>
      <c r="D26" t="str">
        <f ca="1">IFERROR(__xludf.DUMMYFUNCTION("""COMPUTED_VALUE"""),"Number")</f>
        <v>Number</v>
      </c>
      <c r="E26">
        <f ca="1">IF(A26="","",SUMIFS('PR-BOM'!$D$3:$D1001,'PR-BOM'!$C$3:$C1001,A26)*C26)</f>
        <v>0</v>
      </c>
      <c r="F26" t="e">
        <f ca="1">_xludf.IFNA(VLOOKUP(B26,'S-FG'!$B$3:$B1001,1,FALSE),"")</f>
        <v>#NAME?</v>
      </c>
      <c r="H26" t="str">
        <f ca="1">IFERROR(__xludf.DUMMYFUNCTION("""COMPUTED_VALUE"""),"Jet Motor Assy")</f>
        <v>Jet Motor Assy</v>
      </c>
      <c r="I26" t="str">
        <f ca="1">IFERROR(__xludf.DUMMYFUNCTION("""COMPUTED_VALUE"""),"Thread locker Activator")</f>
        <v>Thread locker Activator</v>
      </c>
      <c r="J26">
        <f ca="1">IFERROR(__xludf.DUMMYFUNCTION("""COMPUTED_VALUE"""),2)</f>
        <v>2</v>
      </c>
      <c r="K26" t="str">
        <f ca="1">IFERROR(__xludf.DUMMYFUNCTION("""COMPUTED_VALUE"""),"blank")</f>
        <v>blank</v>
      </c>
      <c r="L26">
        <f t="shared" ca="1" si="0"/>
        <v>0</v>
      </c>
      <c r="Q26" t="str">
        <f>IF(N26="","",SUMIFS('PR-BOM'!$D$3:$D1001,'PR-BOM'!$C$3:$C1001,N26))</f>
        <v/>
      </c>
      <c r="S26" t="str">
        <f ca="1">IFERROR(__xludf.DUMMYFUNCTION("""COMPUTED_VALUE"""),"Thread locker 242/270/290")</f>
        <v>Thread locker 242/270/290</v>
      </c>
      <c r="X26" t="e">
        <f ca="1"/>
        <v>#NAME?</v>
      </c>
      <c r="Y26" t="e">
        <f t="shared" ca="1" si="1"/>
        <v>#NAME?</v>
      </c>
      <c r="Z26" t="e">
        <f ca="1">IF(X26="","",SUMIFS(#REF!,RM!$C$4:$C991,X26))</f>
        <v>#NAME?</v>
      </c>
      <c r="AA26" t="e">
        <f ca="1">IF(X26="","",SUMIFS(#REF!,RM!$C$4:$C991,X26))</f>
        <v>#NAME?</v>
      </c>
      <c r="AB26" t="e">
        <f ca="1">IF(X26="","",SUMIFS(IRegback!$Y$2:$Y1001,IRegback!$X$2:$X1001,X26))</f>
        <v>#NAME?</v>
      </c>
      <c r="AC26" t="e">
        <f t="shared" ca="1" si="2"/>
        <v>#NAME?</v>
      </c>
      <c r="AD26" t="e">
        <f ca="1">IF(X26="","",VLOOKUP($X26,RM!$C$4:$G991,3,FALSE))</f>
        <v>#NAME?</v>
      </c>
      <c r="AE26" t="e">
        <f ca="1">IF(X26="","",VLOOKUP($X26,RM!$C$4:$G991,4,FALSE))</f>
        <v>#NAME?</v>
      </c>
      <c r="AF26" t="e">
        <f ca="1">IF(X26="","",VLOOKUP($X26,RM!$C$4:$G991,5,FALSE))</f>
        <v>#NAME?</v>
      </c>
      <c r="AH26" t="str">
        <f ca="1">IFERROR(__xludf.DUMMYFUNCTION("""COMPUTED_VALUE"""),"Saif Seas Life - DSR")</f>
        <v>Saif Seas Life - DSR</v>
      </c>
      <c r="AI26" t="str">
        <f ca="1">IFERROR(__xludf.DUMMYFUNCTION("""COMPUTED_VALUE"""),"AMCA Elec Assy")</f>
        <v>AMCA Elec Assy</v>
      </c>
      <c r="AJ26">
        <f ca="1">IFERROR(__xludf.DUMMYFUNCTION("""COMPUTED_VALUE"""),0)</f>
        <v>0</v>
      </c>
      <c r="AK26" t="str">
        <f ca="1">IFERROR(__xludf.DUMMYFUNCTION("""COMPUTED_VALUE"""),"Number")</f>
        <v>Number</v>
      </c>
      <c r="AL26" t="e">
        <f ca="1">_xludf.IFNA(VLOOKUP(AH26,'S-FG'!$B$3:$B1001,1,FALSE),"")</f>
        <v>#NAME?</v>
      </c>
      <c r="AM26" t="e">
        <f ca="1">IF(AI26="","",SUMIFS(#REF!,RM!$C$4:$C991,AI26))</f>
        <v>#REF!</v>
      </c>
    </row>
    <row r="27" spans="1:39">
      <c r="A27" t="str">
        <f ca="1">IFERROR(__xludf.DUMMYFUNCTION("""COMPUTED_VALUE"""),"Saif Seas Life - DSR")</f>
        <v>Saif Seas Life - DSR</v>
      </c>
      <c r="B27" t="str">
        <f ca="1">IFERROR(__xludf.DUMMYFUNCTION("""COMPUTED_VALUE"""),"AMCA Mech Assy")</f>
        <v>AMCA Mech Assy</v>
      </c>
      <c r="C27">
        <f ca="1">IFERROR(__xludf.DUMMYFUNCTION("""COMPUTED_VALUE"""),0)</f>
        <v>0</v>
      </c>
      <c r="D27" t="str">
        <f ca="1">IFERROR(__xludf.DUMMYFUNCTION("""COMPUTED_VALUE"""),"Number")</f>
        <v>Number</v>
      </c>
      <c r="E27">
        <f ca="1">IF(A27="","",SUMIFS('PR-BOM'!$D$3:$D1001,'PR-BOM'!$C$3:$C1001,A27)*C27)</f>
        <v>0</v>
      </c>
      <c r="F27" t="e">
        <f ca="1">_xludf.IFNA(VLOOKUP(B27,'S-FG'!$B$3:$B1001,1,FALSE),"")</f>
        <v>#NAME?</v>
      </c>
      <c r="H27" t="str">
        <f ca="1">IFERROR(__xludf.DUMMYFUNCTION("""COMPUTED_VALUE"""),"STBD_ESC Assy")</f>
        <v>STBD_ESC Assy</v>
      </c>
      <c r="I27" t="str">
        <f ca="1">IFERROR(__xludf.DUMMYFUNCTION("""COMPUTED_VALUE"""),"5.5mm Female Bullet connector")</f>
        <v>5.5mm Female Bullet connector</v>
      </c>
      <c r="J27">
        <f ca="1">IFERROR(__xludf.DUMMYFUNCTION("""COMPUTED_VALUE"""),1)</f>
        <v>1</v>
      </c>
      <c r="K27" t="str">
        <f ca="1">IFERROR(__xludf.DUMMYFUNCTION("""COMPUTED_VALUE"""),"blank")</f>
        <v>blank</v>
      </c>
      <c r="L27">
        <f t="shared" ca="1" si="0"/>
        <v>0</v>
      </c>
      <c r="Q27" t="str">
        <f>IF(N27="","",SUMIFS('PR-BOM'!$D$3:$D1001,'PR-BOM'!$C$3:$C1001,N27))</f>
        <v/>
      </c>
      <c r="S27" t="str">
        <f ca="1">IFERROR(__xludf.DUMMYFUNCTION("""COMPUTED_VALUE"""),"Thread locker Activator")</f>
        <v>Thread locker Activator</v>
      </c>
      <c r="X27" t="e">
        <f ca="1"/>
        <v>#NAME?</v>
      </c>
      <c r="Y27" t="e">
        <f t="shared" ca="1" si="1"/>
        <v>#NAME?</v>
      </c>
      <c r="Z27" t="e">
        <f ca="1">IF(X27="","",SUMIFS(#REF!,RM!$C$4:$C991,X27))</f>
        <v>#NAME?</v>
      </c>
      <c r="AA27" t="e">
        <f ca="1">IF(X27="","",SUMIFS(#REF!,RM!$C$4:$C991,X27))</f>
        <v>#NAME?</v>
      </c>
      <c r="AB27" t="e">
        <f ca="1">IF(X27="","",SUMIFS(IRegback!$Y$2:$Y1001,IRegback!$X$2:$X1001,X27))</f>
        <v>#NAME?</v>
      </c>
      <c r="AC27" t="e">
        <f t="shared" ca="1" si="2"/>
        <v>#NAME?</v>
      </c>
      <c r="AD27" t="e">
        <f ca="1">IF(X27="","",VLOOKUP($X27,RM!$C$4:$G991,3,FALSE))</f>
        <v>#NAME?</v>
      </c>
      <c r="AE27" t="e">
        <f ca="1">IF(X27="","",VLOOKUP($X27,RM!$C$4:$G991,4,FALSE))</f>
        <v>#NAME?</v>
      </c>
      <c r="AF27" t="e">
        <f ca="1">IF(X27="","",VLOOKUP($X27,RM!$C$4:$G991,5,FALSE))</f>
        <v>#NAME?</v>
      </c>
      <c r="AH27" t="str">
        <f ca="1">IFERROR(__xludf.DUMMYFUNCTION("""COMPUTED_VALUE"""),"Saif Seas Life - DSR")</f>
        <v>Saif Seas Life - DSR</v>
      </c>
      <c r="AI27" t="str">
        <f ca="1">IFERROR(__xludf.DUMMYFUNCTION("""COMPUTED_VALUE"""),"AMCA Mech Assy")</f>
        <v>AMCA Mech Assy</v>
      </c>
      <c r="AJ27">
        <f ca="1">IFERROR(__xludf.DUMMYFUNCTION("""COMPUTED_VALUE"""),0)</f>
        <v>0</v>
      </c>
      <c r="AK27" t="str">
        <f ca="1">IFERROR(__xludf.DUMMYFUNCTION("""COMPUTED_VALUE"""),"Number")</f>
        <v>Number</v>
      </c>
      <c r="AL27" t="e">
        <f ca="1">_xludf.IFNA(VLOOKUP(AH27,'S-FG'!$B$3:$B1001,1,FALSE),"")</f>
        <v>#NAME?</v>
      </c>
      <c r="AM27" t="e">
        <f ca="1">IF(AI27="","",SUMIFS(#REF!,RM!$C$4:$C991,AI27))</f>
        <v>#REF!</v>
      </c>
    </row>
    <row r="28" spans="1:39">
      <c r="A28" t="str">
        <f ca="1">IFERROR(__xludf.DUMMYFUNCTION("""COMPUTED_VALUE"""),"Saif Seas Life - DSR")</f>
        <v>Saif Seas Life - DSR</v>
      </c>
      <c r="B28" t="str">
        <f ca="1">IFERROR(__xludf.DUMMYFUNCTION("""COMPUTED_VALUE"""),"Final Craft Assy")</f>
        <v>Final Craft Assy</v>
      </c>
      <c r="C28">
        <f ca="1">IFERROR(__xludf.DUMMYFUNCTION("""COMPUTED_VALUE"""),1)</f>
        <v>1</v>
      </c>
      <c r="D28" t="str">
        <f ca="1">IFERROR(__xludf.DUMMYFUNCTION("""COMPUTED_VALUE"""),"Number")</f>
        <v>Number</v>
      </c>
      <c r="E28">
        <f ca="1">IF(A28="","",SUMIFS('PR-BOM'!$D$3:$D1001,'PR-BOM'!$C$3:$C1001,A28)*C28)</f>
        <v>82</v>
      </c>
      <c r="F28" t="e">
        <f ca="1">_xludf.IFNA(VLOOKUP(B28,'S-FG'!$B$3:$B1001,1,FALSE),"")</f>
        <v>#NAME?</v>
      </c>
      <c r="H28" t="str">
        <f ca="1">IFERROR(__xludf.DUMMYFUNCTION("""COMPUTED_VALUE"""),"STBD_ESC Assy")</f>
        <v>STBD_ESC Assy</v>
      </c>
      <c r="I28" t="str">
        <f ca="1">IFERROR(__xludf.DUMMYFUNCTION("""COMPUTED_VALUE"""),"4mm Male Bullet connector")</f>
        <v>4mm Male Bullet connector</v>
      </c>
      <c r="J28">
        <f ca="1">IFERROR(__xludf.DUMMYFUNCTION("""COMPUTED_VALUE"""),2)</f>
        <v>2</v>
      </c>
      <c r="K28" t="str">
        <f ca="1">IFERROR(__xludf.DUMMYFUNCTION("""COMPUTED_VALUE"""),"blank")</f>
        <v>blank</v>
      </c>
      <c r="L28">
        <f t="shared" ca="1" si="0"/>
        <v>0</v>
      </c>
      <c r="Q28" t="str">
        <f>IF(N28="","",SUMIFS('PR-BOM'!$D$3:$D1001,'PR-BOM'!$C$3:$C1001,N28))</f>
        <v/>
      </c>
      <c r="S28" t="str">
        <f ca="1">IFERROR(__xludf.DUMMYFUNCTION("""COMPUTED_VALUE"""),"5.5mm Female Bullet connector")</f>
        <v>5.5mm Female Bullet connector</v>
      </c>
      <c r="X28" t="e">
        <f ca="1"/>
        <v>#NAME?</v>
      </c>
      <c r="Y28" t="e">
        <f t="shared" ca="1" si="1"/>
        <v>#NAME?</v>
      </c>
      <c r="Z28" t="e">
        <f ca="1">IF(X28="","",SUMIFS(#REF!,RM!$C$4:$C991,X28))</f>
        <v>#NAME?</v>
      </c>
      <c r="AA28" t="e">
        <f ca="1">IF(X28="","",SUMIFS(#REF!,RM!$C$4:$C991,X28))</f>
        <v>#NAME?</v>
      </c>
      <c r="AB28" t="e">
        <f ca="1">IF(X28="","",SUMIFS(IRegback!$Y$2:$Y1001,IRegback!$X$2:$X1001,X28))</f>
        <v>#NAME?</v>
      </c>
      <c r="AC28" t="e">
        <f t="shared" ca="1" si="2"/>
        <v>#NAME?</v>
      </c>
      <c r="AD28" t="e">
        <f ca="1">IF(X28="","",VLOOKUP($X28,RM!$C$4:$G991,3,FALSE))</f>
        <v>#NAME?</v>
      </c>
      <c r="AE28" t="e">
        <f ca="1">IF(X28="","",VLOOKUP($X28,RM!$C$4:$G991,4,FALSE))</f>
        <v>#NAME?</v>
      </c>
      <c r="AF28" t="e">
        <f ca="1">IF(X28="","",VLOOKUP($X28,RM!$C$4:$G991,5,FALSE))</f>
        <v>#NAME?</v>
      </c>
      <c r="AH28" t="str">
        <f ca="1">IFERROR(__xludf.DUMMYFUNCTION("""COMPUTED_VALUE"""),"Saif Seas Life - DSR")</f>
        <v>Saif Seas Life - DSR</v>
      </c>
      <c r="AI28" t="str">
        <f ca="1">IFERROR(__xludf.DUMMYFUNCTION("""COMPUTED_VALUE"""),"Final Craft Assy")</f>
        <v>Final Craft Assy</v>
      </c>
      <c r="AJ28">
        <f ca="1">IFERROR(__xludf.DUMMYFUNCTION("""COMPUTED_VALUE"""),1)</f>
        <v>1</v>
      </c>
      <c r="AK28" t="str">
        <f ca="1">IFERROR(__xludf.DUMMYFUNCTION("""COMPUTED_VALUE"""),"Number")</f>
        <v>Number</v>
      </c>
      <c r="AL28" t="e">
        <f ca="1">_xludf.IFNA(VLOOKUP(AH28,'S-FG'!$B$3:$B1001,1,FALSE),"")</f>
        <v>#NAME?</v>
      </c>
      <c r="AM28" t="e">
        <f ca="1">IF(AI28="","",SUMIFS(#REF!,RM!$C$4:$C991,AI28))</f>
        <v>#REF!</v>
      </c>
    </row>
    <row r="29" spans="1:39">
      <c r="A29" t="str">
        <f ca="1">IFERROR(__xludf.DUMMYFUNCTION("""COMPUTED_VALUE"""),"Saif Seas Life - DSR")</f>
        <v>Saif Seas Life - DSR</v>
      </c>
      <c r="B29" t="str">
        <f ca="1">IFERROR(__xludf.DUMMYFUNCTION("""COMPUTED_VALUE"""),"STBD Aft Plate Assy")</f>
        <v>STBD Aft Plate Assy</v>
      </c>
      <c r="C29">
        <f ca="1">IFERROR(__xludf.DUMMYFUNCTION("""COMPUTED_VALUE"""),1)</f>
        <v>1</v>
      </c>
      <c r="D29" t="str">
        <f ca="1">IFERROR(__xludf.DUMMYFUNCTION("""COMPUTED_VALUE"""),"Number")</f>
        <v>Number</v>
      </c>
      <c r="E29">
        <f ca="1">IF(A29="","",SUMIFS('PR-BOM'!$D$3:$D1001,'PR-BOM'!$C$3:$C1001,A29)*C29)</f>
        <v>82</v>
      </c>
      <c r="F29" t="e">
        <f ca="1">_xludf.IFNA(VLOOKUP(B29,'S-FG'!$B$3:$B1001,1,FALSE),"")</f>
        <v>#NAME?</v>
      </c>
      <c r="H29" t="str">
        <f ca="1">IFERROR(__xludf.DUMMYFUNCTION("""COMPUTED_VALUE"""),"STBD_ESC Assy")</f>
        <v>STBD_ESC Assy</v>
      </c>
      <c r="I29" t="str">
        <f ca="1">IFERROR(__xludf.DUMMYFUNCTION("""COMPUTED_VALUE"""),"4mm Female Bullet connector")</f>
        <v>4mm Female Bullet connector</v>
      </c>
      <c r="J29">
        <f ca="1">IFERROR(__xludf.DUMMYFUNCTION("""COMPUTED_VALUE"""),1)</f>
        <v>1</v>
      </c>
      <c r="K29" t="str">
        <f ca="1">IFERROR(__xludf.DUMMYFUNCTION("""COMPUTED_VALUE"""),"blank")</f>
        <v>blank</v>
      </c>
      <c r="L29">
        <f t="shared" ca="1" si="0"/>
        <v>0</v>
      </c>
      <c r="Q29" t="str">
        <f>IF(N29="","",SUMIFS('PR-BOM'!$D$3:$D1001,'PR-BOM'!$C$3:$C1001,N29))</f>
        <v/>
      </c>
      <c r="S29" t="str">
        <f ca="1">IFERROR(__xludf.DUMMYFUNCTION("""COMPUTED_VALUE"""),"4mm Male Bullet connector")</f>
        <v>4mm Male Bullet connector</v>
      </c>
      <c r="X29" t="e">
        <f ca="1"/>
        <v>#NAME?</v>
      </c>
      <c r="Y29" t="e">
        <f t="shared" ca="1" si="1"/>
        <v>#NAME?</v>
      </c>
      <c r="Z29" t="e">
        <f ca="1">IF(X29="","",SUMIFS(#REF!,RM!$C$4:$C991,X29))</f>
        <v>#NAME?</v>
      </c>
      <c r="AA29" t="e">
        <f ca="1">IF(X29="","",SUMIFS(#REF!,RM!$C$4:$C991,X29))</f>
        <v>#NAME?</v>
      </c>
      <c r="AB29" t="e">
        <f ca="1">IF(X29="","",SUMIFS(IRegback!$Y$2:$Y1001,IRegback!$X$2:$X1001,X29))</f>
        <v>#NAME?</v>
      </c>
      <c r="AC29" t="e">
        <f t="shared" ca="1" si="2"/>
        <v>#NAME?</v>
      </c>
      <c r="AD29" t="e">
        <f ca="1">IF(X29="","",VLOOKUP($X29,RM!$C$4:$G991,3,FALSE))</f>
        <v>#NAME?</v>
      </c>
      <c r="AE29" t="e">
        <f ca="1">IF(X29="","",VLOOKUP($X29,RM!$C$4:$G991,4,FALSE))</f>
        <v>#NAME?</v>
      </c>
      <c r="AF29" t="e">
        <f ca="1">IF(X29="","",VLOOKUP($X29,RM!$C$4:$G991,5,FALSE))</f>
        <v>#NAME?</v>
      </c>
      <c r="AH29" t="str">
        <f ca="1">IFERROR(__xludf.DUMMYFUNCTION("""COMPUTED_VALUE"""),"Saif Seas Life - DSR")</f>
        <v>Saif Seas Life - DSR</v>
      </c>
      <c r="AI29" t="str">
        <f ca="1">IFERROR(__xludf.DUMMYFUNCTION("""COMPUTED_VALUE"""),"STBD Aft Plate Assy")</f>
        <v>STBD Aft Plate Assy</v>
      </c>
      <c r="AJ29">
        <f ca="1">IFERROR(__xludf.DUMMYFUNCTION("""COMPUTED_VALUE"""),1)</f>
        <v>1</v>
      </c>
      <c r="AK29" t="str">
        <f ca="1">IFERROR(__xludf.DUMMYFUNCTION("""COMPUTED_VALUE"""),"Number")</f>
        <v>Number</v>
      </c>
      <c r="AL29" t="e">
        <f ca="1">_xludf.IFNA(VLOOKUP(AH29,'S-FG'!$B$3:$B1001,1,FALSE),"")</f>
        <v>#NAME?</v>
      </c>
      <c r="AM29" t="e">
        <f ca="1">IF(AI29="","",SUMIFS(#REF!,RM!$C$4:$C991,AI29))</f>
        <v>#REF!</v>
      </c>
    </row>
    <row r="30" spans="1:39">
      <c r="A30" t="str">
        <f ca="1">IFERROR(__xludf.DUMMYFUNCTION("""COMPUTED_VALUE"""),"Saif Seas Life - DSR")</f>
        <v>Saif Seas Life - DSR</v>
      </c>
      <c r="B30" t="str">
        <f ca="1">IFERROR(__xludf.DUMMYFUNCTION("""COMPUTED_VALUE"""),"PORT Aft Plate Assy")</f>
        <v>PORT Aft Plate Assy</v>
      </c>
      <c r="C30">
        <f ca="1">IFERROR(__xludf.DUMMYFUNCTION("""COMPUTED_VALUE"""),1)</f>
        <v>1</v>
      </c>
      <c r="D30" t="str">
        <f ca="1">IFERROR(__xludf.DUMMYFUNCTION("""COMPUTED_VALUE"""),"Number")</f>
        <v>Number</v>
      </c>
      <c r="E30">
        <f ca="1">IF(A30="","",SUMIFS('PR-BOM'!$D$3:$D1001,'PR-BOM'!$C$3:$C1001,A30)*C30)</f>
        <v>82</v>
      </c>
      <c r="F30" t="e">
        <f ca="1">_xludf.IFNA(VLOOKUP(B30,'S-FG'!$B$3:$B1001,1,FALSE),"")</f>
        <v>#NAME?</v>
      </c>
      <c r="H30" t="str">
        <f ca="1">IFERROR(__xludf.DUMMYFUNCTION("""COMPUTED_VALUE"""),"STBD_ESC Assy")</f>
        <v>STBD_ESC Assy</v>
      </c>
      <c r="I30" t="str">
        <f ca="1">IFERROR(__xludf.DUMMYFUNCTION("""COMPUTED_VALUE"""),"Black 12AWG")</f>
        <v>Black 12AWG</v>
      </c>
      <c r="J30">
        <f ca="1">IFERROR(__xludf.DUMMYFUNCTION("""COMPUTED_VALUE"""),0.55)</f>
        <v>0.55000000000000004</v>
      </c>
      <c r="K30" t="str">
        <f ca="1">IFERROR(__xludf.DUMMYFUNCTION("""COMPUTED_VALUE"""),"blank")</f>
        <v>blank</v>
      </c>
      <c r="L30">
        <f t="shared" ca="1" si="0"/>
        <v>0</v>
      </c>
      <c r="Q30" t="str">
        <f>IF(N30="","",SUMIFS('PR-BOM'!$D$3:$D1001,'PR-BOM'!$C$3:$C1001,N30))</f>
        <v/>
      </c>
      <c r="S30" t="str">
        <f ca="1">IFERROR(__xludf.DUMMYFUNCTION("""COMPUTED_VALUE"""),"4mm Female Bullet connector")</f>
        <v>4mm Female Bullet connector</v>
      </c>
      <c r="X30" t="e">
        <f ca="1"/>
        <v>#NAME?</v>
      </c>
      <c r="Y30" t="e">
        <f t="shared" ca="1" si="1"/>
        <v>#NAME?</v>
      </c>
      <c r="Z30" t="e">
        <f ca="1">IF(X30="","",SUMIFS(#REF!,RM!$C$4:$C991,X30))</f>
        <v>#NAME?</v>
      </c>
      <c r="AA30" t="e">
        <f ca="1">IF(X30="","",SUMIFS(#REF!,RM!$C$4:$C991,X30))</f>
        <v>#NAME?</v>
      </c>
      <c r="AB30" t="e">
        <f ca="1">IF(X30="","",SUMIFS(IRegback!$Y$2:$Y1001,IRegback!$X$2:$X1001,X30))</f>
        <v>#NAME?</v>
      </c>
      <c r="AC30" t="e">
        <f t="shared" ca="1" si="2"/>
        <v>#NAME?</v>
      </c>
      <c r="AD30" t="e">
        <f ca="1">IF(X30="","",VLOOKUP($X30,RM!$C$4:$G991,3,FALSE))</f>
        <v>#NAME?</v>
      </c>
      <c r="AE30" t="e">
        <f ca="1">IF(X30="","",VLOOKUP($X30,RM!$C$4:$G991,4,FALSE))</f>
        <v>#NAME?</v>
      </c>
      <c r="AF30" t="e">
        <f ca="1">IF(X30="","",VLOOKUP($X30,RM!$C$4:$G991,5,FALSE))</f>
        <v>#NAME?</v>
      </c>
      <c r="AH30" t="str">
        <f ca="1">IFERROR(__xludf.DUMMYFUNCTION("""COMPUTED_VALUE"""),"Saif Seas Life - DSR")</f>
        <v>Saif Seas Life - DSR</v>
      </c>
      <c r="AI30" t="str">
        <f ca="1">IFERROR(__xludf.DUMMYFUNCTION("""COMPUTED_VALUE"""),"PORT Aft Plate Assy")</f>
        <v>PORT Aft Plate Assy</v>
      </c>
      <c r="AJ30">
        <f ca="1">IFERROR(__xludf.DUMMYFUNCTION("""COMPUTED_VALUE"""),1)</f>
        <v>1</v>
      </c>
      <c r="AK30" t="str">
        <f ca="1">IFERROR(__xludf.DUMMYFUNCTION("""COMPUTED_VALUE"""),"Number")</f>
        <v>Number</v>
      </c>
      <c r="AL30" t="e">
        <f ca="1">_xludf.IFNA(VLOOKUP(AH30,'S-FG'!$B$3:$B1001,1,FALSE),"")</f>
        <v>#NAME?</v>
      </c>
      <c r="AM30" t="e">
        <f ca="1">IF(AI30="","",SUMIFS(#REF!,RM!$C$4:$C991,AI30))</f>
        <v>#REF!</v>
      </c>
    </row>
    <row r="31" spans="1:39">
      <c r="A31" t="str">
        <f ca="1">IFERROR(__xludf.DUMMYFUNCTION("""COMPUTED_VALUE"""),"Saif Seas Life - DSR")</f>
        <v>Saif Seas Life - DSR</v>
      </c>
      <c r="B31" t="str">
        <f ca="1">IFERROR(__xludf.DUMMYFUNCTION("""COMPUTED_VALUE"""),"Current Sensor Assy")</f>
        <v>Current Sensor Assy</v>
      </c>
      <c r="C31">
        <f ca="1">IFERROR(__xludf.DUMMYFUNCTION("""COMPUTED_VALUE"""),1)</f>
        <v>1</v>
      </c>
      <c r="D31" t="str">
        <f ca="1">IFERROR(__xludf.DUMMYFUNCTION("""COMPUTED_VALUE"""),"Number")</f>
        <v>Number</v>
      </c>
      <c r="E31">
        <f ca="1">IF(A31="","",SUMIFS('PR-BOM'!$D$3:$D1001,'PR-BOM'!$C$3:$C1001,A31)*C31)</f>
        <v>82</v>
      </c>
      <c r="F31" t="e">
        <f ca="1">_xludf.IFNA(VLOOKUP(B31,'S-FG'!$B$3:$B1001,1,FALSE),"")</f>
        <v>#NAME?</v>
      </c>
      <c r="H31" t="str">
        <f ca="1">IFERROR(__xludf.DUMMYFUNCTION("""COMPUTED_VALUE"""),"STBD_ESC Assy")</f>
        <v>STBD_ESC Assy</v>
      </c>
      <c r="I31" t="str">
        <f ca="1">IFERROR(__xludf.DUMMYFUNCTION("""COMPUTED_VALUE"""),"Red 12AWG")</f>
        <v>Red 12AWG</v>
      </c>
      <c r="J31">
        <f ca="1">IFERROR(__xludf.DUMMYFUNCTION("""COMPUTED_VALUE"""),0.55)</f>
        <v>0.55000000000000004</v>
      </c>
      <c r="K31" t="str">
        <f ca="1">IFERROR(__xludf.DUMMYFUNCTION("""COMPUTED_VALUE"""),"blank")</f>
        <v>blank</v>
      </c>
      <c r="L31">
        <f t="shared" ca="1" si="0"/>
        <v>0</v>
      </c>
      <c r="Q31" t="str">
        <f>IF(N31="","",SUMIFS('PR-BOM'!$D$3:$D1001,'PR-BOM'!$C$3:$C1001,N31))</f>
        <v/>
      </c>
      <c r="S31" t="str">
        <f ca="1">IFERROR(__xludf.DUMMYFUNCTION("""COMPUTED_VALUE"""),"Black 12AWG")</f>
        <v>Black 12AWG</v>
      </c>
      <c r="X31" t="e">
        <f ca="1"/>
        <v>#NAME?</v>
      </c>
      <c r="Y31" t="e">
        <f t="shared" ca="1" si="1"/>
        <v>#NAME?</v>
      </c>
      <c r="Z31" t="e">
        <f ca="1">IF(X31="","",SUMIFS(#REF!,RM!$C$4:$C991,X31))</f>
        <v>#NAME?</v>
      </c>
      <c r="AA31" t="e">
        <f ca="1">IF(X31="","",SUMIFS(#REF!,RM!$C$4:$C991,X31))</f>
        <v>#NAME?</v>
      </c>
      <c r="AB31" t="e">
        <f ca="1">IF(X31="","",SUMIFS(IRegback!$Y$2:$Y1001,IRegback!$X$2:$X1001,X31))</f>
        <v>#NAME?</v>
      </c>
      <c r="AC31" t="e">
        <f t="shared" ca="1" si="2"/>
        <v>#NAME?</v>
      </c>
      <c r="AD31" t="e">
        <f ca="1">IF(X31="","",VLOOKUP($X31,RM!$C$4:$G991,3,FALSE))</f>
        <v>#NAME?</v>
      </c>
      <c r="AE31" t="e">
        <f ca="1">IF(X31="","",VLOOKUP($X31,RM!$C$4:$G991,4,FALSE))</f>
        <v>#NAME?</v>
      </c>
      <c r="AF31" t="e">
        <f ca="1">IF(X31="","",VLOOKUP($X31,RM!$C$4:$G991,5,FALSE))</f>
        <v>#NAME?</v>
      </c>
      <c r="AH31" t="str">
        <f ca="1">IFERROR(__xludf.DUMMYFUNCTION("""COMPUTED_VALUE"""),"Saif Seas Life - DSR")</f>
        <v>Saif Seas Life - DSR</v>
      </c>
      <c r="AI31" t="str">
        <f ca="1">IFERROR(__xludf.DUMMYFUNCTION("""COMPUTED_VALUE"""),"Current Sensor Assy")</f>
        <v>Current Sensor Assy</v>
      </c>
      <c r="AJ31">
        <f ca="1">IFERROR(__xludf.DUMMYFUNCTION("""COMPUTED_VALUE"""),1)</f>
        <v>1</v>
      </c>
      <c r="AK31" t="str">
        <f ca="1">IFERROR(__xludf.DUMMYFUNCTION("""COMPUTED_VALUE"""),"Number")</f>
        <v>Number</v>
      </c>
      <c r="AL31" t="e">
        <f ca="1">_xludf.IFNA(VLOOKUP(AH31,'S-FG'!$B$3:$B1001,1,FALSE),"")</f>
        <v>#NAME?</v>
      </c>
      <c r="AM31" t="e">
        <f ca="1">IF(AI31="","",SUMIFS(#REF!,RM!$C$4:$C991,AI31))</f>
        <v>#REF!</v>
      </c>
    </row>
    <row r="32" spans="1:39">
      <c r="A32" t="str">
        <f ca="1">IFERROR(__xludf.DUMMYFUNCTION("""COMPUTED_VALUE"""),"Saif Seas Life - DSR")</f>
        <v>Saif Seas Life - DSR</v>
      </c>
      <c r="B32" t="str">
        <f ca="1">IFERROR(__xludf.DUMMYFUNCTION("""COMPUTED_VALUE"""),"RPM Sensor Assy")</f>
        <v>RPM Sensor Assy</v>
      </c>
      <c r="C32">
        <f ca="1">IFERROR(__xludf.DUMMYFUNCTION("""COMPUTED_VALUE"""),1)</f>
        <v>1</v>
      </c>
      <c r="D32" t="str">
        <f ca="1">IFERROR(__xludf.DUMMYFUNCTION("""COMPUTED_VALUE"""),"Number")</f>
        <v>Number</v>
      </c>
      <c r="E32">
        <f ca="1">IF(A32="","",SUMIFS('PR-BOM'!$D$3:$D1001,'PR-BOM'!$C$3:$C1001,A32)*C32)</f>
        <v>82</v>
      </c>
      <c r="F32" t="e">
        <f ca="1">_xludf.IFNA(VLOOKUP(B32,'S-FG'!$B$3:$B1001,1,FALSE),"")</f>
        <v>#NAME?</v>
      </c>
      <c r="H32" t="str">
        <f ca="1">IFERROR(__xludf.DUMMYFUNCTION("""COMPUTED_VALUE"""),"STBD_ESC Assy")</f>
        <v>STBD_ESC Assy</v>
      </c>
      <c r="I32" t="str">
        <f ca="1">IFERROR(__xludf.DUMMYFUNCTION("""COMPUTED_VALUE"""),"Ferrite Core")</f>
        <v>Ferrite Core</v>
      </c>
      <c r="J32">
        <f ca="1">IFERROR(__xludf.DUMMYFUNCTION("""COMPUTED_VALUE"""),1)</f>
        <v>1</v>
      </c>
      <c r="K32" t="str">
        <f ca="1">IFERROR(__xludf.DUMMYFUNCTION("""COMPUTED_VALUE"""),"CF199T1306C")</f>
        <v>CF199T1306C</v>
      </c>
      <c r="L32">
        <f t="shared" ca="1" si="0"/>
        <v>0</v>
      </c>
      <c r="Q32" t="str">
        <f>IF(N32="","",SUMIFS('PR-BOM'!$D$3:$D1001,'PR-BOM'!$C$3:$C1001,N32))</f>
        <v/>
      </c>
      <c r="S32" t="str">
        <f ca="1">IFERROR(__xludf.DUMMYFUNCTION("""COMPUTED_VALUE"""),"Red 12AWG")</f>
        <v>Red 12AWG</v>
      </c>
      <c r="X32" t="e">
        <f ca="1"/>
        <v>#NAME?</v>
      </c>
      <c r="Y32" t="e">
        <f t="shared" ca="1" si="1"/>
        <v>#NAME?</v>
      </c>
      <c r="Z32" t="e">
        <f ca="1">IF(X32="","",SUMIFS(#REF!,RM!$C$4:$C991,X32))</f>
        <v>#NAME?</v>
      </c>
      <c r="AA32" t="e">
        <f ca="1">IF(X32="","",SUMIFS(#REF!,RM!$C$4:$C991,X32))</f>
        <v>#NAME?</v>
      </c>
      <c r="AB32" t="e">
        <f ca="1">IF(X32="","",SUMIFS(IRegback!$Y$2:$Y1001,IRegback!$X$2:$X1001,X32))</f>
        <v>#NAME?</v>
      </c>
      <c r="AC32" t="e">
        <f t="shared" ca="1" si="2"/>
        <v>#NAME?</v>
      </c>
      <c r="AD32" t="e">
        <f ca="1">IF(X32="","",VLOOKUP($X32,RM!$C$4:$G991,3,FALSE))</f>
        <v>#NAME?</v>
      </c>
      <c r="AE32" t="e">
        <f ca="1">IF(X32="","",VLOOKUP($X32,RM!$C$4:$G991,4,FALSE))</f>
        <v>#NAME?</v>
      </c>
      <c r="AF32" t="e">
        <f ca="1">IF(X32="","",VLOOKUP($X32,RM!$C$4:$G991,5,FALSE))</f>
        <v>#NAME?</v>
      </c>
      <c r="AH32" t="str">
        <f ca="1">IFERROR(__xludf.DUMMYFUNCTION("""COMPUTED_VALUE"""),"Saif Seas Life - DSR")</f>
        <v>Saif Seas Life - DSR</v>
      </c>
      <c r="AI32" t="str">
        <f ca="1">IFERROR(__xludf.DUMMYFUNCTION("""COMPUTED_VALUE"""),"RPM Sensor Assy")</f>
        <v>RPM Sensor Assy</v>
      </c>
      <c r="AJ32">
        <f ca="1">IFERROR(__xludf.DUMMYFUNCTION("""COMPUTED_VALUE"""),1)</f>
        <v>1</v>
      </c>
      <c r="AK32" t="str">
        <f ca="1">IFERROR(__xludf.DUMMYFUNCTION("""COMPUTED_VALUE"""),"Number")</f>
        <v>Number</v>
      </c>
      <c r="AL32" t="e">
        <f ca="1">_xludf.IFNA(VLOOKUP(AH32,'S-FG'!$B$3:$B1001,1,FALSE),"")</f>
        <v>#NAME?</v>
      </c>
      <c r="AM32" t="e">
        <f ca="1">IF(AI32="","",SUMIFS(#REF!,RM!$C$4:$C991,AI32))</f>
        <v>#REF!</v>
      </c>
    </row>
    <row r="33" spans="1:39">
      <c r="A33" t="str">
        <f ca="1">IFERROR(__xludf.DUMMYFUNCTION("""COMPUTED_VALUE"""),"Saif Seas Life - DSR")</f>
        <v>Saif Seas Life - DSR</v>
      </c>
      <c r="B33" t="str">
        <f ca="1">IFERROR(__xludf.DUMMYFUNCTION("""COMPUTED_VALUE"""),"R9MX Adapter")</f>
        <v>R9MX Adapter</v>
      </c>
      <c r="C33">
        <f ca="1">IFERROR(__xludf.DUMMYFUNCTION("""COMPUTED_VALUE"""),1)</f>
        <v>1</v>
      </c>
      <c r="D33" t="str">
        <f ca="1">IFERROR(__xludf.DUMMYFUNCTION("""COMPUTED_VALUE"""),"Number")</f>
        <v>Number</v>
      </c>
      <c r="E33">
        <f ca="1">IF(A33="","",SUMIFS('PR-BOM'!$D$3:$D1001,'PR-BOM'!$C$3:$C1001,A33)*C33)</f>
        <v>82</v>
      </c>
      <c r="F33" t="e">
        <f ca="1">_xludf.IFNA(VLOOKUP(B33,'S-FG'!$B$3:$B1001,1,FALSE),"")</f>
        <v>#NAME?</v>
      </c>
      <c r="H33" t="str">
        <f ca="1">IFERROR(__xludf.DUMMYFUNCTION("""COMPUTED_VALUE"""),"STBD_ESC Assy")</f>
        <v>STBD_ESC Assy</v>
      </c>
      <c r="I33" t="str">
        <f ca="1">IFERROR(__xludf.DUMMYFUNCTION("""COMPUTED_VALUE"""),"16AWG Lead")</f>
        <v>16AWG Lead</v>
      </c>
      <c r="J33">
        <f ca="1">IFERROR(__xludf.DUMMYFUNCTION("""COMPUTED_VALUE"""),5)</f>
        <v>5</v>
      </c>
      <c r="K33" t="str">
        <f ca="1">IFERROR(__xludf.DUMMYFUNCTION("""COMPUTED_VALUE"""),"blank")</f>
        <v>blank</v>
      </c>
      <c r="L33">
        <f t="shared" ca="1" si="0"/>
        <v>0</v>
      </c>
      <c r="Q33" t="str">
        <f>IF(N33="","",SUMIFS('PR-BOM'!$D$3:$D1001,'PR-BOM'!$C$3:$C1001,N33))</f>
        <v/>
      </c>
      <c r="S33" t="str">
        <f ca="1">IFERROR(__xludf.DUMMYFUNCTION("""COMPUTED_VALUE"""),"Ferrite Core")</f>
        <v>Ferrite Core</v>
      </c>
      <c r="X33" t="e">
        <f ca="1"/>
        <v>#NAME?</v>
      </c>
      <c r="Y33" t="e">
        <f t="shared" ca="1" si="1"/>
        <v>#NAME?</v>
      </c>
      <c r="Z33" t="e">
        <f ca="1">IF(X33="","",SUMIFS(#REF!,RM!$C$4:$C991,X33))</f>
        <v>#NAME?</v>
      </c>
      <c r="AA33" t="e">
        <f ca="1">IF(X33="","",SUMIFS(#REF!,RM!$C$4:$C991,X33))</f>
        <v>#NAME?</v>
      </c>
      <c r="AB33" t="e">
        <f ca="1">IF(X33="","",SUMIFS(IRegback!$Y$2:$Y1001,IRegback!$X$2:$X1001,X33))</f>
        <v>#NAME?</v>
      </c>
      <c r="AC33" t="e">
        <f t="shared" ca="1" si="2"/>
        <v>#NAME?</v>
      </c>
      <c r="AD33" t="e">
        <f ca="1">IF(X33="","",VLOOKUP($X33,RM!$C$4:$G991,3,FALSE))</f>
        <v>#NAME?</v>
      </c>
      <c r="AE33" t="e">
        <f ca="1">IF(X33="","",VLOOKUP($X33,RM!$C$4:$G991,4,FALSE))</f>
        <v>#NAME?</v>
      </c>
      <c r="AF33" t="e">
        <f ca="1">IF(X33="","",VLOOKUP($X33,RM!$C$4:$G991,5,FALSE))</f>
        <v>#NAME?</v>
      </c>
      <c r="AH33" t="str">
        <f ca="1">IFERROR(__xludf.DUMMYFUNCTION("""COMPUTED_VALUE"""),"Saif Seas Life - DSR")</f>
        <v>Saif Seas Life - DSR</v>
      </c>
      <c r="AI33" t="str">
        <f ca="1">IFERROR(__xludf.DUMMYFUNCTION("""COMPUTED_VALUE"""),"R9MX Adapter")</f>
        <v>R9MX Adapter</v>
      </c>
      <c r="AJ33">
        <f ca="1">IFERROR(__xludf.DUMMYFUNCTION("""COMPUTED_VALUE"""),1)</f>
        <v>1</v>
      </c>
      <c r="AK33" t="str">
        <f ca="1">IFERROR(__xludf.DUMMYFUNCTION("""COMPUTED_VALUE"""),"Number")</f>
        <v>Number</v>
      </c>
      <c r="AL33" t="e">
        <f ca="1">_xludf.IFNA(VLOOKUP(AH33,'S-FG'!$B$3:$B1001,1,FALSE),"")</f>
        <v>#NAME?</v>
      </c>
      <c r="AM33" t="e">
        <f ca="1">IF(AI33="","",SUMIFS(#REF!,RM!$C$4:$C991,AI33))</f>
        <v>#REF!</v>
      </c>
    </row>
    <row r="34" spans="1:39">
      <c r="A34" t="str">
        <f ca="1">IFERROR(__xludf.DUMMYFUNCTION("""COMPUTED_VALUE"""),"Saif Seas Life - DSR")</f>
        <v>Saif Seas Life - DSR</v>
      </c>
      <c r="B34" t="str">
        <f ca="1">IFERROR(__xludf.DUMMYFUNCTION("""COMPUTED_VALUE"""),"Final Packing")</f>
        <v>Final Packing</v>
      </c>
      <c r="C34">
        <f ca="1">IFERROR(__xludf.DUMMYFUNCTION("""COMPUTED_VALUE"""),1)</f>
        <v>1</v>
      </c>
      <c r="D34" t="str">
        <f ca="1">IFERROR(__xludf.DUMMYFUNCTION("""COMPUTED_VALUE"""),"Number")</f>
        <v>Number</v>
      </c>
      <c r="E34">
        <f ca="1">IF(A34="","",SUMIFS('PR-BOM'!$D$3:$D1001,'PR-BOM'!$C$3:$C1001,A34)*C34)</f>
        <v>82</v>
      </c>
      <c r="F34" t="e">
        <f ca="1">_xludf.IFNA(VLOOKUP(B34,'S-FG'!$B$3:$B1001,1,FALSE),"")</f>
        <v>#NAME?</v>
      </c>
      <c r="H34" t="str">
        <f ca="1">IFERROR(__xludf.DUMMYFUNCTION("""COMPUTED_VALUE"""),"STBD_ESC Assy")</f>
        <v>STBD_ESC Assy</v>
      </c>
      <c r="I34" t="str">
        <f ca="1">IFERROR(__xludf.DUMMYFUNCTION("""COMPUTED_VALUE"""),"Heatshrink Tube 9:3")</f>
        <v>Heatshrink Tube 9:3</v>
      </c>
      <c r="J34">
        <f ca="1">IFERROR(__xludf.DUMMYFUNCTION("""COMPUTED_VALUE"""),0.05)</f>
        <v>0.05</v>
      </c>
      <c r="K34" t="str">
        <f ca="1">IFERROR(__xludf.DUMMYFUNCTION("""COMPUTED_VALUE"""),"blank")</f>
        <v>blank</v>
      </c>
      <c r="L34">
        <f t="shared" ca="1" si="0"/>
        <v>0</v>
      </c>
      <c r="Q34" t="str">
        <f>IF(N34="","",SUMIFS('PR-BOM'!$D$3:$D1001,'PR-BOM'!$C$3:$C1001,N34))</f>
        <v/>
      </c>
      <c r="S34" t="str">
        <f ca="1">IFERROR(__xludf.DUMMYFUNCTION("""COMPUTED_VALUE"""),"16AWG Lead")</f>
        <v>16AWG Lead</v>
      </c>
      <c r="X34" t="e">
        <f ca="1"/>
        <v>#NAME?</v>
      </c>
      <c r="Y34" t="e">
        <f t="shared" ca="1" si="1"/>
        <v>#NAME?</v>
      </c>
      <c r="Z34" t="e">
        <f ca="1">IF(X34="","",SUMIFS(#REF!,RM!$C$4:$C991,X34))</f>
        <v>#NAME?</v>
      </c>
      <c r="AA34" t="e">
        <f ca="1">IF(X34="","",SUMIFS(#REF!,RM!$C$4:$C991,X34))</f>
        <v>#NAME?</v>
      </c>
      <c r="AB34" t="e">
        <f ca="1">IF(X34="","",SUMIFS(IRegback!$Y$2:$Y1001,IRegback!$X$2:$X1001,X34))</f>
        <v>#NAME?</v>
      </c>
      <c r="AC34" t="e">
        <f t="shared" ca="1" si="2"/>
        <v>#NAME?</v>
      </c>
      <c r="AD34" t="e">
        <f ca="1">IF(X34="","",VLOOKUP($X34,RM!$C$4:$G991,3,FALSE))</f>
        <v>#NAME?</v>
      </c>
      <c r="AE34" t="e">
        <f ca="1">IF(X34="","",VLOOKUP($X34,RM!$C$4:$G991,4,FALSE))</f>
        <v>#NAME?</v>
      </c>
      <c r="AF34" t="e">
        <f ca="1">IF(X34="","",VLOOKUP($X34,RM!$C$4:$G991,5,FALSE))</f>
        <v>#NAME?</v>
      </c>
      <c r="AH34" t="str">
        <f ca="1">IFERROR(__xludf.DUMMYFUNCTION("""COMPUTED_VALUE"""),"Saif Seas Life - DSR")</f>
        <v>Saif Seas Life - DSR</v>
      </c>
      <c r="AI34" t="str">
        <f ca="1">IFERROR(__xludf.DUMMYFUNCTION("""COMPUTED_VALUE"""),"Final Packing")</f>
        <v>Final Packing</v>
      </c>
      <c r="AJ34">
        <f ca="1">IFERROR(__xludf.DUMMYFUNCTION("""COMPUTED_VALUE"""),1)</f>
        <v>1</v>
      </c>
      <c r="AK34" t="str">
        <f ca="1">IFERROR(__xludf.DUMMYFUNCTION("""COMPUTED_VALUE"""),"Number")</f>
        <v>Number</v>
      </c>
      <c r="AL34" t="e">
        <f ca="1">_xludf.IFNA(VLOOKUP(AH34,'S-FG'!$B$3:$B1001,1,FALSE),"")</f>
        <v>#NAME?</v>
      </c>
      <c r="AM34" t="e">
        <f ca="1">IF(AI34="","",SUMIFS(#REF!,RM!$C$4:$C991,AI34))</f>
        <v>#REF!</v>
      </c>
    </row>
    <row r="35" spans="1:39">
      <c r="A35" t="str">
        <f ca="1">IFERROR(__xludf.DUMMYFUNCTION("""COMPUTED_VALUE"""),"Saif Seas Life - DSR")</f>
        <v>Saif Seas Life - DSR</v>
      </c>
      <c r="B35" t="str">
        <f ca="1">IFERROR(__xludf.DUMMYFUNCTION("""COMPUTED_VALUE"""),"Bottom Block Assy")</f>
        <v>Bottom Block Assy</v>
      </c>
      <c r="C35">
        <f ca="1">IFERROR(__xludf.DUMMYFUNCTION("""COMPUTED_VALUE"""),1)</f>
        <v>1</v>
      </c>
      <c r="D35" t="str">
        <f ca="1">IFERROR(__xludf.DUMMYFUNCTION("""COMPUTED_VALUE"""),"Number")</f>
        <v>Number</v>
      </c>
      <c r="E35">
        <f ca="1">IF(A35="","",SUMIFS('PR-BOM'!$D$3:$D1001,'PR-BOM'!$C$3:$C1001,A35)*C35)</f>
        <v>82</v>
      </c>
      <c r="F35" t="e">
        <f ca="1">_xludf.IFNA(VLOOKUP(B35,'S-FG'!$B$3:$B1001,1,FALSE),"")</f>
        <v>#NAME?</v>
      </c>
      <c r="H35" t="str">
        <f ca="1">IFERROR(__xludf.DUMMYFUNCTION("""COMPUTED_VALUE"""),"STBD_ESC Assy")</f>
        <v>STBD_ESC Assy</v>
      </c>
      <c r="I35" t="str">
        <f ca="1">IFERROR(__xludf.DUMMYFUNCTION("""COMPUTED_VALUE"""),"HeatShrink Tube 4.8/1.2")</f>
        <v>HeatShrink Tube 4.8/1.2</v>
      </c>
      <c r="J35">
        <f ca="1">IFERROR(__xludf.DUMMYFUNCTION("""COMPUTED_VALUE"""),0.05)</f>
        <v>0.05</v>
      </c>
      <c r="K35" t="str">
        <f ca="1">IFERROR(__xludf.DUMMYFUNCTION("""COMPUTED_VALUE"""),"blank")</f>
        <v>blank</v>
      </c>
      <c r="L35">
        <f t="shared" ca="1" si="0"/>
        <v>0</v>
      </c>
      <c r="Q35" t="str">
        <f>IF(N35="","",SUMIFS('PR-BOM'!$D$3:$D1001,'PR-BOM'!$C$3:$C1001,N35))</f>
        <v/>
      </c>
      <c r="S35" t="str">
        <f ca="1">IFERROR(__xludf.DUMMYFUNCTION("""COMPUTED_VALUE"""),"Heatshrink Tube 9:3")</f>
        <v>Heatshrink Tube 9:3</v>
      </c>
      <c r="X35" t="e">
        <f ca="1"/>
        <v>#NAME?</v>
      </c>
      <c r="Y35" t="e">
        <f t="shared" ca="1" si="1"/>
        <v>#NAME?</v>
      </c>
      <c r="Z35" t="e">
        <f ca="1">IF(X35="","",SUMIFS(#REF!,RM!$C$4:$C991,X35))</f>
        <v>#NAME?</v>
      </c>
      <c r="AA35" t="e">
        <f ca="1">IF(X35="","",SUMIFS(#REF!,RM!$C$4:$C991,X35))</f>
        <v>#NAME?</v>
      </c>
      <c r="AB35" t="e">
        <f ca="1">IF(X35="","",SUMIFS(IRegback!$Y$2:$Y1001,IRegback!$X$2:$X1001,X35))</f>
        <v>#NAME?</v>
      </c>
      <c r="AC35" t="e">
        <f t="shared" ca="1" si="2"/>
        <v>#NAME?</v>
      </c>
      <c r="AD35" t="e">
        <f ca="1">IF(X35="","",VLOOKUP($X35,RM!$C$4:$G991,3,FALSE))</f>
        <v>#NAME?</v>
      </c>
      <c r="AE35" t="e">
        <f ca="1">IF(X35="","",VLOOKUP($X35,RM!$C$4:$G991,4,FALSE))</f>
        <v>#NAME?</v>
      </c>
      <c r="AF35" t="e">
        <f ca="1">IF(X35="","",VLOOKUP($X35,RM!$C$4:$G991,5,FALSE))</f>
        <v>#NAME?</v>
      </c>
      <c r="AH35" t="str">
        <f ca="1">IFERROR(__xludf.DUMMYFUNCTION("""COMPUTED_VALUE"""),"Saif Seas Life - DSR")</f>
        <v>Saif Seas Life - DSR</v>
      </c>
      <c r="AI35" t="str">
        <f ca="1">IFERROR(__xludf.DUMMYFUNCTION("""COMPUTED_VALUE"""),"Bottom Block Assy")</f>
        <v>Bottom Block Assy</v>
      </c>
      <c r="AJ35">
        <f ca="1">IFERROR(__xludf.DUMMYFUNCTION("""COMPUTED_VALUE"""),1)</f>
        <v>1</v>
      </c>
      <c r="AK35" t="str">
        <f ca="1">IFERROR(__xludf.DUMMYFUNCTION("""COMPUTED_VALUE"""),"Number")</f>
        <v>Number</v>
      </c>
      <c r="AL35" t="e">
        <f ca="1">_xludf.IFNA(VLOOKUP(AH35,'S-FG'!$B$3:$B1001,1,FALSE),"")</f>
        <v>#NAME?</v>
      </c>
      <c r="AM35" t="e">
        <f ca="1">IF(AI35="","",SUMIFS(#REF!,RM!$C$4:$C991,AI35))</f>
        <v>#REF!</v>
      </c>
    </row>
    <row r="36" spans="1:39">
      <c r="E36" t="str">
        <f>IF(A36="","",SUMIFS('PR-BOM'!$D$3:$D1001,'PR-BOM'!$C$3:$C1001,A36)*C36)</f>
        <v/>
      </c>
      <c r="F36" t="e">
        <f ca="1">_xludf.IFNA(VLOOKUP(B36,'S-FG'!$B$3:$B1001,1,FALSE),"")</f>
        <v>#NAME?</v>
      </c>
      <c r="H36" t="str">
        <f ca="1">IFERROR(__xludf.DUMMYFUNCTION("""COMPUTED_VALUE"""),"STBD_ESC Assy")</f>
        <v>STBD_ESC Assy</v>
      </c>
      <c r="I36" t="str">
        <f ca="1">IFERROR(__xludf.DUMMYFUNCTION("""COMPUTED_VALUE"""),"HV130 ESC")</f>
        <v>HV130 ESC</v>
      </c>
      <c r="J36">
        <f ca="1">IFERROR(__xludf.DUMMYFUNCTION("""COMPUTED_VALUE"""),1)</f>
        <v>1</v>
      </c>
      <c r="K36" t="str">
        <f ca="1">IFERROR(__xludf.DUMMYFUNCTION("""COMPUTED_VALUE"""),"blank")</f>
        <v>blank</v>
      </c>
      <c r="L36">
        <f t="shared" ca="1" si="0"/>
        <v>0</v>
      </c>
      <c r="Q36" t="str">
        <f>IF(N36="","",SUMIFS('PR-BOM'!$D$3:$D1001,'PR-BOM'!$C$3:$C1001,N36))</f>
        <v/>
      </c>
      <c r="S36" t="str">
        <f ca="1">IFERROR(__xludf.DUMMYFUNCTION("""COMPUTED_VALUE"""),"HeatShrink Tube 4.8/1.2")</f>
        <v>HeatShrink Tube 4.8/1.2</v>
      </c>
      <c r="X36" t="e">
        <f ca="1"/>
        <v>#NAME?</v>
      </c>
      <c r="Y36" t="e">
        <f t="shared" ca="1" si="1"/>
        <v>#NAME?</v>
      </c>
      <c r="Z36" t="e">
        <f ca="1">IF(X36="","",SUMIFS(#REF!,RM!$C$4:$C991,X36))</f>
        <v>#NAME?</v>
      </c>
      <c r="AA36" t="e">
        <f ca="1">IF(X36="","",SUMIFS(#REF!,RM!$C$4:$C991,X36))</f>
        <v>#NAME?</v>
      </c>
      <c r="AB36" t="e">
        <f ca="1">IF(X36="","",SUMIFS(IRegback!$Y$2:$Y1001,IRegback!$X$2:$X1001,X36))</f>
        <v>#NAME?</v>
      </c>
      <c r="AC36" t="e">
        <f t="shared" ca="1" si="2"/>
        <v>#NAME?</v>
      </c>
      <c r="AD36" t="e">
        <f ca="1">IF(X36="","",VLOOKUP($X36,RM!$C$4:$G991,3,FALSE))</f>
        <v>#NAME?</v>
      </c>
      <c r="AE36" t="e">
        <f ca="1">IF(X36="","",VLOOKUP($X36,RM!$C$4:$G991,4,FALSE))</f>
        <v>#NAME?</v>
      </c>
      <c r="AF36" t="e">
        <f ca="1">IF(X36="","",VLOOKUP($X36,RM!$C$4:$G991,5,FALSE))</f>
        <v>#NAME?</v>
      </c>
      <c r="AH36" t="str">
        <f ca="1">IFERROR(__xludf.DUMMYFUNCTION("""COMPUTED_VALUE"""),"Jet Motor Assy")</f>
        <v>Jet Motor Assy</v>
      </c>
      <c r="AI36" t="str">
        <f ca="1">IFERROR(__xludf.DUMMYFUNCTION("""COMPUTED_VALUE"""),"Coupling Hood")</f>
        <v>Coupling Hood</v>
      </c>
      <c r="AJ36">
        <f ca="1">IFERROR(__xludf.DUMMYFUNCTION("""COMPUTED_VALUE"""),1)</f>
        <v>1</v>
      </c>
      <c r="AL36" t="e">
        <f ca="1">_xludf.IFNA(VLOOKUP(AH36,'S-FG'!$B$3:$B1001,1,FALSE),"")</f>
        <v>#NAME?</v>
      </c>
      <c r="AM36" t="e">
        <f ca="1">IF(AI36="","",SUMIFS(#REF!,RM!$C$4:$C991,AI36))</f>
        <v>#REF!</v>
      </c>
    </row>
    <row r="37" spans="1:39">
      <c r="E37" t="str">
        <f>IF(A37="","",SUMIFS('PR-BOM'!$D$3:$D1001,'PR-BOM'!$C$3:$C1001,A37)*C37)</f>
        <v/>
      </c>
      <c r="F37" t="e">
        <f ca="1">_xludf.IFNA(VLOOKUP(B37,'S-FG'!$B$3:$B1001,1,FALSE),"")</f>
        <v>#NAME?</v>
      </c>
      <c r="H37" t="str">
        <f ca="1">IFERROR(__xludf.DUMMYFUNCTION("""COMPUTED_VALUE"""),"PORT_ESC Assy")</f>
        <v>PORT_ESC Assy</v>
      </c>
      <c r="I37" t="str">
        <f ca="1">IFERROR(__xludf.DUMMYFUNCTION("""COMPUTED_VALUE"""),"5.5mm Female Bullet connector")</f>
        <v>5.5mm Female Bullet connector</v>
      </c>
      <c r="J37">
        <f ca="1">IFERROR(__xludf.DUMMYFUNCTION("""COMPUTED_VALUE"""),1)</f>
        <v>1</v>
      </c>
      <c r="K37" t="str">
        <f ca="1">IFERROR(__xludf.DUMMYFUNCTION("""COMPUTED_VALUE"""),"blank")</f>
        <v>blank</v>
      </c>
      <c r="L37">
        <f t="shared" ca="1" si="0"/>
        <v>0</v>
      </c>
      <c r="Q37" t="str">
        <f>IF(N37="","",SUMIFS('PR-BOM'!$D$3:$D1001,'PR-BOM'!$C$3:$C1001,N37))</f>
        <v/>
      </c>
      <c r="S37" t="str">
        <f ca="1">IFERROR(__xludf.DUMMYFUNCTION("""COMPUTED_VALUE"""),"HV130 ESC")</f>
        <v>HV130 ESC</v>
      </c>
      <c r="X37" t="e">
        <f ca="1"/>
        <v>#NAME?</v>
      </c>
      <c r="Y37" t="e">
        <f t="shared" ca="1" si="1"/>
        <v>#NAME?</v>
      </c>
      <c r="Z37" t="e">
        <f ca="1">IF(X37="","",SUMIFS(#REF!,RM!$C$4:$C991,X37))</f>
        <v>#NAME?</v>
      </c>
      <c r="AA37" t="e">
        <f ca="1">IF(X37="","",SUMIFS(#REF!,RM!$C$4:$C991,X37))</f>
        <v>#NAME?</v>
      </c>
      <c r="AB37" t="e">
        <f ca="1">IF(X37="","",SUMIFS(IRegback!$Y$2:$Y1001,IRegback!$X$2:$X1001,X37))</f>
        <v>#NAME?</v>
      </c>
      <c r="AC37" t="e">
        <f t="shared" ca="1" si="2"/>
        <v>#NAME?</v>
      </c>
      <c r="AD37" t="e">
        <f ca="1">IF(X37="","",VLOOKUP($X37,RM!$C$4:$G991,3,FALSE))</f>
        <v>#NAME?</v>
      </c>
      <c r="AE37" t="e">
        <f ca="1">IF(X37="","",VLOOKUP($X37,RM!$C$4:$G991,4,FALSE))</f>
        <v>#NAME?</v>
      </c>
      <c r="AF37" t="e">
        <f ca="1">IF(X37="","",VLOOKUP($X37,RM!$C$4:$G991,5,FALSE))</f>
        <v>#NAME?</v>
      </c>
      <c r="AH37" t="str">
        <f ca="1">IFERROR(__xludf.DUMMYFUNCTION("""COMPUTED_VALUE"""),"Jet Motor Assy")</f>
        <v>Jet Motor Assy</v>
      </c>
      <c r="AI37" t="str">
        <f ca="1">IFERROR(__xludf.DUMMYFUNCTION("""COMPUTED_VALUE"""),"Battery Clamp")</f>
        <v>Battery Clamp</v>
      </c>
      <c r="AJ37">
        <f ca="1">IFERROR(__xludf.DUMMYFUNCTION("""COMPUTED_VALUE"""),2)</f>
        <v>2</v>
      </c>
      <c r="AK37" t="str">
        <f ca="1">IFERROR(__xludf.DUMMYFUNCTION("""COMPUTED_VALUE"""),"blank")</f>
        <v>blank</v>
      </c>
      <c r="AL37" t="e">
        <f ca="1">_xludf.IFNA(VLOOKUP(AH37,'S-FG'!$B$3:$B1001,1,FALSE),"")</f>
        <v>#NAME?</v>
      </c>
      <c r="AM37" t="e">
        <f ca="1">IF(AI37="","",SUMIFS(#REF!,RM!$C$4:$C991,AI37))</f>
        <v>#REF!</v>
      </c>
    </row>
    <row r="38" spans="1:39">
      <c r="E38" t="str">
        <f>IF(A38="","",SUMIFS('PR-BOM'!$D$3:$D1001,'PR-BOM'!$C$3:$C1001,A38)*C38)</f>
        <v/>
      </c>
      <c r="F38" t="e">
        <f ca="1">_xludf.IFNA(VLOOKUP(B38,'S-FG'!$B$3:$B1001,1,FALSE),"")</f>
        <v>#NAME?</v>
      </c>
      <c r="H38" t="str">
        <f ca="1">IFERROR(__xludf.DUMMYFUNCTION("""COMPUTED_VALUE"""),"PORT_ESC Assy")</f>
        <v>PORT_ESC Assy</v>
      </c>
      <c r="I38" t="str">
        <f ca="1">IFERROR(__xludf.DUMMYFUNCTION("""COMPUTED_VALUE"""),"4mm Male Bullet connector")</f>
        <v>4mm Male Bullet connector</v>
      </c>
      <c r="J38">
        <f ca="1">IFERROR(__xludf.DUMMYFUNCTION("""COMPUTED_VALUE"""),2)</f>
        <v>2</v>
      </c>
      <c r="K38" t="str">
        <f ca="1">IFERROR(__xludf.DUMMYFUNCTION("""COMPUTED_VALUE"""),"blank")</f>
        <v>blank</v>
      </c>
      <c r="L38">
        <f t="shared" ca="1" si="0"/>
        <v>0</v>
      </c>
      <c r="Q38" t="str">
        <f>IF(N38="","",SUMIFS('PR-BOM'!$D$3:$D1001,'PR-BOM'!$C$3:$C1001,N38))</f>
        <v/>
      </c>
      <c r="S38" t="str">
        <f ca="1">IFERROR(__xludf.DUMMYFUNCTION("""COMPUTED_VALUE"""),"5.5mm Female Bullet connector")</f>
        <v>5.5mm Female Bullet connector</v>
      </c>
      <c r="X38" t="e">
        <f ca="1"/>
        <v>#NAME?</v>
      </c>
      <c r="Y38" t="e">
        <f t="shared" ca="1" si="1"/>
        <v>#NAME?</v>
      </c>
      <c r="Z38" t="e">
        <f ca="1">IF(X38="","",SUMIFS(#REF!,RM!$C$4:$C991,X38))</f>
        <v>#NAME?</v>
      </c>
      <c r="AA38" t="e">
        <f ca="1">IF(X38="","",SUMIFS(#REF!,RM!$C$4:$C991,X38))</f>
        <v>#NAME?</v>
      </c>
      <c r="AB38" t="e">
        <f ca="1">IF(X38="","",SUMIFS(IRegback!$Y$2:$Y1001,IRegback!$X$2:$X1001,X38))</f>
        <v>#NAME?</v>
      </c>
      <c r="AC38" t="e">
        <f t="shared" ca="1" si="2"/>
        <v>#NAME?</v>
      </c>
      <c r="AD38" t="e">
        <f ca="1">IF(X38="","",VLOOKUP($X38,RM!$C$4:$G991,3,FALSE))</f>
        <v>#NAME?</v>
      </c>
      <c r="AE38" t="e">
        <f ca="1">IF(X38="","",VLOOKUP($X38,RM!$C$4:$G991,4,FALSE))</f>
        <v>#NAME?</v>
      </c>
      <c r="AF38" t="e">
        <f ca="1">IF(X38="","",VLOOKUP($X38,RM!$C$4:$G991,5,FALSE))</f>
        <v>#NAME?</v>
      </c>
      <c r="AH38" t="str">
        <f ca="1">IFERROR(__xludf.DUMMYFUNCTION("""COMPUTED_VALUE"""),"Jet Motor Assy")</f>
        <v>Jet Motor Assy</v>
      </c>
      <c r="AI38" t="str">
        <f ca="1">IFERROR(__xludf.DUMMYFUNCTION("""COMPUTED_VALUE"""),"M4x25 Hex Head")</f>
        <v>M4x25 Hex Head</v>
      </c>
      <c r="AJ38">
        <f ca="1">IFERROR(__xludf.DUMMYFUNCTION("""COMPUTED_VALUE"""),4)</f>
        <v>4</v>
      </c>
      <c r="AK38" t="str">
        <f ca="1">IFERROR(__xludf.DUMMYFUNCTION("""COMPUTED_VALUE"""),"blank")</f>
        <v>blank</v>
      </c>
      <c r="AL38" t="e">
        <f ca="1">_xludf.IFNA(VLOOKUP(AH38,'S-FG'!$B$3:$B1001,1,FALSE),"")</f>
        <v>#NAME?</v>
      </c>
      <c r="AM38" t="e">
        <f ca="1">IF(AI38="","",SUMIFS(#REF!,RM!$C$4:$C991,AI38))</f>
        <v>#REF!</v>
      </c>
    </row>
    <row r="39" spans="1:39">
      <c r="E39" t="str">
        <f>IF(A39="","",SUMIFS('PR-BOM'!$D$3:$D1001,'PR-BOM'!$C$3:$C1001,A39)*C39)</f>
        <v/>
      </c>
      <c r="F39" t="e">
        <f ca="1">_xludf.IFNA(VLOOKUP(B39,'S-FG'!$B$3:$B1001,1,FALSE),"")</f>
        <v>#NAME?</v>
      </c>
      <c r="H39" t="str">
        <f ca="1">IFERROR(__xludf.DUMMYFUNCTION("""COMPUTED_VALUE"""),"PORT_ESC Assy")</f>
        <v>PORT_ESC Assy</v>
      </c>
      <c r="I39" t="str">
        <f ca="1">IFERROR(__xludf.DUMMYFUNCTION("""COMPUTED_VALUE"""),"4mm Female Bullet connector")</f>
        <v>4mm Female Bullet connector</v>
      </c>
      <c r="J39">
        <f ca="1">IFERROR(__xludf.DUMMYFUNCTION("""COMPUTED_VALUE"""),1)</f>
        <v>1</v>
      </c>
      <c r="K39" t="str">
        <f ca="1">IFERROR(__xludf.DUMMYFUNCTION("""COMPUTED_VALUE"""),"blank")</f>
        <v>blank</v>
      </c>
      <c r="L39">
        <f t="shared" ca="1" si="0"/>
        <v>0</v>
      </c>
      <c r="Q39" t="str">
        <f>IF(N39="","",SUMIFS('PR-BOM'!$D$3:$D1001,'PR-BOM'!$C$3:$C1001,N39))</f>
        <v/>
      </c>
      <c r="S39" t="str">
        <f ca="1">IFERROR(__xludf.DUMMYFUNCTION("""COMPUTED_VALUE"""),"4mm Male Bullet connector")</f>
        <v>4mm Male Bullet connector</v>
      </c>
      <c r="X39" t="e">
        <f ca="1"/>
        <v>#NAME?</v>
      </c>
      <c r="Y39" t="e">
        <f t="shared" ca="1" si="1"/>
        <v>#NAME?</v>
      </c>
      <c r="Z39" t="e">
        <f ca="1">IF(X39="","",SUMIFS(#REF!,RM!$C$4:$C991,X39))</f>
        <v>#NAME?</v>
      </c>
      <c r="AA39" t="e">
        <f ca="1">IF(X39="","",SUMIFS(#REF!,RM!$C$4:$C991,X39))</f>
        <v>#NAME?</v>
      </c>
      <c r="AB39" t="e">
        <f ca="1">IF(X39="","",SUMIFS(IRegback!$Y$2:$Y1001,IRegback!$X$2:$X1001,X39))</f>
        <v>#NAME?</v>
      </c>
      <c r="AC39" t="e">
        <f t="shared" ca="1" si="2"/>
        <v>#NAME?</v>
      </c>
      <c r="AD39" t="e">
        <f ca="1">IF(X39="","",VLOOKUP($X39,RM!$C$4:$G991,3,FALSE))</f>
        <v>#NAME?</v>
      </c>
      <c r="AE39" t="e">
        <f ca="1">IF(X39="","",VLOOKUP($X39,RM!$C$4:$G991,4,FALSE))</f>
        <v>#NAME?</v>
      </c>
      <c r="AF39" t="e">
        <f ca="1">IF(X39="","",VLOOKUP($X39,RM!$C$4:$G991,5,FALSE))</f>
        <v>#NAME?</v>
      </c>
      <c r="AH39" t="str">
        <f ca="1">IFERROR(__xludf.DUMMYFUNCTION("""COMPUTED_VALUE"""),"Jet Motor Assy")</f>
        <v>Jet Motor Assy</v>
      </c>
      <c r="AI39" t="str">
        <f ca="1">IFERROR(__xludf.DUMMYFUNCTION("""COMPUTED_VALUE"""),"M4 Square Nut")</f>
        <v>M4 Square Nut</v>
      </c>
      <c r="AJ39">
        <f ca="1">IFERROR(__xludf.DUMMYFUNCTION("""COMPUTED_VALUE"""),7)</f>
        <v>7</v>
      </c>
      <c r="AK39" t="str">
        <f ca="1">IFERROR(__xludf.DUMMYFUNCTION("""COMPUTED_VALUE"""),"blank")</f>
        <v>blank</v>
      </c>
      <c r="AL39" t="e">
        <f ca="1">_xludf.IFNA(VLOOKUP(AH39,'S-FG'!$B$3:$B1001,1,FALSE),"")</f>
        <v>#NAME?</v>
      </c>
      <c r="AM39" t="e">
        <f ca="1">IF(AI39="","",SUMIFS(#REF!,RM!$C$4:$C991,AI39))</f>
        <v>#REF!</v>
      </c>
    </row>
    <row r="40" spans="1:39">
      <c r="E40" t="str">
        <f>IF(A40="","",SUMIFS('PR-BOM'!$D$3:$D1001,'PR-BOM'!$C$3:$C1001,A40)*C40)</f>
        <v/>
      </c>
      <c r="F40" t="e">
        <f ca="1">_xludf.IFNA(VLOOKUP(B40,'S-FG'!$B$3:$B1001,1,FALSE),"")</f>
        <v>#NAME?</v>
      </c>
      <c r="H40" t="str">
        <f ca="1">IFERROR(__xludf.DUMMYFUNCTION("""COMPUTED_VALUE"""),"PORT_ESC Assy")</f>
        <v>PORT_ESC Assy</v>
      </c>
      <c r="I40" t="str">
        <f ca="1">IFERROR(__xludf.DUMMYFUNCTION("""COMPUTED_VALUE"""),"Red 12AWG")</f>
        <v>Red 12AWG</v>
      </c>
      <c r="J40">
        <f ca="1">IFERROR(__xludf.DUMMYFUNCTION("""COMPUTED_VALUE"""),0.55)</f>
        <v>0.55000000000000004</v>
      </c>
      <c r="K40" t="str">
        <f ca="1">IFERROR(__xludf.DUMMYFUNCTION("""COMPUTED_VALUE"""),"blank")</f>
        <v>blank</v>
      </c>
      <c r="L40">
        <f t="shared" ca="1" si="0"/>
        <v>0</v>
      </c>
      <c r="Q40" t="str">
        <f>IF(N40="","",SUMIFS('PR-BOM'!$D$3:$D1001,'PR-BOM'!$C$3:$C1001,N40))</f>
        <v/>
      </c>
      <c r="S40" t="str">
        <f ca="1">IFERROR(__xludf.DUMMYFUNCTION("""COMPUTED_VALUE"""),"4mm Female Bullet connector")</f>
        <v>4mm Female Bullet connector</v>
      </c>
      <c r="X40" t="e">
        <f ca="1"/>
        <v>#NAME?</v>
      </c>
      <c r="Y40" t="e">
        <f t="shared" ca="1" si="1"/>
        <v>#NAME?</v>
      </c>
      <c r="Z40" t="e">
        <f ca="1">IF(X40="","",SUMIFS(#REF!,RM!$C$4:$C991,X40))</f>
        <v>#NAME?</v>
      </c>
      <c r="AA40" t="e">
        <f ca="1">IF(X40="","",SUMIFS(#REF!,RM!$C$4:$C991,X40))</f>
        <v>#NAME?</v>
      </c>
      <c r="AB40" t="e">
        <f ca="1">IF(X40="","",SUMIFS(IRegback!$Y$2:$Y1001,IRegback!$X$2:$X1001,X40))</f>
        <v>#NAME?</v>
      </c>
      <c r="AC40" t="e">
        <f t="shared" ca="1" si="2"/>
        <v>#NAME?</v>
      </c>
      <c r="AD40" t="e">
        <f ca="1">IF(X40="","",VLOOKUP($X40,RM!$C$4:$G991,3,FALSE))</f>
        <v>#NAME?</v>
      </c>
      <c r="AE40" t="e">
        <f ca="1">IF(X40="","",VLOOKUP($X40,RM!$C$4:$G991,4,FALSE))</f>
        <v>#NAME?</v>
      </c>
      <c r="AF40" t="e">
        <f ca="1">IF(X40="","",VLOOKUP($X40,RM!$C$4:$G991,5,FALSE))</f>
        <v>#NAME?</v>
      </c>
      <c r="AH40" t="str">
        <f ca="1">IFERROR(__xludf.DUMMYFUNCTION("""COMPUTED_VALUE"""),"Jet Motor Assy")</f>
        <v>Jet Motor Assy</v>
      </c>
      <c r="AI40" t="str">
        <f ca="1">IFERROR(__xludf.DUMMYFUNCTION("""COMPUTED_VALUE"""),"M4 Nyloc")</f>
        <v>M4 Nyloc</v>
      </c>
      <c r="AJ40">
        <f ca="1">IFERROR(__xludf.DUMMYFUNCTION("""COMPUTED_VALUE"""),16)</f>
        <v>16</v>
      </c>
      <c r="AK40" t="str">
        <f ca="1">IFERROR(__xludf.DUMMYFUNCTION("""COMPUTED_VALUE"""),"blank")</f>
        <v>blank</v>
      </c>
      <c r="AL40" t="e">
        <f ca="1">_xludf.IFNA(VLOOKUP(AH40,'S-FG'!$B$3:$B1001,1,FALSE),"")</f>
        <v>#NAME?</v>
      </c>
      <c r="AM40" t="e">
        <f ca="1">IF(AI40="","",SUMIFS(#REF!,RM!$C$4:$C991,AI40))</f>
        <v>#REF!</v>
      </c>
    </row>
    <row r="41" spans="1:39">
      <c r="E41" t="str">
        <f>IF(A41="","",SUMIFS('PR-BOM'!$D$3:$D1001,'PR-BOM'!$C$3:$C1001,A41)*C41)</f>
        <v/>
      </c>
      <c r="F41" t="e">
        <f ca="1">_xludf.IFNA(VLOOKUP(B41,'S-FG'!$B$3:$B1001,1,FALSE),"")</f>
        <v>#NAME?</v>
      </c>
      <c r="H41" t="str">
        <f ca="1">IFERROR(__xludf.DUMMYFUNCTION("""COMPUTED_VALUE"""),"PORT_ESC Assy")</f>
        <v>PORT_ESC Assy</v>
      </c>
      <c r="I41" t="str">
        <f ca="1">IFERROR(__xludf.DUMMYFUNCTION("""COMPUTED_VALUE"""),"Ferrite Core")</f>
        <v>Ferrite Core</v>
      </c>
      <c r="J41">
        <f ca="1">IFERROR(__xludf.DUMMYFUNCTION("""COMPUTED_VALUE"""),1)</f>
        <v>1</v>
      </c>
      <c r="K41" t="str">
        <f ca="1">IFERROR(__xludf.DUMMYFUNCTION("""COMPUTED_VALUE"""),"CF199T1306C")</f>
        <v>CF199T1306C</v>
      </c>
      <c r="L41">
        <f t="shared" ca="1" si="0"/>
        <v>0</v>
      </c>
      <c r="Q41" t="str">
        <f>IF(N41="","",SUMIFS('PR-BOM'!$D$3:$D1001,'PR-BOM'!$C$3:$C1001,N41))</f>
        <v/>
      </c>
      <c r="S41" t="str">
        <f ca="1">IFERROR(__xludf.DUMMYFUNCTION("""COMPUTED_VALUE"""),"Red 12AWG")</f>
        <v>Red 12AWG</v>
      </c>
      <c r="X41" t="e">
        <f ca="1"/>
        <v>#NAME?</v>
      </c>
      <c r="Y41" t="e">
        <f t="shared" ca="1" si="1"/>
        <v>#NAME?</v>
      </c>
      <c r="Z41" t="e">
        <f ca="1">IF(X41="","",SUMIFS(#REF!,RM!$C$4:$C991,X41))</f>
        <v>#NAME?</v>
      </c>
      <c r="AA41" t="e">
        <f ca="1">IF(X41="","",SUMIFS(#REF!,RM!$C$4:$C991,X41))</f>
        <v>#NAME?</v>
      </c>
      <c r="AB41" t="e">
        <f ca="1">IF(X41="","",SUMIFS(IRegback!$Y$2:$Y1001,IRegback!$X$2:$X1001,X41))</f>
        <v>#NAME?</v>
      </c>
      <c r="AC41" t="e">
        <f t="shared" ca="1" si="2"/>
        <v>#NAME?</v>
      </c>
      <c r="AD41" t="e">
        <f ca="1">IF(X41="","",VLOOKUP($X41,RM!$C$4:$G991,3,FALSE))</f>
        <v>#NAME?</v>
      </c>
      <c r="AE41" t="e">
        <f ca="1">IF(X41="","",VLOOKUP($X41,RM!$C$4:$G991,4,FALSE))</f>
        <v>#NAME?</v>
      </c>
      <c r="AF41" t="e">
        <f ca="1">IF(X41="","",VLOOKUP($X41,RM!$C$4:$G991,5,FALSE))</f>
        <v>#NAME?</v>
      </c>
      <c r="AH41" t="str">
        <f ca="1">IFERROR(__xludf.DUMMYFUNCTION("""COMPUTED_VALUE"""),"Jet Motor Assy")</f>
        <v>Jet Motor Assy</v>
      </c>
      <c r="AI41" t="str">
        <f ca="1">IFERROR(__xludf.DUMMYFUNCTION("""COMPUTED_VALUE"""),"M4 Spring washer")</f>
        <v>M4 Spring washer</v>
      </c>
      <c r="AJ41">
        <f ca="1">IFERROR(__xludf.DUMMYFUNCTION("""COMPUTED_VALUE"""),20)</f>
        <v>20</v>
      </c>
      <c r="AK41" t="str">
        <f ca="1">IFERROR(__xludf.DUMMYFUNCTION("""COMPUTED_VALUE"""),"blank")</f>
        <v>blank</v>
      </c>
      <c r="AL41" t="e">
        <f ca="1">_xludf.IFNA(VLOOKUP(AH41,'S-FG'!$B$3:$B1001,1,FALSE),"")</f>
        <v>#NAME?</v>
      </c>
      <c r="AM41" t="e">
        <f ca="1">IF(AI41="","",SUMIFS(#REF!,RM!$C$4:$C991,AI41))</f>
        <v>#REF!</v>
      </c>
    </row>
    <row r="42" spans="1:39">
      <c r="E42" t="str">
        <f>IF(A42="","",SUMIFS('PR-BOM'!$D$3:$D1001,'PR-BOM'!$C$3:$C1001,A42)*C42)</f>
        <v/>
      </c>
      <c r="F42" t="e">
        <f ca="1">_xludf.IFNA(VLOOKUP(B42,'S-FG'!$B$3:$B1001,1,FALSE),"")</f>
        <v>#NAME?</v>
      </c>
      <c r="H42" t="str">
        <f ca="1">IFERROR(__xludf.DUMMYFUNCTION("""COMPUTED_VALUE"""),"PORT_ESC Assy")</f>
        <v>PORT_ESC Assy</v>
      </c>
      <c r="I42" t="str">
        <f ca="1">IFERROR(__xludf.DUMMYFUNCTION("""COMPUTED_VALUE"""),"16AWG Lead")</f>
        <v>16AWG Lead</v>
      </c>
      <c r="J42">
        <f ca="1">IFERROR(__xludf.DUMMYFUNCTION("""COMPUTED_VALUE"""),5)</f>
        <v>5</v>
      </c>
      <c r="K42" t="str">
        <f ca="1">IFERROR(__xludf.DUMMYFUNCTION("""COMPUTED_VALUE"""),"blank")</f>
        <v>blank</v>
      </c>
      <c r="L42">
        <f t="shared" ca="1" si="0"/>
        <v>0</v>
      </c>
      <c r="Q42" t="str">
        <f>IF(N42="","",SUMIFS('PR-BOM'!$D$3:$D1001,'PR-BOM'!$C$3:$C1001,N42))</f>
        <v/>
      </c>
      <c r="S42" t="str">
        <f ca="1">IFERROR(__xludf.DUMMYFUNCTION("""COMPUTED_VALUE"""),"Ferrite Core")</f>
        <v>Ferrite Core</v>
      </c>
      <c r="X42" t="e">
        <f ca="1"/>
        <v>#NAME?</v>
      </c>
      <c r="Y42" t="e">
        <f t="shared" ca="1" si="1"/>
        <v>#NAME?</v>
      </c>
      <c r="Z42" t="e">
        <f ca="1">IF(X42="","",SUMIFS(#REF!,RM!$C$4:$C991,X42))</f>
        <v>#NAME?</v>
      </c>
      <c r="AA42" t="e">
        <f ca="1">IF(X42="","",SUMIFS(#REF!,RM!$C$4:$C991,X42))</f>
        <v>#NAME?</v>
      </c>
      <c r="AB42" t="e">
        <f ca="1">IF(X42="","",SUMIFS(IRegback!$Y$2:$Y1001,IRegback!$X$2:$X1001,X42))</f>
        <v>#NAME?</v>
      </c>
      <c r="AC42" t="e">
        <f t="shared" ca="1" si="2"/>
        <v>#NAME?</v>
      </c>
      <c r="AD42" t="e">
        <f ca="1">IF(X42="","",VLOOKUP($X42,RM!$C$4:$G991,3,FALSE))</f>
        <v>#NAME?</v>
      </c>
      <c r="AE42" t="e">
        <f ca="1">IF(X42="","",VLOOKUP($X42,RM!$C$4:$G991,4,FALSE))</f>
        <v>#NAME?</v>
      </c>
      <c r="AF42" t="e">
        <f ca="1">IF(X42="","",VLOOKUP($X42,RM!$C$4:$G991,5,FALSE))</f>
        <v>#NAME?</v>
      </c>
      <c r="AH42" t="str">
        <f ca="1">IFERROR(__xludf.DUMMYFUNCTION("""COMPUTED_VALUE"""),"Jet Motor Assy")</f>
        <v>Jet Motor Assy</v>
      </c>
      <c r="AI42" t="str">
        <f ca="1">IFERROR(__xludf.DUMMYFUNCTION("""COMPUTED_VALUE"""),"M4x12 plain washer")</f>
        <v>M4x12 plain washer</v>
      </c>
      <c r="AJ42">
        <f ca="1">IFERROR(__xludf.DUMMYFUNCTION("""COMPUTED_VALUE"""),24)</f>
        <v>24</v>
      </c>
      <c r="AK42" t="str">
        <f ca="1">IFERROR(__xludf.DUMMYFUNCTION("""COMPUTED_VALUE"""),"blank")</f>
        <v>blank</v>
      </c>
      <c r="AL42" t="e">
        <f ca="1">_xludf.IFNA(VLOOKUP(AH42,'S-FG'!$B$3:$B1001,1,FALSE),"")</f>
        <v>#NAME?</v>
      </c>
      <c r="AM42" t="e">
        <f ca="1">IF(AI42="","",SUMIFS(#REF!,RM!$C$4:$C991,AI42))</f>
        <v>#REF!</v>
      </c>
    </row>
    <row r="43" spans="1:39">
      <c r="E43" t="str">
        <f>IF(A43="","",SUMIFS('PR-BOM'!$D$3:$D1001,'PR-BOM'!$C$3:$C1001,A43)*C43)</f>
        <v/>
      </c>
      <c r="F43" t="e">
        <f ca="1">_xludf.IFNA(VLOOKUP(B43,'S-FG'!$B$3:$B1001,1,FALSE),"")</f>
        <v>#NAME?</v>
      </c>
      <c r="H43" t="str">
        <f ca="1">IFERROR(__xludf.DUMMYFUNCTION("""COMPUTED_VALUE"""),"PORT_ESC Assy")</f>
        <v>PORT_ESC Assy</v>
      </c>
      <c r="I43" t="str">
        <f ca="1">IFERROR(__xludf.DUMMYFUNCTION("""COMPUTED_VALUE"""),"Heatshrink Tube 9:3")</f>
        <v>Heatshrink Tube 9:3</v>
      </c>
      <c r="J43">
        <f ca="1">IFERROR(__xludf.DUMMYFUNCTION("""COMPUTED_VALUE"""),0.05)</f>
        <v>0.05</v>
      </c>
      <c r="K43" t="str">
        <f ca="1">IFERROR(__xludf.DUMMYFUNCTION("""COMPUTED_VALUE"""),"blank")</f>
        <v>blank</v>
      </c>
      <c r="L43">
        <f t="shared" ca="1" si="0"/>
        <v>0</v>
      </c>
      <c r="Q43" t="str">
        <f>IF(N43="","",SUMIFS('PR-BOM'!$D$3:$D1001,'PR-BOM'!$C$3:$C1001,N43))</f>
        <v/>
      </c>
      <c r="S43" t="str">
        <f ca="1">IFERROR(__xludf.DUMMYFUNCTION("""COMPUTED_VALUE"""),"16AWG Lead")</f>
        <v>16AWG Lead</v>
      </c>
      <c r="X43" t="e">
        <f ca="1"/>
        <v>#NAME?</v>
      </c>
      <c r="Y43" t="e">
        <f t="shared" ca="1" si="1"/>
        <v>#NAME?</v>
      </c>
      <c r="Z43" t="e">
        <f ca="1">IF(X43="","",SUMIFS(#REF!,RM!$C$4:$C991,X43))</f>
        <v>#NAME?</v>
      </c>
      <c r="AA43" t="e">
        <f ca="1">IF(X43="","",SUMIFS(#REF!,RM!$C$4:$C991,X43))</f>
        <v>#NAME?</v>
      </c>
      <c r="AB43" t="e">
        <f ca="1">IF(X43="","",SUMIFS(IRegback!$Y$2:$Y1001,IRegback!$X$2:$X1001,X43))</f>
        <v>#NAME?</v>
      </c>
      <c r="AC43" t="e">
        <f t="shared" ca="1" si="2"/>
        <v>#NAME?</v>
      </c>
      <c r="AD43" t="e">
        <f ca="1">IF(X43="","",VLOOKUP($X43,RM!$C$4:$G991,3,FALSE))</f>
        <v>#NAME?</v>
      </c>
      <c r="AE43" t="e">
        <f ca="1">IF(X43="","",VLOOKUP($X43,RM!$C$4:$G991,4,FALSE))</f>
        <v>#NAME?</v>
      </c>
      <c r="AF43" t="e">
        <f ca="1">IF(X43="","",VLOOKUP($X43,RM!$C$4:$G991,5,FALSE))</f>
        <v>#NAME?</v>
      </c>
      <c r="AH43" t="str">
        <f ca="1">IFERROR(__xludf.DUMMYFUNCTION("""COMPUTED_VALUE"""),"Jet Motor Assy")</f>
        <v>Jet Motor Assy</v>
      </c>
      <c r="AI43" t="str">
        <f ca="1">IFERROR(__xludf.DUMMYFUNCTION("""COMPUTED_VALUE"""),"M4x16 CSK Phillips")</f>
        <v>M4x16 CSK Phillips</v>
      </c>
      <c r="AJ43">
        <f ca="1">IFERROR(__xludf.DUMMYFUNCTION("""COMPUTED_VALUE"""),4)</f>
        <v>4</v>
      </c>
      <c r="AK43" t="str">
        <f ca="1">IFERROR(__xludf.DUMMYFUNCTION("""COMPUTED_VALUE"""),"blank")</f>
        <v>blank</v>
      </c>
      <c r="AL43" t="e">
        <f ca="1">_xludf.IFNA(VLOOKUP(AH43,'S-FG'!$B$3:$B1001,1,FALSE),"")</f>
        <v>#NAME?</v>
      </c>
      <c r="AM43" t="e">
        <f ca="1">IF(AI43="","",SUMIFS(#REF!,RM!$C$4:$C991,AI43))</f>
        <v>#REF!</v>
      </c>
    </row>
    <row r="44" spans="1:39">
      <c r="E44" t="str">
        <f>IF(A44="","",SUMIFS('PR-BOM'!$D$3:$D1001,'PR-BOM'!$C$3:$C1001,A44)*C44)</f>
        <v/>
      </c>
      <c r="F44" t="e">
        <f ca="1">_xludf.IFNA(VLOOKUP(B44,'S-FG'!$B$3:$B1001,1,FALSE),"")</f>
        <v>#NAME?</v>
      </c>
      <c r="H44" t="str">
        <f ca="1">IFERROR(__xludf.DUMMYFUNCTION("""COMPUTED_VALUE"""),"PORT_ESC Assy")</f>
        <v>PORT_ESC Assy</v>
      </c>
      <c r="I44" t="str">
        <f ca="1">IFERROR(__xludf.DUMMYFUNCTION("""COMPUTED_VALUE"""),"HeatShrink Tube 4.8/1.2")</f>
        <v>HeatShrink Tube 4.8/1.2</v>
      </c>
      <c r="J44">
        <f ca="1">IFERROR(__xludf.DUMMYFUNCTION("""COMPUTED_VALUE"""),0.05)</f>
        <v>0.05</v>
      </c>
      <c r="K44" t="str">
        <f ca="1">IFERROR(__xludf.DUMMYFUNCTION("""COMPUTED_VALUE"""),"blank")</f>
        <v>blank</v>
      </c>
      <c r="L44">
        <f t="shared" ca="1" si="0"/>
        <v>0</v>
      </c>
      <c r="Q44" t="str">
        <f>IF(N44="","",SUMIFS('PR-BOM'!$D$3:$D1001,'PR-BOM'!$C$3:$C1001,N44))</f>
        <v/>
      </c>
      <c r="S44" t="str">
        <f ca="1">IFERROR(__xludf.DUMMYFUNCTION("""COMPUTED_VALUE"""),"Heatshrink Tube 9:3")</f>
        <v>Heatshrink Tube 9:3</v>
      </c>
      <c r="X44" t="e">
        <f ca="1"/>
        <v>#NAME?</v>
      </c>
      <c r="Y44" t="e">
        <f t="shared" ca="1" si="1"/>
        <v>#NAME?</v>
      </c>
      <c r="Z44" t="e">
        <f ca="1">IF(X44="","",SUMIFS(#REF!,RM!$C$4:$C991,X44))</f>
        <v>#NAME?</v>
      </c>
      <c r="AA44" t="e">
        <f ca="1">IF(X44="","",SUMIFS(#REF!,RM!$C$4:$C991,X44))</f>
        <v>#NAME?</v>
      </c>
      <c r="AB44" t="e">
        <f ca="1">IF(X44="","",SUMIFS(IRegback!$Y$2:$Y1001,IRegback!$X$2:$X1001,X44))</f>
        <v>#NAME?</v>
      </c>
      <c r="AC44" t="e">
        <f t="shared" ca="1" si="2"/>
        <v>#NAME?</v>
      </c>
      <c r="AD44" t="e">
        <f ca="1">IF(X44="","",VLOOKUP($X44,RM!$C$4:$G991,3,FALSE))</f>
        <v>#NAME?</v>
      </c>
      <c r="AE44" t="e">
        <f ca="1">IF(X44="","",VLOOKUP($X44,RM!$C$4:$G991,4,FALSE))</f>
        <v>#NAME?</v>
      </c>
      <c r="AF44" t="e">
        <f ca="1">IF(X44="","",VLOOKUP($X44,RM!$C$4:$G991,5,FALSE))</f>
        <v>#NAME?</v>
      </c>
      <c r="AH44" t="str">
        <f ca="1">IFERROR(__xludf.DUMMYFUNCTION("""COMPUTED_VALUE"""),"Jet Motor Assy")</f>
        <v>Jet Motor Assy</v>
      </c>
      <c r="AI44" t="str">
        <f ca="1">IFERROR(__xludf.DUMMYFUNCTION("""COMPUTED_VALUE"""),"M4x10 CSK Phillips ")</f>
        <v xml:space="preserve">M4x10 CSK Phillips </v>
      </c>
      <c r="AJ44">
        <f ca="1">IFERROR(__xludf.DUMMYFUNCTION("""COMPUTED_VALUE"""),0)</f>
        <v>0</v>
      </c>
      <c r="AK44" t="str">
        <f ca="1">IFERROR(__xludf.DUMMYFUNCTION("""COMPUTED_VALUE"""),"blank")</f>
        <v>blank</v>
      </c>
      <c r="AL44" t="e">
        <f ca="1">_xludf.IFNA(VLOOKUP(AH44,'S-FG'!$B$3:$B1001,1,FALSE),"")</f>
        <v>#NAME?</v>
      </c>
      <c r="AM44" t="e">
        <f ca="1">IF(AI44="","",SUMIFS(#REF!,RM!$C$4:$C991,AI44))</f>
        <v>#REF!</v>
      </c>
    </row>
    <row r="45" spans="1:39">
      <c r="E45" t="str">
        <f>IF(A45="","",SUMIFS('PR-BOM'!$D$3:$D1001,'PR-BOM'!$C$3:$C1001,A45)*C45)</f>
        <v/>
      </c>
      <c r="F45" t="e">
        <f ca="1">_xludf.IFNA(VLOOKUP(B45,'S-FG'!$B$3:$B1001,1,FALSE),"")</f>
        <v>#NAME?</v>
      </c>
      <c r="H45" t="str">
        <f ca="1">IFERROR(__xludf.DUMMYFUNCTION("""COMPUTED_VALUE"""),"PORT_ESC Assy")</f>
        <v>PORT_ESC Assy</v>
      </c>
      <c r="I45" t="str">
        <f ca="1">IFERROR(__xludf.DUMMYFUNCTION("""COMPUTED_VALUE"""),"HV130 ESC")</f>
        <v>HV130 ESC</v>
      </c>
      <c r="J45">
        <f ca="1">IFERROR(__xludf.DUMMYFUNCTION("""COMPUTED_VALUE"""),1)</f>
        <v>1</v>
      </c>
      <c r="K45" t="str">
        <f ca="1">IFERROR(__xludf.DUMMYFUNCTION("""COMPUTED_VALUE"""),"blank")</f>
        <v>blank</v>
      </c>
      <c r="L45">
        <f t="shared" ca="1" si="0"/>
        <v>0</v>
      </c>
      <c r="Q45" t="str">
        <f>IF(N45="","",SUMIFS('PR-BOM'!$D$3:$D1001,'PR-BOM'!$C$3:$C1001,N45))</f>
        <v/>
      </c>
      <c r="S45" t="str">
        <f ca="1">IFERROR(__xludf.DUMMYFUNCTION("""COMPUTED_VALUE"""),"HeatShrink Tube 4.8/1.2")</f>
        <v>HeatShrink Tube 4.8/1.2</v>
      </c>
      <c r="X45" t="e">
        <f ca="1"/>
        <v>#NAME?</v>
      </c>
      <c r="Y45" t="e">
        <f t="shared" ca="1" si="1"/>
        <v>#NAME?</v>
      </c>
      <c r="Z45" t="e">
        <f ca="1">IF(X45="","",SUMIFS(#REF!,RM!$C$4:$C991,X45))</f>
        <v>#NAME?</v>
      </c>
      <c r="AA45" t="e">
        <f ca="1">IF(X45="","",SUMIFS(#REF!,RM!$C$4:$C991,X45))</f>
        <v>#NAME?</v>
      </c>
      <c r="AB45" t="e">
        <f ca="1">IF(X45="","",SUMIFS(IRegback!$Y$2:$Y1001,IRegback!$X$2:$X1001,X45))</f>
        <v>#NAME?</v>
      </c>
      <c r="AC45" t="e">
        <f t="shared" ca="1" si="2"/>
        <v>#NAME?</v>
      </c>
      <c r="AD45" t="e">
        <f ca="1">IF(X45="","",VLOOKUP($X45,RM!$C$4:$G991,3,FALSE))</f>
        <v>#NAME?</v>
      </c>
      <c r="AE45" t="e">
        <f ca="1">IF(X45="","",VLOOKUP($X45,RM!$C$4:$G991,4,FALSE))</f>
        <v>#NAME?</v>
      </c>
      <c r="AF45" t="e">
        <f ca="1">IF(X45="","",VLOOKUP($X45,RM!$C$4:$G991,5,FALSE))</f>
        <v>#NAME?</v>
      </c>
      <c r="AH45" t="str">
        <f ca="1">IFERROR(__xludf.DUMMYFUNCTION("""COMPUTED_VALUE"""),"Jet Motor Assy")</f>
        <v>Jet Motor Assy</v>
      </c>
      <c r="AI45" t="str">
        <f ca="1">IFERROR(__xludf.DUMMYFUNCTION("""COMPUTED_VALUE"""),"M4x20 CSK Phillips")</f>
        <v>M4x20 CSK Phillips</v>
      </c>
      <c r="AJ45">
        <f ca="1">IFERROR(__xludf.DUMMYFUNCTION("""COMPUTED_VALUE"""),8)</f>
        <v>8</v>
      </c>
      <c r="AK45" t="str">
        <f ca="1">IFERROR(__xludf.DUMMYFUNCTION("""COMPUTED_VALUE"""),"blank")</f>
        <v>blank</v>
      </c>
      <c r="AL45" t="e">
        <f ca="1">_xludf.IFNA(VLOOKUP(AH45,'S-FG'!$B$3:$B1001,1,FALSE),"")</f>
        <v>#NAME?</v>
      </c>
      <c r="AM45" t="e">
        <f ca="1">IF(AI45="","",SUMIFS(#REF!,RM!$C$4:$C991,AI45))</f>
        <v>#REF!</v>
      </c>
    </row>
    <row r="46" spans="1:39">
      <c r="E46" t="str">
        <f>IF(A46="","",SUMIFS('PR-BOM'!$D$3:$D1001,'PR-BOM'!$C$3:$C1001,A46)*C46)</f>
        <v/>
      </c>
      <c r="F46" t="e">
        <f ca="1">_xludf.IFNA(VLOOKUP(B46,'S-FG'!$B$3:$B1001,1,FALSE),"")</f>
        <v>#NAME?</v>
      </c>
      <c r="H46" t="str">
        <f ca="1">IFERROR(__xludf.DUMMYFUNCTION("""COMPUTED_VALUE"""),"STBD Signal PM Assy")</f>
        <v>STBD Signal PM Assy</v>
      </c>
      <c r="I46" t="str">
        <f ca="1">IFERROR(__xludf.DUMMYFUNCTION("""COMPUTED_VALUE"""),"15 pin JST-XH housing")</f>
        <v>15 pin JST-XH housing</v>
      </c>
      <c r="J46">
        <f ca="1">IFERROR(__xludf.DUMMYFUNCTION("""COMPUTED_VALUE"""),1)</f>
        <v>1</v>
      </c>
      <c r="K46" t="str">
        <f ca="1">IFERROR(__xludf.DUMMYFUNCTION("""COMPUTED_VALUE"""),"blank")</f>
        <v>blank</v>
      </c>
      <c r="L46">
        <f t="shared" ca="1" si="0"/>
        <v>0</v>
      </c>
      <c r="Q46" t="str">
        <f>IF(N46="","",SUMIFS('PR-BOM'!$D$3:$D1001,'PR-BOM'!$C$3:$C1001,N46))</f>
        <v/>
      </c>
      <c r="S46" t="str">
        <f ca="1">IFERROR(__xludf.DUMMYFUNCTION("""COMPUTED_VALUE"""),"HV130 ESC")</f>
        <v>HV130 ESC</v>
      </c>
      <c r="X46" t="e">
        <f ca="1"/>
        <v>#NAME?</v>
      </c>
      <c r="Y46" t="e">
        <f t="shared" ca="1" si="1"/>
        <v>#NAME?</v>
      </c>
      <c r="Z46" t="e">
        <f ca="1">IF(X46="","",SUMIFS(#REF!,RM!$C$4:$C991,X46))</f>
        <v>#NAME?</v>
      </c>
      <c r="AA46" t="e">
        <f ca="1">IF(X46="","",SUMIFS(#REF!,RM!$C$4:$C991,X46))</f>
        <v>#NAME?</v>
      </c>
      <c r="AB46" t="e">
        <f ca="1">IF(X46="","",SUMIFS(IRegback!$Y$2:$Y1001,IRegback!$X$2:$X1001,X46))</f>
        <v>#NAME?</v>
      </c>
      <c r="AC46" t="e">
        <f t="shared" ca="1" si="2"/>
        <v>#NAME?</v>
      </c>
      <c r="AD46" t="e">
        <f ca="1">IF(X46="","",VLOOKUP($X46,RM!$C$4:$G991,3,FALSE))</f>
        <v>#NAME?</v>
      </c>
      <c r="AE46" t="e">
        <f ca="1">IF(X46="","",VLOOKUP($X46,RM!$C$4:$G991,4,FALSE))</f>
        <v>#NAME?</v>
      </c>
      <c r="AF46" t="e">
        <f ca="1">IF(X46="","",VLOOKUP($X46,RM!$C$4:$G991,5,FALSE))</f>
        <v>#NAME?</v>
      </c>
      <c r="AH46" t="str">
        <f ca="1">IFERROR(__xludf.DUMMYFUNCTION("""COMPUTED_VALUE"""),"Jet Motor Assy")</f>
        <v>Jet Motor Assy</v>
      </c>
      <c r="AI46" t="str">
        <f ca="1">IFERROR(__xludf.DUMMYFUNCTION("""COMPUTED_VALUE"""),"Grub M6x10 SS (Coupling tightening)")</f>
        <v>Grub M6x10 SS (Coupling tightening)</v>
      </c>
      <c r="AJ46">
        <f ca="1">IFERROR(__xludf.DUMMYFUNCTION("""COMPUTED_VALUE"""),2)</f>
        <v>2</v>
      </c>
      <c r="AK46" t="str">
        <f ca="1">IFERROR(__xludf.DUMMYFUNCTION("""COMPUTED_VALUE"""),"blank")</f>
        <v>blank</v>
      </c>
      <c r="AL46" t="e">
        <f ca="1">_xludf.IFNA(VLOOKUP(AH46,'S-FG'!$B$3:$B1001,1,FALSE),"")</f>
        <v>#NAME?</v>
      </c>
      <c r="AM46" t="e">
        <f ca="1">IF(AI46="","",SUMIFS(#REF!,RM!$C$4:$C991,AI46))</f>
        <v>#REF!</v>
      </c>
    </row>
    <row r="47" spans="1:39">
      <c r="E47" t="str">
        <f>IF(A47="","",SUMIFS('PR-BOM'!$D$3:$D1001,'PR-BOM'!$C$3:$C1001,A47)*C47)</f>
        <v/>
      </c>
      <c r="F47" t="e">
        <f ca="1">_xludf.IFNA(VLOOKUP(B47,'S-FG'!$B$3:$B1001,1,FALSE),"")</f>
        <v>#NAME?</v>
      </c>
      <c r="H47" t="str">
        <f ca="1">IFERROR(__xludf.DUMMYFUNCTION("""COMPUTED_VALUE"""),"STBD Signal PM Assy")</f>
        <v>STBD Signal PM Assy</v>
      </c>
      <c r="I47" t="str">
        <f ca="1">IFERROR(__xludf.DUMMYFUNCTION("""COMPUTED_VALUE"""),"10cm one sided JST crimped Black")</f>
        <v>10cm one sided JST crimped Black</v>
      </c>
      <c r="J47">
        <f ca="1">IFERROR(__xludf.DUMMYFUNCTION("""COMPUTED_VALUE"""),1)</f>
        <v>1</v>
      </c>
      <c r="K47" t="str">
        <f ca="1">IFERROR(__xludf.DUMMYFUNCTION("""COMPUTED_VALUE"""),"blank")</f>
        <v>blank</v>
      </c>
      <c r="L47">
        <f t="shared" ca="1" si="0"/>
        <v>0</v>
      </c>
      <c r="Q47" t="str">
        <f>IF(N47="","",SUMIFS('PR-BOM'!$D$3:$D1001,'PR-BOM'!$C$3:$C1001,N47))</f>
        <v/>
      </c>
      <c r="S47" t="str">
        <f ca="1">IFERROR(__xludf.DUMMYFUNCTION("""COMPUTED_VALUE"""),"15 pin JST-XH housing")</f>
        <v>15 pin JST-XH housing</v>
      </c>
      <c r="X47" t="e">
        <f ca="1"/>
        <v>#NAME?</v>
      </c>
      <c r="Y47" t="e">
        <f t="shared" ca="1" si="1"/>
        <v>#NAME?</v>
      </c>
      <c r="Z47" t="e">
        <f ca="1">IF(X47="","",SUMIFS(#REF!,RM!$C$4:$C991,X47))</f>
        <v>#NAME?</v>
      </c>
      <c r="AA47" t="e">
        <f ca="1">IF(X47="","",SUMIFS(#REF!,RM!$C$4:$C991,X47))</f>
        <v>#NAME?</v>
      </c>
      <c r="AB47" t="e">
        <f ca="1">IF(X47="","",SUMIFS(IRegback!$Y$2:$Y1001,IRegback!$X$2:$X1001,X47))</f>
        <v>#NAME?</v>
      </c>
      <c r="AC47" t="e">
        <f t="shared" ca="1" si="2"/>
        <v>#NAME?</v>
      </c>
      <c r="AD47" t="e">
        <f ca="1">IF(X47="","",VLOOKUP($X47,RM!$C$4:$G991,3,FALSE))</f>
        <v>#NAME?</v>
      </c>
      <c r="AE47" t="e">
        <f ca="1">IF(X47="","",VLOOKUP($X47,RM!$C$4:$G991,4,FALSE))</f>
        <v>#NAME?</v>
      </c>
      <c r="AF47" t="e">
        <f ca="1">IF(X47="","",VLOOKUP($X47,RM!$C$4:$G991,5,FALSE))</f>
        <v>#NAME?</v>
      </c>
      <c r="AH47" t="str">
        <f ca="1">IFERROR(__xludf.DUMMYFUNCTION("""COMPUTED_VALUE"""),"Jet Motor Assy")</f>
        <v>Jet Motor Assy</v>
      </c>
      <c r="AI47" t="str">
        <f ca="1">IFERROR(__xludf.DUMMYFUNCTION("""COMPUTED_VALUE"""),"Rotex14 Coupling")</f>
        <v>Rotex14 Coupling</v>
      </c>
      <c r="AJ47">
        <f ca="1">IFERROR(__xludf.DUMMYFUNCTION("""COMPUTED_VALUE"""),1)</f>
        <v>1</v>
      </c>
      <c r="AK47" t="str">
        <f ca="1">IFERROR(__xludf.DUMMYFUNCTION("""COMPUTED_VALUE"""),"blank")</f>
        <v>blank</v>
      </c>
      <c r="AL47" t="e">
        <f ca="1">_xludf.IFNA(VLOOKUP(AH47,'S-FG'!$B$3:$B1001,1,FALSE),"")</f>
        <v>#NAME?</v>
      </c>
      <c r="AM47" t="e">
        <f ca="1">IF(AI47="","",SUMIFS(#REF!,RM!$C$4:$C991,AI47))</f>
        <v>#REF!</v>
      </c>
    </row>
    <row r="48" spans="1:39">
      <c r="E48" t="str">
        <f>IF(A48="","",SUMIFS('PR-BOM'!$D$3:$D1001,'PR-BOM'!$C$3:$C1001,A48)*C48)</f>
        <v/>
      </c>
      <c r="F48" t="e">
        <f ca="1">_xludf.IFNA(VLOOKUP(B48,'S-FG'!$B$3:$B1001,1,FALSE),"")</f>
        <v>#NAME?</v>
      </c>
      <c r="H48" t="str">
        <f ca="1">IFERROR(__xludf.DUMMYFUNCTION("""COMPUTED_VALUE"""),"STBD Signal PM Assy")</f>
        <v>STBD Signal PM Assy</v>
      </c>
      <c r="I48" t="str">
        <f ca="1">IFERROR(__xludf.DUMMYFUNCTION("""COMPUTED_VALUE"""),"10cm one sided JST crimped Green")</f>
        <v>10cm one sided JST crimped Green</v>
      </c>
      <c r="J48">
        <f ca="1">IFERROR(__xludf.DUMMYFUNCTION("""COMPUTED_VALUE"""),1)</f>
        <v>1</v>
      </c>
      <c r="K48" t="str">
        <f ca="1">IFERROR(__xludf.DUMMYFUNCTION("""COMPUTED_VALUE"""),"blank")</f>
        <v>blank</v>
      </c>
      <c r="L48">
        <f t="shared" ca="1" si="0"/>
        <v>0</v>
      </c>
      <c r="Q48" t="str">
        <f>IF(N48="","",SUMIFS('PR-BOM'!$D$3:$D1001,'PR-BOM'!$C$3:$C1001,N48))</f>
        <v/>
      </c>
      <c r="S48" t="str">
        <f ca="1">IFERROR(__xludf.DUMMYFUNCTION("""COMPUTED_VALUE"""),"10cm one sided JST crimped Black")</f>
        <v>10cm one sided JST crimped Black</v>
      </c>
      <c r="X48" t="e">
        <f ca="1"/>
        <v>#NAME?</v>
      </c>
      <c r="Y48" t="e">
        <f t="shared" ca="1" si="1"/>
        <v>#NAME?</v>
      </c>
      <c r="Z48" t="e">
        <f ca="1">IF(X48="","",SUMIFS(#REF!,RM!$C$4:$C991,X48))</f>
        <v>#NAME?</v>
      </c>
      <c r="AA48" t="e">
        <f ca="1">IF(X48="","",SUMIFS(#REF!,RM!$C$4:$C991,X48))</f>
        <v>#NAME?</v>
      </c>
      <c r="AB48" t="e">
        <f ca="1">IF(X48="","",SUMIFS(IRegback!$Y$2:$Y1001,IRegback!$X$2:$X1001,X48))</f>
        <v>#NAME?</v>
      </c>
      <c r="AC48" t="e">
        <f t="shared" ca="1" si="2"/>
        <v>#NAME?</v>
      </c>
      <c r="AD48" t="e">
        <f ca="1">IF(X48="","",VLOOKUP($X48,RM!$C$4:$G991,3,FALSE))</f>
        <v>#NAME?</v>
      </c>
      <c r="AE48" t="e">
        <f ca="1">IF(X48="","",VLOOKUP($X48,RM!$C$4:$G991,4,FALSE))</f>
        <v>#NAME?</v>
      </c>
      <c r="AF48" t="e">
        <f ca="1">IF(X48="","",VLOOKUP($X48,RM!$C$4:$G991,5,FALSE))</f>
        <v>#NAME?</v>
      </c>
      <c r="AH48" t="str">
        <f ca="1">IFERROR(__xludf.DUMMYFUNCTION("""COMPUTED_VALUE"""),"Jet Motor Assy")</f>
        <v>Jet Motor Assy</v>
      </c>
      <c r="AI48" t="str">
        <f ca="1">IFERROR(__xludf.DUMMYFUNCTION("""COMPUTED_VALUE"""),"Teroson MS930")</f>
        <v>Teroson MS930</v>
      </c>
      <c r="AJ48">
        <f ca="1">IFERROR(__xludf.DUMMYFUNCTION("""COMPUTED_VALUE"""),15)</f>
        <v>15</v>
      </c>
      <c r="AK48" t="str">
        <f ca="1">IFERROR(__xludf.DUMMYFUNCTION("""COMPUTED_VALUE"""),"blank")</f>
        <v>blank</v>
      </c>
      <c r="AL48" t="e">
        <f ca="1">_xludf.IFNA(VLOOKUP(AH48,'S-FG'!$B$3:$B1001,1,FALSE),"")</f>
        <v>#NAME?</v>
      </c>
      <c r="AM48" t="e">
        <f ca="1">IF(AI48="","",SUMIFS(#REF!,RM!$C$4:$C991,AI48))</f>
        <v>#REF!</v>
      </c>
    </row>
    <row r="49" spans="5:39">
      <c r="E49" t="str">
        <f>IF(A49="","",SUMIFS('PR-BOM'!$D$3:$D1001,'PR-BOM'!$C$3:$C1001,A49)*C49)</f>
        <v/>
      </c>
      <c r="F49" t="e">
        <f ca="1">_xludf.IFNA(VLOOKUP(B49,'S-FG'!$B$3:$B1001,1,FALSE),"")</f>
        <v>#NAME?</v>
      </c>
      <c r="H49" t="str">
        <f ca="1">IFERROR(__xludf.DUMMYFUNCTION("""COMPUTED_VALUE"""),"STBD Signal PM Assy")</f>
        <v>STBD Signal PM Assy</v>
      </c>
      <c r="I49" t="str">
        <f ca="1">IFERROR(__xludf.DUMMYFUNCTION("""COMPUTED_VALUE"""),"10cm one sided JST crimped Voilet")</f>
        <v>10cm one sided JST crimped Voilet</v>
      </c>
      <c r="J49">
        <f ca="1">IFERROR(__xludf.DUMMYFUNCTION("""COMPUTED_VALUE"""),1)</f>
        <v>1</v>
      </c>
      <c r="K49" t="str">
        <f ca="1">IFERROR(__xludf.DUMMYFUNCTION("""COMPUTED_VALUE"""),"blank")</f>
        <v>blank</v>
      </c>
      <c r="L49">
        <f t="shared" ca="1" si="0"/>
        <v>0</v>
      </c>
      <c r="Q49" t="str">
        <f>IF(N49="","",SUMIFS('PR-BOM'!$D$3:$D1001,'PR-BOM'!$C$3:$C1001,N49))</f>
        <v/>
      </c>
      <c r="S49" t="str">
        <f ca="1">IFERROR(__xludf.DUMMYFUNCTION("""COMPUTED_VALUE"""),"10cm one sided JST crimped Green")</f>
        <v>10cm one sided JST crimped Green</v>
      </c>
      <c r="X49" t="e">
        <f ca="1"/>
        <v>#NAME?</v>
      </c>
      <c r="Y49" t="e">
        <f t="shared" ca="1" si="1"/>
        <v>#NAME?</v>
      </c>
      <c r="Z49" t="e">
        <f ca="1">IF(X49="","",SUMIFS(#REF!,RM!$C$4:$C991,X49))</f>
        <v>#NAME?</v>
      </c>
      <c r="AA49" t="e">
        <f ca="1">IF(X49="","",SUMIFS(#REF!,RM!$C$4:$C991,X49))</f>
        <v>#NAME?</v>
      </c>
      <c r="AB49" t="e">
        <f ca="1">IF(X49="","",SUMIFS(IRegback!$Y$2:$Y1001,IRegback!$X$2:$X1001,X49))</f>
        <v>#NAME?</v>
      </c>
      <c r="AC49" t="e">
        <f t="shared" ca="1" si="2"/>
        <v>#NAME?</v>
      </c>
      <c r="AD49" t="e">
        <f ca="1">IF(X49="","",VLOOKUP($X49,RM!$C$4:$G991,3,FALSE))</f>
        <v>#NAME?</v>
      </c>
      <c r="AE49" t="e">
        <f ca="1">IF(X49="","",VLOOKUP($X49,RM!$C$4:$G991,4,FALSE))</f>
        <v>#NAME?</v>
      </c>
      <c r="AF49" t="e">
        <f ca="1">IF(X49="","",VLOOKUP($X49,RM!$C$4:$G991,5,FALSE))</f>
        <v>#NAME?</v>
      </c>
      <c r="AH49" t="str">
        <f ca="1">IFERROR(__xludf.DUMMYFUNCTION("""COMPUTED_VALUE"""),"Jet Motor Assy")</f>
        <v>Jet Motor Assy</v>
      </c>
      <c r="AI49" t="str">
        <f ca="1">IFERROR(__xludf.DUMMYFUNCTION("""COMPUTED_VALUE"""),"Nozzle on Jet")</f>
        <v>Nozzle on Jet</v>
      </c>
      <c r="AJ49">
        <f ca="1">IFERROR(__xludf.DUMMYFUNCTION("""COMPUTED_VALUE"""),1)</f>
        <v>1</v>
      </c>
      <c r="AL49" t="e">
        <f ca="1">_xludf.IFNA(VLOOKUP(AH49,'S-FG'!$B$3:$B1001,1,FALSE),"")</f>
        <v>#NAME?</v>
      </c>
      <c r="AM49" t="e">
        <f ca="1">IF(AI49="","",SUMIFS(#REF!,RM!$C$4:$C991,AI49))</f>
        <v>#REF!</v>
      </c>
    </row>
    <row r="50" spans="5:39">
      <c r="E50" t="str">
        <f>IF(A50="","",SUMIFS('PR-BOM'!$D$3:$D1001,'PR-BOM'!$C$3:$C1001,A50)*C50)</f>
        <v/>
      </c>
      <c r="F50" t="e">
        <f ca="1">_xludf.IFNA(VLOOKUP(B50,'S-FG'!$B$3:$B1001,1,FALSE),"")</f>
        <v>#NAME?</v>
      </c>
      <c r="H50" t="str">
        <f ca="1">IFERROR(__xludf.DUMMYFUNCTION("""COMPUTED_VALUE"""),"STBD Signal PM Assy")</f>
        <v>STBD Signal PM Assy</v>
      </c>
      <c r="I50" t="str">
        <f ca="1">IFERROR(__xludf.DUMMYFUNCTION("""COMPUTED_VALUE"""),"10cm one sided JST crimped Yellow")</f>
        <v>10cm one sided JST crimped Yellow</v>
      </c>
      <c r="J50">
        <f ca="1">IFERROR(__xludf.DUMMYFUNCTION("""COMPUTED_VALUE"""),1)</f>
        <v>1</v>
      </c>
      <c r="K50" t="str">
        <f ca="1">IFERROR(__xludf.DUMMYFUNCTION("""COMPUTED_VALUE"""),"blank")</f>
        <v>blank</v>
      </c>
      <c r="L50">
        <f t="shared" ca="1" si="0"/>
        <v>0</v>
      </c>
      <c r="Q50" t="str">
        <f>IF(N50="","",SUMIFS('PR-BOM'!$D$3:$D1001,'PR-BOM'!$C$3:$C1001,N50))</f>
        <v/>
      </c>
      <c r="S50" t="str">
        <f ca="1">IFERROR(__xludf.DUMMYFUNCTION("""COMPUTED_VALUE"""),"10cm one sided JST crimped Voilet")</f>
        <v>10cm one sided JST crimped Voilet</v>
      </c>
      <c r="X50" t="e">
        <f ca="1"/>
        <v>#NAME?</v>
      </c>
      <c r="Y50" t="e">
        <f t="shared" ca="1" si="1"/>
        <v>#NAME?</v>
      </c>
      <c r="Z50" t="e">
        <f ca="1">IF(X50="","",SUMIFS(#REF!,RM!$C$4:$C991,X50))</f>
        <v>#NAME?</v>
      </c>
      <c r="AA50" t="e">
        <f ca="1">IF(X50="","",SUMIFS(#REF!,RM!$C$4:$C991,X50))</f>
        <v>#NAME?</v>
      </c>
      <c r="AB50" t="e">
        <f ca="1">IF(X50="","",SUMIFS(IRegback!$Y$2:$Y1001,IRegback!$X$2:$X1001,X50))</f>
        <v>#NAME?</v>
      </c>
      <c r="AC50" t="e">
        <f t="shared" ca="1" si="2"/>
        <v>#NAME?</v>
      </c>
      <c r="AD50" t="e">
        <f ca="1">IF(X50="","",VLOOKUP($X50,RM!$C$4:$G991,3,FALSE))</f>
        <v>#NAME?</v>
      </c>
      <c r="AE50" t="e">
        <f ca="1">IF(X50="","",VLOOKUP($X50,RM!$C$4:$G991,4,FALSE))</f>
        <v>#NAME?</v>
      </c>
      <c r="AF50" t="e">
        <f ca="1">IF(X50="","",VLOOKUP($X50,RM!$C$4:$G991,5,FALSE))</f>
        <v>#NAME?</v>
      </c>
      <c r="AH50" t="str">
        <f ca="1">IFERROR(__xludf.DUMMYFUNCTION("""COMPUTED_VALUE"""),"Jet Motor Assy")</f>
        <v>Jet Motor Assy</v>
      </c>
      <c r="AI50" t="str">
        <f ca="1">IFERROR(__xludf.DUMMYFUNCTION("""COMPUTED_VALUE"""),"Silicon hose pipe clip 7mm")</f>
        <v>Silicon hose pipe clip 7mm</v>
      </c>
      <c r="AJ50">
        <f ca="1">IFERROR(__xludf.DUMMYFUNCTION("""COMPUTED_VALUE"""),1)</f>
        <v>1</v>
      </c>
      <c r="AK50" t="str">
        <f ca="1">IFERROR(__xludf.DUMMYFUNCTION("""COMPUTED_VALUE"""),"blank")</f>
        <v>blank</v>
      </c>
      <c r="AL50" t="e">
        <f ca="1">_xludf.IFNA(VLOOKUP(AH50,'S-FG'!$B$3:$B1001,1,FALSE),"")</f>
        <v>#NAME?</v>
      </c>
      <c r="AM50" t="e">
        <f ca="1">IF(AI50="","",SUMIFS(#REF!,RM!$C$4:$C991,AI50))</f>
        <v>#REF!</v>
      </c>
    </row>
    <row r="51" spans="5:39">
      <c r="E51" t="str">
        <f>IF(A51="","",SUMIFS('PR-BOM'!$D$3:$D1001,'PR-BOM'!$C$3:$C1001,A51)*C51)</f>
        <v/>
      </c>
      <c r="F51" t="e">
        <f ca="1">_xludf.IFNA(VLOOKUP(B51,'S-FG'!$B$3:$B1001,1,FALSE),"")</f>
        <v>#NAME?</v>
      </c>
      <c r="H51" t="str">
        <f ca="1">IFERROR(__xludf.DUMMYFUNCTION("""COMPUTED_VALUE"""),"STBD Signal PM Assy")</f>
        <v>STBD Signal PM Assy</v>
      </c>
      <c r="I51" t="str">
        <f ca="1">IFERROR(__xludf.DUMMYFUNCTION("""COMPUTED_VALUE"""),"10cm one sided JST crimped Sky Blue")</f>
        <v>10cm one sided JST crimped Sky Blue</v>
      </c>
      <c r="J51">
        <f ca="1">IFERROR(__xludf.DUMMYFUNCTION("""COMPUTED_VALUE"""),1)</f>
        <v>1</v>
      </c>
      <c r="K51" t="str">
        <f ca="1">IFERROR(__xludf.DUMMYFUNCTION("""COMPUTED_VALUE"""),"blank")</f>
        <v>blank</v>
      </c>
      <c r="L51">
        <f t="shared" ca="1" si="0"/>
        <v>0</v>
      </c>
      <c r="Q51" t="str">
        <f>IF(N51="","",SUMIFS('PR-BOM'!$D$3:$D1001,'PR-BOM'!$C$3:$C1001,N51))</f>
        <v/>
      </c>
      <c r="S51" t="str">
        <f ca="1">IFERROR(__xludf.DUMMYFUNCTION("""COMPUTED_VALUE"""),"10cm one sided JST crimped Yellow")</f>
        <v>10cm one sided JST crimped Yellow</v>
      </c>
      <c r="X51" t="e">
        <f ca="1"/>
        <v>#NAME?</v>
      </c>
      <c r="Y51" t="e">
        <f t="shared" ca="1" si="1"/>
        <v>#NAME?</v>
      </c>
      <c r="Z51" t="e">
        <f ca="1">IF(X51="","",SUMIFS(#REF!,RM!$C$4:$C991,X51))</f>
        <v>#NAME?</v>
      </c>
      <c r="AA51" t="e">
        <f ca="1">IF(X51="","",SUMIFS(#REF!,RM!$C$4:$C991,X51))</f>
        <v>#NAME?</v>
      </c>
      <c r="AB51" t="e">
        <f ca="1">IF(X51="","",SUMIFS(IRegback!$Y$2:$Y1001,IRegback!$X$2:$X1001,X51))</f>
        <v>#NAME?</v>
      </c>
      <c r="AC51" t="e">
        <f t="shared" ca="1" si="2"/>
        <v>#NAME?</v>
      </c>
      <c r="AD51" t="e">
        <f ca="1">IF(X51="","",VLOOKUP($X51,RM!$C$4:$G991,3,FALSE))</f>
        <v>#NAME?</v>
      </c>
      <c r="AE51" t="e">
        <f ca="1">IF(X51="","",VLOOKUP($X51,RM!$C$4:$G991,4,FALSE))</f>
        <v>#NAME?</v>
      </c>
      <c r="AF51" t="e">
        <f ca="1">IF(X51="","",VLOOKUP($X51,RM!$C$4:$G991,5,FALSE))</f>
        <v>#NAME?</v>
      </c>
      <c r="AH51" t="str">
        <f ca="1">IFERROR(__xludf.DUMMYFUNCTION("""COMPUTED_VALUE"""),"Jet Motor Assy")</f>
        <v>Jet Motor Assy</v>
      </c>
      <c r="AI51" t="str">
        <f ca="1">IFERROR(__xludf.DUMMYFUNCTION("""COMPUTED_VALUE"""),"Water Jet pump Jet S52")</f>
        <v>Water Jet pump Jet S52</v>
      </c>
      <c r="AJ51">
        <f ca="1">IFERROR(__xludf.DUMMYFUNCTION("""COMPUTED_VALUE"""),1)</f>
        <v>1</v>
      </c>
      <c r="AK51" t="str">
        <f ca="1">IFERROR(__xludf.DUMMYFUNCTION("""COMPUTED_VALUE"""),"blank")</f>
        <v>blank</v>
      </c>
      <c r="AL51" t="e">
        <f ca="1">_xludf.IFNA(VLOOKUP(AH51,'S-FG'!$B$3:$B1001,1,FALSE),"")</f>
        <v>#NAME?</v>
      </c>
      <c r="AM51" t="e">
        <f ca="1">IF(AI51="","",SUMIFS(#REF!,RM!$C$4:$C991,AI51))</f>
        <v>#REF!</v>
      </c>
    </row>
    <row r="52" spans="5:39">
      <c r="E52" t="str">
        <f>IF(A52="","",SUMIFS('PR-BOM'!$D$3:$D1001,'PR-BOM'!$C$3:$C1001,A52)*C52)</f>
        <v/>
      </c>
      <c r="F52" t="e">
        <f ca="1">_xludf.IFNA(VLOOKUP(B52,'S-FG'!$B$3:$B1001,1,FALSE),"")</f>
        <v>#NAME?</v>
      </c>
      <c r="H52" t="str">
        <f ca="1">IFERROR(__xludf.DUMMYFUNCTION("""COMPUTED_VALUE"""),"STBD Signal PM Assy")</f>
        <v>STBD Signal PM Assy</v>
      </c>
      <c r="I52" t="str">
        <f ca="1">IFERROR(__xludf.DUMMYFUNCTION("""COMPUTED_VALUE"""),"10cm one sided JST crimped Pink")</f>
        <v>10cm one sided JST crimped Pink</v>
      </c>
      <c r="J52">
        <f ca="1">IFERROR(__xludf.DUMMYFUNCTION("""COMPUTED_VALUE"""),1)</f>
        <v>1</v>
      </c>
      <c r="K52" t="str">
        <f ca="1">IFERROR(__xludf.DUMMYFUNCTION("""COMPUTED_VALUE"""),"blank")</f>
        <v>blank</v>
      </c>
      <c r="L52">
        <f t="shared" ca="1" si="0"/>
        <v>0</v>
      </c>
      <c r="Q52" t="str">
        <f>IF(N52="","",SUMIFS('PR-BOM'!$D$3:$D1001,'PR-BOM'!$C$3:$C1001,N52))</f>
        <v/>
      </c>
      <c r="S52" t="str">
        <f ca="1">IFERROR(__xludf.DUMMYFUNCTION("""COMPUTED_VALUE"""),"10cm one sided JST crimped Sky Blue")</f>
        <v>10cm one sided JST crimped Sky Blue</v>
      </c>
      <c r="X52" t="e">
        <f ca="1"/>
        <v>#NAME?</v>
      </c>
      <c r="Y52" t="e">
        <f t="shared" ca="1" si="1"/>
        <v>#NAME?</v>
      </c>
      <c r="Z52" t="e">
        <f ca="1">IF(X52="","",SUMIFS(#REF!,RM!$C$4:$C991,X52))</f>
        <v>#NAME?</v>
      </c>
      <c r="AA52" t="e">
        <f ca="1">IF(X52="","",SUMIFS(#REF!,RM!$C$4:$C991,X52))</f>
        <v>#NAME?</v>
      </c>
      <c r="AB52" t="e">
        <f ca="1">IF(X52="","",SUMIFS(IRegback!$Y$2:$Y1001,IRegback!$X$2:$X1001,X52))</f>
        <v>#NAME?</v>
      </c>
      <c r="AC52" t="e">
        <f t="shared" ca="1" si="2"/>
        <v>#NAME?</v>
      </c>
      <c r="AD52" t="e">
        <f ca="1">IF(X52="","",VLOOKUP($X52,RM!$C$4:$G991,3,FALSE))</f>
        <v>#NAME?</v>
      </c>
      <c r="AE52" t="e">
        <f ca="1">IF(X52="","",VLOOKUP($X52,RM!$C$4:$G991,4,FALSE))</f>
        <v>#NAME?</v>
      </c>
      <c r="AF52" t="e">
        <f ca="1">IF(X52="","",VLOOKUP($X52,RM!$C$4:$G991,5,FALSE))</f>
        <v>#NAME?</v>
      </c>
      <c r="AH52" t="str">
        <f ca="1">IFERROR(__xludf.DUMMYFUNCTION("""COMPUTED_VALUE"""),"Jet Motor Assy")</f>
        <v>Jet Motor Assy</v>
      </c>
      <c r="AI52" t="str">
        <f ca="1">IFERROR(__xludf.DUMMYFUNCTION("""COMPUTED_VALUE"""),"ESC Mounting Plate")</f>
        <v>ESC Mounting Plate</v>
      </c>
      <c r="AJ52">
        <f ca="1">IFERROR(__xludf.DUMMYFUNCTION("""COMPUTED_VALUE"""),1)</f>
        <v>1</v>
      </c>
      <c r="AK52" t="str">
        <f ca="1">IFERROR(__xludf.DUMMYFUNCTION("""COMPUTED_VALUE"""),"blank")</f>
        <v>blank</v>
      </c>
      <c r="AL52" t="e">
        <f ca="1">_xludf.IFNA(VLOOKUP(AH52,'S-FG'!$B$3:$B1001,1,FALSE),"")</f>
        <v>#NAME?</v>
      </c>
      <c r="AM52" t="e">
        <f ca="1">IF(AI52="","",SUMIFS(#REF!,RM!$C$4:$C991,AI52))</f>
        <v>#REF!</v>
      </c>
    </row>
    <row r="53" spans="5:39">
      <c r="E53" t="str">
        <f>IF(A53="","",SUMIFS('PR-BOM'!$D$3:$D1001,'PR-BOM'!$C$3:$C1001,A53)*C53)</f>
        <v/>
      </c>
      <c r="F53" t="e">
        <f ca="1">_xludf.IFNA(VLOOKUP(B53,'S-FG'!$B$3:$B1001,1,FALSE),"")</f>
        <v>#NAME?</v>
      </c>
      <c r="H53" t="str">
        <f ca="1">IFERROR(__xludf.DUMMYFUNCTION("""COMPUTED_VALUE"""),"STBD Signal PM Assy")</f>
        <v>STBD Signal PM Assy</v>
      </c>
      <c r="I53" t="str">
        <f ca="1">IFERROR(__xludf.DUMMYFUNCTION("""COMPUTED_VALUE"""),"10cm one sided JST crimped Orange")</f>
        <v>10cm one sided JST crimped Orange</v>
      </c>
      <c r="J53">
        <f ca="1">IFERROR(__xludf.DUMMYFUNCTION("""COMPUTED_VALUE"""),1)</f>
        <v>1</v>
      </c>
      <c r="K53" t="str">
        <f ca="1">IFERROR(__xludf.DUMMYFUNCTION("""COMPUTED_VALUE"""),"blank")</f>
        <v>blank</v>
      </c>
      <c r="L53">
        <f t="shared" ca="1" si="0"/>
        <v>0</v>
      </c>
      <c r="Q53" t="str">
        <f>IF(N53="","",SUMIFS('PR-BOM'!$D$3:$D1001,'PR-BOM'!$C$3:$C1001,N53))</f>
        <v/>
      </c>
      <c r="S53" t="str">
        <f ca="1">IFERROR(__xludf.DUMMYFUNCTION("""COMPUTED_VALUE"""),"10cm one sided JST crimped Pink")</f>
        <v>10cm one sided JST crimped Pink</v>
      </c>
      <c r="X53" t="e">
        <f ca="1"/>
        <v>#NAME?</v>
      </c>
      <c r="Y53" t="e">
        <f t="shared" ca="1" si="1"/>
        <v>#NAME?</v>
      </c>
      <c r="Z53" t="e">
        <f ca="1">IF(X53="","",SUMIFS(#REF!,RM!$C$4:$C991,X53))</f>
        <v>#NAME?</v>
      </c>
      <c r="AA53" t="e">
        <f ca="1">IF(X53="","",SUMIFS(#REF!,RM!$C$4:$C991,X53))</f>
        <v>#NAME?</v>
      </c>
      <c r="AB53" t="e">
        <f ca="1">IF(X53="","",SUMIFS(IRegback!$Y$2:$Y1001,IRegback!$X$2:$X1001,X53))</f>
        <v>#NAME?</v>
      </c>
      <c r="AC53" t="e">
        <f t="shared" ca="1" si="2"/>
        <v>#NAME?</v>
      </c>
      <c r="AD53" t="e">
        <f ca="1">IF(X53="","",VLOOKUP($X53,RM!$C$4:$G991,3,FALSE))</f>
        <v>#NAME?</v>
      </c>
      <c r="AE53" t="e">
        <f ca="1">IF(X53="","",VLOOKUP($X53,RM!$C$4:$G991,4,FALSE))</f>
        <v>#NAME?</v>
      </c>
      <c r="AF53" t="e">
        <f ca="1">IF(X53="","",VLOOKUP($X53,RM!$C$4:$G991,5,FALSE))</f>
        <v>#NAME?</v>
      </c>
      <c r="AH53" t="str">
        <f ca="1">IFERROR(__xludf.DUMMYFUNCTION("""COMPUTED_VALUE"""),"Jet Motor Assy")</f>
        <v>Jet Motor Assy</v>
      </c>
      <c r="AI53" t="str">
        <f ca="1">IFERROR(__xludf.DUMMYFUNCTION("""COMPUTED_VALUE"""),"Jet S52 Mounting plate")</f>
        <v>Jet S52 Mounting plate</v>
      </c>
      <c r="AJ53">
        <f ca="1">IFERROR(__xludf.DUMMYFUNCTION("""COMPUTED_VALUE"""),1)</f>
        <v>1</v>
      </c>
      <c r="AK53" t="str">
        <f ca="1">IFERROR(__xludf.DUMMYFUNCTION("""COMPUTED_VALUE"""),"blank")</f>
        <v>blank</v>
      </c>
      <c r="AL53" t="e">
        <f ca="1">_xludf.IFNA(VLOOKUP(AH53,'S-FG'!$B$3:$B1001,1,FALSE),"")</f>
        <v>#NAME?</v>
      </c>
      <c r="AM53" t="e">
        <f ca="1">IF(AI53="","",SUMIFS(#REF!,RM!$C$4:$C991,AI53))</f>
        <v>#REF!</v>
      </c>
    </row>
    <row r="54" spans="5:39">
      <c r="E54" t="str">
        <f>IF(A54="","",SUMIFS('PR-BOM'!$D$3:$D1001,'PR-BOM'!$C$3:$C1001,A54)*C54)</f>
        <v/>
      </c>
      <c r="F54" t="e">
        <f ca="1">_xludf.IFNA(VLOOKUP(B54,'S-FG'!$B$3:$B1001,1,FALSE),"")</f>
        <v>#NAME?</v>
      </c>
      <c r="H54" t="str">
        <f ca="1">IFERROR(__xludf.DUMMYFUNCTION("""COMPUTED_VALUE"""),"STBD Signal PM Assy")</f>
        <v>STBD Signal PM Assy</v>
      </c>
      <c r="I54" t="str">
        <f ca="1">IFERROR(__xludf.DUMMYFUNCTION("""COMPUTED_VALUE"""),"10cm one sided JST crimped Dark Blue")</f>
        <v>10cm one sided JST crimped Dark Blue</v>
      </c>
      <c r="J54">
        <f ca="1">IFERROR(__xludf.DUMMYFUNCTION("""COMPUTED_VALUE"""),1)</f>
        <v>1</v>
      </c>
      <c r="K54" t="str">
        <f ca="1">IFERROR(__xludf.DUMMYFUNCTION("""COMPUTED_VALUE"""),"blank")</f>
        <v>blank</v>
      </c>
      <c r="L54">
        <f t="shared" ca="1" si="0"/>
        <v>0</v>
      </c>
      <c r="Q54" t="str">
        <f>IF(N54="","",SUMIFS('PR-BOM'!$D$3:$D1001,'PR-BOM'!$C$3:$C1001,N54))</f>
        <v/>
      </c>
      <c r="S54" t="str">
        <f ca="1">IFERROR(__xludf.DUMMYFUNCTION("""COMPUTED_VALUE"""),"10cm one sided JST crimped Orange")</f>
        <v>10cm one sided JST crimped Orange</v>
      </c>
      <c r="X54" t="e">
        <f ca="1"/>
        <v>#NAME?</v>
      </c>
      <c r="Y54" t="e">
        <f t="shared" ca="1" si="1"/>
        <v>#NAME?</v>
      </c>
      <c r="Z54" t="e">
        <f ca="1">IF(X54="","",SUMIFS(#REF!,RM!$C$4:$C991,X54))</f>
        <v>#NAME?</v>
      </c>
      <c r="AA54" t="e">
        <f ca="1">IF(X54="","",SUMIFS(#REF!,RM!$C$4:$C991,X54))</f>
        <v>#NAME?</v>
      </c>
      <c r="AB54" t="e">
        <f ca="1">IF(X54="","",SUMIFS(IRegback!$Y$2:$Y1001,IRegback!$X$2:$X1001,X54))</f>
        <v>#NAME?</v>
      </c>
      <c r="AC54" t="e">
        <f t="shared" ca="1" si="2"/>
        <v>#NAME?</v>
      </c>
      <c r="AD54" t="e">
        <f ca="1">IF(X54="","",VLOOKUP($X54,RM!$C$4:$G991,3,FALSE))</f>
        <v>#NAME?</v>
      </c>
      <c r="AE54" t="e">
        <f ca="1">IF(X54="","",VLOOKUP($X54,RM!$C$4:$G991,4,FALSE))</f>
        <v>#NAME?</v>
      </c>
      <c r="AF54" t="e">
        <f ca="1">IF(X54="","",VLOOKUP($X54,RM!$C$4:$G991,5,FALSE))</f>
        <v>#NAME?</v>
      </c>
      <c r="AH54" t="str">
        <f ca="1">IFERROR(__xludf.DUMMYFUNCTION("""COMPUTED_VALUE"""),"Jet Motor Assy")</f>
        <v>Jet Motor Assy</v>
      </c>
      <c r="AI54" t="str">
        <f ca="1">IFERROR(__xludf.DUMMYFUNCTION("""COMPUTED_VALUE"""),"Motor Mount 5692")</f>
        <v>Motor Mount 5692</v>
      </c>
      <c r="AJ54">
        <f ca="1">IFERROR(__xludf.DUMMYFUNCTION("""COMPUTED_VALUE"""),2)</f>
        <v>2</v>
      </c>
      <c r="AK54" t="str">
        <f ca="1">IFERROR(__xludf.DUMMYFUNCTION("""COMPUTED_VALUE"""),"blank")</f>
        <v>blank</v>
      </c>
      <c r="AL54" t="e">
        <f ca="1">_xludf.IFNA(VLOOKUP(AH54,'S-FG'!$B$3:$B1001,1,FALSE),"")</f>
        <v>#NAME?</v>
      </c>
      <c r="AM54" t="e">
        <f ca="1">IF(AI54="","",SUMIFS(#REF!,RM!$C$4:$C991,AI54))</f>
        <v>#REF!</v>
      </c>
    </row>
    <row r="55" spans="5:39">
      <c r="E55" t="str">
        <f>IF(A55="","",SUMIFS('PR-BOM'!$D$3:$D1001,'PR-BOM'!$C$3:$C1001,A55)*C55)</f>
        <v/>
      </c>
      <c r="F55" t="e">
        <f ca="1">_xludf.IFNA(VLOOKUP(B55,'S-FG'!$B$3:$B1001,1,FALSE),"")</f>
        <v>#NAME?</v>
      </c>
      <c r="H55" t="str">
        <f ca="1">IFERROR(__xludf.DUMMYFUNCTION("""COMPUTED_VALUE"""),"STBD Signal PM Assy")</f>
        <v>STBD Signal PM Assy</v>
      </c>
      <c r="I55" t="str">
        <f ca="1">IFERROR(__xludf.DUMMYFUNCTION("""COMPUTED_VALUE"""),"10cm one sided JST crimped Light Brown")</f>
        <v>10cm one sided JST crimped Light Brown</v>
      </c>
      <c r="J55">
        <f ca="1">IFERROR(__xludf.DUMMYFUNCTION("""COMPUTED_VALUE"""),1)</f>
        <v>1</v>
      </c>
      <c r="K55" t="str">
        <f ca="1">IFERROR(__xludf.DUMMYFUNCTION("""COMPUTED_VALUE"""),"blank")</f>
        <v>blank</v>
      </c>
      <c r="L55">
        <f t="shared" ca="1" si="0"/>
        <v>0</v>
      </c>
      <c r="Q55" t="str">
        <f>IF(N55="","",SUMIFS('PR-BOM'!$D$3:$D1001,'PR-BOM'!$C$3:$C1001,N55))</f>
        <v/>
      </c>
      <c r="S55" t="str">
        <f ca="1">IFERROR(__xludf.DUMMYFUNCTION("""COMPUTED_VALUE"""),"10cm one sided JST crimped Dark Blue")</f>
        <v>10cm one sided JST crimped Dark Blue</v>
      </c>
      <c r="X55" t="e">
        <f ca="1"/>
        <v>#NAME?</v>
      </c>
      <c r="Y55" t="e">
        <f t="shared" ca="1" si="1"/>
        <v>#NAME?</v>
      </c>
      <c r="Z55" t="e">
        <f ca="1">IF(X55="","",SUMIFS(#REF!,RM!$C$4:$C991,X55))</f>
        <v>#NAME?</v>
      </c>
      <c r="AA55" t="e">
        <f ca="1">IF(X55="","",SUMIFS(#REF!,RM!$C$4:$C991,X55))</f>
        <v>#NAME?</v>
      </c>
      <c r="AB55" t="e">
        <f ca="1">IF(X55="","",SUMIFS(IRegback!$Y$2:$Y1001,IRegback!$X$2:$X1001,X55))</f>
        <v>#NAME?</v>
      </c>
      <c r="AC55" t="e">
        <f t="shared" ca="1" si="2"/>
        <v>#NAME?</v>
      </c>
      <c r="AD55" t="e">
        <f ca="1">IF(X55="","",VLOOKUP($X55,RM!$C$4:$G991,3,FALSE))</f>
        <v>#NAME?</v>
      </c>
      <c r="AE55" t="e">
        <f ca="1">IF(X55="","",VLOOKUP($X55,RM!$C$4:$G991,4,FALSE))</f>
        <v>#NAME?</v>
      </c>
      <c r="AF55" t="e">
        <f ca="1">IF(X55="","",VLOOKUP($X55,RM!$C$4:$G991,5,FALSE))</f>
        <v>#NAME?</v>
      </c>
      <c r="AH55" t="str">
        <f ca="1">IFERROR(__xludf.DUMMYFUNCTION("""COMPUTED_VALUE"""),"Jet Motor Assy")</f>
        <v>Jet Motor Assy</v>
      </c>
      <c r="AI55" t="str">
        <f ca="1">IFERROR(__xludf.DUMMYFUNCTION("""COMPUTED_VALUE"""),"Motor 5692 495 KV")</f>
        <v>Motor 5692 495 KV</v>
      </c>
      <c r="AJ55">
        <f ca="1">IFERROR(__xludf.DUMMYFUNCTION("""COMPUTED_VALUE"""),1)</f>
        <v>1</v>
      </c>
      <c r="AK55" t="str">
        <f ca="1">IFERROR(__xludf.DUMMYFUNCTION("""COMPUTED_VALUE"""),"blank")</f>
        <v>blank</v>
      </c>
      <c r="AL55" t="e">
        <f ca="1">_xludf.IFNA(VLOOKUP(AH55,'S-FG'!$B$3:$B1001,1,FALSE),"")</f>
        <v>#NAME?</v>
      </c>
      <c r="AM55" t="e">
        <f ca="1">IF(AI55="","",SUMIFS(#REF!,RM!$C$4:$C991,AI55))</f>
        <v>#REF!</v>
      </c>
    </row>
    <row r="56" spans="5:39">
      <c r="E56" t="str">
        <f>IF(A56="","",SUMIFS('PR-BOM'!$D$3:$D1001,'PR-BOM'!$C$3:$C1001,A56)*C56)</f>
        <v/>
      </c>
      <c r="F56" t="e">
        <f ca="1">_xludf.IFNA(VLOOKUP(B56,'S-FG'!$B$3:$B1001,1,FALSE),"")</f>
        <v>#NAME?</v>
      </c>
      <c r="H56" t="str">
        <f ca="1">IFERROR(__xludf.DUMMYFUNCTION("""COMPUTED_VALUE"""),"STBD Signal PM Assy")</f>
        <v>STBD Signal PM Assy</v>
      </c>
      <c r="I56" t="str">
        <f ca="1">IFERROR(__xludf.DUMMYFUNCTION("""COMPUTED_VALUE"""),"10cm one sided JST crimped Dark Brown")</f>
        <v>10cm one sided JST crimped Dark Brown</v>
      </c>
      <c r="J56">
        <f ca="1">IFERROR(__xludf.DUMMYFUNCTION("""COMPUTED_VALUE"""),1)</f>
        <v>1</v>
      </c>
      <c r="K56" t="str">
        <f ca="1">IFERROR(__xludf.DUMMYFUNCTION("""COMPUTED_VALUE"""),"blank")</f>
        <v>blank</v>
      </c>
      <c r="L56">
        <f t="shared" ca="1" si="0"/>
        <v>0</v>
      </c>
      <c r="Q56" t="str">
        <f>IF(N56="","",SUMIFS('PR-BOM'!$D$3:$D1001,'PR-BOM'!$C$3:$C1001,N56))</f>
        <v/>
      </c>
      <c r="S56" t="str">
        <f ca="1">IFERROR(__xludf.DUMMYFUNCTION("""COMPUTED_VALUE"""),"10cm one sided JST crimped Light Brown")</f>
        <v>10cm one sided JST crimped Light Brown</v>
      </c>
      <c r="X56" t="e">
        <f ca="1"/>
        <v>#NAME?</v>
      </c>
      <c r="Y56" t="e">
        <f t="shared" ca="1" si="1"/>
        <v>#NAME?</v>
      </c>
      <c r="Z56" t="e">
        <f ca="1">IF(X56="","",SUMIFS(#REF!,RM!$C$4:$C991,X56))</f>
        <v>#NAME?</v>
      </c>
      <c r="AA56" t="e">
        <f ca="1">IF(X56="","",SUMIFS(#REF!,RM!$C$4:$C991,X56))</f>
        <v>#NAME?</v>
      </c>
      <c r="AB56" t="e">
        <f ca="1">IF(X56="","",SUMIFS(IRegback!$Y$2:$Y1001,IRegback!$X$2:$X1001,X56))</f>
        <v>#NAME?</v>
      </c>
      <c r="AC56" t="e">
        <f t="shared" ca="1" si="2"/>
        <v>#NAME?</v>
      </c>
      <c r="AD56" t="e">
        <f ca="1">IF(X56="","",VLOOKUP($X56,RM!$C$4:$G991,3,FALSE))</f>
        <v>#NAME?</v>
      </c>
      <c r="AE56" t="e">
        <f ca="1">IF(X56="","",VLOOKUP($X56,RM!$C$4:$G991,4,FALSE))</f>
        <v>#NAME?</v>
      </c>
      <c r="AF56" t="e">
        <f ca="1">IF(X56="","",VLOOKUP($X56,RM!$C$4:$G991,5,FALSE))</f>
        <v>#NAME?</v>
      </c>
      <c r="AH56" t="str">
        <f ca="1">IFERROR(__xludf.DUMMYFUNCTION("""COMPUTED_VALUE"""),"Jet Motor Assy")</f>
        <v>Jet Motor Assy</v>
      </c>
      <c r="AI56" t="str">
        <f ca="1">IFERROR(__xludf.DUMMYFUNCTION("""COMPUTED_VALUE"""),"Motor Cooling Jacket 56mm x 50mm")</f>
        <v>Motor Cooling Jacket 56mm x 50mm</v>
      </c>
      <c r="AJ56">
        <f ca="1">IFERROR(__xludf.DUMMYFUNCTION("""COMPUTED_VALUE"""),1)</f>
        <v>1</v>
      </c>
      <c r="AK56" t="str">
        <f ca="1">IFERROR(__xludf.DUMMYFUNCTION("""COMPUTED_VALUE"""),"blank")</f>
        <v>blank</v>
      </c>
      <c r="AL56" t="e">
        <f ca="1">_xludf.IFNA(VLOOKUP(AH56,'S-FG'!$B$3:$B1001,1,FALSE),"")</f>
        <v>#NAME?</v>
      </c>
      <c r="AM56" t="e">
        <f ca="1">IF(AI56="","",SUMIFS(#REF!,RM!$C$4:$C991,AI56))</f>
        <v>#REF!</v>
      </c>
    </row>
    <row r="57" spans="5:39">
      <c r="E57" t="str">
        <f>IF(A57="","",SUMIFS('PR-BOM'!$D$3:$D1001,'PR-BOM'!$C$3:$C1001,A57)*C57)</f>
        <v/>
      </c>
      <c r="F57" t="e">
        <f ca="1">_xludf.IFNA(VLOOKUP(B57,'S-FG'!$B$3:$B1001,1,FALSE),"")</f>
        <v>#NAME?</v>
      </c>
      <c r="H57" t="str">
        <f ca="1">IFERROR(__xludf.DUMMYFUNCTION("""COMPUTED_VALUE"""),"STBD Signal PM Assy")</f>
        <v>STBD Signal PM Assy</v>
      </c>
      <c r="I57" t="str">
        <f ca="1">IFERROR(__xludf.DUMMYFUNCTION("""COMPUTED_VALUE"""),"10cm one sided JST crimped White with Red strip")</f>
        <v>10cm one sided JST crimped White with Red strip</v>
      </c>
      <c r="J57">
        <f ca="1">IFERROR(__xludf.DUMMYFUNCTION("""COMPUTED_VALUE"""),1)</f>
        <v>1</v>
      </c>
      <c r="K57" t="str">
        <f ca="1">IFERROR(__xludf.DUMMYFUNCTION("""COMPUTED_VALUE"""),"blank")</f>
        <v>blank</v>
      </c>
      <c r="L57">
        <f t="shared" ca="1" si="0"/>
        <v>0</v>
      </c>
      <c r="Q57" t="str">
        <f>IF(N57="","",SUMIFS('PR-BOM'!$D$3:$D1001,'PR-BOM'!$C$3:$C1001,N57))</f>
        <v/>
      </c>
      <c r="S57" t="str">
        <f ca="1">IFERROR(__xludf.DUMMYFUNCTION("""COMPUTED_VALUE"""),"10cm one sided JST crimped Dark Brown")</f>
        <v>10cm one sided JST crimped Dark Brown</v>
      </c>
      <c r="X57" t="e">
        <f ca="1"/>
        <v>#NAME?</v>
      </c>
      <c r="Y57" t="e">
        <f t="shared" ca="1" si="1"/>
        <v>#NAME?</v>
      </c>
      <c r="Z57" t="e">
        <f ca="1">IF(X57="","",SUMIFS(#REF!,RM!$C$4:$C991,X57))</f>
        <v>#NAME?</v>
      </c>
      <c r="AA57" t="e">
        <f ca="1">IF(X57="","",SUMIFS(#REF!,RM!$C$4:$C991,X57))</f>
        <v>#NAME?</v>
      </c>
      <c r="AB57" t="e">
        <f ca="1">IF(X57="","",SUMIFS(IRegback!$Y$2:$Y1001,IRegback!$X$2:$X1001,X57))</f>
        <v>#NAME?</v>
      </c>
      <c r="AC57" t="e">
        <f t="shared" ca="1" si="2"/>
        <v>#NAME?</v>
      </c>
      <c r="AD57" t="e">
        <f ca="1">IF(X57="","",VLOOKUP($X57,RM!$C$4:$G991,3,FALSE))</f>
        <v>#NAME?</v>
      </c>
      <c r="AE57" t="e">
        <f ca="1">IF(X57="","",VLOOKUP($X57,RM!$C$4:$G991,4,FALSE))</f>
        <v>#NAME?</v>
      </c>
      <c r="AF57" t="e">
        <f ca="1">IF(X57="","",VLOOKUP($X57,RM!$C$4:$G991,5,FALSE))</f>
        <v>#NAME?</v>
      </c>
      <c r="AH57" t="str">
        <f ca="1">IFERROR(__xludf.DUMMYFUNCTION("""COMPUTED_VALUE"""),"Jet Motor Assy")</f>
        <v>Jet Motor Assy</v>
      </c>
      <c r="AI57" t="str">
        <f ca="1">IFERROR(__xludf.DUMMYFUNCTION("""COMPUTED_VALUE"""),"Silicon Hose 4mm x 8mm")</f>
        <v>Silicon Hose 4mm x 8mm</v>
      </c>
      <c r="AJ57">
        <f ca="1">IFERROR(__xludf.DUMMYFUNCTION("""COMPUTED_VALUE"""),0.2)</f>
        <v>0.2</v>
      </c>
      <c r="AL57" t="e">
        <f ca="1">_xludf.IFNA(VLOOKUP(AH57,'S-FG'!$B$3:$B1001,1,FALSE),"")</f>
        <v>#NAME?</v>
      </c>
      <c r="AM57" t="e">
        <f ca="1">IF(AI57="","",SUMIFS(#REF!,RM!$C$4:$C991,AI57))</f>
        <v>#REF!</v>
      </c>
    </row>
    <row r="58" spans="5:39">
      <c r="E58" t="str">
        <f>IF(A58="","",SUMIFS('PR-BOM'!$D$3:$D1001,'PR-BOM'!$C$3:$C1001,A58)*C58)</f>
        <v/>
      </c>
      <c r="F58" t="e">
        <f ca="1">_xludf.IFNA(VLOOKUP(B58,'S-FG'!$B$3:$B1001,1,FALSE),"")</f>
        <v>#NAME?</v>
      </c>
      <c r="H58" t="str">
        <f ca="1">IFERROR(__xludf.DUMMYFUNCTION("""COMPUTED_VALUE"""),"STBD Signal PM Assy")</f>
        <v>STBD Signal PM Assy</v>
      </c>
      <c r="I58" t="str">
        <f ca="1">IFERROR(__xludf.DUMMYFUNCTION("""COMPUTED_VALUE"""),"10cm one sided JST crimped White with black strip")</f>
        <v>10cm one sided JST crimped White with black strip</v>
      </c>
      <c r="J58">
        <f ca="1">IFERROR(__xludf.DUMMYFUNCTION("""COMPUTED_VALUE"""),1)</f>
        <v>1</v>
      </c>
      <c r="K58" t="str">
        <f ca="1">IFERROR(__xludf.DUMMYFUNCTION("""COMPUTED_VALUE"""),"blank")</f>
        <v>blank</v>
      </c>
      <c r="L58">
        <f t="shared" ca="1" si="0"/>
        <v>0</v>
      </c>
      <c r="Q58" t="str">
        <f>IF(N58="","",SUMIFS('PR-BOM'!$D$3:$D1001,'PR-BOM'!$C$3:$C1001,N58))</f>
        <v/>
      </c>
      <c r="S58" t="str">
        <f ca="1">IFERROR(__xludf.DUMMYFUNCTION("""COMPUTED_VALUE"""),"10cm one sided JST crimped White with Red strip")</f>
        <v>10cm one sided JST crimped White with Red strip</v>
      </c>
      <c r="X58" t="e">
        <f ca="1"/>
        <v>#NAME?</v>
      </c>
      <c r="Y58" t="e">
        <f t="shared" ca="1" si="1"/>
        <v>#NAME?</v>
      </c>
      <c r="Z58" t="e">
        <f ca="1">IF(X58="","",SUMIFS(#REF!,RM!$C$4:$C991,X58))</f>
        <v>#NAME?</v>
      </c>
      <c r="AA58" t="e">
        <f ca="1">IF(X58="","",SUMIFS(#REF!,RM!$C$4:$C991,X58))</f>
        <v>#NAME?</v>
      </c>
      <c r="AB58" t="e">
        <f ca="1">IF(X58="","",SUMIFS(IRegback!$Y$2:$Y1001,IRegback!$X$2:$X1001,X58))</f>
        <v>#NAME?</v>
      </c>
      <c r="AC58" t="e">
        <f t="shared" ca="1" si="2"/>
        <v>#NAME?</v>
      </c>
      <c r="AD58" t="e">
        <f ca="1">IF(X58="","",VLOOKUP($X58,RM!$C$4:$G991,3,FALSE))</f>
        <v>#NAME?</v>
      </c>
      <c r="AE58" t="e">
        <f ca="1">IF(X58="","",VLOOKUP($X58,RM!$C$4:$G991,4,FALSE))</f>
        <v>#NAME?</v>
      </c>
      <c r="AF58" t="e">
        <f ca="1">IF(X58="","",VLOOKUP($X58,RM!$C$4:$G991,5,FALSE))</f>
        <v>#NAME?</v>
      </c>
      <c r="AH58" t="str">
        <f ca="1">IFERROR(__xludf.DUMMYFUNCTION("""COMPUTED_VALUE"""),"Jet Motor Assy")</f>
        <v>Jet Motor Assy</v>
      </c>
      <c r="AI58" t="str">
        <f ca="1">IFERROR(__xludf.DUMMYFUNCTION("""COMPUTED_VALUE"""),"Silicon Hose 3mm x 6mm")</f>
        <v>Silicon Hose 3mm x 6mm</v>
      </c>
      <c r="AJ58">
        <f ca="1">IFERROR(__xludf.DUMMYFUNCTION("""COMPUTED_VALUE"""),0.75)</f>
        <v>0.75</v>
      </c>
      <c r="AL58" t="e">
        <f ca="1">_xludf.IFNA(VLOOKUP(AH58,'S-FG'!$B$3:$B1001,1,FALSE),"")</f>
        <v>#NAME?</v>
      </c>
      <c r="AM58" t="e">
        <f ca="1">IF(AI58="","",SUMIFS(#REF!,RM!$C$4:$C991,AI58))</f>
        <v>#REF!</v>
      </c>
    </row>
    <row r="59" spans="5:39">
      <c r="E59" t="str">
        <f>IF(A59="","",SUMIFS('PR-BOM'!$D$3:$D1001,'PR-BOM'!$C$3:$C1001,A59)*C59)</f>
        <v/>
      </c>
      <c r="F59" t="e">
        <f ca="1">_xludf.IFNA(VLOOKUP(B59,'S-FG'!$B$3:$B1001,1,FALSE),"")</f>
        <v>#NAME?</v>
      </c>
      <c r="H59" t="str">
        <f ca="1">IFERROR(__xludf.DUMMYFUNCTION("""COMPUTED_VALUE"""),"STBD Signal PM Assy")</f>
        <v>STBD Signal PM Assy</v>
      </c>
      <c r="I59" t="str">
        <f ca="1">IFERROR(__xludf.DUMMYFUNCTION("""COMPUTED_VALUE"""),"10cm one sided JST crimped White")</f>
        <v>10cm one sided JST crimped White</v>
      </c>
      <c r="J59">
        <f ca="1">IFERROR(__xludf.DUMMYFUNCTION("""COMPUTED_VALUE"""),1)</f>
        <v>1</v>
      </c>
      <c r="K59" t="str">
        <f ca="1">IFERROR(__xludf.DUMMYFUNCTION("""COMPUTED_VALUE"""),"blank")</f>
        <v>blank</v>
      </c>
      <c r="L59">
        <f t="shared" ca="1" si="0"/>
        <v>0</v>
      </c>
      <c r="Q59" t="str">
        <f>IF(N59="","",SUMIFS('PR-BOM'!$D$3:$D1001,'PR-BOM'!$C$3:$C1001,N59))</f>
        <v/>
      </c>
      <c r="S59" t="str">
        <f ca="1">IFERROR(__xludf.DUMMYFUNCTION("""COMPUTED_VALUE"""),"10cm one sided JST crimped White with black strip")</f>
        <v>10cm one sided JST crimped White with black strip</v>
      </c>
      <c r="X59" t="e">
        <f ca="1"/>
        <v>#NAME?</v>
      </c>
      <c r="Y59" t="e">
        <f t="shared" ca="1" si="1"/>
        <v>#NAME?</v>
      </c>
      <c r="Z59" t="e">
        <f ca="1">IF(X59="","",SUMIFS(#REF!,RM!$C$4:$C991,X59))</f>
        <v>#NAME?</v>
      </c>
      <c r="AA59" t="e">
        <f ca="1">IF(X59="","",SUMIFS(#REF!,RM!$C$4:$C991,X59))</f>
        <v>#NAME?</v>
      </c>
      <c r="AB59" t="e">
        <f ca="1">IF(X59="","",SUMIFS(IRegback!$Y$2:$Y1001,IRegback!$X$2:$X1001,X59))</f>
        <v>#NAME?</v>
      </c>
      <c r="AC59" t="e">
        <f t="shared" ca="1" si="2"/>
        <v>#NAME?</v>
      </c>
      <c r="AD59" t="e">
        <f ca="1">IF(X59="","",VLOOKUP($X59,RM!$C$4:$G991,3,FALSE))</f>
        <v>#NAME?</v>
      </c>
      <c r="AE59" t="e">
        <f ca="1">IF(X59="","",VLOOKUP($X59,RM!$C$4:$G991,4,FALSE))</f>
        <v>#NAME?</v>
      </c>
      <c r="AF59" t="e">
        <f ca="1">IF(X59="","",VLOOKUP($X59,RM!$C$4:$G991,5,FALSE))</f>
        <v>#NAME?</v>
      </c>
      <c r="AH59" t="str">
        <f ca="1">IFERROR(__xludf.DUMMYFUNCTION("""COMPUTED_VALUE"""),"Jet Motor Assy")</f>
        <v>Jet Motor Assy</v>
      </c>
      <c r="AI59" t="str">
        <f ca="1">IFERROR(__xludf.DUMMYFUNCTION("""COMPUTED_VALUE"""),"Thread locker 242/270/290")</f>
        <v>Thread locker 242/270/290</v>
      </c>
      <c r="AJ59">
        <f ca="1">IFERROR(__xludf.DUMMYFUNCTION("""COMPUTED_VALUE"""),2)</f>
        <v>2</v>
      </c>
      <c r="AK59" t="str">
        <f ca="1">IFERROR(__xludf.DUMMYFUNCTION("""COMPUTED_VALUE"""),"blank")</f>
        <v>blank</v>
      </c>
      <c r="AL59" t="e">
        <f ca="1">_xludf.IFNA(VLOOKUP(AH59,'S-FG'!$B$3:$B1001,1,FALSE),"")</f>
        <v>#NAME?</v>
      </c>
      <c r="AM59" t="e">
        <f ca="1">IF(AI59="","",SUMIFS(#REF!,RM!$C$4:$C991,AI59))</f>
        <v>#REF!</v>
      </c>
    </row>
    <row r="60" spans="5:39">
      <c r="E60" t="str">
        <f>IF(A60="","",SUMIFS('PR-BOM'!$D$3:$D1001,'PR-BOM'!$C$3:$C1001,A60)*C60)</f>
        <v/>
      </c>
      <c r="F60" t="e">
        <f ca="1">_xludf.IFNA(VLOOKUP(B60,'S-FG'!$B$3:$B1001,1,FALSE),"")</f>
        <v>#NAME?</v>
      </c>
      <c r="H60" t="str">
        <f ca="1">IFERROR(__xludf.DUMMYFUNCTION("""COMPUTED_VALUE"""),"STBD Signal PM Assy")</f>
        <v>STBD Signal PM Assy</v>
      </c>
      <c r="I60" t="str">
        <f ca="1">IFERROR(__xludf.DUMMYFUNCTION("""COMPUTED_VALUE"""),"10cm one sided JST crimped Red")</f>
        <v>10cm one sided JST crimped Red</v>
      </c>
      <c r="J60">
        <f ca="1">IFERROR(__xludf.DUMMYFUNCTION("""COMPUTED_VALUE"""),1)</f>
        <v>1</v>
      </c>
      <c r="K60" t="str">
        <f ca="1">IFERROR(__xludf.DUMMYFUNCTION("""COMPUTED_VALUE"""),"blank")</f>
        <v>blank</v>
      </c>
      <c r="L60">
        <f t="shared" ca="1" si="0"/>
        <v>0</v>
      </c>
      <c r="Q60" t="str">
        <f>IF(N60="","",SUMIFS('PR-BOM'!$D$3:$D1001,'PR-BOM'!$C$3:$C1001,N60))</f>
        <v/>
      </c>
      <c r="S60" t="str">
        <f ca="1">IFERROR(__xludf.DUMMYFUNCTION("""COMPUTED_VALUE"""),"10cm one sided JST crimped White")</f>
        <v>10cm one sided JST crimped White</v>
      </c>
      <c r="X60" t="e">
        <f ca="1"/>
        <v>#NAME?</v>
      </c>
      <c r="Y60" t="e">
        <f t="shared" ca="1" si="1"/>
        <v>#NAME?</v>
      </c>
      <c r="Z60" t="e">
        <f ca="1">IF(X60="","",SUMIFS(#REF!,RM!$C$4:$C991,X60))</f>
        <v>#NAME?</v>
      </c>
      <c r="AA60" t="e">
        <f ca="1">IF(X60="","",SUMIFS(#REF!,RM!$C$4:$C991,X60))</f>
        <v>#NAME?</v>
      </c>
      <c r="AB60" t="e">
        <f ca="1">IF(X60="","",SUMIFS(IRegback!$Y$2:$Y1001,IRegback!$X$2:$X1001,X60))</f>
        <v>#NAME?</v>
      </c>
      <c r="AC60" t="e">
        <f t="shared" ca="1" si="2"/>
        <v>#NAME?</v>
      </c>
      <c r="AD60" t="e">
        <f ca="1">IF(X60="","",VLOOKUP($X60,RM!$C$4:$G991,3,FALSE))</f>
        <v>#NAME?</v>
      </c>
      <c r="AE60" t="e">
        <f ca="1">IF(X60="","",VLOOKUP($X60,RM!$C$4:$G991,4,FALSE))</f>
        <v>#NAME?</v>
      </c>
      <c r="AF60" t="e">
        <f ca="1">IF(X60="","",VLOOKUP($X60,RM!$C$4:$G991,5,FALSE))</f>
        <v>#NAME?</v>
      </c>
      <c r="AH60" t="str">
        <f ca="1">IFERROR(__xludf.DUMMYFUNCTION("""COMPUTED_VALUE"""),"Jet Motor Assy")</f>
        <v>Jet Motor Assy</v>
      </c>
      <c r="AI60" t="str">
        <f ca="1">IFERROR(__xludf.DUMMYFUNCTION("""COMPUTED_VALUE"""),"Thread locker Activator")</f>
        <v>Thread locker Activator</v>
      </c>
      <c r="AJ60">
        <f ca="1">IFERROR(__xludf.DUMMYFUNCTION("""COMPUTED_VALUE"""),2)</f>
        <v>2</v>
      </c>
      <c r="AK60" t="str">
        <f ca="1">IFERROR(__xludf.DUMMYFUNCTION("""COMPUTED_VALUE"""),"blank")</f>
        <v>blank</v>
      </c>
      <c r="AL60" t="e">
        <f ca="1">_xludf.IFNA(VLOOKUP(AH60,'S-FG'!$B$3:$B1001,1,FALSE),"")</f>
        <v>#NAME?</v>
      </c>
      <c r="AM60" t="e">
        <f ca="1">IF(AI60="","",SUMIFS(#REF!,RM!$C$4:$C991,AI60))</f>
        <v>#REF!</v>
      </c>
    </row>
    <row r="61" spans="5:39">
      <c r="E61" t="str">
        <f>IF(A61="","",SUMIFS('PR-BOM'!$D$3:$D1001,'PR-BOM'!$C$3:$C1001,A61)*C61)</f>
        <v/>
      </c>
      <c r="F61" t="e">
        <f ca="1">_xludf.IFNA(VLOOKUP(B61,'S-FG'!$B$3:$B1001,1,FALSE),"")</f>
        <v>#NAME?</v>
      </c>
      <c r="H61" t="str">
        <f ca="1">IFERROR(__xludf.DUMMYFUNCTION("""COMPUTED_VALUE"""),"STBD Signal PM Assy")</f>
        <v>STBD Signal PM Assy</v>
      </c>
      <c r="I61" t="str">
        <f ca="1">IFERROR(__xludf.DUMMYFUNCTION("""COMPUTED_VALUE"""),"SY21-15 pin panel mount")</f>
        <v>SY21-15 pin panel mount</v>
      </c>
      <c r="J61">
        <f ca="1">IFERROR(__xludf.DUMMYFUNCTION("""COMPUTED_VALUE"""),1)</f>
        <v>1</v>
      </c>
      <c r="K61" t="str">
        <f ca="1">IFERROR(__xludf.DUMMYFUNCTION("""COMPUTED_VALUE"""),"blank")</f>
        <v>blank</v>
      </c>
      <c r="L61">
        <f t="shared" ca="1" si="0"/>
        <v>0</v>
      </c>
      <c r="Q61" t="str">
        <f>IF(N61="","",SUMIFS('PR-BOM'!$D$3:$D1001,'PR-BOM'!$C$3:$C1001,N61))</f>
        <v/>
      </c>
      <c r="S61" t="str">
        <f ca="1">IFERROR(__xludf.DUMMYFUNCTION("""COMPUTED_VALUE"""),"10cm one sided JST crimped Red")</f>
        <v>10cm one sided JST crimped Red</v>
      </c>
      <c r="X61" t="e">
        <f ca="1"/>
        <v>#NAME?</v>
      </c>
      <c r="Y61" t="e">
        <f t="shared" ca="1" si="1"/>
        <v>#NAME?</v>
      </c>
      <c r="Z61" t="e">
        <f ca="1">IF(X61="","",SUMIFS(#REF!,RM!$C$4:$C991,X61))</f>
        <v>#NAME?</v>
      </c>
      <c r="AA61" t="e">
        <f ca="1">IF(X61="","",SUMIFS(#REF!,RM!$C$4:$C991,X61))</f>
        <v>#NAME?</v>
      </c>
      <c r="AB61" t="e">
        <f ca="1">IF(X61="","",SUMIFS(IRegback!$Y$2:$Y1001,IRegback!$X$2:$X1001,X61))</f>
        <v>#NAME?</v>
      </c>
      <c r="AC61" t="e">
        <f t="shared" ca="1" si="2"/>
        <v>#NAME?</v>
      </c>
      <c r="AD61" t="e">
        <f ca="1">IF(X61="","",VLOOKUP($X61,RM!$C$4:$G991,3,FALSE))</f>
        <v>#NAME?</v>
      </c>
      <c r="AE61" t="e">
        <f ca="1">IF(X61="","",VLOOKUP($X61,RM!$C$4:$G991,4,FALSE))</f>
        <v>#NAME?</v>
      </c>
      <c r="AF61" t="e">
        <f ca="1">IF(X61="","",VLOOKUP($X61,RM!$C$4:$G991,5,FALSE))</f>
        <v>#NAME?</v>
      </c>
      <c r="AH61" t="str">
        <f ca="1">IFERROR(__xludf.DUMMYFUNCTION("""COMPUTED_VALUE"""),"STBD_ESC Assy")</f>
        <v>STBD_ESC Assy</v>
      </c>
      <c r="AI61" t="str">
        <f ca="1">IFERROR(__xludf.DUMMYFUNCTION("""COMPUTED_VALUE"""),"5.5mm Female Bullet connector")</f>
        <v>5.5mm Female Bullet connector</v>
      </c>
      <c r="AJ61">
        <f ca="1">IFERROR(__xludf.DUMMYFUNCTION("""COMPUTED_VALUE"""),1)</f>
        <v>1</v>
      </c>
      <c r="AK61" t="str">
        <f ca="1">IFERROR(__xludf.DUMMYFUNCTION("""COMPUTED_VALUE"""),"blank")</f>
        <v>blank</v>
      </c>
      <c r="AL61" t="e">
        <f ca="1">_xludf.IFNA(VLOOKUP(AH61,'S-FG'!$B$3:$B1001,1,FALSE),"")</f>
        <v>#NAME?</v>
      </c>
      <c r="AM61" t="e">
        <f ca="1">IF(AI61="","",SUMIFS(#REF!,RM!$C$4:$C991,AI61))</f>
        <v>#REF!</v>
      </c>
    </row>
    <row r="62" spans="5:39">
      <c r="E62" t="str">
        <f>IF(A62="","",SUMIFS('PR-BOM'!$D$3:$D1001,'PR-BOM'!$C$3:$C1001,A62)*C62)</f>
        <v/>
      </c>
      <c r="F62" t="e">
        <f ca="1">_xludf.IFNA(VLOOKUP(B62,'S-FG'!$B$3:$B1001,1,FALSE),"")</f>
        <v>#NAME?</v>
      </c>
      <c r="H62" t="str">
        <f ca="1">IFERROR(__xludf.DUMMYFUNCTION("""COMPUTED_VALUE"""),"STBD Signal PM Assy")</f>
        <v>STBD Signal PM Assy</v>
      </c>
      <c r="I62" t="str">
        <f ca="1">IFERROR(__xludf.DUMMYFUNCTION("""COMPUTED_VALUE"""),"HeatShrink Tube 1.5mm/1.6mm")</f>
        <v>HeatShrink Tube 1.5mm/1.6mm</v>
      </c>
      <c r="J62">
        <f ca="1">IFERROR(__xludf.DUMMYFUNCTION("""COMPUTED_VALUE"""),0.15)</f>
        <v>0.15</v>
      </c>
      <c r="L62">
        <f t="shared" ca="1" si="0"/>
        <v>0</v>
      </c>
      <c r="Q62" t="str">
        <f>IF(N62="","",SUMIFS('PR-BOM'!$D$3:$D1001,'PR-BOM'!$C$3:$C1001,N62))</f>
        <v/>
      </c>
      <c r="S62" t="str">
        <f ca="1">IFERROR(__xludf.DUMMYFUNCTION("""COMPUTED_VALUE"""),"SY21-15 pin panel mount")</f>
        <v>SY21-15 pin panel mount</v>
      </c>
      <c r="X62" t="e">
        <f ca="1"/>
        <v>#NAME?</v>
      </c>
      <c r="Y62" t="e">
        <f t="shared" ca="1" si="1"/>
        <v>#NAME?</v>
      </c>
      <c r="Z62" t="e">
        <f ca="1">IF(X62="","",SUMIFS(#REF!,RM!$C$4:$C991,X62))</f>
        <v>#NAME?</v>
      </c>
      <c r="AA62" t="e">
        <f ca="1">IF(X62="","",SUMIFS(#REF!,RM!$C$4:$C991,X62))</f>
        <v>#NAME?</v>
      </c>
      <c r="AB62" t="e">
        <f ca="1">IF(X62="","",SUMIFS(IRegback!$Y$2:$Y1001,IRegback!$X$2:$X1001,X62))</f>
        <v>#NAME?</v>
      </c>
      <c r="AC62" t="e">
        <f t="shared" ca="1" si="2"/>
        <v>#NAME?</v>
      </c>
      <c r="AD62" t="e">
        <f ca="1">IF(X62="","",VLOOKUP($X62,RM!$C$4:$G991,3,FALSE))</f>
        <v>#NAME?</v>
      </c>
      <c r="AE62" t="e">
        <f ca="1">IF(X62="","",VLOOKUP($X62,RM!$C$4:$G991,4,FALSE))</f>
        <v>#NAME?</v>
      </c>
      <c r="AF62" t="e">
        <f ca="1">IF(X62="","",VLOOKUP($X62,RM!$C$4:$G991,5,FALSE))</f>
        <v>#NAME?</v>
      </c>
      <c r="AH62" t="str">
        <f ca="1">IFERROR(__xludf.DUMMYFUNCTION("""COMPUTED_VALUE"""),"STBD_ESC Assy")</f>
        <v>STBD_ESC Assy</v>
      </c>
      <c r="AI62" t="str">
        <f ca="1">IFERROR(__xludf.DUMMYFUNCTION("""COMPUTED_VALUE"""),"4mm Male Bullet connector")</f>
        <v>4mm Male Bullet connector</v>
      </c>
      <c r="AJ62">
        <f ca="1">IFERROR(__xludf.DUMMYFUNCTION("""COMPUTED_VALUE"""),2)</f>
        <v>2</v>
      </c>
      <c r="AK62" t="str">
        <f ca="1">IFERROR(__xludf.DUMMYFUNCTION("""COMPUTED_VALUE"""),"blank")</f>
        <v>blank</v>
      </c>
      <c r="AL62" t="e">
        <f ca="1">_xludf.IFNA(VLOOKUP(AH62,'S-FG'!$B$3:$B1001,1,FALSE),"")</f>
        <v>#NAME?</v>
      </c>
      <c r="AM62" t="e">
        <f ca="1">IF(AI62="","",SUMIFS(#REF!,RM!$C$4:$C991,AI62))</f>
        <v>#REF!</v>
      </c>
    </row>
    <row r="63" spans="5:39">
      <c r="E63" t="str">
        <f>IF(A63="","",SUMIFS('PR-BOM'!$D$3:$D1001,'PR-BOM'!$C$3:$C1001,A63)*C63)</f>
        <v/>
      </c>
      <c r="F63" t="e">
        <f ca="1">_xludf.IFNA(VLOOKUP(B63,'S-FG'!$B$3:$B1001,1,FALSE),"")</f>
        <v>#NAME?</v>
      </c>
      <c r="H63" t="str">
        <f ca="1">IFERROR(__xludf.DUMMYFUNCTION("""COMPUTED_VALUE"""),"STBD Signal PM Assy")</f>
        <v>STBD Signal PM Assy</v>
      </c>
      <c r="I63" t="str">
        <f ca="1">IFERROR(__xludf.DUMMYFUNCTION("""COMPUTED_VALUE"""),"Teroson MS930")</f>
        <v>Teroson MS930</v>
      </c>
      <c r="J63">
        <f ca="1">IFERROR(__xludf.DUMMYFUNCTION("""COMPUTED_VALUE"""),2)</f>
        <v>2</v>
      </c>
      <c r="K63" t="str">
        <f ca="1">IFERROR(__xludf.DUMMYFUNCTION("""COMPUTED_VALUE"""),"blank")</f>
        <v>blank</v>
      </c>
      <c r="L63">
        <f t="shared" ca="1" si="0"/>
        <v>0</v>
      </c>
      <c r="Q63" t="str">
        <f>IF(N63="","",SUMIFS('PR-BOM'!$D$3:$D1001,'PR-BOM'!$C$3:$C1001,N63))</f>
        <v/>
      </c>
      <c r="S63" t="str">
        <f ca="1">IFERROR(__xludf.DUMMYFUNCTION("""COMPUTED_VALUE"""),"HeatShrink Tube 1.5mm/1.6mm")</f>
        <v>HeatShrink Tube 1.5mm/1.6mm</v>
      </c>
      <c r="X63" t="e">
        <f ca="1"/>
        <v>#NAME?</v>
      </c>
      <c r="Y63" t="e">
        <f t="shared" ca="1" si="1"/>
        <v>#NAME?</v>
      </c>
      <c r="Z63" t="e">
        <f ca="1">IF(X63="","",SUMIFS(#REF!,RM!$C$4:$C991,X63))</f>
        <v>#NAME?</v>
      </c>
      <c r="AA63" t="e">
        <f ca="1">IF(X63="","",SUMIFS(#REF!,RM!$C$4:$C991,X63))</f>
        <v>#NAME?</v>
      </c>
      <c r="AB63" t="e">
        <f ca="1">IF(X63="","",SUMIFS(IRegback!$Y$2:$Y1001,IRegback!$X$2:$X1001,X63))</f>
        <v>#NAME?</v>
      </c>
      <c r="AC63" t="e">
        <f t="shared" ca="1" si="2"/>
        <v>#NAME?</v>
      </c>
      <c r="AD63" t="e">
        <f ca="1">IF(X63="","",VLOOKUP($X63,RM!$C$4:$G991,3,FALSE))</f>
        <v>#NAME?</v>
      </c>
      <c r="AE63" t="e">
        <f ca="1">IF(X63="","",VLOOKUP($X63,RM!$C$4:$G991,4,FALSE))</f>
        <v>#NAME?</v>
      </c>
      <c r="AF63" t="e">
        <f ca="1">IF(X63="","",VLOOKUP($X63,RM!$C$4:$G991,5,FALSE))</f>
        <v>#NAME?</v>
      </c>
      <c r="AH63" t="str">
        <f ca="1">IFERROR(__xludf.DUMMYFUNCTION("""COMPUTED_VALUE"""),"STBD_ESC Assy")</f>
        <v>STBD_ESC Assy</v>
      </c>
      <c r="AI63" t="str">
        <f ca="1">IFERROR(__xludf.DUMMYFUNCTION("""COMPUTED_VALUE"""),"4mm Female Bullet connector")</f>
        <v>4mm Female Bullet connector</v>
      </c>
      <c r="AJ63">
        <f ca="1">IFERROR(__xludf.DUMMYFUNCTION("""COMPUTED_VALUE"""),1)</f>
        <v>1</v>
      </c>
      <c r="AK63" t="str">
        <f ca="1">IFERROR(__xludf.DUMMYFUNCTION("""COMPUTED_VALUE"""),"blank")</f>
        <v>blank</v>
      </c>
      <c r="AL63" t="e">
        <f ca="1">_xludf.IFNA(VLOOKUP(AH63,'S-FG'!$B$3:$B1001,1,FALSE),"")</f>
        <v>#NAME?</v>
      </c>
      <c r="AM63" t="e">
        <f ca="1">IF(AI63="","",SUMIFS(#REF!,RM!$C$4:$C991,AI63))</f>
        <v>#REF!</v>
      </c>
    </row>
    <row r="64" spans="5:39">
      <c r="E64" t="str">
        <f>IF(A64="","",SUMIFS('PR-BOM'!$D$3:$D1001,'PR-BOM'!$C$3:$C1001,A64)*C64)</f>
        <v/>
      </c>
      <c r="F64" t="e">
        <f ca="1">_xludf.IFNA(VLOOKUP(B64,'S-FG'!$B$3:$B1001,1,FALSE),"")</f>
        <v>#NAME?</v>
      </c>
      <c r="H64" t="str">
        <f ca="1">IFERROR(__xludf.DUMMYFUNCTION("""COMPUTED_VALUE"""),"STBD Signal PM Assy")</f>
        <v>STBD Signal PM Assy</v>
      </c>
      <c r="I64" t="str">
        <f ca="1">IFERROR(__xludf.DUMMYFUNCTION("""COMPUTED_VALUE"""),"Silicon RTV 734 Potting compound")</f>
        <v>Silicon RTV 734 Potting compound</v>
      </c>
      <c r="J64">
        <f ca="1">IFERROR(__xludf.DUMMYFUNCTION("""COMPUTED_VALUE"""),5)</f>
        <v>5</v>
      </c>
      <c r="K64" t="str">
        <f ca="1">IFERROR(__xludf.DUMMYFUNCTION("""COMPUTED_VALUE"""),"blank")</f>
        <v>blank</v>
      </c>
      <c r="L64">
        <f t="shared" ca="1" si="0"/>
        <v>0</v>
      </c>
      <c r="Q64" t="str">
        <f>IF(N64="","",SUMIFS('PR-BOM'!$D$3:$D1001,'PR-BOM'!$C$3:$C1001,N64))</f>
        <v/>
      </c>
      <c r="S64" t="str">
        <f ca="1">IFERROR(__xludf.DUMMYFUNCTION("""COMPUTED_VALUE"""),"Teroson MS930")</f>
        <v>Teroson MS930</v>
      </c>
      <c r="X64" t="e">
        <f ca="1"/>
        <v>#NAME?</v>
      </c>
      <c r="Y64" t="e">
        <f t="shared" ca="1" si="1"/>
        <v>#NAME?</v>
      </c>
      <c r="Z64" t="e">
        <f ca="1">IF(X64="","",SUMIFS(#REF!,RM!$C$4:$C991,X64))</f>
        <v>#NAME?</v>
      </c>
      <c r="AA64" t="e">
        <f ca="1">IF(X64="","",SUMIFS(#REF!,RM!$C$4:$C991,X64))</f>
        <v>#NAME?</v>
      </c>
      <c r="AB64" t="e">
        <f ca="1">IF(X64="","",SUMIFS(IRegback!$Y$2:$Y1001,IRegback!$X$2:$X1001,X64))</f>
        <v>#NAME?</v>
      </c>
      <c r="AC64" t="e">
        <f t="shared" ca="1" si="2"/>
        <v>#NAME?</v>
      </c>
      <c r="AD64" t="e">
        <f ca="1">IF(X64="","",VLOOKUP($X64,RM!$C$4:$G991,3,FALSE))</f>
        <v>#NAME?</v>
      </c>
      <c r="AE64" t="e">
        <f ca="1">IF(X64="","",VLOOKUP($X64,RM!$C$4:$G991,4,FALSE))</f>
        <v>#NAME?</v>
      </c>
      <c r="AF64" t="e">
        <f ca="1">IF(X64="","",VLOOKUP($X64,RM!$C$4:$G991,5,FALSE))</f>
        <v>#NAME?</v>
      </c>
      <c r="AH64" t="str">
        <f ca="1">IFERROR(__xludf.DUMMYFUNCTION("""COMPUTED_VALUE"""),"STBD_ESC Assy")</f>
        <v>STBD_ESC Assy</v>
      </c>
      <c r="AI64" t="str">
        <f ca="1">IFERROR(__xludf.DUMMYFUNCTION("""COMPUTED_VALUE"""),"Black 12AWG")</f>
        <v>Black 12AWG</v>
      </c>
      <c r="AJ64">
        <f ca="1">IFERROR(__xludf.DUMMYFUNCTION("""COMPUTED_VALUE"""),0.55)</f>
        <v>0.55000000000000004</v>
      </c>
      <c r="AK64" t="str">
        <f ca="1">IFERROR(__xludf.DUMMYFUNCTION("""COMPUTED_VALUE"""),"blank")</f>
        <v>blank</v>
      </c>
      <c r="AL64" t="e">
        <f ca="1">_xludf.IFNA(VLOOKUP(AH64,'S-FG'!$B$3:$B1001,1,FALSE),"")</f>
        <v>#NAME?</v>
      </c>
      <c r="AM64" t="e">
        <f ca="1">IF(AI64="","",SUMIFS(#REF!,RM!$C$4:$C991,AI64))</f>
        <v>#REF!</v>
      </c>
    </row>
    <row r="65" spans="5:39">
      <c r="E65" t="str">
        <f>IF(A65="","",SUMIFS('PR-BOM'!$D$3:$D1001,'PR-BOM'!$C$3:$C1001,A65)*C65)</f>
        <v/>
      </c>
      <c r="F65" t="e">
        <f ca="1">_xludf.IFNA(VLOOKUP(B65,'S-FG'!$B$3:$B1001,1,FALSE),"")</f>
        <v>#NAME?</v>
      </c>
      <c r="H65" t="str">
        <f ca="1">IFERROR(__xludf.DUMMYFUNCTION("""COMPUTED_VALUE"""),"STBD Signal PM Assy")</f>
        <v>STBD Signal PM Assy</v>
      </c>
      <c r="I65" t="str">
        <f ca="1">IFERROR(__xludf.DUMMYFUNCTION("""COMPUTED_VALUE"""),"Lead wire 22AWG")</f>
        <v>Lead wire 22AWG</v>
      </c>
      <c r="J65">
        <f ca="1">IFERROR(__xludf.DUMMYFUNCTION("""COMPUTED_VALUE"""),5)</f>
        <v>5</v>
      </c>
      <c r="L65">
        <f t="shared" ca="1" si="0"/>
        <v>0</v>
      </c>
      <c r="Q65" t="str">
        <f>IF(N65="","",SUMIFS('PR-BOM'!$D$3:$D1001,'PR-BOM'!$C$3:$C1001,N65))</f>
        <v/>
      </c>
      <c r="S65" t="str">
        <f ca="1">IFERROR(__xludf.DUMMYFUNCTION("""COMPUTED_VALUE"""),"Silicon RTV 734 Potting compound")</f>
        <v>Silicon RTV 734 Potting compound</v>
      </c>
      <c r="X65" t="e">
        <f ca="1"/>
        <v>#NAME?</v>
      </c>
      <c r="Y65" t="e">
        <f t="shared" ca="1" si="1"/>
        <v>#NAME?</v>
      </c>
      <c r="Z65" t="e">
        <f ca="1">IF(X65="","",SUMIFS(#REF!,RM!$C$4:$C991,X65))</f>
        <v>#NAME?</v>
      </c>
      <c r="AA65" t="e">
        <f ca="1">IF(X65="","",SUMIFS(#REF!,RM!$C$4:$C991,X65))</f>
        <v>#NAME?</v>
      </c>
      <c r="AB65" t="e">
        <f ca="1">IF(X65="","",SUMIFS(IRegback!$Y$2:$Y1001,IRegback!$X$2:$X1001,X65))</f>
        <v>#NAME?</v>
      </c>
      <c r="AC65" t="e">
        <f t="shared" ca="1" si="2"/>
        <v>#NAME?</v>
      </c>
      <c r="AD65" t="e">
        <f ca="1">IF(X65="","",VLOOKUP($X65,RM!$C$4:$G991,3,FALSE))</f>
        <v>#NAME?</v>
      </c>
      <c r="AE65" t="e">
        <f ca="1">IF(X65="","",VLOOKUP($X65,RM!$C$4:$G991,4,FALSE))</f>
        <v>#NAME?</v>
      </c>
      <c r="AF65" t="e">
        <f ca="1">IF(X65="","",VLOOKUP($X65,RM!$C$4:$G991,5,FALSE))</f>
        <v>#NAME?</v>
      </c>
      <c r="AH65" t="str">
        <f ca="1">IFERROR(__xludf.DUMMYFUNCTION("""COMPUTED_VALUE"""),"STBD_ESC Assy")</f>
        <v>STBD_ESC Assy</v>
      </c>
      <c r="AI65" t="str">
        <f ca="1">IFERROR(__xludf.DUMMYFUNCTION("""COMPUTED_VALUE"""),"Red 12AWG")</f>
        <v>Red 12AWG</v>
      </c>
      <c r="AJ65">
        <f ca="1">IFERROR(__xludf.DUMMYFUNCTION("""COMPUTED_VALUE"""),0.55)</f>
        <v>0.55000000000000004</v>
      </c>
      <c r="AK65" t="str">
        <f ca="1">IFERROR(__xludf.DUMMYFUNCTION("""COMPUTED_VALUE"""),"blank")</f>
        <v>blank</v>
      </c>
      <c r="AL65" t="e">
        <f ca="1">_xludf.IFNA(VLOOKUP(AH65,'S-FG'!$B$3:$B1001,1,FALSE),"")</f>
        <v>#NAME?</v>
      </c>
      <c r="AM65" t="e">
        <f ca="1">IF(AI65="","",SUMIFS(#REF!,RM!$C$4:$C991,AI65))</f>
        <v>#REF!</v>
      </c>
    </row>
    <row r="66" spans="5:39">
      <c r="E66" t="str">
        <f>IF(A66="","",SUMIFS('PR-BOM'!$D$3:$D1001,'PR-BOM'!$C$3:$C1001,A66)*C66)</f>
        <v/>
      </c>
      <c r="F66" t="e">
        <f ca="1">_xludf.IFNA(VLOOKUP(B66,'S-FG'!$B$3:$B1001,1,FALSE),"")</f>
        <v>#NAME?</v>
      </c>
      <c r="H66" t="str">
        <f ca="1">IFERROR(__xludf.DUMMYFUNCTION("""COMPUTED_VALUE"""),"PORT Signal PM Assy")</f>
        <v>PORT Signal PM Assy</v>
      </c>
      <c r="I66" t="str">
        <f ca="1">IFERROR(__xludf.DUMMYFUNCTION("""COMPUTED_VALUE"""),"15 pin JST-XH housing")</f>
        <v>15 pin JST-XH housing</v>
      </c>
      <c r="J66">
        <f ca="1">IFERROR(__xludf.DUMMYFUNCTION("""COMPUTED_VALUE"""),1)</f>
        <v>1</v>
      </c>
      <c r="K66" t="str">
        <f ca="1">IFERROR(__xludf.DUMMYFUNCTION("""COMPUTED_VALUE"""),"blank")</f>
        <v>blank</v>
      </c>
      <c r="L66">
        <f t="shared" ca="1" si="0"/>
        <v>0</v>
      </c>
      <c r="Q66" t="str">
        <f>IF(N66="","",SUMIFS('PR-BOM'!$D$3:$D1001,'PR-BOM'!$C$3:$C1001,N66))</f>
        <v/>
      </c>
      <c r="S66" t="str">
        <f ca="1">IFERROR(__xludf.DUMMYFUNCTION("""COMPUTED_VALUE"""),"Lead wire 22AWG")</f>
        <v>Lead wire 22AWG</v>
      </c>
      <c r="X66" t="e">
        <f ca="1"/>
        <v>#NAME?</v>
      </c>
      <c r="Y66" t="e">
        <f t="shared" ca="1" si="1"/>
        <v>#NAME?</v>
      </c>
      <c r="Z66" t="e">
        <f ca="1">IF(X66="","",SUMIFS(#REF!,RM!$C$4:$C991,X66))</f>
        <v>#NAME?</v>
      </c>
      <c r="AA66" t="e">
        <f ca="1">IF(X66="","",SUMIFS(#REF!,RM!$C$4:$C991,X66))</f>
        <v>#NAME?</v>
      </c>
      <c r="AB66" t="e">
        <f ca="1">IF(X66="","",SUMIFS(IRegback!$Y$2:$Y1001,IRegback!$X$2:$X1001,X66))</f>
        <v>#NAME?</v>
      </c>
      <c r="AC66" t="e">
        <f t="shared" ca="1" si="2"/>
        <v>#NAME?</v>
      </c>
      <c r="AD66" t="e">
        <f ca="1">IF(X66="","",VLOOKUP($X66,RM!$C$4:$G991,3,FALSE))</f>
        <v>#NAME?</v>
      </c>
      <c r="AE66" t="e">
        <f ca="1">IF(X66="","",VLOOKUP($X66,RM!$C$4:$G991,4,FALSE))</f>
        <v>#NAME?</v>
      </c>
      <c r="AF66" t="e">
        <f ca="1">IF(X66="","",VLOOKUP($X66,RM!$C$4:$G991,5,FALSE))</f>
        <v>#NAME?</v>
      </c>
      <c r="AH66" t="str">
        <f ca="1">IFERROR(__xludf.DUMMYFUNCTION("""COMPUTED_VALUE"""),"STBD_ESC Assy")</f>
        <v>STBD_ESC Assy</v>
      </c>
      <c r="AI66" t="str">
        <f ca="1">IFERROR(__xludf.DUMMYFUNCTION("""COMPUTED_VALUE"""),"Ferrite Core")</f>
        <v>Ferrite Core</v>
      </c>
      <c r="AJ66">
        <f ca="1">IFERROR(__xludf.DUMMYFUNCTION("""COMPUTED_VALUE"""),1)</f>
        <v>1</v>
      </c>
      <c r="AK66" t="str">
        <f ca="1">IFERROR(__xludf.DUMMYFUNCTION("""COMPUTED_VALUE"""),"CF199T1306C")</f>
        <v>CF199T1306C</v>
      </c>
      <c r="AL66" t="e">
        <f ca="1">_xludf.IFNA(VLOOKUP(AH66,'S-FG'!$B$3:$B1001,1,FALSE),"")</f>
        <v>#NAME?</v>
      </c>
      <c r="AM66" t="e">
        <f ca="1">IF(AI66="","",SUMIFS(#REF!,RM!$C$4:$C991,AI66))</f>
        <v>#REF!</v>
      </c>
    </row>
    <row r="67" spans="5:39">
      <c r="E67" t="str">
        <f>IF(A67="","",SUMIFS('PR-BOM'!$D$3:$D1001,'PR-BOM'!$C$3:$C1001,A67)*C67)</f>
        <v/>
      </c>
      <c r="F67" t="e">
        <f ca="1">_xludf.IFNA(VLOOKUP(B67,'S-FG'!$B$3:$B1001,1,FALSE),"")</f>
        <v>#NAME?</v>
      </c>
      <c r="H67" t="str">
        <f ca="1">IFERROR(__xludf.DUMMYFUNCTION("""COMPUTED_VALUE"""),"PORT Signal PM Assy")</f>
        <v>PORT Signal PM Assy</v>
      </c>
      <c r="I67" t="str">
        <f ca="1">IFERROR(__xludf.DUMMYFUNCTION("""COMPUTED_VALUE"""),"10cm one sided JST crimped Black")</f>
        <v>10cm one sided JST crimped Black</v>
      </c>
      <c r="J67">
        <f ca="1">IFERROR(__xludf.DUMMYFUNCTION("""COMPUTED_VALUE"""),1)</f>
        <v>1</v>
      </c>
      <c r="K67" t="str">
        <f ca="1">IFERROR(__xludf.DUMMYFUNCTION("""COMPUTED_VALUE"""),"blank")</f>
        <v>blank</v>
      </c>
      <c r="L67">
        <f t="shared" ca="1" si="0"/>
        <v>0</v>
      </c>
      <c r="Q67" t="str">
        <f>IF(N67="","",SUMIFS('PR-BOM'!$D$3:$D1001,'PR-BOM'!$C$3:$C1001,N67))</f>
        <v/>
      </c>
      <c r="S67" t="str">
        <f ca="1">IFERROR(__xludf.DUMMYFUNCTION("""COMPUTED_VALUE"""),"15 pin JST-XH housing")</f>
        <v>15 pin JST-XH housing</v>
      </c>
      <c r="X67" t="e">
        <f ca="1"/>
        <v>#NAME?</v>
      </c>
      <c r="Y67" t="e">
        <f t="shared" ca="1" si="1"/>
        <v>#NAME?</v>
      </c>
      <c r="Z67" t="e">
        <f ca="1">IF(X67="","",SUMIFS(#REF!,RM!$C$4:$C991,X67))</f>
        <v>#NAME?</v>
      </c>
      <c r="AA67" t="e">
        <f ca="1">IF(X67="","",SUMIFS(#REF!,RM!$C$4:$C991,X67))</f>
        <v>#NAME?</v>
      </c>
      <c r="AB67" t="e">
        <f ca="1">IF(X67="","",SUMIFS(IRegback!$Y$2:$Y1001,IRegback!$X$2:$X1001,X67))</f>
        <v>#NAME?</v>
      </c>
      <c r="AC67" t="e">
        <f t="shared" ca="1" si="2"/>
        <v>#NAME?</v>
      </c>
      <c r="AD67" t="e">
        <f ca="1">IF(X67="","",VLOOKUP($X67,RM!$C$4:$G991,3,FALSE))</f>
        <v>#NAME?</v>
      </c>
      <c r="AE67" t="e">
        <f ca="1">IF(X67="","",VLOOKUP($X67,RM!$C$4:$G991,4,FALSE))</f>
        <v>#NAME?</v>
      </c>
      <c r="AF67" t="e">
        <f ca="1">IF(X67="","",VLOOKUP($X67,RM!$C$4:$G991,5,FALSE))</f>
        <v>#NAME?</v>
      </c>
      <c r="AH67" t="str">
        <f ca="1">IFERROR(__xludf.DUMMYFUNCTION("""COMPUTED_VALUE"""),"STBD_ESC Assy")</f>
        <v>STBD_ESC Assy</v>
      </c>
      <c r="AI67" t="str">
        <f ca="1">IFERROR(__xludf.DUMMYFUNCTION("""COMPUTED_VALUE"""),"16AWG Lead")</f>
        <v>16AWG Lead</v>
      </c>
      <c r="AJ67">
        <f ca="1">IFERROR(__xludf.DUMMYFUNCTION("""COMPUTED_VALUE"""),5)</f>
        <v>5</v>
      </c>
      <c r="AK67" t="str">
        <f ca="1">IFERROR(__xludf.DUMMYFUNCTION("""COMPUTED_VALUE"""),"blank")</f>
        <v>blank</v>
      </c>
      <c r="AL67" t="e">
        <f ca="1">_xludf.IFNA(VLOOKUP(AH67,'S-FG'!$B$3:$B1001,1,FALSE),"")</f>
        <v>#NAME?</v>
      </c>
      <c r="AM67" t="e">
        <f ca="1">IF(AI67="","",SUMIFS(#REF!,RM!$C$4:$C991,AI67))</f>
        <v>#REF!</v>
      </c>
    </row>
    <row r="68" spans="5:39">
      <c r="E68" t="str">
        <f>IF(A68="","",SUMIFS('PR-BOM'!$D$3:$D1001,'PR-BOM'!$C$3:$C1001,A68)*C68)</f>
        <v/>
      </c>
      <c r="F68" t="e">
        <f ca="1">_xludf.IFNA(VLOOKUP(B68,'S-FG'!$B$3:$B1001,1,FALSE),"")</f>
        <v>#NAME?</v>
      </c>
      <c r="H68" t="str">
        <f ca="1">IFERROR(__xludf.DUMMYFUNCTION("""COMPUTED_VALUE"""),"PORT Signal PM Assy")</f>
        <v>PORT Signal PM Assy</v>
      </c>
      <c r="I68" t="str">
        <f ca="1">IFERROR(__xludf.DUMMYFUNCTION("""COMPUTED_VALUE"""),"10cm one sided JST crimped Green")</f>
        <v>10cm one sided JST crimped Green</v>
      </c>
      <c r="J68">
        <f ca="1">IFERROR(__xludf.DUMMYFUNCTION("""COMPUTED_VALUE"""),1)</f>
        <v>1</v>
      </c>
      <c r="K68" t="str">
        <f ca="1">IFERROR(__xludf.DUMMYFUNCTION("""COMPUTED_VALUE"""),"blank")</f>
        <v>blank</v>
      </c>
      <c r="L68">
        <f t="shared" ca="1" si="0"/>
        <v>0</v>
      </c>
      <c r="Q68" t="str">
        <f>IF(N68="","",SUMIFS('PR-BOM'!$D$3:$D1001,'PR-BOM'!$C$3:$C1001,N68))</f>
        <v/>
      </c>
      <c r="S68" t="str">
        <f ca="1">IFERROR(__xludf.DUMMYFUNCTION("""COMPUTED_VALUE"""),"10cm one sided JST crimped Black")</f>
        <v>10cm one sided JST crimped Black</v>
      </c>
      <c r="X68" t="e">
        <f ca="1"/>
        <v>#NAME?</v>
      </c>
      <c r="Y68" t="e">
        <f t="shared" ca="1" si="1"/>
        <v>#NAME?</v>
      </c>
      <c r="Z68" t="e">
        <f ca="1">IF(X68="","",SUMIFS(#REF!,RM!$C$4:$C991,X68))</f>
        <v>#NAME?</v>
      </c>
      <c r="AA68" t="e">
        <f ca="1">IF(X68="","",SUMIFS(#REF!,RM!$C$4:$C991,X68))</f>
        <v>#NAME?</v>
      </c>
      <c r="AB68" t="e">
        <f ca="1">IF(X68="","",SUMIFS(IRegback!$Y$2:$Y1001,IRegback!$X$2:$X1001,X68))</f>
        <v>#NAME?</v>
      </c>
      <c r="AC68" t="e">
        <f t="shared" ca="1" si="2"/>
        <v>#NAME?</v>
      </c>
      <c r="AD68" t="e">
        <f ca="1">IF(X68="","",VLOOKUP($X68,RM!$C$4:$G991,3,FALSE))</f>
        <v>#NAME?</v>
      </c>
      <c r="AE68" t="e">
        <f ca="1">IF(X68="","",VLOOKUP($X68,RM!$C$4:$G991,4,FALSE))</f>
        <v>#NAME?</v>
      </c>
      <c r="AF68" t="e">
        <f ca="1">IF(X68="","",VLOOKUP($X68,RM!$C$4:$G991,5,FALSE))</f>
        <v>#NAME?</v>
      </c>
      <c r="AH68" t="str">
        <f ca="1">IFERROR(__xludf.DUMMYFUNCTION("""COMPUTED_VALUE"""),"STBD_ESC Assy")</f>
        <v>STBD_ESC Assy</v>
      </c>
      <c r="AI68" t="str">
        <f ca="1">IFERROR(__xludf.DUMMYFUNCTION("""COMPUTED_VALUE"""),"Heatshrink Tube 9:3")</f>
        <v>Heatshrink Tube 9:3</v>
      </c>
      <c r="AJ68">
        <f ca="1">IFERROR(__xludf.DUMMYFUNCTION("""COMPUTED_VALUE"""),0.05)</f>
        <v>0.05</v>
      </c>
      <c r="AK68" t="str">
        <f ca="1">IFERROR(__xludf.DUMMYFUNCTION("""COMPUTED_VALUE"""),"blank")</f>
        <v>blank</v>
      </c>
      <c r="AL68" t="e">
        <f ca="1">_xludf.IFNA(VLOOKUP(AH68,'S-FG'!$B$3:$B1001,1,FALSE),"")</f>
        <v>#NAME?</v>
      </c>
      <c r="AM68" t="e">
        <f ca="1">IF(AI68="","",SUMIFS(#REF!,RM!$C$4:$C991,AI68))</f>
        <v>#REF!</v>
      </c>
    </row>
    <row r="69" spans="5:39">
      <c r="E69" t="str">
        <f>IF(A69="","",SUMIFS('PR-BOM'!$D$3:$D1001,'PR-BOM'!$C$3:$C1001,A69)*C69)</f>
        <v/>
      </c>
      <c r="F69" t="e">
        <f ca="1">_xludf.IFNA(VLOOKUP(B69,'S-FG'!$B$3:$B1001,1,FALSE),"")</f>
        <v>#NAME?</v>
      </c>
      <c r="H69" t="str">
        <f ca="1">IFERROR(__xludf.DUMMYFUNCTION("""COMPUTED_VALUE"""),"PORT Signal PM Assy")</f>
        <v>PORT Signal PM Assy</v>
      </c>
      <c r="I69" t="str">
        <f ca="1">IFERROR(__xludf.DUMMYFUNCTION("""COMPUTED_VALUE"""),"10cm one sided JST crimped Voilet")</f>
        <v>10cm one sided JST crimped Voilet</v>
      </c>
      <c r="J69">
        <f ca="1">IFERROR(__xludf.DUMMYFUNCTION("""COMPUTED_VALUE"""),1)</f>
        <v>1</v>
      </c>
      <c r="K69" t="str">
        <f ca="1">IFERROR(__xludf.DUMMYFUNCTION("""COMPUTED_VALUE"""),"blank")</f>
        <v>blank</v>
      </c>
      <c r="L69">
        <f t="shared" ca="1" si="0"/>
        <v>0</v>
      </c>
      <c r="Q69" t="str">
        <f>IF(N69="","",SUMIFS('PR-BOM'!$D$3:$D1001,'PR-BOM'!$C$3:$C1001,N69))</f>
        <v/>
      </c>
      <c r="S69" t="str">
        <f ca="1">IFERROR(__xludf.DUMMYFUNCTION("""COMPUTED_VALUE"""),"10cm one sided JST crimped Green")</f>
        <v>10cm one sided JST crimped Green</v>
      </c>
      <c r="X69" t="e">
        <f ca="1"/>
        <v>#NAME?</v>
      </c>
      <c r="Y69" t="e">
        <f t="shared" ca="1" si="1"/>
        <v>#NAME?</v>
      </c>
      <c r="Z69" t="e">
        <f ca="1">IF(X69="","",SUMIFS(#REF!,RM!$C$4:$C991,X69))</f>
        <v>#NAME?</v>
      </c>
      <c r="AA69" t="e">
        <f ca="1">IF(X69="","",SUMIFS(#REF!,RM!$C$4:$C991,X69))</f>
        <v>#NAME?</v>
      </c>
      <c r="AB69" t="e">
        <f ca="1">IF(X69="","",SUMIFS(IRegback!$Y$2:$Y1001,IRegback!$X$2:$X1001,X69))</f>
        <v>#NAME?</v>
      </c>
      <c r="AC69" t="e">
        <f t="shared" ca="1" si="2"/>
        <v>#NAME?</v>
      </c>
      <c r="AD69" t="e">
        <f ca="1">IF(X69="","",VLOOKUP($X69,RM!$C$4:$G991,3,FALSE))</f>
        <v>#NAME?</v>
      </c>
      <c r="AE69" t="e">
        <f ca="1">IF(X69="","",VLOOKUP($X69,RM!$C$4:$G991,4,FALSE))</f>
        <v>#NAME?</v>
      </c>
      <c r="AF69" t="e">
        <f ca="1">IF(X69="","",VLOOKUP($X69,RM!$C$4:$G991,5,FALSE))</f>
        <v>#NAME?</v>
      </c>
      <c r="AH69" t="str">
        <f ca="1">IFERROR(__xludf.DUMMYFUNCTION("""COMPUTED_VALUE"""),"STBD_ESC Assy")</f>
        <v>STBD_ESC Assy</v>
      </c>
      <c r="AI69" t="str">
        <f ca="1">IFERROR(__xludf.DUMMYFUNCTION("""COMPUTED_VALUE"""),"HeatShrink Tube 4.8/1.2")</f>
        <v>HeatShrink Tube 4.8/1.2</v>
      </c>
      <c r="AJ69">
        <f ca="1">IFERROR(__xludf.DUMMYFUNCTION("""COMPUTED_VALUE"""),0.05)</f>
        <v>0.05</v>
      </c>
      <c r="AK69" t="str">
        <f ca="1">IFERROR(__xludf.DUMMYFUNCTION("""COMPUTED_VALUE"""),"blank")</f>
        <v>blank</v>
      </c>
      <c r="AL69" t="e">
        <f ca="1">_xludf.IFNA(VLOOKUP(AH69,'S-FG'!$B$3:$B1001,1,FALSE),"")</f>
        <v>#NAME?</v>
      </c>
      <c r="AM69" t="e">
        <f ca="1">IF(AI69="","",SUMIFS(#REF!,RM!$C$4:$C991,AI69))</f>
        <v>#REF!</v>
      </c>
    </row>
    <row r="70" spans="5:39">
      <c r="E70" t="str">
        <f>IF(A70="","",SUMIFS('PR-BOM'!$D$3:$D1001,'PR-BOM'!$C$3:$C1001,A70)*C70)</f>
        <v/>
      </c>
      <c r="F70" t="e">
        <f ca="1">_xludf.IFNA(VLOOKUP(B70,'S-FG'!$B$3:$B1001,1,FALSE),"")</f>
        <v>#NAME?</v>
      </c>
      <c r="H70" t="str">
        <f ca="1">IFERROR(__xludf.DUMMYFUNCTION("""COMPUTED_VALUE"""),"PORT Signal PM Assy")</f>
        <v>PORT Signal PM Assy</v>
      </c>
      <c r="I70" t="str">
        <f ca="1">IFERROR(__xludf.DUMMYFUNCTION("""COMPUTED_VALUE"""),"10cm one sided JST crimped Yellow")</f>
        <v>10cm one sided JST crimped Yellow</v>
      </c>
      <c r="J70">
        <f ca="1">IFERROR(__xludf.DUMMYFUNCTION("""COMPUTED_VALUE"""),1)</f>
        <v>1</v>
      </c>
      <c r="K70" t="str">
        <f ca="1">IFERROR(__xludf.DUMMYFUNCTION("""COMPUTED_VALUE"""),"blank")</f>
        <v>blank</v>
      </c>
      <c r="L70">
        <f t="shared" ca="1" si="0"/>
        <v>0</v>
      </c>
      <c r="Q70" t="str">
        <f>IF(N70="","",SUMIFS('PR-BOM'!$D$3:$D1001,'PR-BOM'!$C$3:$C1001,N70))</f>
        <v/>
      </c>
      <c r="S70" t="str">
        <f ca="1">IFERROR(__xludf.DUMMYFUNCTION("""COMPUTED_VALUE"""),"10cm one sided JST crimped Voilet")</f>
        <v>10cm one sided JST crimped Voilet</v>
      </c>
      <c r="X70" t="e">
        <f ca="1"/>
        <v>#NAME?</v>
      </c>
      <c r="Y70" t="e">
        <f t="shared" ca="1" si="1"/>
        <v>#NAME?</v>
      </c>
      <c r="Z70" t="e">
        <f ca="1">IF(X70="","",SUMIFS(#REF!,RM!$C$4:$C991,X70))</f>
        <v>#NAME?</v>
      </c>
      <c r="AA70" t="e">
        <f ca="1">IF(X70="","",SUMIFS(#REF!,RM!$C$4:$C991,X70))</f>
        <v>#NAME?</v>
      </c>
      <c r="AB70" t="e">
        <f ca="1">IF(X70="","",SUMIFS(IRegback!$Y$2:$Y1001,IRegback!$X$2:$X1001,X70))</f>
        <v>#NAME?</v>
      </c>
      <c r="AC70" t="e">
        <f t="shared" ca="1" si="2"/>
        <v>#NAME?</v>
      </c>
      <c r="AD70" t="e">
        <f ca="1">IF(X70="","",VLOOKUP($X70,RM!$C$4:$G991,3,FALSE))</f>
        <v>#NAME?</v>
      </c>
      <c r="AE70" t="e">
        <f ca="1">IF(X70="","",VLOOKUP($X70,RM!$C$4:$G991,4,FALSE))</f>
        <v>#NAME?</v>
      </c>
      <c r="AF70" t="e">
        <f ca="1">IF(X70="","",VLOOKUP($X70,RM!$C$4:$G991,5,FALSE))</f>
        <v>#NAME?</v>
      </c>
      <c r="AH70" t="str">
        <f ca="1">IFERROR(__xludf.DUMMYFUNCTION("""COMPUTED_VALUE"""),"STBD_ESC Assy")</f>
        <v>STBD_ESC Assy</v>
      </c>
      <c r="AI70" t="str">
        <f ca="1">IFERROR(__xludf.DUMMYFUNCTION("""COMPUTED_VALUE"""),"HV130 ESC")</f>
        <v>HV130 ESC</v>
      </c>
      <c r="AJ70">
        <f ca="1">IFERROR(__xludf.DUMMYFUNCTION("""COMPUTED_VALUE"""),1)</f>
        <v>1</v>
      </c>
      <c r="AK70" t="str">
        <f ca="1">IFERROR(__xludf.DUMMYFUNCTION("""COMPUTED_VALUE"""),"blank")</f>
        <v>blank</v>
      </c>
      <c r="AL70" t="e">
        <f ca="1">_xludf.IFNA(VLOOKUP(AH70,'S-FG'!$B$3:$B1001,1,FALSE),"")</f>
        <v>#NAME?</v>
      </c>
      <c r="AM70" t="e">
        <f ca="1">IF(AI70="","",SUMIFS(#REF!,RM!$C$4:$C991,AI70))</f>
        <v>#REF!</v>
      </c>
    </row>
    <row r="71" spans="5:39">
      <c r="E71" t="str">
        <f>IF(A71="","",SUMIFS('PR-BOM'!$D$3:$D1001,'PR-BOM'!$C$3:$C1001,A71)*C71)</f>
        <v/>
      </c>
      <c r="F71" t="e">
        <f ca="1">_xludf.IFNA(VLOOKUP(B71,'S-FG'!$B$3:$B1001,1,FALSE),"")</f>
        <v>#NAME?</v>
      </c>
      <c r="H71" t="str">
        <f ca="1">IFERROR(__xludf.DUMMYFUNCTION("""COMPUTED_VALUE"""),"PORT Signal PM Assy")</f>
        <v>PORT Signal PM Assy</v>
      </c>
      <c r="I71" t="str">
        <f ca="1">IFERROR(__xludf.DUMMYFUNCTION("""COMPUTED_VALUE"""),"10cm one sided JST crimped Sky Blue")</f>
        <v>10cm one sided JST crimped Sky Blue</v>
      </c>
      <c r="J71">
        <f ca="1">IFERROR(__xludf.DUMMYFUNCTION("""COMPUTED_VALUE"""),1)</f>
        <v>1</v>
      </c>
      <c r="K71" t="str">
        <f ca="1">IFERROR(__xludf.DUMMYFUNCTION("""COMPUTED_VALUE"""),"blank")</f>
        <v>blank</v>
      </c>
      <c r="L71">
        <f t="shared" ca="1" si="0"/>
        <v>0</v>
      </c>
      <c r="Q71" t="str">
        <f>IF(N71="","",SUMIFS('PR-BOM'!$D$3:$D1001,'PR-BOM'!$C$3:$C1001,N71))</f>
        <v/>
      </c>
      <c r="S71" t="str">
        <f ca="1">IFERROR(__xludf.DUMMYFUNCTION("""COMPUTED_VALUE"""),"10cm one sided JST crimped Yellow")</f>
        <v>10cm one sided JST crimped Yellow</v>
      </c>
      <c r="X71" t="e">
        <f ca="1"/>
        <v>#NAME?</v>
      </c>
      <c r="Y71" t="e">
        <f t="shared" ca="1" si="1"/>
        <v>#NAME?</v>
      </c>
      <c r="Z71" t="e">
        <f ca="1">IF(X71="","",SUMIFS(#REF!,RM!$C$4:$C991,X71))</f>
        <v>#NAME?</v>
      </c>
      <c r="AA71" t="e">
        <f ca="1">IF(X71="","",SUMIFS(#REF!,RM!$C$4:$C991,X71))</f>
        <v>#NAME?</v>
      </c>
      <c r="AB71" t="e">
        <f ca="1">IF(X71="","",SUMIFS(IRegback!$Y$2:$Y1001,IRegback!$X$2:$X1001,X71))</f>
        <v>#NAME?</v>
      </c>
      <c r="AC71" t="e">
        <f t="shared" ca="1" si="2"/>
        <v>#NAME?</v>
      </c>
      <c r="AD71" t="e">
        <f ca="1">IF(X71="","",VLOOKUP($X71,RM!$C$4:$G991,3,FALSE))</f>
        <v>#NAME?</v>
      </c>
      <c r="AE71" t="e">
        <f ca="1">IF(X71="","",VLOOKUP($X71,RM!$C$4:$G991,4,FALSE))</f>
        <v>#NAME?</v>
      </c>
      <c r="AF71" t="e">
        <f ca="1">IF(X71="","",VLOOKUP($X71,RM!$C$4:$G991,5,FALSE))</f>
        <v>#NAME?</v>
      </c>
      <c r="AH71" t="str">
        <f ca="1">IFERROR(__xludf.DUMMYFUNCTION("""COMPUTED_VALUE"""),"PORT_ESC Assy")</f>
        <v>PORT_ESC Assy</v>
      </c>
      <c r="AI71" t="str">
        <f ca="1">IFERROR(__xludf.DUMMYFUNCTION("""COMPUTED_VALUE"""),"5.5mm Female Bullet connector")</f>
        <v>5.5mm Female Bullet connector</v>
      </c>
      <c r="AJ71">
        <f ca="1">IFERROR(__xludf.DUMMYFUNCTION("""COMPUTED_VALUE"""),1)</f>
        <v>1</v>
      </c>
      <c r="AK71" t="str">
        <f ca="1">IFERROR(__xludf.DUMMYFUNCTION("""COMPUTED_VALUE"""),"blank")</f>
        <v>blank</v>
      </c>
      <c r="AL71" t="e">
        <f ca="1">_xludf.IFNA(VLOOKUP(AH71,'S-FG'!$B$3:$B1001,1,FALSE),"")</f>
        <v>#NAME?</v>
      </c>
      <c r="AM71" t="e">
        <f ca="1">IF(AI71="","",SUMIFS(#REF!,RM!$C$4:$C991,AI71))</f>
        <v>#REF!</v>
      </c>
    </row>
    <row r="72" spans="5:39">
      <c r="E72" t="str">
        <f>IF(A72="","",SUMIFS('PR-BOM'!$D$3:$D1001,'PR-BOM'!$C$3:$C1001,A72)*C72)</f>
        <v/>
      </c>
      <c r="F72" t="e">
        <f ca="1">_xludf.IFNA(VLOOKUP(B72,'S-FG'!$B$3:$B1001,1,FALSE),"")</f>
        <v>#NAME?</v>
      </c>
      <c r="H72" t="str">
        <f ca="1">IFERROR(__xludf.DUMMYFUNCTION("""COMPUTED_VALUE"""),"PORT Signal PM Assy")</f>
        <v>PORT Signal PM Assy</v>
      </c>
      <c r="I72" t="str">
        <f ca="1">IFERROR(__xludf.DUMMYFUNCTION("""COMPUTED_VALUE"""),"10cm one sided JST crimped Pink")</f>
        <v>10cm one sided JST crimped Pink</v>
      </c>
      <c r="J72">
        <f ca="1">IFERROR(__xludf.DUMMYFUNCTION("""COMPUTED_VALUE"""),1)</f>
        <v>1</v>
      </c>
      <c r="K72" t="str">
        <f ca="1">IFERROR(__xludf.DUMMYFUNCTION("""COMPUTED_VALUE"""),"blank")</f>
        <v>blank</v>
      </c>
      <c r="L72">
        <f t="shared" ca="1" si="0"/>
        <v>0</v>
      </c>
      <c r="Q72" t="str">
        <f>IF(N72="","",SUMIFS('PR-BOM'!$D$3:$D1001,'PR-BOM'!$C$3:$C1001,N72))</f>
        <v/>
      </c>
      <c r="S72" t="str">
        <f ca="1">IFERROR(__xludf.DUMMYFUNCTION("""COMPUTED_VALUE"""),"10cm one sided JST crimped Sky Blue")</f>
        <v>10cm one sided JST crimped Sky Blue</v>
      </c>
      <c r="X72" t="e">
        <f ca="1"/>
        <v>#NAME?</v>
      </c>
      <c r="Y72" t="e">
        <f t="shared" ca="1" si="1"/>
        <v>#NAME?</v>
      </c>
      <c r="Z72" t="e">
        <f ca="1">IF(X72="","",SUMIFS(#REF!,RM!$C$4:$C991,X72))</f>
        <v>#NAME?</v>
      </c>
      <c r="AA72" t="e">
        <f ca="1">IF(X72="","",SUMIFS(#REF!,RM!$C$4:$C991,X72))</f>
        <v>#NAME?</v>
      </c>
      <c r="AB72" t="e">
        <f ca="1">IF(X72="","",SUMIFS(IRegback!$Y$2:$Y1001,IRegback!$X$2:$X1001,X72))</f>
        <v>#NAME?</v>
      </c>
      <c r="AC72" t="e">
        <f t="shared" ca="1" si="2"/>
        <v>#NAME?</v>
      </c>
      <c r="AD72" t="e">
        <f ca="1">IF(X72="","",VLOOKUP($X72,RM!$C$4:$G991,3,FALSE))</f>
        <v>#NAME?</v>
      </c>
      <c r="AE72" t="e">
        <f ca="1">IF(X72="","",VLOOKUP($X72,RM!$C$4:$G991,4,FALSE))</f>
        <v>#NAME?</v>
      </c>
      <c r="AF72" t="e">
        <f ca="1">IF(X72="","",VLOOKUP($X72,RM!$C$4:$G991,5,FALSE))</f>
        <v>#NAME?</v>
      </c>
      <c r="AH72" t="str">
        <f ca="1">IFERROR(__xludf.DUMMYFUNCTION("""COMPUTED_VALUE"""),"PORT_ESC Assy")</f>
        <v>PORT_ESC Assy</v>
      </c>
      <c r="AI72" t="str">
        <f ca="1">IFERROR(__xludf.DUMMYFUNCTION("""COMPUTED_VALUE"""),"4mm Male Bullet connector")</f>
        <v>4mm Male Bullet connector</v>
      </c>
      <c r="AJ72">
        <f ca="1">IFERROR(__xludf.DUMMYFUNCTION("""COMPUTED_VALUE"""),2)</f>
        <v>2</v>
      </c>
      <c r="AK72" t="str">
        <f ca="1">IFERROR(__xludf.DUMMYFUNCTION("""COMPUTED_VALUE"""),"blank")</f>
        <v>blank</v>
      </c>
      <c r="AL72" t="e">
        <f ca="1">_xludf.IFNA(VLOOKUP(AH72,'S-FG'!$B$3:$B1001,1,FALSE),"")</f>
        <v>#NAME?</v>
      </c>
      <c r="AM72" t="e">
        <f ca="1">IF(AI72="","",SUMIFS(#REF!,RM!$C$4:$C991,AI72))</f>
        <v>#REF!</v>
      </c>
    </row>
    <row r="73" spans="5:39">
      <c r="E73" t="str">
        <f>IF(A73="","",SUMIFS('PR-BOM'!$D$3:$D1001,'PR-BOM'!$C$3:$C1001,A73)*C73)</f>
        <v/>
      </c>
      <c r="F73" t="e">
        <f ca="1">_xludf.IFNA(VLOOKUP(B73,'S-FG'!$B$3:$B1001,1,FALSE),"")</f>
        <v>#NAME?</v>
      </c>
      <c r="H73" t="str">
        <f ca="1">IFERROR(__xludf.DUMMYFUNCTION("""COMPUTED_VALUE"""),"PORT Signal PM Assy")</f>
        <v>PORT Signal PM Assy</v>
      </c>
      <c r="I73" t="str">
        <f ca="1">IFERROR(__xludf.DUMMYFUNCTION("""COMPUTED_VALUE"""),"10cm one sided JST crimped Orange")</f>
        <v>10cm one sided JST crimped Orange</v>
      </c>
      <c r="J73">
        <f ca="1">IFERROR(__xludf.DUMMYFUNCTION("""COMPUTED_VALUE"""),1)</f>
        <v>1</v>
      </c>
      <c r="K73" t="str">
        <f ca="1">IFERROR(__xludf.DUMMYFUNCTION("""COMPUTED_VALUE"""),"blank")</f>
        <v>blank</v>
      </c>
      <c r="L73">
        <f t="shared" ca="1" si="0"/>
        <v>0</v>
      </c>
      <c r="Q73" t="str">
        <f>IF(N73="","",SUMIFS('PR-BOM'!$D$3:$D1001,'PR-BOM'!$C$3:$C1001,N73))</f>
        <v/>
      </c>
      <c r="S73" t="str">
        <f ca="1">IFERROR(__xludf.DUMMYFUNCTION("""COMPUTED_VALUE"""),"10cm one sided JST crimped Pink")</f>
        <v>10cm one sided JST crimped Pink</v>
      </c>
      <c r="X73" t="e">
        <f ca="1"/>
        <v>#NAME?</v>
      </c>
      <c r="Y73" t="e">
        <f t="shared" ca="1" si="1"/>
        <v>#NAME?</v>
      </c>
      <c r="Z73" t="e">
        <f ca="1">IF(X73="","",SUMIFS(#REF!,RM!$C$4:$C991,X73))</f>
        <v>#NAME?</v>
      </c>
      <c r="AA73" t="e">
        <f ca="1">IF(X73="","",SUMIFS(#REF!,RM!$C$4:$C991,X73))</f>
        <v>#NAME?</v>
      </c>
      <c r="AB73" t="e">
        <f ca="1">IF(X73="","",SUMIFS(IRegback!$Y$2:$Y1001,IRegback!$X$2:$X1001,X73))</f>
        <v>#NAME?</v>
      </c>
      <c r="AC73" t="e">
        <f t="shared" ca="1" si="2"/>
        <v>#NAME?</v>
      </c>
      <c r="AD73" t="e">
        <f ca="1">IF(X73="","",VLOOKUP($X73,RM!$C$4:$G991,3,FALSE))</f>
        <v>#NAME?</v>
      </c>
      <c r="AE73" t="e">
        <f ca="1">IF(X73="","",VLOOKUP($X73,RM!$C$4:$G991,4,FALSE))</f>
        <v>#NAME?</v>
      </c>
      <c r="AF73" t="e">
        <f ca="1">IF(X73="","",VLOOKUP($X73,RM!$C$4:$G991,5,FALSE))</f>
        <v>#NAME?</v>
      </c>
      <c r="AH73" t="str">
        <f ca="1">IFERROR(__xludf.DUMMYFUNCTION("""COMPUTED_VALUE"""),"PORT_ESC Assy")</f>
        <v>PORT_ESC Assy</v>
      </c>
      <c r="AI73" t="str">
        <f ca="1">IFERROR(__xludf.DUMMYFUNCTION("""COMPUTED_VALUE"""),"4mm Female Bullet connector")</f>
        <v>4mm Female Bullet connector</v>
      </c>
      <c r="AJ73">
        <f ca="1">IFERROR(__xludf.DUMMYFUNCTION("""COMPUTED_VALUE"""),1)</f>
        <v>1</v>
      </c>
      <c r="AK73" t="str">
        <f ca="1">IFERROR(__xludf.DUMMYFUNCTION("""COMPUTED_VALUE"""),"blank")</f>
        <v>blank</v>
      </c>
      <c r="AL73" t="e">
        <f ca="1">_xludf.IFNA(VLOOKUP(AH73,'S-FG'!$B$3:$B1001,1,FALSE),"")</f>
        <v>#NAME?</v>
      </c>
      <c r="AM73" t="e">
        <f ca="1">IF(AI73="","",SUMIFS(#REF!,RM!$C$4:$C991,AI73))</f>
        <v>#REF!</v>
      </c>
    </row>
    <row r="74" spans="5:39">
      <c r="E74" t="str">
        <f>IF(A74="","",SUMIFS('PR-BOM'!$D$3:$D1001,'PR-BOM'!$C$3:$C1001,A74)*C74)</f>
        <v/>
      </c>
      <c r="F74" t="e">
        <f ca="1">_xludf.IFNA(VLOOKUP(B74,'S-FG'!$B$3:$B1001,1,FALSE),"")</f>
        <v>#NAME?</v>
      </c>
      <c r="H74" t="str">
        <f ca="1">IFERROR(__xludf.DUMMYFUNCTION("""COMPUTED_VALUE"""),"PORT Signal PM Assy")</f>
        <v>PORT Signal PM Assy</v>
      </c>
      <c r="I74" t="str">
        <f ca="1">IFERROR(__xludf.DUMMYFUNCTION("""COMPUTED_VALUE"""),"10cm one sided JST crimped Dark Blue")</f>
        <v>10cm one sided JST crimped Dark Blue</v>
      </c>
      <c r="J74">
        <f ca="1">IFERROR(__xludf.DUMMYFUNCTION("""COMPUTED_VALUE"""),1)</f>
        <v>1</v>
      </c>
      <c r="K74" t="str">
        <f ca="1">IFERROR(__xludf.DUMMYFUNCTION("""COMPUTED_VALUE"""),"blank")</f>
        <v>blank</v>
      </c>
      <c r="L74">
        <f t="shared" ca="1" si="0"/>
        <v>0</v>
      </c>
      <c r="Q74" t="str">
        <f>IF(N74="","",SUMIFS('PR-BOM'!$D$3:$D1001,'PR-BOM'!$C$3:$C1001,N74))</f>
        <v/>
      </c>
      <c r="S74" t="str">
        <f ca="1">IFERROR(__xludf.DUMMYFUNCTION("""COMPUTED_VALUE"""),"10cm one sided JST crimped Orange")</f>
        <v>10cm one sided JST crimped Orange</v>
      </c>
      <c r="X74" t="e">
        <f ca="1"/>
        <v>#NAME?</v>
      </c>
      <c r="Y74" t="e">
        <f t="shared" ca="1" si="1"/>
        <v>#NAME?</v>
      </c>
      <c r="Z74" t="e">
        <f ca="1">IF(X74="","",SUMIFS(#REF!,RM!$C$4:$C991,X74))</f>
        <v>#NAME?</v>
      </c>
      <c r="AA74" t="e">
        <f ca="1">IF(X74="","",SUMIFS(#REF!,RM!$C$4:$C991,X74))</f>
        <v>#NAME?</v>
      </c>
      <c r="AB74" t="e">
        <f ca="1">IF(X74="","",SUMIFS(IRegback!$Y$2:$Y1001,IRegback!$X$2:$X1001,X74))</f>
        <v>#NAME?</v>
      </c>
      <c r="AC74" t="e">
        <f t="shared" ca="1" si="2"/>
        <v>#NAME?</v>
      </c>
      <c r="AD74" t="e">
        <f ca="1">IF(X74="","",VLOOKUP($X74,RM!$C$4:$G991,3,FALSE))</f>
        <v>#NAME?</v>
      </c>
      <c r="AE74" t="e">
        <f ca="1">IF(X74="","",VLOOKUP($X74,RM!$C$4:$G991,4,FALSE))</f>
        <v>#NAME?</v>
      </c>
      <c r="AF74" t="e">
        <f ca="1">IF(X74="","",VLOOKUP($X74,RM!$C$4:$G991,5,FALSE))</f>
        <v>#NAME?</v>
      </c>
      <c r="AH74" t="str">
        <f ca="1">IFERROR(__xludf.DUMMYFUNCTION("""COMPUTED_VALUE"""),"PORT_ESC Assy")</f>
        <v>PORT_ESC Assy</v>
      </c>
      <c r="AI74" t="str">
        <f ca="1">IFERROR(__xludf.DUMMYFUNCTION("""COMPUTED_VALUE"""),"Red 12AWG")</f>
        <v>Red 12AWG</v>
      </c>
      <c r="AJ74">
        <f ca="1">IFERROR(__xludf.DUMMYFUNCTION("""COMPUTED_VALUE"""),0.55)</f>
        <v>0.55000000000000004</v>
      </c>
      <c r="AK74" t="str">
        <f ca="1">IFERROR(__xludf.DUMMYFUNCTION("""COMPUTED_VALUE"""),"blank")</f>
        <v>blank</v>
      </c>
      <c r="AL74" t="e">
        <f ca="1">_xludf.IFNA(VLOOKUP(AH74,'S-FG'!$B$3:$B1001,1,FALSE),"")</f>
        <v>#NAME?</v>
      </c>
      <c r="AM74" t="e">
        <f ca="1">IF(AI74="","",SUMIFS(#REF!,RM!$C$4:$C991,AI74))</f>
        <v>#REF!</v>
      </c>
    </row>
    <row r="75" spans="5:39">
      <c r="E75" t="str">
        <f>IF(A75="","",SUMIFS('PR-BOM'!$D$3:$D1001,'PR-BOM'!$C$3:$C1001,A75)*C75)</f>
        <v/>
      </c>
      <c r="F75" t="e">
        <f ca="1">_xludf.IFNA(VLOOKUP(B75,'S-FG'!$B$3:$B1001,1,FALSE),"")</f>
        <v>#NAME?</v>
      </c>
      <c r="H75" t="str">
        <f ca="1">IFERROR(__xludf.DUMMYFUNCTION("""COMPUTED_VALUE"""),"PORT Signal PM Assy")</f>
        <v>PORT Signal PM Assy</v>
      </c>
      <c r="I75" t="str">
        <f ca="1">IFERROR(__xludf.DUMMYFUNCTION("""COMPUTED_VALUE"""),"10cm one sided JST crimped Light Brown")</f>
        <v>10cm one sided JST crimped Light Brown</v>
      </c>
      <c r="J75">
        <f ca="1">IFERROR(__xludf.DUMMYFUNCTION("""COMPUTED_VALUE"""),1)</f>
        <v>1</v>
      </c>
      <c r="K75" t="str">
        <f ca="1">IFERROR(__xludf.DUMMYFUNCTION("""COMPUTED_VALUE"""),"blank")</f>
        <v>blank</v>
      </c>
      <c r="L75">
        <f t="shared" ca="1" si="0"/>
        <v>0</v>
      </c>
      <c r="Q75" t="str">
        <f>IF(N75="","",SUMIFS('PR-BOM'!$D$3:$D1001,'PR-BOM'!$C$3:$C1001,N75))</f>
        <v/>
      </c>
      <c r="S75" t="str">
        <f ca="1">IFERROR(__xludf.DUMMYFUNCTION("""COMPUTED_VALUE"""),"10cm one sided JST crimped Dark Blue")</f>
        <v>10cm one sided JST crimped Dark Blue</v>
      </c>
      <c r="X75" t="e">
        <f ca="1"/>
        <v>#NAME?</v>
      </c>
      <c r="Y75" t="e">
        <f t="shared" ca="1" si="1"/>
        <v>#NAME?</v>
      </c>
      <c r="Z75" t="e">
        <f ca="1">IF(X75="","",SUMIFS(#REF!,RM!$C$4:$C991,X75))</f>
        <v>#NAME?</v>
      </c>
      <c r="AA75" t="e">
        <f ca="1">IF(X75="","",SUMIFS(#REF!,RM!$C$4:$C991,X75))</f>
        <v>#NAME?</v>
      </c>
      <c r="AB75" t="e">
        <f ca="1">IF(X75="","",SUMIFS(IRegback!$Y$2:$Y1001,IRegback!$X$2:$X1001,X75))</f>
        <v>#NAME?</v>
      </c>
      <c r="AC75" t="e">
        <f t="shared" ca="1" si="2"/>
        <v>#NAME?</v>
      </c>
      <c r="AD75" t="e">
        <f ca="1">IF(X75="","",VLOOKUP($X75,RM!$C$4:$G991,3,FALSE))</f>
        <v>#NAME?</v>
      </c>
      <c r="AE75" t="e">
        <f ca="1">IF(X75="","",VLOOKUP($X75,RM!$C$4:$G991,4,FALSE))</f>
        <v>#NAME?</v>
      </c>
      <c r="AF75" t="e">
        <f ca="1">IF(X75="","",VLOOKUP($X75,RM!$C$4:$G991,5,FALSE))</f>
        <v>#NAME?</v>
      </c>
      <c r="AH75" t="str">
        <f ca="1">IFERROR(__xludf.DUMMYFUNCTION("""COMPUTED_VALUE"""),"PORT_ESC Assy")</f>
        <v>PORT_ESC Assy</v>
      </c>
      <c r="AI75" t="str">
        <f ca="1">IFERROR(__xludf.DUMMYFUNCTION("""COMPUTED_VALUE"""),"Ferrite Core")</f>
        <v>Ferrite Core</v>
      </c>
      <c r="AJ75">
        <f ca="1">IFERROR(__xludf.DUMMYFUNCTION("""COMPUTED_VALUE"""),1)</f>
        <v>1</v>
      </c>
      <c r="AK75" t="str">
        <f ca="1">IFERROR(__xludf.DUMMYFUNCTION("""COMPUTED_VALUE"""),"CF199T1306C")</f>
        <v>CF199T1306C</v>
      </c>
      <c r="AL75" t="e">
        <f ca="1">_xludf.IFNA(VLOOKUP(AH75,'S-FG'!$B$3:$B1001,1,FALSE),"")</f>
        <v>#NAME?</v>
      </c>
      <c r="AM75" t="e">
        <f ca="1">IF(AI75="","",SUMIFS(#REF!,RM!$C$4:$C991,AI75))</f>
        <v>#REF!</v>
      </c>
    </row>
    <row r="76" spans="5:39">
      <c r="E76" t="str">
        <f>IF(A76="","",SUMIFS('PR-BOM'!$D$3:$D1001,'PR-BOM'!$C$3:$C1001,A76)*C76)</f>
        <v/>
      </c>
      <c r="F76" t="e">
        <f ca="1">_xludf.IFNA(VLOOKUP(B76,'S-FG'!$B$3:$B1001,1,FALSE),"")</f>
        <v>#NAME?</v>
      </c>
      <c r="H76" t="str">
        <f ca="1">IFERROR(__xludf.DUMMYFUNCTION("""COMPUTED_VALUE"""),"PORT Signal PM Assy")</f>
        <v>PORT Signal PM Assy</v>
      </c>
      <c r="I76" t="str">
        <f ca="1">IFERROR(__xludf.DUMMYFUNCTION("""COMPUTED_VALUE"""),"10cm one sided JST crimped Dark Brown")</f>
        <v>10cm one sided JST crimped Dark Brown</v>
      </c>
      <c r="J76">
        <f ca="1">IFERROR(__xludf.DUMMYFUNCTION("""COMPUTED_VALUE"""),1)</f>
        <v>1</v>
      </c>
      <c r="K76" t="str">
        <f ca="1">IFERROR(__xludf.DUMMYFUNCTION("""COMPUTED_VALUE"""),"blank")</f>
        <v>blank</v>
      </c>
      <c r="L76">
        <f t="shared" ca="1" si="0"/>
        <v>0</v>
      </c>
      <c r="Q76" t="str">
        <f>IF(N76="","",SUMIFS('PR-BOM'!$D$3:$D1001,'PR-BOM'!$C$3:$C1001,N76))</f>
        <v/>
      </c>
      <c r="S76" t="str">
        <f ca="1">IFERROR(__xludf.DUMMYFUNCTION("""COMPUTED_VALUE"""),"10cm one sided JST crimped Light Brown")</f>
        <v>10cm one sided JST crimped Light Brown</v>
      </c>
      <c r="X76" t="e">
        <f ca="1"/>
        <v>#NAME?</v>
      </c>
      <c r="Y76" t="e">
        <f t="shared" ca="1" si="1"/>
        <v>#NAME?</v>
      </c>
      <c r="Z76" t="e">
        <f ca="1">IF(X76="","",SUMIFS(#REF!,RM!$C$4:$C991,X76))</f>
        <v>#NAME?</v>
      </c>
      <c r="AA76" t="e">
        <f ca="1">IF(X76="","",SUMIFS(#REF!,RM!$C$4:$C991,X76))</f>
        <v>#NAME?</v>
      </c>
      <c r="AB76" t="e">
        <f ca="1">IF(X76="","",SUMIFS(IRegback!$Y$2:$Y1001,IRegback!$X$2:$X1001,X76))</f>
        <v>#NAME?</v>
      </c>
      <c r="AC76" t="e">
        <f t="shared" ca="1" si="2"/>
        <v>#NAME?</v>
      </c>
      <c r="AD76" t="e">
        <f ca="1">IF(X76="","",VLOOKUP($X76,RM!$C$4:$G991,3,FALSE))</f>
        <v>#NAME?</v>
      </c>
      <c r="AE76" t="e">
        <f ca="1">IF(X76="","",VLOOKUP($X76,RM!$C$4:$G991,4,FALSE))</f>
        <v>#NAME?</v>
      </c>
      <c r="AF76" t="e">
        <f ca="1">IF(X76="","",VLOOKUP($X76,RM!$C$4:$G991,5,FALSE))</f>
        <v>#NAME?</v>
      </c>
      <c r="AH76" t="str">
        <f ca="1">IFERROR(__xludf.DUMMYFUNCTION("""COMPUTED_VALUE"""),"PORT_ESC Assy")</f>
        <v>PORT_ESC Assy</v>
      </c>
      <c r="AI76" t="str">
        <f ca="1">IFERROR(__xludf.DUMMYFUNCTION("""COMPUTED_VALUE"""),"16AWG Lead")</f>
        <v>16AWG Lead</v>
      </c>
      <c r="AJ76">
        <f ca="1">IFERROR(__xludf.DUMMYFUNCTION("""COMPUTED_VALUE"""),5)</f>
        <v>5</v>
      </c>
      <c r="AK76" t="str">
        <f ca="1">IFERROR(__xludf.DUMMYFUNCTION("""COMPUTED_VALUE"""),"blank")</f>
        <v>blank</v>
      </c>
      <c r="AL76" t="e">
        <f ca="1">_xludf.IFNA(VLOOKUP(AH76,'S-FG'!$B$3:$B1001,1,FALSE),"")</f>
        <v>#NAME?</v>
      </c>
      <c r="AM76" t="e">
        <f ca="1">IF(AI76="","",SUMIFS(#REF!,RM!$C$4:$C991,AI76))</f>
        <v>#REF!</v>
      </c>
    </row>
    <row r="77" spans="5:39">
      <c r="E77" t="str">
        <f>IF(A77="","",SUMIFS('PR-BOM'!$D$3:$D1001,'PR-BOM'!$C$3:$C1001,A77)*C77)</f>
        <v/>
      </c>
      <c r="F77" t="e">
        <f ca="1">_xludf.IFNA(VLOOKUP(B77,'S-FG'!$B$3:$B1001,1,FALSE),"")</f>
        <v>#NAME?</v>
      </c>
      <c r="H77" t="str">
        <f ca="1">IFERROR(__xludf.DUMMYFUNCTION("""COMPUTED_VALUE"""),"PORT Signal PM Assy")</f>
        <v>PORT Signal PM Assy</v>
      </c>
      <c r="I77" t="str">
        <f ca="1">IFERROR(__xludf.DUMMYFUNCTION("""COMPUTED_VALUE"""),"10cm one sided JST crimped White with Red strip")</f>
        <v>10cm one sided JST crimped White with Red strip</v>
      </c>
      <c r="J77">
        <f ca="1">IFERROR(__xludf.DUMMYFUNCTION("""COMPUTED_VALUE"""),1)</f>
        <v>1</v>
      </c>
      <c r="K77" t="str">
        <f ca="1">IFERROR(__xludf.DUMMYFUNCTION("""COMPUTED_VALUE"""),"blank")</f>
        <v>blank</v>
      </c>
      <c r="L77">
        <f t="shared" ca="1" si="0"/>
        <v>0</v>
      </c>
      <c r="Q77" t="str">
        <f>IF(N77="","",SUMIFS('PR-BOM'!$D$3:$D1001,'PR-BOM'!$C$3:$C1001,N77))</f>
        <v/>
      </c>
      <c r="S77" t="str">
        <f ca="1">IFERROR(__xludf.DUMMYFUNCTION("""COMPUTED_VALUE"""),"10cm one sided JST crimped Dark Brown")</f>
        <v>10cm one sided JST crimped Dark Brown</v>
      </c>
      <c r="X77" t="e">
        <f ca="1"/>
        <v>#NAME?</v>
      </c>
      <c r="Y77" t="e">
        <f t="shared" ca="1" si="1"/>
        <v>#NAME?</v>
      </c>
      <c r="Z77" t="e">
        <f ca="1">IF(X77="","",SUMIFS(#REF!,RM!$C$4:$C991,X77))</f>
        <v>#NAME?</v>
      </c>
      <c r="AA77" t="e">
        <f ca="1">IF(X77="","",SUMIFS(#REF!,RM!$C$4:$C991,X77))</f>
        <v>#NAME?</v>
      </c>
      <c r="AB77" t="e">
        <f ca="1">IF(X77="","",SUMIFS(IRegback!$Y$2:$Y1001,IRegback!$X$2:$X1001,X77))</f>
        <v>#NAME?</v>
      </c>
      <c r="AC77" t="e">
        <f t="shared" ca="1" si="2"/>
        <v>#NAME?</v>
      </c>
      <c r="AD77" t="e">
        <f ca="1">IF(X77="","",VLOOKUP($X77,RM!$C$4:$G991,3,FALSE))</f>
        <v>#NAME?</v>
      </c>
      <c r="AE77" t="e">
        <f ca="1">IF(X77="","",VLOOKUP($X77,RM!$C$4:$G991,4,FALSE))</f>
        <v>#NAME?</v>
      </c>
      <c r="AF77" t="e">
        <f ca="1">IF(X77="","",VLOOKUP($X77,RM!$C$4:$G991,5,FALSE))</f>
        <v>#NAME?</v>
      </c>
      <c r="AH77" t="str">
        <f ca="1">IFERROR(__xludf.DUMMYFUNCTION("""COMPUTED_VALUE"""),"PORT_ESC Assy")</f>
        <v>PORT_ESC Assy</v>
      </c>
      <c r="AI77" t="str">
        <f ca="1">IFERROR(__xludf.DUMMYFUNCTION("""COMPUTED_VALUE"""),"Heatshrink Tube 9:3")</f>
        <v>Heatshrink Tube 9:3</v>
      </c>
      <c r="AJ77">
        <f ca="1">IFERROR(__xludf.DUMMYFUNCTION("""COMPUTED_VALUE"""),0.05)</f>
        <v>0.05</v>
      </c>
      <c r="AK77" t="str">
        <f ca="1">IFERROR(__xludf.DUMMYFUNCTION("""COMPUTED_VALUE"""),"blank")</f>
        <v>blank</v>
      </c>
      <c r="AL77" t="e">
        <f ca="1">_xludf.IFNA(VLOOKUP(AH77,'S-FG'!$B$3:$B1001,1,FALSE),"")</f>
        <v>#NAME?</v>
      </c>
      <c r="AM77" t="e">
        <f ca="1">IF(AI77="","",SUMIFS(#REF!,RM!$C$4:$C991,AI77))</f>
        <v>#REF!</v>
      </c>
    </row>
    <row r="78" spans="5:39">
      <c r="E78" t="str">
        <f>IF(A78="","",SUMIFS('PR-BOM'!$D$3:$D1001,'PR-BOM'!$C$3:$C1001,A78)*C78)</f>
        <v/>
      </c>
      <c r="F78" t="e">
        <f ca="1">_xludf.IFNA(VLOOKUP(B78,'S-FG'!$B$3:$B1001,1,FALSE),"")</f>
        <v>#NAME?</v>
      </c>
      <c r="H78" t="str">
        <f ca="1">IFERROR(__xludf.DUMMYFUNCTION("""COMPUTED_VALUE"""),"PORT Signal PM Assy")</f>
        <v>PORT Signal PM Assy</v>
      </c>
      <c r="I78" t="str">
        <f ca="1">IFERROR(__xludf.DUMMYFUNCTION("""COMPUTED_VALUE"""),"10cm one sided JST crimped White with black strip")</f>
        <v>10cm one sided JST crimped White with black strip</v>
      </c>
      <c r="J78">
        <f ca="1">IFERROR(__xludf.DUMMYFUNCTION("""COMPUTED_VALUE"""),1)</f>
        <v>1</v>
      </c>
      <c r="K78" t="str">
        <f ca="1">IFERROR(__xludf.DUMMYFUNCTION("""COMPUTED_VALUE"""),"blank")</f>
        <v>blank</v>
      </c>
      <c r="L78">
        <f t="shared" ca="1" si="0"/>
        <v>0</v>
      </c>
      <c r="Q78" t="str">
        <f>IF(N78="","",SUMIFS('PR-BOM'!$D$3:$D1001,'PR-BOM'!$C$3:$C1001,N78))</f>
        <v/>
      </c>
      <c r="S78" t="str">
        <f ca="1">IFERROR(__xludf.DUMMYFUNCTION("""COMPUTED_VALUE"""),"10cm one sided JST crimped White with Red strip")</f>
        <v>10cm one sided JST crimped White with Red strip</v>
      </c>
      <c r="X78" t="e">
        <f ca="1"/>
        <v>#NAME?</v>
      </c>
      <c r="Y78" t="e">
        <f t="shared" ca="1" si="1"/>
        <v>#NAME?</v>
      </c>
      <c r="Z78" t="e">
        <f ca="1">IF(X78="","",SUMIFS(#REF!,RM!$C$4:$C991,X78))</f>
        <v>#NAME?</v>
      </c>
      <c r="AA78" t="e">
        <f ca="1">IF(X78="","",SUMIFS(#REF!,RM!$C$4:$C991,X78))</f>
        <v>#NAME?</v>
      </c>
      <c r="AB78" t="e">
        <f ca="1">IF(X78="","",SUMIFS(IRegback!$Y$2:$Y1001,IRegback!$X$2:$X1001,X78))</f>
        <v>#NAME?</v>
      </c>
      <c r="AC78" t="e">
        <f t="shared" ca="1" si="2"/>
        <v>#NAME?</v>
      </c>
      <c r="AD78" t="e">
        <f ca="1">IF(X78="","",VLOOKUP($X78,RM!$C$4:$G991,3,FALSE))</f>
        <v>#NAME?</v>
      </c>
      <c r="AE78" t="e">
        <f ca="1">IF(X78="","",VLOOKUP($X78,RM!$C$4:$G991,4,FALSE))</f>
        <v>#NAME?</v>
      </c>
      <c r="AF78" t="e">
        <f ca="1">IF(X78="","",VLOOKUP($X78,RM!$C$4:$G991,5,FALSE))</f>
        <v>#NAME?</v>
      </c>
      <c r="AH78" t="str">
        <f ca="1">IFERROR(__xludf.DUMMYFUNCTION("""COMPUTED_VALUE"""),"PORT_ESC Assy")</f>
        <v>PORT_ESC Assy</v>
      </c>
      <c r="AI78" t="str">
        <f ca="1">IFERROR(__xludf.DUMMYFUNCTION("""COMPUTED_VALUE"""),"HeatShrink Tube 4.8/1.2")</f>
        <v>HeatShrink Tube 4.8/1.2</v>
      </c>
      <c r="AJ78">
        <f ca="1">IFERROR(__xludf.DUMMYFUNCTION("""COMPUTED_VALUE"""),0.05)</f>
        <v>0.05</v>
      </c>
      <c r="AK78" t="str">
        <f ca="1">IFERROR(__xludf.DUMMYFUNCTION("""COMPUTED_VALUE"""),"blank")</f>
        <v>blank</v>
      </c>
      <c r="AL78" t="e">
        <f ca="1">_xludf.IFNA(VLOOKUP(AH78,'S-FG'!$B$3:$B1001,1,FALSE),"")</f>
        <v>#NAME?</v>
      </c>
      <c r="AM78" t="e">
        <f ca="1">IF(AI78="","",SUMIFS(#REF!,RM!$C$4:$C991,AI78))</f>
        <v>#REF!</v>
      </c>
    </row>
    <row r="79" spans="5:39">
      <c r="E79" t="str">
        <f>IF(A79="","",SUMIFS('PR-BOM'!$D$3:$D1001,'PR-BOM'!$C$3:$C1001,A79)*C79)</f>
        <v/>
      </c>
      <c r="F79" t="e">
        <f ca="1">_xludf.IFNA(VLOOKUP(B79,'S-FG'!$B$3:$B1001,1,FALSE),"")</f>
        <v>#NAME?</v>
      </c>
      <c r="H79" t="str">
        <f ca="1">IFERROR(__xludf.DUMMYFUNCTION("""COMPUTED_VALUE"""),"PORT Signal PM Assy")</f>
        <v>PORT Signal PM Assy</v>
      </c>
      <c r="I79" t="str">
        <f ca="1">IFERROR(__xludf.DUMMYFUNCTION("""COMPUTED_VALUE"""),"10cm one sided JST crimped White")</f>
        <v>10cm one sided JST crimped White</v>
      </c>
      <c r="J79">
        <f ca="1">IFERROR(__xludf.DUMMYFUNCTION("""COMPUTED_VALUE"""),1)</f>
        <v>1</v>
      </c>
      <c r="K79" t="str">
        <f ca="1">IFERROR(__xludf.DUMMYFUNCTION("""COMPUTED_VALUE"""),"blank")</f>
        <v>blank</v>
      </c>
      <c r="L79">
        <f t="shared" ca="1" si="0"/>
        <v>0</v>
      </c>
      <c r="Q79" t="str">
        <f>IF(N79="","",SUMIFS('PR-BOM'!$D$3:$D1001,'PR-BOM'!$C$3:$C1001,N79))</f>
        <v/>
      </c>
      <c r="S79" t="str">
        <f ca="1">IFERROR(__xludf.DUMMYFUNCTION("""COMPUTED_VALUE"""),"10cm one sided JST crimped White with black strip")</f>
        <v>10cm one sided JST crimped White with black strip</v>
      </c>
      <c r="X79" t="e">
        <f ca="1"/>
        <v>#NAME?</v>
      </c>
      <c r="Y79" t="e">
        <f t="shared" ca="1" si="1"/>
        <v>#NAME?</v>
      </c>
      <c r="Z79" t="e">
        <f ca="1">IF(X79="","",SUMIFS(#REF!,RM!$C$4:$C991,X79))</f>
        <v>#NAME?</v>
      </c>
      <c r="AA79" t="e">
        <f ca="1">IF(X79="","",SUMIFS(#REF!,RM!$C$4:$C991,X79))</f>
        <v>#NAME?</v>
      </c>
      <c r="AB79" t="e">
        <f ca="1">IF(X79="","",SUMIFS(IRegback!$Y$2:$Y1001,IRegback!$X$2:$X1001,X79))</f>
        <v>#NAME?</v>
      </c>
      <c r="AC79" t="e">
        <f t="shared" ca="1" si="2"/>
        <v>#NAME?</v>
      </c>
      <c r="AD79" t="e">
        <f ca="1">IF(X79="","",VLOOKUP($X79,RM!$C$4:$G991,3,FALSE))</f>
        <v>#NAME?</v>
      </c>
      <c r="AE79" t="e">
        <f ca="1">IF(X79="","",VLOOKUP($X79,RM!$C$4:$G991,4,FALSE))</f>
        <v>#NAME?</v>
      </c>
      <c r="AF79" t="e">
        <f ca="1">IF(X79="","",VLOOKUP($X79,RM!$C$4:$G991,5,FALSE))</f>
        <v>#NAME?</v>
      </c>
      <c r="AH79" t="str">
        <f ca="1">IFERROR(__xludf.DUMMYFUNCTION("""COMPUTED_VALUE"""),"PORT_ESC Assy")</f>
        <v>PORT_ESC Assy</v>
      </c>
      <c r="AI79" t="str">
        <f ca="1">IFERROR(__xludf.DUMMYFUNCTION("""COMPUTED_VALUE"""),"HV130 ESC")</f>
        <v>HV130 ESC</v>
      </c>
      <c r="AJ79">
        <f ca="1">IFERROR(__xludf.DUMMYFUNCTION("""COMPUTED_VALUE"""),1)</f>
        <v>1</v>
      </c>
      <c r="AK79" t="str">
        <f ca="1">IFERROR(__xludf.DUMMYFUNCTION("""COMPUTED_VALUE"""),"blank")</f>
        <v>blank</v>
      </c>
      <c r="AL79" t="e">
        <f ca="1">_xludf.IFNA(VLOOKUP(AH79,'S-FG'!$B$3:$B1001,1,FALSE),"")</f>
        <v>#NAME?</v>
      </c>
      <c r="AM79" t="e">
        <f ca="1">IF(AI79="","",SUMIFS(#REF!,RM!$C$4:$C991,AI79))</f>
        <v>#REF!</v>
      </c>
    </row>
    <row r="80" spans="5:39">
      <c r="E80" t="str">
        <f>IF(A80="","",SUMIFS('PR-BOM'!$D$3:$D1001,'PR-BOM'!$C$3:$C1001,A80)*C80)</f>
        <v/>
      </c>
      <c r="F80" t="e">
        <f ca="1">_xludf.IFNA(VLOOKUP(B80,'S-FG'!$B$3:$B1001,1,FALSE),"")</f>
        <v>#NAME?</v>
      </c>
      <c r="H80" t="str">
        <f ca="1">IFERROR(__xludf.DUMMYFUNCTION("""COMPUTED_VALUE"""),"PORT Signal PM Assy")</f>
        <v>PORT Signal PM Assy</v>
      </c>
      <c r="I80" t="str">
        <f ca="1">IFERROR(__xludf.DUMMYFUNCTION("""COMPUTED_VALUE"""),"10cm one sided JST crimped Dark Parrot Green")</f>
        <v>10cm one sided JST crimped Dark Parrot Green</v>
      </c>
      <c r="J80">
        <f ca="1">IFERROR(__xludf.DUMMYFUNCTION("""COMPUTED_VALUE"""),1)</f>
        <v>1</v>
      </c>
      <c r="K80" t="str">
        <f ca="1">IFERROR(__xludf.DUMMYFUNCTION("""COMPUTED_VALUE"""),"blank")</f>
        <v>blank</v>
      </c>
      <c r="L80">
        <f t="shared" ca="1" si="0"/>
        <v>0</v>
      </c>
      <c r="Q80" t="str">
        <f>IF(N80="","",SUMIFS('PR-BOM'!$D$3:$D1001,'PR-BOM'!$C$3:$C1001,N80))</f>
        <v/>
      </c>
      <c r="S80" t="str">
        <f ca="1">IFERROR(__xludf.DUMMYFUNCTION("""COMPUTED_VALUE"""),"10cm one sided JST crimped White")</f>
        <v>10cm one sided JST crimped White</v>
      </c>
      <c r="X80" t="e">
        <f ca="1"/>
        <v>#NAME?</v>
      </c>
      <c r="Y80" t="e">
        <f t="shared" ca="1" si="1"/>
        <v>#NAME?</v>
      </c>
      <c r="Z80" t="e">
        <f ca="1">IF(X80="","",SUMIFS(#REF!,RM!$C$4:$C991,X80))</f>
        <v>#NAME?</v>
      </c>
      <c r="AA80" t="e">
        <f ca="1">IF(X80="","",SUMIFS(#REF!,RM!$C$4:$C991,X80))</f>
        <v>#NAME?</v>
      </c>
      <c r="AB80" t="e">
        <f ca="1">IF(X80="","",SUMIFS(IRegback!$Y$2:$Y1001,IRegback!$X$2:$X1001,X80))</f>
        <v>#NAME?</v>
      </c>
      <c r="AC80" t="e">
        <f t="shared" ca="1" si="2"/>
        <v>#NAME?</v>
      </c>
      <c r="AD80" t="e">
        <f ca="1">IF(X80="","",VLOOKUP($X80,RM!$C$4:$G991,3,FALSE))</f>
        <v>#NAME?</v>
      </c>
      <c r="AE80" t="e">
        <f ca="1">IF(X80="","",VLOOKUP($X80,RM!$C$4:$G991,4,FALSE))</f>
        <v>#NAME?</v>
      </c>
      <c r="AF80" t="e">
        <f ca="1">IF(X80="","",VLOOKUP($X80,RM!$C$4:$G991,5,FALSE))</f>
        <v>#NAME?</v>
      </c>
      <c r="AH80" t="str">
        <f ca="1">IFERROR(__xludf.DUMMYFUNCTION("""COMPUTED_VALUE"""),"STBD Signal PM Assy")</f>
        <v>STBD Signal PM Assy</v>
      </c>
      <c r="AI80" t="str">
        <f ca="1">IFERROR(__xludf.DUMMYFUNCTION("""COMPUTED_VALUE"""),"15 pin JST-XH housing")</f>
        <v>15 pin JST-XH housing</v>
      </c>
      <c r="AJ80">
        <f ca="1">IFERROR(__xludf.DUMMYFUNCTION("""COMPUTED_VALUE"""),1)</f>
        <v>1</v>
      </c>
      <c r="AK80" t="str">
        <f ca="1">IFERROR(__xludf.DUMMYFUNCTION("""COMPUTED_VALUE"""),"blank")</f>
        <v>blank</v>
      </c>
      <c r="AL80" t="e">
        <f ca="1">_xludf.IFNA(VLOOKUP(AH80,'S-FG'!$B$3:$B1001,1,FALSE),"")</f>
        <v>#NAME?</v>
      </c>
      <c r="AM80" t="e">
        <f ca="1">IF(AI80="","",SUMIFS(#REF!,RM!$C$4:$C991,AI80))</f>
        <v>#REF!</v>
      </c>
    </row>
    <row r="81" spans="5:39">
      <c r="E81" t="str">
        <f>IF(A81="","",SUMIFS('PR-BOM'!$D$3:$D1001,'PR-BOM'!$C$3:$C1001,A81)*C81)</f>
        <v/>
      </c>
      <c r="F81" t="e">
        <f ca="1">_xludf.IFNA(VLOOKUP(B81,'S-FG'!$B$3:$B1001,1,FALSE),"")</f>
        <v>#NAME?</v>
      </c>
      <c r="H81" t="str">
        <f ca="1">IFERROR(__xludf.DUMMYFUNCTION("""COMPUTED_VALUE"""),"PORT Signal PM Assy")</f>
        <v>PORT Signal PM Assy</v>
      </c>
      <c r="I81" t="str">
        <f ca="1">IFERROR(__xludf.DUMMYFUNCTION("""COMPUTED_VALUE"""),"SY21-15 pin panel mount")</f>
        <v>SY21-15 pin panel mount</v>
      </c>
      <c r="J81">
        <f ca="1">IFERROR(__xludf.DUMMYFUNCTION("""COMPUTED_VALUE"""),1)</f>
        <v>1</v>
      </c>
      <c r="K81" t="str">
        <f ca="1">IFERROR(__xludf.DUMMYFUNCTION("""COMPUTED_VALUE"""),"blank")</f>
        <v>blank</v>
      </c>
      <c r="L81">
        <f t="shared" ca="1" si="0"/>
        <v>0</v>
      </c>
      <c r="Q81" t="str">
        <f>IF(N81="","",SUMIFS('PR-BOM'!$D$3:$D1001,'PR-BOM'!$C$3:$C1001,N81))</f>
        <v/>
      </c>
      <c r="S81" t="str">
        <f ca="1">IFERROR(__xludf.DUMMYFUNCTION("""COMPUTED_VALUE"""),"10cm one sided JST crimped Dark Parrot Green")</f>
        <v>10cm one sided JST crimped Dark Parrot Green</v>
      </c>
      <c r="X81" t="e">
        <f ca="1"/>
        <v>#NAME?</v>
      </c>
      <c r="Y81" t="e">
        <f t="shared" ca="1" si="1"/>
        <v>#NAME?</v>
      </c>
      <c r="Z81" t="e">
        <f ca="1">IF(X81="","",SUMIFS(#REF!,RM!$C$4:$C991,X81))</f>
        <v>#NAME?</v>
      </c>
      <c r="AA81" t="e">
        <f ca="1">IF(X81="","",SUMIFS(#REF!,RM!$C$4:$C991,X81))</f>
        <v>#NAME?</v>
      </c>
      <c r="AB81" t="e">
        <f ca="1">IF(X81="","",SUMIFS(IRegback!$Y$2:$Y1001,IRegback!$X$2:$X1001,X81))</f>
        <v>#NAME?</v>
      </c>
      <c r="AC81" t="e">
        <f t="shared" ca="1" si="2"/>
        <v>#NAME?</v>
      </c>
      <c r="AD81" t="e">
        <f ca="1">IF(X81="","",VLOOKUP($X81,RM!$C$4:$G991,3,FALSE))</f>
        <v>#NAME?</v>
      </c>
      <c r="AE81" t="e">
        <f ca="1">IF(X81="","",VLOOKUP($X81,RM!$C$4:$G991,4,FALSE))</f>
        <v>#NAME?</v>
      </c>
      <c r="AF81" t="e">
        <f ca="1">IF(X81="","",VLOOKUP($X81,RM!$C$4:$G991,5,FALSE))</f>
        <v>#NAME?</v>
      </c>
      <c r="AH81" t="str">
        <f ca="1">IFERROR(__xludf.DUMMYFUNCTION("""COMPUTED_VALUE"""),"STBD Signal PM Assy")</f>
        <v>STBD Signal PM Assy</v>
      </c>
      <c r="AI81" t="str">
        <f ca="1">IFERROR(__xludf.DUMMYFUNCTION("""COMPUTED_VALUE"""),"10cm one sided JST crimped Black")</f>
        <v>10cm one sided JST crimped Black</v>
      </c>
      <c r="AJ81">
        <f ca="1">IFERROR(__xludf.DUMMYFUNCTION("""COMPUTED_VALUE"""),1)</f>
        <v>1</v>
      </c>
      <c r="AK81" t="str">
        <f ca="1">IFERROR(__xludf.DUMMYFUNCTION("""COMPUTED_VALUE"""),"blank")</f>
        <v>blank</v>
      </c>
      <c r="AL81" t="e">
        <f ca="1">_xludf.IFNA(VLOOKUP(AH81,'S-FG'!$B$3:$B1001,1,FALSE),"")</f>
        <v>#NAME?</v>
      </c>
      <c r="AM81" t="e">
        <f ca="1">IF(AI81="","",SUMIFS(#REF!,RM!$C$4:$C991,AI81))</f>
        <v>#REF!</v>
      </c>
    </row>
    <row r="82" spans="5:39">
      <c r="E82" t="str">
        <f>IF(A82="","",SUMIFS('PR-BOM'!$D$3:$D1001,'PR-BOM'!$C$3:$C1001,A82)*C82)</f>
        <v/>
      </c>
      <c r="F82" t="e">
        <f ca="1">_xludf.IFNA(VLOOKUP(B82,'S-FG'!$B$3:$B1001,1,FALSE),"")</f>
        <v>#NAME?</v>
      </c>
      <c r="H82" t="str">
        <f ca="1">IFERROR(__xludf.DUMMYFUNCTION("""COMPUTED_VALUE"""),"PORT Signal PM Assy")</f>
        <v>PORT Signal PM Assy</v>
      </c>
      <c r="I82" t="str">
        <f ca="1">IFERROR(__xludf.DUMMYFUNCTION("""COMPUTED_VALUE"""),"HeatShrink Tube 1.5mm/1.6mm")</f>
        <v>HeatShrink Tube 1.5mm/1.6mm</v>
      </c>
      <c r="J82">
        <f ca="1">IFERROR(__xludf.DUMMYFUNCTION("""COMPUTED_VALUE"""),0.15)</f>
        <v>0.15</v>
      </c>
      <c r="L82">
        <f t="shared" ca="1" si="0"/>
        <v>0</v>
      </c>
      <c r="Q82" t="str">
        <f>IF(N82="","",SUMIFS('PR-BOM'!$D$3:$D1001,'PR-BOM'!$C$3:$C1001,N82))</f>
        <v/>
      </c>
      <c r="S82" t="str">
        <f ca="1">IFERROR(__xludf.DUMMYFUNCTION("""COMPUTED_VALUE"""),"SY21-15 pin panel mount")</f>
        <v>SY21-15 pin panel mount</v>
      </c>
      <c r="X82" t="e">
        <f ca="1"/>
        <v>#NAME?</v>
      </c>
      <c r="Y82" t="e">
        <f t="shared" ca="1" si="1"/>
        <v>#NAME?</v>
      </c>
      <c r="Z82" t="e">
        <f ca="1">IF(X82="","",SUMIFS(#REF!,RM!$C$4:$C991,X82))</f>
        <v>#NAME?</v>
      </c>
      <c r="AA82" t="e">
        <f ca="1">IF(X82="","",SUMIFS(#REF!,RM!$C$4:$C991,X82))</f>
        <v>#NAME?</v>
      </c>
      <c r="AB82" t="e">
        <f ca="1">IF(X82="","",SUMIFS(IRegback!$Y$2:$Y1001,IRegback!$X$2:$X1001,X82))</f>
        <v>#NAME?</v>
      </c>
      <c r="AC82" t="e">
        <f t="shared" ca="1" si="2"/>
        <v>#NAME?</v>
      </c>
      <c r="AD82" t="e">
        <f ca="1">IF(X82="","",VLOOKUP($X82,RM!$C$4:$G991,3,FALSE))</f>
        <v>#NAME?</v>
      </c>
      <c r="AE82" t="e">
        <f ca="1">IF(X82="","",VLOOKUP($X82,RM!$C$4:$G991,4,FALSE))</f>
        <v>#NAME?</v>
      </c>
      <c r="AF82" t="e">
        <f ca="1">IF(X82="","",VLOOKUP($X82,RM!$C$4:$G991,5,FALSE))</f>
        <v>#NAME?</v>
      </c>
      <c r="AH82" t="str">
        <f ca="1">IFERROR(__xludf.DUMMYFUNCTION("""COMPUTED_VALUE"""),"STBD Signal PM Assy")</f>
        <v>STBD Signal PM Assy</v>
      </c>
      <c r="AI82" t="str">
        <f ca="1">IFERROR(__xludf.DUMMYFUNCTION("""COMPUTED_VALUE"""),"10cm one sided JST crimped Green")</f>
        <v>10cm one sided JST crimped Green</v>
      </c>
      <c r="AJ82">
        <f ca="1">IFERROR(__xludf.DUMMYFUNCTION("""COMPUTED_VALUE"""),1)</f>
        <v>1</v>
      </c>
      <c r="AK82" t="str">
        <f ca="1">IFERROR(__xludf.DUMMYFUNCTION("""COMPUTED_VALUE"""),"blank")</f>
        <v>blank</v>
      </c>
      <c r="AL82" t="e">
        <f ca="1">_xludf.IFNA(VLOOKUP(AH82,'S-FG'!$B$3:$B1001,1,FALSE),"")</f>
        <v>#NAME?</v>
      </c>
      <c r="AM82" t="e">
        <f ca="1">IF(AI82="","",SUMIFS(#REF!,RM!$C$4:$C991,AI82))</f>
        <v>#REF!</v>
      </c>
    </row>
    <row r="83" spans="5:39">
      <c r="E83" t="str">
        <f>IF(A83="","",SUMIFS('PR-BOM'!$D$3:$D1001,'PR-BOM'!$C$3:$C1001,A83)*C83)</f>
        <v/>
      </c>
      <c r="F83" t="e">
        <f ca="1">_xludf.IFNA(VLOOKUP(B83,'S-FG'!$B$3:$B1001,1,FALSE),"")</f>
        <v>#NAME?</v>
      </c>
      <c r="H83" t="str">
        <f ca="1">IFERROR(__xludf.DUMMYFUNCTION("""COMPUTED_VALUE"""),"PORT Signal PM Assy")</f>
        <v>PORT Signal PM Assy</v>
      </c>
      <c r="I83" t="str">
        <f ca="1">IFERROR(__xludf.DUMMYFUNCTION("""COMPUTED_VALUE"""),"Teroson MS930")</f>
        <v>Teroson MS930</v>
      </c>
      <c r="J83">
        <f ca="1">IFERROR(__xludf.DUMMYFUNCTION("""COMPUTED_VALUE"""),2)</f>
        <v>2</v>
      </c>
      <c r="K83" t="str">
        <f ca="1">IFERROR(__xludf.DUMMYFUNCTION("""COMPUTED_VALUE"""),"blank")</f>
        <v>blank</v>
      </c>
      <c r="L83">
        <f t="shared" ca="1" si="0"/>
        <v>0</v>
      </c>
      <c r="Q83" t="str">
        <f>IF(N83="","",SUMIFS('PR-BOM'!$D$3:$D1001,'PR-BOM'!$C$3:$C1001,N83))</f>
        <v/>
      </c>
      <c r="S83" t="str">
        <f ca="1">IFERROR(__xludf.DUMMYFUNCTION("""COMPUTED_VALUE"""),"HeatShrink Tube 1.5mm/1.6mm")</f>
        <v>HeatShrink Tube 1.5mm/1.6mm</v>
      </c>
      <c r="X83" t="e">
        <f ca="1"/>
        <v>#NAME?</v>
      </c>
      <c r="Y83" t="e">
        <f t="shared" ca="1" si="1"/>
        <v>#NAME?</v>
      </c>
      <c r="Z83" t="e">
        <f ca="1">IF(X83="","",SUMIFS(#REF!,RM!$C$4:$C991,X83))</f>
        <v>#NAME?</v>
      </c>
      <c r="AA83" t="e">
        <f ca="1">IF(X83="","",SUMIFS(#REF!,RM!$C$4:$C991,X83))</f>
        <v>#NAME?</v>
      </c>
      <c r="AB83" t="e">
        <f ca="1">IF(X83="","",SUMIFS(IRegback!$Y$2:$Y1001,IRegback!$X$2:$X1001,X83))</f>
        <v>#NAME?</v>
      </c>
      <c r="AC83" t="e">
        <f t="shared" ca="1" si="2"/>
        <v>#NAME?</v>
      </c>
      <c r="AD83" t="e">
        <f ca="1">IF(X83="","",VLOOKUP($X83,RM!$C$4:$G991,3,FALSE))</f>
        <v>#NAME?</v>
      </c>
      <c r="AE83" t="e">
        <f ca="1">IF(X83="","",VLOOKUP($X83,RM!$C$4:$G991,4,FALSE))</f>
        <v>#NAME?</v>
      </c>
      <c r="AF83" t="e">
        <f ca="1">IF(X83="","",VLOOKUP($X83,RM!$C$4:$G991,5,FALSE))</f>
        <v>#NAME?</v>
      </c>
      <c r="AH83" t="str">
        <f ca="1">IFERROR(__xludf.DUMMYFUNCTION("""COMPUTED_VALUE"""),"STBD Signal PM Assy")</f>
        <v>STBD Signal PM Assy</v>
      </c>
      <c r="AI83" t="str">
        <f ca="1">IFERROR(__xludf.DUMMYFUNCTION("""COMPUTED_VALUE"""),"10cm one sided JST crimped Voilet")</f>
        <v>10cm one sided JST crimped Voilet</v>
      </c>
      <c r="AJ83">
        <f ca="1">IFERROR(__xludf.DUMMYFUNCTION("""COMPUTED_VALUE"""),1)</f>
        <v>1</v>
      </c>
      <c r="AK83" t="str">
        <f ca="1">IFERROR(__xludf.DUMMYFUNCTION("""COMPUTED_VALUE"""),"blank")</f>
        <v>blank</v>
      </c>
      <c r="AL83" t="e">
        <f ca="1">_xludf.IFNA(VLOOKUP(AH83,'S-FG'!$B$3:$B1001,1,FALSE),"")</f>
        <v>#NAME?</v>
      </c>
      <c r="AM83" t="e">
        <f ca="1">IF(AI83="","",SUMIFS(#REF!,RM!$C$4:$C991,AI83))</f>
        <v>#REF!</v>
      </c>
    </row>
    <row r="84" spans="5:39">
      <c r="E84" t="str">
        <f>IF(A84="","",SUMIFS('PR-BOM'!$D$3:$D1001,'PR-BOM'!$C$3:$C1001,A84)*C84)</f>
        <v/>
      </c>
      <c r="F84" t="e">
        <f ca="1">_xludf.IFNA(VLOOKUP(B84,'S-FG'!$B$3:$B1001,1,FALSE),"")</f>
        <v>#NAME?</v>
      </c>
      <c r="H84" t="str">
        <f ca="1">IFERROR(__xludf.DUMMYFUNCTION("""COMPUTED_VALUE"""),"PORT Signal PM Assy")</f>
        <v>PORT Signal PM Assy</v>
      </c>
      <c r="I84" t="str">
        <f ca="1">IFERROR(__xludf.DUMMYFUNCTION("""COMPUTED_VALUE"""),"Silicon RTV 734 Potting compound")</f>
        <v>Silicon RTV 734 Potting compound</v>
      </c>
      <c r="J84">
        <f ca="1">IFERROR(__xludf.DUMMYFUNCTION("""COMPUTED_VALUE"""),5)</f>
        <v>5</v>
      </c>
      <c r="K84" t="str">
        <f ca="1">IFERROR(__xludf.DUMMYFUNCTION("""COMPUTED_VALUE"""),"blank")</f>
        <v>blank</v>
      </c>
      <c r="L84">
        <f t="shared" ca="1" si="0"/>
        <v>0</v>
      </c>
      <c r="Q84" t="str">
        <f>IF(N84="","",SUMIFS('PR-BOM'!$D$3:$D1001,'PR-BOM'!$C$3:$C1001,N84))</f>
        <v/>
      </c>
      <c r="S84" t="str">
        <f ca="1">IFERROR(__xludf.DUMMYFUNCTION("""COMPUTED_VALUE"""),"Teroson MS930")</f>
        <v>Teroson MS930</v>
      </c>
      <c r="X84" t="e">
        <f ca="1"/>
        <v>#NAME?</v>
      </c>
      <c r="Y84" t="e">
        <f t="shared" ca="1" si="1"/>
        <v>#NAME?</v>
      </c>
      <c r="Z84" t="e">
        <f ca="1">IF(X84="","",SUMIFS(#REF!,RM!$C$4:$C991,X84))</f>
        <v>#NAME?</v>
      </c>
      <c r="AA84" t="e">
        <f ca="1">IF(X84="","",SUMIFS(#REF!,RM!$C$4:$C991,X84))</f>
        <v>#NAME?</v>
      </c>
      <c r="AB84" t="e">
        <f ca="1">IF(X84="","",SUMIFS(IRegback!$Y$2:$Y1001,IRegback!$X$2:$X1001,X84))</f>
        <v>#NAME?</v>
      </c>
      <c r="AC84" t="e">
        <f t="shared" ca="1" si="2"/>
        <v>#NAME?</v>
      </c>
      <c r="AD84" t="e">
        <f ca="1">IF(X84="","",VLOOKUP($X84,RM!$C$4:$G991,3,FALSE))</f>
        <v>#NAME?</v>
      </c>
      <c r="AE84" t="e">
        <f ca="1">IF(X84="","",VLOOKUP($X84,RM!$C$4:$G991,4,FALSE))</f>
        <v>#NAME?</v>
      </c>
      <c r="AF84" t="e">
        <f ca="1">IF(X84="","",VLOOKUP($X84,RM!$C$4:$G991,5,FALSE))</f>
        <v>#NAME?</v>
      </c>
      <c r="AH84" t="str">
        <f ca="1">IFERROR(__xludf.DUMMYFUNCTION("""COMPUTED_VALUE"""),"STBD Signal PM Assy")</f>
        <v>STBD Signal PM Assy</v>
      </c>
      <c r="AI84" t="str">
        <f ca="1">IFERROR(__xludf.DUMMYFUNCTION("""COMPUTED_VALUE"""),"10cm one sided JST crimped Yellow")</f>
        <v>10cm one sided JST crimped Yellow</v>
      </c>
      <c r="AJ84">
        <f ca="1">IFERROR(__xludf.DUMMYFUNCTION("""COMPUTED_VALUE"""),1)</f>
        <v>1</v>
      </c>
      <c r="AK84" t="str">
        <f ca="1">IFERROR(__xludf.DUMMYFUNCTION("""COMPUTED_VALUE"""),"blank")</f>
        <v>blank</v>
      </c>
      <c r="AL84" t="e">
        <f ca="1">_xludf.IFNA(VLOOKUP(AH84,'S-FG'!$B$3:$B1001,1,FALSE),"")</f>
        <v>#NAME?</v>
      </c>
      <c r="AM84" t="e">
        <f ca="1">IF(AI84="","",SUMIFS(#REF!,RM!$C$4:$C991,AI84))</f>
        <v>#REF!</v>
      </c>
    </row>
    <row r="85" spans="5:39">
      <c r="E85" t="str">
        <f>IF(A85="","",SUMIFS('PR-BOM'!$D$3:$D1001,'PR-BOM'!$C$3:$C1001,A85)*C85)</f>
        <v/>
      </c>
      <c r="F85" t="e">
        <f ca="1">_xludf.IFNA(VLOOKUP(B85,'S-FG'!$B$3:$B1001,1,FALSE),"")</f>
        <v>#NAME?</v>
      </c>
      <c r="H85" t="str">
        <f ca="1">IFERROR(__xludf.DUMMYFUNCTION("""COMPUTED_VALUE"""),"PORT Signal PM Assy")</f>
        <v>PORT Signal PM Assy</v>
      </c>
      <c r="I85" t="str">
        <f ca="1">IFERROR(__xludf.DUMMYFUNCTION("""COMPUTED_VALUE"""),"Lead wire 22AWG")</f>
        <v>Lead wire 22AWG</v>
      </c>
      <c r="J85">
        <f ca="1">IFERROR(__xludf.DUMMYFUNCTION("""COMPUTED_VALUE"""),5)</f>
        <v>5</v>
      </c>
      <c r="L85">
        <f t="shared" ca="1" si="0"/>
        <v>0</v>
      </c>
      <c r="Q85" t="str">
        <f>IF(N85="","",SUMIFS('PR-BOM'!$D$3:$D1001,'PR-BOM'!$C$3:$C1001,N85))</f>
        <v/>
      </c>
      <c r="S85" t="str">
        <f ca="1">IFERROR(__xludf.DUMMYFUNCTION("""COMPUTED_VALUE"""),"Silicon RTV 734 Potting compound")</f>
        <v>Silicon RTV 734 Potting compound</v>
      </c>
      <c r="X85" t="e">
        <f ca="1"/>
        <v>#NAME?</v>
      </c>
      <c r="Y85" t="e">
        <f t="shared" ca="1" si="1"/>
        <v>#NAME?</v>
      </c>
      <c r="Z85" t="e">
        <f ca="1">IF(X85="","",SUMIFS(#REF!,RM!$C$4:$C991,X85))</f>
        <v>#NAME?</v>
      </c>
      <c r="AA85" t="e">
        <f ca="1">IF(X85="","",SUMIFS(#REF!,RM!$C$4:$C991,X85))</f>
        <v>#NAME?</v>
      </c>
      <c r="AB85" t="e">
        <f ca="1">IF(X85="","",SUMIFS(IRegback!$Y$2:$Y1001,IRegback!$X$2:$X1001,X85))</f>
        <v>#NAME?</v>
      </c>
      <c r="AC85" t="e">
        <f t="shared" ca="1" si="2"/>
        <v>#NAME?</v>
      </c>
      <c r="AD85" t="e">
        <f ca="1">IF(X85="","",VLOOKUP($X85,RM!$C$4:$G991,3,FALSE))</f>
        <v>#NAME?</v>
      </c>
      <c r="AE85" t="e">
        <f ca="1">IF(X85="","",VLOOKUP($X85,RM!$C$4:$G991,4,FALSE))</f>
        <v>#NAME?</v>
      </c>
      <c r="AF85" t="e">
        <f ca="1">IF(X85="","",VLOOKUP($X85,RM!$C$4:$G991,5,FALSE))</f>
        <v>#NAME?</v>
      </c>
      <c r="AH85" t="str">
        <f ca="1">IFERROR(__xludf.DUMMYFUNCTION("""COMPUTED_VALUE"""),"STBD Signal PM Assy")</f>
        <v>STBD Signal PM Assy</v>
      </c>
      <c r="AI85" t="str">
        <f ca="1">IFERROR(__xludf.DUMMYFUNCTION("""COMPUTED_VALUE"""),"10cm one sided JST crimped Sky Blue")</f>
        <v>10cm one sided JST crimped Sky Blue</v>
      </c>
      <c r="AJ85">
        <f ca="1">IFERROR(__xludf.DUMMYFUNCTION("""COMPUTED_VALUE"""),1)</f>
        <v>1</v>
      </c>
      <c r="AK85" t="str">
        <f ca="1">IFERROR(__xludf.DUMMYFUNCTION("""COMPUTED_VALUE"""),"blank")</f>
        <v>blank</v>
      </c>
      <c r="AL85" t="e">
        <f ca="1">_xludf.IFNA(VLOOKUP(AH85,'S-FG'!$B$3:$B1001,1,FALSE),"")</f>
        <v>#NAME?</v>
      </c>
      <c r="AM85" t="e">
        <f ca="1">IF(AI85="","",SUMIFS(#REF!,RM!$C$4:$C991,AI85))</f>
        <v>#REF!</v>
      </c>
    </row>
    <row r="86" spans="5:39">
      <c r="E86" t="str">
        <f>IF(A86="","",SUMIFS('PR-BOM'!$D$3:$D1001,'PR-BOM'!$C$3:$C1001,A86)*C86)</f>
        <v/>
      </c>
      <c r="F86" t="e">
        <f ca="1">_xludf.IFNA(VLOOKUP(B86,'S-FG'!$B$3:$B1001,1,FALSE),"")</f>
        <v>#NAME?</v>
      </c>
      <c r="H86" t="str">
        <f ca="1">IFERROR(__xludf.DUMMYFUNCTION("""COMPUTED_VALUE"""),"PORT Signal CM Assy")</f>
        <v>PORT Signal CM Assy</v>
      </c>
      <c r="I86" t="str">
        <f ca="1">IFERROR(__xludf.DUMMYFUNCTION("""COMPUTED_VALUE"""),"2mm male bullet connector")</f>
        <v>2mm male bullet connector</v>
      </c>
      <c r="J86">
        <f ca="1">IFERROR(__xludf.DUMMYFUNCTION("""COMPUTED_VALUE"""),0)</f>
        <v>0</v>
      </c>
      <c r="K86" t="str">
        <f ca="1">IFERROR(__xludf.DUMMYFUNCTION("""COMPUTED_VALUE"""),"blank")</f>
        <v>blank</v>
      </c>
      <c r="L86">
        <f t="shared" ca="1" si="0"/>
        <v>0</v>
      </c>
      <c r="Q86" t="str">
        <f>IF(N86="","",SUMIFS('PR-BOM'!$D$3:$D1001,'PR-BOM'!$C$3:$C1001,N86))</f>
        <v/>
      </c>
      <c r="S86" t="str">
        <f ca="1">IFERROR(__xludf.DUMMYFUNCTION("""COMPUTED_VALUE"""),"Lead wire 22AWG")</f>
        <v>Lead wire 22AWG</v>
      </c>
      <c r="X86" t="e">
        <f ca="1"/>
        <v>#NAME?</v>
      </c>
      <c r="Y86" t="e">
        <f t="shared" ca="1" si="1"/>
        <v>#NAME?</v>
      </c>
      <c r="Z86" t="e">
        <f ca="1">IF(X86="","",SUMIFS(#REF!,RM!$C$4:$C991,X86))</f>
        <v>#NAME?</v>
      </c>
      <c r="AA86" t="e">
        <f ca="1">IF(X86="","",SUMIFS(#REF!,RM!$C$4:$C991,X86))</f>
        <v>#NAME?</v>
      </c>
      <c r="AB86" t="e">
        <f ca="1">IF(X86="","",SUMIFS(IRegback!$Y$2:$Y1001,IRegback!$X$2:$X1001,X86))</f>
        <v>#NAME?</v>
      </c>
      <c r="AC86" t="e">
        <f t="shared" ca="1" si="2"/>
        <v>#NAME?</v>
      </c>
      <c r="AD86" t="e">
        <f ca="1">IF(X86="","",VLOOKUP($X86,RM!$C$4:$G991,3,FALSE))</f>
        <v>#NAME?</v>
      </c>
      <c r="AE86" t="e">
        <f ca="1">IF(X86="","",VLOOKUP($X86,RM!$C$4:$G991,4,FALSE))</f>
        <v>#NAME?</v>
      </c>
      <c r="AF86" t="e">
        <f ca="1">IF(X86="","",VLOOKUP($X86,RM!$C$4:$G991,5,FALSE))</f>
        <v>#NAME?</v>
      </c>
      <c r="AH86" t="str">
        <f ca="1">IFERROR(__xludf.DUMMYFUNCTION("""COMPUTED_VALUE"""),"STBD Signal PM Assy")</f>
        <v>STBD Signal PM Assy</v>
      </c>
      <c r="AI86" t="str">
        <f ca="1">IFERROR(__xludf.DUMMYFUNCTION("""COMPUTED_VALUE"""),"10cm one sided JST crimped Pink")</f>
        <v>10cm one sided JST crimped Pink</v>
      </c>
      <c r="AJ86">
        <f ca="1">IFERROR(__xludf.DUMMYFUNCTION("""COMPUTED_VALUE"""),1)</f>
        <v>1</v>
      </c>
      <c r="AK86" t="str">
        <f ca="1">IFERROR(__xludf.DUMMYFUNCTION("""COMPUTED_VALUE"""),"blank")</f>
        <v>blank</v>
      </c>
      <c r="AL86" t="e">
        <f ca="1">_xludf.IFNA(VLOOKUP(AH86,'S-FG'!$B$3:$B1001,1,FALSE),"")</f>
        <v>#NAME?</v>
      </c>
      <c r="AM86" t="e">
        <f ca="1">IF(AI86="","",SUMIFS(#REF!,RM!$C$4:$C991,AI86))</f>
        <v>#REF!</v>
      </c>
    </row>
    <row r="87" spans="5:39">
      <c r="E87" t="str">
        <f>IF(A87="","",SUMIFS('PR-BOM'!$D$3:$D1001,'PR-BOM'!$C$3:$C1001,A87)*C87)</f>
        <v/>
      </c>
      <c r="F87" t="e">
        <f ca="1">_xludf.IFNA(VLOOKUP(B87,'S-FG'!$B$3:$B1001,1,FALSE),"")</f>
        <v>#NAME?</v>
      </c>
      <c r="H87" t="str">
        <f ca="1">IFERROR(__xludf.DUMMYFUNCTION("""COMPUTED_VALUE"""),"PORT Signal CM Assy")</f>
        <v>PORT Signal CM Assy</v>
      </c>
      <c r="I87" t="str">
        <f ca="1">IFERROR(__xludf.DUMMYFUNCTION("""COMPUTED_VALUE"""),"2mm Female Bullet connector")</f>
        <v>2mm Female Bullet connector</v>
      </c>
      <c r="J87">
        <f ca="1">IFERROR(__xludf.DUMMYFUNCTION("""COMPUTED_VALUE"""),0)</f>
        <v>0</v>
      </c>
      <c r="K87" t="str">
        <f ca="1">IFERROR(__xludf.DUMMYFUNCTION("""COMPUTED_VALUE"""),"blank")</f>
        <v>blank</v>
      </c>
      <c r="L87">
        <f t="shared" ca="1" si="0"/>
        <v>0</v>
      </c>
      <c r="Q87" t="str">
        <f>IF(N87="","",SUMIFS('PR-BOM'!$D$3:$D1001,'PR-BOM'!$C$3:$C1001,N87))</f>
        <v/>
      </c>
      <c r="S87" t="str">
        <f ca="1">IFERROR(__xludf.DUMMYFUNCTION("""COMPUTED_VALUE"""),"2mm male bullet connector")</f>
        <v>2mm male bullet connector</v>
      </c>
      <c r="X87" t="e">
        <f ca="1"/>
        <v>#NAME?</v>
      </c>
      <c r="Y87" t="e">
        <f t="shared" ca="1" si="1"/>
        <v>#NAME?</v>
      </c>
      <c r="Z87" t="e">
        <f ca="1">IF(X87="","",SUMIFS(#REF!,RM!$C$4:$C991,X87))</f>
        <v>#NAME?</v>
      </c>
      <c r="AA87" t="e">
        <f ca="1">IF(X87="","",SUMIFS(#REF!,RM!$C$4:$C991,X87))</f>
        <v>#NAME?</v>
      </c>
      <c r="AB87" t="e">
        <f ca="1">IF(X87="","",SUMIFS(IRegback!$Y$2:$Y1001,IRegback!$X$2:$X1001,X87))</f>
        <v>#NAME?</v>
      </c>
      <c r="AC87" t="e">
        <f t="shared" ca="1" si="2"/>
        <v>#NAME?</v>
      </c>
      <c r="AD87" t="e">
        <f ca="1">IF(X87="","",VLOOKUP($X87,RM!$C$4:$G991,3,FALSE))</f>
        <v>#NAME?</v>
      </c>
      <c r="AE87" t="e">
        <f ca="1">IF(X87="","",VLOOKUP($X87,RM!$C$4:$G991,4,FALSE))</f>
        <v>#NAME?</v>
      </c>
      <c r="AF87" t="e">
        <f ca="1">IF(X87="","",VLOOKUP($X87,RM!$C$4:$G991,5,FALSE))</f>
        <v>#NAME?</v>
      </c>
      <c r="AH87" t="str">
        <f ca="1">IFERROR(__xludf.DUMMYFUNCTION("""COMPUTED_VALUE"""),"STBD Signal PM Assy")</f>
        <v>STBD Signal PM Assy</v>
      </c>
      <c r="AI87" t="str">
        <f ca="1">IFERROR(__xludf.DUMMYFUNCTION("""COMPUTED_VALUE"""),"10cm one sided JST crimped Orange")</f>
        <v>10cm one sided JST crimped Orange</v>
      </c>
      <c r="AJ87">
        <f ca="1">IFERROR(__xludf.DUMMYFUNCTION("""COMPUTED_VALUE"""),1)</f>
        <v>1</v>
      </c>
      <c r="AK87" t="str">
        <f ca="1">IFERROR(__xludf.DUMMYFUNCTION("""COMPUTED_VALUE"""),"blank")</f>
        <v>blank</v>
      </c>
      <c r="AL87" t="e">
        <f ca="1">_xludf.IFNA(VLOOKUP(AH87,'S-FG'!$B$3:$B1001,1,FALSE),"")</f>
        <v>#NAME?</v>
      </c>
      <c r="AM87" t="e">
        <f ca="1">IF(AI87="","",SUMIFS(#REF!,RM!$C$4:$C991,AI87))</f>
        <v>#REF!</v>
      </c>
    </row>
    <row r="88" spans="5:39">
      <c r="E88" t="str">
        <f>IF(A88="","",SUMIFS('PR-BOM'!$D$3:$D1001,'PR-BOM'!$C$3:$C1001,A88)*C88)</f>
        <v/>
      </c>
      <c r="F88" t="e">
        <f ca="1">_xludf.IFNA(VLOOKUP(B88,'S-FG'!$B$3:$B1001,1,FALSE),"")</f>
        <v>#NAME?</v>
      </c>
      <c r="H88" t="str">
        <f ca="1">IFERROR(__xludf.DUMMYFUNCTION("""COMPUTED_VALUE"""),"PORT Signal CM Assy")</f>
        <v>PORT Signal CM Assy</v>
      </c>
      <c r="I88" t="str">
        <f ca="1">IFERROR(__xludf.DUMMYFUNCTION("""COMPUTED_VALUE"""),"Lead wire 22AWG")</f>
        <v>Lead wire 22AWG</v>
      </c>
      <c r="J88">
        <f ca="1">IFERROR(__xludf.DUMMYFUNCTION("""COMPUTED_VALUE"""),5)</f>
        <v>5</v>
      </c>
      <c r="L88">
        <f t="shared" ca="1" si="0"/>
        <v>0</v>
      </c>
      <c r="Q88" t="str">
        <f>IF(N88="","",SUMIFS('PR-BOM'!$D$3:$D1001,'PR-BOM'!$C$3:$C1001,N88))</f>
        <v/>
      </c>
      <c r="S88" t="str">
        <f ca="1">IFERROR(__xludf.DUMMYFUNCTION("""COMPUTED_VALUE"""),"2mm Female Bullet connector")</f>
        <v>2mm Female Bullet connector</v>
      </c>
      <c r="X88" t="e">
        <f ca="1"/>
        <v>#NAME?</v>
      </c>
      <c r="Y88" t="e">
        <f t="shared" ca="1" si="1"/>
        <v>#NAME?</v>
      </c>
      <c r="Z88" t="e">
        <f ca="1">IF(X88="","",SUMIFS(#REF!,RM!$C$4:$C991,X88))</f>
        <v>#NAME?</v>
      </c>
      <c r="AA88" t="e">
        <f ca="1">IF(X88="","",SUMIFS(#REF!,RM!$C$4:$C991,X88))</f>
        <v>#NAME?</v>
      </c>
      <c r="AB88" t="e">
        <f ca="1">IF(X88="","",SUMIFS(IRegback!$Y$2:$Y1001,IRegback!$X$2:$X1001,X88))</f>
        <v>#NAME?</v>
      </c>
      <c r="AC88" t="e">
        <f t="shared" ca="1" si="2"/>
        <v>#NAME?</v>
      </c>
      <c r="AD88" t="e">
        <f ca="1">IF(X88="","",VLOOKUP($X88,RM!$C$4:$G991,3,FALSE))</f>
        <v>#NAME?</v>
      </c>
      <c r="AE88" t="e">
        <f ca="1">IF(X88="","",VLOOKUP($X88,RM!$C$4:$G991,4,FALSE))</f>
        <v>#NAME?</v>
      </c>
      <c r="AF88" t="e">
        <f ca="1">IF(X88="","",VLOOKUP($X88,RM!$C$4:$G991,5,FALSE))</f>
        <v>#NAME?</v>
      </c>
      <c r="AH88" t="str">
        <f ca="1">IFERROR(__xludf.DUMMYFUNCTION("""COMPUTED_VALUE"""),"STBD Signal PM Assy")</f>
        <v>STBD Signal PM Assy</v>
      </c>
      <c r="AI88" t="str">
        <f ca="1">IFERROR(__xludf.DUMMYFUNCTION("""COMPUTED_VALUE"""),"10cm one sided JST crimped Dark Blue")</f>
        <v>10cm one sided JST crimped Dark Blue</v>
      </c>
      <c r="AJ88">
        <f ca="1">IFERROR(__xludf.DUMMYFUNCTION("""COMPUTED_VALUE"""),1)</f>
        <v>1</v>
      </c>
      <c r="AK88" t="str">
        <f ca="1">IFERROR(__xludf.DUMMYFUNCTION("""COMPUTED_VALUE"""),"blank")</f>
        <v>blank</v>
      </c>
      <c r="AL88" t="e">
        <f ca="1">_xludf.IFNA(VLOOKUP(AH88,'S-FG'!$B$3:$B1001,1,FALSE),"")</f>
        <v>#NAME?</v>
      </c>
      <c r="AM88" t="e">
        <f ca="1">IF(AI88="","",SUMIFS(#REF!,RM!$C$4:$C991,AI88))</f>
        <v>#REF!</v>
      </c>
    </row>
    <row r="89" spans="5:39">
      <c r="E89" t="str">
        <f>IF(A89="","",SUMIFS('PR-BOM'!$D$3:$D1001,'PR-BOM'!$C$3:$C1001,A89)*C89)</f>
        <v/>
      </c>
      <c r="F89" t="e">
        <f ca="1">_xludf.IFNA(VLOOKUP(B89,'S-FG'!$B$3:$B1001,1,FALSE),"")</f>
        <v>#NAME?</v>
      </c>
      <c r="H89" t="str">
        <f ca="1">IFERROR(__xludf.DUMMYFUNCTION("""COMPUTED_VALUE"""),"PORT Signal CM Assy")</f>
        <v>PORT Signal CM Assy</v>
      </c>
      <c r="I89" t="str">
        <f ca="1">IFERROR(__xludf.DUMMYFUNCTION("""COMPUTED_VALUE"""),"Soldering flux")</f>
        <v>Soldering flux</v>
      </c>
      <c r="J89">
        <f ca="1">IFERROR(__xludf.DUMMYFUNCTION("""COMPUTED_VALUE"""),2)</f>
        <v>2</v>
      </c>
      <c r="L89">
        <f t="shared" ca="1" si="0"/>
        <v>0</v>
      </c>
      <c r="Q89" t="str">
        <f>IF(N89="","",SUMIFS('PR-BOM'!$D$3:$D1001,'PR-BOM'!$C$3:$C1001,N89))</f>
        <v/>
      </c>
      <c r="S89" t="str">
        <f ca="1">IFERROR(__xludf.DUMMYFUNCTION("""COMPUTED_VALUE"""),"Lead wire 22AWG")</f>
        <v>Lead wire 22AWG</v>
      </c>
      <c r="X89" t="e">
        <f ca="1"/>
        <v>#NAME?</v>
      </c>
      <c r="Y89" t="e">
        <f t="shared" ca="1" si="1"/>
        <v>#NAME?</v>
      </c>
      <c r="Z89" t="e">
        <f ca="1">IF(X89="","",SUMIFS(#REF!,RM!$C$4:$C991,X89))</f>
        <v>#NAME?</v>
      </c>
      <c r="AA89" t="e">
        <f ca="1">IF(X89="","",SUMIFS(#REF!,RM!$C$4:$C991,X89))</f>
        <v>#NAME?</v>
      </c>
      <c r="AB89" t="e">
        <f ca="1">IF(X89="","",SUMIFS(IRegback!$Y$2:$Y1001,IRegback!$X$2:$X1001,X89))</f>
        <v>#NAME?</v>
      </c>
      <c r="AC89" t="e">
        <f t="shared" ca="1" si="2"/>
        <v>#NAME?</v>
      </c>
      <c r="AD89" t="e">
        <f ca="1">IF(X89="","",VLOOKUP($X89,RM!$C$4:$G991,3,FALSE))</f>
        <v>#NAME?</v>
      </c>
      <c r="AE89" t="e">
        <f ca="1">IF(X89="","",VLOOKUP($X89,RM!$C$4:$G991,4,FALSE))</f>
        <v>#NAME?</v>
      </c>
      <c r="AF89" t="e">
        <f ca="1">IF(X89="","",VLOOKUP($X89,RM!$C$4:$G991,5,FALSE))</f>
        <v>#NAME?</v>
      </c>
      <c r="AH89" t="str">
        <f ca="1">IFERROR(__xludf.DUMMYFUNCTION("""COMPUTED_VALUE"""),"STBD Signal PM Assy")</f>
        <v>STBD Signal PM Assy</v>
      </c>
      <c r="AI89" t="str">
        <f ca="1">IFERROR(__xludf.DUMMYFUNCTION("""COMPUTED_VALUE"""),"10cm one sided JST crimped Light Brown")</f>
        <v>10cm one sided JST crimped Light Brown</v>
      </c>
      <c r="AJ89">
        <f ca="1">IFERROR(__xludf.DUMMYFUNCTION("""COMPUTED_VALUE"""),1)</f>
        <v>1</v>
      </c>
      <c r="AK89" t="str">
        <f ca="1">IFERROR(__xludf.DUMMYFUNCTION("""COMPUTED_VALUE"""),"blank")</f>
        <v>blank</v>
      </c>
      <c r="AL89" t="e">
        <f ca="1">_xludf.IFNA(VLOOKUP(AH89,'S-FG'!$B$3:$B1001,1,FALSE),"")</f>
        <v>#NAME?</v>
      </c>
      <c r="AM89" t="e">
        <f ca="1">IF(AI89="","",SUMIFS(#REF!,RM!$C$4:$C991,AI89))</f>
        <v>#REF!</v>
      </c>
    </row>
    <row r="90" spans="5:39">
      <c r="E90" t="str">
        <f>IF(A90="","",SUMIFS('PR-BOM'!$D$3:$D1001,'PR-BOM'!$C$3:$C1001,A90)*C90)</f>
        <v/>
      </c>
      <c r="F90" t="e">
        <f ca="1">_xludf.IFNA(VLOOKUP(B90,'S-FG'!$B$3:$B1001,1,FALSE),"")</f>
        <v>#NAME?</v>
      </c>
      <c r="H90" t="str">
        <f ca="1">IFERROR(__xludf.DUMMYFUNCTION("""COMPUTED_VALUE"""),"PORT Signal CM Assy")</f>
        <v>PORT Signal CM Assy</v>
      </c>
      <c r="I90" t="str">
        <f ca="1">IFERROR(__xludf.DUMMYFUNCTION("""COMPUTED_VALUE"""),"LM61 Temperature Sensor")</f>
        <v>LM61 Temperature Sensor</v>
      </c>
      <c r="J90">
        <f ca="1">IFERROR(__xludf.DUMMYFUNCTION("""COMPUTED_VALUE"""),1)</f>
        <v>1</v>
      </c>
      <c r="K90" t="str">
        <f ca="1">IFERROR(__xludf.DUMMYFUNCTION("""COMPUTED_VALUE"""),"LM61BIZ/NOPB")</f>
        <v>LM61BIZ/NOPB</v>
      </c>
      <c r="L90">
        <f t="shared" ca="1" si="0"/>
        <v>0</v>
      </c>
      <c r="Q90" t="str">
        <f>IF(N90="","",SUMIFS('PR-BOM'!$D$3:$D1001,'PR-BOM'!$C$3:$C1001,N90))</f>
        <v/>
      </c>
      <c r="S90" t="str">
        <f ca="1">IFERROR(__xludf.DUMMYFUNCTION("""COMPUTED_VALUE"""),"Soldering flux")</f>
        <v>Soldering flux</v>
      </c>
      <c r="X90" t="e">
        <f ca="1"/>
        <v>#NAME?</v>
      </c>
      <c r="Y90" t="e">
        <f t="shared" ca="1" si="1"/>
        <v>#NAME?</v>
      </c>
      <c r="Z90" t="e">
        <f ca="1">IF(X90="","",SUMIFS(#REF!,RM!$C$4:$C991,X90))</f>
        <v>#NAME?</v>
      </c>
      <c r="AA90" t="e">
        <f ca="1">IF(X90="","",SUMIFS(#REF!,RM!$C$4:$C991,X90))</f>
        <v>#NAME?</v>
      </c>
      <c r="AB90" t="e">
        <f ca="1">IF(X90="","",SUMIFS(IRegback!$Y$2:$Y1001,IRegback!$X$2:$X1001,X90))</f>
        <v>#NAME?</v>
      </c>
      <c r="AC90" t="e">
        <f t="shared" ca="1" si="2"/>
        <v>#NAME?</v>
      </c>
      <c r="AD90" t="e">
        <f ca="1">IF(X90="","",VLOOKUP($X90,RM!$C$4:$G991,3,FALSE))</f>
        <v>#NAME?</v>
      </c>
      <c r="AE90" t="e">
        <f ca="1">IF(X90="","",VLOOKUP($X90,RM!$C$4:$G991,4,FALSE))</f>
        <v>#NAME?</v>
      </c>
      <c r="AF90" t="e">
        <f ca="1">IF(X90="","",VLOOKUP($X90,RM!$C$4:$G991,5,FALSE))</f>
        <v>#NAME?</v>
      </c>
      <c r="AH90" t="str">
        <f ca="1">IFERROR(__xludf.DUMMYFUNCTION("""COMPUTED_VALUE"""),"STBD Signal PM Assy")</f>
        <v>STBD Signal PM Assy</v>
      </c>
      <c r="AI90" t="str">
        <f ca="1">IFERROR(__xludf.DUMMYFUNCTION("""COMPUTED_VALUE"""),"10cm one sided JST crimped Dark Brown")</f>
        <v>10cm one sided JST crimped Dark Brown</v>
      </c>
      <c r="AJ90">
        <f ca="1">IFERROR(__xludf.DUMMYFUNCTION("""COMPUTED_VALUE"""),1)</f>
        <v>1</v>
      </c>
      <c r="AK90" t="str">
        <f ca="1">IFERROR(__xludf.DUMMYFUNCTION("""COMPUTED_VALUE"""),"blank")</f>
        <v>blank</v>
      </c>
      <c r="AL90" t="e">
        <f ca="1">_xludf.IFNA(VLOOKUP(AH90,'S-FG'!$B$3:$B1001,1,FALSE),"")</f>
        <v>#NAME?</v>
      </c>
      <c r="AM90" t="e">
        <f ca="1">IF(AI90="","",SUMIFS(#REF!,RM!$C$4:$C991,AI90))</f>
        <v>#REF!</v>
      </c>
    </row>
    <row r="91" spans="5:39">
      <c r="E91" t="str">
        <f>IF(A91="","",SUMIFS('PR-BOM'!$D$3:$D1001,'PR-BOM'!$C$3:$C1001,A91)*C91)</f>
        <v/>
      </c>
      <c r="F91" t="e">
        <f ca="1">_xludf.IFNA(VLOOKUP(B91,'S-FG'!$B$3:$B1001,1,FALSE),"")</f>
        <v>#NAME?</v>
      </c>
      <c r="H91" t="str">
        <f ca="1">IFERROR(__xludf.DUMMYFUNCTION("""COMPUTED_VALUE"""),"PORT Signal CM Assy")</f>
        <v>PORT Signal CM Assy</v>
      </c>
      <c r="I91" t="str">
        <f ca="1">IFERROR(__xludf.DUMMYFUNCTION("""COMPUTED_VALUE"""),"20Core Wire 14/38")</f>
        <v>20Core Wire 14/38</v>
      </c>
      <c r="J91">
        <f ca="1">IFERROR(__xludf.DUMMYFUNCTION("""COMPUTED_VALUE"""),0.85)</f>
        <v>0.85</v>
      </c>
      <c r="K91" t="str">
        <f ca="1">IFERROR(__xludf.DUMMYFUNCTION("""COMPUTED_VALUE"""),"blank")</f>
        <v>blank</v>
      </c>
      <c r="L91">
        <f t="shared" ca="1" si="0"/>
        <v>0</v>
      </c>
      <c r="Q91" t="str">
        <f>IF(N91="","",SUMIFS('PR-BOM'!$D$3:$D1001,'PR-BOM'!$C$3:$C1001,N91))</f>
        <v/>
      </c>
      <c r="S91" t="str">
        <f ca="1">IFERROR(__xludf.DUMMYFUNCTION("""COMPUTED_VALUE"""),"LM61 Temperature Sensor")</f>
        <v>LM61 Temperature Sensor</v>
      </c>
      <c r="X91" t="e">
        <f ca="1"/>
        <v>#NAME?</v>
      </c>
      <c r="Y91" t="e">
        <f t="shared" ca="1" si="1"/>
        <v>#NAME?</v>
      </c>
      <c r="Z91" t="e">
        <f ca="1">IF(X91="","",SUMIFS(#REF!,RM!$C$4:$C991,X91))</f>
        <v>#NAME?</v>
      </c>
      <c r="AA91" t="e">
        <f ca="1">IF(X91="","",SUMIFS(#REF!,RM!$C$4:$C991,X91))</f>
        <v>#NAME?</v>
      </c>
      <c r="AB91" t="e">
        <f ca="1">IF(X91="","",SUMIFS(IRegback!$Y$2:$Y1001,IRegback!$X$2:$X1001,X91))</f>
        <v>#NAME?</v>
      </c>
      <c r="AC91" t="e">
        <f t="shared" ca="1" si="2"/>
        <v>#NAME?</v>
      </c>
      <c r="AD91" t="e">
        <f ca="1">IF(X91="","",VLOOKUP($X91,RM!$C$4:$G991,3,FALSE))</f>
        <v>#NAME?</v>
      </c>
      <c r="AE91" t="e">
        <f ca="1">IF(X91="","",VLOOKUP($X91,RM!$C$4:$G991,4,FALSE))</f>
        <v>#NAME?</v>
      </c>
      <c r="AF91" t="e">
        <f ca="1">IF(X91="","",VLOOKUP($X91,RM!$C$4:$G991,5,FALSE))</f>
        <v>#NAME?</v>
      </c>
      <c r="AH91" t="str">
        <f ca="1">IFERROR(__xludf.DUMMYFUNCTION("""COMPUTED_VALUE"""),"STBD Signal PM Assy")</f>
        <v>STBD Signal PM Assy</v>
      </c>
      <c r="AI91" t="str">
        <f ca="1">IFERROR(__xludf.DUMMYFUNCTION("""COMPUTED_VALUE"""),"10cm one sided JST crimped White with Red strip")</f>
        <v>10cm one sided JST crimped White with Red strip</v>
      </c>
      <c r="AJ91">
        <f ca="1">IFERROR(__xludf.DUMMYFUNCTION("""COMPUTED_VALUE"""),1)</f>
        <v>1</v>
      </c>
      <c r="AK91" t="str">
        <f ca="1">IFERROR(__xludf.DUMMYFUNCTION("""COMPUTED_VALUE"""),"blank")</f>
        <v>blank</v>
      </c>
      <c r="AL91" t="e">
        <f ca="1">_xludf.IFNA(VLOOKUP(AH91,'S-FG'!$B$3:$B1001,1,FALSE),"")</f>
        <v>#NAME?</v>
      </c>
      <c r="AM91" t="e">
        <f ca="1">IF(AI91="","",SUMIFS(#REF!,RM!$C$4:$C991,AI91))</f>
        <v>#REF!</v>
      </c>
    </row>
    <row r="92" spans="5:39">
      <c r="E92" t="str">
        <f>IF(A92="","",SUMIFS('PR-BOM'!$D$3:$D1001,'PR-BOM'!$C$3:$C1001,A92)*C92)</f>
        <v/>
      </c>
      <c r="F92" t="e">
        <f ca="1">_xludf.IFNA(VLOOKUP(B92,'S-FG'!$B$3:$B1001,1,FALSE),"")</f>
        <v>#NAME?</v>
      </c>
      <c r="H92" t="str">
        <f ca="1">IFERROR(__xludf.DUMMYFUNCTION("""COMPUTED_VALUE"""),"PORT Signal CM Assy")</f>
        <v>PORT Signal CM Assy</v>
      </c>
      <c r="I92" t="str">
        <f ca="1">IFERROR(__xludf.DUMMYFUNCTION("""COMPUTED_VALUE"""),"Black 14/38 Wire")</f>
        <v>Black 14/38 Wire</v>
      </c>
      <c r="J92">
        <f ca="1">IFERROR(__xludf.DUMMYFUNCTION("""COMPUTED_VALUE"""),0.15)</f>
        <v>0.15</v>
      </c>
      <c r="L92">
        <f t="shared" ca="1" si="0"/>
        <v>0</v>
      </c>
      <c r="Q92" t="str">
        <f>IF(N92="","",SUMIFS('PR-BOM'!$D$3:$D1001,'PR-BOM'!$C$3:$C1001,N92))</f>
        <v/>
      </c>
      <c r="S92" t="str">
        <f ca="1">IFERROR(__xludf.DUMMYFUNCTION("""COMPUTED_VALUE"""),"20Core Wire 14/38")</f>
        <v>20Core Wire 14/38</v>
      </c>
      <c r="X92" t="e">
        <f ca="1"/>
        <v>#NAME?</v>
      </c>
      <c r="Y92" t="e">
        <f t="shared" ca="1" si="1"/>
        <v>#NAME?</v>
      </c>
      <c r="Z92" t="e">
        <f ca="1">IF(X92="","",SUMIFS(#REF!,RM!$C$4:$C991,X92))</f>
        <v>#NAME?</v>
      </c>
      <c r="AA92" t="e">
        <f ca="1">IF(X92="","",SUMIFS(#REF!,RM!$C$4:$C991,X92))</f>
        <v>#NAME?</v>
      </c>
      <c r="AB92" t="e">
        <f ca="1">IF(X92="","",SUMIFS(IRegback!$Y$2:$Y1001,IRegback!$X$2:$X1001,X92))</f>
        <v>#NAME?</v>
      </c>
      <c r="AC92" t="e">
        <f t="shared" ca="1" si="2"/>
        <v>#NAME?</v>
      </c>
      <c r="AD92" t="e">
        <f ca="1">IF(X92="","",VLOOKUP($X92,RM!$C$4:$G991,3,FALSE))</f>
        <v>#NAME?</v>
      </c>
      <c r="AE92" t="e">
        <f ca="1">IF(X92="","",VLOOKUP($X92,RM!$C$4:$G991,4,FALSE))</f>
        <v>#NAME?</v>
      </c>
      <c r="AF92" t="e">
        <f ca="1">IF(X92="","",VLOOKUP($X92,RM!$C$4:$G991,5,FALSE))</f>
        <v>#NAME?</v>
      </c>
      <c r="AH92" t="str">
        <f ca="1">IFERROR(__xludf.DUMMYFUNCTION("""COMPUTED_VALUE"""),"STBD Signal PM Assy")</f>
        <v>STBD Signal PM Assy</v>
      </c>
      <c r="AI92" t="str">
        <f ca="1">IFERROR(__xludf.DUMMYFUNCTION("""COMPUTED_VALUE"""),"10cm one sided JST crimped White with black strip")</f>
        <v>10cm one sided JST crimped White with black strip</v>
      </c>
      <c r="AJ92">
        <f ca="1">IFERROR(__xludf.DUMMYFUNCTION("""COMPUTED_VALUE"""),1)</f>
        <v>1</v>
      </c>
      <c r="AK92" t="str">
        <f ca="1">IFERROR(__xludf.DUMMYFUNCTION("""COMPUTED_VALUE"""),"blank")</f>
        <v>blank</v>
      </c>
      <c r="AL92" t="e">
        <f ca="1">_xludf.IFNA(VLOOKUP(AH92,'S-FG'!$B$3:$B1001,1,FALSE),"")</f>
        <v>#NAME?</v>
      </c>
      <c r="AM92" t="e">
        <f ca="1">IF(AI92="","",SUMIFS(#REF!,RM!$C$4:$C991,AI92))</f>
        <v>#REF!</v>
      </c>
    </row>
    <row r="93" spans="5:39">
      <c r="E93" t="str">
        <f>IF(A93="","",SUMIFS('PR-BOM'!$D$3:$D1001,'PR-BOM'!$C$3:$C1001,A93)*C93)</f>
        <v/>
      </c>
      <c r="F93" t="e">
        <f ca="1">_xludf.IFNA(VLOOKUP(B93,'S-FG'!$B$3:$B1001,1,FALSE),"")</f>
        <v>#NAME?</v>
      </c>
      <c r="H93" t="str">
        <f ca="1">IFERROR(__xludf.DUMMYFUNCTION("""COMPUTED_VALUE"""),"PORT Signal CM Assy")</f>
        <v>PORT Signal CM Assy</v>
      </c>
      <c r="I93" t="str">
        <f ca="1">IFERROR(__xludf.DUMMYFUNCTION("""COMPUTED_VALUE"""),"SY21-15 pin Cable Mount")</f>
        <v>SY21-15 pin Cable Mount</v>
      </c>
      <c r="J93">
        <f ca="1">IFERROR(__xludf.DUMMYFUNCTION("""COMPUTED_VALUE"""),1)</f>
        <v>1</v>
      </c>
      <c r="K93" t="str">
        <f ca="1">IFERROR(__xludf.DUMMYFUNCTION("""COMPUTED_VALUE"""),"blank")</f>
        <v>blank</v>
      </c>
      <c r="L93">
        <f t="shared" ca="1" si="0"/>
        <v>0</v>
      </c>
      <c r="Q93" t="str">
        <f>IF(N93="","",SUMIFS('PR-BOM'!$D$3:$D1001,'PR-BOM'!$C$3:$C1001,N93))</f>
        <v/>
      </c>
      <c r="S93" t="str">
        <f ca="1">IFERROR(__xludf.DUMMYFUNCTION("""COMPUTED_VALUE"""),"Black 14/38 Wire")</f>
        <v>Black 14/38 Wire</v>
      </c>
      <c r="X93" t="e">
        <f ca="1"/>
        <v>#NAME?</v>
      </c>
      <c r="Y93" t="e">
        <f t="shared" ca="1" si="1"/>
        <v>#NAME?</v>
      </c>
      <c r="Z93" t="e">
        <f ca="1">IF(X93="","",SUMIFS(#REF!,RM!$C$4:$C991,X93))</f>
        <v>#NAME?</v>
      </c>
      <c r="AA93" t="e">
        <f ca="1">IF(X93="","",SUMIFS(#REF!,RM!$C$4:$C991,X93))</f>
        <v>#NAME?</v>
      </c>
      <c r="AB93" t="e">
        <f ca="1">IF(X93="","",SUMIFS(IRegback!$Y$2:$Y1001,IRegback!$X$2:$X1001,X93))</f>
        <v>#NAME?</v>
      </c>
      <c r="AC93" t="e">
        <f t="shared" ca="1" si="2"/>
        <v>#NAME?</v>
      </c>
      <c r="AD93" t="e">
        <f ca="1">IF(X93="","",VLOOKUP($X93,RM!$C$4:$G991,3,FALSE))</f>
        <v>#NAME?</v>
      </c>
      <c r="AE93" t="e">
        <f ca="1">IF(X93="","",VLOOKUP($X93,RM!$C$4:$G991,4,FALSE))</f>
        <v>#NAME?</v>
      </c>
      <c r="AF93" t="e">
        <f ca="1">IF(X93="","",VLOOKUP($X93,RM!$C$4:$G991,5,FALSE))</f>
        <v>#NAME?</v>
      </c>
      <c r="AH93" t="str">
        <f ca="1">IFERROR(__xludf.DUMMYFUNCTION("""COMPUTED_VALUE"""),"STBD Signal PM Assy")</f>
        <v>STBD Signal PM Assy</v>
      </c>
      <c r="AI93" t="str">
        <f ca="1">IFERROR(__xludf.DUMMYFUNCTION("""COMPUTED_VALUE"""),"10cm one sided JST crimped White")</f>
        <v>10cm one sided JST crimped White</v>
      </c>
      <c r="AJ93">
        <f ca="1">IFERROR(__xludf.DUMMYFUNCTION("""COMPUTED_VALUE"""),1)</f>
        <v>1</v>
      </c>
      <c r="AK93" t="str">
        <f ca="1">IFERROR(__xludf.DUMMYFUNCTION("""COMPUTED_VALUE"""),"blank")</f>
        <v>blank</v>
      </c>
      <c r="AL93" t="e">
        <f ca="1">_xludf.IFNA(VLOOKUP(AH93,'S-FG'!$B$3:$B1001,1,FALSE),"")</f>
        <v>#NAME?</v>
      </c>
      <c r="AM93" t="e">
        <f ca="1">IF(AI93="","",SUMIFS(#REF!,RM!$C$4:$C991,AI93))</f>
        <v>#REF!</v>
      </c>
    </row>
    <row r="94" spans="5:39">
      <c r="E94" t="str">
        <f>IF(A94="","",SUMIFS('PR-BOM'!$D$3:$D1001,'PR-BOM'!$C$3:$C1001,A94)*C94)</f>
        <v/>
      </c>
      <c r="F94" t="e">
        <f ca="1">_xludf.IFNA(VLOOKUP(B94,'S-FG'!$B$3:$B1001,1,FALSE),"")</f>
        <v>#NAME?</v>
      </c>
      <c r="H94" t="str">
        <f ca="1">IFERROR(__xludf.DUMMYFUNCTION("""COMPUTED_VALUE"""),"PORT Signal CM Assy")</f>
        <v>PORT Signal CM Assy</v>
      </c>
      <c r="I94" t="str">
        <f ca="1">IFERROR(__xludf.DUMMYFUNCTION("""COMPUTED_VALUE"""),"BlueRobotics Leak")</f>
        <v>BlueRobotics Leak</v>
      </c>
      <c r="J94">
        <f ca="1">IFERROR(__xludf.DUMMYFUNCTION("""COMPUTED_VALUE"""),1)</f>
        <v>1</v>
      </c>
      <c r="K94" t="str">
        <f ca="1">IFERROR(__xludf.DUMMYFUNCTION("""COMPUTED_VALUE"""),"blank")</f>
        <v>blank</v>
      </c>
      <c r="L94">
        <f t="shared" ca="1" si="0"/>
        <v>0</v>
      </c>
      <c r="Q94" t="str">
        <f>IF(N94="","",SUMIFS('PR-BOM'!$D$3:$D1001,'PR-BOM'!$C$3:$C1001,N94))</f>
        <v/>
      </c>
      <c r="S94" t="str">
        <f ca="1">IFERROR(__xludf.DUMMYFUNCTION("""COMPUTED_VALUE"""),"SY21-15 pin Cable Mount")</f>
        <v>SY21-15 pin Cable Mount</v>
      </c>
      <c r="X94" t="e">
        <f ca="1"/>
        <v>#NAME?</v>
      </c>
      <c r="Y94" t="e">
        <f t="shared" ca="1" si="1"/>
        <v>#NAME?</v>
      </c>
      <c r="Z94" t="e">
        <f ca="1">IF(X94="","",SUMIFS(#REF!,RM!$C$4:$C991,X94))</f>
        <v>#NAME?</v>
      </c>
      <c r="AA94" t="e">
        <f ca="1">IF(X94="","",SUMIFS(#REF!,RM!$C$4:$C991,X94))</f>
        <v>#NAME?</v>
      </c>
      <c r="AB94" t="e">
        <f ca="1">IF(X94="","",SUMIFS(IRegback!$Y$2:$Y1001,IRegback!$X$2:$X1001,X94))</f>
        <v>#NAME?</v>
      </c>
      <c r="AC94" t="e">
        <f t="shared" ca="1" si="2"/>
        <v>#NAME?</v>
      </c>
      <c r="AD94" t="e">
        <f ca="1">IF(X94="","",VLOOKUP($X94,RM!$C$4:$G991,3,FALSE))</f>
        <v>#NAME?</v>
      </c>
      <c r="AE94" t="e">
        <f ca="1">IF(X94="","",VLOOKUP($X94,RM!$C$4:$G991,4,FALSE))</f>
        <v>#NAME?</v>
      </c>
      <c r="AF94" t="e">
        <f ca="1">IF(X94="","",VLOOKUP($X94,RM!$C$4:$G991,5,FALSE))</f>
        <v>#NAME?</v>
      </c>
      <c r="AH94" t="str">
        <f ca="1">IFERROR(__xludf.DUMMYFUNCTION("""COMPUTED_VALUE"""),"STBD Signal PM Assy")</f>
        <v>STBD Signal PM Assy</v>
      </c>
      <c r="AI94" t="str">
        <f ca="1">IFERROR(__xludf.DUMMYFUNCTION("""COMPUTED_VALUE"""),"10cm one sided JST crimped Red")</f>
        <v>10cm one sided JST crimped Red</v>
      </c>
      <c r="AJ94">
        <f ca="1">IFERROR(__xludf.DUMMYFUNCTION("""COMPUTED_VALUE"""),1)</f>
        <v>1</v>
      </c>
      <c r="AK94" t="str">
        <f ca="1">IFERROR(__xludf.DUMMYFUNCTION("""COMPUTED_VALUE"""),"blank")</f>
        <v>blank</v>
      </c>
      <c r="AL94" t="e">
        <f ca="1">_xludf.IFNA(VLOOKUP(AH94,'S-FG'!$B$3:$B1001,1,FALSE),"")</f>
        <v>#NAME?</v>
      </c>
      <c r="AM94" t="e">
        <f ca="1">IF(AI94="","",SUMIFS(#REF!,RM!$C$4:$C991,AI94))</f>
        <v>#REF!</v>
      </c>
    </row>
    <row r="95" spans="5:39">
      <c r="E95" t="str">
        <f>IF(A95="","",SUMIFS('PR-BOM'!$D$3:$D1001,'PR-BOM'!$C$3:$C1001,A95)*C95)</f>
        <v/>
      </c>
      <c r="F95" t="e">
        <f ca="1">_xludf.IFNA(VLOOKUP(B95,'S-FG'!$B$3:$B1001,1,FALSE),"")</f>
        <v>#NAME?</v>
      </c>
      <c r="H95" t="str">
        <f ca="1">IFERROR(__xludf.DUMMYFUNCTION("""COMPUTED_VALUE"""),"PORT Signal CM Assy")</f>
        <v>PORT Signal CM Assy</v>
      </c>
      <c r="I95" t="str">
        <f ca="1">IFERROR(__xludf.DUMMYFUNCTION("""COMPUTED_VALUE"""),"HeatShrink Tube 4:1")</f>
        <v>HeatShrink Tube 4:1</v>
      </c>
      <c r="J95">
        <f ca="1">IFERROR(__xludf.DUMMYFUNCTION("""COMPUTED_VALUE"""),0.05)</f>
        <v>0.05</v>
      </c>
      <c r="K95" t="str">
        <f ca="1">IFERROR(__xludf.DUMMYFUNCTION("""COMPUTED_VALUE"""),"blank")</f>
        <v>blank</v>
      </c>
      <c r="L95">
        <f t="shared" ca="1" si="0"/>
        <v>0</v>
      </c>
      <c r="Q95" t="str">
        <f>IF(N95="","",SUMIFS('PR-BOM'!$D$3:$D1001,'PR-BOM'!$C$3:$C1001,N95))</f>
        <v/>
      </c>
      <c r="S95" t="str">
        <f ca="1">IFERROR(__xludf.DUMMYFUNCTION("""COMPUTED_VALUE"""),"BlueRobotics Leak")</f>
        <v>BlueRobotics Leak</v>
      </c>
      <c r="X95" t="e">
        <f ca="1"/>
        <v>#NAME?</v>
      </c>
      <c r="Y95" t="e">
        <f t="shared" ca="1" si="1"/>
        <v>#NAME?</v>
      </c>
      <c r="Z95" t="e">
        <f ca="1">IF(X95="","",SUMIFS(#REF!,RM!$C$4:$C991,X95))</f>
        <v>#NAME?</v>
      </c>
      <c r="AA95" t="e">
        <f ca="1">IF(X95="","",SUMIFS(#REF!,RM!$C$4:$C991,X95))</f>
        <v>#NAME?</v>
      </c>
      <c r="AB95" t="e">
        <f ca="1">IF(X95="","",SUMIFS(IRegback!$Y$2:$Y1001,IRegback!$X$2:$X1001,X95))</f>
        <v>#NAME?</v>
      </c>
      <c r="AC95" t="e">
        <f t="shared" ca="1" si="2"/>
        <v>#NAME?</v>
      </c>
      <c r="AD95" t="e">
        <f ca="1">IF(X95="","",VLOOKUP($X95,RM!$C$4:$G991,3,FALSE))</f>
        <v>#NAME?</v>
      </c>
      <c r="AE95" t="e">
        <f ca="1">IF(X95="","",VLOOKUP($X95,RM!$C$4:$G991,4,FALSE))</f>
        <v>#NAME?</v>
      </c>
      <c r="AF95" t="e">
        <f ca="1">IF(X95="","",VLOOKUP($X95,RM!$C$4:$G991,5,FALSE))</f>
        <v>#NAME?</v>
      </c>
      <c r="AH95" t="str">
        <f ca="1">IFERROR(__xludf.DUMMYFUNCTION("""COMPUTED_VALUE"""),"STBD Signal PM Assy")</f>
        <v>STBD Signal PM Assy</v>
      </c>
      <c r="AI95" t="str">
        <f ca="1">IFERROR(__xludf.DUMMYFUNCTION("""COMPUTED_VALUE"""),"SY21-15 pin panel mount")</f>
        <v>SY21-15 pin panel mount</v>
      </c>
      <c r="AJ95">
        <f ca="1">IFERROR(__xludf.DUMMYFUNCTION("""COMPUTED_VALUE"""),1)</f>
        <v>1</v>
      </c>
      <c r="AK95" t="str">
        <f ca="1">IFERROR(__xludf.DUMMYFUNCTION("""COMPUTED_VALUE"""),"blank")</f>
        <v>blank</v>
      </c>
      <c r="AL95" t="e">
        <f ca="1">_xludf.IFNA(VLOOKUP(AH95,'S-FG'!$B$3:$B1001,1,FALSE),"")</f>
        <v>#NAME?</v>
      </c>
      <c r="AM95" t="e">
        <f ca="1">IF(AI95="","",SUMIFS(#REF!,RM!$C$4:$C991,AI95))</f>
        <v>#REF!</v>
      </c>
    </row>
    <row r="96" spans="5:39">
      <c r="E96" t="str">
        <f>IF(A96="","",SUMIFS('PR-BOM'!$D$3:$D1001,'PR-BOM'!$C$3:$C1001,A96)*C96)</f>
        <v/>
      </c>
      <c r="F96" t="e">
        <f ca="1">_xludf.IFNA(VLOOKUP(B96,'S-FG'!$B$3:$B1001,1,FALSE),"")</f>
        <v>#NAME?</v>
      </c>
      <c r="H96" t="str">
        <f ca="1">IFERROR(__xludf.DUMMYFUNCTION("""COMPUTED_VALUE"""),"PORT Signal CM Assy")</f>
        <v>PORT Signal CM Assy</v>
      </c>
      <c r="I96" t="str">
        <f ca="1">IFERROR(__xludf.DUMMYFUNCTION("""COMPUTED_VALUE"""),"HeatShrink Tube 12:3")</f>
        <v>HeatShrink Tube 12:3</v>
      </c>
      <c r="J96">
        <f ca="1">IFERROR(__xludf.DUMMYFUNCTION("""COMPUTED_VALUE"""),0.1)</f>
        <v>0.1</v>
      </c>
      <c r="K96" t="str">
        <f ca="1">IFERROR(__xludf.DUMMYFUNCTION("""COMPUTED_VALUE"""),"blank")</f>
        <v>blank</v>
      </c>
      <c r="L96">
        <f t="shared" ca="1" si="0"/>
        <v>0</v>
      </c>
      <c r="Q96" t="str">
        <f>IF(N96="","",SUMIFS('PR-BOM'!$D$3:$D1001,'PR-BOM'!$C$3:$C1001,N96))</f>
        <v/>
      </c>
      <c r="S96" t="str">
        <f ca="1">IFERROR(__xludf.DUMMYFUNCTION("""COMPUTED_VALUE"""),"HeatShrink Tube 4:1")</f>
        <v>HeatShrink Tube 4:1</v>
      </c>
      <c r="X96" t="e">
        <f ca="1"/>
        <v>#NAME?</v>
      </c>
      <c r="Y96" t="e">
        <f t="shared" ca="1" si="1"/>
        <v>#NAME?</v>
      </c>
      <c r="Z96" t="e">
        <f ca="1">IF(X96="","",SUMIFS(#REF!,RM!$C$4:$C991,X96))</f>
        <v>#NAME?</v>
      </c>
      <c r="AA96" t="e">
        <f ca="1">IF(X96="","",SUMIFS(#REF!,RM!$C$4:$C991,X96))</f>
        <v>#NAME?</v>
      </c>
      <c r="AB96" t="e">
        <f ca="1">IF(X96="","",SUMIFS(IRegback!$Y$2:$Y1001,IRegback!$X$2:$X1001,X96))</f>
        <v>#NAME?</v>
      </c>
      <c r="AC96" t="e">
        <f t="shared" ca="1" si="2"/>
        <v>#NAME?</v>
      </c>
      <c r="AD96" t="e">
        <f ca="1">IF(X96="","",VLOOKUP($X96,RM!$C$4:$G991,3,FALSE))</f>
        <v>#NAME?</v>
      </c>
      <c r="AE96" t="e">
        <f ca="1">IF(X96="","",VLOOKUP($X96,RM!$C$4:$G991,4,FALSE))</f>
        <v>#NAME?</v>
      </c>
      <c r="AF96" t="e">
        <f ca="1">IF(X96="","",VLOOKUP($X96,RM!$C$4:$G991,5,FALSE))</f>
        <v>#NAME?</v>
      </c>
      <c r="AH96" t="str">
        <f ca="1">IFERROR(__xludf.DUMMYFUNCTION("""COMPUTED_VALUE"""),"STBD Signal PM Assy")</f>
        <v>STBD Signal PM Assy</v>
      </c>
      <c r="AI96" t="str">
        <f ca="1">IFERROR(__xludf.DUMMYFUNCTION("""COMPUTED_VALUE"""),"HeatShrink Tube 1.5mm/1.6mm")</f>
        <v>HeatShrink Tube 1.5mm/1.6mm</v>
      </c>
      <c r="AJ96">
        <f ca="1">IFERROR(__xludf.DUMMYFUNCTION("""COMPUTED_VALUE"""),0.15)</f>
        <v>0.15</v>
      </c>
      <c r="AL96" t="e">
        <f ca="1">_xludf.IFNA(VLOOKUP(AH96,'S-FG'!$B$3:$B1001,1,FALSE),"")</f>
        <v>#NAME?</v>
      </c>
      <c r="AM96" t="e">
        <f ca="1">IF(AI96="","",SUMIFS(#REF!,RM!$C$4:$C991,AI96))</f>
        <v>#REF!</v>
      </c>
    </row>
    <row r="97" spans="5:39">
      <c r="E97" t="str">
        <f>IF(A97="","",SUMIFS('PR-BOM'!$D$3:$D1001,'PR-BOM'!$C$3:$C1001,A97)*C97)</f>
        <v/>
      </c>
      <c r="F97" t="e">
        <f ca="1">_xludf.IFNA(VLOOKUP(B97,'S-FG'!$B$3:$B1001,1,FALSE),"")</f>
        <v>#NAME?</v>
      </c>
      <c r="H97" t="str">
        <f ca="1">IFERROR(__xludf.DUMMYFUNCTION("""COMPUTED_VALUE"""),"PORT Signal CM Assy")</f>
        <v>PORT Signal CM Assy</v>
      </c>
      <c r="I97" t="str">
        <f ca="1">IFERROR(__xludf.DUMMYFUNCTION("""COMPUTED_VALUE"""),"HeatShrink Tube 1.5mm/1.6mm")</f>
        <v>HeatShrink Tube 1.5mm/1.6mm</v>
      </c>
      <c r="J97">
        <f ca="1">IFERROR(__xludf.DUMMYFUNCTION("""COMPUTED_VALUE"""),0.15)</f>
        <v>0.15</v>
      </c>
      <c r="L97">
        <f t="shared" ca="1" si="0"/>
        <v>0</v>
      </c>
      <c r="Q97" t="str">
        <f>IF(N97="","",SUMIFS('PR-BOM'!$D$3:$D1001,'PR-BOM'!$C$3:$C1001,N97))</f>
        <v/>
      </c>
      <c r="S97" t="str">
        <f ca="1">IFERROR(__xludf.DUMMYFUNCTION("""COMPUTED_VALUE"""),"HeatShrink Tube 12:3")</f>
        <v>HeatShrink Tube 12:3</v>
      </c>
      <c r="X97" t="e">
        <f ca="1"/>
        <v>#NAME?</v>
      </c>
      <c r="Y97" t="e">
        <f t="shared" ca="1" si="1"/>
        <v>#NAME?</v>
      </c>
      <c r="Z97" t="e">
        <f ca="1">IF(X97="","",SUMIFS(#REF!,RM!$C$4:$C991,X97))</f>
        <v>#NAME?</v>
      </c>
      <c r="AA97" t="e">
        <f ca="1">IF(X97="","",SUMIFS(#REF!,RM!$C$4:$C991,X97))</f>
        <v>#NAME?</v>
      </c>
      <c r="AB97" t="e">
        <f ca="1">IF(X97="","",SUMIFS(IRegback!$Y$2:$Y1001,IRegback!$X$2:$X1001,X97))</f>
        <v>#NAME?</v>
      </c>
      <c r="AC97" t="e">
        <f t="shared" ca="1" si="2"/>
        <v>#NAME?</v>
      </c>
      <c r="AD97" t="e">
        <f ca="1">IF(X97="","",VLOOKUP($X97,RM!$C$4:$G991,3,FALSE))</f>
        <v>#NAME?</v>
      </c>
      <c r="AE97" t="e">
        <f ca="1">IF(X97="","",VLOOKUP($X97,RM!$C$4:$G991,4,FALSE))</f>
        <v>#NAME?</v>
      </c>
      <c r="AF97" t="e">
        <f ca="1">IF(X97="","",VLOOKUP($X97,RM!$C$4:$G991,5,FALSE))</f>
        <v>#NAME?</v>
      </c>
      <c r="AH97" t="str">
        <f ca="1">IFERROR(__xludf.DUMMYFUNCTION("""COMPUTED_VALUE"""),"STBD Signal PM Assy")</f>
        <v>STBD Signal PM Assy</v>
      </c>
      <c r="AI97" t="str">
        <f ca="1">IFERROR(__xludf.DUMMYFUNCTION("""COMPUTED_VALUE"""),"Teroson MS930")</f>
        <v>Teroson MS930</v>
      </c>
      <c r="AJ97">
        <f ca="1">IFERROR(__xludf.DUMMYFUNCTION("""COMPUTED_VALUE"""),2)</f>
        <v>2</v>
      </c>
      <c r="AK97" t="str">
        <f ca="1">IFERROR(__xludf.DUMMYFUNCTION("""COMPUTED_VALUE"""),"blank")</f>
        <v>blank</v>
      </c>
      <c r="AL97" t="e">
        <f ca="1">_xludf.IFNA(VLOOKUP(AH97,'S-FG'!$B$3:$B1001,1,FALSE),"")</f>
        <v>#NAME?</v>
      </c>
      <c r="AM97" t="e">
        <f ca="1">IF(AI97="","",SUMIFS(#REF!,RM!$C$4:$C991,AI97))</f>
        <v>#REF!</v>
      </c>
    </row>
    <row r="98" spans="5:39">
      <c r="E98" t="str">
        <f>IF(A98="","",SUMIFS('PR-BOM'!$D$3:$D1001,'PR-BOM'!$C$3:$C1001,A98)*C98)</f>
        <v/>
      </c>
      <c r="F98" t="e">
        <f ca="1">_xludf.IFNA(VLOOKUP(B98,'S-FG'!$B$3:$B1001,1,FALSE),"")</f>
        <v>#NAME?</v>
      </c>
      <c r="H98" t="str">
        <f ca="1">IFERROR(__xludf.DUMMYFUNCTION("""COMPUTED_VALUE"""),"PORT Signal CM Assy")</f>
        <v>PORT Signal CM Assy</v>
      </c>
      <c r="I98" t="str">
        <f ca="1">IFERROR(__xludf.DUMMYFUNCTION("""COMPUTED_VALUE"""),"1uF 0805 PANASONIC")</f>
        <v>1uF 0805 PANASONIC</v>
      </c>
      <c r="J98">
        <f ca="1">IFERROR(__xludf.DUMMYFUNCTION("""COMPUTED_VALUE"""),1)</f>
        <v>1</v>
      </c>
      <c r="K98" t="str">
        <f ca="1">IFERROR(__xludf.DUMMYFUNCTION("""COMPUTED_VALUE"""),"GCM21BR71E105KA56L")</f>
        <v>GCM21BR71E105KA56L</v>
      </c>
      <c r="L98">
        <f t="shared" ca="1" si="0"/>
        <v>0</v>
      </c>
      <c r="Q98" t="str">
        <f>IF(N98="","",SUMIFS('PR-BOM'!$D$3:$D1001,'PR-BOM'!$C$3:$C1001,N98))</f>
        <v/>
      </c>
      <c r="S98" t="str">
        <f ca="1">IFERROR(__xludf.DUMMYFUNCTION("""COMPUTED_VALUE"""),"HeatShrink Tube 1.5mm/1.6mm")</f>
        <v>HeatShrink Tube 1.5mm/1.6mm</v>
      </c>
      <c r="X98" t="e">
        <f ca="1"/>
        <v>#NAME?</v>
      </c>
      <c r="Y98" t="e">
        <f t="shared" ca="1" si="1"/>
        <v>#NAME?</v>
      </c>
      <c r="Z98" t="e">
        <f ca="1">IF(X98="","",SUMIFS(#REF!,RM!$C$4:$C991,X98))</f>
        <v>#NAME?</v>
      </c>
      <c r="AA98" t="e">
        <f ca="1">IF(X98="","",SUMIFS(#REF!,RM!$C$4:$C991,X98))</f>
        <v>#NAME?</v>
      </c>
      <c r="AB98" t="e">
        <f ca="1">IF(X98="","",SUMIFS(IRegback!$Y$2:$Y1001,IRegback!$X$2:$X1001,X98))</f>
        <v>#NAME?</v>
      </c>
      <c r="AC98" t="e">
        <f t="shared" ca="1" si="2"/>
        <v>#NAME?</v>
      </c>
      <c r="AD98" t="e">
        <f ca="1">IF(X98="","",VLOOKUP($X98,RM!$C$4:$G991,3,FALSE))</f>
        <v>#NAME?</v>
      </c>
      <c r="AE98" t="e">
        <f ca="1">IF(X98="","",VLOOKUP($X98,RM!$C$4:$G991,4,FALSE))</f>
        <v>#NAME?</v>
      </c>
      <c r="AF98" t="e">
        <f ca="1">IF(X98="","",VLOOKUP($X98,RM!$C$4:$G991,5,FALSE))</f>
        <v>#NAME?</v>
      </c>
      <c r="AH98" t="str">
        <f ca="1">IFERROR(__xludf.DUMMYFUNCTION("""COMPUTED_VALUE"""),"STBD Signal PM Assy")</f>
        <v>STBD Signal PM Assy</v>
      </c>
      <c r="AI98" t="str">
        <f ca="1">IFERROR(__xludf.DUMMYFUNCTION("""COMPUTED_VALUE"""),"Silicon RTV 734 Potting compound")</f>
        <v>Silicon RTV 734 Potting compound</v>
      </c>
      <c r="AJ98">
        <f ca="1">IFERROR(__xludf.DUMMYFUNCTION("""COMPUTED_VALUE"""),5)</f>
        <v>5</v>
      </c>
      <c r="AK98" t="str">
        <f ca="1">IFERROR(__xludf.DUMMYFUNCTION("""COMPUTED_VALUE"""),"blank")</f>
        <v>blank</v>
      </c>
      <c r="AL98" t="e">
        <f ca="1">_xludf.IFNA(VLOOKUP(AH98,'S-FG'!$B$3:$B1001,1,FALSE),"")</f>
        <v>#NAME?</v>
      </c>
      <c r="AM98" t="e">
        <f ca="1">IF(AI98="","",SUMIFS(#REF!,RM!$C$4:$C991,AI98))</f>
        <v>#REF!</v>
      </c>
    </row>
    <row r="99" spans="5:39">
      <c r="E99" t="str">
        <f>IF(A99="","",SUMIFS('PR-BOM'!$D$3:$D1001,'PR-BOM'!$C$3:$C1001,A99)*C99)</f>
        <v/>
      </c>
      <c r="F99" t="e">
        <f ca="1">_xludf.IFNA(VLOOKUP(B99,'S-FG'!$B$3:$B1001,1,FALSE),"")</f>
        <v>#NAME?</v>
      </c>
      <c r="H99" t="str">
        <f ca="1">IFERROR(__xludf.DUMMYFUNCTION("""COMPUTED_VALUE"""),"PORT Signal CM Assy")</f>
        <v>PORT Signal CM Assy</v>
      </c>
      <c r="I99" t="str">
        <f ca="1">IFERROR(__xludf.DUMMYFUNCTION("""COMPUTED_VALUE"""),"HeatShrink Tube 3:1")</f>
        <v>HeatShrink Tube 3:1</v>
      </c>
      <c r="J99">
        <f ca="1">IFERROR(__xludf.DUMMYFUNCTION("""COMPUTED_VALUE"""),0.1)</f>
        <v>0.1</v>
      </c>
      <c r="K99" t="str">
        <f ca="1">IFERROR(__xludf.DUMMYFUNCTION("""COMPUTED_VALUE"""),"blank")</f>
        <v>blank</v>
      </c>
      <c r="L99">
        <f t="shared" ca="1" si="0"/>
        <v>0</v>
      </c>
      <c r="Q99" t="str">
        <f>IF(N99="","",SUMIFS('PR-BOM'!$D$3:$D1001,'PR-BOM'!$C$3:$C1001,N99))</f>
        <v/>
      </c>
      <c r="S99" t="str">
        <f ca="1">IFERROR(__xludf.DUMMYFUNCTION("""COMPUTED_VALUE"""),"1uF 0805 PANASONIC")</f>
        <v>1uF 0805 PANASONIC</v>
      </c>
      <c r="X99" t="e">
        <f ca="1"/>
        <v>#NAME?</v>
      </c>
      <c r="Y99" t="e">
        <f t="shared" ca="1" si="1"/>
        <v>#NAME?</v>
      </c>
      <c r="Z99" t="e">
        <f ca="1">IF(X99="","",SUMIFS(#REF!,RM!$C$4:$C991,X99))</f>
        <v>#NAME?</v>
      </c>
      <c r="AA99" t="e">
        <f ca="1">IF(X99="","",SUMIFS(#REF!,RM!$C$4:$C991,X99))</f>
        <v>#NAME?</v>
      </c>
      <c r="AB99" t="e">
        <f ca="1">IF(X99="","",SUMIFS(IRegback!$Y$2:$Y1001,IRegback!$X$2:$X1001,X99))</f>
        <v>#NAME?</v>
      </c>
      <c r="AC99" t="e">
        <f t="shared" ca="1" si="2"/>
        <v>#NAME?</v>
      </c>
      <c r="AD99" t="e">
        <f ca="1">IF(X99="","",VLOOKUP($X99,RM!$C$4:$G991,3,FALSE))</f>
        <v>#NAME?</v>
      </c>
      <c r="AE99" t="e">
        <f ca="1">IF(X99="","",VLOOKUP($X99,RM!$C$4:$G991,4,FALSE))</f>
        <v>#NAME?</v>
      </c>
      <c r="AF99" t="e">
        <f ca="1">IF(X99="","",VLOOKUP($X99,RM!$C$4:$G991,5,FALSE))</f>
        <v>#NAME?</v>
      </c>
      <c r="AH99" t="str">
        <f ca="1">IFERROR(__xludf.DUMMYFUNCTION("""COMPUTED_VALUE"""),"STBD Signal PM Assy")</f>
        <v>STBD Signal PM Assy</v>
      </c>
      <c r="AI99" t="str">
        <f ca="1">IFERROR(__xludf.DUMMYFUNCTION("""COMPUTED_VALUE"""),"Lead wire 22AWG")</f>
        <v>Lead wire 22AWG</v>
      </c>
      <c r="AJ99">
        <f ca="1">IFERROR(__xludf.DUMMYFUNCTION("""COMPUTED_VALUE"""),5)</f>
        <v>5</v>
      </c>
      <c r="AL99" t="e">
        <f ca="1">_xludf.IFNA(VLOOKUP(AH99,'S-FG'!$B$3:$B1001,1,FALSE),"")</f>
        <v>#NAME?</v>
      </c>
      <c r="AM99" t="e">
        <f ca="1">IF(AI99="","",SUMIFS(#REF!,RM!$C$4:$C991,AI99))</f>
        <v>#REF!</v>
      </c>
    </row>
    <row r="100" spans="5:39">
      <c r="E100" t="str">
        <f>IF(A100="","",SUMIFS('PR-BOM'!$D$3:$D1001,'PR-BOM'!$C$3:$C1001,A100)*C100)</f>
        <v/>
      </c>
      <c r="F100" t="e">
        <f ca="1">_xludf.IFNA(VLOOKUP(B100,'S-FG'!$B$3:$B1001,1,FALSE),"")</f>
        <v>#NAME?</v>
      </c>
      <c r="H100" t="str">
        <f ca="1">IFERROR(__xludf.DUMMYFUNCTION("""COMPUTED_VALUE"""),"PORT Signal CM Assy")</f>
        <v>PORT Signal CM Assy</v>
      </c>
      <c r="I100" t="str">
        <f ca="1">IFERROR(__xludf.DUMMYFUNCTION("""COMPUTED_VALUE"""),"Silicon RTV 734 Potting compound")</f>
        <v>Silicon RTV 734 Potting compound</v>
      </c>
      <c r="J100">
        <f ca="1">IFERROR(__xludf.DUMMYFUNCTION("""COMPUTED_VALUE"""),10)</f>
        <v>10</v>
      </c>
      <c r="K100" t="str">
        <f ca="1">IFERROR(__xludf.DUMMYFUNCTION("""COMPUTED_VALUE"""),"blank")</f>
        <v>blank</v>
      </c>
      <c r="L100">
        <f t="shared" ca="1" si="0"/>
        <v>0</v>
      </c>
      <c r="Q100" t="str">
        <f>IF(N100="","",SUMIFS('PR-BOM'!$D$3:$D1001,'PR-BOM'!$C$3:$C1001,N100))</f>
        <v/>
      </c>
      <c r="S100" t="str">
        <f ca="1">IFERROR(__xludf.DUMMYFUNCTION("""COMPUTED_VALUE"""),"HeatShrink Tube 3:1")</f>
        <v>HeatShrink Tube 3:1</v>
      </c>
      <c r="X100" t="e">
        <f ca="1"/>
        <v>#NAME?</v>
      </c>
      <c r="Y100" t="e">
        <f t="shared" ca="1" si="1"/>
        <v>#NAME?</v>
      </c>
      <c r="Z100" t="e">
        <f ca="1">IF(X100="","",SUMIFS(#REF!,RM!$C$4:$C991,X100))</f>
        <v>#NAME?</v>
      </c>
      <c r="AA100" t="e">
        <f ca="1">IF(X100="","",SUMIFS(#REF!,RM!$C$4:$C991,X100))</f>
        <v>#NAME?</v>
      </c>
      <c r="AB100" t="e">
        <f ca="1">IF(X100="","",SUMIFS(IRegback!$Y$2:$Y1001,IRegback!$X$2:$X1001,X100))</f>
        <v>#NAME?</v>
      </c>
      <c r="AC100" t="e">
        <f t="shared" ca="1" si="2"/>
        <v>#NAME?</v>
      </c>
      <c r="AD100" t="e">
        <f ca="1">IF(X100="","",VLOOKUP($X100,RM!$C$4:$G991,3,FALSE))</f>
        <v>#NAME?</v>
      </c>
      <c r="AE100" t="e">
        <f ca="1">IF(X100="","",VLOOKUP($X100,RM!$C$4:$G991,4,FALSE))</f>
        <v>#NAME?</v>
      </c>
      <c r="AF100" t="e">
        <f ca="1">IF(X100="","",VLOOKUP($X100,RM!$C$4:$G991,5,FALSE))</f>
        <v>#NAME?</v>
      </c>
      <c r="AH100" t="str">
        <f ca="1">IFERROR(__xludf.DUMMYFUNCTION("""COMPUTED_VALUE"""),"PORT Signal PM Assy")</f>
        <v>PORT Signal PM Assy</v>
      </c>
      <c r="AI100" t="str">
        <f ca="1">IFERROR(__xludf.DUMMYFUNCTION("""COMPUTED_VALUE"""),"15 pin JST-XH housing")</f>
        <v>15 pin JST-XH housing</v>
      </c>
      <c r="AJ100">
        <f ca="1">IFERROR(__xludf.DUMMYFUNCTION("""COMPUTED_VALUE"""),1)</f>
        <v>1</v>
      </c>
      <c r="AK100" t="str">
        <f ca="1">IFERROR(__xludf.DUMMYFUNCTION("""COMPUTED_VALUE"""),"blank")</f>
        <v>blank</v>
      </c>
      <c r="AL100" t="e">
        <f ca="1">_xludf.IFNA(VLOOKUP(AH100,'S-FG'!$B$3:$B1001,1,FALSE),"")</f>
        <v>#NAME?</v>
      </c>
      <c r="AM100" t="e">
        <f ca="1">IF(AI100="","",SUMIFS(#REF!,RM!$C$4:$C991,AI100))</f>
        <v>#REF!</v>
      </c>
    </row>
    <row r="101" spans="5:39">
      <c r="E101" t="str">
        <f>IF(A101="","",SUMIFS('PR-BOM'!$D$3:$D1001,'PR-BOM'!$C$3:$C1001,A101)*C101)</f>
        <v/>
      </c>
      <c r="F101" t="e">
        <f ca="1">_xludf.IFNA(VLOOKUP(B101,'S-FG'!$B$3:$B1001,1,FALSE),"")</f>
        <v>#NAME?</v>
      </c>
      <c r="H101" t="str">
        <f ca="1">IFERROR(__xludf.DUMMYFUNCTION("""COMPUTED_VALUE"""),"Charging PM Assy")</f>
        <v>Charging PM Assy</v>
      </c>
      <c r="I101" t="str">
        <f ca="1">IFERROR(__xludf.DUMMYFUNCTION("""COMPUTED_VALUE"""),"2mm male bullet connector")</f>
        <v>2mm male bullet connector</v>
      </c>
      <c r="J101">
        <f ca="1">IFERROR(__xludf.DUMMYFUNCTION("""COMPUTED_VALUE"""),1)</f>
        <v>1</v>
      </c>
      <c r="K101" t="str">
        <f ca="1">IFERROR(__xludf.DUMMYFUNCTION("""COMPUTED_VALUE"""),"blank")</f>
        <v>blank</v>
      </c>
      <c r="L101">
        <f t="shared" ca="1" si="0"/>
        <v>0</v>
      </c>
      <c r="Q101" t="str">
        <f>IF(N101="","",SUMIFS('PR-BOM'!$D$3:$D1001,'PR-BOM'!$C$3:$C1001,N101))</f>
        <v/>
      </c>
      <c r="S101" t="str">
        <f ca="1">IFERROR(__xludf.DUMMYFUNCTION("""COMPUTED_VALUE"""),"Silicon RTV 734 Potting compound")</f>
        <v>Silicon RTV 734 Potting compound</v>
      </c>
      <c r="X101" t="e">
        <f ca="1"/>
        <v>#NAME?</v>
      </c>
      <c r="Y101" t="e">
        <f t="shared" ca="1" si="1"/>
        <v>#NAME?</v>
      </c>
      <c r="Z101" t="e">
        <f ca="1">IF(X101="","",SUMIFS(#REF!,RM!$C$4:$C991,X101))</f>
        <v>#NAME?</v>
      </c>
      <c r="AA101" t="e">
        <f ca="1">IF(X101="","",SUMIFS(#REF!,RM!$C$4:$C991,X101))</f>
        <v>#NAME?</v>
      </c>
      <c r="AB101" t="e">
        <f ca="1">IF(X101="","",SUMIFS(IRegback!$Y$2:$Y1001,IRegback!$X$2:$X1001,X101))</f>
        <v>#NAME?</v>
      </c>
      <c r="AC101" t="e">
        <f t="shared" ca="1" si="2"/>
        <v>#NAME?</v>
      </c>
      <c r="AD101" t="e">
        <f ca="1">IF(X101="","",VLOOKUP($X101,RM!$C$4:$G991,3,FALSE))</f>
        <v>#NAME?</v>
      </c>
      <c r="AE101" t="e">
        <f ca="1">IF(X101="","",VLOOKUP($X101,RM!$C$4:$G991,4,FALSE))</f>
        <v>#NAME?</v>
      </c>
      <c r="AF101" t="e">
        <f ca="1">IF(X101="","",VLOOKUP($X101,RM!$C$4:$G991,5,FALSE))</f>
        <v>#NAME?</v>
      </c>
      <c r="AH101" t="str">
        <f ca="1">IFERROR(__xludf.DUMMYFUNCTION("""COMPUTED_VALUE"""),"PORT Signal PM Assy")</f>
        <v>PORT Signal PM Assy</v>
      </c>
      <c r="AI101" t="str">
        <f ca="1">IFERROR(__xludf.DUMMYFUNCTION("""COMPUTED_VALUE"""),"10cm one sided JST crimped Black")</f>
        <v>10cm one sided JST crimped Black</v>
      </c>
      <c r="AJ101">
        <f ca="1">IFERROR(__xludf.DUMMYFUNCTION("""COMPUTED_VALUE"""),1)</f>
        <v>1</v>
      </c>
      <c r="AK101" t="str">
        <f ca="1">IFERROR(__xludf.DUMMYFUNCTION("""COMPUTED_VALUE"""),"blank")</f>
        <v>blank</v>
      </c>
      <c r="AL101" t="e">
        <f ca="1">_xludf.IFNA(VLOOKUP(AH101,'S-FG'!$B$3:$B1001,1,FALSE),"")</f>
        <v>#NAME?</v>
      </c>
      <c r="AM101" t="e">
        <f ca="1">IF(AI101="","",SUMIFS(#REF!,RM!$C$4:$C991,AI101))</f>
        <v>#REF!</v>
      </c>
    </row>
    <row r="102" spans="5:39">
      <c r="E102" t="str">
        <f>IF(A102="","",SUMIFS('PR-BOM'!$D$3:$D1001,'PR-BOM'!$C$3:$C1001,A102)*C102)</f>
        <v/>
      </c>
      <c r="F102" t="e">
        <f ca="1">_xludf.IFNA(VLOOKUP(B102,'S-FG'!$B$3:$B1001,1,FALSE),"")</f>
        <v>#NAME?</v>
      </c>
      <c r="H102" t="str">
        <f ca="1">IFERROR(__xludf.DUMMYFUNCTION("""COMPUTED_VALUE"""),"Charging PM Assy")</f>
        <v>Charging PM Assy</v>
      </c>
      <c r="I102" t="str">
        <f ca="1">IFERROR(__xludf.DUMMYFUNCTION("""COMPUTED_VALUE"""),"Black 18 AWG")</f>
        <v>Black 18 AWG</v>
      </c>
      <c r="J102">
        <f ca="1">IFERROR(__xludf.DUMMYFUNCTION("""COMPUTED_VALUE"""),0.35)</f>
        <v>0.35</v>
      </c>
      <c r="K102" t="str">
        <f ca="1">IFERROR(__xludf.DUMMYFUNCTION("""COMPUTED_VALUE"""),"blank")</f>
        <v>blank</v>
      </c>
      <c r="L102">
        <f t="shared" ca="1" si="0"/>
        <v>0</v>
      </c>
      <c r="Q102" t="str">
        <f>IF(N102="","",SUMIFS('PR-BOM'!$D$3:$D1001,'PR-BOM'!$C$3:$C1001,N102))</f>
        <v/>
      </c>
      <c r="S102" t="str">
        <f ca="1">IFERROR(__xludf.DUMMYFUNCTION("""COMPUTED_VALUE"""),"2mm male bullet connector")</f>
        <v>2mm male bullet connector</v>
      </c>
      <c r="X102" t="e">
        <f ca="1"/>
        <v>#NAME?</v>
      </c>
      <c r="Y102" t="e">
        <f t="shared" ca="1" si="1"/>
        <v>#NAME?</v>
      </c>
      <c r="Z102" t="e">
        <f ca="1">IF(X102="","",SUMIFS(#REF!,RM!$C$4:$C991,X102))</f>
        <v>#NAME?</v>
      </c>
      <c r="AA102" t="e">
        <f ca="1">IF(X102="","",SUMIFS(#REF!,RM!$C$4:$C991,X102))</f>
        <v>#NAME?</v>
      </c>
      <c r="AB102" t="e">
        <f ca="1">IF(X102="","",SUMIFS(IRegback!$Y$2:$Y1001,IRegback!$X$2:$X1001,X102))</f>
        <v>#NAME?</v>
      </c>
      <c r="AC102" t="e">
        <f t="shared" ca="1" si="2"/>
        <v>#NAME?</v>
      </c>
      <c r="AD102" t="e">
        <f ca="1">IF(X102="","",VLOOKUP($X102,RM!$C$4:$G991,3,FALSE))</f>
        <v>#NAME?</v>
      </c>
      <c r="AE102" t="e">
        <f ca="1">IF(X102="","",VLOOKUP($X102,RM!$C$4:$G991,4,FALSE))</f>
        <v>#NAME?</v>
      </c>
      <c r="AF102" t="e">
        <f ca="1">IF(X102="","",VLOOKUP($X102,RM!$C$4:$G991,5,FALSE))</f>
        <v>#NAME?</v>
      </c>
      <c r="AH102" t="str">
        <f ca="1">IFERROR(__xludf.DUMMYFUNCTION("""COMPUTED_VALUE"""),"PORT Signal PM Assy")</f>
        <v>PORT Signal PM Assy</v>
      </c>
      <c r="AI102" t="str">
        <f ca="1">IFERROR(__xludf.DUMMYFUNCTION("""COMPUTED_VALUE"""),"10cm one sided JST crimped Green")</f>
        <v>10cm one sided JST crimped Green</v>
      </c>
      <c r="AJ102">
        <f ca="1">IFERROR(__xludf.DUMMYFUNCTION("""COMPUTED_VALUE"""),1)</f>
        <v>1</v>
      </c>
      <c r="AK102" t="str">
        <f ca="1">IFERROR(__xludf.DUMMYFUNCTION("""COMPUTED_VALUE"""),"blank")</f>
        <v>blank</v>
      </c>
      <c r="AL102" t="e">
        <f ca="1">_xludf.IFNA(VLOOKUP(AH102,'S-FG'!$B$3:$B1001,1,FALSE),"")</f>
        <v>#NAME?</v>
      </c>
      <c r="AM102" t="e">
        <f ca="1">IF(AI102="","",SUMIFS(#REF!,RM!$C$4:$C991,AI102))</f>
        <v>#REF!</v>
      </c>
    </row>
    <row r="103" spans="5:39">
      <c r="E103" t="str">
        <f>IF(A103="","",SUMIFS('PR-BOM'!$D$3:$D1001,'PR-BOM'!$C$3:$C1001,A103)*C103)</f>
        <v/>
      </c>
      <c r="F103" t="e">
        <f ca="1">_xludf.IFNA(VLOOKUP(B103,'S-FG'!$B$3:$B1001,1,FALSE),"")</f>
        <v>#NAME?</v>
      </c>
      <c r="H103" t="str">
        <f ca="1">IFERROR(__xludf.DUMMYFUNCTION("""COMPUTED_VALUE"""),"Charging PM Assy")</f>
        <v>Charging PM Assy</v>
      </c>
      <c r="I103" t="str">
        <f ca="1">IFERROR(__xludf.DUMMYFUNCTION("""COMPUTED_VALUE"""),"Black 20 AWG")</f>
        <v>Black 20 AWG</v>
      </c>
      <c r="J103">
        <f ca="1">IFERROR(__xludf.DUMMYFUNCTION("""COMPUTED_VALUE"""),0.3)</f>
        <v>0.3</v>
      </c>
      <c r="K103" t="str">
        <f ca="1">IFERROR(__xludf.DUMMYFUNCTION("""COMPUTED_VALUE"""),"blank")</f>
        <v>blank</v>
      </c>
      <c r="L103">
        <f t="shared" ca="1" si="0"/>
        <v>0</v>
      </c>
      <c r="Q103" t="str">
        <f>IF(N103="","",SUMIFS('PR-BOM'!$D$3:$D1001,'PR-BOM'!$C$3:$C1001,N103))</f>
        <v/>
      </c>
      <c r="S103" t="str">
        <f ca="1">IFERROR(__xludf.DUMMYFUNCTION("""COMPUTED_VALUE"""),"Black 18 AWG")</f>
        <v>Black 18 AWG</v>
      </c>
      <c r="X103" t="e">
        <f ca="1"/>
        <v>#NAME?</v>
      </c>
      <c r="Y103" t="e">
        <f t="shared" ca="1" si="1"/>
        <v>#NAME?</v>
      </c>
      <c r="Z103" t="e">
        <f ca="1">IF(X103="","",SUMIFS(#REF!,RM!$C$4:$C991,X103))</f>
        <v>#NAME?</v>
      </c>
      <c r="AA103" t="e">
        <f ca="1">IF(X103="","",SUMIFS(#REF!,RM!$C$4:$C991,X103))</f>
        <v>#NAME?</v>
      </c>
      <c r="AB103" t="e">
        <f ca="1">IF(X103="","",SUMIFS(IRegback!$Y$2:$Y1001,IRegback!$X$2:$X1001,X103))</f>
        <v>#NAME?</v>
      </c>
      <c r="AC103" t="e">
        <f t="shared" ca="1" si="2"/>
        <v>#NAME?</v>
      </c>
      <c r="AD103" t="e">
        <f ca="1">IF(X103="","",VLOOKUP($X103,RM!$C$4:$G991,3,FALSE))</f>
        <v>#NAME?</v>
      </c>
      <c r="AE103" t="e">
        <f ca="1">IF(X103="","",VLOOKUP($X103,RM!$C$4:$G991,4,FALSE))</f>
        <v>#NAME?</v>
      </c>
      <c r="AF103" t="e">
        <f ca="1">IF(X103="","",VLOOKUP($X103,RM!$C$4:$G991,5,FALSE))</f>
        <v>#NAME?</v>
      </c>
      <c r="AH103" t="str">
        <f ca="1">IFERROR(__xludf.DUMMYFUNCTION("""COMPUTED_VALUE"""),"PORT Signal PM Assy")</f>
        <v>PORT Signal PM Assy</v>
      </c>
      <c r="AI103" t="str">
        <f ca="1">IFERROR(__xludf.DUMMYFUNCTION("""COMPUTED_VALUE"""),"10cm one sided JST crimped Voilet")</f>
        <v>10cm one sided JST crimped Voilet</v>
      </c>
      <c r="AJ103">
        <f ca="1">IFERROR(__xludf.DUMMYFUNCTION("""COMPUTED_VALUE"""),1)</f>
        <v>1</v>
      </c>
      <c r="AK103" t="str">
        <f ca="1">IFERROR(__xludf.DUMMYFUNCTION("""COMPUTED_VALUE"""),"blank")</f>
        <v>blank</v>
      </c>
      <c r="AL103" t="e">
        <f ca="1">_xludf.IFNA(VLOOKUP(AH103,'S-FG'!$B$3:$B1001,1,FALSE),"")</f>
        <v>#NAME?</v>
      </c>
      <c r="AM103" t="e">
        <f ca="1">IF(AI103="","",SUMIFS(#REF!,RM!$C$4:$C991,AI103))</f>
        <v>#REF!</v>
      </c>
    </row>
    <row r="104" spans="5:39">
      <c r="E104" t="str">
        <f>IF(A104="","",SUMIFS('PR-BOM'!$D$3:$D1001,'PR-BOM'!$C$3:$C1001,A104)*C104)</f>
        <v/>
      </c>
      <c r="F104" t="e">
        <f ca="1">_xludf.IFNA(VLOOKUP(B104,'S-FG'!$B$3:$B1001,1,FALSE),"")</f>
        <v>#NAME?</v>
      </c>
      <c r="H104" t="str">
        <f ca="1">IFERROR(__xludf.DUMMYFUNCTION("""COMPUTED_VALUE"""),"Charging PM Assy")</f>
        <v>Charging PM Assy</v>
      </c>
      <c r="I104" t="str">
        <f ca="1">IFERROR(__xludf.DUMMYFUNCTION("""COMPUTED_VALUE"""),"Red 20 AWG")</f>
        <v>Red 20 AWG</v>
      </c>
      <c r="J104">
        <f ca="1">IFERROR(__xludf.DUMMYFUNCTION("""COMPUTED_VALUE"""),0.3)</f>
        <v>0.3</v>
      </c>
      <c r="K104" t="str">
        <f ca="1">IFERROR(__xludf.DUMMYFUNCTION("""COMPUTED_VALUE"""),"blank")</f>
        <v>blank</v>
      </c>
      <c r="L104">
        <f t="shared" ca="1" si="0"/>
        <v>0</v>
      </c>
      <c r="Q104" t="str">
        <f>IF(N104="","",SUMIFS('PR-BOM'!$D$3:$D1001,'PR-BOM'!$C$3:$C1001,N104))</f>
        <v/>
      </c>
      <c r="S104" t="str">
        <f ca="1">IFERROR(__xludf.DUMMYFUNCTION("""COMPUTED_VALUE"""),"Black 20 AWG")</f>
        <v>Black 20 AWG</v>
      </c>
      <c r="X104" t="e">
        <f ca="1"/>
        <v>#NAME?</v>
      </c>
      <c r="Y104" t="e">
        <f t="shared" ca="1" si="1"/>
        <v>#NAME?</v>
      </c>
      <c r="Z104" t="e">
        <f ca="1">IF(X104="","",SUMIFS(#REF!,RM!$C$4:$C991,X104))</f>
        <v>#NAME?</v>
      </c>
      <c r="AA104" t="e">
        <f ca="1">IF(X104="","",SUMIFS(#REF!,RM!$C$4:$C991,X104))</f>
        <v>#NAME?</v>
      </c>
      <c r="AB104" t="e">
        <f ca="1">IF(X104="","",SUMIFS(IRegback!$Y$2:$Y1001,IRegback!$X$2:$X1001,X104))</f>
        <v>#NAME?</v>
      </c>
      <c r="AC104" t="e">
        <f t="shared" ca="1" si="2"/>
        <v>#NAME?</v>
      </c>
      <c r="AD104" t="e">
        <f ca="1">IF(X104="","",VLOOKUP($X104,RM!$C$4:$G991,3,FALSE))</f>
        <v>#NAME?</v>
      </c>
      <c r="AE104" t="e">
        <f ca="1">IF(X104="","",VLOOKUP($X104,RM!$C$4:$G991,4,FALSE))</f>
        <v>#NAME?</v>
      </c>
      <c r="AF104" t="e">
        <f ca="1">IF(X104="","",VLOOKUP($X104,RM!$C$4:$G991,5,FALSE))</f>
        <v>#NAME?</v>
      </c>
      <c r="AH104" t="str">
        <f ca="1">IFERROR(__xludf.DUMMYFUNCTION("""COMPUTED_VALUE"""),"PORT Signal PM Assy")</f>
        <v>PORT Signal PM Assy</v>
      </c>
      <c r="AI104" t="str">
        <f ca="1">IFERROR(__xludf.DUMMYFUNCTION("""COMPUTED_VALUE"""),"10cm one sided JST crimped Yellow")</f>
        <v>10cm one sided JST crimped Yellow</v>
      </c>
      <c r="AJ104">
        <f ca="1">IFERROR(__xludf.DUMMYFUNCTION("""COMPUTED_VALUE"""),1)</f>
        <v>1</v>
      </c>
      <c r="AK104" t="str">
        <f ca="1">IFERROR(__xludf.DUMMYFUNCTION("""COMPUTED_VALUE"""),"blank")</f>
        <v>blank</v>
      </c>
      <c r="AL104" t="e">
        <f ca="1">_xludf.IFNA(VLOOKUP(AH104,'S-FG'!$B$3:$B1001,1,FALSE),"")</f>
        <v>#NAME?</v>
      </c>
      <c r="AM104" t="e">
        <f ca="1">IF(AI104="","",SUMIFS(#REF!,RM!$C$4:$C991,AI104))</f>
        <v>#REF!</v>
      </c>
    </row>
    <row r="105" spans="5:39">
      <c r="E105" t="str">
        <f>IF(A105="","",SUMIFS('PR-BOM'!$D$3:$D1001,'PR-BOM'!$C$3:$C1001,A105)*C105)</f>
        <v/>
      </c>
      <c r="F105" t="e">
        <f ca="1">_xludf.IFNA(VLOOKUP(B105,'S-FG'!$B$3:$B1001,1,FALSE),"")</f>
        <v>#NAME?</v>
      </c>
      <c r="H105" t="str">
        <f ca="1">IFERROR(__xludf.DUMMYFUNCTION("""COMPUTED_VALUE"""),"Charging PM Assy")</f>
        <v>Charging PM Assy</v>
      </c>
      <c r="I105" t="str">
        <f ca="1">IFERROR(__xludf.DUMMYFUNCTION("""COMPUTED_VALUE"""),"13 pin JST-XH housing")</f>
        <v>13 pin JST-XH housing</v>
      </c>
      <c r="J105">
        <f ca="1">IFERROR(__xludf.DUMMYFUNCTION("""COMPUTED_VALUE"""),1)</f>
        <v>1</v>
      </c>
      <c r="K105" t="str">
        <f ca="1">IFERROR(__xludf.DUMMYFUNCTION("""COMPUTED_VALUE"""),"blank")</f>
        <v>blank</v>
      </c>
      <c r="L105">
        <f t="shared" ca="1" si="0"/>
        <v>0</v>
      </c>
      <c r="Q105" t="str">
        <f>IF(N105="","",SUMIFS('PR-BOM'!$D$3:$D1001,'PR-BOM'!$C$3:$C1001,N105))</f>
        <v/>
      </c>
      <c r="S105" t="str">
        <f ca="1">IFERROR(__xludf.DUMMYFUNCTION("""COMPUTED_VALUE"""),"Red 20 AWG")</f>
        <v>Red 20 AWG</v>
      </c>
      <c r="X105" t="e">
        <f ca="1"/>
        <v>#NAME?</v>
      </c>
      <c r="Y105" t="e">
        <f t="shared" ca="1" si="1"/>
        <v>#NAME?</v>
      </c>
      <c r="Z105" t="e">
        <f ca="1">IF(X105="","",SUMIFS(#REF!,RM!$C$4:$C991,X105))</f>
        <v>#NAME?</v>
      </c>
      <c r="AA105" t="e">
        <f ca="1">IF(X105="","",SUMIFS(#REF!,RM!$C$4:$C991,X105))</f>
        <v>#NAME?</v>
      </c>
      <c r="AB105" t="e">
        <f ca="1">IF(X105="","",SUMIFS(IRegback!$Y$2:$Y1001,IRegback!$X$2:$X1001,X105))</f>
        <v>#NAME?</v>
      </c>
      <c r="AC105" t="e">
        <f t="shared" ca="1" si="2"/>
        <v>#NAME?</v>
      </c>
      <c r="AD105" t="e">
        <f ca="1">IF(X105="","",VLOOKUP($X105,RM!$C$4:$G991,3,FALSE))</f>
        <v>#NAME?</v>
      </c>
      <c r="AE105" t="e">
        <f ca="1">IF(X105="","",VLOOKUP($X105,RM!$C$4:$G991,4,FALSE))</f>
        <v>#NAME?</v>
      </c>
      <c r="AF105" t="e">
        <f ca="1">IF(X105="","",VLOOKUP($X105,RM!$C$4:$G991,5,FALSE))</f>
        <v>#NAME?</v>
      </c>
      <c r="AH105" t="str">
        <f ca="1">IFERROR(__xludf.DUMMYFUNCTION("""COMPUTED_VALUE"""),"PORT Signal PM Assy")</f>
        <v>PORT Signal PM Assy</v>
      </c>
      <c r="AI105" t="str">
        <f ca="1">IFERROR(__xludf.DUMMYFUNCTION("""COMPUTED_VALUE"""),"10cm one sided JST crimped Sky Blue")</f>
        <v>10cm one sided JST crimped Sky Blue</v>
      </c>
      <c r="AJ105">
        <f ca="1">IFERROR(__xludf.DUMMYFUNCTION("""COMPUTED_VALUE"""),1)</f>
        <v>1</v>
      </c>
      <c r="AK105" t="str">
        <f ca="1">IFERROR(__xludf.DUMMYFUNCTION("""COMPUTED_VALUE"""),"blank")</f>
        <v>blank</v>
      </c>
      <c r="AL105" t="e">
        <f ca="1">_xludf.IFNA(VLOOKUP(AH105,'S-FG'!$B$3:$B1001,1,FALSE),"")</f>
        <v>#NAME?</v>
      </c>
      <c r="AM105" t="e">
        <f ca="1">IF(AI105="","",SUMIFS(#REF!,RM!$C$4:$C991,AI105))</f>
        <v>#REF!</v>
      </c>
    </row>
    <row r="106" spans="5:39">
      <c r="E106" t="str">
        <f>IF(A106="","",SUMIFS('PR-BOM'!$D$3:$D1001,'PR-BOM'!$C$3:$C1001,A106)*C106)</f>
        <v/>
      </c>
      <c r="F106" t="e">
        <f ca="1">_xludf.IFNA(VLOOKUP(B106,'S-FG'!$B$3:$B1001,1,FALSE),"")</f>
        <v>#NAME?</v>
      </c>
      <c r="H106" t="str">
        <f ca="1">IFERROR(__xludf.DUMMYFUNCTION("""COMPUTED_VALUE"""),"Charging PM Assy")</f>
        <v>Charging PM Assy</v>
      </c>
      <c r="I106" t="str">
        <f ca="1">IFERROR(__xludf.DUMMYFUNCTION("""COMPUTED_VALUE"""),"10cm one sided JST crimped Green")</f>
        <v>10cm one sided JST crimped Green</v>
      </c>
      <c r="J106">
        <f ca="1">IFERROR(__xludf.DUMMYFUNCTION("""COMPUTED_VALUE"""),1)</f>
        <v>1</v>
      </c>
      <c r="K106" t="str">
        <f ca="1">IFERROR(__xludf.DUMMYFUNCTION("""COMPUTED_VALUE"""),"blank")</f>
        <v>blank</v>
      </c>
      <c r="L106">
        <f t="shared" ca="1" si="0"/>
        <v>0</v>
      </c>
      <c r="Q106" t="str">
        <f>IF(N106="","",SUMIFS('PR-BOM'!$D$3:$D1001,'PR-BOM'!$C$3:$C1001,N106))</f>
        <v/>
      </c>
      <c r="S106" t="str">
        <f ca="1">IFERROR(__xludf.DUMMYFUNCTION("""COMPUTED_VALUE"""),"13 pin JST-XH housing")</f>
        <v>13 pin JST-XH housing</v>
      </c>
      <c r="X106" t="e">
        <f ca="1"/>
        <v>#NAME?</v>
      </c>
      <c r="Y106" t="e">
        <f t="shared" ca="1" si="1"/>
        <v>#NAME?</v>
      </c>
      <c r="Z106" t="e">
        <f ca="1">IF(X106="","",SUMIFS(#REF!,RM!$C$4:$C991,X106))</f>
        <v>#NAME?</v>
      </c>
      <c r="AA106" t="e">
        <f ca="1">IF(X106="","",SUMIFS(#REF!,RM!$C$4:$C991,X106))</f>
        <v>#NAME?</v>
      </c>
      <c r="AB106" t="e">
        <f ca="1">IF(X106="","",SUMIFS(IRegback!$Y$2:$Y1001,IRegback!$X$2:$X1001,X106))</f>
        <v>#NAME?</v>
      </c>
      <c r="AC106" t="e">
        <f t="shared" ca="1" si="2"/>
        <v>#NAME?</v>
      </c>
      <c r="AD106" t="e">
        <f ca="1">IF(X106="","",VLOOKUP($X106,RM!$C$4:$G991,3,FALSE))</f>
        <v>#NAME?</v>
      </c>
      <c r="AE106" t="e">
        <f ca="1">IF(X106="","",VLOOKUP($X106,RM!$C$4:$G991,4,FALSE))</f>
        <v>#NAME?</v>
      </c>
      <c r="AF106" t="e">
        <f ca="1">IF(X106="","",VLOOKUP($X106,RM!$C$4:$G991,5,FALSE))</f>
        <v>#NAME?</v>
      </c>
      <c r="AH106" t="str">
        <f ca="1">IFERROR(__xludf.DUMMYFUNCTION("""COMPUTED_VALUE"""),"PORT Signal PM Assy")</f>
        <v>PORT Signal PM Assy</v>
      </c>
      <c r="AI106" t="str">
        <f ca="1">IFERROR(__xludf.DUMMYFUNCTION("""COMPUTED_VALUE"""),"10cm one sided JST crimped Pink")</f>
        <v>10cm one sided JST crimped Pink</v>
      </c>
      <c r="AJ106">
        <f ca="1">IFERROR(__xludf.DUMMYFUNCTION("""COMPUTED_VALUE"""),1)</f>
        <v>1</v>
      </c>
      <c r="AK106" t="str">
        <f ca="1">IFERROR(__xludf.DUMMYFUNCTION("""COMPUTED_VALUE"""),"blank")</f>
        <v>blank</v>
      </c>
      <c r="AL106" t="e">
        <f ca="1">_xludf.IFNA(VLOOKUP(AH106,'S-FG'!$B$3:$B1001,1,FALSE),"")</f>
        <v>#NAME?</v>
      </c>
      <c r="AM106" t="e">
        <f ca="1">IF(AI106="","",SUMIFS(#REF!,RM!$C$4:$C991,AI106))</f>
        <v>#REF!</v>
      </c>
    </row>
    <row r="107" spans="5:39">
      <c r="E107" t="str">
        <f>IF(A107="","",SUMIFS('PR-BOM'!$D$3:$D1001,'PR-BOM'!$C$3:$C1001,A107)*C107)</f>
        <v/>
      </c>
      <c r="F107" t="e">
        <f ca="1">_xludf.IFNA(VLOOKUP(B107,'S-FG'!$B$3:$B1001,1,FALSE),"")</f>
        <v>#NAME?</v>
      </c>
      <c r="H107" t="str">
        <f ca="1">IFERROR(__xludf.DUMMYFUNCTION("""COMPUTED_VALUE"""),"Charging PM Assy")</f>
        <v>Charging PM Assy</v>
      </c>
      <c r="I107" t="str">
        <f ca="1">IFERROR(__xludf.DUMMYFUNCTION("""COMPUTED_VALUE"""),"10cm one sided JST crimped Voilet")</f>
        <v>10cm one sided JST crimped Voilet</v>
      </c>
      <c r="J107">
        <f ca="1">IFERROR(__xludf.DUMMYFUNCTION("""COMPUTED_VALUE"""),1)</f>
        <v>1</v>
      </c>
      <c r="K107" t="str">
        <f ca="1">IFERROR(__xludf.DUMMYFUNCTION("""COMPUTED_VALUE"""),"blank")</f>
        <v>blank</v>
      </c>
      <c r="L107">
        <f t="shared" ca="1" si="0"/>
        <v>0</v>
      </c>
      <c r="Q107" t="str">
        <f>IF(N107="","",SUMIFS('PR-BOM'!$D$3:$D1001,'PR-BOM'!$C$3:$C1001,N107))</f>
        <v/>
      </c>
      <c r="S107" t="str">
        <f ca="1">IFERROR(__xludf.DUMMYFUNCTION("""COMPUTED_VALUE"""),"10cm one sided JST crimped Green")</f>
        <v>10cm one sided JST crimped Green</v>
      </c>
      <c r="X107" t="e">
        <f ca="1"/>
        <v>#NAME?</v>
      </c>
      <c r="Y107" t="e">
        <f t="shared" ca="1" si="1"/>
        <v>#NAME?</v>
      </c>
      <c r="Z107" t="e">
        <f ca="1">IF(X107="","",SUMIFS(#REF!,RM!$C$4:$C991,X107))</f>
        <v>#NAME?</v>
      </c>
      <c r="AA107" t="e">
        <f ca="1">IF(X107="","",SUMIFS(#REF!,RM!$C$4:$C991,X107))</f>
        <v>#NAME?</v>
      </c>
      <c r="AB107" t="e">
        <f ca="1">IF(X107="","",SUMIFS(IRegback!$Y$2:$Y1001,IRegback!$X$2:$X1001,X107))</f>
        <v>#NAME?</v>
      </c>
      <c r="AC107" t="e">
        <f t="shared" ca="1" si="2"/>
        <v>#NAME?</v>
      </c>
      <c r="AD107" t="e">
        <f ca="1">IF(X107="","",VLOOKUP($X107,RM!$C$4:$G991,3,FALSE))</f>
        <v>#NAME?</v>
      </c>
      <c r="AE107" t="e">
        <f ca="1">IF(X107="","",VLOOKUP($X107,RM!$C$4:$G991,4,FALSE))</f>
        <v>#NAME?</v>
      </c>
      <c r="AF107" t="e">
        <f ca="1">IF(X107="","",VLOOKUP($X107,RM!$C$4:$G991,5,FALSE))</f>
        <v>#NAME?</v>
      </c>
      <c r="AH107" t="str">
        <f ca="1">IFERROR(__xludf.DUMMYFUNCTION("""COMPUTED_VALUE"""),"PORT Signal PM Assy")</f>
        <v>PORT Signal PM Assy</v>
      </c>
      <c r="AI107" t="str">
        <f ca="1">IFERROR(__xludf.DUMMYFUNCTION("""COMPUTED_VALUE"""),"10cm one sided JST crimped Orange")</f>
        <v>10cm one sided JST crimped Orange</v>
      </c>
      <c r="AJ107">
        <f ca="1">IFERROR(__xludf.DUMMYFUNCTION("""COMPUTED_VALUE"""),1)</f>
        <v>1</v>
      </c>
      <c r="AK107" t="str">
        <f ca="1">IFERROR(__xludf.DUMMYFUNCTION("""COMPUTED_VALUE"""),"blank")</f>
        <v>blank</v>
      </c>
      <c r="AL107" t="e">
        <f ca="1">_xludf.IFNA(VLOOKUP(AH107,'S-FG'!$B$3:$B1001,1,FALSE),"")</f>
        <v>#NAME?</v>
      </c>
      <c r="AM107" t="e">
        <f ca="1">IF(AI107="","",SUMIFS(#REF!,RM!$C$4:$C991,AI107))</f>
        <v>#REF!</v>
      </c>
    </row>
    <row r="108" spans="5:39">
      <c r="E108" t="str">
        <f>IF(A108="","",SUMIFS('PR-BOM'!$D$3:$D1001,'PR-BOM'!$C$3:$C1001,A108)*C108)</f>
        <v/>
      </c>
      <c r="F108" t="e">
        <f ca="1">_xludf.IFNA(VLOOKUP(B108,'S-FG'!$B$3:$B1001,1,FALSE),"")</f>
        <v>#NAME?</v>
      </c>
      <c r="H108" t="str">
        <f ca="1">IFERROR(__xludf.DUMMYFUNCTION("""COMPUTED_VALUE"""),"Charging PM Assy")</f>
        <v>Charging PM Assy</v>
      </c>
      <c r="I108" t="str">
        <f ca="1">IFERROR(__xludf.DUMMYFUNCTION("""COMPUTED_VALUE"""),"10cm one sided JST crimped Yellow")</f>
        <v>10cm one sided JST crimped Yellow</v>
      </c>
      <c r="J108">
        <f ca="1">IFERROR(__xludf.DUMMYFUNCTION("""COMPUTED_VALUE"""),1)</f>
        <v>1</v>
      </c>
      <c r="K108" t="str">
        <f ca="1">IFERROR(__xludf.DUMMYFUNCTION("""COMPUTED_VALUE"""),"blank")</f>
        <v>blank</v>
      </c>
      <c r="L108">
        <f t="shared" ca="1" si="0"/>
        <v>0</v>
      </c>
      <c r="Q108" t="str">
        <f>IF(N108="","",SUMIFS('PR-BOM'!$D$3:$D1001,'PR-BOM'!$C$3:$C1001,N108))</f>
        <v/>
      </c>
      <c r="S108" t="str">
        <f ca="1">IFERROR(__xludf.DUMMYFUNCTION("""COMPUTED_VALUE"""),"10cm one sided JST crimped Voilet")</f>
        <v>10cm one sided JST crimped Voilet</v>
      </c>
      <c r="X108" t="e">
        <f ca="1"/>
        <v>#NAME?</v>
      </c>
      <c r="Y108" t="e">
        <f t="shared" ca="1" si="1"/>
        <v>#NAME?</v>
      </c>
      <c r="Z108" t="e">
        <f ca="1">IF(X108="","",SUMIFS(#REF!,RM!$C$4:$C991,X108))</f>
        <v>#NAME?</v>
      </c>
      <c r="AA108" t="e">
        <f ca="1">IF(X108="","",SUMIFS(#REF!,RM!$C$4:$C991,X108))</f>
        <v>#NAME?</v>
      </c>
      <c r="AB108" t="e">
        <f ca="1">IF(X108="","",SUMIFS(IRegback!$Y$2:$Y1001,IRegback!$X$2:$X1001,X108))</f>
        <v>#NAME?</v>
      </c>
      <c r="AC108" t="e">
        <f t="shared" ca="1" si="2"/>
        <v>#NAME?</v>
      </c>
      <c r="AD108" t="e">
        <f ca="1">IF(X108="","",VLOOKUP($X108,RM!$C$4:$G991,3,FALSE))</f>
        <v>#NAME?</v>
      </c>
      <c r="AE108" t="e">
        <f ca="1">IF(X108="","",VLOOKUP($X108,RM!$C$4:$G991,4,FALSE))</f>
        <v>#NAME?</v>
      </c>
      <c r="AF108" t="e">
        <f ca="1">IF(X108="","",VLOOKUP($X108,RM!$C$4:$G991,5,FALSE))</f>
        <v>#NAME?</v>
      </c>
      <c r="AH108" t="str">
        <f ca="1">IFERROR(__xludf.DUMMYFUNCTION("""COMPUTED_VALUE"""),"PORT Signal PM Assy")</f>
        <v>PORT Signal PM Assy</v>
      </c>
      <c r="AI108" t="str">
        <f ca="1">IFERROR(__xludf.DUMMYFUNCTION("""COMPUTED_VALUE"""),"10cm one sided JST crimped Dark Blue")</f>
        <v>10cm one sided JST crimped Dark Blue</v>
      </c>
      <c r="AJ108">
        <f ca="1">IFERROR(__xludf.DUMMYFUNCTION("""COMPUTED_VALUE"""),1)</f>
        <v>1</v>
      </c>
      <c r="AK108" t="str">
        <f ca="1">IFERROR(__xludf.DUMMYFUNCTION("""COMPUTED_VALUE"""),"blank")</f>
        <v>blank</v>
      </c>
      <c r="AL108" t="e">
        <f ca="1">_xludf.IFNA(VLOOKUP(AH108,'S-FG'!$B$3:$B1001,1,FALSE),"")</f>
        <v>#NAME?</v>
      </c>
      <c r="AM108" t="e">
        <f ca="1">IF(AI108="","",SUMIFS(#REF!,RM!$C$4:$C991,AI108))</f>
        <v>#REF!</v>
      </c>
    </row>
    <row r="109" spans="5:39">
      <c r="E109" t="str">
        <f>IF(A109="","",SUMIFS('PR-BOM'!$D$3:$D1001,'PR-BOM'!$C$3:$C1001,A109)*C109)</f>
        <v/>
      </c>
      <c r="F109" t="e">
        <f ca="1">_xludf.IFNA(VLOOKUP(B109,'S-FG'!$B$3:$B1001,1,FALSE),"")</f>
        <v>#NAME?</v>
      </c>
      <c r="H109" t="str">
        <f ca="1">IFERROR(__xludf.DUMMYFUNCTION("""COMPUTED_VALUE"""),"Charging PM Assy")</f>
        <v>Charging PM Assy</v>
      </c>
      <c r="I109" t="str">
        <f ca="1">IFERROR(__xludf.DUMMYFUNCTION("""COMPUTED_VALUE"""),"10cm one sided JST crimped Sky Blue")</f>
        <v>10cm one sided JST crimped Sky Blue</v>
      </c>
      <c r="J109">
        <f ca="1">IFERROR(__xludf.DUMMYFUNCTION("""COMPUTED_VALUE"""),1)</f>
        <v>1</v>
      </c>
      <c r="K109" t="str">
        <f ca="1">IFERROR(__xludf.DUMMYFUNCTION("""COMPUTED_VALUE"""),"blank")</f>
        <v>blank</v>
      </c>
      <c r="L109">
        <f t="shared" ca="1" si="0"/>
        <v>0</v>
      </c>
      <c r="Q109" t="str">
        <f>IF(N109="","",SUMIFS('PR-BOM'!$D$3:$D1001,'PR-BOM'!$C$3:$C1001,N109))</f>
        <v/>
      </c>
      <c r="S109" t="str">
        <f ca="1">IFERROR(__xludf.DUMMYFUNCTION("""COMPUTED_VALUE"""),"10cm one sided JST crimped Yellow")</f>
        <v>10cm one sided JST crimped Yellow</v>
      </c>
      <c r="X109" t="e">
        <f ca="1"/>
        <v>#NAME?</v>
      </c>
      <c r="Y109" t="e">
        <f t="shared" ca="1" si="1"/>
        <v>#NAME?</v>
      </c>
      <c r="Z109" t="e">
        <f ca="1">IF(X109="","",SUMIFS(#REF!,RM!$C$4:$C991,X109))</f>
        <v>#NAME?</v>
      </c>
      <c r="AA109" t="e">
        <f ca="1">IF(X109="","",SUMIFS(#REF!,RM!$C$4:$C991,X109))</f>
        <v>#NAME?</v>
      </c>
      <c r="AB109" t="e">
        <f ca="1">IF(X109="","",SUMIFS(IRegback!$Y$2:$Y1001,IRegback!$X$2:$X1001,X109))</f>
        <v>#NAME?</v>
      </c>
      <c r="AC109" t="e">
        <f t="shared" ca="1" si="2"/>
        <v>#NAME?</v>
      </c>
      <c r="AD109" t="e">
        <f ca="1">IF(X109="","",VLOOKUP($X109,RM!$C$4:$G991,3,FALSE))</f>
        <v>#NAME?</v>
      </c>
      <c r="AE109" t="e">
        <f ca="1">IF(X109="","",VLOOKUP($X109,RM!$C$4:$G991,4,FALSE))</f>
        <v>#NAME?</v>
      </c>
      <c r="AF109" t="e">
        <f ca="1">IF(X109="","",VLOOKUP($X109,RM!$C$4:$G991,5,FALSE))</f>
        <v>#NAME?</v>
      </c>
      <c r="AH109" t="str">
        <f ca="1">IFERROR(__xludf.DUMMYFUNCTION("""COMPUTED_VALUE"""),"PORT Signal PM Assy")</f>
        <v>PORT Signal PM Assy</v>
      </c>
      <c r="AI109" t="str">
        <f ca="1">IFERROR(__xludf.DUMMYFUNCTION("""COMPUTED_VALUE"""),"10cm one sided JST crimped Light Brown")</f>
        <v>10cm one sided JST crimped Light Brown</v>
      </c>
      <c r="AJ109">
        <f ca="1">IFERROR(__xludf.DUMMYFUNCTION("""COMPUTED_VALUE"""),1)</f>
        <v>1</v>
      </c>
      <c r="AK109" t="str">
        <f ca="1">IFERROR(__xludf.DUMMYFUNCTION("""COMPUTED_VALUE"""),"blank")</f>
        <v>blank</v>
      </c>
      <c r="AL109" t="e">
        <f ca="1">_xludf.IFNA(VLOOKUP(AH109,'S-FG'!$B$3:$B1001,1,FALSE),"")</f>
        <v>#NAME?</v>
      </c>
      <c r="AM109" t="e">
        <f ca="1">IF(AI109="","",SUMIFS(#REF!,RM!$C$4:$C991,AI109))</f>
        <v>#REF!</v>
      </c>
    </row>
    <row r="110" spans="5:39">
      <c r="E110" t="str">
        <f>IF(A110="","",SUMIFS('PR-BOM'!$D$3:$D1001,'PR-BOM'!$C$3:$C1001,A110)*C110)</f>
        <v/>
      </c>
      <c r="F110" t="e">
        <f ca="1">_xludf.IFNA(VLOOKUP(B110,'S-FG'!$B$3:$B1001,1,FALSE),"")</f>
        <v>#NAME?</v>
      </c>
      <c r="H110" t="str">
        <f ca="1">IFERROR(__xludf.DUMMYFUNCTION("""COMPUTED_VALUE"""),"Charging PM Assy")</f>
        <v>Charging PM Assy</v>
      </c>
      <c r="I110" t="str">
        <f ca="1">IFERROR(__xludf.DUMMYFUNCTION("""COMPUTED_VALUE"""),"10cm one sided JST crimped Pink")</f>
        <v>10cm one sided JST crimped Pink</v>
      </c>
      <c r="J110">
        <f ca="1">IFERROR(__xludf.DUMMYFUNCTION("""COMPUTED_VALUE"""),1)</f>
        <v>1</v>
      </c>
      <c r="K110" t="str">
        <f ca="1">IFERROR(__xludf.DUMMYFUNCTION("""COMPUTED_VALUE"""),"blank")</f>
        <v>blank</v>
      </c>
      <c r="L110">
        <f t="shared" ca="1" si="0"/>
        <v>0</v>
      </c>
      <c r="Q110" t="str">
        <f>IF(N110="","",SUMIFS('PR-BOM'!$D$3:$D1001,'PR-BOM'!$C$3:$C1001,N110))</f>
        <v/>
      </c>
      <c r="S110" t="str">
        <f ca="1">IFERROR(__xludf.DUMMYFUNCTION("""COMPUTED_VALUE"""),"10cm one sided JST crimped Sky Blue")</f>
        <v>10cm one sided JST crimped Sky Blue</v>
      </c>
      <c r="X110" t="e">
        <f ca="1"/>
        <v>#NAME?</v>
      </c>
      <c r="Y110" t="e">
        <f t="shared" ca="1" si="1"/>
        <v>#NAME?</v>
      </c>
      <c r="Z110" t="e">
        <f ca="1">IF(X110="","",SUMIFS(#REF!,RM!$C$4:$C991,X110))</f>
        <v>#NAME?</v>
      </c>
      <c r="AA110" t="e">
        <f ca="1">IF(X110="","",SUMIFS(#REF!,RM!$C$4:$C991,X110))</f>
        <v>#NAME?</v>
      </c>
      <c r="AB110" t="e">
        <f ca="1">IF(X110="","",SUMIFS(IRegback!$Y$2:$Y1001,IRegback!$X$2:$X1001,X110))</f>
        <v>#NAME?</v>
      </c>
      <c r="AC110" t="e">
        <f t="shared" ca="1" si="2"/>
        <v>#NAME?</v>
      </c>
      <c r="AD110" t="e">
        <f ca="1">IF(X110="","",VLOOKUP($X110,RM!$C$4:$G991,3,FALSE))</f>
        <v>#NAME?</v>
      </c>
      <c r="AE110" t="e">
        <f ca="1">IF(X110="","",VLOOKUP($X110,RM!$C$4:$G991,4,FALSE))</f>
        <v>#NAME?</v>
      </c>
      <c r="AF110" t="e">
        <f ca="1">IF(X110="","",VLOOKUP($X110,RM!$C$4:$G991,5,FALSE))</f>
        <v>#NAME?</v>
      </c>
      <c r="AH110" t="str">
        <f ca="1">IFERROR(__xludf.DUMMYFUNCTION("""COMPUTED_VALUE"""),"PORT Signal PM Assy")</f>
        <v>PORT Signal PM Assy</v>
      </c>
      <c r="AI110" t="str">
        <f ca="1">IFERROR(__xludf.DUMMYFUNCTION("""COMPUTED_VALUE"""),"10cm one sided JST crimped Dark Brown")</f>
        <v>10cm one sided JST crimped Dark Brown</v>
      </c>
      <c r="AJ110">
        <f ca="1">IFERROR(__xludf.DUMMYFUNCTION("""COMPUTED_VALUE"""),1)</f>
        <v>1</v>
      </c>
      <c r="AK110" t="str">
        <f ca="1">IFERROR(__xludf.DUMMYFUNCTION("""COMPUTED_VALUE"""),"blank")</f>
        <v>blank</v>
      </c>
      <c r="AL110" t="e">
        <f ca="1">_xludf.IFNA(VLOOKUP(AH110,'S-FG'!$B$3:$B1001,1,FALSE),"")</f>
        <v>#NAME?</v>
      </c>
      <c r="AM110" t="e">
        <f ca="1">IF(AI110="","",SUMIFS(#REF!,RM!$C$4:$C991,AI110))</f>
        <v>#REF!</v>
      </c>
    </row>
    <row r="111" spans="5:39">
      <c r="E111" t="str">
        <f>IF(A111="","",SUMIFS('PR-BOM'!$D$3:$D1001,'PR-BOM'!$C$3:$C1001,A111)*C111)</f>
        <v/>
      </c>
      <c r="F111" t="e">
        <f ca="1">_xludf.IFNA(VLOOKUP(B111,'S-FG'!$B$3:$B1001,1,FALSE),"")</f>
        <v>#NAME?</v>
      </c>
      <c r="H111" t="str">
        <f ca="1">IFERROR(__xludf.DUMMYFUNCTION("""COMPUTED_VALUE"""),"Charging PM Assy")</f>
        <v>Charging PM Assy</v>
      </c>
      <c r="I111" t="str">
        <f ca="1">IFERROR(__xludf.DUMMYFUNCTION("""COMPUTED_VALUE"""),"10cm one sided JST crimped Orange")</f>
        <v>10cm one sided JST crimped Orange</v>
      </c>
      <c r="J111">
        <f ca="1">IFERROR(__xludf.DUMMYFUNCTION("""COMPUTED_VALUE"""),1)</f>
        <v>1</v>
      </c>
      <c r="K111" t="str">
        <f ca="1">IFERROR(__xludf.DUMMYFUNCTION("""COMPUTED_VALUE"""),"blank")</f>
        <v>blank</v>
      </c>
      <c r="L111">
        <f t="shared" ca="1" si="0"/>
        <v>0</v>
      </c>
      <c r="Q111" t="str">
        <f>IF(N111="","",SUMIFS('PR-BOM'!$D$3:$D1001,'PR-BOM'!$C$3:$C1001,N111))</f>
        <v/>
      </c>
      <c r="S111" t="str">
        <f ca="1">IFERROR(__xludf.DUMMYFUNCTION("""COMPUTED_VALUE"""),"10cm one sided JST crimped Pink")</f>
        <v>10cm one sided JST crimped Pink</v>
      </c>
      <c r="X111" t="e">
        <f ca="1"/>
        <v>#NAME?</v>
      </c>
      <c r="Y111" t="e">
        <f t="shared" ca="1" si="1"/>
        <v>#NAME?</v>
      </c>
      <c r="Z111" t="e">
        <f ca="1">IF(X111="","",SUMIFS(#REF!,RM!$C$4:$C991,X111))</f>
        <v>#NAME?</v>
      </c>
      <c r="AA111" t="e">
        <f ca="1">IF(X111="","",SUMIFS(#REF!,RM!$C$4:$C991,X111))</f>
        <v>#NAME?</v>
      </c>
      <c r="AB111" t="e">
        <f ca="1">IF(X111="","",SUMIFS(IRegback!$Y$2:$Y1001,IRegback!$X$2:$X1001,X111))</f>
        <v>#NAME?</v>
      </c>
      <c r="AC111" t="e">
        <f t="shared" ca="1" si="2"/>
        <v>#NAME?</v>
      </c>
      <c r="AD111" t="e">
        <f ca="1">IF(X111="","",VLOOKUP($X111,RM!$C$4:$G991,3,FALSE))</f>
        <v>#NAME?</v>
      </c>
      <c r="AE111" t="e">
        <f ca="1">IF(X111="","",VLOOKUP($X111,RM!$C$4:$G991,4,FALSE))</f>
        <v>#NAME?</v>
      </c>
      <c r="AF111" t="e">
        <f ca="1">IF(X111="","",VLOOKUP($X111,RM!$C$4:$G991,5,FALSE))</f>
        <v>#NAME?</v>
      </c>
      <c r="AH111" t="str">
        <f ca="1">IFERROR(__xludf.DUMMYFUNCTION("""COMPUTED_VALUE"""),"PORT Signal PM Assy")</f>
        <v>PORT Signal PM Assy</v>
      </c>
      <c r="AI111" t="str">
        <f ca="1">IFERROR(__xludf.DUMMYFUNCTION("""COMPUTED_VALUE"""),"10cm one sided JST crimped White with Red strip")</f>
        <v>10cm one sided JST crimped White with Red strip</v>
      </c>
      <c r="AJ111">
        <f ca="1">IFERROR(__xludf.DUMMYFUNCTION("""COMPUTED_VALUE"""),1)</f>
        <v>1</v>
      </c>
      <c r="AK111" t="str">
        <f ca="1">IFERROR(__xludf.DUMMYFUNCTION("""COMPUTED_VALUE"""),"blank")</f>
        <v>blank</v>
      </c>
      <c r="AL111" t="e">
        <f ca="1">_xludf.IFNA(VLOOKUP(AH111,'S-FG'!$B$3:$B1001,1,FALSE),"")</f>
        <v>#NAME?</v>
      </c>
      <c r="AM111" t="e">
        <f ca="1">IF(AI111="","",SUMIFS(#REF!,RM!$C$4:$C991,AI111))</f>
        <v>#REF!</v>
      </c>
    </row>
    <row r="112" spans="5:39">
      <c r="E112" t="str">
        <f>IF(A112="","",SUMIFS('PR-BOM'!$D$3:$D1001,'PR-BOM'!$C$3:$C1001,A112)*C112)</f>
        <v/>
      </c>
      <c r="F112" t="e">
        <f ca="1">_xludf.IFNA(VLOOKUP(B112,'S-FG'!$B$3:$B1001,1,FALSE),"")</f>
        <v>#NAME?</v>
      </c>
      <c r="H112" t="str">
        <f ca="1">IFERROR(__xludf.DUMMYFUNCTION("""COMPUTED_VALUE"""),"Charging PM Assy")</f>
        <v>Charging PM Assy</v>
      </c>
      <c r="I112" t="str">
        <f ca="1">IFERROR(__xludf.DUMMYFUNCTION("""COMPUTED_VALUE"""),"10cm one sided JST crimped Dark Blue")</f>
        <v>10cm one sided JST crimped Dark Blue</v>
      </c>
      <c r="J112">
        <f ca="1">IFERROR(__xludf.DUMMYFUNCTION("""COMPUTED_VALUE"""),1)</f>
        <v>1</v>
      </c>
      <c r="K112" t="str">
        <f ca="1">IFERROR(__xludf.DUMMYFUNCTION("""COMPUTED_VALUE"""),"blank")</f>
        <v>blank</v>
      </c>
      <c r="L112">
        <f t="shared" ca="1" si="0"/>
        <v>0</v>
      </c>
      <c r="Q112" t="str">
        <f>IF(N112="","",SUMIFS('PR-BOM'!$D$3:$D1001,'PR-BOM'!$C$3:$C1001,N112))</f>
        <v/>
      </c>
      <c r="S112" t="str">
        <f ca="1">IFERROR(__xludf.DUMMYFUNCTION("""COMPUTED_VALUE"""),"10cm one sided JST crimped Orange")</f>
        <v>10cm one sided JST crimped Orange</v>
      </c>
      <c r="X112" t="e">
        <f ca="1"/>
        <v>#NAME?</v>
      </c>
      <c r="Y112" t="e">
        <f t="shared" ca="1" si="1"/>
        <v>#NAME?</v>
      </c>
      <c r="Z112" t="e">
        <f ca="1">IF(X112="","",SUMIFS(#REF!,RM!$C$4:$C991,X112))</f>
        <v>#NAME?</v>
      </c>
      <c r="AA112" t="e">
        <f ca="1">IF(X112="","",SUMIFS(#REF!,RM!$C$4:$C991,X112))</f>
        <v>#NAME?</v>
      </c>
      <c r="AB112" t="e">
        <f ca="1">IF(X112="","",SUMIFS(IRegback!$Y$2:$Y1001,IRegback!$X$2:$X1001,X112))</f>
        <v>#NAME?</v>
      </c>
      <c r="AC112" t="e">
        <f t="shared" ca="1" si="2"/>
        <v>#NAME?</v>
      </c>
      <c r="AD112" t="e">
        <f ca="1">IF(X112="","",VLOOKUP($X112,RM!$C$4:$G991,3,FALSE))</f>
        <v>#NAME?</v>
      </c>
      <c r="AE112" t="e">
        <f ca="1">IF(X112="","",VLOOKUP($X112,RM!$C$4:$G991,4,FALSE))</f>
        <v>#NAME?</v>
      </c>
      <c r="AF112" t="e">
        <f ca="1">IF(X112="","",VLOOKUP($X112,RM!$C$4:$G991,5,FALSE))</f>
        <v>#NAME?</v>
      </c>
      <c r="AH112" t="str">
        <f ca="1">IFERROR(__xludf.DUMMYFUNCTION("""COMPUTED_VALUE"""),"PORT Signal PM Assy")</f>
        <v>PORT Signal PM Assy</v>
      </c>
      <c r="AI112" t="str">
        <f ca="1">IFERROR(__xludf.DUMMYFUNCTION("""COMPUTED_VALUE"""),"10cm one sided JST crimped White with black strip")</f>
        <v>10cm one sided JST crimped White with black strip</v>
      </c>
      <c r="AJ112">
        <f ca="1">IFERROR(__xludf.DUMMYFUNCTION("""COMPUTED_VALUE"""),1)</f>
        <v>1</v>
      </c>
      <c r="AK112" t="str">
        <f ca="1">IFERROR(__xludf.DUMMYFUNCTION("""COMPUTED_VALUE"""),"blank")</f>
        <v>blank</v>
      </c>
      <c r="AL112" t="e">
        <f ca="1">_xludf.IFNA(VLOOKUP(AH112,'S-FG'!$B$3:$B1001,1,FALSE),"")</f>
        <v>#NAME?</v>
      </c>
      <c r="AM112" t="e">
        <f ca="1">IF(AI112="","",SUMIFS(#REF!,RM!$C$4:$C991,AI112))</f>
        <v>#REF!</v>
      </c>
    </row>
    <row r="113" spans="5:39">
      <c r="E113" t="str">
        <f>IF(A113="","",SUMIFS('PR-BOM'!$D$3:$D1001,'PR-BOM'!$C$3:$C1001,A113)*C113)</f>
        <v/>
      </c>
      <c r="F113" t="e">
        <f ca="1">_xludf.IFNA(VLOOKUP(B113,'S-FG'!$B$3:$B1001,1,FALSE),"")</f>
        <v>#NAME?</v>
      </c>
      <c r="H113" t="str">
        <f ca="1">IFERROR(__xludf.DUMMYFUNCTION("""COMPUTED_VALUE"""),"Charging PM Assy")</f>
        <v>Charging PM Assy</v>
      </c>
      <c r="I113" t="str">
        <f ca="1">IFERROR(__xludf.DUMMYFUNCTION("""COMPUTED_VALUE"""),"10cm one sided JST crimped Light Brown")</f>
        <v>10cm one sided JST crimped Light Brown</v>
      </c>
      <c r="J113">
        <f ca="1">IFERROR(__xludf.DUMMYFUNCTION("""COMPUTED_VALUE"""),1)</f>
        <v>1</v>
      </c>
      <c r="K113" t="str">
        <f ca="1">IFERROR(__xludf.DUMMYFUNCTION("""COMPUTED_VALUE"""),"blank")</f>
        <v>blank</v>
      </c>
      <c r="L113">
        <f t="shared" ca="1" si="0"/>
        <v>0</v>
      </c>
      <c r="Q113" t="str">
        <f>IF(N113="","",SUMIFS('PR-BOM'!$D$3:$D1001,'PR-BOM'!$C$3:$C1001,N113))</f>
        <v/>
      </c>
      <c r="S113" t="str">
        <f ca="1">IFERROR(__xludf.DUMMYFUNCTION("""COMPUTED_VALUE"""),"10cm one sided JST crimped Dark Blue")</f>
        <v>10cm one sided JST crimped Dark Blue</v>
      </c>
      <c r="X113" t="e">
        <f ca="1"/>
        <v>#NAME?</v>
      </c>
      <c r="Y113" t="e">
        <f t="shared" ca="1" si="1"/>
        <v>#NAME?</v>
      </c>
      <c r="Z113" t="e">
        <f ca="1">IF(X113="","",SUMIFS(#REF!,RM!$C$4:$C991,X113))</f>
        <v>#NAME?</v>
      </c>
      <c r="AA113" t="e">
        <f ca="1">IF(X113="","",SUMIFS(#REF!,RM!$C$4:$C991,X113))</f>
        <v>#NAME?</v>
      </c>
      <c r="AB113" t="e">
        <f ca="1">IF(X113="","",SUMIFS(IRegback!$Y$2:$Y1001,IRegback!$X$2:$X1001,X113))</f>
        <v>#NAME?</v>
      </c>
      <c r="AC113" t="e">
        <f t="shared" ca="1" si="2"/>
        <v>#NAME?</v>
      </c>
      <c r="AD113" t="e">
        <f ca="1">IF(X113="","",VLOOKUP($X113,RM!$C$4:$G991,3,FALSE))</f>
        <v>#NAME?</v>
      </c>
      <c r="AE113" t="e">
        <f ca="1">IF(X113="","",VLOOKUP($X113,RM!$C$4:$G991,4,FALSE))</f>
        <v>#NAME?</v>
      </c>
      <c r="AF113" t="e">
        <f ca="1">IF(X113="","",VLOOKUP($X113,RM!$C$4:$G991,5,FALSE))</f>
        <v>#NAME?</v>
      </c>
      <c r="AH113" t="str">
        <f ca="1">IFERROR(__xludf.DUMMYFUNCTION("""COMPUTED_VALUE"""),"PORT Signal PM Assy")</f>
        <v>PORT Signal PM Assy</v>
      </c>
      <c r="AI113" t="str">
        <f ca="1">IFERROR(__xludf.DUMMYFUNCTION("""COMPUTED_VALUE"""),"10cm one sided JST crimped White")</f>
        <v>10cm one sided JST crimped White</v>
      </c>
      <c r="AJ113">
        <f ca="1">IFERROR(__xludf.DUMMYFUNCTION("""COMPUTED_VALUE"""),1)</f>
        <v>1</v>
      </c>
      <c r="AK113" t="str">
        <f ca="1">IFERROR(__xludf.DUMMYFUNCTION("""COMPUTED_VALUE"""),"blank")</f>
        <v>blank</v>
      </c>
      <c r="AL113" t="e">
        <f ca="1">_xludf.IFNA(VLOOKUP(AH113,'S-FG'!$B$3:$B1001,1,FALSE),"")</f>
        <v>#NAME?</v>
      </c>
      <c r="AM113" t="e">
        <f ca="1">IF(AI113="","",SUMIFS(#REF!,RM!$C$4:$C991,AI113))</f>
        <v>#REF!</v>
      </c>
    </row>
    <row r="114" spans="5:39">
      <c r="E114" t="str">
        <f>IF(A114="","",SUMIFS('PR-BOM'!$D$3:$D1001,'PR-BOM'!$C$3:$C1001,A114)*C114)</f>
        <v/>
      </c>
      <c r="F114" t="e">
        <f ca="1">_xludf.IFNA(VLOOKUP(B114,'S-FG'!$B$3:$B1001,1,FALSE),"")</f>
        <v>#NAME?</v>
      </c>
      <c r="H114" t="str">
        <f ca="1">IFERROR(__xludf.DUMMYFUNCTION("""COMPUTED_VALUE"""),"Charging PM Assy")</f>
        <v>Charging PM Assy</v>
      </c>
      <c r="I114" t="str">
        <f ca="1">IFERROR(__xludf.DUMMYFUNCTION("""COMPUTED_VALUE"""),"10cm one sided JST crimped Dark Brown")</f>
        <v>10cm one sided JST crimped Dark Brown</v>
      </c>
      <c r="J114">
        <f ca="1">IFERROR(__xludf.DUMMYFUNCTION("""COMPUTED_VALUE"""),1)</f>
        <v>1</v>
      </c>
      <c r="K114" t="str">
        <f ca="1">IFERROR(__xludf.DUMMYFUNCTION("""COMPUTED_VALUE"""),"blank")</f>
        <v>blank</v>
      </c>
      <c r="L114">
        <f t="shared" ca="1" si="0"/>
        <v>0</v>
      </c>
      <c r="Q114" t="str">
        <f>IF(N114="","",SUMIFS('PR-BOM'!$D$3:$D1001,'PR-BOM'!$C$3:$C1001,N114))</f>
        <v/>
      </c>
      <c r="S114" t="str">
        <f ca="1">IFERROR(__xludf.DUMMYFUNCTION("""COMPUTED_VALUE"""),"10cm one sided JST crimped Light Brown")</f>
        <v>10cm one sided JST crimped Light Brown</v>
      </c>
      <c r="X114" t="e">
        <f ca="1"/>
        <v>#NAME?</v>
      </c>
      <c r="Y114" t="e">
        <f t="shared" ca="1" si="1"/>
        <v>#NAME?</v>
      </c>
      <c r="Z114" t="e">
        <f ca="1">IF(X114="","",SUMIFS(#REF!,RM!$C$4:$C991,X114))</f>
        <v>#NAME?</v>
      </c>
      <c r="AA114" t="e">
        <f ca="1">IF(X114="","",SUMIFS(#REF!,RM!$C$4:$C991,X114))</f>
        <v>#NAME?</v>
      </c>
      <c r="AB114" t="e">
        <f ca="1">IF(X114="","",SUMIFS(IRegback!$Y$2:$Y1001,IRegback!$X$2:$X1001,X114))</f>
        <v>#NAME?</v>
      </c>
      <c r="AC114" t="e">
        <f t="shared" ca="1" si="2"/>
        <v>#NAME?</v>
      </c>
      <c r="AD114" t="e">
        <f ca="1">IF(X114="","",VLOOKUP($X114,RM!$C$4:$G991,3,FALSE))</f>
        <v>#NAME?</v>
      </c>
      <c r="AE114" t="e">
        <f ca="1">IF(X114="","",VLOOKUP($X114,RM!$C$4:$G991,4,FALSE))</f>
        <v>#NAME?</v>
      </c>
      <c r="AF114" t="e">
        <f ca="1">IF(X114="","",VLOOKUP($X114,RM!$C$4:$G991,5,FALSE))</f>
        <v>#NAME?</v>
      </c>
      <c r="AH114" t="str">
        <f ca="1">IFERROR(__xludf.DUMMYFUNCTION("""COMPUTED_VALUE"""),"PORT Signal PM Assy")</f>
        <v>PORT Signal PM Assy</v>
      </c>
      <c r="AI114" t="str">
        <f ca="1">IFERROR(__xludf.DUMMYFUNCTION("""COMPUTED_VALUE"""),"10cm one sided JST crimped Dark Parrot Green")</f>
        <v>10cm one sided JST crimped Dark Parrot Green</v>
      </c>
      <c r="AJ114">
        <f ca="1">IFERROR(__xludf.DUMMYFUNCTION("""COMPUTED_VALUE"""),1)</f>
        <v>1</v>
      </c>
      <c r="AK114" t="str">
        <f ca="1">IFERROR(__xludf.DUMMYFUNCTION("""COMPUTED_VALUE"""),"blank")</f>
        <v>blank</v>
      </c>
      <c r="AL114" t="e">
        <f ca="1">_xludf.IFNA(VLOOKUP(AH114,'S-FG'!$B$3:$B1001,1,FALSE),"")</f>
        <v>#NAME?</v>
      </c>
      <c r="AM114" t="e">
        <f ca="1">IF(AI114="","",SUMIFS(#REF!,RM!$C$4:$C991,AI114))</f>
        <v>#REF!</v>
      </c>
    </row>
    <row r="115" spans="5:39">
      <c r="E115" t="str">
        <f>IF(A115="","",SUMIFS('PR-BOM'!$D$3:$D1001,'PR-BOM'!$C$3:$C1001,A115)*C115)</f>
        <v/>
      </c>
      <c r="F115" t="e">
        <f ca="1">_xludf.IFNA(VLOOKUP(B115,'S-FG'!$B$3:$B1001,1,FALSE),"")</f>
        <v>#NAME?</v>
      </c>
      <c r="H115" t="str">
        <f ca="1">IFERROR(__xludf.DUMMYFUNCTION("""COMPUTED_VALUE"""),"Charging PM Assy")</f>
        <v>Charging PM Assy</v>
      </c>
      <c r="I115" t="str">
        <f ca="1">IFERROR(__xludf.DUMMYFUNCTION("""COMPUTED_VALUE"""),"10cm one sided JST crimped White with Red strip")</f>
        <v>10cm one sided JST crimped White with Red strip</v>
      </c>
      <c r="J115">
        <f ca="1">IFERROR(__xludf.DUMMYFUNCTION("""COMPUTED_VALUE"""),1)</f>
        <v>1</v>
      </c>
      <c r="K115" t="str">
        <f ca="1">IFERROR(__xludf.DUMMYFUNCTION("""COMPUTED_VALUE"""),"blank")</f>
        <v>blank</v>
      </c>
      <c r="L115">
        <f t="shared" ca="1" si="0"/>
        <v>0</v>
      </c>
      <c r="Q115" t="str">
        <f>IF(N115="","",SUMIFS('PR-BOM'!$D$3:$D1001,'PR-BOM'!$C$3:$C1001,N115))</f>
        <v/>
      </c>
      <c r="S115" t="str">
        <f ca="1">IFERROR(__xludf.DUMMYFUNCTION("""COMPUTED_VALUE"""),"10cm one sided JST crimped Dark Brown")</f>
        <v>10cm one sided JST crimped Dark Brown</v>
      </c>
      <c r="X115" t="e">
        <f ca="1"/>
        <v>#NAME?</v>
      </c>
      <c r="Y115" t="e">
        <f t="shared" ca="1" si="1"/>
        <v>#NAME?</v>
      </c>
      <c r="Z115" t="e">
        <f ca="1">IF(X115="","",SUMIFS(#REF!,RM!$C$4:$C991,X115))</f>
        <v>#NAME?</v>
      </c>
      <c r="AA115" t="e">
        <f ca="1">IF(X115="","",SUMIFS(#REF!,RM!$C$4:$C991,X115))</f>
        <v>#NAME?</v>
      </c>
      <c r="AB115" t="e">
        <f ca="1">IF(X115="","",SUMIFS(IRegback!$Y$2:$Y1001,IRegback!$X$2:$X1001,X115))</f>
        <v>#NAME?</v>
      </c>
      <c r="AC115" t="e">
        <f t="shared" ca="1" si="2"/>
        <v>#NAME?</v>
      </c>
      <c r="AD115" t="e">
        <f ca="1">IF(X115="","",VLOOKUP($X115,RM!$C$4:$G991,3,FALSE))</f>
        <v>#NAME?</v>
      </c>
      <c r="AE115" t="e">
        <f ca="1">IF(X115="","",VLOOKUP($X115,RM!$C$4:$G991,4,FALSE))</f>
        <v>#NAME?</v>
      </c>
      <c r="AF115" t="e">
        <f ca="1">IF(X115="","",VLOOKUP($X115,RM!$C$4:$G991,5,FALSE))</f>
        <v>#NAME?</v>
      </c>
      <c r="AH115" t="str">
        <f ca="1">IFERROR(__xludf.DUMMYFUNCTION("""COMPUTED_VALUE"""),"PORT Signal PM Assy")</f>
        <v>PORT Signal PM Assy</v>
      </c>
      <c r="AI115" t="str">
        <f ca="1">IFERROR(__xludf.DUMMYFUNCTION("""COMPUTED_VALUE"""),"SY21-15 pin panel mount")</f>
        <v>SY21-15 pin panel mount</v>
      </c>
      <c r="AJ115">
        <f ca="1">IFERROR(__xludf.DUMMYFUNCTION("""COMPUTED_VALUE"""),1)</f>
        <v>1</v>
      </c>
      <c r="AK115" t="str">
        <f ca="1">IFERROR(__xludf.DUMMYFUNCTION("""COMPUTED_VALUE"""),"blank")</f>
        <v>blank</v>
      </c>
      <c r="AL115" t="e">
        <f ca="1">_xludf.IFNA(VLOOKUP(AH115,'S-FG'!$B$3:$B1001,1,FALSE),"")</f>
        <v>#NAME?</v>
      </c>
      <c r="AM115" t="e">
        <f ca="1">IF(AI115="","",SUMIFS(#REF!,RM!$C$4:$C991,AI115))</f>
        <v>#REF!</v>
      </c>
    </row>
    <row r="116" spans="5:39">
      <c r="E116" t="str">
        <f>IF(A116="","",SUMIFS('PR-BOM'!$D$3:$D1001,'PR-BOM'!$C$3:$C1001,A116)*C116)</f>
        <v/>
      </c>
      <c r="F116" t="e">
        <f ca="1">_xludf.IFNA(VLOOKUP(B116,'S-FG'!$B$3:$B1001,1,FALSE),"")</f>
        <v>#NAME?</v>
      </c>
      <c r="H116" t="str">
        <f ca="1">IFERROR(__xludf.DUMMYFUNCTION("""COMPUTED_VALUE"""),"Charging PM Assy")</f>
        <v>Charging PM Assy</v>
      </c>
      <c r="I116" t="str">
        <f ca="1">IFERROR(__xludf.DUMMYFUNCTION("""COMPUTED_VALUE"""),"10cm one sided JST crimped White with black strip")</f>
        <v>10cm one sided JST crimped White with black strip</v>
      </c>
      <c r="J116">
        <f ca="1">IFERROR(__xludf.DUMMYFUNCTION("""COMPUTED_VALUE"""),1)</f>
        <v>1</v>
      </c>
      <c r="K116" t="str">
        <f ca="1">IFERROR(__xludf.DUMMYFUNCTION("""COMPUTED_VALUE"""),"blank")</f>
        <v>blank</v>
      </c>
      <c r="L116">
        <f t="shared" ca="1" si="0"/>
        <v>0</v>
      </c>
      <c r="Q116" t="str">
        <f>IF(N116="","",SUMIFS('PR-BOM'!$D$3:$D1001,'PR-BOM'!$C$3:$C1001,N116))</f>
        <v/>
      </c>
      <c r="S116" t="str">
        <f ca="1">IFERROR(__xludf.DUMMYFUNCTION("""COMPUTED_VALUE"""),"10cm one sided JST crimped White with Red strip")</f>
        <v>10cm one sided JST crimped White with Red strip</v>
      </c>
      <c r="X116" t="e">
        <f ca="1"/>
        <v>#NAME?</v>
      </c>
      <c r="Y116" t="e">
        <f t="shared" ca="1" si="1"/>
        <v>#NAME?</v>
      </c>
      <c r="Z116" t="e">
        <f ca="1">IF(X116="","",SUMIFS(#REF!,RM!$C$4:$C991,X116))</f>
        <v>#NAME?</v>
      </c>
      <c r="AA116" t="e">
        <f ca="1">IF(X116="","",SUMIFS(#REF!,RM!$C$4:$C991,X116))</f>
        <v>#NAME?</v>
      </c>
      <c r="AB116" t="e">
        <f ca="1">IF(X116="","",SUMIFS(IRegback!$Y$2:$Y1001,IRegback!$X$2:$X1001,X116))</f>
        <v>#NAME?</v>
      </c>
      <c r="AC116" t="e">
        <f t="shared" ca="1" si="2"/>
        <v>#NAME?</v>
      </c>
      <c r="AD116" t="e">
        <f ca="1">IF(X116="","",VLOOKUP($X116,RM!$C$4:$G991,3,FALSE))</f>
        <v>#NAME?</v>
      </c>
      <c r="AE116" t="e">
        <f ca="1">IF(X116="","",VLOOKUP($X116,RM!$C$4:$G991,4,FALSE))</f>
        <v>#NAME?</v>
      </c>
      <c r="AF116" t="e">
        <f ca="1">IF(X116="","",VLOOKUP($X116,RM!$C$4:$G991,5,FALSE))</f>
        <v>#NAME?</v>
      </c>
      <c r="AH116" t="str">
        <f ca="1">IFERROR(__xludf.DUMMYFUNCTION("""COMPUTED_VALUE"""),"PORT Signal PM Assy")</f>
        <v>PORT Signal PM Assy</v>
      </c>
      <c r="AI116" t="str">
        <f ca="1">IFERROR(__xludf.DUMMYFUNCTION("""COMPUTED_VALUE"""),"HeatShrink Tube 1.5mm/1.6mm")</f>
        <v>HeatShrink Tube 1.5mm/1.6mm</v>
      </c>
      <c r="AJ116">
        <f ca="1">IFERROR(__xludf.DUMMYFUNCTION("""COMPUTED_VALUE"""),0.15)</f>
        <v>0.15</v>
      </c>
      <c r="AL116" t="e">
        <f ca="1">_xludf.IFNA(VLOOKUP(AH116,'S-FG'!$B$3:$B1001,1,FALSE),"")</f>
        <v>#NAME?</v>
      </c>
      <c r="AM116" t="e">
        <f ca="1">IF(AI116="","",SUMIFS(#REF!,RM!$C$4:$C991,AI116))</f>
        <v>#REF!</v>
      </c>
    </row>
    <row r="117" spans="5:39">
      <c r="E117" t="str">
        <f>IF(A117="","",SUMIFS('PR-BOM'!$D$3:$D1001,'PR-BOM'!$C$3:$C1001,A117)*C117)</f>
        <v/>
      </c>
      <c r="F117" t="e">
        <f ca="1">_xludf.IFNA(VLOOKUP(B117,'S-FG'!$B$3:$B1001,1,FALSE),"")</f>
        <v>#NAME?</v>
      </c>
      <c r="H117" t="str">
        <f ca="1">IFERROR(__xludf.DUMMYFUNCTION("""COMPUTED_VALUE"""),"Charging PM Assy")</f>
        <v>Charging PM Assy</v>
      </c>
      <c r="I117" t="str">
        <f ca="1">IFERROR(__xludf.DUMMYFUNCTION("""COMPUTED_VALUE"""),"10cm one sided JST crimped White")</f>
        <v>10cm one sided JST crimped White</v>
      </c>
      <c r="J117">
        <f ca="1">IFERROR(__xludf.DUMMYFUNCTION("""COMPUTED_VALUE"""),1)</f>
        <v>1</v>
      </c>
      <c r="K117" t="str">
        <f ca="1">IFERROR(__xludf.DUMMYFUNCTION("""COMPUTED_VALUE"""),"blank")</f>
        <v>blank</v>
      </c>
      <c r="L117">
        <f t="shared" ca="1" si="0"/>
        <v>0</v>
      </c>
      <c r="Q117" t="str">
        <f>IF(N117="","",SUMIFS('PR-BOM'!$D$3:$D1001,'PR-BOM'!$C$3:$C1001,N117))</f>
        <v/>
      </c>
      <c r="S117" t="str">
        <f ca="1">IFERROR(__xludf.DUMMYFUNCTION("""COMPUTED_VALUE"""),"10cm one sided JST crimped White with black strip")</f>
        <v>10cm one sided JST crimped White with black strip</v>
      </c>
      <c r="X117" t="e">
        <f ca="1"/>
        <v>#NAME?</v>
      </c>
      <c r="Y117" t="e">
        <f t="shared" ca="1" si="1"/>
        <v>#NAME?</v>
      </c>
      <c r="Z117" t="e">
        <f ca="1">IF(X117="","",SUMIFS(#REF!,RM!$C$4:$C991,X117))</f>
        <v>#NAME?</v>
      </c>
      <c r="AA117" t="e">
        <f ca="1">IF(X117="","",SUMIFS(#REF!,RM!$C$4:$C991,X117))</f>
        <v>#NAME?</v>
      </c>
      <c r="AB117" t="e">
        <f ca="1">IF(X117="","",SUMIFS(IRegback!$Y$2:$Y1001,IRegback!$X$2:$X1001,X117))</f>
        <v>#NAME?</v>
      </c>
      <c r="AC117" t="e">
        <f t="shared" ca="1" si="2"/>
        <v>#NAME?</v>
      </c>
      <c r="AD117" t="e">
        <f ca="1">IF(X117="","",VLOOKUP($X117,RM!$C$4:$G991,3,FALSE))</f>
        <v>#NAME?</v>
      </c>
      <c r="AE117" t="e">
        <f ca="1">IF(X117="","",VLOOKUP($X117,RM!$C$4:$G991,4,FALSE))</f>
        <v>#NAME?</v>
      </c>
      <c r="AF117" t="e">
        <f ca="1">IF(X117="","",VLOOKUP($X117,RM!$C$4:$G991,5,FALSE))</f>
        <v>#NAME?</v>
      </c>
      <c r="AH117" t="str">
        <f ca="1">IFERROR(__xludf.DUMMYFUNCTION("""COMPUTED_VALUE"""),"PORT Signal PM Assy")</f>
        <v>PORT Signal PM Assy</v>
      </c>
      <c r="AI117" t="str">
        <f ca="1">IFERROR(__xludf.DUMMYFUNCTION("""COMPUTED_VALUE"""),"Teroson MS930")</f>
        <v>Teroson MS930</v>
      </c>
      <c r="AJ117">
        <f ca="1">IFERROR(__xludf.DUMMYFUNCTION("""COMPUTED_VALUE"""),2)</f>
        <v>2</v>
      </c>
      <c r="AK117" t="str">
        <f ca="1">IFERROR(__xludf.DUMMYFUNCTION("""COMPUTED_VALUE"""),"blank")</f>
        <v>blank</v>
      </c>
      <c r="AL117" t="e">
        <f ca="1">_xludf.IFNA(VLOOKUP(AH117,'S-FG'!$B$3:$B1001,1,FALSE),"")</f>
        <v>#NAME?</v>
      </c>
      <c r="AM117" t="e">
        <f ca="1">IF(AI117="","",SUMIFS(#REF!,RM!$C$4:$C991,AI117))</f>
        <v>#REF!</v>
      </c>
    </row>
    <row r="118" spans="5:39">
      <c r="E118" t="str">
        <f>IF(A118="","",SUMIFS('PR-BOM'!$D$3:$D1001,'PR-BOM'!$C$3:$C1001,A118)*C118)</f>
        <v/>
      </c>
      <c r="F118" t="e">
        <f ca="1">_xludf.IFNA(VLOOKUP(B118,'S-FG'!$B$3:$B1001,1,FALSE),"")</f>
        <v>#NAME?</v>
      </c>
      <c r="H118" t="str">
        <f ca="1">IFERROR(__xludf.DUMMYFUNCTION("""COMPUTED_VALUE"""),"Charging PM Assy")</f>
        <v>Charging PM Assy</v>
      </c>
      <c r="I118" t="str">
        <f ca="1">IFERROR(__xludf.DUMMYFUNCTION("""COMPUTED_VALUE"""),"10cm one sided JST crimped Light Grey")</f>
        <v>10cm one sided JST crimped Light Grey</v>
      </c>
      <c r="J118">
        <f ca="1">IFERROR(__xludf.DUMMYFUNCTION("""COMPUTED_VALUE"""),1)</f>
        <v>1</v>
      </c>
      <c r="K118" t="str">
        <f ca="1">IFERROR(__xludf.DUMMYFUNCTION("""COMPUTED_VALUE"""),"blank")</f>
        <v>blank</v>
      </c>
      <c r="L118">
        <f t="shared" ca="1" si="0"/>
        <v>0</v>
      </c>
      <c r="Q118" t="str">
        <f>IF(N118="","",SUMIFS('PR-BOM'!$D$3:$D1001,'PR-BOM'!$C$3:$C1001,N118))</f>
        <v/>
      </c>
      <c r="S118" t="str">
        <f ca="1">IFERROR(__xludf.DUMMYFUNCTION("""COMPUTED_VALUE"""),"10cm one sided JST crimped White")</f>
        <v>10cm one sided JST crimped White</v>
      </c>
      <c r="X118" t="e">
        <f ca="1"/>
        <v>#NAME?</v>
      </c>
      <c r="Y118" t="e">
        <f t="shared" ca="1" si="1"/>
        <v>#NAME?</v>
      </c>
      <c r="Z118" t="e">
        <f ca="1">IF(X118="","",SUMIFS(#REF!,RM!$C$4:$C991,X118))</f>
        <v>#NAME?</v>
      </c>
      <c r="AA118" t="e">
        <f ca="1">IF(X118="","",SUMIFS(#REF!,RM!$C$4:$C991,X118))</f>
        <v>#NAME?</v>
      </c>
      <c r="AB118" t="e">
        <f ca="1">IF(X118="","",SUMIFS(IRegback!$Y$2:$Y1001,IRegback!$X$2:$X1001,X118))</f>
        <v>#NAME?</v>
      </c>
      <c r="AC118" t="e">
        <f t="shared" ca="1" si="2"/>
        <v>#NAME?</v>
      </c>
      <c r="AD118" t="e">
        <f ca="1">IF(X118="","",VLOOKUP($X118,RM!$C$4:$G991,3,FALSE))</f>
        <v>#NAME?</v>
      </c>
      <c r="AE118" t="e">
        <f ca="1">IF(X118="","",VLOOKUP($X118,RM!$C$4:$G991,4,FALSE))</f>
        <v>#NAME?</v>
      </c>
      <c r="AF118" t="e">
        <f ca="1">IF(X118="","",VLOOKUP($X118,RM!$C$4:$G991,5,FALSE))</f>
        <v>#NAME?</v>
      </c>
      <c r="AH118" t="str">
        <f ca="1">IFERROR(__xludf.DUMMYFUNCTION("""COMPUTED_VALUE"""),"PORT Signal PM Assy")</f>
        <v>PORT Signal PM Assy</v>
      </c>
      <c r="AI118" t="str">
        <f ca="1">IFERROR(__xludf.DUMMYFUNCTION("""COMPUTED_VALUE"""),"Silicon RTV 734 Potting compound")</f>
        <v>Silicon RTV 734 Potting compound</v>
      </c>
      <c r="AJ118">
        <f ca="1">IFERROR(__xludf.DUMMYFUNCTION("""COMPUTED_VALUE"""),5)</f>
        <v>5</v>
      </c>
      <c r="AK118" t="str">
        <f ca="1">IFERROR(__xludf.DUMMYFUNCTION("""COMPUTED_VALUE"""),"blank")</f>
        <v>blank</v>
      </c>
      <c r="AL118" t="e">
        <f ca="1">_xludf.IFNA(VLOOKUP(AH118,'S-FG'!$B$3:$B1001,1,FALSE),"")</f>
        <v>#NAME?</v>
      </c>
      <c r="AM118" t="e">
        <f ca="1">IF(AI118="","",SUMIFS(#REF!,RM!$C$4:$C991,AI118))</f>
        <v>#REF!</v>
      </c>
    </row>
    <row r="119" spans="5:39">
      <c r="E119" t="str">
        <f>IF(A119="","",SUMIFS('PR-BOM'!$D$3:$D1001,'PR-BOM'!$C$3:$C1001,A119)*C119)</f>
        <v/>
      </c>
      <c r="F119" t="e">
        <f ca="1">_xludf.IFNA(VLOOKUP(B119,'S-FG'!$B$3:$B1001,1,FALSE),"")</f>
        <v>#NAME?</v>
      </c>
      <c r="H119" t="str">
        <f ca="1">IFERROR(__xludf.DUMMYFUNCTION("""COMPUTED_VALUE"""),"Charging PM Assy")</f>
        <v>Charging PM Assy</v>
      </c>
      <c r="I119" t="str">
        <f ca="1">IFERROR(__xludf.DUMMYFUNCTION("""COMPUTED_VALUE"""),"WY-28 Metal connector PM")</f>
        <v>WY-28 Metal connector PM</v>
      </c>
      <c r="J119">
        <f ca="1">IFERROR(__xludf.DUMMYFUNCTION("""COMPUTED_VALUE"""),1)</f>
        <v>1</v>
      </c>
      <c r="K119" t="str">
        <f ca="1">IFERROR(__xludf.DUMMYFUNCTION("""COMPUTED_VALUE"""),"blank")</f>
        <v>blank</v>
      </c>
      <c r="L119">
        <f t="shared" ca="1" si="0"/>
        <v>0</v>
      </c>
      <c r="Q119" t="str">
        <f>IF(N119="","",SUMIFS('PR-BOM'!$D$3:$D1001,'PR-BOM'!$C$3:$C1001,N119))</f>
        <v/>
      </c>
      <c r="S119" t="str">
        <f ca="1">IFERROR(__xludf.DUMMYFUNCTION("""COMPUTED_VALUE"""),"10cm one sided JST crimped Light Grey")</f>
        <v>10cm one sided JST crimped Light Grey</v>
      </c>
      <c r="X119" t="e">
        <f ca="1"/>
        <v>#NAME?</v>
      </c>
      <c r="Y119" t="e">
        <f t="shared" ca="1" si="1"/>
        <v>#NAME?</v>
      </c>
      <c r="Z119" t="e">
        <f ca="1">IF(X119="","",SUMIFS(#REF!,RM!$C$4:$C991,X119))</f>
        <v>#NAME?</v>
      </c>
      <c r="AA119" t="e">
        <f ca="1">IF(X119="","",SUMIFS(#REF!,RM!$C$4:$C991,X119))</f>
        <v>#NAME?</v>
      </c>
      <c r="AB119" t="e">
        <f ca="1">IF(X119="","",SUMIFS(IRegback!$Y$2:$Y1001,IRegback!$X$2:$X1001,X119))</f>
        <v>#NAME?</v>
      </c>
      <c r="AC119" t="e">
        <f t="shared" ca="1" si="2"/>
        <v>#NAME?</v>
      </c>
      <c r="AD119" t="e">
        <f ca="1">IF(X119="","",VLOOKUP($X119,RM!$C$4:$G991,3,FALSE))</f>
        <v>#NAME?</v>
      </c>
      <c r="AE119" t="e">
        <f ca="1">IF(X119="","",VLOOKUP($X119,RM!$C$4:$G991,4,FALSE))</f>
        <v>#NAME?</v>
      </c>
      <c r="AF119" t="e">
        <f ca="1">IF(X119="","",VLOOKUP($X119,RM!$C$4:$G991,5,FALSE))</f>
        <v>#NAME?</v>
      </c>
      <c r="AH119" t="str">
        <f ca="1">IFERROR(__xludf.DUMMYFUNCTION("""COMPUTED_VALUE"""),"PORT Signal PM Assy")</f>
        <v>PORT Signal PM Assy</v>
      </c>
      <c r="AI119" t="str">
        <f ca="1">IFERROR(__xludf.DUMMYFUNCTION("""COMPUTED_VALUE"""),"Lead wire 22AWG")</f>
        <v>Lead wire 22AWG</v>
      </c>
      <c r="AJ119">
        <f ca="1">IFERROR(__xludf.DUMMYFUNCTION("""COMPUTED_VALUE"""),5)</f>
        <v>5</v>
      </c>
      <c r="AL119" t="e">
        <f ca="1">_xludf.IFNA(VLOOKUP(AH119,'S-FG'!$B$3:$B1001,1,FALSE),"")</f>
        <v>#NAME?</v>
      </c>
      <c r="AM119" t="e">
        <f ca="1">IF(AI119="","",SUMIFS(#REF!,RM!$C$4:$C991,AI119))</f>
        <v>#REF!</v>
      </c>
    </row>
    <row r="120" spans="5:39">
      <c r="E120" t="str">
        <f>IF(A120="","",SUMIFS('PR-BOM'!$D$3:$D1001,'PR-BOM'!$C$3:$C1001,A120)*C120)</f>
        <v/>
      </c>
      <c r="F120" t="e">
        <f ca="1">_xludf.IFNA(VLOOKUP(B120,'S-FG'!$B$3:$B1001,1,FALSE),"")</f>
        <v>#NAME?</v>
      </c>
      <c r="H120" t="str">
        <f ca="1">IFERROR(__xludf.DUMMYFUNCTION("""COMPUTED_VALUE"""),"Charging PM Assy")</f>
        <v>Charging PM Assy</v>
      </c>
      <c r="I120" t="str">
        <f ca="1">IFERROR(__xludf.DUMMYFUNCTION("""COMPUTED_VALUE"""),"Heatshrink Tube 6.4:1.6")</f>
        <v>Heatshrink Tube 6.4:1.6</v>
      </c>
      <c r="J120">
        <f ca="1">IFERROR(__xludf.DUMMYFUNCTION("""COMPUTED_VALUE"""),0.05)</f>
        <v>0.05</v>
      </c>
      <c r="K120" t="str">
        <f ca="1">IFERROR(__xludf.DUMMYFUNCTION("""COMPUTED_VALUE"""),"blank")</f>
        <v>blank</v>
      </c>
      <c r="L120">
        <f t="shared" ca="1" si="0"/>
        <v>0</v>
      </c>
      <c r="Q120" t="str">
        <f>IF(N120="","",SUMIFS('PR-BOM'!$D$3:$D1001,'PR-BOM'!$C$3:$C1001,N120))</f>
        <v/>
      </c>
      <c r="S120" t="str">
        <f ca="1">IFERROR(__xludf.DUMMYFUNCTION("""COMPUTED_VALUE"""),"WY-28 Metal connector PM")</f>
        <v>WY-28 Metal connector PM</v>
      </c>
      <c r="X120" t="e">
        <f ca="1"/>
        <v>#NAME?</v>
      </c>
      <c r="Y120" t="e">
        <f t="shared" ca="1" si="1"/>
        <v>#NAME?</v>
      </c>
      <c r="Z120" t="e">
        <f ca="1">IF(X120="","",SUMIFS(#REF!,RM!$C$4:$C991,X120))</f>
        <v>#NAME?</v>
      </c>
      <c r="AA120" t="e">
        <f ca="1">IF(X120="","",SUMIFS(#REF!,RM!$C$4:$C991,X120))</f>
        <v>#NAME?</v>
      </c>
      <c r="AB120" t="e">
        <f ca="1">IF(X120="","",SUMIFS(IRegback!$Y$2:$Y1001,IRegback!$X$2:$X1001,X120))</f>
        <v>#NAME?</v>
      </c>
      <c r="AC120" t="e">
        <f t="shared" ca="1" si="2"/>
        <v>#NAME?</v>
      </c>
      <c r="AD120" t="e">
        <f ca="1">IF(X120="","",VLOOKUP($X120,RM!$C$4:$G991,3,FALSE))</f>
        <v>#NAME?</v>
      </c>
      <c r="AE120" t="e">
        <f ca="1">IF(X120="","",VLOOKUP($X120,RM!$C$4:$G991,4,FALSE))</f>
        <v>#NAME?</v>
      </c>
      <c r="AF120" t="e">
        <f ca="1">IF(X120="","",VLOOKUP($X120,RM!$C$4:$G991,5,FALSE))</f>
        <v>#NAME?</v>
      </c>
      <c r="AH120" t="str">
        <f ca="1">IFERROR(__xludf.DUMMYFUNCTION("""COMPUTED_VALUE"""),"PORT Signal CM Assy")</f>
        <v>PORT Signal CM Assy</v>
      </c>
      <c r="AI120" t="str">
        <f ca="1">IFERROR(__xludf.DUMMYFUNCTION("""COMPUTED_VALUE"""),"2mm male bullet connector")</f>
        <v>2mm male bullet connector</v>
      </c>
      <c r="AJ120">
        <f ca="1">IFERROR(__xludf.DUMMYFUNCTION("""COMPUTED_VALUE"""),0)</f>
        <v>0</v>
      </c>
      <c r="AK120" t="str">
        <f ca="1">IFERROR(__xludf.DUMMYFUNCTION("""COMPUTED_VALUE"""),"blank")</f>
        <v>blank</v>
      </c>
      <c r="AL120" t="e">
        <f ca="1">_xludf.IFNA(VLOOKUP(AH120,'S-FG'!$B$3:$B1001,1,FALSE),"")</f>
        <v>#NAME?</v>
      </c>
      <c r="AM120" t="e">
        <f ca="1">IF(AI120="","",SUMIFS(#REF!,RM!$C$4:$C991,AI120))</f>
        <v>#REF!</v>
      </c>
    </row>
    <row r="121" spans="5:39">
      <c r="E121" t="str">
        <f>IF(A121="","",SUMIFS('PR-BOM'!$D$3:$D1001,'PR-BOM'!$C$3:$C1001,A121)*C121)</f>
        <v/>
      </c>
      <c r="F121" t="e">
        <f ca="1">_xludf.IFNA(VLOOKUP(B121,'S-FG'!$B$3:$B1001,1,FALSE),"")</f>
        <v>#NAME?</v>
      </c>
      <c r="H121" t="str">
        <f ca="1">IFERROR(__xludf.DUMMYFUNCTION("""COMPUTED_VALUE"""),"Charging PM Assy")</f>
        <v>Charging PM Assy</v>
      </c>
      <c r="I121" t="str">
        <f ca="1">IFERROR(__xludf.DUMMYFUNCTION("""COMPUTED_VALUE"""),"HeatShrink Tube 4:1")</f>
        <v>HeatShrink Tube 4:1</v>
      </c>
      <c r="J121">
        <f ca="1">IFERROR(__xludf.DUMMYFUNCTION("""COMPUTED_VALUE"""),0.06)</f>
        <v>0.06</v>
      </c>
      <c r="K121" t="str">
        <f ca="1">IFERROR(__xludf.DUMMYFUNCTION("""COMPUTED_VALUE"""),"blank")</f>
        <v>blank</v>
      </c>
      <c r="L121">
        <f t="shared" ca="1" si="0"/>
        <v>0</v>
      </c>
      <c r="Q121" t="str">
        <f>IF(N121="","",SUMIFS('PR-BOM'!$D$3:$D1001,'PR-BOM'!$C$3:$C1001,N121))</f>
        <v/>
      </c>
      <c r="S121" t="str">
        <f ca="1">IFERROR(__xludf.DUMMYFUNCTION("""COMPUTED_VALUE"""),"Heatshrink Tube 6.4:1.6")</f>
        <v>Heatshrink Tube 6.4:1.6</v>
      </c>
      <c r="X121" t="e">
        <f ca="1"/>
        <v>#NAME?</v>
      </c>
      <c r="Y121" t="e">
        <f t="shared" ca="1" si="1"/>
        <v>#NAME?</v>
      </c>
      <c r="Z121" t="e">
        <f ca="1">IF(X121="","",SUMIFS(#REF!,RM!$C$4:$C991,X121))</f>
        <v>#NAME?</v>
      </c>
      <c r="AA121" t="e">
        <f ca="1">IF(X121="","",SUMIFS(#REF!,RM!$C$4:$C991,X121))</f>
        <v>#NAME?</v>
      </c>
      <c r="AB121" t="e">
        <f ca="1">IF(X121="","",SUMIFS(IRegback!$Y$2:$Y1001,IRegback!$X$2:$X1001,X121))</f>
        <v>#NAME?</v>
      </c>
      <c r="AC121" t="e">
        <f t="shared" ca="1" si="2"/>
        <v>#NAME?</v>
      </c>
      <c r="AD121" t="e">
        <f ca="1">IF(X121="","",VLOOKUP($X121,RM!$C$4:$G991,3,FALSE))</f>
        <v>#NAME?</v>
      </c>
      <c r="AE121" t="e">
        <f ca="1">IF(X121="","",VLOOKUP($X121,RM!$C$4:$G991,4,FALSE))</f>
        <v>#NAME?</v>
      </c>
      <c r="AF121" t="e">
        <f ca="1">IF(X121="","",VLOOKUP($X121,RM!$C$4:$G991,5,FALSE))</f>
        <v>#NAME?</v>
      </c>
      <c r="AH121" t="str">
        <f ca="1">IFERROR(__xludf.DUMMYFUNCTION("""COMPUTED_VALUE"""),"PORT Signal CM Assy")</f>
        <v>PORT Signal CM Assy</v>
      </c>
      <c r="AI121" t="str">
        <f ca="1">IFERROR(__xludf.DUMMYFUNCTION("""COMPUTED_VALUE"""),"2mm Female Bullet connector")</f>
        <v>2mm Female Bullet connector</v>
      </c>
      <c r="AJ121">
        <f ca="1">IFERROR(__xludf.DUMMYFUNCTION("""COMPUTED_VALUE"""),0)</f>
        <v>0</v>
      </c>
      <c r="AK121" t="str">
        <f ca="1">IFERROR(__xludf.DUMMYFUNCTION("""COMPUTED_VALUE"""),"blank")</f>
        <v>blank</v>
      </c>
      <c r="AL121" t="e">
        <f ca="1">_xludf.IFNA(VLOOKUP(AH121,'S-FG'!$B$3:$B1001,1,FALSE),"")</f>
        <v>#NAME?</v>
      </c>
      <c r="AM121" t="e">
        <f ca="1">IF(AI121="","",SUMIFS(#REF!,RM!$C$4:$C991,AI121))</f>
        <v>#REF!</v>
      </c>
    </row>
    <row r="122" spans="5:39">
      <c r="E122" t="str">
        <f>IF(A122="","",SUMIFS('PR-BOM'!$D$3:$D1001,'PR-BOM'!$C$3:$C1001,A122)*C122)</f>
        <v/>
      </c>
      <c r="F122" t="e">
        <f ca="1">_xludf.IFNA(VLOOKUP(B122,'S-FG'!$B$3:$B1001,1,FALSE),"")</f>
        <v>#NAME?</v>
      </c>
      <c r="H122" t="str">
        <f ca="1">IFERROR(__xludf.DUMMYFUNCTION("""COMPUTED_VALUE"""),"Charging PM Assy")</f>
        <v>Charging PM Assy</v>
      </c>
      <c r="I122" t="str">
        <f ca="1">IFERROR(__xludf.DUMMYFUNCTION("""COMPUTED_VALUE"""),"HeatShrink Tube 1.5mm/1.6mm")</f>
        <v>HeatShrink Tube 1.5mm/1.6mm</v>
      </c>
      <c r="J122">
        <f ca="1">IFERROR(__xludf.DUMMYFUNCTION("""COMPUTED_VALUE"""),0.2)</f>
        <v>0.2</v>
      </c>
      <c r="L122">
        <f t="shared" ca="1" si="0"/>
        <v>0</v>
      </c>
      <c r="Q122" t="str">
        <f>IF(N122="","",SUMIFS('PR-BOM'!$D$3:$D1001,'PR-BOM'!$C$3:$C1001,N122))</f>
        <v/>
      </c>
      <c r="S122" t="str">
        <f ca="1">IFERROR(__xludf.DUMMYFUNCTION("""COMPUTED_VALUE"""),"HeatShrink Tube 4:1")</f>
        <v>HeatShrink Tube 4:1</v>
      </c>
      <c r="X122" t="e">
        <f ca="1"/>
        <v>#NAME?</v>
      </c>
      <c r="Y122" t="e">
        <f t="shared" ca="1" si="1"/>
        <v>#NAME?</v>
      </c>
      <c r="Z122" t="e">
        <f ca="1">IF(X122="","",SUMIFS(#REF!,RM!$C$4:$C991,X122))</f>
        <v>#NAME?</v>
      </c>
      <c r="AA122" t="e">
        <f ca="1">IF(X122="","",SUMIFS(#REF!,RM!$C$4:$C991,X122))</f>
        <v>#NAME?</v>
      </c>
      <c r="AB122" t="e">
        <f ca="1">IF(X122="","",SUMIFS(IRegback!$Y$2:$Y1001,IRegback!$X$2:$X1001,X122))</f>
        <v>#NAME?</v>
      </c>
      <c r="AC122" t="e">
        <f t="shared" ca="1" si="2"/>
        <v>#NAME?</v>
      </c>
      <c r="AD122" t="e">
        <f ca="1">IF(X122="","",VLOOKUP($X122,RM!$C$4:$G991,3,FALSE))</f>
        <v>#NAME?</v>
      </c>
      <c r="AE122" t="e">
        <f ca="1">IF(X122="","",VLOOKUP($X122,RM!$C$4:$G991,4,FALSE))</f>
        <v>#NAME?</v>
      </c>
      <c r="AF122" t="e">
        <f ca="1">IF(X122="","",VLOOKUP($X122,RM!$C$4:$G991,5,FALSE))</f>
        <v>#NAME?</v>
      </c>
      <c r="AH122" t="str">
        <f ca="1">IFERROR(__xludf.DUMMYFUNCTION("""COMPUTED_VALUE"""),"PORT Signal CM Assy")</f>
        <v>PORT Signal CM Assy</v>
      </c>
      <c r="AI122" t="str">
        <f ca="1">IFERROR(__xludf.DUMMYFUNCTION("""COMPUTED_VALUE"""),"Lead wire 22AWG")</f>
        <v>Lead wire 22AWG</v>
      </c>
      <c r="AJ122">
        <f ca="1">IFERROR(__xludf.DUMMYFUNCTION("""COMPUTED_VALUE"""),5)</f>
        <v>5</v>
      </c>
      <c r="AL122" t="e">
        <f ca="1">_xludf.IFNA(VLOOKUP(AH122,'S-FG'!$B$3:$B1001,1,FALSE),"")</f>
        <v>#NAME?</v>
      </c>
      <c r="AM122" t="e">
        <f ca="1">IF(AI122="","",SUMIFS(#REF!,RM!$C$4:$C991,AI122))</f>
        <v>#REF!</v>
      </c>
    </row>
    <row r="123" spans="5:39">
      <c r="E123" t="str">
        <f>IF(A123="","",SUMIFS('PR-BOM'!$D$3:$D1001,'PR-BOM'!$C$3:$C1001,A123)*C123)</f>
        <v/>
      </c>
      <c r="F123" t="e">
        <f ca="1">_xludf.IFNA(VLOOKUP(B123,'S-FG'!$B$3:$B1001,1,FALSE),"")</f>
        <v>#NAME?</v>
      </c>
      <c r="H123" t="str">
        <f ca="1">IFERROR(__xludf.DUMMYFUNCTION("""COMPUTED_VALUE"""),"Charging PM Assy")</f>
        <v>Charging PM Assy</v>
      </c>
      <c r="I123" t="str">
        <f ca="1">IFERROR(__xludf.DUMMYFUNCTION("""COMPUTED_VALUE"""),"Teroson MS930")</f>
        <v>Teroson MS930</v>
      </c>
      <c r="J123">
        <f ca="1">IFERROR(__xludf.DUMMYFUNCTION("""COMPUTED_VALUE"""),2)</f>
        <v>2</v>
      </c>
      <c r="K123" t="str">
        <f ca="1">IFERROR(__xludf.DUMMYFUNCTION("""COMPUTED_VALUE"""),"blank")</f>
        <v>blank</v>
      </c>
      <c r="L123">
        <f t="shared" ca="1" si="0"/>
        <v>0</v>
      </c>
      <c r="Q123" t="str">
        <f>IF(N123="","",SUMIFS('PR-BOM'!$D$3:$D1001,'PR-BOM'!$C$3:$C1001,N123))</f>
        <v/>
      </c>
      <c r="S123" t="str">
        <f ca="1">IFERROR(__xludf.DUMMYFUNCTION("""COMPUTED_VALUE"""),"HeatShrink Tube 1.5mm/1.6mm")</f>
        <v>HeatShrink Tube 1.5mm/1.6mm</v>
      </c>
      <c r="X123" t="e">
        <f ca="1"/>
        <v>#NAME?</v>
      </c>
      <c r="Y123" t="e">
        <f t="shared" ca="1" si="1"/>
        <v>#NAME?</v>
      </c>
      <c r="Z123" t="e">
        <f ca="1">IF(X123="","",SUMIFS(#REF!,RM!$C$4:$C991,X123))</f>
        <v>#NAME?</v>
      </c>
      <c r="AA123" t="e">
        <f ca="1">IF(X123="","",SUMIFS(#REF!,RM!$C$4:$C991,X123))</f>
        <v>#NAME?</v>
      </c>
      <c r="AB123" t="e">
        <f ca="1">IF(X123="","",SUMIFS(IRegback!$Y$2:$Y1001,IRegback!$X$2:$X1001,X123))</f>
        <v>#NAME?</v>
      </c>
      <c r="AC123" t="e">
        <f t="shared" ca="1" si="2"/>
        <v>#NAME?</v>
      </c>
      <c r="AD123" t="e">
        <f ca="1">IF(X123="","",VLOOKUP($X123,RM!$C$4:$G991,3,FALSE))</f>
        <v>#NAME?</v>
      </c>
      <c r="AE123" t="e">
        <f ca="1">IF(X123="","",VLOOKUP($X123,RM!$C$4:$G991,4,FALSE))</f>
        <v>#NAME?</v>
      </c>
      <c r="AF123" t="e">
        <f ca="1">IF(X123="","",VLOOKUP($X123,RM!$C$4:$G991,5,FALSE))</f>
        <v>#NAME?</v>
      </c>
      <c r="AH123" t="str">
        <f ca="1">IFERROR(__xludf.DUMMYFUNCTION("""COMPUTED_VALUE"""),"PORT Signal CM Assy")</f>
        <v>PORT Signal CM Assy</v>
      </c>
      <c r="AI123" t="str">
        <f ca="1">IFERROR(__xludf.DUMMYFUNCTION("""COMPUTED_VALUE"""),"Soldering flux")</f>
        <v>Soldering flux</v>
      </c>
      <c r="AJ123">
        <f ca="1">IFERROR(__xludf.DUMMYFUNCTION("""COMPUTED_VALUE"""),2)</f>
        <v>2</v>
      </c>
      <c r="AL123" t="e">
        <f ca="1">_xludf.IFNA(VLOOKUP(AH123,'S-FG'!$B$3:$B1001,1,FALSE),"")</f>
        <v>#NAME?</v>
      </c>
      <c r="AM123" t="e">
        <f ca="1">IF(AI123="","",SUMIFS(#REF!,RM!$C$4:$C991,AI123))</f>
        <v>#REF!</v>
      </c>
    </row>
    <row r="124" spans="5:39">
      <c r="E124" t="str">
        <f>IF(A124="","",SUMIFS('PR-BOM'!$D$3:$D1001,'PR-BOM'!$C$3:$C1001,A124)*C124)</f>
        <v/>
      </c>
      <c r="F124" t="e">
        <f ca="1">_xludf.IFNA(VLOOKUP(B124,'S-FG'!$B$3:$B1001,1,FALSE),"")</f>
        <v>#NAME?</v>
      </c>
      <c r="H124" t="str">
        <f ca="1">IFERROR(__xludf.DUMMYFUNCTION("""COMPUTED_VALUE"""),"Charging PM Assy")</f>
        <v>Charging PM Assy</v>
      </c>
      <c r="I124" t="str">
        <f ca="1">IFERROR(__xludf.DUMMYFUNCTION("""COMPUTED_VALUE"""),"Silicon RTV 734 Potting compound")</f>
        <v>Silicon RTV 734 Potting compound</v>
      </c>
      <c r="J124">
        <f ca="1">IFERROR(__xludf.DUMMYFUNCTION("""COMPUTED_VALUE"""),10)</f>
        <v>10</v>
      </c>
      <c r="K124" t="str">
        <f ca="1">IFERROR(__xludf.DUMMYFUNCTION("""COMPUTED_VALUE"""),"blank")</f>
        <v>blank</v>
      </c>
      <c r="L124">
        <f t="shared" ca="1" si="0"/>
        <v>0</v>
      </c>
      <c r="Q124" t="str">
        <f>IF(N124="","",SUMIFS('PR-BOM'!$D$3:$D1001,'PR-BOM'!$C$3:$C1001,N124))</f>
        <v/>
      </c>
      <c r="S124" t="str">
        <f ca="1">IFERROR(__xludf.DUMMYFUNCTION("""COMPUTED_VALUE"""),"Teroson MS930")</f>
        <v>Teroson MS930</v>
      </c>
      <c r="X124" t="e">
        <f ca="1"/>
        <v>#NAME?</v>
      </c>
      <c r="Y124" t="e">
        <f t="shared" ca="1" si="1"/>
        <v>#NAME?</v>
      </c>
      <c r="Z124" t="e">
        <f ca="1">IF(X124="","",SUMIFS(#REF!,RM!$C$4:$C991,X124))</f>
        <v>#NAME?</v>
      </c>
      <c r="AA124" t="e">
        <f ca="1">IF(X124="","",SUMIFS(#REF!,RM!$C$4:$C991,X124))</f>
        <v>#NAME?</v>
      </c>
      <c r="AB124" t="e">
        <f ca="1">IF(X124="","",SUMIFS(IRegback!$Y$2:$Y1001,IRegback!$X$2:$X1001,X124))</f>
        <v>#NAME?</v>
      </c>
      <c r="AC124" t="e">
        <f t="shared" ca="1" si="2"/>
        <v>#NAME?</v>
      </c>
      <c r="AD124" t="e">
        <f ca="1">IF(X124="","",VLOOKUP($X124,RM!$C$4:$G991,3,FALSE))</f>
        <v>#NAME?</v>
      </c>
      <c r="AE124" t="e">
        <f ca="1">IF(X124="","",VLOOKUP($X124,RM!$C$4:$G991,4,FALSE))</f>
        <v>#NAME?</v>
      </c>
      <c r="AF124" t="e">
        <f ca="1">IF(X124="","",VLOOKUP($X124,RM!$C$4:$G991,5,FALSE))</f>
        <v>#NAME?</v>
      </c>
      <c r="AH124" t="str">
        <f ca="1">IFERROR(__xludf.DUMMYFUNCTION("""COMPUTED_VALUE"""),"PORT Signal CM Assy")</f>
        <v>PORT Signal CM Assy</v>
      </c>
      <c r="AI124" t="str">
        <f ca="1">IFERROR(__xludf.DUMMYFUNCTION("""COMPUTED_VALUE"""),"LM61 Temperature Sensor")</f>
        <v>LM61 Temperature Sensor</v>
      </c>
      <c r="AJ124">
        <f ca="1">IFERROR(__xludf.DUMMYFUNCTION("""COMPUTED_VALUE"""),1)</f>
        <v>1</v>
      </c>
      <c r="AK124" t="str">
        <f ca="1">IFERROR(__xludf.DUMMYFUNCTION("""COMPUTED_VALUE"""),"LM61BIZ/NOPB")</f>
        <v>LM61BIZ/NOPB</v>
      </c>
      <c r="AL124" t="e">
        <f ca="1">_xludf.IFNA(VLOOKUP(AH124,'S-FG'!$B$3:$B1001,1,FALSE),"")</f>
        <v>#NAME?</v>
      </c>
      <c r="AM124" t="e">
        <f ca="1">IF(AI124="","",SUMIFS(#REF!,RM!$C$4:$C991,AI124))</f>
        <v>#REF!</v>
      </c>
    </row>
    <row r="125" spans="5:39">
      <c r="E125" t="str">
        <f>IF(A125="","",SUMIFS('PR-BOM'!$D$3:$D1001,'PR-BOM'!$C$3:$C1001,A125)*C125)</f>
        <v/>
      </c>
      <c r="F125" t="e">
        <f ca="1">_xludf.IFNA(VLOOKUP(B125,'S-FG'!$B$3:$B1001,1,FALSE),"")</f>
        <v>#NAME?</v>
      </c>
      <c r="H125" t="str">
        <f ca="1">IFERROR(__xludf.DUMMYFUNCTION("""COMPUTED_VALUE"""),"Charger Box Assy")</f>
        <v>Charger Box Assy</v>
      </c>
      <c r="I125" t="str">
        <f ca="1">IFERROR(__xludf.DUMMYFUNCTION("""COMPUTED_VALUE"""),"24v AC/DC module")</f>
        <v>24v AC/DC module</v>
      </c>
      <c r="J125">
        <f ca="1">IFERROR(__xludf.DUMMYFUNCTION("""COMPUTED_VALUE"""),1)</f>
        <v>1</v>
      </c>
      <c r="K125" t="str">
        <f ca="1">IFERROR(__xludf.DUMMYFUNCTION("""COMPUTED_VALUE"""),"blank")</f>
        <v>blank</v>
      </c>
      <c r="L125">
        <f t="shared" ca="1" si="0"/>
        <v>0</v>
      </c>
      <c r="Q125" t="str">
        <f>IF(N125="","",SUMIFS('PR-BOM'!$D$3:$D1001,'PR-BOM'!$C$3:$C1001,N125))</f>
        <v/>
      </c>
      <c r="S125" t="str">
        <f ca="1">IFERROR(__xludf.DUMMYFUNCTION("""COMPUTED_VALUE"""),"Silicon RTV 734 Potting compound")</f>
        <v>Silicon RTV 734 Potting compound</v>
      </c>
      <c r="X125" t="e">
        <f ca="1"/>
        <v>#NAME?</v>
      </c>
      <c r="Y125" t="e">
        <f t="shared" ca="1" si="1"/>
        <v>#NAME?</v>
      </c>
      <c r="Z125" t="e">
        <f ca="1">IF(X125="","",SUMIFS(#REF!,RM!$C$4:$C991,X125))</f>
        <v>#NAME?</v>
      </c>
      <c r="AA125" t="e">
        <f ca="1">IF(X125="","",SUMIFS(#REF!,RM!$C$4:$C991,X125))</f>
        <v>#NAME?</v>
      </c>
      <c r="AB125" t="e">
        <f ca="1">IF(X125="","",SUMIFS(IRegback!$Y$2:$Y1001,IRegback!$X$2:$X1001,X125))</f>
        <v>#NAME?</v>
      </c>
      <c r="AC125" t="e">
        <f t="shared" ca="1" si="2"/>
        <v>#NAME?</v>
      </c>
      <c r="AD125" t="e">
        <f ca="1">IF(X125="","",VLOOKUP($X125,RM!$C$4:$G991,3,FALSE))</f>
        <v>#NAME?</v>
      </c>
      <c r="AE125" t="e">
        <f ca="1">IF(X125="","",VLOOKUP($X125,RM!$C$4:$G991,4,FALSE))</f>
        <v>#NAME?</v>
      </c>
      <c r="AF125" t="e">
        <f ca="1">IF(X125="","",VLOOKUP($X125,RM!$C$4:$G991,5,FALSE))</f>
        <v>#NAME?</v>
      </c>
      <c r="AH125" t="str">
        <f ca="1">IFERROR(__xludf.DUMMYFUNCTION("""COMPUTED_VALUE"""),"PORT Signal CM Assy")</f>
        <v>PORT Signal CM Assy</v>
      </c>
      <c r="AI125" t="str">
        <f ca="1">IFERROR(__xludf.DUMMYFUNCTION("""COMPUTED_VALUE"""),"20Core Wire 14/38")</f>
        <v>20Core Wire 14/38</v>
      </c>
      <c r="AJ125">
        <f ca="1">IFERROR(__xludf.DUMMYFUNCTION("""COMPUTED_VALUE"""),0.85)</f>
        <v>0.85</v>
      </c>
      <c r="AK125" t="str">
        <f ca="1">IFERROR(__xludf.DUMMYFUNCTION("""COMPUTED_VALUE"""),"blank")</f>
        <v>blank</v>
      </c>
      <c r="AL125" t="e">
        <f ca="1">_xludf.IFNA(VLOOKUP(AH125,'S-FG'!$B$3:$B1001,1,FALSE),"")</f>
        <v>#NAME?</v>
      </c>
      <c r="AM125" t="e">
        <f ca="1">IF(AI125="","",SUMIFS(#REF!,RM!$C$4:$C991,AI125))</f>
        <v>#REF!</v>
      </c>
    </row>
    <row r="126" spans="5:39">
      <c r="E126" t="str">
        <f>IF(A126="","",SUMIFS('PR-BOM'!$D$3:$D1001,'PR-BOM'!$C$3:$C1001,A126)*C126)</f>
        <v/>
      </c>
      <c r="F126" t="e">
        <f ca="1">_xludf.IFNA(VLOOKUP(B126,'S-FG'!$B$3:$B1001,1,FALSE),"")</f>
        <v>#NAME?</v>
      </c>
      <c r="H126" t="str">
        <f ca="1">IFERROR(__xludf.DUMMYFUNCTION("""COMPUTED_VALUE"""),"Charger Box Assy")</f>
        <v>Charger Box Assy</v>
      </c>
      <c r="I126" t="str">
        <f ca="1">IFERROR(__xludf.DUMMYFUNCTION("""COMPUTED_VALUE"""),"Lead wire 22AWG")</f>
        <v>Lead wire 22AWG</v>
      </c>
      <c r="J126">
        <f ca="1">IFERROR(__xludf.DUMMYFUNCTION("""COMPUTED_VALUE"""),10)</f>
        <v>10</v>
      </c>
      <c r="L126">
        <f t="shared" ca="1" si="0"/>
        <v>0</v>
      </c>
      <c r="Q126" t="str">
        <f>IF(N126="","",SUMIFS('PR-BOM'!$D$3:$D1001,'PR-BOM'!$C$3:$C1001,N126))</f>
        <v/>
      </c>
      <c r="S126" t="str">
        <f ca="1">IFERROR(__xludf.DUMMYFUNCTION("""COMPUTED_VALUE"""),"24v AC/DC module")</f>
        <v>24v AC/DC module</v>
      </c>
      <c r="X126" t="e">
        <f ca="1"/>
        <v>#NAME?</v>
      </c>
      <c r="Y126" t="e">
        <f t="shared" ca="1" si="1"/>
        <v>#NAME?</v>
      </c>
      <c r="Z126" t="e">
        <f ca="1">IF(X126="","",SUMIFS(#REF!,RM!$C$4:$C991,X126))</f>
        <v>#NAME?</v>
      </c>
      <c r="AA126" t="e">
        <f ca="1">IF(X126="","",SUMIFS(#REF!,RM!$C$4:$C991,X126))</f>
        <v>#NAME?</v>
      </c>
      <c r="AB126" t="e">
        <f ca="1">IF(X126="","",SUMIFS(IRegback!$Y$2:$Y1001,IRegback!$X$2:$X1001,X126))</f>
        <v>#NAME?</v>
      </c>
      <c r="AC126" t="e">
        <f t="shared" ca="1" si="2"/>
        <v>#NAME?</v>
      </c>
      <c r="AD126" t="e">
        <f ca="1">IF(X126="","",VLOOKUP($X126,RM!$C$4:$G991,3,FALSE))</f>
        <v>#NAME?</v>
      </c>
      <c r="AE126" t="e">
        <f ca="1">IF(X126="","",VLOOKUP($X126,RM!$C$4:$G991,4,FALSE))</f>
        <v>#NAME?</v>
      </c>
      <c r="AF126" t="e">
        <f ca="1">IF(X126="","",VLOOKUP($X126,RM!$C$4:$G991,5,FALSE))</f>
        <v>#NAME?</v>
      </c>
      <c r="AH126" t="str">
        <f ca="1">IFERROR(__xludf.DUMMYFUNCTION("""COMPUTED_VALUE"""),"PORT Signal CM Assy")</f>
        <v>PORT Signal CM Assy</v>
      </c>
      <c r="AI126" t="str">
        <f ca="1">IFERROR(__xludf.DUMMYFUNCTION("""COMPUTED_VALUE"""),"Black 14/38 Wire")</f>
        <v>Black 14/38 Wire</v>
      </c>
      <c r="AJ126">
        <f ca="1">IFERROR(__xludf.DUMMYFUNCTION("""COMPUTED_VALUE"""),0.15)</f>
        <v>0.15</v>
      </c>
      <c r="AL126" t="e">
        <f ca="1">_xludf.IFNA(VLOOKUP(AH126,'S-FG'!$B$3:$B1001,1,FALSE),"")</f>
        <v>#NAME?</v>
      </c>
      <c r="AM126" t="e">
        <f ca="1">IF(AI126="","",SUMIFS(#REF!,RM!$C$4:$C991,AI126))</f>
        <v>#REF!</v>
      </c>
    </row>
    <row r="127" spans="5:39">
      <c r="E127" t="str">
        <f>IF(A127="","",SUMIFS('PR-BOM'!$D$3:$D1001,'PR-BOM'!$C$3:$C1001,A127)*C127)</f>
        <v/>
      </c>
      <c r="F127" t="e">
        <f ca="1">_xludf.IFNA(VLOOKUP(B127,'S-FG'!$B$3:$B1001,1,FALSE),"")</f>
        <v>#NAME?</v>
      </c>
      <c r="H127" t="str">
        <f ca="1">IFERROR(__xludf.DUMMYFUNCTION("""COMPUTED_VALUE"""),"Charger Box Assy")</f>
        <v>Charger Box Assy</v>
      </c>
      <c r="I127" t="str">
        <f ca="1">IFERROR(__xludf.DUMMYFUNCTION("""COMPUTED_VALUE"""),"Soldering flux")</f>
        <v>Soldering flux</v>
      </c>
      <c r="J127">
        <f ca="1">IFERROR(__xludf.DUMMYFUNCTION("""COMPUTED_VALUE"""),1)</f>
        <v>1</v>
      </c>
      <c r="L127">
        <f t="shared" ca="1" si="0"/>
        <v>0</v>
      </c>
      <c r="Q127" t="str">
        <f>IF(N127="","",SUMIFS('PR-BOM'!$D$3:$D1001,'PR-BOM'!$C$3:$C1001,N127))</f>
        <v/>
      </c>
      <c r="S127" t="str">
        <f ca="1">IFERROR(__xludf.DUMMYFUNCTION("""COMPUTED_VALUE"""),"Lead wire 22AWG")</f>
        <v>Lead wire 22AWG</v>
      </c>
      <c r="X127" t="e">
        <f ca="1"/>
        <v>#NAME?</v>
      </c>
      <c r="Y127" t="e">
        <f t="shared" ca="1" si="1"/>
        <v>#NAME?</v>
      </c>
      <c r="Z127" t="e">
        <f ca="1">IF(X127="","",SUMIFS(#REF!,RM!$C$4:$C991,X127))</f>
        <v>#NAME?</v>
      </c>
      <c r="AA127" t="e">
        <f ca="1">IF(X127="","",SUMIFS(#REF!,RM!$C$4:$C991,X127))</f>
        <v>#NAME?</v>
      </c>
      <c r="AB127" t="e">
        <f ca="1">IF(X127="","",SUMIFS(IRegback!$Y$2:$Y1001,IRegback!$X$2:$X1001,X127))</f>
        <v>#NAME?</v>
      </c>
      <c r="AC127" t="e">
        <f t="shared" ca="1" si="2"/>
        <v>#NAME?</v>
      </c>
      <c r="AD127" t="e">
        <f ca="1">IF(X127="","",VLOOKUP($X127,RM!$C$4:$G991,3,FALSE))</f>
        <v>#NAME?</v>
      </c>
      <c r="AE127" t="e">
        <f ca="1">IF(X127="","",VLOOKUP($X127,RM!$C$4:$G991,4,FALSE))</f>
        <v>#NAME?</v>
      </c>
      <c r="AF127" t="e">
        <f ca="1">IF(X127="","",VLOOKUP($X127,RM!$C$4:$G991,5,FALSE))</f>
        <v>#NAME?</v>
      </c>
      <c r="AH127" t="str">
        <f ca="1">IFERROR(__xludf.DUMMYFUNCTION("""COMPUTED_VALUE"""),"PORT Signal CM Assy")</f>
        <v>PORT Signal CM Assy</v>
      </c>
      <c r="AI127" t="str">
        <f ca="1">IFERROR(__xludf.DUMMYFUNCTION("""COMPUTED_VALUE"""),"SY21-15 pin Cable Mount")</f>
        <v>SY21-15 pin Cable Mount</v>
      </c>
      <c r="AJ127">
        <f ca="1">IFERROR(__xludf.DUMMYFUNCTION("""COMPUTED_VALUE"""),1)</f>
        <v>1</v>
      </c>
      <c r="AK127" t="str">
        <f ca="1">IFERROR(__xludf.DUMMYFUNCTION("""COMPUTED_VALUE"""),"blank")</f>
        <v>blank</v>
      </c>
      <c r="AL127" t="e">
        <f ca="1">_xludf.IFNA(VLOOKUP(AH127,'S-FG'!$B$3:$B1001,1,FALSE),"")</f>
        <v>#NAME?</v>
      </c>
      <c r="AM127" t="e">
        <f ca="1">IF(AI127="","",SUMIFS(#REF!,RM!$C$4:$C991,AI127))</f>
        <v>#REF!</v>
      </c>
    </row>
    <row r="128" spans="5:39">
      <c r="E128" t="str">
        <f>IF(A128="","",SUMIFS('PR-BOM'!$D$3:$D1001,'PR-BOM'!$C$3:$C1001,A128)*C128)</f>
        <v/>
      </c>
      <c r="F128" t="e">
        <f ca="1">_xludf.IFNA(VLOOKUP(B128,'S-FG'!$B$3:$B1001,1,FALSE),"")</f>
        <v>#NAME?</v>
      </c>
      <c r="H128" t="str">
        <f ca="1">IFERROR(__xludf.DUMMYFUNCTION("""COMPUTED_VALUE"""),"Charger Box Assy")</f>
        <v>Charger Box Assy</v>
      </c>
      <c r="I128" t="str">
        <f ca="1">IFERROR(__xludf.DUMMYFUNCTION("""COMPUTED_VALUE"""),"3 pin 3 yrd power cord")</f>
        <v>3 pin 3 yrd power cord</v>
      </c>
      <c r="J128">
        <f ca="1">IFERROR(__xludf.DUMMYFUNCTION("""COMPUTED_VALUE"""),1)</f>
        <v>1</v>
      </c>
      <c r="L128">
        <f t="shared" ca="1" si="0"/>
        <v>0</v>
      </c>
      <c r="Q128" t="str">
        <f>IF(N128="","",SUMIFS('PR-BOM'!$D$3:$D1001,'PR-BOM'!$C$3:$C1001,N128))</f>
        <v/>
      </c>
      <c r="S128" t="str">
        <f ca="1">IFERROR(__xludf.DUMMYFUNCTION("""COMPUTED_VALUE"""),"Soldering flux")</f>
        <v>Soldering flux</v>
      </c>
      <c r="X128" t="e">
        <f ca="1"/>
        <v>#NAME?</v>
      </c>
      <c r="Y128" t="e">
        <f t="shared" ca="1" si="1"/>
        <v>#NAME?</v>
      </c>
      <c r="Z128" t="e">
        <f ca="1">IF(X128="","",SUMIFS(#REF!,RM!$C$4:$C991,X128))</f>
        <v>#NAME?</v>
      </c>
      <c r="AA128" t="e">
        <f ca="1">IF(X128="","",SUMIFS(#REF!,RM!$C$4:$C991,X128))</f>
        <v>#NAME?</v>
      </c>
      <c r="AB128" t="e">
        <f ca="1">IF(X128="","",SUMIFS(IRegback!$Y$2:$Y1001,IRegback!$X$2:$X1001,X128))</f>
        <v>#NAME?</v>
      </c>
      <c r="AC128" t="e">
        <f t="shared" ca="1" si="2"/>
        <v>#NAME?</v>
      </c>
      <c r="AD128" t="e">
        <f ca="1">IF(X128="","",VLOOKUP($X128,RM!$C$4:$G991,3,FALSE))</f>
        <v>#NAME?</v>
      </c>
      <c r="AE128" t="e">
        <f ca="1">IF(X128="","",VLOOKUP($X128,RM!$C$4:$G991,4,FALSE))</f>
        <v>#NAME?</v>
      </c>
      <c r="AF128" t="e">
        <f ca="1">IF(X128="","",VLOOKUP($X128,RM!$C$4:$G991,5,FALSE))</f>
        <v>#NAME?</v>
      </c>
      <c r="AH128" t="str">
        <f ca="1">IFERROR(__xludf.DUMMYFUNCTION("""COMPUTED_VALUE"""),"PORT Signal CM Assy")</f>
        <v>PORT Signal CM Assy</v>
      </c>
      <c r="AI128" t="str">
        <f ca="1">IFERROR(__xludf.DUMMYFUNCTION("""COMPUTED_VALUE"""),"BlueRobotics Leak")</f>
        <v>BlueRobotics Leak</v>
      </c>
      <c r="AJ128">
        <f ca="1">IFERROR(__xludf.DUMMYFUNCTION("""COMPUTED_VALUE"""),1)</f>
        <v>1</v>
      </c>
      <c r="AK128" t="str">
        <f ca="1">IFERROR(__xludf.DUMMYFUNCTION("""COMPUTED_VALUE"""),"blank")</f>
        <v>blank</v>
      </c>
      <c r="AL128" t="e">
        <f ca="1">_xludf.IFNA(VLOOKUP(AH128,'S-FG'!$B$3:$B1001,1,FALSE),"")</f>
        <v>#NAME?</v>
      </c>
      <c r="AM128" t="e">
        <f ca="1">IF(AI128="","",SUMIFS(#REF!,RM!$C$4:$C991,AI128))</f>
        <v>#REF!</v>
      </c>
    </row>
    <row r="129" spans="5:39">
      <c r="E129" t="str">
        <f>IF(A129="","",SUMIFS('PR-BOM'!$D$3:$D1001,'PR-BOM'!$C$3:$C1001,A129)*C129)</f>
        <v/>
      </c>
      <c r="F129" t="e">
        <f ca="1">_xludf.IFNA(VLOOKUP(B129,'S-FG'!$B$3:$B1001,1,FALSE),"")</f>
        <v>#NAME?</v>
      </c>
      <c r="H129" t="str">
        <f ca="1">IFERROR(__xludf.DUMMYFUNCTION("""COMPUTED_VALUE"""),"Charger Box Assy")</f>
        <v>Charger Box Assy</v>
      </c>
      <c r="I129" t="str">
        <f ca="1">IFERROR(__xludf.DUMMYFUNCTION("""COMPUTED_VALUE"""),"25cm Black Microfit one side crimped wires")</f>
        <v>25cm Black Microfit one side crimped wires</v>
      </c>
      <c r="J129">
        <f ca="1">IFERROR(__xludf.DUMMYFUNCTION("""COMPUTED_VALUE"""),1)</f>
        <v>1</v>
      </c>
      <c r="K129" t="str">
        <f ca="1">IFERROR(__xludf.DUMMYFUNCTION("""COMPUTED_VALUE"""),"blank")</f>
        <v>blank</v>
      </c>
      <c r="L129">
        <f t="shared" ca="1" si="0"/>
        <v>0</v>
      </c>
      <c r="Q129" t="str">
        <f>IF(N129="","",SUMIFS('PR-BOM'!$D$3:$D1001,'PR-BOM'!$C$3:$C1001,N129))</f>
        <v/>
      </c>
      <c r="S129" t="str">
        <f ca="1">IFERROR(__xludf.DUMMYFUNCTION("""COMPUTED_VALUE"""),"3 pin 3 yrd power cord")</f>
        <v>3 pin 3 yrd power cord</v>
      </c>
      <c r="X129" t="e">
        <f ca="1"/>
        <v>#NAME?</v>
      </c>
      <c r="Y129" t="e">
        <f t="shared" ca="1" si="1"/>
        <v>#NAME?</v>
      </c>
      <c r="Z129" t="e">
        <f ca="1">IF(X129="","",SUMIFS(#REF!,RM!$C$4:$C991,X129))</f>
        <v>#NAME?</v>
      </c>
      <c r="AA129" t="e">
        <f ca="1">IF(X129="","",SUMIFS(#REF!,RM!$C$4:$C991,X129))</f>
        <v>#NAME?</v>
      </c>
      <c r="AB129" t="e">
        <f ca="1">IF(X129="","",SUMIFS(IRegback!$Y$2:$Y1001,IRegback!$X$2:$X1001,X129))</f>
        <v>#NAME?</v>
      </c>
      <c r="AC129" t="e">
        <f t="shared" ca="1" si="2"/>
        <v>#NAME?</v>
      </c>
      <c r="AD129" t="e">
        <f ca="1">IF(X129="","",VLOOKUP($X129,RM!$C$4:$G991,3,FALSE))</f>
        <v>#NAME?</v>
      </c>
      <c r="AE129" t="e">
        <f ca="1">IF(X129="","",VLOOKUP($X129,RM!$C$4:$G991,4,FALSE))</f>
        <v>#NAME?</v>
      </c>
      <c r="AF129" t="e">
        <f ca="1">IF(X129="","",VLOOKUP($X129,RM!$C$4:$G991,5,FALSE))</f>
        <v>#NAME?</v>
      </c>
      <c r="AH129" t="str">
        <f ca="1">IFERROR(__xludf.DUMMYFUNCTION("""COMPUTED_VALUE"""),"PORT Signal CM Assy")</f>
        <v>PORT Signal CM Assy</v>
      </c>
      <c r="AI129" t="str">
        <f ca="1">IFERROR(__xludf.DUMMYFUNCTION("""COMPUTED_VALUE"""),"HeatShrink Tube 4:1")</f>
        <v>HeatShrink Tube 4:1</v>
      </c>
      <c r="AJ129">
        <f ca="1">IFERROR(__xludf.DUMMYFUNCTION("""COMPUTED_VALUE"""),0.05)</f>
        <v>0.05</v>
      </c>
      <c r="AK129" t="str">
        <f ca="1">IFERROR(__xludf.DUMMYFUNCTION("""COMPUTED_VALUE"""),"blank")</f>
        <v>blank</v>
      </c>
      <c r="AL129" t="e">
        <f ca="1">_xludf.IFNA(VLOOKUP(AH129,'S-FG'!$B$3:$B1001,1,FALSE),"")</f>
        <v>#NAME?</v>
      </c>
      <c r="AM129" t="e">
        <f ca="1">IF(AI129="","",SUMIFS(#REF!,RM!$C$4:$C991,AI129))</f>
        <v>#REF!</v>
      </c>
    </row>
    <row r="130" spans="5:39">
      <c r="E130" t="str">
        <f>IF(A130="","",SUMIFS('PR-BOM'!$D$3:$D1001,'PR-BOM'!$C$3:$C1001,A130)*C130)</f>
        <v/>
      </c>
      <c r="F130" t="e">
        <f ca="1">_xludf.IFNA(VLOOKUP(B130,'S-FG'!$B$3:$B1001,1,FALSE),"")</f>
        <v>#NAME?</v>
      </c>
      <c r="H130" t="str">
        <f ca="1">IFERROR(__xludf.DUMMYFUNCTION("""COMPUTED_VALUE"""),"Charger Box Assy")</f>
        <v>Charger Box Assy</v>
      </c>
      <c r="I130" t="str">
        <f ca="1">IFERROR(__xludf.DUMMYFUNCTION("""COMPUTED_VALUE"""),"25cm Green Microfit one side crimped wires")</f>
        <v>25cm Green Microfit one side crimped wires</v>
      </c>
      <c r="J130">
        <f ca="1">IFERROR(__xludf.DUMMYFUNCTION("""COMPUTED_VALUE"""),1)</f>
        <v>1</v>
      </c>
      <c r="K130" t="str">
        <f ca="1">IFERROR(__xludf.DUMMYFUNCTION("""COMPUTED_VALUE"""),"blank")</f>
        <v>blank</v>
      </c>
      <c r="L130">
        <f t="shared" ca="1" si="0"/>
        <v>0</v>
      </c>
      <c r="Q130" t="str">
        <f>IF(N130="","",SUMIFS('PR-BOM'!$D$3:$D1001,'PR-BOM'!$C$3:$C1001,N130))</f>
        <v/>
      </c>
      <c r="S130" t="str">
        <f ca="1">IFERROR(__xludf.DUMMYFUNCTION("""COMPUTED_VALUE"""),"25cm Black Microfit one side crimped wires")</f>
        <v>25cm Black Microfit one side crimped wires</v>
      </c>
      <c r="X130" t="e">
        <f ca="1"/>
        <v>#NAME?</v>
      </c>
      <c r="Y130" t="e">
        <f t="shared" ca="1" si="1"/>
        <v>#NAME?</v>
      </c>
      <c r="Z130" t="e">
        <f ca="1">IF(X130="","",SUMIFS(#REF!,RM!$C$4:$C991,X130))</f>
        <v>#NAME?</v>
      </c>
      <c r="AA130" t="e">
        <f ca="1">IF(X130="","",SUMIFS(#REF!,RM!$C$4:$C991,X130))</f>
        <v>#NAME?</v>
      </c>
      <c r="AB130" t="e">
        <f ca="1">IF(X130="","",SUMIFS(IRegback!$Y$2:$Y1001,IRegback!$X$2:$X1001,X130))</f>
        <v>#NAME?</v>
      </c>
      <c r="AC130" t="e">
        <f t="shared" ca="1" si="2"/>
        <v>#NAME?</v>
      </c>
      <c r="AD130" t="e">
        <f ca="1">IF(X130="","",VLOOKUP($X130,RM!$C$4:$G991,3,FALSE))</f>
        <v>#NAME?</v>
      </c>
      <c r="AE130" t="e">
        <f ca="1">IF(X130="","",VLOOKUP($X130,RM!$C$4:$G991,4,FALSE))</f>
        <v>#NAME?</v>
      </c>
      <c r="AF130" t="e">
        <f ca="1">IF(X130="","",VLOOKUP($X130,RM!$C$4:$G991,5,FALSE))</f>
        <v>#NAME?</v>
      </c>
      <c r="AH130" t="str">
        <f ca="1">IFERROR(__xludf.DUMMYFUNCTION("""COMPUTED_VALUE"""),"PORT Signal CM Assy")</f>
        <v>PORT Signal CM Assy</v>
      </c>
      <c r="AI130" t="str">
        <f ca="1">IFERROR(__xludf.DUMMYFUNCTION("""COMPUTED_VALUE"""),"HeatShrink Tube 12:3")</f>
        <v>HeatShrink Tube 12:3</v>
      </c>
      <c r="AJ130">
        <f ca="1">IFERROR(__xludf.DUMMYFUNCTION("""COMPUTED_VALUE"""),0.1)</f>
        <v>0.1</v>
      </c>
      <c r="AK130" t="str">
        <f ca="1">IFERROR(__xludf.DUMMYFUNCTION("""COMPUTED_VALUE"""),"blank")</f>
        <v>blank</v>
      </c>
      <c r="AL130" t="e">
        <f ca="1">_xludf.IFNA(VLOOKUP(AH130,'S-FG'!$B$3:$B1001,1,FALSE),"")</f>
        <v>#NAME?</v>
      </c>
      <c r="AM130" t="e">
        <f ca="1">IF(AI130="","",SUMIFS(#REF!,RM!$C$4:$C991,AI130))</f>
        <v>#REF!</v>
      </c>
    </row>
    <row r="131" spans="5:39">
      <c r="E131" t="str">
        <f>IF(A131="","",SUMIFS('PR-BOM'!$D$3:$D1001,'PR-BOM'!$C$3:$C1001,A131)*C131)</f>
        <v/>
      </c>
      <c r="F131" t="e">
        <f ca="1">_xludf.IFNA(VLOOKUP(B131,'S-FG'!$B$3:$B1001,1,FALSE),"")</f>
        <v>#NAME?</v>
      </c>
      <c r="H131" t="str">
        <f ca="1">IFERROR(__xludf.DUMMYFUNCTION("""COMPUTED_VALUE"""),"Charger Box Assy")</f>
        <v>Charger Box Assy</v>
      </c>
      <c r="I131" t="str">
        <f ca="1">IFERROR(__xludf.DUMMYFUNCTION("""COMPUTED_VALUE"""),"25cm Violet Microfit one side crimped wires")</f>
        <v>25cm Violet Microfit one side crimped wires</v>
      </c>
      <c r="J131">
        <f ca="1">IFERROR(__xludf.DUMMYFUNCTION("""COMPUTED_VALUE"""),1)</f>
        <v>1</v>
      </c>
      <c r="K131" t="str">
        <f ca="1">IFERROR(__xludf.DUMMYFUNCTION("""COMPUTED_VALUE"""),"blank")</f>
        <v>blank</v>
      </c>
      <c r="L131">
        <f t="shared" ca="1" si="0"/>
        <v>0</v>
      </c>
      <c r="Q131" t="str">
        <f>IF(N131="","",SUMIFS('PR-BOM'!$D$3:$D1001,'PR-BOM'!$C$3:$C1001,N131))</f>
        <v/>
      </c>
      <c r="S131" t="str">
        <f ca="1">IFERROR(__xludf.DUMMYFUNCTION("""COMPUTED_VALUE"""),"25cm Green Microfit one side crimped wires")</f>
        <v>25cm Green Microfit one side crimped wires</v>
      </c>
      <c r="X131" t="e">
        <f ca="1"/>
        <v>#NAME?</v>
      </c>
      <c r="Y131" t="e">
        <f t="shared" ca="1" si="1"/>
        <v>#NAME?</v>
      </c>
      <c r="Z131" t="e">
        <f ca="1">IF(X131="","",SUMIFS(#REF!,RM!$C$4:$C991,X131))</f>
        <v>#NAME?</v>
      </c>
      <c r="AA131" t="e">
        <f ca="1">IF(X131="","",SUMIFS(#REF!,RM!$C$4:$C991,X131))</f>
        <v>#NAME?</v>
      </c>
      <c r="AB131" t="e">
        <f ca="1">IF(X131="","",SUMIFS(IRegback!$Y$2:$Y1001,IRegback!$X$2:$X1001,X131))</f>
        <v>#NAME?</v>
      </c>
      <c r="AC131" t="e">
        <f t="shared" ca="1" si="2"/>
        <v>#NAME?</v>
      </c>
      <c r="AD131" t="e">
        <f ca="1">IF(X131="","",VLOOKUP($X131,RM!$C$4:$G991,3,FALSE))</f>
        <v>#NAME?</v>
      </c>
      <c r="AE131" t="e">
        <f ca="1">IF(X131="","",VLOOKUP($X131,RM!$C$4:$G991,4,FALSE))</f>
        <v>#NAME?</v>
      </c>
      <c r="AF131" t="e">
        <f ca="1">IF(X131="","",VLOOKUP($X131,RM!$C$4:$G991,5,FALSE))</f>
        <v>#NAME?</v>
      </c>
      <c r="AH131" t="str">
        <f ca="1">IFERROR(__xludf.DUMMYFUNCTION("""COMPUTED_VALUE"""),"PORT Signal CM Assy")</f>
        <v>PORT Signal CM Assy</v>
      </c>
      <c r="AI131" t="str">
        <f ca="1">IFERROR(__xludf.DUMMYFUNCTION("""COMPUTED_VALUE"""),"HeatShrink Tube 1.5mm/1.6mm")</f>
        <v>HeatShrink Tube 1.5mm/1.6mm</v>
      </c>
      <c r="AJ131">
        <f ca="1">IFERROR(__xludf.DUMMYFUNCTION("""COMPUTED_VALUE"""),0.15)</f>
        <v>0.15</v>
      </c>
      <c r="AL131" t="e">
        <f ca="1">_xludf.IFNA(VLOOKUP(AH131,'S-FG'!$B$3:$B1001,1,FALSE),"")</f>
        <v>#NAME?</v>
      </c>
      <c r="AM131" t="e">
        <f ca="1">IF(AI131="","",SUMIFS(#REF!,RM!$C$4:$C991,AI131))</f>
        <v>#REF!</v>
      </c>
    </row>
    <row r="132" spans="5:39">
      <c r="E132" t="str">
        <f>IF(A132="","",SUMIFS('PR-BOM'!$D$3:$D1001,'PR-BOM'!$C$3:$C1001,A132)*C132)</f>
        <v/>
      </c>
      <c r="F132" t="e">
        <f ca="1">_xludf.IFNA(VLOOKUP(B132,'S-FG'!$B$3:$B1001,1,FALSE),"")</f>
        <v>#NAME?</v>
      </c>
      <c r="H132" t="str">
        <f ca="1">IFERROR(__xludf.DUMMYFUNCTION("""COMPUTED_VALUE"""),"Charger Box Assy")</f>
        <v>Charger Box Assy</v>
      </c>
      <c r="I132" t="str">
        <f ca="1">IFERROR(__xludf.DUMMYFUNCTION("""COMPUTED_VALUE"""),"25cm Yellow Microfit one side crimped wires")</f>
        <v>25cm Yellow Microfit one side crimped wires</v>
      </c>
      <c r="J132">
        <f ca="1">IFERROR(__xludf.DUMMYFUNCTION("""COMPUTED_VALUE"""),1)</f>
        <v>1</v>
      </c>
      <c r="K132" t="str">
        <f ca="1">IFERROR(__xludf.DUMMYFUNCTION("""COMPUTED_VALUE"""),"blank")</f>
        <v>blank</v>
      </c>
      <c r="L132">
        <f t="shared" ca="1" si="0"/>
        <v>0</v>
      </c>
      <c r="Q132" t="str">
        <f>IF(N132="","",SUMIFS('PR-BOM'!$D$3:$D1001,'PR-BOM'!$C$3:$C1001,N132))</f>
        <v/>
      </c>
      <c r="S132" t="str">
        <f ca="1">IFERROR(__xludf.DUMMYFUNCTION("""COMPUTED_VALUE"""),"25cm Violet Microfit one side crimped wires")</f>
        <v>25cm Violet Microfit one side crimped wires</v>
      </c>
      <c r="X132" t="e">
        <f ca="1"/>
        <v>#NAME?</v>
      </c>
      <c r="Y132" t="e">
        <f t="shared" ca="1" si="1"/>
        <v>#NAME?</v>
      </c>
      <c r="Z132" t="e">
        <f ca="1">IF(X132="","",SUMIFS(#REF!,RM!$C$4:$C991,X132))</f>
        <v>#NAME?</v>
      </c>
      <c r="AA132" t="e">
        <f ca="1">IF(X132="","",SUMIFS(#REF!,RM!$C$4:$C991,X132))</f>
        <v>#NAME?</v>
      </c>
      <c r="AB132" t="e">
        <f ca="1">IF(X132="","",SUMIFS(IRegback!$Y$2:$Y1001,IRegback!$X$2:$X1001,X132))</f>
        <v>#NAME?</v>
      </c>
      <c r="AC132" t="e">
        <f t="shared" ca="1" si="2"/>
        <v>#NAME?</v>
      </c>
      <c r="AD132" t="e">
        <f ca="1">IF(X132="","",VLOOKUP($X132,RM!$C$4:$G991,3,FALSE))</f>
        <v>#NAME?</v>
      </c>
      <c r="AE132" t="e">
        <f ca="1">IF(X132="","",VLOOKUP($X132,RM!$C$4:$G991,4,FALSE))</f>
        <v>#NAME?</v>
      </c>
      <c r="AF132" t="e">
        <f ca="1">IF(X132="","",VLOOKUP($X132,RM!$C$4:$G991,5,FALSE))</f>
        <v>#NAME?</v>
      </c>
      <c r="AH132" t="str">
        <f ca="1">IFERROR(__xludf.DUMMYFUNCTION("""COMPUTED_VALUE"""),"PORT Signal CM Assy")</f>
        <v>PORT Signal CM Assy</v>
      </c>
      <c r="AI132" t="str">
        <f ca="1">IFERROR(__xludf.DUMMYFUNCTION("""COMPUTED_VALUE"""),"1uF 0805 PANASONIC")</f>
        <v>1uF 0805 PANASONIC</v>
      </c>
      <c r="AJ132">
        <f ca="1">IFERROR(__xludf.DUMMYFUNCTION("""COMPUTED_VALUE"""),1)</f>
        <v>1</v>
      </c>
      <c r="AK132" t="str">
        <f ca="1">IFERROR(__xludf.DUMMYFUNCTION("""COMPUTED_VALUE"""),"GCM21BR71E105KA56L")</f>
        <v>GCM21BR71E105KA56L</v>
      </c>
      <c r="AL132" t="e">
        <f ca="1">_xludf.IFNA(VLOOKUP(AH132,'S-FG'!$B$3:$B1001,1,FALSE),"")</f>
        <v>#NAME?</v>
      </c>
      <c r="AM132" t="e">
        <f ca="1">IF(AI132="","",SUMIFS(#REF!,RM!$C$4:$C991,AI132))</f>
        <v>#REF!</v>
      </c>
    </row>
    <row r="133" spans="5:39">
      <c r="E133" t="str">
        <f>IF(A133="","",SUMIFS('PR-BOM'!$D$3:$D1001,'PR-BOM'!$C$3:$C1001,A133)*C133)</f>
        <v/>
      </c>
      <c r="F133" t="e">
        <f ca="1">_xludf.IFNA(VLOOKUP(B133,'S-FG'!$B$3:$B1001,1,FALSE),"")</f>
        <v>#NAME?</v>
      </c>
      <c r="H133" t="str">
        <f ca="1">IFERROR(__xludf.DUMMYFUNCTION("""COMPUTED_VALUE"""),"Charger Box Assy")</f>
        <v>Charger Box Assy</v>
      </c>
      <c r="I133" t="str">
        <f ca="1">IFERROR(__xludf.DUMMYFUNCTION("""COMPUTED_VALUE"""),"25cm Blue Microfit one side crimped wires")</f>
        <v>25cm Blue Microfit one side crimped wires</v>
      </c>
      <c r="J133">
        <f ca="1">IFERROR(__xludf.DUMMYFUNCTION("""COMPUTED_VALUE"""),1)</f>
        <v>1</v>
      </c>
      <c r="K133" t="str">
        <f ca="1">IFERROR(__xludf.DUMMYFUNCTION("""COMPUTED_VALUE"""),"blank")</f>
        <v>blank</v>
      </c>
      <c r="L133">
        <f t="shared" ca="1" si="0"/>
        <v>0</v>
      </c>
      <c r="Q133" t="str">
        <f>IF(N133="","",SUMIFS('PR-BOM'!$D$3:$D1001,'PR-BOM'!$C$3:$C1001,N133))</f>
        <v/>
      </c>
      <c r="S133" t="str">
        <f ca="1">IFERROR(__xludf.DUMMYFUNCTION("""COMPUTED_VALUE"""),"25cm Yellow Microfit one side crimped wires")</f>
        <v>25cm Yellow Microfit one side crimped wires</v>
      </c>
      <c r="X133" t="e">
        <f ca="1"/>
        <v>#NAME?</v>
      </c>
      <c r="Y133" t="e">
        <f t="shared" ca="1" si="1"/>
        <v>#NAME?</v>
      </c>
      <c r="Z133" t="e">
        <f ca="1">IF(X133="","",SUMIFS(#REF!,RM!$C$4:$C991,X133))</f>
        <v>#NAME?</v>
      </c>
      <c r="AA133" t="e">
        <f ca="1">IF(X133="","",SUMIFS(#REF!,RM!$C$4:$C991,X133))</f>
        <v>#NAME?</v>
      </c>
      <c r="AB133" t="e">
        <f ca="1">IF(X133="","",SUMIFS(IRegback!$Y$2:$Y1001,IRegback!$X$2:$X1001,X133))</f>
        <v>#NAME?</v>
      </c>
      <c r="AC133" t="e">
        <f t="shared" ca="1" si="2"/>
        <v>#NAME?</v>
      </c>
      <c r="AD133" t="e">
        <f ca="1">IF(X133="","",VLOOKUP($X133,RM!$C$4:$G991,3,FALSE))</f>
        <v>#NAME?</v>
      </c>
      <c r="AE133" t="e">
        <f ca="1">IF(X133="","",VLOOKUP($X133,RM!$C$4:$G991,4,FALSE))</f>
        <v>#NAME?</v>
      </c>
      <c r="AF133" t="e">
        <f ca="1">IF(X133="","",VLOOKUP($X133,RM!$C$4:$G991,5,FALSE))</f>
        <v>#NAME?</v>
      </c>
      <c r="AH133" t="str">
        <f ca="1">IFERROR(__xludf.DUMMYFUNCTION("""COMPUTED_VALUE"""),"PORT Signal CM Assy")</f>
        <v>PORT Signal CM Assy</v>
      </c>
      <c r="AI133" t="str">
        <f ca="1">IFERROR(__xludf.DUMMYFUNCTION("""COMPUTED_VALUE"""),"HeatShrink Tube 3:1")</f>
        <v>HeatShrink Tube 3:1</v>
      </c>
      <c r="AJ133">
        <f ca="1">IFERROR(__xludf.DUMMYFUNCTION("""COMPUTED_VALUE"""),0.1)</f>
        <v>0.1</v>
      </c>
      <c r="AK133" t="str">
        <f ca="1">IFERROR(__xludf.DUMMYFUNCTION("""COMPUTED_VALUE"""),"blank")</f>
        <v>blank</v>
      </c>
      <c r="AL133" t="e">
        <f ca="1">_xludf.IFNA(VLOOKUP(AH133,'S-FG'!$B$3:$B1001,1,FALSE),"")</f>
        <v>#NAME?</v>
      </c>
      <c r="AM133" t="e">
        <f ca="1">IF(AI133="","",SUMIFS(#REF!,RM!$C$4:$C991,AI133))</f>
        <v>#REF!</v>
      </c>
    </row>
    <row r="134" spans="5:39">
      <c r="E134" t="str">
        <f>IF(A134="","",SUMIFS('PR-BOM'!$D$3:$D1001,'PR-BOM'!$C$3:$C1001,A134)*C134)</f>
        <v/>
      </c>
      <c r="F134" t="e">
        <f ca="1">_xludf.IFNA(VLOOKUP(B134,'S-FG'!$B$3:$B1001,1,FALSE),"")</f>
        <v>#NAME?</v>
      </c>
      <c r="H134" t="str">
        <f ca="1">IFERROR(__xludf.DUMMYFUNCTION("""COMPUTED_VALUE"""),"Charger Box Assy")</f>
        <v>Charger Box Assy</v>
      </c>
      <c r="I134" t="str">
        <f ca="1">IFERROR(__xludf.DUMMYFUNCTION("""COMPUTED_VALUE"""),"25cm Pink Microfit one side crimped wires")</f>
        <v>25cm Pink Microfit one side crimped wires</v>
      </c>
      <c r="J134">
        <f ca="1">IFERROR(__xludf.DUMMYFUNCTION("""COMPUTED_VALUE"""),1)</f>
        <v>1</v>
      </c>
      <c r="K134" t="str">
        <f ca="1">IFERROR(__xludf.DUMMYFUNCTION("""COMPUTED_VALUE"""),"blank")</f>
        <v>blank</v>
      </c>
      <c r="L134">
        <f t="shared" ca="1" si="0"/>
        <v>0</v>
      </c>
      <c r="Q134" t="str">
        <f>IF(N134="","",SUMIFS('PR-BOM'!$D$3:$D1001,'PR-BOM'!$C$3:$C1001,N134))</f>
        <v/>
      </c>
      <c r="S134" t="str">
        <f ca="1">IFERROR(__xludf.DUMMYFUNCTION("""COMPUTED_VALUE"""),"25cm Blue Microfit one side crimped wires")</f>
        <v>25cm Blue Microfit one side crimped wires</v>
      </c>
      <c r="X134" t="e">
        <f ca="1"/>
        <v>#NAME?</v>
      </c>
      <c r="Y134" t="e">
        <f t="shared" ca="1" si="1"/>
        <v>#NAME?</v>
      </c>
      <c r="Z134" t="e">
        <f ca="1">IF(X134="","",SUMIFS(#REF!,RM!$C$4:$C991,X134))</f>
        <v>#NAME?</v>
      </c>
      <c r="AA134" t="e">
        <f ca="1">IF(X134="","",SUMIFS(#REF!,RM!$C$4:$C991,X134))</f>
        <v>#NAME?</v>
      </c>
      <c r="AB134" t="e">
        <f ca="1">IF(X134="","",SUMIFS(IRegback!$Y$2:$Y1001,IRegback!$X$2:$X1001,X134))</f>
        <v>#NAME?</v>
      </c>
      <c r="AC134" t="e">
        <f t="shared" ca="1" si="2"/>
        <v>#NAME?</v>
      </c>
      <c r="AD134" t="e">
        <f ca="1">IF(X134="","",VLOOKUP($X134,RM!$C$4:$G991,3,FALSE))</f>
        <v>#NAME?</v>
      </c>
      <c r="AE134" t="e">
        <f ca="1">IF(X134="","",VLOOKUP($X134,RM!$C$4:$G991,4,FALSE))</f>
        <v>#NAME?</v>
      </c>
      <c r="AF134" t="e">
        <f ca="1">IF(X134="","",VLOOKUP($X134,RM!$C$4:$G991,5,FALSE))</f>
        <v>#NAME?</v>
      </c>
      <c r="AH134" t="str">
        <f ca="1">IFERROR(__xludf.DUMMYFUNCTION("""COMPUTED_VALUE"""),"PORT Signal CM Assy")</f>
        <v>PORT Signal CM Assy</v>
      </c>
      <c r="AI134" t="str">
        <f ca="1">IFERROR(__xludf.DUMMYFUNCTION("""COMPUTED_VALUE"""),"Silicon RTV 734 Potting compound")</f>
        <v>Silicon RTV 734 Potting compound</v>
      </c>
      <c r="AJ134">
        <f ca="1">IFERROR(__xludf.DUMMYFUNCTION("""COMPUTED_VALUE"""),10)</f>
        <v>10</v>
      </c>
      <c r="AK134" t="str">
        <f ca="1">IFERROR(__xludf.DUMMYFUNCTION("""COMPUTED_VALUE"""),"blank")</f>
        <v>blank</v>
      </c>
      <c r="AL134" t="e">
        <f ca="1">_xludf.IFNA(VLOOKUP(AH134,'S-FG'!$B$3:$B1001,1,FALSE),"")</f>
        <v>#NAME?</v>
      </c>
      <c r="AM134" t="e">
        <f ca="1">IF(AI134="","",SUMIFS(#REF!,RM!$C$4:$C991,AI134))</f>
        <v>#REF!</v>
      </c>
    </row>
    <row r="135" spans="5:39">
      <c r="E135" t="str">
        <f>IF(A135="","",SUMIFS('PR-BOM'!$D$3:$D1001,'PR-BOM'!$C$3:$C1001,A135)*C135)</f>
        <v/>
      </c>
      <c r="F135" t="e">
        <f ca="1">_xludf.IFNA(VLOOKUP(B135,'S-FG'!$B$3:$B1001,1,FALSE),"")</f>
        <v>#NAME?</v>
      </c>
      <c r="H135" t="str">
        <f ca="1">IFERROR(__xludf.DUMMYFUNCTION("""COMPUTED_VALUE"""),"Charger Box Assy")</f>
        <v>Charger Box Assy</v>
      </c>
      <c r="I135" t="str">
        <f ca="1">IFERROR(__xludf.DUMMYFUNCTION("""COMPUTED_VALUE"""),"25cm L.Brown Microfit one side crimped wires")</f>
        <v>25cm L.Brown Microfit one side crimped wires</v>
      </c>
      <c r="J135">
        <f ca="1">IFERROR(__xludf.DUMMYFUNCTION("""COMPUTED_VALUE"""),1)</f>
        <v>1</v>
      </c>
      <c r="K135" t="str">
        <f ca="1">IFERROR(__xludf.DUMMYFUNCTION("""COMPUTED_VALUE"""),"blank")</f>
        <v>blank</v>
      </c>
      <c r="L135">
        <f t="shared" ca="1" si="0"/>
        <v>0</v>
      </c>
      <c r="Q135" t="str">
        <f>IF(N135="","",SUMIFS('PR-BOM'!$D$3:$D1001,'PR-BOM'!$C$3:$C1001,N135))</f>
        <v/>
      </c>
      <c r="S135" t="str">
        <f ca="1">IFERROR(__xludf.DUMMYFUNCTION("""COMPUTED_VALUE"""),"25cm Pink Microfit one side crimped wires")</f>
        <v>25cm Pink Microfit one side crimped wires</v>
      </c>
      <c r="X135" t="e">
        <f ca="1"/>
        <v>#NAME?</v>
      </c>
      <c r="Y135" t="e">
        <f t="shared" ca="1" si="1"/>
        <v>#NAME?</v>
      </c>
      <c r="Z135" t="e">
        <f ca="1">IF(X135="","",SUMIFS(#REF!,RM!$C$4:$C991,X135))</f>
        <v>#NAME?</v>
      </c>
      <c r="AA135" t="e">
        <f ca="1">IF(X135="","",SUMIFS(#REF!,RM!$C$4:$C991,X135))</f>
        <v>#NAME?</v>
      </c>
      <c r="AB135" t="e">
        <f ca="1">IF(X135="","",SUMIFS(IRegback!$Y$2:$Y1001,IRegback!$X$2:$X1001,X135))</f>
        <v>#NAME?</v>
      </c>
      <c r="AC135" t="e">
        <f t="shared" ca="1" si="2"/>
        <v>#NAME?</v>
      </c>
      <c r="AD135" t="e">
        <f ca="1">IF(X135="","",VLOOKUP($X135,RM!$C$4:$G991,3,FALSE))</f>
        <v>#NAME?</v>
      </c>
      <c r="AE135" t="e">
        <f ca="1">IF(X135="","",VLOOKUP($X135,RM!$C$4:$G991,4,FALSE))</f>
        <v>#NAME?</v>
      </c>
      <c r="AF135" t="e">
        <f ca="1">IF(X135="","",VLOOKUP($X135,RM!$C$4:$G991,5,FALSE))</f>
        <v>#NAME?</v>
      </c>
      <c r="AH135" t="str">
        <f ca="1">IFERROR(__xludf.DUMMYFUNCTION("""COMPUTED_VALUE"""),"Charging PM Assy")</f>
        <v>Charging PM Assy</v>
      </c>
      <c r="AI135" t="str">
        <f ca="1">IFERROR(__xludf.DUMMYFUNCTION("""COMPUTED_VALUE"""),"2mm male bullet connector")</f>
        <v>2mm male bullet connector</v>
      </c>
      <c r="AJ135">
        <f ca="1">IFERROR(__xludf.DUMMYFUNCTION("""COMPUTED_VALUE"""),1)</f>
        <v>1</v>
      </c>
      <c r="AK135" t="str">
        <f ca="1">IFERROR(__xludf.DUMMYFUNCTION("""COMPUTED_VALUE"""),"blank")</f>
        <v>blank</v>
      </c>
      <c r="AL135" t="e">
        <f ca="1">_xludf.IFNA(VLOOKUP(AH135,'S-FG'!$B$3:$B1001,1,FALSE),"")</f>
        <v>#NAME?</v>
      </c>
      <c r="AM135" t="e">
        <f ca="1">IF(AI135="","",SUMIFS(#REF!,RM!$C$4:$C991,AI135))</f>
        <v>#REF!</v>
      </c>
    </row>
    <row r="136" spans="5:39">
      <c r="E136" t="str">
        <f>IF(A136="","",SUMIFS('PR-BOM'!$D$3:$D1001,'PR-BOM'!$C$3:$C1001,A136)*C136)</f>
        <v/>
      </c>
      <c r="F136" t="e">
        <f ca="1">_xludf.IFNA(VLOOKUP(B136,'S-FG'!$B$3:$B1001,1,FALSE),"")</f>
        <v>#NAME?</v>
      </c>
      <c r="H136" t="str">
        <f ca="1">IFERROR(__xludf.DUMMYFUNCTION("""COMPUTED_VALUE"""),"Charger Box Assy")</f>
        <v>Charger Box Assy</v>
      </c>
      <c r="I136" t="str">
        <f ca="1">IFERROR(__xludf.DUMMYFUNCTION("""COMPUTED_VALUE"""),"25cm D.Brown Microfit one side crimped wires")</f>
        <v>25cm D.Brown Microfit one side crimped wires</v>
      </c>
      <c r="J136">
        <f ca="1">IFERROR(__xludf.DUMMYFUNCTION("""COMPUTED_VALUE"""),1)</f>
        <v>1</v>
      </c>
      <c r="K136" t="str">
        <f ca="1">IFERROR(__xludf.DUMMYFUNCTION("""COMPUTED_VALUE"""),"blank")</f>
        <v>blank</v>
      </c>
      <c r="L136">
        <f t="shared" ca="1" si="0"/>
        <v>0</v>
      </c>
      <c r="Q136" t="str">
        <f>IF(N136="","",SUMIFS('PR-BOM'!$D$3:$D1001,'PR-BOM'!$C$3:$C1001,N136))</f>
        <v/>
      </c>
      <c r="S136" t="str">
        <f ca="1">IFERROR(__xludf.DUMMYFUNCTION("""COMPUTED_VALUE"""),"25cm L.Brown Microfit one side crimped wires")</f>
        <v>25cm L.Brown Microfit one side crimped wires</v>
      </c>
      <c r="X136" t="e">
        <f ca="1"/>
        <v>#NAME?</v>
      </c>
      <c r="Y136" t="e">
        <f t="shared" ca="1" si="1"/>
        <v>#NAME?</v>
      </c>
      <c r="Z136" t="e">
        <f ca="1">IF(X136="","",SUMIFS(#REF!,RM!$C$4:$C991,X136))</f>
        <v>#NAME?</v>
      </c>
      <c r="AA136" t="e">
        <f ca="1">IF(X136="","",SUMIFS(#REF!,RM!$C$4:$C991,X136))</f>
        <v>#NAME?</v>
      </c>
      <c r="AB136" t="e">
        <f ca="1">IF(X136="","",SUMIFS(IRegback!$Y$2:$Y1001,IRegback!$X$2:$X1001,X136))</f>
        <v>#NAME?</v>
      </c>
      <c r="AC136" t="e">
        <f t="shared" ca="1" si="2"/>
        <v>#NAME?</v>
      </c>
      <c r="AD136" t="e">
        <f ca="1">IF(X136="","",VLOOKUP($X136,RM!$C$4:$G991,3,FALSE))</f>
        <v>#NAME?</v>
      </c>
      <c r="AE136" t="e">
        <f ca="1">IF(X136="","",VLOOKUP($X136,RM!$C$4:$G991,4,FALSE))</f>
        <v>#NAME?</v>
      </c>
      <c r="AF136" t="e">
        <f ca="1">IF(X136="","",VLOOKUP($X136,RM!$C$4:$G991,5,FALSE))</f>
        <v>#NAME?</v>
      </c>
      <c r="AH136" t="str">
        <f ca="1">IFERROR(__xludf.DUMMYFUNCTION("""COMPUTED_VALUE"""),"Charging PM Assy")</f>
        <v>Charging PM Assy</v>
      </c>
      <c r="AI136" t="str">
        <f ca="1">IFERROR(__xludf.DUMMYFUNCTION("""COMPUTED_VALUE"""),"Black 18 AWG")</f>
        <v>Black 18 AWG</v>
      </c>
      <c r="AJ136">
        <f ca="1">IFERROR(__xludf.DUMMYFUNCTION("""COMPUTED_VALUE"""),0.35)</f>
        <v>0.35</v>
      </c>
      <c r="AK136" t="str">
        <f ca="1">IFERROR(__xludf.DUMMYFUNCTION("""COMPUTED_VALUE"""),"blank")</f>
        <v>blank</v>
      </c>
      <c r="AL136" t="e">
        <f ca="1">_xludf.IFNA(VLOOKUP(AH136,'S-FG'!$B$3:$B1001,1,FALSE),"")</f>
        <v>#NAME?</v>
      </c>
      <c r="AM136" t="e">
        <f ca="1">IF(AI136="","",SUMIFS(#REF!,RM!$C$4:$C991,AI136))</f>
        <v>#REF!</v>
      </c>
    </row>
    <row r="137" spans="5:39">
      <c r="E137" t="str">
        <f>IF(A137="","",SUMIFS('PR-BOM'!$D$3:$D1001,'PR-BOM'!$C$3:$C1001,A137)*C137)</f>
        <v/>
      </c>
      <c r="F137" t="e">
        <f ca="1">_xludf.IFNA(VLOOKUP(B137,'S-FG'!$B$3:$B1001,1,FALSE),"")</f>
        <v>#NAME?</v>
      </c>
      <c r="H137" t="str">
        <f ca="1">IFERROR(__xludf.DUMMYFUNCTION("""COMPUTED_VALUE"""),"Charger Box Assy")</f>
        <v>Charger Box Assy</v>
      </c>
      <c r="I137" t="str">
        <f ca="1">IFERROR(__xludf.DUMMYFUNCTION("""COMPUTED_VALUE"""),"25cm White Microfit one side crimped wires")</f>
        <v>25cm White Microfit one side crimped wires</v>
      </c>
      <c r="J137">
        <f ca="1">IFERROR(__xludf.DUMMYFUNCTION("""COMPUTED_VALUE"""),1)</f>
        <v>1</v>
      </c>
      <c r="K137" t="str">
        <f ca="1">IFERROR(__xludf.DUMMYFUNCTION("""COMPUTED_VALUE"""),"blank")</f>
        <v>blank</v>
      </c>
      <c r="L137">
        <f t="shared" ca="1" si="0"/>
        <v>0</v>
      </c>
      <c r="Q137" t="str">
        <f>IF(N137="","",SUMIFS('PR-BOM'!$D$3:$D1001,'PR-BOM'!$C$3:$C1001,N137))</f>
        <v/>
      </c>
      <c r="S137" t="str">
        <f ca="1">IFERROR(__xludf.DUMMYFUNCTION("""COMPUTED_VALUE"""),"25cm D.Brown Microfit one side crimped wires")</f>
        <v>25cm D.Brown Microfit one side crimped wires</v>
      </c>
      <c r="X137" t="e">
        <f ca="1"/>
        <v>#NAME?</v>
      </c>
      <c r="Y137" t="e">
        <f t="shared" ca="1" si="1"/>
        <v>#NAME?</v>
      </c>
      <c r="Z137" t="e">
        <f ca="1">IF(X137="","",SUMIFS(#REF!,RM!$C$4:$C991,X137))</f>
        <v>#NAME?</v>
      </c>
      <c r="AA137" t="e">
        <f ca="1">IF(X137="","",SUMIFS(#REF!,RM!$C$4:$C991,X137))</f>
        <v>#NAME?</v>
      </c>
      <c r="AB137" t="e">
        <f ca="1">IF(X137="","",SUMIFS(IRegback!$Y$2:$Y1001,IRegback!$X$2:$X1001,X137))</f>
        <v>#NAME?</v>
      </c>
      <c r="AC137" t="e">
        <f t="shared" ca="1" si="2"/>
        <v>#NAME?</v>
      </c>
      <c r="AD137" t="e">
        <f ca="1">IF(X137="","",VLOOKUP($X137,RM!$C$4:$G991,3,FALSE))</f>
        <v>#NAME?</v>
      </c>
      <c r="AE137" t="e">
        <f ca="1">IF(X137="","",VLOOKUP($X137,RM!$C$4:$G991,4,FALSE))</f>
        <v>#NAME?</v>
      </c>
      <c r="AF137" t="e">
        <f ca="1">IF(X137="","",VLOOKUP($X137,RM!$C$4:$G991,5,FALSE))</f>
        <v>#NAME?</v>
      </c>
      <c r="AH137" t="str">
        <f ca="1">IFERROR(__xludf.DUMMYFUNCTION("""COMPUTED_VALUE"""),"Charging PM Assy")</f>
        <v>Charging PM Assy</v>
      </c>
      <c r="AI137" t="str">
        <f ca="1">IFERROR(__xludf.DUMMYFUNCTION("""COMPUTED_VALUE"""),"Black 20 AWG")</f>
        <v>Black 20 AWG</v>
      </c>
      <c r="AJ137">
        <f ca="1">IFERROR(__xludf.DUMMYFUNCTION("""COMPUTED_VALUE"""),0.3)</f>
        <v>0.3</v>
      </c>
      <c r="AK137" t="str">
        <f ca="1">IFERROR(__xludf.DUMMYFUNCTION("""COMPUTED_VALUE"""),"blank")</f>
        <v>blank</v>
      </c>
      <c r="AL137" t="e">
        <f ca="1">_xludf.IFNA(VLOOKUP(AH137,'S-FG'!$B$3:$B1001,1,FALSE),"")</f>
        <v>#NAME?</v>
      </c>
      <c r="AM137" t="e">
        <f ca="1">IF(AI137="","",SUMIFS(#REF!,RM!$C$4:$C991,AI137))</f>
        <v>#REF!</v>
      </c>
    </row>
    <row r="138" spans="5:39">
      <c r="E138" t="str">
        <f>IF(A138="","",SUMIFS('PR-BOM'!$D$3:$D1001,'PR-BOM'!$C$3:$C1001,A138)*C138)</f>
        <v/>
      </c>
      <c r="F138" t="e">
        <f ca="1">_xludf.IFNA(VLOOKUP(B138,'S-FG'!$B$3:$B1001,1,FALSE),"")</f>
        <v>#NAME?</v>
      </c>
      <c r="H138" t="str">
        <f ca="1">IFERROR(__xludf.DUMMYFUNCTION("""COMPUTED_VALUE"""),"Charger Box Assy")</f>
        <v>Charger Box Assy</v>
      </c>
      <c r="I138" t="str">
        <f ca="1">IFERROR(__xludf.DUMMYFUNCTION("""COMPUTED_VALUE"""),"25cm White-Red Microfit one side crimped wires")</f>
        <v>25cm White-Red Microfit one side crimped wires</v>
      </c>
      <c r="J138">
        <f ca="1">IFERROR(__xludf.DUMMYFUNCTION("""COMPUTED_VALUE"""),1)</f>
        <v>1</v>
      </c>
      <c r="K138" t="str">
        <f ca="1">IFERROR(__xludf.DUMMYFUNCTION("""COMPUTED_VALUE"""),"blank")</f>
        <v>blank</v>
      </c>
      <c r="L138">
        <f t="shared" ca="1" si="0"/>
        <v>0</v>
      </c>
      <c r="Q138" t="str">
        <f>IF(N138="","",SUMIFS('PR-BOM'!$D$3:$D1001,'PR-BOM'!$C$3:$C1001,N138))</f>
        <v/>
      </c>
      <c r="S138" t="str">
        <f ca="1">IFERROR(__xludf.DUMMYFUNCTION("""COMPUTED_VALUE"""),"25cm White Microfit one side crimped wires")</f>
        <v>25cm White Microfit one side crimped wires</v>
      </c>
      <c r="X138" t="e">
        <f ca="1"/>
        <v>#NAME?</v>
      </c>
      <c r="Y138" t="e">
        <f t="shared" ca="1" si="1"/>
        <v>#NAME?</v>
      </c>
      <c r="Z138" t="e">
        <f ca="1">IF(X138="","",SUMIFS(#REF!,RM!$C$4:$C991,X138))</f>
        <v>#NAME?</v>
      </c>
      <c r="AA138" t="e">
        <f ca="1">IF(X138="","",SUMIFS(#REF!,RM!$C$4:$C991,X138))</f>
        <v>#NAME?</v>
      </c>
      <c r="AB138" t="e">
        <f ca="1">IF(X138="","",SUMIFS(IRegback!$Y$2:$Y1001,IRegback!$X$2:$X1001,X138))</f>
        <v>#NAME?</v>
      </c>
      <c r="AC138" t="e">
        <f t="shared" ca="1" si="2"/>
        <v>#NAME?</v>
      </c>
      <c r="AD138" t="e">
        <f ca="1">IF(X138="","",VLOOKUP($X138,RM!$C$4:$G991,3,FALSE))</f>
        <v>#NAME?</v>
      </c>
      <c r="AE138" t="e">
        <f ca="1">IF(X138="","",VLOOKUP($X138,RM!$C$4:$G991,4,FALSE))</f>
        <v>#NAME?</v>
      </c>
      <c r="AF138" t="e">
        <f ca="1">IF(X138="","",VLOOKUP($X138,RM!$C$4:$G991,5,FALSE))</f>
        <v>#NAME?</v>
      </c>
      <c r="AH138" t="str">
        <f ca="1">IFERROR(__xludf.DUMMYFUNCTION("""COMPUTED_VALUE"""),"Charging PM Assy")</f>
        <v>Charging PM Assy</v>
      </c>
      <c r="AI138" t="str">
        <f ca="1">IFERROR(__xludf.DUMMYFUNCTION("""COMPUTED_VALUE"""),"Red 20 AWG")</f>
        <v>Red 20 AWG</v>
      </c>
      <c r="AJ138">
        <f ca="1">IFERROR(__xludf.DUMMYFUNCTION("""COMPUTED_VALUE"""),0.3)</f>
        <v>0.3</v>
      </c>
      <c r="AK138" t="str">
        <f ca="1">IFERROR(__xludf.DUMMYFUNCTION("""COMPUTED_VALUE"""),"blank")</f>
        <v>blank</v>
      </c>
      <c r="AL138" t="e">
        <f ca="1">_xludf.IFNA(VLOOKUP(AH138,'S-FG'!$B$3:$B1001,1,FALSE),"")</f>
        <v>#NAME?</v>
      </c>
      <c r="AM138" t="e">
        <f ca="1">IF(AI138="","",SUMIFS(#REF!,RM!$C$4:$C991,AI138))</f>
        <v>#REF!</v>
      </c>
    </row>
    <row r="139" spans="5:39">
      <c r="E139" t="str">
        <f>IF(A139="","",SUMIFS('PR-BOM'!$D$3:$D1001,'PR-BOM'!$C$3:$C1001,A139)*C139)</f>
        <v/>
      </c>
      <c r="F139" t="e">
        <f ca="1">_xludf.IFNA(VLOOKUP(B139,'S-FG'!$B$3:$B1001,1,FALSE),"")</f>
        <v>#NAME?</v>
      </c>
      <c r="H139" t="str">
        <f ca="1">IFERROR(__xludf.DUMMYFUNCTION("""COMPUTED_VALUE"""),"Charger Box Assy")</f>
        <v>Charger Box Assy</v>
      </c>
      <c r="I139" t="str">
        <f ca="1">IFERROR(__xludf.DUMMYFUNCTION("""COMPUTED_VALUE"""),"25cm Red Microfit one side crimped wires")</f>
        <v>25cm Red Microfit one side crimped wires</v>
      </c>
      <c r="J139">
        <f ca="1">IFERROR(__xludf.DUMMYFUNCTION("""COMPUTED_VALUE"""),1)</f>
        <v>1</v>
      </c>
      <c r="K139" t="str">
        <f ca="1">IFERROR(__xludf.DUMMYFUNCTION("""COMPUTED_VALUE"""),"blank")</f>
        <v>blank</v>
      </c>
      <c r="L139">
        <f t="shared" ca="1" si="0"/>
        <v>0</v>
      </c>
      <c r="Q139" t="str">
        <f>IF(N139="","",SUMIFS('PR-BOM'!$D$3:$D1001,'PR-BOM'!$C$3:$C1001,N139))</f>
        <v/>
      </c>
      <c r="S139" t="str">
        <f ca="1">IFERROR(__xludf.DUMMYFUNCTION("""COMPUTED_VALUE"""),"25cm White-Red Microfit one side crimped wires")</f>
        <v>25cm White-Red Microfit one side crimped wires</v>
      </c>
      <c r="X139" t="e">
        <f ca="1"/>
        <v>#NAME?</v>
      </c>
      <c r="Y139" t="e">
        <f t="shared" ca="1" si="1"/>
        <v>#NAME?</v>
      </c>
      <c r="Z139" t="e">
        <f ca="1">IF(X139="","",SUMIFS(#REF!,RM!$C$4:$C991,X139))</f>
        <v>#NAME?</v>
      </c>
      <c r="AA139" t="e">
        <f ca="1">IF(X139="","",SUMIFS(#REF!,RM!$C$4:$C991,X139))</f>
        <v>#NAME?</v>
      </c>
      <c r="AB139" t="e">
        <f ca="1">IF(X139="","",SUMIFS(IRegback!$Y$2:$Y1001,IRegback!$X$2:$X1001,X139))</f>
        <v>#NAME?</v>
      </c>
      <c r="AC139" t="e">
        <f t="shared" ca="1" si="2"/>
        <v>#NAME?</v>
      </c>
      <c r="AD139" t="e">
        <f ca="1">IF(X139="","",VLOOKUP($X139,RM!$C$4:$G991,3,FALSE))</f>
        <v>#NAME?</v>
      </c>
      <c r="AE139" t="e">
        <f ca="1">IF(X139="","",VLOOKUP($X139,RM!$C$4:$G991,4,FALSE))</f>
        <v>#NAME?</v>
      </c>
      <c r="AF139" t="e">
        <f ca="1">IF(X139="","",VLOOKUP($X139,RM!$C$4:$G991,5,FALSE))</f>
        <v>#NAME?</v>
      </c>
      <c r="AH139" t="str">
        <f ca="1">IFERROR(__xludf.DUMMYFUNCTION("""COMPUTED_VALUE"""),"Charging PM Assy")</f>
        <v>Charging PM Assy</v>
      </c>
      <c r="AI139" t="str">
        <f ca="1">IFERROR(__xludf.DUMMYFUNCTION("""COMPUTED_VALUE"""),"13 pin JST-XH housing")</f>
        <v>13 pin JST-XH housing</v>
      </c>
      <c r="AJ139">
        <f ca="1">IFERROR(__xludf.DUMMYFUNCTION("""COMPUTED_VALUE"""),1)</f>
        <v>1</v>
      </c>
      <c r="AK139" t="str">
        <f ca="1">IFERROR(__xludf.DUMMYFUNCTION("""COMPUTED_VALUE"""),"blank")</f>
        <v>blank</v>
      </c>
      <c r="AL139" t="e">
        <f ca="1">_xludf.IFNA(VLOOKUP(AH139,'S-FG'!$B$3:$B1001,1,FALSE),"")</f>
        <v>#NAME?</v>
      </c>
      <c r="AM139" t="e">
        <f ca="1">IF(AI139="","",SUMIFS(#REF!,RM!$C$4:$C991,AI139))</f>
        <v>#REF!</v>
      </c>
    </row>
    <row r="140" spans="5:39">
      <c r="E140" t="str">
        <f>IF(A140="","",SUMIFS('PR-BOM'!$D$3:$D1001,'PR-BOM'!$C$3:$C1001,A140)*C140)</f>
        <v/>
      </c>
      <c r="F140" t="e">
        <f ca="1">_xludf.IFNA(VLOOKUP(B140,'S-FG'!$B$3:$B1001,1,FALSE),"")</f>
        <v>#NAME?</v>
      </c>
      <c r="H140" t="str">
        <f ca="1">IFERROR(__xludf.DUMMYFUNCTION("""COMPUTED_VALUE"""),"Charger Box Assy")</f>
        <v>Charger Box Assy</v>
      </c>
      <c r="I140" t="str">
        <f ca="1">IFERROR(__xludf.DUMMYFUNCTION("""COMPUTED_VALUE"""),"25cm Dark Blue Microfit one side crimped wires")</f>
        <v>25cm Dark Blue Microfit one side crimped wires</v>
      </c>
      <c r="J140">
        <f ca="1">IFERROR(__xludf.DUMMYFUNCTION("""COMPUTED_VALUE"""),1)</f>
        <v>1</v>
      </c>
      <c r="K140" t="str">
        <f ca="1">IFERROR(__xludf.DUMMYFUNCTION("""COMPUTED_VALUE"""),"blank")</f>
        <v>blank</v>
      </c>
      <c r="L140">
        <f t="shared" ca="1" si="0"/>
        <v>0</v>
      </c>
      <c r="Q140" t="str">
        <f>IF(N140="","",SUMIFS('PR-BOM'!$D$3:$D1001,'PR-BOM'!$C$3:$C1001,N140))</f>
        <v/>
      </c>
      <c r="S140" t="str">
        <f ca="1">IFERROR(__xludf.DUMMYFUNCTION("""COMPUTED_VALUE"""),"25cm Red Microfit one side crimped wires")</f>
        <v>25cm Red Microfit one side crimped wires</v>
      </c>
      <c r="X140" t="e">
        <f ca="1"/>
        <v>#NAME?</v>
      </c>
      <c r="Y140" t="e">
        <f t="shared" ca="1" si="1"/>
        <v>#NAME?</v>
      </c>
      <c r="Z140" t="e">
        <f ca="1">IF(X140="","",SUMIFS(#REF!,RM!$C$4:$C991,X140))</f>
        <v>#NAME?</v>
      </c>
      <c r="AA140" t="e">
        <f ca="1">IF(X140="","",SUMIFS(#REF!,RM!$C$4:$C991,X140))</f>
        <v>#NAME?</v>
      </c>
      <c r="AB140" t="e">
        <f ca="1">IF(X140="","",SUMIFS(IRegback!$Y$2:$Y1001,IRegback!$X$2:$X1001,X140))</f>
        <v>#NAME?</v>
      </c>
      <c r="AC140" t="e">
        <f t="shared" ca="1" si="2"/>
        <v>#NAME?</v>
      </c>
      <c r="AD140" t="e">
        <f ca="1">IF(X140="","",VLOOKUP($X140,RM!$C$4:$G991,3,FALSE))</f>
        <v>#NAME?</v>
      </c>
      <c r="AE140" t="e">
        <f ca="1">IF(X140="","",VLOOKUP($X140,RM!$C$4:$G991,4,FALSE))</f>
        <v>#NAME?</v>
      </c>
      <c r="AF140" t="e">
        <f ca="1">IF(X140="","",VLOOKUP($X140,RM!$C$4:$G991,5,FALSE))</f>
        <v>#NAME?</v>
      </c>
      <c r="AH140" t="str">
        <f ca="1">IFERROR(__xludf.DUMMYFUNCTION("""COMPUTED_VALUE"""),"Charging PM Assy")</f>
        <v>Charging PM Assy</v>
      </c>
      <c r="AI140" t="str">
        <f ca="1">IFERROR(__xludf.DUMMYFUNCTION("""COMPUTED_VALUE"""),"10cm one sided JST crimped Green")</f>
        <v>10cm one sided JST crimped Green</v>
      </c>
      <c r="AJ140">
        <f ca="1">IFERROR(__xludf.DUMMYFUNCTION("""COMPUTED_VALUE"""),1)</f>
        <v>1</v>
      </c>
      <c r="AK140" t="str">
        <f ca="1">IFERROR(__xludf.DUMMYFUNCTION("""COMPUTED_VALUE"""),"blank")</f>
        <v>blank</v>
      </c>
      <c r="AL140" t="e">
        <f ca="1">_xludf.IFNA(VLOOKUP(AH140,'S-FG'!$B$3:$B1001,1,FALSE),"")</f>
        <v>#NAME?</v>
      </c>
      <c r="AM140" t="e">
        <f ca="1">IF(AI140="","",SUMIFS(#REF!,RM!$C$4:$C991,AI140))</f>
        <v>#REF!</v>
      </c>
    </row>
    <row r="141" spans="5:39">
      <c r="E141" t="str">
        <f>IF(A141="","",SUMIFS('PR-BOM'!$D$3:$D1001,'PR-BOM'!$C$3:$C1001,A141)*C141)</f>
        <v/>
      </c>
      <c r="F141" t="e">
        <f ca="1">_xludf.IFNA(VLOOKUP(B141,'S-FG'!$B$3:$B1001,1,FALSE),"")</f>
        <v>#NAME?</v>
      </c>
      <c r="H141" t="str">
        <f ca="1">IFERROR(__xludf.DUMMYFUNCTION("""COMPUTED_VALUE"""),"Charger Box Assy")</f>
        <v>Charger Box Assy</v>
      </c>
      <c r="I141" t="str">
        <f ca="1">IFERROR(__xludf.DUMMYFUNCTION("""COMPUTED_VALUE"""),"25cm Orange Microfit one side crimped wires")</f>
        <v>25cm Orange Microfit one side crimped wires</v>
      </c>
      <c r="J141">
        <f ca="1">IFERROR(__xludf.DUMMYFUNCTION("""COMPUTED_VALUE"""),1)</f>
        <v>1</v>
      </c>
      <c r="K141" t="str">
        <f ca="1">IFERROR(__xludf.DUMMYFUNCTION("""COMPUTED_VALUE"""),"blank")</f>
        <v>blank</v>
      </c>
      <c r="L141">
        <f t="shared" ca="1" si="0"/>
        <v>0</v>
      </c>
      <c r="Q141" t="str">
        <f>IF(N141="","",SUMIFS('PR-BOM'!$D$3:$D1001,'PR-BOM'!$C$3:$C1001,N141))</f>
        <v/>
      </c>
      <c r="S141" t="str">
        <f ca="1">IFERROR(__xludf.DUMMYFUNCTION("""COMPUTED_VALUE"""),"25cm Dark Blue Microfit one side crimped wires")</f>
        <v>25cm Dark Blue Microfit one side crimped wires</v>
      </c>
      <c r="X141" t="e">
        <f ca="1"/>
        <v>#NAME?</v>
      </c>
      <c r="Y141" t="e">
        <f t="shared" ca="1" si="1"/>
        <v>#NAME?</v>
      </c>
      <c r="Z141" t="e">
        <f ca="1">IF(X141="","",SUMIFS(#REF!,RM!$C$4:$C991,X141))</f>
        <v>#NAME?</v>
      </c>
      <c r="AA141" t="e">
        <f ca="1">IF(X141="","",SUMIFS(#REF!,RM!$C$4:$C991,X141))</f>
        <v>#NAME?</v>
      </c>
      <c r="AB141" t="e">
        <f ca="1">IF(X141="","",SUMIFS(IRegback!$Y$2:$Y1001,IRegback!$X$2:$X1001,X141))</f>
        <v>#NAME?</v>
      </c>
      <c r="AC141" t="e">
        <f t="shared" ca="1" si="2"/>
        <v>#NAME?</v>
      </c>
      <c r="AD141" t="e">
        <f ca="1">IF(X141="","",VLOOKUP($X141,RM!$C$4:$G991,3,FALSE))</f>
        <v>#NAME?</v>
      </c>
      <c r="AE141" t="e">
        <f ca="1">IF(X141="","",VLOOKUP($X141,RM!$C$4:$G991,4,FALSE))</f>
        <v>#NAME?</v>
      </c>
      <c r="AF141" t="e">
        <f ca="1">IF(X141="","",VLOOKUP($X141,RM!$C$4:$G991,5,FALSE))</f>
        <v>#NAME?</v>
      </c>
      <c r="AH141" t="str">
        <f ca="1">IFERROR(__xludf.DUMMYFUNCTION("""COMPUTED_VALUE"""),"Charging PM Assy")</f>
        <v>Charging PM Assy</v>
      </c>
      <c r="AI141" t="str">
        <f ca="1">IFERROR(__xludf.DUMMYFUNCTION("""COMPUTED_VALUE"""),"10cm one sided JST crimped Voilet")</f>
        <v>10cm one sided JST crimped Voilet</v>
      </c>
      <c r="AJ141">
        <f ca="1">IFERROR(__xludf.DUMMYFUNCTION("""COMPUTED_VALUE"""),1)</f>
        <v>1</v>
      </c>
      <c r="AK141" t="str">
        <f ca="1">IFERROR(__xludf.DUMMYFUNCTION("""COMPUTED_VALUE"""),"blank")</f>
        <v>blank</v>
      </c>
      <c r="AL141" t="e">
        <f ca="1">_xludf.IFNA(VLOOKUP(AH141,'S-FG'!$B$3:$B1001,1,FALSE),"")</f>
        <v>#NAME?</v>
      </c>
      <c r="AM141" t="e">
        <f ca="1">IF(AI141="","",SUMIFS(#REF!,RM!$C$4:$C991,AI141))</f>
        <v>#REF!</v>
      </c>
    </row>
    <row r="142" spans="5:39">
      <c r="E142" t="str">
        <f>IF(A142="","",SUMIFS('PR-BOM'!$D$3:$D1001,'PR-BOM'!$C$3:$C1001,A142)*C142)</f>
        <v/>
      </c>
      <c r="F142" t="e">
        <f ca="1">_xludf.IFNA(VLOOKUP(B142,'S-FG'!$B$3:$B1001,1,FALSE),"")</f>
        <v>#NAME?</v>
      </c>
      <c r="H142" t="str">
        <f ca="1">IFERROR(__xludf.DUMMYFUNCTION("""COMPUTED_VALUE"""),"Charger Box Assy")</f>
        <v>Charger Box Assy</v>
      </c>
      <c r="I142" t="str">
        <f ca="1">IFERROR(__xludf.DUMMYFUNCTION("""COMPUTED_VALUE"""),"18pin Microfit housing")</f>
        <v>18pin Microfit housing</v>
      </c>
      <c r="J142">
        <f ca="1">IFERROR(__xludf.DUMMYFUNCTION("""COMPUTED_VALUE"""),1)</f>
        <v>1</v>
      </c>
      <c r="K142" t="str">
        <f ca="1">IFERROR(__xludf.DUMMYFUNCTION("""COMPUTED_VALUE"""),"blank")</f>
        <v>blank</v>
      </c>
      <c r="L142">
        <f t="shared" ca="1" si="0"/>
        <v>0</v>
      </c>
      <c r="Q142" t="str">
        <f>IF(N142="","",SUMIFS('PR-BOM'!$D$3:$D1001,'PR-BOM'!$C$3:$C1001,N142))</f>
        <v/>
      </c>
      <c r="S142" t="str">
        <f ca="1">IFERROR(__xludf.DUMMYFUNCTION("""COMPUTED_VALUE"""),"25cm Orange Microfit one side crimped wires")</f>
        <v>25cm Orange Microfit one side crimped wires</v>
      </c>
      <c r="X142" t="e">
        <f ca="1"/>
        <v>#NAME?</v>
      </c>
      <c r="Y142" t="e">
        <f t="shared" ca="1" si="1"/>
        <v>#NAME?</v>
      </c>
      <c r="Z142" t="e">
        <f ca="1">IF(X142="","",SUMIFS(#REF!,RM!$C$4:$C991,X142))</f>
        <v>#NAME?</v>
      </c>
      <c r="AA142" t="e">
        <f ca="1">IF(X142="","",SUMIFS(#REF!,RM!$C$4:$C991,X142))</f>
        <v>#NAME?</v>
      </c>
      <c r="AB142" t="e">
        <f ca="1">IF(X142="","",SUMIFS(IRegback!$Y$2:$Y1001,IRegback!$X$2:$X1001,X142))</f>
        <v>#NAME?</v>
      </c>
      <c r="AC142" t="e">
        <f t="shared" ca="1" si="2"/>
        <v>#NAME?</v>
      </c>
      <c r="AD142" t="e">
        <f ca="1">IF(X142="","",VLOOKUP($X142,RM!$C$4:$G991,3,FALSE))</f>
        <v>#NAME?</v>
      </c>
      <c r="AE142" t="e">
        <f ca="1">IF(X142="","",VLOOKUP($X142,RM!$C$4:$G991,4,FALSE))</f>
        <v>#NAME?</v>
      </c>
      <c r="AF142" t="e">
        <f ca="1">IF(X142="","",VLOOKUP($X142,RM!$C$4:$G991,5,FALSE))</f>
        <v>#NAME?</v>
      </c>
      <c r="AH142" t="str">
        <f ca="1">IFERROR(__xludf.DUMMYFUNCTION("""COMPUTED_VALUE"""),"Charging PM Assy")</f>
        <v>Charging PM Assy</v>
      </c>
      <c r="AI142" t="str">
        <f ca="1">IFERROR(__xludf.DUMMYFUNCTION("""COMPUTED_VALUE"""),"10cm one sided JST crimped Yellow")</f>
        <v>10cm one sided JST crimped Yellow</v>
      </c>
      <c r="AJ142">
        <f ca="1">IFERROR(__xludf.DUMMYFUNCTION("""COMPUTED_VALUE"""),1)</f>
        <v>1</v>
      </c>
      <c r="AK142" t="str">
        <f ca="1">IFERROR(__xludf.DUMMYFUNCTION("""COMPUTED_VALUE"""),"blank")</f>
        <v>blank</v>
      </c>
      <c r="AL142" t="e">
        <f ca="1">_xludf.IFNA(VLOOKUP(AH142,'S-FG'!$B$3:$B1001,1,FALSE),"")</f>
        <v>#NAME?</v>
      </c>
      <c r="AM142" t="e">
        <f ca="1">IF(AI142="","",SUMIFS(#REF!,RM!$C$4:$C991,AI142))</f>
        <v>#REF!</v>
      </c>
    </row>
    <row r="143" spans="5:39">
      <c r="E143" t="str">
        <f>IF(A143="","",SUMIFS('PR-BOM'!$D$3:$D1001,'PR-BOM'!$C$3:$C1001,A143)*C143)</f>
        <v/>
      </c>
      <c r="F143" t="e">
        <f ca="1">_xludf.IFNA(VLOOKUP(B143,'S-FG'!$B$3:$B1001,1,FALSE),"")</f>
        <v>#NAME?</v>
      </c>
      <c r="H143" t="str">
        <f ca="1">IFERROR(__xludf.DUMMYFUNCTION("""COMPUTED_VALUE"""),"Charger Box Assy")</f>
        <v>Charger Box Assy</v>
      </c>
      <c r="I143" t="str">
        <f ca="1">IFERROR(__xludf.DUMMYFUNCTION("""COMPUTED_VALUE"""),"12S Lipo Charger")</f>
        <v>12S Lipo Charger</v>
      </c>
      <c r="J143">
        <f ca="1">IFERROR(__xludf.DUMMYFUNCTION("""COMPUTED_VALUE"""),1)</f>
        <v>1</v>
      </c>
      <c r="K143" t="str">
        <f ca="1">IFERROR(__xludf.DUMMYFUNCTION("""COMPUTED_VALUE"""),"blank")</f>
        <v>blank</v>
      </c>
      <c r="L143">
        <f t="shared" ca="1" si="0"/>
        <v>0</v>
      </c>
      <c r="Q143" t="str">
        <f>IF(N143="","",SUMIFS('PR-BOM'!$D$3:$D1001,'PR-BOM'!$C$3:$C1001,N143))</f>
        <v/>
      </c>
      <c r="S143" t="str">
        <f ca="1">IFERROR(__xludf.DUMMYFUNCTION("""COMPUTED_VALUE"""),"18pin Microfit housing")</f>
        <v>18pin Microfit housing</v>
      </c>
      <c r="X143" t="e">
        <f ca="1"/>
        <v>#NAME?</v>
      </c>
      <c r="Y143" t="e">
        <f t="shared" ca="1" si="1"/>
        <v>#NAME?</v>
      </c>
      <c r="Z143" t="e">
        <f ca="1">IF(X143="","",SUMIFS(#REF!,RM!$C$4:$C991,X143))</f>
        <v>#NAME?</v>
      </c>
      <c r="AA143" t="e">
        <f ca="1">IF(X143="","",SUMIFS(#REF!,RM!$C$4:$C991,X143))</f>
        <v>#NAME?</v>
      </c>
      <c r="AB143" t="e">
        <f ca="1">IF(X143="","",SUMIFS(IRegback!$Y$2:$Y1001,IRegback!$X$2:$X1001,X143))</f>
        <v>#NAME?</v>
      </c>
      <c r="AC143" t="e">
        <f t="shared" ca="1" si="2"/>
        <v>#NAME?</v>
      </c>
      <c r="AD143" t="e">
        <f ca="1">IF(X143="","",VLOOKUP($X143,RM!$C$4:$G991,3,FALSE))</f>
        <v>#NAME?</v>
      </c>
      <c r="AE143" t="e">
        <f ca="1">IF(X143="","",VLOOKUP($X143,RM!$C$4:$G991,4,FALSE))</f>
        <v>#NAME?</v>
      </c>
      <c r="AF143" t="e">
        <f ca="1">IF(X143="","",VLOOKUP($X143,RM!$C$4:$G991,5,FALSE))</f>
        <v>#NAME?</v>
      </c>
      <c r="AH143" t="str">
        <f ca="1">IFERROR(__xludf.DUMMYFUNCTION("""COMPUTED_VALUE"""),"Charging PM Assy")</f>
        <v>Charging PM Assy</v>
      </c>
      <c r="AI143" t="str">
        <f ca="1">IFERROR(__xludf.DUMMYFUNCTION("""COMPUTED_VALUE"""),"10cm one sided JST crimped Sky Blue")</f>
        <v>10cm one sided JST crimped Sky Blue</v>
      </c>
      <c r="AJ143">
        <f ca="1">IFERROR(__xludf.DUMMYFUNCTION("""COMPUTED_VALUE"""),1)</f>
        <v>1</v>
      </c>
      <c r="AK143" t="str">
        <f ca="1">IFERROR(__xludf.DUMMYFUNCTION("""COMPUTED_VALUE"""),"blank")</f>
        <v>blank</v>
      </c>
      <c r="AL143" t="e">
        <f ca="1">_xludf.IFNA(VLOOKUP(AH143,'S-FG'!$B$3:$B1001,1,FALSE),"")</f>
        <v>#NAME?</v>
      </c>
      <c r="AM143" t="e">
        <f ca="1">IF(AI143="","",SUMIFS(#REF!,RM!$C$4:$C991,AI143))</f>
        <v>#REF!</v>
      </c>
    </row>
    <row r="144" spans="5:39">
      <c r="E144" t="str">
        <f>IF(A144="","",SUMIFS('PR-BOM'!$D$3:$D1001,'PR-BOM'!$C$3:$C1001,A144)*C144)</f>
        <v/>
      </c>
      <c r="F144" t="e">
        <f ca="1">_xludf.IFNA(VLOOKUP(B144,'S-FG'!$B$3:$B1001,1,FALSE),"")</f>
        <v>#NAME?</v>
      </c>
      <c r="H144" t="str">
        <f ca="1">IFERROR(__xludf.DUMMYFUNCTION("""COMPUTED_VALUE"""),"Charger Box Assy")</f>
        <v>Charger Box Assy</v>
      </c>
      <c r="I144" t="str">
        <f ca="1">IFERROR(__xludf.DUMMYFUNCTION("""COMPUTED_VALUE"""),"130x80x60 enclosure box")</f>
        <v>130x80x60 enclosure box</v>
      </c>
      <c r="J144">
        <f ca="1">IFERROR(__xludf.DUMMYFUNCTION("""COMPUTED_VALUE"""),1)</f>
        <v>1</v>
      </c>
      <c r="L144">
        <f t="shared" ca="1" si="0"/>
        <v>0</v>
      </c>
      <c r="Q144" t="str">
        <f>IF(N144="","",SUMIFS('PR-BOM'!$D$3:$D1001,'PR-BOM'!$C$3:$C1001,N144))</f>
        <v/>
      </c>
      <c r="S144" t="str">
        <f ca="1">IFERROR(__xludf.DUMMYFUNCTION("""COMPUTED_VALUE"""),"12S Lipo Charger")</f>
        <v>12S Lipo Charger</v>
      </c>
      <c r="X144" t="e">
        <f ca="1"/>
        <v>#NAME?</v>
      </c>
      <c r="Y144" t="e">
        <f t="shared" ca="1" si="1"/>
        <v>#NAME?</v>
      </c>
      <c r="Z144" t="e">
        <f ca="1">IF(X144="","",SUMIFS(#REF!,RM!$C$4:$C991,X144))</f>
        <v>#NAME?</v>
      </c>
      <c r="AA144" t="e">
        <f ca="1">IF(X144="","",SUMIFS(#REF!,RM!$C$4:$C991,X144))</f>
        <v>#NAME?</v>
      </c>
      <c r="AB144" t="e">
        <f ca="1">IF(X144="","",SUMIFS(IRegback!$Y$2:$Y1001,IRegback!$X$2:$X1001,X144))</f>
        <v>#NAME?</v>
      </c>
      <c r="AC144" t="e">
        <f t="shared" ca="1" si="2"/>
        <v>#NAME?</v>
      </c>
      <c r="AD144" t="e">
        <f ca="1">IF(X144="","",VLOOKUP($X144,RM!$C$4:$G991,3,FALSE))</f>
        <v>#NAME?</v>
      </c>
      <c r="AE144" t="e">
        <f ca="1">IF(X144="","",VLOOKUP($X144,RM!$C$4:$G991,4,FALSE))</f>
        <v>#NAME?</v>
      </c>
      <c r="AF144" t="e">
        <f ca="1">IF(X144="","",VLOOKUP($X144,RM!$C$4:$G991,5,FALSE))</f>
        <v>#NAME?</v>
      </c>
      <c r="AH144" t="str">
        <f ca="1">IFERROR(__xludf.DUMMYFUNCTION("""COMPUTED_VALUE"""),"Charging PM Assy")</f>
        <v>Charging PM Assy</v>
      </c>
      <c r="AI144" t="str">
        <f ca="1">IFERROR(__xludf.DUMMYFUNCTION("""COMPUTED_VALUE"""),"10cm one sided JST crimped Pink")</f>
        <v>10cm one sided JST crimped Pink</v>
      </c>
      <c r="AJ144">
        <f ca="1">IFERROR(__xludf.DUMMYFUNCTION("""COMPUTED_VALUE"""),1)</f>
        <v>1</v>
      </c>
      <c r="AK144" t="str">
        <f ca="1">IFERROR(__xludf.DUMMYFUNCTION("""COMPUTED_VALUE"""),"blank")</f>
        <v>blank</v>
      </c>
      <c r="AL144" t="e">
        <f ca="1">_xludf.IFNA(VLOOKUP(AH144,'S-FG'!$B$3:$B1001,1,FALSE),"")</f>
        <v>#NAME?</v>
      </c>
      <c r="AM144" t="e">
        <f ca="1">IF(AI144="","",SUMIFS(#REF!,RM!$C$4:$C991,AI144))</f>
        <v>#REF!</v>
      </c>
    </row>
    <row r="145" spans="5:39">
      <c r="E145" t="str">
        <f>IF(A145="","",SUMIFS('PR-BOM'!$D$3:$D1001,'PR-BOM'!$C$3:$C1001,A145)*C145)</f>
        <v/>
      </c>
      <c r="F145" t="e">
        <f ca="1">_xludf.IFNA(VLOOKUP(B145,'S-FG'!$B$3:$B1001,1,FALSE),"")</f>
        <v>#NAME?</v>
      </c>
      <c r="H145" t="str">
        <f ca="1">IFERROR(__xludf.DUMMYFUNCTION("""COMPUTED_VALUE"""),"Charger Box Assy")</f>
        <v>Charger Box Assy</v>
      </c>
      <c r="I145" t="str">
        <f ca="1">IFERROR(__xludf.DUMMYFUNCTION("""COMPUTED_VALUE"""),"PG-7 Cable Gland")</f>
        <v>PG-7 Cable Gland</v>
      </c>
      <c r="J145">
        <f ca="1">IFERROR(__xludf.DUMMYFUNCTION("""COMPUTED_VALUE"""),2)</f>
        <v>2</v>
      </c>
      <c r="K145" t="str">
        <f ca="1">IFERROR(__xludf.DUMMYFUNCTION("""COMPUTED_VALUE"""),"blank")</f>
        <v>blank</v>
      </c>
      <c r="L145">
        <f t="shared" ca="1" si="0"/>
        <v>0</v>
      </c>
      <c r="Q145" t="str">
        <f>IF(N145="","",SUMIFS('PR-BOM'!$D$3:$D1001,'PR-BOM'!$C$3:$C1001,N145))</f>
        <v/>
      </c>
      <c r="S145" t="str">
        <f ca="1">IFERROR(__xludf.DUMMYFUNCTION("""COMPUTED_VALUE"""),"130x80x60 enclosure box")</f>
        <v>130x80x60 enclosure box</v>
      </c>
      <c r="X145" t="e">
        <f ca="1"/>
        <v>#NAME?</v>
      </c>
      <c r="Y145" t="e">
        <f t="shared" ca="1" si="1"/>
        <v>#NAME?</v>
      </c>
      <c r="Z145" t="e">
        <f ca="1">IF(X145="","",SUMIFS(#REF!,RM!$C$4:$C991,X145))</f>
        <v>#NAME?</v>
      </c>
      <c r="AA145" t="e">
        <f ca="1">IF(X145="","",SUMIFS(#REF!,RM!$C$4:$C991,X145))</f>
        <v>#NAME?</v>
      </c>
      <c r="AB145" t="e">
        <f ca="1">IF(X145="","",SUMIFS(IRegback!$Y$2:$Y1001,IRegback!$X$2:$X1001,X145))</f>
        <v>#NAME?</v>
      </c>
      <c r="AC145" t="e">
        <f t="shared" ca="1" si="2"/>
        <v>#NAME?</v>
      </c>
      <c r="AD145" t="e">
        <f ca="1">IF(X145="","",VLOOKUP($X145,RM!$C$4:$G991,3,FALSE))</f>
        <v>#NAME?</v>
      </c>
      <c r="AE145" t="e">
        <f ca="1">IF(X145="","",VLOOKUP($X145,RM!$C$4:$G991,4,FALSE))</f>
        <v>#NAME?</v>
      </c>
      <c r="AF145" t="e">
        <f ca="1">IF(X145="","",VLOOKUP($X145,RM!$C$4:$G991,5,FALSE))</f>
        <v>#NAME?</v>
      </c>
      <c r="AH145" t="str">
        <f ca="1">IFERROR(__xludf.DUMMYFUNCTION("""COMPUTED_VALUE"""),"Charging PM Assy")</f>
        <v>Charging PM Assy</v>
      </c>
      <c r="AI145" t="str">
        <f ca="1">IFERROR(__xludf.DUMMYFUNCTION("""COMPUTED_VALUE"""),"10cm one sided JST crimped Orange")</f>
        <v>10cm one sided JST crimped Orange</v>
      </c>
      <c r="AJ145">
        <f ca="1">IFERROR(__xludf.DUMMYFUNCTION("""COMPUTED_VALUE"""),1)</f>
        <v>1</v>
      </c>
      <c r="AK145" t="str">
        <f ca="1">IFERROR(__xludf.DUMMYFUNCTION("""COMPUTED_VALUE"""),"blank")</f>
        <v>blank</v>
      </c>
      <c r="AL145" t="e">
        <f ca="1">_xludf.IFNA(VLOOKUP(AH145,'S-FG'!$B$3:$B1001,1,FALSE),"")</f>
        <v>#NAME?</v>
      </c>
      <c r="AM145" t="e">
        <f ca="1">IF(AI145="","",SUMIFS(#REF!,RM!$C$4:$C991,AI145))</f>
        <v>#REF!</v>
      </c>
    </row>
    <row r="146" spans="5:39">
      <c r="E146" t="str">
        <f>IF(A146="","",SUMIFS('PR-BOM'!$D$3:$D1001,'PR-BOM'!$C$3:$C1001,A146)*C146)</f>
        <v/>
      </c>
      <c r="F146" t="e">
        <f ca="1">_xludf.IFNA(VLOOKUP(B146,'S-FG'!$B$3:$B1001,1,FALSE),"")</f>
        <v>#NAME?</v>
      </c>
      <c r="H146" t="str">
        <f ca="1">IFERROR(__xludf.DUMMYFUNCTION("""COMPUTED_VALUE"""),"Charger Box Assy")</f>
        <v>Charger Box Assy</v>
      </c>
      <c r="I146" t="str">
        <f ca="1">IFERROR(__xludf.DUMMYFUNCTION("""COMPUTED_VALUE"""),"PG-11 Cable Gland")</f>
        <v>PG-11 Cable Gland</v>
      </c>
      <c r="J146">
        <f ca="1">IFERROR(__xludf.DUMMYFUNCTION("""COMPUTED_VALUE"""),2)</f>
        <v>2</v>
      </c>
      <c r="K146" t="str">
        <f ca="1">IFERROR(__xludf.DUMMYFUNCTION("""COMPUTED_VALUE"""),"blank")</f>
        <v>blank</v>
      </c>
      <c r="L146">
        <f t="shared" ca="1" si="0"/>
        <v>0</v>
      </c>
      <c r="Q146" t="str">
        <f>IF(N146="","",SUMIFS('PR-BOM'!$D$3:$D1001,'PR-BOM'!$C$3:$C1001,N146))</f>
        <v/>
      </c>
      <c r="S146" t="str">
        <f ca="1">IFERROR(__xludf.DUMMYFUNCTION("""COMPUTED_VALUE"""),"PG-7 Cable Gland")</f>
        <v>PG-7 Cable Gland</v>
      </c>
      <c r="X146" t="e">
        <f ca="1"/>
        <v>#NAME?</v>
      </c>
      <c r="Y146" t="e">
        <f t="shared" ca="1" si="1"/>
        <v>#NAME?</v>
      </c>
      <c r="Z146" t="e">
        <f ca="1">IF(X146="","",SUMIFS(#REF!,RM!$C$4:$C991,X146))</f>
        <v>#NAME?</v>
      </c>
      <c r="AA146" t="e">
        <f ca="1">IF(X146="","",SUMIFS(#REF!,RM!$C$4:$C991,X146))</f>
        <v>#NAME?</v>
      </c>
      <c r="AB146" t="e">
        <f ca="1">IF(X146="","",SUMIFS(IRegback!$Y$2:$Y1001,IRegback!$X$2:$X1001,X146))</f>
        <v>#NAME?</v>
      </c>
      <c r="AC146" t="e">
        <f t="shared" ca="1" si="2"/>
        <v>#NAME?</v>
      </c>
      <c r="AD146" t="e">
        <f ca="1">IF(X146="","",VLOOKUP($X146,RM!$C$4:$G991,3,FALSE))</f>
        <v>#NAME?</v>
      </c>
      <c r="AE146" t="e">
        <f ca="1">IF(X146="","",VLOOKUP($X146,RM!$C$4:$G991,4,FALSE))</f>
        <v>#NAME?</v>
      </c>
      <c r="AF146" t="e">
        <f ca="1">IF(X146="","",VLOOKUP($X146,RM!$C$4:$G991,5,FALSE))</f>
        <v>#NAME?</v>
      </c>
      <c r="AH146" t="str">
        <f ca="1">IFERROR(__xludf.DUMMYFUNCTION("""COMPUTED_VALUE"""),"Charging PM Assy")</f>
        <v>Charging PM Assy</v>
      </c>
      <c r="AI146" t="str">
        <f ca="1">IFERROR(__xludf.DUMMYFUNCTION("""COMPUTED_VALUE"""),"10cm one sided JST crimped Dark Blue")</f>
        <v>10cm one sided JST crimped Dark Blue</v>
      </c>
      <c r="AJ146">
        <f ca="1">IFERROR(__xludf.DUMMYFUNCTION("""COMPUTED_VALUE"""),1)</f>
        <v>1</v>
      </c>
      <c r="AK146" t="str">
        <f ca="1">IFERROR(__xludf.DUMMYFUNCTION("""COMPUTED_VALUE"""),"blank")</f>
        <v>blank</v>
      </c>
      <c r="AL146" t="e">
        <f ca="1">_xludf.IFNA(VLOOKUP(AH146,'S-FG'!$B$3:$B1001,1,FALSE),"")</f>
        <v>#NAME?</v>
      </c>
      <c r="AM146" t="e">
        <f ca="1">IF(AI146="","",SUMIFS(#REF!,RM!$C$4:$C991,AI146))</f>
        <v>#REF!</v>
      </c>
    </row>
    <row r="147" spans="5:39">
      <c r="E147" t="str">
        <f>IF(A147="","",SUMIFS('PR-BOM'!$D$3:$D1001,'PR-BOM'!$C$3:$C1001,A147)*C147)</f>
        <v/>
      </c>
      <c r="F147" t="e">
        <f ca="1">_xludf.IFNA(VLOOKUP(B147,'S-FG'!$B$3:$B1001,1,FALSE),"")</f>
        <v>#NAME?</v>
      </c>
      <c r="H147" t="str">
        <f ca="1">IFERROR(__xludf.DUMMYFUNCTION("""COMPUTED_VALUE"""),"Charger Box Assy")</f>
        <v>Charger Box Assy</v>
      </c>
      <c r="I147" t="str">
        <f ca="1">IFERROR(__xludf.DUMMYFUNCTION("""COMPUTED_VALUE"""),"Teroson MS930")</f>
        <v>Teroson MS930</v>
      </c>
      <c r="J147">
        <f ca="1">IFERROR(__xludf.DUMMYFUNCTION("""COMPUTED_VALUE"""),10)</f>
        <v>10</v>
      </c>
      <c r="K147" t="str">
        <f ca="1">IFERROR(__xludf.DUMMYFUNCTION("""COMPUTED_VALUE"""),"blank")</f>
        <v>blank</v>
      </c>
      <c r="L147">
        <f t="shared" ca="1" si="0"/>
        <v>0</v>
      </c>
      <c r="Q147" t="str">
        <f>IF(N147="","",SUMIFS('PR-BOM'!$D$3:$D1001,'PR-BOM'!$C$3:$C1001,N147))</f>
        <v/>
      </c>
      <c r="S147" t="str">
        <f ca="1">IFERROR(__xludf.DUMMYFUNCTION("""COMPUTED_VALUE"""),"PG-11 Cable Gland")</f>
        <v>PG-11 Cable Gland</v>
      </c>
      <c r="X147" t="e">
        <f ca="1"/>
        <v>#NAME?</v>
      </c>
      <c r="Y147" t="e">
        <f t="shared" ca="1" si="1"/>
        <v>#NAME?</v>
      </c>
      <c r="Z147" t="e">
        <f ca="1">IF(X147="","",SUMIFS(#REF!,RM!$C$4:$C991,X147))</f>
        <v>#NAME?</v>
      </c>
      <c r="AA147" t="e">
        <f ca="1">IF(X147="","",SUMIFS(#REF!,RM!$C$4:$C991,X147))</f>
        <v>#NAME?</v>
      </c>
      <c r="AB147" t="e">
        <f ca="1">IF(X147="","",SUMIFS(IRegback!$Y$2:$Y1001,IRegback!$X$2:$X1001,X147))</f>
        <v>#NAME?</v>
      </c>
      <c r="AC147" t="e">
        <f t="shared" ca="1" si="2"/>
        <v>#NAME?</v>
      </c>
      <c r="AD147" t="e">
        <f ca="1">IF(X147="","",VLOOKUP($X147,RM!$C$4:$G991,3,FALSE))</f>
        <v>#NAME?</v>
      </c>
      <c r="AE147" t="e">
        <f ca="1">IF(X147="","",VLOOKUP($X147,RM!$C$4:$G991,4,FALSE))</f>
        <v>#NAME?</v>
      </c>
      <c r="AF147" t="e">
        <f ca="1">IF(X147="","",VLOOKUP($X147,RM!$C$4:$G991,5,FALSE))</f>
        <v>#NAME?</v>
      </c>
      <c r="AH147" t="str">
        <f ca="1">IFERROR(__xludf.DUMMYFUNCTION("""COMPUTED_VALUE"""),"Charging PM Assy")</f>
        <v>Charging PM Assy</v>
      </c>
      <c r="AI147" t="str">
        <f ca="1">IFERROR(__xludf.DUMMYFUNCTION("""COMPUTED_VALUE"""),"10cm one sided JST crimped Light Brown")</f>
        <v>10cm one sided JST crimped Light Brown</v>
      </c>
      <c r="AJ147">
        <f ca="1">IFERROR(__xludf.DUMMYFUNCTION("""COMPUTED_VALUE"""),1)</f>
        <v>1</v>
      </c>
      <c r="AK147" t="str">
        <f ca="1">IFERROR(__xludf.DUMMYFUNCTION("""COMPUTED_VALUE"""),"blank")</f>
        <v>blank</v>
      </c>
      <c r="AL147" t="e">
        <f ca="1">_xludf.IFNA(VLOOKUP(AH147,'S-FG'!$B$3:$B1001,1,FALSE),"")</f>
        <v>#NAME?</v>
      </c>
      <c r="AM147" t="e">
        <f ca="1">IF(AI147="","",SUMIFS(#REF!,RM!$C$4:$C991,AI147))</f>
        <v>#REF!</v>
      </c>
    </row>
    <row r="148" spans="5:39">
      <c r="E148" t="str">
        <f>IF(A148="","",SUMIFS('PR-BOM'!$D$3:$D1001,'PR-BOM'!$C$3:$C1001,A148)*C148)</f>
        <v/>
      </c>
      <c r="F148" t="e">
        <f ca="1">_xludf.IFNA(VLOOKUP(B148,'S-FG'!$B$3:$B1001,1,FALSE),"")</f>
        <v>#NAME?</v>
      </c>
      <c r="H148" t="str">
        <f ca="1">IFERROR(__xludf.DUMMYFUNCTION("""COMPUTED_VALUE"""),"Charger Box Assy")</f>
        <v>Charger Box Assy</v>
      </c>
      <c r="I148" t="str">
        <f ca="1">IFERROR(__xludf.DUMMYFUNCTION("""COMPUTED_VALUE"""),"Red 18 AWG")</f>
        <v>Red 18 AWG</v>
      </c>
      <c r="J148">
        <f ca="1">IFERROR(__xludf.DUMMYFUNCTION("""COMPUTED_VALUE"""),0.25)</f>
        <v>0.25</v>
      </c>
      <c r="K148" t="str">
        <f ca="1">IFERROR(__xludf.DUMMYFUNCTION("""COMPUTED_VALUE"""),"blank")</f>
        <v>blank</v>
      </c>
      <c r="L148">
        <f t="shared" ca="1" si="0"/>
        <v>0</v>
      </c>
      <c r="Q148" t="str">
        <f>IF(N148="","",SUMIFS('PR-BOM'!$D$3:$D1001,'PR-BOM'!$C$3:$C1001,N148))</f>
        <v/>
      </c>
      <c r="S148" t="str">
        <f ca="1">IFERROR(__xludf.DUMMYFUNCTION("""COMPUTED_VALUE"""),"Teroson MS930")</f>
        <v>Teroson MS930</v>
      </c>
      <c r="X148" t="e">
        <f ca="1"/>
        <v>#NAME?</v>
      </c>
      <c r="Y148" t="e">
        <f t="shared" ca="1" si="1"/>
        <v>#NAME?</v>
      </c>
      <c r="Z148" t="e">
        <f ca="1">IF(X148="","",SUMIFS(#REF!,RM!$C$4:$C991,X148))</f>
        <v>#NAME?</v>
      </c>
      <c r="AA148" t="e">
        <f ca="1">IF(X148="","",SUMIFS(#REF!,RM!$C$4:$C991,X148))</f>
        <v>#NAME?</v>
      </c>
      <c r="AB148" t="e">
        <f ca="1">IF(X148="","",SUMIFS(IRegback!$Y$2:$Y1001,IRegback!$X$2:$X1001,X148))</f>
        <v>#NAME?</v>
      </c>
      <c r="AC148" t="e">
        <f t="shared" ca="1" si="2"/>
        <v>#NAME?</v>
      </c>
      <c r="AD148" t="e">
        <f ca="1">IF(X148="","",VLOOKUP($X148,RM!$C$4:$G991,3,FALSE))</f>
        <v>#NAME?</v>
      </c>
      <c r="AE148" t="e">
        <f ca="1">IF(X148="","",VLOOKUP($X148,RM!$C$4:$G991,4,FALSE))</f>
        <v>#NAME?</v>
      </c>
      <c r="AF148" t="e">
        <f ca="1">IF(X148="","",VLOOKUP($X148,RM!$C$4:$G991,5,FALSE))</f>
        <v>#NAME?</v>
      </c>
      <c r="AH148" t="str">
        <f ca="1">IFERROR(__xludf.DUMMYFUNCTION("""COMPUTED_VALUE"""),"Charging PM Assy")</f>
        <v>Charging PM Assy</v>
      </c>
      <c r="AI148" t="str">
        <f ca="1">IFERROR(__xludf.DUMMYFUNCTION("""COMPUTED_VALUE"""),"10cm one sided JST crimped Dark Brown")</f>
        <v>10cm one sided JST crimped Dark Brown</v>
      </c>
      <c r="AJ148">
        <f ca="1">IFERROR(__xludf.DUMMYFUNCTION("""COMPUTED_VALUE"""),1)</f>
        <v>1</v>
      </c>
      <c r="AK148" t="str">
        <f ca="1">IFERROR(__xludf.DUMMYFUNCTION("""COMPUTED_VALUE"""),"blank")</f>
        <v>blank</v>
      </c>
      <c r="AL148" t="e">
        <f ca="1">_xludf.IFNA(VLOOKUP(AH148,'S-FG'!$B$3:$B1001,1,FALSE),"")</f>
        <v>#NAME?</v>
      </c>
      <c r="AM148" t="e">
        <f ca="1">IF(AI148="","",SUMIFS(#REF!,RM!$C$4:$C991,AI148))</f>
        <v>#REF!</v>
      </c>
    </row>
    <row r="149" spans="5:39">
      <c r="E149" t="str">
        <f>IF(A149="","",SUMIFS('PR-BOM'!$D$3:$D1001,'PR-BOM'!$C$3:$C1001,A149)*C149)</f>
        <v/>
      </c>
      <c r="F149" t="e">
        <f ca="1">_xludf.IFNA(VLOOKUP(B149,'S-FG'!$B$3:$B1001,1,FALSE),"")</f>
        <v>#NAME?</v>
      </c>
      <c r="H149" t="str">
        <f ca="1">IFERROR(__xludf.DUMMYFUNCTION("""COMPUTED_VALUE"""),"Charger Box Assy")</f>
        <v>Charger Box Assy</v>
      </c>
      <c r="I149" t="str">
        <f ca="1">IFERROR(__xludf.DUMMYFUNCTION("""COMPUTED_VALUE"""),"Black 18 AWG")</f>
        <v>Black 18 AWG</v>
      </c>
      <c r="J149">
        <f ca="1">IFERROR(__xludf.DUMMYFUNCTION("""COMPUTED_VALUE"""),0.25)</f>
        <v>0.25</v>
      </c>
      <c r="K149" t="str">
        <f ca="1">IFERROR(__xludf.DUMMYFUNCTION("""COMPUTED_VALUE"""),"blank")</f>
        <v>blank</v>
      </c>
      <c r="L149">
        <f t="shared" ca="1" si="0"/>
        <v>0</v>
      </c>
      <c r="Q149" t="str">
        <f>IF(N149="","",SUMIFS('PR-BOM'!$D$3:$D1001,'PR-BOM'!$C$3:$C1001,N149))</f>
        <v/>
      </c>
      <c r="S149" t="str">
        <f ca="1">IFERROR(__xludf.DUMMYFUNCTION("""COMPUTED_VALUE"""),"Red 18 AWG")</f>
        <v>Red 18 AWG</v>
      </c>
      <c r="X149" t="e">
        <f ca="1"/>
        <v>#NAME?</v>
      </c>
      <c r="Y149" t="e">
        <f t="shared" ca="1" si="1"/>
        <v>#NAME?</v>
      </c>
      <c r="Z149" t="e">
        <f ca="1">IF(X149="","",SUMIFS(#REF!,RM!$C$4:$C991,X149))</f>
        <v>#NAME?</v>
      </c>
      <c r="AA149" t="e">
        <f ca="1">IF(X149="","",SUMIFS(#REF!,RM!$C$4:$C991,X149))</f>
        <v>#NAME?</v>
      </c>
      <c r="AB149" t="e">
        <f ca="1">IF(X149="","",SUMIFS(IRegback!$Y$2:$Y1001,IRegback!$X$2:$X1001,X149))</f>
        <v>#NAME?</v>
      </c>
      <c r="AC149" t="e">
        <f t="shared" ca="1" si="2"/>
        <v>#NAME?</v>
      </c>
      <c r="AD149" t="e">
        <f ca="1">IF(X149="","",VLOOKUP($X149,RM!$C$4:$G991,3,FALSE))</f>
        <v>#NAME?</v>
      </c>
      <c r="AE149" t="e">
        <f ca="1">IF(X149="","",VLOOKUP($X149,RM!$C$4:$G991,4,FALSE))</f>
        <v>#NAME?</v>
      </c>
      <c r="AF149" t="e">
        <f ca="1">IF(X149="","",VLOOKUP($X149,RM!$C$4:$G991,5,FALSE))</f>
        <v>#NAME?</v>
      </c>
      <c r="AH149" t="str">
        <f ca="1">IFERROR(__xludf.DUMMYFUNCTION("""COMPUTED_VALUE"""),"Charging PM Assy")</f>
        <v>Charging PM Assy</v>
      </c>
      <c r="AI149" t="str">
        <f ca="1">IFERROR(__xludf.DUMMYFUNCTION("""COMPUTED_VALUE"""),"10cm one sided JST crimped White with Red strip")</f>
        <v>10cm one sided JST crimped White with Red strip</v>
      </c>
      <c r="AJ149">
        <f ca="1">IFERROR(__xludf.DUMMYFUNCTION("""COMPUTED_VALUE"""),1)</f>
        <v>1</v>
      </c>
      <c r="AK149" t="str">
        <f ca="1">IFERROR(__xludf.DUMMYFUNCTION("""COMPUTED_VALUE"""),"blank")</f>
        <v>blank</v>
      </c>
      <c r="AL149" t="e">
        <f ca="1">_xludf.IFNA(VLOOKUP(AH149,'S-FG'!$B$3:$B1001,1,FALSE),"")</f>
        <v>#NAME?</v>
      </c>
      <c r="AM149" t="e">
        <f ca="1">IF(AI149="","",SUMIFS(#REF!,RM!$C$4:$C991,AI149))</f>
        <v>#REF!</v>
      </c>
    </row>
    <row r="150" spans="5:39">
      <c r="E150" t="str">
        <f>IF(A150="","",SUMIFS('PR-BOM'!$D$3:$D1001,'PR-BOM'!$C$3:$C1001,A150)*C150)</f>
        <v/>
      </c>
      <c r="F150" t="e">
        <f ca="1">_xludf.IFNA(VLOOKUP(B150,'S-FG'!$B$3:$B1001,1,FALSE),"")</f>
        <v>#NAME?</v>
      </c>
      <c r="H150" t="str">
        <f ca="1">IFERROR(__xludf.DUMMYFUNCTION("""COMPUTED_VALUE"""),"Charging CM Assy")</f>
        <v>Charging CM Assy</v>
      </c>
      <c r="I150" t="str">
        <f ca="1">IFERROR(__xludf.DUMMYFUNCTION("""COMPUTED_VALUE"""),"Lead wire 22AWG")</f>
        <v>Lead wire 22AWG</v>
      </c>
      <c r="J150">
        <f ca="1">IFERROR(__xludf.DUMMYFUNCTION("""COMPUTED_VALUE"""),10)</f>
        <v>10</v>
      </c>
      <c r="L150">
        <f t="shared" ca="1" si="0"/>
        <v>0</v>
      </c>
      <c r="Q150" t="str">
        <f>IF(N150="","",SUMIFS('PR-BOM'!$D$3:$D1001,'PR-BOM'!$C$3:$C1001,N150))</f>
        <v/>
      </c>
      <c r="S150" t="str">
        <f ca="1">IFERROR(__xludf.DUMMYFUNCTION("""COMPUTED_VALUE"""),"Black 18 AWG")</f>
        <v>Black 18 AWG</v>
      </c>
      <c r="X150" t="e">
        <f ca="1"/>
        <v>#NAME?</v>
      </c>
      <c r="Y150" t="e">
        <f t="shared" ca="1" si="1"/>
        <v>#NAME?</v>
      </c>
      <c r="Z150" t="e">
        <f ca="1">IF(X150="","",SUMIFS(#REF!,RM!$C$4:$C991,X150))</f>
        <v>#NAME?</v>
      </c>
      <c r="AA150" t="e">
        <f ca="1">IF(X150="","",SUMIFS(#REF!,RM!$C$4:$C991,X150))</f>
        <v>#NAME?</v>
      </c>
      <c r="AB150" t="e">
        <f ca="1">IF(X150="","",SUMIFS(IRegback!$Y$2:$Y1001,IRegback!$X$2:$X1001,X150))</f>
        <v>#NAME?</v>
      </c>
      <c r="AC150" t="e">
        <f t="shared" ca="1" si="2"/>
        <v>#NAME?</v>
      </c>
      <c r="AD150" t="e">
        <f ca="1">IF(X150="","",VLOOKUP($X150,RM!$C$4:$G991,3,FALSE))</f>
        <v>#NAME?</v>
      </c>
      <c r="AE150" t="e">
        <f ca="1">IF(X150="","",VLOOKUP($X150,RM!$C$4:$G991,4,FALSE))</f>
        <v>#NAME?</v>
      </c>
      <c r="AF150" t="e">
        <f ca="1">IF(X150="","",VLOOKUP($X150,RM!$C$4:$G991,5,FALSE))</f>
        <v>#NAME?</v>
      </c>
      <c r="AH150" t="str">
        <f ca="1">IFERROR(__xludf.DUMMYFUNCTION("""COMPUTED_VALUE"""),"Charging PM Assy")</f>
        <v>Charging PM Assy</v>
      </c>
      <c r="AI150" t="str">
        <f ca="1">IFERROR(__xludf.DUMMYFUNCTION("""COMPUTED_VALUE"""),"10cm one sided JST crimped White with black strip")</f>
        <v>10cm one sided JST crimped White with black strip</v>
      </c>
      <c r="AJ150">
        <f ca="1">IFERROR(__xludf.DUMMYFUNCTION("""COMPUTED_VALUE"""),1)</f>
        <v>1</v>
      </c>
      <c r="AK150" t="str">
        <f ca="1">IFERROR(__xludf.DUMMYFUNCTION("""COMPUTED_VALUE"""),"blank")</f>
        <v>blank</v>
      </c>
      <c r="AL150" t="e">
        <f ca="1">_xludf.IFNA(VLOOKUP(AH150,'S-FG'!$B$3:$B1001,1,FALSE),"")</f>
        <v>#NAME?</v>
      </c>
      <c r="AM150" t="e">
        <f ca="1">IF(AI150="","",SUMIFS(#REF!,RM!$C$4:$C991,AI150))</f>
        <v>#REF!</v>
      </c>
    </row>
    <row r="151" spans="5:39">
      <c r="E151" t="str">
        <f>IF(A151="","",SUMIFS('PR-BOM'!$D$3:$D1001,'PR-BOM'!$C$3:$C1001,A151)*C151)</f>
        <v/>
      </c>
      <c r="F151" t="e">
        <f ca="1">_xludf.IFNA(VLOOKUP(B151,'S-FG'!$B$3:$B1001,1,FALSE),"")</f>
        <v>#NAME?</v>
      </c>
      <c r="H151" t="str">
        <f ca="1">IFERROR(__xludf.DUMMYFUNCTION("""COMPUTED_VALUE"""),"Charging CM Assy")</f>
        <v>Charging CM Assy</v>
      </c>
      <c r="I151" t="str">
        <f ca="1">IFERROR(__xludf.DUMMYFUNCTION("""COMPUTED_VALUE"""),"Soldering flux")</f>
        <v>Soldering flux</v>
      </c>
      <c r="J151">
        <f ca="1">IFERROR(__xludf.DUMMYFUNCTION("""COMPUTED_VALUE"""),1)</f>
        <v>1</v>
      </c>
      <c r="L151">
        <f t="shared" ca="1" si="0"/>
        <v>0</v>
      </c>
      <c r="Q151" t="str">
        <f>IF(N151="","",SUMIFS('PR-BOM'!$D$3:$D1001,'PR-BOM'!$C$3:$C1001,N151))</f>
        <v/>
      </c>
      <c r="S151" t="str">
        <f ca="1">IFERROR(__xludf.DUMMYFUNCTION("""COMPUTED_VALUE"""),"Lead wire 22AWG")</f>
        <v>Lead wire 22AWG</v>
      </c>
      <c r="X151" t="e">
        <f ca="1"/>
        <v>#NAME?</v>
      </c>
      <c r="Y151" t="e">
        <f t="shared" ca="1" si="1"/>
        <v>#NAME?</v>
      </c>
      <c r="Z151" t="e">
        <f ca="1">IF(X151="","",SUMIFS(#REF!,RM!$C$4:$C991,X151))</f>
        <v>#NAME?</v>
      </c>
      <c r="AA151" t="e">
        <f ca="1">IF(X151="","",SUMIFS(#REF!,RM!$C$4:$C991,X151))</f>
        <v>#NAME?</v>
      </c>
      <c r="AB151" t="e">
        <f ca="1">IF(X151="","",SUMIFS(IRegback!$Y$2:$Y1001,IRegback!$X$2:$X1001,X151))</f>
        <v>#NAME?</v>
      </c>
      <c r="AC151" t="e">
        <f t="shared" ca="1" si="2"/>
        <v>#NAME?</v>
      </c>
      <c r="AD151" t="e">
        <f ca="1">IF(X151="","",VLOOKUP($X151,RM!$C$4:$G991,3,FALSE))</f>
        <v>#NAME?</v>
      </c>
      <c r="AE151" t="e">
        <f ca="1">IF(X151="","",VLOOKUP($X151,RM!$C$4:$G991,4,FALSE))</f>
        <v>#NAME?</v>
      </c>
      <c r="AF151" t="e">
        <f ca="1">IF(X151="","",VLOOKUP($X151,RM!$C$4:$G991,5,FALSE))</f>
        <v>#NAME?</v>
      </c>
      <c r="AH151" t="str">
        <f ca="1">IFERROR(__xludf.DUMMYFUNCTION("""COMPUTED_VALUE"""),"Charging PM Assy")</f>
        <v>Charging PM Assy</v>
      </c>
      <c r="AI151" t="str">
        <f ca="1">IFERROR(__xludf.DUMMYFUNCTION("""COMPUTED_VALUE"""),"10cm one sided JST crimped White")</f>
        <v>10cm one sided JST crimped White</v>
      </c>
      <c r="AJ151">
        <f ca="1">IFERROR(__xludf.DUMMYFUNCTION("""COMPUTED_VALUE"""),1)</f>
        <v>1</v>
      </c>
      <c r="AK151" t="str">
        <f ca="1">IFERROR(__xludf.DUMMYFUNCTION("""COMPUTED_VALUE"""),"blank")</f>
        <v>blank</v>
      </c>
      <c r="AL151" t="e">
        <f ca="1">_xludf.IFNA(VLOOKUP(AH151,'S-FG'!$B$3:$B1001,1,FALSE),"")</f>
        <v>#NAME?</v>
      </c>
      <c r="AM151" t="e">
        <f ca="1">IF(AI151="","",SUMIFS(#REF!,RM!$C$4:$C991,AI151))</f>
        <v>#REF!</v>
      </c>
    </row>
    <row r="152" spans="5:39">
      <c r="E152" t="str">
        <f>IF(A152="","",SUMIFS('PR-BOM'!$D$3:$D1001,'PR-BOM'!$C$3:$C1001,A152)*C152)</f>
        <v/>
      </c>
      <c r="F152" t="e">
        <f ca="1">_xludf.IFNA(VLOOKUP(B152,'S-FG'!$B$3:$B1001,1,FALSE),"")</f>
        <v>#NAME?</v>
      </c>
      <c r="H152" t="str">
        <f ca="1">IFERROR(__xludf.DUMMYFUNCTION("""COMPUTED_VALUE"""),"Charging CM Assy")</f>
        <v>Charging CM Assy</v>
      </c>
      <c r="I152" t="str">
        <f ca="1">IFERROR(__xludf.DUMMYFUNCTION("""COMPUTED_VALUE"""),"20Core Wire 14/38")</f>
        <v>20Core Wire 14/38</v>
      </c>
      <c r="J152">
        <f ca="1">IFERROR(__xludf.DUMMYFUNCTION("""COMPUTED_VALUE"""),1.5)</f>
        <v>1.5</v>
      </c>
      <c r="K152" t="str">
        <f ca="1">IFERROR(__xludf.DUMMYFUNCTION("""COMPUTED_VALUE"""),"blank")</f>
        <v>blank</v>
      </c>
      <c r="L152">
        <f t="shared" ca="1" si="0"/>
        <v>0</v>
      </c>
      <c r="Q152" t="str">
        <f>IF(N152="","",SUMIFS('PR-BOM'!$D$3:$D1001,'PR-BOM'!$C$3:$C1001,N152))</f>
        <v/>
      </c>
      <c r="S152" t="str">
        <f ca="1">IFERROR(__xludf.DUMMYFUNCTION("""COMPUTED_VALUE"""),"Soldering flux")</f>
        <v>Soldering flux</v>
      </c>
      <c r="X152" t="e">
        <f ca="1"/>
        <v>#NAME?</v>
      </c>
      <c r="Y152" t="e">
        <f t="shared" ca="1" si="1"/>
        <v>#NAME?</v>
      </c>
      <c r="Z152" t="e">
        <f ca="1">IF(X152="","",SUMIFS(#REF!,RM!$C$4:$C991,X152))</f>
        <v>#NAME?</v>
      </c>
      <c r="AA152" t="e">
        <f ca="1">IF(X152="","",SUMIFS(#REF!,RM!$C$4:$C991,X152))</f>
        <v>#NAME?</v>
      </c>
      <c r="AB152" t="e">
        <f ca="1">IF(X152="","",SUMIFS(IRegback!$Y$2:$Y1001,IRegback!$X$2:$X1001,X152))</f>
        <v>#NAME?</v>
      </c>
      <c r="AC152" t="e">
        <f t="shared" ca="1" si="2"/>
        <v>#NAME?</v>
      </c>
      <c r="AD152" t="e">
        <f ca="1">IF(X152="","",VLOOKUP($X152,RM!$C$4:$G991,3,FALSE))</f>
        <v>#NAME?</v>
      </c>
      <c r="AE152" t="e">
        <f ca="1">IF(X152="","",VLOOKUP($X152,RM!$C$4:$G991,4,FALSE))</f>
        <v>#NAME?</v>
      </c>
      <c r="AF152" t="e">
        <f ca="1">IF(X152="","",VLOOKUP($X152,RM!$C$4:$G991,5,FALSE))</f>
        <v>#NAME?</v>
      </c>
      <c r="AH152" t="str">
        <f ca="1">IFERROR(__xludf.DUMMYFUNCTION("""COMPUTED_VALUE"""),"Charging PM Assy")</f>
        <v>Charging PM Assy</v>
      </c>
      <c r="AI152" t="str">
        <f ca="1">IFERROR(__xludf.DUMMYFUNCTION("""COMPUTED_VALUE"""),"10cm one sided JST crimped Light Grey")</f>
        <v>10cm one sided JST crimped Light Grey</v>
      </c>
      <c r="AJ152">
        <f ca="1">IFERROR(__xludf.DUMMYFUNCTION("""COMPUTED_VALUE"""),1)</f>
        <v>1</v>
      </c>
      <c r="AK152" t="str">
        <f ca="1">IFERROR(__xludf.DUMMYFUNCTION("""COMPUTED_VALUE"""),"blank")</f>
        <v>blank</v>
      </c>
      <c r="AL152" t="e">
        <f ca="1">_xludf.IFNA(VLOOKUP(AH152,'S-FG'!$B$3:$B1001,1,FALSE),"")</f>
        <v>#NAME?</v>
      </c>
      <c r="AM152" t="e">
        <f ca="1">IF(AI152="","",SUMIFS(#REF!,RM!$C$4:$C991,AI152))</f>
        <v>#REF!</v>
      </c>
    </row>
    <row r="153" spans="5:39">
      <c r="E153" t="str">
        <f>IF(A153="","",SUMIFS('PR-BOM'!$D$3:$D1001,'PR-BOM'!$C$3:$C1001,A153)*C153)</f>
        <v/>
      </c>
      <c r="F153" t="e">
        <f ca="1">_xludf.IFNA(VLOOKUP(B153,'S-FG'!$B$3:$B1001,1,FALSE),"")</f>
        <v>#NAME?</v>
      </c>
      <c r="H153" t="str">
        <f ca="1">IFERROR(__xludf.DUMMYFUNCTION("""COMPUTED_VALUE"""),"Charging CM Assy")</f>
        <v>Charging CM Assy</v>
      </c>
      <c r="I153" t="str">
        <f ca="1">IFERROR(__xludf.DUMMYFUNCTION("""COMPUTED_VALUE"""),"WY-28 Metal connector CM")</f>
        <v>WY-28 Metal connector CM</v>
      </c>
      <c r="J153">
        <f ca="1">IFERROR(__xludf.DUMMYFUNCTION("""COMPUTED_VALUE"""),1)</f>
        <v>1</v>
      </c>
      <c r="K153" t="str">
        <f ca="1">IFERROR(__xludf.DUMMYFUNCTION("""COMPUTED_VALUE"""),"blank")</f>
        <v>blank</v>
      </c>
      <c r="L153">
        <f t="shared" ca="1" si="0"/>
        <v>0</v>
      </c>
      <c r="Q153" t="str">
        <f>IF(N153="","",SUMIFS('PR-BOM'!$D$3:$D1001,'PR-BOM'!$C$3:$C1001,N153))</f>
        <v/>
      </c>
      <c r="S153" t="str">
        <f ca="1">IFERROR(__xludf.DUMMYFUNCTION("""COMPUTED_VALUE"""),"20Core Wire 14/38")</f>
        <v>20Core Wire 14/38</v>
      </c>
      <c r="X153" t="e">
        <f ca="1"/>
        <v>#NAME?</v>
      </c>
      <c r="Y153" t="e">
        <f t="shared" ca="1" si="1"/>
        <v>#NAME?</v>
      </c>
      <c r="Z153" t="e">
        <f ca="1">IF(X153="","",SUMIFS(#REF!,RM!$C$4:$C991,X153))</f>
        <v>#NAME?</v>
      </c>
      <c r="AA153" t="e">
        <f ca="1">IF(X153="","",SUMIFS(#REF!,RM!$C$4:$C991,X153))</f>
        <v>#NAME?</v>
      </c>
      <c r="AB153" t="e">
        <f ca="1">IF(X153="","",SUMIFS(IRegback!$Y$2:$Y1001,IRegback!$X$2:$X1001,X153))</f>
        <v>#NAME?</v>
      </c>
      <c r="AC153" t="e">
        <f t="shared" ca="1" si="2"/>
        <v>#NAME?</v>
      </c>
      <c r="AD153" t="e">
        <f ca="1">IF(X153="","",VLOOKUP($X153,RM!$C$4:$G991,3,FALSE))</f>
        <v>#NAME?</v>
      </c>
      <c r="AE153" t="e">
        <f ca="1">IF(X153="","",VLOOKUP($X153,RM!$C$4:$G991,4,FALSE))</f>
        <v>#NAME?</v>
      </c>
      <c r="AF153" t="e">
        <f ca="1">IF(X153="","",VLOOKUP($X153,RM!$C$4:$G991,5,FALSE))</f>
        <v>#NAME?</v>
      </c>
      <c r="AH153" t="str">
        <f ca="1">IFERROR(__xludf.DUMMYFUNCTION("""COMPUTED_VALUE"""),"Charging PM Assy")</f>
        <v>Charging PM Assy</v>
      </c>
      <c r="AI153" t="str">
        <f ca="1">IFERROR(__xludf.DUMMYFUNCTION("""COMPUTED_VALUE"""),"WY-28 Metal connector PM")</f>
        <v>WY-28 Metal connector PM</v>
      </c>
      <c r="AJ153">
        <f ca="1">IFERROR(__xludf.DUMMYFUNCTION("""COMPUTED_VALUE"""),1)</f>
        <v>1</v>
      </c>
      <c r="AK153" t="str">
        <f ca="1">IFERROR(__xludf.DUMMYFUNCTION("""COMPUTED_VALUE"""),"blank")</f>
        <v>blank</v>
      </c>
      <c r="AL153" t="e">
        <f ca="1">_xludf.IFNA(VLOOKUP(AH153,'S-FG'!$B$3:$B1001,1,FALSE),"")</f>
        <v>#NAME?</v>
      </c>
      <c r="AM153" t="e">
        <f ca="1">IF(AI153="","",SUMIFS(#REF!,RM!$C$4:$C991,AI153))</f>
        <v>#REF!</v>
      </c>
    </row>
    <row r="154" spans="5:39">
      <c r="E154" t="str">
        <f>IF(A154="","",SUMIFS('PR-BOM'!$D$3:$D1001,'PR-BOM'!$C$3:$C1001,A154)*C154)</f>
        <v/>
      </c>
      <c r="F154" t="e">
        <f ca="1">_xludf.IFNA(VLOOKUP(B154,'S-FG'!$B$3:$B1001,1,FALSE),"")</f>
        <v>#NAME?</v>
      </c>
      <c r="H154" t="str">
        <f ca="1">IFERROR(__xludf.DUMMYFUNCTION("""COMPUTED_VALUE"""),"RPM Sensor Assy")</f>
        <v>RPM Sensor Assy</v>
      </c>
      <c r="I154" t="str">
        <f ca="1">IFERROR(__xludf.DUMMYFUNCTION("""COMPUTED_VALUE"""),"PWB of RPM Sensor")</f>
        <v>PWB of RPM Sensor</v>
      </c>
      <c r="J154">
        <f ca="1">IFERROR(__xludf.DUMMYFUNCTION("""COMPUTED_VALUE"""),1)</f>
        <v>1</v>
      </c>
      <c r="K154" t="str">
        <f ca="1">IFERROR(__xludf.DUMMYFUNCTION("""COMPUTED_VALUE"""),"blank")</f>
        <v>blank</v>
      </c>
      <c r="L154">
        <f t="shared" ca="1" si="0"/>
        <v>0</v>
      </c>
      <c r="Q154" t="str">
        <f>IF(N154="","",SUMIFS('PR-BOM'!$D$3:$D1001,'PR-BOM'!$C$3:$C1001,N154))</f>
        <v/>
      </c>
      <c r="S154" t="str">
        <f ca="1">IFERROR(__xludf.DUMMYFUNCTION("""COMPUTED_VALUE"""),"WY-28 Metal connector CM")</f>
        <v>WY-28 Metal connector CM</v>
      </c>
      <c r="X154" t="e">
        <f ca="1"/>
        <v>#NAME?</v>
      </c>
      <c r="Y154" t="e">
        <f t="shared" ca="1" si="1"/>
        <v>#NAME?</v>
      </c>
      <c r="Z154" t="e">
        <f ca="1">IF(X154="","",SUMIFS(#REF!,RM!$C$4:$C991,X154))</f>
        <v>#NAME?</v>
      </c>
      <c r="AA154" t="e">
        <f ca="1">IF(X154="","",SUMIFS(#REF!,RM!$C$4:$C991,X154))</f>
        <v>#NAME?</v>
      </c>
      <c r="AB154" t="e">
        <f ca="1">IF(X154="","",SUMIFS(IRegback!$Y$2:$Y1001,IRegback!$X$2:$X1001,X154))</f>
        <v>#NAME?</v>
      </c>
      <c r="AC154" t="e">
        <f t="shared" ca="1" si="2"/>
        <v>#NAME?</v>
      </c>
      <c r="AD154" t="e">
        <f ca="1">IF(X154="","",VLOOKUP($X154,RM!$C$4:$G991,3,FALSE))</f>
        <v>#NAME?</v>
      </c>
      <c r="AE154" t="e">
        <f ca="1">IF(X154="","",VLOOKUP($X154,RM!$C$4:$G991,4,FALSE))</f>
        <v>#NAME?</v>
      </c>
      <c r="AF154" t="e">
        <f ca="1">IF(X154="","",VLOOKUP($X154,RM!$C$4:$G991,5,FALSE))</f>
        <v>#NAME?</v>
      </c>
      <c r="AH154" t="str">
        <f ca="1">IFERROR(__xludf.DUMMYFUNCTION("""COMPUTED_VALUE"""),"Charging PM Assy")</f>
        <v>Charging PM Assy</v>
      </c>
      <c r="AI154" t="str">
        <f ca="1">IFERROR(__xludf.DUMMYFUNCTION("""COMPUTED_VALUE"""),"Heatshrink Tube 6.4:1.6")</f>
        <v>Heatshrink Tube 6.4:1.6</v>
      </c>
      <c r="AJ154">
        <f ca="1">IFERROR(__xludf.DUMMYFUNCTION("""COMPUTED_VALUE"""),0.05)</f>
        <v>0.05</v>
      </c>
      <c r="AK154" t="str">
        <f ca="1">IFERROR(__xludf.DUMMYFUNCTION("""COMPUTED_VALUE"""),"blank")</f>
        <v>blank</v>
      </c>
      <c r="AL154" t="e">
        <f ca="1">_xludf.IFNA(VLOOKUP(AH154,'S-FG'!$B$3:$B1001,1,FALSE),"")</f>
        <v>#NAME?</v>
      </c>
      <c r="AM154" t="e">
        <f ca="1">IF(AI154="","",SUMIFS(#REF!,RM!$C$4:$C991,AI154))</f>
        <v>#REF!</v>
      </c>
    </row>
    <row r="155" spans="5:39">
      <c r="E155" t="str">
        <f>IF(A155="","",SUMIFS('PR-BOM'!$D$3:$D1001,'PR-BOM'!$C$3:$C1001,A155)*C155)</f>
        <v/>
      </c>
      <c r="F155" t="e">
        <f ca="1">_xludf.IFNA(VLOOKUP(B155,'S-FG'!$B$3:$B1001,1,FALSE),"")</f>
        <v>#NAME?</v>
      </c>
      <c r="H155" t="str">
        <f ca="1">IFERROR(__xludf.DUMMYFUNCTION("""COMPUTED_VALUE"""),"RPM Sensor Assy")</f>
        <v>RPM Sensor Assy</v>
      </c>
      <c r="I155" t="str">
        <f ca="1">IFERROR(__xludf.DUMMYFUNCTION("""COMPUTED_VALUE"""),"LM358D SMD")</f>
        <v>LM358D SMD</v>
      </c>
      <c r="J155">
        <f ca="1">IFERROR(__xludf.DUMMYFUNCTION("""COMPUTED_VALUE"""),1)</f>
        <v>1</v>
      </c>
      <c r="K155" t="str">
        <f ca="1">IFERROR(__xludf.DUMMYFUNCTION("""COMPUTED_VALUE"""),"blank")</f>
        <v>blank</v>
      </c>
      <c r="L155">
        <f t="shared" ca="1" si="0"/>
        <v>0</v>
      </c>
      <c r="Q155" t="str">
        <f>IF(N155="","",SUMIFS('PR-BOM'!$D$3:$D1001,'PR-BOM'!$C$3:$C1001,N155))</f>
        <v/>
      </c>
      <c r="S155" t="str">
        <f ca="1">IFERROR(__xludf.DUMMYFUNCTION("""COMPUTED_VALUE"""),"PWB of RPM Sensor")</f>
        <v>PWB of RPM Sensor</v>
      </c>
      <c r="X155" t="e">
        <f ca="1"/>
        <v>#NAME?</v>
      </c>
      <c r="Y155" t="e">
        <f t="shared" ca="1" si="1"/>
        <v>#NAME?</v>
      </c>
      <c r="Z155" t="e">
        <f ca="1">IF(X155="","",SUMIFS(#REF!,RM!$C$4:$C991,X155))</f>
        <v>#NAME?</v>
      </c>
      <c r="AA155" t="e">
        <f ca="1">IF(X155="","",SUMIFS(#REF!,RM!$C$4:$C991,X155))</f>
        <v>#NAME?</v>
      </c>
      <c r="AB155" t="e">
        <f ca="1">IF(X155="","",SUMIFS(IRegback!$Y$2:$Y1001,IRegback!$X$2:$X1001,X155))</f>
        <v>#NAME?</v>
      </c>
      <c r="AC155" t="e">
        <f t="shared" ca="1" si="2"/>
        <v>#NAME?</v>
      </c>
      <c r="AD155" t="e">
        <f ca="1">IF(X155="","",VLOOKUP($X155,RM!$C$4:$G991,3,FALSE))</f>
        <v>#NAME?</v>
      </c>
      <c r="AE155" t="e">
        <f ca="1">IF(X155="","",VLOOKUP($X155,RM!$C$4:$G991,4,FALSE))</f>
        <v>#NAME?</v>
      </c>
      <c r="AF155" t="e">
        <f ca="1">IF(X155="","",VLOOKUP($X155,RM!$C$4:$G991,5,FALSE))</f>
        <v>#NAME?</v>
      </c>
      <c r="AH155" t="str">
        <f ca="1">IFERROR(__xludf.DUMMYFUNCTION("""COMPUTED_VALUE"""),"Charging PM Assy")</f>
        <v>Charging PM Assy</v>
      </c>
      <c r="AI155" t="str">
        <f ca="1">IFERROR(__xludf.DUMMYFUNCTION("""COMPUTED_VALUE"""),"HeatShrink Tube 4:1")</f>
        <v>HeatShrink Tube 4:1</v>
      </c>
      <c r="AJ155">
        <f ca="1">IFERROR(__xludf.DUMMYFUNCTION("""COMPUTED_VALUE"""),0.06)</f>
        <v>0.06</v>
      </c>
      <c r="AK155" t="str">
        <f ca="1">IFERROR(__xludf.DUMMYFUNCTION("""COMPUTED_VALUE"""),"blank")</f>
        <v>blank</v>
      </c>
      <c r="AL155" t="e">
        <f ca="1">_xludf.IFNA(VLOOKUP(AH155,'S-FG'!$B$3:$B1001,1,FALSE),"")</f>
        <v>#NAME?</v>
      </c>
      <c r="AM155" t="e">
        <f ca="1">IF(AI155="","",SUMIFS(#REF!,RM!$C$4:$C991,AI155))</f>
        <v>#REF!</v>
      </c>
    </row>
    <row r="156" spans="5:39">
      <c r="E156" t="str">
        <f>IF(A156="","",SUMIFS('PR-BOM'!$D$3:$D1001,'PR-BOM'!$C$3:$C1001,A156)*C156)</f>
        <v/>
      </c>
      <c r="F156" t="e">
        <f ca="1">_xludf.IFNA(VLOOKUP(B156,'S-FG'!$B$3:$B1001,1,FALSE),"")</f>
        <v>#NAME?</v>
      </c>
      <c r="H156" t="str">
        <f ca="1">IFERROR(__xludf.DUMMYFUNCTION("""COMPUTED_VALUE"""),"RPM Sensor Assy")</f>
        <v>RPM Sensor Assy</v>
      </c>
      <c r="I156" t="str">
        <f ca="1">IFERROR(__xludf.DUMMYFUNCTION("""COMPUTED_VALUE"""),"47k 0805")</f>
        <v>47k 0805</v>
      </c>
      <c r="J156">
        <f ca="1">IFERROR(__xludf.DUMMYFUNCTION("""COMPUTED_VALUE"""),8)</f>
        <v>8</v>
      </c>
      <c r="K156" t="str">
        <f ca="1">IFERROR(__xludf.DUMMYFUNCTION("""COMPUTED_VALUE"""),"blank")</f>
        <v>blank</v>
      </c>
      <c r="L156">
        <f t="shared" ca="1" si="0"/>
        <v>0</v>
      </c>
      <c r="Q156" t="str">
        <f>IF(N156="","",SUMIFS('PR-BOM'!$D$3:$D1001,'PR-BOM'!$C$3:$C1001,N156))</f>
        <v/>
      </c>
      <c r="S156" t="str">
        <f ca="1">IFERROR(__xludf.DUMMYFUNCTION("""COMPUTED_VALUE"""),"LM358D SMD")</f>
        <v>LM358D SMD</v>
      </c>
      <c r="X156" t="e">
        <f ca="1"/>
        <v>#NAME?</v>
      </c>
      <c r="Y156" t="e">
        <f t="shared" ca="1" si="1"/>
        <v>#NAME?</v>
      </c>
      <c r="Z156" t="e">
        <f ca="1">IF(X156="","",SUMIFS(#REF!,RM!$C$4:$C991,X156))</f>
        <v>#NAME?</v>
      </c>
      <c r="AA156" t="e">
        <f ca="1">IF(X156="","",SUMIFS(#REF!,RM!$C$4:$C991,X156))</f>
        <v>#NAME?</v>
      </c>
      <c r="AB156" t="e">
        <f ca="1">IF(X156="","",SUMIFS(IRegback!$Y$2:$Y1001,IRegback!$X$2:$X1001,X156))</f>
        <v>#NAME?</v>
      </c>
      <c r="AC156" t="e">
        <f t="shared" ca="1" si="2"/>
        <v>#NAME?</v>
      </c>
      <c r="AD156" t="e">
        <f ca="1">IF(X156="","",VLOOKUP($X156,RM!$C$4:$G991,3,FALSE))</f>
        <v>#NAME?</v>
      </c>
      <c r="AE156" t="e">
        <f ca="1">IF(X156="","",VLOOKUP($X156,RM!$C$4:$G991,4,FALSE))</f>
        <v>#NAME?</v>
      </c>
      <c r="AF156" t="e">
        <f ca="1">IF(X156="","",VLOOKUP($X156,RM!$C$4:$G991,5,FALSE))</f>
        <v>#NAME?</v>
      </c>
      <c r="AH156" t="str">
        <f ca="1">IFERROR(__xludf.DUMMYFUNCTION("""COMPUTED_VALUE"""),"Charging PM Assy")</f>
        <v>Charging PM Assy</v>
      </c>
      <c r="AI156" t="str">
        <f ca="1">IFERROR(__xludf.DUMMYFUNCTION("""COMPUTED_VALUE"""),"HeatShrink Tube 1.5mm/1.6mm")</f>
        <v>HeatShrink Tube 1.5mm/1.6mm</v>
      </c>
      <c r="AJ156">
        <f ca="1">IFERROR(__xludf.DUMMYFUNCTION("""COMPUTED_VALUE"""),0.2)</f>
        <v>0.2</v>
      </c>
      <c r="AL156" t="e">
        <f ca="1">_xludf.IFNA(VLOOKUP(AH156,'S-FG'!$B$3:$B1001,1,FALSE),"")</f>
        <v>#NAME?</v>
      </c>
      <c r="AM156" t="e">
        <f ca="1">IF(AI156="","",SUMIFS(#REF!,RM!$C$4:$C991,AI156))</f>
        <v>#REF!</v>
      </c>
    </row>
    <row r="157" spans="5:39">
      <c r="E157" t="str">
        <f>IF(A157="","",SUMIFS('PR-BOM'!$D$3:$D1001,'PR-BOM'!$C$3:$C1001,A157)*C157)</f>
        <v/>
      </c>
      <c r="F157" t="e">
        <f ca="1">_xludf.IFNA(VLOOKUP(B157,'S-FG'!$B$3:$B1001,1,FALSE),"")</f>
        <v>#NAME?</v>
      </c>
      <c r="H157" t="str">
        <f ca="1">IFERROR(__xludf.DUMMYFUNCTION("""COMPUTED_VALUE"""),"RPM Sensor Assy")</f>
        <v>RPM Sensor Assy</v>
      </c>
      <c r="I157" t="str">
        <f ca="1">IFERROR(__xludf.DUMMYFUNCTION("""COMPUTED_VALUE"""),"470k 0805 Com grade")</f>
        <v>470k 0805 Com grade</v>
      </c>
      <c r="J157">
        <f ca="1">IFERROR(__xludf.DUMMYFUNCTION("""COMPUTED_VALUE"""),4)</f>
        <v>4</v>
      </c>
      <c r="K157" t="str">
        <f ca="1">IFERROR(__xludf.DUMMYFUNCTION("""COMPUTED_VALUE"""),"blank")</f>
        <v>blank</v>
      </c>
      <c r="L157">
        <f t="shared" ca="1" si="0"/>
        <v>0</v>
      </c>
      <c r="Q157" t="str">
        <f>IF(N157="","",SUMIFS('PR-BOM'!$D$3:$D1001,'PR-BOM'!$C$3:$C1001,N157))</f>
        <v/>
      </c>
      <c r="S157" t="str">
        <f ca="1">IFERROR(__xludf.DUMMYFUNCTION("""COMPUTED_VALUE"""),"47k 0805")</f>
        <v>47k 0805</v>
      </c>
      <c r="X157" t="e">
        <f ca="1"/>
        <v>#NAME?</v>
      </c>
      <c r="Y157" t="e">
        <f t="shared" ca="1" si="1"/>
        <v>#NAME?</v>
      </c>
      <c r="Z157" t="e">
        <f ca="1">IF(X157="","",SUMIFS(#REF!,RM!$C$4:$C991,X157))</f>
        <v>#NAME?</v>
      </c>
      <c r="AA157" t="e">
        <f ca="1">IF(X157="","",SUMIFS(#REF!,RM!$C$4:$C991,X157))</f>
        <v>#NAME?</v>
      </c>
      <c r="AB157" t="e">
        <f ca="1">IF(X157="","",SUMIFS(IRegback!$Y$2:$Y1001,IRegback!$X$2:$X1001,X157))</f>
        <v>#NAME?</v>
      </c>
      <c r="AC157" t="e">
        <f t="shared" ca="1" si="2"/>
        <v>#NAME?</v>
      </c>
      <c r="AD157" t="e">
        <f ca="1">IF(X157="","",VLOOKUP($X157,RM!$C$4:$G991,3,FALSE))</f>
        <v>#NAME?</v>
      </c>
      <c r="AE157" t="e">
        <f ca="1">IF(X157="","",VLOOKUP($X157,RM!$C$4:$G991,4,FALSE))</f>
        <v>#NAME?</v>
      </c>
      <c r="AF157" t="e">
        <f ca="1">IF(X157="","",VLOOKUP($X157,RM!$C$4:$G991,5,FALSE))</f>
        <v>#NAME?</v>
      </c>
      <c r="AH157" t="str">
        <f ca="1">IFERROR(__xludf.DUMMYFUNCTION("""COMPUTED_VALUE"""),"Charging PM Assy")</f>
        <v>Charging PM Assy</v>
      </c>
      <c r="AI157" t="str">
        <f ca="1">IFERROR(__xludf.DUMMYFUNCTION("""COMPUTED_VALUE"""),"Teroson MS930")</f>
        <v>Teroson MS930</v>
      </c>
      <c r="AJ157">
        <f ca="1">IFERROR(__xludf.DUMMYFUNCTION("""COMPUTED_VALUE"""),2)</f>
        <v>2</v>
      </c>
      <c r="AK157" t="str">
        <f ca="1">IFERROR(__xludf.DUMMYFUNCTION("""COMPUTED_VALUE"""),"blank")</f>
        <v>blank</v>
      </c>
      <c r="AL157" t="e">
        <f ca="1">_xludf.IFNA(VLOOKUP(AH157,'S-FG'!$B$3:$B1001,1,FALSE),"")</f>
        <v>#NAME?</v>
      </c>
      <c r="AM157" t="e">
        <f ca="1">IF(AI157="","",SUMIFS(#REF!,RM!$C$4:$C991,AI157))</f>
        <v>#REF!</v>
      </c>
    </row>
    <row r="158" spans="5:39">
      <c r="E158" t="str">
        <f>IF(A158="","",SUMIFS('PR-BOM'!$D$3:$D1001,'PR-BOM'!$C$3:$C1001,A158)*C158)</f>
        <v/>
      </c>
      <c r="F158" t="e">
        <f ca="1">_xludf.IFNA(VLOOKUP(B158,'S-FG'!$B$3:$B1001,1,FALSE),"")</f>
        <v>#NAME?</v>
      </c>
      <c r="H158" t="str">
        <f ca="1">IFERROR(__xludf.DUMMYFUNCTION("""COMPUTED_VALUE"""),"RPM Sensor Assy")</f>
        <v>RPM Sensor Assy</v>
      </c>
      <c r="I158" t="str">
        <f ca="1">IFERROR(__xludf.DUMMYFUNCTION("""COMPUTED_VALUE"""),"0.1uF 0805")</f>
        <v>0.1uF 0805</v>
      </c>
      <c r="J158">
        <f ca="1">IFERROR(__xludf.DUMMYFUNCTION("""COMPUTED_VALUE"""),2)</f>
        <v>2</v>
      </c>
      <c r="K158" t="str">
        <f ca="1">IFERROR(__xludf.DUMMYFUNCTION("""COMPUTED_VALUE"""),"blank")</f>
        <v>blank</v>
      </c>
      <c r="L158">
        <f t="shared" ca="1" si="0"/>
        <v>0</v>
      </c>
      <c r="Q158" t="str">
        <f>IF(N158="","",SUMIFS('PR-BOM'!$D$3:$D1001,'PR-BOM'!$C$3:$C1001,N158))</f>
        <v/>
      </c>
      <c r="S158" t="str">
        <f ca="1">IFERROR(__xludf.DUMMYFUNCTION("""COMPUTED_VALUE"""),"470k 0805 Com grade")</f>
        <v>470k 0805 Com grade</v>
      </c>
      <c r="X158" t="e">
        <f ca="1"/>
        <v>#NAME?</v>
      </c>
      <c r="Y158" t="e">
        <f t="shared" ca="1" si="1"/>
        <v>#NAME?</v>
      </c>
      <c r="Z158" t="e">
        <f ca="1">IF(X158="","",SUMIFS(#REF!,RM!$C$4:$C991,X158))</f>
        <v>#NAME?</v>
      </c>
      <c r="AA158" t="e">
        <f ca="1">IF(X158="","",SUMIFS(#REF!,RM!$C$4:$C991,X158))</f>
        <v>#NAME?</v>
      </c>
      <c r="AB158" t="e">
        <f ca="1">IF(X158="","",SUMIFS(IRegback!$Y$2:$Y1001,IRegback!$X$2:$X1001,X158))</f>
        <v>#NAME?</v>
      </c>
      <c r="AC158" t="e">
        <f t="shared" ca="1" si="2"/>
        <v>#NAME?</v>
      </c>
      <c r="AD158" t="e">
        <f ca="1">IF(X158="","",VLOOKUP($X158,RM!$C$4:$G991,3,FALSE))</f>
        <v>#NAME?</v>
      </c>
      <c r="AE158" t="e">
        <f ca="1">IF(X158="","",VLOOKUP($X158,RM!$C$4:$G991,4,FALSE))</f>
        <v>#NAME?</v>
      </c>
      <c r="AF158" t="e">
        <f ca="1">IF(X158="","",VLOOKUP($X158,RM!$C$4:$G991,5,FALSE))</f>
        <v>#NAME?</v>
      </c>
      <c r="AH158" t="str">
        <f ca="1">IFERROR(__xludf.DUMMYFUNCTION("""COMPUTED_VALUE"""),"Charging PM Assy")</f>
        <v>Charging PM Assy</v>
      </c>
      <c r="AI158" t="str">
        <f ca="1">IFERROR(__xludf.DUMMYFUNCTION("""COMPUTED_VALUE"""),"Silicon RTV 734 Potting compound")</f>
        <v>Silicon RTV 734 Potting compound</v>
      </c>
      <c r="AJ158">
        <f ca="1">IFERROR(__xludf.DUMMYFUNCTION("""COMPUTED_VALUE"""),10)</f>
        <v>10</v>
      </c>
      <c r="AK158" t="str">
        <f ca="1">IFERROR(__xludf.DUMMYFUNCTION("""COMPUTED_VALUE"""),"blank")</f>
        <v>blank</v>
      </c>
      <c r="AL158" t="e">
        <f ca="1">_xludf.IFNA(VLOOKUP(AH158,'S-FG'!$B$3:$B1001,1,FALSE),"")</f>
        <v>#NAME?</v>
      </c>
      <c r="AM158" t="e">
        <f ca="1">IF(AI158="","",SUMIFS(#REF!,RM!$C$4:$C991,AI158))</f>
        <v>#REF!</v>
      </c>
    </row>
    <row r="159" spans="5:39">
      <c r="E159" t="str">
        <f>IF(A159="","",SUMIFS('PR-BOM'!$D$3:$D1001,'PR-BOM'!$C$3:$C1001,A159)*C159)</f>
        <v/>
      </c>
      <c r="F159" t="e">
        <f ca="1">_xludf.IFNA(VLOOKUP(B159,'S-FG'!$B$3:$B1001,1,FALSE),"")</f>
        <v>#NAME?</v>
      </c>
      <c r="H159" t="str">
        <f ca="1">IFERROR(__xludf.DUMMYFUNCTION("""COMPUTED_VALUE"""),"RPM Sensor Assy")</f>
        <v>RPM Sensor Assy</v>
      </c>
      <c r="I159" t="str">
        <f ca="1">IFERROR(__xludf.DUMMYFUNCTION("""COMPUTED_VALUE"""),"0.01uF 0805")</f>
        <v>0.01uF 0805</v>
      </c>
      <c r="J159">
        <f ca="1">IFERROR(__xludf.DUMMYFUNCTION("""COMPUTED_VALUE"""),2)</f>
        <v>2</v>
      </c>
      <c r="K159" t="str">
        <f ca="1">IFERROR(__xludf.DUMMYFUNCTION("""COMPUTED_VALUE"""),"blank")</f>
        <v>blank</v>
      </c>
      <c r="L159">
        <f t="shared" ca="1" si="0"/>
        <v>0</v>
      </c>
      <c r="Q159" t="str">
        <f>IF(N159="","",SUMIFS('PR-BOM'!$D$3:$D1001,'PR-BOM'!$C$3:$C1001,N159))</f>
        <v/>
      </c>
      <c r="S159" t="str">
        <f ca="1">IFERROR(__xludf.DUMMYFUNCTION("""COMPUTED_VALUE"""),"0.1uF 0805")</f>
        <v>0.1uF 0805</v>
      </c>
      <c r="X159" t="e">
        <f ca="1"/>
        <v>#NAME?</v>
      </c>
      <c r="Y159" t="e">
        <f t="shared" ca="1" si="1"/>
        <v>#NAME?</v>
      </c>
      <c r="Z159" t="e">
        <f ca="1">IF(X159="","",SUMIFS(#REF!,RM!$C$4:$C991,X159))</f>
        <v>#NAME?</v>
      </c>
      <c r="AA159" t="e">
        <f ca="1">IF(X159="","",SUMIFS(#REF!,RM!$C$4:$C991,X159))</f>
        <v>#NAME?</v>
      </c>
      <c r="AB159" t="e">
        <f ca="1">IF(X159="","",SUMIFS(IRegback!$Y$2:$Y1001,IRegback!$X$2:$X1001,X159))</f>
        <v>#NAME?</v>
      </c>
      <c r="AC159" t="e">
        <f t="shared" ca="1" si="2"/>
        <v>#NAME?</v>
      </c>
      <c r="AD159" t="e">
        <f ca="1">IF(X159="","",VLOOKUP($X159,RM!$C$4:$G991,3,FALSE))</f>
        <v>#NAME?</v>
      </c>
      <c r="AE159" t="e">
        <f ca="1">IF(X159="","",VLOOKUP($X159,RM!$C$4:$G991,4,FALSE))</f>
        <v>#NAME?</v>
      </c>
      <c r="AF159" t="e">
        <f ca="1">IF(X159="","",VLOOKUP($X159,RM!$C$4:$G991,5,FALSE))</f>
        <v>#NAME?</v>
      </c>
      <c r="AH159" t="str">
        <f ca="1">IFERROR(__xludf.DUMMYFUNCTION("""COMPUTED_VALUE"""),"Charger Box Assy")</f>
        <v>Charger Box Assy</v>
      </c>
      <c r="AI159" t="str">
        <f ca="1">IFERROR(__xludf.DUMMYFUNCTION("""COMPUTED_VALUE"""),"24v AC/DC module")</f>
        <v>24v AC/DC module</v>
      </c>
      <c r="AJ159">
        <f ca="1">IFERROR(__xludf.DUMMYFUNCTION("""COMPUTED_VALUE"""),1)</f>
        <v>1</v>
      </c>
      <c r="AK159" t="str">
        <f ca="1">IFERROR(__xludf.DUMMYFUNCTION("""COMPUTED_VALUE"""),"blank")</f>
        <v>blank</v>
      </c>
      <c r="AL159" t="e">
        <f ca="1">_xludf.IFNA(VLOOKUP(AH159,'S-FG'!$B$3:$B1001,1,FALSE),"")</f>
        <v>#NAME?</v>
      </c>
      <c r="AM159" t="e">
        <f ca="1">IF(AI159="","",SUMIFS(#REF!,RM!$C$4:$C991,AI159))</f>
        <v>#REF!</v>
      </c>
    </row>
    <row r="160" spans="5:39">
      <c r="E160" t="str">
        <f>IF(A160="","",SUMIFS('PR-BOM'!$D$3:$D1001,'PR-BOM'!$C$3:$C1001,A160)*C160)</f>
        <v/>
      </c>
      <c r="F160" t="e">
        <f ca="1">_xludf.IFNA(VLOOKUP(B160,'S-FG'!$B$3:$B1001,1,FALSE),"")</f>
        <v>#NAME?</v>
      </c>
      <c r="H160" t="str">
        <f ca="1">IFERROR(__xludf.DUMMYFUNCTION("""COMPUTED_VALUE"""),"RPM Sensor Assy")</f>
        <v>RPM Sensor Assy</v>
      </c>
      <c r="I160" t="str">
        <f ca="1">IFERROR(__xludf.DUMMYFUNCTION("""COMPUTED_VALUE"""),"LED 0805 SMD")</f>
        <v>LED 0805 SMD</v>
      </c>
      <c r="J160">
        <f ca="1">IFERROR(__xludf.DUMMYFUNCTION("""COMPUTED_VALUE"""),1)</f>
        <v>1</v>
      </c>
      <c r="K160" t="str">
        <f ca="1">IFERROR(__xludf.DUMMYFUNCTION("""COMPUTED_VALUE"""),"KPTD-2012LVSURCK")</f>
        <v>KPTD-2012LVSURCK</v>
      </c>
      <c r="L160">
        <f t="shared" ca="1" si="0"/>
        <v>0</v>
      </c>
      <c r="Q160" t="str">
        <f>IF(N160="","",SUMIFS('PR-BOM'!$D$3:$D1001,'PR-BOM'!$C$3:$C1001,N160))</f>
        <v/>
      </c>
      <c r="S160" t="str">
        <f ca="1">IFERROR(__xludf.DUMMYFUNCTION("""COMPUTED_VALUE"""),"0.01uF 0805")</f>
        <v>0.01uF 0805</v>
      </c>
      <c r="X160" t="e">
        <f ca="1"/>
        <v>#NAME?</v>
      </c>
      <c r="Y160" t="e">
        <f t="shared" ca="1" si="1"/>
        <v>#NAME?</v>
      </c>
      <c r="Z160" t="e">
        <f ca="1">IF(X160="","",SUMIFS(#REF!,RM!$C$4:$C991,X160))</f>
        <v>#NAME?</v>
      </c>
      <c r="AA160" t="e">
        <f ca="1">IF(X160="","",SUMIFS(#REF!,RM!$C$4:$C991,X160))</f>
        <v>#NAME?</v>
      </c>
      <c r="AB160" t="e">
        <f ca="1">IF(X160="","",SUMIFS(IRegback!$Y$2:$Y1001,IRegback!$X$2:$X1001,X160))</f>
        <v>#NAME?</v>
      </c>
      <c r="AC160" t="e">
        <f t="shared" ca="1" si="2"/>
        <v>#NAME?</v>
      </c>
      <c r="AD160" t="e">
        <f ca="1">IF(X160="","",VLOOKUP($X160,RM!$C$4:$G991,3,FALSE))</f>
        <v>#NAME?</v>
      </c>
      <c r="AE160" t="e">
        <f ca="1">IF(X160="","",VLOOKUP($X160,RM!$C$4:$G991,4,FALSE))</f>
        <v>#NAME?</v>
      </c>
      <c r="AF160" t="e">
        <f ca="1">IF(X160="","",VLOOKUP($X160,RM!$C$4:$G991,5,FALSE))</f>
        <v>#NAME?</v>
      </c>
      <c r="AH160" t="str">
        <f ca="1">IFERROR(__xludf.DUMMYFUNCTION("""COMPUTED_VALUE"""),"Charger Box Assy")</f>
        <v>Charger Box Assy</v>
      </c>
      <c r="AI160" t="str">
        <f ca="1">IFERROR(__xludf.DUMMYFUNCTION("""COMPUTED_VALUE"""),"Lead wire 22AWG")</f>
        <v>Lead wire 22AWG</v>
      </c>
      <c r="AJ160">
        <f ca="1">IFERROR(__xludf.DUMMYFUNCTION("""COMPUTED_VALUE"""),10)</f>
        <v>10</v>
      </c>
      <c r="AL160" t="e">
        <f ca="1">_xludf.IFNA(VLOOKUP(AH160,'S-FG'!$B$3:$B1001,1,FALSE),"")</f>
        <v>#NAME?</v>
      </c>
      <c r="AM160" t="e">
        <f ca="1">IF(AI160="","",SUMIFS(#REF!,RM!$C$4:$C991,AI160))</f>
        <v>#REF!</v>
      </c>
    </row>
    <row r="161" spans="5:39">
      <c r="E161" t="str">
        <f>IF(A161="","",SUMIFS('PR-BOM'!$D$3:$D1001,'PR-BOM'!$C$3:$C1001,A161)*C161)</f>
        <v/>
      </c>
      <c r="F161" t="e">
        <f ca="1">_xludf.IFNA(VLOOKUP(B161,'S-FG'!$B$3:$B1001,1,FALSE),"")</f>
        <v>#NAME?</v>
      </c>
      <c r="H161" t="str">
        <f ca="1">IFERROR(__xludf.DUMMYFUNCTION("""COMPUTED_VALUE"""),"RPM Sensor Assy")</f>
        <v>RPM Sensor Assy</v>
      </c>
      <c r="I161" t="str">
        <f ca="1">IFERROR(__xludf.DUMMYFUNCTION("""COMPUTED_VALUE"""),"1N4148 SMD")</f>
        <v>1N4148 SMD</v>
      </c>
      <c r="J161">
        <f ca="1">IFERROR(__xludf.DUMMYFUNCTION("""COMPUTED_VALUE"""),4)</f>
        <v>4</v>
      </c>
      <c r="K161" t="str">
        <f ca="1">IFERROR(__xludf.DUMMYFUNCTION("""COMPUTED_VALUE"""),"1N4148W-7-F")</f>
        <v>1N4148W-7-F</v>
      </c>
      <c r="L161">
        <f t="shared" ca="1" si="0"/>
        <v>0</v>
      </c>
      <c r="Q161" t="str">
        <f>IF(N161="","",SUMIFS('PR-BOM'!$D$3:$D1001,'PR-BOM'!$C$3:$C1001,N161))</f>
        <v/>
      </c>
      <c r="S161" t="str">
        <f ca="1">IFERROR(__xludf.DUMMYFUNCTION("""COMPUTED_VALUE"""),"LED 0805 SMD")</f>
        <v>LED 0805 SMD</v>
      </c>
      <c r="X161" t="e">
        <f ca="1"/>
        <v>#NAME?</v>
      </c>
      <c r="Y161" t="e">
        <f t="shared" ca="1" si="1"/>
        <v>#NAME?</v>
      </c>
      <c r="Z161" t="e">
        <f ca="1">IF(X161="","",SUMIFS(#REF!,RM!$C$4:$C991,X161))</f>
        <v>#NAME?</v>
      </c>
      <c r="AA161" t="e">
        <f ca="1">IF(X161="","",SUMIFS(#REF!,RM!$C$4:$C991,X161))</f>
        <v>#NAME?</v>
      </c>
      <c r="AB161" t="e">
        <f ca="1">IF(X161="","",SUMIFS(IRegback!$Y$2:$Y1001,IRegback!$X$2:$X1001,X161))</f>
        <v>#NAME?</v>
      </c>
      <c r="AC161" t="e">
        <f t="shared" ca="1" si="2"/>
        <v>#NAME?</v>
      </c>
      <c r="AD161" t="e">
        <f ca="1">IF(X161="","",VLOOKUP($X161,RM!$C$4:$G991,3,FALSE))</f>
        <v>#NAME?</v>
      </c>
      <c r="AE161" t="e">
        <f ca="1">IF(X161="","",VLOOKUP($X161,RM!$C$4:$G991,4,FALSE))</f>
        <v>#NAME?</v>
      </c>
      <c r="AF161" t="e">
        <f ca="1">IF(X161="","",VLOOKUP($X161,RM!$C$4:$G991,5,FALSE))</f>
        <v>#NAME?</v>
      </c>
      <c r="AH161" t="str">
        <f ca="1">IFERROR(__xludf.DUMMYFUNCTION("""COMPUTED_VALUE"""),"Charger Box Assy")</f>
        <v>Charger Box Assy</v>
      </c>
      <c r="AI161" t="str">
        <f ca="1">IFERROR(__xludf.DUMMYFUNCTION("""COMPUTED_VALUE"""),"Soldering flux")</f>
        <v>Soldering flux</v>
      </c>
      <c r="AJ161">
        <f ca="1">IFERROR(__xludf.DUMMYFUNCTION("""COMPUTED_VALUE"""),1)</f>
        <v>1</v>
      </c>
      <c r="AL161" t="e">
        <f ca="1">_xludf.IFNA(VLOOKUP(AH161,'S-FG'!$B$3:$B1001,1,FALSE),"")</f>
        <v>#NAME?</v>
      </c>
      <c r="AM161" t="e">
        <f ca="1">IF(AI161="","",SUMIFS(#REF!,RM!$C$4:$C991,AI161))</f>
        <v>#REF!</v>
      </c>
    </row>
    <row r="162" spans="5:39">
      <c r="E162" t="str">
        <f>IF(A162="","",SUMIFS('PR-BOM'!$D$3:$D1001,'PR-BOM'!$C$3:$C1001,A162)*C162)</f>
        <v/>
      </c>
      <c r="F162" t="e">
        <f ca="1">_xludf.IFNA(VLOOKUP(B162,'S-FG'!$B$3:$B1001,1,FALSE),"")</f>
        <v>#NAME?</v>
      </c>
      <c r="H162" t="str">
        <f ca="1">IFERROR(__xludf.DUMMYFUNCTION("""COMPUTED_VALUE"""),"RPM Sensor Assy")</f>
        <v>RPM Sensor Assy</v>
      </c>
      <c r="I162" t="str">
        <f ca="1">IFERROR(__xludf.DUMMYFUNCTION("""COMPUTED_VALUE"""),"2 pin JST-XH male side entry")</f>
        <v>2 pin JST-XH male side entry</v>
      </c>
      <c r="J162">
        <f ca="1">IFERROR(__xludf.DUMMYFUNCTION("""COMPUTED_VALUE"""),2)</f>
        <v>2</v>
      </c>
      <c r="L162">
        <f t="shared" ca="1" si="0"/>
        <v>0</v>
      </c>
      <c r="Q162" t="str">
        <f>IF(N162="","",SUMIFS('PR-BOM'!$D$3:$D1001,'PR-BOM'!$C$3:$C1001,N162))</f>
        <v/>
      </c>
      <c r="S162" t="str">
        <f ca="1">IFERROR(__xludf.DUMMYFUNCTION("""COMPUTED_VALUE"""),"1N4148 SMD")</f>
        <v>1N4148 SMD</v>
      </c>
      <c r="X162" t="e">
        <f ca="1"/>
        <v>#NAME?</v>
      </c>
      <c r="Y162" t="e">
        <f t="shared" ca="1" si="1"/>
        <v>#NAME?</v>
      </c>
      <c r="Z162" t="e">
        <f ca="1">IF(X162="","",SUMIFS(#REF!,RM!$C$4:$C991,X162))</f>
        <v>#NAME?</v>
      </c>
      <c r="AA162" t="e">
        <f ca="1">IF(X162="","",SUMIFS(#REF!,RM!$C$4:$C991,X162))</f>
        <v>#NAME?</v>
      </c>
      <c r="AB162" t="e">
        <f ca="1">IF(X162="","",SUMIFS(IRegback!$Y$2:$Y1001,IRegback!$X$2:$X1001,X162))</f>
        <v>#NAME?</v>
      </c>
      <c r="AC162" t="e">
        <f t="shared" ca="1" si="2"/>
        <v>#NAME?</v>
      </c>
      <c r="AD162" t="e">
        <f ca="1">IF(X162="","",VLOOKUP($X162,RM!$C$4:$G991,3,FALSE))</f>
        <v>#NAME?</v>
      </c>
      <c r="AE162" t="e">
        <f ca="1">IF(X162="","",VLOOKUP($X162,RM!$C$4:$G991,4,FALSE))</f>
        <v>#NAME?</v>
      </c>
      <c r="AF162" t="e">
        <f ca="1">IF(X162="","",VLOOKUP($X162,RM!$C$4:$G991,5,FALSE))</f>
        <v>#NAME?</v>
      </c>
      <c r="AH162" t="str">
        <f ca="1">IFERROR(__xludf.DUMMYFUNCTION("""COMPUTED_VALUE"""),"Charger Box Assy")</f>
        <v>Charger Box Assy</v>
      </c>
      <c r="AI162" t="str">
        <f ca="1">IFERROR(__xludf.DUMMYFUNCTION("""COMPUTED_VALUE"""),"3 pin 3 yrd power cord")</f>
        <v>3 pin 3 yrd power cord</v>
      </c>
      <c r="AJ162">
        <f ca="1">IFERROR(__xludf.DUMMYFUNCTION("""COMPUTED_VALUE"""),1)</f>
        <v>1</v>
      </c>
      <c r="AL162" t="e">
        <f ca="1">_xludf.IFNA(VLOOKUP(AH162,'S-FG'!$B$3:$B1001,1,FALSE),"")</f>
        <v>#NAME?</v>
      </c>
      <c r="AM162" t="e">
        <f ca="1">IF(AI162="","",SUMIFS(#REF!,RM!$C$4:$C991,AI162))</f>
        <v>#REF!</v>
      </c>
    </row>
    <row r="163" spans="5:39">
      <c r="E163" t="str">
        <f>IF(A163="","",SUMIFS('PR-BOM'!$D$3:$D1001,'PR-BOM'!$C$3:$C1001,A163)*C163)</f>
        <v/>
      </c>
      <c r="F163" t="e">
        <f ca="1">_xludf.IFNA(VLOOKUP(B163,'S-FG'!$B$3:$B1001,1,FALSE),"")</f>
        <v>#NAME?</v>
      </c>
      <c r="H163" t="str">
        <f ca="1">IFERROR(__xludf.DUMMYFUNCTION("""COMPUTED_VALUE"""),"Current Sensor Assy")</f>
        <v>Current Sensor Assy</v>
      </c>
      <c r="I163" t="str">
        <f ca="1">IFERROR(__xludf.DUMMYFUNCTION("""COMPUTED_VALUE"""),"PWB of Current Sensor")</f>
        <v>PWB of Current Sensor</v>
      </c>
      <c r="J163">
        <f ca="1">IFERROR(__xludf.DUMMYFUNCTION("""COMPUTED_VALUE"""),1)</f>
        <v>1</v>
      </c>
      <c r="K163" t="str">
        <f ca="1">IFERROR(__xludf.DUMMYFUNCTION("""COMPUTED_VALUE"""),"blank")</f>
        <v>blank</v>
      </c>
      <c r="L163">
        <f t="shared" ca="1" si="0"/>
        <v>0</v>
      </c>
      <c r="Q163" t="str">
        <f>IF(N163="","",SUMIFS('PR-BOM'!$D$3:$D1001,'PR-BOM'!$C$3:$C1001,N163))</f>
        <v/>
      </c>
      <c r="S163" t="str">
        <f ca="1">IFERROR(__xludf.DUMMYFUNCTION("""COMPUTED_VALUE"""),"2 pin JST-XH male side entry")</f>
        <v>2 pin JST-XH male side entry</v>
      </c>
      <c r="X163" t="e">
        <f ca="1"/>
        <v>#NAME?</v>
      </c>
      <c r="Y163" t="e">
        <f t="shared" ca="1" si="1"/>
        <v>#NAME?</v>
      </c>
      <c r="Z163" t="e">
        <f ca="1">IF(X163="","",SUMIFS(#REF!,RM!$C$4:$C991,X163))</f>
        <v>#NAME?</v>
      </c>
      <c r="AA163" t="e">
        <f ca="1">IF(X163="","",SUMIFS(#REF!,RM!$C$4:$C991,X163))</f>
        <v>#NAME?</v>
      </c>
      <c r="AB163" t="e">
        <f ca="1">IF(X163="","",SUMIFS(IRegback!$Y$2:$Y1001,IRegback!$X$2:$X1001,X163))</f>
        <v>#NAME?</v>
      </c>
      <c r="AC163" t="e">
        <f t="shared" ca="1" si="2"/>
        <v>#NAME?</v>
      </c>
      <c r="AD163" t="e">
        <f ca="1">IF(X163="","",VLOOKUP($X163,RM!$C$4:$G991,3,FALSE))</f>
        <v>#NAME?</v>
      </c>
      <c r="AE163" t="e">
        <f ca="1">IF(X163="","",VLOOKUP($X163,RM!$C$4:$G991,4,FALSE))</f>
        <v>#NAME?</v>
      </c>
      <c r="AF163" t="e">
        <f ca="1">IF(X163="","",VLOOKUP($X163,RM!$C$4:$G991,5,FALSE))</f>
        <v>#NAME?</v>
      </c>
      <c r="AH163" t="str">
        <f ca="1">IFERROR(__xludf.DUMMYFUNCTION("""COMPUTED_VALUE"""),"Charger Box Assy")</f>
        <v>Charger Box Assy</v>
      </c>
      <c r="AI163" t="str">
        <f ca="1">IFERROR(__xludf.DUMMYFUNCTION("""COMPUTED_VALUE"""),"25cm Black Microfit one side crimped wires")</f>
        <v>25cm Black Microfit one side crimped wires</v>
      </c>
      <c r="AJ163">
        <f ca="1">IFERROR(__xludf.DUMMYFUNCTION("""COMPUTED_VALUE"""),1)</f>
        <v>1</v>
      </c>
      <c r="AK163" t="str">
        <f ca="1">IFERROR(__xludf.DUMMYFUNCTION("""COMPUTED_VALUE"""),"blank")</f>
        <v>blank</v>
      </c>
      <c r="AL163" t="e">
        <f ca="1">_xludf.IFNA(VLOOKUP(AH163,'S-FG'!$B$3:$B1001,1,FALSE),"")</f>
        <v>#NAME?</v>
      </c>
      <c r="AM163" t="e">
        <f ca="1">IF(AI163="","",SUMIFS(#REF!,RM!$C$4:$C991,AI163))</f>
        <v>#REF!</v>
      </c>
    </row>
    <row r="164" spans="5:39">
      <c r="E164" t="str">
        <f>IF(A164="","",SUMIFS('PR-BOM'!$D$3:$D1001,'PR-BOM'!$C$3:$C1001,A164)*C164)</f>
        <v/>
      </c>
      <c r="F164" t="e">
        <f ca="1">_xludf.IFNA(VLOOKUP(B164,'S-FG'!$B$3:$B1001,1,FALSE),"")</f>
        <v>#NAME?</v>
      </c>
      <c r="H164" t="str">
        <f ca="1">IFERROR(__xludf.DUMMYFUNCTION("""COMPUTED_VALUE"""),"Current Sensor Assy")</f>
        <v>Current Sensor Assy</v>
      </c>
      <c r="I164" t="str">
        <f ca="1">IFERROR(__xludf.DUMMYFUNCTION("""COMPUTED_VALUE"""),"WCS1700 current Sensor")</f>
        <v>WCS1700 current Sensor</v>
      </c>
      <c r="J164">
        <f ca="1">IFERROR(__xludf.DUMMYFUNCTION("""COMPUTED_VALUE"""),2)</f>
        <v>2</v>
      </c>
      <c r="K164" t="str">
        <f ca="1">IFERROR(__xludf.DUMMYFUNCTION("""COMPUTED_VALUE"""),"blank")</f>
        <v>blank</v>
      </c>
      <c r="L164">
        <f t="shared" ca="1" si="0"/>
        <v>0</v>
      </c>
      <c r="Q164" t="str">
        <f>IF(N164="","",SUMIFS('PR-BOM'!$D$3:$D1001,'PR-BOM'!$C$3:$C1001,N164))</f>
        <v/>
      </c>
      <c r="S164" t="str">
        <f ca="1">IFERROR(__xludf.DUMMYFUNCTION("""COMPUTED_VALUE"""),"PWB of Current Sensor")</f>
        <v>PWB of Current Sensor</v>
      </c>
      <c r="X164" t="e">
        <f ca="1"/>
        <v>#NAME?</v>
      </c>
      <c r="Y164" t="e">
        <f t="shared" ca="1" si="1"/>
        <v>#NAME?</v>
      </c>
      <c r="Z164" t="e">
        <f ca="1">IF(X164="","",SUMIFS(#REF!,RM!$C$4:$C991,X164))</f>
        <v>#NAME?</v>
      </c>
      <c r="AA164" t="e">
        <f ca="1">IF(X164="","",SUMIFS(#REF!,RM!$C$4:$C991,X164))</f>
        <v>#NAME?</v>
      </c>
      <c r="AB164" t="e">
        <f ca="1">IF(X164="","",SUMIFS(IRegback!$Y$2:$Y1001,IRegback!$X$2:$X1001,X164))</f>
        <v>#NAME?</v>
      </c>
      <c r="AC164" t="e">
        <f t="shared" ca="1" si="2"/>
        <v>#NAME?</v>
      </c>
      <c r="AD164" t="e">
        <f ca="1">IF(X164="","",VLOOKUP($X164,RM!$C$4:$G991,3,FALSE))</f>
        <v>#NAME?</v>
      </c>
      <c r="AE164" t="e">
        <f ca="1">IF(X164="","",VLOOKUP($X164,RM!$C$4:$G991,4,FALSE))</f>
        <v>#NAME?</v>
      </c>
      <c r="AF164" t="e">
        <f ca="1">IF(X164="","",VLOOKUP($X164,RM!$C$4:$G991,5,FALSE))</f>
        <v>#NAME?</v>
      </c>
      <c r="AH164" t="str">
        <f ca="1">IFERROR(__xludf.DUMMYFUNCTION("""COMPUTED_VALUE"""),"Charger Box Assy")</f>
        <v>Charger Box Assy</v>
      </c>
      <c r="AI164" t="str">
        <f ca="1">IFERROR(__xludf.DUMMYFUNCTION("""COMPUTED_VALUE"""),"25cm Green Microfit one side crimped wires")</f>
        <v>25cm Green Microfit one side crimped wires</v>
      </c>
      <c r="AJ164">
        <f ca="1">IFERROR(__xludf.DUMMYFUNCTION("""COMPUTED_VALUE"""),1)</f>
        <v>1</v>
      </c>
      <c r="AK164" t="str">
        <f ca="1">IFERROR(__xludf.DUMMYFUNCTION("""COMPUTED_VALUE"""),"blank")</f>
        <v>blank</v>
      </c>
      <c r="AL164" t="e">
        <f ca="1">_xludf.IFNA(VLOOKUP(AH164,'S-FG'!$B$3:$B1001,1,FALSE),"")</f>
        <v>#NAME?</v>
      </c>
      <c r="AM164" t="e">
        <f ca="1">IF(AI164="","",SUMIFS(#REF!,RM!$C$4:$C991,AI164))</f>
        <v>#REF!</v>
      </c>
    </row>
    <row r="165" spans="5:39">
      <c r="E165" t="str">
        <f>IF(A165="","",SUMIFS('PR-BOM'!$D$3:$D1001,'PR-BOM'!$C$3:$C1001,A165)*C165)</f>
        <v/>
      </c>
      <c r="F165" t="e">
        <f ca="1">_xludf.IFNA(VLOOKUP(B165,'S-FG'!$B$3:$B1001,1,FALSE),"")</f>
        <v>#NAME?</v>
      </c>
      <c r="H165" t="str">
        <f ca="1">IFERROR(__xludf.DUMMYFUNCTION("""COMPUTED_VALUE"""),"Current Sensor Assy")</f>
        <v>Current Sensor Assy</v>
      </c>
      <c r="I165" t="str">
        <f ca="1">IFERROR(__xludf.DUMMYFUNCTION("""COMPUTED_VALUE"""),"0.1uF 0805")</f>
        <v>0.1uF 0805</v>
      </c>
      <c r="J165">
        <f ca="1">IFERROR(__xludf.DUMMYFUNCTION("""COMPUTED_VALUE"""),2)</f>
        <v>2</v>
      </c>
      <c r="K165" t="str">
        <f ca="1">IFERROR(__xludf.DUMMYFUNCTION("""COMPUTED_VALUE"""),"blank")</f>
        <v>blank</v>
      </c>
      <c r="L165">
        <f t="shared" ca="1" si="0"/>
        <v>0</v>
      </c>
      <c r="Q165" t="str">
        <f>IF(N165="","",SUMIFS('PR-BOM'!$D$3:$D1001,'PR-BOM'!$C$3:$C1001,N165))</f>
        <v/>
      </c>
      <c r="S165" t="str">
        <f ca="1">IFERROR(__xludf.DUMMYFUNCTION("""COMPUTED_VALUE"""),"WCS1700 current Sensor")</f>
        <v>WCS1700 current Sensor</v>
      </c>
      <c r="X165" t="e">
        <f ca="1"/>
        <v>#NAME?</v>
      </c>
      <c r="Y165" t="e">
        <f t="shared" ca="1" si="1"/>
        <v>#NAME?</v>
      </c>
      <c r="Z165" t="e">
        <f ca="1">IF(X165="","",SUMIFS(#REF!,RM!$C$4:$C991,X165))</f>
        <v>#NAME?</v>
      </c>
      <c r="AA165" t="e">
        <f ca="1">IF(X165="","",SUMIFS(#REF!,RM!$C$4:$C991,X165))</f>
        <v>#NAME?</v>
      </c>
      <c r="AB165" t="e">
        <f ca="1">IF(X165="","",SUMIFS(IRegback!$Y$2:$Y1001,IRegback!$X$2:$X1001,X165))</f>
        <v>#NAME?</v>
      </c>
      <c r="AC165" t="e">
        <f t="shared" ca="1" si="2"/>
        <v>#NAME?</v>
      </c>
      <c r="AD165" t="e">
        <f ca="1">IF(X165="","",VLOOKUP($X165,RM!$C$4:$G991,3,FALSE))</f>
        <v>#NAME?</v>
      </c>
      <c r="AE165" t="e">
        <f ca="1">IF(X165="","",VLOOKUP($X165,RM!$C$4:$G991,4,FALSE))</f>
        <v>#NAME?</v>
      </c>
      <c r="AF165" t="e">
        <f ca="1">IF(X165="","",VLOOKUP($X165,RM!$C$4:$G991,5,FALSE))</f>
        <v>#NAME?</v>
      </c>
      <c r="AH165" t="str">
        <f ca="1">IFERROR(__xludf.DUMMYFUNCTION("""COMPUTED_VALUE"""),"Charger Box Assy")</f>
        <v>Charger Box Assy</v>
      </c>
      <c r="AI165" t="str">
        <f ca="1">IFERROR(__xludf.DUMMYFUNCTION("""COMPUTED_VALUE"""),"25cm Violet Microfit one side crimped wires")</f>
        <v>25cm Violet Microfit one side crimped wires</v>
      </c>
      <c r="AJ165">
        <f ca="1">IFERROR(__xludf.DUMMYFUNCTION("""COMPUTED_VALUE"""),1)</f>
        <v>1</v>
      </c>
      <c r="AK165" t="str">
        <f ca="1">IFERROR(__xludf.DUMMYFUNCTION("""COMPUTED_VALUE"""),"blank")</f>
        <v>blank</v>
      </c>
      <c r="AL165" t="e">
        <f ca="1">_xludf.IFNA(VLOOKUP(AH165,'S-FG'!$B$3:$B1001,1,FALSE),"")</f>
        <v>#NAME?</v>
      </c>
      <c r="AM165" t="e">
        <f ca="1">IF(AI165="","",SUMIFS(#REF!,RM!$C$4:$C991,AI165))</f>
        <v>#REF!</v>
      </c>
    </row>
    <row r="166" spans="5:39">
      <c r="E166" t="str">
        <f>IF(A166="","",SUMIFS('PR-BOM'!$D$3:$D1001,'PR-BOM'!$C$3:$C1001,A166)*C166)</f>
        <v/>
      </c>
      <c r="F166" t="e">
        <f ca="1">_xludf.IFNA(VLOOKUP(B166,'S-FG'!$B$3:$B1001,1,FALSE),"")</f>
        <v>#NAME?</v>
      </c>
      <c r="H166" t="str">
        <f ca="1">IFERROR(__xludf.DUMMYFUNCTION("""COMPUTED_VALUE"""),"Current Sensor Assy")</f>
        <v>Current Sensor Assy</v>
      </c>
      <c r="I166" t="str">
        <f ca="1">IFERROR(__xludf.DUMMYFUNCTION("""COMPUTED_VALUE"""),"4 pin JST-XH male side entry")</f>
        <v>4 pin JST-XH male side entry</v>
      </c>
      <c r="J166">
        <f ca="1">IFERROR(__xludf.DUMMYFUNCTION("""COMPUTED_VALUE"""),1)</f>
        <v>1</v>
      </c>
      <c r="L166">
        <f t="shared" ca="1" si="0"/>
        <v>0</v>
      </c>
      <c r="Q166" t="str">
        <f>IF(N166="","",SUMIFS('PR-BOM'!$D$3:$D1001,'PR-BOM'!$C$3:$C1001,N166))</f>
        <v/>
      </c>
      <c r="S166" t="str">
        <f ca="1">IFERROR(__xludf.DUMMYFUNCTION("""COMPUTED_VALUE"""),"0.1uF 0805")</f>
        <v>0.1uF 0805</v>
      </c>
      <c r="X166" t="e">
        <f ca="1"/>
        <v>#NAME?</v>
      </c>
      <c r="Y166" t="e">
        <f t="shared" ca="1" si="1"/>
        <v>#NAME?</v>
      </c>
      <c r="Z166" t="e">
        <f ca="1">IF(X166="","",SUMIFS(#REF!,RM!$C$4:$C991,X166))</f>
        <v>#NAME?</v>
      </c>
      <c r="AA166" t="e">
        <f ca="1">IF(X166="","",SUMIFS(#REF!,RM!$C$4:$C991,X166))</f>
        <v>#NAME?</v>
      </c>
      <c r="AB166" t="e">
        <f ca="1">IF(X166="","",SUMIFS(IRegback!$Y$2:$Y1001,IRegback!$X$2:$X1001,X166))</f>
        <v>#NAME?</v>
      </c>
      <c r="AC166" t="e">
        <f t="shared" ca="1" si="2"/>
        <v>#NAME?</v>
      </c>
      <c r="AD166" t="e">
        <f ca="1">IF(X166="","",VLOOKUP($X166,RM!$C$4:$G991,3,FALSE))</f>
        <v>#NAME?</v>
      </c>
      <c r="AE166" t="e">
        <f ca="1">IF(X166="","",VLOOKUP($X166,RM!$C$4:$G991,4,FALSE))</f>
        <v>#NAME?</v>
      </c>
      <c r="AF166" t="e">
        <f ca="1">IF(X166="","",VLOOKUP($X166,RM!$C$4:$G991,5,FALSE))</f>
        <v>#NAME?</v>
      </c>
      <c r="AH166" t="str">
        <f ca="1">IFERROR(__xludf.DUMMYFUNCTION("""COMPUTED_VALUE"""),"Charger Box Assy")</f>
        <v>Charger Box Assy</v>
      </c>
      <c r="AI166" t="str">
        <f ca="1">IFERROR(__xludf.DUMMYFUNCTION("""COMPUTED_VALUE"""),"25cm Yellow Microfit one side crimped wires")</f>
        <v>25cm Yellow Microfit one side crimped wires</v>
      </c>
      <c r="AJ166">
        <f ca="1">IFERROR(__xludf.DUMMYFUNCTION("""COMPUTED_VALUE"""),1)</f>
        <v>1</v>
      </c>
      <c r="AK166" t="str">
        <f ca="1">IFERROR(__xludf.DUMMYFUNCTION("""COMPUTED_VALUE"""),"blank")</f>
        <v>blank</v>
      </c>
      <c r="AL166" t="e">
        <f ca="1">_xludf.IFNA(VLOOKUP(AH166,'S-FG'!$B$3:$B1001,1,FALSE),"")</f>
        <v>#NAME?</v>
      </c>
      <c r="AM166" t="e">
        <f ca="1">IF(AI166="","",SUMIFS(#REF!,RM!$C$4:$C991,AI166))</f>
        <v>#REF!</v>
      </c>
    </row>
    <row r="167" spans="5:39">
      <c r="E167" t="str">
        <f>IF(A167="","",SUMIFS('PR-BOM'!$D$3:$D1001,'PR-BOM'!$C$3:$C1001,A167)*C167)</f>
        <v/>
      </c>
      <c r="F167" t="e">
        <f ca="1">_xludf.IFNA(VLOOKUP(B167,'S-FG'!$B$3:$B1001,1,FALSE),"")</f>
        <v>#NAME?</v>
      </c>
      <c r="H167" t="str">
        <f ca="1">IFERROR(__xludf.DUMMYFUNCTION("""COMPUTED_VALUE"""),"A21 MotherBoard Assy")</f>
        <v>A21 MotherBoard Assy</v>
      </c>
      <c r="I167" t="str">
        <f ca="1">IFERROR(__xludf.DUMMYFUNCTION("""COMPUTED_VALUE"""),"Receiver Module R9MM/R9MX/R9")</f>
        <v>Receiver Module R9MM/R9MX/R9</v>
      </c>
      <c r="J167">
        <f ca="1">IFERROR(__xludf.DUMMYFUNCTION("""COMPUTED_VALUE"""),1)</f>
        <v>1</v>
      </c>
      <c r="K167" t="str">
        <f ca="1">IFERROR(__xludf.DUMMYFUNCTION("""COMPUTED_VALUE"""),"blank")</f>
        <v>blank</v>
      </c>
      <c r="L167">
        <f t="shared" ca="1" si="0"/>
        <v>0</v>
      </c>
      <c r="Q167" t="str">
        <f>IF(N167="","",SUMIFS('PR-BOM'!$D$3:$D1001,'PR-BOM'!$C$3:$C1001,N167))</f>
        <v/>
      </c>
      <c r="S167" t="str">
        <f ca="1">IFERROR(__xludf.DUMMYFUNCTION("""COMPUTED_VALUE"""),"4 pin JST-XH male side entry")</f>
        <v>4 pin JST-XH male side entry</v>
      </c>
      <c r="X167" t="e">
        <f ca="1"/>
        <v>#NAME?</v>
      </c>
      <c r="Y167" t="e">
        <f t="shared" ca="1" si="1"/>
        <v>#NAME?</v>
      </c>
      <c r="Z167" t="e">
        <f ca="1">IF(X167="","",SUMIFS(#REF!,RM!$C$4:$C991,X167))</f>
        <v>#NAME?</v>
      </c>
      <c r="AA167" t="e">
        <f ca="1">IF(X167="","",SUMIFS(#REF!,RM!$C$4:$C991,X167))</f>
        <v>#NAME?</v>
      </c>
      <c r="AB167" t="e">
        <f ca="1">IF(X167="","",SUMIFS(IRegback!$Y$2:$Y1001,IRegback!$X$2:$X1001,X167))</f>
        <v>#NAME?</v>
      </c>
      <c r="AC167" t="e">
        <f t="shared" ca="1" si="2"/>
        <v>#NAME?</v>
      </c>
      <c r="AD167" t="e">
        <f ca="1">IF(X167="","",VLOOKUP($X167,RM!$C$4:$G991,3,FALSE))</f>
        <v>#NAME?</v>
      </c>
      <c r="AE167" t="e">
        <f ca="1">IF(X167="","",VLOOKUP($X167,RM!$C$4:$G991,4,FALSE))</f>
        <v>#NAME?</v>
      </c>
      <c r="AF167" t="e">
        <f ca="1">IF(X167="","",VLOOKUP($X167,RM!$C$4:$G991,5,FALSE))</f>
        <v>#NAME?</v>
      </c>
      <c r="AH167" t="str">
        <f ca="1">IFERROR(__xludf.DUMMYFUNCTION("""COMPUTED_VALUE"""),"Charger Box Assy")</f>
        <v>Charger Box Assy</v>
      </c>
      <c r="AI167" t="str">
        <f ca="1">IFERROR(__xludf.DUMMYFUNCTION("""COMPUTED_VALUE"""),"25cm Blue Microfit one side crimped wires")</f>
        <v>25cm Blue Microfit one side crimped wires</v>
      </c>
      <c r="AJ167">
        <f ca="1">IFERROR(__xludf.DUMMYFUNCTION("""COMPUTED_VALUE"""),1)</f>
        <v>1</v>
      </c>
      <c r="AK167" t="str">
        <f ca="1">IFERROR(__xludf.DUMMYFUNCTION("""COMPUTED_VALUE"""),"blank")</f>
        <v>blank</v>
      </c>
      <c r="AL167" t="e">
        <f ca="1">_xludf.IFNA(VLOOKUP(AH167,'S-FG'!$B$3:$B1001,1,FALSE),"")</f>
        <v>#NAME?</v>
      </c>
      <c r="AM167" t="e">
        <f ca="1">IF(AI167="","",SUMIFS(#REF!,RM!$C$4:$C991,AI167))</f>
        <v>#REF!</v>
      </c>
    </row>
    <row r="168" spans="5:39">
      <c r="E168" t="str">
        <f>IF(A168="","",SUMIFS('PR-BOM'!$D$3:$D1001,'PR-BOM'!$C$3:$C1001,A168)*C168)</f>
        <v/>
      </c>
      <c r="F168" t="e">
        <f ca="1">_xludf.IFNA(VLOOKUP(B168,'S-FG'!$B$3:$B1001,1,FALSE),"")</f>
        <v>#NAME?</v>
      </c>
      <c r="H168" t="str">
        <f ca="1">IFERROR(__xludf.DUMMYFUNCTION("""COMPUTED_VALUE"""),"A21 MotherBoard Assy")</f>
        <v>A21 MotherBoard Assy</v>
      </c>
      <c r="I168" t="str">
        <f ca="1">IFERROR(__xludf.DUMMYFUNCTION("""COMPUTED_VALUE"""),"Free Wheel Diode SMD M7")</f>
        <v>Free Wheel Diode SMD M7</v>
      </c>
      <c r="J168">
        <f ca="1">IFERROR(__xludf.DUMMYFUNCTION("""COMPUTED_VALUE"""),7)</f>
        <v>7</v>
      </c>
      <c r="K168" t="str">
        <f ca="1">IFERROR(__xludf.DUMMYFUNCTION("""COMPUTED_VALUE"""),"Robu-597541")</f>
        <v>Robu-597541</v>
      </c>
      <c r="L168">
        <f t="shared" ca="1" si="0"/>
        <v>0</v>
      </c>
      <c r="Q168" t="str">
        <f>IF(N168="","",SUMIFS('PR-BOM'!$D$3:$D1001,'PR-BOM'!$C$3:$C1001,N168))</f>
        <v/>
      </c>
      <c r="S168" t="str">
        <f ca="1">IFERROR(__xludf.DUMMYFUNCTION("""COMPUTED_VALUE"""),"Receiver Module R9MM/R9MX/R9")</f>
        <v>Receiver Module R9MM/R9MX/R9</v>
      </c>
      <c r="X168" t="e">
        <f ca="1"/>
        <v>#NAME?</v>
      </c>
      <c r="Y168" t="e">
        <f t="shared" ca="1" si="1"/>
        <v>#NAME?</v>
      </c>
      <c r="Z168" t="e">
        <f ca="1">IF(X168="","",SUMIFS(#REF!,RM!$C$4:$C991,X168))</f>
        <v>#NAME?</v>
      </c>
      <c r="AA168" t="e">
        <f ca="1">IF(X168="","",SUMIFS(#REF!,RM!$C$4:$C991,X168))</f>
        <v>#NAME?</v>
      </c>
      <c r="AB168" t="e">
        <f ca="1">IF(X168="","",SUMIFS(IRegback!$Y$2:$Y1001,IRegback!$X$2:$X1001,X168))</f>
        <v>#NAME?</v>
      </c>
      <c r="AC168" t="e">
        <f t="shared" ca="1" si="2"/>
        <v>#NAME?</v>
      </c>
      <c r="AD168" t="e">
        <f ca="1">IF(X168="","",VLOOKUP($X168,RM!$C$4:$G991,3,FALSE))</f>
        <v>#NAME?</v>
      </c>
      <c r="AE168" t="e">
        <f ca="1">IF(X168="","",VLOOKUP($X168,RM!$C$4:$G991,4,FALSE))</f>
        <v>#NAME?</v>
      </c>
      <c r="AF168" t="e">
        <f ca="1">IF(X168="","",VLOOKUP($X168,RM!$C$4:$G991,5,FALSE))</f>
        <v>#NAME?</v>
      </c>
      <c r="AH168" t="str">
        <f ca="1">IFERROR(__xludf.DUMMYFUNCTION("""COMPUTED_VALUE"""),"Charger Box Assy")</f>
        <v>Charger Box Assy</v>
      </c>
      <c r="AI168" t="str">
        <f ca="1">IFERROR(__xludf.DUMMYFUNCTION("""COMPUTED_VALUE"""),"25cm Pink Microfit one side crimped wires")</f>
        <v>25cm Pink Microfit one side crimped wires</v>
      </c>
      <c r="AJ168">
        <f ca="1">IFERROR(__xludf.DUMMYFUNCTION("""COMPUTED_VALUE"""),1)</f>
        <v>1</v>
      </c>
      <c r="AK168" t="str">
        <f ca="1">IFERROR(__xludf.DUMMYFUNCTION("""COMPUTED_VALUE"""),"blank")</f>
        <v>blank</v>
      </c>
      <c r="AL168" t="e">
        <f ca="1">_xludf.IFNA(VLOOKUP(AH168,'S-FG'!$B$3:$B1001,1,FALSE),"")</f>
        <v>#NAME?</v>
      </c>
      <c r="AM168" t="e">
        <f ca="1">IF(AI168="","",SUMIFS(#REF!,RM!$C$4:$C991,AI168))</f>
        <v>#REF!</v>
      </c>
    </row>
    <row r="169" spans="5:39">
      <c r="E169" t="str">
        <f>IF(A169="","",SUMIFS('PR-BOM'!$D$3:$D1001,'PR-BOM'!$C$3:$C1001,A169)*C169)</f>
        <v/>
      </c>
      <c r="F169" t="e">
        <f ca="1">_xludf.IFNA(VLOOKUP(B169,'S-FG'!$B$3:$B1001,1,FALSE),"")</f>
        <v>#NAME?</v>
      </c>
      <c r="H169" t="str">
        <f ca="1">IFERROR(__xludf.DUMMYFUNCTION("""COMPUTED_VALUE"""),"A21 MotherBoard Assy")</f>
        <v>A21 MotherBoard Assy</v>
      </c>
      <c r="I169" t="str">
        <f ca="1">IFERROR(__xludf.DUMMYFUNCTION("""COMPUTED_VALUE"""),"LM1117 5.0v")</f>
        <v>LM1117 5.0v</v>
      </c>
      <c r="J169">
        <f ca="1">IFERROR(__xludf.DUMMYFUNCTION("""COMPUTED_VALUE"""),3)</f>
        <v>3</v>
      </c>
      <c r="K169" t="str">
        <f ca="1">IFERROR(__xludf.DUMMYFUNCTION("""COMPUTED_VALUE"""),"blank")</f>
        <v>blank</v>
      </c>
      <c r="L169">
        <f t="shared" ca="1" si="0"/>
        <v>0</v>
      </c>
      <c r="Q169" t="str">
        <f>IF(N169="","",SUMIFS('PR-BOM'!$D$3:$D1001,'PR-BOM'!$C$3:$C1001,N169))</f>
        <v/>
      </c>
      <c r="S169" t="str">
        <f ca="1">IFERROR(__xludf.DUMMYFUNCTION("""COMPUTED_VALUE"""),"Free Wheel Diode SMD M7")</f>
        <v>Free Wheel Diode SMD M7</v>
      </c>
      <c r="X169" t="e">
        <f ca="1"/>
        <v>#NAME?</v>
      </c>
      <c r="Y169" t="e">
        <f t="shared" ca="1" si="1"/>
        <v>#NAME?</v>
      </c>
      <c r="Z169" t="e">
        <f ca="1">IF(X169="","",SUMIFS(#REF!,RM!$C$4:$C991,X169))</f>
        <v>#NAME?</v>
      </c>
      <c r="AA169" t="e">
        <f ca="1">IF(X169="","",SUMIFS(#REF!,RM!$C$4:$C991,X169))</f>
        <v>#NAME?</v>
      </c>
      <c r="AB169" t="e">
        <f ca="1">IF(X169="","",SUMIFS(IRegback!$Y$2:$Y1001,IRegback!$X$2:$X1001,X169))</f>
        <v>#NAME?</v>
      </c>
      <c r="AC169" t="e">
        <f t="shared" ca="1" si="2"/>
        <v>#NAME?</v>
      </c>
      <c r="AD169" t="e">
        <f ca="1">IF(X169="","",VLOOKUP($X169,RM!$C$4:$G991,3,FALSE))</f>
        <v>#NAME?</v>
      </c>
      <c r="AE169" t="e">
        <f ca="1">IF(X169="","",VLOOKUP($X169,RM!$C$4:$G991,4,FALSE))</f>
        <v>#NAME?</v>
      </c>
      <c r="AF169" t="e">
        <f ca="1">IF(X169="","",VLOOKUP($X169,RM!$C$4:$G991,5,FALSE))</f>
        <v>#NAME?</v>
      </c>
      <c r="AH169" t="str">
        <f ca="1">IFERROR(__xludf.DUMMYFUNCTION("""COMPUTED_VALUE"""),"Charger Box Assy")</f>
        <v>Charger Box Assy</v>
      </c>
      <c r="AI169" t="str">
        <f ca="1">IFERROR(__xludf.DUMMYFUNCTION("""COMPUTED_VALUE"""),"25cm L.Brown Microfit one side crimped wires")</f>
        <v>25cm L.Brown Microfit one side crimped wires</v>
      </c>
      <c r="AJ169">
        <f ca="1">IFERROR(__xludf.DUMMYFUNCTION("""COMPUTED_VALUE"""),1)</f>
        <v>1</v>
      </c>
      <c r="AK169" t="str">
        <f ca="1">IFERROR(__xludf.DUMMYFUNCTION("""COMPUTED_VALUE"""),"blank")</f>
        <v>blank</v>
      </c>
      <c r="AL169" t="e">
        <f ca="1">_xludf.IFNA(VLOOKUP(AH169,'S-FG'!$B$3:$B1001,1,FALSE),"")</f>
        <v>#NAME?</v>
      </c>
      <c r="AM169" t="e">
        <f ca="1">IF(AI169="","",SUMIFS(#REF!,RM!$C$4:$C991,AI169))</f>
        <v>#REF!</v>
      </c>
    </row>
    <row r="170" spans="5:39">
      <c r="E170" t="str">
        <f>IF(A170="","",SUMIFS('PR-BOM'!$D$3:$D1001,'PR-BOM'!$C$3:$C1001,A170)*C170)</f>
        <v/>
      </c>
      <c r="F170" t="e">
        <f ca="1">_xludf.IFNA(VLOOKUP(B170,'S-FG'!$B$3:$B1001,1,FALSE),"")</f>
        <v>#NAME?</v>
      </c>
      <c r="H170" t="str">
        <f ca="1">IFERROR(__xludf.DUMMYFUNCTION("""COMPUTED_VALUE"""),"A21 MotherBoard Assy")</f>
        <v>A21 MotherBoard Assy</v>
      </c>
      <c r="I170" t="str">
        <f ca="1">IFERROR(__xludf.DUMMYFUNCTION("""COMPUTED_VALUE"""),"LM1117 3.3v")</f>
        <v>LM1117 3.3v</v>
      </c>
      <c r="J170">
        <f ca="1">IFERROR(__xludf.DUMMYFUNCTION("""COMPUTED_VALUE"""),1)</f>
        <v>1</v>
      </c>
      <c r="K170" t="str">
        <f ca="1">IFERROR(__xludf.DUMMYFUNCTION("""COMPUTED_VALUE"""),"blank")</f>
        <v>blank</v>
      </c>
      <c r="L170">
        <f t="shared" ca="1" si="0"/>
        <v>0</v>
      </c>
      <c r="Q170" t="str">
        <f>IF(N170="","",SUMIFS('PR-BOM'!$D$3:$D1001,'PR-BOM'!$C$3:$C1001,N170))</f>
        <v/>
      </c>
      <c r="S170" t="str">
        <f ca="1">IFERROR(__xludf.DUMMYFUNCTION("""COMPUTED_VALUE"""),"LM1117 5.0v")</f>
        <v>LM1117 5.0v</v>
      </c>
      <c r="X170" t="e">
        <f ca="1"/>
        <v>#NAME?</v>
      </c>
      <c r="Y170" t="e">
        <f t="shared" ca="1" si="1"/>
        <v>#NAME?</v>
      </c>
      <c r="Z170" t="e">
        <f ca="1">IF(X170="","",SUMIFS(#REF!,RM!$C$4:$C991,X170))</f>
        <v>#NAME?</v>
      </c>
      <c r="AA170" t="e">
        <f ca="1">IF(X170="","",SUMIFS(#REF!,RM!$C$4:$C991,X170))</f>
        <v>#NAME?</v>
      </c>
      <c r="AB170" t="e">
        <f ca="1">IF(X170="","",SUMIFS(IRegback!$Y$2:$Y1001,IRegback!$X$2:$X1001,X170))</f>
        <v>#NAME?</v>
      </c>
      <c r="AC170" t="e">
        <f t="shared" ca="1" si="2"/>
        <v>#NAME?</v>
      </c>
      <c r="AD170" t="e">
        <f ca="1">IF(X170="","",VLOOKUP($X170,RM!$C$4:$G991,3,FALSE))</f>
        <v>#NAME?</v>
      </c>
      <c r="AE170" t="e">
        <f ca="1">IF(X170="","",VLOOKUP($X170,RM!$C$4:$G991,4,FALSE))</f>
        <v>#NAME?</v>
      </c>
      <c r="AF170" t="e">
        <f ca="1">IF(X170="","",VLOOKUP($X170,RM!$C$4:$G991,5,FALSE))</f>
        <v>#NAME?</v>
      </c>
      <c r="AH170" t="str">
        <f ca="1">IFERROR(__xludf.DUMMYFUNCTION("""COMPUTED_VALUE"""),"Charger Box Assy")</f>
        <v>Charger Box Assy</v>
      </c>
      <c r="AI170" t="str">
        <f ca="1">IFERROR(__xludf.DUMMYFUNCTION("""COMPUTED_VALUE"""),"25cm D.Brown Microfit one side crimped wires")</f>
        <v>25cm D.Brown Microfit one side crimped wires</v>
      </c>
      <c r="AJ170">
        <f ca="1">IFERROR(__xludf.DUMMYFUNCTION("""COMPUTED_VALUE"""),1)</f>
        <v>1</v>
      </c>
      <c r="AK170" t="str">
        <f ca="1">IFERROR(__xludf.DUMMYFUNCTION("""COMPUTED_VALUE"""),"blank")</f>
        <v>blank</v>
      </c>
      <c r="AL170" t="e">
        <f ca="1">_xludf.IFNA(VLOOKUP(AH170,'S-FG'!$B$3:$B1001,1,FALSE),"")</f>
        <v>#NAME?</v>
      </c>
      <c r="AM170" t="e">
        <f ca="1">IF(AI170="","",SUMIFS(#REF!,RM!$C$4:$C991,AI170))</f>
        <v>#REF!</v>
      </c>
    </row>
    <row r="171" spans="5:39">
      <c r="E171" t="str">
        <f>IF(A171="","",SUMIFS('PR-BOM'!$D$3:$D1001,'PR-BOM'!$C$3:$C1001,A171)*C171)</f>
        <v/>
      </c>
      <c r="F171" t="e">
        <f ca="1">_xludf.IFNA(VLOOKUP(B171,'S-FG'!$B$3:$B1001,1,FALSE),"")</f>
        <v>#NAME?</v>
      </c>
      <c r="H171" t="str">
        <f ca="1">IFERROR(__xludf.DUMMYFUNCTION("""COMPUTED_VALUE"""),"A21 MotherBoard Assy")</f>
        <v>A21 MotherBoard Assy</v>
      </c>
      <c r="I171" t="str">
        <f ca="1">IFERROR(__xludf.DUMMYFUNCTION("""COMPUTED_VALUE"""),"NEO-6M GPS")</f>
        <v>NEO-6M GPS</v>
      </c>
      <c r="J171">
        <f ca="1">IFERROR(__xludf.DUMMYFUNCTION("""COMPUTED_VALUE"""),1)</f>
        <v>1</v>
      </c>
      <c r="K171" t="str">
        <f ca="1">IFERROR(__xludf.DUMMYFUNCTION("""COMPUTED_VALUE"""),"blank")</f>
        <v>blank</v>
      </c>
      <c r="L171">
        <f t="shared" ca="1" si="0"/>
        <v>0</v>
      </c>
      <c r="Q171" t="str">
        <f>IF(N171="","",SUMIFS('PR-BOM'!$D$3:$D1001,'PR-BOM'!$C$3:$C1001,N171))</f>
        <v/>
      </c>
      <c r="S171" t="str">
        <f ca="1">IFERROR(__xludf.DUMMYFUNCTION("""COMPUTED_VALUE"""),"LM1117 3.3v")</f>
        <v>LM1117 3.3v</v>
      </c>
      <c r="X171" t="e">
        <f ca="1"/>
        <v>#NAME?</v>
      </c>
      <c r="Y171" t="e">
        <f t="shared" ca="1" si="1"/>
        <v>#NAME?</v>
      </c>
      <c r="Z171" t="e">
        <f ca="1">IF(X171="","",SUMIFS(#REF!,RM!$C$4:$C991,X171))</f>
        <v>#NAME?</v>
      </c>
      <c r="AA171" t="e">
        <f ca="1">IF(X171="","",SUMIFS(#REF!,RM!$C$4:$C991,X171))</f>
        <v>#NAME?</v>
      </c>
      <c r="AB171" t="e">
        <f ca="1">IF(X171="","",SUMIFS(IRegback!$Y$2:$Y1001,IRegback!$X$2:$X1001,X171))</f>
        <v>#NAME?</v>
      </c>
      <c r="AC171" t="e">
        <f t="shared" ca="1" si="2"/>
        <v>#NAME?</v>
      </c>
      <c r="AD171" t="e">
        <f ca="1">IF(X171="","",VLOOKUP($X171,RM!$C$4:$G991,3,FALSE))</f>
        <v>#NAME?</v>
      </c>
      <c r="AE171" t="e">
        <f ca="1">IF(X171="","",VLOOKUP($X171,RM!$C$4:$G991,4,FALSE))</f>
        <v>#NAME?</v>
      </c>
      <c r="AF171" t="e">
        <f ca="1">IF(X171="","",VLOOKUP($X171,RM!$C$4:$G991,5,FALSE))</f>
        <v>#NAME?</v>
      </c>
      <c r="AH171" t="str">
        <f ca="1">IFERROR(__xludf.DUMMYFUNCTION("""COMPUTED_VALUE"""),"Charger Box Assy")</f>
        <v>Charger Box Assy</v>
      </c>
      <c r="AI171" t="str">
        <f ca="1">IFERROR(__xludf.DUMMYFUNCTION("""COMPUTED_VALUE"""),"25cm White Microfit one side crimped wires")</f>
        <v>25cm White Microfit one side crimped wires</v>
      </c>
      <c r="AJ171">
        <f ca="1">IFERROR(__xludf.DUMMYFUNCTION("""COMPUTED_VALUE"""),1)</f>
        <v>1</v>
      </c>
      <c r="AK171" t="str">
        <f ca="1">IFERROR(__xludf.DUMMYFUNCTION("""COMPUTED_VALUE"""),"blank")</f>
        <v>blank</v>
      </c>
      <c r="AL171" t="e">
        <f ca="1">_xludf.IFNA(VLOOKUP(AH171,'S-FG'!$B$3:$B1001,1,FALSE),"")</f>
        <v>#NAME?</v>
      </c>
      <c r="AM171" t="e">
        <f ca="1">IF(AI171="","",SUMIFS(#REF!,RM!$C$4:$C991,AI171))</f>
        <v>#REF!</v>
      </c>
    </row>
    <row r="172" spans="5:39">
      <c r="E172" t="str">
        <f>IF(A172="","",SUMIFS('PR-BOM'!$D$3:$D1001,'PR-BOM'!$C$3:$C1001,A172)*C172)</f>
        <v/>
      </c>
      <c r="F172" t="e">
        <f ca="1">_xludf.IFNA(VLOOKUP(B172,'S-FG'!$B$3:$B1001,1,FALSE),"")</f>
        <v>#NAME?</v>
      </c>
      <c r="H172" t="str">
        <f ca="1">IFERROR(__xludf.DUMMYFUNCTION("""COMPUTED_VALUE"""),"A21 MotherBoard Assy")</f>
        <v>A21 MotherBoard Assy</v>
      </c>
      <c r="I172" t="str">
        <f ca="1">IFERROR(__xludf.DUMMYFUNCTION("""COMPUTED_VALUE"""),"4mm Male Bullet connector")</f>
        <v>4mm Male Bullet connector</v>
      </c>
      <c r="J172">
        <f ca="1">IFERROR(__xludf.DUMMYFUNCTION("""COMPUTED_VALUE"""),2)</f>
        <v>2</v>
      </c>
      <c r="K172" t="str">
        <f ca="1">IFERROR(__xludf.DUMMYFUNCTION("""COMPUTED_VALUE"""),"blank")</f>
        <v>blank</v>
      </c>
      <c r="L172">
        <f t="shared" ca="1" si="0"/>
        <v>0</v>
      </c>
      <c r="Q172" t="str">
        <f>IF(N172="","",SUMIFS('PR-BOM'!$D$3:$D1001,'PR-BOM'!$C$3:$C1001,N172))</f>
        <v/>
      </c>
      <c r="S172" t="str">
        <f ca="1">IFERROR(__xludf.DUMMYFUNCTION("""COMPUTED_VALUE"""),"NEO-6M GPS")</f>
        <v>NEO-6M GPS</v>
      </c>
      <c r="X172" t="e">
        <f ca="1"/>
        <v>#NAME?</v>
      </c>
      <c r="Y172" t="e">
        <f t="shared" ca="1" si="1"/>
        <v>#NAME?</v>
      </c>
      <c r="Z172" t="e">
        <f ca="1">IF(X172="","",SUMIFS(#REF!,RM!$C$4:$C991,X172))</f>
        <v>#NAME?</v>
      </c>
      <c r="AA172" t="e">
        <f ca="1">IF(X172="","",SUMIFS(#REF!,RM!$C$4:$C991,X172))</f>
        <v>#NAME?</v>
      </c>
      <c r="AB172" t="e">
        <f ca="1">IF(X172="","",SUMIFS(IRegback!$Y$2:$Y1001,IRegback!$X$2:$X1001,X172))</f>
        <v>#NAME?</v>
      </c>
      <c r="AC172" t="e">
        <f t="shared" ca="1" si="2"/>
        <v>#NAME?</v>
      </c>
      <c r="AD172" t="e">
        <f ca="1">IF(X172="","",VLOOKUP($X172,RM!$C$4:$G991,3,FALSE))</f>
        <v>#NAME?</v>
      </c>
      <c r="AE172" t="e">
        <f ca="1">IF(X172="","",VLOOKUP($X172,RM!$C$4:$G991,4,FALSE))</f>
        <v>#NAME?</v>
      </c>
      <c r="AF172" t="e">
        <f ca="1">IF(X172="","",VLOOKUP($X172,RM!$C$4:$G991,5,FALSE))</f>
        <v>#NAME?</v>
      </c>
      <c r="AH172" t="str">
        <f ca="1">IFERROR(__xludf.DUMMYFUNCTION("""COMPUTED_VALUE"""),"Charger Box Assy")</f>
        <v>Charger Box Assy</v>
      </c>
      <c r="AI172" t="str">
        <f ca="1">IFERROR(__xludf.DUMMYFUNCTION("""COMPUTED_VALUE"""),"25cm White-Red Microfit one side crimped wires")</f>
        <v>25cm White-Red Microfit one side crimped wires</v>
      </c>
      <c r="AJ172">
        <f ca="1">IFERROR(__xludf.DUMMYFUNCTION("""COMPUTED_VALUE"""),1)</f>
        <v>1</v>
      </c>
      <c r="AK172" t="str">
        <f ca="1">IFERROR(__xludf.DUMMYFUNCTION("""COMPUTED_VALUE"""),"blank")</f>
        <v>blank</v>
      </c>
      <c r="AL172" t="e">
        <f ca="1">_xludf.IFNA(VLOOKUP(AH172,'S-FG'!$B$3:$B1001,1,FALSE),"")</f>
        <v>#NAME?</v>
      </c>
      <c r="AM172" t="e">
        <f ca="1">IF(AI172="","",SUMIFS(#REF!,RM!$C$4:$C991,AI172))</f>
        <v>#REF!</v>
      </c>
    </row>
    <row r="173" spans="5:39">
      <c r="E173" t="str">
        <f>IF(A173="","",SUMIFS('PR-BOM'!$D$3:$D1001,'PR-BOM'!$C$3:$C1001,A173)*C173)</f>
        <v/>
      </c>
      <c r="F173" t="e">
        <f ca="1">_xludf.IFNA(VLOOKUP(B173,'S-FG'!$B$3:$B1001,1,FALSE),"")</f>
        <v>#NAME?</v>
      </c>
      <c r="H173" t="str">
        <f ca="1">IFERROR(__xludf.DUMMYFUNCTION("""COMPUTED_VALUE"""),"A21 MotherBoard Assy")</f>
        <v>A21 MotherBoard Assy</v>
      </c>
      <c r="I173" t="str">
        <f ca="1">IFERROR(__xludf.DUMMYFUNCTION("""COMPUTED_VALUE"""),"4mm Female Bullet connector")</f>
        <v>4mm Female Bullet connector</v>
      </c>
      <c r="J173">
        <f ca="1">IFERROR(__xludf.DUMMYFUNCTION("""COMPUTED_VALUE"""),4)</f>
        <v>4</v>
      </c>
      <c r="K173" t="str">
        <f ca="1">IFERROR(__xludf.DUMMYFUNCTION("""COMPUTED_VALUE"""),"blank")</f>
        <v>blank</v>
      </c>
      <c r="L173">
        <f t="shared" ca="1" si="0"/>
        <v>0</v>
      </c>
      <c r="Q173" t="str">
        <f>IF(N173="","",SUMIFS('PR-BOM'!$D$3:$D1001,'PR-BOM'!$C$3:$C1001,N173))</f>
        <v/>
      </c>
      <c r="S173" t="str">
        <f ca="1">IFERROR(__xludf.DUMMYFUNCTION("""COMPUTED_VALUE"""),"4mm Male Bullet connector")</f>
        <v>4mm Male Bullet connector</v>
      </c>
      <c r="X173" t="e">
        <f ca="1"/>
        <v>#NAME?</v>
      </c>
      <c r="Y173" t="e">
        <f t="shared" ca="1" si="1"/>
        <v>#NAME?</v>
      </c>
      <c r="Z173" t="e">
        <f ca="1">IF(X173="","",SUMIFS(#REF!,RM!$C$4:$C991,X173))</f>
        <v>#NAME?</v>
      </c>
      <c r="AA173" t="e">
        <f ca="1">IF(X173="","",SUMIFS(#REF!,RM!$C$4:$C991,X173))</f>
        <v>#NAME?</v>
      </c>
      <c r="AB173" t="e">
        <f ca="1">IF(X173="","",SUMIFS(IRegback!$Y$2:$Y1001,IRegback!$X$2:$X1001,X173))</f>
        <v>#NAME?</v>
      </c>
      <c r="AC173" t="e">
        <f t="shared" ca="1" si="2"/>
        <v>#NAME?</v>
      </c>
      <c r="AD173" t="e">
        <f ca="1">IF(X173="","",VLOOKUP($X173,RM!$C$4:$G991,3,FALSE))</f>
        <v>#NAME?</v>
      </c>
      <c r="AE173" t="e">
        <f ca="1">IF(X173="","",VLOOKUP($X173,RM!$C$4:$G991,4,FALSE))</f>
        <v>#NAME?</v>
      </c>
      <c r="AF173" t="e">
        <f ca="1">IF(X173="","",VLOOKUP($X173,RM!$C$4:$G991,5,FALSE))</f>
        <v>#NAME?</v>
      </c>
      <c r="AH173" t="str">
        <f ca="1">IFERROR(__xludf.DUMMYFUNCTION("""COMPUTED_VALUE"""),"Charger Box Assy")</f>
        <v>Charger Box Assy</v>
      </c>
      <c r="AI173" t="str">
        <f ca="1">IFERROR(__xludf.DUMMYFUNCTION("""COMPUTED_VALUE"""),"25cm Red Microfit one side crimped wires")</f>
        <v>25cm Red Microfit one side crimped wires</v>
      </c>
      <c r="AJ173">
        <f ca="1">IFERROR(__xludf.DUMMYFUNCTION("""COMPUTED_VALUE"""),1)</f>
        <v>1</v>
      </c>
      <c r="AK173" t="str">
        <f ca="1">IFERROR(__xludf.DUMMYFUNCTION("""COMPUTED_VALUE"""),"blank")</f>
        <v>blank</v>
      </c>
      <c r="AL173" t="e">
        <f ca="1">_xludf.IFNA(VLOOKUP(AH173,'S-FG'!$B$3:$B1001,1,FALSE),"")</f>
        <v>#NAME?</v>
      </c>
      <c r="AM173" t="e">
        <f ca="1">IF(AI173="","",SUMIFS(#REF!,RM!$C$4:$C991,AI173))</f>
        <v>#REF!</v>
      </c>
    </row>
    <row r="174" spans="5:39">
      <c r="E174" t="str">
        <f>IF(A174="","",SUMIFS('PR-BOM'!$D$3:$D1001,'PR-BOM'!$C$3:$C1001,A174)*C174)</f>
        <v/>
      </c>
      <c r="F174" t="e">
        <f ca="1">_xludf.IFNA(VLOOKUP(B174,'S-FG'!$B$3:$B1001,1,FALSE),"")</f>
        <v>#NAME?</v>
      </c>
      <c r="H174" t="str">
        <f ca="1">IFERROR(__xludf.DUMMYFUNCTION("""COMPUTED_VALUE"""),"A21 MotherBoard Assy")</f>
        <v>A21 MotherBoard Assy</v>
      </c>
      <c r="I174" t="str">
        <f ca="1">IFERROR(__xludf.DUMMYFUNCTION("""COMPUTED_VALUE"""),"2mm male bullet connector")</f>
        <v>2mm male bullet connector</v>
      </c>
      <c r="J174">
        <f ca="1">IFERROR(__xludf.DUMMYFUNCTION("""COMPUTED_VALUE"""),0)</f>
        <v>0</v>
      </c>
      <c r="K174" t="str">
        <f ca="1">IFERROR(__xludf.DUMMYFUNCTION("""COMPUTED_VALUE"""),"blank")</f>
        <v>blank</v>
      </c>
      <c r="L174">
        <f t="shared" ca="1" si="0"/>
        <v>0</v>
      </c>
      <c r="Q174" t="str">
        <f>IF(N174="","",SUMIFS('PR-BOM'!$D$3:$D1001,'PR-BOM'!$C$3:$C1001,N174))</f>
        <v/>
      </c>
      <c r="S174" t="str">
        <f ca="1">IFERROR(__xludf.DUMMYFUNCTION("""COMPUTED_VALUE"""),"4mm Female Bullet connector")</f>
        <v>4mm Female Bullet connector</v>
      </c>
      <c r="X174" t="e">
        <f ca="1"/>
        <v>#NAME?</v>
      </c>
      <c r="Y174" t="e">
        <f t="shared" ca="1" si="1"/>
        <v>#NAME?</v>
      </c>
      <c r="Z174" t="e">
        <f ca="1">IF(X174="","",SUMIFS(#REF!,RM!$C$4:$C991,X174))</f>
        <v>#NAME?</v>
      </c>
      <c r="AA174" t="e">
        <f ca="1">IF(X174="","",SUMIFS(#REF!,RM!$C$4:$C991,X174))</f>
        <v>#NAME?</v>
      </c>
      <c r="AB174" t="e">
        <f ca="1">IF(X174="","",SUMIFS(IRegback!$Y$2:$Y1001,IRegback!$X$2:$X1001,X174))</f>
        <v>#NAME?</v>
      </c>
      <c r="AC174" t="e">
        <f t="shared" ca="1" si="2"/>
        <v>#NAME?</v>
      </c>
      <c r="AD174" t="e">
        <f ca="1">IF(X174="","",VLOOKUP($X174,RM!$C$4:$G991,3,FALSE))</f>
        <v>#NAME?</v>
      </c>
      <c r="AE174" t="e">
        <f ca="1">IF(X174="","",VLOOKUP($X174,RM!$C$4:$G991,4,FALSE))</f>
        <v>#NAME?</v>
      </c>
      <c r="AF174" t="e">
        <f ca="1">IF(X174="","",VLOOKUP($X174,RM!$C$4:$G991,5,FALSE))</f>
        <v>#NAME?</v>
      </c>
      <c r="AH174" t="str">
        <f ca="1">IFERROR(__xludf.DUMMYFUNCTION("""COMPUTED_VALUE"""),"Charger Box Assy")</f>
        <v>Charger Box Assy</v>
      </c>
      <c r="AI174" t="str">
        <f ca="1">IFERROR(__xludf.DUMMYFUNCTION("""COMPUTED_VALUE"""),"25cm Dark Blue Microfit one side crimped wires")</f>
        <v>25cm Dark Blue Microfit one side crimped wires</v>
      </c>
      <c r="AJ174">
        <f ca="1">IFERROR(__xludf.DUMMYFUNCTION("""COMPUTED_VALUE"""),1)</f>
        <v>1</v>
      </c>
      <c r="AK174" t="str">
        <f ca="1">IFERROR(__xludf.DUMMYFUNCTION("""COMPUTED_VALUE"""),"blank")</f>
        <v>blank</v>
      </c>
      <c r="AL174" t="e">
        <f ca="1">_xludf.IFNA(VLOOKUP(AH174,'S-FG'!$B$3:$B1001,1,FALSE),"")</f>
        <v>#NAME?</v>
      </c>
      <c r="AM174" t="e">
        <f ca="1">IF(AI174="","",SUMIFS(#REF!,RM!$C$4:$C991,AI174))</f>
        <v>#REF!</v>
      </c>
    </row>
    <row r="175" spans="5:39">
      <c r="E175" t="str">
        <f>IF(A175="","",SUMIFS('PR-BOM'!$D$3:$D1001,'PR-BOM'!$C$3:$C1001,A175)*C175)</f>
        <v/>
      </c>
      <c r="F175" t="e">
        <f ca="1">_xludf.IFNA(VLOOKUP(B175,'S-FG'!$B$3:$B1001,1,FALSE),"")</f>
        <v>#NAME?</v>
      </c>
      <c r="H175" t="str">
        <f ca="1">IFERROR(__xludf.DUMMYFUNCTION("""COMPUTED_VALUE"""),"A21 MotherBoard Assy")</f>
        <v>A21 MotherBoard Assy</v>
      </c>
      <c r="I175" t="str">
        <f ca="1">IFERROR(__xludf.DUMMYFUNCTION("""COMPUTED_VALUE"""),"2mm Female Bullet connector")</f>
        <v>2mm Female Bullet connector</v>
      </c>
      <c r="J175">
        <f ca="1">IFERROR(__xludf.DUMMYFUNCTION("""COMPUTED_VALUE"""),0)</f>
        <v>0</v>
      </c>
      <c r="K175" t="str">
        <f ca="1">IFERROR(__xludf.DUMMYFUNCTION("""COMPUTED_VALUE"""),"blank")</f>
        <v>blank</v>
      </c>
      <c r="L175">
        <f t="shared" ca="1" si="0"/>
        <v>0</v>
      </c>
      <c r="Q175" t="str">
        <f>IF(N175="","",SUMIFS('PR-BOM'!$D$3:$D1001,'PR-BOM'!$C$3:$C1001,N175))</f>
        <v/>
      </c>
      <c r="S175" t="str">
        <f ca="1">IFERROR(__xludf.DUMMYFUNCTION("""COMPUTED_VALUE"""),"2mm male bullet connector")</f>
        <v>2mm male bullet connector</v>
      </c>
      <c r="X175" t="e">
        <f ca="1"/>
        <v>#NAME?</v>
      </c>
      <c r="Y175" t="e">
        <f t="shared" ca="1" si="1"/>
        <v>#NAME?</v>
      </c>
      <c r="Z175" t="e">
        <f ca="1">IF(X175="","",SUMIFS(#REF!,RM!$C$4:$C991,X175))</f>
        <v>#NAME?</v>
      </c>
      <c r="AA175" t="e">
        <f ca="1">IF(X175="","",SUMIFS(#REF!,RM!$C$4:$C991,X175))</f>
        <v>#NAME?</v>
      </c>
      <c r="AB175" t="e">
        <f ca="1">IF(X175="","",SUMIFS(IRegback!$Y$2:$Y1001,IRegback!$X$2:$X1001,X175))</f>
        <v>#NAME?</v>
      </c>
      <c r="AC175" t="e">
        <f t="shared" ca="1" si="2"/>
        <v>#NAME?</v>
      </c>
      <c r="AD175" t="e">
        <f ca="1">IF(X175="","",VLOOKUP($X175,RM!$C$4:$G991,3,FALSE))</f>
        <v>#NAME?</v>
      </c>
      <c r="AE175" t="e">
        <f ca="1">IF(X175="","",VLOOKUP($X175,RM!$C$4:$G991,4,FALSE))</f>
        <v>#NAME?</v>
      </c>
      <c r="AF175" t="e">
        <f ca="1">IF(X175="","",VLOOKUP($X175,RM!$C$4:$G991,5,FALSE))</f>
        <v>#NAME?</v>
      </c>
      <c r="AH175" t="str">
        <f ca="1">IFERROR(__xludf.DUMMYFUNCTION("""COMPUTED_VALUE"""),"Charger Box Assy")</f>
        <v>Charger Box Assy</v>
      </c>
      <c r="AI175" t="str">
        <f ca="1">IFERROR(__xludf.DUMMYFUNCTION("""COMPUTED_VALUE"""),"25cm Orange Microfit one side crimped wires")</f>
        <v>25cm Orange Microfit one side crimped wires</v>
      </c>
      <c r="AJ175">
        <f ca="1">IFERROR(__xludf.DUMMYFUNCTION("""COMPUTED_VALUE"""),1)</f>
        <v>1</v>
      </c>
      <c r="AK175" t="str">
        <f ca="1">IFERROR(__xludf.DUMMYFUNCTION("""COMPUTED_VALUE"""),"blank")</f>
        <v>blank</v>
      </c>
      <c r="AL175" t="e">
        <f ca="1">_xludf.IFNA(VLOOKUP(AH175,'S-FG'!$B$3:$B1001,1,FALSE),"")</f>
        <v>#NAME?</v>
      </c>
      <c r="AM175" t="e">
        <f ca="1">IF(AI175="","",SUMIFS(#REF!,RM!$C$4:$C991,AI175))</f>
        <v>#REF!</v>
      </c>
    </row>
    <row r="176" spans="5:39">
      <c r="E176" t="str">
        <f>IF(A176="","",SUMIFS('PR-BOM'!$D$3:$D1001,'PR-BOM'!$C$3:$C1001,A176)*C176)</f>
        <v/>
      </c>
      <c r="F176" t="e">
        <f ca="1">_xludf.IFNA(VLOOKUP(B176,'S-FG'!$B$3:$B1001,1,FALSE),"")</f>
        <v>#NAME?</v>
      </c>
      <c r="H176" t="str">
        <f ca="1">IFERROR(__xludf.DUMMYFUNCTION("""COMPUTED_VALUE"""),"A21 MotherBoard Assy")</f>
        <v>A21 MotherBoard Assy</v>
      </c>
      <c r="I176" t="str">
        <f ca="1">IFERROR(__xludf.DUMMYFUNCTION("""COMPUTED_VALUE"""),"6mm male bullet connector")</f>
        <v>6mm male bullet connector</v>
      </c>
      <c r="J176">
        <f ca="1">IFERROR(__xludf.DUMMYFUNCTION("""COMPUTED_VALUE"""),2)</f>
        <v>2</v>
      </c>
      <c r="K176" t="str">
        <f ca="1">IFERROR(__xludf.DUMMYFUNCTION("""COMPUTED_VALUE"""),"blank")</f>
        <v>blank</v>
      </c>
      <c r="L176">
        <f t="shared" ca="1" si="0"/>
        <v>0</v>
      </c>
      <c r="Q176" t="str">
        <f>IF(N176="","",SUMIFS('PR-BOM'!$D$3:$D1001,'PR-BOM'!$C$3:$C1001,N176))</f>
        <v/>
      </c>
      <c r="S176" t="str">
        <f ca="1">IFERROR(__xludf.DUMMYFUNCTION("""COMPUTED_VALUE"""),"2mm Female Bullet connector")</f>
        <v>2mm Female Bullet connector</v>
      </c>
      <c r="X176" t="e">
        <f ca="1"/>
        <v>#NAME?</v>
      </c>
      <c r="Y176" t="e">
        <f t="shared" ca="1" si="1"/>
        <v>#NAME?</v>
      </c>
      <c r="Z176" t="e">
        <f ca="1">IF(X176="","",SUMIFS(#REF!,RM!$C$4:$C991,X176))</f>
        <v>#NAME?</v>
      </c>
      <c r="AA176" t="e">
        <f ca="1">IF(X176="","",SUMIFS(#REF!,RM!$C$4:$C991,X176))</f>
        <v>#NAME?</v>
      </c>
      <c r="AB176" t="e">
        <f ca="1">IF(X176="","",SUMIFS(IRegback!$Y$2:$Y1001,IRegback!$X$2:$X1001,X176))</f>
        <v>#NAME?</v>
      </c>
      <c r="AC176" t="e">
        <f t="shared" ca="1" si="2"/>
        <v>#NAME?</v>
      </c>
      <c r="AD176" t="e">
        <f ca="1">IF(X176="","",VLOOKUP($X176,RM!$C$4:$G991,3,FALSE))</f>
        <v>#NAME?</v>
      </c>
      <c r="AE176" t="e">
        <f ca="1">IF(X176="","",VLOOKUP($X176,RM!$C$4:$G991,4,FALSE))</f>
        <v>#NAME?</v>
      </c>
      <c r="AF176" t="e">
        <f ca="1">IF(X176="","",VLOOKUP($X176,RM!$C$4:$G991,5,FALSE))</f>
        <v>#NAME?</v>
      </c>
      <c r="AH176" t="str">
        <f ca="1">IFERROR(__xludf.DUMMYFUNCTION("""COMPUTED_VALUE"""),"Charger Box Assy")</f>
        <v>Charger Box Assy</v>
      </c>
      <c r="AI176" t="str">
        <f ca="1">IFERROR(__xludf.DUMMYFUNCTION("""COMPUTED_VALUE"""),"18pin Microfit housing")</f>
        <v>18pin Microfit housing</v>
      </c>
      <c r="AJ176">
        <f ca="1">IFERROR(__xludf.DUMMYFUNCTION("""COMPUTED_VALUE"""),1)</f>
        <v>1</v>
      </c>
      <c r="AK176" t="str">
        <f ca="1">IFERROR(__xludf.DUMMYFUNCTION("""COMPUTED_VALUE"""),"blank")</f>
        <v>blank</v>
      </c>
      <c r="AL176" t="e">
        <f ca="1">_xludf.IFNA(VLOOKUP(AH176,'S-FG'!$B$3:$B1001,1,FALSE),"")</f>
        <v>#NAME?</v>
      </c>
      <c r="AM176" t="e">
        <f ca="1">IF(AI176="","",SUMIFS(#REF!,RM!$C$4:$C991,AI176))</f>
        <v>#REF!</v>
      </c>
    </row>
    <row r="177" spans="5:39">
      <c r="E177" t="str">
        <f>IF(A177="","",SUMIFS('PR-BOM'!$D$3:$D1001,'PR-BOM'!$C$3:$C1001,A177)*C177)</f>
        <v/>
      </c>
      <c r="F177" t="e">
        <f ca="1">_xludf.IFNA(VLOOKUP(B177,'S-FG'!$B$3:$B1001,1,FALSE),"")</f>
        <v>#NAME?</v>
      </c>
      <c r="H177" t="str">
        <f ca="1">IFERROR(__xludf.DUMMYFUNCTION("""COMPUTED_VALUE"""),"A21 MotherBoard Assy")</f>
        <v>A21 MotherBoard Assy</v>
      </c>
      <c r="I177" t="str">
        <f ca="1">IFERROR(__xludf.DUMMYFUNCTION("""COMPUTED_VALUE"""),"6mm female bullet connector")</f>
        <v>6mm female bullet connector</v>
      </c>
      <c r="J177">
        <f ca="1">IFERROR(__xludf.DUMMYFUNCTION("""COMPUTED_VALUE"""),1)</f>
        <v>1</v>
      </c>
      <c r="K177" t="str">
        <f ca="1">IFERROR(__xludf.DUMMYFUNCTION("""COMPUTED_VALUE"""),"blank")</f>
        <v>blank</v>
      </c>
      <c r="L177">
        <f t="shared" ca="1" si="0"/>
        <v>0</v>
      </c>
      <c r="Q177" t="str">
        <f>IF(N177="","",SUMIFS('PR-BOM'!$D$3:$D1001,'PR-BOM'!$C$3:$C1001,N177))</f>
        <v/>
      </c>
      <c r="S177" t="str">
        <f ca="1">IFERROR(__xludf.DUMMYFUNCTION("""COMPUTED_VALUE"""),"6mm male bullet connector")</f>
        <v>6mm male bullet connector</v>
      </c>
      <c r="X177" t="e">
        <f ca="1"/>
        <v>#NAME?</v>
      </c>
      <c r="Y177" t="e">
        <f t="shared" ca="1" si="1"/>
        <v>#NAME?</v>
      </c>
      <c r="Z177" t="e">
        <f ca="1">IF(X177="","",SUMIFS(#REF!,RM!$C$4:$C991,X177))</f>
        <v>#NAME?</v>
      </c>
      <c r="AA177" t="e">
        <f ca="1">IF(X177="","",SUMIFS(#REF!,RM!$C$4:$C991,X177))</f>
        <v>#NAME?</v>
      </c>
      <c r="AB177" t="e">
        <f ca="1">IF(X177="","",SUMIFS(IRegback!$Y$2:$Y1001,IRegback!$X$2:$X1001,X177))</f>
        <v>#NAME?</v>
      </c>
      <c r="AC177" t="e">
        <f t="shared" ca="1" si="2"/>
        <v>#NAME?</v>
      </c>
      <c r="AD177" t="e">
        <f ca="1">IF(X177="","",VLOOKUP($X177,RM!$C$4:$G991,3,FALSE))</f>
        <v>#NAME?</v>
      </c>
      <c r="AE177" t="e">
        <f ca="1">IF(X177="","",VLOOKUP($X177,RM!$C$4:$G991,4,FALSE))</f>
        <v>#NAME?</v>
      </c>
      <c r="AF177" t="e">
        <f ca="1">IF(X177="","",VLOOKUP($X177,RM!$C$4:$G991,5,FALSE))</f>
        <v>#NAME?</v>
      </c>
      <c r="AH177" t="str">
        <f ca="1">IFERROR(__xludf.DUMMYFUNCTION("""COMPUTED_VALUE"""),"Charger Box Assy")</f>
        <v>Charger Box Assy</v>
      </c>
      <c r="AI177" t="str">
        <f ca="1">IFERROR(__xludf.DUMMYFUNCTION("""COMPUTED_VALUE"""),"12S Lipo Charger")</f>
        <v>12S Lipo Charger</v>
      </c>
      <c r="AJ177">
        <f ca="1">IFERROR(__xludf.DUMMYFUNCTION("""COMPUTED_VALUE"""),1)</f>
        <v>1</v>
      </c>
      <c r="AK177" t="str">
        <f ca="1">IFERROR(__xludf.DUMMYFUNCTION("""COMPUTED_VALUE"""),"blank")</f>
        <v>blank</v>
      </c>
      <c r="AL177" t="e">
        <f ca="1">_xludf.IFNA(VLOOKUP(AH177,'S-FG'!$B$3:$B1001,1,FALSE),"")</f>
        <v>#NAME?</v>
      </c>
      <c r="AM177" t="e">
        <f ca="1">IF(AI177="","",SUMIFS(#REF!,RM!$C$4:$C991,AI177))</f>
        <v>#REF!</v>
      </c>
    </row>
    <row r="178" spans="5:39">
      <c r="E178" t="str">
        <f>IF(A178="","",SUMIFS('PR-BOM'!$D$3:$D1001,'PR-BOM'!$C$3:$C1001,A178)*C178)</f>
        <v/>
      </c>
      <c r="F178" t="e">
        <f ca="1">_xludf.IFNA(VLOOKUP(B178,'S-FG'!$B$3:$B1001,1,FALSE),"")</f>
        <v>#NAME?</v>
      </c>
      <c r="H178" t="str">
        <f ca="1">IFERROR(__xludf.DUMMYFUNCTION("""COMPUTED_VALUE"""),"A21 MotherBoard Assy")</f>
        <v>A21 MotherBoard Assy</v>
      </c>
      <c r="I178" t="str">
        <f ca="1">IFERROR(__xludf.DUMMYFUNCTION("""COMPUTED_VALUE"""),"Red 8AWG")</f>
        <v>Red 8AWG</v>
      </c>
      <c r="J178">
        <f ca="1">IFERROR(__xludf.DUMMYFUNCTION("""COMPUTED_VALUE"""),0.25)</f>
        <v>0.25</v>
      </c>
      <c r="K178" t="str">
        <f ca="1">IFERROR(__xludf.DUMMYFUNCTION("""COMPUTED_VALUE"""),"blank")</f>
        <v>blank</v>
      </c>
      <c r="L178">
        <f t="shared" ca="1" si="0"/>
        <v>0</v>
      </c>
      <c r="Q178" t="str">
        <f>IF(N178="","",SUMIFS('PR-BOM'!$D$3:$D1001,'PR-BOM'!$C$3:$C1001,N178))</f>
        <v/>
      </c>
      <c r="S178" t="str">
        <f ca="1">IFERROR(__xludf.DUMMYFUNCTION("""COMPUTED_VALUE"""),"6mm female bullet connector")</f>
        <v>6mm female bullet connector</v>
      </c>
      <c r="X178" t="e">
        <f ca="1"/>
        <v>#NAME?</v>
      </c>
      <c r="Y178" t="e">
        <f t="shared" ca="1" si="1"/>
        <v>#NAME?</v>
      </c>
      <c r="Z178" t="e">
        <f ca="1">IF(X178="","",SUMIFS(#REF!,RM!$C$4:$C991,X178))</f>
        <v>#NAME?</v>
      </c>
      <c r="AA178" t="e">
        <f ca="1">IF(X178="","",SUMIFS(#REF!,RM!$C$4:$C991,X178))</f>
        <v>#NAME?</v>
      </c>
      <c r="AB178" t="e">
        <f ca="1">IF(X178="","",SUMIFS(IRegback!$Y$2:$Y1001,IRegback!$X$2:$X1001,X178))</f>
        <v>#NAME?</v>
      </c>
      <c r="AC178" t="e">
        <f t="shared" ca="1" si="2"/>
        <v>#NAME?</v>
      </c>
      <c r="AD178" t="e">
        <f ca="1">IF(X178="","",VLOOKUP($X178,RM!$C$4:$G991,3,FALSE))</f>
        <v>#NAME?</v>
      </c>
      <c r="AE178" t="e">
        <f ca="1">IF(X178="","",VLOOKUP($X178,RM!$C$4:$G991,4,FALSE))</f>
        <v>#NAME?</v>
      </c>
      <c r="AF178" t="e">
        <f ca="1">IF(X178="","",VLOOKUP($X178,RM!$C$4:$G991,5,FALSE))</f>
        <v>#NAME?</v>
      </c>
      <c r="AH178" t="str">
        <f ca="1">IFERROR(__xludf.DUMMYFUNCTION("""COMPUTED_VALUE"""),"Charger Box Assy")</f>
        <v>Charger Box Assy</v>
      </c>
      <c r="AI178" t="str">
        <f ca="1">IFERROR(__xludf.DUMMYFUNCTION("""COMPUTED_VALUE"""),"130x80x60 enclosure box")</f>
        <v>130x80x60 enclosure box</v>
      </c>
      <c r="AJ178">
        <f ca="1">IFERROR(__xludf.DUMMYFUNCTION("""COMPUTED_VALUE"""),1)</f>
        <v>1</v>
      </c>
      <c r="AL178" t="e">
        <f ca="1">_xludf.IFNA(VLOOKUP(AH178,'S-FG'!$B$3:$B1001,1,FALSE),"")</f>
        <v>#NAME?</v>
      </c>
      <c r="AM178" t="e">
        <f ca="1">IF(AI178="","",SUMIFS(#REF!,RM!$C$4:$C991,AI178))</f>
        <v>#REF!</v>
      </c>
    </row>
    <row r="179" spans="5:39">
      <c r="E179" t="str">
        <f>IF(A179="","",SUMIFS('PR-BOM'!$D$3:$D1001,'PR-BOM'!$C$3:$C1001,A179)*C179)</f>
        <v/>
      </c>
      <c r="F179" t="e">
        <f ca="1">_xludf.IFNA(VLOOKUP(B179,'S-FG'!$B$3:$B1001,1,FALSE),"")</f>
        <v>#NAME?</v>
      </c>
      <c r="H179" t="str">
        <f ca="1">IFERROR(__xludf.DUMMYFUNCTION("""COMPUTED_VALUE"""),"A21 MotherBoard Assy")</f>
        <v>A21 MotherBoard Assy</v>
      </c>
      <c r="I179" t="str">
        <f ca="1">IFERROR(__xludf.DUMMYFUNCTION("""COMPUTED_VALUE"""),"Red 12AWG")</f>
        <v>Red 12AWG</v>
      </c>
      <c r="J179">
        <f ca="1">IFERROR(__xludf.DUMMYFUNCTION("""COMPUTED_VALUE"""),0.5)</f>
        <v>0.5</v>
      </c>
      <c r="K179" t="str">
        <f ca="1">IFERROR(__xludf.DUMMYFUNCTION("""COMPUTED_VALUE"""),"blank")</f>
        <v>blank</v>
      </c>
      <c r="L179">
        <f t="shared" ca="1" si="0"/>
        <v>0</v>
      </c>
      <c r="Q179" t="str">
        <f>IF(N179="","",SUMIFS('PR-BOM'!$D$3:$D1001,'PR-BOM'!$C$3:$C1001,N179))</f>
        <v/>
      </c>
      <c r="S179" t="str">
        <f ca="1">IFERROR(__xludf.DUMMYFUNCTION("""COMPUTED_VALUE"""),"Red 8AWG")</f>
        <v>Red 8AWG</v>
      </c>
      <c r="X179" t="e">
        <f ca="1"/>
        <v>#NAME?</v>
      </c>
      <c r="Y179" t="e">
        <f t="shared" ca="1" si="1"/>
        <v>#NAME?</v>
      </c>
      <c r="Z179" t="e">
        <f ca="1">IF(X179="","",SUMIFS(#REF!,RM!$C$4:$C991,X179))</f>
        <v>#NAME?</v>
      </c>
      <c r="AA179" t="e">
        <f ca="1">IF(X179="","",SUMIFS(#REF!,RM!$C$4:$C991,X179))</f>
        <v>#NAME?</v>
      </c>
      <c r="AB179" t="e">
        <f ca="1">IF(X179="","",SUMIFS(IRegback!$Y$2:$Y1001,IRegback!$X$2:$X1001,X179))</f>
        <v>#NAME?</v>
      </c>
      <c r="AC179" t="e">
        <f t="shared" ca="1" si="2"/>
        <v>#NAME?</v>
      </c>
      <c r="AD179" t="e">
        <f ca="1">IF(X179="","",VLOOKUP($X179,RM!$C$4:$G991,3,FALSE))</f>
        <v>#NAME?</v>
      </c>
      <c r="AE179" t="e">
        <f ca="1">IF(X179="","",VLOOKUP($X179,RM!$C$4:$G991,4,FALSE))</f>
        <v>#NAME?</v>
      </c>
      <c r="AF179" t="e">
        <f ca="1">IF(X179="","",VLOOKUP($X179,RM!$C$4:$G991,5,FALSE))</f>
        <v>#NAME?</v>
      </c>
      <c r="AH179" t="str">
        <f ca="1">IFERROR(__xludf.DUMMYFUNCTION("""COMPUTED_VALUE"""),"Charger Box Assy")</f>
        <v>Charger Box Assy</v>
      </c>
      <c r="AI179" t="str">
        <f ca="1">IFERROR(__xludf.DUMMYFUNCTION("""COMPUTED_VALUE"""),"PG-7 Cable Gland")</f>
        <v>PG-7 Cable Gland</v>
      </c>
      <c r="AJ179">
        <f ca="1">IFERROR(__xludf.DUMMYFUNCTION("""COMPUTED_VALUE"""),2)</f>
        <v>2</v>
      </c>
      <c r="AK179" t="str">
        <f ca="1">IFERROR(__xludf.DUMMYFUNCTION("""COMPUTED_VALUE"""),"blank")</f>
        <v>blank</v>
      </c>
      <c r="AL179" t="e">
        <f ca="1">_xludf.IFNA(VLOOKUP(AH179,'S-FG'!$B$3:$B1001,1,FALSE),"")</f>
        <v>#NAME?</v>
      </c>
      <c r="AM179" t="e">
        <f ca="1">IF(AI179="","",SUMIFS(#REF!,RM!$C$4:$C991,AI179))</f>
        <v>#REF!</v>
      </c>
    </row>
    <row r="180" spans="5:39">
      <c r="E180" t="str">
        <f>IF(A180="","",SUMIFS('PR-BOM'!$D$3:$D1001,'PR-BOM'!$C$3:$C1001,A180)*C180)</f>
        <v/>
      </c>
      <c r="F180" t="e">
        <f ca="1">_xludf.IFNA(VLOOKUP(B180,'S-FG'!$B$3:$B1001,1,FALSE),"")</f>
        <v>#NAME?</v>
      </c>
      <c r="H180" t="str">
        <f ca="1">IFERROR(__xludf.DUMMYFUNCTION("""COMPUTED_VALUE"""),"A21 MotherBoard Assy")</f>
        <v>A21 MotherBoard Assy</v>
      </c>
      <c r="I180" t="str">
        <f ca="1">IFERROR(__xludf.DUMMYFUNCTION("""COMPUTED_VALUE"""),"Red 18 AWG")</f>
        <v>Red 18 AWG</v>
      </c>
      <c r="J180">
        <f ca="1">IFERROR(__xludf.DUMMYFUNCTION("""COMPUTED_VALUE"""),0.3)</f>
        <v>0.3</v>
      </c>
      <c r="K180" t="str">
        <f ca="1">IFERROR(__xludf.DUMMYFUNCTION("""COMPUTED_VALUE"""),"blank")</f>
        <v>blank</v>
      </c>
      <c r="L180">
        <f t="shared" ca="1" si="0"/>
        <v>0</v>
      </c>
      <c r="Q180" t="str">
        <f>IF(N180="","",SUMIFS('PR-BOM'!$D$3:$D1001,'PR-BOM'!$C$3:$C1001,N180))</f>
        <v/>
      </c>
      <c r="S180" t="str">
        <f ca="1">IFERROR(__xludf.DUMMYFUNCTION("""COMPUTED_VALUE"""),"Red 12AWG")</f>
        <v>Red 12AWG</v>
      </c>
      <c r="X180" t="e">
        <f ca="1"/>
        <v>#NAME?</v>
      </c>
      <c r="Y180" t="e">
        <f t="shared" ca="1" si="1"/>
        <v>#NAME?</v>
      </c>
      <c r="Z180" t="e">
        <f ca="1">IF(X180="","",SUMIFS(#REF!,RM!$C$4:$C991,X180))</f>
        <v>#NAME?</v>
      </c>
      <c r="AA180" t="e">
        <f ca="1">IF(X180="","",SUMIFS(#REF!,RM!$C$4:$C991,X180))</f>
        <v>#NAME?</v>
      </c>
      <c r="AB180" t="e">
        <f ca="1">IF(X180="","",SUMIFS(IRegback!$Y$2:$Y1001,IRegback!$X$2:$X1001,X180))</f>
        <v>#NAME?</v>
      </c>
      <c r="AC180" t="e">
        <f t="shared" ca="1" si="2"/>
        <v>#NAME?</v>
      </c>
      <c r="AD180" t="e">
        <f ca="1">IF(X180="","",VLOOKUP($X180,RM!$C$4:$G991,3,FALSE))</f>
        <v>#NAME?</v>
      </c>
      <c r="AE180" t="e">
        <f ca="1">IF(X180="","",VLOOKUP($X180,RM!$C$4:$G991,4,FALSE))</f>
        <v>#NAME?</v>
      </c>
      <c r="AF180" t="e">
        <f ca="1">IF(X180="","",VLOOKUP($X180,RM!$C$4:$G991,5,FALSE))</f>
        <v>#NAME?</v>
      </c>
      <c r="AH180" t="str">
        <f ca="1">IFERROR(__xludf.DUMMYFUNCTION("""COMPUTED_VALUE"""),"Charger Box Assy")</f>
        <v>Charger Box Assy</v>
      </c>
      <c r="AI180" t="str">
        <f ca="1">IFERROR(__xludf.DUMMYFUNCTION("""COMPUTED_VALUE"""),"PG-11 Cable Gland")</f>
        <v>PG-11 Cable Gland</v>
      </c>
      <c r="AJ180">
        <f ca="1">IFERROR(__xludf.DUMMYFUNCTION("""COMPUTED_VALUE"""),2)</f>
        <v>2</v>
      </c>
      <c r="AK180" t="str">
        <f ca="1">IFERROR(__xludf.DUMMYFUNCTION("""COMPUTED_VALUE"""),"blank")</f>
        <v>blank</v>
      </c>
      <c r="AL180" t="e">
        <f ca="1">_xludf.IFNA(VLOOKUP(AH180,'S-FG'!$B$3:$B1001,1,FALSE),"")</f>
        <v>#NAME?</v>
      </c>
      <c r="AM180" t="e">
        <f ca="1">IF(AI180="","",SUMIFS(#REF!,RM!$C$4:$C991,AI180))</f>
        <v>#REF!</v>
      </c>
    </row>
    <row r="181" spans="5:39">
      <c r="E181" t="str">
        <f>IF(A181="","",SUMIFS('PR-BOM'!$D$3:$D1001,'PR-BOM'!$C$3:$C1001,A181)*C181)</f>
        <v/>
      </c>
      <c r="F181" t="e">
        <f ca="1">_xludf.IFNA(VLOOKUP(B181,'S-FG'!$B$3:$B1001,1,FALSE),"")</f>
        <v>#NAME?</v>
      </c>
      <c r="H181" t="str">
        <f ca="1">IFERROR(__xludf.DUMMYFUNCTION("""COMPUTED_VALUE"""),"A21 MotherBoard Assy")</f>
        <v>A21 MotherBoard Assy</v>
      </c>
      <c r="I181" t="str">
        <f ca="1">IFERROR(__xludf.DUMMYFUNCTION("""COMPUTED_VALUE"""),"Buck converter XL7015 50v")</f>
        <v>Buck converter XL7015 50v</v>
      </c>
      <c r="J181">
        <f ca="1">IFERROR(__xludf.DUMMYFUNCTION("""COMPUTED_VALUE"""),2)</f>
        <v>2</v>
      </c>
      <c r="K181" t="str">
        <f ca="1">IFERROR(__xludf.DUMMYFUNCTION("""COMPUTED_VALUE"""),"blank")</f>
        <v>blank</v>
      </c>
      <c r="L181">
        <f t="shared" ca="1" si="0"/>
        <v>0</v>
      </c>
      <c r="Q181" t="str">
        <f>IF(N181="","",SUMIFS('PR-BOM'!$D$3:$D1001,'PR-BOM'!$C$3:$C1001,N181))</f>
        <v/>
      </c>
      <c r="S181" t="str">
        <f ca="1">IFERROR(__xludf.DUMMYFUNCTION("""COMPUTED_VALUE"""),"Red 18 AWG")</f>
        <v>Red 18 AWG</v>
      </c>
      <c r="X181" t="e">
        <f ca="1"/>
        <v>#NAME?</v>
      </c>
      <c r="Y181" t="e">
        <f t="shared" ca="1" si="1"/>
        <v>#NAME?</v>
      </c>
      <c r="Z181" t="e">
        <f ca="1">IF(X181="","",SUMIFS(#REF!,RM!$C$4:$C991,X181))</f>
        <v>#NAME?</v>
      </c>
      <c r="AA181" t="e">
        <f ca="1">IF(X181="","",SUMIFS(#REF!,RM!$C$4:$C991,X181))</f>
        <v>#NAME?</v>
      </c>
      <c r="AB181" t="e">
        <f ca="1">IF(X181="","",SUMIFS(IRegback!$Y$2:$Y1001,IRegback!$X$2:$X1001,X181))</f>
        <v>#NAME?</v>
      </c>
      <c r="AC181" t="e">
        <f t="shared" ca="1" si="2"/>
        <v>#NAME?</v>
      </c>
      <c r="AD181" t="e">
        <f ca="1">IF(X181="","",VLOOKUP($X181,RM!$C$4:$G991,3,FALSE))</f>
        <v>#NAME?</v>
      </c>
      <c r="AE181" t="e">
        <f ca="1">IF(X181="","",VLOOKUP($X181,RM!$C$4:$G991,4,FALSE))</f>
        <v>#NAME?</v>
      </c>
      <c r="AF181" t="e">
        <f ca="1">IF(X181="","",VLOOKUP($X181,RM!$C$4:$G991,5,FALSE))</f>
        <v>#NAME?</v>
      </c>
      <c r="AH181" t="str">
        <f ca="1">IFERROR(__xludf.DUMMYFUNCTION("""COMPUTED_VALUE"""),"Charger Box Assy")</f>
        <v>Charger Box Assy</v>
      </c>
      <c r="AI181" t="str">
        <f ca="1">IFERROR(__xludf.DUMMYFUNCTION("""COMPUTED_VALUE"""),"Teroson MS930")</f>
        <v>Teroson MS930</v>
      </c>
      <c r="AJ181">
        <f ca="1">IFERROR(__xludf.DUMMYFUNCTION("""COMPUTED_VALUE"""),10)</f>
        <v>10</v>
      </c>
      <c r="AK181" t="str">
        <f ca="1">IFERROR(__xludf.DUMMYFUNCTION("""COMPUTED_VALUE"""),"blank")</f>
        <v>blank</v>
      </c>
      <c r="AL181" t="e">
        <f ca="1">_xludf.IFNA(VLOOKUP(AH181,'S-FG'!$B$3:$B1001,1,FALSE),"")</f>
        <v>#NAME?</v>
      </c>
      <c r="AM181" t="e">
        <f ca="1">IF(AI181="","",SUMIFS(#REF!,RM!$C$4:$C991,AI181))</f>
        <v>#REF!</v>
      </c>
    </row>
    <row r="182" spans="5:39">
      <c r="E182" t="str">
        <f>IF(A182="","",SUMIFS('PR-BOM'!$D$3:$D1001,'PR-BOM'!$C$3:$C1001,A182)*C182)</f>
        <v/>
      </c>
      <c r="F182" t="e">
        <f ca="1">_xludf.IFNA(VLOOKUP(B182,'S-FG'!$B$3:$B1001,1,FALSE),"")</f>
        <v>#NAME?</v>
      </c>
      <c r="H182" t="str">
        <f ca="1">IFERROR(__xludf.DUMMYFUNCTION("""COMPUTED_VALUE"""),"A21 MotherBoard Assy")</f>
        <v>A21 MotherBoard Assy</v>
      </c>
      <c r="I182" t="str">
        <f ca="1">IFERROR(__xludf.DUMMYFUNCTION("""COMPUTED_VALUE"""),"LM2596HW for PC")</f>
        <v>LM2596HW for PC</v>
      </c>
      <c r="J182">
        <f ca="1">IFERROR(__xludf.DUMMYFUNCTION("""COMPUTED_VALUE"""),1)</f>
        <v>1</v>
      </c>
      <c r="K182" t="str">
        <f ca="1">IFERROR(__xludf.DUMMYFUNCTION("""COMPUTED_VALUE"""),"blank")</f>
        <v>blank</v>
      </c>
      <c r="L182">
        <f t="shared" ca="1" si="0"/>
        <v>0</v>
      </c>
      <c r="Q182" t="str">
        <f>IF(N182="","",SUMIFS('PR-BOM'!$D$3:$D1001,'PR-BOM'!$C$3:$C1001,N182))</f>
        <v/>
      </c>
      <c r="S182" t="str">
        <f ca="1">IFERROR(__xludf.DUMMYFUNCTION("""COMPUTED_VALUE"""),"Buck converter XL7015 50v")</f>
        <v>Buck converter XL7015 50v</v>
      </c>
      <c r="X182" t="e">
        <f ca="1"/>
        <v>#NAME?</v>
      </c>
      <c r="Y182" t="e">
        <f t="shared" ca="1" si="1"/>
        <v>#NAME?</v>
      </c>
      <c r="Z182" t="e">
        <f ca="1">IF(X182="","",SUMIFS(#REF!,RM!$C$4:$C991,X182))</f>
        <v>#NAME?</v>
      </c>
      <c r="AA182" t="e">
        <f ca="1">IF(X182="","",SUMIFS(#REF!,RM!$C$4:$C991,X182))</f>
        <v>#NAME?</v>
      </c>
      <c r="AB182" t="e">
        <f ca="1">IF(X182="","",SUMIFS(IRegback!$Y$2:$Y1001,IRegback!$X$2:$X1001,X182))</f>
        <v>#NAME?</v>
      </c>
      <c r="AC182" t="e">
        <f t="shared" ca="1" si="2"/>
        <v>#NAME?</v>
      </c>
      <c r="AD182" t="e">
        <f ca="1">IF(X182="","",VLOOKUP($X182,RM!$C$4:$G991,3,FALSE))</f>
        <v>#NAME?</v>
      </c>
      <c r="AE182" t="e">
        <f ca="1">IF(X182="","",VLOOKUP($X182,RM!$C$4:$G991,4,FALSE))</f>
        <v>#NAME?</v>
      </c>
      <c r="AF182" t="e">
        <f ca="1">IF(X182="","",VLOOKUP($X182,RM!$C$4:$G991,5,FALSE))</f>
        <v>#NAME?</v>
      </c>
      <c r="AH182" t="str">
        <f ca="1">IFERROR(__xludf.DUMMYFUNCTION("""COMPUTED_VALUE"""),"Charger Box Assy")</f>
        <v>Charger Box Assy</v>
      </c>
      <c r="AI182" t="str">
        <f ca="1">IFERROR(__xludf.DUMMYFUNCTION("""COMPUTED_VALUE"""),"Red 18 AWG")</f>
        <v>Red 18 AWG</v>
      </c>
      <c r="AJ182">
        <f ca="1">IFERROR(__xludf.DUMMYFUNCTION("""COMPUTED_VALUE"""),0.25)</f>
        <v>0.25</v>
      </c>
      <c r="AK182" t="str">
        <f ca="1">IFERROR(__xludf.DUMMYFUNCTION("""COMPUTED_VALUE"""),"blank")</f>
        <v>blank</v>
      </c>
      <c r="AL182" t="e">
        <f ca="1">_xludf.IFNA(VLOOKUP(AH182,'S-FG'!$B$3:$B1001,1,FALSE),"")</f>
        <v>#NAME?</v>
      </c>
      <c r="AM182" t="e">
        <f ca="1">IF(AI182="","",SUMIFS(#REF!,RM!$C$4:$C991,AI182))</f>
        <v>#REF!</v>
      </c>
    </row>
    <row r="183" spans="5:39">
      <c r="E183" t="str">
        <f>IF(A183="","",SUMIFS('PR-BOM'!$D$3:$D1001,'PR-BOM'!$C$3:$C1001,A183)*C183)</f>
        <v/>
      </c>
      <c r="F183" t="e">
        <f ca="1">_xludf.IFNA(VLOOKUP(B183,'S-FG'!$B$3:$B1001,1,FALSE),"")</f>
        <v>#NAME?</v>
      </c>
      <c r="H183" t="str">
        <f ca="1">IFERROR(__xludf.DUMMYFUNCTION("""COMPUTED_VALUE"""),"A21 MotherBoard Assy")</f>
        <v>A21 MotherBoard Assy</v>
      </c>
      <c r="I183" t="str">
        <f ca="1">IFERROR(__xludf.DUMMYFUNCTION("""COMPUTED_VALUE"""),"PWB of Motherboard")</f>
        <v>PWB of Motherboard</v>
      </c>
      <c r="J183">
        <f ca="1">IFERROR(__xludf.DUMMYFUNCTION("""COMPUTED_VALUE"""),1)</f>
        <v>1</v>
      </c>
      <c r="K183" t="str">
        <f ca="1">IFERROR(__xludf.DUMMYFUNCTION("""COMPUTED_VALUE"""),"blank")</f>
        <v>blank</v>
      </c>
      <c r="L183">
        <f t="shared" ca="1" si="0"/>
        <v>0</v>
      </c>
      <c r="Q183" t="str">
        <f>IF(N183="","",SUMIFS('PR-BOM'!$D$3:$D1001,'PR-BOM'!$C$3:$C1001,N183))</f>
        <v/>
      </c>
      <c r="S183" t="str">
        <f ca="1">IFERROR(__xludf.DUMMYFUNCTION("""COMPUTED_VALUE"""),"LM2596HW for PC")</f>
        <v>LM2596HW for PC</v>
      </c>
      <c r="X183" t="e">
        <f ca="1"/>
        <v>#NAME?</v>
      </c>
      <c r="Y183" t="e">
        <f t="shared" ca="1" si="1"/>
        <v>#NAME?</v>
      </c>
      <c r="Z183" t="e">
        <f ca="1">IF(X183="","",SUMIFS(#REF!,RM!$C$4:$C991,X183))</f>
        <v>#NAME?</v>
      </c>
      <c r="AA183" t="e">
        <f ca="1">IF(X183="","",SUMIFS(#REF!,RM!$C$4:$C991,X183))</f>
        <v>#NAME?</v>
      </c>
      <c r="AB183" t="e">
        <f ca="1">IF(X183="","",SUMIFS(IRegback!$Y$2:$Y1001,IRegback!$X$2:$X1001,X183))</f>
        <v>#NAME?</v>
      </c>
      <c r="AC183" t="e">
        <f t="shared" ca="1" si="2"/>
        <v>#NAME?</v>
      </c>
      <c r="AD183" t="e">
        <f ca="1">IF(X183="","",VLOOKUP($X183,RM!$C$4:$G991,3,FALSE))</f>
        <v>#NAME?</v>
      </c>
      <c r="AE183" t="e">
        <f ca="1">IF(X183="","",VLOOKUP($X183,RM!$C$4:$G991,4,FALSE))</f>
        <v>#NAME?</v>
      </c>
      <c r="AF183" t="e">
        <f ca="1">IF(X183="","",VLOOKUP($X183,RM!$C$4:$G991,5,FALSE))</f>
        <v>#NAME?</v>
      </c>
      <c r="AH183" t="str">
        <f ca="1">IFERROR(__xludf.DUMMYFUNCTION("""COMPUTED_VALUE"""),"Charger Box Assy")</f>
        <v>Charger Box Assy</v>
      </c>
      <c r="AI183" t="str">
        <f ca="1">IFERROR(__xludf.DUMMYFUNCTION("""COMPUTED_VALUE"""),"Black 18 AWG")</f>
        <v>Black 18 AWG</v>
      </c>
      <c r="AJ183">
        <f ca="1">IFERROR(__xludf.DUMMYFUNCTION("""COMPUTED_VALUE"""),0.25)</f>
        <v>0.25</v>
      </c>
      <c r="AK183" t="str">
        <f ca="1">IFERROR(__xludf.DUMMYFUNCTION("""COMPUTED_VALUE"""),"blank")</f>
        <v>blank</v>
      </c>
      <c r="AL183" t="e">
        <f ca="1">_xludf.IFNA(VLOOKUP(AH183,'S-FG'!$B$3:$B1001,1,FALSE),"")</f>
        <v>#NAME?</v>
      </c>
      <c r="AM183" t="e">
        <f ca="1">IF(AI183="","",SUMIFS(#REF!,RM!$C$4:$C991,AI183))</f>
        <v>#REF!</v>
      </c>
    </row>
    <row r="184" spans="5:39">
      <c r="E184" t="str">
        <f>IF(A184="","",SUMIFS('PR-BOM'!$D$3:$D1001,'PR-BOM'!$C$3:$C1001,A184)*C184)</f>
        <v/>
      </c>
      <c r="F184" t="e">
        <f ca="1">_xludf.IFNA(VLOOKUP(B184,'S-FG'!$B$3:$B1001,1,FALSE),"")</f>
        <v>#NAME?</v>
      </c>
      <c r="H184" t="str">
        <f ca="1">IFERROR(__xludf.DUMMYFUNCTION("""COMPUTED_VALUE"""),"A21 MotherBoard Assy")</f>
        <v>A21 MotherBoard Assy</v>
      </c>
      <c r="I184" t="str">
        <f ca="1">IFERROR(__xludf.DUMMYFUNCTION("""COMPUTED_VALUE"""),"Lead paste")</f>
        <v>Lead paste</v>
      </c>
      <c r="J184">
        <f ca="1">IFERROR(__xludf.DUMMYFUNCTION("""COMPUTED_VALUE"""),10)</f>
        <v>10</v>
      </c>
      <c r="L184">
        <f t="shared" ca="1" si="0"/>
        <v>0</v>
      </c>
      <c r="Q184" t="str">
        <f>IF(N184="","",SUMIFS('PR-BOM'!$D$3:$D1001,'PR-BOM'!$C$3:$C1001,N184))</f>
        <v/>
      </c>
      <c r="S184" t="str">
        <f ca="1">IFERROR(__xludf.DUMMYFUNCTION("""COMPUTED_VALUE"""),"PWB of Motherboard")</f>
        <v>PWB of Motherboard</v>
      </c>
      <c r="X184" t="e">
        <f ca="1"/>
        <v>#NAME?</v>
      </c>
      <c r="Y184" t="e">
        <f t="shared" ca="1" si="1"/>
        <v>#NAME?</v>
      </c>
      <c r="Z184" t="e">
        <f ca="1">IF(X184="","",SUMIFS(#REF!,RM!$C$4:$C991,X184))</f>
        <v>#NAME?</v>
      </c>
      <c r="AA184" t="e">
        <f ca="1">IF(X184="","",SUMIFS(#REF!,RM!$C$4:$C991,X184))</f>
        <v>#NAME?</v>
      </c>
      <c r="AB184" t="e">
        <f ca="1">IF(X184="","",SUMIFS(IRegback!$Y$2:$Y1001,IRegback!$X$2:$X1001,X184))</f>
        <v>#NAME?</v>
      </c>
      <c r="AC184" t="e">
        <f t="shared" ca="1" si="2"/>
        <v>#NAME?</v>
      </c>
      <c r="AD184" t="e">
        <f ca="1">IF(X184="","",VLOOKUP($X184,RM!$C$4:$G991,3,FALSE))</f>
        <v>#NAME?</v>
      </c>
      <c r="AE184" t="e">
        <f ca="1">IF(X184="","",VLOOKUP($X184,RM!$C$4:$G991,4,FALSE))</f>
        <v>#NAME?</v>
      </c>
      <c r="AF184" t="e">
        <f ca="1">IF(X184="","",VLOOKUP($X184,RM!$C$4:$G991,5,FALSE))</f>
        <v>#NAME?</v>
      </c>
      <c r="AH184" t="str">
        <f ca="1">IFERROR(__xludf.DUMMYFUNCTION("""COMPUTED_VALUE"""),"Charging CM Assy")</f>
        <v>Charging CM Assy</v>
      </c>
      <c r="AI184" t="str">
        <f ca="1">IFERROR(__xludf.DUMMYFUNCTION("""COMPUTED_VALUE"""),"Lead wire 22AWG")</f>
        <v>Lead wire 22AWG</v>
      </c>
      <c r="AJ184">
        <f ca="1">IFERROR(__xludf.DUMMYFUNCTION("""COMPUTED_VALUE"""),10)</f>
        <v>10</v>
      </c>
      <c r="AL184" t="e">
        <f ca="1">_xludf.IFNA(VLOOKUP(AH184,'S-FG'!$B$3:$B1001,1,FALSE),"")</f>
        <v>#NAME?</v>
      </c>
      <c r="AM184" t="e">
        <f ca="1">IF(AI184="","",SUMIFS(#REF!,RM!$C$4:$C991,AI184))</f>
        <v>#REF!</v>
      </c>
    </row>
    <row r="185" spans="5:39">
      <c r="E185" t="str">
        <f>IF(A185="","",SUMIFS('PR-BOM'!$D$3:$D1001,'PR-BOM'!$C$3:$C1001,A185)*C185)</f>
        <v/>
      </c>
      <c r="F185" t="e">
        <f ca="1">_xludf.IFNA(VLOOKUP(B185,'S-FG'!$B$3:$B1001,1,FALSE),"")</f>
        <v>#NAME?</v>
      </c>
      <c r="H185" t="str">
        <f ca="1">IFERROR(__xludf.DUMMYFUNCTION("""COMPUTED_VALUE"""),"A21 MotherBoard Assy")</f>
        <v>A21 MotherBoard Assy</v>
      </c>
      <c r="I185" t="str">
        <f ca="1">IFERROR(__xludf.DUMMYFUNCTION("""COMPUTED_VALUE"""),"Lead wire 22AWG")</f>
        <v>Lead wire 22AWG</v>
      </c>
      <c r="J185">
        <f ca="1">IFERROR(__xludf.DUMMYFUNCTION("""COMPUTED_VALUE"""),10)</f>
        <v>10</v>
      </c>
      <c r="L185">
        <f t="shared" ca="1" si="0"/>
        <v>0</v>
      </c>
      <c r="Q185" t="str">
        <f>IF(N185="","",SUMIFS('PR-BOM'!$D$3:$D1001,'PR-BOM'!$C$3:$C1001,N185))</f>
        <v/>
      </c>
      <c r="S185" t="str">
        <f ca="1">IFERROR(__xludf.DUMMYFUNCTION("""COMPUTED_VALUE"""),"Lead paste")</f>
        <v>Lead paste</v>
      </c>
      <c r="X185" t="e">
        <f ca="1"/>
        <v>#NAME?</v>
      </c>
      <c r="Y185" t="e">
        <f t="shared" ca="1" si="1"/>
        <v>#NAME?</v>
      </c>
      <c r="Z185" t="e">
        <f ca="1">IF(X185="","",SUMIFS(#REF!,RM!$C$4:$C991,X185))</f>
        <v>#NAME?</v>
      </c>
      <c r="AA185" t="e">
        <f ca="1">IF(X185="","",SUMIFS(#REF!,RM!$C$4:$C991,X185))</f>
        <v>#NAME?</v>
      </c>
      <c r="AB185" t="e">
        <f ca="1">IF(X185="","",SUMIFS(IRegback!$Y$2:$Y1001,IRegback!$X$2:$X1001,X185))</f>
        <v>#NAME?</v>
      </c>
      <c r="AC185" t="e">
        <f t="shared" ca="1" si="2"/>
        <v>#NAME?</v>
      </c>
      <c r="AD185" t="e">
        <f ca="1">IF(X185="","",VLOOKUP($X185,RM!$C$4:$G991,3,FALSE))</f>
        <v>#NAME?</v>
      </c>
      <c r="AE185" t="e">
        <f ca="1">IF(X185="","",VLOOKUP($X185,RM!$C$4:$G991,4,FALSE))</f>
        <v>#NAME?</v>
      </c>
      <c r="AF185" t="e">
        <f ca="1">IF(X185="","",VLOOKUP($X185,RM!$C$4:$G991,5,FALSE))</f>
        <v>#NAME?</v>
      </c>
      <c r="AH185" t="str">
        <f ca="1">IFERROR(__xludf.DUMMYFUNCTION("""COMPUTED_VALUE"""),"Charging CM Assy")</f>
        <v>Charging CM Assy</v>
      </c>
      <c r="AI185" t="str">
        <f ca="1">IFERROR(__xludf.DUMMYFUNCTION("""COMPUTED_VALUE"""),"Soldering flux")</f>
        <v>Soldering flux</v>
      </c>
      <c r="AJ185">
        <f ca="1">IFERROR(__xludf.DUMMYFUNCTION("""COMPUTED_VALUE"""),1)</f>
        <v>1</v>
      </c>
      <c r="AL185" t="e">
        <f ca="1">_xludf.IFNA(VLOOKUP(AH185,'S-FG'!$B$3:$B1001,1,FALSE),"")</f>
        <v>#NAME?</v>
      </c>
      <c r="AM185" t="e">
        <f ca="1">IF(AI185="","",SUMIFS(#REF!,RM!$C$4:$C991,AI185))</f>
        <v>#REF!</v>
      </c>
    </row>
    <row r="186" spans="5:39">
      <c r="E186" t="str">
        <f>IF(A186="","",SUMIFS('PR-BOM'!$D$3:$D1001,'PR-BOM'!$C$3:$C1001,A186)*C186)</f>
        <v/>
      </c>
      <c r="F186" t="e">
        <f ca="1">_xludf.IFNA(VLOOKUP(B186,'S-FG'!$B$3:$B1001,1,FALSE),"")</f>
        <v>#NAME?</v>
      </c>
      <c r="H186" t="str">
        <f ca="1">IFERROR(__xludf.DUMMYFUNCTION("""COMPUTED_VALUE"""),"A21 MotherBoard Assy")</f>
        <v>A21 MotherBoard Assy</v>
      </c>
      <c r="I186" t="str">
        <f ca="1">IFERROR(__xludf.DUMMYFUNCTION("""COMPUTED_VALUE"""),"LED 0805 SMD")</f>
        <v>LED 0805 SMD</v>
      </c>
      <c r="J186">
        <f ca="1">IFERROR(__xludf.DUMMYFUNCTION("""COMPUTED_VALUE"""),1)</f>
        <v>1</v>
      </c>
      <c r="K186" t="str">
        <f ca="1">IFERROR(__xludf.DUMMYFUNCTION("""COMPUTED_VALUE"""),"KPTD-2012LVSURCK")</f>
        <v>KPTD-2012LVSURCK</v>
      </c>
      <c r="L186">
        <f t="shared" ca="1" si="0"/>
        <v>0</v>
      </c>
      <c r="Q186" t="str">
        <f>IF(N186="","",SUMIFS('PR-BOM'!$D$3:$D1001,'PR-BOM'!$C$3:$C1001,N186))</f>
        <v/>
      </c>
      <c r="S186" t="str">
        <f ca="1">IFERROR(__xludf.DUMMYFUNCTION("""COMPUTED_VALUE"""),"Lead wire 22AWG")</f>
        <v>Lead wire 22AWG</v>
      </c>
      <c r="X186" t="e">
        <f ca="1"/>
        <v>#NAME?</v>
      </c>
      <c r="Y186" t="e">
        <f t="shared" ca="1" si="1"/>
        <v>#NAME?</v>
      </c>
      <c r="Z186" t="e">
        <f ca="1">IF(X186="","",SUMIFS(#REF!,RM!$C$4:$C991,X186))</f>
        <v>#NAME?</v>
      </c>
      <c r="AA186" t="e">
        <f ca="1">IF(X186="","",SUMIFS(#REF!,RM!$C$4:$C991,X186))</f>
        <v>#NAME?</v>
      </c>
      <c r="AB186" t="e">
        <f ca="1">IF(X186="","",SUMIFS(IRegback!$Y$2:$Y1001,IRegback!$X$2:$X1001,X186))</f>
        <v>#NAME?</v>
      </c>
      <c r="AC186" t="e">
        <f t="shared" ca="1" si="2"/>
        <v>#NAME?</v>
      </c>
      <c r="AD186" t="e">
        <f ca="1">IF(X186="","",VLOOKUP($X186,RM!$C$4:$G991,3,FALSE))</f>
        <v>#NAME?</v>
      </c>
      <c r="AE186" t="e">
        <f ca="1">IF(X186="","",VLOOKUP($X186,RM!$C$4:$G991,4,FALSE))</f>
        <v>#NAME?</v>
      </c>
      <c r="AF186" t="e">
        <f ca="1">IF(X186="","",VLOOKUP($X186,RM!$C$4:$G991,5,FALSE))</f>
        <v>#NAME?</v>
      </c>
      <c r="AH186" t="str">
        <f ca="1">IFERROR(__xludf.DUMMYFUNCTION("""COMPUTED_VALUE"""),"Charging CM Assy")</f>
        <v>Charging CM Assy</v>
      </c>
      <c r="AI186" t="str">
        <f ca="1">IFERROR(__xludf.DUMMYFUNCTION("""COMPUTED_VALUE"""),"20Core Wire 14/38")</f>
        <v>20Core Wire 14/38</v>
      </c>
      <c r="AJ186">
        <f ca="1">IFERROR(__xludf.DUMMYFUNCTION("""COMPUTED_VALUE"""),1.5)</f>
        <v>1.5</v>
      </c>
      <c r="AK186" t="str">
        <f ca="1">IFERROR(__xludf.DUMMYFUNCTION("""COMPUTED_VALUE"""),"blank")</f>
        <v>blank</v>
      </c>
      <c r="AL186" t="e">
        <f ca="1">_xludf.IFNA(VLOOKUP(AH186,'S-FG'!$B$3:$B1001,1,FALSE),"")</f>
        <v>#NAME?</v>
      </c>
      <c r="AM186" t="e">
        <f ca="1">IF(AI186="","",SUMIFS(#REF!,RM!$C$4:$C991,AI186))</f>
        <v>#REF!</v>
      </c>
    </row>
    <row r="187" spans="5:39">
      <c r="E187" t="str">
        <f>IF(A187="","",SUMIFS('PR-BOM'!$D$3:$D1001,'PR-BOM'!$C$3:$C1001,A187)*C187)</f>
        <v/>
      </c>
      <c r="F187" t="e">
        <f ca="1">_xludf.IFNA(VLOOKUP(B187,'S-FG'!$B$3:$B1001,1,FALSE),"")</f>
        <v>#NAME?</v>
      </c>
      <c r="H187" t="str">
        <f ca="1">IFERROR(__xludf.DUMMYFUNCTION("""COMPUTED_VALUE"""),"A21 MotherBoard Assy")</f>
        <v>A21 MotherBoard Assy</v>
      </c>
      <c r="I187" t="str">
        <f ca="1">IFERROR(__xludf.DUMMYFUNCTION("""COMPUTED_VALUE"""),"18pF 0805 capacitor")</f>
        <v>18pF 0805 capacitor</v>
      </c>
      <c r="J187">
        <f ca="1">IFERROR(__xludf.DUMMYFUNCTION("""COMPUTED_VALUE"""),4)</f>
        <v>4</v>
      </c>
      <c r="K187" t="str">
        <f ca="1">IFERROR(__xludf.DUMMYFUNCTION("""COMPUTED_VALUE"""),"MC0805N180J500CT")</f>
        <v>MC0805N180J500CT</v>
      </c>
      <c r="L187">
        <f t="shared" ca="1" si="0"/>
        <v>0</v>
      </c>
      <c r="Q187" t="str">
        <f>IF(N187="","",SUMIFS('PR-BOM'!$D$3:$D1001,'PR-BOM'!$C$3:$C1001,N187))</f>
        <v/>
      </c>
      <c r="S187" t="str">
        <f ca="1">IFERROR(__xludf.DUMMYFUNCTION("""COMPUTED_VALUE"""),"LED 0805 SMD")</f>
        <v>LED 0805 SMD</v>
      </c>
      <c r="X187" t="e">
        <f ca="1"/>
        <v>#NAME?</v>
      </c>
      <c r="Y187" t="e">
        <f t="shared" ca="1" si="1"/>
        <v>#NAME?</v>
      </c>
      <c r="Z187" t="e">
        <f ca="1">IF(X187="","",SUMIFS(#REF!,RM!$C$4:$C991,X187))</f>
        <v>#NAME?</v>
      </c>
      <c r="AA187" t="e">
        <f ca="1">IF(X187="","",SUMIFS(#REF!,RM!$C$4:$C991,X187))</f>
        <v>#NAME?</v>
      </c>
      <c r="AB187" t="e">
        <f ca="1">IF(X187="","",SUMIFS(IRegback!$Y$2:$Y1001,IRegback!$X$2:$X1001,X187))</f>
        <v>#NAME?</v>
      </c>
      <c r="AC187" t="e">
        <f t="shared" ca="1" si="2"/>
        <v>#NAME?</v>
      </c>
      <c r="AD187" t="e">
        <f ca="1">IF(X187="","",VLOOKUP($X187,RM!$C$4:$G991,3,FALSE))</f>
        <v>#NAME?</v>
      </c>
      <c r="AE187" t="e">
        <f ca="1">IF(X187="","",VLOOKUP($X187,RM!$C$4:$G991,4,FALSE))</f>
        <v>#NAME?</v>
      </c>
      <c r="AF187" t="e">
        <f ca="1">IF(X187="","",VLOOKUP($X187,RM!$C$4:$G991,5,FALSE))</f>
        <v>#NAME?</v>
      </c>
      <c r="AH187" t="str">
        <f ca="1">IFERROR(__xludf.DUMMYFUNCTION("""COMPUTED_VALUE"""),"Charging CM Assy")</f>
        <v>Charging CM Assy</v>
      </c>
      <c r="AI187" t="str">
        <f ca="1">IFERROR(__xludf.DUMMYFUNCTION("""COMPUTED_VALUE"""),"WY-28 Metal connector CM")</f>
        <v>WY-28 Metal connector CM</v>
      </c>
      <c r="AJ187">
        <f ca="1">IFERROR(__xludf.DUMMYFUNCTION("""COMPUTED_VALUE"""),1)</f>
        <v>1</v>
      </c>
      <c r="AK187" t="str">
        <f ca="1">IFERROR(__xludf.DUMMYFUNCTION("""COMPUTED_VALUE"""),"blank")</f>
        <v>blank</v>
      </c>
      <c r="AL187" t="e">
        <f ca="1">_xludf.IFNA(VLOOKUP(AH187,'S-FG'!$B$3:$B1001,1,FALSE),"")</f>
        <v>#NAME?</v>
      </c>
      <c r="AM187" t="e">
        <f ca="1">IF(AI187="","",SUMIFS(#REF!,RM!$C$4:$C991,AI187))</f>
        <v>#REF!</v>
      </c>
    </row>
    <row r="188" spans="5:39">
      <c r="E188" t="str">
        <f>IF(A188="","",SUMIFS('PR-BOM'!$D$3:$D1001,'PR-BOM'!$C$3:$C1001,A188)*C188)</f>
        <v/>
      </c>
      <c r="F188" t="e">
        <f ca="1">_xludf.IFNA(VLOOKUP(B188,'S-FG'!$B$3:$B1001,1,FALSE),"")</f>
        <v>#NAME?</v>
      </c>
      <c r="H188" t="str">
        <f ca="1">IFERROR(__xludf.DUMMYFUNCTION("""COMPUTED_VALUE"""),"A21 MotherBoard Assy")</f>
        <v>A21 MotherBoard Assy</v>
      </c>
      <c r="I188" t="str">
        <f ca="1">IFERROR(__xludf.DUMMYFUNCTION("""COMPUTED_VALUE"""),"10uF 10v Tantalum Capacitor Case A")</f>
        <v>10uF 10v Tantalum Capacitor Case A</v>
      </c>
      <c r="J188">
        <f ca="1">IFERROR(__xludf.DUMMYFUNCTION("""COMPUTED_VALUE"""),3)</f>
        <v>3</v>
      </c>
      <c r="K188" t="str">
        <f ca="1">IFERROR(__xludf.DUMMYFUNCTION("""COMPUTED_VALUE"""),"T491A106K010AT")</f>
        <v>T491A106K010AT</v>
      </c>
      <c r="L188">
        <f t="shared" ca="1" si="0"/>
        <v>0</v>
      </c>
      <c r="Q188" t="str">
        <f>IF(N188="","",SUMIFS('PR-BOM'!$D$3:$D1001,'PR-BOM'!$C$3:$C1001,N188))</f>
        <v/>
      </c>
      <c r="S188" t="str">
        <f ca="1">IFERROR(__xludf.DUMMYFUNCTION("""COMPUTED_VALUE"""),"18pF 0805 capacitor")</f>
        <v>18pF 0805 capacitor</v>
      </c>
      <c r="X188" t="e">
        <f ca="1"/>
        <v>#NAME?</v>
      </c>
      <c r="Y188" t="e">
        <f t="shared" ca="1" si="1"/>
        <v>#NAME?</v>
      </c>
      <c r="Z188" t="e">
        <f ca="1">IF(X188="","",SUMIFS(#REF!,RM!$C$4:$C991,X188))</f>
        <v>#NAME?</v>
      </c>
      <c r="AA188" t="e">
        <f ca="1">IF(X188="","",SUMIFS(#REF!,RM!$C$4:$C991,X188))</f>
        <v>#NAME?</v>
      </c>
      <c r="AB188" t="e">
        <f ca="1">IF(X188="","",SUMIFS(IRegback!$Y$2:$Y1001,IRegback!$X$2:$X1001,X188))</f>
        <v>#NAME?</v>
      </c>
      <c r="AC188" t="e">
        <f t="shared" ca="1" si="2"/>
        <v>#NAME?</v>
      </c>
      <c r="AD188" t="e">
        <f ca="1">IF(X188="","",VLOOKUP($X188,RM!$C$4:$G991,3,FALSE))</f>
        <v>#NAME?</v>
      </c>
      <c r="AE188" t="e">
        <f ca="1">IF(X188="","",VLOOKUP($X188,RM!$C$4:$G991,4,FALSE))</f>
        <v>#NAME?</v>
      </c>
      <c r="AF188" t="e">
        <f ca="1">IF(X188="","",VLOOKUP($X188,RM!$C$4:$G991,5,FALSE))</f>
        <v>#NAME?</v>
      </c>
      <c r="AH188" t="str">
        <f ca="1">IFERROR(__xludf.DUMMYFUNCTION("""COMPUTED_VALUE"""),"RPM Sensor Assy")</f>
        <v>RPM Sensor Assy</v>
      </c>
      <c r="AI188" t="str">
        <f ca="1">IFERROR(__xludf.DUMMYFUNCTION("""COMPUTED_VALUE"""),"PWB of RPM Sensor")</f>
        <v>PWB of RPM Sensor</v>
      </c>
      <c r="AJ188">
        <f ca="1">IFERROR(__xludf.DUMMYFUNCTION("""COMPUTED_VALUE"""),1)</f>
        <v>1</v>
      </c>
      <c r="AK188" t="str">
        <f ca="1">IFERROR(__xludf.DUMMYFUNCTION("""COMPUTED_VALUE"""),"blank")</f>
        <v>blank</v>
      </c>
      <c r="AL188" t="e">
        <f ca="1">_xludf.IFNA(VLOOKUP(AH188,'S-FG'!$B$3:$B1001,1,FALSE),"")</f>
        <v>#NAME?</v>
      </c>
      <c r="AM188" t="e">
        <f ca="1">IF(AI188="","",SUMIFS(#REF!,RM!$C$4:$C991,AI188))</f>
        <v>#REF!</v>
      </c>
    </row>
    <row r="189" spans="5:39">
      <c r="E189" t="str">
        <f>IF(A189="","",SUMIFS('PR-BOM'!$D$3:$D1001,'PR-BOM'!$C$3:$C1001,A189)*C189)</f>
        <v/>
      </c>
      <c r="F189" t="e">
        <f ca="1">_xludf.IFNA(VLOOKUP(B189,'S-FG'!$B$3:$B1001,1,FALSE),"")</f>
        <v>#NAME?</v>
      </c>
      <c r="H189" t="str">
        <f ca="1">IFERROR(__xludf.DUMMYFUNCTION("""COMPUTED_VALUE"""),"A21 MotherBoard Assy")</f>
        <v>A21 MotherBoard Assy</v>
      </c>
      <c r="I189" t="str">
        <f ca="1">IFERROR(__xludf.DUMMYFUNCTION("""COMPUTED_VALUE"""),"SPST relay 5A-12v ANTI_S &amp; KILL")</f>
        <v>SPST relay 5A-12v ANTI_S &amp; KILL</v>
      </c>
      <c r="J189">
        <f ca="1">IFERROR(__xludf.DUMMYFUNCTION("""COMPUTED_VALUE"""),2)</f>
        <v>2</v>
      </c>
      <c r="K189" t="str">
        <f ca="1">IFERROR(__xludf.DUMMYFUNCTION("""COMPUTED_VALUE"""),"blank")</f>
        <v>blank</v>
      </c>
      <c r="L189">
        <f t="shared" ca="1" si="0"/>
        <v>0</v>
      </c>
      <c r="Q189" t="str">
        <f>IF(N189="","",SUMIFS('PR-BOM'!$D$3:$D1001,'PR-BOM'!$C$3:$C1001,N189))</f>
        <v/>
      </c>
      <c r="S189" t="str">
        <f ca="1">IFERROR(__xludf.DUMMYFUNCTION("""COMPUTED_VALUE"""),"10uF 10v Tantalum Capacitor Case A")</f>
        <v>10uF 10v Tantalum Capacitor Case A</v>
      </c>
      <c r="X189" t="e">
        <f ca="1"/>
        <v>#NAME?</v>
      </c>
      <c r="Y189" t="e">
        <f t="shared" ca="1" si="1"/>
        <v>#NAME?</v>
      </c>
      <c r="Z189" t="e">
        <f ca="1">IF(X189="","",SUMIFS(#REF!,RM!$C$4:$C991,X189))</f>
        <v>#NAME?</v>
      </c>
      <c r="AA189" t="e">
        <f ca="1">IF(X189="","",SUMIFS(#REF!,RM!$C$4:$C991,X189))</f>
        <v>#NAME?</v>
      </c>
      <c r="AB189" t="e">
        <f ca="1">IF(X189="","",SUMIFS(IRegback!$Y$2:$Y1001,IRegback!$X$2:$X1001,X189))</f>
        <v>#NAME?</v>
      </c>
      <c r="AC189" t="e">
        <f t="shared" ca="1" si="2"/>
        <v>#NAME?</v>
      </c>
      <c r="AD189" t="e">
        <f ca="1">IF(X189="","",VLOOKUP($X189,RM!$C$4:$G991,3,FALSE))</f>
        <v>#NAME?</v>
      </c>
      <c r="AE189" t="e">
        <f ca="1">IF(X189="","",VLOOKUP($X189,RM!$C$4:$G991,4,FALSE))</f>
        <v>#NAME?</v>
      </c>
      <c r="AF189" t="e">
        <f ca="1">IF(X189="","",VLOOKUP($X189,RM!$C$4:$G991,5,FALSE))</f>
        <v>#NAME?</v>
      </c>
      <c r="AH189" t="str">
        <f ca="1">IFERROR(__xludf.DUMMYFUNCTION("""COMPUTED_VALUE"""),"RPM Sensor Assy")</f>
        <v>RPM Sensor Assy</v>
      </c>
      <c r="AI189" t="str">
        <f ca="1">IFERROR(__xludf.DUMMYFUNCTION("""COMPUTED_VALUE"""),"LM358D SMD")</f>
        <v>LM358D SMD</v>
      </c>
      <c r="AJ189">
        <f ca="1">IFERROR(__xludf.DUMMYFUNCTION("""COMPUTED_VALUE"""),1)</f>
        <v>1</v>
      </c>
      <c r="AK189" t="str">
        <f ca="1">IFERROR(__xludf.DUMMYFUNCTION("""COMPUTED_VALUE"""),"blank")</f>
        <v>blank</v>
      </c>
      <c r="AL189" t="e">
        <f ca="1">_xludf.IFNA(VLOOKUP(AH189,'S-FG'!$B$3:$B1001,1,FALSE),"")</f>
        <v>#NAME?</v>
      </c>
      <c r="AM189" t="e">
        <f ca="1">IF(AI189="","",SUMIFS(#REF!,RM!$C$4:$C991,AI189))</f>
        <v>#REF!</v>
      </c>
    </row>
    <row r="190" spans="5:39">
      <c r="E190" t="str">
        <f>IF(A190="","",SUMIFS('PR-BOM'!$D$3:$D1001,'PR-BOM'!$C$3:$C1001,A190)*C190)</f>
        <v/>
      </c>
      <c r="F190" t="e">
        <f ca="1">_xludf.IFNA(VLOOKUP(B190,'S-FG'!$B$3:$B1001,1,FALSE),"")</f>
        <v>#NAME?</v>
      </c>
      <c r="H190" t="str">
        <f ca="1">IFERROR(__xludf.DUMMYFUNCTION("""COMPUTED_VALUE"""),"A21 MotherBoard Assy")</f>
        <v>A21 MotherBoard Assy</v>
      </c>
      <c r="I190" t="str">
        <f ca="1">IFERROR(__xludf.DUMMYFUNCTION("""COMPUTED_VALUE"""),"Balancing 1A DPDT 24v Relay")</f>
        <v>Balancing 1A DPDT 24v Relay</v>
      </c>
      <c r="J190">
        <f ca="1">IFERROR(__xludf.DUMMYFUNCTION("""COMPUTED_VALUE"""),5)</f>
        <v>5</v>
      </c>
      <c r="K190" t="str">
        <f ca="1">IFERROR(__xludf.DUMMYFUNCTION("""COMPUTED_VALUE"""),"blank")</f>
        <v>blank</v>
      </c>
      <c r="L190">
        <f t="shared" ca="1" si="0"/>
        <v>0</v>
      </c>
      <c r="Q190" t="str">
        <f>IF(N190="","",SUMIFS('PR-BOM'!$D$3:$D1001,'PR-BOM'!$C$3:$C1001,N190))</f>
        <v/>
      </c>
      <c r="S190" t="str">
        <f ca="1">IFERROR(__xludf.DUMMYFUNCTION("""COMPUTED_VALUE"""),"SPST relay 5A-12v ANTI_S &amp; KILL")</f>
        <v>SPST relay 5A-12v ANTI_S &amp; KILL</v>
      </c>
      <c r="X190" t="e">
        <f ca="1"/>
        <v>#NAME?</v>
      </c>
      <c r="Y190" t="e">
        <f t="shared" ca="1" si="1"/>
        <v>#NAME?</v>
      </c>
      <c r="Z190" t="e">
        <f ca="1">IF(X190="","",SUMIFS(#REF!,RM!$C$4:$C991,X190))</f>
        <v>#NAME?</v>
      </c>
      <c r="AA190" t="e">
        <f ca="1">IF(X190="","",SUMIFS(#REF!,RM!$C$4:$C991,X190))</f>
        <v>#NAME?</v>
      </c>
      <c r="AB190" t="e">
        <f ca="1">IF(X190="","",SUMIFS(IRegback!$Y$2:$Y1001,IRegback!$X$2:$X1001,X190))</f>
        <v>#NAME?</v>
      </c>
      <c r="AC190" t="e">
        <f t="shared" ca="1" si="2"/>
        <v>#NAME?</v>
      </c>
      <c r="AD190" t="e">
        <f ca="1">IF(X190="","",VLOOKUP($X190,RM!$C$4:$G991,3,FALSE))</f>
        <v>#NAME?</v>
      </c>
      <c r="AE190" t="e">
        <f ca="1">IF(X190="","",VLOOKUP($X190,RM!$C$4:$G991,4,FALSE))</f>
        <v>#NAME?</v>
      </c>
      <c r="AF190" t="e">
        <f ca="1">IF(X190="","",VLOOKUP($X190,RM!$C$4:$G991,5,FALSE))</f>
        <v>#NAME?</v>
      </c>
      <c r="AH190" t="str">
        <f ca="1">IFERROR(__xludf.DUMMYFUNCTION("""COMPUTED_VALUE"""),"RPM Sensor Assy")</f>
        <v>RPM Sensor Assy</v>
      </c>
      <c r="AI190" t="str">
        <f ca="1">IFERROR(__xludf.DUMMYFUNCTION("""COMPUTED_VALUE"""),"47k 0805")</f>
        <v>47k 0805</v>
      </c>
      <c r="AJ190">
        <f ca="1">IFERROR(__xludf.DUMMYFUNCTION("""COMPUTED_VALUE"""),8)</f>
        <v>8</v>
      </c>
      <c r="AK190" t="str">
        <f ca="1">IFERROR(__xludf.DUMMYFUNCTION("""COMPUTED_VALUE"""),"blank")</f>
        <v>blank</v>
      </c>
      <c r="AL190" t="e">
        <f ca="1">_xludf.IFNA(VLOOKUP(AH190,'S-FG'!$B$3:$B1001,1,FALSE),"")</f>
        <v>#NAME?</v>
      </c>
      <c r="AM190" t="e">
        <f ca="1">IF(AI190="","",SUMIFS(#REF!,RM!$C$4:$C991,AI190))</f>
        <v>#REF!</v>
      </c>
    </row>
    <row r="191" spans="5:39">
      <c r="E191" t="str">
        <f>IF(A191="","",SUMIFS('PR-BOM'!$D$3:$D1001,'PR-BOM'!$C$3:$C1001,A191)*C191)</f>
        <v/>
      </c>
      <c r="F191" t="e">
        <f ca="1">_xludf.IFNA(VLOOKUP(B191,'S-FG'!$B$3:$B1001,1,FALSE),"")</f>
        <v>#NAME?</v>
      </c>
      <c r="H191" t="str">
        <f ca="1">IFERROR(__xludf.DUMMYFUNCTION("""COMPUTED_VALUE"""),"A21 MotherBoard Assy")</f>
        <v>A21 MotherBoard Assy</v>
      </c>
      <c r="I191" t="str">
        <f ca="1">IFERROR(__xludf.DUMMYFUNCTION("""COMPUTED_VALUE"""),"Balancing relay 5A/2A 24v SPST")</f>
        <v>Balancing relay 5A/2A 24v SPST</v>
      </c>
      <c r="J191">
        <f ca="1">IFERROR(__xludf.DUMMYFUNCTION("""COMPUTED_VALUE"""),1)</f>
        <v>1</v>
      </c>
      <c r="K191" t="str">
        <f ca="1">IFERROR(__xludf.DUMMYFUNCTION("""COMPUTED_VALUE"""),"blank")</f>
        <v>blank</v>
      </c>
      <c r="L191">
        <f t="shared" ca="1" si="0"/>
        <v>0</v>
      </c>
      <c r="Q191" t="str">
        <f>IF(N191="","",SUMIFS('PR-BOM'!$D$3:$D1001,'PR-BOM'!$C$3:$C1001,N191))</f>
        <v/>
      </c>
      <c r="S191" t="str">
        <f ca="1">IFERROR(__xludf.DUMMYFUNCTION("""COMPUTED_VALUE"""),"Balancing 1A DPDT 24v Relay")</f>
        <v>Balancing 1A DPDT 24v Relay</v>
      </c>
      <c r="X191" t="e">
        <f ca="1"/>
        <v>#NAME?</v>
      </c>
      <c r="Y191" t="e">
        <f t="shared" ca="1" si="1"/>
        <v>#NAME?</v>
      </c>
      <c r="Z191" t="e">
        <f ca="1">IF(X191="","",SUMIFS(#REF!,RM!$C$4:$C991,X191))</f>
        <v>#NAME?</v>
      </c>
      <c r="AA191" t="e">
        <f ca="1">IF(X191="","",SUMIFS(#REF!,RM!$C$4:$C991,X191))</f>
        <v>#NAME?</v>
      </c>
      <c r="AB191" t="e">
        <f ca="1">IF(X191="","",SUMIFS(IRegback!$Y$2:$Y1001,IRegback!$X$2:$X1001,X191))</f>
        <v>#NAME?</v>
      </c>
      <c r="AC191" t="e">
        <f t="shared" ca="1" si="2"/>
        <v>#NAME?</v>
      </c>
      <c r="AD191" t="e">
        <f ca="1">IF(X191="","",VLOOKUP($X191,RM!$C$4:$G991,3,FALSE))</f>
        <v>#NAME?</v>
      </c>
      <c r="AE191" t="e">
        <f ca="1">IF(X191="","",VLOOKUP($X191,RM!$C$4:$G991,4,FALSE))</f>
        <v>#NAME?</v>
      </c>
      <c r="AF191" t="e">
        <f ca="1">IF(X191="","",VLOOKUP($X191,RM!$C$4:$G991,5,FALSE))</f>
        <v>#NAME?</v>
      </c>
      <c r="AH191" t="str">
        <f ca="1">IFERROR(__xludf.DUMMYFUNCTION("""COMPUTED_VALUE"""),"RPM Sensor Assy")</f>
        <v>RPM Sensor Assy</v>
      </c>
      <c r="AI191" t="str">
        <f ca="1">IFERROR(__xludf.DUMMYFUNCTION("""COMPUTED_VALUE"""),"470k 0805 Com grade")</f>
        <v>470k 0805 Com grade</v>
      </c>
      <c r="AJ191">
        <f ca="1">IFERROR(__xludf.DUMMYFUNCTION("""COMPUTED_VALUE"""),4)</f>
        <v>4</v>
      </c>
      <c r="AK191" t="str">
        <f ca="1">IFERROR(__xludf.DUMMYFUNCTION("""COMPUTED_VALUE"""),"blank")</f>
        <v>blank</v>
      </c>
      <c r="AL191" t="e">
        <f ca="1">_xludf.IFNA(VLOOKUP(AH191,'S-FG'!$B$3:$B1001,1,FALSE),"")</f>
        <v>#NAME?</v>
      </c>
      <c r="AM191" t="e">
        <f ca="1">IF(AI191="","",SUMIFS(#REF!,RM!$C$4:$C991,AI191))</f>
        <v>#REF!</v>
      </c>
    </row>
    <row r="192" spans="5:39">
      <c r="E192" t="str">
        <f>IF(A192="","",SUMIFS('PR-BOM'!$D$3:$D1001,'PR-BOM'!$C$3:$C1001,A192)*C192)</f>
        <v/>
      </c>
      <c r="F192" t="e">
        <f ca="1">_xludf.IFNA(VLOOKUP(B192,'S-FG'!$B$3:$B1001,1,FALSE),"")</f>
        <v>#NAME?</v>
      </c>
      <c r="H192" t="str">
        <f ca="1">IFERROR(__xludf.DUMMYFUNCTION("""COMPUTED_VALUE"""),"A21 MotherBoard Assy")</f>
        <v>A21 MotherBoard Assy</v>
      </c>
      <c r="I192" t="str">
        <f ca="1">IFERROR(__xludf.DUMMYFUNCTION("""COMPUTED_VALUE"""),"BlueTooth Module")</f>
        <v>BlueTooth Module</v>
      </c>
      <c r="J192">
        <f ca="1">IFERROR(__xludf.DUMMYFUNCTION("""COMPUTED_VALUE"""),1)</f>
        <v>1</v>
      </c>
      <c r="K192" t="str">
        <f ca="1">IFERROR(__xludf.DUMMYFUNCTION("""COMPUTED_VALUE"""),"HC-05")</f>
        <v>HC-05</v>
      </c>
      <c r="L192">
        <f t="shared" ca="1" si="0"/>
        <v>0</v>
      </c>
      <c r="Q192" t="str">
        <f>IF(N192="","",SUMIFS('PR-BOM'!$D$3:$D1001,'PR-BOM'!$C$3:$C1001,N192))</f>
        <v/>
      </c>
      <c r="S192" t="str">
        <f ca="1">IFERROR(__xludf.DUMMYFUNCTION("""COMPUTED_VALUE"""),"Balancing relay 5A/2A 24v SPST")</f>
        <v>Balancing relay 5A/2A 24v SPST</v>
      </c>
      <c r="X192" t="e">
        <f ca="1"/>
        <v>#NAME?</v>
      </c>
      <c r="Y192" t="e">
        <f t="shared" ca="1" si="1"/>
        <v>#NAME?</v>
      </c>
      <c r="Z192" t="e">
        <f ca="1">IF(X192="","",SUMIFS(#REF!,RM!$C$4:$C991,X192))</f>
        <v>#NAME?</v>
      </c>
      <c r="AA192" t="e">
        <f ca="1">IF(X192="","",SUMIFS(#REF!,RM!$C$4:$C991,X192))</f>
        <v>#NAME?</v>
      </c>
      <c r="AB192" t="e">
        <f ca="1">IF(X192="","",SUMIFS(IRegback!$Y$2:$Y1001,IRegback!$X$2:$X1001,X192))</f>
        <v>#NAME?</v>
      </c>
      <c r="AC192" t="e">
        <f t="shared" ca="1" si="2"/>
        <v>#NAME?</v>
      </c>
      <c r="AD192" t="e">
        <f ca="1">IF(X192="","",VLOOKUP($X192,RM!$C$4:$G991,3,FALSE))</f>
        <v>#NAME?</v>
      </c>
      <c r="AE192" t="e">
        <f ca="1">IF(X192="","",VLOOKUP($X192,RM!$C$4:$G991,4,FALSE))</f>
        <v>#NAME?</v>
      </c>
      <c r="AF192" t="e">
        <f ca="1">IF(X192="","",VLOOKUP($X192,RM!$C$4:$G991,5,FALSE))</f>
        <v>#NAME?</v>
      </c>
      <c r="AH192" t="str">
        <f ca="1">IFERROR(__xludf.DUMMYFUNCTION("""COMPUTED_VALUE"""),"RPM Sensor Assy")</f>
        <v>RPM Sensor Assy</v>
      </c>
      <c r="AI192" t="str">
        <f ca="1">IFERROR(__xludf.DUMMYFUNCTION("""COMPUTED_VALUE"""),"0.1uF 0805")</f>
        <v>0.1uF 0805</v>
      </c>
      <c r="AJ192">
        <f ca="1">IFERROR(__xludf.DUMMYFUNCTION("""COMPUTED_VALUE"""),2)</f>
        <v>2</v>
      </c>
      <c r="AK192" t="str">
        <f ca="1">IFERROR(__xludf.DUMMYFUNCTION("""COMPUTED_VALUE"""),"blank")</f>
        <v>blank</v>
      </c>
      <c r="AL192" t="e">
        <f ca="1">_xludf.IFNA(VLOOKUP(AH192,'S-FG'!$B$3:$B1001,1,FALSE),"")</f>
        <v>#NAME?</v>
      </c>
      <c r="AM192" t="e">
        <f ca="1">IF(AI192="","",SUMIFS(#REF!,RM!$C$4:$C991,AI192))</f>
        <v>#REF!</v>
      </c>
    </row>
    <row r="193" spans="5:39">
      <c r="E193" t="str">
        <f>IF(A193="","",SUMIFS('PR-BOM'!$D$3:$D1001,'PR-BOM'!$C$3:$C1001,A193)*C193)</f>
        <v/>
      </c>
      <c r="F193" t="e">
        <f ca="1">_xludf.IFNA(VLOOKUP(B193,'S-FG'!$B$3:$B1001,1,FALSE),"")</f>
        <v>#NAME?</v>
      </c>
      <c r="H193" t="str">
        <f ca="1">IFERROR(__xludf.DUMMYFUNCTION("""COMPUTED_VALUE"""),"A21 MotherBoard Assy")</f>
        <v>A21 MotherBoard Assy</v>
      </c>
      <c r="I193" t="str">
        <f ca="1">IFERROR(__xludf.DUMMYFUNCTION("""COMPUTED_VALUE"""),"24AWG Soldering Wire")</f>
        <v>24AWG Soldering Wire</v>
      </c>
      <c r="J193">
        <f ca="1">IFERROR(__xludf.DUMMYFUNCTION("""COMPUTED_VALUE"""),10)</f>
        <v>10</v>
      </c>
      <c r="K193" t="str">
        <f ca="1">IFERROR(__xludf.DUMMYFUNCTION("""COMPUTED_VALUE"""),"blank")</f>
        <v>blank</v>
      </c>
      <c r="L193">
        <f t="shared" ca="1" si="0"/>
        <v>0</v>
      </c>
      <c r="Q193" t="str">
        <f>IF(N193="","",SUMIFS('PR-BOM'!$D$3:$D1001,'PR-BOM'!$C$3:$C1001,N193))</f>
        <v/>
      </c>
      <c r="S193" t="str">
        <f ca="1">IFERROR(__xludf.DUMMYFUNCTION("""COMPUTED_VALUE"""),"BlueTooth Module")</f>
        <v>BlueTooth Module</v>
      </c>
      <c r="X193" t="e">
        <f ca="1"/>
        <v>#NAME?</v>
      </c>
      <c r="Y193" t="e">
        <f t="shared" ca="1" si="1"/>
        <v>#NAME?</v>
      </c>
      <c r="Z193" t="e">
        <f ca="1">IF(X193="","",SUMIFS(#REF!,RM!$C$4:$C991,X193))</f>
        <v>#NAME?</v>
      </c>
      <c r="AA193" t="e">
        <f ca="1">IF(X193="","",SUMIFS(#REF!,RM!$C$4:$C991,X193))</f>
        <v>#NAME?</v>
      </c>
      <c r="AB193" t="e">
        <f ca="1">IF(X193="","",SUMIFS(IRegback!$Y$2:$Y1001,IRegback!$X$2:$X1001,X193))</f>
        <v>#NAME?</v>
      </c>
      <c r="AC193" t="e">
        <f t="shared" ca="1" si="2"/>
        <v>#NAME?</v>
      </c>
      <c r="AD193" t="e">
        <f ca="1">IF(X193="","",VLOOKUP($X193,RM!$C$4:$G991,3,FALSE))</f>
        <v>#NAME?</v>
      </c>
      <c r="AE193" t="e">
        <f ca="1">IF(X193="","",VLOOKUP($X193,RM!$C$4:$G991,4,FALSE))</f>
        <v>#NAME?</v>
      </c>
      <c r="AF193" t="e">
        <f ca="1">IF(X193="","",VLOOKUP($X193,RM!$C$4:$G991,5,FALSE))</f>
        <v>#NAME?</v>
      </c>
      <c r="AH193" t="str">
        <f ca="1">IFERROR(__xludf.DUMMYFUNCTION("""COMPUTED_VALUE"""),"RPM Sensor Assy")</f>
        <v>RPM Sensor Assy</v>
      </c>
      <c r="AI193" t="str">
        <f ca="1">IFERROR(__xludf.DUMMYFUNCTION("""COMPUTED_VALUE"""),"0.01uF 0805")</f>
        <v>0.01uF 0805</v>
      </c>
      <c r="AJ193">
        <f ca="1">IFERROR(__xludf.DUMMYFUNCTION("""COMPUTED_VALUE"""),2)</f>
        <v>2</v>
      </c>
      <c r="AK193" t="str">
        <f ca="1">IFERROR(__xludf.DUMMYFUNCTION("""COMPUTED_VALUE"""),"blank")</f>
        <v>blank</v>
      </c>
      <c r="AL193" t="e">
        <f ca="1">_xludf.IFNA(VLOOKUP(AH193,'S-FG'!$B$3:$B1001,1,FALSE),"")</f>
        <v>#NAME?</v>
      </c>
      <c r="AM193" t="e">
        <f ca="1">IF(AI193="","",SUMIFS(#REF!,RM!$C$4:$C991,AI193))</f>
        <v>#REF!</v>
      </c>
    </row>
    <row r="194" spans="5:39">
      <c r="E194" t="str">
        <f>IF(A194="","",SUMIFS('PR-BOM'!$D$3:$D1001,'PR-BOM'!$C$3:$C1001,A194)*C194)</f>
        <v/>
      </c>
      <c r="F194" t="e">
        <f ca="1">_xludf.IFNA(VLOOKUP(B194,'S-FG'!$B$3:$B1001,1,FALSE),"")</f>
        <v>#NAME?</v>
      </c>
      <c r="H194" t="str">
        <f ca="1">IFERROR(__xludf.DUMMYFUNCTION("""COMPUTED_VALUE"""),"A21 MotherBoard Assy")</f>
        <v>A21 MotherBoard Assy</v>
      </c>
      <c r="I194" t="str">
        <f ca="1">IFERROR(__xludf.DUMMYFUNCTION("""COMPUTED_VALUE"""),"12E 2W Resistor THT")</f>
        <v>12E 2W Resistor THT</v>
      </c>
      <c r="J194">
        <f ca="1">IFERROR(__xludf.DUMMYFUNCTION("""COMPUTED_VALUE"""),1)</f>
        <v>1</v>
      </c>
      <c r="K194" t="str">
        <f ca="1">IFERROR(__xludf.DUMMYFUNCTION("""COMPUTED_VALUE"""),"blank")</f>
        <v>blank</v>
      </c>
      <c r="L194">
        <f t="shared" ca="1" si="0"/>
        <v>0</v>
      </c>
      <c r="Q194" t="str">
        <f>IF(N194="","",SUMIFS('PR-BOM'!$D$3:$D1001,'PR-BOM'!$C$3:$C1001,N194))</f>
        <v/>
      </c>
      <c r="S194" t="str">
        <f ca="1">IFERROR(__xludf.DUMMYFUNCTION("""COMPUTED_VALUE"""),"24AWG Soldering Wire")</f>
        <v>24AWG Soldering Wire</v>
      </c>
      <c r="X194" t="e">
        <f ca="1"/>
        <v>#NAME?</v>
      </c>
      <c r="Y194" t="e">
        <f t="shared" ca="1" si="1"/>
        <v>#NAME?</v>
      </c>
      <c r="Z194" t="e">
        <f ca="1">IF(X194="","",SUMIFS(#REF!,RM!$C$4:$C991,X194))</f>
        <v>#NAME?</v>
      </c>
      <c r="AA194" t="e">
        <f ca="1">IF(X194="","",SUMIFS(#REF!,RM!$C$4:$C991,X194))</f>
        <v>#NAME?</v>
      </c>
      <c r="AB194" t="e">
        <f ca="1">IF(X194="","",SUMIFS(IRegback!$Y$2:$Y1001,IRegback!$X$2:$X1001,X194))</f>
        <v>#NAME?</v>
      </c>
      <c r="AC194" t="e">
        <f t="shared" ca="1" si="2"/>
        <v>#NAME?</v>
      </c>
      <c r="AD194" t="e">
        <f ca="1">IF(X194="","",VLOOKUP($X194,RM!$C$4:$G991,3,FALSE))</f>
        <v>#NAME?</v>
      </c>
      <c r="AE194" t="e">
        <f ca="1">IF(X194="","",VLOOKUP($X194,RM!$C$4:$G991,4,FALSE))</f>
        <v>#NAME?</v>
      </c>
      <c r="AF194" t="e">
        <f ca="1">IF(X194="","",VLOOKUP($X194,RM!$C$4:$G991,5,FALSE))</f>
        <v>#NAME?</v>
      </c>
      <c r="AH194" t="str">
        <f ca="1">IFERROR(__xludf.DUMMYFUNCTION("""COMPUTED_VALUE"""),"RPM Sensor Assy")</f>
        <v>RPM Sensor Assy</v>
      </c>
      <c r="AI194" t="str">
        <f ca="1">IFERROR(__xludf.DUMMYFUNCTION("""COMPUTED_VALUE"""),"LED 0805 SMD")</f>
        <v>LED 0805 SMD</v>
      </c>
      <c r="AJ194">
        <f ca="1">IFERROR(__xludf.DUMMYFUNCTION("""COMPUTED_VALUE"""),1)</f>
        <v>1</v>
      </c>
      <c r="AK194" t="str">
        <f ca="1">IFERROR(__xludf.DUMMYFUNCTION("""COMPUTED_VALUE"""),"KPTD-2012LVSURCK")</f>
        <v>KPTD-2012LVSURCK</v>
      </c>
      <c r="AL194" t="e">
        <f ca="1">_xludf.IFNA(VLOOKUP(AH194,'S-FG'!$B$3:$B1001,1,FALSE),"")</f>
        <v>#NAME?</v>
      </c>
      <c r="AM194" t="e">
        <f ca="1">IF(AI194="","",SUMIFS(#REF!,RM!$C$4:$C991,AI194))</f>
        <v>#REF!</v>
      </c>
    </row>
    <row r="195" spans="5:39">
      <c r="E195" t="str">
        <f>IF(A195="","",SUMIFS('PR-BOM'!$D$3:$D1001,'PR-BOM'!$C$3:$C1001,A195)*C195)</f>
        <v/>
      </c>
      <c r="F195" t="e">
        <f ca="1">_xludf.IFNA(VLOOKUP(B195,'S-FG'!$B$3:$B1001,1,FALSE),"")</f>
        <v>#NAME?</v>
      </c>
      <c r="H195" t="str">
        <f ca="1">IFERROR(__xludf.DUMMYFUNCTION("""COMPUTED_VALUE"""),"A21 MotherBoard Assy")</f>
        <v>A21 MotherBoard Assy</v>
      </c>
      <c r="I195" t="str">
        <f ca="1">IFERROR(__xludf.DUMMYFUNCTION("""COMPUTED_VALUE"""),"1k 0805 Resistor")</f>
        <v>1k 0805 Resistor</v>
      </c>
      <c r="J195">
        <f ca="1">IFERROR(__xludf.DUMMYFUNCTION("""COMPUTED_VALUE"""),1)</f>
        <v>1</v>
      </c>
      <c r="K195" t="str">
        <f ca="1">IFERROR(__xludf.DUMMYFUNCTION("""COMPUTED_VALUE"""),"ERA6AEB102V (to be modified)")</f>
        <v>ERA6AEB102V (to be modified)</v>
      </c>
      <c r="L195">
        <f t="shared" ca="1" si="0"/>
        <v>0</v>
      </c>
      <c r="Q195" t="str">
        <f>IF(N195="","",SUMIFS('PR-BOM'!$D$3:$D1001,'PR-BOM'!$C$3:$C1001,N195))</f>
        <v/>
      </c>
      <c r="S195" t="str">
        <f ca="1">IFERROR(__xludf.DUMMYFUNCTION("""COMPUTED_VALUE"""),"12E 2W Resistor THT")</f>
        <v>12E 2W Resistor THT</v>
      </c>
      <c r="X195" t="e">
        <f ca="1"/>
        <v>#NAME?</v>
      </c>
      <c r="Y195" t="e">
        <f t="shared" ca="1" si="1"/>
        <v>#NAME?</v>
      </c>
      <c r="Z195" t="e">
        <f ca="1">IF(X195="","",SUMIFS(#REF!,RM!$C$4:$C991,X195))</f>
        <v>#NAME?</v>
      </c>
      <c r="AA195" t="e">
        <f ca="1">IF(X195="","",SUMIFS(#REF!,RM!$C$4:$C991,X195))</f>
        <v>#NAME?</v>
      </c>
      <c r="AB195" t="e">
        <f ca="1">IF(X195="","",SUMIFS(IRegback!$Y$2:$Y1001,IRegback!$X$2:$X1001,X195))</f>
        <v>#NAME?</v>
      </c>
      <c r="AC195" t="e">
        <f t="shared" ca="1" si="2"/>
        <v>#NAME?</v>
      </c>
      <c r="AD195" t="e">
        <f ca="1">IF(X195="","",VLOOKUP($X195,RM!$C$4:$G991,3,FALSE))</f>
        <v>#NAME?</v>
      </c>
      <c r="AE195" t="e">
        <f ca="1">IF(X195="","",VLOOKUP($X195,RM!$C$4:$G991,4,FALSE))</f>
        <v>#NAME?</v>
      </c>
      <c r="AF195" t="e">
        <f ca="1">IF(X195="","",VLOOKUP($X195,RM!$C$4:$G991,5,FALSE))</f>
        <v>#NAME?</v>
      </c>
      <c r="AH195" t="str">
        <f ca="1">IFERROR(__xludf.DUMMYFUNCTION("""COMPUTED_VALUE"""),"RPM Sensor Assy")</f>
        <v>RPM Sensor Assy</v>
      </c>
      <c r="AI195" t="str">
        <f ca="1">IFERROR(__xludf.DUMMYFUNCTION("""COMPUTED_VALUE"""),"1N4148 SMD")</f>
        <v>1N4148 SMD</v>
      </c>
      <c r="AJ195">
        <f ca="1">IFERROR(__xludf.DUMMYFUNCTION("""COMPUTED_VALUE"""),4)</f>
        <v>4</v>
      </c>
      <c r="AK195" t="str">
        <f ca="1">IFERROR(__xludf.DUMMYFUNCTION("""COMPUTED_VALUE"""),"1N4148W-7-F")</f>
        <v>1N4148W-7-F</v>
      </c>
      <c r="AL195" t="e">
        <f ca="1">_xludf.IFNA(VLOOKUP(AH195,'S-FG'!$B$3:$B1001,1,FALSE),"")</f>
        <v>#NAME?</v>
      </c>
      <c r="AM195" t="e">
        <f ca="1">IF(AI195="","",SUMIFS(#REF!,RM!$C$4:$C991,AI195))</f>
        <v>#REF!</v>
      </c>
    </row>
    <row r="196" spans="5:39">
      <c r="E196" t="str">
        <f>IF(A196="","",SUMIFS('PR-BOM'!$D$3:$D1001,'PR-BOM'!$C$3:$C1001,A196)*C196)</f>
        <v/>
      </c>
      <c r="F196" t="e">
        <f ca="1">_xludf.IFNA(VLOOKUP(B196,'S-FG'!$B$3:$B1001,1,FALSE),"")</f>
        <v>#NAME?</v>
      </c>
      <c r="H196" t="str">
        <f ca="1">IFERROR(__xludf.DUMMYFUNCTION("""COMPUTED_VALUE"""),"A21 MotherBoard Assy")</f>
        <v>A21 MotherBoard Assy</v>
      </c>
      <c r="I196" t="str">
        <f ca="1">IFERROR(__xludf.DUMMYFUNCTION("""COMPUTED_VALUE"""),"51k 0805 resistor")</f>
        <v>51k 0805 resistor</v>
      </c>
      <c r="J196">
        <f ca="1">IFERROR(__xludf.DUMMYFUNCTION("""COMPUTED_VALUE"""),2)</f>
        <v>2</v>
      </c>
      <c r="K196" t="str">
        <f ca="1">IFERROR(__xludf.DUMMYFUNCTION("""COMPUTED_VALUE"""),"blank")</f>
        <v>blank</v>
      </c>
      <c r="L196">
        <f t="shared" ca="1" si="0"/>
        <v>0</v>
      </c>
      <c r="Q196" t="str">
        <f>IF(N196="","",SUMIFS('PR-BOM'!$D$3:$D1001,'PR-BOM'!$C$3:$C1001,N196))</f>
        <v/>
      </c>
      <c r="S196" t="str">
        <f ca="1">IFERROR(__xludf.DUMMYFUNCTION("""COMPUTED_VALUE"""),"1k 0805 Resistor")</f>
        <v>1k 0805 Resistor</v>
      </c>
      <c r="X196" t="e">
        <f ca="1"/>
        <v>#NAME?</v>
      </c>
      <c r="Y196" t="e">
        <f t="shared" ca="1" si="1"/>
        <v>#NAME?</v>
      </c>
      <c r="Z196" t="e">
        <f ca="1">IF(X196="","",SUMIFS(#REF!,RM!$C$4:$C991,X196))</f>
        <v>#NAME?</v>
      </c>
      <c r="AA196" t="e">
        <f ca="1">IF(X196="","",SUMIFS(#REF!,RM!$C$4:$C991,X196))</f>
        <v>#NAME?</v>
      </c>
      <c r="AB196" t="e">
        <f ca="1">IF(X196="","",SUMIFS(IRegback!$Y$2:$Y1001,IRegback!$X$2:$X1001,X196))</f>
        <v>#NAME?</v>
      </c>
      <c r="AC196" t="e">
        <f t="shared" ca="1" si="2"/>
        <v>#NAME?</v>
      </c>
      <c r="AD196" t="e">
        <f ca="1">IF(X196="","",VLOOKUP($X196,RM!$C$4:$G991,3,FALSE))</f>
        <v>#NAME?</v>
      </c>
      <c r="AE196" t="e">
        <f ca="1">IF(X196="","",VLOOKUP($X196,RM!$C$4:$G991,4,FALSE))</f>
        <v>#NAME?</v>
      </c>
      <c r="AF196" t="e">
        <f ca="1">IF(X196="","",VLOOKUP($X196,RM!$C$4:$G991,5,FALSE))</f>
        <v>#NAME?</v>
      </c>
      <c r="AH196" t="str">
        <f ca="1">IFERROR(__xludf.DUMMYFUNCTION("""COMPUTED_VALUE"""),"RPM Sensor Assy")</f>
        <v>RPM Sensor Assy</v>
      </c>
      <c r="AI196" t="str">
        <f ca="1">IFERROR(__xludf.DUMMYFUNCTION("""COMPUTED_VALUE"""),"2 pin JST-XH male side entry")</f>
        <v>2 pin JST-XH male side entry</v>
      </c>
      <c r="AJ196">
        <f ca="1">IFERROR(__xludf.DUMMYFUNCTION("""COMPUTED_VALUE"""),2)</f>
        <v>2</v>
      </c>
      <c r="AL196" t="e">
        <f ca="1">_xludf.IFNA(VLOOKUP(AH196,'S-FG'!$B$3:$B1001,1,FALSE),"")</f>
        <v>#NAME?</v>
      </c>
      <c r="AM196" t="e">
        <f ca="1">IF(AI196="","",SUMIFS(#REF!,RM!$C$4:$C991,AI196))</f>
        <v>#REF!</v>
      </c>
    </row>
    <row r="197" spans="5:39">
      <c r="E197" t="str">
        <f>IF(A197="","",SUMIFS('PR-BOM'!$D$3:$D1001,'PR-BOM'!$C$3:$C1001,A197)*C197)</f>
        <v/>
      </c>
      <c r="F197" t="e">
        <f ca="1">_xludf.IFNA(VLOOKUP(B197,'S-FG'!$B$3:$B1001,1,FALSE),"")</f>
        <v>#NAME?</v>
      </c>
      <c r="H197" t="str">
        <f ca="1">IFERROR(__xludf.DUMMYFUNCTION("""COMPUTED_VALUE"""),"A21 MotherBoard Assy")</f>
        <v>A21 MotherBoard Assy</v>
      </c>
      <c r="I197" t="str">
        <f ca="1">IFERROR(__xludf.DUMMYFUNCTION("""COMPUTED_VALUE"""),"10k 0805 resistor")</f>
        <v>10k 0805 resistor</v>
      </c>
      <c r="J197">
        <f ca="1">IFERROR(__xludf.DUMMYFUNCTION("""COMPUTED_VALUE"""),1)</f>
        <v>1</v>
      </c>
      <c r="K197" t="str">
        <f ca="1">IFERROR(__xludf.DUMMYFUNCTION("""COMPUTED_VALUE"""),"ERA6AEB103V (to be modified)")</f>
        <v>ERA6AEB103V (to be modified)</v>
      </c>
      <c r="L197">
        <f t="shared" ca="1" si="0"/>
        <v>0</v>
      </c>
      <c r="Q197" t="str">
        <f>IF(N197="","",SUMIFS('PR-BOM'!$D$3:$D1001,'PR-BOM'!$C$3:$C1001,N197))</f>
        <v/>
      </c>
      <c r="S197" t="str">
        <f ca="1">IFERROR(__xludf.DUMMYFUNCTION("""COMPUTED_VALUE"""),"51k 0805 resistor")</f>
        <v>51k 0805 resistor</v>
      </c>
      <c r="X197" t="e">
        <f ca="1"/>
        <v>#NAME?</v>
      </c>
      <c r="Y197" t="e">
        <f t="shared" ca="1" si="1"/>
        <v>#NAME?</v>
      </c>
      <c r="Z197" t="e">
        <f ca="1">IF(X197="","",SUMIFS(#REF!,RM!$C$4:$C991,X197))</f>
        <v>#NAME?</v>
      </c>
      <c r="AA197" t="e">
        <f ca="1">IF(X197="","",SUMIFS(#REF!,RM!$C$4:$C991,X197))</f>
        <v>#NAME?</v>
      </c>
      <c r="AB197" t="e">
        <f ca="1">IF(X197="","",SUMIFS(IRegback!$Y$2:$Y1001,IRegback!$X$2:$X1001,X197))</f>
        <v>#NAME?</v>
      </c>
      <c r="AC197" t="e">
        <f t="shared" ca="1" si="2"/>
        <v>#NAME?</v>
      </c>
      <c r="AD197" t="e">
        <f ca="1">IF(X197="","",VLOOKUP($X197,RM!$C$4:$G991,3,FALSE))</f>
        <v>#NAME?</v>
      </c>
      <c r="AE197" t="e">
        <f ca="1">IF(X197="","",VLOOKUP($X197,RM!$C$4:$G991,4,FALSE))</f>
        <v>#NAME?</v>
      </c>
      <c r="AF197" t="e">
        <f ca="1">IF(X197="","",VLOOKUP($X197,RM!$C$4:$G991,5,FALSE))</f>
        <v>#NAME?</v>
      </c>
      <c r="AH197" t="str">
        <f ca="1">IFERROR(__xludf.DUMMYFUNCTION("""COMPUTED_VALUE"""),"Current Sensor Assy")</f>
        <v>Current Sensor Assy</v>
      </c>
      <c r="AI197" t="str">
        <f ca="1">IFERROR(__xludf.DUMMYFUNCTION("""COMPUTED_VALUE"""),"PWB of Current Sensor")</f>
        <v>PWB of Current Sensor</v>
      </c>
      <c r="AJ197">
        <f ca="1">IFERROR(__xludf.DUMMYFUNCTION("""COMPUTED_VALUE"""),1)</f>
        <v>1</v>
      </c>
      <c r="AK197" t="str">
        <f ca="1">IFERROR(__xludf.DUMMYFUNCTION("""COMPUTED_VALUE"""),"blank")</f>
        <v>blank</v>
      </c>
      <c r="AL197" t="e">
        <f ca="1">_xludf.IFNA(VLOOKUP(AH197,'S-FG'!$B$3:$B1001,1,FALSE),"")</f>
        <v>#NAME?</v>
      </c>
      <c r="AM197" t="e">
        <f ca="1">IF(AI197="","",SUMIFS(#REF!,RM!$C$4:$C991,AI197))</f>
        <v>#REF!</v>
      </c>
    </row>
    <row r="198" spans="5:39">
      <c r="E198" t="str">
        <f>IF(A198="","",SUMIFS('PR-BOM'!$D$3:$D1001,'PR-BOM'!$C$3:$C1001,A198)*C198)</f>
        <v/>
      </c>
      <c r="F198" t="e">
        <f ca="1">_xludf.IFNA(VLOOKUP(B198,'S-FG'!$B$3:$B1001,1,FALSE),"")</f>
        <v>#NAME?</v>
      </c>
      <c r="H198" t="str">
        <f ca="1">IFERROR(__xludf.DUMMYFUNCTION("""COMPUTED_VALUE"""),"A21 MotherBoard Assy")</f>
        <v>A21 MotherBoard Assy</v>
      </c>
      <c r="I198" t="str">
        <f ca="1">IFERROR(__xludf.DUMMYFUNCTION("""COMPUTED_VALUE"""),"330E 0805 Resistor")</f>
        <v>330E 0805 Resistor</v>
      </c>
      <c r="J198">
        <f ca="1">IFERROR(__xludf.DUMMYFUNCTION("""COMPUTED_VALUE"""),12)</f>
        <v>12</v>
      </c>
      <c r="K198" t="str">
        <f ca="1">IFERROR(__xludf.DUMMYFUNCTION("""COMPUTED_VALUE"""),"MCWR08X3300FTL (to be modified)")</f>
        <v>MCWR08X3300FTL (to be modified)</v>
      </c>
      <c r="L198">
        <f t="shared" ca="1" si="0"/>
        <v>0</v>
      </c>
      <c r="Q198" t="str">
        <f>IF(N198="","",SUMIFS('PR-BOM'!$D$3:$D1001,'PR-BOM'!$C$3:$C1001,N198))</f>
        <v/>
      </c>
      <c r="S198" t="str">
        <f ca="1">IFERROR(__xludf.DUMMYFUNCTION("""COMPUTED_VALUE"""),"10k 0805 resistor")</f>
        <v>10k 0805 resistor</v>
      </c>
      <c r="X198" t="e">
        <f ca="1"/>
        <v>#NAME?</v>
      </c>
      <c r="Y198" t="e">
        <f t="shared" ca="1" si="1"/>
        <v>#NAME?</v>
      </c>
      <c r="Z198" t="e">
        <f ca="1">IF(X198="","",SUMIFS(#REF!,RM!$C$4:$C991,X198))</f>
        <v>#NAME?</v>
      </c>
      <c r="AA198" t="e">
        <f ca="1">IF(X198="","",SUMIFS(#REF!,RM!$C$4:$C991,X198))</f>
        <v>#NAME?</v>
      </c>
      <c r="AB198" t="e">
        <f ca="1">IF(X198="","",SUMIFS(IRegback!$Y$2:$Y1001,IRegback!$X$2:$X1001,X198))</f>
        <v>#NAME?</v>
      </c>
      <c r="AC198" t="e">
        <f t="shared" ca="1" si="2"/>
        <v>#NAME?</v>
      </c>
      <c r="AD198" t="e">
        <f ca="1">IF(X198="","",VLOOKUP($X198,RM!$C$4:$G991,3,FALSE))</f>
        <v>#NAME?</v>
      </c>
      <c r="AE198" t="e">
        <f ca="1">IF(X198="","",VLOOKUP($X198,RM!$C$4:$G991,4,FALSE))</f>
        <v>#NAME?</v>
      </c>
      <c r="AF198" t="e">
        <f ca="1">IF(X198="","",VLOOKUP($X198,RM!$C$4:$G991,5,FALSE))</f>
        <v>#NAME?</v>
      </c>
      <c r="AH198" t="str">
        <f ca="1">IFERROR(__xludf.DUMMYFUNCTION("""COMPUTED_VALUE"""),"Current Sensor Assy")</f>
        <v>Current Sensor Assy</v>
      </c>
      <c r="AI198" t="str">
        <f ca="1">IFERROR(__xludf.DUMMYFUNCTION("""COMPUTED_VALUE"""),"WCS1700 current Sensor")</f>
        <v>WCS1700 current Sensor</v>
      </c>
      <c r="AJ198">
        <f ca="1">IFERROR(__xludf.DUMMYFUNCTION("""COMPUTED_VALUE"""),2)</f>
        <v>2</v>
      </c>
      <c r="AK198" t="str">
        <f ca="1">IFERROR(__xludf.DUMMYFUNCTION("""COMPUTED_VALUE"""),"blank")</f>
        <v>blank</v>
      </c>
      <c r="AL198" t="e">
        <f ca="1">_xludf.IFNA(VLOOKUP(AH198,'S-FG'!$B$3:$B1001,1,FALSE),"")</f>
        <v>#NAME?</v>
      </c>
      <c r="AM198" t="e">
        <f ca="1">IF(AI198="","",SUMIFS(#REF!,RM!$C$4:$C991,AI198))</f>
        <v>#REF!</v>
      </c>
    </row>
    <row r="199" spans="5:39">
      <c r="E199" t="str">
        <f>IF(A199="","",SUMIFS('PR-BOM'!$D$3:$D1001,'PR-BOM'!$C$3:$C1001,A199)*C199)</f>
        <v/>
      </c>
      <c r="F199" t="e">
        <f ca="1">_xludf.IFNA(VLOOKUP(B199,'S-FG'!$B$3:$B1001,1,FALSE),"")</f>
        <v>#NAME?</v>
      </c>
      <c r="H199" t="str">
        <f ca="1">IFERROR(__xludf.DUMMYFUNCTION("""COMPUTED_VALUE"""),"A21 MotherBoard Assy")</f>
        <v>A21 MotherBoard Assy</v>
      </c>
      <c r="I199" t="str">
        <f ca="1">IFERROR(__xludf.DUMMYFUNCTION("""COMPUTED_VALUE"""),"Female Bergstrip 40x1 2.54mm")</f>
        <v>Female Bergstrip 40x1 2.54mm</v>
      </c>
      <c r="J199">
        <f ca="1">IFERROR(__xludf.DUMMYFUNCTION("""COMPUTED_VALUE"""),1)</f>
        <v>1</v>
      </c>
      <c r="L199">
        <f t="shared" ca="1" si="0"/>
        <v>0</v>
      </c>
      <c r="Q199" t="str">
        <f>IF(N199="","",SUMIFS('PR-BOM'!$D$3:$D1001,'PR-BOM'!$C$3:$C1001,N199))</f>
        <v/>
      </c>
      <c r="S199" t="str">
        <f ca="1">IFERROR(__xludf.DUMMYFUNCTION("""COMPUTED_VALUE"""),"330E 0805 Resistor")</f>
        <v>330E 0805 Resistor</v>
      </c>
      <c r="X199" t="e">
        <f ca="1"/>
        <v>#NAME?</v>
      </c>
      <c r="Y199" t="e">
        <f t="shared" ca="1" si="1"/>
        <v>#NAME?</v>
      </c>
      <c r="Z199" t="e">
        <f ca="1">IF(X199="","",SUMIFS(#REF!,RM!$C$4:$C991,X199))</f>
        <v>#NAME?</v>
      </c>
      <c r="AA199" t="e">
        <f ca="1">IF(X199="","",SUMIFS(#REF!,RM!$C$4:$C991,X199))</f>
        <v>#NAME?</v>
      </c>
      <c r="AB199" t="e">
        <f ca="1">IF(X199="","",SUMIFS(IRegback!$Y$2:$Y1001,IRegback!$X$2:$X1001,X199))</f>
        <v>#NAME?</v>
      </c>
      <c r="AC199" t="e">
        <f t="shared" ca="1" si="2"/>
        <v>#NAME?</v>
      </c>
      <c r="AD199" t="e">
        <f ca="1">IF(X199="","",VLOOKUP($X199,RM!$C$4:$G991,3,FALSE))</f>
        <v>#NAME?</v>
      </c>
      <c r="AE199" t="e">
        <f ca="1">IF(X199="","",VLOOKUP($X199,RM!$C$4:$G991,4,FALSE))</f>
        <v>#NAME?</v>
      </c>
      <c r="AF199" t="e">
        <f ca="1">IF(X199="","",VLOOKUP($X199,RM!$C$4:$G991,5,FALSE))</f>
        <v>#NAME?</v>
      </c>
      <c r="AH199" t="str">
        <f ca="1">IFERROR(__xludf.DUMMYFUNCTION("""COMPUTED_VALUE"""),"Current Sensor Assy")</f>
        <v>Current Sensor Assy</v>
      </c>
      <c r="AI199" t="str">
        <f ca="1">IFERROR(__xludf.DUMMYFUNCTION("""COMPUTED_VALUE"""),"0.1uF 0805")</f>
        <v>0.1uF 0805</v>
      </c>
      <c r="AJ199">
        <f ca="1">IFERROR(__xludf.DUMMYFUNCTION("""COMPUTED_VALUE"""),2)</f>
        <v>2</v>
      </c>
      <c r="AK199" t="str">
        <f ca="1">IFERROR(__xludf.DUMMYFUNCTION("""COMPUTED_VALUE"""),"blank")</f>
        <v>blank</v>
      </c>
      <c r="AL199" t="e">
        <f ca="1">_xludf.IFNA(VLOOKUP(AH199,'S-FG'!$B$3:$B1001,1,FALSE),"")</f>
        <v>#NAME?</v>
      </c>
      <c r="AM199" t="e">
        <f ca="1">IF(AI199="","",SUMIFS(#REF!,RM!$C$4:$C991,AI199))</f>
        <v>#REF!</v>
      </c>
    </row>
    <row r="200" spans="5:39">
      <c r="E200" t="str">
        <f>IF(A200="","",SUMIFS('PR-BOM'!$D$3:$D1001,'PR-BOM'!$C$3:$C1001,A200)*C200)</f>
        <v/>
      </c>
      <c r="F200" t="e">
        <f ca="1">_xludf.IFNA(VLOOKUP(B200,'S-FG'!$B$3:$B1001,1,FALSE),"")</f>
        <v>#NAME?</v>
      </c>
      <c r="H200" t="str">
        <f ca="1">IFERROR(__xludf.DUMMYFUNCTION("""COMPUTED_VALUE"""),"A21 MotherBoard Assy")</f>
        <v>A21 MotherBoard Assy</v>
      </c>
      <c r="I200" t="str">
        <f ca="1">IFERROR(__xludf.DUMMYFUNCTION("""COMPUTED_VALUE"""),"Male Bergstrip 40x1 2.54mm")</f>
        <v>Male Bergstrip 40x1 2.54mm</v>
      </c>
      <c r="J200">
        <f ca="1">IFERROR(__xludf.DUMMYFUNCTION("""COMPUTED_VALUE"""),1)</f>
        <v>1</v>
      </c>
      <c r="L200">
        <f t="shared" ca="1" si="0"/>
        <v>0</v>
      </c>
      <c r="Q200" t="str">
        <f>IF(N200="","",SUMIFS('PR-BOM'!$D$3:$D1001,'PR-BOM'!$C$3:$C1001,N200))</f>
        <v/>
      </c>
      <c r="S200" t="str">
        <f ca="1">IFERROR(__xludf.DUMMYFUNCTION("""COMPUTED_VALUE"""),"Female Bergstrip 40x1 2.54mm")</f>
        <v>Female Bergstrip 40x1 2.54mm</v>
      </c>
      <c r="X200" t="e">
        <f ca="1"/>
        <v>#NAME?</v>
      </c>
      <c r="Y200" t="e">
        <f t="shared" ca="1" si="1"/>
        <v>#NAME?</v>
      </c>
      <c r="Z200" t="e">
        <f ca="1">IF(X200="","",SUMIFS(#REF!,RM!$C$4:$C991,X200))</f>
        <v>#NAME?</v>
      </c>
      <c r="AA200" t="e">
        <f ca="1">IF(X200="","",SUMIFS(#REF!,RM!$C$4:$C991,X200))</f>
        <v>#NAME?</v>
      </c>
      <c r="AB200" t="e">
        <f ca="1">IF(X200="","",SUMIFS(IRegback!$Y$2:$Y1001,IRegback!$X$2:$X1001,X200))</f>
        <v>#NAME?</v>
      </c>
      <c r="AC200" t="e">
        <f t="shared" ca="1" si="2"/>
        <v>#NAME?</v>
      </c>
      <c r="AD200" t="e">
        <f ca="1">IF(X200="","",VLOOKUP($X200,RM!$C$4:$G991,3,FALSE))</f>
        <v>#NAME?</v>
      </c>
      <c r="AE200" t="e">
        <f ca="1">IF(X200="","",VLOOKUP($X200,RM!$C$4:$G991,4,FALSE))</f>
        <v>#NAME?</v>
      </c>
      <c r="AF200" t="e">
        <f ca="1">IF(X200="","",VLOOKUP($X200,RM!$C$4:$G991,5,FALSE))</f>
        <v>#NAME?</v>
      </c>
      <c r="AH200" t="str">
        <f ca="1">IFERROR(__xludf.DUMMYFUNCTION("""COMPUTED_VALUE"""),"Current Sensor Assy")</f>
        <v>Current Sensor Assy</v>
      </c>
      <c r="AI200" t="str">
        <f ca="1">IFERROR(__xludf.DUMMYFUNCTION("""COMPUTED_VALUE"""),"4 pin JST-XH male side entry")</f>
        <v>4 pin JST-XH male side entry</v>
      </c>
      <c r="AJ200">
        <f ca="1">IFERROR(__xludf.DUMMYFUNCTION("""COMPUTED_VALUE"""),1)</f>
        <v>1</v>
      </c>
      <c r="AL200" t="e">
        <f ca="1">_xludf.IFNA(VLOOKUP(AH200,'S-FG'!$B$3:$B1001,1,FALSE),"")</f>
        <v>#NAME?</v>
      </c>
      <c r="AM200" t="e">
        <f ca="1">IF(AI200="","",SUMIFS(#REF!,RM!$C$4:$C991,AI200))</f>
        <v>#REF!</v>
      </c>
    </row>
    <row r="201" spans="5:39">
      <c r="E201" t="str">
        <f>IF(A201="","",SUMIFS('PR-BOM'!$D$3:$D1001,'PR-BOM'!$C$3:$C1001,A201)*C201)</f>
        <v/>
      </c>
      <c r="F201" t="e">
        <f ca="1">_xludf.IFNA(VLOOKUP(B201,'S-FG'!$B$3:$B1001,1,FALSE),"")</f>
        <v>#NAME?</v>
      </c>
      <c r="H201" t="str">
        <f ca="1">IFERROR(__xludf.DUMMYFUNCTION("""COMPUTED_VALUE"""),"A21 MotherBoard Assy")</f>
        <v>A21 MotherBoard Assy</v>
      </c>
      <c r="I201" t="str">
        <f ca="1">IFERROR(__xludf.DUMMYFUNCTION("""COMPUTED_VALUE"""),"Conformal Coating")</f>
        <v>Conformal Coating</v>
      </c>
      <c r="J201">
        <f ca="1">IFERROR(__xludf.DUMMYFUNCTION("""COMPUTED_VALUE"""),20)</f>
        <v>20</v>
      </c>
      <c r="L201">
        <f t="shared" ca="1" si="0"/>
        <v>0</v>
      </c>
      <c r="Q201" t="str">
        <f>IF(N201="","",SUMIFS('PR-BOM'!$D$3:$D1001,'PR-BOM'!$C$3:$C1001,N201))</f>
        <v/>
      </c>
      <c r="S201" t="str">
        <f ca="1">IFERROR(__xludf.DUMMYFUNCTION("""COMPUTED_VALUE"""),"Male Bergstrip 40x1 2.54mm")</f>
        <v>Male Bergstrip 40x1 2.54mm</v>
      </c>
      <c r="X201" t="e">
        <f ca="1"/>
        <v>#NAME?</v>
      </c>
      <c r="Y201" t="e">
        <f t="shared" ca="1" si="1"/>
        <v>#NAME?</v>
      </c>
      <c r="Z201" t="e">
        <f ca="1">IF(X201="","",SUMIFS(#REF!,RM!$C$4:$C991,X201))</f>
        <v>#NAME?</v>
      </c>
      <c r="AA201" t="e">
        <f ca="1">IF(X201="","",SUMIFS(#REF!,RM!$C$4:$C991,X201))</f>
        <v>#NAME?</v>
      </c>
      <c r="AB201" t="e">
        <f ca="1">IF(X201="","",SUMIFS(IRegback!$Y$2:$Y1001,IRegback!$X$2:$X1001,X201))</f>
        <v>#NAME?</v>
      </c>
      <c r="AC201" t="e">
        <f t="shared" ca="1" si="2"/>
        <v>#NAME?</v>
      </c>
      <c r="AD201" t="e">
        <f ca="1">IF(X201="","",VLOOKUP($X201,RM!$C$4:$G991,3,FALSE))</f>
        <v>#NAME?</v>
      </c>
      <c r="AE201" t="e">
        <f ca="1">IF(X201="","",VLOOKUP($X201,RM!$C$4:$G991,4,FALSE))</f>
        <v>#NAME?</v>
      </c>
      <c r="AF201" t="e">
        <f ca="1">IF(X201="","",VLOOKUP($X201,RM!$C$4:$G991,5,FALSE))</f>
        <v>#NAME?</v>
      </c>
      <c r="AH201" t="str">
        <f ca="1">IFERROR(__xludf.DUMMYFUNCTION("""COMPUTED_VALUE"""),"A21 MotherBoard Assy")</f>
        <v>A21 MotherBoard Assy</v>
      </c>
      <c r="AI201" t="str">
        <f ca="1">IFERROR(__xludf.DUMMYFUNCTION("""COMPUTED_VALUE"""),"Receiver Module R9MM/R9MX/R9")</f>
        <v>Receiver Module R9MM/R9MX/R9</v>
      </c>
      <c r="AJ201">
        <f ca="1">IFERROR(__xludf.DUMMYFUNCTION("""COMPUTED_VALUE"""),1)</f>
        <v>1</v>
      </c>
      <c r="AK201" t="str">
        <f ca="1">IFERROR(__xludf.DUMMYFUNCTION("""COMPUTED_VALUE"""),"blank")</f>
        <v>blank</v>
      </c>
      <c r="AL201" t="e">
        <f ca="1">_xludf.IFNA(VLOOKUP(AH201,'S-FG'!$B$3:$B1001,1,FALSE),"")</f>
        <v>#NAME?</v>
      </c>
      <c r="AM201" t="e">
        <f ca="1">IF(AI201="","",SUMIFS(#REF!,RM!$C$4:$C991,AI201))</f>
        <v>#REF!</v>
      </c>
    </row>
    <row r="202" spans="5:39">
      <c r="E202" t="str">
        <f>IF(A202="","",SUMIFS('PR-BOM'!$D$3:$D1001,'PR-BOM'!$C$3:$C1001,A202)*C202)</f>
        <v/>
      </c>
      <c r="F202" t="e">
        <f ca="1">_xludf.IFNA(VLOOKUP(B202,'S-FG'!$B$3:$B1001,1,FALSE),"")</f>
        <v>#NAME?</v>
      </c>
      <c r="H202" t="str">
        <f ca="1">IFERROR(__xludf.DUMMYFUNCTION("""COMPUTED_VALUE"""),"A21 MotherBoard Assy")</f>
        <v>A21 MotherBoard Assy</v>
      </c>
      <c r="I202" t="str">
        <f ca="1">IFERROR(__xludf.DUMMYFUNCTION("""COMPUTED_VALUE"""),"Soldering flux")</f>
        <v>Soldering flux</v>
      </c>
      <c r="J202">
        <f ca="1">IFERROR(__xludf.DUMMYFUNCTION("""COMPUTED_VALUE"""),5)</f>
        <v>5</v>
      </c>
      <c r="L202">
        <f t="shared" ca="1" si="0"/>
        <v>0</v>
      </c>
      <c r="Q202" t="str">
        <f>IF(N202="","",SUMIFS('PR-BOM'!$D$3:$D1001,'PR-BOM'!$C$3:$C1001,N202))</f>
        <v/>
      </c>
      <c r="S202" t="str">
        <f ca="1">IFERROR(__xludf.DUMMYFUNCTION("""COMPUTED_VALUE"""),"Conformal Coating")</f>
        <v>Conformal Coating</v>
      </c>
      <c r="X202" t="e">
        <f ca="1"/>
        <v>#NAME?</v>
      </c>
      <c r="Y202" t="e">
        <f t="shared" ca="1" si="1"/>
        <v>#NAME?</v>
      </c>
      <c r="Z202" t="e">
        <f ca="1">IF(X202="","",SUMIFS(#REF!,RM!$C$4:$C991,X202))</f>
        <v>#NAME?</v>
      </c>
      <c r="AA202" t="e">
        <f ca="1">IF(X202="","",SUMIFS(#REF!,RM!$C$4:$C991,X202))</f>
        <v>#NAME?</v>
      </c>
      <c r="AB202" t="e">
        <f ca="1">IF(X202="","",SUMIFS(IRegback!$Y$2:$Y1001,IRegback!$X$2:$X1001,X202))</f>
        <v>#NAME?</v>
      </c>
      <c r="AC202" t="e">
        <f t="shared" ca="1" si="2"/>
        <v>#NAME?</v>
      </c>
      <c r="AD202" t="e">
        <f ca="1">IF(X202="","",VLOOKUP($X202,RM!$C$4:$G991,3,FALSE))</f>
        <v>#NAME?</v>
      </c>
      <c r="AE202" t="e">
        <f ca="1">IF(X202="","",VLOOKUP($X202,RM!$C$4:$G991,4,FALSE))</f>
        <v>#NAME?</v>
      </c>
      <c r="AF202" t="e">
        <f ca="1">IF(X202="","",VLOOKUP($X202,RM!$C$4:$G991,5,FALSE))</f>
        <v>#NAME?</v>
      </c>
      <c r="AH202" t="str">
        <f ca="1">IFERROR(__xludf.DUMMYFUNCTION("""COMPUTED_VALUE"""),"A21 MotherBoard Assy")</f>
        <v>A21 MotherBoard Assy</v>
      </c>
      <c r="AI202" t="str">
        <f ca="1">IFERROR(__xludf.DUMMYFUNCTION("""COMPUTED_VALUE"""),"Free Wheel Diode SMD M7")</f>
        <v>Free Wheel Diode SMD M7</v>
      </c>
      <c r="AJ202">
        <f ca="1">IFERROR(__xludf.DUMMYFUNCTION("""COMPUTED_VALUE"""),7)</f>
        <v>7</v>
      </c>
      <c r="AK202" t="str">
        <f ca="1">IFERROR(__xludf.DUMMYFUNCTION("""COMPUTED_VALUE"""),"Robu-597541")</f>
        <v>Robu-597541</v>
      </c>
      <c r="AL202" t="e">
        <f ca="1">_xludf.IFNA(VLOOKUP(AH202,'S-FG'!$B$3:$B1001,1,FALSE),"")</f>
        <v>#NAME?</v>
      </c>
      <c r="AM202" t="e">
        <f ca="1">IF(AI202="","",SUMIFS(#REF!,RM!$C$4:$C991,AI202))</f>
        <v>#REF!</v>
      </c>
    </row>
    <row r="203" spans="5:39">
      <c r="E203" t="str">
        <f>IF(A203="","",SUMIFS('PR-BOM'!$D$3:$D1001,'PR-BOM'!$C$3:$C1001,A203)*C203)</f>
        <v/>
      </c>
      <c r="F203" t="e">
        <f ca="1">_xludf.IFNA(VLOOKUP(B203,'S-FG'!$B$3:$B1001,1,FALSE),"")</f>
        <v>#NAME?</v>
      </c>
      <c r="H203" t="str">
        <f ca="1">IFERROR(__xludf.DUMMYFUNCTION("""COMPUTED_VALUE"""),"A21 MotherBoard Assy")</f>
        <v>A21 MotherBoard Assy</v>
      </c>
      <c r="I203" t="str">
        <f ca="1">IFERROR(__xludf.DUMMYFUNCTION("""COMPUTED_VALUE"""),"2 pin JST-XH male top entry")</f>
        <v>2 pin JST-XH male top entry</v>
      </c>
      <c r="J203">
        <f ca="1">IFERROR(__xludf.DUMMYFUNCTION("""COMPUTED_VALUE"""),3)</f>
        <v>3</v>
      </c>
      <c r="K203" t="str">
        <f ca="1">IFERROR(__xludf.DUMMYFUNCTION("""COMPUTED_VALUE"""),"blank")</f>
        <v>blank</v>
      </c>
      <c r="L203">
        <f t="shared" ca="1" si="0"/>
        <v>0</v>
      </c>
      <c r="Q203" t="str">
        <f>IF(N203="","",SUMIFS('PR-BOM'!$D$3:$D1001,'PR-BOM'!$C$3:$C1001,N203))</f>
        <v/>
      </c>
      <c r="S203" t="str">
        <f ca="1">IFERROR(__xludf.DUMMYFUNCTION("""COMPUTED_VALUE"""),"Soldering flux")</f>
        <v>Soldering flux</v>
      </c>
      <c r="X203" t="e">
        <f ca="1"/>
        <v>#NAME?</v>
      </c>
      <c r="Y203" t="e">
        <f t="shared" ca="1" si="1"/>
        <v>#NAME?</v>
      </c>
      <c r="Z203" t="e">
        <f ca="1">IF(X203="","",SUMIFS(#REF!,RM!$C$4:$C991,X203))</f>
        <v>#NAME?</v>
      </c>
      <c r="AA203" t="e">
        <f ca="1">IF(X203="","",SUMIFS(#REF!,RM!$C$4:$C991,X203))</f>
        <v>#NAME?</v>
      </c>
      <c r="AB203" t="e">
        <f ca="1">IF(X203="","",SUMIFS(IRegback!$Y$2:$Y1001,IRegback!$X$2:$X1001,X203))</f>
        <v>#NAME?</v>
      </c>
      <c r="AC203" t="e">
        <f t="shared" ca="1" si="2"/>
        <v>#NAME?</v>
      </c>
      <c r="AD203" t="e">
        <f ca="1">IF(X203="","",VLOOKUP($X203,RM!$C$4:$G991,3,FALSE))</f>
        <v>#NAME?</v>
      </c>
      <c r="AE203" t="e">
        <f ca="1">IF(X203="","",VLOOKUP($X203,RM!$C$4:$G991,4,FALSE))</f>
        <v>#NAME?</v>
      </c>
      <c r="AF203" t="e">
        <f ca="1">IF(X203="","",VLOOKUP($X203,RM!$C$4:$G991,5,FALSE))</f>
        <v>#NAME?</v>
      </c>
      <c r="AH203" t="str">
        <f ca="1">IFERROR(__xludf.DUMMYFUNCTION("""COMPUTED_VALUE"""),"A21 MotherBoard Assy")</f>
        <v>A21 MotherBoard Assy</v>
      </c>
      <c r="AI203" t="str">
        <f ca="1">IFERROR(__xludf.DUMMYFUNCTION("""COMPUTED_VALUE"""),"LM1117 5.0v")</f>
        <v>LM1117 5.0v</v>
      </c>
      <c r="AJ203">
        <f ca="1">IFERROR(__xludf.DUMMYFUNCTION("""COMPUTED_VALUE"""),3)</f>
        <v>3</v>
      </c>
      <c r="AK203" t="str">
        <f ca="1">IFERROR(__xludf.DUMMYFUNCTION("""COMPUTED_VALUE"""),"blank")</f>
        <v>blank</v>
      </c>
      <c r="AL203" t="e">
        <f ca="1">_xludf.IFNA(VLOOKUP(AH203,'S-FG'!$B$3:$B1001,1,FALSE),"")</f>
        <v>#NAME?</v>
      </c>
      <c r="AM203" t="e">
        <f ca="1">IF(AI203="","",SUMIFS(#REF!,RM!$C$4:$C991,AI203))</f>
        <v>#REF!</v>
      </c>
    </row>
    <row r="204" spans="5:39">
      <c r="E204" t="str">
        <f>IF(A204="","",SUMIFS('PR-BOM'!$D$3:$D1001,'PR-BOM'!$C$3:$C1001,A204)*C204)</f>
        <v/>
      </c>
      <c r="F204" t="e">
        <f ca="1">_xludf.IFNA(VLOOKUP(B204,'S-FG'!$B$3:$B1001,1,FALSE),"")</f>
        <v>#NAME?</v>
      </c>
      <c r="H204" t="str">
        <f ca="1">IFERROR(__xludf.DUMMYFUNCTION("""COMPUTED_VALUE"""),"A21 MotherBoard Assy")</f>
        <v>A21 MotherBoard Assy</v>
      </c>
      <c r="I204" t="str">
        <f ca="1">IFERROR(__xludf.DUMMYFUNCTION("""COMPUTED_VALUE"""),"2 pin JST-XH male top entry RED")</f>
        <v>2 pin JST-XH male top entry RED</v>
      </c>
      <c r="J204">
        <f ca="1">IFERROR(__xludf.DUMMYFUNCTION("""COMPUTED_VALUE"""),1)</f>
        <v>1</v>
      </c>
      <c r="L204">
        <f t="shared" ca="1" si="0"/>
        <v>0</v>
      </c>
      <c r="Q204" t="str">
        <f>IF(N204="","",SUMIFS('PR-BOM'!$D$3:$D1001,'PR-BOM'!$C$3:$C1001,N204))</f>
        <v/>
      </c>
      <c r="S204" t="str">
        <f ca="1">IFERROR(__xludf.DUMMYFUNCTION("""COMPUTED_VALUE"""),"2 pin JST-XH male top entry")</f>
        <v>2 pin JST-XH male top entry</v>
      </c>
      <c r="X204" t="e">
        <f ca="1"/>
        <v>#NAME?</v>
      </c>
      <c r="Y204" t="e">
        <f t="shared" ca="1" si="1"/>
        <v>#NAME?</v>
      </c>
      <c r="Z204" t="e">
        <f ca="1">IF(X204="","",SUMIFS(#REF!,RM!$C$4:$C991,X204))</f>
        <v>#NAME?</v>
      </c>
      <c r="AA204" t="e">
        <f ca="1">IF(X204="","",SUMIFS(#REF!,RM!$C$4:$C991,X204))</f>
        <v>#NAME?</v>
      </c>
      <c r="AB204" t="e">
        <f ca="1">IF(X204="","",SUMIFS(IRegback!$Y$2:$Y1001,IRegback!$X$2:$X1001,X204))</f>
        <v>#NAME?</v>
      </c>
      <c r="AC204" t="e">
        <f t="shared" ca="1" si="2"/>
        <v>#NAME?</v>
      </c>
      <c r="AD204" t="e">
        <f ca="1">IF(X204="","",VLOOKUP($X204,RM!$C$4:$G991,3,FALSE))</f>
        <v>#NAME?</v>
      </c>
      <c r="AE204" t="e">
        <f ca="1">IF(X204="","",VLOOKUP($X204,RM!$C$4:$G991,4,FALSE))</f>
        <v>#NAME?</v>
      </c>
      <c r="AF204" t="e">
        <f ca="1">IF(X204="","",VLOOKUP($X204,RM!$C$4:$G991,5,FALSE))</f>
        <v>#NAME?</v>
      </c>
      <c r="AH204" t="str">
        <f ca="1">IFERROR(__xludf.DUMMYFUNCTION("""COMPUTED_VALUE"""),"A21 MotherBoard Assy")</f>
        <v>A21 MotherBoard Assy</v>
      </c>
      <c r="AI204" t="str">
        <f ca="1">IFERROR(__xludf.DUMMYFUNCTION("""COMPUTED_VALUE"""),"LM1117 3.3v")</f>
        <v>LM1117 3.3v</v>
      </c>
      <c r="AJ204">
        <f ca="1">IFERROR(__xludf.DUMMYFUNCTION("""COMPUTED_VALUE"""),1)</f>
        <v>1</v>
      </c>
      <c r="AK204" t="str">
        <f ca="1">IFERROR(__xludf.DUMMYFUNCTION("""COMPUTED_VALUE"""),"blank")</f>
        <v>blank</v>
      </c>
      <c r="AL204" t="e">
        <f ca="1">_xludf.IFNA(VLOOKUP(AH204,'S-FG'!$B$3:$B1001,1,FALSE),"")</f>
        <v>#NAME?</v>
      </c>
      <c r="AM204" t="e">
        <f ca="1">IF(AI204="","",SUMIFS(#REF!,RM!$C$4:$C991,AI204))</f>
        <v>#REF!</v>
      </c>
    </row>
    <row r="205" spans="5:39">
      <c r="E205" t="str">
        <f>IF(A205="","",SUMIFS('PR-BOM'!$D$3:$D1001,'PR-BOM'!$C$3:$C1001,A205)*C205)</f>
        <v/>
      </c>
      <c r="F205" t="e">
        <f ca="1">_xludf.IFNA(VLOOKUP(B205,'S-FG'!$B$3:$B1001,1,FALSE),"")</f>
        <v>#NAME?</v>
      </c>
      <c r="H205" t="str">
        <f ca="1">IFERROR(__xludf.DUMMYFUNCTION("""COMPUTED_VALUE"""),"A21 MotherBoard Assy")</f>
        <v>A21 MotherBoard Assy</v>
      </c>
      <c r="I205" t="str">
        <f ca="1">IFERROR(__xludf.DUMMYFUNCTION("""COMPUTED_VALUE"""),"13 pin JST-XH male top entry")</f>
        <v>13 pin JST-XH male top entry</v>
      </c>
      <c r="J205">
        <f ca="1">IFERROR(__xludf.DUMMYFUNCTION("""COMPUTED_VALUE"""),1)</f>
        <v>1</v>
      </c>
      <c r="K205" t="str">
        <f ca="1">IFERROR(__xludf.DUMMYFUNCTION("""COMPUTED_VALUE"""),"blank")</f>
        <v>blank</v>
      </c>
      <c r="L205">
        <f t="shared" ca="1" si="0"/>
        <v>0</v>
      </c>
      <c r="Q205" t="str">
        <f>IF(N205="","",SUMIFS('PR-BOM'!$D$3:$D1001,'PR-BOM'!$C$3:$C1001,N205))</f>
        <v/>
      </c>
      <c r="S205" t="str">
        <f ca="1">IFERROR(__xludf.DUMMYFUNCTION("""COMPUTED_VALUE"""),"2 pin JST-XH male top entry RED")</f>
        <v>2 pin JST-XH male top entry RED</v>
      </c>
      <c r="X205" t="e">
        <f ca="1"/>
        <v>#NAME?</v>
      </c>
      <c r="Y205" t="e">
        <f t="shared" ca="1" si="1"/>
        <v>#NAME?</v>
      </c>
      <c r="Z205" t="e">
        <f ca="1">IF(X205="","",SUMIFS(#REF!,RM!$C$4:$C991,X205))</f>
        <v>#NAME?</v>
      </c>
      <c r="AA205" t="e">
        <f ca="1">IF(X205="","",SUMIFS(#REF!,RM!$C$4:$C991,X205))</f>
        <v>#NAME?</v>
      </c>
      <c r="AB205" t="e">
        <f ca="1">IF(X205="","",SUMIFS(IRegback!$Y$2:$Y1001,IRegback!$X$2:$X1001,X205))</f>
        <v>#NAME?</v>
      </c>
      <c r="AC205" t="e">
        <f t="shared" ca="1" si="2"/>
        <v>#NAME?</v>
      </c>
      <c r="AD205" t="e">
        <f ca="1">IF(X205="","",VLOOKUP($X205,RM!$C$4:$G991,3,FALSE))</f>
        <v>#NAME?</v>
      </c>
      <c r="AE205" t="e">
        <f ca="1">IF(X205="","",VLOOKUP($X205,RM!$C$4:$G991,4,FALSE))</f>
        <v>#NAME?</v>
      </c>
      <c r="AF205" t="e">
        <f ca="1">IF(X205="","",VLOOKUP($X205,RM!$C$4:$G991,5,FALSE))</f>
        <v>#NAME?</v>
      </c>
      <c r="AH205" t="str">
        <f ca="1">IFERROR(__xludf.DUMMYFUNCTION("""COMPUTED_VALUE"""),"A21 MotherBoard Assy")</f>
        <v>A21 MotherBoard Assy</v>
      </c>
      <c r="AI205" t="str">
        <f ca="1">IFERROR(__xludf.DUMMYFUNCTION("""COMPUTED_VALUE"""),"NEO-6M GPS")</f>
        <v>NEO-6M GPS</v>
      </c>
      <c r="AJ205">
        <f ca="1">IFERROR(__xludf.DUMMYFUNCTION("""COMPUTED_VALUE"""),1)</f>
        <v>1</v>
      </c>
      <c r="AK205" t="str">
        <f ca="1">IFERROR(__xludf.DUMMYFUNCTION("""COMPUTED_VALUE"""),"blank")</f>
        <v>blank</v>
      </c>
      <c r="AL205" t="e">
        <f ca="1">_xludf.IFNA(VLOOKUP(AH205,'S-FG'!$B$3:$B1001,1,FALSE),"")</f>
        <v>#NAME?</v>
      </c>
      <c r="AM205" t="e">
        <f ca="1">IF(AI205="","",SUMIFS(#REF!,RM!$C$4:$C991,AI205))</f>
        <v>#REF!</v>
      </c>
    </row>
    <row r="206" spans="5:39">
      <c r="E206" t="str">
        <f>IF(A206="","",SUMIFS('PR-BOM'!$D$3:$D1001,'PR-BOM'!$C$3:$C1001,A206)*C206)</f>
        <v/>
      </c>
      <c r="F206" t="e">
        <f ca="1">_xludf.IFNA(VLOOKUP(B206,'S-FG'!$B$3:$B1001,1,FALSE),"")</f>
        <v>#NAME?</v>
      </c>
      <c r="H206" t="str">
        <f ca="1">IFERROR(__xludf.DUMMYFUNCTION("""COMPUTED_VALUE"""),"A21 MotherBoard Assy")</f>
        <v>A21 MotherBoard Assy</v>
      </c>
      <c r="I206" t="str">
        <f ca="1">IFERROR(__xludf.DUMMYFUNCTION("""COMPUTED_VALUE"""),"15 pin JST-XH male top entry")</f>
        <v>15 pin JST-XH male top entry</v>
      </c>
      <c r="J206">
        <f ca="1">IFERROR(__xludf.DUMMYFUNCTION("""COMPUTED_VALUE"""),2)</f>
        <v>2</v>
      </c>
      <c r="K206" t="str">
        <f ca="1">IFERROR(__xludf.DUMMYFUNCTION("""COMPUTED_VALUE"""),"blank")</f>
        <v>blank</v>
      </c>
      <c r="L206">
        <f t="shared" ca="1" si="0"/>
        <v>0</v>
      </c>
      <c r="Q206" t="str">
        <f>IF(N206="","",SUMIFS('PR-BOM'!$D$3:$D1001,'PR-BOM'!$C$3:$C1001,N206))</f>
        <v/>
      </c>
      <c r="S206" t="str">
        <f ca="1">IFERROR(__xludf.DUMMYFUNCTION("""COMPUTED_VALUE"""),"13 pin JST-XH male top entry")</f>
        <v>13 pin JST-XH male top entry</v>
      </c>
      <c r="X206" t="e">
        <f ca="1"/>
        <v>#NAME?</v>
      </c>
      <c r="Y206" t="e">
        <f t="shared" ca="1" si="1"/>
        <v>#NAME?</v>
      </c>
      <c r="Z206" t="e">
        <f ca="1">IF(X206="","",SUMIFS(#REF!,RM!$C$4:$C991,X206))</f>
        <v>#NAME?</v>
      </c>
      <c r="AA206" t="e">
        <f ca="1">IF(X206="","",SUMIFS(#REF!,RM!$C$4:$C991,X206))</f>
        <v>#NAME?</v>
      </c>
      <c r="AB206" t="e">
        <f ca="1">IF(X206="","",SUMIFS(IRegback!$Y$2:$Y1001,IRegback!$X$2:$X1001,X206))</f>
        <v>#NAME?</v>
      </c>
      <c r="AC206" t="e">
        <f t="shared" ca="1" si="2"/>
        <v>#NAME?</v>
      </c>
      <c r="AD206" t="e">
        <f ca="1">IF(X206="","",VLOOKUP($X206,RM!$C$4:$G991,3,FALSE))</f>
        <v>#NAME?</v>
      </c>
      <c r="AE206" t="e">
        <f ca="1">IF(X206="","",VLOOKUP($X206,RM!$C$4:$G991,4,FALSE))</f>
        <v>#NAME?</v>
      </c>
      <c r="AF206" t="e">
        <f ca="1">IF(X206="","",VLOOKUP($X206,RM!$C$4:$G991,5,FALSE))</f>
        <v>#NAME?</v>
      </c>
      <c r="AH206" t="str">
        <f ca="1">IFERROR(__xludf.DUMMYFUNCTION("""COMPUTED_VALUE"""),"A21 MotherBoard Assy")</f>
        <v>A21 MotherBoard Assy</v>
      </c>
      <c r="AI206" t="str">
        <f ca="1">IFERROR(__xludf.DUMMYFUNCTION("""COMPUTED_VALUE"""),"4mm Male Bullet connector")</f>
        <v>4mm Male Bullet connector</v>
      </c>
      <c r="AJ206">
        <f ca="1">IFERROR(__xludf.DUMMYFUNCTION("""COMPUTED_VALUE"""),2)</f>
        <v>2</v>
      </c>
      <c r="AK206" t="str">
        <f ca="1">IFERROR(__xludf.DUMMYFUNCTION("""COMPUTED_VALUE"""),"blank")</f>
        <v>blank</v>
      </c>
      <c r="AL206" t="e">
        <f ca="1">_xludf.IFNA(VLOOKUP(AH206,'S-FG'!$B$3:$B1001,1,FALSE),"")</f>
        <v>#NAME?</v>
      </c>
      <c r="AM206" t="e">
        <f ca="1">IF(AI206="","",SUMIFS(#REF!,RM!$C$4:$C991,AI206))</f>
        <v>#REF!</v>
      </c>
    </row>
    <row r="207" spans="5:39">
      <c r="E207" t="str">
        <f>IF(A207="","",SUMIFS('PR-BOM'!$D$3:$D1001,'PR-BOM'!$C$3:$C1001,A207)*C207)</f>
        <v/>
      </c>
      <c r="F207" t="e">
        <f ca="1">_xludf.IFNA(VLOOKUP(B207,'S-FG'!$B$3:$B1001,1,FALSE),"")</f>
        <v>#NAME?</v>
      </c>
      <c r="H207" t="str">
        <f ca="1">IFERROR(__xludf.DUMMYFUNCTION("""COMPUTED_VALUE"""),"A21 MotherBoard Assy")</f>
        <v>A21 MotherBoard Assy</v>
      </c>
      <c r="I207" t="str">
        <f ca="1">IFERROR(__xludf.DUMMYFUNCTION("""COMPUTED_VALUE"""),"JST-XH Crimping pins")</f>
        <v>JST-XH Crimping pins</v>
      </c>
      <c r="J207">
        <f ca="1">IFERROR(__xludf.DUMMYFUNCTION("""COMPUTED_VALUE"""),10)</f>
        <v>10</v>
      </c>
      <c r="L207">
        <f t="shared" ca="1" si="0"/>
        <v>0</v>
      </c>
      <c r="Q207" t="str">
        <f>IF(N207="","",SUMIFS('PR-BOM'!$D$3:$D1001,'PR-BOM'!$C$3:$C1001,N207))</f>
        <v/>
      </c>
      <c r="S207" t="str">
        <f ca="1">IFERROR(__xludf.DUMMYFUNCTION("""COMPUTED_VALUE"""),"15 pin JST-XH male top entry")</f>
        <v>15 pin JST-XH male top entry</v>
      </c>
      <c r="X207" t="e">
        <f ca="1"/>
        <v>#NAME?</v>
      </c>
      <c r="Y207" t="e">
        <f t="shared" ca="1" si="1"/>
        <v>#NAME?</v>
      </c>
      <c r="Z207" t="e">
        <f ca="1">IF(X207="","",SUMIFS(#REF!,RM!$C$4:$C991,X207))</f>
        <v>#NAME?</v>
      </c>
      <c r="AA207" t="e">
        <f ca="1">IF(X207="","",SUMIFS(#REF!,RM!$C$4:$C991,X207))</f>
        <v>#NAME?</v>
      </c>
      <c r="AB207" t="e">
        <f ca="1">IF(X207="","",SUMIFS(IRegback!$Y$2:$Y1001,IRegback!$X$2:$X1001,X207))</f>
        <v>#NAME?</v>
      </c>
      <c r="AC207" t="e">
        <f t="shared" ca="1" si="2"/>
        <v>#NAME?</v>
      </c>
      <c r="AD207" t="e">
        <f ca="1">IF(X207="","",VLOOKUP($X207,RM!$C$4:$G991,3,FALSE))</f>
        <v>#NAME?</v>
      </c>
      <c r="AE207" t="e">
        <f ca="1">IF(X207="","",VLOOKUP($X207,RM!$C$4:$G991,4,FALSE))</f>
        <v>#NAME?</v>
      </c>
      <c r="AF207" t="e">
        <f ca="1">IF(X207="","",VLOOKUP($X207,RM!$C$4:$G991,5,FALSE))</f>
        <v>#NAME?</v>
      </c>
      <c r="AH207" t="str">
        <f ca="1">IFERROR(__xludf.DUMMYFUNCTION("""COMPUTED_VALUE"""),"A21 MotherBoard Assy")</f>
        <v>A21 MotherBoard Assy</v>
      </c>
      <c r="AI207" t="str">
        <f ca="1">IFERROR(__xludf.DUMMYFUNCTION("""COMPUTED_VALUE"""),"4mm Female Bullet connector")</f>
        <v>4mm Female Bullet connector</v>
      </c>
      <c r="AJ207">
        <f ca="1">IFERROR(__xludf.DUMMYFUNCTION("""COMPUTED_VALUE"""),4)</f>
        <v>4</v>
      </c>
      <c r="AK207" t="str">
        <f ca="1">IFERROR(__xludf.DUMMYFUNCTION("""COMPUTED_VALUE"""),"blank")</f>
        <v>blank</v>
      </c>
      <c r="AL207" t="e">
        <f ca="1">_xludf.IFNA(VLOOKUP(AH207,'S-FG'!$B$3:$B1001,1,FALSE),"")</f>
        <v>#NAME?</v>
      </c>
      <c r="AM207" t="e">
        <f ca="1">IF(AI207="","",SUMIFS(#REF!,RM!$C$4:$C991,AI207))</f>
        <v>#REF!</v>
      </c>
    </row>
    <row r="208" spans="5:39">
      <c r="E208" t="str">
        <f>IF(A208="","",SUMIFS('PR-BOM'!$D$3:$D1001,'PR-BOM'!$C$3:$C1001,A208)*C208)</f>
        <v/>
      </c>
      <c r="F208" t="e">
        <f ca="1">_xludf.IFNA(VLOOKUP(B208,'S-FG'!$B$3:$B1001,1,FALSE),"")</f>
        <v>#NAME?</v>
      </c>
      <c r="H208" t="str">
        <f ca="1">IFERROR(__xludf.DUMMYFUNCTION("""COMPUTED_VALUE"""),"A21 MotherBoard Assy")</f>
        <v>A21 MotherBoard Assy</v>
      </c>
      <c r="I208" t="str">
        <f ca="1">IFERROR(__xludf.DUMMYFUNCTION("""COMPUTED_VALUE"""),"Fuse 500mA")</f>
        <v>Fuse 500mA</v>
      </c>
      <c r="J208">
        <f ca="1">IFERROR(__xludf.DUMMYFUNCTION("""COMPUTED_VALUE"""),1)</f>
        <v>1</v>
      </c>
      <c r="L208">
        <f t="shared" ca="1" si="0"/>
        <v>0</v>
      </c>
      <c r="Q208" t="str">
        <f>IF(N208="","",SUMIFS('PR-BOM'!$D$3:$D1001,'PR-BOM'!$C$3:$C1001,N208))</f>
        <v/>
      </c>
      <c r="S208" t="str">
        <f ca="1">IFERROR(__xludf.DUMMYFUNCTION("""COMPUTED_VALUE"""),"JST-XH Crimping pins")</f>
        <v>JST-XH Crimping pins</v>
      </c>
      <c r="X208" t="e">
        <f ca="1"/>
        <v>#NAME?</v>
      </c>
      <c r="Y208" t="e">
        <f t="shared" ca="1" si="1"/>
        <v>#NAME?</v>
      </c>
      <c r="Z208" t="e">
        <f ca="1">IF(X208="","",SUMIFS(#REF!,RM!$C$4:$C991,X208))</f>
        <v>#NAME?</v>
      </c>
      <c r="AA208" t="e">
        <f ca="1">IF(X208="","",SUMIFS(#REF!,RM!$C$4:$C991,X208))</f>
        <v>#NAME?</v>
      </c>
      <c r="AB208" t="e">
        <f ca="1">IF(X208="","",SUMIFS(IRegback!$Y$2:$Y1001,IRegback!$X$2:$X1001,X208))</f>
        <v>#NAME?</v>
      </c>
      <c r="AC208" t="e">
        <f t="shared" ca="1" si="2"/>
        <v>#NAME?</v>
      </c>
      <c r="AD208" t="e">
        <f ca="1">IF(X208="","",VLOOKUP($X208,RM!$C$4:$G991,3,FALSE))</f>
        <v>#NAME?</v>
      </c>
      <c r="AE208" t="e">
        <f ca="1">IF(X208="","",VLOOKUP($X208,RM!$C$4:$G991,4,FALSE))</f>
        <v>#NAME?</v>
      </c>
      <c r="AF208" t="e">
        <f ca="1">IF(X208="","",VLOOKUP($X208,RM!$C$4:$G991,5,FALSE))</f>
        <v>#NAME?</v>
      </c>
      <c r="AH208" t="str">
        <f ca="1">IFERROR(__xludf.DUMMYFUNCTION("""COMPUTED_VALUE"""),"A21 MotherBoard Assy")</f>
        <v>A21 MotherBoard Assy</v>
      </c>
      <c r="AI208" t="str">
        <f ca="1">IFERROR(__xludf.DUMMYFUNCTION("""COMPUTED_VALUE"""),"2mm male bullet connector")</f>
        <v>2mm male bullet connector</v>
      </c>
      <c r="AJ208">
        <f ca="1">IFERROR(__xludf.DUMMYFUNCTION("""COMPUTED_VALUE"""),0)</f>
        <v>0</v>
      </c>
      <c r="AK208" t="str">
        <f ca="1">IFERROR(__xludf.DUMMYFUNCTION("""COMPUTED_VALUE"""),"blank")</f>
        <v>blank</v>
      </c>
      <c r="AL208" t="e">
        <f ca="1">_xludf.IFNA(VLOOKUP(AH208,'S-FG'!$B$3:$B1001,1,FALSE),"")</f>
        <v>#NAME?</v>
      </c>
      <c r="AM208" t="e">
        <f ca="1">IF(AI208="","",SUMIFS(#REF!,RM!$C$4:$C991,AI208))</f>
        <v>#REF!</v>
      </c>
    </row>
    <row r="209" spans="5:39">
      <c r="E209" t="str">
        <f>IF(A209="","",SUMIFS('PR-BOM'!$D$3:$D1001,'PR-BOM'!$C$3:$C1001,A209)*C209)</f>
        <v/>
      </c>
      <c r="F209" t="e">
        <f ca="1">_xludf.IFNA(VLOOKUP(B209,'S-FG'!$B$3:$B1001,1,FALSE),"")</f>
        <v>#NAME?</v>
      </c>
      <c r="H209" t="str">
        <f ca="1">IFERROR(__xludf.DUMMYFUNCTION("""COMPUTED_VALUE"""),"A21 MotherBoard Assy")</f>
        <v>A21 MotherBoard Assy</v>
      </c>
      <c r="I209" t="str">
        <f ca="1">IFERROR(__xludf.DUMMYFUNCTION("""COMPUTED_VALUE"""),"MCP3208")</f>
        <v>MCP3208</v>
      </c>
      <c r="J209">
        <f ca="1">IFERROR(__xludf.DUMMYFUNCTION("""COMPUTED_VALUE"""),2)</f>
        <v>2</v>
      </c>
      <c r="K209" t="str">
        <f ca="1">IFERROR(__xludf.DUMMYFUNCTION("""COMPUTED_VALUE"""),"blank")</f>
        <v>blank</v>
      </c>
      <c r="L209">
        <f t="shared" ca="1" si="0"/>
        <v>0</v>
      </c>
      <c r="Q209" t="str">
        <f>IF(N209="","",SUMIFS('PR-BOM'!$D$3:$D1001,'PR-BOM'!$C$3:$C1001,N209))</f>
        <v/>
      </c>
      <c r="S209" t="str">
        <f ca="1">IFERROR(__xludf.DUMMYFUNCTION("""COMPUTED_VALUE"""),"Fuse 500mA")</f>
        <v>Fuse 500mA</v>
      </c>
      <c r="X209" t="e">
        <f ca="1"/>
        <v>#NAME?</v>
      </c>
      <c r="Y209" t="e">
        <f t="shared" ca="1" si="1"/>
        <v>#NAME?</v>
      </c>
      <c r="Z209" t="e">
        <f ca="1">IF(X209="","",SUMIFS(#REF!,RM!$C$4:$C991,X209))</f>
        <v>#NAME?</v>
      </c>
      <c r="AA209" t="e">
        <f ca="1">IF(X209="","",SUMIFS(#REF!,RM!$C$4:$C991,X209))</f>
        <v>#NAME?</v>
      </c>
      <c r="AB209" t="e">
        <f ca="1">IF(X209="","",SUMIFS(IRegback!$Y$2:$Y1001,IRegback!$X$2:$X1001,X209))</f>
        <v>#NAME?</v>
      </c>
      <c r="AC209" t="e">
        <f t="shared" ca="1" si="2"/>
        <v>#NAME?</v>
      </c>
      <c r="AD209" t="e">
        <f ca="1">IF(X209="","",VLOOKUP($X209,RM!$C$4:$G991,3,FALSE))</f>
        <v>#NAME?</v>
      </c>
      <c r="AE209" t="e">
        <f ca="1">IF(X209="","",VLOOKUP($X209,RM!$C$4:$G991,4,FALSE))</f>
        <v>#NAME?</v>
      </c>
      <c r="AF209" t="e">
        <f ca="1">IF(X209="","",VLOOKUP($X209,RM!$C$4:$G991,5,FALSE))</f>
        <v>#NAME?</v>
      </c>
      <c r="AH209" t="str">
        <f ca="1">IFERROR(__xludf.DUMMYFUNCTION("""COMPUTED_VALUE"""),"A21 MotherBoard Assy")</f>
        <v>A21 MotherBoard Assy</v>
      </c>
      <c r="AI209" t="str">
        <f ca="1">IFERROR(__xludf.DUMMYFUNCTION("""COMPUTED_VALUE"""),"2mm Female Bullet connector")</f>
        <v>2mm Female Bullet connector</v>
      </c>
      <c r="AJ209">
        <f ca="1">IFERROR(__xludf.DUMMYFUNCTION("""COMPUTED_VALUE"""),0)</f>
        <v>0</v>
      </c>
      <c r="AK209" t="str">
        <f ca="1">IFERROR(__xludf.DUMMYFUNCTION("""COMPUTED_VALUE"""),"blank")</f>
        <v>blank</v>
      </c>
      <c r="AL209" t="e">
        <f ca="1">_xludf.IFNA(VLOOKUP(AH209,'S-FG'!$B$3:$B1001,1,FALSE),"")</f>
        <v>#NAME?</v>
      </c>
      <c r="AM209" t="e">
        <f ca="1">IF(AI209="","",SUMIFS(#REF!,RM!$C$4:$C991,AI209))</f>
        <v>#REF!</v>
      </c>
    </row>
    <row r="210" spans="5:39">
      <c r="E210" t="str">
        <f>IF(A210="","",SUMIFS('PR-BOM'!$D$3:$D1001,'PR-BOM'!$C$3:$C1001,A210)*C210)</f>
        <v/>
      </c>
      <c r="F210" t="e">
        <f ca="1">_xludf.IFNA(VLOOKUP(B210,'S-FG'!$B$3:$B1001,1,FALSE),"")</f>
        <v>#NAME?</v>
      </c>
      <c r="H210" t="str">
        <f ca="1">IFERROR(__xludf.DUMMYFUNCTION("""COMPUTED_VALUE"""),"A21 MotherBoard Assy")</f>
        <v>A21 MotherBoard Assy</v>
      </c>
      <c r="I210" t="str">
        <f ca="1">IFERROR(__xludf.DUMMYFUNCTION("""COMPUTED_VALUE"""),"23A 24v Power relay")</f>
        <v>23A 24v Power relay</v>
      </c>
      <c r="J210">
        <f ca="1">IFERROR(__xludf.DUMMYFUNCTION("""COMPUTED_VALUE"""),1)</f>
        <v>1</v>
      </c>
      <c r="K210" t="str">
        <f ca="1">IFERROR(__xludf.DUMMYFUNCTION("""COMPUTED_VALUE"""),"blank")</f>
        <v>blank</v>
      </c>
      <c r="L210">
        <f t="shared" ca="1" si="0"/>
        <v>0</v>
      </c>
      <c r="Q210" t="str">
        <f>IF(N210="","",SUMIFS('PR-BOM'!$D$3:$D1001,'PR-BOM'!$C$3:$C1001,N210))</f>
        <v/>
      </c>
      <c r="S210" t="str">
        <f ca="1">IFERROR(__xludf.DUMMYFUNCTION("""COMPUTED_VALUE"""),"MCP3208")</f>
        <v>MCP3208</v>
      </c>
      <c r="X210" t="e">
        <f ca="1"/>
        <v>#NAME?</v>
      </c>
      <c r="Y210" t="e">
        <f t="shared" ca="1" si="1"/>
        <v>#NAME?</v>
      </c>
      <c r="Z210" t="e">
        <f ca="1">IF(X210="","",SUMIFS(#REF!,RM!$C$4:$C991,X210))</f>
        <v>#NAME?</v>
      </c>
      <c r="AA210" t="e">
        <f ca="1">IF(X210="","",SUMIFS(#REF!,RM!$C$4:$C991,X210))</f>
        <v>#NAME?</v>
      </c>
      <c r="AB210" t="e">
        <f ca="1">IF(X210="","",SUMIFS(IRegback!$Y$2:$Y1001,IRegback!$X$2:$X1001,X210))</f>
        <v>#NAME?</v>
      </c>
      <c r="AC210" t="e">
        <f t="shared" ca="1" si="2"/>
        <v>#NAME?</v>
      </c>
      <c r="AD210" t="e">
        <f ca="1">IF(X210="","",VLOOKUP($X210,RM!$C$4:$G991,3,FALSE))</f>
        <v>#NAME?</v>
      </c>
      <c r="AE210" t="e">
        <f ca="1">IF(X210="","",VLOOKUP($X210,RM!$C$4:$G991,4,FALSE))</f>
        <v>#NAME?</v>
      </c>
      <c r="AF210" t="e">
        <f ca="1">IF(X210="","",VLOOKUP($X210,RM!$C$4:$G991,5,FALSE))</f>
        <v>#NAME?</v>
      </c>
      <c r="AH210" t="str">
        <f ca="1">IFERROR(__xludf.DUMMYFUNCTION("""COMPUTED_VALUE"""),"A21 MotherBoard Assy")</f>
        <v>A21 MotherBoard Assy</v>
      </c>
      <c r="AI210" t="str">
        <f ca="1">IFERROR(__xludf.DUMMYFUNCTION("""COMPUTED_VALUE"""),"6mm male bullet connector")</f>
        <v>6mm male bullet connector</v>
      </c>
      <c r="AJ210">
        <f ca="1">IFERROR(__xludf.DUMMYFUNCTION("""COMPUTED_VALUE"""),2)</f>
        <v>2</v>
      </c>
      <c r="AK210" t="str">
        <f ca="1">IFERROR(__xludf.DUMMYFUNCTION("""COMPUTED_VALUE"""),"blank")</f>
        <v>blank</v>
      </c>
      <c r="AL210" t="e">
        <f ca="1">_xludf.IFNA(VLOOKUP(AH210,'S-FG'!$B$3:$B1001,1,FALSE),"")</f>
        <v>#NAME?</v>
      </c>
      <c r="AM210" t="e">
        <f ca="1">IF(AI210="","",SUMIFS(#REF!,RM!$C$4:$C991,AI210))</f>
        <v>#REF!</v>
      </c>
    </row>
    <row r="211" spans="5:39">
      <c r="E211" t="str">
        <f>IF(A211="","",SUMIFS('PR-BOM'!$D$3:$D1001,'PR-BOM'!$C$3:$C1001,A211)*C211)</f>
        <v/>
      </c>
      <c r="F211" t="e">
        <f ca="1">_xludf.IFNA(VLOOKUP(B211,'S-FG'!$B$3:$B1001,1,FALSE),"")</f>
        <v>#NAME?</v>
      </c>
      <c r="H211" t="str">
        <f ca="1">IFERROR(__xludf.DUMMYFUNCTION("""COMPUTED_VALUE"""),"A21 MotherBoard Assy")</f>
        <v>A21 MotherBoard Assy</v>
      </c>
      <c r="I211" t="str">
        <f ca="1">IFERROR(__xludf.DUMMYFUNCTION("""COMPUTED_VALUE"""),"470k 0805 PANASONIC")</f>
        <v>470k 0805 PANASONIC</v>
      </c>
      <c r="J211">
        <f ca="1">IFERROR(__xludf.DUMMYFUNCTION("""COMPUTED_VALUE"""),12)</f>
        <v>12</v>
      </c>
      <c r="K211" t="str">
        <f ca="1">IFERROR(__xludf.DUMMYFUNCTION("""COMPUTED_VALUE"""),"ERJUP6F4703V")</f>
        <v>ERJUP6F4703V</v>
      </c>
      <c r="L211">
        <f t="shared" ca="1" si="0"/>
        <v>0</v>
      </c>
      <c r="Q211" t="str">
        <f>IF(N211="","",SUMIFS('PR-BOM'!$D$3:$D1001,'PR-BOM'!$C$3:$C1001,N211))</f>
        <v/>
      </c>
      <c r="S211" t="str">
        <f ca="1">IFERROR(__xludf.DUMMYFUNCTION("""COMPUTED_VALUE"""),"23A 24v Power relay")</f>
        <v>23A 24v Power relay</v>
      </c>
      <c r="X211" t="e">
        <f ca="1"/>
        <v>#NAME?</v>
      </c>
      <c r="Y211" t="e">
        <f t="shared" ca="1" si="1"/>
        <v>#NAME?</v>
      </c>
      <c r="Z211" t="e">
        <f ca="1">IF(X211="","",SUMIFS(#REF!,RM!$C$4:$C991,X211))</f>
        <v>#NAME?</v>
      </c>
      <c r="AA211" t="e">
        <f ca="1">IF(X211="","",SUMIFS(#REF!,RM!$C$4:$C991,X211))</f>
        <v>#NAME?</v>
      </c>
      <c r="AB211" t="e">
        <f ca="1">IF(X211="","",SUMIFS(IRegback!$Y$2:$Y1001,IRegback!$X$2:$X1001,X211))</f>
        <v>#NAME?</v>
      </c>
      <c r="AC211" t="e">
        <f t="shared" ca="1" si="2"/>
        <v>#NAME?</v>
      </c>
      <c r="AD211" t="e">
        <f ca="1">IF(X211="","",VLOOKUP($X211,RM!$C$4:$G991,3,FALSE))</f>
        <v>#NAME?</v>
      </c>
      <c r="AE211" t="e">
        <f ca="1">IF(X211="","",VLOOKUP($X211,RM!$C$4:$G991,4,FALSE))</f>
        <v>#NAME?</v>
      </c>
      <c r="AF211" t="e">
        <f ca="1">IF(X211="","",VLOOKUP($X211,RM!$C$4:$G991,5,FALSE))</f>
        <v>#NAME?</v>
      </c>
      <c r="AH211" t="str">
        <f ca="1">IFERROR(__xludf.DUMMYFUNCTION("""COMPUTED_VALUE"""),"A21 MotherBoard Assy")</f>
        <v>A21 MotherBoard Assy</v>
      </c>
      <c r="AI211" t="str">
        <f ca="1">IFERROR(__xludf.DUMMYFUNCTION("""COMPUTED_VALUE"""),"6mm female bullet connector")</f>
        <v>6mm female bullet connector</v>
      </c>
      <c r="AJ211">
        <f ca="1">IFERROR(__xludf.DUMMYFUNCTION("""COMPUTED_VALUE"""),1)</f>
        <v>1</v>
      </c>
      <c r="AK211" t="str">
        <f ca="1">IFERROR(__xludf.DUMMYFUNCTION("""COMPUTED_VALUE"""),"blank")</f>
        <v>blank</v>
      </c>
      <c r="AL211" t="e">
        <f ca="1">_xludf.IFNA(VLOOKUP(AH211,'S-FG'!$B$3:$B1001,1,FALSE),"")</f>
        <v>#NAME?</v>
      </c>
      <c r="AM211" t="e">
        <f ca="1">IF(AI211="","",SUMIFS(#REF!,RM!$C$4:$C991,AI211))</f>
        <v>#REF!</v>
      </c>
    </row>
    <row r="212" spans="5:39">
      <c r="E212" t="str">
        <f>IF(A212="","",SUMIFS('PR-BOM'!$D$3:$D1001,'PR-BOM'!$C$3:$C1001,A212)*C212)</f>
        <v/>
      </c>
      <c r="F212" t="e">
        <f ca="1">_xludf.IFNA(VLOOKUP(B212,'S-FG'!$B$3:$B1001,1,FALSE),"")</f>
        <v>#NAME?</v>
      </c>
      <c r="H212" t="str">
        <f ca="1">IFERROR(__xludf.DUMMYFUNCTION("""COMPUTED_VALUE"""),"A21 MotherBoard Assy")</f>
        <v>A21 MotherBoard Assy</v>
      </c>
      <c r="I212" t="str">
        <f ca="1">IFERROR(__xludf.DUMMYFUNCTION("""COMPUTED_VALUE"""),"20k 0805 resistor PANASONIC")</f>
        <v>20k 0805 resistor PANASONIC</v>
      </c>
      <c r="J212">
        <f ca="1">IFERROR(__xludf.DUMMYFUNCTION("""COMPUTED_VALUE"""),12)</f>
        <v>12</v>
      </c>
      <c r="K212" t="str">
        <f ca="1">IFERROR(__xludf.DUMMYFUNCTION("""COMPUTED_VALUE"""),"blank")</f>
        <v>blank</v>
      </c>
      <c r="L212">
        <f t="shared" ca="1" si="0"/>
        <v>0</v>
      </c>
      <c r="Q212" t="str">
        <f>IF(N212="","",SUMIFS('PR-BOM'!$D$3:$D1001,'PR-BOM'!$C$3:$C1001,N212))</f>
        <v/>
      </c>
      <c r="S212" t="str">
        <f ca="1">IFERROR(__xludf.DUMMYFUNCTION("""COMPUTED_VALUE"""),"470k 0805 PANASONIC")</f>
        <v>470k 0805 PANASONIC</v>
      </c>
      <c r="X212" t="e">
        <f ca="1"/>
        <v>#NAME?</v>
      </c>
      <c r="Y212" t="e">
        <f t="shared" ca="1" si="1"/>
        <v>#NAME?</v>
      </c>
      <c r="Z212" t="e">
        <f ca="1">IF(X212="","",SUMIFS(#REF!,RM!$C$4:$C991,X212))</f>
        <v>#NAME?</v>
      </c>
      <c r="AA212" t="e">
        <f ca="1">IF(X212="","",SUMIFS(#REF!,RM!$C$4:$C991,X212))</f>
        <v>#NAME?</v>
      </c>
      <c r="AB212" t="e">
        <f ca="1">IF(X212="","",SUMIFS(IRegback!$Y$2:$Y1001,IRegback!$X$2:$X1001,X212))</f>
        <v>#NAME?</v>
      </c>
      <c r="AC212" t="e">
        <f t="shared" ca="1" si="2"/>
        <v>#NAME?</v>
      </c>
      <c r="AD212" t="e">
        <f ca="1">IF(X212="","",VLOOKUP($X212,RM!$C$4:$G991,3,FALSE))</f>
        <v>#NAME?</v>
      </c>
      <c r="AE212" t="e">
        <f ca="1">IF(X212="","",VLOOKUP($X212,RM!$C$4:$G991,4,FALSE))</f>
        <v>#NAME?</v>
      </c>
      <c r="AF212" t="e">
        <f ca="1">IF(X212="","",VLOOKUP($X212,RM!$C$4:$G991,5,FALSE))</f>
        <v>#NAME?</v>
      </c>
      <c r="AH212" t="str">
        <f ca="1">IFERROR(__xludf.DUMMYFUNCTION("""COMPUTED_VALUE"""),"A21 MotherBoard Assy")</f>
        <v>A21 MotherBoard Assy</v>
      </c>
      <c r="AI212" t="str">
        <f ca="1">IFERROR(__xludf.DUMMYFUNCTION("""COMPUTED_VALUE"""),"Red 8AWG")</f>
        <v>Red 8AWG</v>
      </c>
      <c r="AJ212">
        <f ca="1">IFERROR(__xludf.DUMMYFUNCTION("""COMPUTED_VALUE"""),0.25)</f>
        <v>0.25</v>
      </c>
      <c r="AK212" t="str">
        <f ca="1">IFERROR(__xludf.DUMMYFUNCTION("""COMPUTED_VALUE"""),"blank")</f>
        <v>blank</v>
      </c>
      <c r="AL212" t="e">
        <f ca="1">_xludf.IFNA(VLOOKUP(AH212,'S-FG'!$B$3:$B1001,1,FALSE),"")</f>
        <v>#NAME?</v>
      </c>
      <c r="AM212" t="e">
        <f ca="1">IF(AI212="","",SUMIFS(#REF!,RM!$C$4:$C991,AI212))</f>
        <v>#REF!</v>
      </c>
    </row>
    <row r="213" spans="5:39">
      <c r="E213" t="str">
        <f>IF(A213="","",SUMIFS('PR-BOM'!$D$3:$D1001,'PR-BOM'!$C$3:$C1001,A213)*C213)</f>
        <v/>
      </c>
      <c r="F213" t="e">
        <f ca="1">_xludf.IFNA(VLOOKUP(B213,'S-FG'!$B$3:$B1001,1,FALSE),"")</f>
        <v>#NAME?</v>
      </c>
      <c r="H213" t="str">
        <f ca="1">IFERROR(__xludf.DUMMYFUNCTION("""COMPUTED_VALUE"""),"A21 MotherBoard Assy")</f>
        <v>A21 MotherBoard Assy</v>
      </c>
      <c r="I213" t="str">
        <f ca="1">IFERROR(__xludf.DUMMYFUNCTION("""COMPUTED_VALUE"""),"1uF 0805 PANASONIC")</f>
        <v>1uF 0805 PANASONIC</v>
      </c>
      <c r="J213">
        <f ca="1">IFERROR(__xludf.DUMMYFUNCTION("""COMPUTED_VALUE"""),12)</f>
        <v>12</v>
      </c>
      <c r="K213" t="str">
        <f ca="1">IFERROR(__xludf.DUMMYFUNCTION("""COMPUTED_VALUE"""),"GCM21BR71E105KA56L")</f>
        <v>GCM21BR71E105KA56L</v>
      </c>
      <c r="L213">
        <f t="shared" ca="1" si="0"/>
        <v>0</v>
      </c>
      <c r="Q213" t="str">
        <f>IF(N213="","",SUMIFS('PR-BOM'!$D$3:$D1001,'PR-BOM'!$C$3:$C1001,N213))</f>
        <v/>
      </c>
      <c r="S213" t="str">
        <f ca="1">IFERROR(__xludf.DUMMYFUNCTION("""COMPUTED_VALUE"""),"20k 0805 resistor PANASONIC")</f>
        <v>20k 0805 resistor PANASONIC</v>
      </c>
      <c r="X213" t="e">
        <f ca="1"/>
        <v>#NAME?</v>
      </c>
      <c r="Y213" t="e">
        <f t="shared" ca="1" si="1"/>
        <v>#NAME?</v>
      </c>
      <c r="Z213" t="e">
        <f ca="1">IF(X213="","",SUMIFS(#REF!,RM!$C$4:$C991,X213))</f>
        <v>#NAME?</v>
      </c>
      <c r="AA213" t="e">
        <f ca="1">IF(X213="","",SUMIFS(#REF!,RM!$C$4:$C991,X213))</f>
        <v>#NAME?</v>
      </c>
      <c r="AB213" t="e">
        <f ca="1">IF(X213="","",SUMIFS(IRegback!$Y$2:$Y1001,IRegback!$X$2:$X1001,X213))</f>
        <v>#NAME?</v>
      </c>
      <c r="AC213" t="e">
        <f t="shared" ca="1" si="2"/>
        <v>#NAME?</v>
      </c>
      <c r="AD213" t="e">
        <f ca="1">IF(X213="","",VLOOKUP($X213,RM!$C$4:$G991,3,FALSE))</f>
        <v>#NAME?</v>
      </c>
      <c r="AE213" t="e">
        <f ca="1">IF(X213="","",VLOOKUP($X213,RM!$C$4:$G991,4,FALSE))</f>
        <v>#NAME?</v>
      </c>
      <c r="AF213" t="e">
        <f ca="1">IF(X213="","",VLOOKUP($X213,RM!$C$4:$G991,5,FALSE))</f>
        <v>#NAME?</v>
      </c>
      <c r="AH213" t="str">
        <f ca="1">IFERROR(__xludf.DUMMYFUNCTION("""COMPUTED_VALUE"""),"A21 MotherBoard Assy")</f>
        <v>A21 MotherBoard Assy</v>
      </c>
      <c r="AI213" t="str">
        <f ca="1">IFERROR(__xludf.DUMMYFUNCTION("""COMPUTED_VALUE"""),"Red 12AWG")</f>
        <v>Red 12AWG</v>
      </c>
      <c r="AJ213">
        <f ca="1">IFERROR(__xludf.DUMMYFUNCTION("""COMPUTED_VALUE"""),0.5)</f>
        <v>0.5</v>
      </c>
      <c r="AK213" t="str">
        <f ca="1">IFERROR(__xludf.DUMMYFUNCTION("""COMPUTED_VALUE"""),"blank")</f>
        <v>blank</v>
      </c>
      <c r="AL213" t="e">
        <f ca="1">_xludf.IFNA(VLOOKUP(AH213,'S-FG'!$B$3:$B1001,1,FALSE),"")</f>
        <v>#NAME?</v>
      </c>
      <c r="AM213" t="e">
        <f ca="1">IF(AI213="","",SUMIFS(#REF!,RM!$C$4:$C991,AI213))</f>
        <v>#REF!</v>
      </c>
    </row>
    <row r="214" spans="5:39">
      <c r="E214" t="str">
        <f>IF(A214="","",SUMIFS('PR-BOM'!$D$3:$D1001,'PR-BOM'!$C$3:$C1001,A214)*C214)</f>
        <v/>
      </c>
      <c r="F214" t="e">
        <f ca="1">_xludf.IFNA(VLOOKUP(B214,'S-FG'!$B$3:$B1001,1,FALSE),"")</f>
        <v>#NAME?</v>
      </c>
      <c r="H214" t="str">
        <f ca="1">IFERROR(__xludf.DUMMYFUNCTION("""COMPUTED_VALUE"""),"A21 MotherBoard Assy")</f>
        <v>A21 MotherBoard Assy</v>
      </c>
      <c r="I214" t="str">
        <f ca="1">IFERROR(__xludf.DUMMYFUNCTION("""COMPUTED_VALUE"""),"16MHz Crystal Oscillator")</f>
        <v>16MHz Crystal Oscillator</v>
      </c>
      <c r="J214">
        <f ca="1">IFERROR(__xludf.DUMMYFUNCTION("""COMPUTED_VALUE"""),2)</f>
        <v>2</v>
      </c>
      <c r="K214" t="str">
        <f ca="1">IFERROR(__xludf.DUMMYFUNCTION("""COMPUTED_VALUE"""),"ABM3-16.000MHZ-B2-T")</f>
        <v>ABM3-16.000MHZ-B2-T</v>
      </c>
      <c r="L214">
        <f t="shared" ca="1" si="0"/>
        <v>0</v>
      </c>
      <c r="Q214" t="str">
        <f>IF(N214="","",SUMIFS('PR-BOM'!$D$3:$D1001,'PR-BOM'!$C$3:$C1001,N214))</f>
        <v/>
      </c>
      <c r="S214" t="str">
        <f ca="1">IFERROR(__xludf.DUMMYFUNCTION("""COMPUTED_VALUE"""),"1uF 0805 PANASONIC")</f>
        <v>1uF 0805 PANASONIC</v>
      </c>
      <c r="X214" t="e">
        <f ca="1"/>
        <v>#NAME?</v>
      </c>
      <c r="Y214" t="e">
        <f t="shared" ca="1" si="1"/>
        <v>#NAME?</v>
      </c>
      <c r="Z214" t="e">
        <f ca="1">IF(X214="","",SUMIFS(#REF!,RM!$C$4:$C991,X214))</f>
        <v>#NAME?</v>
      </c>
      <c r="AA214" t="e">
        <f ca="1">IF(X214="","",SUMIFS(#REF!,RM!$C$4:$C991,X214))</f>
        <v>#NAME?</v>
      </c>
      <c r="AB214" t="e">
        <f ca="1">IF(X214="","",SUMIFS(IRegback!$Y$2:$Y1001,IRegback!$X$2:$X1001,X214))</f>
        <v>#NAME?</v>
      </c>
      <c r="AC214" t="e">
        <f t="shared" ca="1" si="2"/>
        <v>#NAME?</v>
      </c>
      <c r="AD214" t="e">
        <f ca="1">IF(X214="","",VLOOKUP($X214,RM!$C$4:$G991,3,FALSE))</f>
        <v>#NAME?</v>
      </c>
      <c r="AE214" t="e">
        <f ca="1">IF(X214="","",VLOOKUP($X214,RM!$C$4:$G991,4,FALSE))</f>
        <v>#NAME?</v>
      </c>
      <c r="AF214" t="e">
        <f ca="1">IF(X214="","",VLOOKUP($X214,RM!$C$4:$G991,5,FALSE))</f>
        <v>#NAME?</v>
      </c>
      <c r="AH214" t="str">
        <f ca="1">IFERROR(__xludf.DUMMYFUNCTION("""COMPUTED_VALUE"""),"A21 MotherBoard Assy")</f>
        <v>A21 MotherBoard Assy</v>
      </c>
      <c r="AI214" t="str">
        <f ca="1">IFERROR(__xludf.DUMMYFUNCTION("""COMPUTED_VALUE"""),"Red 18 AWG")</f>
        <v>Red 18 AWG</v>
      </c>
      <c r="AJ214">
        <f ca="1">IFERROR(__xludf.DUMMYFUNCTION("""COMPUTED_VALUE"""),0.3)</f>
        <v>0.3</v>
      </c>
      <c r="AK214" t="str">
        <f ca="1">IFERROR(__xludf.DUMMYFUNCTION("""COMPUTED_VALUE"""),"blank")</f>
        <v>blank</v>
      </c>
      <c r="AL214" t="e">
        <f ca="1">_xludf.IFNA(VLOOKUP(AH214,'S-FG'!$B$3:$B1001,1,FALSE),"")</f>
        <v>#NAME?</v>
      </c>
      <c r="AM214" t="e">
        <f ca="1">IF(AI214="","",SUMIFS(#REF!,RM!$C$4:$C991,AI214))</f>
        <v>#REF!</v>
      </c>
    </row>
    <row r="215" spans="5:39">
      <c r="E215" t="str">
        <f>IF(A215="","",SUMIFS('PR-BOM'!$D$3:$D1001,'PR-BOM'!$C$3:$C1001,A215)*C215)</f>
        <v/>
      </c>
      <c r="F215" t="e">
        <f ca="1">_xludf.IFNA(VLOOKUP(B215,'S-FG'!$B$3:$B1001,1,FALSE),"")</f>
        <v>#NAME?</v>
      </c>
      <c r="H215" t="str">
        <f ca="1">IFERROR(__xludf.DUMMYFUNCTION("""COMPUTED_VALUE"""),"A21 MotherBoard Assy")</f>
        <v>A21 MotherBoard Assy</v>
      </c>
      <c r="I215" t="str">
        <f ca="1">IFERROR(__xludf.DUMMYFUNCTION("""COMPUTED_VALUE"""),"ULN2004 SMD")</f>
        <v>ULN2004 SMD</v>
      </c>
      <c r="J215">
        <f ca="1">IFERROR(__xludf.DUMMYFUNCTION("""COMPUTED_VALUE"""),1)</f>
        <v>1</v>
      </c>
      <c r="K215" t="str">
        <f ca="1">IFERROR(__xludf.DUMMYFUNCTION("""COMPUTED_VALUE"""),"blank")</f>
        <v>blank</v>
      </c>
      <c r="L215">
        <f t="shared" ca="1" si="0"/>
        <v>0</v>
      </c>
      <c r="Q215" t="str">
        <f>IF(N215="","",SUMIFS('PR-BOM'!$D$3:$D1001,'PR-BOM'!$C$3:$C1001,N215))</f>
        <v/>
      </c>
      <c r="S215" t="str">
        <f ca="1">IFERROR(__xludf.DUMMYFUNCTION("""COMPUTED_VALUE"""),"16MHz Crystal Oscillator")</f>
        <v>16MHz Crystal Oscillator</v>
      </c>
      <c r="X215" t="e">
        <f ca="1"/>
        <v>#NAME?</v>
      </c>
      <c r="Y215" t="e">
        <f t="shared" ca="1" si="1"/>
        <v>#NAME?</v>
      </c>
      <c r="Z215" t="e">
        <f ca="1">IF(X215="","",SUMIFS(#REF!,RM!$C$4:$C991,X215))</f>
        <v>#NAME?</v>
      </c>
      <c r="AA215" t="e">
        <f ca="1">IF(X215="","",SUMIFS(#REF!,RM!$C$4:$C991,X215))</f>
        <v>#NAME?</v>
      </c>
      <c r="AB215" t="e">
        <f ca="1">IF(X215="","",SUMIFS(IRegback!$Y$2:$Y1001,IRegback!$X$2:$X1001,X215))</f>
        <v>#NAME?</v>
      </c>
      <c r="AC215" t="e">
        <f t="shared" ca="1" si="2"/>
        <v>#NAME?</v>
      </c>
      <c r="AD215" t="e">
        <f ca="1">IF(X215="","",VLOOKUP($X215,RM!$C$4:$G991,3,FALSE))</f>
        <v>#NAME?</v>
      </c>
      <c r="AE215" t="e">
        <f ca="1">IF(X215="","",VLOOKUP($X215,RM!$C$4:$G991,4,FALSE))</f>
        <v>#NAME?</v>
      </c>
      <c r="AF215" t="e">
        <f ca="1">IF(X215="","",VLOOKUP($X215,RM!$C$4:$G991,5,FALSE))</f>
        <v>#NAME?</v>
      </c>
      <c r="AH215" t="str">
        <f ca="1">IFERROR(__xludf.DUMMYFUNCTION("""COMPUTED_VALUE"""),"A21 MotherBoard Assy")</f>
        <v>A21 MotherBoard Assy</v>
      </c>
      <c r="AI215" t="str">
        <f ca="1">IFERROR(__xludf.DUMMYFUNCTION("""COMPUTED_VALUE"""),"Buck converter XL7015 50v")</f>
        <v>Buck converter XL7015 50v</v>
      </c>
      <c r="AJ215">
        <f ca="1">IFERROR(__xludf.DUMMYFUNCTION("""COMPUTED_VALUE"""),2)</f>
        <v>2</v>
      </c>
      <c r="AK215" t="str">
        <f ca="1">IFERROR(__xludf.DUMMYFUNCTION("""COMPUTED_VALUE"""),"blank")</f>
        <v>blank</v>
      </c>
      <c r="AL215" t="e">
        <f ca="1">_xludf.IFNA(VLOOKUP(AH215,'S-FG'!$B$3:$B1001,1,FALSE),"")</f>
        <v>#NAME?</v>
      </c>
      <c r="AM215" t="e">
        <f ca="1">IF(AI215="","",SUMIFS(#REF!,RM!$C$4:$C991,AI215))</f>
        <v>#REF!</v>
      </c>
    </row>
    <row r="216" spans="5:39">
      <c r="E216" t="str">
        <f>IF(A216="","",SUMIFS('PR-BOM'!$D$3:$D1001,'PR-BOM'!$C$3:$C1001,A216)*C216)</f>
        <v/>
      </c>
      <c r="F216" t="e">
        <f ca="1">_xludf.IFNA(VLOOKUP(B216,'S-FG'!$B$3:$B1001,1,FALSE),"")</f>
        <v>#NAME?</v>
      </c>
      <c r="H216" t="str">
        <f ca="1">IFERROR(__xludf.DUMMYFUNCTION("""COMPUTED_VALUE"""),"A21 MotherBoard Assy")</f>
        <v>A21 MotherBoard Assy</v>
      </c>
      <c r="I216" t="str">
        <f ca="1">IFERROR(__xludf.DUMMYFUNCTION("""COMPUTED_VALUE"""),"SSR AQW282SX")</f>
        <v>SSR AQW282SX</v>
      </c>
      <c r="J216">
        <f ca="1">IFERROR(__xludf.DUMMYFUNCTION("""COMPUTED_VALUE"""),6)</f>
        <v>6</v>
      </c>
      <c r="K216" t="str">
        <f ca="1">IFERROR(__xludf.DUMMYFUNCTION("""COMPUTED_VALUE"""),"AQW282SX")</f>
        <v>AQW282SX</v>
      </c>
      <c r="L216">
        <f t="shared" ca="1" si="0"/>
        <v>0</v>
      </c>
      <c r="Q216" t="str">
        <f>IF(N216="","",SUMIFS('PR-BOM'!$D$3:$D1001,'PR-BOM'!$C$3:$C1001,N216))</f>
        <v/>
      </c>
      <c r="S216" t="str">
        <f ca="1">IFERROR(__xludf.DUMMYFUNCTION("""COMPUTED_VALUE"""),"ULN2004 SMD")</f>
        <v>ULN2004 SMD</v>
      </c>
      <c r="X216" t="e">
        <f ca="1"/>
        <v>#NAME?</v>
      </c>
      <c r="Y216" t="e">
        <f t="shared" ca="1" si="1"/>
        <v>#NAME?</v>
      </c>
      <c r="Z216" t="e">
        <f ca="1">IF(X216="","",SUMIFS(#REF!,RM!$C$4:$C991,X216))</f>
        <v>#NAME?</v>
      </c>
      <c r="AA216" t="e">
        <f ca="1">IF(X216="","",SUMIFS(#REF!,RM!$C$4:$C991,X216))</f>
        <v>#NAME?</v>
      </c>
      <c r="AB216" t="e">
        <f ca="1">IF(X216="","",SUMIFS(IRegback!$Y$2:$Y1001,IRegback!$X$2:$X1001,X216))</f>
        <v>#NAME?</v>
      </c>
      <c r="AC216" t="e">
        <f t="shared" ca="1" si="2"/>
        <v>#NAME?</v>
      </c>
      <c r="AD216" t="e">
        <f ca="1">IF(X216="","",VLOOKUP($X216,RM!$C$4:$G991,3,FALSE))</f>
        <v>#NAME?</v>
      </c>
      <c r="AE216" t="e">
        <f ca="1">IF(X216="","",VLOOKUP($X216,RM!$C$4:$G991,4,FALSE))</f>
        <v>#NAME?</v>
      </c>
      <c r="AF216" t="e">
        <f ca="1">IF(X216="","",VLOOKUP($X216,RM!$C$4:$G991,5,FALSE))</f>
        <v>#NAME?</v>
      </c>
      <c r="AH216" t="str">
        <f ca="1">IFERROR(__xludf.DUMMYFUNCTION("""COMPUTED_VALUE"""),"A21 MotherBoard Assy")</f>
        <v>A21 MotherBoard Assy</v>
      </c>
      <c r="AI216" t="str">
        <f ca="1">IFERROR(__xludf.DUMMYFUNCTION("""COMPUTED_VALUE"""),"LM2596HW for PC")</f>
        <v>LM2596HW for PC</v>
      </c>
      <c r="AJ216">
        <f ca="1">IFERROR(__xludf.DUMMYFUNCTION("""COMPUTED_VALUE"""),1)</f>
        <v>1</v>
      </c>
      <c r="AK216" t="str">
        <f ca="1">IFERROR(__xludf.DUMMYFUNCTION("""COMPUTED_VALUE"""),"blank")</f>
        <v>blank</v>
      </c>
      <c r="AL216" t="e">
        <f ca="1">_xludf.IFNA(VLOOKUP(AH216,'S-FG'!$B$3:$B1001,1,FALSE),"")</f>
        <v>#NAME?</v>
      </c>
      <c r="AM216" t="e">
        <f ca="1">IF(AI216="","",SUMIFS(#REF!,RM!$C$4:$C991,AI216))</f>
        <v>#REF!</v>
      </c>
    </row>
    <row r="217" spans="5:39">
      <c r="E217" t="str">
        <f>IF(A217="","",SUMIFS('PR-BOM'!$D$3:$D1001,'PR-BOM'!$C$3:$C1001,A217)*C217)</f>
        <v/>
      </c>
      <c r="F217" t="e">
        <f ca="1">_xludf.IFNA(VLOOKUP(B217,'S-FG'!$B$3:$B1001,1,FALSE),"")</f>
        <v>#NAME?</v>
      </c>
      <c r="H217" t="str">
        <f ca="1">IFERROR(__xludf.DUMMYFUNCTION("""COMPUTED_VALUE"""),"A21 MotherBoard Assy")</f>
        <v>A21 MotherBoard Assy</v>
      </c>
      <c r="I217" t="str">
        <f ca="1">IFERROR(__xludf.DUMMYFUNCTION("""COMPUTED_VALUE"""),"Atmega328P-AU")</f>
        <v>Atmega328P-AU</v>
      </c>
      <c r="J217">
        <f ca="1">IFERROR(__xludf.DUMMYFUNCTION("""COMPUTED_VALUE"""),2)</f>
        <v>2</v>
      </c>
      <c r="K217" t="str">
        <f ca="1">IFERROR(__xludf.DUMMYFUNCTION("""COMPUTED_VALUE"""),"blank")</f>
        <v>blank</v>
      </c>
      <c r="L217">
        <f t="shared" ca="1" si="0"/>
        <v>0</v>
      </c>
      <c r="Q217" t="str">
        <f>IF(N217="","",SUMIFS('PR-BOM'!$D$3:$D1001,'PR-BOM'!$C$3:$C1001,N217))</f>
        <v/>
      </c>
      <c r="S217" t="str">
        <f ca="1">IFERROR(__xludf.DUMMYFUNCTION("""COMPUTED_VALUE"""),"SSR AQW282SX")</f>
        <v>SSR AQW282SX</v>
      </c>
      <c r="X217" t="e">
        <f ca="1"/>
        <v>#NAME?</v>
      </c>
      <c r="Y217" t="e">
        <f t="shared" ca="1" si="1"/>
        <v>#NAME?</v>
      </c>
      <c r="Z217" t="e">
        <f ca="1">IF(X217="","",SUMIFS(#REF!,RM!$C$4:$C991,X217))</f>
        <v>#NAME?</v>
      </c>
      <c r="AA217" t="e">
        <f ca="1">IF(X217="","",SUMIFS(#REF!,RM!$C$4:$C991,X217))</f>
        <v>#NAME?</v>
      </c>
      <c r="AB217" t="e">
        <f ca="1">IF(X217="","",SUMIFS(IRegback!$Y$2:$Y1001,IRegback!$X$2:$X1001,X217))</f>
        <v>#NAME?</v>
      </c>
      <c r="AC217" t="e">
        <f t="shared" ca="1" si="2"/>
        <v>#NAME?</v>
      </c>
      <c r="AD217" t="e">
        <f ca="1">IF(X217="","",VLOOKUP($X217,RM!$C$4:$G991,3,FALSE))</f>
        <v>#NAME?</v>
      </c>
      <c r="AE217" t="e">
        <f ca="1">IF(X217="","",VLOOKUP($X217,RM!$C$4:$G991,4,FALSE))</f>
        <v>#NAME?</v>
      </c>
      <c r="AF217" t="e">
        <f ca="1">IF(X217="","",VLOOKUP($X217,RM!$C$4:$G991,5,FALSE))</f>
        <v>#NAME?</v>
      </c>
      <c r="AH217" t="str">
        <f ca="1">IFERROR(__xludf.DUMMYFUNCTION("""COMPUTED_VALUE"""),"A21 MotherBoard Assy")</f>
        <v>A21 MotherBoard Assy</v>
      </c>
      <c r="AI217" t="str">
        <f ca="1">IFERROR(__xludf.DUMMYFUNCTION("""COMPUTED_VALUE"""),"PWB of Motherboard")</f>
        <v>PWB of Motherboard</v>
      </c>
      <c r="AJ217">
        <f ca="1">IFERROR(__xludf.DUMMYFUNCTION("""COMPUTED_VALUE"""),1)</f>
        <v>1</v>
      </c>
      <c r="AK217" t="str">
        <f ca="1">IFERROR(__xludf.DUMMYFUNCTION("""COMPUTED_VALUE"""),"blank")</f>
        <v>blank</v>
      </c>
      <c r="AL217" t="e">
        <f ca="1">_xludf.IFNA(VLOOKUP(AH217,'S-FG'!$B$3:$B1001,1,FALSE),"")</f>
        <v>#NAME?</v>
      </c>
      <c r="AM217" t="e">
        <f ca="1">IF(AI217="","",SUMIFS(#REF!,RM!$C$4:$C991,AI217))</f>
        <v>#REF!</v>
      </c>
    </row>
    <row r="218" spans="5:39">
      <c r="E218" t="str">
        <f>IF(A218="","",SUMIFS('PR-BOM'!$D$3:$D1001,'PR-BOM'!$C$3:$C1001,A218)*C218)</f>
        <v/>
      </c>
      <c r="F218" t="e">
        <f ca="1">_xludf.IFNA(VLOOKUP(B218,'S-FG'!$B$3:$B1001,1,FALSE),"")</f>
        <v>#NAME?</v>
      </c>
      <c r="H218" t="str">
        <f ca="1">IFERROR(__xludf.DUMMYFUNCTION("""COMPUTED_VALUE"""),"A21 MotherBoard Assy")</f>
        <v>A21 MotherBoard Assy</v>
      </c>
      <c r="I218" t="str">
        <f ca="1">IFERROR(__xludf.DUMMYFUNCTION("""COMPUTED_VALUE"""),"Power Relay 120A 12v")</f>
        <v>Power Relay 120A 12v</v>
      </c>
      <c r="J218">
        <f ca="1">IFERROR(__xludf.DUMMYFUNCTION("""COMPUTED_VALUE"""),1)</f>
        <v>1</v>
      </c>
      <c r="K218" t="str">
        <f ca="1">IFERROR(__xludf.DUMMYFUNCTION("""COMPUTED_VALUE"""),"blank")</f>
        <v>blank</v>
      </c>
      <c r="L218">
        <f t="shared" ca="1" si="0"/>
        <v>0</v>
      </c>
      <c r="Q218" t="str">
        <f>IF(N218="","",SUMIFS('PR-BOM'!$D$3:$D1001,'PR-BOM'!$C$3:$C1001,N218))</f>
        <v/>
      </c>
      <c r="S218" t="str">
        <f ca="1">IFERROR(__xludf.DUMMYFUNCTION("""COMPUTED_VALUE"""),"Atmega328P-AU")</f>
        <v>Atmega328P-AU</v>
      </c>
      <c r="X218" t="e">
        <f ca="1"/>
        <v>#NAME?</v>
      </c>
      <c r="Y218" t="e">
        <f t="shared" ca="1" si="1"/>
        <v>#NAME?</v>
      </c>
      <c r="Z218" t="e">
        <f ca="1">IF(X218="","",SUMIFS(#REF!,RM!$C$4:$C991,X218))</f>
        <v>#NAME?</v>
      </c>
      <c r="AA218" t="e">
        <f ca="1">IF(X218="","",SUMIFS(#REF!,RM!$C$4:$C991,X218))</f>
        <v>#NAME?</v>
      </c>
      <c r="AB218" t="e">
        <f ca="1">IF(X218="","",SUMIFS(IRegback!$Y$2:$Y1001,IRegback!$X$2:$X1001,X218))</f>
        <v>#NAME?</v>
      </c>
      <c r="AC218" t="e">
        <f t="shared" ca="1" si="2"/>
        <v>#NAME?</v>
      </c>
      <c r="AD218" t="e">
        <f ca="1">IF(X218="","",VLOOKUP($X218,RM!$C$4:$G991,3,FALSE))</f>
        <v>#NAME?</v>
      </c>
      <c r="AE218" t="e">
        <f ca="1">IF(X218="","",VLOOKUP($X218,RM!$C$4:$G991,4,FALSE))</f>
        <v>#NAME?</v>
      </c>
      <c r="AF218" t="e">
        <f ca="1">IF(X218="","",VLOOKUP($X218,RM!$C$4:$G991,5,FALSE))</f>
        <v>#NAME?</v>
      </c>
      <c r="AH218" t="str">
        <f ca="1">IFERROR(__xludf.DUMMYFUNCTION("""COMPUTED_VALUE"""),"A21 MotherBoard Assy")</f>
        <v>A21 MotherBoard Assy</v>
      </c>
      <c r="AI218" t="str">
        <f ca="1">IFERROR(__xludf.DUMMYFUNCTION("""COMPUTED_VALUE"""),"Lead paste")</f>
        <v>Lead paste</v>
      </c>
      <c r="AJ218">
        <f ca="1">IFERROR(__xludf.DUMMYFUNCTION("""COMPUTED_VALUE"""),10)</f>
        <v>10</v>
      </c>
      <c r="AL218" t="e">
        <f ca="1">_xludf.IFNA(VLOOKUP(AH218,'S-FG'!$B$3:$B1001,1,FALSE),"")</f>
        <v>#NAME?</v>
      </c>
      <c r="AM218" t="e">
        <f ca="1">IF(AI218="","",SUMIFS(#REF!,RM!$C$4:$C991,AI218))</f>
        <v>#REF!</v>
      </c>
    </row>
    <row r="219" spans="5:39">
      <c r="E219" t="str">
        <f>IF(A219="","",SUMIFS('PR-BOM'!$D$3:$D1001,'PR-BOM'!$C$3:$C1001,A219)*C219)</f>
        <v/>
      </c>
      <c r="F219" t="e">
        <f ca="1">_xludf.IFNA(VLOOKUP(B219,'S-FG'!$B$3:$B1001,1,FALSE),"")</f>
        <v>#NAME?</v>
      </c>
      <c r="H219" t="str">
        <f ca="1">IFERROR(__xludf.DUMMYFUNCTION("""COMPUTED_VALUE"""),"A21 MotherBoard Assy")</f>
        <v>A21 MotherBoard Assy</v>
      </c>
      <c r="I219" t="str">
        <f ca="1">IFERROR(__xludf.DUMMYFUNCTION("""COMPUTED_VALUE"""),"Heatshrink Tube 6.4:1.6")</f>
        <v>Heatshrink Tube 6.4:1.6</v>
      </c>
      <c r="J219">
        <f ca="1">IFERROR(__xludf.DUMMYFUNCTION("""COMPUTED_VALUE"""),0.2)</f>
        <v>0.2</v>
      </c>
      <c r="K219" t="str">
        <f ca="1">IFERROR(__xludf.DUMMYFUNCTION("""COMPUTED_VALUE"""),"blank")</f>
        <v>blank</v>
      </c>
      <c r="L219">
        <f t="shared" ca="1" si="0"/>
        <v>0</v>
      </c>
      <c r="Q219" t="str">
        <f>IF(N219="","",SUMIFS('PR-BOM'!$D$3:$D1001,'PR-BOM'!$C$3:$C1001,N219))</f>
        <v/>
      </c>
      <c r="S219" t="str">
        <f ca="1">IFERROR(__xludf.DUMMYFUNCTION("""COMPUTED_VALUE"""),"Power Relay 120A 12v")</f>
        <v>Power Relay 120A 12v</v>
      </c>
      <c r="X219" t="e">
        <f ca="1"/>
        <v>#NAME?</v>
      </c>
      <c r="Y219" t="e">
        <f t="shared" ca="1" si="1"/>
        <v>#NAME?</v>
      </c>
      <c r="Z219" t="e">
        <f ca="1">IF(X219="","",SUMIFS(#REF!,RM!$C$4:$C991,X219))</f>
        <v>#NAME?</v>
      </c>
      <c r="AA219" t="e">
        <f ca="1">IF(X219="","",SUMIFS(#REF!,RM!$C$4:$C991,X219))</f>
        <v>#NAME?</v>
      </c>
      <c r="AB219" t="e">
        <f ca="1">IF(X219="","",SUMIFS(IRegback!$Y$2:$Y1001,IRegback!$X$2:$X1001,X219))</f>
        <v>#NAME?</v>
      </c>
      <c r="AC219" t="e">
        <f t="shared" ca="1" si="2"/>
        <v>#NAME?</v>
      </c>
      <c r="AD219" t="e">
        <f ca="1">IF(X219="","",VLOOKUP($X219,RM!$C$4:$G991,3,FALSE))</f>
        <v>#NAME?</v>
      </c>
      <c r="AE219" t="e">
        <f ca="1">IF(X219="","",VLOOKUP($X219,RM!$C$4:$G991,4,FALSE))</f>
        <v>#NAME?</v>
      </c>
      <c r="AF219" t="e">
        <f ca="1">IF(X219="","",VLOOKUP($X219,RM!$C$4:$G991,5,FALSE))</f>
        <v>#NAME?</v>
      </c>
      <c r="AH219" t="str">
        <f ca="1">IFERROR(__xludf.DUMMYFUNCTION("""COMPUTED_VALUE"""),"A21 MotherBoard Assy")</f>
        <v>A21 MotherBoard Assy</v>
      </c>
      <c r="AI219" t="str">
        <f ca="1">IFERROR(__xludf.DUMMYFUNCTION("""COMPUTED_VALUE"""),"Lead wire 22AWG")</f>
        <v>Lead wire 22AWG</v>
      </c>
      <c r="AJ219">
        <f ca="1">IFERROR(__xludf.DUMMYFUNCTION("""COMPUTED_VALUE"""),10)</f>
        <v>10</v>
      </c>
      <c r="AL219" t="e">
        <f ca="1">_xludf.IFNA(VLOOKUP(AH219,'S-FG'!$B$3:$B1001,1,FALSE),"")</f>
        <v>#NAME?</v>
      </c>
      <c r="AM219" t="e">
        <f ca="1">IF(AI219="","",SUMIFS(#REF!,RM!$C$4:$C991,AI219))</f>
        <v>#REF!</v>
      </c>
    </row>
    <row r="220" spans="5:39">
      <c r="E220" t="str">
        <f>IF(A220="","",SUMIFS('PR-BOM'!$D$3:$D1001,'PR-BOM'!$C$3:$C1001,A220)*C220)</f>
        <v/>
      </c>
      <c r="F220" t="e">
        <f ca="1">_xludf.IFNA(VLOOKUP(B220,'S-FG'!$B$3:$B1001,1,FALSE),"")</f>
        <v>#NAME?</v>
      </c>
      <c r="H220" t="str">
        <f ca="1">IFERROR(__xludf.DUMMYFUNCTION("""COMPUTED_VALUE"""),"A21 MotherBoard Assy")</f>
        <v>A21 MotherBoard Assy</v>
      </c>
      <c r="I220" t="str">
        <f ca="1">IFERROR(__xludf.DUMMYFUNCTION("""COMPUTED_VALUE"""),"Heatshrink Tube 9:3")</f>
        <v>Heatshrink Tube 9:3</v>
      </c>
      <c r="J220">
        <f ca="1">IFERROR(__xludf.DUMMYFUNCTION("""COMPUTED_VALUE"""),0.1)</f>
        <v>0.1</v>
      </c>
      <c r="K220" t="str">
        <f ca="1">IFERROR(__xludf.DUMMYFUNCTION("""COMPUTED_VALUE"""),"blank")</f>
        <v>blank</v>
      </c>
      <c r="L220">
        <f t="shared" ca="1" si="0"/>
        <v>0</v>
      </c>
      <c r="Q220" t="str">
        <f>IF(N220="","",SUMIFS('PR-BOM'!$D$3:$D1001,'PR-BOM'!$C$3:$C1001,N220))</f>
        <v/>
      </c>
      <c r="S220" t="str">
        <f ca="1">IFERROR(__xludf.DUMMYFUNCTION("""COMPUTED_VALUE"""),"Heatshrink Tube 6.4:1.6")</f>
        <v>Heatshrink Tube 6.4:1.6</v>
      </c>
      <c r="X220" t="e">
        <f ca="1"/>
        <v>#NAME?</v>
      </c>
      <c r="Y220" t="e">
        <f t="shared" ca="1" si="1"/>
        <v>#NAME?</v>
      </c>
      <c r="Z220" t="e">
        <f ca="1">IF(X220="","",SUMIFS(#REF!,RM!$C$4:$C991,X220))</f>
        <v>#NAME?</v>
      </c>
      <c r="AA220" t="e">
        <f ca="1">IF(X220="","",SUMIFS(#REF!,RM!$C$4:$C991,X220))</f>
        <v>#NAME?</v>
      </c>
      <c r="AB220" t="e">
        <f ca="1">IF(X220="","",SUMIFS(IRegback!$Y$2:$Y1001,IRegback!$X$2:$X1001,X220))</f>
        <v>#NAME?</v>
      </c>
      <c r="AC220" t="e">
        <f t="shared" ca="1" si="2"/>
        <v>#NAME?</v>
      </c>
      <c r="AD220" t="e">
        <f ca="1">IF(X220="","",VLOOKUP($X220,RM!$C$4:$G991,3,FALSE))</f>
        <v>#NAME?</v>
      </c>
      <c r="AE220" t="e">
        <f ca="1">IF(X220="","",VLOOKUP($X220,RM!$C$4:$G991,4,FALSE))</f>
        <v>#NAME?</v>
      </c>
      <c r="AF220" t="e">
        <f ca="1">IF(X220="","",VLOOKUP($X220,RM!$C$4:$G991,5,FALSE))</f>
        <v>#NAME?</v>
      </c>
      <c r="AH220" t="str">
        <f ca="1">IFERROR(__xludf.DUMMYFUNCTION("""COMPUTED_VALUE"""),"A21 MotherBoard Assy")</f>
        <v>A21 MotherBoard Assy</v>
      </c>
      <c r="AI220" t="str">
        <f ca="1">IFERROR(__xludf.DUMMYFUNCTION("""COMPUTED_VALUE"""),"LED 0805 SMD")</f>
        <v>LED 0805 SMD</v>
      </c>
      <c r="AJ220">
        <f ca="1">IFERROR(__xludf.DUMMYFUNCTION("""COMPUTED_VALUE"""),1)</f>
        <v>1</v>
      </c>
      <c r="AK220" t="str">
        <f ca="1">IFERROR(__xludf.DUMMYFUNCTION("""COMPUTED_VALUE"""),"KPTD-2012LVSURCK")</f>
        <v>KPTD-2012LVSURCK</v>
      </c>
      <c r="AL220" t="e">
        <f ca="1">_xludf.IFNA(VLOOKUP(AH220,'S-FG'!$B$3:$B1001,1,FALSE),"")</f>
        <v>#NAME?</v>
      </c>
      <c r="AM220" t="e">
        <f ca="1">IF(AI220="","",SUMIFS(#REF!,RM!$C$4:$C991,AI220))</f>
        <v>#REF!</v>
      </c>
    </row>
    <row r="221" spans="5:39">
      <c r="E221" t="str">
        <f>IF(A221="","",SUMIFS('PR-BOM'!$D$3:$D1001,'PR-BOM'!$C$3:$C1001,A221)*C221)</f>
        <v/>
      </c>
      <c r="F221" t="e">
        <f ca="1">_xludf.IFNA(VLOOKUP(B221,'S-FG'!$B$3:$B1001,1,FALSE),"")</f>
        <v>#NAME?</v>
      </c>
      <c r="H221" t="str">
        <f ca="1">IFERROR(__xludf.DUMMYFUNCTION("""COMPUTED_VALUE"""),"A21 MotherBoard Assy")</f>
        <v>A21 MotherBoard Assy</v>
      </c>
      <c r="I221" t="str">
        <f ca="1">IFERROR(__xludf.DUMMYFUNCTION("""COMPUTED_VALUE"""),"Current Sensor Assy")</f>
        <v>Current Sensor Assy</v>
      </c>
      <c r="J221">
        <f ca="1">IFERROR(__xludf.DUMMYFUNCTION("""COMPUTED_VALUE"""),0)</f>
        <v>0</v>
      </c>
      <c r="K221">
        <f ca="1">IFERROR(__xludf.DUMMYFUNCTION("""COMPUTED_VALUE"""),15)</f>
        <v>15</v>
      </c>
      <c r="L221">
        <f t="shared" ca="1" si="0"/>
        <v>0</v>
      </c>
      <c r="Q221" t="str">
        <f>IF(N221="","",SUMIFS('PR-BOM'!$D$3:$D1001,'PR-BOM'!$C$3:$C1001,N221))</f>
        <v/>
      </c>
      <c r="S221" t="str">
        <f ca="1">IFERROR(__xludf.DUMMYFUNCTION("""COMPUTED_VALUE"""),"Heatshrink Tube 9:3")</f>
        <v>Heatshrink Tube 9:3</v>
      </c>
      <c r="X221" t="e">
        <f ca="1"/>
        <v>#NAME?</v>
      </c>
      <c r="Y221" t="e">
        <f t="shared" ca="1" si="1"/>
        <v>#NAME?</v>
      </c>
      <c r="Z221" t="e">
        <f ca="1">IF(X221="","",SUMIFS(#REF!,RM!$C$4:$C991,X221))</f>
        <v>#NAME?</v>
      </c>
      <c r="AA221" t="e">
        <f ca="1">IF(X221="","",SUMIFS(#REF!,RM!$C$4:$C991,X221))</f>
        <v>#NAME?</v>
      </c>
      <c r="AB221" t="e">
        <f ca="1">IF(X221="","",SUMIFS(IRegback!$Y$2:$Y1001,IRegback!$X$2:$X1001,X221))</f>
        <v>#NAME?</v>
      </c>
      <c r="AC221" t="e">
        <f t="shared" ca="1" si="2"/>
        <v>#NAME?</v>
      </c>
      <c r="AD221" t="e">
        <f ca="1">IF(X221="","",VLOOKUP($X221,RM!$C$4:$G991,3,FALSE))</f>
        <v>#NAME?</v>
      </c>
      <c r="AE221" t="e">
        <f ca="1">IF(X221="","",VLOOKUP($X221,RM!$C$4:$G991,4,FALSE))</f>
        <v>#NAME?</v>
      </c>
      <c r="AF221" t="e">
        <f ca="1">IF(X221="","",VLOOKUP($X221,RM!$C$4:$G991,5,FALSE))</f>
        <v>#NAME?</v>
      </c>
      <c r="AH221" t="str">
        <f ca="1">IFERROR(__xludf.DUMMYFUNCTION("""COMPUTED_VALUE"""),"A21 MotherBoard Assy")</f>
        <v>A21 MotherBoard Assy</v>
      </c>
      <c r="AI221" t="str">
        <f ca="1">IFERROR(__xludf.DUMMYFUNCTION("""COMPUTED_VALUE"""),"18pF 0805 capacitor")</f>
        <v>18pF 0805 capacitor</v>
      </c>
      <c r="AJ221">
        <f ca="1">IFERROR(__xludf.DUMMYFUNCTION("""COMPUTED_VALUE"""),4)</f>
        <v>4</v>
      </c>
      <c r="AK221" t="str">
        <f ca="1">IFERROR(__xludf.DUMMYFUNCTION("""COMPUTED_VALUE"""),"MC0805N180J500CT")</f>
        <v>MC0805N180J500CT</v>
      </c>
      <c r="AL221" t="e">
        <f ca="1">_xludf.IFNA(VLOOKUP(AH221,'S-FG'!$B$3:$B1001,1,FALSE),"")</f>
        <v>#NAME?</v>
      </c>
      <c r="AM221" t="e">
        <f ca="1">IF(AI221="","",SUMIFS(#REF!,RM!$C$4:$C991,AI221))</f>
        <v>#REF!</v>
      </c>
    </row>
    <row r="222" spans="5:39">
      <c r="E222" t="str">
        <f>IF(A222="","",SUMIFS('PR-BOM'!$D$3:$D1001,'PR-BOM'!$C$3:$C1001,A222)*C222)</f>
        <v/>
      </c>
      <c r="F222" t="e">
        <f ca="1">_xludf.IFNA(VLOOKUP(B222,'S-FG'!$B$3:$B1001,1,FALSE),"")</f>
        <v>#NAME?</v>
      </c>
      <c r="H222" t="str">
        <f ca="1">IFERROR(__xludf.DUMMYFUNCTION("""COMPUTED_VALUE"""),"A21 MotherBoard Assy")</f>
        <v>A21 MotherBoard Assy</v>
      </c>
      <c r="I222" t="str">
        <f ca="1">IFERROR(__xludf.DUMMYFUNCTION("""COMPUTED_VALUE"""),"RPM Sensor Assy")</f>
        <v>RPM Sensor Assy</v>
      </c>
      <c r="J222">
        <f ca="1">IFERROR(__xludf.DUMMYFUNCTION("""COMPUTED_VALUE"""),0)</f>
        <v>0</v>
      </c>
      <c r="K222" t="str">
        <f ca="1">IFERROR(__xludf.DUMMYFUNCTION("""COMPUTED_VALUE"""),"blank")</f>
        <v>blank</v>
      </c>
      <c r="L222">
        <f t="shared" ca="1" si="0"/>
        <v>0</v>
      </c>
      <c r="Q222" t="str">
        <f>IF(N222="","",SUMIFS('PR-BOM'!$D$3:$D1001,'PR-BOM'!$C$3:$C1001,N222))</f>
        <v/>
      </c>
      <c r="S222" t="str">
        <f ca="1">IFERROR(__xludf.DUMMYFUNCTION("""COMPUTED_VALUE"""),"Current Sensor Assy")</f>
        <v>Current Sensor Assy</v>
      </c>
      <c r="X222" t="e">
        <f ca="1"/>
        <v>#NAME?</v>
      </c>
      <c r="Y222" t="e">
        <f t="shared" ca="1" si="1"/>
        <v>#NAME?</v>
      </c>
      <c r="Z222" t="e">
        <f ca="1">IF(X222="","",SUMIFS(#REF!,RM!$C$4:$C991,X222))</f>
        <v>#NAME?</v>
      </c>
      <c r="AA222" t="e">
        <f ca="1">IF(X222="","",SUMIFS(#REF!,RM!$C$4:$C991,X222))</f>
        <v>#NAME?</v>
      </c>
      <c r="AB222" t="e">
        <f ca="1">IF(X222="","",SUMIFS(IRegback!$Y$2:$Y1001,IRegback!$X$2:$X1001,X222))</f>
        <v>#NAME?</v>
      </c>
      <c r="AC222" t="e">
        <f t="shared" ca="1" si="2"/>
        <v>#NAME?</v>
      </c>
      <c r="AD222" t="e">
        <f ca="1">IF(X222="","",VLOOKUP($X222,RM!$C$4:$G991,3,FALSE))</f>
        <v>#NAME?</v>
      </c>
      <c r="AE222" t="e">
        <f ca="1">IF(X222="","",VLOOKUP($X222,RM!$C$4:$G991,4,FALSE))</f>
        <v>#NAME?</v>
      </c>
      <c r="AF222" t="e">
        <f ca="1">IF(X222="","",VLOOKUP($X222,RM!$C$4:$G991,5,FALSE))</f>
        <v>#NAME?</v>
      </c>
      <c r="AH222" t="str">
        <f ca="1">IFERROR(__xludf.DUMMYFUNCTION("""COMPUTED_VALUE"""),"A21 MotherBoard Assy")</f>
        <v>A21 MotherBoard Assy</v>
      </c>
      <c r="AI222" t="str">
        <f ca="1">IFERROR(__xludf.DUMMYFUNCTION("""COMPUTED_VALUE"""),"10uF 10v Tantalum Capacitor Case A")</f>
        <v>10uF 10v Tantalum Capacitor Case A</v>
      </c>
      <c r="AJ222">
        <f ca="1">IFERROR(__xludf.DUMMYFUNCTION("""COMPUTED_VALUE"""),3)</f>
        <v>3</v>
      </c>
      <c r="AK222" t="str">
        <f ca="1">IFERROR(__xludf.DUMMYFUNCTION("""COMPUTED_VALUE"""),"T491A106K010AT")</f>
        <v>T491A106K010AT</v>
      </c>
      <c r="AL222" t="e">
        <f ca="1">_xludf.IFNA(VLOOKUP(AH222,'S-FG'!$B$3:$B1001,1,FALSE),"")</f>
        <v>#NAME?</v>
      </c>
      <c r="AM222" t="e">
        <f ca="1">IF(AI222="","",SUMIFS(#REF!,RM!$C$4:$C991,AI222))</f>
        <v>#REF!</v>
      </c>
    </row>
    <row r="223" spans="5:39">
      <c r="E223" t="str">
        <f>IF(A223="","",SUMIFS('PR-BOM'!$D$3:$D1001,'PR-BOM'!$C$3:$C1001,A223)*C223)</f>
        <v/>
      </c>
      <c r="F223" t="e">
        <f ca="1">_xludf.IFNA(VLOOKUP(B223,'S-FG'!$B$3:$B1001,1,FALSE),"")</f>
        <v>#NAME?</v>
      </c>
      <c r="H223" t="str">
        <f ca="1">IFERROR(__xludf.DUMMYFUNCTION("""COMPUTED_VALUE"""),"A21 MotherBoard Assy")</f>
        <v>A21 MotherBoard Assy</v>
      </c>
      <c r="I223" t="str">
        <f ca="1">IFERROR(__xludf.DUMMYFUNCTION("""COMPUTED_VALUE"""),"Tactile switch ")</f>
        <v xml:space="preserve">Tactile switch </v>
      </c>
      <c r="J223">
        <f ca="1">IFERROR(__xludf.DUMMYFUNCTION("""COMPUTED_VALUE"""),1)</f>
        <v>1</v>
      </c>
      <c r="K223" t="str">
        <f ca="1">IFERROR(__xludf.DUMMYFUNCTION("""COMPUTED_VALUE"""),"blank")</f>
        <v>blank</v>
      </c>
      <c r="L223">
        <f t="shared" ca="1" si="0"/>
        <v>0</v>
      </c>
      <c r="Q223" t="str">
        <f>IF(N223="","",SUMIFS('PR-BOM'!$D$3:$D1001,'PR-BOM'!$C$3:$C1001,N223))</f>
        <v/>
      </c>
      <c r="S223" t="str">
        <f ca="1">IFERROR(__xludf.DUMMYFUNCTION("""COMPUTED_VALUE"""),"RPM Sensor Assy")</f>
        <v>RPM Sensor Assy</v>
      </c>
      <c r="X223" t="e">
        <f ca="1"/>
        <v>#NAME?</v>
      </c>
      <c r="Y223" t="e">
        <f t="shared" ca="1" si="1"/>
        <v>#NAME?</v>
      </c>
      <c r="Z223" t="e">
        <f ca="1">IF(X223="","",SUMIFS(#REF!,RM!$C$4:$C991,X223))</f>
        <v>#NAME?</v>
      </c>
      <c r="AA223" t="e">
        <f ca="1">IF(X223="","",SUMIFS(#REF!,RM!$C$4:$C991,X223))</f>
        <v>#NAME?</v>
      </c>
      <c r="AB223" t="e">
        <f ca="1">IF(X223="","",SUMIFS(IRegback!$Y$2:$Y1001,IRegback!$X$2:$X1001,X223))</f>
        <v>#NAME?</v>
      </c>
      <c r="AC223" t="e">
        <f t="shared" ca="1" si="2"/>
        <v>#NAME?</v>
      </c>
      <c r="AD223" t="e">
        <f ca="1">IF(X223="","",VLOOKUP($X223,RM!$C$4:$G991,3,FALSE))</f>
        <v>#NAME?</v>
      </c>
      <c r="AE223" t="e">
        <f ca="1">IF(X223="","",VLOOKUP($X223,RM!$C$4:$G991,4,FALSE))</f>
        <v>#NAME?</v>
      </c>
      <c r="AF223" t="e">
        <f ca="1">IF(X223="","",VLOOKUP($X223,RM!$C$4:$G991,5,FALSE))</f>
        <v>#NAME?</v>
      </c>
      <c r="AH223" t="str">
        <f ca="1">IFERROR(__xludf.DUMMYFUNCTION("""COMPUTED_VALUE"""),"A21 MotherBoard Assy")</f>
        <v>A21 MotherBoard Assy</v>
      </c>
      <c r="AI223" t="str">
        <f ca="1">IFERROR(__xludf.DUMMYFUNCTION("""COMPUTED_VALUE"""),"SPST relay 5A-12v ANTI_S &amp; KILL")</f>
        <v>SPST relay 5A-12v ANTI_S &amp; KILL</v>
      </c>
      <c r="AJ223">
        <f ca="1">IFERROR(__xludf.DUMMYFUNCTION("""COMPUTED_VALUE"""),2)</f>
        <v>2</v>
      </c>
      <c r="AK223" t="str">
        <f ca="1">IFERROR(__xludf.DUMMYFUNCTION("""COMPUTED_VALUE"""),"blank")</f>
        <v>blank</v>
      </c>
      <c r="AL223" t="e">
        <f ca="1">_xludf.IFNA(VLOOKUP(AH223,'S-FG'!$B$3:$B1001,1,FALSE),"")</f>
        <v>#NAME?</v>
      </c>
      <c r="AM223" t="e">
        <f ca="1">IF(AI223="","",SUMIFS(#REF!,RM!$C$4:$C991,AI223))</f>
        <v>#REF!</v>
      </c>
    </row>
    <row r="224" spans="5:39">
      <c r="E224" t="str">
        <f>IF(A224="","",SUMIFS('PR-BOM'!$D$3:$D1001,'PR-BOM'!$C$3:$C1001,A224)*C224)</f>
        <v/>
      </c>
      <c r="F224" t="e">
        <f ca="1">_xludf.IFNA(VLOOKUP(B224,'S-FG'!$B$3:$B1001,1,FALSE),"")</f>
        <v>#NAME?</v>
      </c>
      <c r="H224" t="str">
        <f ca="1">IFERROR(__xludf.DUMMYFUNCTION("""COMPUTED_VALUE"""),"Electronic Box Assy")</f>
        <v>Electronic Box Assy</v>
      </c>
      <c r="I224" t="str">
        <f ca="1">IFERROR(__xludf.DUMMYFUNCTION("""COMPUTED_VALUE"""),"Ipex4 to SMA converter extension")</f>
        <v>Ipex4 to SMA converter extension</v>
      </c>
      <c r="J224">
        <f ca="1">IFERROR(__xludf.DUMMYFUNCTION("""COMPUTED_VALUE"""),1)</f>
        <v>1</v>
      </c>
      <c r="K224" t="str">
        <f ca="1">IFERROR(__xludf.DUMMYFUNCTION("""COMPUTED_VALUE"""),"blank")</f>
        <v>blank</v>
      </c>
      <c r="L224">
        <f t="shared" ca="1" si="0"/>
        <v>0</v>
      </c>
      <c r="Q224" t="str">
        <f>IF(N224="","",SUMIFS('PR-BOM'!$D$3:$D1001,'PR-BOM'!$C$3:$C1001,N224))</f>
        <v/>
      </c>
      <c r="S224" t="str">
        <f ca="1">IFERROR(__xludf.DUMMYFUNCTION("""COMPUTED_VALUE"""),"Tactile switch ")</f>
        <v xml:space="preserve">Tactile switch </v>
      </c>
      <c r="X224" t="e">
        <f ca="1"/>
        <v>#NAME?</v>
      </c>
      <c r="Y224" t="e">
        <f t="shared" ca="1" si="1"/>
        <v>#NAME?</v>
      </c>
      <c r="Z224" t="e">
        <f ca="1">IF(X224="","",SUMIFS(#REF!,RM!$C$4:$C991,X224))</f>
        <v>#NAME?</v>
      </c>
      <c r="AA224" t="e">
        <f ca="1">IF(X224="","",SUMIFS(#REF!,RM!$C$4:$C991,X224))</f>
        <v>#NAME?</v>
      </c>
      <c r="AB224" t="e">
        <f ca="1">IF(X224="","",SUMIFS(IRegback!$Y$2:$Y1001,IRegback!$X$2:$X1001,X224))</f>
        <v>#NAME?</v>
      </c>
      <c r="AC224" t="e">
        <f t="shared" ca="1" si="2"/>
        <v>#NAME?</v>
      </c>
      <c r="AD224" t="e">
        <f ca="1">IF(X224="","",VLOOKUP($X224,RM!$C$4:$G991,3,FALSE))</f>
        <v>#NAME?</v>
      </c>
      <c r="AE224" t="e">
        <f ca="1">IF(X224="","",VLOOKUP($X224,RM!$C$4:$G991,4,FALSE))</f>
        <v>#NAME?</v>
      </c>
      <c r="AF224" t="e">
        <f ca="1">IF(X224="","",VLOOKUP($X224,RM!$C$4:$G991,5,FALSE))</f>
        <v>#NAME?</v>
      </c>
      <c r="AH224" t="str">
        <f ca="1">IFERROR(__xludf.DUMMYFUNCTION("""COMPUTED_VALUE"""),"A21 MotherBoard Assy")</f>
        <v>A21 MotherBoard Assy</v>
      </c>
      <c r="AI224" t="str">
        <f ca="1">IFERROR(__xludf.DUMMYFUNCTION("""COMPUTED_VALUE"""),"Balancing 1A DPDT 24v Relay")</f>
        <v>Balancing 1A DPDT 24v Relay</v>
      </c>
      <c r="AJ224">
        <f ca="1">IFERROR(__xludf.DUMMYFUNCTION("""COMPUTED_VALUE"""),5)</f>
        <v>5</v>
      </c>
      <c r="AK224" t="str">
        <f ca="1">IFERROR(__xludf.DUMMYFUNCTION("""COMPUTED_VALUE"""),"blank")</f>
        <v>blank</v>
      </c>
      <c r="AL224" t="e">
        <f ca="1">_xludf.IFNA(VLOOKUP(AH224,'S-FG'!$B$3:$B1001,1,FALSE),"")</f>
        <v>#NAME?</v>
      </c>
      <c r="AM224" t="e">
        <f ca="1">IF(AI224="","",SUMIFS(#REF!,RM!$C$4:$C991,AI224))</f>
        <v>#REF!</v>
      </c>
    </row>
    <row r="225" spans="5:39">
      <c r="E225" t="str">
        <f>IF(A225="","",SUMIFS('PR-BOM'!$D$3:$D1001,'PR-BOM'!$C$3:$C1001,A225)*C225)</f>
        <v/>
      </c>
      <c r="F225" t="e">
        <f ca="1">_xludf.IFNA(VLOOKUP(B225,'S-FG'!$B$3:$B1001,1,FALSE),"")</f>
        <v>#NAME?</v>
      </c>
      <c r="H225" t="str">
        <f ca="1">IFERROR(__xludf.DUMMYFUNCTION("""COMPUTED_VALUE"""),"Electronic Box Assy")</f>
        <v>Electronic Box Assy</v>
      </c>
      <c r="I225" t="str">
        <f ca="1">IFERROR(__xludf.DUMMYFUNCTION("""COMPUTED_VALUE"""),"Electronic Box Top Lid")</f>
        <v>Electronic Box Top Lid</v>
      </c>
      <c r="J225">
        <f ca="1">IFERROR(__xludf.DUMMYFUNCTION("""COMPUTED_VALUE"""),1)</f>
        <v>1</v>
      </c>
      <c r="L225">
        <f t="shared" ca="1" si="0"/>
        <v>0</v>
      </c>
      <c r="Q225" t="str">
        <f>IF(N225="","",SUMIFS('PR-BOM'!$D$3:$D1001,'PR-BOM'!$C$3:$C1001,N225))</f>
        <v/>
      </c>
      <c r="S225" t="str">
        <f ca="1">IFERROR(__xludf.DUMMYFUNCTION("""COMPUTED_VALUE"""),"Ipex4 to SMA converter extension")</f>
        <v>Ipex4 to SMA converter extension</v>
      </c>
      <c r="X225" t="e">
        <f ca="1"/>
        <v>#NAME?</v>
      </c>
      <c r="Y225" t="e">
        <f t="shared" ca="1" si="1"/>
        <v>#NAME?</v>
      </c>
      <c r="Z225" t="e">
        <f ca="1">IF(X225="","",SUMIFS(#REF!,RM!$C$4:$C991,X225))</f>
        <v>#NAME?</v>
      </c>
      <c r="AA225" t="e">
        <f ca="1">IF(X225="","",SUMIFS(#REF!,RM!$C$4:$C991,X225))</f>
        <v>#NAME?</v>
      </c>
      <c r="AB225" t="e">
        <f ca="1">IF(X225="","",SUMIFS(IRegback!$Y$2:$Y1001,IRegback!$X$2:$X1001,X225))</f>
        <v>#NAME?</v>
      </c>
      <c r="AC225" t="e">
        <f t="shared" ca="1" si="2"/>
        <v>#NAME?</v>
      </c>
      <c r="AD225" t="e">
        <f ca="1">IF(X225="","",VLOOKUP($X225,RM!$C$4:$G991,3,FALSE))</f>
        <v>#NAME?</v>
      </c>
      <c r="AE225" t="e">
        <f ca="1">IF(X225="","",VLOOKUP($X225,RM!$C$4:$G991,4,FALSE))</f>
        <v>#NAME?</v>
      </c>
      <c r="AF225" t="e">
        <f ca="1">IF(X225="","",VLOOKUP($X225,RM!$C$4:$G991,5,FALSE))</f>
        <v>#NAME?</v>
      </c>
      <c r="AH225" t="str">
        <f ca="1">IFERROR(__xludf.DUMMYFUNCTION("""COMPUTED_VALUE"""),"A21 MotherBoard Assy")</f>
        <v>A21 MotherBoard Assy</v>
      </c>
      <c r="AI225" t="str">
        <f ca="1">IFERROR(__xludf.DUMMYFUNCTION("""COMPUTED_VALUE"""),"Balancing relay 5A/2A 24v SPST")</f>
        <v>Balancing relay 5A/2A 24v SPST</v>
      </c>
      <c r="AJ225">
        <f ca="1">IFERROR(__xludf.DUMMYFUNCTION("""COMPUTED_VALUE"""),1)</f>
        <v>1</v>
      </c>
      <c r="AK225" t="str">
        <f ca="1">IFERROR(__xludf.DUMMYFUNCTION("""COMPUTED_VALUE"""),"blank")</f>
        <v>blank</v>
      </c>
      <c r="AL225" t="e">
        <f ca="1">_xludf.IFNA(VLOOKUP(AH225,'S-FG'!$B$3:$B1001,1,FALSE),"")</f>
        <v>#NAME?</v>
      </c>
      <c r="AM225" t="e">
        <f ca="1">IF(AI225="","",SUMIFS(#REF!,RM!$C$4:$C991,AI225))</f>
        <v>#REF!</v>
      </c>
    </row>
    <row r="226" spans="5:39">
      <c r="E226" t="str">
        <f>IF(A226="","",SUMIFS('PR-BOM'!$D$3:$D1001,'PR-BOM'!$C$3:$C1001,A226)*C226)</f>
        <v/>
      </c>
      <c r="F226" t="e">
        <f ca="1">_xludf.IFNA(VLOOKUP(B226,'S-FG'!$B$3:$B1001,1,FALSE),"")</f>
        <v>#NAME?</v>
      </c>
      <c r="H226" t="str">
        <f ca="1">IFERROR(__xludf.DUMMYFUNCTION("""COMPUTED_VALUE"""),"Electronic Box Assy")</f>
        <v>Electronic Box Assy</v>
      </c>
      <c r="I226" t="str">
        <f ca="1">IFERROR(__xludf.DUMMYFUNCTION("""COMPUTED_VALUE"""),"BlueRobotics Leak")</f>
        <v>BlueRobotics Leak</v>
      </c>
      <c r="J226">
        <f ca="1">IFERROR(__xludf.DUMMYFUNCTION("""COMPUTED_VALUE"""),1)</f>
        <v>1</v>
      </c>
      <c r="K226" t="str">
        <f ca="1">IFERROR(__xludf.DUMMYFUNCTION("""COMPUTED_VALUE"""),"blank")</f>
        <v>blank</v>
      </c>
      <c r="L226">
        <f t="shared" ca="1" si="0"/>
        <v>0</v>
      </c>
      <c r="Q226" t="str">
        <f>IF(N226="","",SUMIFS('PR-BOM'!$D$3:$D1001,'PR-BOM'!$C$3:$C1001,N226))</f>
        <v/>
      </c>
      <c r="S226" t="str">
        <f ca="1">IFERROR(__xludf.DUMMYFUNCTION("""COMPUTED_VALUE"""),"Electronic Box Top Lid")</f>
        <v>Electronic Box Top Lid</v>
      </c>
      <c r="X226" t="e">
        <f ca="1"/>
        <v>#NAME?</v>
      </c>
      <c r="Y226" t="e">
        <f t="shared" ca="1" si="1"/>
        <v>#NAME?</v>
      </c>
      <c r="Z226" t="e">
        <f ca="1">IF(X226="","",SUMIFS(#REF!,RM!$C$4:$C991,X226))</f>
        <v>#NAME?</v>
      </c>
      <c r="AA226" t="e">
        <f ca="1">IF(X226="","",SUMIFS(#REF!,RM!$C$4:$C991,X226))</f>
        <v>#NAME?</v>
      </c>
      <c r="AB226" t="e">
        <f ca="1">IF(X226="","",SUMIFS(IRegback!$Y$2:$Y1001,IRegback!$X$2:$X1001,X226))</f>
        <v>#NAME?</v>
      </c>
      <c r="AC226" t="e">
        <f t="shared" ca="1" si="2"/>
        <v>#NAME?</v>
      </c>
      <c r="AD226" t="e">
        <f ca="1">IF(X226="","",VLOOKUP($X226,RM!$C$4:$G991,3,FALSE))</f>
        <v>#NAME?</v>
      </c>
      <c r="AE226" t="e">
        <f ca="1">IF(X226="","",VLOOKUP($X226,RM!$C$4:$G991,4,FALSE))</f>
        <v>#NAME?</v>
      </c>
      <c r="AF226" t="e">
        <f ca="1">IF(X226="","",VLOOKUP($X226,RM!$C$4:$G991,5,FALSE))</f>
        <v>#NAME?</v>
      </c>
      <c r="AH226" t="str">
        <f ca="1">IFERROR(__xludf.DUMMYFUNCTION("""COMPUTED_VALUE"""),"A21 MotherBoard Assy")</f>
        <v>A21 MotherBoard Assy</v>
      </c>
      <c r="AI226" t="str">
        <f ca="1">IFERROR(__xludf.DUMMYFUNCTION("""COMPUTED_VALUE"""),"BlueTooth Module")</f>
        <v>BlueTooth Module</v>
      </c>
      <c r="AJ226">
        <f ca="1">IFERROR(__xludf.DUMMYFUNCTION("""COMPUTED_VALUE"""),1)</f>
        <v>1</v>
      </c>
      <c r="AK226" t="str">
        <f ca="1">IFERROR(__xludf.DUMMYFUNCTION("""COMPUTED_VALUE"""),"HC-05")</f>
        <v>HC-05</v>
      </c>
      <c r="AL226" t="e">
        <f ca="1">_xludf.IFNA(VLOOKUP(AH226,'S-FG'!$B$3:$B1001,1,FALSE),"")</f>
        <v>#NAME?</v>
      </c>
      <c r="AM226" t="e">
        <f ca="1">IF(AI226="","",SUMIFS(#REF!,RM!$C$4:$C991,AI226))</f>
        <v>#REF!</v>
      </c>
    </row>
    <row r="227" spans="5:39">
      <c r="E227" t="str">
        <f>IF(A227="","",SUMIFS('PR-BOM'!$D$3:$D1001,'PR-BOM'!$C$3:$C1001,A227)*C227)</f>
        <v/>
      </c>
      <c r="F227" t="e">
        <f ca="1">_xludf.IFNA(VLOOKUP(B227,'S-FG'!$B$3:$B1001,1,FALSE),"")</f>
        <v>#NAME?</v>
      </c>
      <c r="H227" t="str">
        <f ca="1">IFERROR(__xludf.DUMMYFUNCTION("""COMPUTED_VALUE"""),"Electronic Box Assy")</f>
        <v>Electronic Box Assy</v>
      </c>
      <c r="I227" t="str">
        <f ca="1">IFERROR(__xludf.DUMMYFUNCTION("""COMPUTED_VALUE"""),"BlueRobotics Indicator")</f>
        <v>BlueRobotics Indicator</v>
      </c>
      <c r="J227">
        <f ca="1">IFERROR(__xludf.DUMMYFUNCTION("""COMPUTED_VALUE"""),1)</f>
        <v>1</v>
      </c>
      <c r="K227" t="str">
        <f ca="1">IFERROR(__xludf.DUMMYFUNCTION("""COMPUTED_VALUE"""),"blank")</f>
        <v>blank</v>
      </c>
      <c r="L227">
        <f t="shared" ca="1" si="0"/>
        <v>0</v>
      </c>
      <c r="Q227" t="str">
        <f>IF(N227="","",SUMIFS('PR-BOM'!$D$3:$D1001,'PR-BOM'!$C$3:$C1001,N227))</f>
        <v/>
      </c>
      <c r="S227" t="str">
        <f ca="1">IFERROR(__xludf.DUMMYFUNCTION("""COMPUTED_VALUE"""),"BlueRobotics Leak")</f>
        <v>BlueRobotics Leak</v>
      </c>
      <c r="X227" t="e">
        <f ca="1"/>
        <v>#NAME?</v>
      </c>
      <c r="Y227" t="e">
        <f t="shared" ca="1" si="1"/>
        <v>#NAME?</v>
      </c>
      <c r="Z227" t="e">
        <f ca="1">IF(X227="","",SUMIFS(#REF!,RM!$C$4:$C991,X227))</f>
        <v>#NAME?</v>
      </c>
      <c r="AA227" t="e">
        <f ca="1">IF(X227="","",SUMIFS(#REF!,RM!$C$4:$C991,X227))</f>
        <v>#NAME?</v>
      </c>
      <c r="AB227" t="e">
        <f ca="1">IF(X227="","",SUMIFS(IRegback!$Y$2:$Y1001,IRegback!$X$2:$X1001,X227))</f>
        <v>#NAME?</v>
      </c>
      <c r="AC227" t="e">
        <f t="shared" ca="1" si="2"/>
        <v>#NAME?</v>
      </c>
      <c r="AD227" t="e">
        <f ca="1">IF(X227="","",VLOOKUP($X227,RM!$C$4:$G991,3,FALSE))</f>
        <v>#NAME?</v>
      </c>
      <c r="AE227" t="e">
        <f ca="1">IF(X227="","",VLOOKUP($X227,RM!$C$4:$G991,4,FALSE))</f>
        <v>#NAME?</v>
      </c>
      <c r="AF227" t="e">
        <f ca="1">IF(X227="","",VLOOKUP($X227,RM!$C$4:$G991,5,FALSE))</f>
        <v>#NAME?</v>
      </c>
      <c r="AH227" t="str">
        <f ca="1">IFERROR(__xludf.DUMMYFUNCTION("""COMPUTED_VALUE"""),"A21 MotherBoard Assy")</f>
        <v>A21 MotherBoard Assy</v>
      </c>
      <c r="AI227" t="str">
        <f ca="1">IFERROR(__xludf.DUMMYFUNCTION("""COMPUTED_VALUE"""),"24AWG Soldering Wire")</f>
        <v>24AWG Soldering Wire</v>
      </c>
      <c r="AJ227">
        <f ca="1">IFERROR(__xludf.DUMMYFUNCTION("""COMPUTED_VALUE"""),10)</f>
        <v>10</v>
      </c>
      <c r="AK227" t="str">
        <f ca="1">IFERROR(__xludf.DUMMYFUNCTION("""COMPUTED_VALUE"""),"blank")</f>
        <v>blank</v>
      </c>
      <c r="AL227" t="e">
        <f ca="1">_xludf.IFNA(VLOOKUP(AH227,'S-FG'!$B$3:$B1001,1,FALSE),"")</f>
        <v>#NAME?</v>
      </c>
      <c r="AM227" t="e">
        <f ca="1">IF(AI227="","",SUMIFS(#REF!,RM!$C$4:$C991,AI227))</f>
        <v>#REF!</v>
      </c>
    </row>
    <row r="228" spans="5:39">
      <c r="E228" t="str">
        <f>IF(A228="","",SUMIFS('PR-BOM'!$D$3:$D1001,'PR-BOM'!$C$3:$C1001,A228)*C228)</f>
        <v/>
      </c>
      <c r="F228" t="e">
        <f ca="1">_xludf.IFNA(VLOOKUP(B228,'S-FG'!$B$3:$B1001,1,FALSE),"")</f>
        <v>#NAME?</v>
      </c>
      <c r="H228" t="str">
        <f ca="1">IFERROR(__xludf.DUMMYFUNCTION("""COMPUTED_VALUE"""),"Electronic Box Assy")</f>
        <v>Electronic Box Assy</v>
      </c>
      <c r="I228" t="str">
        <f ca="1">IFERROR(__xludf.DUMMYFUNCTION("""COMPUTED_VALUE"""),"M4x6 PCB mount screw Magnetic")</f>
        <v>M4x6 PCB mount screw Magnetic</v>
      </c>
      <c r="J228">
        <f ca="1">IFERROR(__xludf.DUMMYFUNCTION("""COMPUTED_VALUE"""),5)</f>
        <v>5</v>
      </c>
      <c r="K228" t="str">
        <f ca="1">IFERROR(__xludf.DUMMYFUNCTION("""COMPUTED_VALUE"""),"blank")</f>
        <v>blank</v>
      </c>
      <c r="L228">
        <f t="shared" ca="1" si="0"/>
        <v>0</v>
      </c>
      <c r="Q228" t="str">
        <f>IF(N228="","",SUMIFS('PR-BOM'!$D$3:$D1001,'PR-BOM'!$C$3:$C1001,N228))</f>
        <v/>
      </c>
      <c r="S228" t="str">
        <f ca="1">IFERROR(__xludf.DUMMYFUNCTION("""COMPUTED_VALUE"""),"BlueRobotics Indicator")</f>
        <v>BlueRobotics Indicator</v>
      </c>
      <c r="X228" t="e">
        <f ca="1"/>
        <v>#NAME?</v>
      </c>
      <c r="Y228" t="e">
        <f t="shared" ca="1" si="1"/>
        <v>#NAME?</v>
      </c>
      <c r="Z228" t="e">
        <f ca="1">IF(X228="","",SUMIFS(#REF!,RM!$C$4:$C991,X228))</f>
        <v>#NAME?</v>
      </c>
      <c r="AA228" t="e">
        <f ca="1">IF(X228="","",SUMIFS(#REF!,RM!$C$4:$C991,X228))</f>
        <v>#NAME?</v>
      </c>
      <c r="AB228" t="e">
        <f ca="1">IF(X228="","",SUMIFS(IRegback!$Y$2:$Y1001,IRegback!$X$2:$X1001,X228))</f>
        <v>#NAME?</v>
      </c>
      <c r="AC228" t="e">
        <f t="shared" ca="1" si="2"/>
        <v>#NAME?</v>
      </c>
      <c r="AD228" t="e">
        <f ca="1">IF(X228="","",VLOOKUP($X228,RM!$C$4:$G991,3,FALSE))</f>
        <v>#NAME?</v>
      </c>
      <c r="AE228" t="e">
        <f ca="1">IF(X228="","",VLOOKUP($X228,RM!$C$4:$G991,4,FALSE))</f>
        <v>#NAME?</v>
      </c>
      <c r="AF228" t="e">
        <f ca="1">IF(X228="","",VLOOKUP($X228,RM!$C$4:$G991,5,FALSE))</f>
        <v>#NAME?</v>
      </c>
      <c r="AH228" t="str">
        <f ca="1">IFERROR(__xludf.DUMMYFUNCTION("""COMPUTED_VALUE"""),"A21 MotherBoard Assy")</f>
        <v>A21 MotherBoard Assy</v>
      </c>
      <c r="AI228" t="str">
        <f ca="1">IFERROR(__xludf.DUMMYFUNCTION("""COMPUTED_VALUE"""),"12E 2W Resistor THT")</f>
        <v>12E 2W Resistor THT</v>
      </c>
      <c r="AJ228">
        <f ca="1">IFERROR(__xludf.DUMMYFUNCTION("""COMPUTED_VALUE"""),1)</f>
        <v>1</v>
      </c>
      <c r="AK228" t="str">
        <f ca="1">IFERROR(__xludf.DUMMYFUNCTION("""COMPUTED_VALUE"""),"blank")</f>
        <v>blank</v>
      </c>
      <c r="AL228" t="e">
        <f ca="1">_xludf.IFNA(VLOOKUP(AH228,'S-FG'!$B$3:$B1001,1,FALSE),"")</f>
        <v>#NAME?</v>
      </c>
      <c r="AM228" t="e">
        <f ca="1">IF(AI228="","",SUMIFS(#REF!,RM!$C$4:$C991,AI228))</f>
        <v>#REF!</v>
      </c>
    </row>
    <row r="229" spans="5:39">
      <c r="E229" t="str">
        <f>IF(A229="","",SUMIFS('PR-BOM'!$D$3:$D1001,'PR-BOM'!$C$3:$C1001,A229)*C229)</f>
        <v/>
      </c>
      <c r="F229" t="e">
        <f ca="1">_xludf.IFNA(VLOOKUP(B229,'S-FG'!$B$3:$B1001,1,FALSE),"")</f>
        <v>#NAME?</v>
      </c>
      <c r="H229" t="str">
        <f ca="1">IFERROR(__xludf.DUMMYFUNCTION("""COMPUTED_VALUE"""),"Electronic Box Assy")</f>
        <v>Electronic Box Assy</v>
      </c>
      <c r="I229" t="str">
        <f ca="1">IFERROR(__xludf.DUMMYFUNCTION("""COMPUTED_VALUE"""),"PG-7 Cable Gland")</f>
        <v>PG-7 Cable Gland</v>
      </c>
      <c r="J229">
        <f ca="1">IFERROR(__xludf.DUMMYFUNCTION("""COMPUTED_VALUE"""),3)</f>
        <v>3</v>
      </c>
      <c r="K229" t="str">
        <f ca="1">IFERROR(__xludf.DUMMYFUNCTION("""COMPUTED_VALUE"""),"blank")</f>
        <v>blank</v>
      </c>
      <c r="L229">
        <f t="shared" ca="1" si="0"/>
        <v>0</v>
      </c>
      <c r="Q229" t="str">
        <f>IF(N229="","",SUMIFS('PR-BOM'!$D$3:$D1001,'PR-BOM'!$C$3:$C1001,N229))</f>
        <v/>
      </c>
      <c r="S229" t="str">
        <f ca="1">IFERROR(__xludf.DUMMYFUNCTION("""COMPUTED_VALUE"""),"M4x6 PCB mount screw Magnetic")</f>
        <v>M4x6 PCB mount screw Magnetic</v>
      </c>
      <c r="X229" t="e">
        <f ca="1"/>
        <v>#NAME?</v>
      </c>
      <c r="Y229" t="e">
        <f t="shared" ca="1" si="1"/>
        <v>#NAME?</v>
      </c>
      <c r="Z229" t="e">
        <f ca="1">IF(X229="","",SUMIFS(#REF!,RM!$C$4:$C991,X229))</f>
        <v>#NAME?</v>
      </c>
      <c r="AA229" t="e">
        <f ca="1">IF(X229="","",SUMIFS(#REF!,RM!$C$4:$C991,X229))</f>
        <v>#NAME?</v>
      </c>
      <c r="AB229" t="e">
        <f ca="1">IF(X229="","",SUMIFS(IRegback!$Y$2:$Y1001,IRegback!$X$2:$X1001,X229))</f>
        <v>#NAME?</v>
      </c>
      <c r="AC229" t="e">
        <f t="shared" ca="1" si="2"/>
        <v>#NAME?</v>
      </c>
      <c r="AD229" t="e">
        <f ca="1">IF(X229="","",VLOOKUP($X229,RM!$C$4:$G991,3,FALSE))</f>
        <v>#NAME?</v>
      </c>
      <c r="AE229" t="e">
        <f ca="1">IF(X229="","",VLOOKUP($X229,RM!$C$4:$G991,4,FALSE))</f>
        <v>#NAME?</v>
      </c>
      <c r="AF229" t="e">
        <f ca="1">IF(X229="","",VLOOKUP($X229,RM!$C$4:$G991,5,FALSE))</f>
        <v>#NAME?</v>
      </c>
      <c r="AH229" t="str">
        <f ca="1">IFERROR(__xludf.DUMMYFUNCTION("""COMPUTED_VALUE"""),"A21 MotherBoard Assy")</f>
        <v>A21 MotherBoard Assy</v>
      </c>
      <c r="AI229" t="str">
        <f ca="1">IFERROR(__xludf.DUMMYFUNCTION("""COMPUTED_VALUE"""),"1k 0805 Resistor")</f>
        <v>1k 0805 Resistor</v>
      </c>
      <c r="AJ229">
        <f ca="1">IFERROR(__xludf.DUMMYFUNCTION("""COMPUTED_VALUE"""),1)</f>
        <v>1</v>
      </c>
      <c r="AK229" t="str">
        <f ca="1">IFERROR(__xludf.DUMMYFUNCTION("""COMPUTED_VALUE"""),"ERA6AEB102V (to be modified)")</f>
        <v>ERA6AEB102V (to be modified)</v>
      </c>
      <c r="AL229" t="e">
        <f ca="1">_xludf.IFNA(VLOOKUP(AH229,'S-FG'!$B$3:$B1001,1,FALSE),"")</f>
        <v>#NAME?</v>
      </c>
      <c r="AM229" t="e">
        <f ca="1">IF(AI229="","",SUMIFS(#REF!,RM!$C$4:$C991,AI229))</f>
        <v>#REF!</v>
      </c>
    </row>
    <row r="230" spans="5:39">
      <c r="E230" t="str">
        <f>IF(A230="","",SUMIFS('PR-BOM'!$D$3:$D1001,'PR-BOM'!$C$3:$C1001,A230)*C230)</f>
        <v/>
      </c>
      <c r="F230" t="e">
        <f ca="1">_xludf.IFNA(VLOOKUP(B230,'S-FG'!$B$3:$B1001,1,FALSE),"")</f>
        <v>#NAME?</v>
      </c>
      <c r="H230" t="str">
        <f ca="1">IFERROR(__xludf.DUMMYFUNCTION("""COMPUTED_VALUE"""),"Electronic Box Assy")</f>
        <v>Electronic Box Assy</v>
      </c>
      <c r="I230" t="str">
        <f ca="1">IFERROR(__xludf.DUMMYFUNCTION("""COMPUTED_VALUE"""),"Electronic Box")</f>
        <v>Electronic Box</v>
      </c>
      <c r="J230">
        <f ca="1">IFERROR(__xludf.DUMMYFUNCTION("""COMPUTED_VALUE"""),1)</f>
        <v>1</v>
      </c>
      <c r="K230" t="str">
        <f ca="1">IFERROR(__xludf.DUMMYFUNCTION("""COMPUTED_VALUE"""),"blank")</f>
        <v>blank</v>
      </c>
      <c r="L230">
        <f t="shared" ca="1" si="0"/>
        <v>0</v>
      </c>
      <c r="Q230" t="str">
        <f>IF(N230="","",SUMIFS('PR-BOM'!$D$3:$D1001,'PR-BOM'!$C$3:$C1001,N230))</f>
        <v/>
      </c>
      <c r="S230" t="str">
        <f ca="1">IFERROR(__xludf.DUMMYFUNCTION("""COMPUTED_VALUE"""),"PG-7 Cable Gland")</f>
        <v>PG-7 Cable Gland</v>
      </c>
      <c r="X230" t="e">
        <f ca="1"/>
        <v>#NAME?</v>
      </c>
      <c r="Y230" t="e">
        <f t="shared" ca="1" si="1"/>
        <v>#NAME?</v>
      </c>
      <c r="Z230" t="e">
        <f ca="1">IF(X230="","",SUMIFS(#REF!,RM!$C$4:$C991,X230))</f>
        <v>#NAME?</v>
      </c>
      <c r="AA230" t="e">
        <f ca="1">IF(X230="","",SUMIFS(#REF!,RM!$C$4:$C991,X230))</f>
        <v>#NAME?</v>
      </c>
      <c r="AB230" t="e">
        <f ca="1">IF(X230="","",SUMIFS(IRegback!$Y$2:$Y1001,IRegback!$X$2:$X1001,X230))</f>
        <v>#NAME?</v>
      </c>
      <c r="AC230" t="e">
        <f t="shared" ca="1" si="2"/>
        <v>#NAME?</v>
      </c>
      <c r="AD230" t="e">
        <f ca="1">IF(X230="","",VLOOKUP($X230,RM!$C$4:$G991,3,FALSE))</f>
        <v>#NAME?</v>
      </c>
      <c r="AE230" t="e">
        <f ca="1">IF(X230="","",VLOOKUP($X230,RM!$C$4:$G991,4,FALSE))</f>
        <v>#NAME?</v>
      </c>
      <c r="AF230" t="e">
        <f ca="1">IF(X230="","",VLOOKUP($X230,RM!$C$4:$G991,5,FALSE))</f>
        <v>#NAME?</v>
      </c>
      <c r="AH230" t="str">
        <f ca="1">IFERROR(__xludf.DUMMYFUNCTION("""COMPUTED_VALUE"""),"A21 MotherBoard Assy")</f>
        <v>A21 MotherBoard Assy</v>
      </c>
      <c r="AI230" t="str">
        <f ca="1">IFERROR(__xludf.DUMMYFUNCTION("""COMPUTED_VALUE"""),"51k 0805 resistor")</f>
        <v>51k 0805 resistor</v>
      </c>
      <c r="AJ230">
        <f ca="1">IFERROR(__xludf.DUMMYFUNCTION("""COMPUTED_VALUE"""),2)</f>
        <v>2</v>
      </c>
      <c r="AK230" t="str">
        <f ca="1">IFERROR(__xludf.DUMMYFUNCTION("""COMPUTED_VALUE"""),"blank")</f>
        <v>blank</v>
      </c>
      <c r="AL230" t="e">
        <f ca="1">_xludf.IFNA(VLOOKUP(AH230,'S-FG'!$B$3:$B1001,1,FALSE),"")</f>
        <v>#NAME?</v>
      </c>
      <c r="AM230" t="e">
        <f ca="1">IF(AI230="","",SUMIFS(#REF!,RM!$C$4:$C991,AI230))</f>
        <v>#REF!</v>
      </c>
    </row>
    <row r="231" spans="5:39">
      <c r="E231" t="str">
        <f>IF(A231="","",SUMIFS('PR-BOM'!$D$3:$D1001,'PR-BOM'!$C$3:$C1001,A231)*C231)</f>
        <v/>
      </c>
      <c r="F231" t="e">
        <f ca="1">_xludf.IFNA(VLOOKUP(B231,'S-FG'!$B$3:$B1001,1,FALSE),"")</f>
        <v>#NAME?</v>
      </c>
      <c r="H231" t="str">
        <f ca="1">IFERROR(__xludf.DUMMYFUNCTION("""COMPUTED_VALUE"""),"Electronic Box Assy")</f>
        <v>Electronic Box Assy</v>
      </c>
      <c r="I231" t="str">
        <f ca="1">IFERROR(__xludf.DUMMYFUNCTION("""COMPUTED_VALUE"""),"IM Front Lid")</f>
        <v>IM Front Lid</v>
      </c>
      <c r="J231">
        <f ca="1">IFERROR(__xludf.DUMMYFUNCTION("""COMPUTED_VALUE"""),1)</f>
        <v>1</v>
      </c>
      <c r="K231" t="str">
        <f ca="1">IFERROR(__xludf.DUMMYFUNCTION("""COMPUTED_VALUE"""),"blank")</f>
        <v>blank</v>
      </c>
      <c r="L231">
        <f t="shared" ca="1" si="0"/>
        <v>0</v>
      </c>
      <c r="Q231" t="str">
        <f>IF(N231="","",SUMIFS('PR-BOM'!$D$3:$D1001,'PR-BOM'!$C$3:$C1001,N231))</f>
        <v/>
      </c>
      <c r="S231" t="str">
        <f ca="1">IFERROR(__xludf.DUMMYFUNCTION("""COMPUTED_VALUE"""),"Electronic Box")</f>
        <v>Electronic Box</v>
      </c>
      <c r="X231" t="e">
        <f ca="1"/>
        <v>#NAME?</v>
      </c>
      <c r="Y231" t="e">
        <f t="shared" ca="1" si="1"/>
        <v>#NAME?</v>
      </c>
      <c r="Z231" t="e">
        <f ca="1">IF(X231="","",SUMIFS(#REF!,RM!$C$4:$C991,X231))</f>
        <v>#NAME?</v>
      </c>
      <c r="AA231" t="e">
        <f ca="1">IF(X231="","",SUMIFS(#REF!,RM!$C$4:$C991,X231))</f>
        <v>#NAME?</v>
      </c>
      <c r="AB231" t="e">
        <f ca="1">IF(X231="","",SUMIFS(IRegback!$Y$2:$Y1001,IRegback!$X$2:$X1001,X231))</f>
        <v>#NAME?</v>
      </c>
      <c r="AC231" t="e">
        <f t="shared" ca="1" si="2"/>
        <v>#NAME?</v>
      </c>
      <c r="AD231" t="e">
        <f ca="1">IF(X231="","",VLOOKUP($X231,RM!$C$4:$G991,3,FALSE))</f>
        <v>#NAME?</v>
      </c>
      <c r="AE231" t="e">
        <f ca="1">IF(X231="","",VLOOKUP($X231,RM!$C$4:$G991,4,FALSE))</f>
        <v>#NAME?</v>
      </c>
      <c r="AF231" t="e">
        <f ca="1">IF(X231="","",VLOOKUP($X231,RM!$C$4:$G991,5,FALSE))</f>
        <v>#NAME?</v>
      </c>
      <c r="AH231" t="str">
        <f ca="1">IFERROR(__xludf.DUMMYFUNCTION("""COMPUTED_VALUE"""),"A21 MotherBoard Assy")</f>
        <v>A21 MotherBoard Assy</v>
      </c>
      <c r="AI231" t="str">
        <f ca="1">IFERROR(__xludf.DUMMYFUNCTION("""COMPUTED_VALUE"""),"10k 0805 resistor")</f>
        <v>10k 0805 resistor</v>
      </c>
      <c r="AJ231">
        <f ca="1">IFERROR(__xludf.DUMMYFUNCTION("""COMPUTED_VALUE"""),1)</f>
        <v>1</v>
      </c>
      <c r="AK231" t="str">
        <f ca="1">IFERROR(__xludf.DUMMYFUNCTION("""COMPUTED_VALUE"""),"ERA6AEB103V (to be modified)")</f>
        <v>ERA6AEB103V (to be modified)</v>
      </c>
      <c r="AL231" t="e">
        <f ca="1">_xludf.IFNA(VLOOKUP(AH231,'S-FG'!$B$3:$B1001,1,FALSE),"")</f>
        <v>#NAME?</v>
      </c>
      <c r="AM231" t="e">
        <f ca="1">IF(AI231="","",SUMIFS(#REF!,RM!$C$4:$C991,AI231))</f>
        <v>#REF!</v>
      </c>
    </row>
    <row r="232" spans="5:39">
      <c r="E232" t="str">
        <f>IF(A232="","",SUMIFS('PR-BOM'!$D$3:$D1001,'PR-BOM'!$C$3:$C1001,A232)*C232)</f>
        <v/>
      </c>
      <c r="F232" t="e">
        <f ca="1">_xludf.IFNA(VLOOKUP(B232,'S-FG'!$B$3:$B1001,1,FALSE),"")</f>
        <v>#NAME?</v>
      </c>
      <c r="H232" t="str">
        <f ca="1">IFERROR(__xludf.DUMMYFUNCTION("""COMPUTED_VALUE"""),"Electronic Box Assy")</f>
        <v>Electronic Box Assy</v>
      </c>
      <c r="I232" t="str">
        <f ca="1">IFERROR(__xludf.DUMMYFUNCTION("""COMPUTED_VALUE"""),"Teroson MS930")</f>
        <v>Teroson MS930</v>
      </c>
      <c r="J232">
        <f ca="1">IFERROR(__xludf.DUMMYFUNCTION("""COMPUTED_VALUE"""),10)</f>
        <v>10</v>
      </c>
      <c r="K232" t="str">
        <f ca="1">IFERROR(__xludf.DUMMYFUNCTION("""COMPUTED_VALUE"""),"blank")</f>
        <v>blank</v>
      </c>
      <c r="L232">
        <f t="shared" ca="1" si="0"/>
        <v>0</v>
      </c>
      <c r="Q232" t="str">
        <f>IF(N232="","",SUMIFS('PR-BOM'!$D$3:$D1001,'PR-BOM'!$C$3:$C1001,N232))</f>
        <v/>
      </c>
      <c r="S232" t="str">
        <f ca="1">IFERROR(__xludf.DUMMYFUNCTION("""COMPUTED_VALUE"""),"IM Front Lid")</f>
        <v>IM Front Lid</v>
      </c>
      <c r="X232" t="e">
        <f ca="1"/>
        <v>#NAME?</v>
      </c>
      <c r="Y232" t="e">
        <f t="shared" ca="1" si="1"/>
        <v>#NAME?</v>
      </c>
      <c r="Z232" t="e">
        <f ca="1">IF(X232="","",SUMIFS(#REF!,RM!$C$4:$C991,X232))</f>
        <v>#NAME?</v>
      </c>
      <c r="AA232" t="e">
        <f ca="1">IF(X232="","",SUMIFS(#REF!,RM!$C$4:$C991,X232))</f>
        <v>#NAME?</v>
      </c>
      <c r="AB232" t="e">
        <f ca="1">IF(X232="","",SUMIFS(IRegback!$Y$2:$Y1001,IRegback!$X$2:$X1001,X232))</f>
        <v>#NAME?</v>
      </c>
      <c r="AC232" t="e">
        <f t="shared" ca="1" si="2"/>
        <v>#NAME?</v>
      </c>
      <c r="AD232" t="e">
        <f ca="1">IF(X232="","",VLOOKUP($X232,RM!$C$4:$G991,3,FALSE))</f>
        <v>#NAME?</v>
      </c>
      <c r="AE232" t="e">
        <f ca="1">IF(X232="","",VLOOKUP($X232,RM!$C$4:$G991,4,FALSE))</f>
        <v>#NAME?</v>
      </c>
      <c r="AF232" t="e">
        <f ca="1">IF(X232="","",VLOOKUP($X232,RM!$C$4:$G991,5,FALSE))</f>
        <v>#NAME?</v>
      </c>
      <c r="AH232" t="str">
        <f ca="1">IFERROR(__xludf.DUMMYFUNCTION("""COMPUTED_VALUE"""),"A21 MotherBoard Assy")</f>
        <v>A21 MotherBoard Assy</v>
      </c>
      <c r="AI232" t="str">
        <f ca="1">IFERROR(__xludf.DUMMYFUNCTION("""COMPUTED_VALUE"""),"330E 0805 Resistor")</f>
        <v>330E 0805 Resistor</v>
      </c>
      <c r="AJ232">
        <f ca="1">IFERROR(__xludf.DUMMYFUNCTION("""COMPUTED_VALUE"""),12)</f>
        <v>12</v>
      </c>
      <c r="AK232" t="str">
        <f ca="1">IFERROR(__xludf.DUMMYFUNCTION("""COMPUTED_VALUE"""),"MCWR08X3300FTL (to be modified)")</f>
        <v>MCWR08X3300FTL (to be modified)</v>
      </c>
      <c r="AL232" t="e">
        <f ca="1">_xludf.IFNA(VLOOKUP(AH232,'S-FG'!$B$3:$B1001,1,FALSE),"")</f>
        <v>#NAME?</v>
      </c>
      <c r="AM232" t="e">
        <f ca="1">IF(AI232="","",SUMIFS(#REF!,RM!$C$4:$C991,AI232))</f>
        <v>#REF!</v>
      </c>
    </row>
    <row r="233" spans="5:39">
      <c r="E233" t="str">
        <f>IF(A233="","",SUMIFS('PR-BOM'!$D$3:$D1001,'PR-BOM'!$C$3:$C1001,A233)*C233)</f>
        <v/>
      </c>
      <c r="F233" t="e">
        <f ca="1">_xludf.IFNA(VLOOKUP(B233,'S-FG'!$B$3:$B1001,1,FALSE),"")</f>
        <v>#NAME?</v>
      </c>
      <c r="H233" t="str">
        <f ca="1">IFERROR(__xludf.DUMMYFUNCTION("""COMPUTED_VALUE"""),"Electronic Box Assy")</f>
        <v>Electronic Box Assy</v>
      </c>
      <c r="I233" t="str">
        <f ca="1">IFERROR(__xludf.DUMMYFUNCTION("""COMPUTED_VALUE"""),"Silicon RTV 732")</f>
        <v>Silicon RTV 732</v>
      </c>
      <c r="J233">
        <f ca="1">IFERROR(__xludf.DUMMYFUNCTION("""COMPUTED_VALUE"""),20)</f>
        <v>20</v>
      </c>
      <c r="K233" t="str">
        <f ca="1">IFERROR(__xludf.DUMMYFUNCTION("""COMPUTED_VALUE"""),"blank")</f>
        <v>blank</v>
      </c>
      <c r="L233">
        <f t="shared" ca="1" si="0"/>
        <v>0</v>
      </c>
      <c r="Q233" t="str">
        <f>IF(N233="","",SUMIFS('PR-BOM'!$D$3:$D1001,'PR-BOM'!$C$3:$C1001,N233))</f>
        <v/>
      </c>
      <c r="S233" t="str">
        <f ca="1">IFERROR(__xludf.DUMMYFUNCTION("""COMPUTED_VALUE"""),"Teroson MS930")</f>
        <v>Teroson MS930</v>
      </c>
      <c r="X233" t="e">
        <f ca="1"/>
        <v>#NAME?</v>
      </c>
      <c r="Y233" t="e">
        <f t="shared" ca="1" si="1"/>
        <v>#NAME?</v>
      </c>
      <c r="Z233" t="e">
        <f ca="1">IF(X233="","",SUMIFS(#REF!,RM!$C$4:$C991,X233))</f>
        <v>#NAME?</v>
      </c>
      <c r="AA233" t="e">
        <f ca="1">IF(X233="","",SUMIFS(#REF!,RM!$C$4:$C991,X233))</f>
        <v>#NAME?</v>
      </c>
      <c r="AB233" t="e">
        <f ca="1">IF(X233="","",SUMIFS(IRegback!$Y$2:$Y1001,IRegback!$X$2:$X1001,X233))</f>
        <v>#NAME?</v>
      </c>
      <c r="AC233" t="e">
        <f t="shared" ca="1" si="2"/>
        <v>#NAME?</v>
      </c>
      <c r="AD233" t="e">
        <f ca="1">IF(X233="","",VLOOKUP($X233,RM!$C$4:$G991,3,FALSE))</f>
        <v>#NAME?</v>
      </c>
      <c r="AE233" t="e">
        <f ca="1">IF(X233="","",VLOOKUP($X233,RM!$C$4:$G991,4,FALSE))</f>
        <v>#NAME?</v>
      </c>
      <c r="AF233" t="e">
        <f ca="1">IF(X233="","",VLOOKUP($X233,RM!$C$4:$G991,5,FALSE))</f>
        <v>#NAME?</v>
      </c>
      <c r="AH233" t="str">
        <f ca="1">IFERROR(__xludf.DUMMYFUNCTION("""COMPUTED_VALUE"""),"A21 MotherBoard Assy")</f>
        <v>A21 MotherBoard Assy</v>
      </c>
      <c r="AI233" t="str">
        <f ca="1">IFERROR(__xludf.DUMMYFUNCTION("""COMPUTED_VALUE"""),"Female Bergstrip 40x1 2.54mm")</f>
        <v>Female Bergstrip 40x1 2.54mm</v>
      </c>
      <c r="AJ233">
        <f ca="1">IFERROR(__xludf.DUMMYFUNCTION("""COMPUTED_VALUE"""),1)</f>
        <v>1</v>
      </c>
      <c r="AL233" t="e">
        <f ca="1">_xludf.IFNA(VLOOKUP(AH233,'S-FG'!$B$3:$B1001,1,FALSE),"")</f>
        <v>#NAME?</v>
      </c>
      <c r="AM233" t="e">
        <f ca="1">IF(AI233="","",SUMIFS(#REF!,RM!$C$4:$C991,AI233))</f>
        <v>#REF!</v>
      </c>
    </row>
    <row r="234" spans="5:39">
      <c r="E234" t="str">
        <f>IF(A234="","",SUMIFS('PR-BOM'!$D$3:$D1001,'PR-BOM'!$C$3:$C1001,A234)*C234)</f>
        <v/>
      </c>
      <c r="F234" t="e">
        <f ca="1">_xludf.IFNA(VLOOKUP(B234,'S-FG'!$B$3:$B1001,1,FALSE),"")</f>
        <v>#NAME?</v>
      </c>
      <c r="H234" t="str">
        <f ca="1">IFERROR(__xludf.DUMMYFUNCTION("""COMPUTED_VALUE"""),"Electronic Box Assy")</f>
        <v>Electronic Box Assy</v>
      </c>
      <c r="I234" t="str">
        <f ca="1">IFERROR(__xludf.DUMMYFUNCTION("""COMPUTED_VALUE"""),"Power Switch Assy")</f>
        <v>Power Switch Assy</v>
      </c>
      <c r="J234">
        <f ca="1">IFERROR(__xludf.DUMMYFUNCTION("""COMPUTED_VALUE"""),0)</f>
        <v>0</v>
      </c>
      <c r="K234" t="str">
        <f ca="1">IFERROR(__xludf.DUMMYFUNCTION("""COMPUTED_VALUE"""),"blank")</f>
        <v>blank</v>
      </c>
      <c r="L234">
        <f t="shared" ca="1" si="0"/>
        <v>0</v>
      </c>
      <c r="Q234" t="str">
        <f>IF(N234="","",SUMIFS('PR-BOM'!$D$3:$D1001,'PR-BOM'!$C$3:$C1001,N234))</f>
        <v/>
      </c>
      <c r="S234" t="str">
        <f ca="1">IFERROR(__xludf.DUMMYFUNCTION("""COMPUTED_VALUE"""),"Silicon RTV 732")</f>
        <v>Silicon RTV 732</v>
      </c>
      <c r="X234" t="e">
        <f ca="1"/>
        <v>#NAME?</v>
      </c>
      <c r="Y234" t="e">
        <f t="shared" ca="1" si="1"/>
        <v>#NAME?</v>
      </c>
      <c r="Z234" t="e">
        <f ca="1">IF(X234="","",SUMIFS(#REF!,RM!$C$4:$C991,X234))</f>
        <v>#NAME?</v>
      </c>
      <c r="AA234" t="e">
        <f ca="1">IF(X234="","",SUMIFS(#REF!,RM!$C$4:$C991,X234))</f>
        <v>#NAME?</v>
      </c>
      <c r="AB234" t="e">
        <f ca="1">IF(X234="","",SUMIFS(IRegback!$Y$2:$Y1001,IRegback!$X$2:$X1001,X234))</f>
        <v>#NAME?</v>
      </c>
      <c r="AC234" t="e">
        <f t="shared" ca="1" si="2"/>
        <v>#NAME?</v>
      </c>
      <c r="AD234" t="e">
        <f ca="1">IF(X234="","",VLOOKUP($X234,RM!$C$4:$G991,3,FALSE))</f>
        <v>#NAME?</v>
      </c>
      <c r="AE234" t="e">
        <f ca="1">IF(X234="","",VLOOKUP($X234,RM!$C$4:$G991,4,FALSE))</f>
        <v>#NAME?</v>
      </c>
      <c r="AF234" t="e">
        <f ca="1">IF(X234="","",VLOOKUP($X234,RM!$C$4:$G991,5,FALSE))</f>
        <v>#NAME?</v>
      </c>
      <c r="AH234" t="str">
        <f ca="1">IFERROR(__xludf.DUMMYFUNCTION("""COMPUTED_VALUE"""),"A21 MotherBoard Assy")</f>
        <v>A21 MotherBoard Assy</v>
      </c>
      <c r="AI234" t="str">
        <f ca="1">IFERROR(__xludf.DUMMYFUNCTION("""COMPUTED_VALUE"""),"Male Bergstrip 40x1 2.54mm")</f>
        <v>Male Bergstrip 40x1 2.54mm</v>
      </c>
      <c r="AJ234">
        <f ca="1">IFERROR(__xludf.DUMMYFUNCTION("""COMPUTED_VALUE"""),1)</f>
        <v>1</v>
      </c>
      <c r="AL234" t="e">
        <f ca="1">_xludf.IFNA(VLOOKUP(AH234,'S-FG'!$B$3:$B1001,1,FALSE),"")</f>
        <v>#NAME?</v>
      </c>
      <c r="AM234" t="e">
        <f ca="1">IF(AI234="","",SUMIFS(#REF!,RM!$C$4:$C991,AI234))</f>
        <v>#REF!</v>
      </c>
    </row>
    <row r="235" spans="5:39">
      <c r="E235" t="str">
        <f>IF(A235="","",SUMIFS('PR-BOM'!$D$3:$D1001,'PR-BOM'!$C$3:$C1001,A235)*C235)</f>
        <v/>
      </c>
      <c r="F235" t="e">
        <f ca="1">_xludf.IFNA(VLOOKUP(B235,'S-FG'!$B$3:$B1001,1,FALSE),"")</f>
        <v>#NAME?</v>
      </c>
      <c r="H235" t="str">
        <f ca="1">IFERROR(__xludf.DUMMYFUNCTION("""COMPUTED_VALUE"""),"Electronic Box Assy")</f>
        <v>Electronic Box Assy</v>
      </c>
      <c r="I235" t="str">
        <f ca="1">IFERROR(__xludf.DUMMYFUNCTION("""COMPUTED_VALUE"""),"M4x20 CSK Phillips")</f>
        <v>M4x20 CSK Phillips</v>
      </c>
      <c r="J235">
        <f ca="1">IFERROR(__xludf.DUMMYFUNCTION("""COMPUTED_VALUE"""),4)</f>
        <v>4</v>
      </c>
      <c r="K235" t="str">
        <f ca="1">IFERROR(__xludf.DUMMYFUNCTION("""COMPUTED_VALUE"""),"blank")</f>
        <v>blank</v>
      </c>
      <c r="L235">
        <f t="shared" ca="1" si="0"/>
        <v>0</v>
      </c>
      <c r="Q235" t="str">
        <f>IF(N235="","",SUMIFS('PR-BOM'!$D$3:$D1001,'PR-BOM'!$C$3:$C1001,N235))</f>
        <v/>
      </c>
      <c r="S235" t="str">
        <f ca="1">IFERROR(__xludf.DUMMYFUNCTION("""COMPUTED_VALUE"""),"Power Switch Assy")</f>
        <v>Power Switch Assy</v>
      </c>
      <c r="X235" t="e">
        <f ca="1"/>
        <v>#NAME?</v>
      </c>
      <c r="Y235" t="e">
        <f t="shared" ca="1" si="1"/>
        <v>#NAME?</v>
      </c>
      <c r="Z235" t="e">
        <f ca="1">IF(X235="","",SUMIFS(#REF!,RM!$C$4:$C991,X235))</f>
        <v>#NAME?</v>
      </c>
      <c r="AA235" t="e">
        <f ca="1">IF(X235="","",SUMIFS(#REF!,RM!$C$4:$C991,X235))</f>
        <v>#NAME?</v>
      </c>
      <c r="AB235" t="e">
        <f ca="1">IF(X235="","",SUMIFS(IRegback!$Y$2:$Y1001,IRegback!$X$2:$X1001,X235))</f>
        <v>#NAME?</v>
      </c>
      <c r="AC235" t="e">
        <f t="shared" ca="1" si="2"/>
        <v>#NAME?</v>
      </c>
      <c r="AD235" t="e">
        <f ca="1">IF(X235="","",VLOOKUP($X235,RM!$C$4:$G991,3,FALSE))</f>
        <v>#NAME?</v>
      </c>
      <c r="AE235" t="e">
        <f ca="1">IF(X235="","",VLOOKUP($X235,RM!$C$4:$G991,4,FALSE))</f>
        <v>#NAME?</v>
      </c>
      <c r="AF235" t="e">
        <f ca="1">IF(X235="","",VLOOKUP($X235,RM!$C$4:$G991,5,FALSE))</f>
        <v>#NAME?</v>
      </c>
      <c r="AH235" t="str">
        <f ca="1">IFERROR(__xludf.DUMMYFUNCTION("""COMPUTED_VALUE"""),"A21 MotherBoard Assy")</f>
        <v>A21 MotherBoard Assy</v>
      </c>
      <c r="AI235" t="str">
        <f ca="1">IFERROR(__xludf.DUMMYFUNCTION("""COMPUTED_VALUE"""),"Conformal Coating")</f>
        <v>Conformal Coating</v>
      </c>
      <c r="AJ235">
        <f ca="1">IFERROR(__xludf.DUMMYFUNCTION("""COMPUTED_VALUE"""),20)</f>
        <v>20</v>
      </c>
      <c r="AL235" t="e">
        <f ca="1">_xludf.IFNA(VLOOKUP(AH235,'S-FG'!$B$3:$B1001,1,FALSE),"")</f>
        <v>#NAME?</v>
      </c>
      <c r="AM235" t="e">
        <f ca="1">IF(AI235="","",SUMIFS(#REF!,RM!$C$4:$C991,AI235))</f>
        <v>#REF!</v>
      </c>
    </row>
    <row r="236" spans="5:39">
      <c r="E236" t="str">
        <f>IF(A236="","",SUMIFS('PR-BOM'!$D$3:$D1001,'PR-BOM'!$C$3:$C1001,A236)*C236)</f>
        <v/>
      </c>
      <c r="F236" t="e">
        <f ca="1">_xludf.IFNA(VLOOKUP(B236,'S-FG'!$B$3:$B1001,1,FALSE),"")</f>
        <v>#NAME?</v>
      </c>
      <c r="H236" t="str">
        <f ca="1">IFERROR(__xludf.DUMMYFUNCTION("""COMPUTED_VALUE"""),"Electronic Box Assy")</f>
        <v>Electronic Box Assy</v>
      </c>
      <c r="I236" t="str">
        <f ca="1">IFERROR(__xludf.DUMMYFUNCTION("""COMPUTED_VALUE"""),"STBD Signal PM Assy")</f>
        <v>STBD Signal PM Assy</v>
      </c>
      <c r="J236">
        <f ca="1">IFERROR(__xludf.DUMMYFUNCTION("""COMPUTED_VALUE"""),0)</f>
        <v>0</v>
      </c>
      <c r="K236" t="str">
        <f ca="1">IFERROR(__xludf.DUMMYFUNCTION("""COMPUTED_VALUE"""),"blank")</f>
        <v>blank</v>
      </c>
      <c r="L236">
        <f t="shared" ca="1" si="0"/>
        <v>0</v>
      </c>
      <c r="Q236" t="str">
        <f>IF(N236="","",SUMIFS('PR-BOM'!$D$3:$D1001,'PR-BOM'!$C$3:$C1001,N236))</f>
        <v/>
      </c>
      <c r="S236" t="str">
        <f ca="1">IFERROR(__xludf.DUMMYFUNCTION("""COMPUTED_VALUE"""),"M4x20 CSK Phillips")</f>
        <v>M4x20 CSK Phillips</v>
      </c>
      <c r="X236" t="e">
        <f ca="1"/>
        <v>#NAME?</v>
      </c>
      <c r="Y236" t="e">
        <f t="shared" ca="1" si="1"/>
        <v>#NAME?</v>
      </c>
      <c r="Z236" t="e">
        <f ca="1">IF(X236="","",SUMIFS(#REF!,RM!$C$4:$C991,X236))</f>
        <v>#NAME?</v>
      </c>
      <c r="AA236" t="e">
        <f ca="1">IF(X236="","",SUMIFS(#REF!,RM!$C$4:$C991,X236))</f>
        <v>#NAME?</v>
      </c>
      <c r="AB236" t="e">
        <f ca="1">IF(X236="","",SUMIFS(IRegback!$Y$2:$Y1001,IRegback!$X$2:$X1001,X236))</f>
        <v>#NAME?</v>
      </c>
      <c r="AC236" t="e">
        <f t="shared" ca="1" si="2"/>
        <v>#NAME?</v>
      </c>
      <c r="AD236" t="e">
        <f ca="1">IF(X236="","",VLOOKUP($X236,RM!$C$4:$G991,3,FALSE))</f>
        <v>#NAME?</v>
      </c>
      <c r="AE236" t="e">
        <f ca="1">IF(X236="","",VLOOKUP($X236,RM!$C$4:$G991,4,FALSE))</f>
        <v>#NAME?</v>
      </c>
      <c r="AF236" t="e">
        <f ca="1">IF(X236="","",VLOOKUP($X236,RM!$C$4:$G991,5,FALSE))</f>
        <v>#NAME?</v>
      </c>
      <c r="AH236" t="str">
        <f ca="1">IFERROR(__xludf.DUMMYFUNCTION("""COMPUTED_VALUE"""),"A21 MotherBoard Assy")</f>
        <v>A21 MotherBoard Assy</v>
      </c>
      <c r="AI236" t="str">
        <f ca="1">IFERROR(__xludf.DUMMYFUNCTION("""COMPUTED_VALUE"""),"Soldering flux")</f>
        <v>Soldering flux</v>
      </c>
      <c r="AJ236">
        <f ca="1">IFERROR(__xludf.DUMMYFUNCTION("""COMPUTED_VALUE"""),5)</f>
        <v>5</v>
      </c>
      <c r="AL236" t="e">
        <f ca="1">_xludf.IFNA(VLOOKUP(AH236,'S-FG'!$B$3:$B1001,1,FALSE),"")</f>
        <v>#NAME?</v>
      </c>
      <c r="AM236" t="e">
        <f ca="1">IF(AI236="","",SUMIFS(#REF!,RM!$C$4:$C991,AI236))</f>
        <v>#REF!</v>
      </c>
    </row>
    <row r="237" spans="5:39">
      <c r="E237" t="str">
        <f>IF(A237="","",SUMIFS('PR-BOM'!$D$3:$D1001,'PR-BOM'!$C$3:$C1001,A237)*C237)</f>
        <v/>
      </c>
      <c r="F237" t="e">
        <f ca="1">_xludf.IFNA(VLOOKUP(B237,'S-FG'!$B$3:$B1001,1,FALSE),"")</f>
        <v>#NAME?</v>
      </c>
      <c r="H237" t="str">
        <f ca="1">IFERROR(__xludf.DUMMYFUNCTION("""COMPUTED_VALUE"""),"Electronic Box Assy")</f>
        <v>Electronic Box Assy</v>
      </c>
      <c r="I237" t="str">
        <f ca="1">IFERROR(__xludf.DUMMYFUNCTION("""COMPUTED_VALUE"""),"PORT Signal PM Assy")</f>
        <v>PORT Signal PM Assy</v>
      </c>
      <c r="J237">
        <f ca="1">IFERROR(__xludf.DUMMYFUNCTION("""COMPUTED_VALUE"""),0)</f>
        <v>0</v>
      </c>
      <c r="K237" t="str">
        <f ca="1">IFERROR(__xludf.DUMMYFUNCTION("""COMPUTED_VALUE"""),"blank")</f>
        <v>blank</v>
      </c>
      <c r="L237">
        <f t="shared" ca="1" si="0"/>
        <v>0</v>
      </c>
      <c r="Q237" t="str">
        <f>IF(N237="","",SUMIFS('PR-BOM'!$D$3:$D1001,'PR-BOM'!$C$3:$C1001,N237))</f>
        <v/>
      </c>
      <c r="S237" t="str">
        <f ca="1">IFERROR(__xludf.DUMMYFUNCTION("""COMPUTED_VALUE"""),"STBD Signal PM Assy")</f>
        <v>STBD Signal PM Assy</v>
      </c>
      <c r="X237" t="e">
        <f ca="1"/>
        <v>#NAME?</v>
      </c>
      <c r="Y237" t="e">
        <f t="shared" ca="1" si="1"/>
        <v>#NAME?</v>
      </c>
      <c r="Z237" t="e">
        <f ca="1">IF(X237="","",SUMIFS(#REF!,RM!$C$4:$C991,X237))</f>
        <v>#NAME?</v>
      </c>
      <c r="AA237" t="e">
        <f ca="1">IF(X237="","",SUMIFS(#REF!,RM!$C$4:$C991,X237))</f>
        <v>#NAME?</v>
      </c>
      <c r="AB237" t="e">
        <f ca="1">IF(X237="","",SUMIFS(IRegback!$Y$2:$Y1001,IRegback!$X$2:$X1001,X237))</f>
        <v>#NAME?</v>
      </c>
      <c r="AC237" t="e">
        <f t="shared" ca="1" si="2"/>
        <v>#NAME?</v>
      </c>
      <c r="AD237" t="e">
        <f ca="1">IF(X237="","",VLOOKUP($X237,RM!$C$4:$G991,3,FALSE))</f>
        <v>#NAME?</v>
      </c>
      <c r="AE237" t="e">
        <f ca="1">IF(X237="","",VLOOKUP($X237,RM!$C$4:$G991,4,FALSE))</f>
        <v>#NAME?</v>
      </c>
      <c r="AF237" t="e">
        <f ca="1">IF(X237="","",VLOOKUP($X237,RM!$C$4:$G991,5,FALSE))</f>
        <v>#NAME?</v>
      </c>
      <c r="AH237" t="str">
        <f ca="1">IFERROR(__xludf.DUMMYFUNCTION("""COMPUTED_VALUE"""),"A21 MotherBoard Assy")</f>
        <v>A21 MotherBoard Assy</v>
      </c>
      <c r="AI237" t="str">
        <f ca="1">IFERROR(__xludf.DUMMYFUNCTION("""COMPUTED_VALUE"""),"2 pin JST-XH male top entry")</f>
        <v>2 pin JST-XH male top entry</v>
      </c>
      <c r="AJ237">
        <f ca="1">IFERROR(__xludf.DUMMYFUNCTION("""COMPUTED_VALUE"""),3)</f>
        <v>3</v>
      </c>
      <c r="AK237" t="str">
        <f ca="1">IFERROR(__xludf.DUMMYFUNCTION("""COMPUTED_VALUE"""),"blank")</f>
        <v>blank</v>
      </c>
      <c r="AL237" t="e">
        <f ca="1">_xludf.IFNA(VLOOKUP(AH237,'S-FG'!$B$3:$B1001,1,FALSE),"")</f>
        <v>#NAME?</v>
      </c>
      <c r="AM237" t="e">
        <f ca="1">IF(AI237="","",SUMIFS(#REF!,RM!$C$4:$C991,AI237))</f>
        <v>#REF!</v>
      </c>
    </row>
    <row r="238" spans="5:39">
      <c r="E238" t="str">
        <f>IF(A238="","",SUMIFS('PR-BOM'!$D$3:$D1001,'PR-BOM'!$C$3:$C1001,A238)*C238)</f>
        <v/>
      </c>
      <c r="F238" t="e">
        <f ca="1">_xludf.IFNA(VLOOKUP(B238,'S-FG'!$B$3:$B1001,1,FALSE),"")</f>
        <v>#NAME?</v>
      </c>
      <c r="H238" t="str">
        <f ca="1">IFERROR(__xludf.DUMMYFUNCTION("""COMPUTED_VALUE"""),"Electronic Box Assy")</f>
        <v>Electronic Box Assy</v>
      </c>
      <c r="I238" t="str">
        <f ca="1">IFERROR(__xludf.DUMMYFUNCTION("""COMPUTED_VALUE"""),"Current Sensor Assy")</f>
        <v>Current Sensor Assy</v>
      </c>
      <c r="J238">
        <f ca="1">IFERROR(__xludf.DUMMYFUNCTION("""COMPUTED_VALUE"""),0)</f>
        <v>0</v>
      </c>
      <c r="K238">
        <f ca="1">IFERROR(__xludf.DUMMYFUNCTION("""COMPUTED_VALUE"""),15)</f>
        <v>15</v>
      </c>
      <c r="L238">
        <f t="shared" ca="1" si="0"/>
        <v>0</v>
      </c>
      <c r="Q238" t="str">
        <f>IF(N238="","",SUMIFS('PR-BOM'!$D$3:$D1001,'PR-BOM'!$C$3:$C1001,N238))</f>
        <v/>
      </c>
      <c r="S238" t="str">
        <f ca="1">IFERROR(__xludf.DUMMYFUNCTION("""COMPUTED_VALUE"""),"PORT Signal PM Assy")</f>
        <v>PORT Signal PM Assy</v>
      </c>
      <c r="X238" t="e">
        <f ca="1"/>
        <v>#NAME?</v>
      </c>
      <c r="Y238" t="e">
        <f t="shared" ca="1" si="1"/>
        <v>#NAME?</v>
      </c>
      <c r="Z238" t="e">
        <f ca="1">IF(X238="","",SUMIFS(#REF!,RM!$C$4:$C991,X238))</f>
        <v>#NAME?</v>
      </c>
      <c r="AA238" t="e">
        <f ca="1">IF(X238="","",SUMIFS(#REF!,RM!$C$4:$C991,X238))</f>
        <v>#NAME?</v>
      </c>
      <c r="AB238" t="e">
        <f ca="1">IF(X238="","",SUMIFS(IRegback!$Y$2:$Y1001,IRegback!$X$2:$X1001,X238))</f>
        <v>#NAME?</v>
      </c>
      <c r="AC238" t="e">
        <f t="shared" ca="1" si="2"/>
        <v>#NAME?</v>
      </c>
      <c r="AD238" t="e">
        <f ca="1">IF(X238="","",VLOOKUP($X238,RM!$C$4:$G991,3,FALSE))</f>
        <v>#NAME?</v>
      </c>
      <c r="AE238" t="e">
        <f ca="1">IF(X238="","",VLOOKUP($X238,RM!$C$4:$G991,4,FALSE))</f>
        <v>#NAME?</v>
      </c>
      <c r="AF238" t="e">
        <f ca="1">IF(X238="","",VLOOKUP($X238,RM!$C$4:$G991,5,FALSE))</f>
        <v>#NAME?</v>
      </c>
      <c r="AH238" t="str">
        <f ca="1">IFERROR(__xludf.DUMMYFUNCTION("""COMPUTED_VALUE"""),"A21 MotherBoard Assy")</f>
        <v>A21 MotherBoard Assy</v>
      </c>
      <c r="AI238" t="str">
        <f ca="1">IFERROR(__xludf.DUMMYFUNCTION("""COMPUTED_VALUE"""),"2 pin JST-XH male top entry RED")</f>
        <v>2 pin JST-XH male top entry RED</v>
      </c>
      <c r="AJ238">
        <f ca="1">IFERROR(__xludf.DUMMYFUNCTION("""COMPUTED_VALUE"""),1)</f>
        <v>1</v>
      </c>
      <c r="AL238" t="e">
        <f ca="1">_xludf.IFNA(VLOOKUP(AH238,'S-FG'!$B$3:$B1001,1,FALSE),"")</f>
        <v>#NAME?</v>
      </c>
      <c r="AM238" t="e">
        <f ca="1">IF(AI238="","",SUMIFS(#REF!,RM!$C$4:$C991,AI238))</f>
        <v>#REF!</v>
      </c>
    </row>
    <row r="239" spans="5:39">
      <c r="E239" t="str">
        <f>IF(A239="","",SUMIFS('PR-BOM'!$D$3:$D1001,'PR-BOM'!$C$3:$C1001,A239)*C239)</f>
        <v/>
      </c>
      <c r="F239" t="e">
        <f ca="1">_xludf.IFNA(VLOOKUP(B239,'S-FG'!$B$3:$B1001,1,FALSE),"")</f>
        <v>#NAME?</v>
      </c>
      <c r="H239" t="str">
        <f ca="1">IFERROR(__xludf.DUMMYFUNCTION("""COMPUTED_VALUE"""),"Electronic Box Assy")</f>
        <v>Electronic Box Assy</v>
      </c>
      <c r="I239" t="str">
        <f ca="1">IFERROR(__xludf.DUMMYFUNCTION("""COMPUTED_VALUE"""),"A21 MotherBoard Assy")</f>
        <v>A21 MotherBoard Assy</v>
      </c>
      <c r="J239">
        <f ca="1">IFERROR(__xludf.DUMMYFUNCTION("""COMPUTED_VALUE"""),0)</f>
        <v>0</v>
      </c>
      <c r="K239" t="str">
        <f ca="1">IFERROR(__xludf.DUMMYFUNCTION("""COMPUTED_VALUE"""),"blank")</f>
        <v>blank</v>
      </c>
      <c r="L239">
        <f t="shared" ca="1" si="0"/>
        <v>0</v>
      </c>
      <c r="Q239" t="str">
        <f>IF(N239="","",SUMIFS('PR-BOM'!$D$3:$D1001,'PR-BOM'!$C$3:$C1001,N239))</f>
        <v/>
      </c>
      <c r="S239" t="str">
        <f ca="1">IFERROR(__xludf.DUMMYFUNCTION("""COMPUTED_VALUE"""),"Current Sensor Assy")</f>
        <v>Current Sensor Assy</v>
      </c>
      <c r="X239" t="e">
        <f ca="1"/>
        <v>#NAME?</v>
      </c>
      <c r="Y239" t="e">
        <f t="shared" ca="1" si="1"/>
        <v>#NAME?</v>
      </c>
      <c r="Z239" t="e">
        <f ca="1">IF(X239="","",SUMIFS(#REF!,RM!$C$4:$C991,X239))</f>
        <v>#NAME?</v>
      </c>
      <c r="AA239" t="e">
        <f ca="1">IF(X239="","",SUMIFS(#REF!,RM!$C$4:$C991,X239))</f>
        <v>#NAME?</v>
      </c>
      <c r="AB239" t="e">
        <f ca="1">IF(X239="","",SUMIFS(IRegback!$Y$2:$Y1001,IRegback!$X$2:$X1001,X239))</f>
        <v>#NAME?</v>
      </c>
      <c r="AC239" t="e">
        <f t="shared" ca="1" si="2"/>
        <v>#NAME?</v>
      </c>
      <c r="AD239" t="e">
        <f ca="1">IF(X239="","",VLOOKUP($X239,RM!$C$4:$G991,3,FALSE))</f>
        <v>#NAME?</v>
      </c>
      <c r="AE239" t="e">
        <f ca="1">IF(X239="","",VLOOKUP($X239,RM!$C$4:$G991,4,FALSE))</f>
        <v>#NAME?</v>
      </c>
      <c r="AF239" t="e">
        <f ca="1">IF(X239="","",VLOOKUP($X239,RM!$C$4:$G991,5,FALSE))</f>
        <v>#NAME?</v>
      </c>
      <c r="AH239" t="str">
        <f ca="1">IFERROR(__xludf.DUMMYFUNCTION("""COMPUTED_VALUE"""),"A21 MotherBoard Assy")</f>
        <v>A21 MotherBoard Assy</v>
      </c>
      <c r="AI239" t="str">
        <f ca="1">IFERROR(__xludf.DUMMYFUNCTION("""COMPUTED_VALUE"""),"13 pin JST-XH male top entry")</f>
        <v>13 pin JST-XH male top entry</v>
      </c>
      <c r="AJ239">
        <f ca="1">IFERROR(__xludf.DUMMYFUNCTION("""COMPUTED_VALUE"""),1)</f>
        <v>1</v>
      </c>
      <c r="AK239" t="str">
        <f ca="1">IFERROR(__xludf.DUMMYFUNCTION("""COMPUTED_VALUE"""),"blank")</f>
        <v>blank</v>
      </c>
      <c r="AL239" t="e">
        <f ca="1">_xludf.IFNA(VLOOKUP(AH239,'S-FG'!$B$3:$B1001,1,FALSE),"")</f>
        <v>#NAME?</v>
      </c>
      <c r="AM239" t="e">
        <f ca="1">IF(AI239="","",SUMIFS(#REF!,RM!$C$4:$C991,AI239))</f>
        <v>#REF!</v>
      </c>
    </row>
    <row r="240" spans="5:39">
      <c r="E240" t="str">
        <f>IF(A240="","",SUMIFS('PR-BOM'!$D$3:$D1001,'PR-BOM'!$C$3:$C1001,A240)*C240)</f>
        <v/>
      </c>
      <c r="F240" t="e">
        <f ca="1">_xludf.IFNA(VLOOKUP(B240,'S-FG'!$B$3:$B1001,1,FALSE),"")</f>
        <v>#NAME?</v>
      </c>
      <c r="H240" t="str">
        <f ca="1">IFERROR(__xludf.DUMMYFUNCTION("""COMPUTED_VALUE"""),"FL_STBD Elec")</f>
        <v>FL_STBD Elec</v>
      </c>
      <c r="I240" t="str">
        <f ca="1">IFERROR(__xludf.DUMMYFUNCTION("""COMPUTED_VALUE"""),"2mm male bullet connector")</f>
        <v>2mm male bullet connector</v>
      </c>
      <c r="J240">
        <f ca="1">IFERROR(__xludf.DUMMYFUNCTION("""COMPUTED_VALUE"""),2)</f>
        <v>2</v>
      </c>
      <c r="K240" t="str">
        <f ca="1">IFERROR(__xludf.DUMMYFUNCTION("""COMPUTED_VALUE"""),"blank")</f>
        <v>blank</v>
      </c>
      <c r="L240">
        <f t="shared" ca="1" si="0"/>
        <v>0</v>
      </c>
      <c r="Q240" t="str">
        <f>IF(N240="","",SUMIFS('PR-BOM'!$D$3:$D1001,'PR-BOM'!$C$3:$C1001,N240))</f>
        <v/>
      </c>
      <c r="S240" t="str">
        <f ca="1">IFERROR(__xludf.DUMMYFUNCTION("""COMPUTED_VALUE"""),"A21 MotherBoard Assy")</f>
        <v>A21 MotherBoard Assy</v>
      </c>
      <c r="X240" t="e">
        <f ca="1"/>
        <v>#NAME?</v>
      </c>
      <c r="Y240" t="e">
        <f t="shared" ca="1" si="1"/>
        <v>#NAME?</v>
      </c>
      <c r="Z240" t="e">
        <f ca="1">IF(X240="","",SUMIFS(#REF!,RM!$C$4:$C991,X240))</f>
        <v>#NAME?</v>
      </c>
      <c r="AA240" t="e">
        <f ca="1">IF(X240="","",SUMIFS(#REF!,RM!$C$4:$C991,X240))</f>
        <v>#NAME?</v>
      </c>
      <c r="AB240" t="e">
        <f ca="1">IF(X240="","",SUMIFS(IRegback!$Y$2:$Y1001,IRegback!$X$2:$X1001,X240))</f>
        <v>#NAME?</v>
      </c>
      <c r="AC240" t="e">
        <f t="shared" ca="1" si="2"/>
        <v>#NAME?</v>
      </c>
      <c r="AD240" t="e">
        <f ca="1">IF(X240="","",VLOOKUP($X240,RM!$C$4:$G991,3,FALSE))</f>
        <v>#NAME?</v>
      </c>
      <c r="AE240" t="e">
        <f ca="1">IF(X240="","",VLOOKUP($X240,RM!$C$4:$G991,4,FALSE))</f>
        <v>#NAME?</v>
      </c>
      <c r="AF240" t="e">
        <f ca="1">IF(X240="","",VLOOKUP($X240,RM!$C$4:$G991,5,FALSE))</f>
        <v>#NAME?</v>
      </c>
      <c r="AH240" t="str">
        <f ca="1">IFERROR(__xludf.DUMMYFUNCTION("""COMPUTED_VALUE"""),"A21 MotherBoard Assy")</f>
        <v>A21 MotherBoard Assy</v>
      </c>
      <c r="AI240" t="str">
        <f ca="1">IFERROR(__xludf.DUMMYFUNCTION("""COMPUTED_VALUE"""),"15 pin JST-XH male top entry")</f>
        <v>15 pin JST-XH male top entry</v>
      </c>
      <c r="AJ240">
        <f ca="1">IFERROR(__xludf.DUMMYFUNCTION("""COMPUTED_VALUE"""),2)</f>
        <v>2</v>
      </c>
      <c r="AK240" t="str">
        <f ca="1">IFERROR(__xludf.DUMMYFUNCTION("""COMPUTED_VALUE"""),"blank")</f>
        <v>blank</v>
      </c>
      <c r="AL240" t="e">
        <f ca="1">_xludf.IFNA(VLOOKUP(AH240,'S-FG'!$B$3:$B1001,1,FALSE),"")</f>
        <v>#NAME?</v>
      </c>
      <c r="AM240" t="e">
        <f ca="1">IF(AI240="","",SUMIFS(#REF!,RM!$C$4:$C991,AI240))</f>
        <v>#REF!</v>
      </c>
    </row>
    <row r="241" spans="5:39">
      <c r="E241" t="str">
        <f>IF(A241="","",SUMIFS('PR-BOM'!$D$3:$D1001,'PR-BOM'!$C$3:$C1001,A241)*C241)</f>
        <v/>
      </c>
      <c r="F241" t="e">
        <f ca="1">_xludf.IFNA(VLOOKUP(B241,'S-FG'!$B$3:$B1001,1,FALSE),"")</f>
        <v>#NAME?</v>
      </c>
      <c r="H241" t="str">
        <f ca="1">IFERROR(__xludf.DUMMYFUNCTION("""COMPUTED_VALUE"""),"FL_STBD Elec")</f>
        <v>FL_STBD Elec</v>
      </c>
      <c r="I241" t="str">
        <f ca="1">IFERROR(__xludf.DUMMYFUNCTION("""COMPUTED_VALUE"""),"PWB of STBD flash light")</f>
        <v>PWB of STBD flash light</v>
      </c>
      <c r="J241">
        <f ca="1">IFERROR(__xludf.DUMMYFUNCTION("""COMPUTED_VALUE"""),1)</f>
        <v>1</v>
      </c>
      <c r="K241" t="str">
        <f ca="1">IFERROR(__xludf.DUMMYFUNCTION("""COMPUTED_VALUE"""),"blank")</f>
        <v>blank</v>
      </c>
      <c r="L241">
        <f t="shared" ca="1" si="0"/>
        <v>0</v>
      </c>
      <c r="Q241" t="str">
        <f>IF(N241="","",SUMIFS('PR-BOM'!$D$3:$D1001,'PR-BOM'!$C$3:$C1001,N241))</f>
        <v/>
      </c>
      <c r="S241" t="str">
        <f ca="1">IFERROR(__xludf.DUMMYFUNCTION("""COMPUTED_VALUE"""),"2mm male bullet connector")</f>
        <v>2mm male bullet connector</v>
      </c>
      <c r="X241" t="e">
        <f ca="1"/>
        <v>#NAME?</v>
      </c>
      <c r="Y241" t="e">
        <f t="shared" ca="1" si="1"/>
        <v>#NAME?</v>
      </c>
      <c r="Z241" t="e">
        <f ca="1">IF(X241="","",SUMIFS(#REF!,RM!$C$4:$C991,X241))</f>
        <v>#NAME?</v>
      </c>
      <c r="AA241" t="e">
        <f ca="1">IF(X241="","",SUMIFS(#REF!,RM!$C$4:$C991,X241))</f>
        <v>#NAME?</v>
      </c>
      <c r="AB241" t="e">
        <f ca="1">IF(X241="","",SUMIFS(IRegback!$Y$2:$Y1001,IRegback!$X$2:$X1001,X241))</f>
        <v>#NAME?</v>
      </c>
      <c r="AC241" t="e">
        <f t="shared" ca="1" si="2"/>
        <v>#NAME?</v>
      </c>
      <c r="AD241" t="e">
        <f ca="1">IF(X241="","",VLOOKUP($X241,RM!$C$4:$G991,3,FALSE))</f>
        <v>#NAME?</v>
      </c>
      <c r="AE241" t="e">
        <f ca="1">IF(X241="","",VLOOKUP($X241,RM!$C$4:$G991,4,FALSE))</f>
        <v>#NAME?</v>
      </c>
      <c r="AF241" t="e">
        <f ca="1">IF(X241="","",VLOOKUP($X241,RM!$C$4:$G991,5,FALSE))</f>
        <v>#NAME?</v>
      </c>
      <c r="AH241" t="str">
        <f ca="1">IFERROR(__xludf.DUMMYFUNCTION("""COMPUTED_VALUE"""),"A21 MotherBoard Assy")</f>
        <v>A21 MotherBoard Assy</v>
      </c>
      <c r="AI241" t="str">
        <f ca="1">IFERROR(__xludf.DUMMYFUNCTION("""COMPUTED_VALUE"""),"JST-XH Crimping pins")</f>
        <v>JST-XH Crimping pins</v>
      </c>
      <c r="AJ241">
        <f ca="1">IFERROR(__xludf.DUMMYFUNCTION("""COMPUTED_VALUE"""),10)</f>
        <v>10</v>
      </c>
      <c r="AL241" t="e">
        <f ca="1">_xludf.IFNA(VLOOKUP(AH241,'S-FG'!$B$3:$B1001,1,FALSE),"")</f>
        <v>#NAME?</v>
      </c>
      <c r="AM241" t="e">
        <f ca="1">IF(AI241="","",SUMIFS(#REF!,RM!$C$4:$C991,AI241))</f>
        <v>#REF!</v>
      </c>
    </row>
    <row r="242" spans="5:39">
      <c r="E242" t="str">
        <f>IF(A242="","",SUMIFS('PR-BOM'!$D$3:$D1001,'PR-BOM'!$C$3:$C1001,A242)*C242)</f>
        <v/>
      </c>
      <c r="F242" t="e">
        <f ca="1">_xludf.IFNA(VLOOKUP(B242,'S-FG'!$B$3:$B1001,1,FALSE),"")</f>
        <v>#NAME?</v>
      </c>
      <c r="H242" t="str">
        <f ca="1">IFERROR(__xludf.DUMMYFUNCTION("""COMPUTED_VALUE"""),"FL_STBD Elec")</f>
        <v>FL_STBD Elec</v>
      </c>
      <c r="I242" t="str">
        <f ca="1">IFERROR(__xludf.DUMMYFUNCTION("""COMPUTED_VALUE"""),"Red 14/38 wire")</f>
        <v>Red 14/38 wire</v>
      </c>
      <c r="J242">
        <f ca="1">IFERROR(__xludf.DUMMYFUNCTION("""COMPUTED_VALUE"""),0.55)</f>
        <v>0.55000000000000004</v>
      </c>
      <c r="L242">
        <f t="shared" ca="1" si="0"/>
        <v>0</v>
      </c>
      <c r="Q242" t="str">
        <f>IF(N242="","",SUMIFS('PR-BOM'!$D$3:$D1001,'PR-BOM'!$C$3:$C1001,N242))</f>
        <v/>
      </c>
      <c r="S242" t="str">
        <f ca="1">IFERROR(__xludf.DUMMYFUNCTION("""COMPUTED_VALUE"""),"PWB of STBD flash light")</f>
        <v>PWB of STBD flash light</v>
      </c>
      <c r="X242" t="e">
        <f ca="1"/>
        <v>#NAME?</v>
      </c>
      <c r="Y242" t="e">
        <f t="shared" ca="1" si="1"/>
        <v>#NAME?</v>
      </c>
      <c r="Z242" t="e">
        <f ca="1">IF(X242="","",SUMIFS(#REF!,RM!$C$4:$C991,X242))</f>
        <v>#NAME?</v>
      </c>
      <c r="AA242" t="e">
        <f ca="1">IF(X242="","",SUMIFS(#REF!,RM!$C$4:$C991,X242))</f>
        <v>#NAME?</v>
      </c>
      <c r="AB242" t="e">
        <f ca="1">IF(X242="","",SUMIFS(IRegback!$Y$2:$Y1001,IRegback!$X$2:$X1001,X242))</f>
        <v>#NAME?</v>
      </c>
      <c r="AC242" t="e">
        <f t="shared" ca="1" si="2"/>
        <v>#NAME?</v>
      </c>
      <c r="AD242" t="e">
        <f ca="1">IF(X242="","",VLOOKUP($X242,RM!$C$4:$G991,3,FALSE))</f>
        <v>#NAME?</v>
      </c>
      <c r="AE242" t="e">
        <f ca="1">IF(X242="","",VLOOKUP($X242,RM!$C$4:$G991,4,FALSE))</f>
        <v>#NAME?</v>
      </c>
      <c r="AF242" t="e">
        <f ca="1">IF(X242="","",VLOOKUP($X242,RM!$C$4:$G991,5,FALSE))</f>
        <v>#NAME?</v>
      </c>
      <c r="AH242" t="str">
        <f ca="1">IFERROR(__xludf.DUMMYFUNCTION("""COMPUTED_VALUE"""),"A21 MotherBoard Assy")</f>
        <v>A21 MotherBoard Assy</v>
      </c>
      <c r="AI242" t="str">
        <f ca="1">IFERROR(__xludf.DUMMYFUNCTION("""COMPUTED_VALUE"""),"Fuse 500mA")</f>
        <v>Fuse 500mA</v>
      </c>
      <c r="AJ242">
        <f ca="1">IFERROR(__xludf.DUMMYFUNCTION("""COMPUTED_VALUE"""),1)</f>
        <v>1</v>
      </c>
      <c r="AL242" t="e">
        <f ca="1">_xludf.IFNA(VLOOKUP(AH242,'S-FG'!$B$3:$B1001,1,FALSE),"")</f>
        <v>#NAME?</v>
      </c>
      <c r="AM242" t="e">
        <f ca="1">IF(AI242="","",SUMIFS(#REF!,RM!$C$4:$C991,AI242))</f>
        <v>#REF!</v>
      </c>
    </row>
    <row r="243" spans="5:39">
      <c r="E243" t="str">
        <f>IF(A243="","",SUMIFS('PR-BOM'!$D$3:$D1001,'PR-BOM'!$C$3:$C1001,A243)*C243)</f>
        <v/>
      </c>
      <c r="F243" t="e">
        <f ca="1">_xludf.IFNA(VLOOKUP(B243,'S-FG'!$B$3:$B1001,1,FALSE),"")</f>
        <v>#NAME?</v>
      </c>
      <c r="H243" t="str">
        <f ca="1">IFERROR(__xludf.DUMMYFUNCTION("""COMPUTED_VALUE"""),"FL_STBD Elec")</f>
        <v>FL_STBD Elec</v>
      </c>
      <c r="I243" t="str">
        <f ca="1">IFERROR(__xludf.DUMMYFUNCTION("""COMPUTED_VALUE"""),"Black 14/38 Wire")</f>
        <v>Black 14/38 Wire</v>
      </c>
      <c r="J243">
        <f ca="1">IFERROR(__xludf.DUMMYFUNCTION("""COMPUTED_VALUE"""),0.35)</f>
        <v>0.35</v>
      </c>
      <c r="L243">
        <f t="shared" ca="1" si="0"/>
        <v>0</v>
      </c>
      <c r="Q243" t="str">
        <f>IF(N243="","",SUMIFS('PR-BOM'!$D$3:$D1001,'PR-BOM'!$C$3:$C1001,N243))</f>
        <v/>
      </c>
      <c r="S243" t="str">
        <f ca="1">IFERROR(__xludf.DUMMYFUNCTION("""COMPUTED_VALUE"""),"Red 14/38 wire")</f>
        <v>Red 14/38 wire</v>
      </c>
      <c r="X243" t="e">
        <f ca="1"/>
        <v>#NAME?</v>
      </c>
      <c r="Y243" t="e">
        <f t="shared" ca="1" si="1"/>
        <v>#NAME?</v>
      </c>
      <c r="Z243" t="e">
        <f ca="1">IF(X243="","",SUMIFS(#REF!,RM!$C$4:$C991,X243))</f>
        <v>#NAME?</v>
      </c>
      <c r="AA243" t="e">
        <f ca="1">IF(X243="","",SUMIFS(#REF!,RM!$C$4:$C991,X243))</f>
        <v>#NAME?</v>
      </c>
      <c r="AB243" t="e">
        <f ca="1">IF(X243="","",SUMIFS(IRegback!$Y$2:$Y1001,IRegback!$X$2:$X1001,X243))</f>
        <v>#NAME?</v>
      </c>
      <c r="AC243" t="e">
        <f t="shared" ca="1" si="2"/>
        <v>#NAME?</v>
      </c>
      <c r="AD243" t="e">
        <f ca="1">IF(X243="","",VLOOKUP($X243,RM!$C$4:$G991,3,FALSE))</f>
        <v>#NAME?</v>
      </c>
      <c r="AE243" t="e">
        <f ca="1">IF(X243="","",VLOOKUP($X243,RM!$C$4:$G991,4,FALSE))</f>
        <v>#NAME?</v>
      </c>
      <c r="AF243" t="e">
        <f ca="1">IF(X243="","",VLOOKUP($X243,RM!$C$4:$G991,5,FALSE))</f>
        <v>#NAME?</v>
      </c>
      <c r="AH243" t="str">
        <f ca="1">IFERROR(__xludf.DUMMYFUNCTION("""COMPUTED_VALUE"""),"A21 MotherBoard Assy")</f>
        <v>A21 MotherBoard Assy</v>
      </c>
      <c r="AI243" t="str">
        <f ca="1">IFERROR(__xludf.DUMMYFUNCTION("""COMPUTED_VALUE"""),"MCP3208")</f>
        <v>MCP3208</v>
      </c>
      <c r="AJ243">
        <f ca="1">IFERROR(__xludf.DUMMYFUNCTION("""COMPUTED_VALUE"""),2)</f>
        <v>2</v>
      </c>
      <c r="AK243" t="str">
        <f ca="1">IFERROR(__xludf.DUMMYFUNCTION("""COMPUTED_VALUE"""),"blank")</f>
        <v>blank</v>
      </c>
      <c r="AL243" t="e">
        <f ca="1">_xludf.IFNA(VLOOKUP(AH243,'S-FG'!$B$3:$B1001,1,FALSE),"")</f>
        <v>#NAME?</v>
      </c>
      <c r="AM243" t="e">
        <f ca="1">IF(AI243="","",SUMIFS(#REF!,RM!$C$4:$C991,AI243))</f>
        <v>#REF!</v>
      </c>
    </row>
    <row r="244" spans="5:39">
      <c r="E244" t="str">
        <f>IF(A244="","",SUMIFS('PR-BOM'!$D$3:$D1001,'PR-BOM'!$C$3:$C1001,A244)*C244)</f>
        <v/>
      </c>
      <c r="F244" t="e">
        <f ca="1">_xludf.IFNA(VLOOKUP(B244,'S-FG'!$B$3:$B1001,1,FALSE),"")</f>
        <v>#NAME?</v>
      </c>
      <c r="H244" t="str">
        <f ca="1">IFERROR(__xludf.DUMMYFUNCTION("""COMPUTED_VALUE"""),"FL_STBD Elec")</f>
        <v>FL_STBD Elec</v>
      </c>
      <c r="I244" t="str">
        <f ca="1">IFERROR(__xludf.DUMMYFUNCTION("""COMPUTED_VALUE"""),"Green 2835 SMD LED 1W")</f>
        <v>Green 2835 SMD LED 1W</v>
      </c>
      <c r="J244">
        <f ca="1">IFERROR(__xludf.DUMMYFUNCTION("""COMPUTED_VALUE"""),4)</f>
        <v>4</v>
      </c>
      <c r="K244" t="str">
        <f ca="1">IFERROR(__xludf.DUMMYFUNCTION("""COMPUTED_VALUE"""),"blank")</f>
        <v>blank</v>
      </c>
      <c r="L244">
        <f t="shared" ca="1" si="0"/>
        <v>0</v>
      </c>
      <c r="Q244" t="str">
        <f>IF(N244="","",SUMIFS('PR-BOM'!$D$3:$D1001,'PR-BOM'!$C$3:$C1001,N244))</f>
        <v/>
      </c>
      <c r="S244" t="str">
        <f ca="1">IFERROR(__xludf.DUMMYFUNCTION("""COMPUTED_VALUE"""),"Black 14/38 Wire")</f>
        <v>Black 14/38 Wire</v>
      </c>
      <c r="X244" t="e">
        <f ca="1"/>
        <v>#NAME?</v>
      </c>
      <c r="Y244" t="e">
        <f t="shared" ca="1" si="1"/>
        <v>#NAME?</v>
      </c>
      <c r="Z244" t="e">
        <f ca="1">IF(X244="","",SUMIFS(#REF!,RM!$C$4:$C991,X244))</f>
        <v>#NAME?</v>
      </c>
      <c r="AA244" t="e">
        <f ca="1">IF(X244="","",SUMIFS(#REF!,RM!$C$4:$C991,X244))</f>
        <v>#NAME?</v>
      </c>
      <c r="AB244" t="e">
        <f ca="1">IF(X244="","",SUMIFS(IRegback!$Y$2:$Y1001,IRegback!$X$2:$X1001,X244))</f>
        <v>#NAME?</v>
      </c>
      <c r="AC244" t="e">
        <f t="shared" ca="1" si="2"/>
        <v>#NAME?</v>
      </c>
      <c r="AD244" t="e">
        <f ca="1">IF(X244="","",VLOOKUP($X244,RM!$C$4:$G991,3,FALSE))</f>
        <v>#NAME?</v>
      </c>
      <c r="AE244" t="e">
        <f ca="1">IF(X244="","",VLOOKUP($X244,RM!$C$4:$G991,4,FALSE))</f>
        <v>#NAME?</v>
      </c>
      <c r="AF244" t="e">
        <f ca="1">IF(X244="","",VLOOKUP($X244,RM!$C$4:$G991,5,FALSE))</f>
        <v>#NAME?</v>
      </c>
      <c r="AH244" t="str">
        <f ca="1">IFERROR(__xludf.DUMMYFUNCTION("""COMPUTED_VALUE"""),"A21 MotherBoard Assy")</f>
        <v>A21 MotherBoard Assy</v>
      </c>
      <c r="AI244" t="str">
        <f ca="1">IFERROR(__xludf.DUMMYFUNCTION("""COMPUTED_VALUE"""),"23A 24v Power relay")</f>
        <v>23A 24v Power relay</v>
      </c>
      <c r="AJ244">
        <f ca="1">IFERROR(__xludf.DUMMYFUNCTION("""COMPUTED_VALUE"""),1)</f>
        <v>1</v>
      </c>
      <c r="AK244" t="str">
        <f ca="1">IFERROR(__xludf.DUMMYFUNCTION("""COMPUTED_VALUE"""),"blank")</f>
        <v>blank</v>
      </c>
      <c r="AL244" t="e">
        <f ca="1">_xludf.IFNA(VLOOKUP(AH244,'S-FG'!$B$3:$B1001,1,FALSE),"")</f>
        <v>#NAME?</v>
      </c>
      <c r="AM244" t="e">
        <f ca="1">IF(AI244="","",SUMIFS(#REF!,RM!$C$4:$C991,AI244))</f>
        <v>#REF!</v>
      </c>
    </row>
    <row r="245" spans="5:39">
      <c r="E245" t="str">
        <f>IF(A245="","",SUMIFS('PR-BOM'!$D$3:$D1001,'PR-BOM'!$C$3:$C1001,A245)*C245)</f>
        <v/>
      </c>
      <c r="F245" t="e">
        <f ca="1">_xludf.IFNA(VLOOKUP(B245,'S-FG'!$B$3:$B1001,1,FALSE),"")</f>
        <v>#NAME?</v>
      </c>
      <c r="H245" t="str">
        <f ca="1">IFERROR(__xludf.DUMMYFUNCTION("""COMPUTED_VALUE"""),"FL_PORT Elec")</f>
        <v>FL_PORT Elec</v>
      </c>
      <c r="I245" t="str">
        <f ca="1">IFERROR(__xludf.DUMMYFUNCTION("""COMPUTED_VALUE"""),"2mm male bullet connector")</f>
        <v>2mm male bullet connector</v>
      </c>
      <c r="J245">
        <f ca="1">IFERROR(__xludf.DUMMYFUNCTION("""COMPUTED_VALUE"""),1)</f>
        <v>1</v>
      </c>
      <c r="K245" t="str">
        <f ca="1">IFERROR(__xludf.DUMMYFUNCTION("""COMPUTED_VALUE"""),"blank")</f>
        <v>blank</v>
      </c>
      <c r="L245">
        <f t="shared" ca="1" si="0"/>
        <v>0</v>
      </c>
      <c r="Q245" t="str">
        <f>IF(N245="","",SUMIFS('PR-BOM'!$D$3:$D1001,'PR-BOM'!$C$3:$C1001,N245))</f>
        <v/>
      </c>
      <c r="S245" t="str">
        <f ca="1">IFERROR(__xludf.DUMMYFUNCTION("""COMPUTED_VALUE"""),"Green 2835 SMD LED 1W")</f>
        <v>Green 2835 SMD LED 1W</v>
      </c>
      <c r="X245" t="e">
        <f ca="1"/>
        <v>#NAME?</v>
      </c>
      <c r="Y245" t="e">
        <f t="shared" ca="1" si="1"/>
        <v>#NAME?</v>
      </c>
      <c r="Z245" t="e">
        <f ca="1">IF(X245="","",SUMIFS(#REF!,RM!$C$4:$C991,X245))</f>
        <v>#NAME?</v>
      </c>
      <c r="AA245" t="e">
        <f ca="1">IF(X245="","",SUMIFS(#REF!,RM!$C$4:$C991,X245))</f>
        <v>#NAME?</v>
      </c>
      <c r="AB245" t="e">
        <f ca="1">IF(X245="","",SUMIFS(IRegback!$Y$2:$Y1001,IRegback!$X$2:$X1001,X245))</f>
        <v>#NAME?</v>
      </c>
      <c r="AC245" t="e">
        <f t="shared" ca="1" si="2"/>
        <v>#NAME?</v>
      </c>
      <c r="AD245" t="e">
        <f ca="1">IF(X245="","",VLOOKUP($X245,RM!$C$4:$G991,3,FALSE))</f>
        <v>#NAME?</v>
      </c>
      <c r="AE245" t="e">
        <f ca="1">IF(X245="","",VLOOKUP($X245,RM!$C$4:$G991,4,FALSE))</f>
        <v>#NAME?</v>
      </c>
      <c r="AF245" t="e">
        <f ca="1">IF(X245="","",VLOOKUP($X245,RM!$C$4:$G991,5,FALSE))</f>
        <v>#NAME?</v>
      </c>
      <c r="AH245" t="str">
        <f ca="1">IFERROR(__xludf.DUMMYFUNCTION("""COMPUTED_VALUE"""),"A21 MotherBoard Assy")</f>
        <v>A21 MotherBoard Assy</v>
      </c>
      <c r="AI245" t="str">
        <f ca="1">IFERROR(__xludf.DUMMYFUNCTION("""COMPUTED_VALUE"""),"470k 0805 PANASONIC")</f>
        <v>470k 0805 PANASONIC</v>
      </c>
      <c r="AJ245">
        <f ca="1">IFERROR(__xludf.DUMMYFUNCTION("""COMPUTED_VALUE"""),12)</f>
        <v>12</v>
      </c>
      <c r="AK245" t="str">
        <f ca="1">IFERROR(__xludf.DUMMYFUNCTION("""COMPUTED_VALUE"""),"ERJUP6F4703V")</f>
        <v>ERJUP6F4703V</v>
      </c>
      <c r="AL245" t="e">
        <f ca="1">_xludf.IFNA(VLOOKUP(AH245,'S-FG'!$B$3:$B1001,1,FALSE),"")</f>
        <v>#NAME?</v>
      </c>
      <c r="AM245" t="e">
        <f ca="1">IF(AI245="","",SUMIFS(#REF!,RM!$C$4:$C991,AI245))</f>
        <v>#REF!</v>
      </c>
    </row>
    <row r="246" spans="5:39">
      <c r="E246" t="str">
        <f>IF(A246="","",SUMIFS('PR-BOM'!$D$3:$D1001,'PR-BOM'!$C$3:$C1001,A246)*C246)</f>
        <v/>
      </c>
      <c r="F246" t="e">
        <f ca="1">_xludf.IFNA(VLOOKUP(B246,'S-FG'!$B$3:$B1001,1,FALSE),"")</f>
        <v>#NAME?</v>
      </c>
      <c r="H246" t="str">
        <f ca="1">IFERROR(__xludf.DUMMYFUNCTION("""COMPUTED_VALUE"""),"FL_PORT Elec")</f>
        <v>FL_PORT Elec</v>
      </c>
      <c r="I246" t="str">
        <f ca="1">IFERROR(__xludf.DUMMYFUNCTION("""COMPUTED_VALUE"""),"2mm Female Bullet connector")</f>
        <v>2mm Female Bullet connector</v>
      </c>
      <c r="J246">
        <f ca="1">IFERROR(__xludf.DUMMYFUNCTION("""COMPUTED_VALUE"""),1)</f>
        <v>1</v>
      </c>
      <c r="K246" t="str">
        <f ca="1">IFERROR(__xludf.DUMMYFUNCTION("""COMPUTED_VALUE"""),"blank")</f>
        <v>blank</v>
      </c>
      <c r="L246">
        <f t="shared" ca="1" si="0"/>
        <v>0</v>
      </c>
      <c r="Q246" t="str">
        <f>IF(N246="","",SUMIFS('PR-BOM'!$D$3:$D1001,'PR-BOM'!$C$3:$C1001,N246))</f>
        <v/>
      </c>
      <c r="S246" t="str">
        <f ca="1">IFERROR(__xludf.DUMMYFUNCTION("""COMPUTED_VALUE"""),"2mm male bullet connector")</f>
        <v>2mm male bullet connector</v>
      </c>
      <c r="X246" t="e">
        <f ca="1"/>
        <v>#NAME?</v>
      </c>
      <c r="Y246" t="e">
        <f t="shared" ca="1" si="1"/>
        <v>#NAME?</v>
      </c>
      <c r="Z246" t="e">
        <f ca="1">IF(X246="","",SUMIFS(#REF!,RM!$C$4:$C991,X246))</f>
        <v>#NAME?</v>
      </c>
      <c r="AA246" t="e">
        <f ca="1">IF(X246="","",SUMIFS(#REF!,RM!$C$4:$C991,X246))</f>
        <v>#NAME?</v>
      </c>
      <c r="AB246" t="e">
        <f ca="1">IF(X246="","",SUMIFS(IRegback!$Y$2:$Y1001,IRegback!$X$2:$X1001,X246))</f>
        <v>#NAME?</v>
      </c>
      <c r="AC246" t="e">
        <f t="shared" ca="1" si="2"/>
        <v>#NAME?</v>
      </c>
      <c r="AD246" t="e">
        <f ca="1">IF(X246="","",VLOOKUP($X246,RM!$C$4:$G991,3,FALSE))</f>
        <v>#NAME?</v>
      </c>
      <c r="AE246" t="e">
        <f ca="1">IF(X246="","",VLOOKUP($X246,RM!$C$4:$G991,4,FALSE))</f>
        <v>#NAME?</v>
      </c>
      <c r="AF246" t="e">
        <f ca="1">IF(X246="","",VLOOKUP($X246,RM!$C$4:$G991,5,FALSE))</f>
        <v>#NAME?</v>
      </c>
      <c r="AH246" t="str">
        <f ca="1">IFERROR(__xludf.DUMMYFUNCTION("""COMPUTED_VALUE"""),"A21 MotherBoard Assy")</f>
        <v>A21 MotherBoard Assy</v>
      </c>
      <c r="AI246" t="str">
        <f ca="1">IFERROR(__xludf.DUMMYFUNCTION("""COMPUTED_VALUE"""),"20k 0805 resistor PANASONIC")</f>
        <v>20k 0805 resistor PANASONIC</v>
      </c>
      <c r="AJ246">
        <f ca="1">IFERROR(__xludf.DUMMYFUNCTION("""COMPUTED_VALUE"""),12)</f>
        <v>12</v>
      </c>
      <c r="AK246" t="str">
        <f ca="1">IFERROR(__xludf.DUMMYFUNCTION("""COMPUTED_VALUE"""),"blank")</f>
        <v>blank</v>
      </c>
      <c r="AL246" t="e">
        <f ca="1">_xludf.IFNA(VLOOKUP(AH246,'S-FG'!$B$3:$B1001,1,FALSE),"")</f>
        <v>#NAME?</v>
      </c>
      <c r="AM246" t="e">
        <f ca="1">IF(AI246="","",SUMIFS(#REF!,RM!$C$4:$C991,AI246))</f>
        <v>#REF!</v>
      </c>
    </row>
    <row r="247" spans="5:39">
      <c r="E247" t="str">
        <f>IF(A247="","",SUMIFS('PR-BOM'!$D$3:$D1001,'PR-BOM'!$C$3:$C1001,A247)*C247)</f>
        <v/>
      </c>
      <c r="F247" t="e">
        <f ca="1">_xludf.IFNA(VLOOKUP(B247,'S-FG'!$B$3:$B1001,1,FALSE),"")</f>
        <v>#NAME?</v>
      </c>
      <c r="H247" t="str">
        <f ca="1">IFERROR(__xludf.DUMMYFUNCTION("""COMPUTED_VALUE"""),"FL_PORT Elec")</f>
        <v>FL_PORT Elec</v>
      </c>
      <c r="I247" t="str">
        <f ca="1">IFERROR(__xludf.DUMMYFUNCTION("""COMPUTED_VALUE"""),"PWB of PORT flash light")</f>
        <v>PWB of PORT flash light</v>
      </c>
      <c r="J247">
        <f ca="1">IFERROR(__xludf.DUMMYFUNCTION("""COMPUTED_VALUE"""),1)</f>
        <v>1</v>
      </c>
      <c r="K247" t="str">
        <f ca="1">IFERROR(__xludf.DUMMYFUNCTION("""COMPUTED_VALUE"""),"blank")</f>
        <v>blank</v>
      </c>
      <c r="L247">
        <f t="shared" ca="1" si="0"/>
        <v>0</v>
      </c>
      <c r="Q247" t="str">
        <f>IF(N247="","",SUMIFS('PR-BOM'!$D$3:$D1001,'PR-BOM'!$C$3:$C1001,N247))</f>
        <v/>
      </c>
      <c r="S247" t="str">
        <f ca="1">IFERROR(__xludf.DUMMYFUNCTION("""COMPUTED_VALUE"""),"2mm Female Bullet connector")</f>
        <v>2mm Female Bullet connector</v>
      </c>
      <c r="X247" t="e">
        <f ca="1"/>
        <v>#NAME?</v>
      </c>
      <c r="Y247" t="e">
        <f t="shared" ca="1" si="1"/>
        <v>#NAME?</v>
      </c>
      <c r="Z247" t="e">
        <f ca="1">IF(X247="","",SUMIFS(#REF!,RM!$C$4:$C991,X247))</f>
        <v>#NAME?</v>
      </c>
      <c r="AA247" t="e">
        <f ca="1">IF(X247="","",SUMIFS(#REF!,RM!$C$4:$C991,X247))</f>
        <v>#NAME?</v>
      </c>
      <c r="AB247" t="e">
        <f ca="1">IF(X247="","",SUMIFS(IRegback!$Y$2:$Y1001,IRegback!$X$2:$X1001,X247))</f>
        <v>#NAME?</v>
      </c>
      <c r="AC247" t="e">
        <f t="shared" ca="1" si="2"/>
        <v>#NAME?</v>
      </c>
      <c r="AD247" t="e">
        <f ca="1">IF(X247="","",VLOOKUP($X247,RM!$C$4:$G991,3,FALSE))</f>
        <v>#NAME?</v>
      </c>
      <c r="AE247" t="e">
        <f ca="1">IF(X247="","",VLOOKUP($X247,RM!$C$4:$G991,4,FALSE))</f>
        <v>#NAME?</v>
      </c>
      <c r="AF247" t="e">
        <f ca="1">IF(X247="","",VLOOKUP($X247,RM!$C$4:$G991,5,FALSE))</f>
        <v>#NAME?</v>
      </c>
      <c r="AH247" t="str">
        <f ca="1">IFERROR(__xludf.DUMMYFUNCTION("""COMPUTED_VALUE"""),"A21 MotherBoard Assy")</f>
        <v>A21 MotherBoard Assy</v>
      </c>
      <c r="AI247" t="str">
        <f ca="1">IFERROR(__xludf.DUMMYFUNCTION("""COMPUTED_VALUE"""),"1uF 0805 PANASONIC")</f>
        <v>1uF 0805 PANASONIC</v>
      </c>
      <c r="AJ247">
        <f ca="1">IFERROR(__xludf.DUMMYFUNCTION("""COMPUTED_VALUE"""),12)</f>
        <v>12</v>
      </c>
      <c r="AK247" t="str">
        <f ca="1">IFERROR(__xludf.DUMMYFUNCTION("""COMPUTED_VALUE"""),"GCM21BR71E105KA56L")</f>
        <v>GCM21BR71E105KA56L</v>
      </c>
      <c r="AL247" t="e">
        <f ca="1">_xludf.IFNA(VLOOKUP(AH247,'S-FG'!$B$3:$B1001,1,FALSE),"")</f>
        <v>#NAME?</v>
      </c>
      <c r="AM247" t="e">
        <f ca="1">IF(AI247="","",SUMIFS(#REF!,RM!$C$4:$C991,AI247))</f>
        <v>#REF!</v>
      </c>
    </row>
    <row r="248" spans="5:39">
      <c r="E248" t="str">
        <f>IF(A248="","",SUMIFS('PR-BOM'!$D$3:$D1001,'PR-BOM'!$C$3:$C1001,A248)*C248)</f>
        <v/>
      </c>
      <c r="F248" t="e">
        <f ca="1">_xludf.IFNA(VLOOKUP(B248,'S-FG'!$B$3:$B1001,1,FALSE),"")</f>
        <v>#NAME?</v>
      </c>
      <c r="H248" t="str">
        <f ca="1">IFERROR(__xludf.DUMMYFUNCTION("""COMPUTED_VALUE"""),"FL_PORT Elec")</f>
        <v>FL_PORT Elec</v>
      </c>
      <c r="I248" t="str">
        <f ca="1">IFERROR(__xludf.DUMMYFUNCTION("""COMPUTED_VALUE"""),"Red 14/38 wire")</f>
        <v>Red 14/38 wire</v>
      </c>
      <c r="J248">
        <f ca="1">IFERROR(__xludf.DUMMYFUNCTION("""COMPUTED_VALUE"""),0.35)</f>
        <v>0.35</v>
      </c>
      <c r="L248">
        <f t="shared" ca="1" si="0"/>
        <v>0</v>
      </c>
      <c r="Q248" t="str">
        <f>IF(N248="","",SUMIFS('PR-BOM'!$D$3:$D1001,'PR-BOM'!$C$3:$C1001,N248))</f>
        <v/>
      </c>
      <c r="S248" t="str">
        <f ca="1">IFERROR(__xludf.DUMMYFUNCTION("""COMPUTED_VALUE"""),"PWB of PORT flash light")</f>
        <v>PWB of PORT flash light</v>
      </c>
      <c r="X248" t="e">
        <f ca="1"/>
        <v>#NAME?</v>
      </c>
      <c r="Y248" t="e">
        <f t="shared" ca="1" si="1"/>
        <v>#NAME?</v>
      </c>
      <c r="Z248" t="e">
        <f ca="1">IF(X248="","",SUMIFS(#REF!,RM!$C$4:$C991,X248))</f>
        <v>#NAME?</v>
      </c>
      <c r="AA248" t="e">
        <f ca="1">IF(X248="","",SUMIFS(#REF!,RM!$C$4:$C991,X248))</f>
        <v>#NAME?</v>
      </c>
      <c r="AB248" t="e">
        <f ca="1">IF(X248="","",SUMIFS(IRegback!$Y$2:$Y1001,IRegback!$X$2:$X1001,X248))</f>
        <v>#NAME?</v>
      </c>
      <c r="AC248" t="e">
        <f t="shared" ca="1" si="2"/>
        <v>#NAME?</v>
      </c>
      <c r="AD248" t="e">
        <f ca="1">IF(X248="","",VLOOKUP($X248,RM!$C$4:$G991,3,FALSE))</f>
        <v>#NAME?</v>
      </c>
      <c r="AE248" t="e">
        <f ca="1">IF(X248="","",VLOOKUP($X248,RM!$C$4:$G991,4,FALSE))</f>
        <v>#NAME?</v>
      </c>
      <c r="AF248" t="e">
        <f ca="1">IF(X248="","",VLOOKUP($X248,RM!$C$4:$G991,5,FALSE))</f>
        <v>#NAME?</v>
      </c>
      <c r="AH248" t="str">
        <f ca="1">IFERROR(__xludf.DUMMYFUNCTION("""COMPUTED_VALUE"""),"A21 MotherBoard Assy")</f>
        <v>A21 MotherBoard Assy</v>
      </c>
      <c r="AI248" t="str">
        <f ca="1">IFERROR(__xludf.DUMMYFUNCTION("""COMPUTED_VALUE"""),"16MHz Crystal Oscillator")</f>
        <v>16MHz Crystal Oscillator</v>
      </c>
      <c r="AJ248">
        <f ca="1">IFERROR(__xludf.DUMMYFUNCTION("""COMPUTED_VALUE"""),2)</f>
        <v>2</v>
      </c>
      <c r="AK248" t="str">
        <f ca="1">IFERROR(__xludf.DUMMYFUNCTION("""COMPUTED_VALUE"""),"ABM3-16.000MHZ-B2-T")</f>
        <v>ABM3-16.000MHZ-B2-T</v>
      </c>
      <c r="AL248" t="e">
        <f ca="1">_xludf.IFNA(VLOOKUP(AH248,'S-FG'!$B$3:$B1001,1,FALSE),"")</f>
        <v>#NAME?</v>
      </c>
      <c r="AM248" t="e">
        <f ca="1">IF(AI248="","",SUMIFS(#REF!,RM!$C$4:$C991,AI248))</f>
        <v>#REF!</v>
      </c>
    </row>
    <row r="249" spans="5:39">
      <c r="E249" t="str">
        <f>IF(A249="","",SUMIFS('PR-BOM'!$D$3:$D1001,'PR-BOM'!$C$3:$C1001,A249)*C249)</f>
        <v/>
      </c>
      <c r="F249" t="e">
        <f ca="1">_xludf.IFNA(VLOOKUP(B249,'S-FG'!$B$3:$B1001,1,FALSE),"")</f>
        <v>#NAME?</v>
      </c>
      <c r="H249" t="str">
        <f ca="1">IFERROR(__xludf.DUMMYFUNCTION("""COMPUTED_VALUE"""),"FL_PORT Elec")</f>
        <v>FL_PORT Elec</v>
      </c>
      <c r="I249" t="str">
        <f ca="1">IFERROR(__xludf.DUMMYFUNCTION("""COMPUTED_VALUE"""),"Black 14/38 Wire")</f>
        <v>Black 14/38 Wire</v>
      </c>
      <c r="J249">
        <f ca="1">IFERROR(__xludf.DUMMYFUNCTION("""COMPUTED_VALUE"""),0.55)</f>
        <v>0.55000000000000004</v>
      </c>
      <c r="L249">
        <f t="shared" ca="1" si="0"/>
        <v>0</v>
      </c>
      <c r="Q249" t="str">
        <f>IF(N249="","",SUMIFS('PR-BOM'!$D$3:$D1001,'PR-BOM'!$C$3:$C1001,N249))</f>
        <v/>
      </c>
      <c r="S249" t="str">
        <f ca="1">IFERROR(__xludf.DUMMYFUNCTION("""COMPUTED_VALUE"""),"Red 14/38 wire")</f>
        <v>Red 14/38 wire</v>
      </c>
      <c r="X249" t="e">
        <f ca="1"/>
        <v>#NAME?</v>
      </c>
      <c r="Y249" t="e">
        <f t="shared" ca="1" si="1"/>
        <v>#NAME?</v>
      </c>
      <c r="Z249" t="e">
        <f ca="1">IF(X249="","",SUMIFS(#REF!,RM!$C$4:$C991,X249))</f>
        <v>#NAME?</v>
      </c>
      <c r="AA249" t="e">
        <f ca="1">IF(X249="","",SUMIFS(#REF!,RM!$C$4:$C991,X249))</f>
        <v>#NAME?</v>
      </c>
      <c r="AB249" t="e">
        <f ca="1">IF(X249="","",SUMIFS(IRegback!$Y$2:$Y1001,IRegback!$X$2:$X1001,X249))</f>
        <v>#NAME?</v>
      </c>
      <c r="AC249" t="e">
        <f t="shared" ca="1" si="2"/>
        <v>#NAME?</v>
      </c>
      <c r="AD249" t="e">
        <f ca="1">IF(X249="","",VLOOKUP($X249,RM!$C$4:$G991,3,FALSE))</f>
        <v>#NAME?</v>
      </c>
      <c r="AE249" t="e">
        <f ca="1">IF(X249="","",VLOOKUP($X249,RM!$C$4:$G991,4,FALSE))</f>
        <v>#NAME?</v>
      </c>
      <c r="AF249" t="e">
        <f ca="1">IF(X249="","",VLOOKUP($X249,RM!$C$4:$G991,5,FALSE))</f>
        <v>#NAME?</v>
      </c>
      <c r="AH249" t="str">
        <f ca="1">IFERROR(__xludf.DUMMYFUNCTION("""COMPUTED_VALUE"""),"A21 MotherBoard Assy")</f>
        <v>A21 MotherBoard Assy</v>
      </c>
      <c r="AI249" t="str">
        <f ca="1">IFERROR(__xludf.DUMMYFUNCTION("""COMPUTED_VALUE"""),"ULN2004 SMD")</f>
        <v>ULN2004 SMD</v>
      </c>
      <c r="AJ249">
        <f ca="1">IFERROR(__xludf.DUMMYFUNCTION("""COMPUTED_VALUE"""),1)</f>
        <v>1</v>
      </c>
      <c r="AK249" t="str">
        <f ca="1">IFERROR(__xludf.DUMMYFUNCTION("""COMPUTED_VALUE"""),"blank")</f>
        <v>blank</v>
      </c>
      <c r="AL249" t="e">
        <f ca="1">_xludf.IFNA(VLOOKUP(AH249,'S-FG'!$B$3:$B1001,1,FALSE),"")</f>
        <v>#NAME?</v>
      </c>
      <c r="AM249" t="e">
        <f ca="1">IF(AI249="","",SUMIFS(#REF!,RM!$C$4:$C991,AI249))</f>
        <v>#REF!</v>
      </c>
    </row>
    <row r="250" spans="5:39">
      <c r="E250" t="str">
        <f>IF(A250="","",SUMIFS('PR-BOM'!$D$3:$D1001,'PR-BOM'!$C$3:$C1001,A250)*C250)</f>
        <v/>
      </c>
      <c r="F250" t="e">
        <f ca="1">_xludf.IFNA(VLOOKUP(B250,'S-FG'!$B$3:$B1001,1,FALSE),"")</f>
        <v>#NAME?</v>
      </c>
      <c r="H250" t="str">
        <f ca="1">IFERROR(__xludf.DUMMYFUNCTION("""COMPUTED_VALUE"""),"FL_PORT Elec")</f>
        <v>FL_PORT Elec</v>
      </c>
      <c r="I250" t="str">
        <f ca="1">IFERROR(__xludf.DUMMYFUNCTION("""COMPUTED_VALUE"""),"Red 2835 SMD LED 1W")</f>
        <v>Red 2835 SMD LED 1W</v>
      </c>
      <c r="J250">
        <f ca="1">IFERROR(__xludf.DUMMYFUNCTION("""COMPUTED_VALUE"""),6)</f>
        <v>6</v>
      </c>
      <c r="K250" t="str">
        <f ca="1">IFERROR(__xludf.DUMMYFUNCTION("""COMPUTED_VALUE"""),"blank")</f>
        <v>blank</v>
      </c>
      <c r="L250">
        <f t="shared" ca="1" si="0"/>
        <v>0</v>
      </c>
      <c r="Q250" t="str">
        <f>IF(N250="","",SUMIFS('PR-BOM'!$D$3:$D1001,'PR-BOM'!$C$3:$C1001,N250))</f>
        <v/>
      </c>
      <c r="S250" t="str">
        <f ca="1">IFERROR(__xludf.DUMMYFUNCTION("""COMPUTED_VALUE"""),"Black 14/38 Wire")</f>
        <v>Black 14/38 Wire</v>
      </c>
      <c r="X250" t="e">
        <f ca="1"/>
        <v>#NAME?</v>
      </c>
      <c r="Y250" t="e">
        <f t="shared" ca="1" si="1"/>
        <v>#NAME?</v>
      </c>
      <c r="Z250" t="e">
        <f ca="1">IF(X250="","",SUMIFS(#REF!,RM!$C$4:$C991,X250))</f>
        <v>#NAME?</v>
      </c>
      <c r="AA250" t="e">
        <f ca="1">IF(X250="","",SUMIFS(#REF!,RM!$C$4:$C991,X250))</f>
        <v>#NAME?</v>
      </c>
      <c r="AB250" t="e">
        <f ca="1">IF(X250="","",SUMIFS(IRegback!$Y$2:$Y1001,IRegback!$X$2:$X1001,X250))</f>
        <v>#NAME?</v>
      </c>
      <c r="AC250" t="e">
        <f t="shared" ca="1" si="2"/>
        <v>#NAME?</v>
      </c>
      <c r="AD250" t="e">
        <f ca="1">IF(X250="","",VLOOKUP($X250,RM!$C$4:$G991,3,FALSE))</f>
        <v>#NAME?</v>
      </c>
      <c r="AE250" t="e">
        <f ca="1">IF(X250="","",VLOOKUP($X250,RM!$C$4:$G991,4,FALSE))</f>
        <v>#NAME?</v>
      </c>
      <c r="AF250" t="e">
        <f ca="1">IF(X250="","",VLOOKUP($X250,RM!$C$4:$G991,5,FALSE))</f>
        <v>#NAME?</v>
      </c>
      <c r="AH250" t="str">
        <f ca="1">IFERROR(__xludf.DUMMYFUNCTION("""COMPUTED_VALUE"""),"A21 MotherBoard Assy")</f>
        <v>A21 MotherBoard Assy</v>
      </c>
      <c r="AI250" t="str">
        <f ca="1">IFERROR(__xludf.DUMMYFUNCTION("""COMPUTED_VALUE"""),"SSR AQW282SX")</f>
        <v>SSR AQW282SX</v>
      </c>
      <c r="AJ250">
        <f ca="1">IFERROR(__xludf.DUMMYFUNCTION("""COMPUTED_VALUE"""),6)</f>
        <v>6</v>
      </c>
      <c r="AK250" t="str">
        <f ca="1">IFERROR(__xludf.DUMMYFUNCTION("""COMPUTED_VALUE"""),"AQW282SX")</f>
        <v>AQW282SX</v>
      </c>
      <c r="AL250" t="e">
        <f ca="1">_xludf.IFNA(VLOOKUP(AH250,'S-FG'!$B$3:$B1001,1,FALSE),"")</f>
        <v>#NAME?</v>
      </c>
      <c r="AM250" t="e">
        <f ca="1">IF(AI250="","",SUMIFS(#REF!,RM!$C$4:$C991,AI250))</f>
        <v>#REF!</v>
      </c>
    </row>
    <row r="251" spans="5:39">
      <c r="E251" t="str">
        <f>IF(A251="","",SUMIFS('PR-BOM'!$D$3:$D1001,'PR-BOM'!$C$3:$C1001,A251)*C251)</f>
        <v/>
      </c>
      <c r="F251" t="e">
        <f ca="1">_xludf.IFNA(VLOOKUP(B251,'S-FG'!$B$3:$B1001,1,FALSE),"")</f>
        <v>#NAME?</v>
      </c>
      <c r="H251" t="str">
        <f ca="1">IFERROR(__xludf.DUMMYFUNCTION("""COMPUTED_VALUE"""),"FL_STBD Mech")</f>
        <v>FL_STBD Mech</v>
      </c>
      <c r="I251" t="str">
        <f ca="1">IFERROR(__xludf.DUMMYFUNCTION("""COMPUTED_VALUE"""),"M3x8 Button Head")</f>
        <v>M3x8 Button Head</v>
      </c>
      <c r="J251">
        <f ca="1">IFERROR(__xludf.DUMMYFUNCTION("""COMPUTED_VALUE"""),6)</f>
        <v>6</v>
      </c>
      <c r="K251" t="str">
        <f ca="1">IFERROR(__xludf.DUMMYFUNCTION("""COMPUTED_VALUE"""),"blank")</f>
        <v>blank</v>
      </c>
      <c r="L251">
        <f t="shared" ca="1" si="0"/>
        <v>0</v>
      </c>
      <c r="Q251" t="str">
        <f>IF(N251="","",SUMIFS('PR-BOM'!$D$3:$D1001,'PR-BOM'!$C$3:$C1001,N251))</f>
        <v/>
      </c>
      <c r="S251" t="str">
        <f ca="1">IFERROR(__xludf.DUMMYFUNCTION("""COMPUTED_VALUE"""),"Red 2835 SMD LED 1W")</f>
        <v>Red 2835 SMD LED 1W</v>
      </c>
      <c r="X251" t="e">
        <f ca="1"/>
        <v>#NAME?</v>
      </c>
      <c r="Y251" t="e">
        <f t="shared" ca="1" si="1"/>
        <v>#NAME?</v>
      </c>
      <c r="Z251" t="e">
        <f ca="1">IF(X251="","",SUMIFS(#REF!,RM!$C$4:$C991,X251))</f>
        <v>#NAME?</v>
      </c>
      <c r="AA251" t="e">
        <f ca="1">IF(X251="","",SUMIFS(#REF!,RM!$C$4:$C991,X251))</f>
        <v>#NAME?</v>
      </c>
      <c r="AB251" t="e">
        <f ca="1">IF(X251="","",SUMIFS(IRegback!$Y$2:$Y1001,IRegback!$X$2:$X1001,X251))</f>
        <v>#NAME?</v>
      </c>
      <c r="AC251" t="e">
        <f t="shared" ca="1" si="2"/>
        <v>#NAME?</v>
      </c>
      <c r="AD251" t="e">
        <f ca="1">IF(X251="","",VLOOKUP($X251,RM!$C$4:$G991,3,FALSE))</f>
        <v>#NAME?</v>
      </c>
      <c r="AE251" t="e">
        <f ca="1">IF(X251="","",VLOOKUP($X251,RM!$C$4:$G991,4,FALSE))</f>
        <v>#NAME?</v>
      </c>
      <c r="AF251" t="e">
        <f ca="1">IF(X251="","",VLOOKUP($X251,RM!$C$4:$G991,5,FALSE))</f>
        <v>#NAME?</v>
      </c>
      <c r="AH251" t="str">
        <f ca="1">IFERROR(__xludf.DUMMYFUNCTION("""COMPUTED_VALUE"""),"A21 MotherBoard Assy")</f>
        <v>A21 MotherBoard Assy</v>
      </c>
      <c r="AI251" t="str">
        <f ca="1">IFERROR(__xludf.DUMMYFUNCTION("""COMPUTED_VALUE"""),"Atmega328P-AU")</f>
        <v>Atmega328P-AU</v>
      </c>
      <c r="AJ251">
        <f ca="1">IFERROR(__xludf.DUMMYFUNCTION("""COMPUTED_VALUE"""),2)</f>
        <v>2</v>
      </c>
      <c r="AK251" t="str">
        <f ca="1">IFERROR(__xludf.DUMMYFUNCTION("""COMPUTED_VALUE"""),"blank")</f>
        <v>blank</v>
      </c>
      <c r="AL251" t="e">
        <f ca="1">_xludf.IFNA(VLOOKUP(AH251,'S-FG'!$B$3:$B1001,1,FALSE),"")</f>
        <v>#NAME?</v>
      </c>
      <c r="AM251" t="e">
        <f ca="1">IF(AI251="","",SUMIFS(#REF!,RM!$C$4:$C991,AI251))</f>
        <v>#REF!</v>
      </c>
    </row>
    <row r="252" spans="5:39">
      <c r="E252" t="str">
        <f>IF(A252="","",SUMIFS('PR-BOM'!$D$3:$D1001,'PR-BOM'!$C$3:$C1001,A252)*C252)</f>
        <v/>
      </c>
      <c r="F252" t="e">
        <f ca="1">_xludf.IFNA(VLOOKUP(B252,'S-FG'!$B$3:$B1001,1,FALSE),"")</f>
        <v>#NAME?</v>
      </c>
      <c r="H252" t="str">
        <f ca="1">IFERROR(__xludf.DUMMYFUNCTION("""COMPUTED_VALUE"""),"FL_STBD Mech")</f>
        <v>FL_STBD Mech</v>
      </c>
      <c r="I252" t="str">
        <f ca="1">IFERROR(__xludf.DUMMYFUNCTION("""COMPUTED_VALUE"""),"Flashing Light glass")</f>
        <v>Flashing Light glass</v>
      </c>
      <c r="J252">
        <f ca="1">IFERROR(__xludf.DUMMYFUNCTION("""COMPUTED_VALUE"""),1)</f>
        <v>1</v>
      </c>
      <c r="K252" t="str">
        <f ca="1">IFERROR(__xludf.DUMMYFUNCTION("""COMPUTED_VALUE"""),"blank")</f>
        <v>blank</v>
      </c>
      <c r="L252">
        <f t="shared" ca="1" si="0"/>
        <v>0</v>
      </c>
      <c r="Q252" t="str">
        <f>IF(N252="","",SUMIFS('PR-BOM'!$D$3:$D1001,'PR-BOM'!$C$3:$C1001,N252))</f>
        <v/>
      </c>
      <c r="S252" t="str">
        <f ca="1">IFERROR(__xludf.DUMMYFUNCTION("""COMPUTED_VALUE"""),"M3x8 Button Head")</f>
        <v>M3x8 Button Head</v>
      </c>
      <c r="X252" t="e">
        <f ca="1"/>
        <v>#NAME?</v>
      </c>
      <c r="Y252" t="e">
        <f t="shared" ca="1" si="1"/>
        <v>#NAME?</v>
      </c>
      <c r="Z252" t="e">
        <f ca="1">IF(X252="","",SUMIFS(#REF!,RM!$C$4:$C991,X252))</f>
        <v>#NAME?</v>
      </c>
      <c r="AA252" t="e">
        <f ca="1">IF(X252="","",SUMIFS(#REF!,RM!$C$4:$C991,X252))</f>
        <v>#NAME?</v>
      </c>
      <c r="AB252" t="e">
        <f ca="1">IF(X252="","",SUMIFS(IRegback!$Y$2:$Y1001,IRegback!$X$2:$X1001,X252))</f>
        <v>#NAME?</v>
      </c>
      <c r="AC252" t="e">
        <f t="shared" ca="1" si="2"/>
        <v>#NAME?</v>
      </c>
      <c r="AD252" t="e">
        <f ca="1">IF(X252="","",VLOOKUP($X252,RM!$C$4:$G991,3,FALSE))</f>
        <v>#NAME?</v>
      </c>
      <c r="AE252" t="e">
        <f ca="1">IF(X252="","",VLOOKUP($X252,RM!$C$4:$G991,4,FALSE))</f>
        <v>#NAME?</v>
      </c>
      <c r="AF252" t="e">
        <f ca="1">IF(X252="","",VLOOKUP($X252,RM!$C$4:$G991,5,FALSE))</f>
        <v>#NAME?</v>
      </c>
      <c r="AH252" t="str">
        <f ca="1">IFERROR(__xludf.DUMMYFUNCTION("""COMPUTED_VALUE"""),"A21 MotherBoard Assy")</f>
        <v>A21 MotherBoard Assy</v>
      </c>
      <c r="AI252" t="str">
        <f ca="1">IFERROR(__xludf.DUMMYFUNCTION("""COMPUTED_VALUE"""),"Power Relay 120A 12v")</f>
        <v>Power Relay 120A 12v</v>
      </c>
      <c r="AJ252">
        <f ca="1">IFERROR(__xludf.DUMMYFUNCTION("""COMPUTED_VALUE"""),1)</f>
        <v>1</v>
      </c>
      <c r="AK252" t="str">
        <f ca="1">IFERROR(__xludf.DUMMYFUNCTION("""COMPUTED_VALUE"""),"blank")</f>
        <v>blank</v>
      </c>
      <c r="AL252" t="e">
        <f ca="1">_xludf.IFNA(VLOOKUP(AH252,'S-FG'!$B$3:$B1001,1,FALSE),"")</f>
        <v>#NAME?</v>
      </c>
      <c r="AM252" t="e">
        <f ca="1">IF(AI252="","",SUMIFS(#REF!,RM!$C$4:$C991,AI252))</f>
        <v>#REF!</v>
      </c>
    </row>
    <row r="253" spans="5:39">
      <c r="E253" t="str">
        <f>IF(A253="","",SUMIFS('PR-BOM'!$D$3:$D1001,'PR-BOM'!$C$3:$C1001,A253)*C253)</f>
        <v/>
      </c>
      <c r="F253" t="e">
        <f ca="1">_xludf.IFNA(VLOOKUP(B253,'S-FG'!$B$3:$B1001,1,FALSE),"")</f>
        <v>#NAME?</v>
      </c>
      <c r="H253" t="str">
        <f ca="1">IFERROR(__xludf.DUMMYFUNCTION("""COMPUTED_VALUE"""),"FL_STBD Mech")</f>
        <v>FL_STBD Mech</v>
      </c>
      <c r="I253" t="str">
        <f ca="1">IFERROR(__xludf.DUMMYFUNCTION("""COMPUTED_VALUE"""),"Flashing Light bottom plate")</f>
        <v>Flashing Light bottom plate</v>
      </c>
      <c r="J253">
        <f ca="1">IFERROR(__xludf.DUMMYFUNCTION("""COMPUTED_VALUE"""),1)</f>
        <v>1</v>
      </c>
      <c r="K253" t="str">
        <f ca="1">IFERROR(__xludf.DUMMYFUNCTION("""COMPUTED_VALUE"""),"blank")</f>
        <v>blank</v>
      </c>
      <c r="L253">
        <f t="shared" ca="1" si="0"/>
        <v>0</v>
      </c>
      <c r="Q253" t="str">
        <f>IF(N253="","",SUMIFS('PR-BOM'!$D$3:$D1001,'PR-BOM'!$C$3:$C1001,N253))</f>
        <v/>
      </c>
      <c r="S253" t="str">
        <f ca="1">IFERROR(__xludf.DUMMYFUNCTION("""COMPUTED_VALUE"""),"Flashing Light glass")</f>
        <v>Flashing Light glass</v>
      </c>
      <c r="X253" t="e">
        <f ca="1"/>
        <v>#NAME?</v>
      </c>
      <c r="Y253" t="e">
        <f t="shared" ca="1" si="1"/>
        <v>#NAME?</v>
      </c>
      <c r="Z253" t="e">
        <f ca="1">IF(X253="","",SUMIFS(#REF!,RM!$C$4:$C991,X253))</f>
        <v>#NAME?</v>
      </c>
      <c r="AA253" t="e">
        <f ca="1">IF(X253="","",SUMIFS(#REF!,RM!$C$4:$C991,X253))</f>
        <v>#NAME?</v>
      </c>
      <c r="AB253" t="e">
        <f ca="1">IF(X253="","",SUMIFS(IRegback!$Y$2:$Y1001,IRegback!$X$2:$X1001,X253))</f>
        <v>#NAME?</v>
      </c>
      <c r="AC253" t="e">
        <f t="shared" ca="1" si="2"/>
        <v>#NAME?</v>
      </c>
      <c r="AD253" t="e">
        <f ca="1">IF(X253="","",VLOOKUP($X253,RM!$C$4:$G991,3,FALSE))</f>
        <v>#NAME?</v>
      </c>
      <c r="AE253" t="e">
        <f ca="1">IF(X253="","",VLOOKUP($X253,RM!$C$4:$G991,4,FALSE))</f>
        <v>#NAME?</v>
      </c>
      <c r="AF253" t="e">
        <f ca="1">IF(X253="","",VLOOKUP($X253,RM!$C$4:$G991,5,FALSE))</f>
        <v>#NAME?</v>
      </c>
      <c r="AH253" t="str">
        <f ca="1">IFERROR(__xludf.DUMMYFUNCTION("""COMPUTED_VALUE"""),"A21 MotherBoard Assy")</f>
        <v>A21 MotherBoard Assy</v>
      </c>
      <c r="AI253" t="str">
        <f ca="1">IFERROR(__xludf.DUMMYFUNCTION("""COMPUTED_VALUE"""),"Heatshrink Tube 6.4:1.6")</f>
        <v>Heatshrink Tube 6.4:1.6</v>
      </c>
      <c r="AJ253">
        <f ca="1">IFERROR(__xludf.DUMMYFUNCTION("""COMPUTED_VALUE"""),0.2)</f>
        <v>0.2</v>
      </c>
      <c r="AK253" t="str">
        <f ca="1">IFERROR(__xludf.DUMMYFUNCTION("""COMPUTED_VALUE"""),"blank")</f>
        <v>blank</v>
      </c>
      <c r="AL253" t="e">
        <f ca="1">_xludf.IFNA(VLOOKUP(AH253,'S-FG'!$B$3:$B1001,1,FALSE),"")</f>
        <v>#NAME?</v>
      </c>
      <c r="AM253" t="e">
        <f ca="1">IF(AI253="","",SUMIFS(#REF!,RM!$C$4:$C991,AI253))</f>
        <v>#REF!</v>
      </c>
    </row>
    <row r="254" spans="5:39">
      <c r="E254" t="str">
        <f>IF(A254="","",SUMIFS('PR-BOM'!$D$3:$D1001,'PR-BOM'!$C$3:$C1001,A254)*C254)</f>
        <v/>
      </c>
      <c r="F254" t="e">
        <f ca="1">_xludf.IFNA(VLOOKUP(B254,'S-FG'!$B$3:$B1001,1,FALSE),"")</f>
        <v>#NAME?</v>
      </c>
      <c r="H254" t="str">
        <f ca="1">IFERROR(__xludf.DUMMYFUNCTION("""COMPUTED_VALUE"""),"FL_STBD Mech")</f>
        <v>FL_STBD Mech</v>
      </c>
      <c r="I254" t="str">
        <f ca="1">IFERROR(__xludf.DUMMYFUNCTION("""COMPUTED_VALUE"""),"Heatsink paste")</f>
        <v>Heatsink paste</v>
      </c>
      <c r="J254">
        <f ca="1">IFERROR(__xludf.DUMMYFUNCTION("""COMPUTED_VALUE"""),5)</f>
        <v>5</v>
      </c>
      <c r="K254" t="str">
        <f ca="1">IFERROR(__xludf.DUMMYFUNCTION("""COMPUTED_VALUE"""),"blank")</f>
        <v>blank</v>
      </c>
      <c r="L254">
        <f t="shared" ca="1" si="0"/>
        <v>0</v>
      </c>
      <c r="Q254" t="str">
        <f>IF(N254="","",SUMIFS('PR-BOM'!$D$3:$D1001,'PR-BOM'!$C$3:$C1001,N254))</f>
        <v/>
      </c>
      <c r="S254" t="str">
        <f ca="1">IFERROR(__xludf.DUMMYFUNCTION("""COMPUTED_VALUE"""),"Flashing Light bottom plate")</f>
        <v>Flashing Light bottom plate</v>
      </c>
      <c r="X254" t="e">
        <f ca="1"/>
        <v>#NAME?</v>
      </c>
      <c r="Y254" t="e">
        <f t="shared" ca="1" si="1"/>
        <v>#NAME?</v>
      </c>
      <c r="Z254" t="e">
        <f ca="1">IF(X254="","",SUMIFS(#REF!,RM!$C$4:$C991,X254))</f>
        <v>#NAME?</v>
      </c>
      <c r="AA254" t="e">
        <f ca="1">IF(X254="","",SUMIFS(#REF!,RM!$C$4:$C991,X254))</f>
        <v>#NAME?</v>
      </c>
      <c r="AB254" t="e">
        <f ca="1">IF(X254="","",SUMIFS(IRegback!$Y$2:$Y1001,IRegback!$X$2:$X1001,X254))</f>
        <v>#NAME?</v>
      </c>
      <c r="AC254" t="e">
        <f t="shared" ca="1" si="2"/>
        <v>#NAME?</v>
      </c>
      <c r="AD254" t="e">
        <f ca="1">IF(X254="","",VLOOKUP($X254,RM!$C$4:$G991,3,FALSE))</f>
        <v>#NAME?</v>
      </c>
      <c r="AE254" t="e">
        <f ca="1">IF(X254="","",VLOOKUP($X254,RM!$C$4:$G991,4,FALSE))</f>
        <v>#NAME?</v>
      </c>
      <c r="AF254" t="e">
        <f ca="1">IF(X254="","",VLOOKUP($X254,RM!$C$4:$G991,5,FALSE))</f>
        <v>#NAME?</v>
      </c>
      <c r="AH254" t="str">
        <f ca="1">IFERROR(__xludf.DUMMYFUNCTION("""COMPUTED_VALUE"""),"A21 MotherBoard Assy")</f>
        <v>A21 MotherBoard Assy</v>
      </c>
      <c r="AI254" t="str">
        <f ca="1">IFERROR(__xludf.DUMMYFUNCTION("""COMPUTED_VALUE"""),"Heatshrink Tube 9:3")</f>
        <v>Heatshrink Tube 9:3</v>
      </c>
      <c r="AJ254">
        <f ca="1">IFERROR(__xludf.DUMMYFUNCTION("""COMPUTED_VALUE"""),0.1)</f>
        <v>0.1</v>
      </c>
      <c r="AK254" t="str">
        <f ca="1">IFERROR(__xludf.DUMMYFUNCTION("""COMPUTED_VALUE"""),"blank")</f>
        <v>blank</v>
      </c>
      <c r="AL254" t="e">
        <f ca="1">_xludf.IFNA(VLOOKUP(AH254,'S-FG'!$B$3:$B1001,1,FALSE),"")</f>
        <v>#NAME?</v>
      </c>
      <c r="AM254" t="e">
        <f ca="1">IF(AI254="","",SUMIFS(#REF!,RM!$C$4:$C991,AI254))</f>
        <v>#REF!</v>
      </c>
    </row>
    <row r="255" spans="5:39">
      <c r="E255" t="str">
        <f>IF(A255="","",SUMIFS('PR-BOM'!$D$3:$D1001,'PR-BOM'!$C$3:$C1001,A255)*C255)</f>
        <v/>
      </c>
      <c r="F255" t="e">
        <f ca="1">_xludf.IFNA(VLOOKUP(B255,'S-FG'!$B$3:$B1001,1,FALSE),"")</f>
        <v>#NAME?</v>
      </c>
      <c r="H255" t="str">
        <f ca="1">IFERROR(__xludf.DUMMYFUNCTION("""COMPUTED_VALUE"""),"FL_STBD Mech")</f>
        <v>FL_STBD Mech</v>
      </c>
      <c r="I255" t="str">
        <f ca="1">IFERROR(__xludf.DUMMYFUNCTION("""COMPUTED_VALUE"""),"M3x6 Allen Head")</f>
        <v>M3x6 Allen Head</v>
      </c>
      <c r="J255">
        <f ca="1">IFERROR(__xludf.DUMMYFUNCTION("""COMPUTED_VALUE"""),2)</f>
        <v>2</v>
      </c>
      <c r="L255">
        <f t="shared" ca="1" si="0"/>
        <v>0</v>
      </c>
      <c r="Q255" t="str">
        <f>IF(N255="","",SUMIFS('PR-BOM'!$D$3:$D1001,'PR-BOM'!$C$3:$C1001,N255))</f>
        <v/>
      </c>
      <c r="S255" t="str">
        <f ca="1">IFERROR(__xludf.DUMMYFUNCTION("""COMPUTED_VALUE"""),"Heatsink paste")</f>
        <v>Heatsink paste</v>
      </c>
      <c r="X255" t="e">
        <f ca="1"/>
        <v>#NAME?</v>
      </c>
      <c r="Y255" t="e">
        <f t="shared" ca="1" si="1"/>
        <v>#NAME?</v>
      </c>
      <c r="Z255" t="e">
        <f ca="1">IF(X255="","",SUMIFS(#REF!,RM!$C$4:$C991,X255))</f>
        <v>#NAME?</v>
      </c>
      <c r="AA255" t="e">
        <f ca="1">IF(X255="","",SUMIFS(#REF!,RM!$C$4:$C991,X255))</f>
        <v>#NAME?</v>
      </c>
      <c r="AB255" t="e">
        <f ca="1">IF(X255="","",SUMIFS(IRegback!$Y$2:$Y1001,IRegback!$X$2:$X1001,X255))</f>
        <v>#NAME?</v>
      </c>
      <c r="AC255" t="e">
        <f t="shared" ca="1" si="2"/>
        <v>#NAME?</v>
      </c>
      <c r="AD255" t="e">
        <f ca="1">IF(X255="","",VLOOKUP($X255,RM!$C$4:$G991,3,FALSE))</f>
        <v>#NAME?</v>
      </c>
      <c r="AE255" t="e">
        <f ca="1">IF(X255="","",VLOOKUP($X255,RM!$C$4:$G991,4,FALSE))</f>
        <v>#NAME?</v>
      </c>
      <c r="AF255" t="e">
        <f ca="1">IF(X255="","",VLOOKUP($X255,RM!$C$4:$G991,5,FALSE))</f>
        <v>#NAME?</v>
      </c>
      <c r="AH255" t="str">
        <f ca="1">IFERROR(__xludf.DUMMYFUNCTION("""COMPUTED_VALUE"""),"A21 MotherBoard Assy")</f>
        <v>A21 MotherBoard Assy</v>
      </c>
      <c r="AI255" t="str">
        <f ca="1">IFERROR(__xludf.DUMMYFUNCTION("""COMPUTED_VALUE"""),"Current Sensor Assy")</f>
        <v>Current Sensor Assy</v>
      </c>
      <c r="AJ255">
        <f ca="1">IFERROR(__xludf.DUMMYFUNCTION("""COMPUTED_VALUE"""),0)</f>
        <v>0</v>
      </c>
      <c r="AK255">
        <f ca="1">IFERROR(__xludf.DUMMYFUNCTION("""COMPUTED_VALUE"""),15)</f>
        <v>15</v>
      </c>
      <c r="AL255" t="e">
        <f ca="1">_xludf.IFNA(VLOOKUP(AH255,'S-FG'!$B$3:$B1001,1,FALSE),"")</f>
        <v>#NAME?</v>
      </c>
      <c r="AM255" t="e">
        <f ca="1">IF(AI255="","",SUMIFS(#REF!,RM!$C$4:$C991,AI255))</f>
        <v>#REF!</v>
      </c>
    </row>
    <row r="256" spans="5:39">
      <c r="E256" t="str">
        <f>IF(A256="","",SUMIFS('PR-BOM'!$D$3:$D1001,'PR-BOM'!$C$3:$C1001,A256)*C256)</f>
        <v/>
      </c>
      <c r="F256" t="e">
        <f ca="1">_xludf.IFNA(VLOOKUP(B256,'S-FG'!$B$3:$B1001,1,FALSE),"")</f>
        <v>#NAME?</v>
      </c>
      <c r="H256" t="str">
        <f ca="1">IFERROR(__xludf.DUMMYFUNCTION("""COMPUTED_VALUE"""),"FL_STBD Mech")</f>
        <v>FL_STBD Mech</v>
      </c>
      <c r="I256" t="str">
        <f ca="1">IFERROR(__xludf.DUMMYFUNCTION("""COMPUTED_VALUE"""),"M4x12 Allen Head")</f>
        <v>M4x12 Allen Head</v>
      </c>
      <c r="J256">
        <f ca="1">IFERROR(__xludf.DUMMYFUNCTION("""COMPUTED_VALUE"""),2)</f>
        <v>2</v>
      </c>
      <c r="K256" t="str">
        <f ca="1">IFERROR(__xludf.DUMMYFUNCTION("""COMPUTED_VALUE"""),"blank")</f>
        <v>blank</v>
      </c>
      <c r="L256">
        <f t="shared" ca="1" si="0"/>
        <v>0</v>
      </c>
      <c r="Q256" t="str">
        <f>IF(N256="","",SUMIFS('PR-BOM'!$D$3:$D1001,'PR-BOM'!$C$3:$C1001,N256))</f>
        <v/>
      </c>
      <c r="S256" t="str">
        <f ca="1">IFERROR(__xludf.DUMMYFUNCTION("""COMPUTED_VALUE"""),"M3x6 Allen Head")</f>
        <v>M3x6 Allen Head</v>
      </c>
      <c r="X256" t="e">
        <f ca="1"/>
        <v>#NAME?</v>
      </c>
      <c r="Y256" t="e">
        <f t="shared" ca="1" si="1"/>
        <v>#NAME?</v>
      </c>
      <c r="Z256" t="e">
        <f ca="1">IF(X256="","",SUMIFS(#REF!,RM!$C$4:$C991,X256))</f>
        <v>#NAME?</v>
      </c>
      <c r="AA256" t="e">
        <f ca="1">IF(X256="","",SUMIFS(#REF!,RM!$C$4:$C991,X256))</f>
        <v>#NAME?</v>
      </c>
      <c r="AB256" t="e">
        <f ca="1">IF(X256="","",SUMIFS(IRegback!$Y$2:$Y1001,IRegback!$X$2:$X1001,X256))</f>
        <v>#NAME?</v>
      </c>
      <c r="AC256" t="e">
        <f t="shared" ca="1" si="2"/>
        <v>#NAME?</v>
      </c>
      <c r="AD256" t="e">
        <f ca="1">IF(X256="","",VLOOKUP($X256,RM!$C$4:$G991,3,FALSE))</f>
        <v>#NAME?</v>
      </c>
      <c r="AE256" t="e">
        <f ca="1">IF(X256="","",VLOOKUP($X256,RM!$C$4:$G991,4,FALSE))</f>
        <v>#NAME?</v>
      </c>
      <c r="AF256" t="e">
        <f ca="1">IF(X256="","",VLOOKUP($X256,RM!$C$4:$G991,5,FALSE))</f>
        <v>#NAME?</v>
      </c>
      <c r="AH256" t="str">
        <f ca="1">IFERROR(__xludf.DUMMYFUNCTION("""COMPUTED_VALUE"""),"A21 MotherBoard Assy")</f>
        <v>A21 MotherBoard Assy</v>
      </c>
      <c r="AI256" t="str">
        <f ca="1">IFERROR(__xludf.DUMMYFUNCTION("""COMPUTED_VALUE"""),"RPM Sensor Assy")</f>
        <v>RPM Sensor Assy</v>
      </c>
      <c r="AJ256">
        <f ca="1">IFERROR(__xludf.DUMMYFUNCTION("""COMPUTED_VALUE"""),0)</f>
        <v>0</v>
      </c>
      <c r="AK256" t="str">
        <f ca="1">IFERROR(__xludf.DUMMYFUNCTION("""COMPUTED_VALUE"""),"blank")</f>
        <v>blank</v>
      </c>
      <c r="AL256" t="e">
        <f ca="1">_xludf.IFNA(VLOOKUP(AH256,'S-FG'!$B$3:$B1001,1,FALSE),"")</f>
        <v>#NAME?</v>
      </c>
      <c r="AM256" t="e">
        <f ca="1">IF(AI256="","",SUMIFS(#REF!,RM!$C$4:$C991,AI256))</f>
        <v>#REF!</v>
      </c>
    </row>
    <row r="257" spans="5:39">
      <c r="E257" t="str">
        <f>IF(A257="","",SUMIFS('PR-BOM'!$D$3:$D1001,'PR-BOM'!$C$3:$C1001,A257)*C257)</f>
        <v/>
      </c>
      <c r="F257" t="e">
        <f ca="1">_xludf.IFNA(VLOOKUP(B257,'S-FG'!$B$3:$B1001,1,FALSE),"")</f>
        <v>#NAME?</v>
      </c>
      <c r="H257" t="str">
        <f ca="1">IFERROR(__xludf.DUMMYFUNCTION("""COMPUTED_VALUE"""),"FL_STBD Mech")</f>
        <v>FL_STBD Mech</v>
      </c>
      <c r="I257" t="str">
        <f ca="1">IFERROR(__xludf.DUMMYFUNCTION("""COMPUTED_VALUE"""),"Teroson MS930")</f>
        <v>Teroson MS930</v>
      </c>
      <c r="J257">
        <f ca="1">IFERROR(__xludf.DUMMYFUNCTION("""COMPUTED_VALUE"""),5)</f>
        <v>5</v>
      </c>
      <c r="K257" t="str">
        <f ca="1">IFERROR(__xludf.DUMMYFUNCTION("""COMPUTED_VALUE"""),"blank")</f>
        <v>blank</v>
      </c>
      <c r="L257">
        <f t="shared" ref="L257:L511" ca="1" si="4">IF(H257="","",SUMIFS($E$2:$E1256,$F$2:$F1256,H257)*J257)</f>
        <v>0</v>
      </c>
      <c r="Q257" t="str">
        <f>IF(N257="","",SUMIFS('PR-BOM'!$D$3:$D1001,'PR-BOM'!$C$3:$C1001,N257))</f>
        <v/>
      </c>
      <c r="S257" t="str">
        <f ca="1">IFERROR(__xludf.DUMMYFUNCTION("""COMPUTED_VALUE"""),"M4x12 Allen Head")</f>
        <v>M4x12 Allen Head</v>
      </c>
      <c r="X257" t="e">
        <f ca="1"/>
        <v>#NAME?</v>
      </c>
      <c r="Y257" t="e">
        <f t="shared" ref="Y257:Y511" ca="1" si="5">IF(X257="","",SUMIFS($E$2:$E1256,$B$2:$B1256,X257)+SUMIFS($L$2:$L1256,$I$2:$I1256,X257)+(SUMIFS($Q$2:$Q1256,$N$2:$N1256,X257)))</f>
        <v>#NAME?</v>
      </c>
      <c r="Z257" t="e">
        <f ca="1">IF(X257="","",SUMIFS(#REF!,RM!$C$4:$C991,X257))</f>
        <v>#NAME?</v>
      </c>
      <c r="AA257" t="e">
        <f ca="1">IF(X257="","",SUMIFS(#REF!,RM!$C$4:$C991,X257))</f>
        <v>#NAME?</v>
      </c>
      <c r="AB257" t="e">
        <f ca="1">IF(X257="","",SUMIFS(IRegback!$Y$2:$Y1001,IRegback!$X$2:$X1001,X257))</f>
        <v>#NAME?</v>
      </c>
      <c r="AC257" t="e">
        <f t="shared" ref="AC257:AC511" ca="1" si="6">Y257-AA257-Z257-AB257</f>
        <v>#NAME?</v>
      </c>
      <c r="AD257" t="e">
        <f ca="1">IF(X257="","",VLOOKUP($X257,RM!$C$4:$G991,3,FALSE))</f>
        <v>#NAME?</v>
      </c>
      <c r="AE257" t="e">
        <f ca="1">IF(X257="","",VLOOKUP($X257,RM!$C$4:$G991,4,FALSE))</f>
        <v>#NAME?</v>
      </c>
      <c r="AF257" t="e">
        <f ca="1">IF(X257="","",VLOOKUP($X257,RM!$C$4:$G991,5,FALSE))</f>
        <v>#NAME?</v>
      </c>
      <c r="AH257" t="str">
        <f ca="1">IFERROR(__xludf.DUMMYFUNCTION("""COMPUTED_VALUE"""),"A21 MotherBoard Assy")</f>
        <v>A21 MotherBoard Assy</v>
      </c>
      <c r="AI257" t="str">
        <f ca="1">IFERROR(__xludf.DUMMYFUNCTION("""COMPUTED_VALUE"""),"Tactile switch ")</f>
        <v xml:space="preserve">Tactile switch </v>
      </c>
      <c r="AJ257">
        <f ca="1">IFERROR(__xludf.DUMMYFUNCTION("""COMPUTED_VALUE"""),1)</f>
        <v>1</v>
      </c>
      <c r="AK257" t="str">
        <f ca="1">IFERROR(__xludf.DUMMYFUNCTION("""COMPUTED_VALUE"""),"blank")</f>
        <v>blank</v>
      </c>
      <c r="AL257" t="e">
        <f ca="1">_xludf.IFNA(VLOOKUP(AH257,'S-FG'!$B$3:$B1001,1,FALSE),"")</f>
        <v>#NAME?</v>
      </c>
      <c r="AM257" t="e">
        <f ca="1">IF(AI257="","",SUMIFS(#REF!,RM!$C$4:$C991,AI257))</f>
        <v>#REF!</v>
      </c>
    </row>
    <row r="258" spans="5:39">
      <c r="E258" t="str">
        <f>IF(A258="","",SUMIFS('PR-BOM'!$D$3:$D1001,'PR-BOM'!$C$3:$C1001,A258)*C258)</f>
        <v/>
      </c>
      <c r="F258" t="e">
        <f ca="1">_xludf.IFNA(VLOOKUP(B258,'S-FG'!$B$3:$B1001,1,FALSE),"")</f>
        <v>#NAME?</v>
      </c>
      <c r="H258" t="str">
        <f ca="1">IFERROR(__xludf.DUMMYFUNCTION("""COMPUTED_VALUE"""),"FL_PORT Mech")</f>
        <v>FL_PORT Mech</v>
      </c>
      <c r="I258" t="str">
        <f ca="1">IFERROR(__xludf.DUMMYFUNCTION("""COMPUTED_VALUE"""),"M3x8 Button Head")</f>
        <v>M3x8 Button Head</v>
      </c>
      <c r="J258">
        <f ca="1">IFERROR(__xludf.DUMMYFUNCTION("""COMPUTED_VALUE"""),6)</f>
        <v>6</v>
      </c>
      <c r="K258" t="str">
        <f ca="1">IFERROR(__xludf.DUMMYFUNCTION("""COMPUTED_VALUE"""),"blank")</f>
        <v>blank</v>
      </c>
      <c r="L258">
        <f t="shared" ca="1" si="4"/>
        <v>0</v>
      </c>
      <c r="Q258" t="str">
        <f>IF(N258="","",SUMIFS('PR-BOM'!$D$3:$D1001,'PR-BOM'!$C$3:$C1001,N258))</f>
        <v/>
      </c>
      <c r="S258" t="str">
        <f ca="1">IFERROR(__xludf.DUMMYFUNCTION("""COMPUTED_VALUE"""),"Teroson MS930")</f>
        <v>Teroson MS930</v>
      </c>
      <c r="X258" t="e">
        <f ca="1"/>
        <v>#NAME?</v>
      </c>
      <c r="Y258" t="e">
        <f t="shared" ca="1" si="5"/>
        <v>#NAME?</v>
      </c>
      <c r="Z258" t="e">
        <f ca="1">IF(X258="","",SUMIFS(#REF!,RM!$C$4:$C991,X258))</f>
        <v>#NAME?</v>
      </c>
      <c r="AA258" t="e">
        <f ca="1">IF(X258="","",SUMIFS(#REF!,RM!$C$4:$C991,X258))</f>
        <v>#NAME?</v>
      </c>
      <c r="AB258" t="e">
        <f ca="1">IF(X258="","",SUMIFS(IRegback!$Y$2:$Y1001,IRegback!$X$2:$X1001,X258))</f>
        <v>#NAME?</v>
      </c>
      <c r="AC258" t="e">
        <f t="shared" ca="1" si="6"/>
        <v>#NAME?</v>
      </c>
      <c r="AD258" t="e">
        <f ca="1">IF(X258="","",VLOOKUP($X258,RM!$C$4:$G991,3,FALSE))</f>
        <v>#NAME?</v>
      </c>
      <c r="AE258" t="e">
        <f ca="1">IF(X258="","",VLOOKUP($X258,RM!$C$4:$G991,4,FALSE))</f>
        <v>#NAME?</v>
      </c>
      <c r="AF258" t="e">
        <f ca="1">IF(X258="","",VLOOKUP($X258,RM!$C$4:$G991,5,FALSE))</f>
        <v>#NAME?</v>
      </c>
      <c r="AH258" t="str">
        <f ca="1">IFERROR(__xludf.DUMMYFUNCTION("""COMPUTED_VALUE"""),"Electronic Box Assy")</f>
        <v>Electronic Box Assy</v>
      </c>
      <c r="AI258" t="str">
        <f ca="1">IFERROR(__xludf.DUMMYFUNCTION("""COMPUTED_VALUE"""),"Ipex4 to SMA converter extension")</f>
        <v>Ipex4 to SMA converter extension</v>
      </c>
      <c r="AJ258">
        <f ca="1">IFERROR(__xludf.DUMMYFUNCTION("""COMPUTED_VALUE"""),1)</f>
        <v>1</v>
      </c>
      <c r="AK258" t="str">
        <f ca="1">IFERROR(__xludf.DUMMYFUNCTION("""COMPUTED_VALUE"""),"blank")</f>
        <v>blank</v>
      </c>
      <c r="AL258" t="e">
        <f ca="1">_xludf.IFNA(VLOOKUP(AH258,'S-FG'!$B$3:$B1001,1,FALSE),"")</f>
        <v>#NAME?</v>
      </c>
      <c r="AM258" t="e">
        <f ca="1">IF(AI258="","",SUMIFS(#REF!,RM!$C$4:$C991,AI258))</f>
        <v>#REF!</v>
      </c>
    </row>
    <row r="259" spans="5:39">
      <c r="E259" t="str">
        <f>IF(A259="","",SUMIFS('PR-BOM'!$D$3:$D1001,'PR-BOM'!$C$3:$C1001,A259)*C259)</f>
        <v/>
      </c>
      <c r="F259" t="e">
        <f ca="1">_xludf.IFNA(VLOOKUP(B259,'S-FG'!$B$3:$B1001,1,FALSE),"")</f>
        <v>#NAME?</v>
      </c>
      <c r="H259" t="str">
        <f ca="1">IFERROR(__xludf.DUMMYFUNCTION("""COMPUTED_VALUE"""),"FL_PORT Mech")</f>
        <v>FL_PORT Mech</v>
      </c>
      <c r="I259" t="str">
        <f ca="1">IFERROR(__xludf.DUMMYFUNCTION("""COMPUTED_VALUE"""),"Flashing Light glass")</f>
        <v>Flashing Light glass</v>
      </c>
      <c r="J259">
        <f ca="1">IFERROR(__xludf.DUMMYFUNCTION("""COMPUTED_VALUE"""),1)</f>
        <v>1</v>
      </c>
      <c r="K259" t="str">
        <f ca="1">IFERROR(__xludf.DUMMYFUNCTION("""COMPUTED_VALUE"""),"blank")</f>
        <v>blank</v>
      </c>
      <c r="L259">
        <f t="shared" ca="1" si="4"/>
        <v>0</v>
      </c>
      <c r="Q259" t="str">
        <f>IF(N259="","",SUMIFS('PR-BOM'!$D$3:$D1001,'PR-BOM'!$C$3:$C1001,N259))</f>
        <v/>
      </c>
      <c r="S259" t="str">
        <f ca="1">IFERROR(__xludf.DUMMYFUNCTION("""COMPUTED_VALUE"""),"M3x8 Button Head")</f>
        <v>M3x8 Button Head</v>
      </c>
      <c r="X259" t="e">
        <f ca="1"/>
        <v>#NAME?</v>
      </c>
      <c r="Y259" t="e">
        <f t="shared" ca="1" si="5"/>
        <v>#NAME?</v>
      </c>
      <c r="Z259" t="e">
        <f ca="1">IF(X259="","",SUMIFS(#REF!,RM!$C$4:$C991,X259))</f>
        <v>#NAME?</v>
      </c>
      <c r="AA259" t="e">
        <f ca="1">IF(X259="","",SUMIFS(#REF!,RM!$C$4:$C991,X259))</f>
        <v>#NAME?</v>
      </c>
      <c r="AB259" t="e">
        <f ca="1">IF(X259="","",SUMIFS(IRegback!$Y$2:$Y1001,IRegback!$X$2:$X1001,X259))</f>
        <v>#NAME?</v>
      </c>
      <c r="AC259" t="e">
        <f t="shared" ca="1" si="6"/>
        <v>#NAME?</v>
      </c>
      <c r="AD259" t="e">
        <f ca="1">IF(X259="","",VLOOKUP($X259,RM!$C$4:$G991,3,FALSE))</f>
        <v>#NAME?</v>
      </c>
      <c r="AE259" t="e">
        <f ca="1">IF(X259="","",VLOOKUP($X259,RM!$C$4:$G991,4,FALSE))</f>
        <v>#NAME?</v>
      </c>
      <c r="AF259" t="e">
        <f ca="1">IF(X259="","",VLOOKUP($X259,RM!$C$4:$G991,5,FALSE))</f>
        <v>#NAME?</v>
      </c>
      <c r="AH259" t="str">
        <f ca="1">IFERROR(__xludf.DUMMYFUNCTION("""COMPUTED_VALUE"""),"Electronic Box Assy")</f>
        <v>Electronic Box Assy</v>
      </c>
      <c r="AI259" t="str">
        <f ca="1">IFERROR(__xludf.DUMMYFUNCTION("""COMPUTED_VALUE"""),"Electronic Box Top Lid")</f>
        <v>Electronic Box Top Lid</v>
      </c>
      <c r="AJ259">
        <f ca="1">IFERROR(__xludf.DUMMYFUNCTION("""COMPUTED_VALUE"""),1)</f>
        <v>1</v>
      </c>
      <c r="AL259" t="e">
        <f ca="1">_xludf.IFNA(VLOOKUP(AH259,'S-FG'!$B$3:$B1001,1,FALSE),"")</f>
        <v>#NAME?</v>
      </c>
      <c r="AM259" t="e">
        <f ca="1">IF(AI259="","",SUMIFS(#REF!,RM!$C$4:$C991,AI259))</f>
        <v>#REF!</v>
      </c>
    </row>
    <row r="260" spans="5:39">
      <c r="E260" t="str">
        <f>IF(A260="","",SUMIFS('PR-BOM'!$D$3:$D1001,'PR-BOM'!$C$3:$C1001,A260)*C260)</f>
        <v/>
      </c>
      <c r="F260" t="e">
        <f ca="1">_xludf.IFNA(VLOOKUP(B260,'S-FG'!$B$3:$B1001,1,FALSE),"")</f>
        <v>#NAME?</v>
      </c>
      <c r="H260" t="str">
        <f ca="1">IFERROR(__xludf.DUMMYFUNCTION("""COMPUTED_VALUE"""),"FL_PORT Mech")</f>
        <v>FL_PORT Mech</v>
      </c>
      <c r="I260" t="str">
        <f ca="1">IFERROR(__xludf.DUMMYFUNCTION("""COMPUTED_VALUE"""),"Flashing Light bottom plate")</f>
        <v>Flashing Light bottom plate</v>
      </c>
      <c r="J260">
        <f ca="1">IFERROR(__xludf.DUMMYFUNCTION("""COMPUTED_VALUE"""),1)</f>
        <v>1</v>
      </c>
      <c r="K260" t="str">
        <f ca="1">IFERROR(__xludf.DUMMYFUNCTION("""COMPUTED_VALUE"""),"blank")</f>
        <v>blank</v>
      </c>
      <c r="L260">
        <f t="shared" ca="1" si="4"/>
        <v>0</v>
      </c>
      <c r="Q260" t="str">
        <f>IF(N260="","",SUMIFS('PR-BOM'!$D$3:$D1001,'PR-BOM'!$C$3:$C1001,N260))</f>
        <v/>
      </c>
      <c r="S260" t="str">
        <f ca="1">IFERROR(__xludf.DUMMYFUNCTION("""COMPUTED_VALUE"""),"Flashing Light glass")</f>
        <v>Flashing Light glass</v>
      </c>
      <c r="X260" t="e">
        <f ca="1"/>
        <v>#NAME?</v>
      </c>
      <c r="Y260" t="e">
        <f t="shared" ca="1" si="5"/>
        <v>#NAME?</v>
      </c>
      <c r="Z260" t="e">
        <f ca="1">IF(X260="","",SUMIFS(#REF!,RM!$C$4:$C991,X260))</f>
        <v>#NAME?</v>
      </c>
      <c r="AA260" t="e">
        <f ca="1">IF(X260="","",SUMIFS(#REF!,RM!$C$4:$C991,X260))</f>
        <v>#NAME?</v>
      </c>
      <c r="AB260" t="e">
        <f ca="1">IF(X260="","",SUMIFS(IRegback!$Y$2:$Y1001,IRegback!$X$2:$X1001,X260))</f>
        <v>#NAME?</v>
      </c>
      <c r="AC260" t="e">
        <f t="shared" ca="1" si="6"/>
        <v>#NAME?</v>
      </c>
      <c r="AD260" t="e">
        <f ca="1">IF(X260="","",VLOOKUP($X260,RM!$C$4:$G991,3,FALSE))</f>
        <v>#NAME?</v>
      </c>
      <c r="AE260" t="e">
        <f ca="1">IF(X260="","",VLOOKUP($X260,RM!$C$4:$G991,4,FALSE))</f>
        <v>#NAME?</v>
      </c>
      <c r="AF260" t="e">
        <f ca="1">IF(X260="","",VLOOKUP($X260,RM!$C$4:$G991,5,FALSE))</f>
        <v>#NAME?</v>
      </c>
      <c r="AH260" t="str">
        <f ca="1">IFERROR(__xludf.DUMMYFUNCTION("""COMPUTED_VALUE"""),"Electronic Box Assy")</f>
        <v>Electronic Box Assy</v>
      </c>
      <c r="AI260" t="str">
        <f ca="1">IFERROR(__xludf.DUMMYFUNCTION("""COMPUTED_VALUE"""),"BlueRobotics Leak")</f>
        <v>BlueRobotics Leak</v>
      </c>
      <c r="AJ260">
        <f ca="1">IFERROR(__xludf.DUMMYFUNCTION("""COMPUTED_VALUE"""),1)</f>
        <v>1</v>
      </c>
      <c r="AK260" t="str">
        <f ca="1">IFERROR(__xludf.DUMMYFUNCTION("""COMPUTED_VALUE"""),"blank")</f>
        <v>blank</v>
      </c>
      <c r="AL260" t="e">
        <f ca="1">_xludf.IFNA(VLOOKUP(AH260,'S-FG'!$B$3:$B1001,1,FALSE),"")</f>
        <v>#NAME?</v>
      </c>
      <c r="AM260" t="e">
        <f ca="1">IF(AI260="","",SUMIFS(#REF!,RM!$C$4:$C991,AI260))</f>
        <v>#REF!</v>
      </c>
    </row>
    <row r="261" spans="5:39">
      <c r="E261" t="str">
        <f>IF(A261="","",SUMIFS('PR-BOM'!$D$3:$D1001,'PR-BOM'!$C$3:$C1001,A261)*C261)</f>
        <v/>
      </c>
      <c r="F261" t="e">
        <f ca="1">_xludf.IFNA(VLOOKUP(B261,'S-FG'!$B$3:$B1001,1,FALSE),"")</f>
        <v>#NAME?</v>
      </c>
      <c r="H261" t="str">
        <f ca="1">IFERROR(__xludf.DUMMYFUNCTION("""COMPUTED_VALUE"""),"FL_PORT Mech")</f>
        <v>FL_PORT Mech</v>
      </c>
      <c r="I261" t="str">
        <f ca="1">IFERROR(__xludf.DUMMYFUNCTION("""COMPUTED_VALUE"""),"Heatsink paste")</f>
        <v>Heatsink paste</v>
      </c>
      <c r="J261">
        <f ca="1">IFERROR(__xludf.DUMMYFUNCTION("""COMPUTED_VALUE"""),5)</f>
        <v>5</v>
      </c>
      <c r="K261" t="str">
        <f ca="1">IFERROR(__xludf.DUMMYFUNCTION("""COMPUTED_VALUE"""),"blank")</f>
        <v>blank</v>
      </c>
      <c r="L261">
        <f t="shared" ca="1" si="4"/>
        <v>0</v>
      </c>
      <c r="Q261" t="str">
        <f>IF(N261="","",SUMIFS('PR-BOM'!$D$3:$D1001,'PR-BOM'!$C$3:$C1001,N261))</f>
        <v/>
      </c>
      <c r="S261" t="str">
        <f ca="1">IFERROR(__xludf.DUMMYFUNCTION("""COMPUTED_VALUE"""),"Flashing Light bottom plate")</f>
        <v>Flashing Light bottom plate</v>
      </c>
      <c r="X261" t="e">
        <f ca="1"/>
        <v>#NAME?</v>
      </c>
      <c r="Y261" t="e">
        <f t="shared" ca="1" si="5"/>
        <v>#NAME?</v>
      </c>
      <c r="Z261" t="e">
        <f ca="1">IF(X261="","",SUMIFS(#REF!,RM!$C$4:$C991,X261))</f>
        <v>#NAME?</v>
      </c>
      <c r="AA261" t="e">
        <f ca="1">IF(X261="","",SUMIFS(#REF!,RM!$C$4:$C991,X261))</f>
        <v>#NAME?</v>
      </c>
      <c r="AB261" t="e">
        <f ca="1">IF(X261="","",SUMIFS(IRegback!$Y$2:$Y1001,IRegback!$X$2:$X1001,X261))</f>
        <v>#NAME?</v>
      </c>
      <c r="AC261" t="e">
        <f t="shared" ca="1" si="6"/>
        <v>#NAME?</v>
      </c>
      <c r="AD261" t="e">
        <f ca="1">IF(X261="","",VLOOKUP($X261,RM!$C$4:$G991,3,FALSE))</f>
        <v>#NAME?</v>
      </c>
      <c r="AE261" t="e">
        <f ca="1">IF(X261="","",VLOOKUP($X261,RM!$C$4:$G991,4,FALSE))</f>
        <v>#NAME?</v>
      </c>
      <c r="AF261" t="e">
        <f ca="1">IF(X261="","",VLOOKUP($X261,RM!$C$4:$G991,5,FALSE))</f>
        <v>#NAME?</v>
      </c>
      <c r="AH261" t="str">
        <f ca="1">IFERROR(__xludf.DUMMYFUNCTION("""COMPUTED_VALUE"""),"Electronic Box Assy")</f>
        <v>Electronic Box Assy</v>
      </c>
      <c r="AI261" t="str">
        <f ca="1">IFERROR(__xludf.DUMMYFUNCTION("""COMPUTED_VALUE"""),"BlueRobotics Indicator")</f>
        <v>BlueRobotics Indicator</v>
      </c>
      <c r="AJ261">
        <f ca="1">IFERROR(__xludf.DUMMYFUNCTION("""COMPUTED_VALUE"""),1)</f>
        <v>1</v>
      </c>
      <c r="AK261" t="str">
        <f ca="1">IFERROR(__xludf.DUMMYFUNCTION("""COMPUTED_VALUE"""),"blank")</f>
        <v>blank</v>
      </c>
      <c r="AL261" t="e">
        <f ca="1">_xludf.IFNA(VLOOKUP(AH261,'S-FG'!$B$3:$B1001,1,FALSE),"")</f>
        <v>#NAME?</v>
      </c>
      <c r="AM261" t="e">
        <f ca="1">IF(AI261="","",SUMIFS(#REF!,RM!$C$4:$C991,AI261))</f>
        <v>#REF!</v>
      </c>
    </row>
    <row r="262" spans="5:39">
      <c r="E262" t="str">
        <f>IF(A262="","",SUMIFS('PR-BOM'!$D$3:$D1001,'PR-BOM'!$C$3:$C1001,A262)*C262)</f>
        <v/>
      </c>
      <c r="F262" t="e">
        <f ca="1">_xludf.IFNA(VLOOKUP(B262,'S-FG'!$B$3:$B1001,1,FALSE),"")</f>
        <v>#NAME?</v>
      </c>
      <c r="H262" t="str">
        <f ca="1">IFERROR(__xludf.DUMMYFUNCTION("""COMPUTED_VALUE"""),"FL_PORT Mech")</f>
        <v>FL_PORT Mech</v>
      </c>
      <c r="I262" t="str">
        <f ca="1">IFERROR(__xludf.DUMMYFUNCTION("""COMPUTED_VALUE"""),"M3x6 Allen Head")</f>
        <v>M3x6 Allen Head</v>
      </c>
      <c r="J262">
        <f ca="1">IFERROR(__xludf.DUMMYFUNCTION("""COMPUTED_VALUE"""),2)</f>
        <v>2</v>
      </c>
      <c r="L262">
        <f t="shared" ca="1" si="4"/>
        <v>0</v>
      </c>
      <c r="Q262" t="str">
        <f>IF(N262="","",SUMIFS('PR-BOM'!$D$3:$D1001,'PR-BOM'!$C$3:$C1001,N262))</f>
        <v/>
      </c>
      <c r="S262" t="str">
        <f ca="1">IFERROR(__xludf.DUMMYFUNCTION("""COMPUTED_VALUE"""),"Heatsink paste")</f>
        <v>Heatsink paste</v>
      </c>
      <c r="X262" t="e">
        <f ca="1"/>
        <v>#NAME?</v>
      </c>
      <c r="Y262" t="e">
        <f t="shared" ca="1" si="5"/>
        <v>#NAME?</v>
      </c>
      <c r="Z262" t="e">
        <f ca="1">IF(X262="","",SUMIFS(#REF!,RM!$C$4:$C991,X262))</f>
        <v>#NAME?</v>
      </c>
      <c r="AA262" t="e">
        <f ca="1">IF(X262="","",SUMIFS(#REF!,RM!$C$4:$C991,X262))</f>
        <v>#NAME?</v>
      </c>
      <c r="AB262" t="e">
        <f ca="1">IF(X262="","",SUMIFS(IRegback!$Y$2:$Y1001,IRegback!$X$2:$X1001,X262))</f>
        <v>#NAME?</v>
      </c>
      <c r="AC262" t="e">
        <f t="shared" ca="1" si="6"/>
        <v>#NAME?</v>
      </c>
      <c r="AD262" t="e">
        <f ca="1">IF(X262="","",VLOOKUP($X262,RM!$C$4:$G991,3,FALSE))</f>
        <v>#NAME?</v>
      </c>
      <c r="AE262" t="e">
        <f ca="1">IF(X262="","",VLOOKUP($X262,RM!$C$4:$G991,4,FALSE))</f>
        <v>#NAME?</v>
      </c>
      <c r="AF262" t="e">
        <f ca="1">IF(X262="","",VLOOKUP($X262,RM!$C$4:$G991,5,FALSE))</f>
        <v>#NAME?</v>
      </c>
      <c r="AH262" t="str">
        <f ca="1">IFERROR(__xludf.DUMMYFUNCTION("""COMPUTED_VALUE"""),"Electronic Box Assy")</f>
        <v>Electronic Box Assy</v>
      </c>
      <c r="AI262" t="str">
        <f ca="1">IFERROR(__xludf.DUMMYFUNCTION("""COMPUTED_VALUE"""),"M4x6 PCB mount screw Magnetic")</f>
        <v>M4x6 PCB mount screw Magnetic</v>
      </c>
      <c r="AJ262">
        <f ca="1">IFERROR(__xludf.DUMMYFUNCTION("""COMPUTED_VALUE"""),5)</f>
        <v>5</v>
      </c>
      <c r="AK262" t="str">
        <f ca="1">IFERROR(__xludf.DUMMYFUNCTION("""COMPUTED_VALUE"""),"blank")</f>
        <v>blank</v>
      </c>
      <c r="AL262" t="e">
        <f ca="1">_xludf.IFNA(VLOOKUP(AH262,'S-FG'!$B$3:$B1001,1,FALSE),"")</f>
        <v>#NAME?</v>
      </c>
      <c r="AM262" t="e">
        <f ca="1">IF(AI262="","",SUMIFS(#REF!,RM!$C$4:$C991,AI262))</f>
        <v>#REF!</v>
      </c>
    </row>
    <row r="263" spans="5:39">
      <c r="E263" t="str">
        <f>IF(A263="","",SUMIFS('PR-BOM'!$D$3:$D1001,'PR-BOM'!$C$3:$C1001,A263)*C263)</f>
        <v/>
      </c>
      <c r="F263" t="e">
        <f ca="1">_xludf.IFNA(VLOOKUP(B263,'S-FG'!$B$3:$B1001,1,FALSE),"")</f>
        <v>#NAME?</v>
      </c>
      <c r="H263" t="str">
        <f ca="1">IFERROR(__xludf.DUMMYFUNCTION("""COMPUTED_VALUE"""),"FL_PORT Mech")</f>
        <v>FL_PORT Mech</v>
      </c>
      <c r="I263" t="str">
        <f ca="1">IFERROR(__xludf.DUMMYFUNCTION("""COMPUTED_VALUE"""),"M4x12 Allen Head")</f>
        <v>M4x12 Allen Head</v>
      </c>
      <c r="J263">
        <f ca="1">IFERROR(__xludf.DUMMYFUNCTION("""COMPUTED_VALUE"""),2)</f>
        <v>2</v>
      </c>
      <c r="K263" t="str">
        <f ca="1">IFERROR(__xludf.DUMMYFUNCTION("""COMPUTED_VALUE"""),"blank")</f>
        <v>blank</v>
      </c>
      <c r="L263">
        <f t="shared" ca="1" si="4"/>
        <v>0</v>
      </c>
      <c r="Q263" t="str">
        <f>IF(N263="","",SUMIFS('PR-BOM'!$D$3:$D1001,'PR-BOM'!$C$3:$C1001,N263))</f>
        <v/>
      </c>
      <c r="S263" t="str">
        <f ca="1">IFERROR(__xludf.DUMMYFUNCTION("""COMPUTED_VALUE"""),"M3x6 Allen Head")</f>
        <v>M3x6 Allen Head</v>
      </c>
      <c r="X263" t="e">
        <f ca="1"/>
        <v>#NAME?</v>
      </c>
      <c r="Y263" t="e">
        <f t="shared" ca="1" si="5"/>
        <v>#NAME?</v>
      </c>
      <c r="Z263" t="e">
        <f ca="1">IF(X263="","",SUMIFS(#REF!,RM!$C$4:$C991,X263))</f>
        <v>#NAME?</v>
      </c>
      <c r="AA263" t="e">
        <f ca="1">IF(X263="","",SUMIFS(#REF!,RM!$C$4:$C991,X263))</f>
        <v>#NAME?</v>
      </c>
      <c r="AB263" t="e">
        <f ca="1">IF(X263="","",SUMIFS(IRegback!$Y$2:$Y1001,IRegback!$X$2:$X1001,X263))</f>
        <v>#NAME?</v>
      </c>
      <c r="AC263" t="e">
        <f t="shared" ca="1" si="6"/>
        <v>#NAME?</v>
      </c>
      <c r="AD263" t="e">
        <f ca="1">IF(X263="","",VLOOKUP($X263,RM!$C$4:$G991,3,FALSE))</f>
        <v>#NAME?</v>
      </c>
      <c r="AE263" t="e">
        <f ca="1">IF(X263="","",VLOOKUP($X263,RM!$C$4:$G991,4,FALSE))</f>
        <v>#NAME?</v>
      </c>
      <c r="AF263" t="e">
        <f ca="1">IF(X263="","",VLOOKUP($X263,RM!$C$4:$G991,5,FALSE))</f>
        <v>#NAME?</v>
      </c>
      <c r="AH263" t="str">
        <f ca="1">IFERROR(__xludf.DUMMYFUNCTION("""COMPUTED_VALUE"""),"Electronic Box Assy")</f>
        <v>Electronic Box Assy</v>
      </c>
      <c r="AI263" t="str">
        <f ca="1">IFERROR(__xludf.DUMMYFUNCTION("""COMPUTED_VALUE"""),"PG-7 Cable Gland")</f>
        <v>PG-7 Cable Gland</v>
      </c>
      <c r="AJ263">
        <f ca="1">IFERROR(__xludf.DUMMYFUNCTION("""COMPUTED_VALUE"""),3)</f>
        <v>3</v>
      </c>
      <c r="AK263" t="str">
        <f ca="1">IFERROR(__xludf.DUMMYFUNCTION("""COMPUTED_VALUE"""),"blank")</f>
        <v>blank</v>
      </c>
      <c r="AL263" t="e">
        <f ca="1">_xludf.IFNA(VLOOKUP(AH263,'S-FG'!$B$3:$B1001,1,FALSE),"")</f>
        <v>#NAME?</v>
      </c>
      <c r="AM263" t="e">
        <f ca="1">IF(AI263="","",SUMIFS(#REF!,RM!$C$4:$C991,AI263))</f>
        <v>#REF!</v>
      </c>
    </row>
    <row r="264" spans="5:39">
      <c r="E264" t="str">
        <f>IF(A264="","",SUMIFS('PR-BOM'!$D$3:$D1001,'PR-BOM'!$C$3:$C1001,A264)*C264)</f>
        <v/>
      </c>
      <c r="F264" t="e">
        <f ca="1">_xludf.IFNA(VLOOKUP(B264,'S-FG'!$B$3:$B1001,1,FALSE),"")</f>
        <v>#NAME?</v>
      </c>
      <c r="H264" t="str">
        <f ca="1">IFERROR(__xludf.DUMMYFUNCTION("""COMPUTED_VALUE"""),"FL_PORT Mech")</f>
        <v>FL_PORT Mech</v>
      </c>
      <c r="I264" t="str">
        <f ca="1">IFERROR(__xludf.DUMMYFUNCTION("""COMPUTED_VALUE"""),"Teroson MS930")</f>
        <v>Teroson MS930</v>
      </c>
      <c r="J264">
        <f ca="1">IFERROR(__xludf.DUMMYFUNCTION("""COMPUTED_VALUE"""),5)</f>
        <v>5</v>
      </c>
      <c r="K264" t="str">
        <f ca="1">IFERROR(__xludf.DUMMYFUNCTION("""COMPUTED_VALUE"""),"blank")</f>
        <v>blank</v>
      </c>
      <c r="L264">
        <f t="shared" ca="1" si="4"/>
        <v>0</v>
      </c>
      <c r="Q264" t="str">
        <f>IF(N264="","",SUMIFS('PR-BOM'!$D$3:$D1001,'PR-BOM'!$C$3:$C1001,N264))</f>
        <v/>
      </c>
      <c r="S264" t="str">
        <f ca="1">IFERROR(__xludf.DUMMYFUNCTION("""COMPUTED_VALUE"""),"M4x12 Allen Head")</f>
        <v>M4x12 Allen Head</v>
      </c>
      <c r="X264" t="e">
        <f ca="1"/>
        <v>#NAME?</v>
      </c>
      <c r="Y264" t="e">
        <f t="shared" ca="1" si="5"/>
        <v>#NAME?</v>
      </c>
      <c r="Z264" t="e">
        <f ca="1">IF(X264="","",SUMIFS(#REF!,RM!$C$4:$C991,X264))</f>
        <v>#NAME?</v>
      </c>
      <c r="AA264" t="e">
        <f ca="1">IF(X264="","",SUMIFS(#REF!,RM!$C$4:$C991,X264))</f>
        <v>#NAME?</v>
      </c>
      <c r="AB264" t="e">
        <f ca="1">IF(X264="","",SUMIFS(IRegback!$Y$2:$Y1001,IRegback!$X$2:$X1001,X264))</f>
        <v>#NAME?</v>
      </c>
      <c r="AC264" t="e">
        <f t="shared" ca="1" si="6"/>
        <v>#NAME?</v>
      </c>
      <c r="AD264" t="e">
        <f ca="1">IF(X264="","",VLOOKUP($X264,RM!$C$4:$G991,3,FALSE))</f>
        <v>#NAME?</v>
      </c>
      <c r="AE264" t="e">
        <f ca="1">IF(X264="","",VLOOKUP($X264,RM!$C$4:$G991,4,FALSE))</f>
        <v>#NAME?</v>
      </c>
      <c r="AF264" t="e">
        <f ca="1">IF(X264="","",VLOOKUP($X264,RM!$C$4:$G991,5,FALSE))</f>
        <v>#NAME?</v>
      </c>
      <c r="AH264" t="str">
        <f ca="1">IFERROR(__xludf.DUMMYFUNCTION("""COMPUTED_VALUE"""),"Electronic Box Assy")</f>
        <v>Electronic Box Assy</v>
      </c>
      <c r="AI264" t="str">
        <f ca="1">IFERROR(__xludf.DUMMYFUNCTION("""COMPUTED_VALUE"""),"Electronic Box")</f>
        <v>Electronic Box</v>
      </c>
      <c r="AJ264">
        <f ca="1">IFERROR(__xludf.DUMMYFUNCTION("""COMPUTED_VALUE"""),1)</f>
        <v>1</v>
      </c>
      <c r="AK264" t="str">
        <f ca="1">IFERROR(__xludf.DUMMYFUNCTION("""COMPUTED_VALUE"""),"blank")</f>
        <v>blank</v>
      </c>
      <c r="AL264" t="e">
        <f ca="1">_xludf.IFNA(VLOOKUP(AH264,'S-FG'!$B$3:$B1001,1,FALSE),"")</f>
        <v>#NAME?</v>
      </c>
      <c r="AM264" t="e">
        <f ca="1">IF(AI264="","",SUMIFS(#REF!,RM!$C$4:$C991,AI264))</f>
        <v>#REF!</v>
      </c>
    </row>
    <row r="265" spans="5:39">
      <c r="E265" t="str">
        <f>IF(A265="","",SUMIFS('PR-BOM'!$D$3:$D1001,'PR-BOM'!$C$3:$C1001,A265)*C265)</f>
        <v/>
      </c>
      <c r="F265" t="e">
        <f ca="1">_xludf.IFNA(VLOOKUP(B265,'S-FG'!$B$3:$B1001,1,FALSE),"")</f>
        <v>#NAME?</v>
      </c>
      <c r="H265" t="str">
        <f ca="1">IFERROR(__xludf.DUMMYFUNCTION("""COMPUTED_VALUE"""),"Battery Block Assy")</f>
        <v>Battery Block Assy</v>
      </c>
      <c r="I265" t="str">
        <f ca="1">IFERROR(__xludf.DUMMYFUNCTION("""COMPUTED_VALUE"""),"Li-In 21700 Cells Molicel P42A/ Samsung-40T")</f>
        <v>Li-In 21700 Cells Molicel P42A/ Samsung-40T</v>
      </c>
      <c r="J265">
        <f ca="1">IFERROR(__xludf.DUMMYFUNCTION("""COMPUTED_VALUE"""),18)</f>
        <v>18</v>
      </c>
      <c r="K265" t="str">
        <f ca="1">IFERROR(__xludf.DUMMYFUNCTION("""COMPUTED_VALUE"""),"blank")</f>
        <v>blank</v>
      </c>
      <c r="L265">
        <f t="shared" ca="1" si="4"/>
        <v>0</v>
      </c>
      <c r="Q265" t="str">
        <f>IF(N265="","",SUMIFS('PR-BOM'!$D$3:$D1001,'PR-BOM'!$C$3:$C1001,N265))</f>
        <v/>
      </c>
      <c r="S265" t="str">
        <f ca="1">IFERROR(__xludf.DUMMYFUNCTION("""COMPUTED_VALUE"""),"Teroson MS930")</f>
        <v>Teroson MS930</v>
      </c>
      <c r="X265" t="e">
        <f ca="1"/>
        <v>#NAME?</v>
      </c>
      <c r="Y265" t="e">
        <f t="shared" ca="1" si="5"/>
        <v>#NAME?</v>
      </c>
      <c r="Z265" t="e">
        <f ca="1">IF(X265="","",SUMIFS(#REF!,RM!$C$4:$C991,X265))</f>
        <v>#NAME?</v>
      </c>
      <c r="AA265" t="e">
        <f ca="1">IF(X265="","",SUMIFS(#REF!,RM!$C$4:$C991,X265))</f>
        <v>#NAME?</v>
      </c>
      <c r="AB265" t="e">
        <f ca="1">IF(X265="","",SUMIFS(IRegback!$Y$2:$Y1001,IRegback!$X$2:$X1001,X265))</f>
        <v>#NAME?</v>
      </c>
      <c r="AC265" t="e">
        <f t="shared" ca="1" si="6"/>
        <v>#NAME?</v>
      </c>
      <c r="AD265" t="e">
        <f ca="1">IF(X265="","",VLOOKUP($X265,RM!$C$4:$G991,3,FALSE))</f>
        <v>#NAME?</v>
      </c>
      <c r="AE265" t="e">
        <f ca="1">IF(X265="","",VLOOKUP($X265,RM!$C$4:$G991,4,FALSE))</f>
        <v>#NAME?</v>
      </c>
      <c r="AF265" t="e">
        <f ca="1">IF(X265="","",VLOOKUP($X265,RM!$C$4:$G991,5,FALSE))</f>
        <v>#NAME?</v>
      </c>
      <c r="AH265" t="str">
        <f ca="1">IFERROR(__xludf.DUMMYFUNCTION("""COMPUTED_VALUE"""),"Electronic Box Assy")</f>
        <v>Electronic Box Assy</v>
      </c>
      <c r="AI265" t="str">
        <f ca="1">IFERROR(__xludf.DUMMYFUNCTION("""COMPUTED_VALUE"""),"IM Front Lid")</f>
        <v>IM Front Lid</v>
      </c>
      <c r="AJ265">
        <f ca="1">IFERROR(__xludf.DUMMYFUNCTION("""COMPUTED_VALUE"""),1)</f>
        <v>1</v>
      </c>
      <c r="AK265" t="str">
        <f ca="1">IFERROR(__xludf.DUMMYFUNCTION("""COMPUTED_VALUE"""),"blank")</f>
        <v>blank</v>
      </c>
      <c r="AL265" t="e">
        <f ca="1">_xludf.IFNA(VLOOKUP(AH265,'S-FG'!$B$3:$B1001,1,FALSE),"")</f>
        <v>#NAME?</v>
      </c>
      <c r="AM265" t="e">
        <f ca="1">IF(AI265="","",SUMIFS(#REF!,RM!$C$4:$C991,AI265))</f>
        <v>#REF!</v>
      </c>
    </row>
    <row r="266" spans="5:39">
      <c r="E266" t="str">
        <f>IF(A266="","",SUMIFS('PR-BOM'!$D$3:$D1001,'PR-BOM'!$C$3:$C1001,A266)*C266)</f>
        <v/>
      </c>
      <c r="F266" t="e">
        <f ca="1">_xludf.IFNA(VLOOKUP(B266,'S-FG'!$B$3:$B1001,1,FALSE),"")</f>
        <v>#NAME?</v>
      </c>
      <c r="H266" t="str">
        <f ca="1">IFERROR(__xludf.DUMMYFUNCTION("""COMPUTED_VALUE"""),"Battery Block Assy")</f>
        <v>Battery Block Assy</v>
      </c>
      <c r="I266" t="str">
        <f ca="1">IFERROR(__xludf.DUMMYFUNCTION("""COMPUTED_VALUE"""),"Soldering flux")</f>
        <v>Soldering flux</v>
      </c>
      <c r="J266">
        <f ca="1">IFERROR(__xludf.DUMMYFUNCTION("""COMPUTED_VALUE"""),5)</f>
        <v>5</v>
      </c>
      <c r="L266">
        <f t="shared" ca="1" si="4"/>
        <v>0</v>
      </c>
      <c r="Q266" t="str">
        <f>IF(N266="","",SUMIFS('PR-BOM'!$D$3:$D1001,'PR-BOM'!$C$3:$C1001,N266))</f>
        <v/>
      </c>
      <c r="S266" t="str">
        <f ca="1">IFERROR(__xludf.DUMMYFUNCTION("""COMPUTED_VALUE"""),"Li-In 21700 Cells Molicel P42A/ Samsung-40T")</f>
        <v>Li-In 21700 Cells Molicel P42A/ Samsung-40T</v>
      </c>
      <c r="X266" t="e">
        <f ca="1"/>
        <v>#NAME?</v>
      </c>
      <c r="Y266" t="e">
        <f t="shared" ca="1" si="5"/>
        <v>#NAME?</v>
      </c>
      <c r="Z266" t="e">
        <f ca="1">IF(X266="","",SUMIFS(#REF!,RM!$C$4:$C991,X266))</f>
        <v>#NAME?</v>
      </c>
      <c r="AA266" t="e">
        <f ca="1">IF(X266="","",SUMIFS(#REF!,RM!$C$4:$C991,X266))</f>
        <v>#NAME?</v>
      </c>
      <c r="AB266" t="e">
        <f ca="1">IF(X266="","",SUMIFS(IRegback!$Y$2:$Y1001,IRegback!$X$2:$X1001,X266))</f>
        <v>#NAME?</v>
      </c>
      <c r="AC266" t="e">
        <f t="shared" ca="1" si="6"/>
        <v>#NAME?</v>
      </c>
      <c r="AD266" t="e">
        <f ca="1">IF(X266="","",VLOOKUP($X266,RM!$C$4:$G991,3,FALSE))</f>
        <v>#NAME?</v>
      </c>
      <c r="AE266" t="e">
        <f ca="1">IF(X266="","",VLOOKUP($X266,RM!$C$4:$G991,4,FALSE))</f>
        <v>#NAME?</v>
      </c>
      <c r="AF266" t="e">
        <f ca="1">IF(X266="","",VLOOKUP($X266,RM!$C$4:$G991,5,FALSE))</f>
        <v>#NAME?</v>
      </c>
      <c r="AH266" t="str">
        <f ca="1">IFERROR(__xludf.DUMMYFUNCTION("""COMPUTED_VALUE"""),"Electronic Box Assy")</f>
        <v>Electronic Box Assy</v>
      </c>
      <c r="AI266" t="str">
        <f ca="1">IFERROR(__xludf.DUMMYFUNCTION("""COMPUTED_VALUE"""),"Teroson MS930")</f>
        <v>Teroson MS930</v>
      </c>
      <c r="AJ266">
        <f ca="1">IFERROR(__xludf.DUMMYFUNCTION("""COMPUTED_VALUE"""),10)</f>
        <v>10</v>
      </c>
      <c r="AK266" t="str">
        <f ca="1">IFERROR(__xludf.DUMMYFUNCTION("""COMPUTED_VALUE"""),"blank")</f>
        <v>blank</v>
      </c>
      <c r="AL266" t="e">
        <f ca="1">_xludf.IFNA(VLOOKUP(AH266,'S-FG'!$B$3:$B1001,1,FALSE),"")</f>
        <v>#NAME?</v>
      </c>
      <c r="AM266" t="e">
        <f ca="1">IF(AI266="","",SUMIFS(#REF!,RM!$C$4:$C991,AI266))</f>
        <v>#REF!</v>
      </c>
    </row>
    <row r="267" spans="5:39">
      <c r="E267" t="str">
        <f>IF(A267="","",SUMIFS('PR-BOM'!$D$3:$D1001,'PR-BOM'!$C$3:$C1001,A267)*C267)</f>
        <v/>
      </c>
      <c r="F267" t="e">
        <f ca="1">_xludf.IFNA(VLOOKUP(B267,'S-FG'!$B$3:$B1001,1,FALSE),"")</f>
        <v>#NAME?</v>
      </c>
      <c r="H267" t="str">
        <f ca="1">IFERROR(__xludf.DUMMYFUNCTION("""COMPUTED_VALUE"""),"Battery Block Assy")</f>
        <v>Battery Block Assy</v>
      </c>
      <c r="I267" t="str">
        <f ca="1">IFERROR(__xludf.DUMMYFUNCTION("""COMPUTED_VALUE"""),"Copper Strips 3x2 cells")</f>
        <v>Copper Strips 3x2 cells</v>
      </c>
      <c r="J267">
        <f ca="1">IFERROR(__xludf.DUMMYFUNCTION("""COMPUTED_VALUE"""),5)</f>
        <v>5</v>
      </c>
      <c r="L267">
        <f t="shared" ca="1" si="4"/>
        <v>0</v>
      </c>
      <c r="Q267" t="str">
        <f>IF(N267="","",SUMIFS('PR-BOM'!$D$3:$D1001,'PR-BOM'!$C$3:$C1001,N267))</f>
        <v/>
      </c>
      <c r="S267" t="str">
        <f ca="1">IFERROR(__xludf.DUMMYFUNCTION("""COMPUTED_VALUE"""),"Soldering flux")</f>
        <v>Soldering flux</v>
      </c>
      <c r="X267" t="e">
        <f ca="1"/>
        <v>#NAME?</v>
      </c>
      <c r="Y267" t="e">
        <f t="shared" ca="1" si="5"/>
        <v>#NAME?</v>
      </c>
      <c r="Z267" t="e">
        <f ca="1">IF(X267="","",SUMIFS(#REF!,RM!$C$4:$C991,X267))</f>
        <v>#NAME?</v>
      </c>
      <c r="AA267" t="e">
        <f ca="1">IF(X267="","",SUMIFS(#REF!,RM!$C$4:$C991,X267))</f>
        <v>#NAME?</v>
      </c>
      <c r="AB267" t="e">
        <f ca="1">IF(X267="","",SUMIFS(IRegback!$Y$2:$Y1001,IRegback!$X$2:$X1001,X267))</f>
        <v>#NAME?</v>
      </c>
      <c r="AC267" t="e">
        <f t="shared" ca="1" si="6"/>
        <v>#NAME?</v>
      </c>
      <c r="AD267" t="e">
        <f ca="1">IF(X267="","",VLOOKUP($X267,RM!$C$4:$G991,3,FALSE))</f>
        <v>#NAME?</v>
      </c>
      <c r="AE267" t="e">
        <f ca="1">IF(X267="","",VLOOKUP($X267,RM!$C$4:$G991,4,FALSE))</f>
        <v>#NAME?</v>
      </c>
      <c r="AF267" t="e">
        <f ca="1">IF(X267="","",VLOOKUP($X267,RM!$C$4:$G991,5,FALSE))</f>
        <v>#NAME?</v>
      </c>
      <c r="AH267" t="str">
        <f ca="1">IFERROR(__xludf.DUMMYFUNCTION("""COMPUTED_VALUE"""),"Electronic Box Assy")</f>
        <v>Electronic Box Assy</v>
      </c>
      <c r="AI267" t="str">
        <f ca="1">IFERROR(__xludf.DUMMYFUNCTION("""COMPUTED_VALUE"""),"Silicon RTV 732")</f>
        <v>Silicon RTV 732</v>
      </c>
      <c r="AJ267">
        <f ca="1">IFERROR(__xludf.DUMMYFUNCTION("""COMPUTED_VALUE"""),20)</f>
        <v>20</v>
      </c>
      <c r="AK267" t="str">
        <f ca="1">IFERROR(__xludf.DUMMYFUNCTION("""COMPUTED_VALUE"""),"blank")</f>
        <v>blank</v>
      </c>
      <c r="AL267" t="e">
        <f ca="1">_xludf.IFNA(VLOOKUP(AH267,'S-FG'!$B$3:$B1001,1,FALSE),"")</f>
        <v>#NAME?</v>
      </c>
      <c r="AM267" t="e">
        <f ca="1">IF(AI267="","",SUMIFS(#REF!,RM!$C$4:$C991,AI267))</f>
        <v>#REF!</v>
      </c>
    </row>
    <row r="268" spans="5:39">
      <c r="E268" t="str">
        <f>IF(A268="","",SUMIFS('PR-BOM'!$D$3:$D1001,'PR-BOM'!$C$3:$C1001,A268)*C268)</f>
        <v/>
      </c>
      <c r="F268" t="e">
        <f ca="1">_xludf.IFNA(VLOOKUP(B268,'S-FG'!$B$3:$B1001,1,FALSE),"")</f>
        <v>#NAME?</v>
      </c>
      <c r="H268" t="str">
        <f ca="1">IFERROR(__xludf.DUMMYFUNCTION("""COMPUTED_VALUE"""),"Battery Block Assy")</f>
        <v>Battery Block Assy</v>
      </c>
      <c r="I268" t="str">
        <f ca="1">IFERROR(__xludf.DUMMYFUNCTION("""COMPUTED_VALUE"""),"70mm Paper Separator")</f>
        <v>70mm Paper Separator</v>
      </c>
      <c r="J268">
        <f ca="1">IFERROR(__xludf.DUMMYFUNCTION("""COMPUTED_VALUE"""),2.5)</f>
        <v>2.5</v>
      </c>
      <c r="K268" t="str">
        <f ca="1">IFERROR(__xludf.DUMMYFUNCTION("""COMPUTED_VALUE"""),"blank")</f>
        <v>blank</v>
      </c>
      <c r="L268">
        <f t="shared" ca="1" si="4"/>
        <v>0</v>
      </c>
      <c r="Q268" t="str">
        <f>IF(N268="","",SUMIFS('PR-BOM'!$D$3:$D1001,'PR-BOM'!$C$3:$C1001,N268))</f>
        <v/>
      </c>
      <c r="S268" t="str">
        <f ca="1">IFERROR(__xludf.DUMMYFUNCTION("""COMPUTED_VALUE"""),"Copper Strips 3x2 cells")</f>
        <v>Copper Strips 3x2 cells</v>
      </c>
      <c r="X268" t="e">
        <f ca="1"/>
        <v>#NAME?</v>
      </c>
      <c r="Y268" t="e">
        <f t="shared" ca="1" si="5"/>
        <v>#NAME?</v>
      </c>
      <c r="Z268" t="e">
        <f ca="1">IF(X268="","",SUMIFS(#REF!,RM!$C$4:$C991,X268))</f>
        <v>#NAME?</v>
      </c>
      <c r="AA268" t="e">
        <f ca="1">IF(X268="","",SUMIFS(#REF!,RM!$C$4:$C991,X268))</f>
        <v>#NAME?</v>
      </c>
      <c r="AB268" t="e">
        <f ca="1">IF(X268="","",SUMIFS(IRegback!$Y$2:$Y1001,IRegback!$X$2:$X1001,X268))</f>
        <v>#NAME?</v>
      </c>
      <c r="AC268" t="e">
        <f t="shared" ca="1" si="6"/>
        <v>#NAME?</v>
      </c>
      <c r="AD268" t="e">
        <f ca="1">IF(X268="","",VLOOKUP($X268,RM!$C$4:$G991,3,FALSE))</f>
        <v>#NAME?</v>
      </c>
      <c r="AE268" t="e">
        <f ca="1">IF(X268="","",VLOOKUP($X268,RM!$C$4:$G991,4,FALSE))</f>
        <v>#NAME?</v>
      </c>
      <c r="AF268" t="e">
        <f ca="1">IF(X268="","",VLOOKUP($X268,RM!$C$4:$G991,5,FALSE))</f>
        <v>#NAME?</v>
      </c>
      <c r="AH268" t="str">
        <f ca="1">IFERROR(__xludf.DUMMYFUNCTION("""COMPUTED_VALUE"""),"Electronic Box Assy")</f>
        <v>Electronic Box Assy</v>
      </c>
      <c r="AI268" t="str">
        <f ca="1">IFERROR(__xludf.DUMMYFUNCTION("""COMPUTED_VALUE"""),"Power Switch Assy")</f>
        <v>Power Switch Assy</v>
      </c>
      <c r="AJ268">
        <f ca="1">IFERROR(__xludf.DUMMYFUNCTION("""COMPUTED_VALUE"""),0)</f>
        <v>0</v>
      </c>
      <c r="AK268" t="str">
        <f ca="1">IFERROR(__xludf.DUMMYFUNCTION("""COMPUTED_VALUE"""),"blank")</f>
        <v>blank</v>
      </c>
      <c r="AL268" t="e">
        <f ca="1">_xludf.IFNA(VLOOKUP(AH268,'S-FG'!$B$3:$B1001,1,FALSE),"")</f>
        <v>#NAME?</v>
      </c>
      <c r="AM268" t="e">
        <f ca="1">IF(AI268="","",SUMIFS(#REF!,RM!$C$4:$C991,AI268))</f>
        <v>#REF!</v>
      </c>
    </row>
    <row r="269" spans="5:39">
      <c r="E269" t="str">
        <f>IF(A269="","",SUMIFS('PR-BOM'!$D$3:$D1001,'PR-BOM'!$C$3:$C1001,A269)*C269)</f>
        <v/>
      </c>
      <c r="F269" t="e">
        <f ca="1">_xludf.IFNA(VLOOKUP(B269,'S-FG'!$B$3:$B1001,1,FALSE),"")</f>
        <v>#NAME?</v>
      </c>
      <c r="H269" t="str">
        <f ca="1">IFERROR(__xludf.DUMMYFUNCTION("""COMPUTED_VALUE"""),"Battery Block Assy")</f>
        <v>Battery Block Assy</v>
      </c>
      <c r="I269" t="str">
        <f ca="1">IFERROR(__xludf.DUMMYFUNCTION("""COMPUTED_VALUE"""),"Barley paper for 21700 cylindrical cell")</f>
        <v>Barley paper for 21700 cylindrical cell</v>
      </c>
      <c r="J269">
        <f ca="1">IFERROR(__xludf.DUMMYFUNCTION("""COMPUTED_VALUE"""),18)</f>
        <v>18</v>
      </c>
      <c r="K269" t="str">
        <f ca="1">IFERROR(__xludf.DUMMYFUNCTION("""COMPUTED_VALUE"""),"blank")</f>
        <v>blank</v>
      </c>
      <c r="L269">
        <f t="shared" ca="1" si="4"/>
        <v>0</v>
      </c>
      <c r="Q269" t="str">
        <f>IF(N269="","",SUMIFS('PR-BOM'!$D$3:$D1001,'PR-BOM'!$C$3:$C1001,N269))</f>
        <v/>
      </c>
      <c r="S269" t="str">
        <f ca="1">IFERROR(__xludf.DUMMYFUNCTION("""COMPUTED_VALUE"""),"70mm Paper Separator")</f>
        <v>70mm Paper Separator</v>
      </c>
      <c r="X269" t="e">
        <f ca="1"/>
        <v>#NAME?</v>
      </c>
      <c r="Y269" t="e">
        <f t="shared" ca="1" si="5"/>
        <v>#NAME?</v>
      </c>
      <c r="Z269" t="e">
        <f ca="1">IF(X269="","",SUMIFS(#REF!,RM!$C$4:$C991,X269))</f>
        <v>#NAME?</v>
      </c>
      <c r="AA269" t="e">
        <f ca="1">IF(X269="","",SUMIFS(#REF!,RM!$C$4:$C991,X269))</f>
        <v>#NAME?</v>
      </c>
      <c r="AB269" t="e">
        <f ca="1">IF(X269="","",SUMIFS(IRegback!$Y$2:$Y1001,IRegback!$X$2:$X1001,X269))</f>
        <v>#NAME?</v>
      </c>
      <c r="AC269" t="e">
        <f t="shared" ca="1" si="6"/>
        <v>#NAME?</v>
      </c>
      <c r="AD269" t="e">
        <f ca="1">IF(X269="","",VLOOKUP($X269,RM!$C$4:$G991,3,FALSE))</f>
        <v>#NAME?</v>
      </c>
      <c r="AE269" t="e">
        <f ca="1">IF(X269="","",VLOOKUP($X269,RM!$C$4:$G991,4,FALSE))</f>
        <v>#NAME?</v>
      </c>
      <c r="AF269" t="e">
        <f ca="1">IF(X269="","",VLOOKUP($X269,RM!$C$4:$G991,5,FALSE))</f>
        <v>#NAME?</v>
      </c>
      <c r="AH269" t="str">
        <f ca="1">IFERROR(__xludf.DUMMYFUNCTION("""COMPUTED_VALUE"""),"Electronic Box Assy")</f>
        <v>Electronic Box Assy</v>
      </c>
      <c r="AI269" t="str">
        <f ca="1">IFERROR(__xludf.DUMMYFUNCTION("""COMPUTED_VALUE"""),"M4x20 CSK Phillips")</f>
        <v>M4x20 CSK Phillips</v>
      </c>
      <c r="AJ269">
        <f ca="1">IFERROR(__xludf.DUMMYFUNCTION("""COMPUTED_VALUE"""),4)</f>
        <v>4</v>
      </c>
      <c r="AK269" t="str">
        <f ca="1">IFERROR(__xludf.DUMMYFUNCTION("""COMPUTED_VALUE"""),"blank")</f>
        <v>blank</v>
      </c>
      <c r="AL269" t="e">
        <f ca="1">_xludf.IFNA(VLOOKUP(AH269,'S-FG'!$B$3:$B1001,1,FALSE),"")</f>
        <v>#NAME?</v>
      </c>
      <c r="AM269" t="e">
        <f ca="1">IF(AI269="","",SUMIFS(#REF!,RM!$C$4:$C991,AI269))</f>
        <v>#REF!</v>
      </c>
    </row>
    <row r="270" spans="5:39">
      <c r="E270" t="str">
        <f>IF(A270="","",SUMIFS('PR-BOM'!$D$3:$D1001,'PR-BOM'!$C$3:$C1001,A270)*C270)</f>
        <v/>
      </c>
      <c r="F270" t="e">
        <f ca="1">_xludf.IFNA(VLOOKUP(B270,'S-FG'!$B$3:$B1001,1,FALSE),"")</f>
        <v>#NAME?</v>
      </c>
      <c r="H270" t="str">
        <f ca="1">IFERROR(__xludf.DUMMYFUNCTION("""COMPUTED_VALUE"""),"Battery Block Assy")</f>
        <v>Battery Block Assy</v>
      </c>
      <c r="I270" t="str">
        <f ca="1">IFERROR(__xludf.DUMMYFUNCTION("""COMPUTED_VALUE"""),"1"" Masking Tape")</f>
        <v>1" Masking Tape</v>
      </c>
      <c r="J270">
        <f ca="1">IFERROR(__xludf.DUMMYFUNCTION("""COMPUTED_VALUE"""),0.5)</f>
        <v>0.5</v>
      </c>
      <c r="L270">
        <f t="shared" ca="1" si="4"/>
        <v>0</v>
      </c>
      <c r="Q270" t="str">
        <f>IF(N270="","",SUMIFS('PR-BOM'!$D$3:$D1001,'PR-BOM'!$C$3:$C1001,N270))</f>
        <v/>
      </c>
      <c r="S270" t="str">
        <f ca="1">IFERROR(__xludf.DUMMYFUNCTION("""COMPUTED_VALUE"""),"Barley paper for 21700 cylindrical cell")</f>
        <v>Barley paper for 21700 cylindrical cell</v>
      </c>
      <c r="X270" t="e">
        <f ca="1"/>
        <v>#NAME?</v>
      </c>
      <c r="Y270" t="e">
        <f t="shared" ca="1" si="5"/>
        <v>#NAME?</v>
      </c>
      <c r="Z270" t="e">
        <f ca="1">IF(X270="","",SUMIFS(#REF!,RM!$C$4:$C991,X270))</f>
        <v>#NAME?</v>
      </c>
      <c r="AA270" t="e">
        <f ca="1">IF(X270="","",SUMIFS(#REF!,RM!$C$4:$C991,X270))</f>
        <v>#NAME?</v>
      </c>
      <c r="AB270" t="e">
        <f ca="1">IF(X270="","",SUMIFS(IRegback!$Y$2:$Y1001,IRegback!$X$2:$X1001,X270))</f>
        <v>#NAME?</v>
      </c>
      <c r="AC270" t="e">
        <f t="shared" ca="1" si="6"/>
        <v>#NAME?</v>
      </c>
      <c r="AD270" t="e">
        <f ca="1">IF(X270="","",VLOOKUP($X270,RM!$C$4:$G991,3,FALSE))</f>
        <v>#NAME?</v>
      </c>
      <c r="AE270" t="e">
        <f ca="1">IF(X270="","",VLOOKUP($X270,RM!$C$4:$G991,4,FALSE))</f>
        <v>#NAME?</v>
      </c>
      <c r="AF270" t="e">
        <f ca="1">IF(X270="","",VLOOKUP($X270,RM!$C$4:$G991,5,FALSE))</f>
        <v>#NAME?</v>
      </c>
      <c r="AH270" t="str">
        <f ca="1">IFERROR(__xludf.DUMMYFUNCTION("""COMPUTED_VALUE"""),"Electronic Box Assy")</f>
        <v>Electronic Box Assy</v>
      </c>
      <c r="AI270" t="str">
        <f ca="1">IFERROR(__xludf.DUMMYFUNCTION("""COMPUTED_VALUE"""),"STBD Signal PM Assy")</f>
        <v>STBD Signal PM Assy</v>
      </c>
      <c r="AJ270">
        <f ca="1">IFERROR(__xludf.DUMMYFUNCTION("""COMPUTED_VALUE"""),0)</f>
        <v>0</v>
      </c>
      <c r="AK270" t="str">
        <f ca="1">IFERROR(__xludf.DUMMYFUNCTION("""COMPUTED_VALUE"""),"blank")</f>
        <v>blank</v>
      </c>
      <c r="AL270" t="e">
        <f ca="1">_xludf.IFNA(VLOOKUP(AH270,'S-FG'!$B$3:$B1001,1,FALSE),"")</f>
        <v>#NAME?</v>
      </c>
      <c r="AM270" t="e">
        <f ca="1">IF(AI270="","",SUMIFS(#REF!,RM!$C$4:$C991,AI270))</f>
        <v>#REF!</v>
      </c>
    </row>
    <row r="271" spans="5:39">
      <c r="E271" t="str">
        <f>IF(A271="","",SUMIFS('PR-BOM'!$D$3:$D1001,'PR-BOM'!$C$3:$C1001,A271)*C271)</f>
        <v/>
      </c>
      <c r="F271" t="e">
        <f ca="1">_xludf.IFNA(VLOOKUP(B271,'S-FG'!$B$3:$B1001,1,FALSE),"")</f>
        <v>#NAME?</v>
      </c>
      <c r="H271" t="str">
        <f ca="1">IFERROR(__xludf.DUMMYFUNCTION("""COMPUTED_VALUE"""),"STBD Battery Assy")</f>
        <v>STBD Battery Assy</v>
      </c>
      <c r="I271" t="str">
        <f ca="1">IFERROR(__xludf.DUMMYFUNCTION("""COMPUTED_VALUE"""),"6mm female bullet connector")</f>
        <v>6mm female bullet connector</v>
      </c>
      <c r="J271">
        <f ca="1">IFERROR(__xludf.DUMMYFUNCTION("""COMPUTED_VALUE"""),1)</f>
        <v>1</v>
      </c>
      <c r="K271" t="str">
        <f ca="1">IFERROR(__xludf.DUMMYFUNCTION("""COMPUTED_VALUE"""),"blank")</f>
        <v>blank</v>
      </c>
      <c r="L271">
        <f t="shared" ca="1" si="4"/>
        <v>0</v>
      </c>
      <c r="Q271" t="str">
        <f>IF(N271="","",SUMIFS('PR-BOM'!$D$3:$D1001,'PR-BOM'!$C$3:$C1001,N271))</f>
        <v/>
      </c>
      <c r="S271" t="str">
        <f ca="1">IFERROR(__xludf.DUMMYFUNCTION("""COMPUTED_VALUE"""),"1"" Masking Tape")</f>
        <v>1" Masking Tape</v>
      </c>
      <c r="X271" t="e">
        <f ca="1"/>
        <v>#NAME?</v>
      </c>
      <c r="Y271" t="e">
        <f t="shared" ca="1" si="5"/>
        <v>#NAME?</v>
      </c>
      <c r="Z271" t="e">
        <f ca="1">IF(X271="","",SUMIFS(#REF!,RM!$C$4:$C991,X271))</f>
        <v>#NAME?</v>
      </c>
      <c r="AA271" t="e">
        <f ca="1">IF(X271="","",SUMIFS(#REF!,RM!$C$4:$C991,X271))</f>
        <v>#NAME?</v>
      </c>
      <c r="AB271" t="e">
        <f ca="1">IF(X271="","",SUMIFS(IRegback!$Y$2:$Y1001,IRegback!$X$2:$X1001,X271))</f>
        <v>#NAME?</v>
      </c>
      <c r="AC271" t="e">
        <f t="shared" ca="1" si="6"/>
        <v>#NAME?</v>
      </c>
      <c r="AD271" t="e">
        <f ca="1">IF(X271="","",VLOOKUP($X271,RM!$C$4:$G991,3,FALSE))</f>
        <v>#NAME?</v>
      </c>
      <c r="AE271" t="e">
        <f ca="1">IF(X271="","",VLOOKUP($X271,RM!$C$4:$G991,4,FALSE))</f>
        <v>#NAME?</v>
      </c>
      <c r="AF271" t="e">
        <f ca="1">IF(X271="","",VLOOKUP($X271,RM!$C$4:$G991,5,FALSE))</f>
        <v>#NAME?</v>
      </c>
      <c r="AH271" t="str">
        <f ca="1">IFERROR(__xludf.DUMMYFUNCTION("""COMPUTED_VALUE"""),"Electronic Box Assy")</f>
        <v>Electronic Box Assy</v>
      </c>
      <c r="AI271" t="str">
        <f ca="1">IFERROR(__xludf.DUMMYFUNCTION("""COMPUTED_VALUE"""),"PORT Signal PM Assy")</f>
        <v>PORT Signal PM Assy</v>
      </c>
      <c r="AJ271">
        <f ca="1">IFERROR(__xludf.DUMMYFUNCTION("""COMPUTED_VALUE"""),0)</f>
        <v>0</v>
      </c>
      <c r="AK271" t="str">
        <f ca="1">IFERROR(__xludf.DUMMYFUNCTION("""COMPUTED_VALUE"""),"blank")</f>
        <v>blank</v>
      </c>
      <c r="AL271" t="e">
        <f ca="1">_xludf.IFNA(VLOOKUP(AH271,'S-FG'!$B$3:$B1001,1,FALSE),"")</f>
        <v>#NAME?</v>
      </c>
      <c r="AM271" t="e">
        <f ca="1">IF(AI271="","",SUMIFS(#REF!,RM!$C$4:$C991,AI271))</f>
        <v>#REF!</v>
      </c>
    </row>
    <row r="272" spans="5:39">
      <c r="E272" t="str">
        <f>IF(A272="","",SUMIFS('PR-BOM'!$D$3:$D1001,'PR-BOM'!$C$3:$C1001,A272)*C272)</f>
        <v/>
      </c>
      <c r="F272" t="e">
        <f ca="1">_xludf.IFNA(VLOOKUP(B272,'S-FG'!$B$3:$B1001,1,FALSE),"")</f>
        <v>#NAME?</v>
      </c>
      <c r="H272" t="str">
        <f ca="1">IFERROR(__xludf.DUMMYFUNCTION("""COMPUTED_VALUE"""),"STBD Battery Assy")</f>
        <v>STBD Battery Assy</v>
      </c>
      <c r="I272" t="str">
        <f ca="1">IFERROR(__xludf.DUMMYFUNCTION("""COMPUTED_VALUE"""),"8mm male bullet connector")</f>
        <v>8mm male bullet connector</v>
      </c>
      <c r="J272">
        <f ca="1">IFERROR(__xludf.DUMMYFUNCTION("""COMPUTED_VALUE"""),1)</f>
        <v>1</v>
      </c>
      <c r="K272" t="str">
        <f ca="1">IFERROR(__xludf.DUMMYFUNCTION("""COMPUTED_VALUE"""),"blank")</f>
        <v>blank</v>
      </c>
      <c r="L272">
        <f t="shared" ca="1" si="4"/>
        <v>0</v>
      </c>
      <c r="Q272" t="str">
        <f>IF(N272="","",SUMIFS('PR-BOM'!$D$3:$D1001,'PR-BOM'!$C$3:$C1001,N272))</f>
        <v/>
      </c>
      <c r="S272" t="str">
        <f ca="1">IFERROR(__xludf.DUMMYFUNCTION("""COMPUTED_VALUE"""),"6mm female bullet connector")</f>
        <v>6mm female bullet connector</v>
      </c>
      <c r="X272" t="e">
        <f ca="1"/>
        <v>#NAME?</v>
      </c>
      <c r="Y272" t="e">
        <f t="shared" ca="1" si="5"/>
        <v>#NAME?</v>
      </c>
      <c r="Z272" t="e">
        <f ca="1">IF(X272="","",SUMIFS(#REF!,RM!$C$4:$C991,X272))</f>
        <v>#NAME?</v>
      </c>
      <c r="AA272" t="e">
        <f ca="1">IF(X272="","",SUMIFS(#REF!,RM!$C$4:$C991,X272))</f>
        <v>#NAME?</v>
      </c>
      <c r="AB272" t="e">
        <f ca="1">IF(X272="","",SUMIFS(IRegback!$Y$2:$Y1001,IRegback!$X$2:$X1001,X272))</f>
        <v>#NAME?</v>
      </c>
      <c r="AC272" t="e">
        <f t="shared" ca="1" si="6"/>
        <v>#NAME?</v>
      </c>
      <c r="AD272" t="e">
        <f ca="1">IF(X272="","",VLOOKUP($X272,RM!$C$4:$G991,3,FALSE))</f>
        <v>#NAME?</v>
      </c>
      <c r="AE272" t="e">
        <f ca="1">IF(X272="","",VLOOKUP($X272,RM!$C$4:$G991,4,FALSE))</f>
        <v>#NAME?</v>
      </c>
      <c r="AF272" t="e">
        <f ca="1">IF(X272="","",VLOOKUP($X272,RM!$C$4:$G991,5,FALSE))</f>
        <v>#NAME?</v>
      </c>
      <c r="AH272" t="str">
        <f ca="1">IFERROR(__xludf.DUMMYFUNCTION("""COMPUTED_VALUE"""),"Electronic Box Assy")</f>
        <v>Electronic Box Assy</v>
      </c>
      <c r="AI272" t="str">
        <f ca="1">IFERROR(__xludf.DUMMYFUNCTION("""COMPUTED_VALUE"""),"Current Sensor Assy")</f>
        <v>Current Sensor Assy</v>
      </c>
      <c r="AJ272">
        <f ca="1">IFERROR(__xludf.DUMMYFUNCTION("""COMPUTED_VALUE"""),0)</f>
        <v>0</v>
      </c>
      <c r="AK272">
        <f ca="1">IFERROR(__xludf.DUMMYFUNCTION("""COMPUTED_VALUE"""),15)</f>
        <v>15</v>
      </c>
      <c r="AL272" t="e">
        <f ca="1">_xludf.IFNA(VLOOKUP(AH272,'S-FG'!$B$3:$B1001,1,FALSE),"")</f>
        <v>#NAME?</v>
      </c>
      <c r="AM272" t="e">
        <f ca="1">IF(AI272="","",SUMIFS(#REF!,RM!$C$4:$C991,AI272))</f>
        <v>#REF!</v>
      </c>
    </row>
    <row r="273" spans="5:39">
      <c r="E273" t="str">
        <f>IF(A273="","",SUMIFS('PR-BOM'!$D$3:$D1001,'PR-BOM'!$C$3:$C1001,A273)*C273)</f>
        <v/>
      </c>
      <c r="F273" t="e">
        <f ca="1">_xludf.IFNA(VLOOKUP(B273,'S-FG'!$B$3:$B1001,1,FALSE),"")</f>
        <v>#NAME?</v>
      </c>
      <c r="H273" t="str">
        <f ca="1">IFERROR(__xludf.DUMMYFUNCTION("""COMPUTED_VALUE"""),"STBD Battery Assy")</f>
        <v>STBD Battery Assy</v>
      </c>
      <c r="I273" t="str">
        <f ca="1">IFERROR(__xludf.DUMMYFUNCTION("""COMPUTED_VALUE"""),"Black 8AWG")</f>
        <v>Black 8AWG</v>
      </c>
      <c r="J273">
        <f ca="1">IFERROR(__xludf.DUMMYFUNCTION("""COMPUTED_VALUE"""),0.65)</f>
        <v>0.65</v>
      </c>
      <c r="K273" t="str">
        <f ca="1">IFERROR(__xludf.DUMMYFUNCTION("""COMPUTED_VALUE"""),"blank")</f>
        <v>blank</v>
      </c>
      <c r="L273">
        <f t="shared" ca="1" si="4"/>
        <v>0</v>
      </c>
      <c r="Q273" t="str">
        <f>IF(N273="","",SUMIFS('PR-BOM'!$D$3:$D1001,'PR-BOM'!$C$3:$C1001,N273))</f>
        <v/>
      </c>
      <c r="S273" t="str">
        <f ca="1">IFERROR(__xludf.DUMMYFUNCTION("""COMPUTED_VALUE"""),"8mm male bullet connector")</f>
        <v>8mm male bullet connector</v>
      </c>
      <c r="X273" t="e">
        <f ca="1"/>
        <v>#NAME?</v>
      </c>
      <c r="Y273" t="e">
        <f t="shared" ca="1" si="5"/>
        <v>#NAME?</v>
      </c>
      <c r="Z273" t="e">
        <f ca="1">IF(X273="","",SUMIFS(#REF!,RM!$C$4:$C991,X273))</f>
        <v>#NAME?</v>
      </c>
      <c r="AA273" t="e">
        <f ca="1">IF(X273="","",SUMIFS(#REF!,RM!$C$4:$C991,X273))</f>
        <v>#NAME?</v>
      </c>
      <c r="AB273" t="e">
        <f ca="1">IF(X273="","",SUMIFS(IRegback!$Y$2:$Y1001,IRegback!$X$2:$X1001,X273))</f>
        <v>#NAME?</v>
      </c>
      <c r="AC273" t="e">
        <f t="shared" ca="1" si="6"/>
        <v>#NAME?</v>
      </c>
      <c r="AD273" t="e">
        <f ca="1">IF(X273="","",VLOOKUP($X273,RM!$C$4:$G991,3,FALSE))</f>
        <v>#NAME?</v>
      </c>
      <c r="AE273" t="e">
        <f ca="1">IF(X273="","",VLOOKUP($X273,RM!$C$4:$G991,4,FALSE))</f>
        <v>#NAME?</v>
      </c>
      <c r="AF273" t="e">
        <f ca="1">IF(X273="","",VLOOKUP($X273,RM!$C$4:$G991,5,FALSE))</f>
        <v>#NAME?</v>
      </c>
      <c r="AH273" t="str">
        <f ca="1">IFERROR(__xludf.DUMMYFUNCTION("""COMPUTED_VALUE"""),"Electronic Box Assy")</f>
        <v>Electronic Box Assy</v>
      </c>
      <c r="AI273" t="str">
        <f ca="1">IFERROR(__xludf.DUMMYFUNCTION("""COMPUTED_VALUE"""),"A21 MotherBoard Assy")</f>
        <v>A21 MotherBoard Assy</v>
      </c>
      <c r="AJ273">
        <f ca="1">IFERROR(__xludf.DUMMYFUNCTION("""COMPUTED_VALUE"""),0)</f>
        <v>0</v>
      </c>
      <c r="AK273" t="str">
        <f ca="1">IFERROR(__xludf.DUMMYFUNCTION("""COMPUTED_VALUE"""),"blank")</f>
        <v>blank</v>
      </c>
      <c r="AL273" t="e">
        <f ca="1">_xludf.IFNA(VLOOKUP(AH273,'S-FG'!$B$3:$B1001,1,FALSE),"")</f>
        <v>#NAME?</v>
      </c>
      <c r="AM273" t="e">
        <f ca="1">IF(AI273="","",SUMIFS(#REF!,RM!$C$4:$C991,AI273))</f>
        <v>#REF!</v>
      </c>
    </row>
    <row r="274" spans="5:39">
      <c r="E274" t="str">
        <f>IF(A274="","",SUMIFS('PR-BOM'!$D$3:$D1001,'PR-BOM'!$C$3:$C1001,A274)*C274)</f>
        <v/>
      </c>
      <c r="F274" t="e">
        <f ca="1">_xludf.IFNA(VLOOKUP(B274,'S-FG'!$B$3:$B1001,1,FALSE),"")</f>
        <v>#NAME?</v>
      </c>
      <c r="H274" t="str">
        <f ca="1">IFERROR(__xludf.DUMMYFUNCTION("""COMPUTED_VALUE"""),"STBD Battery Assy")</f>
        <v>STBD Battery Assy</v>
      </c>
      <c r="I274" t="str">
        <f ca="1">IFERROR(__xludf.DUMMYFUNCTION("""COMPUTED_VALUE"""),"Red 8AWG")</f>
        <v>Red 8AWG</v>
      </c>
      <c r="J274">
        <f ca="1">IFERROR(__xludf.DUMMYFUNCTION("""COMPUTED_VALUE"""),0.65)</f>
        <v>0.65</v>
      </c>
      <c r="K274" t="str">
        <f ca="1">IFERROR(__xludf.DUMMYFUNCTION("""COMPUTED_VALUE"""),"blank")</f>
        <v>blank</v>
      </c>
      <c r="L274">
        <f t="shared" ca="1" si="4"/>
        <v>0</v>
      </c>
      <c r="Q274" t="str">
        <f>IF(N274="","",SUMIFS('PR-BOM'!$D$3:$D1001,'PR-BOM'!$C$3:$C1001,N274))</f>
        <v/>
      </c>
      <c r="S274" t="str">
        <f ca="1">IFERROR(__xludf.DUMMYFUNCTION("""COMPUTED_VALUE"""),"Black 8AWG")</f>
        <v>Black 8AWG</v>
      </c>
      <c r="X274" t="e">
        <f ca="1"/>
        <v>#NAME?</v>
      </c>
      <c r="Y274" t="e">
        <f t="shared" ca="1" si="5"/>
        <v>#NAME?</v>
      </c>
      <c r="Z274" t="e">
        <f ca="1">IF(X274="","",SUMIFS(#REF!,RM!$C$4:$C991,X274))</f>
        <v>#NAME?</v>
      </c>
      <c r="AA274" t="e">
        <f ca="1">IF(X274="","",SUMIFS(#REF!,RM!$C$4:$C991,X274))</f>
        <v>#NAME?</v>
      </c>
      <c r="AB274" t="e">
        <f ca="1">IF(X274="","",SUMIFS(IRegback!$Y$2:$Y1001,IRegback!$X$2:$X1001,X274))</f>
        <v>#NAME?</v>
      </c>
      <c r="AC274" t="e">
        <f t="shared" ca="1" si="6"/>
        <v>#NAME?</v>
      </c>
      <c r="AD274" t="e">
        <f ca="1">IF(X274="","",VLOOKUP($X274,RM!$C$4:$G991,3,FALSE))</f>
        <v>#NAME?</v>
      </c>
      <c r="AE274" t="e">
        <f ca="1">IF(X274="","",VLOOKUP($X274,RM!$C$4:$G991,4,FALSE))</f>
        <v>#NAME?</v>
      </c>
      <c r="AF274" t="e">
        <f ca="1">IF(X274="","",VLOOKUP($X274,RM!$C$4:$G991,5,FALSE))</f>
        <v>#NAME?</v>
      </c>
      <c r="AH274" t="str">
        <f ca="1">IFERROR(__xludf.DUMMYFUNCTION("""COMPUTED_VALUE"""),"FL_STBD Elec")</f>
        <v>FL_STBD Elec</v>
      </c>
      <c r="AI274" t="str">
        <f ca="1">IFERROR(__xludf.DUMMYFUNCTION("""COMPUTED_VALUE"""),"2mm male bullet connector")</f>
        <v>2mm male bullet connector</v>
      </c>
      <c r="AJ274">
        <f ca="1">IFERROR(__xludf.DUMMYFUNCTION("""COMPUTED_VALUE"""),2)</f>
        <v>2</v>
      </c>
      <c r="AK274" t="str">
        <f ca="1">IFERROR(__xludf.DUMMYFUNCTION("""COMPUTED_VALUE"""),"blank")</f>
        <v>blank</v>
      </c>
      <c r="AL274" t="e">
        <f ca="1">_xludf.IFNA(VLOOKUP(AH274,'S-FG'!$B$3:$B1001,1,FALSE),"")</f>
        <v>#NAME?</v>
      </c>
      <c r="AM274" t="e">
        <f ca="1">IF(AI274="","",SUMIFS(#REF!,RM!$C$4:$C991,AI274))</f>
        <v>#REF!</v>
      </c>
    </row>
    <row r="275" spans="5:39">
      <c r="E275" t="str">
        <f>IF(A275="","",SUMIFS('PR-BOM'!$D$3:$D1001,'PR-BOM'!$C$3:$C1001,A275)*C275)</f>
        <v/>
      </c>
      <c r="F275" t="e">
        <f ca="1">_xludf.IFNA(VLOOKUP(B275,'S-FG'!$B$3:$B1001,1,FALSE),"")</f>
        <v>#NAME?</v>
      </c>
      <c r="H275" t="str">
        <f ca="1">IFERROR(__xludf.DUMMYFUNCTION("""COMPUTED_VALUE"""),"STBD Battery Assy")</f>
        <v>STBD Battery Assy</v>
      </c>
      <c r="I275" t="str">
        <f ca="1">IFERROR(__xludf.DUMMYFUNCTION("""COMPUTED_VALUE"""),"Soldering flux")</f>
        <v>Soldering flux</v>
      </c>
      <c r="J275">
        <f ca="1">IFERROR(__xludf.DUMMYFUNCTION("""COMPUTED_VALUE"""),5)</f>
        <v>5</v>
      </c>
      <c r="L275">
        <f t="shared" ca="1" si="4"/>
        <v>0</v>
      </c>
      <c r="Q275" t="str">
        <f>IF(N275="","",SUMIFS('PR-BOM'!$D$3:$D1001,'PR-BOM'!$C$3:$C1001,N275))</f>
        <v/>
      </c>
      <c r="S275" t="str">
        <f ca="1">IFERROR(__xludf.DUMMYFUNCTION("""COMPUTED_VALUE"""),"Red 8AWG")</f>
        <v>Red 8AWG</v>
      </c>
      <c r="X275" t="e">
        <f ca="1"/>
        <v>#NAME?</v>
      </c>
      <c r="Y275" t="e">
        <f t="shared" ca="1" si="5"/>
        <v>#NAME?</v>
      </c>
      <c r="Z275" t="e">
        <f ca="1">IF(X275="","",SUMIFS(#REF!,RM!$C$4:$C991,X275))</f>
        <v>#NAME?</v>
      </c>
      <c r="AA275" t="e">
        <f ca="1">IF(X275="","",SUMIFS(#REF!,RM!$C$4:$C991,X275))</f>
        <v>#NAME?</v>
      </c>
      <c r="AB275" t="e">
        <f ca="1">IF(X275="","",SUMIFS(IRegback!$Y$2:$Y1001,IRegback!$X$2:$X1001,X275))</f>
        <v>#NAME?</v>
      </c>
      <c r="AC275" t="e">
        <f t="shared" ca="1" si="6"/>
        <v>#NAME?</v>
      </c>
      <c r="AD275" t="e">
        <f ca="1">IF(X275="","",VLOOKUP($X275,RM!$C$4:$G991,3,FALSE))</f>
        <v>#NAME?</v>
      </c>
      <c r="AE275" t="e">
        <f ca="1">IF(X275="","",VLOOKUP($X275,RM!$C$4:$G991,4,FALSE))</f>
        <v>#NAME?</v>
      </c>
      <c r="AF275" t="e">
        <f ca="1">IF(X275="","",VLOOKUP($X275,RM!$C$4:$G991,5,FALSE))</f>
        <v>#NAME?</v>
      </c>
      <c r="AH275" t="str">
        <f ca="1">IFERROR(__xludf.DUMMYFUNCTION("""COMPUTED_VALUE"""),"FL_STBD Elec")</f>
        <v>FL_STBD Elec</v>
      </c>
      <c r="AI275" t="str">
        <f ca="1">IFERROR(__xludf.DUMMYFUNCTION("""COMPUTED_VALUE"""),"PWB of STBD flash light")</f>
        <v>PWB of STBD flash light</v>
      </c>
      <c r="AJ275">
        <f ca="1">IFERROR(__xludf.DUMMYFUNCTION("""COMPUTED_VALUE"""),1)</f>
        <v>1</v>
      </c>
      <c r="AK275" t="str">
        <f ca="1">IFERROR(__xludf.DUMMYFUNCTION("""COMPUTED_VALUE"""),"blank")</f>
        <v>blank</v>
      </c>
      <c r="AL275" t="e">
        <f ca="1">_xludf.IFNA(VLOOKUP(AH275,'S-FG'!$B$3:$B1001,1,FALSE),"")</f>
        <v>#NAME?</v>
      </c>
      <c r="AM275" t="e">
        <f ca="1">IF(AI275="","",SUMIFS(#REF!,RM!$C$4:$C991,AI275))</f>
        <v>#REF!</v>
      </c>
    </row>
    <row r="276" spans="5:39">
      <c r="E276" t="str">
        <f>IF(A276="","",SUMIFS('PR-BOM'!$D$3:$D1001,'PR-BOM'!$C$3:$C1001,A276)*C276)</f>
        <v/>
      </c>
      <c r="F276" t="e">
        <f ca="1">_xludf.IFNA(VLOOKUP(B276,'S-FG'!$B$3:$B1001,1,FALSE),"")</f>
        <v>#NAME?</v>
      </c>
      <c r="H276" t="str">
        <f ca="1">IFERROR(__xludf.DUMMYFUNCTION("""COMPUTED_VALUE"""),"STBD Battery Assy")</f>
        <v>STBD Battery Assy</v>
      </c>
      <c r="I276" t="str">
        <f ca="1">IFERROR(__xludf.DUMMYFUNCTION("""COMPUTED_VALUE"""),"2mm FRP 60x70mm")</f>
        <v>2mm FRP 60x70mm</v>
      </c>
      <c r="J276">
        <f ca="1">IFERROR(__xludf.DUMMYFUNCTION("""COMPUTED_VALUE"""),1)</f>
        <v>1</v>
      </c>
      <c r="K276" t="str">
        <f ca="1">IFERROR(__xludf.DUMMYFUNCTION("""COMPUTED_VALUE"""),"blank")</f>
        <v>blank</v>
      </c>
      <c r="L276">
        <f t="shared" ca="1" si="4"/>
        <v>0</v>
      </c>
      <c r="Q276" t="str">
        <f>IF(N276="","",SUMIFS('PR-BOM'!$D$3:$D1001,'PR-BOM'!$C$3:$C1001,N276))</f>
        <v/>
      </c>
      <c r="S276" t="str">
        <f ca="1">IFERROR(__xludf.DUMMYFUNCTION("""COMPUTED_VALUE"""),"Soldering flux")</f>
        <v>Soldering flux</v>
      </c>
      <c r="X276" t="e">
        <f ca="1"/>
        <v>#NAME?</v>
      </c>
      <c r="Y276" t="e">
        <f t="shared" ca="1" si="5"/>
        <v>#NAME?</v>
      </c>
      <c r="Z276" t="e">
        <f ca="1">IF(X276="","",SUMIFS(#REF!,RM!$C$4:$C991,X276))</f>
        <v>#NAME?</v>
      </c>
      <c r="AA276" t="e">
        <f ca="1">IF(X276="","",SUMIFS(#REF!,RM!$C$4:$C991,X276))</f>
        <v>#NAME?</v>
      </c>
      <c r="AB276" t="e">
        <f ca="1">IF(X276="","",SUMIFS(IRegback!$Y$2:$Y1001,IRegback!$X$2:$X1001,X276))</f>
        <v>#NAME?</v>
      </c>
      <c r="AC276" t="e">
        <f t="shared" ca="1" si="6"/>
        <v>#NAME?</v>
      </c>
      <c r="AD276" t="e">
        <f ca="1">IF(X276="","",VLOOKUP($X276,RM!$C$4:$G991,3,FALSE))</f>
        <v>#NAME?</v>
      </c>
      <c r="AE276" t="e">
        <f ca="1">IF(X276="","",VLOOKUP($X276,RM!$C$4:$G991,4,FALSE))</f>
        <v>#NAME?</v>
      </c>
      <c r="AF276" t="e">
        <f ca="1">IF(X276="","",VLOOKUP($X276,RM!$C$4:$G991,5,FALSE))</f>
        <v>#NAME?</v>
      </c>
      <c r="AH276" t="str">
        <f ca="1">IFERROR(__xludf.DUMMYFUNCTION("""COMPUTED_VALUE"""),"FL_STBD Elec")</f>
        <v>FL_STBD Elec</v>
      </c>
      <c r="AI276" t="str">
        <f ca="1">IFERROR(__xludf.DUMMYFUNCTION("""COMPUTED_VALUE"""),"Red 14/38 wire")</f>
        <v>Red 14/38 wire</v>
      </c>
      <c r="AJ276">
        <f ca="1">IFERROR(__xludf.DUMMYFUNCTION("""COMPUTED_VALUE"""),0.55)</f>
        <v>0.55000000000000004</v>
      </c>
      <c r="AL276" t="e">
        <f ca="1">_xludf.IFNA(VLOOKUP(AH276,'S-FG'!$B$3:$B1001,1,FALSE),"")</f>
        <v>#NAME?</v>
      </c>
      <c r="AM276" t="e">
        <f ca="1">IF(AI276="","",SUMIFS(#REF!,RM!$C$4:$C991,AI276))</f>
        <v>#REF!</v>
      </c>
    </row>
    <row r="277" spans="5:39">
      <c r="E277" t="str">
        <f>IF(A277="","",SUMIFS('PR-BOM'!$D$3:$D1001,'PR-BOM'!$C$3:$C1001,A277)*C277)</f>
        <v/>
      </c>
      <c r="F277" t="e">
        <f ca="1">_xludf.IFNA(VLOOKUP(B277,'S-FG'!$B$3:$B1001,1,FALSE),"")</f>
        <v>#NAME?</v>
      </c>
      <c r="H277" t="str">
        <f ca="1">IFERROR(__xludf.DUMMYFUNCTION("""COMPUTED_VALUE"""),"STBD Battery Assy")</f>
        <v>STBD Battery Assy</v>
      </c>
      <c r="I277" t="str">
        <f ca="1">IFERROR(__xludf.DUMMYFUNCTION("""COMPUTED_VALUE"""),"2mm FRP 60x70mm with 18 mm hole")</f>
        <v>2mm FRP 60x70mm with 18 mm hole</v>
      </c>
      <c r="J277">
        <f ca="1">IFERROR(__xludf.DUMMYFUNCTION("""COMPUTED_VALUE"""),1)</f>
        <v>1</v>
      </c>
      <c r="L277">
        <f t="shared" ca="1" si="4"/>
        <v>0</v>
      </c>
      <c r="Q277" t="str">
        <f>IF(N277="","",SUMIFS('PR-BOM'!$D$3:$D1001,'PR-BOM'!$C$3:$C1001,N277))</f>
        <v/>
      </c>
      <c r="S277" t="str">
        <f ca="1">IFERROR(__xludf.DUMMYFUNCTION("""COMPUTED_VALUE"""),"2mm FRP 60x70mm")</f>
        <v>2mm FRP 60x70mm</v>
      </c>
      <c r="X277" t="e">
        <f ca="1"/>
        <v>#NAME?</v>
      </c>
      <c r="Y277" t="e">
        <f t="shared" ca="1" si="5"/>
        <v>#NAME?</v>
      </c>
      <c r="Z277" t="e">
        <f ca="1">IF(X277="","",SUMIFS(#REF!,RM!$C$4:$C991,X277))</f>
        <v>#NAME?</v>
      </c>
      <c r="AA277" t="e">
        <f ca="1">IF(X277="","",SUMIFS(#REF!,RM!$C$4:$C991,X277))</f>
        <v>#NAME?</v>
      </c>
      <c r="AB277" t="e">
        <f ca="1">IF(X277="","",SUMIFS(IRegback!$Y$2:$Y1001,IRegback!$X$2:$X1001,X277))</f>
        <v>#NAME?</v>
      </c>
      <c r="AC277" t="e">
        <f t="shared" ca="1" si="6"/>
        <v>#NAME?</v>
      </c>
      <c r="AD277" t="e">
        <f ca="1">IF(X277="","",VLOOKUP($X277,RM!$C$4:$G991,3,FALSE))</f>
        <v>#NAME?</v>
      </c>
      <c r="AE277" t="e">
        <f ca="1">IF(X277="","",VLOOKUP($X277,RM!$C$4:$G991,4,FALSE))</f>
        <v>#NAME?</v>
      </c>
      <c r="AF277" t="e">
        <f ca="1">IF(X277="","",VLOOKUP($X277,RM!$C$4:$G991,5,FALSE))</f>
        <v>#NAME?</v>
      </c>
      <c r="AH277" t="str">
        <f ca="1">IFERROR(__xludf.DUMMYFUNCTION("""COMPUTED_VALUE"""),"FL_STBD Elec")</f>
        <v>FL_STBD Elec</v>
      </c>
      <c r="AI277" t="str">
        <f ca="1">IFERROR(__xludf.DUMMYFUNCTION("""COMPUTED_VALUE"""),"Black 14/38 Wire")</f>
        <v>Black 14/38 Wire</v>
      </c>
      <c r="AJ277">
        <f ca="1">IFERROR(__xludf.DUMMYFUNCTION("""COMPUTED_VALUE"""),0.35)</f>
        <v>0.35</v>
      </c>
      <c r="AL277" t="e">
        <f ca="1">_xludf.IFNA(VLOOKUP(AH277,'S-FG'!$B$3:$B1001,1,FALSE),"")</f>
        <v>#NAME?</v>
      </c>
      <c r="AM277" t="e">
        <f ca="1">IF(AI277="","",SUMIFS(#REF!,RM!$C$4:$C991,AI277))</f>
        <v>#REF!</v>
      </c>
    </row>
    <row r="278" spans="5:39">
      <c r="E278" t="str">
        <f>IF(A278="","",SUMIFS('PR-BOM'!$D$3:$D1001,'PR-BOM'!$C$3:$C1001,A278)*C278)</f>
        <v/>
      </c>
      <c r="F278" t="e">
        <f ca="1">_xludf.IFNA(VLOOKUP(B278,'S-FG'!$B$3:$B1001,1,FALSE),"")</f>
        <v>#NAME?</v>
      </c>
      <c r="H278" t="str">
        <f ca="1">IFERROR(__xludf.DUMMYFUNCTION("""COMPUTED_VALUE"""),"STBD Battery Assy")</f>
        <v>STBD Battery Assy</v>
      </c>
      <c r="I278" t="str">
        <f ca="1">IFERROR(__xludf.DUMMYFUNCTION("""COMPUTED_VALUE"""),"70mm Paper Separator")</f>
        <v>70mm Paper Separator</v>
      </c>
      <c r="J278">
        <f ca="1">IFERROR(__xludf.DUMMYFUNCTION("""COMPUTED_VALUE"""),0.5)</f>
        <v>0.5</v>
      </c>
      <c r="K278" t="str">
        <f ca="1">IFERROR(__xludf.DUMMYFUNCTION("""COMPUTED_VALUE"""),"blank")</f>
        <v>blank</v>
      </c>
      <c r="L278">
        <f t="shared" ca="1" si="4"/>
        <v>0</v>
      </c>
      <c r="Q278" t="str">
        <f>IF(N278="","",SUMIFS('PR-BOM'!$D$3:$D1001,'PR-BOM'!$C$3:$C1001,N278))</f>
        <v/>
      </c>
      <c r="S278" t="str">
        <f ca="1">IFERROR(__xludf.DUMMYFUNCTION("""COMPUTED_VALUE"""),"2mm FRP 60x70mm with 18 mm hole")</f>
        <v>2mm FRP 60x70mm with 18 mm hole</v>
      </c>
      <c r="X278" t="e">
        <f ca="1"/>
        <v>#NAME?</v>
      </c>
      <c r="Y278" t="e">
        <f t="shared" ca="1" si="5"/>
        <v>#NAME?</v>
      </c>
      <c r="Z278" t="e">
        <f ca="1">IF(X278="","",SUMIFS(#REF!,RM!$C$4:$C991,X278))</f>
        <v>#NAME?</v>
      </c>
      <c r="AA278" t="e">
        <f ca="1">IF(X278="","",SUMIFS(#REF!,RM!$C$4:$C991,X278))</f>
        <v>#NAME?</v>
      </c>
      <c r="AB278" t="e">
        <f ca="1">IF(X278="","",SUMIFS(IRegback!$Y$2:$Y1001,IRegback!$X$2:$X1001,X278))</f>
        <v>#NAME?</v>
      </c>
      <c r="AC278" t="e">
        <f t="shared" ca="1" si="6"/>
        <v>#NAME?</v>
      </c>
      <c r="AD278" t="e">
        <f ca="1">IF(X278="","",VLOOKUP($X278,RM!$C$4:$G991,3,FALSE))</f>
        <v>#NAME?</v>
      </c>
      <c r="AE278" t="e">
        <f ca="1">IF(X278="","",VLOOKUP($X278,RM!$C$4:$G991,4,FALSE))</f>
        <v>#NAME?</v>
      </c>
      <c r="AF278" t="e">
        <f ca="1">IF(X278="","",VLOOKUP($X278,RM!$C$4:$G991,5,FALSE))</f>
        <v>#NAME?</v>
      </c>
      <c r="AH278" t="str">
        <f ca="1">IFERROR(__xludf.DUMMYFUNCTION("""COMPUTED_VALUE"""),"FL_STBD Elec")</f>
        <v>FL_STBD Elec</v>
      </c>
      <c r="AI278" t="str">
        <f ca="1">IFERROR(__xludf.DUMMYFUNCTION("""COMPUTED_VALUE"""),"Green 2835 SMD LED 1W")</f>
        <v>Green 2835 SMD LED 1W</v>
      </c>
      <c r="AJ278">
        <f ca="1">IFERROR(__xludf.DUMMYFUNCTION("""COMPUTED_VALUE"""),4)</f>
        <v>4</v>
      </c>
      <c r="AK278" t="str">
        <f ca="1">IFERROR(__xludf.DUMMYFUNCTION("""COMPUTED_VALUE"""),"blank")</f>
        <v>blank</v>
      </c>
      <c r="AL278" t="e">
        <f ca="1">_xludf.IFNA(VLOOKUP(AH278,'S-FG'!$B$3:$B1001,1,FALSE),"")</f>
        <v>#NAME?</v>
      </c>
      <c r="AM278" t="e">
        <f ca="1">IF(AI278="","",SUMIFS(#REF!,RM!$C$4:$C991,AI278))</f>
        <v>#REF!</v>
      </c>
    </row>
    <row r="279" spans="5:39">
      <c r="E279" t="str">
        <f>IF(A279="","",SUMIFS('PR-BOM'!$D$3:$D1001,'PR-BOM'!$C$3:$C1001,A279)*C279)</f>
        <v/>
      </c>
      <c r="F279" t="e">
        <f ca="1">_xludf.IFNA(VLOOKUP(B279,'S-FG'!$B$3:$B1001,1,FALSE),"")</f>
        <v>#NAME?</v>
      </c>
      <c r="H279" t="str">
        <f ca="1">IFERROR(__xludf.DUMMYFUNCTION("""COMPUTED_VALUE"""),"STBD Battery Assy")</f>
        <v>STBD Battery Assy</v>
      </c>
      <c r="I279" t="str">
        <f ca="1">IFERROR(__xludf.DUMMYFUNCTION("""COMPUTED_VALUE"""),"16AWG Lead")</f>
        <v>16AWG Lead</v>
      </c>
      <c r="J279">
        <f ca="1">IFERROR(__xludf.DUMMYFUNCTION("""COMPUTED_VALUE"""),30)</f>
        <v>30</v>
      </c>
      <c r="K279" t="str">
        <f ca="1">IFERROR(__xludf.DUMMYFUNCTION("""COMPUTED_VALUE"""),"blank")</f>
        <v>blank</v>
      </c>
      <c r="L279">
        <f t="shared" ca="1" si="4"/>
        <v>0</v>
      </c>
      <c r="Q279" t="str">
        <f>IF(N279="","",SUMIFS('PR-BOM'!$D$3:$D1001,'PR-BOM'!$C$3:$C1001,N279))</f>
        <v/>
      </c>
      <c r="S279" t="str">
        <f ca="1">IFERROR(__xludf.DUMMYFUNCTION("""COMPUTED_VALUE"""),"70mm Paper Separator")</f>
        <v>70mm Paper Separator</v>
      </c>
      <c r="X279" t="e">
        <f ca="1"/>
        <v>#NAME?</v>
      </c>
      <c r="Y279" t="e">
        <f t="shared" ca="1" si="5"/>
        <v>#NAME?</v>
      </c>
      <c r="Z279" t="e">
        <f ca="1">IF(X279="","",SUMIFS(#REF!,RM!$C$4:$C991,X279))</f>
        <v>#NAME?</v>
      </c>
      <c r="AA279" t="e">
        <f ca="1">IF(X279="","",SUMIFS(#REF!,RM!$C$4:$C991,X279))</f>
        <v>#NAME?</v>
      </c>
      <c r="AB279" t="e">
        <f ca="1">IF(X279="","",SUMIFS(IRegback!$Y$2:$Y1001,IRegback!$X$2:$X1001,X279))</f>
        <v>#NAME?</v>
      </c>
      <c r="AC279" t="e">
        <f t="shared" ca="1" si="6"/>
        <v>#NAME?</v>
      </c>
      <c r="AD279" t="e">
        <f ca="1">IF(X279="","",VLOOKUP($X279,RM!$C$4:$G991,3,FALSE))</f>
        <v>#NAME?</v>
      </c>
      <c r="AE279" t="e">
        <f ca="1">IF(X279="","",VLOOKUP($X279,RM!$C$4:$G991,4,FALSE))</f>
        <v>#NAME?</v>
      </c>
      <c r="AF279" t="e">
        <f ca="1">IF(X279="","",VLOOKUP($X279,RM!$C$4:$G991,5,FALSE))</f>
        <v>#NAME?</v>
      </c>
      <c r="AH279" t="str">
        <f ca="1">IFERROR(__xludf.DUMMYFUNCTION("""COMPUTED_VALUE"""),"FL_PORT Elec")</f>
        <v>FL_PORT Elec</v>
      </c>
      <c r="AI279" t="str">
        <f ca="1">IFERROR(__xludf.DUMMYFUNCTION("""COMPUTED_VALUE"""),"2mm male bullet connector")</f>
        <v>2mm male bullet connector</v>
      </c>
      <c r="AJ279">
        <f ca="1">IFERROR(__xludf.DUMMYFUNCTION("""COMPUTED_VALUE"""),1)</f>
        <v>1</v>
      </c>
      <c r="AK279" t="str">
        <f ca="1">IFERROR(__xludf.DUMMYFUNCTION("""COMPUTED_VALUE"""),"blank")</f>
        <v>blank</v>
      </c>
      <c r="AL279" t="e">
        <f ca="1">_xludf.IFNA(VLOOKUP(AH279,'S-FG'!$B$3:$B1001,1,FALSE),"")</f>
        <v>#NAME?</v>
      </c>
      <c r="AM279" t="e">
        <f ca="1">IF(AI279="","",SUMIFS(#REF!,RM!$C$4:$C991,AI279))</f>
        <v>#REF!</v>
      </c>
    </row>
    <row r="280" spans="5:39">
      <c r="E280" t="str">
        <f>IF(A280="","",SUMIFS('PR-BOM'!$D$3:$D1001,'PR-BOM'!$C$3:$C1001,A280)*C280)</f>
        <v/>
      </c>
      <c r="F280" t="e">
        <f ca="1">_xludf.IFNA(VLOOKUP(B280,'S-FG'!$B$3:$B1001,1,FALSE),"")</f>
        <v>#NAME?</v>
      </c>
      <c r="H280" t="str">
        <f ca="1">IFERROR(__xludf.DUMMYFUNCTION("""COMPUTED_VALUE"""),"STBD Battery Assy")</f>
        <v>STBD Battery Assy</v>
      </c>
      <c r="I280" t="str">
        <f ca="1">IFERROR(__xludf.DUMMYFUNCTION("""COMPUTED_VALUE"""),"HeatShrink Tube 12:3")</f>
        <v>HeatShrink Tube 12:3</v>
      </c>
      <c r="J280">
        <f ca="1">IFERROR(__xludf.DUMMYFUNCTION("""COMPUTED_VALUE"""),0.06)</f>
        <v>0.06</v>
      </c>
      <c r="K280" t="str">
        <f ca="1">IFERROR(__xludf.DUMMYFUNCTION("""COMPUTED_VALUE"""),"blank")</f>
        <v>blank</v>
      </c>
      <c r="L280">
        <f t="shared" ca="1" si="4"/>
        <v>0</v>
      </c>
      <c r="Q280" t="str">
        <f>IF(N280="","",SUMIFS('PR-BOM'!$D$3:$D1001,'PR-BOM'!$C$3:$C1001,N280))</f>
        <v/>
      </c>
      <c r="S280" t="str">
        <f ca="1">IFERROR(__xludf.DUMMYFUNCTION("""COMPUTED_VALUE"""),"16AWG Lead")</f>
        <v>16AWG Lead</v>
      </c>
      <c r="X280" t="e">
        <f ca="1"/>
        <v>#NAME?</v>
      </c>
      <c r="Y280" t="e">
        <f t="shared" ca="1" si="5"/>
        <v>#NAME?</v>
      </c>
      <c r="Z280" t="e">
        <f ca="1">IF(X280="","",SUMIFS(#REF!,RM!$C$4:$C991,X280))</f>
        <v>#NAME?</v>
      </c>
      <c r="AA280" t="e">
        <f ca="1">IF(X280="","",SUMIFS(#REF!,RM!$C$4:$C991,X280))</f>
        <v>#NAME?</v>
      </c>
      <c r="AB280" t="e">
        <f ca="1">IF(X280="","",SUMIFS(IRegback!$Y$2:$Y1001,IRegback!$X$2:$X1001,X280))</f>
        <v>#NAME?</v>
      </c>
      <c r="AC280" t="e">
        <f t="shared" ca="1" si="6"/>
        <v>#NAME?</v>
      </c>
      <c r="AD280" t="e">
        <f ca="1">IF(X280="","",VLOOKUP($X280,RM!$C$4:$G991,3,FALSE))</f>
        <v>#NAME?</v>
      </c>
      <c r="AE280" t="e">
        <f ca="1">IF(X280="","",VLOOKUP($X280,RM!$C$4:$G991,4,FALSE))</f>
        <v>#NAME?</v>
      </c>
      <c r="AF280" t="e">
        <f ca="1">IF(X280="","",VLOOKUP($X280,RM!$C$4:$G991,5,FALSE))</f>
        <v>#NAME?</v>
      </c>
      <c r="AH280" t="str">
        <f ca="1">IFERROR(__xludf.DUMMYFUNCTION("""COMPUTED_VALUE"""),"FL_PORT Elec")</f>
        <v>FL_PORT Elec</v>
      </c>
      <c r="AI280" t="str">
        <f ca="1">IFERROR(__xludf.DUMMYFUNCTION("""COMPUTED_VALUE"""),"2mm Female Bullet connector")</f>
        <v>2mm Female Bullet connector</v>
      </c>
      <c r="AJ280">
        <f ca="1">IFERROR(__xludf.DUMMYFUNCTION("""COMPUTED_VALUE"""),1)</f>
        <v>1</v>
      </c>
      <c r="AK280" t="str">
        <f ca="1">IFERROR(__xludf.DUMMYFUNCTION("""COMPUTED_VALUE"""),"blank")</f>
        <v>blank</v>
      </c>
      <c r="AL280" t="e">
        <f ca="1">_xludf.IFNA(VLOOKUP(AH280,'S-FG'!$B$3:$B1001,1,FALSE),"")</f>
        <v>#NAME?</v>
      </c>
      <c r="AM280" t="e">
        <f ca="1">IF(AI280="","",SUMIFS(#REF!,RM!$C$4:$C991,AI280))</f>
        <v>#REF!</v>
      </c>
    </row>
    <row r="281" spans="5:39">
      <c r="E281" t="str">
        <f>IF(A281="","",SUMIFS('PR-BOM'!$D$3:$D1001,'PR-BOM'!$C$3:$C1001,A281)*C281)</f>
        <v/>
      </c>
      <c r="F281" t="e">
        <f ca="1">_xludf.IFNA(VLOOKUP(B281,'S-FG'!$B$3:$B1001,1,FALSE),"")</f>
        <v>#NAME?</v>
      </c>
      <c r="H281" t="str">
        <f ca="1">IFERROR(__xludf.DUMMYFUNCTION("""COMPUTED_VALUE"""),"STBD Battery Assy")</f>
        <v>STBD Battery Assy</v>
      </c>
      <c r="I281" t="str">
        <f ca="1">IFERROR(__xludf.DUMMYFUNCTION("""COMPUTED_VALUE"""),"STBD Signal CM Assy")</f>
        <v>STBD Signal CM Assy</v>
      </c>
      <c r="J281">
        <f ca="1">IFERROR(__xludf.DUMMYFUNCTION("""COMPUTED_VALUE"""),1)</f>
        <v>1</v>
      </c>
      <c r="K281" t="str">
        <f ca="1">IFERROR(__xludf.DUMMYFUNCTION("""COMPUTED_VALUE"""),"blank")</f>
        <v>blank</v>
      </c>
      <c r="L281">
        <f t="shared" ca="1" si="4"/>
        <v>0</v>
      </c>
      <c r="Q281" t="str">
        <f>IF(N281="","",SUMIFS('PR-BOM'!$D$3:$D1001,'PR-BOM'!$C$3:$C1001,N281))</f>
        <v/>
      </c>
      <c r="S281" t="str">
        <f ca="1">IFERROR(__xludf.DUMMYFUNCTION("""COMPUTED_VALUE"""),"HeatShrink Tube 12:3")</f>
        <v>HeatShrink Tube 12:3</v>
      </c>
      <c r="X281" t="e">
        <f ca="1"/>
        <v>#NAME?</v>
      </c>
      <c r="Y281" t="e">
        <f t="shared" ca="1" si="5"/>
        <v>#NAME?</v>
      </c>
      <c r="Z281" t="e">
        <f ca="1">IF(X281="","",SUMIFS(#REF!,RM!$C$4:$C991,X281))</f>
        <v>#NAME?</v>
      </c>
      <c r="AA281" t="e">
        <f ca="1">IF(X281="","",SUMIFS(#REF!,RM!$C$4:$C991,X281))</f>
        <v>#NAME?</v>
      </c>
      <c r="AB281" t="e">
        <f ca="1">IF(X281="","",SUMIFS(IRegback!$Y$2:$Y1001,IRegback!$X$2:$X1001,X281))</f>
        <v>#NAME?</v>
      </c>
      <c r="AC281" t="e">
        <f t="shared" ca="1" si="6"/>
        <v>#NAME?</v>
      </c>
      <c r="AD281" t="e">
        <f ca="1">IF(X281="","",VLOOKUP($X281,RM!$C$4:$G991,3,FALSE))</f>
        <v>#NAME?</v>
      </c>
      <c r="AE281" t="e">
        <f ca="1">IF(X281="","",VLOOKUP($X281,RM!$C$4:$G991,4,FALSE))</f>
        <v>#NAME?</v>
      </c>
      <c r="AF281" t="e">
        <f ca="1">IF(X281="","",VLOOKUP($X281,RM!$C$4:$G991,5,FALSE))</f>
        <v>#NAME?</v>
      </c>
      <c r="AH281" t="str">
        <f ca="1">IFERROR(__xludf.DUMMYFUNCTION("""COMPUTED_VALUE"""),"FL_PORT Elec")</f>
        <v>FL_PORT Elec</v>
      </c>
      <c r="AI281" t="str">
        <f ca="1">IFERROR(__xludf.DUMMYFUNCTION("""COMPUTED_VALUE"""),"PWB of PORT flash light")</f>
        <v>PWB of PORT flash light</v>
      </c>
      <c r="AJ281">
        <f ca="1">IFERROR(__xludf.DUMMYFUNCTION("""COMPUTED_VALUE"""),1)</f>
        <v>1</v>
      </c>
      <c r="AK281" t="str">
        <f ca="1">IFERROR(__xludf.DUMMYFUNCTION("""COMPUTED_VALUE"""),"blank")</f>
        <v>blank</v>
      </c>
      <c r="AL281" t="e">
        <f ca="1">_xludf.IFNA(VLOOKUP(AH281,'S-FG'!$B$3:$B1001,1,FALSE),"")</f>
        <v>#NAME?</v>
      </c>
      <c r="AM281" t="e">
        <f ca="1">IF(AI281="","",SUMIFS(#REF!,RM!$C$4:$C991,AI281))</f>
        <v>#REF!</v>
      </c>
    </row>
    <row r="282" spans="5:39">
      <c r="E282" t="str">
        <f>IF(A282="","",SUMIFS('PR-BOM'!$D$3:$D1001,'PR-BOM'!$C$3:$C1001,A282)*C282)</f>
        <v/>
      </c>
      <c r="F282" t="e">
        <f ca="1">_xludf.IFNA(VLOOKUP(B282,'S-FG'!$B$3:$B1001,1,FALSE),"")</f>
        <v>#NAME?</v>
      </c>
      <c r="H282" t="str">
        <f ca="1">IFERROR(__xludf.DUMMYFUNCTION("""COMPUTED_VALUE"""),"STBD Battery Assy")</f>
        <v>STBD Battery Assy</v>
      </c>
      <c r="I282" t="str">
        <f ca="1">IFERROR(__xludf.DUMMYFUNCTION("""COMPUTED_VALUE"""),"Battery Block Assy")</f>
        <v>Battery Block Assy</v>
      </c>
      <c r="J282">
        <f ca="1">IFERROR(__xludf.DUMMYFUNCTION("""COMPUTED_VALUE"""),0)</f>
        <v>0</v>
      </c>
      <c r="K282" t="str">
        <f ca="1">IFERROR(__xludf.DUMMYFUNCTION("""COMPUTED_VALUE"""),"blank")</f>
        <v>blank</v>
      </c>
      <c r="L282">
        <f t="shared" ca="1" si="4"/>
        <v>0</v>
      </c>
      <c r="Q282" t="str">
        <f>IF(N282="","",SUMIFS('PR-BOM'!$D$3:$D1001,'PR-BOM'!$C$3:$C1001,N282))</f>
        <v/>
      </c>
      <c r="S282" t="str">
        <f ca="1">IFERROR(__xludf.DUMMYFUNCTION("""COMPUTED_VALUE"""),"STBD Signal CM Assy")</f>
        <v>STBD Signal CM Assy</v>
      </c>
      <c r="X282" t="e">
        <f ca="1"/>
        <v>#NAME?</v>
      </c>
      <c r="Y282" t="e">
        <f t="shared" ca="1" si="5"/>
        <v>#NAME?</v>
      </c>
      <c r="Z282" t="e">
        <f ca="1">IF(X282="","",SUMIFS(#REF!,RM!$C$4:$C991,X282))</f>
        <v>#NAME?</v>
      </c>
      <c r="AA282" t="e">
        <f ca="1">IF(X282="","",SUMIFS(#REF!,RM!$C$4:$C991,X282))</f>
        <v>#NAME?</v>
      </c>
      <c r="AB282" t="e">
        <f ca="1">IF(X282="","",SUMIFS(IRegback!$Y$2:$Y1001,IRegback!$X$2:$X1001,X282))</f>
        <v>#NAME?</v>
      </c>
      <c r="AC282" t="e">
        <f t="shared" ca="1" si="6"/>
        <v>#NAME?</v>
      </c>
      <c r="AD282" t="e">
        <f ca="1">IF(X282="","",VLOOKUP($X282,RM!$C$4:$G991,3,FALSE))</f>
        <v>#NAME?</v>
      </c>
      <c r="AE282" t="e">
        <f ca="1">IF(X282="","",VLOOKUP($X282,RM!$C$4:$G991,4,FALSE))</f>
        <v>#NAME?</v>
      </c>
      <c r="AF282" t="e">
        <f ca="1">IF(X282="","",VLOOKUP($X282,RM!$C$4:$G991,5,FALSE))</f>
        <v>#NAME?</v>
      </c>
      <c r="AH282" t="str">
        <f ca="1">IFERROR(__xludf.DUMMYFUNCTION("""COMPUTED_VALUE"""),"FL_PORT Elec")</f>
        <v>FL_PORT Elec</v>
      </c>
      <c r="AI282" t="str">
        <f ca="1">IFERROR(__xludf.DUMMYFUNCTION("""COMPUTED_VALUE"""),"Red 14/38 wire")</f>
        <v>Red 14/38 wire</v>
      </c>
      <c r="AJ282">
        <f ca="1">IFERROR(__xludf.DUMMYFUNCTION("""COMPUTED_VALUE"""),0.35)</f>
        <v>0.35</v>
      </c>
      <c r="AL282" t="e">
        <f ca="1">_xludf.IFNA(VLOOKUP(AH282,'S-FG'!$B$3:$B1001,1,FALSE),"")</f>
        <v>#NAME?</v>
      </c>
      <c r="AM282" t="e">
        <f ca="1">IF(AI282="","",SUMIFS(#REF!,RM!$C$4:$C991,AI282))</f>
        <v>#REF!</v>
      </c>
    </row>
    <row r="283" spans="5:39">
      <c r="E283" t="str">
        <f>IF(A283="","",SUMIFS('PR-BOM'!$D$3:$D1001,'PR-BOM'!$C$3:$C1001,A283)*C283)</f>
        <v/>
      </c>
      <c r="F283" t="e">
        <f ca="1">_xludf.IFNA(VLOOKUP(B283,'S-FG'!$B$3:$B1001,1,FALSE),"")</f>
        <v>#NAME?</v>
      </c>
      <c r="H283" t="str">
        <f ca="1">IFERROR(__xludf.DUMMYFUNCTION("""COMPUTED_VALUE"""),"STBD Battery Assy")</f>
        <v>STBD Battery Assy</v>
      </c>
      <c r="I283" t="str">
        <f ca="1">IFERROR(__xludf.DUMMYFUNCTION("""COMPUTED_VALUE"""),"HeatShrink Tube 100mm")</f>
        <v>HeatShrink Tube 100mm</v>
      </c>
      <c r="J283">
        <f ca="1">IFERROR(__xludf.DUMMYFUNCTION("""COMPUTED_VALUE"""),0.17)</f>
        <v>0.17</v>
      </c>
      <c r="K283" t="str">
        <f ca="1">IFERROR(__xludf.DUMMYFUNCTION("""COMPUTED_VALUE"""),"blank")</f>
        <v>blank</v>
      </c>
      <c r="L283">
        <f t="shared" ca="1" si="4"/>
        <v>0</v>
      </c>
      <c r="Q283" t="str">
        <f>IF(N283="","",SUMIFS('PR-BOM'!$D$3:$D1001,'PR-BOM'!$C$3:$C1001,N283))</f>
        <v/>
      </c>
      <c r="S283" t="str">
        <f ca="1">IFERROR(__xludf.DUMMYFUNCTION("""COMPUTED_VALUE"""),"Battery Block Assy")</f>
        <v>Battery Block Assy</v>
      </c>
      <c r="X283" t="e">
        <f ca="1"/>
        <v>#NAME?</v>
      </c>
      <c r="Y283" t="e">
        <f t="shared" ca="1" si="5"/>
        <v>#NAME?</v>
      </c>
      <c r="Z283" t="e">
        <f ca="1">IF(X283="","",SUMIFS(#REF!,RM!$C$4:$C991,X283))</f>
        <v>#NAME?</v>
      </c>
      <c r="AA283" t="e">
        <f ca="1">IF(X283="","",SUMIFS(#REF!,RM!$C$4:$C991,X283))</f>
        <v>#NAME?</v>
      </c>
      <c r="AB283" t="e">
        <f ca="1">IF(X283="","",SUMIFS(IRegback!$Y$2:$Y1001,IRegback!$X$2:$X1001,X283))</f>
        <v>#NAME?</v>
      </c>
      <c r="AC283" t="e">
        <f t="shared" ca="1" si="6"/>
        <v>#NAME?</v>
      </c>
      <c r="AD283" t="e">
        <f ca="1">IF(X283="","",VLOOKUP($X283,RM!$C$4:$G991,3,FALSE))</f>
        <v>#NAME?</v>
      </c>
      <c r="AE283" t="e">
        <f ca="1">IF(X283="","",VLOOKUP($X283,RM!$C$4:$G991,4,FALSE))</f>
        <v>#NAME?</v>
      </c>
      <c r="AF283" t="e">
        <f ca="1">IF(X283="","",VLOOKUP($X283,RM!$C$4:$G991,5,FALSE))</f>
        <v>#NAME?</v>
      </c>
      <c r="AH283" t="str">
        <f ca="1">IFERROR(__xludf.DUMMYFUNCTION("""COMPUTED_VALUE"""),"FL_PORT Elec")</f>
        <v>FL_PORT Elec</v>
      </c>
      <c r="AI283" t="str">
        <f ca="1">IFERROR(__xludf.DUMMYFUNCTION("""COMPUTED_VALUE"""),"Black 14/38 Wire")</f>
        <v>Black 14/38 Wire</v>
      </c>
      <c r="AJ283">
        <f ca="1">IFERROR(__xludf.DUMMYFUNCTION("""COMPUTED_VALUE"""),0.55)</f>
        <v>0.55000000000000004</v>
      </c>
      <c r="AL283" t="e">
        <f ca="1">_xludf.IFNA(VLOOKUP(AH283,'S-FG'!$B$3:$B1001,1,FALSE),"")</f>
        <v>#NAME?</v>
      </c>
      <c r="AM283" t="e">
        <f ca="1">IF(AI283="","",SUMIFS(#REF!,RM!$C$4:$C991,AI283))</f>
        <v>#REF!</v>
      </c>
    </row>
    <row r="284" spans="5:39">
      <c r="E284" t="str">
        <f>IF(A284="","",SUMIFS('PR-BOM'!$D$3:$D1001,'PR-BOM'!$C$3:$C1001,A284)*C284)</f>
        <v/>
      </c>
      <c r="F284" t="e">
        <f ca="1">_xludf.IFNA(VLOOKUP(B284,'S-FG'!$B$3:$B1001,1,FALSE),"")</f>
        <v>#NAME?</v>
      </c>
      <c r="H284" t="str">
        <f ca="1">IFERROR(__xludf.DUMMYFUNCTION("""COMPUTED_VALUE"""),"STBD Battery Assy")</f>
        <v>STBD Battery Assy</v>
      </c>
      <c r="I284" t="str">
        <f ca="1">IFERROR(__xludf.DUMMYFUNCTION("""COMPUTED_VALUE"""),"Teroson MS930")</f>
        <v>Teroson MS930</v>
      </c>
      <c r="J284">
        <f ca="1">IFERROR(__xludf.DUMMYFUNCTION("""COMPUTED_VALUE"""),20)</f>
        <v>20</v>
      </c>
      <c r="K284" t="str">
        <f ca="1">IFERROR(__xludf.DUMMYFUNCTION("""COMPUTED_VALUE"""),"blank")</f>
        <v>blank</v>
      </c>
      <c r="L284">
        <f t="shared" ca="1" si="4"/>
        <v>0</v>
      </c>
      <c r="Q284" t="str">
        <f>IF(N284="","",SUMIFS('PR-BOM'!$D$3:$D1001,'PR-BOM'!$C$3:$C1001,N284))</f>
        <v/>
      </c>
      <c r="S284" t="str">
        <f ca="1">IFERROR(__xludf.DUMMYFUNCTION("""COMPUTED_VALUE"""),"HeatShrink Tube 100mm")</f>
        <v>HeatShrink Tube 100mm</v>
      </c>
      <c r="X284" t="e">
        <f ca="1"/>
        <v>#NAME?</v>
      </c>
      <c r="Y284" t="e">
        <f t="shared" ca="1" si="5"/>
        <v>#NAME?</v>
      </c>
      <c r="Z284" t="e">
        <f ca="1">IF(X284="","",SUMIFS(#REF!,RM!$C$4:$C991,X284))</f>
        <v>#NAME?</v>
      </c>
      <c r="AA284" t="e">
        <f ca="1">IF(X284="","",SUMIFS(#REF!,RM!$C$4:$C991,X284))</f>
        <v>#NAME?</v>
      </c>
      <c r="AB284" t="e">
        <f ca="1">IF(X284="","",SUMIFS(IRegback!$Y$2:$Y1001,IRegback!$X$2:$X1001,X284))</f>
        <v>#NAME?</v>
      </c>
      <c r="AC284" t="e">
        <f t="shared" ca="1" si="6"/>
        <v>#NAME?</v>
      </c>
      <c r="AD284" t="e">
        <f ca="1">IF(X284="","",VLOOKUP($X284,RM!$C$4:$G991,3,FALSE))</f>
        <v>#NAME?</v>
      </c>
      <c r="AE284" t="e">
        <f ca="1">IF(X284="","",VLOOKUP($X284,RM!$C$4:$G991,4,FALSE))</f>
        <v>#NAME?</v>
      </c>
      <c r="AF284" t="e">
        <f ca="1">IF(X284="","",VLOOKUP($X284,RM!$C$4:$G991,5,FALSE))</f>
        <v>#NAME?</v>
      </c>
      <c r="AH284" t="str">
        <f ca="1">IFERROR(__xludf.DUMMYFUNCTION("""COMPUTED_VALUE"""),"FL_PORT Elec")</f>
        <v>FL_PORT Elec</v>
      </c>
      <c r="AI284" t="str">
        <f ca="1">IFERROR(__xludf.DUMMYFUNCTION("""COMPUTED_VALUE"""),"Red 2835 SMD LED 1W")</f>
        <v>Red 2835 SMD LED 1W</v>
      </c>
      <c r="AJ284">
        <f ca="1">IFERROR(__xludf.DUMMYFUNCTION("""COMPUTED_VALUE"""),6)</f>
        <v>6</v>
      </c>
      <c r="AK284" t="str">
        <f ca="1">IFERROR(__xludf.DUMMYFUNCTION("""COMPUTED_VALUE"""),"blank")</f>
        <v>blank</v>
      </c>
      <c r="AL284" t="e">
        <f ca="1">_xludf.IFNA(VLOOKUP(AH284,'S-FG'!$B$3:$B1001,1,FALSE),"")</f>
        <v>#NAME?</v>
      </c>
      <c r="AM284" t="e">
        <f ca="1">IF(AI284="","",SUMIFS(#REF!,RM!$C$4:$C991,AI284))</f>
        <v>#REF!</v>
      </c>
    </row>
    <row r="285" spans="5:39">
      <c r="E285" t="str">
        <f>IF(A285="","",SUMIFS('PR-BOM'!$D$3:$D1001,'PR-BOM'!$C$3:$C1001,A285)*C285)</f>
        <v/>
      </c>
      <c r="F285" t="e">
        <f ca="1">_xludf.IFNA(VLOOKUP(B285,'S-FG'!$B$3:$B1001,1,FALSE),"")</f>
        <v>#NAME?</v>
      </c>
      <c r="H285" t="str">
        <f ca="1">IFERROR(__xludf.DUMMYFUNCTION("""COMPUTED_VALUE"""),"PORT Battery Assy")</f>
        <v>PORT Battery Assy</v>
      </c>
      <c r="I285" t="str">
        <f ca="1">IFERROR(__xludf.DUMMYFUNCTION("""COMPUTED_VALUE"""),"4mm Female Bullet connector")</f>
        <v>4mm Female Bullet connector</v>
      </c>
      <c r="J285">
        <f ca="1">IFERROR(__xludf.DUMMYFUNCTION("""COMPUTED_VALUE"""),2)</f>
        <v>2</v>
      </c>
      <c r="K285" t="str">
        <f ca="1">IFERROR(__xludf.DUMMYFUNCTION("""COMPUTED_VALUE"""),"blank")</f>
        <v>blank</v>
      </c>
      <c r="L285">
        <f t="shared" ca="1" si="4"/>
        <v>0</v>
      </c>
      <c r="Q285" t="str">
        <f>IF(N285="","",SUMIFS('PR-BOM'!$D$3:$D1001,'PR-BOM'!$C$3:$C1001,N285))</f>
        <v/>
      </c>
      <c r="S285" t="str">
        <f ca="1">IFERROR(__xludf.DUMMYFUNCTION("""COMPUTED_VALUE"""),"Teroson MS930")</f>
        <v>Teroson MS930</v>
      </c>
      <c r="X285" t="e">
        <f ca="1"/>
        <v>#NAME?</v>
      </c>
      <c r="Y285" t="e">
        <f t="shared" ca="1" si="5"/>
        <v>#NAME?</v>
      </c>
      <c r="Z285" t="e">
        <f ca="1">IF(X285="","",SUMIFS(#REF!,RM!$C$4:$C991,X285))</f>
        <v>#NAME?</v>
      </c>
      <c r="AA285" t="e">
        <f ca="1">IF(X285="","",SUMIFS(#REF!,RM!$C$4:$C991,X285))</f>
        <v>#NAME?</v>
      </c>
      <c r="AB285" t="e">
        <f ca="1">IF(X285="","",SUMIFS(IRegback!$Y$2:$Y1001,IRegback!$X$2:$X1001,X285))</f>
        <v>#NAME?</v>
      </c>
      <c r="AC285" t="e">
        <f t="shared" ca="1" si="6"/>
        <v>#NAME?</v>
      </c>
      <c r="AD285" t="e">
        <f ca="1">IF(X285="","",VLOOKUP($X285,RM!$C$4:$G991,3,FALSE))</f>
        <v>#NAME?</v>
      </c>
      <c r="AE285" t="e">
        <f ca="1">IF(X285="","",VLOOKUP($X285,RM!$C$4:$G991,4,FALSE))</f>
        <v>#NAME?</v>
      </c>
      <c r="AF285" t="e">
        <f ca="1">IF(X285="","",VLOOKUP($X285,RM!$C$4:$G991,5,FALSE))</f>
        <v>#NAME?</v>
      </c>
      <c r="AH285" t="str">
        <f ca="1">IFERROR(__xludf.DUMMYFUNCTION("""COMPUTED_VALUE"""),"FL_STBD Mech")</f>
        <v>FL_STBD Mech</v>
      </c>
      <c r="AI285" t="str">
        <f ca="1">IFERROR(__xludf.DUMMYFUNCTION("""COMPUTED_VALUE"""),"M3x8 Button Head")</f>
        <v>M3x8 Button Head</v>
      </c>
      <c r="AJ285">
        <f ca="1">IFERROR(__xludf.DUMMYFUNCTION("""COMPUTED_VALUE"""),6)</f>
        <v>6</v>
      </c>
      <c r="AK285" t="str">
        <f ca="1">IFERROR(__xludf.DUMMYFUNCTION("""COMPUTED_VALUE"""),"blank")</f>
        <v>blank</v>
      </c>
      <c r="AL285" t="e">
        <f ca="1">_xludf.IFNA(VLOOKUP(AH285,'S-FG'!$B$3:$B1001,1,FALSE),"")</f>
        <v>#NAME?</v>
      </c>
      <c r="AM285" t="e">
        <f ca="1">IF(AI285="","",SUMIFS(#REF!,RM!$C$4:$C991,AI285))</f>
        <v>#REF!</v>
      </c>
    </row>
    <row r="286" spans="5:39">
      <c r="E286" t="str">
        <f>IF(A286="","",SUMIFS('PR-BOM'!$D$3:$D1001,'PR-BOM'!$C$3:$C1001,A286)*C286)</f>
        <v/>
      </c>
      <c r="F286" t="e">
        <f ca="1">_xludf.IFNA(VLOOKUP(B286,'S-FG'!$B$3:$B1001,1,FALSE),"")</f>
        <v>#NAME?</v>
      </c>
      <c r="H286" t="str">
        <f ca="1">IFERROR(__xludf.DUMMYFUNCTION("""COMPUTED_VALUE"""),"PORT Battery Assy")</f>
        <v>PORT Battery Assy</v>
      </c>
      <c r="I286" t="str">
        <f ca="1">IFERROR(__xludf.DUMMYFUNCTION("""COMPUTED_VALUE"""),"2mm Female Bullet connector")</f>
        <v>2mm Female Bullet connector</v>
      </c>
      <c r="J286">
        <f ca="1">IFERROR(__xludf.DUMMYFUNCTION("""COMPUTED_VALUE"""),1)</f>
        <v>1</v>
      </c>
      <c r="K286" t="str">
        <f ca="1">IFERROR(__xludf.DUMMYFUNCTION("""COMPUTED_VALUE"""),"blank")</f>
        <v>blank</v>
      </c>
      <c r="L286">
        <f t="shared" ca="1" si="4"/>
        <v>0</v>
      </c>
      <c r="Q286" t="str">
        <f>IF(N286="","",SUMIFS('PR-BOM'!$D$3:$D1001,'PR-BOM'!$C$3:$C1001,N286))</f>
        <v/>
      </c>
      <c r="S286" t="str">
        <f ca="1">IFERROR(__xludf.DUMMYFUNCTION("""COMPUTED_VALUE"""),"4mm Female Bullet connector")</f>
        <v>4mm Female Bullet connector</v>
      </c>
      <c r="X286" t="e">
        <f ca="1"/>
        <v>#NAME?</v>
      </c>
      <c r="Y286" t="e">
        <f t="shared" ca="1" si="5"/>
        <v>#NAME?</v>
      </c>
      <c r="Z286" t="e">
        <f ca="1">IF(X286="","",SUMIFS(#REF!,RM!$C$4:$C991,X286))</f>
        <v>#NAME?</v>
      </c>
      <c r="AA286" t="e">
        <f ca="1">IF(X286="","",SUMIFS(#REF!,RM!$C$4:$C991,X286))</f>
        <v>#NAME?</v>
      </c>
      <c r="AB286" t="e">
        <f ca="1">IF(X286="","",SUMIFS(IRegback!$Y$2:$Y1001,IRegback!$X$2:$X1001,X286))</f>
        <v>#NAME?</v>
      </c>
      <c r="AC286" t="e">
        <f t="shared" ca="1" si="6"/>
        <v>#NAME?</v>
      </c>
      <c r="AD286" t="e">
        <f ca="1">IF(X286="","",VLOOKUP($X286,RM!$C$4:$G991,3,FALSE))</f>
        <v>#NAME?</v>
      </c>
      <c r="AE286" t="e">
        <f ca="1">IF(X286="","",VLOOKUP($X286,RM!$C$4:$G991,4,FALSE))</f>
        <v>#NAME?</v>
      </c>
      <c r="AF286" t="e">
        <f ca="1">IF(X286="","",VLOOKUP($X286,RM!$C$4:$G991,5,FALSE))</f>
        <v>#NAME?</v>
      </c>
      <c r="AH286" t="str">
        <f ca="1">IFERROR(__xludf.DUMMYFUNCTION("""COMPUTED_VALUE"""),"FL_STBD Mech")</f>
        <v>FL_STBD Mech</v>
      </c>
      <c r="AI286" t="str">
        <f ca="1">IFERROR(__xludf.DUMMYFUNCTION("""COMPUTED_VALUE"""),"Flashing Light glass")</f>
        <v>Flashing Light glass</v>
      </c>
      <c r="AJ286">
        <f ca="1">IFERROR(__xludf.DUMMYFUNCTION("""COMPUTED_VALUE"""),1)</f>
        <v>1</v>
      </c>
      <c r="AK286" t="str">
        <f ca="1">IFERROR(__xludf.DUMMYFUNCTION("""COMPUTED_VALUE"""),"blank")</f>
        <v>blank</v>
      </c>
      <c r="AL286" t="e">
        <f ca="1">_xludf.IFNA(VLOOKUP(AH286,'S-FG'!$B$3:$B1001,1,FALSE),"")</f>
        <v>#NAME?</v>
      </c>
      <c r="AM286" t="e">
        <f ca="1">IF(AI286="","",SUMIFS(#REF!,RM!$C$4:$C991,AI286))</f>
        <v>#REF!</v>
      </c>
    </row>
    <row r="287" spans="5:39">
      <c r="E287" t="str">
        <f>IF(A287="","",SUMIFS('PR-BOM'!$D$3:$D1001,'PR-BOM'!$C$3:$C1001,A287)*C287)</f>
        <v/>
      </c>
      <c r="F287" t="e">
        <f ca="1">_xludf.IFNA(VLOOKUP(B287,'S-FG'!$B$3:$B1001,1,FALSE),"")</f>
        <v>#NAME?</v>
      </c>
      <c r="H287" t="str">
        <f ca="1">IFERROR(__xludf.DUMMYFUNCTION("""COMPUTED_VALUE"""),"PORT Battery Assy")</f>
        <v>PORT Battery Assy</v>
      </c>
      <c r="I287" t="str">
        <f ca="1">IFERROR(__xludf.DUMMYFUNCTION("""COMPUTED_VALUE"""),"8mm female bullet connector")</f>
        <v>8mm female bullet connector</v>
      </c>
      <c r="J287">
        <f ca="1">IFERROR(__xludf.DUMMYFUNCTION("""COMPUTED_VALUE"""),1)</f>
        <v>1</v>
      </c>
      <c r="K287" t="str">
        <f ca="1">IFERROR(__xludf.DUMMYFUNCTION("""COMPUTED_VALUE"""),"blank")</f>
        <v>blank</v>
      </c>
      <c r="L287">
        <f t="shared" ca="1" si="4"/>
        <v>0</v>
      </c>
      <c r="Q287" t="str">
        <f>IF(N287="","",SUMIFS('PR-BOM'!$D$3:$D1001,'PR-BOM'!$C$3:$C1001,N287))</f>
        <v/>
      </c>
      <c r="S287" t="str">
        <f ca="1">IFERROR(__xludf.DUMMYFUNCTION("""COMPUTED_VALUE"""),"2mm Female Bullet connector")</f>
        <v>2mm Female Bullet connector</v>
      </c>
      <c r="X287" t="e">
        <f ca="1"/>
        <v>#NAME?</v>
      </c>
      <c r="Y287" t="e">
        <f t="shared" ca="1" si="5"/>
        <v>#NAME?</v>
      </c>
      <c r="Z287" t="e">
        <f ca="1">IF(X287="","",SUMIFS(#REF!,RM!$C$4:$C991,X287))</f>
        <v>#NAME?</v>
      </c>
      <c r="AA287" t="e">
        <f ca="1">IF(X287="","",SUMIFS(#REF!,RM!$C$4:$C991,X287))</f>
        <v>#NAME?</v>
      </c>
      <c r="AB287" t="e">
        <f ca="1">IF(X287="","",SUMIFS(IRegback!$Y$2:$Y1001,IRegback!$X$2:$X1001,X287))</f>
        <v>#NAME?</v>
      </c>
      <c r="AC287" t="e">
        <f t="shared" ca="1" si="6"/>
        <v>#NAME?</v>
      </c>
      <c r="AD287" t="e">
        <f ca="1">IF(X287="","",VLOOKUP($X287,RM!$C$4:$G991,3,FALSE))</f>
        <v>#NAME?</v>
      </c>
      <c r="AE287" t="e">
        <f ca="1">IF(X287="","",VLOOKUP($X287,RM!$C$4:$G991,4,FALSE))</f>
        <v>#NAME?</v>
      </c>
      <c r="AF287" t="e">
        <f ca="1">IF(X287="","",VLOOKUP($X287,RM!$C$4:$G991,5,FALSE))</f>
        <v>#NAME?</v>
      </c>
      <c r="AH287" t="str">
        <f ca="1">IFERROR(__xludf.DUMMYFUNCTION("""COMPUTED_VALUE"""),"FL_STBD Mech")</f>
        <v>FL_STBD Mech</v>
      </c>
      <c r="AI287" t="str">
        <f ca="1">IFERROR(__xludf.DUMMYFUNCTION("""COMPUTED_VALUE"""),"Flashing Light bottom plate")</f>
        <v>Flashing Light bottom plate</v>
      </c>
      <c r="AJ287">
        <f ca="1">IFERROR(__xludf.DUMMYFUNCTION("""COMPUTED_VALUE"""),1)</f>
        <v>1</v>
      </c>
      <c r="AK287" t="str">
        <f ca="1">IFERROR(__xludf.DUMMYFUNCTION("""COMPUTED_VALUE"""),"blank")</f>
        <v>blank</v>
      </c>
      <c r="AL287" t="e">
        <f ca="1">_xludf.IFNA(VLOOKUP(AH287,'S-FG'!$B$3:$B1001,1,FALSE),"")</f>
        <v>#NAME?</v>
      </c>
      <c r="AM287" t="e">
        <f ca="1">IF(AI287="","",SUMIFS(#REF!,RM!$C$4:$C991,AI287))</f>
        <v>#REF!</v>
      </c>
    </row>
    <row r="288" spans="5:39">
      <c r="E288" t="str">
        <f>IF(A288="","",SUMIFS('PR-BOM'!$D$3:$D1001,'PR-BOM'!$C$3:$C1001,A288)*C288)</f>
        <v/>
      </c>
      <c r="F288" t="e">
        <f ca="1">_xludf.IFNA(VLOOKUP(B288,'S-FG'!$B$3:$B1001,1,FALSE),"")</f>
        <v>#NAME?</v>
      </c>
      <c r="H288" t="str">
        <f ca="1">IFERROR(__xludf.DUMMYFUNCTION("""COMPUTED_VALUE"""),"PORT Battery Assy")</f>
        <v>PORT Battery Assy</v>
      </c>
      <c r="I288" t="str">
        <f ca="1">IFERROR(__xludf.DUMMYFUNCTION("""COMPUTED_VALUE"""),"Red 8AWG")</f>
        <v>Red 8AWG</v>
      </c>
      <c r="J288">
        <f ca="1">IFERROR(__xludf.DUMMYFUNCTION("""COMPUTED_VALUE"""),0.65)</f>
        <v>0.65</v>
      </c>
      <c r="K288" t="str">
        <f ca="1">IFERROR(__xludf.DUMMYFUNCTION("""COMPUTED_VALUE"""),"blank")</f>
        <v>blank</v>
      </c>
      <c r="L288">
        <f t="shared" ca="1" si="4"/>
        <v>0</v>
      </c>
      <c r="Q288" t="str">
        <f>IF(N288="","",SUMIFS('PR-BOM'!$D$3:$D1001,'PR-BOM'!$C$3:$C1001,N288))</f>
        <v/>
      </c>
      <c r="S288" t="str">
        <f ca="1">IFERROR(__xludf.DUMMYFUNCTION("""COMPUTED_VALUE"""),"8mm female bullet connector")</f>
        <v>8mm female bullet connector</v>
      </c>
      <c r="X288" t="e">
        <f ca="1"/>
        <v>#NAME?</v>
      </c>
      <c r="Y288" t="e">
        <f t="shared" ca="1" si="5"/>
        <v>#NAME?</v>
      </c>
      <c r="Z288" t="e">
        <f ca="1">IF(X288="","",SUMIFS(#REF!,RM!$C$4:$C991,X288))</f>
        <v>#NAME?</v>
      </c>
      <c r="AA288" t="e">
        <f ca="1">IF(X288="","",SUMIFS(#REF!,RM!$C$4:$C991,X288))</f>
        <v>#NAME?</v>
      </c>
      <c r="AB288" t="e">
        <f ca="1">IF(X288="","",SUMIFS(IRegback!$Y$2:$Y1001,IRegback!$X$2:$X1001,X288))</f>
        <v>#NAME?</v>
      </c>
      <c r="AC288" t="e">
        <f t="shared" ca="1" si="6"/>
        <v>#NAME?</v>
      </c>
      <c r="AD288" t="e">
        <f ca="1">IF(X288="","",VLOOKUP($X288,RM!$C$4:$G991,3,FALSE))</f>
        <v>#NAME?</v>
      </c>
      <c r="AE288" t="e">
        <f ca="1">IF(X288="","",VLOOKUP($X288,RM!$C$4:$G991,4,FALSE))</f>
        <v>#NAME?</v>
      </c>
      <c r="AF288" t="e">
        <f ca="1">IF(X288="","",VLOOKUP($X288,RM!$C$4:$G991,5,FALSE))</f>
        <v>#NAME?</v>
      </c>
      <c r="AH288" t="str">
        <f ca="1">IFERROR(__xludf.DUMMYFUNCTION("""COMPUTED_VALUE"""),"FL_STBD Mech")</f>
        <v>FL_STBD Mech</v>
      </c>
      <c r="AI288" t="str">
        <f ca="1">IFERROR(__xludf.DUMMYFUNCTION("""COMPUTED_VALUE"""),"Heatsink paste")</f>
        <v>Heatsink paste</v>
      </c>
      <c r="AJ288">
        <f ca="1">IFERROR(__xludf.DUMMYFUNCTION("""COMPUTED_VALUE"""),5)</f>
        <v>5</v>
      </c>
      <c r="AK288" t="str">
        <f ca="1">IFERROR(__xludf.DUMMYFUNCTION("""COMPUTED_VALUE"""),"blank")</f>
        <v>blank</v>
      </c>
      <c r="AL288" t="e">
        <f ca="1">_xludf.IFNA(VLOOKUP(AH288,'S-FG'!$B$3:$B1001,1,FALSE),"")</f>
        <v>#NAME?</v>
      </c>
      <c r="AM288" t="e">
        <f ca="1">IF(AI288="","",SUMIFS(#REF!,RM!$C$4:$C991,AI288))</f>
        <v>#REF!</v>
      </c>
    </row>
    <row r="289" spans="5:39">
      <c r="E289" t="str">
        <f>IF(A289="","",SUMIFS('PR-BOM'!$D$3:$D1001,'PR-BOM'!$C$3:$C1001,A289)*C289)</f>
        <v/>
      </c>
      <c r="F289" t="e">
        <f ca="1">_xludf.IFNA(VLOOKUP(B289,'S-FG'!$B$3:$B1001,1,FALSE),"")</f>
        <v>#NAME?</v>
      </c>
      <c r="H289" t="str">
        <f ca="1">IFERROR(__xludf.DUMMYFUNCTION("""COMPUTED_VALUE"""),"PORT Battery Assy")</f>
        <v>PORT Battery Assy</v>
      </c>
      <c r="I289" t="str">
        <f ca="1">IFERROR(__xludf.DUMMYFUNCTION("""COMPUTED_VALUE"""),"Black 12AWG")</f>
        <v>Black 12AWG</v>
      </c>
      <c r="J289">
        <f ca="1">IFERROR(__xludf.DUMMYFUNCTION("""COMPUTED_VALUE"""),0.8)</f>
        <v>0.8</v>
      </c>
      <c r="K289" t="str">
        <f ca="1">IFERROR(__xludf.DUMMYFUNCTION("""COMPUTED_VALUE"""),"blank")</f>
        <v>blank</v>
      </c>
      <c r="L289">
        <f t="shared" ca="1" si="4"/>
        <v>0</v>
      </c>
      <c r="Q289" t="str">
        <f>IF(N289="","",SUMIFS('PR-BOM'!$D$3:$D1001,'PR-BOM'!$C$3:$C1001,N289))</f>
        <v/>
      </c>
      <c r="S289" t="str">
        <f ca="1">IFERROR(__xludf.DUMMYFUNCTION("""COMPUTED_VALUE"""),"Red 8AWG")</f>
        <v>Red 8AWG</v>
      </c>
      <c r="X289" t="e">
        <f ca="1"/>
        <v>#NAME?</v>
      </c>
      <c r="Y289" t="e">
        <f t="shared" ca="1" si="5"/>
        <v>#NAME?</v>
      </c>
      <c r="Z289" t="e">
        <f ca="1">IF(X289="","",SUMIFS(#REF!,RM!$C$4:$C991,X289))</f>
        <v>#NAME?</v>
      </c>
      <c r="AA289" t="e">
        <f ca="1">IF(X289="","",SUMIFS(#REF!,RM!$C$4:$C991,X289))</f>
        <v>#NAME?</v>
      </c>
      <c r="AB289" t="e">
        <f ca="1">IF(X289="","",SUMIFS(IRegback!$Y$2:$Y1001,IRegback!$X$2:$X1001,X289))</f>
        <v>#NAME?</v>
      </c>
      <c r="AC289" t="e">
        <f t="shared" ca="1" si="6"/>
        <v>#NAME?</v>
      </c>
      <c r="AD289" t="e">
        <f ca="1">IF(X289="","",VLOOKUP($X289,RM!$C$4:$G991,3,FALSE))</f>
        <v>#NAME?</v>
      </c>
      <c r="AE289" t="e">
        <f ca="1">IF(X289="","",VLOOKUP($X289,RM!$C$4:$G991,4,FALSE))</f>
        <v>#NAME?</v>
      </c>
      <c r="AF289" t="e">
        <f ca="1">IF(X289="","",VLOOKUP($X289,RM!$C$4:$G991,5,FALSE))</f>
        <v>#NAME?</v>
      </c>
      <c r="AH289" t="str">
        <f ca="1">IFERROR(__xludf.DUMMYFUNCTION("""COMPUTED_VALUE"""),"FL_STBD Mech")</f>
        <v>FL_STBD Mech</v>
      </c>
      <c r="AI289" t="str">
        <f ca="1">IFERROR(__xludf.DUMMYFUNCTION("""COMPUTED_VALUE"""),"M3x6 Allen Head")</f>
        <v>M3x6 Allen Head</v>
      </c>
      <c r="AJ289">
        <f ca="1">IFERROR(__xludf.DUMMYFUNCTION("""COMPUTED_VALUE"""),2)</f>
        <v>2</v>
      </c>
      <c r="AL289" t="e">
        <f ca="1">_xludf.IFNA(VLOOKUP(AH289,'S-FG'!$B$3:$B1001,1,FALSE),"")</f>
        <v>#NAME?</v>
      </c>
      <c r="AM289" t="e">
        <f ca="1">IF(AI289="","",SUMIFS(#REF!,RM!$C$4:$C991,AI289))</f>
        <v>#REF!</v>
      </c>
    </row>
    <row r="290" spans="5:39">
      <c r="E290" t="str">
        <f>IF(A290="","",SUMIFS('PR-BOM'!$D$3:$D1001,'PR-BOM'!$C$3:$C1001,A290)*C290)</f>
        <v/>
      </c>
      <c r="F290" t="e">
        <f ca="1">_xludf.IFNA(VLOOKUP(B290,'S-FG'!$B$3:$B1001,1,FALSE),"")</f>
        <v>#NAME?</v>
      </c>
      <c r="H290" t="str">
        <f ca="1">IFERROR(__xludf.DUMMYFUNCTION("""COMPUTED_VALUE"""),"PORT Battery Assy")</f>
        <v>PORT Battery Assy</v>
      </c>
      <c r="I290" t="str">
        <f ca="1">IFERROR(__xludf.DUMMYFUNCTION("""COMPUTED_VALUE"""),"Black 18 AWG")</f>
        <v>Black 18 AWG</v>
      </c>
      <c r="J290">
        <f ca="1">IFERROR(__xludf.DUMMYFUNCTION("""COMPUTED_VALUE"""),0.55)</f>
        <v>0.55000000000000004</v>
      </c>
      <c r="K290" t="str">
        <f ca="1">IFERROR(__xludf.DUMMYFUNCTION("""COMPUTED_VALUE"""),"blank")</f>
        <v>blank</v>
      </c>
      <c r="L290">
        <f t="shared" ca="1" si="4"/>
        <v>0</v>
      </c>
      <c r="Q290" t="str">
        <f>IF(N290="","",SUMIFS('PR-BOM'!$D$3:$D1001,'PR-BOM'!$C$3:$C1001,N290))</f>
        <v/>
      </c>
      <c r="S290" t="str">
        <f ca="1">IFERROR(__xludf.DUMMYFUNCTION("""COMPUTED_VALUE"""),"Black 12AWG")</f>
        <v>Black 12AWG</v>
      </c>
      <c r="X290" t="e">
        <f ca="1"/>
        <v>#NAME?</v>
      </c>
      <c r="Y290" t="e">
        <f t="shared" ca="1" si="5"/>
        <v>#NAME?</v>
      </c>
      <c r="Z290" t="e">
        <f ca="1">IF(X290="","",SUMIFS(#REF!,RM!$C$4:$C991,X290))</f>
        <v>#NAME?</v>
      </c>
      <c r="AA290" t="e">
        <f ca="1">IF(X290="","",SUMIFS(#REF!,RM!$C$4:$C991,X290))</f>
        <v>#NAME?</v>
      </c>
      <c r="AB290" t="e">
        <f ca="1">IF(X290="","",SUMIFS(IRegback!$Y$2:$Y1001,IRegback!$X$2:$X1001,X290))</f>
        <v>#NAME?</v>
      </c>
      <c r="AC290" t="e">
        <f t="shared" ca="1" si="6"/>
        <v>#NAME?</v>
      </c>
      <c r="AD290" t="e">
        <f ca="1">IF(X290="","",VLOOKUP($X290,RM!$C$4:$G991,3,FALSE))</f>
        <v>#NAME?</v>
      </c>
      <c r="AE290" t="e">
        <f ca="1">IF(X290="","",VLOOKUP($X290,RM!$C$4:$G991,4,FALSE))</f>
        <v>#NAME?</v>
      </c>
      <c r="AF290" t="e">
        <f ca="1">IF(X290="","",VLOOKUP($X290,RM!$C$4:$G991,5,FALSE))</f>
        <v>#NAME?</v>
      </c>
      <c r="AH290" t="str">
        <f ca="1">IFERROR(__xludf.DUMMYFUNCTION("""COMPUTED_VALUE"""),"FL_STBD Mech")</f>
        <v>FL_STBD Mech</v>
      </c>
      <c r="AI290" t="str">
        <f ca="1">IFERROR(__xludf.DUMMYFUNCTION("""COMPUTED_VALUE"""),"M4x12 Allen Head")</f>
        <v>M4x12 Allen Head</v>
      </c>
      <c r="AJ290">
        <f ca="1">IFERROR(__xludf.DUMMYFUNCTION("""COMPUTED_VALUE"""),2)</f>
        <v>2</v>
      </c>
      <c r="AK290" t="str">
        <f ca="1">IFERROR(__xludf.DUMMYFUNCTION("""COMPUTED_VALUE"""),"blank")</f>
        <v>blank</v>
      </c>
      <c r="AL290" t="e">
        <f ca="1">_xludf.IFNA(VLOOKUP(AH290,'S-FG'!$B$3:$B1001,1,FALSE),"")</f>
        <v>#NAME?</v>
      </c>
      <c r="AM290" t="e">
        <f ca="1">IF(AI290="","",SUMIFS(#REF!,RM!$C$4:$C991,AI290))</f>
        <v>#REF!</v>
      </c>
    </row>
    <row r="291" spans="5:39">
      <c r="E291" t="str">
        <f>IF(A291="","",SUMIFS('PR-BOM'!$D$3:$D1001,'PR-BOM'!$C$3:$C1001,A291)*C291)</f>
        <v/>
      </c>
      <c r="F291" t="e">
        <f ca="1">_xludf.IFNA(VLOOKUP(B291,'S-FG'!$B$3:$B1001,1,FALSE),"")</f>
        <v>#NAME?</v>
      </c>
      <c r="H291" t="str">
        <f ca="1">IFERROR(__xludf.DUMMYFUNCTION("""COMPUTED_VALUE"""),"PORT Battery Assy")</f>
        <v>PORT Battery Assy</v>
      </c>
      <c r="I291" t="str">
        <f ca="1">IFERROR(__xludf.DUMMYFUNCTION("""COMPUTED_VALUE"""),"Soldering flux")</f>
        <v>Soldering flux</v>
      </c>
      <c r="J291">
        <f ca="1">IFERROR(__xludf.DUMMYFUNCTION("""COMPUTED_VALUE"""),5)</f>
        <v>5</v>
      </c>
      <c r="L291">
        <f t="shared" ca="1" si="4"/>
        <v>0</v>
      </c>
      <c r="Q291" t="str">
        <f>IF(N291="","",SUMIFS('PR-BOM'!$D$3:$D1001,'PR-BOM'!$C$3:$C1001,N291))</f>
        <v/>
      </c>
      <c r="S291" t="str">
        <f ca="1">IFERROR(__xludf.DUMMYFUNCTION("""COMPUTED_VALUE"""),"Black 18 AWG")</f>
        <v>Black 18 AWG</v>
      </c>
      <c r="X291" t="e">
        <f ca="1"/>
        <v>#NAME?</v>
      </c>
      <c r="Y291" t="e">
        <f t="shared" ca="1" si="5"/>
        <v>#NAME?</v>
      </c>
      <c r="Z291" t="e">
        <f ca="1">IF(X291="","",SUMIFS(#REF!,RM!$C$4:$C991,X291))</f>
        <v>#NAME?</v>
      </c>
      <c r="AA291" t="e">
        <f ca="1">IF(X291="","",SUMIFS(#REF!,RM!$C$4:$C991,X291))</f>
        <v>#NAME?</v>
      </c>
      <c r="AB291" t="e">
        <f ca="1">IF(X291="","",SUMIFS(IRegback!$Y$2:$Y1001,IRegback!$X$2:$X1001,X291))</f>
        <v>#NAME?</v>
      </c>
      <c r="AC291" t="e">
        <f t="shared" ca="1" si="6"/>
        <v>#NAME?</v>
      </c>
      <c r="AD291" t="e">
        <f ca="1">IF(X291="","",VLOOKUP($X291,RM!$C$4:$G991,3,FALSE))</f>
        <v>#NAME?</v>
      </c>
      <c r="AE291" t="e">
        <f ca="1">IF(X291="","",VLOOKUP($X291,RM!$C$4:$G991,4,FALSE))</f>
        <v>#NAME?</v>
      </c>
      <c r="AF291" t="e">
        <f ca="1">IF(X291="","",VLOOKUP($X291,RM!$C$4:$G991,5,FALSE))</f>
        <v>#NAME?</v>
      </c>
      <c r="AH291" t="str">
        <f ca="1">IFERROR(__xludf.DUMMYFUNCTION("""COMPUTED_VALUE"""),"FL_STBD Mech")</f>
        <v>FL_STBD Mech</v>
      </c>
      <c r="AI291" t="str">
        <f ca="1">IFERROR(__xludf.DUMMYFUNCTION("""COMPUTED_VALUE"""),"Teroson MS930")</f>
        <v>Teroson MS930</v>
      </c>
      <c r="AJ291">
        <f ca="1">IFERROR(__xludf.DUMMYFUNCTION("""COMPUTED_VALUE"""),5)</f>
        <v>5</v>
      </c>
      <c r="AK291" t="str">
        <f ca="1">IFERROR(__xludf.DUMMYFUNCTION("""COMPUTED_VALUE"""),"blank")</f>
        <v>blank</v>
      </c>
      <c r="AL291" t="e">
        <f ca="1">_xludf.IFNA(VLOOKUP(AH291,'S-FG'!$B$3:$B1001,1,FALSE),"")</f>
        <v>#NAME?</v>
      </c>
      <c r="AM291" t="e">
        <f ca="1">IF(AI291="","",SUMIFS(#REF!,RM!$C$4:$C991,AI291))</f>
        <v>#REF!</v>
      </c>
    </row>
    <row r="292" spans="5:39">
      <c r="E292" t="str">
        <f>IF(A292="","",SUMIFS('PR-BOM'!$D$3:$D1001,'PR-BOM'!$C$3:$C1001,A292)*C292)</f>
        <v/>
      </c>
      <c r="F292" t="e">
        <f ca="1">_xludf.IFNA(VLOOKUP(B292,'S-FG'!$B$3:$B1001,1,FALSE),"")</f>
        <v>#NAME?</v>
      </c>
      <c r="H292" t="str">
        <f ca="1">IFERROR(__xludf.DUMMYFUNCTION("""COMPUTED_VALUE"""),"PORT Battery Assy")</f>
        <v>PORT Battery Assy</v>
      </c>
      <c r="I292" t="str">
        <f ca="1">IFERROR(__xludf.DUMMYFUNCTION("""COMPUTED_VALUE"""),"2mm FRP 60x70mm")</f>
        <v>2mm FRP 60x70mm</v>
      </c>
      <c r="J292">
        <f ca="1">IFERROR(__xludf.DUMMYFUNCTION("""COMPUTED_VALUE"""),1)</f>
        <v>1</v>
      </c>
      <c r="K292" t="str">
        <f ca="1">IFERROR(__xludf.DUMMYFUNCTION("""COMPUTED_VALUE"""),"blank")</f>
        <v>blank</v>
      </c>
      <c r="L292">
        <f t="shared" ca="1" si="4"/>
        <v>0</v>
      </c>
      <c r="Q292" t="str">
        <f>IF(N292="","",SUMIFS('PR-BOM'!$D$3:$D1001,'PR-BOM'!$C$3:$C1001,N292))</f>
        <v/>
      </c>
      <c r="S292" t="str">
        <f ca="1">IFERROR(__xludf.DUMMYFUNCTION("""COMPUTED_VALUE"""),"Soldering flux")</f>
        <v>Soldering flux</v>
      </c>
      <c r="X292" t="e">
        <f ca="1"/>
        <v>#NAME?</v>
      </c>
      <c r="Y292" t="e">
        <f t="shared" ca="1" si="5"/>
        <v>#NAME?</v>
      </c>
      <c r="Z292" t="e">
        <f ca="1">IF(X292="","",SUMIFS(#REF!,RM!$C$4:$C991,X292))</f>
        <v>#NAME?</v>
      </c>
      <c r="AA292" t="e">
        <f ca="1">IF(X292="","",SUMIFS(#REF!,RM!$C$4:$C991,X292))</f>
        <v>#NAME?</v>
      </c>
      <c r="AB292" t="e">
        <f ca="1">IF(X292="","",SUMIFS(IRegback!$Y$2:$Y1001,IRegback!$X$2:$X1001,X292))</f>
        <v>#NAME?</v>
      </c>
      <c r="AC292" t="e">
        <f t="shared" ca="1" si="6"/>
        <v>#NAME?</v>
      </c>
      <c r="AD292" t="e">
        <f ca="1">IF(X292="","",VLOOKUP($X292,RM!$C$4:$G991,3,FALSE))</f>
        <v>#NAME?</v>
      </c>
      <c r="AE292" t="e">
        <f ca="1">IF(X292="","",VLOOKUP($X292,RM!$C$4:$G991,4,FALSE))</f>
        <v>#NAME?</v>
      </c>
      <c r="AF292" t="e">
        <f ca="1">IF(X292="","",VLOOKUP($X292,RM!$C$4:$G991,5,FALSE))</f>
        <v>#NAME?</v>
      </c>
      <c r="AH292" t="str">
        <f ca="1">IFERROR(__xludf.DUMMYFUNCTION("""COMPUTED_VALUE"""),"FL_PORT Mech")</f>
        <v>FL_PORT Mech</v>
      </c>
      <c r="AI292" t="str">
        <f ca="1">IFERROR(__xludf.DUMMYFUNCTION("""COMPUTED_VALUE"""),"M3x8 Button Head")</f>
        <v>M3x8 Button Head</v>
      </c>
      <c r="AJ292">
        <f ca="1">IFERROR(__xludf.DUMMYFUNCTION("""COMPUTED_VALUE"""),6)</f>
        <v>6</v>
      </c>
      <c r="AK292" t="str">
        <f ca="1">IFERROR(__xludf.DUMMYFUNCTION("""COMPUTED_VALUE"""),"blank")</f>
        <v>blank</v>
      </c>
      <c r="AL292" t="e">
        <f ca="1">_xludf.IFNA(VLOOKUP(AH292,'S-FG'!$B$3:$B1001,1,FALSE),"")</f>
        <v>#NAME?</v>
      </c>
      <c r="AM292" t="e">
        <f ca="1">IF(AI292="","",SUMIFS(#REF!,RM!$C$4:$C991,AI292))</f>
        <v>#REF!</v>
      </c>
    </row>
    <row r="293" spans="5:39">
      <c r="E293" t="str">
        <f>IF(A293="","",SUMIFS('PR-BOM'!$D$3:$D1001,'PR-BOM'!$C$3:$C1001,A293)*C293)</f>
        <v/>
      </c>
      <c r="F293" t="e">
        <f ca="1">_xludf.IFNA(VLOOKUP(B293,'S-FG'!$B$3:$B1001,1,FALSE),"")</f>
        <v>#NAME?</v>
      </c>
      <c r="H293" t="str">
        <f ca="1">IFERROR(__xludf.DUMMYFUNCTION("""COMPUTED_VALUE"""),"PORT Battery Assy")</f>
        <v>PORT Battery Assy</v>
      </c>
      <c r="I293" t="str">
        <f ca="1">IFERROR(__xludf.DUMMYFUNCTION("""COMPUTED_VALUE"""),"2mm FRP 60x70mm with 18 mm hole")</f>
        <v>2mm FRP 60x70mm with 18 mm hole</v>
      </c>
      <c r="J293">
        <f ca="1">IFERROR(__xludf.DUMMYFUNCTION("""COMPUTED_VALUE"""),1)</f>
        <v>1</v>
      </c>
      <c r="L293">
        <f t="shared" ca="1" si="4"/>
        <v>0</v>
      </c>
      <c r="Q293" t="str">
        <f>IF(N293="","",SUMIFS('PR-BOM'!$D$3:$D1001,'PR-BOM'!$C$3:$C1001,N293))</f>
        <v/>
      </c>
      <c r="S293" t="str">
        <f ca="1">IFERROR(__xludf.DUMMYFUNCTION("""COMPUTED_VALUE"""),"2mm FRP 60x70mm")</f>
        <v>2mm FRP 60x70mm</v>
      </c>
      <c r="X293" t="e">
        <f ca="1"/>
        <v>#NAME?</v>
      </c>
      <c r="Y293" t="e">
        <f t="shared" ca="1" si="5"/>
        <v>#NAME?</v>
      </c>
      <c r="Z293" t="e">
        <f ca="1">IF(X293="","",SUMIFS(#REF!,RM!$C$4:$C991,X293))</f>
        <v>#NAME?</v>
      </c>
      <c r="AA293" t="e">
        <f ca="1">IF(X293="","",SUMIFS(#REF!,RM!$C$4:$C991,X293))</f>
        <v>#NAME?</v>
      </c>
      <c r="AB293" t="e">
        <f ca="1">IF(X293="","",SUMIFS(IRegback!$Y$2:$Y1001,IRegback!$X$2:$X1001,X293))</f>
        <v>#NAME?</v>
      </c>
      <c r="AC293" t="e">
        <f t="shared" ca="1" si="6"/>
        <v>#NAME?</v>
      </c>
      <c r="AD293" t="e">
        <f ca="1">IF(X293="","",VLOOKUP($X293,RM!$C$4:$G991,3,FALSE))</f>
        <v>#NAME?</v>
      </c>
      <c r="AE293" t="e">
        <f ca="1">IF(X293="","",VLOOKUP($X293,RM!$C$4:$G991,4,FALSE))</f>
        <v>#NAME?</v>
      </c>
      <c r="AF293" t="e">
        <f ca="1">IF(X293="","",VLOOKUP($X293,RM!$C$4:$G991,5,FALSE))</f>
        <v>#NAME?</v>
      </c>
      <c r="AH293" t="str">
        <f ca="1">IFERROR(__xludf.DUMMYFUNCTION("""COMPUTED_VALUE"""),"FL_PORT Mech")</f>
        <v>FL_PORT Mech</v>
      </c>
      <c r="AI293" t="str">
        <f ca="1">IFERROR(__xludf.DUMMYFUNCTION("""COMPUTED_VALUE"""),"Flashing Light glass")</f>
        <v>Flashing Light glass</v>
      </c>
      <c r="AJ293">
        <f ca="1">IFERROR(__xludf.DUMMYFUNCTION("""COMPUTED_VALUE"""),1)</f>
        <v>1</v>
      </c>
      <c r="AK293" t="str">
        <f ca="1">IFERROR(__xludf.DUMMYFUNCTION("""COMPUTED_VALUE"""),"blank")</f>
        <v>blank</v>
      </c>
      <c r="AL293" t="e">
        <f ca="1">_xludf.IFNA(VLOOKUP(AH293,'S-FG'!$B$3:$B1001,1,FALSE),"")</f>
        <v>#NAME?</v>
      </c>
      <c r="AM293" t="e">
        <f ca="1">IF(AI293="","",SUMIFS(#REF!,RM!$C$4:$C991,AI293))</f>
        <v>#REF!</v>
      </c>
    </row>
    <row r="294" spans="5:39">
      <c r="E294" t="str">
        <f>IF(A294="","",SUMIFS('PR-BOM'!$D$3:$D1001,'PR-BOM'!$C$3:$C1001,A294)*C294)</f>
        <v/>
      </c>
      <c r="F294" t="e">
        <f ca="1">_xludf.IFNA(VLOOKUP(B294,'S-FG'!$B$3:$B1001,1,FALSE),"")</f>
        <v>#NAME?</v>
      </c>
      <c r="H294" t="str">
        <f ca="1">IFERROR(__xludf.DUMMYFUNCTION("""COMPUTED_VALUE"""),"PORT Battery Assy")</f>
        <v>PORT Battery Assy</v>
      </c>
      <c r="I294" t="str">
        <f ca="1">IFERROR(__xludf.DUMMYFUNCTION("""COMPUTED_VALUE"""),"70mm Paper Separator")</f>
        <v>70mm Paper Separator</v>
      </c>
      <c r="J294">
        <f ca="1">IFERROR(__xludf.DUMMYFUNCTION("""COMPUTED_VALUE"""),0.5)</f>
        <v>0.5</v>
      </c>
      <c r="K294" t="str">
        <f ca="1">IFERROR(__xludf.DUMMYFUNCTION("""COMPUTED_VALUE"""),"blank")</f>
        <v>blank</v>
      </c>
      <c r="L294">
        <f t="shared" ca="1" si="4"/>
        <v>0</v>
      </c>
      <c r="Q294" t="str">
        <f>IF(N294="","",SUMIFS('PR-BOM'!$D$3:$D1001,'PR-BOM'!$C$3:$C1001,N294))</f>
        <v/>
      </c>
      <c r="S294" t="str">
        <f ca="1">IFERROR(__xludf.DUMMYFUNCTION("""COMPUTED_VALUE"""),"2mm FRP 60x70mm with 18 mm hole")</f>
        <v>2mm FRP 60x70mm with 18 mm hole</v>
      </c>
      <c r="X294" t="e">
        <f ca="1"/>
        <v>#NAME?</v>
      </c>
      <c r="Y294" t="e">
        <f t="shared" ca="1" si="5"/>
        <v>#NAME?</v>
      </c>
      <c r="Z294" t="e">
        <f ca="1">IF(X294="","",SUMIFS(#REF!,RM!$C$4:$C991,X294))</f>
        <v>#NAME?</v>
      </c>
      <c r="AA294" t="e">
        <f ca="1">IF(X294="","",SUMIFS(#REF!,RM!$C$4:$C991,X294))</f>
        <v>#NAME?</v>
      </c>
      <c r="AB294" t="e">
        <f ca="1">IF(X294="","",SUMIFS(IRegback!$Y$2:$Y1001,IRegback!$X$2:$X1001,X294))</f>
        <v>#NAME?</v>
      </c>
      <c r="AC294" t="e">
        <f t="shared" ca="1" si="6"/>
        <v>#NAME?</v>
      </c>
      <c r="AD294" t="e">
        <f ca="1">IF(X294="","",VLOOKUP($X294,RM!$C$4:$G991,3,FALSE))</f>
        <v>#NAME?</v>
      </c>
      <c r="AE294" t="e">
        <f ca="1">IF(X294="","",VLOOKUP($X294,RM!$C$4:$G991,4,FALSE))</f>
        <v>#NAME?</v>
      </c>
      <c r="AF294" t="e">
        <f ca="1">IF(X294="","",VLOOKUP($X294,RM!$C$4:$G991,5,FALSE))</f>
        <v>#NAME?</v>
      </c>
      <c r="AH294" t="str">
        <f ca="1">IFERROR(__xludf.DUMMYFUNCTION("""COMPUTED_VALUE"""),"FL_PORT Mech")</f>
        <v>FL_PORT Mech</v>
      </c>
      <c r="AI294" t="str">
        <f ca="1">IFERROR(__xludf.DUMMYFUNCTION("""COMPUTED_VALUE"""),"Flashing Light bottom plate")</f>
        <v>Flashing Light bottom plate</v>
      </c>
      <c r="AJ294">
        <f ca="1">IFERROR(__xludf.DUMMYFUNCTION("""COMPUTED_VALUE"""),1)</f>
        <v>1</v>
      </c>
      <c r="AK294" t="str">
        <f ca="1">IFERROR(__xludf.DUMMYFUNCTION("""COMPUTED_VALUE"""),"blank")</f>
        <v>blank</v>
      </c>
      <c r="AL294" t="e">
        <f ca="1">_xludf.IFNA(VLOOKUP(AH294,'S-FG'!$B$3:$B1001,1,FALSE),"")</f>
        <v>#NAME?</v>
      </c>
      <c r="AM294" t="e">
        <f ca="1">IF(AI294="","",SUMIFS(#REF!,RM!$C$4:$C991,AI294))</f>
        <v>#REF!</v>
      </c>
    </row>
    <row r="295" spans="5:39">
      <c r="E295" t="str">
        <f>IF(A295="","",SUMIFS('PR-BOM'!$D$3:$D1001,'PR-BOM'!$C$3:$C1001,A295)*C295)</f>
        <v/>
      </c>
      <c r="F295" t="e">
        <f ca="1">_xludf.IFNA(VLOOKUP(B295,'S-FG'!$B$3:$B1001,1,FALSE),"")</f>
        <v>#NAME?</v>
      </c>
      <c r="H295" t="str">
        <f ca="1">IFERROR(__xludf.DUMMYFUNCTION("""COMPUTED_VALUE"""),"PORT Battery Assy")</f>
        <v>PORT Battery Assy</v>
      </c>
      <c r="I295" t="str">
        <f ca="1">IFERROR(__xludf.DUMMYFUNCTION("""COMPUTED_VALUE"""),"16AWG Lead")</f>
        <v>16AWG Lead</v>
      </c>
      <c r="J295">
        <f ca="1">IFERROR(__xludf.DUMMYFUNCTION("""COMPUTED_VALUE"""),30)</f>
        <v>30</v>
      </c>
      <c r="K295" t="str">
        <f ca="1">IFERROR(__xludf.DUMMYFUNCTION("""COMPUTED_VALUE"""),"blank")</f>
        <v>blank</v>
      </c>
      <c r="L295">
        <f t="shared" ca="1" si="4"/>
        <v>0</v>
      </c>
      <c r="Q295" t="str">
        <f>IF(N295="","",SUMIFS('PR-BOM'!$D$3:$D1001,'PR-BOM'!$C$3:$C1001,N295))</f>
        <v/>
      </c>
      <c r="S295" t="str">
        <f ca="1">IFERROR(__xludf.DUMMYFUNCTION("""COMPUTED_VALUE"""),"70mm Paper Separator")</f>
        <v>70mm Paper Separator</v>
      </c>
      <c r="X295" t="e">
        <f ca="1"/>
        <v>#NAME?</v>
      </c>
      <c r="Y295" t="e">
        <f t="shared" ca="1" si="5"/>
        <v>#NAME?</v>
      </c>
      <c r="Z295" t="e">
        <f ca="1">IF(X295="","",SUMIFS(#REF!,RM!$C$4:$C991,X295))</f>
        <v>#NAME?</v>
      </c>
      <c r="AA295" t="e">
        <f ca="1">IF(X295="","",SUMIFS(#REF!,RM!$C$4:$C991,X295))</f>
        <v>#NAME?</v>
      </c>
      <c r="AB295" t="e">
        <f ca="1">IF(X295="","",SUMIFS(IRegback!$Y$2:$Y1001,IRegback!$X$2:$X1001,X295))</f>
        <v>#NAME?</v>
      </c>
      <c r="AC295" t="e">
        <f t="shared" ca="1" si="6"/>
        <v>#NAME?</v>
      </c>
      <c r="AD295" t="e">
        <f ca="1">IF(X295="","",VLOOKUP($X295,RM!$C$4:$G991,3,FALSE))</f>
        <v>#NAME?</v>
      </c>
      <c r="AE295" t="e">
        <f ca="1">IF(X295="","",VLOOKUP($X295,RM!$C$4:$G991,4,FALSE))</f>
        <v>#NAME?</v>
      </c>
      <c r="AF295" t="e">
        <f ca="1">IF(X295="","",VLOOKUP($X295,RM!$C$4:$G991,5,FALSE))</f>
        <v>#NAME?</v>
      </c>
      <c r="AH295" t="str">
        <f ca="1">IFERROR(__xludf.DUMMYFUNCTION("""COMPUTED_VALUE"""),"FL_PORT Mech")</f>
        <v>FL_PORT Mech</v>
      </c>
      <c r="AI295" t="str">
        <f ca="1">IFERROR(__xludf.DUMMYFUNCTION("""COMPUTED_VALUE"""),"Heatsink paste")</f>
        <v>Heatsink paste</v>
      </c>
      <c r="AJ295">
        <f ca="1">IFERROR(__xludf.DUMMYFUNCTION("""COMPUTED_VALUE"""),5)</f>
        <v>5</v>
      </c>
      <c r="AK295" t="str">
        <f ca="1">IFERROR(__xludf.DUMMYFUNCTION("""COMPUTED_VALUE"""),"blank")</f>
        <v>blank</v>
      </c>
      <c r="AL295" t="e">
        <f ca="1">_xludf.IFNA(VLOOKUP(AH295,'S-FG'!$B$3:$B1001,1,FALSE),"")</f>
        <v>#NAME?</v>
      </c>
      <c r="AM295" t="e">
        <f ca="1">IF(AI295="","",SUMIFS(#REF!,RM!$C$4:$C991,AI295))</f>
        <v>#REF!</v>
      </c>
    </row>
    <row r="296" spans="5:39">
      <c r="E296" t="str">
        <f>IF(A296="","",SUMIFS('PR-BOM'!$D$3:$D1001,'PR-BOM'!$C$3:$C1001,A296)*C296)</f>
        <v/>
      </c>
      <c r="F296" t="e">
        <f ca="1">_xludf.IFNA(VLOOKUP(B296,'S-FG'!$B$3:$B1001,1,FALSE),"")</f>
        <v>#NAME?</v>
      </c>
      <c r="H296" t="str">
        <f ca="1">IFERROR(__xludf.DUMMYFUNCTION("""COMPUTED_VALUE"""),"PORT Battery Assy")</f>
        <v>PORT Battery Assy</v>
      </c>
      <c r="I296" t="str">
        <f ca="1">IFERROR(__xludf.DUMMYFUNCTION("""COMPUTED_VALUE"""),"HeatShrink Tube 12:3")</f>
        <v>HeatShrink Tube 12:3</v>
      </c>
      <c r="J296">
        <f ca="1">IFERROR(__xludf.DUMMYFUNCTION("""COMPUTED_VALUE"""),0.03)</f>
        <v>0.03</v>
      </c>
      <c r="K296" t="str">
        <f ca="1">IFERROR(__xludf.DUMMYFUNCTION("""COMPUTED_VALUE"""),"blank")</f>
        <v>blank</v>
      </c>
      <c r="L296">
        <f t="shared" ca="1" si="4"/>
        <v>0</v>
      </c>
      <c r="Q296" t="str">
        <f>IF(N296="","",SUMIFS('PR-BOM'!$D$3:$D1001,'PR-BOM'!$C$3:$C1001,N296))</f>
        <v/>
      </c>
      <c r="S296" t="str">
        <f ca="1">IFERROR(__xludf.DUMMYFUNCTION("""COMPUTED_VALUE"""),"16AWG Lead")</f>
        <v>16AWG Lead</v>
      </c>
      <c r="X296" t="e">
        <f ca="1"/>
        <v>#NAME?</v>
      </c>
      <c r="Y296" t="e">
        <f t="shared" ca="1" si="5"/>
        <v>#NAME?</v>
      </c>
      <c r="Z296" t="e">
        <f ca="1">IF(X296="","",SUMIFS(#REF!,RM!$C$4:$C991,X296))</f>
        <v>#NAME?</v>
      </c>
      <c r="AA296" t="e">
        <f ca="1">IF(X296="","",SUMIFS(#REF!,RM!$C$4:$C991,X296))</f>
        <v>#NAME?</v>
      </c>
      <c r="AB296" t="e">
        <f ca="1">IF(X296="","",SUMIFS(IRegback!$Y$2:$Y1001,IRegback!$X$2:$X1001,X296))</f>
        <v>#NAME?</v>
      </c>
      <c r="AC296" t="e">
        <f t="shared" ca="1" si="6"/>
        <v>#NAME?</v>
      </c>
      <c r="AD296" t="e">
        <f ca="1">IF(X296="","",VLOOKUP($X296,RM!$C$4:$G991,3,FALSE))</f>
        <v>#NAME?</v>
      </c>
      <c r="AE296" t="e">
        <f ca="1">IF(X296="","",VLOOKUP($X296,RM!$C$4:$G991,4,FALSE))</f>
        <v>#NAME?</v>
      </c>
      <c r="AF296" t="e">
        <f ca="1">IF(X296="","",VLOOKUP($X296,RM!$C$4:$G991,5,FALSE))</f>
        <v>#NAME?</v>
      </c>
      <c r="AH296" t="str">
        <f ca="1">IFERROR(__xludf.DUMMYFUNCTION("""COMPUTED_VALUE"""),"FL_PORT Mech")</f>
        <v>FL_PORT Mech</v>
      </c>
      <c r="AI296" t="str">
        <f ca="1">IFERROR(__xludf.DUMMYFUNCTION("""COMPUTED_VALUE"""),"M3x6 Allen Head")</f>
        <v>M3x6 Allen Head</v>
      </c>
      <c r="AJ296">
        <f ca="1">IFERROR(__xludf.DUMMYFUNCTION("""COMPUTED_VALUE"""),2)</f>
        <v>2</v>
      </c>
      <c r="AL296" t="e">
        <f ca="1">_xludf.IFNA(VLOOKUP(AH296,'S-FG'!$B$3:$B1001,1,FALSE),"")</f>
        <v>#NAME?</v>
      </c>
      <c r="AM296" t="e">
        <f ca="1">IF(AI296="","",SUMIFS(#REF!,RM!$C$4:$C991,AI296))</f>
        <v>#REF!</v>
      </c>
    </row>
    <row r="297" spans="5:39">
      <c r="E297" t="str">
        <f>IF(A297="","",SUMIFS('PR-BOM'!$D$3:$D1001,'PR-BOM'!$C$3:$C1001,A297)*C297)</f>
        <v/>
      </c>
      <c r="F297" t="e">
        <f ca="1">_xludf.IFNA(VLOOKUP(B297,'S-FG'!$B$3:$B1001,1,FALSE),"")</f>
        <v>#NAME?</v>
      </c>
      <c r="H297" t="str">
        <f ca="1">IFERROR(__xludf.DUMMYFUNCTION("""COMPUTED_VALUE"""),"PORT Battery Assy")</f>
        <v>PORT Battery Assy</v>
      </c>
      <c r="I297" t="str">
        <f ca="1">IFERROR(__xludf.DUMMYFUNCTION("""COMPUTED_VALUE"""),"PORT Signal CM Assy")</f>
        <v>PORT Signal CM Assy</v>
      </c>
      <c r="J297">
        <f ca="1">IFERROR(__xludf.DUMMYFUNCTION("""COMPUTED_VALUE"""),0)</f>
        <v>0</v>
      </c>
      <c r="K297" t="str">
        <f ca="1">IFERROR(__xludf.DUMMYFUNCTION("""COMPUTED_VALUE"""),"blank")</f>
        <v>blank</v>
      </c>
      <c r="L297">
        <f t="shared" ca="1" si="4"/>
        <v>0</v>
      </c>
      <c r="Q297" t="str">
        <f>IF(N297="","",SUMIFS('PR-BOM'!$D$3:$D1001,'PR-BOM'!$C$3:$C1001,N297))</f>
        <v/>
      </c>
      <c r="S297" t="str">
        <f ca="1">IFERROR(__xludf.DUMMYFUNCTION("""COMPUTED_VALUE"""),"HeatShrink Tube 12:3")</f>
        <v>HeatShrink Tube 12:3</v>
      </c>
      <c r="X297" t="e">
        <f ca="1"/>
        <v>#NAME?</v>
      </c>
      <c r="Y297" t="e">
        <f t="shared" ca="1" si="5"/>
        <v>#NAME?</v>
      </c>
      <c r="Z297" t="e">
        <f ca="1">IF(X297="","",SUMIFS(#REF!,RM!$C$4:$C991,X297))</f>
        <v>#NAME?</v>
      </c>
      <c r="AA297" t="e">
        <f ca="1">IF(X297="","",SUMIFS(#REF!,RM!$C$4:$C991,X297))</f>
        <v>#NAME?</v>
      </c>
      <c r="AB297" t="e">
        <f ca="1">IF(X297="","",SUMIFS(IRegback!$Y$2:$Y1001,IRegback!$X$2:$X1001,X297))</f>
        <v>#NAME?</v>
      </c>
      <c r="AC297" t="e">
        <f t="shared" ca="1" si="6"/>
        <v>#NAME?</v>
      </c>
      <c r="AD297" t="e">
        <f ca="1">IF(X297="","",VLOOKUP($X297,RM!$C$4:$G991,3,FALSE))</f>
        <v>#NAME?</v>
      </c>
      <c r="AE297" t="e">
        <f ca="1">IF(X297="","",VLOOKUP($X297,RM!$C$4:$G991,4,FALSE))</f>
        <v>#NAME?</v>
      </c>
      <c r="AF297" t="e">
        <f ca="1">IF(X297="","",VLOOKUP($X297,RM!$C$4:$G991,5,FALSE))</f>
        <v>#NAME?</v>
      </c>
      <c r="AH297" t="str">
        <f ca="1">IFERROR(__xludf.DUMMYFUNCTION("""COMPUTED_VALUE"""),"FL_PORT Mech")</f>
        <v>FL_PORT Mech</v>
      </c>
      <c r="AI297" t="str">
        <f ca="1">IFERROR(__xludf.DUMMYFUNCTION("""COMPUTED_VALUE"""),"M4x12 Allen Head")</f>
        <v>M4x12 Allen Head</v>
      </c>
      <c r="AJ297">
        <f ca="1">IFERROR(__xludf.DUMMYFUNCTION("""COMPUTED_VALUE"""),2)</f>
        <v>2</v>
      </c>
      <c r="AK297" t="str">
        <f ca="1">IFERROR(__xludf.DUMMYFUNCTION("""COMPUTED_VALUE"""),"blank")</f>
        <v>blank</v>
      </c>
      <c r="AL297" t="e">
        <f ca="1">_xludf.IFNA(VLOOKUP(AH297,'S-FG'!$B$3:$B1001,1,FALSE),"")</f>
        <v>#NAME?</v>
      </c>
      <c r="AM297" t="e">
        <f ca="1">IF(AI297="","",SUMIFS(#REF!,RM!$C$4:$C991,AI297))</f>
        <v>#REF!</v>
      </c>
    </row>
    <row r="298" spans="5:39">
      <c r="E298" t="str">
        <f>IF(A298="","",SUMIFS('PR-BOM'!$D$3:$D1001,'PR-BOM'!$C$3:$C1001,A298)*C298)</f>
        <v/>
      </c>
      <c r="F298" t="e">
        <f ca="1">_xludf.IFNA(VLOOKUP(B298,'S-FG'!$B$3:$B1001,1,FALSE),"")</f>
        <v>#NAME?</v>
      </c>
      <c r="H298" t="str">
        <f ca="1">IFERROR(__xludf.DUMMYFUNCTION("""COMPUTED_VALUE"""),"PORT Battery Assy")</f>
        <v>PORT Battery Assy</v>
      </c>
      <c r="I298" t="str">
        <f ca="1">IFERROR(__xludf.DUMMYFUNCTION("""COMPUTED_VALUE"""),"Battery Block Assy")</f>
        <v>Battery Block Assy</v>
      </c>
      <c r="J298">
        <f ca="1">IFERROR(__xludf.DUMMYFUNCTION("""COMPUTED_VALUE"""),0)</f>
        <v>0</v>
      </c>
      <c r="K298" t="str">
        <f ca="1">IFERROR(__xludf.DUMMYFUNCTION("""COMPUTED_VALUE"""),"blank")</f>
        <v>blank</v>
      </c>
      <c r="L298">
        <f t="shared" ca="1" si="4"/>
        <v>0</v>
      </c>
      <c r="Q298" t="str">
        <f>IF(N298="","",SUMIFS('PR-BOM'!$D$3:$D1001,'PR-BOM'!$C$3:$C1001,N298))</f>
        <v/>
      </c>
      <c r="S298" t="str">
        <f ca="1">IFERROR(__xludf.DUMMYFUNCTION("""COMPUTED_VALUE"""),"PORT Signal CM Assy")</f>
        <v>PORT Signal CM Assy</v>
      </c>
      <c r="X298" t="e">
        <f ca="1"/>
        <v>#NAME?</v>
      </c>
      <c r="Y298" t="e">
        <f t="shared" ca="1" si="5"/>
        <v>#NAME?</v>
      </c>
      <c r="Z298" t="e">
        <f ca="1">IF(X298="","",SUMIFS(#REF!,RM!$C$4:$C991,X298))</f>
        <v>#NAME?</v>
      </c>
      <c r="AA298" t="e">
        <f ca="1">IF(X298="","",SUMIFS(#REF!,RM!$C$4:$C991,X298))</f>
        <v>#NAME?</v>
      </c>
      <c r="AB298" t="e">
        <f ca="1">IF(X298="","",SUMIFS(IRegback!$Y$2:$Y1001,IRegback!$X$2:$X1001,X298))</f>
        <v>#NAME?</v>
      </c>
      <c r="AC298" t="e">
        <f t="shared" ca="1" si="6"/>
        <v>#NAME?</v>
      </c>
      <c r="AD298" t="e">
        <f ca="1">IF(X298="","",VLOOKUP($X298,RM!$C$4:$G991,3,FALSE))</f>
        <v>#NAME?</v>
      </c>
      <c r="AE298" t="e">
        <f ca="1">IF(X298="","",VLOOKUP($X298,RM!$C$4:$G991,4,FALSE))</f>
        <v>#NAME?</v>
      </c>
      <c r="AF298" t="e">
        <f ca="1">IF(X298="","",VLOOKUP($X298,RM!$C$4:$G991,5,FALSE))</f>
        <v>#NAME?</v>
      </c>
      <c r="AH298" t="str">
        <f ca="1">IFERROR(__xludf.DUMMYFUNCTION("""COMPUTED_VALUE"""),"FL_PORT Mech")</f>
        <v>FL_PORT Mech</v>
      </c>
      <c r="AI298" t="str">
        <f ca="1">IFERROR(__xludf.DUMMYFUNCTION("""COMPUTED_VALUE"""),"Teroson MS930")</f>
        <v>Teroson MS930</v>
      </c>
      <c r="AJ298">
        <f ca="1">IFERROR(__xludf.DUMMYFUNCTION("""COMPUTED_VALUE"""),5)</f>
        <v>5</v>
      </c>
      <c r="AK298" t="str">
        <f ca="1">IFERROR(__xludf.DUMMYFUNCTION("""COMPUTED_VALUE"""),"blank")</f>
        <v>blank</v>
      </c>
      <c r="AL298" t="e">
        <f ca="1">_xludf.IFNA(VLOOKUP(AH298,'S-FG'!$B$3:$B1001,1,FALSE),"")</f>
        <v>#NAME?</v>
      </c>
      <c r="AM298" t="e">
        <f ca="1">IF(AI298="","",SUMIFS(#REF!,RM!$C$4:$C991,AI298))</f>
        <v>#REF!</v>
      </c>
    </row>
    <row r="299" spans="5:39">
      <c r="E299" t="str">
        <f>IF(A299="","",SUMIFS('PR-BOM'!$D$3:$D1001,'PR-BOM'!$C$3:$C1001,A299)*C299)</f>
        <v/>
      </c>
      <c r="F299" t="e">
        <f ca="1">_xludf.IFNA(VLOOKUP(B299,'S-FG'!$B$3:$B1001,1,FALSE),"")</f>
        <v>#NAME?</v>
      </c>
      <c r="H299" t="str">
        <f ca="1">IFERROR(__xludf.DUMMYFUNCTION("""COMPUTED_VALUE"""),"PORT Battery Assy")</f>
        <v>PORT Battery Assy</v>
      </c>
      <c r="I299" t="str">
        <f ca="1">IFERROR(__xludf.DUMMYFUNCTION("""COMPUTED_VALUE"""),"HeatShrink Tube 100mm")</f>
        <v>HeatShrink Tube 100mm</v>
      </c>
      <c r="J299">
        <f ca="1">IFERROR(__xludf.DUMMYFUNCTION("""COMPUTED_VALUE"""),0.17)</f>
        <v>0.17</v>
      </c>
      <c r="K299" t="str">
        <f ca="1">IFERROR(__xludf.DUMMYFUNCTION("""COMPUTED_VALUE"""),"blank")</f>
        <v>blank</v>
      </c>
      <c r="L299">
        <f t="shared" ca="1" si="4"/>
        <v>0</v>
      </c>
      <c r="Q299" t="str">
        <f>IF(N299="","",SUMIFS('PR-BOM'!$D$3:$D1001,'PR-BOM'!$C$3:$C1001,N299))</f>
        <v/>
      </c>
      <c r="S299" t="str">
        <f ca="1">IFERROR(__xludf.DUMMYFUNCTION("""COMPUTED_VALUE"""),"Battery Block Assy")</f>
        <v>Battery Block Assy</v>
      </c>
      <c r="X299" t="e">
        <f ca="1"/>
        <v>#NAME?</v>
      </c>
      <c r="Y299" t="e">
        <f t="shared" ca="1" si="5"/>
        <v>#NAME?</v>
      </c>
      <c r="Z299" t="e">
        <f ca="1">IF(X299="","",SUMIFS(#REF!,RM!$C$4:$C991,X299))</f>
        <v>#NAME?</v>
      </c>
      <c r="AA299" t="e">
        <f ca="1">IF(X299="","",SUMIFS(#REF!,RM!$C$4:$C991,X299))</f>
        <v>#NAME?</v>
      </c>
      <c r="AB299" t="e">
        <f ca="1">IF(X299="","",SUMIFS(IRegback!$Y$2:$Y1001,IRegback!$X$2:$X1001,X299))</f>
        <v>#NAME?</v>
      </c>
      <c r="AC299" t="e">
        <f t="shared" ca="1" si="6"/>
        <v>#NAME?</v>
      </c>
      <c r="AD299" t="e">
        <f ca="1">IF(X299="","",VLOOKUP($X299,RM!$C$4:$G991,3,FALSE))</f>
        <v>#NAME?</v>
      </c>
      <c r="AE299" t="e">
        <f ca="1">IF(X299="","",VLOOKUP($X299,RM!$C$4:$G991,4,FALSE))</f>
        <v>#NAME?</v>
      </c>
      <c r="AF299" t="e">
        <f ca="1">IF(X299="","",VLOOKUP($X299,RM!$C$4:$G991,5,FALSE))</f>
        <v>#NAME?</v>
      </c>
      <c r="AH299" t="str">
        <f ca="1">IFERROR(__xludf.DUMMYFUNCTION("""COMPUTED_VALUE"""),"Battery Block Assy")</f>
        <v>Battery Block Assy</v>
      </c>
      <c r="AI299" t="str">
        <f ca="1">IFERROR(__xludf.DUMMYFUNCTION("""COMPUTED_VALUE"""),"Li-In 21700 Cells Molicel P42A/ Samsung-40T")</f>
        <v>Li-In 21700 Cells Molicel P42A/ Samsung-40T</v>
      </c>
      <c r="AJ299">
        <f ca="1">IFERROR(__xludf.DUMMYFUNCTION("""COMPUTED_VALUE"""),18)</f>
        <v>18</v>
      </c>
      <c r="AK299" t="str">
        <f ca="1">IFERROR(__xludf.DUMMYFUNCTION("""COMPUTED_VALUE"""),"blank")</f>
        <v>blank</v>
      </c>
      <c r="AL299" t="e">
        <f ca="1">_xludf.IFNA(VLOOKUP(AH299,'S-FG'!$B$3:$B1001,1,FALSE),"")</f>
        <v>#NAME?</v>
      </c>
      <c r="AM299" t="e">
        <f ca="1">IF(AI299="","",SUMIFS(#REF!,RM!$C$4:$C991,AI299))</f>
        <v>#REF!</v>
      </c>
    </row>
    <row r="300" spans="5:39">
      <c r="E300" t="str">
        <f>IF(A300="","",SUMIFS('PR-BOM'!$D$3:$D1001,'PR-BOM'!$C$3:$C1001,A300)*C300)</f>
        <v/>
      </c>
      <c r="F300" t="e">
        <f ca="1">_xludf.IFNA(VLOOKUP(B300,'S-FG'!$B$3:$B1001,1,FALSE),"")</f>
        <v>#NAME?</v>
      </c>
      <c r="H300" t="str">
        <f ca="1">IFERROR(__xludf.DUMMYFUNCTION("""COMPUTED_VALUE"""),"PORT Battery Assy")</f>
        <v>PORT Battery Assy</v>
      </c>
      <c r="I300" t="str">
        <f ca="1">IFERROR(__xludf.DUMMYFUNCTION("""COMPUTED_VALUE"""),"Teroson MS930")</f>
        <v>Teroson MS930</v>
      </c>
      <c r="J300">
        <f ca="1">IFERROR(__xludf.DUMMYFUNCTION("""COMPUTED_VALUE"""),20)</f>
        <v>20</v>
      </c>
      <c r="K300" t="str">
        <f ca="1">IFERROR(__xludf.DUMMYFUNCTION("""COMPUTED_VALUE"""),"blank")</f>
        <v>blank</v>
      </c>
      <c r="L300">
        <f t="shared" ca="1" si="4"/>
        <v>0</v>
      </c>
      <c r="Q300" t="str">
        <f>IF(N300="","",SUMIFS('PR-BOM'!$D$3:$D1001,'PR-BOM'!$C$3:$C1001,N300))</f>
        <v/>
      </c>
      <c r="S300" t="str">
        <f ca="1">IFERROR(__xludf.DUMMYFUNCTION("""COMPUTED_VALUE"""),"HeatShrink Tube 100mm")</f>
        <v>HeatShrink Tube 100mm</v>
      </c>
      <c r="X300" t="e">
        <f ca="1"/>
        <v>#NAME?</v>
      </c>
      <c r="Y300" t="e">
        <f t="shared" ca="1" si="5"/>
        <v>#NAME?</v>
      </c>
      <c r="Z300" t="e">
        <f ca="1">IF(X300="","",SUMIFS(#REF!,RM!$C$4:$C991,X300))</f>
        <v>#NAME?</v>
      </c>
      <c r="AA300" t="e">
        <f ca="1">IF(X300="","",SUMIFS(#REF!,RM!$C$4:$C991,X300))</f>
        <v>#NAME?</v>
      </c>
      <c r="AB300" t="e">
        <f ca="1">IF(X300="","",SUMIFS(IRegback!$Y$2:$Y1001,IRegback!$X$2:$X1001,X300))</f>
        <v>#NAME?</v>
      </c>
      <c r="AC300" t="e">
        <f t="shared" ca="1" si="6"/>
        <v>#NAME?</v>
      </c>
      <c r="AD300" t="e">
        <f ca="1">IF(X300="","",VLOOKUP($X300,RM!$C$4:$G991,3,FALSE))</f>
        <v>#NAME?</v>
      </c>
      <c r="AE300" t="e">
        <f ca="1">IF(X300="","",VLOOKUP($X300,RM!$C$4:$G991,4,FALSE))</f>
        <v>#NAME?</v>
      </c>
      <c r="AF300" t="e">
        <f ca="1">IF(X300="","",VLOOKUP($X300,RM!$C$4:$G991,5,FALSE))</f>
        <v>#NAME?</v>
      </c>
      <c r="AH300" t="str">
        <f ca="1">IFERROR(__xludf.DUMMYFUNCTION("""COMPUTED_VALUE"""),"Battery Block Assy")</f>
        <v>Battery Block Assy</v>
      </c>
      <c r="AI300" t="str">
        <f ca="1">IFERROR(__xludf.DUMMYFUNCTION("""COMPUTED_VALUE"""),"Soldering flux")</f>
        <v>Soldering flux</v>
      </c>
      <c r="AJ300">
        <f ca="1">IFERROR(__xludf.DUMMYFUNCTION("""COMPUTED_VALUE"""),5)</f>
        <v>5</v>
      </c>
      <c r="AL300" t="e">
        <f ca="1">_xludf.IFNA(VLOOKUP(AH300,'S-FG'!$B$3:$B1001,1,FALSE),"")</f>
        <v>#NAME?</v>
      </c>
      <c r="AM300" t="e">
        <f ca="1">IF(AI300="","",SUMIFS(#REF!,RM!$C$4:$C991,AI300))</f>
        <v>#REF!</v>
      </c>
    </row>
    <row r="301" spans="5:39">
      <c r="E301" t="str">
        <f>IF(A301="","",SUMIFS('PR-BOM'!$D$3:$D1001,'PR-BOM'!$C$3:$C1001,A301)*C301)</f>
        <v/>
      </c>
      <c r="F301" t="e">
        <f ca="1">_xludf.IFNA(VLOOKUP(B301,'S-FG'!$B$3:$B1001,1,FALSE),"")</f>
        <v>#NAME?</v>
      </c>
      <c r="H301" t="str">
        <f ca="1">IFERROR(__xludf.DUMMYFUNCTION("""COMPUTED_VALUE"""),"STBD Unit Assy")</f>
        <v>STBD Unit Assy</v>
      </c>
      <c r="I301" t="str">
        <f ca="1">IFERROR(__xludf.DUMMYFUNCTION("""COMPUTED_VALUE"""),"ESC Mounting Clamp")</f>
        <v>ESC Mounting Clamp</v>
      </c>
      <c r="J301">
        <f ca="1">IFERROR(__xludf.DUMMYFUNCTION("""COMPUTED_VALUE"""),1)</f>
        <v>1</v>
      </c>
      <c r="K301" t="str">
        <f ca="1">IFERROR(__xludf.DUMMYFUNCTION("""COMPUTED_VALUE"""),"blank")</f>
        <v>blank</v>
      </c>
      <c r="L301">
        <f t="shared" ca="1" si="4"/>
        <v>0</v>
      </c>
      <c r="Q301" t="str">
        <f>IF(N301="","",SUMIFS('PR-BOM'!$D$3:$D1001,'PR-BOM'!$C$3:$C1001,N301))</f>
        <v/>
      </c>
      <c r="S301" t="str">
        <f ca="1">IFERROR(__xludf.DUMMYFUNCTION("""COMPUTED_VALUE"""),"Teroson MS930")</f>
        <v>Teroson MS930</v>
      </c>
      <c r="X301" t="e">
        <f ca="1"/>
        <v>#NAME?</v>
      </c>
      <c r="Y301" t="e">
        <f t="shared" ca="1" si="5"/>
        <v>#NAME?</v>
      </c>
      <c r="Z301" t="e">
        <f ca="1">IF(X301="","",SUMIFS(#REF!,RM!$C$4:$C991,X301))</f>
        <v>#NAME?</v>
      </c>
      <c r="AA301" t="e">
        <f ca="1">IF(X301="","",SUMIFS(#REF!,RM!$C$4:$C991,X301))</f>
        <v>#NAME?</v>
      </c>
      <c r="AB301" t="e">
        <f ca="1">IF(X301="","",SUMIFS(IRegback!$Y$2:$Y1001,IRegback!$X$2:$X1001,X301))</f>
        <v>#NAME?</v>
      </c>
      <c r="AC301" t="e">
        <f t="shared" ca="1" si="6"/>
        <v>#NAME?</v>
      </c>
      <c r="AD301" t="e">
        <f ca="1">IF(X301="","",VLOOKUP($X301,RM!$C$4:$G991,3,FALSE))</f>
        <v>#NAME?</v>
      </c>
      <c r="AE301" t="e">
        <f ca="1">IF(X301="","",VLOOKUP($X301,RM!$C$4:$G991,4,FALSE))</f>
        <v>#NAME?</v>
      </c>
      <c r="AF301" t="e">
        <f ca="1">IF(X301="","",VLOOKUP($X301,RM!$C$4:$G991,5,FALSE))</f>
        <v>#NAME?</v>
      </c>
      <c r="AH301" t="str">
        <f ca="1">IFERROR(__xludf.DUMMYFUNCTION("""COMPUTED_VALUE"""),"Battery Block Assy")</f>
        <v>Battery Block Assy</v>
      </c>
      <c r="AI301" t="str">
        <f ca="1">IFERROR(__xludf.DUMMYFUNCTION("""COMPUTED_VALUE"""),"Copper Strips 3x2 cells")</f>
        <v>Copper Strips 3x2 cells</v>
      </c>
      <c r="AJ301">
        <f ca="1">IFERROR(__xludf.DUMMYFUNCTION("""COMPUTED_VALUE"""),5)</f>
        <v>5</v>
      </c>
      <c r="AL301" t="e">
        <f ca="1">_xludf.IFNA(VLOOKUP(AH301,'S-FG'!$B$3:$B1001,1,FALSE),"")</f>
        <v>#NAME?</v>
      </c>
      <c r="AM301" t="e">
        <f ca="1">IF(AI301="","",SUMIFS(#REF!,RM!$C$4:$C991,AI301))</f>
        <v>#REF!</v>
      </c>
    </row>
    <row r="302" spans="5:39">
      <c r="E302" t="str">
        <f>IF(A302="","",SUMIFS('PR-BOM'!$D$3:$D1001,'PR-BOM'!$C$3:$C1001,A302)*C302)</f>
        <v/>
      </c>
      <c r="F302" t="e">
        <f ca="1">_xludf.IFNA(VLOOKUP(B302,'S-FG'!$B$3:$B1001,1,FALSE),"")</f>
        <v>#NAME?</v>
      </c>
      <c r="H302" t="str">
        <f ca="1">IFERROR(__xludf.DUMMYFUNCTION("""COMPUTED_VALUE"""),"STBD Unit Assy")</f>
        <v>STBD Unit Assy</v>
      </c>
      <c r="I302" t="str">
        <f ca="1">IFERROR(__xludf.DUMMYFUNCTION("""COMPUTED_VALUE"""),"M4 Nyloc")</f>
        <v>M4 Nyloc</v>
      </c>
      <c r="J302">
        <f ca="1">IFERROR(__xludf.DUMMYFUNCTION("""COMPUTED_VALUE"""),4)</f>
        <v>4</v>
      </c>
      <c r="K302" t="str">
        <f ca="1">IFERROR(__xludf.DUMMYFUNCTION("""COMPUTED_VALUE"""),"blank")</f>
        <v>blank</v>
      </c>
      <c r="L302">
        <f t="shared" ca="1" si="4"/>
        <v>0</v>
      </c>
      <c r="Q302" t="str">
        <f>IF(N302="","",SUMIFS('PR-BOM'!$D$3:$D1001,'PR-BOM'!$C$3:$C1001,N302))</f>
        <v/>
      </c>
      <c r="S302" t="str">
        <f ca="1">IFERROR(__xludf.DUMMYFUNCTION("""COMPUTED_VALUE"""),"ESC Mounting Clamp")</f>
        <v>ESC Mounting Clamp</v>
      </c>
      <c r="X302" t="e">
        <f ca="1"/>
        <v>#NAME?</v>
      </c>
      <c r="Y302" t="e">
        <f t="shared" ca="1" si="5"/>
        <v>#NAME?</v>
      </c>
      <c r="Z302" t="e">
        <f ca="1">IF(X302="","",SUMIFS(#REF!,RM!$C$4:$C991,X302))</f>
        <v>#NAME?</v>
      </c>
      <c r="AA302" t="e">
        <f ca="1">IF(X302="","",SUMIFS(#REF!,RM!$C$4:$C991,X302))</f>
        <v>#NAME?</v>
      </c>
      <c r="AB302" t="e">
        <f ca="1">IF(X302="","",SUMIFS(IRegback!$Y$2:$Y1001,IRegback!$X$2:$X1001,X302))</f>
        <v>#NAME?</v>
      </c>
      <c r="AC302" t="e">
        <f t="shared" ca="1" si="6"/>
        <v>#NAME?</v>
      </c>
      <c r="AD302" t="e">
        <f ca="1">IF(X302="","",VLOOKUP($X302,RM!$C$4:$G991,3,FALSE))</f>
        <v>#NAME?</v>
      </c>
      <c r="AE302" t="e">
        <f ca="1">IF(X302="","",VLOOKUP($X302,RM!$C$4:$G991,4,FALSE))</f>
        <v>#NAME?</v>
      </c>
      <c r="AF302" t="e">
        <f ca="1">IF(X302="","",VLOOKUP($X302,RM!$C$4:$G991,5,FALSE))</f>
        <v>#NAME?</v>
      </c>
      <c r="AH302" t="str">
        <f ca="1">IFERROR(__xludf.DUMMYFUNCTION("""COMPUTED_VALUE"""),"Battery Block Assy")</f>
        <v>Battery Block Assy</v>
      </c>
      <c r="AI302" t="str">
        <f ca="1">IFERROR(__xludf.DUMMYFUNCTION("""COMPUTED_VALUE"""),"70mm Paper Separator")</f>
        <v>70mm Paper Separator</v>
      </c>
      <c r="AJ302">
        <f ca="1">IFERROR(__xludf.DUMMYFUNCTION("""COMPUTED_VALUE"""),2.5)</f>
        <v>2.5</v>
      </c>
      <c r="AK302" t="str">
        <f ca="1">IFERROR(__xludf.DUMMYFUNCTION("""COMPUTED_VALUE"""),"blank")</f>
        <v>blank</v>
      </c>
      <c r="AL302" t="e">
        <f ca="1">_xludf.IFNA(VLOOKUP(AH302,'S-FG'!$B$3:$B1001,1,FALSE),"")</f>
        <v>#NAME?</v>
      </c>
      <c r="AM302" t="e">
        <f ca="1">IF(AI302="","",SUMIFS(#REF!,RM!$C$4:$C991,AI302))</f>
        <v>#REF!</v>
      </c>
    </row>
    <row r="303" spans="5:39">
      <c r="E303" t="str">
        <f>IF(A303="","",SUMIFS('PR-BOM'!$D$3:$D1001,'PR-BOM'!$C$3:$C1001,A303)*C303)</f>
        <v/>
      </c>
      <c r="F303" t="e">
        <f ca="1">_xludf.IFNA(VLOOKUP(B303,'S-FG'!$B$3:$B1001,1,FALSE),"")</f>
        <v>#NAME?</v>
      </c>
      <c r="H303" t="str">
        <f ca="1">IFERROR(__xludf.DUMMYFUNCTION("""COMPUTED_VALUE"""),"STBD Unit Assy")</f>
        <v>STBD Unit Assy</v>
      </c>
      <c r="I303" t="str">
        <f ca="1">IFERROR(__xludf.DUMMYFUNCTION("""COMPUTED_VALUE"""),"M4 Spring washer")</f>
        <v>M4 Spring washer</v>
      </c>
      <c r="J303">
        <f ca="1">IFERROR(__xludf.DUMMYFUNCTION("""COMPUTED_VALUE"""),4)</f>
        <v>4</v>
      </c>
      <c r="K303" t="str">
        <f ca="1">IFERROR(__xludf.DUMMYFUNCTION("""COMPUTED_VALUE"""),"blank")</f>
        <v>blank</v>
      </c>
      <c r="L303">
        <f t="shared" ca="1" si="4"/>
        <v>0</v>
      </c>
      <c r="Q303" t="str">
        <f>IF(N303="","",SUMIFS('PR-BOM'!$D$3:$D1001,'PR-BOM'!$C$3:$C1001,N303))</f>
        <v/>
      </c>
      <c r="S303" t="str">
        <f ca="1">IFERROR(__xludf.DUMMYFUNCTION("""COMPUTED_VALUE"""),"M4 Nyloc")</f>
        <v>M4 Nyloc</v>
      </c>
      <c r="X303" t="e">
        <f ca="1"/>
        <v>#NAME?</v>
      </c>
      <c r="Y303" t="e">
        <f t="shared" ca="1" si="5"/>
        <v>#NAME?</v>
      </c>
      <c r="Z303" t="e">
        <f ca="1">IF(X303="","",SUMIFS(#REF!,RM!$C$4:$C991,X303))</f>
        <v>#NAME?</v>
      </c>
      <c r="AA303" t="e">
        <f ca="1">IF(X303="","",SUMIFS(#REF!,RM!$C$4:$C991,X303))</f>
        <v>#NAME?</v>
      </c>
      <c r="AB303" t="e">
        <f ca="1">IF(X303="","",SUMIFS(IRegback!$Y$2:$Y1001,IRegback!$X$2:$X1001,X303))</f>
        <v>#NAME?</v>
      </c>
      <c r="AC303" t="e">
        <f t="shared" ca="1" si="6"/>
        <v>#NAME?</v>
      </c>
      <c r="AD303" t="e">
        <f ca="1">IF(X303="","",VLOOKUP($X303,RM!$C$4:$G991,3,FALSE))</f>
        <v>#NAME?</v>
      </c>
      <c r="AE303" t="e">
        <f ca="1">IF(X303="","",VLOOKUP($X303,RM!$C$4:$G991,4,FALSE))</f>
        <v>#NAME?</v>
      </c>
      <c r="AF303" t="e">
        <f ca="1">IF(X303="","",VLOOKUP($X303,RM!$C$4:$G991,5,FALSE))</f>
        <v>#NAME?</v>
      </c>
      <c r="AH303" t="str">
        <f ca="1">IFERROR(__xludf.DUMMYFUNCTION("""COMPUTED_VALUE"""),"Battery Block Assy")</f>
        <v>Battery Block Assy</v>
      </c>
      <c r="AI303" t="str">
        <f ca="1">IFERROR(__xludf.DUMMYFUNCTION("""COMPUTED_VALUE"""),"Barley paper for 21700 cylindrical cell")</f>
        <v>Barley paper for 21700 cylindrical cell</v>
      </c>
      <c r="AJ303">
        <f ca="1">IFERROR(__xludf.DUMMYFUNCTION("""COMPUTED_VALUE"""),18)</f>
        <v>18</v>
      </c>
      <c r="AK303" t="str">
        <f ca="1">IFERROR(__xludf.DUMMYFUNCTION("""COMPUTED_VALUE"""),"blank")</f>
        <v>blank</v>
      </c>
      <c r="AL303" t="e">
        <f ca="1">_xludf.IFNA(VLOOKUP(AH303,'S-FG'!$B$3:$B1001,1,FALSE),"")</f>
        <v>#NAME?</v>
      </c>
      <c r="AM303" t="e">
        <f ca="1">IF(AI303="","",SUMIFS(#REF!,RM!$C$4:$C991,AI303))</f>
        <v>#REF!</v>
      </c>
    </row>
    <row r="304" spans="5:39">
      <c r="E304" t="str">
        <f>IF(A304="","",SUMIFS('PR-BOM'!$D$3:$D1001,'PR-BOM'!$C$3:$C1001,A304)*C304)</f>
        <v/>
      </c>
      <c r="F304" t="e">
        <f ca="1">_xludf.IFNA(VLOOKUP(B304,'S-FG'!$B$3:$B1001,1,FALSE),"")</f>
        <v>#NAME?</v>
      </c>
      <c r="H304" t="str">
        <f ca="1">IFERROR(__xludf.DUMMYFUNCTION("""COMPUTED_VALUE"""),"STBD Unit Assy")</f>
        <v>STBD Unit Assy</v>
      </c>
      <c r="I304" t="str">
        <f ca="1">IFERROR(__xludf.DUMMYFUNCTION("""COMPUTED_VALUE"""),"M4x12 plain washer")</f>
        <v>M4x12 plain washer</v>
      </c>
      <c r="J304">
        <f ca="1">IFERROR(__xludf.DUMMYFUNCTION("""COMPUTED_VALUE"""),4)</f>
        <v>4</v>
      </c>
      <c r="K304" t="str">
        <f ca="1">IFERROR(__xludf.DUMMYFUNCTION("""COMPUTED_VALUE"""),"blank")</f>
        <v>blank</v>
      </c>
      <c r="L304">
        <f t="shared" ca="1" si="4"/>
        <v>0</v>
      </c>
      <c r="Q304" t="str">
        <f>IF(N304="","",SUMIFS('PR-BOM'!$D$3:$D1001,'PR-BOM'!$C$3:$C1001,N304))</f>
        <v/>
      </c>
      <c r="S304" t="str">
        <f ca="1">IFERROR(__xludf.DUMMYFUNCTION("""COMPUTED_VALUE"""),"M4 Spring washer")</f>
        <v>M4 Spring washer</v>
      </c>
      <c r="X304" t="e">
        <f ca="1"/>
        <v>#NAME?</v>
      </c>
      <c r="Y304" t="e">
        <f t="shared" ca="1" si="5"/>
        <v>#NAME?</v>
      </c>
      <c r="Z304" t="e">
        <f ca="1">IF(X304="","",SUMIFS(#REF!,RM!$C$4:$C991,X304))</f>
        <v>#NAME?</v>
      </c>
      <c r="AA304" t="e">
        <f ca="1">IF(X304="","",SUMIFS(#REF!,RM!$C$4:$C991,X304))</f>
        <v>#NAME?</v>
      </c>
      <c r="AB304" t="e">
        <f ca="1">IF(X304="","",SUMIFS(IRegback!$Y$2:$Y1001,IRegback!$X$2:$X1001,X304))</f>
        <v>#NAME?</v>
      </c>
      <c r="AC304" t="e">
        <f t="shared" ca="1" si="6"/>
        <v>#NAME?</v>
      </c>
      <c r="AD304" t="e">
        <f ca="1">IF(X304="","",VLOOKUP($X304,RM!$C$4:$G991,3,FALSE))</f>
        <v>#NAME?</v>
      </c>
      <c r="AE304" t="e">
        <f ca="1">IF(X304="","",VLOOKUP($X304,RM!$C$4:$G991,4,FALSE))</f>
        <v>#NAME?</v>
      </c>
      <c r="AF304" t="e">
        <f ca="1">IF(X304="","",VLOOKUP($X304,RM!$C$4:$G991,5,FALSE))</f>
        <v>#NAME?</v>
      </c>
      <c r="AH304" t="str">
        <f ca="1">IFERROR(__xludf.DUMMYFUNCTION("""COMPUTED_VALUE"""),"Battery Block Assy")</f>
        <v>Battery Block Assy</v>
      </c>
      <c r="AI304" t="str">
        <f ca="1">IFERROR(__xludf.DUMMYFUNCTION("""COMPUTED_VALUE"""),"1"" Masking Tape")</f>
        <v>1" Masking Tape</v>
      </c>
      <c r="AJ304">
        <f ca="1">IFERROR(__xludf.DUMMYFUNCTION("""COMPUTED_VALUE"""),0.5)</f>
        <v>0.5</v>
      </c>
      <c r="AL304" t="e">
        <f ca="1">_xludf.IFNA(VLOOKUP(AH304,'S-FG'!$B$3:$B1001,1,FALSE),"")</f>
        <v>#NAME?</v>
      </c>
      <c r="AM304" t="e">
        <f ca="1">IF(AI304="","",SUMIFS(#REF!,RM!$C$4:$C991,AI304))</f>
        <v>#REF!</v>
      </c>
    </row>
    <row r="305" spans="5:39">
      <c r="E305" t="str">
        <f>IF(A305="","",SUMIFS('PR-BOM'!$D$3:$D1001,'PR-BOM'!$C$3:$C1001,A305)*C305)</f>
        <v/>
      </c>
      <c r="F305" t="e">
        <f ca="1">_xludf.IFNA(VLOOKUP(B305,'S-FG'!$B$3:$B1001,1,FALSE),"")</f>
        <v>#NAME?</v>
      </c>
      <c r="H305" t="str">
        <f ca="1">IFERROR(__xludf.DUMMYFUNCTION("""COMPUTED_VALUE"""),"STBD Unit Assy")</f>
        <v>STBD Unit Assy</v>
      </c>
      <c r="I305" t="str">
        <f ca="1">IFERROR(__xludf.DUMMYFUNCTION("""COMPUTED_VALUE"""),"3mm Silicon Rubber Gaskets (35mmx10mm)")</f>
        <v>3mm Silicon Rubber Gaskets (35mmx10mm)</v>
      </c>
      <c r="J305">
        <f ca="1">IFERROR(__xludf.DUMMYFUNCTION("""COMPUTED_VALUE"""),1)</f>
        <v>1</v>
      </c>
      <c r="K305" t="str">
        <f ca="1">IFERROR(__xludf.DUMMYFUNCTION("""COMPUTED_VALUE"""),"blank")</f>
        <v>blank</v>
      </c>
      <c r="L305">
        <f t="shared" ca="1" si="4"/>
        <v>0</v>
      </c>
      <c r="Q305" t="str">
        <f>IF(N305="","",SUMIFS('PR-BOM'!$D$3:$D1001,'PR-BOM'!$C$3:$C1001,N305))</f>
        <v/>
      </c>
      <c r="S305" t="str">
        <f ca="1">IFERROR(__xludf.DUMMYFUNCTION("""COMPUTED_VALUE"""),"M4x12 plain washer")</f>
        <v>M4x12 plain washer</v>
      </c>
      <c r="X305" t="e">
        <f ca="1"/>
        <v>#NAME?</v>
      </c>
      <c r="Y305" t="e">
        <f t="shared" ca="1" si="5"/>
        <v>#NAME?</v>
      </c>
      <c r="Z305" t="e">
        <f ca="1">IF(X305="","",SUMIFS(#REF!,RM!$C$4:$C991,X305))</f>
        <v>#NAME?</v>
      </c>
      <c r="AA305" t="e">
        <f ca="1">IF(X305="","",SUMIFS(#REF!,RM!$C$4:$C991,X305))</f>
        <v>#NAME?</v>
      </c>
      <c r="AB305" t="e">
        <f ca="1">IF(X305="","",SUMIFS(IRegback!$Y$2:$Y1001,IRegback!$X$2:$X1001,X305))</f>
        <v>#NAME?</v>
      </c>
      <c r="AC305" t="e">
        <f t="shared" ca="1" si="6"/>
        <v>#NAME?</v>
      </c>
      <c r="AD305" t="e">
        <f ca="1">IF(X305="","",VLOOKUP($X305,RM!$C$4:$G991,3,FALSE))</f>
        <v>#NAME?</v>
      </c>
      <c r="AE305" t="e">
        <f ca="1">IF(X305="","",VLOOKUP($X305,RM!$C$4:$G991,4,FALSE))</f>
        <v>#NAME?</v>
      </c>
      <c r="AF305" t="e">
        <f ca="1">IF(X305="","",VLOOKUP($X305,RM!$C$4:$G991,5,FALSE))</f>
        <v>#NAME?</v>
      </c>
      <c r="AH305" t="str">
        <f ca="1">IFERROR(__xludf.DUMMYFUNCTION("""COMPUTED_VALUE"""),"STBD Battery Assy")</f>
        <v>STBD Battery Assy</v>
      </c>
      <c r="AI305" t="str">
        <f ca="1">IFERROR(__xludf.DUMMYFUNCTION("""COMPUTED_VALUE"""),"6mm female bullet connector")</f>
        <v>6mm female bullet connector</v>
      </c>
      <c r="AJ305">
        <f ca="1">IFERROR(__xludf.DUMMYFUNCTION("""COMPUTED_VALUE"""),1)</f>
        <v>1</v>
      </c>
      <c r="AK305" t="str">
        <f ca="1">IFERROR(__xludf.DUMMYFUNCTION("""COMPUTED_VALUE"""),"blank")</f>
        <v>blank</v>
      </c>
      <c r="AL305" t="e">
        <f ca="1">_xludf.IFNA(VLOOKUP(AH305,'S-FG'!$B$3:$B1001,1,FALSE),"")</f>
        <v>#NAME?</v>
      </c>
      <c r="AM305" t="e">
        <f ca="1">IF(AI305="","",SUMIFS(#REF!,RM!$C$4:$C991,AI305))</f>
        <v>#REF!</v>
      </c>
    </row>
    <row r="306" spans="5:39">
      <c r="E306" t="str">
        <f>IF(A306="","",SUMIFS('PR-BOM'!$D$3:$D1001,'PR-BOM'!$C$3:$C1001,A306)*C306)</f>
        <v/>
      </c>
      <c r="F306" t="e">
        <f ca="1">_xludf.IFNA(VLOOKUP(B306,'S-FG'!$B$3:$B1001,1,FALSE),"")</f>
        <v>#NAME?</v>
      </c>
      <c r="H306" t="str">
        <f ca="1">IFERROR(__xludf.DUMMYFUNCTION("""COMPUTED_VALUE"""),"STBD Unit Assy")</f>
        <v>STBD Unit Assy</v>
      </c>
      <c r="I306" t="str">
        <f ca="1">IFERROR(__xludf.DUMMYFUNCTION("""COMPUTED_VALUE"""),"Jet Motor Assy")</f>
        <v>Jet Motor Assy</v>
      </c>
      <c r="J306">
        <f ca="1">IFERROR(__xludf.DUMMYFUNCTION("""COMPUTED_VALUE"""),0)</f>
        <v>0</v>
      </c>
      <c r="K306" t="str">
        <f ca="1">IFERROR(__xludf.DUMMYFUNCTION("""COMPUTED_VALUE"""),"blank")</f>
        <v>blank</v>
      </c>
      <c r="L306">
        <f t="shared" ca="1" si="4"/>
        <v>0</v>
      </c>
      <c r="Q306" t="str">
        <f>IF(N306="","",SUMIFS('PR-BOM'!$D$3:$D1001,'PR-BOM'!$C$3:$C1001,N306))</f>
        <v/>
      </c>
      <c r="S306" t="str">
        <f ca="1">IFERROR(__xludf.DUMMYFUNCTION("""COMPUTED_VALUE"""),"3mm Silicon Rubber Gaskets (35mmx10mm)")</f>
        <v>3mm Silicon Rubber Gaskets (35mmx10mm)</v>
      </c>
      <c r="X306" t="e">
        <f ca="1"/>
        <v>#NAME?</v>
      </c>
      <c r="Y306" t="e">
        <f t="shared" ca="1" si="5"/>
        <v>#NAME?</v>
      </c>
      <c r="Z306" t="e">
        <f ca="1">IF(X306="","",SUMIFS(#REF!,RM!$C$4:$C991,X306))</f>
        <v>#NAME?</v>
      </c>
      <c r="AA306" t="e">
        <f ca="1">IF(X306="","",SUMIFS(#REF!,RM!$C$4:$C991,X306))</f>
        <v>#NAME?</v>
      </c>
      <c r="AB306" t="e">
        <f ca="1">IF(X306="","",SUMIFS(IRegback!$Y$2:$Y1001,IRegback!$X$2:$X1001,X306))</f>
        <v>#NAME?</v>
      </c>
      <c r="AC306" t="e">
        <f t="shared" ca="1" si="6"/>
        <v>#NAME?</v>
      </c>
      <c r="AD306" t="e">
        <f ca="1">IF(X306="","",VLOOKUP($X306,RM!$C$4:$G991,3,FALSE))</f>
        <v>#NAME?</v>
      </c>
      <c r="AE306" t="e">
        <f ca="1">IF(X306="","",VLOOKUP($X306,RM!$C$4:$G991,4,FALSE))</f>
        <v>#NAME?</v>
      </c>
      <c r="AF306" t="e">
        <f ca="1">IF(X306="","",VLOOKUP($X306,RM!$C$4:$G991,5,FALSE))</f>
        <v>#NAME?</v>
      </c>
      <c r="AH306" t="str">
        <f ca="1">IFERROR(__xludf.DUMMYFUNCTION("""COMPUTED_VALUE"""),"STBD Battery Assy")</f>
        <v>STBD Battery Assy</v>
      </c>
      <c r="AI306" t="str">
        <f ca="1">IFERROR(__xludf.DUMMYFUNCTION("""COMPUTED_VALUE"""),"8mm male bullet connector")</f>
        <v>8mm male bullet connector</v>
      </c>
      <c r="AJ306">
        <f ca="1">IFERROR(__xludf.DUMMYFUNCTION("""COMPUTED_VALUE"""),1)</f>
        <v>1</v>
      </c>
      <c r="AK306" t="str">
        <f ca="1">IFERROR(__xludf.DUMMYFUNCTION("""COMPUTED_VALUE"""),"blank")</f>
        <v>blank</v>
      </c>
      <c r="AL306" t="e">
        <f ca="1">_xludf.IFNA(VLOOKUP(AH306,'S-FG'!$B$3:$B1001,1,FALSE),"")</f>
        <v>#NAME?</v>
      </c>
      <c r="AM306" t="e">
        <f ca="1">IF(AI306="","",SUMIFS(#REF!,RM!$C$4:$C991,AI306))</f>
        <v>#REF!</v>
      </c>
    </row>
    <row r="307" spans="5:39">
      <c r="E307" t="str">
        <f>IF(A307="","",SUMIFS('PR-BOM'!$D$3:$D1001,'PR-BOM'!$C$3:$C1001,A307)*C307)</f>
        <v/>
      </c>
      <c r="F307" t="e">
        <f ca="1">_xludf.IFNA(VLOOKUP(B307,'S-FG'!$B$3:$B1001,1,FALSE),"")</f>
        <v>#NAME?</v>
      </c>
      <c r="H307" t="str">
        <f ca="1">IFERROR(__xludf.DUMMYFUNCTION("""COMPUTED_VALUE"""),"STBD Unit Assy")</f>
        <v>STBD Unit Assy</v>
      </c>
      <c r="I307" t="str">
        <f ca="1">IFERROR(__xludf.DUMMYFUNCTION("""COMPUTED_VALUE"""),"STBD_ESC Assy")</f>
        <v>STBD_ESC Assy</v>
      </c>
      <c r="J307">
        <f ca="1">IFERROR(__xludf.DUMMYFUNCTION("""COMPUTED_VALUE"""),0)</f>
        <v>0</v>
      </c>
      <c r="K307" t="str">
        <f ca="1">IFERROR(__xludf.DUMMYFUNCTION("""COMPUTED_VALUE"""),"blank")</f>
        <v>blank</v>
      </c>
      <c r="L307">
        <f t="shared" ca="1" si="4"/>
        <v>0</v>
      </c>
      <c r="Q307" t="str">
        <f>IF(N307="","",SUMIFS('PR-BOM'!$D$3:$D1001,'PR-BOM'!$C$3:$C1001,N307))</f>
        <v/>
      </c>
      <c r="S307" t="str">
        <f ca="1">IFERROR(__xludf.DUMMYFUNCTION("""COMPUTED_VALUE"""),"Jet Motor Assy")</f>
        <v>Jet Motor Assy</v>
      </c>
      <c r="X307" t="e">
        <f ca="1"/>
        <v>#NAME?</v>
      </c>
      <c r="Y307" t="e">
        <f t="shared" ca="1" si="5"/>
        <v>#NAME?</v>
      </c>
      <c r="Z307" t="e">
        <f ca="1">IF(X307="","",SUMIFS(#REF!,RM!$C$4:$C991,X307))</f>
        <v>#NAME?</v>
      </c>
      <c r="AA307" t="e">
        <f ca="1">IF(X307="","",SUMIFS(#REF!,RM!$C$4:$C991,X307))</f>
        <v>#NAME?</v>
      </c>
      <c r="AB307" t="e">
        <f ca="1">IF(X307="","",SUMIFS(IRegback!$Y$2:$Y1001,IRegback!$X$2:$X1001,X307))</f>
        <v>#NAME?</v>
      </c>
      <c r="AC307" t="e">
        <f t="shared" ca="1" si="6"/>
        <v>#NAME?</v>
      </c>
      <c r="AD307" t="e">
        <f ca="1">IF(X307="","",VLOOKUP($X307,RM!$C$4:$G991,3,FALSE))</f>
        <v>#NAME?</v>
      </c>
      <c r="AE307" t="e">
        <f ca="1">IF(X307="","",VLOOKUP($X307,RM!$C$4:$G991,4,FALSE))</f>
        <v>#NAME?</v>
      </c>
      <c r="AF307" t="e">
        <f ca="1">IF(X307="","",VLOOKUP($X307,RM!$C$4:$G991,5,FALSE))</f>
        <v>#NAME?</v>
      </c>
      <c r="AH307" t="str">
        <f ca="1">IFERROR(__xludf.DUMMYFUNCTION("""COMPUTED_VALUE"""),"STBD Battery Assy")</f>
        <v>STBD Battery Assy</v>
      </c>
      <c r="AI307" t="str">
        <f ca="1">IFERROR(__xludf.DUMMYFUNCTION("""COMPUTED_VALUE"""),"Black 8AWG")</f>
        <v>Black 8AWG</v>
      </c>
      <c r="AJ307">
        <f ca="1">IFERROR(__xludf.DUMMYFUNCTION("""COMPUTED_VALUE"""),0.65)</f>
        <v>0.65</v>
      </c>
      <c r="AK307" t="str">
        <f ca="1">IFERROR(__xludf.DUMMYFUNCTION("""COMPUTED_VALUE"""),"blank")</f>
        <v>blank</v>
      </c>
      <c r="AL307" t="e">
        <f ca="1">_xludf.IFNA(VLOOKUP(AH307,'S-FG'!$B$3:$B1001,1,FALSE),"")</f>
        <v>#NAME?</v>
      </c>
      <c r="AM307" t="e">
        <f ca="1">IF(AI307="","",SUMIFS(#REF!,RM!$C$4:$C991,AI307))</f>
        <v>#REF!</v>
      </c>
    </row>
    <row r="308" spans="5:39">
      <c r="E308" t="str">
        <f>IF(A308="","",SUMIFS('PR-BOM'!$D$3:$D1001,'PR-BOM'!$C$3:$C1001,A308)*C308)</f>
        <v/>
      </c>
      <c r="F308" t="e">
        <f ca="1">_xludf.IFNA(VLOOKUP(B308,'S-FG'!$B$3:$B1001,1,FALSE),"")</f>
        <v>#NAME?</v>
      </c>
      <c r="H308" t="str">
        <f ca="1">IFERROR(__xludf.DUMMYFUNCTION("""COMPUTED_VALUE"""),"STBD Unit Assy")</f>
        <v>STBD Unit Assy</v>
      </c>
      <c r="I308" t="str">
        <f ca="1">IFERROR(__xludf.DUMMYFUNCTION("""COMPUTED_VALUE"""),"STBD Battery Assy")</f>
        <v>STBD Battery Assy</v>
      </c>
      <c r="J308">
        <f ca="1">IFERROR(__xludf.DUMMYFUNCTION("""COMPUTED_VALUE"""),0)</f>
        <v>0</v>
      </c>
      <c r="K308" t="str">
        <f ca="1">IFERROR(__xludf.DUMMYFUNCTION("""COMPUTED_VALUE"""),"blank")</f>
        <v>blank</v>
      </c>
      <c r="L308">
        <f t="shared" ca="1" si="4"/>
        <v>0</v>
      </c>
      <c r="Q308" t="str">
        <f>IF(N308="","",SUMIFS('PR-BOM'!$D$3:$D1001,'PR-BOM'!$C$3:$C1001,N308))</f>
        <v/>
      </c>
      <c r="S308" t="str">
        <f ca="1">IFERROR(__xludf.DUMMYFUNCTION("""COMPUTED_VALUE"""),"STBD_ESC Assy")</f>
        <v>STBD_ESC Assy</v>
      </c>
      <c r="X308" t="e">
        <f ca="1"/>
        <v>#NAME?</v>
      </c>
      <c r="Y308" t="e">
        <f t="shared" ca="1" si="5"/>
        <v>#NAME?</v>
      </c>
      <c r="Z308" t="e">
        <f ca="1">IF(X308="","",SUMIFS(#REF!,RM!$C$4:$C991,X308))</f>
        <v>#NAME?</v>
      </c>
      <c r="AA308" t="e">
        <f ca="1">IF(X308="","",SUMIFS(#REF!,RM!$C$4:$C991,X308))</f>
        <v>#NAME?</v>
      </c>
      <c r="AB308" t="e">
        <f ca="1">IF(X308="","",SUMIFS(IRegback!$Y$2:$Y1001,IRegback!$X$2:$X1001,X308))</f>
        <v>#NAME?</v>
      </c>
      <c r="AC308" t="e">
        <f t="shared" ca="1" si="6"/>
        <v>#NAME?</v>
      </c>
      <c r="AD308" t="e">
        <f ca="1">IF(X308="","",VLOOKUP($X308,RM!$C$4:$G991,3,FALSE))</f>
        <v>#NAME?</v>
      </c>
      <c r="AE308" t="e">
        <f ca="1">IF(X308="","",VLOOKUP($X308,RM!$C$4:$G991,4,FALSE))</f>
        <v>#NAME?</v>
      </c>
      <c r="AF308" t="e">
        <f ca="1">IF(X308="","",VLOOKUP($X308,RM!$C$4:$G991,5,FALSE))</f>
        <v>#NAME?</v>
      </c>
      <c r="AH308" t="str">
        <f ca="1">IFERROR(__xludf.DUMMYFUNCTION("""COMPUTED_VALUE"""),"STBD Battery Assy")</f>
        <v>STBD Battery Assy</v>
      </c>
      <c r="AI308" t="str">
        <f ca="1">IFERROR(__xludf.DUMMYFUNCTION("""COMPUTED_VALUE"""),"Red 8AWG")</f>
        <v>Red 8AWG</v>
      </c>
      <c r="AJ308">
        <f ca="1">IFERROR(__xludf.DUMMYFUNCTION("""COMPUTED_VALUE"""),0.65)</f>
        <v>0.65</v>
      </c>
      <c r="AK308" t="str">
        <f ca="1">IFERROR(__xludf.DUMMYFUNCTION("""COMPUTED_VALUE"""),"blank")</f>
        <v>blank</v>
      </c>
      <c r="AL308" t="e">
        <f ca="1">_xludf.IFNA(VLOOKUP(AH308,'S-FG'!$B$3:$B1001,1,FALSE),"")</f>
        <v>#NAME?</v>
      </c>
      <c r="AM308" t="e">
        <f ca="1">IF(AI308="","",SUMIFS(#REF!,RM!$C$4:$C991,AI308))</f>
        <v>#REF!</v>
      </c>
    </row>
    <row r="309" spans="5:39">
      <c r="E309" t="str">
        <f>IF(A309="","",SUMIFS('PR-BOM'!$D$3:$D1001,'PR-BOM'!$C$3:$C1001,A309)*C309)</f>
        <v/>
      </c>
      <c r="F309" t="e">
        <f ca="1">_xludf.IFNA(VLOOKUP(B309,'S-FG'!$B$3:$B1001,1,FALSE),"")</f>
        <v>#NAME?</v>
      </c>
      <c r="H309" t="str">
        <f ca="1">IFERROR(__xludf.DUMMYFUNCTION("""COMPUTED_VALUE"""),"STBD Unit Assy")</f>
        <v>STBD Unit Assy</v>
      </c>
      <c r="I309" t="str">
        <f ca="1">IFERROR(__xludf.DUMMYFUNCTION("""COMPUTED_VALUE"""),"M4x20 CSK Phillips")</f>
        <v>M4x20 CSK Phillips</v>
      </c>
      <c r="J309">
        <f ca="1">IFERROR(__xludf.DUMMYFUNCTION("""COMPUTED_VALUE"""),2)</f>
        <v>2</v>
      </c>
      <c r="K309" t="str">
        <f ca="1">IFERROR(__xludf.DUMMYFUNCTION("""COMPUTED_VALUE"""),"blank")</f>
        <v>blank</v>
      </c>
      <c r="L309">
        <f t="shared" ca="1" si="4"/>
        <v>0</v>
      </c>
      <c r="Q309" t="str">
        <f>IF(N309="","",SUMIFS('PR-BOM'!$D$3:$D1001,'PR-BOM'!$C$3:$C1001,N309))</f>
        <v/>
      </c>
      <c r="S309" t="str">
        <f ca="1">IFERROR(__xludf.DUMMYFUNCTION("""COMPUTED_VALUE"""),"STBD Battery Assy")</f>
        <v>STBD Battery Assy</v>
      </c>
      <c r="X309" t="e">
        <f ca="1"/>
        <v>#NAME?</v>
      </c>
      <c r="Y309" t="e">
        <f t="shared" ca="1" si="5"/>
        <v>#NAME?</v>
      </c>
      <c r="Z309" t="e">
        <f ca="1">IF(X309="","",SUMIFS(#REF!,RM!$C$4:$C991,X309))</f>
        <v>#NAME?</v>
      </c>
      <c r="AA309" t="e">
        <f ca="1">IF(X309="","",SUMIFS(#REF!,RM!$C$4:$C991,X309))</f>
        <v>#NAME?</v>
      </c>
      <c r="AB309" t="e">
        <f ca="1">IF(X309="","",SUMIFS(IRegback!$Y$2:$Y1001,IRegback!$X$2:$X1001,X309))</f>
        <v>#NAME?</v>
      </c>
      <c r="AC309" t="e">
        <f t="shared" ca="1" si="6"/>
        <v>#NAME?</v>
      </c>
      <c r="AD309" t="e">
        <f ca="1">IF(X309="","",VLOOKUP($X309,RM!$C$4:$G991,3,FALSE))</f>
        <v>#NAME?</v>
      </c>
      <c r="AE309" t="e">
        <f ca="1">IF(X309="","",VLOOKUP($X309,RM!$C$4:$G991,4,FALSE))</f>
        <v>#NAME?</v>
      </c>
      <c r="AF309" t="e">
        <f ca="1">IF(X309="","",VLOOKUP($X309,RM!$C$4:$G991,5,FALSE))</f>
        <v>#NAME?</v>
      </c>
      <c r="AH309" t="str">
        <f ca="1">IFERROR(__xludf.DUMMYFUNCTION("""COMPUTED_VALUE"""),"STBD Battery Assy")</f>
        <v>STBD Battery Assy</v>
      </c>
      <c r="AI309" t="str">
        <f ca="1">IFERROR(__xludf.DUMMYFUNCTION("""COMPUTED_VALUE"""),"Soldering flux")</f>
        <v>Soldering flux</v>
      </c>
      <c r="AJ309">
        <f ca="1">IFERROR(__xludf.DUMMYFUNCTION("""COMPUTED_VALUE"""),5)</f>
        <v>5</v>
      </c>
      <c r="AL309" t="e">
        <f ca="1">_xludf.IFNA(VLOOKUP(AH309,'S-FG'!$B$3:$B1001,1,FALSE),"")</f>
        <v>#NAME?</v>
      </c>
      <c r="AM309" t="e">
        <f ca="1">IF(AI309="","",SUMIFS(#REF!,RM!$C$4:$C991,AI309))</f>
        <v>#REF!</v>
      </c>
    </row>
    <row r="310" spans="5:39">
      <c r="E310" t="str">
        <f>IF(A310="","",SUMIFS('PR-BOM'!$D$3:$D1001,'PR-BOM'!$C$3:$C1001,A310)*C310)</f>
        <v/>
      </c>
      <c r="F310" t="e">
        <f ca="1">_xludf.IFNA(VLOOKUP(B310,'S-FG'!$B$3:$B1001,1,FALSE),"")</f>
        <v>#NAME?</v>
      </c>
      <c r="H310" t="str">
        <f ca="1">IFERROR(__xludf.DUMMYFUNCTION("""COMPUTED_VALUE"""),"STBD Unit Assy")</f>
        <v>STBD Unit Assy</v>
      </c>
      <c r="I310" t="str">
        <f ca="1">IFERROR(__xludf.DUMMYFUNCTION("""COMPUTED_VALUE"""),"M4x16 Allen Head")</f>
        <v>M4x16 Allen Head</v>
      </c>
      <c r="J310">
        <f ca="1">IFERROR(__xludf.DUMMYFUNCTION("""COMPUTED_VALUE"""),2)</f>
        <v>2</v>
      </c>
      <c r="K310" t="str">
        <f ca="1">IFERROR(__xludf.DUMMYFUNCTION("""COMPUTED_VALUE"""),"blank")</f>
        <v>blank</v>
      </c>
      <c r="L310">
        <f t="shared" ca="1" si="4"/>
        <v>0</v>
      </c>
      <c r="Q310" t="str">
        <f>IF(N310="","",SUMIFS('PR-BOM'!$D$3:$D1001,'PR-BOM'!$C$3:$C1001,N310))</f>
        <v/>
      </c>
      <c r="S310" t="str">
        <f ca="1">IFERROR(__xludf.DUMMYFUNCTION("""COMPUTED_VALUE"""),"M4x20 CSK Phillips")</f>
        <v>M4x20 CSK Phillips</v>
      </c>
      <c r="X310" t="e">
        <f ca="1"/>
        <v>#NAME?</v>
      </c>
      <c r="Y310" t="e">
        <f t="shared" ca="1" si="5"/>
        <v>#NAME?</v>
      </c>
      <c r="Z310" t="e">
        <f ca="1">IF(X310="","",SUMIFS(#REF!,RM!$C$4:$C991,X310))</f>
        <v>#NAME?</v>
      </c>
      <c r="AA310" t="e">
        <f ca="1">IF(X310="","",SUMIFS(#REF!,RM!$C$4:$C991,X310))</f>
        <v>#NAME?</v>
      </c>
      <c r="AB310" t="e">
        <f ca="1">IF(X310="","",SUMIFS(IRegback!$Y$2:$Y1001,IRegback!$X$2:$X1001,X310))</f>
        <v>#NAME?</v>
      </c>
      <c r="AC310" t="e">
        <f t="shared" ca="1" si="6"/>
        <v>#NAME?</v>
      </c>
      <c r="AD310" t="e">
        <f ca="1">IF(X310="","",VLOOKUP($X310,RM!$C$4:$G991,3,FALSE))</f>
        <v>#NAME?</v>
      </c>
      <c r="AE310" t="e">
        <f ca="1">IF(X310="","",VLOOKUP($X310,RM!$C$4:$G991,4,FALSE))</f>
        <v>#NAME?</v>
      </c>
      <c r="AF310" t="e">
        <f ca="1">IF(X310="","",VLOOKUP($X310,RM!$C$4:$G991,5,FALSE))</f>
        <v>#NAME?</v>
      </c>
      <c r="AH310" t="str">
        <f ca="1">IFERROR(__xludf.DUMMYFUNCTION("""COMPUTED_VALUE"""),"STBD Battery Assy")</f>
        <v>STBD Battery Assy</v>
      </c>
      <c r="AI310" t="str">
        <f ca="1">IFERROR(__xludf.DUMMYFUNCTION("""COMPUTED_VALUE"""),"2mm FRP 60x70mm")</f>
        <v>2mm FRP 60x70mm</v>
      </c>
      <c r="AJ310">
        <f ca="1">IFERROR(__xludf.DUMMYFUNCTION("""COMPUTED_VALUE"""),1)</f>
        <v>1</v>
      </c>
      <c r="AK310" t="str">
        <f ca="1">IFERROR(__xludf.DUMMYFUNCTION("""COMPUTED_VALUE"""),"blank")</f>
        <v>blank</v>
      </c>
      <c r="AL310" t="e">
        <f ca="1">_xludf.IFNA(VLOOKUP(AH310,'S-FG'!$B$3:$B1001,1,FALSE),"")</f>
        <v>#NAME?</v>
      </c>
      <c r="AM310" t="e">
        <f ca="1">IF(AI310="","",SUMIFS(#REF!,RM!$C$4:$C991,AI310))</f>
        <v>#REF!</v>
      </c>
    </row>
    <row r="311" spans="5:39">
      <c r="E311" t="str">
        <f>IF(A311="","",SUMIFS('PR-BOM'!$D$3:$D1001,'PR-BOM'!$C$3:$C1001,A311)*C311)</f>
        <v/>
      </c>
      <c r="F311" t="e">
        <f ca="1">_xludf.IFNA(VLOOKUP(B311,'S-FG'!$B$3:$B1001,1,FALSE),"")</f>
        <v>#NAME?</v>
      </c>
      <c r="H311" t="str">
        <f ca="1">IFERROR(__xludf.DUMMYFUNCTION("""COMPUTED_VALUE"""),"PORT Unit Assy")</f>
        <v>PORT Unit Assy</v>
      </c>
      <c r="I311" t="str">
        <f ca="1">IFERROR(__xludf.DUMMYFUNCTION("""COMPUTED_VALUE"""),"ESC Mounting Clamp")</f>
        <v>ESC Mounting Clamp</v>
      </c>
      <c r="J311">
        <f ca="1">IFERROR(__xludf.DUMMYFUNCTION("""COMPUTED_VALUE"""),1)</f>
        <v>1</v>
      </c>
      <c r="K311" t="str">
        <f ca="1">IFERROR(__xludf.DUMMYFUNCTION("""COMPUTED_VALUE"""),"blank")</f>
        <v>blank</v>
      </c>
      <c r="L311">
        <f t="shared" ca="1" si="4"/>
        <v>0</v>
      </c>
      <c r="Q311" t="str">
        <f>IF(N311="","",SUMIFS('PR-BOM'!$D$3:$D1001,'PR-BOM'!$C$3:$C1001,N311))</f>
        <v/>
      </c>
      <c r="S311" t="str">
        <f ca="1">IFERROR(__xludf.DUMMYFUNCTION("""COMPUTED_VALUE"""),"M4x16 Allen Head")</f>
        <v>M4x16 Allen Head</v>
      </c>
      <c r="X311" t="e">
        <f ca="1"/>
        <v>#NAME?</v>
      </c>
      <c r="Y311" t="e">
        <f t="shared" ca="1" si="5"/>
        <v>#NAME?</v>
      </c>
      <c r="Z311" t="e">
        <f ca="1">IF(X311="","",SUMIFS(#REF!,RM!$C$4:$C991,X311))</f>
        <v>#NAME?</v>
      </c>
      <c r="AA311" t="e">
        <f ca="1">IF(X311="","",SUMIFS(#REF!,RM!$C$4:$C991,X311))</f>
        <v>#NAME?</v>
      </c>
      <c r="AB311" t="e">
        <f ca="1">IF(X311="","",SUMIFS(IRegback!$Y$2:$Y1001,IRegback!$X$2:$X1001,X311))</f>
        <v>#NAME?</v>
      </c>
      <c r="AC311" t="e">
        <f t="shared" ca="1" si="6"/>
        <v>#NAME?</v>
      </c>
      <c r="AD311" t="e">
        <f ca="1">IF(X311="","",VLOOKUP($X311,RM!$C$4:$G991,3,FALSE))</f>
        <v>#NAME?</v>
      </c>
      <c r="AE311" t="e">
        <f ca="1">IF(X311="","",VLOOKUP($X311,RM!$C$4:$G991,4,FALSE))</f>
        <v>#NAME?</v>
      </c>
      <c r="AF311" t="e">
        <f ca="1">IF(X311="","",VLOOKUP($X311,RM!$C$4:$G991,5,FALSE))</f>
        <v>#NAME?</v>
      </c>
      <c r="AH311" t="str">
        <f ca="1">IFERROR(__xludf.DUMMYFUNCTION("""COMPUTED_VALUE"""),"STBD Battery Assy")</f>
        <v>STBD Battery Assy</v>
      </c>
      <c r="AI311" t="str">
        <f ca="1">IFERROR(__xludf.DUMMYFUNCTION("""COMPUTED_VALUE"""),"2mm FRP 60x70mm with 18 mm hole")</f>
        <v>2mm FRP 60x70mm with 18 mm hole</v>
      </c>
      <c r="AJ311">
        <f ca="1">IFERROR(__xludf.DUMMYFUNCTION("""COMPUTED_VALUE"""),1)</f>
        <v>1</v>
      </c>
      <c r="AL311" t="e">
        <f ca="1">_xludf.IFNA(VLOOKUP(AH311,'S-FG'!$B$3:$B1001,1,FALSE),"")</f>
        <v>#NAME?</v>
      </c>
      <c r="AM311" t="e">
        <f ca="1">IF(AI311="","",SUMIFS(#REF!,RM!$C$4:$C991,AI311))</f>
        <v>#REF!</v>
      </c>
    </row>
    <row r="312" spans="5:39">
      <c r="E312" t="str">
        <f>IF(A312="","",SUMIFS('PR-BOM'!$D$3:$D1001,'PR-BOM'!$C$3:$C1001,A312)*C312)</f>
        <v/>
      </c>
      <c r="F312" t="e">
        <f ca="1">_xludf.IFNA(VLOOKUP(B312,'S-FG'!$B$3:$B1001,1,FALSE),"")</f>
        <v>#NAME?</v>
      </c>
      <c r="H312" t="str">
        <f ca="1">IFERROR(__xludf.DUMMYFUNCTION("""COMPUTED_VALUE"""),"PORT Unit Assy")</f>
        <v>PORT Unit Assy</v>
      </c>
      <c r="I312" t="str">
        <f ca="1">IFERROR(__xludf.DUMMYFUNCTION("""COMPUTED_VALUE"""),"M4 Nyloc")</f>
        <v>M4 Nyloc</v>
      </c>
      <c r="J312">
        <f ca="1">IFERROR(__xludf.DUMMYFUNCTION("""COMPUTED_VALUE"""),4)</f>
        <v>4</v>
      </c>
      <c r="K312" t="str">
        <f ca="1">IFERROR(__xludf.DUMMYFUNCTION("""COMPUTED_VALUE"""),"blank")</f>
        <v>blank</v>
      </c>
      <c r="L312">
        <f t="shared" ca="1" si="4"/>
        <v>0</v>
      </c>
      <c r="Q312" t="str">
        <f>IF(N312="","",SUMIFS('PR-BOM'!$D$3:$D1001,'PR-BOM'!$C$3:$C1001,N312))</f>
        <v/>
      </c>
      <c r="S312" t="str">
        <f ca="1">IFERROR(__xludf.DUMMYFUNCTION("""COMPUTED_VALUE"""),"ESC Mounting Clamp")</f>
        <v>ESC Mounting Clamp</v>
      </c>
      <c r="X312" t="e">
        <f ca="1"/>
        <v>#NAME?</v>
      </c>
      <c r="Y312" t="e">
        <f t="shared" ca="1" si="5"/>
        <v>#NAME?</v>
      </c>
      <c r="Z312" t="e">
        <f ca="1">IF(X312="","",SUMIFS(#REF!,RM!$C$4:$C991,X312))</f>
        <v>#NAME?</v>
      </c>
      <c r="AA312" t="e">
        <f ca="1">IF(X312="","",SUMIFS(#REF!,RM!$C$4:$C991,X312))</f>
        <v>#NAME?</v>
      </c>
      <c r="AB312" t="e">
        <f ca="1">IF(X312="","",SUMIFS(IRegback!$Y$2:$Y1001,IRegback!$X$2:$X1001,X312))</f>
        <v>#NAME?</v>
      </c>
      <c r="AC312" t="e">
        <f t="shared" ca="1" si="6"/>
        <v>#NAME?</v>
      </c>
      <c r="AD312" t="e">
        <f ca="1">IF(X312="","",VLOOKUP($X312,RM!$C$4:$G991,3,FALSE))</f>
        <v>#NAME?</v>
      </c>
      <c r="AE312" t="e">
        <f ca="1">IF(X312="","",VLOOKUP($X312,RM!$C$4:$G991,4,FALSE))</f>
        <v>#NAME?</v>
      </c>
      <c r="AF312" t="e">
        <f ca="1">IF(X312="","",VLOOKUP($X312,RM!$C$4:$G991,5,FALSE))</f>
        <v>#NAME?</v>
      </c>
      <c r="AH312" t="str">
        <f ca="1">IFERROR(__xludf.DUMMYFUNCTION("""COMPUTED_VALUE"""),"STBD Battery Assy")</f>
        <v>STBD Battery Assy</v>
      </c>
      <c r="AI312" t="str">
        <f ca="1">IFERROR(__xludf.DUMMYFUNCTION("""COMPUTED_VALUE"""),"70mm Paper Separator")</f>
        <v>70mm Paper Separator</v>
      </c>
      <c r="AJ312">
        <f ca="1">IFERROR(__xludf.DUMMYFUNCTION("""COMPUTED_VALUE"""),0.5)</f>
        <v>0.5</v>
      </c>
      <c r="AK312" t="str">
        <f ca="1">IFERROR(__xludf.DUMMYFUNCTION("""COMPUTED_VALUE"""),"blank")</f>
        <v>blank</v>
      </c>
      <c r="AL312" t="e">
        <f ca="1">_xludf.IFNA(VLOOKUP(AH312,'S-FG'!$B$3:$B1001,1,FALSE),"")</f>
        <v>#NAME?</v>
      </c>
      <c r="AM312" t="e">
        <f ca="1">IF(AI312="","",SUMIFS(#REF!,RM!$C$4:$C991,AI312))</f>
        <v>#REF!</v>
      </c>
    </row>
    <row r="313" spans="5:39">
      <c r="E313" t="str">
        <f>IF(A313="","",SUMIFS('PR-BOM'!$D$3:$D1001,'PR-BOM'!$C$3:$C1001,A313)*C313)</f>
        <v/>
      </c>
      <c r="F313" t="e">
        <f ca="1">_xludf.IFNA(VLOOKUP(B313,'S-FG'!$B$3:$B1001,1,FALSE),"")</f>
        <v>#NAME?</v>
      </c>
      <c r="H313" t="str">
        <f ca="1">IFERROR(__xludf.DUMMYFUNCTION("""COMPUTED_VALUE"""),"PORT Unit Assy")</f>
        <v>PORT Unit Assy</v>
      </c>
      <c r="I313" t="str">
        <f ca="1">IFERROR(__xludf.DUMMYFUNCTION("""COMPUTED_VALUE"""),"M4 Spring washer")</f>
        <v>M4 Spring washer</v>
      </c>
      <c r="J313">
        <f ca="1">IFERROR(__xludf.DUMMYFUNCTION("""COMPUTED_VALUE"""),4)</f>
        <v>4</v>
      </c>
      <c r="K313" t="str">
        <f ca="1">IFERROR(__xludf.DUMMYFUNCTION("""COMPUTED_VALUE"""),"blank")</f>
        <v>blank</v>
      </c>
      <c r="L313">
        <f t="shared" ca="1" si="4"/>
        <v>0</v>
      </c>
      <c r="Q313" t="str">
        <f>IF(N313="","",SUMIFS('PR-BOM'!$D$3:$D1001,'PR-BOM'!$C$3:$C1001,N313))</f>
        <v/>
      </c>
      <c r="S313" t="str">
        <f ca="1">IFERROR(__xludf.DUMMYFUNCTION("""COMPUTED_VALUE"""),"M4 Nyloc")</f>
        <v>M4 Nyloc</v>
      </c>
      <c r="X313" t="e">
        <f ca="1"/>
        <v>#NAME?</v>
      </c>
      <c r="Y313" t="e">
        <f t="shared" ca="1" si="5"/>
        <v>#NAME?</v>
      </c>
      <c r="Z313" t="e">
        <f ca="1">IF(X313="","",SUMIFS(#REF!,RM!$C$4:$C991,X313))</f>
        <v>#NAME?</v>
      </c>
      <c r="AA313" t="e">
        <f ca="1">IF(X313="","",SUMIFS(#REF!,RM!$C$4:$C991,X313))</f>
        <v>#NAME?</v>
      </c>
      <c r="AB313" t="e">
        <f ca="1">IF(X313="","",SUMIFS(IRegback!$Y$2:$Y1001,IRegback!$X$2:$X1001,X313))</f>
        <v>#NAME?</v>
      </c>
      <c r="AC313" t="e">
        <f t="shared" ca="1" si="6"/>
        <v>#NAME?</v>
      </c>
      <c r="AD313" t="e">
        <f ca="1">IF(X313="","",VLOOKUP($X313,RM!$C$4:$G991,3,FALSE))</f>
        <v>#NAME?</v>
      </c>
      <c r="AE313" t="e">
        <f ca="1">IF(X313="","",VLOOKUP($X313,RM!$C$4:$G991,4,FALSE))</f>
        <v>#NAME?</v>
      </c>
      <c r="AF313" t="e">
        <f ca="1">IF(X313="","",VLOOKUP($X313,RM!$C$4:$G991,5,FALSE))</f>
        <v>#NAME?</v>
      </c>
      <c r="AH313" t="str">
        <f ca="1">IFERROR(__xludf.DUMMYFUNCTION("""COMPUTED_VALUE"""),"STBD Battery Assy")</f>
        <v>STBD Battery Assy</v>
      </c>
      <c r="AI313" t="str">
        <f ca="1">IFERROR(__xludf.DUMMYFUNCTION("""COMPUTED_VALUE"""),"16AWG Lead")</f>
        <v>16AWG Lead</v>
      </c>
      <c r="AJ313">
        <f ca="1">IFERROR(__xludf.DUMMYFUNCTION("""COMPUTED_VALUE"""),30)</f>
        <v>30</v>
      </c>
      <c r="AK313" t="str">
        <f ca="1">IFERROR(__xludf.DUMMYFUNCTION("""COMPUTED_VALUE"""),"blank")</f>
        <v>blank</v>
      </c>
      <c r="AL313" t="e">
        <f ca="1">_xludf.IFNA(VLOOKUP(AH313,'S-FG'!$B$3:$B1001,1,FALSE),"")</f>
        <v>#NAME?</v>
      </c>
      <c r="AM313" t="e">
        <f ca="1">IF(AI313="","",SUMIFS(#REF!,RM!$C$4:$C991,AI313))</f>
        <v>#REF!</v>
      </c>
    </row>
    <row r="314" spans="5:39">
      <c r="E314" t="str">
        <f>IF(A314="","",SUMIFS('PR-BOM'!$D$3:$D1001,'PR-BOM'!$C$3:$C1001,A314)*C314)</f>
        <v/>
      </c>
      <c r="F314" t="e">
        <f ca="1">_xludf.IFNA(VLOOKUP(B314,'S-FG'!$B$3:$B1001,1,FALSE),"")</f>
        <v>#NAME?</v>
      </c>
      <c r="H314" t="str">
        <f ca="1">IFERROR(__xludf.DUMMYFUNCTION("""COMPUTED_VALUE"""),"PORT Unit Assy")</f>
        <v>PORT Unit Assy</v>
      </c>
      <c r="I314" t="str">
        <f ca="1">IFERROR(__xludf.DUMMYFUNCTION("""COMPUTED_VALUE"""),"M4x12 plain washer")</f>
        <v>M4x12 plain washer</v>
      </c>
      <c r="J314">
        <f ca="1">IFERROR(__xludf.DUMMYFUNCTION("""COMPUTED_VALUE"""),4)</f>
        <v>4</v>
      </c>
      <c r="K314" t="str">
        <f ca="1">IFERROR(__xludf.DUMMYFUNCTION("""COMPUTED_VALUE"""),"blank")</f>
        <v>blank</v>
      </c>
      <c r="L314">
        <f t="shared" ca="1" si="4"/>
        <v>0</v>
      </c>
      <c r="Q314" t="str">
        <f>IF(N314="","",SUMIFS('PR-BOM'!$D$3:$D1001,'PR-BOM'!$C$3:$C1001,N314))</f>
        <v/>
      </c>
      <c r="S314" t="str">
        <f ca="1">IFERROR(__xludf.DUMMYFUNCTION("""COMPUTED_VALUE"""),"M4 Spring washer")</f>
        <v>M4 Spring washer</v>
      </c>
      <c r="X314" t="e">
        <f ca="1"/>
        <v>#NAME?</v>
      </c>
      <c r="Y314" t="e">
        <f t="shared" ca="1" si="5"/>
        <v>#NAME?</v>
      </c>
      <c r="Z314" t="e">
        <f ca="1">IF(X314="","",SUMIFS(#REF!,RM!$C$4:$C991,X314))</f>
        <v>#NAME?</v>
      </c>
      <c r="AA314" t="e">
        <f ca="1">IF(X314="","",SUMIFS(#REF!,RM!$C$4:$C991,X314))</f>
        <v>#NAME?</v>
      </c>
      <c r="AB314" t="e">
        <f ca="1">IF(X314="","",SUMIFS(IRegback!$Y$2:$Y1001,IRegback!$X$2:$X1001,X314))</f>
        <v>#NAME?</v>
      </c>
      <c r="AC314" t="e">
        <f t="shared" ca="1" si="6"/>
        <v>#NAME?</v>
      </c>
      <c r="AD314" t="e">
        <f ca="1">IF(X314="","",VLOOKUP($X314,RM!$C$4:$G991,3,FALSE))</f>
        <v>#NAME?</v>
      </c>
      <c r="AE314" t="e">
        <f ca="1">IF(X314="","",VLOOKUP($X314,RM!$C$4:$G991,4,FALSE))</f>
        <v>#NAME?</v>
      </c>
      <c r="AF314" t="e">
        <f ca="1">IF(X314="","",VLOOKUP($X314,RM!$C$4:$G991,5,FALSE))</f>
        <v>#NAME?</v>
      </c>
      <c r="AH314" t="str">
        <f ca="1">IFERROR(__xludf.DUMMYFUNCTION("""COMPUTED_VALUE"""),"STBD Battery Assy")</f>
        <v>STBD Battery Assy</v>
      </c>
      <c r="AI314" t="str">
        <f ca="1">IFERROR(__xludf.DUMMYFUNCTION("""COMPUTED_VALUE"""),"HeatShrink Tube 12:3")</f>
        <v>HeatShrink Tube 12:3</v>
      </c>
      <c r="AJ314">
        <f ca="1">IFERROR(__xludf.DUMMYFUNCTION("""COMPUTED_VALUE"""),0.06)</f>
        <v>0.06</v>
      </c>
      <c r="AK314" t="str">
        <f ca="1">IFERROR(__xludf.DUMMYFUNCTION("""COMPUTED_VALUE"""),"blank")</f>
        <v>blank</v>
      </c>
      <c r="AL314" t="e">
        <f ca="1">_xludf.IFNA(VLOOKUP(AH314,'S-FG'!$B$3:$B1001,1,FALSE),"")</f>
        <v>#NAME?</v>
      </c>
      <c r="AM314" t="e">
        <f ca="1">IF(AI314="","",SUMIFS(#REF!,RM!$C$4:$C991,AI314))</f>
        <v>#REF!</v>
      </c>
    </row>
    <row r="315" spans="5:39">
      <c r="E315" t="str">
        <f>IF(A315="","",SUMIFS('PR-BOM'!$D$3:$D1001,'PR-BOM'!$C$3:$C1001,A315)*C315)</f>
        <v/>
      </c>
      <c r="F315" t="e">
        <f ca="1">_xludf.IFNA(VLOOKUP(B315,'S-FG'!$B$3:$B1001,1,FALSE),"")</f>
        <v>#NAME?</v>
      </c>
      <c r="H315" t="str">
        <f ca="1">IFERROR(__xludf.DUMMYFUNCTION("""COMPUTED_VALUE"""),"PORT Unit Assy")</f>
        <v>PORT Unit Assy</v>
      </c>
      <c r="I315" t="str">
        <f ca="1">IFERROR(__xludf.DUMMYFUNCTION("""COMPUTED_VALUE"""),"3mm Silicon Rubber Gaskets (35mmx10mm)")</f>
        <v>3mm Silicon Rubber Gaskets (35mmx10mm)</v>
      </c>
      <c r="J315">
        <f ca="1">IFERROR(__xludf.DUMMYFUNCTION("""COMPUTED_VALUE"""),1)</f>
        <v>1</v>
      </c>
      <c r="K315" t="str">
        <f ca="1">IFERROR(__xludf.DUMMYFUNCTION("""COMPUTED_VALUE"""),"blank")</f>
        <v>blank</v>
      </c>
      <c r="L315">
        <f t="shared" ca="1" si="4"/>
        <v>0</v>
      </c>
      <c r="Q315" t="str">
        <f>IF(N315="","",SUMIFS('PR-BOM'!$D$3:$D1001,'PR-BOM'!$C$3:$C1001,N315))</f>
        <v/>
      </c>
      <c r="S315" t="str">
        <f ca="1">IFERROR(__xludf.DUMMYFUNCTION("""COMPUTED_VALUE"""),"M4x12 plain washer")</f>
        <v>M4x12 plain washer</v>
      </c>
      <c r="X315" t="e">
        <f ca="1"/>
        <v>#NAME?</v>
      </c>
      <c r="Y315" t="e">
        <f t="shared" ca="1" si="5"/>
        <v>#NAME?</v>
      </c>
      <c r="Z315" t="e">
        <f ca="1">IF(X315="","",SUMIFS(#REF!,RM!$C$4:$C991,X315))</f>
        <v>#NAME?</v>
      </c>
      <c r="AA315" t="e">
        <f ca="1">IF(X315="","",SUMIFS(#REF!,RM!$C$4:$C991,X315))</f>
        <v>#NAME?</v>
      </c>
      <c r="AB315" t="e">
        <f ca="1">IF(X315="","",SUMIFS(IRegback!$Y$2:$Y1001,IRegback!$X$2:$X1001,X315))</f>
        <v>#NAME?</v>
      </c>
      <c r="AC315" t="e">
        <f t="shared" ca="1" si="6"/>
        <v>#NAME?</v>
      </c>
      <c r="AD315" t="e">
        <f ca="1">IF(X315="","",VLOOKUP($X315,RM!$C$4:$G991,3,FALSE))</f>
        <v>#NAME?</v>
      </c>
      <c r="AE315" t="e">
        <f ca="1">IF(X315="","",VLOOKUP($X315,RM!$C$4:$G991,4,FALSE))</f>
        <v>#NAME?</v>
      </c>
      <c r="AF315" t="e">
        <f ca="1">IF(X315="","",VLOOKUP($X315,RM!$C$4:$G991,5,FALSE))</f>
        <v>#NAME?</v>
      </c>
      <c r="AH315" t="str">
        <f ca="1">IFERROR(__xludf.DUMMYFUNCTION("""COMPUTED_VALUE"""),"STBD Battery Assy")</f>
        <v>STBD Battery Assy</v>
      </c>
      <c r="AI315" t="str">
        <f ca="1">IFERROR(__xludf.DUMMYFUNCTION("""COMPUTED_VALUE"""),"STBD Signal CM Assy")</f>
        <v>STBD Signal CM Assy</v>
      </c>
      <c r="AJ315">
        <f ca="1">IFERROR(__xludf.DUMMYFUNCTION("""COMPUTED_VALUE"""),1)</f>
        <v>1</v>
      </c>
      <c r="AK315" t="str">
        <f ca="1">IFERROR(__xludf.DUMMYFUNCTION("""COMPUTED_VALUE"""),"blank")</f>
        <v>blank</v>
      </c>
      <c r="AL315" t="e">
        <f ca="1">_xludf.IFNA(VLOOKUP(AH315,'S-FG'!$B$3:$B1001,1,FALSE),"")</f>
        <v>#NAME?</v>
      </c>
      <c r="AM315" t="e">
        <f ca="1">IF(AI315="","",SUMIFS(#REF!,RM!$C$4:$C991,AI315))</f>
        <v>#REF!</v>
      </c>
    </row>
    <row r="316" spans="5:39">
      <c r="E316" t="str">
        <f>IF(A316="","",SUMIFS('PR-BOM'!$D$3:$D1001,'PR-BOM'!$C$3:$C1001,A316)*C316)</f>
        <v/>
      </c>
      <c r="F316" t="e">
        <f ca="1">_xludf.IFNA(VLOOKUP(B316,'S-FG'!$B$3:$B1001,1,FALSE),"")</f>
        <v>#NAME?</v>
      </c>
      <c r="H316" t="str">
        <f ca="1">IFERROR(__xludf.DUMMYFUNCTION("""COMPUTED_VALUE"""),"PORT Unit Assy")</f>
        <v>PORT Unit Assy</v>
      </c>
      <c r="I316" t="str">
        <f ca="1">IFERROR(__xludf.DUMMYFUNCTION("""COMPUTED_VALUE"""),"Jet Motor Assy")</f>
        <v>Jet Motor Assy</v>
      </c>
      <c r="J316">
        <f ca="1">IFERROR(__xludf.DUMMYFUNCTION("""COMPUTED_VALUE"""),0)</f>
        <v>0</v>
      </c>
      <c r="K316" t="str">
        <f ca="1">IFERROR(__xludf.DUMMYFUNCTION("""COMPUTED_VALUE"""),"blank")</f>
        <v>blank</v>
      </c>
      <c r="L316">
        <f t="shared" ca="1" si="4"/>
        <v>0</v>
      </c>
      <c r="Q316" t="str">
        <f>IF(N316="","",SUMIFS('PR-BOM'!$D$3:$D1001,'PR-BOM'!$C$3:$C1001,N316))</f>
        <v/>
      </c>
      <c r="S316" t="str">
        <f ca="1">IFERROR(__xludf.DUMMYFUNCTION("""COMPUTED_VALUE"""),"3mm Silicon Rubber Gaskets (35mmx10mm)")</f>
        <v>3mm Silicon Rubber Gaskets (35mmx10mm)</v>
      </c>
      <c r="X316" t="e">
        <f ca="1"/>
        <v>#NAME?</v>
      </c>
      <c r="Y316" t="e">
        <f t="shared" ca="1" si="5"/>
        <v>#NAME?</v>
      </c>
      <c r="Z316" t="e">
        <f ca="1">IF(X316="","",SUMIFS(#REF!,RM!$C$4:$C991,X316))</f>
        <v>#NAME?</v>
      </c>
      <c r="AA316" t="e">
        <f ca="1">IF(X316="","",SUMIFS(#REF!,RM!$C$4:$C991,X316))</f>
        <v>#NAME?</v>
      </c>
      <c r="AB316" t="e">
        <f ca="1">IF(X316="","",SUMIFS(IRegback!$Y$2:$Y1001,IRegback!$X$2:$X1001,X316))</f>
        <v>#NAME?</v>
      </c>
      <c r="AC316" t="e">
        <f t="shared" ca="1" si="6"/>
        <v>#NAME?</v>
      </c>
      <c r="AD316" t="e">
        <f ca="1">IF(X316="","",VLOOKUP($X316,RM!$C$4:$G991,3,FALSE))</f>
        <v>#NAME?</v>
      </c>
      <c r="AE316" t="e">
        <f ca="1">IF(X316="","",VLOOKUP($X316,RM!$C$4:$G991,4,FALSE))</f>
        <v>#NAME?</v>
      </c>
      <c r="AF316" t="e">
        <f ca="1">IF(X316="","",VLOOKUP($X316,RM!$C$4:$G991,5,FALSE))</f>
        <v>#NAME?</v>
      </c>
      <c r="AH316" t="str">
        <f ca="1">IFERROR(__xludf.DUMMYFUNCTION("""COMPUTED_VALUE"""),"STBD Battery Assy")</f>
        <v>STBD Battery Assy</v>
      </c>
      <c r="AI316" t="str">
        <f ca="1">IFERROR(__xludf.DUMMYFUNCTION("""COMPUTED_VALUE"""),"Battery Block Assy")</f>
        <v>Battery Block Assy</v>
      </c>
      <c r="AJ316">
        <f ca="1">IFERROR(__xludf.DUMMYFUNCTION("""COMPUTED_VALUE"""),0)</f>
        <v>0</v>
      </c>
      <c r="AK316" t="str">
        <f ca="1">IFERROR(__xludf.DUMMYFUNCTION("""COMPUTED_VALUE"""),"blank")</f>
        <v>blank</v>
      </c>
      <c r="AL316" t="e">
        <f ca="1">_xludf.IFNA(VLOOKUP(AH316,'S-FG'!$B$3:$B1001,1,FALSE),"")</f>
        <v>#NAME?</v>
      </c>
      <c r="AM316" t="e">
        <f ca="1">IF(AI316="","",SUMIFS(#REF!,RM!$C$4:$C991,AI316))</f>
        <v>#REF!</v>
      </c>
    </row>
    <row r="317" spans="5:39">
      <c r="E317" t="str">
        <f>IF(A317="","",SUMIFS('PR-BOM'!$D$3:$D1001,'PR-BOM'!$C$3:$C1001,A317)*C317)</f>
        <v/>
      </c>
      <c r="F317" t="e">
        <f ca="1">_xludf.IFNA(VLOOKUP(B317,'S-FG'!$B$3:$B1001,1,FALSE),"")</f>
        <v>#NAME?</v>
      </c>
      <c r="H317" t="str">
        <f ca="1">IFERROR(__xludf.DUMMYFUNCTION("""COMPUTED_VALUE"""),"PORT Unit Assy")</f>
        <v>PORT Unit Assy</v>
      </c>
      <c r="I317" t="str">
        <f ca="1">IFERROR(__xludf.DUMMYFUNCTION("""COMPUTED_VALUE"""),"PORT_ESC Assy")</f>
        <v>PORT_ESC Assy</v>
      </c>
      <c r="J317">
        <f ca="1">IFERROR(__xludf.DUMMYFUNCTION("""COMPUTED_VALUE"""),0)</f>
        <v>0</v>
      </c>
      <c r="K317" t="str">
        <f ca="1">IFERROR(__xludf.DUMMYFUNCTION("""COMPUTED_VALUE"""),"blank")</f>
        <v>blank</v>
      </c>
      <c r="L317">
        <f t="shared" ca="1" si="4"/>
        <v>0</v>
      </c>
      <c r="Q317" t="str">
        <f>IF(N317="","",SUMIFS('PR-BOM'!$D$3:$D1001,'PR-BOM'!$C$3:$C1001,N317))</f>
        <v/>
      </c>
      <c r="S317" t="str">
        <f ca="1">IFERROR(__xludf.DUMMYFUNCTION("""COMPUTED_VALUE"""),"Jet Motor Assy")</f>
        <v>Jet Motor Assy</v>
      </c>
      <c r="X317" t="e">
        <f ca="1"/>
        <v>#NAME?</v>
      </c>
      <c r="Y317" t="e">
        <f t="shared" ca="1" si="5"/>
        <v>#NAME?</v>
      </c>
      <c r="Z317" t="e">
        <f ca="1">IF(X317="","",SUMIFS(#REF!,RM!$C$4:$C991,X317))</f>
        <v>#NAME?</v>
      </c>
      <c r="AA317" t="e">
        <f ca="1">IF(X317="","",SUMIFS(#REF!,RM!$C$4:$C991,X317))</f>
        <v>#NAME?</v>
      </c>
      <c r="AB317" t="e">
        <f ca="1">IF(X317="","",SUMIFS(IRegback!$Y$2:$Y1001,IRegback!$X$2:$X1001,X317))</f>
        <v>#NAME?</v>
      </c>
      <c r="AC317" t="e">
        <f t="shared" ca="1" si="6"/>
        <v>#NAME?</v>
      </c>
      <c r="AD317" t="e">
        <f ca="1">IF(X317="","",VLOOKUP($X317,RM!$C$4:$G991,3,FALSE))</f>
        <v>#NAME?</v>
      </c>
      <c r="AE317" t="e">
        <f ca="1">IF(X317="","",VLOOKUP($X317,RM!$C$4:$G991,4,FALSE))</f>
        <v>#NAME?</v>
      </c>
      <c r="AF317" t="e">
        <f ca="1">IF(X317="","",VLOOKUP($X317,RM!$C$4:$G991,5,FALSE))</f>
        <v>#NAME?</v>
      </c>
      <c r="AH317" t="str">
        <f ca="1">IFERROR(__xludf.DUMMYFUNCTION("""COMPUTED_VALUE"""),"STBD Battery Assy")</f>
        <v>STBD Battery Assy</v>
      </c>
      <c r="AI317" t="str">
        <f ca="1">IFERROR(__xludf.DUMMYFUNCTION("""COMPUTED_VALUE"""),"HeatShrink Tube 100mm")</f>
        <v>HeatShrink Tube 100mm</v>
      </c>
      <c r="AJ317">
        <f ca="1">IFERROR(__xludf.DUMMYFUNCTION("""COMPUTED_VALUE"""),0.17)</f>
        <v>0.17</v>
      </c>
      <c r="AK317" t="str">
        <f ca="1">IFERROR(__xludf.DUMMYFUNCTION("""COMPUTED_VALUE"""),"blank")</f>
        <v>blank</v>
      </c>
      <c r="AL317" t="e">
        <f ca="1">_xludf.IFNA(VLOOKUP(AH317,'S-FG'!$B$3:$B1001,1,FALSE),"")</f>
        <v>#NAME?</v>
      </c>
      <c r="AM317" t="e">
        <f ca="1">IF(AI317="","",SUMIFS(#REF!,RM!$C$4:$C991,AI317))</f>
        <v>#REF!</v>
      </c>
    </row>
    <row r="318" spans="5:39">
      <c r="E318" t="str">
        <f>IF(A318="","",SUMIFS('PR-BOM'!$D$3:$D1001,'PR-BOM'!$C$3:$C1001,A318)*C318)</f>
        <v/>
      </c>
      <c r="F318" t="e">
        <f ca="1">_xludf.IFNA(VLOOKUP(B318,'S-FG'!$B$3:$B1001,1,FALSE),"")</f>
        <v>#NAME?</v>
      </c>
      <c r="H318" t="str">
        <f ca="1">IFERROR(__xludf.DUMMYFUNCTION("""COMPUTED_VALUE"""),"PORT Unit Assy")</f>
        <v>PORT Unit Assy</v>
      </c>
      <c r="I318" t="str">
        <f ca="1">IFERROR(__xludf.DUMMYFUNCTION("""COMPUTED_VALUE"""),"PORT Battery Assy")</f>
        <v>PORT Battery Assy</v>
      </c>
      <c r="J318">
        <f ca="1">IFERROR(__xludf.DUMMYFUNCTION("""COMPUTED_VALUE"""),0)</f>
        <v>0</v>
      </c>
      <c r="K318" t="str">
        <f ca="1">IFERROR(__xludf.DUMMYFUNCTION("""COMPUTED_VALUE"""),"blank")</f>
        <v>blank</v>
      </c>
      <c r="L318">
        <f t="shared" ca="1" si="4"/>
        <v>0</v>
      </c>
      <c r="Q318" t="str">
        <f>IF(N318="","",SUMIFS('PR-BOM'!$D$3:$D1001,'PR-BOM'!$C$3:$C1001,N318))</f>
        <v/>
      </c>
      <c r="S318" t="str">
        <f ca="1">IFERROR(__xludf.DUMMYFUNCTION("""COMPUTED_VALUE"""),"PORT_ESC Assy")</f>
        <v>PORT_ESC Assy</v>
      </c>
      <c r="X318" t="e">
        <f ca="1"/>
        <v>#NAME?</v>
      </c>
      <c r="Y318" t="e">
        <f t="shared" ca="1" si="5"/>
        <v>#NAME?</v>
      </c>
      <c r="Z318" t="e">
        <f ca="1">IF(X318="","",SUMIFS(#REF!,RM!$C$4:$C991,X318))</f>
        <v>#NAME?</v>
      </c>
      <c r="AA318" t="e">
        <f ca="1">IF(X318="","",SUMIFS(#REF!,RM!$C$4:$C991,X318))</f>
        <v>#NAME?</v>
      </c>
      <c r="AB318" t="e">
        <f ca="1">IF(X318="","",SUMIFS(IRegback!$Y$2:$Y1001,IRegback!$X$2:$X1001,X318))</f>
        <v>#NAME?</v>
      </c>
      <c r="AC318" t="e">
        <f t="shared" ca="1" si="6"/>
        <v>#NAME?</v>
      </c>
      <c r="AD318" t="e">
        <f ca="1">IF(X318="","",VLOOKUP($X318,RM!$C$4:$G991,3,FALSE))</f>
        <v>#NAME?</v>
      </c>
      <c r="AE318" t="e">
        <f ca="1">IF(X318="","",VLOOKUP($X318,RM!$C$4:$G991,4,FALSE))</f>
        <v>#NAME?</v>
      </c>
      <c r="AF318" t="e">
        <f ca="1">IF(X318="","",VLOOKUP($X318,RM!$C$4:$G991,5,FALSE))</f>
        <v>#NAME?</v>
      </c>
      <c r="AH318" t="str">
        <f ca="1">IFERROR(__xludf.DUMMYFUNCTION("""COMPUTED_VALUE"""),"STBD Battery Assy")</f>
        <v>STBD Battery Assy</v>
      </c>
      <c r="AI318" t="str">
        <f ca="1">IFERROR(__xludf.DUMMYFUNCTION("""COMPUTED_VALUE"""),"Teroson MS930")</f>
        <v>Teroson MS930</v>
      </c>
      <c r="AJ318">
        <f ca="1">IFERROR(__xludf.DUMMYFUNCTION("""COMPUTED_VALUE"""),20)</f>
        <v>20</v>
      </c>
      <c r="AK318" t="str">
        <f ca="1">IFERROR(__xludf.DUMMYFUNCTION("""COMPUTED_VALUE"""),"blank")</f>
        <v>blank</v>
      </c>
      <c r="AL318" t="e">
        <f ca="1">_xludf.IFNA(VLOOKUP(AH318,'S-FG'!$B$3:$B1001,1,FALSE),"")</f>
        <v>#NAME?</v>
      </c>
      <c r="AM318" t="e">
        <f ca="1">IF(AI318="","",SUMIFS(#REF!,RM!$C$4:$C991,AI318))</f>
        <v>#REF!</v>
      </c>
    </row>
    <row r="319" spans="5:39">
      <c r="E319" t="str">
        <f>IF(A319="","",SUMIFS('PR-BOM'!$D$3:$D1001,'PR-BOM'!$C$3:$C1001,A319)*C319)</f>
        <v/>
      </c>
      <c r="F319" t="e">
        <f ca="1">_xludf.IFNA(VLOOKUP(B319,'S-FG'!$B$3:$B1001,1,FALSE),"")</f>
        <v>#NAME?</v>
      </c>
      <c r="H319" t="str">
        <f ca="1">IFERROR(__xludf.DUMMYFUNCTION("""COMPUTED_VALUE"""),"PORT Unit Assy")</f>
        <v>PORT Unit Assy</v>
      </c>
      <c r="I319" t="str">
        <f ca="1">IFERROR(__xludf.DUMMYFUNCTION("""COMPUTED_VALUE"""),"M4x20 CSK Phillips")</f>
        <v>M4x20 CSK Phillips</v>
      </c>
      <c r="J319">
        <f ca="1">IFERROR(__xludf.DUMMYFUNCTION("""COMPUTED_VALUE"""),2)</f>
        <v>2</v>
      </c>
      <c r="K319" t="str">
        <f ca="1">IFERROR(__xludf.DUMMYFUNCTION("""COMPUTED_VALUE"""),"blank")</f>
        <v>blank</v>
      </c>
      <c r="L319">
        <f t="shared" ca="1" si="4"/>
        <v>0</v>
      </c>
      <c r="Q319" t="str">
        <f>IF(N319="","",SUMIFS('PR-BOM'!$D$3:$D1001,'PR-BOM'!$C$3:$C1001,N319))</f>
        <v/>
      </c>
      <c r="S319" t="str">
        <f ca="1">IFERROR(__xludf.DUMMYFUNCTION("""COMPUTED_VALUE"""),"PORT Battery Assy")</f>
        <v>PORT Battery Assy</v>
      </c>
      <c r="X319" t="e">
        <f ca="1"/>
        <v>#NAME?</v>
      </c>
      <c r="Y319" t="e">
        <f t="shared" ca="1" si="5"/>
        <v>#NAME?</v>
      </c>
      <c r="Z319" t="e">
        <f ca="1">IF(X319="","",SUMIFS(#REF!,RM!$C$4:$C991,X319))</f>
        <v>#NAME?</v>
      </c>
      <c r="AA319" t="e">
        <f ca="1">IF(X319="","",SUMIFS(#REF!,RM!$C$4:$C991,X319))</f>
        <v>#NAME?</v>
      </c>
      <c r="AB319" t="e">
        <f ca="1">IF(X319="","",SUMIFS(IRegback!$Y$2:$Y1001,IRegback!$X$2:$X1001,X319))</f>
        <v>#NAME?</v>
      </c>
      <c r="AC319" t="e">
        <f t="shared" ca="1" si="6"/>
        <v>#NAME?</v>
      </c>
      <c r="AD319" t="e">
        <f ca="1">IF(X319="","",VLOOKUP($X319,RM!$C$4:$G991,3,FALSE))</f>
        <v>#NAME?</v>
      </c>
      <c r="AE319" t="e">
        <f ca="1">IF(X319="","",VLOOKUP($X319,RM!$C$4:$G991,4,FALSE))</f>
        <v>#NAME?</v>
      </c>
      <c r="AF319" t="e">
        <f ca="1">IF(X319="","",VLOOKUP($X319,RM!$C$4:$G991,5,FALSE))</f>
        <v>#NAME?</v>
      </c>
      <c r="AH319" t="str">
        <f ca="1">IFERROR(__xludf.DUMMYFUNCTION("""COMPUTED_VALUE"""),"PORT Battery Assy")</f>
        <v>PORT Battery Assy</v>
      </c>
      <c r="AI319" t="str">
        <f ca="1">IFERROR(__xludf.DUMMYFUNCTION("""COMPUTED_VALUE"""),"4mm Female Bullet connector")</f>
        <v>4mm Female Bullet connector</v>
      </c>
      <c r="AJ319">
        <f ca="1">IFERROR(__xludf.DUMMYFUNCTION("""COMPUTED_VALUE"""),2)</f>
        <v>2</v>
      </c>
      <c r="AK319" t="str">
        <f ca="1">IFERROR(__xludf.DUMMYFUNCTION("""COMPUTED_VALUE"""),"blank")</f>
        <v>blank</v>
      </c>
      <c r="AL319" t="e">
        <f ca="1">_xludf.IFNA(VLOOKUP(AH319,'S-FG'!$B$3:$B1001,1,FALSE),"")</f>
        <v>#NAME?</v>
      </c>
      <c r="AM319" t="e">
        <f ca="1">IF(AI319="","",SUMIFS(#REF!,RM!$C$4:$C991,AI319))</f>
        <v>#REF!</v>
      </c>
    </row>
    <row r="320" spans="5:39">
      <c r="E320" t="str">
        <f>IF(A320="","",SUMIFS('PR-BOM'!$D$3:$D1001,'PR-BOM'!$C$3:$C1001,A320)*C320)</f>
        <v/>
      </c>
      <c r="F320" t="e">
        <f ca="1">_xludf.IFNA(VLOOKUP(B320,'S-FG'!$B$3:$B1001,1,FALSE),"")</f>
        <v>#NAME?</v>
      </c>
      <c r="H320" t="str">
        <f ca="1">IFERROR(__xludf.DUMMYFUNCTION("""COMPUTED_VALUE"""),"Self Rightening Assy")</f>
        <v>Self Rightening Assy</v>
      </c>
      <c r="I320" t="str">
        <f ca="1">IFERROR(__xludf.DUMMYFUNCTION("""COMPUTED_VALUE"""),"SR Structure")</f>
        <v>SR Structure</v>
      </c>
      <c r="J320">
        <f ca="1">IFERROR(__xludf.DUMMYFUNCTION("""COMPUTED_VALUE"""),1)</f>
        <v>1</v>
      </c>
      <c r="K320" t="str">
        <f ca="1">IFERROR(__xludf.DUMMYFUNCTION("""COMPUTED_VALUE"""),"blank")</f>
        <v>blank</v>
      </c>
      <c r="L320">
        <f t="shared" ca="1" si="4"/>
        <v>0</v>
      </c>
      <c r="Q320" t="str">
        <f>IF(N320="","",SUMIFS('PR-BOM'!$D$3:$D1001,'PR-BOM'!$C$3:$C1001,N320))</f>
        <v/>
      </c>
      <c r="S320" t="str">
        <f ca="1">IFERROR(__xludf.DUMMYFUNCTION("""COMPUTED_VALUE"""),"M4x20 CSK Phillips")</f>
        <v>M4x20 CSK Phillips</v>
      </c>
      <c r="X320" t="e">
        <f ca="1"/>
        <v>#NAME?</v>
      </c>
      <c r="Y320" t="e">
        <f t="shared" ca="1" si="5"/>
        <v>#NAME?</v>
      </c>
      <c r="Z320" t="e">
        <f ca="1">IF(X320="","",SUMIFS(#REF!,RM!$C$4:$C991,X320))</f>
        <v>#NAME?</v>
      </c>
      <c r="AA320" t="e">
        <f ca="1">IF(X320="","",SUMIFS(#REF!,RM!$C$4:$C991,X320))</f>
        <v>#NAME?</v>
      </c>
      <c r="AB320" t="e">
        <f ca="1">IF(X320="","",SUMIFS(IRegback!$Y$2:$Y1001,IRegback!$X$2:$X1001,X320))</f>
        <v>#NAME?</v>
      </c>
      <c r="AC320" t="e">
        <f t="shared" ca="1" si="6"/>
        <v>#NAME?</v>
      </c>
      <c r="AD320" t="e">
        <f ca="1">IF(X320="","",VLOOKUP($X320,RM!$C$4:$G991,3,FALSE))</f>
        <v>#NAME?</v>
      </c>
      <c r="AE320" t="e">
        <f ca="1">IF(X320="","",VLOOKUP($X320,RM!$C$4:$G991,4,FALSE))</f>
        <v>#NAME?</v>
      </c>
      <c r="AF320" t="e">
        <f ca="1">IF(X320="","",VLOOKUP($X320,RM!$C$4:$G991,5,FALSE))</f>
        <v>#NAME?</v>
      </c>
      <c r="AH320" t="str">
        <f ca="1">IFERROR(__xludf.DUMMYFUNCTION("""COMPUTED_VALUE"""),"PORT Battery Assy")</f>
        <v>PORT Battery Assy</v>
      </c>
      <c r="AI320" t="str">
        <f ca="1">IFERROR(__xludf.DUMMYFUNCTION("""COMPUTED_VALUE"""),"2mm Female Bullet connector")</f>
        <v>2mm Female Bullet connector</v>
      </c>
      <c r="AJ320">
        <f ca="1">IFERROR(__xludf.DUMMYFUNCTION("""COMPUTED_VALUE"""),1)</f>
        <v>1</v>
      </c>
      <c r="AK320" t="str">
        <f ca="1">IFERROR(__xludf.DUMMYFUNCTION("""COMPUTED_VALUE"""),"blank")</f>
        <v>blank</v>
      </c>
      <c r="AL320" t="e">
        <f ca="1">_xludf.IFNA(VLOOKUP(AH320,'S-FG'!$B$3:$B1001,1,FALSE),"")</f>
        <v>#NAME?</v>
      </c>
      <c r="AM320" t="e">
        <f ca="1">IF(AI320="","",SUMIFS(#REF!,RM!$C$4:$C991,AI320))</f>
        <v>#REF!</v>
      </c>
    </row>
    <row r="321" spans="5:39">
      <c r="E321" t="str">
        <f>IF(A321="","",SUMIFS('PR-BOM'!$D$3:$D1001,'PR-BOM'!$C$3:$C1001,A321)*C321)</f>
        <v/>
      </c>
      <c r="F321" t="e">
        <f ca="1">_xludf.IFNA(VLOOKUP(B321,'S-FG'!$B$3:$B1001,1,FALSE),"")</f>
        <v>#NAME?</v>
      </c>
      <c r="H321" t="str">
        <f ca="1">IFERROR(__xludf.DUMMYFUNCTION("""COMPUTED_VALUE"""),"Self Rightening Assy")</f>
        <v>Self Rightening Assy</v>
      </c>
      <c r="I321" t="str">
        <f ca="1">IFERROR(__xludf.DUMMYFUNCTION("""COMPUTED_VALUE"""),"SR Pillow")</f>
        <v>SR Pillow</v>
      </c>
      <c r="J321">
        <f ca="1">IFERROR(__xludf.DUMMYFUNCTION("""COMPUTED_VALUE"""),1)</f>
        <v>1</v>
      </c>
      <c r="K321" t="str">
        <f ca="1">IFERROR(__xludf.DUMMYFUNCTION("""COMPUTED_VALUE"""),"blank")</f>
        <v>blank</v>
      </c>
      <c r="L321">
        <f t="shared" ca="1" si="4"/>
        <v>0</v>
      </c>
      <c r="Q321" t="str">
        <f>IF(N321="","",SUMIFS('PR-BOM'!$D$3:$D1001,'PR-BOM'!$C$3:$C1001,N321))</f>
        <v/>
      </c>
      <c r="S321" t="str">
        <f ca="1">IFERROR(__xludf.DUMMYFUNCTION("""COMPUTED_VALUE"""),"SR Structure")</f>
        <v>SR Structure</v>
      </c>
      <c r="X321" t="e">
        <f ca="1"/>
        <v>#NAME?</v>
      </c>
      <c r="Y321" t="e">
        <f t="shared" ca="1" si="5"/>
        <v>#NAME?</v>
      </c>
      <c r="Z321" t="e">
        <f ca="1">IF(X321="","",SUMIFS(#REF!,RM!$C$4:$C991,X321))</f>
        <v>#NAME?</v>
      </c>
      <c r="AA321" t="e">
        <f ca="1">IF(X321="","",SUMIFS(#REF!,RM!$C$4:$C991,X321))</f>
        <v>#NAME?</v>
      </c>
      <c r="AB321" t="e">
        <f ca="1">IF(X321="","",SUMIFS(IRegback!$Y$2:$Y1001,IRegback!$X$2:$X1001,X321))</f>
        <v>#NAME?</v>
      </c>
      <c r="AC321" t="e">
        <f t="shared" ca="1" si="6"/>
        <v>#NAME?</v>
      </c>
      <c r="AD321" t="e">
        <f ca="1">IF(X321="","",VLOOKUP($X321,RM!$C$4:$G991,3,FALSE))</f>
        <v>#NAME?</v>
      </c>
      <c r="AE321" t="e">
        <f ca="1">IF(X321="","",VLOOKUP($X321,RM!$C$4:$G991,4,FALSE))</f>
        <v>#NAME?</v>
      </c>
      <c r="AF321" t="e">
        <f ca="1">IF(X321="","",VLOOKUP($X321,RM!$C$4:$G991,5,FALSE))</f>
        <v>#NAME?</v>
      </c>
      <c r="AH321" t="str">
        <f ca="1">IFERROR(__xludf.DUMMYFUNCTION("""COMPUTED_VALUE"""),"PORT Battery Assy")</f>
        <v>PORT Battery Assy</v>
      </c>
      <c r="AI321" t="str">
        <f ca="1">IFERROR(__xludf.DUMMYFUNCTION("""COMPUTED_VALUE"""),"8mm female bullet connector")</f>
        <v>8mm female bullet connector</v>
      </c>
      <c r="AJ321">
        <f ca="1">IFERROR(__xludf.DUMMYFUNCTION("""COMPUTED_VALUE"""),1)</f>
        <v>1</v>
      </c>
      <c r="AK321" t="str">
        <f ca="1">IFERROR(__xludf.DUMMYFUNCTION("""COMPUTED_VALUE"""),"blank")</f>
        <v>blank</v>
      </c>
      <c r="AL321" t="e">
        <f ca="1">_xludf.IFNA(VLOOKUP(AH321,'S-FG'!$B$3:$B1001,1,FALSE),"")</f>
        <v>#NAME?</v>
      </c>
      <c r="AM321" t="e">
        <f ca="1">IF(AI321="","",SUMIFS(#REF!,RM!$C$4:$C991,AI321))</f>
        <v>#REF!</v>
      </c>
    </row>
    <row r="322" spans="5:39">
      <c r="E322" t="str">
        <f>IF(A322="","",SUMIFS('PR-BOM'!$D$3:$D1001,'PR-BOM'!$C$3:$C1001,A322)*C322)</f>
        <v/>
      </c>
      <c r="F322" t="e">
        <f ca="1">_xludf.IFNA(VLOOKUP(B322,'S-FG'!$B$3:$B1001,1,FALSE),"")</f>
        <v>#NAME?</v>
      </c>
      <c r="H322" t="str">
        <f ca="1">IFERROR(__xludf.DUMMYFUNCTION("""COMPUTED_VALUE"""),"Self Rightening Assy")</f>
        <v>Self Rightening Assy</v>
      </c>
      <c r="I322" t="str">
        <f ca="1">IFERROR(__xludf.DUMMYFUNCTION("""COMPUTED_VALUE"""),"M6x50 Button head")</f>
        <v>M6x50 Button head</v>
      </c>
      <c r="J322">
        <f ca="1">IFERROR(__xludf.DUMMYFUNCTION("""COMPUTED_VALUE"""),6)</f>
        <v>6</v>
      </c>
      <c r="K322" t="str">
        <f ca="1">IFERROR(__xludf.DUMMYFUNCTION("""COMPUTED_VALUE"""),"blank")</f>
        <v>blank</v>
      </c>
      <c r="L322">
        <f t="shared" ca="1" si="4"/>
        <v>0</v>
      </c>
      <c r="Q322" t="str">
        <f>IF(N322="","",SUMIFS('PR-BOM'!$D$3:$D1001,'PR-BOM'!$C$3:$C1001,N322))</f>
        <v/>
      </c>
      <c r="S322" t="str">
        <f ca="1">IFERROR(__xludf.DUMMYFUNCTION("""COMPUTED_VALUE"""),"SR Pillow")</f>
        <v>SR Pillow</v>
      </c>
      <c r="X322" t="e">
        <f ca="1"/>
        <v>#NAME?</v>
      </c>
      <c r="Y322" t="e">
        <f t="shared" ca="1" si="5"/>
        <v>#NAME?</v>
      </c>
      <c r="Z322" t="e">
        <f ca="1">IF(X322="","",SUMIFS(#REF!,RM!$C$4:$C991,X322))</f>
        <v>#NAME?</v>
      </c>
      <c r="AA322" t="e">
        <f ca="1">IF(X322="","",SUMIFS(#REF!,RM!$C$4:$C991,X322))</f>
        <v>#NAME?</v>
      </c>
      <c r="AB322" t="e">
        <f ca="1">IF(X322="","",SUMIFS(IRegback!$Y$2:$Y1001,IRegback!$X$2:$X1001,X322))</f>
        <v>#NAME?</v>
      </c>
      <c r="AC322" t="e">
        <f t="shared" ca="1" si="6"/>
        <v>#NAME?</v>
      </c>
      <c r="AD322" t="e">
        <f ca="1">IF(X322="","",VLOOKUP($X322,RM!$C$4:$G991,3,FALSE))</f>
        <v>#NAME?</v>
      </c>
      <c r="AE322" t="e">
        <f ca="1">IF(X322="","",VLOOKUP($X322,RM!$C$4:$G991,4,FALSE))</f>
        <v>#NAME?</v>
      </c>
      <c r="AF322" t="e">
        <f ca="1">IF(X322="","",VLOOKUP($X322,RM!$C$4:$G991,5,FALSE))</f>
        <v>#NAME?</v>
      </c>
      <c r="AH322" t="str">
        <f ca="1">IFERROR(__xludf.DUMMYFUNCTION("""COMPUTED_VALUE"""),"PORT Battery Assy")</f>
        <v>PORT Battery Assy</v>
      </c>
      <c r="AI322" t="str">
        <f ca="1">IFERROR(__xludf.DUMMYFUNCTION("""COMPUTED_VALUE"""),"Red 8AWG")</f>
        <v>Red 8AWG</v>
      </c>
      <c r="AJ322">
        <f ca="1">IFERROR(__xludf.DUMMYFUNCTION("""COMPUTED_VALUE"""),0.65)</f>
        <v>0.65</v>
      </c>
      <c r="AK322" t="str">
        <f ca="1">IFERROR(__xludf.DUMMYFUNCTION("""COMPUTED_VALUE"""),"blank")</f>
        <v>blank</v>
      </c>
      <c r="AL322" t="e">
        <f ca="1">_xludf.IFNA(VLOOKUP(AH322,'S-FG'!$B$3:$B1001,1,FALSE),"")</f>
        <v>#NAME?</v>
      </c>
      <c r="AM322" t="e">
        <f ca="1">IF(AI322="","",SUMIFS(#REF!,RM!$C$4:$C991,AI322))</f>
        <v>#REF!</v>
      </c>
    </row>
    <row r="323" spans="5:39">
      <c r="E323" t="str">
        <f>IF(A323="","",SUMIFS('PR-BOM'!$D$3:$D1001,'PR-BOM'!$C$3:$C1001,A323)*C323)</f>
        <v/>
      </c>
      <c r="F323" t="e">
        <f ca="1">_xludf.IFNA(VLOOKUP(B323,'S-FG'!$B$3:$B1001,1,FALSE),"")</f>
        <v>#NAME?</v>
      </c>
      <c r="H323" t="str">
        <f ca="1">IFERROR(__xludf.DUMMYFUNCTION("""COMPUTED_VALUE"""),"Self Rightening Assy")</f>
        <v>Self Rightening Assy</v>
      </c>
      <c r="I323" t="str">
        <f ca="1">IFERROR(__xludf.DUMMYFUNCTION("""COMPUTED_VALUE"""),"M6 Spring washer (SR structure clamping)")</f>
        <v>M6 Spring washer (SR structure clamping)</v>
      </c>
      <c r="J323">
        <f ca="1">IFERROR(__xludf.DUMMYFUNCTION("""COMPUTED_VALUE"""),6)</f>
        <v>6</v>
      </c>
      <c r="K323" t="str">
        <f ca="1">IFERROR(__xludf.DUMMYFUNCTION("""COMPUTED_VALUE"""),"blank")</f>
        <v>blank</v>
      </c>
      <c r="L323">
        <f t="shared" ca="1" si="4"/>
        <v>0</v>
      </c>
      <c r="Q323" t="str">
        <f>IF(N323="","",SUMIFS('PR-BOM'!$D$3:$D1001,'PR-BOM'!$C$3:$C1001,N323))</f>
        <v/>
      </c>
      <c r="S323" t="str">
        <f ca="1">IFERROR(__xludf.DUMMYFUNCTION("""COMPUTED_VALUE"""),"M6x50 Button head")</f>
        <v>M6x50 Button head</v>
      </c>
      <c r="Y323" t="str">
        <f t="shared" si="5"/>
        <v/>
      </c>
      <c r="Z323" t="str">
        <f>IF(X323="","",SUMIFS(#REF!,RM!$C$4:$C991,X323))</f>
        <v/>
      </c>
      <c r="AA323" t="str">
        <f>IF(X323="","",SUMIFS(#REF!,RM!$C$4:$C991,X323))</f>
        <v/>
      </c>
      <c r="AB323" t="str">
        <f>IF(X323="","",SUMIFS(IRegback!$Y$2:$Y1001,IRegback!$X$2:$X1001,X323))</f>
        <v/>
      </c>
      <c r="AC323" t="e">
        <f t="shared" si="6"/>
        <v>#VALUE!</v>
      </c>
      <c r="AD323" t="str">
        <f>IF(X323="","",VLOOKUP($X323,RM!$C$4:$G991,3,FALSE))</f>
        <v/>
      </c>
      <c r="AE323" t="str">
        <f>IF(X323="","",VLOOKUP($X323,RM!$C$4:$G991,4,FALSE))</f>
        <v/>
      </c>
      <c r="AF323" t="str">
        <f>IF(X323="","",VLOOKUP($X323,RM!$C$4:$G991,5,FALSE))</f>
        <v/>
      </c>
      <c r="AH323" t="str">
        <f ca="1">IFERROR(__xludf.DUMMYFUNCTION("""COMPUTED_VALUE"""),"PORT Battery Assy")</f>
        <v>PORT Battery Assy</v>
      </c>
      <c r="AI323" t="str">
        <f ca="1">IFERROR(__xludf.DUMMYFUNCTION("""COMPUTED_VALUE"""),"Black 12AWG")</f>
        <v>Black 12AWG</v>
      </c>
      <c r="AJ323">
        <f ca="1">IFERROR(__xludf.DUMMYFUNCTION("""COMPUTED_VALUE"""),0.8)</f>
        <v>0.8</v>
      </c>
      <c r="AK323" t="str">
        <f ca="1">IFERROR(__xludf.DUMMYFUNCTION("""COMPUTED_VALUE"""),"blank")</f>
        <v>blank</v>
      </c>
      <c r="AL323" t="e">
        <f ca="1">_xludf.IFNA(VLOOKUP(AH323,'S-FG'!$B$3:$B1001,1,FALSE),"")</f>
        <v>#NAME?</v>
      </c>
      <c r="AM323" t="e">
        <f ca="1">IF(AI323="","",SUMIFS(#REF!,RM!$C$4:$C991,AI323))</f>
        <v>#REF!</v>
      </c>
    </row>
    <row r="324" spans="5:39">
      <c r="E324" t="str">
        <f>IF(A324="","",SUMIFS('PR-BOM'!$D$3:$D1001,'PR-BOM'!$C$3:$C1001,A324)*C324)</f>
        <v/>
      </c>
      <c r="F324" t="e">
        <f ca="1">_xludf.IFNA(VLOOKUP(B324,'S-FG'!$B$3:$B1001,1,FALSE),"")</f>
        <v>#NAME?</v>
      </c>
      <c r="H324" t="str">
        <f ca="1">IFERROR(__xludf.DUMMYFUNCTION("""COMPUTED_VALUE"""),"Self Rightening Assy")</f>
        <v>Self Rightening Assy</v>
      </c>
      <c r="I324" t="str">
        <f ca="1">IFERROR(__xludf.DUMMYFUNCTION("""COMPUTED_VALUE"""),"M6x20 Plain washer (SR structure clamping)")</f>
        <v>M6x20 Plain washer (SR structure clamping)</v>
      </c>
      <c r="J324">
        <f ca="1">IFERROR(__xludf.DUMMYFUNCTION("""COMPUTED_VALUE"""),22)</f>
        <v>22</v>
      </c>
      <c r="K324" t="str">
        <f ca="1">IFERROR(__xludf.DUMMYFUNCTION("""COMPUTED_VALUE"""),"blank")</f>
        <v>blank</v>
      </c>
      <c r="L324">
        <f t="shared" ca="1" si="4"/>
        <v>0</v>
      </c>
      <c r="Q324" t="str">
        <f>IF(N324="","",SUMIFS('PR-BOM'!$D$3:$D1001,'PR-BOM'!$C$3:$C1001,N324))</f>
        <v/>
      </c>
      <c r="S324" t="str">
        <f ca="1">IFERROR(__xludf.DUMMYFUNCTION("""COMPUTED_VALUE"""),"M6 Spring washer (SR structure clamping)")</f>
        <v>M6 Spring washer (SR structure clamping)</v>
      </c>
      <c r="Y324" t="str">
        <f t="shared" si="5"/>
        <v/>
      </c>
      <c r="Z324" t="str">
        <f>IF(X324="","",SUMIFS(#REF!,RM!$C$4:$C991,X324))</f>
        <v/>
      </c>
      <c r="AA324" t="str">
        <f>IF(X324="","",SUMIFS(#REF!,RM!$C$4:$C991,X324))</f>
        <v/>
      </c>
      <c r="AB324" t="str">
        <f>IF(X324="","",SUMIFS(IRegback!$Y$2:$Y1001,IRegback!$X$2:$X1001,X324))</f>
        <v/>
      </c>
      <c r="AC324" t="e">
        <f t="shared" si="6"/>
        <v>#VALUE!</v>
      </c>
      <c r="AD324" t="str">
        <f>IF(X324="","",VLOOKUP($X324,RM!$C$4:$G991,3,FALSE))</f>
        <v/>
      </c>
      <c r="AE324" t="str">
        <f>IF(X324="","",VLOOKUP($X324,RM!$C$4:$G991,4,FALSE))</f>
        <v/>
      </c>
      <c r="AF324" t="str">
        <f>IF(X324="","",VLOOKUP($X324,RM!$C$4:$G991,5,FALSE))</f>
        <v/>
      </c>
      <c r="AH324" t="str">
        <f ca="1">IFERROR(__xludf.DUMMYFUNCTION("""COMPUTED_VALUE"""),"PORT Battery Assy")</f>
        <v>PORT Battery Assy</v>
      </c>
      <c r="AI324" t="str">
        <f ca="1">IFERROR(__xludf.DUMMYFUNCTION("""COMPUTED_VALUE"""),"Black 18 AWG")</f>
        <v>Black 18 AWG</v>
      </c>
      <c r="AJ324">
        <f ca="1">IFERROR(__xludf.DUMMYFUNCTION("""COMPUTED_VALUE"""),0.55)</f>
        <v>0.55000000000000004</v>
      </c>
      <c r="AK324" t="str">
        <f ca="1">IFERROR(__xludf.DUMMYFUNCTION("""COMPUTED_VALUE"""),"blank")</f>
        <v>blank</v>
      </c>
      <c r="AL324" t="e">
        <f ca="1">_xludf.IFNA(VLOOKUP(AH324,'S-FG'!$B$3:$B1001,1,FALSE),"")</f>
        <v>#NAME?</v>
      </c>
      <c r="AM324" t="e">
        <f ca="1">IF(AI324="","",SUMIFS(#REF!,RM!$C$4:$C991,AI324))</f>
        <v>#REF!</v>
      </c>
    </row>
    <row r="325" spans="5:39">
      <c r="E325" t="str">
        <f>IF(A325="","",SUMIFS('PR-BOM'!$D$3:$D1001,'PR-BOM'!$C$3:$C1001,A325)*C325)</f>
        <v/>
      </c>
      <c r="F325" t="e">
        <f ca="1">_xludf.IFNA(VLOOKUP(B325,'S-FG'!$B$3:$B1001,1,FALSE),"")</f>
        <v>#NAME?</v>
      </c>
      <c r="H325" t="str">
        <f ca="1">IFERROR(__xludf.DUMMYFUNCTION("""COMPUTED_VALUE"""),"Self Rightening Assy")</f>
        <v>Self Rightening Assy</v>
      </c>
      <c r="I325" t="str">
        <f ca="1">IFERROR(__xludf.DUMMYFUNCTION("""COMPUTED_VALUE"""),"M6 Dome NUT SS (SR structure Clamping)")</f>
        <v>M6 Dome NUT SS (SR structure Clamping)</v>
      </c>
      <c r="J325">
        <f ca="1">IFERROR(__xludf.DUMMYFUNCTION("""COMPUTED_VALUE"""),6)</f>
        <v>6</v>
      </c>
      <c r="K325" t="str">
        <f ca="1">IFERROR(__xludf.DUMMYFUNCTION("""COMPUTED_VALUE"""),"blank")</f>
        <v>blank</v>
      </c>
      <c r="L325">
        <f t="shared" ca="1" si="4"/>
        <v>0</v>
      </c>
      <c r="Q325" t="str">
        <f>IF(N325="","",SUMIFS('PR-BOM'!$D$3:$D1001,'PR-BOM'!$C$3:$C1001,N325))</f>
        <v/>
      </c>
      <c r="S325" t="str">
        <f ca="1">IFERROR(__xludf.DUMMYFUNCTION("""COMPUTED_VALUE"""),"M6x20 Plain washer (SR structure clamping)")</f>
        <v>M6x20 Plain washer (SR structure clamping)</v>
      </c>
      <c r="Y325" t="str">
        <f t="shared" si="5"/>
        <v/>
      </c>
      <c r="Z325" t="str">
        <f>IF(X325="","",SUMIFS(#REF!,RM!$C$4:$C991,X325))</f>
        <v/>
      </c>
      <c r="AA325" t="str">
        <f>IF(X325="","",SUMIFS(#REF!,RM!$C$4:$C991,X325))</f>
        <v/>
      </c>
      <c r="AB325" t="str">
        <f>IF(X325="","",SUMIFS(IRegback!$Y$2:$Y1001,IRegback!$X$2:$X1001,X325))</f>
        <v/>
      </c>
      <c r="AC325" t="e">
        <f t="shared" si="6"/>
        <v>#VALUE!</v>
      </c>
      <c r="AD325" t="str">
        <f>IF(X325="","",VLOOKUP($X325,RM!$C$4:$G991,3,FALSE))</f>
        <v/>
      </c>
      <c r="AE325" t="str">
        <f>IF(X325="","",VLOOKUP($X325,RM!$C$4:$G991,4,FALSE))</f>
        <v/>
      </c>
      <c r="AF325" t="str">
        <f>IF(X325="","",VLOOKUP($X325,RM!$C$4:$G991,5,FALSE))</f>
        <v/>
      </c>
      <c r="AH325" t="str">
        <f ca="1">IFERROR(__xludf.DUMMYFUNCTION("""COMPUTED_VALUE"""),"PORT Battery Assy")</f>
        <v>PORT Battery Assy</v>
      </c>
      <c r="AI325" t="str">
        <f ca="1">IFERROR(__xludf.DUMMYFUNCTION("""COMPUTED_VALUE"""),"Soldering flux")</f>
        <v>Soldering flux</v>
      </c>
      <c r="AJ325">
        <f ca="1">IFERROR(__xludf.DUMMYFUNCTION("""COMPUTED_VALUE"""),5)</f>
        <v>5</v>
      </c>
      <c r="AL325" t="e">
        <f ca="1">_xludf.IFNA(VLOOKUP(AH325,'S-FG'!$B$3:$B1001,1,FALSE),"")</f>
        <v>#NAME?</v>
      </c>
      <c r="AM325" t="e">
        <f ca="1">IF(AI325="","",SUMIFS(#REF!,RM!$C$4:$C991,AI325))</f>
        <v>#REF!</v>
      </c>
    </row>
    <row r="326" spans="5:39">
      <c r="E326" t="str">
        <f>IF(A326="","",SUMIFS('PR-BOM'!$D$3:$D1001,'PR-BOM'!$C$3:$C1001,A326)*C326)</f>
        <v/>
      </c>
      <c r="F326" t="e">
        <f ca="1">_xludf.IFNA(VLOOKUP(B326,'S-FG'!$B$3:$B1001,1,FALSE),"")</f>
        <v>#NAME?</v>
      </c>
      <c r="H326" t="str">
        <f ca="1">IFERROR(__xludf.DUMMYFUNCTION("""COMPUTED_VALUE"""),"Self Rightening Assy")</f>
        <v>Self Rightening Assy</v>
      </c>
      <c r="I326" t="str">
        <f ca="1">IFERROR(__xludf.DUMMYFUNCTION("""COMPUTED_VALUE"""),"Teroson MS930")</f>
        <v>Teroson MS930</v>
      </c>
      <c r="J326">
        <f ca="1">IFERROR(__xludf.DUMMYFUNCTION("""COMPUTED_VALUE"""),20)</f>
        <v>20</v>
      </c>
      <c r="K326" t="str">
        <f ca="1">IFERROR(__xludf.DUMMYFUNCTION("""COMPUTED_VALUE"""),"blank")</f>
        <v>blank</v>
      </c>
      <c r="L326">
        <f t="shared" ca="1" si="4"/>
        <v>0</v>
      </c>
      <c r="Q326" t="str">
        <f>IF(N326="","",SUMIFS('PR-BOM'!$D$3:$D1001,'PR-BOM'!$C$3:$C1001,N326))</f>
        <v/>
      </c>
      <c r="S326" t="str">
        <f ca="1">IFERROR(__xludf.DUMMYFUNCTION("""COMPUTED_VALUE"""),"M6 Dome NUT SS (SR structure Clamping)")</f>
        <v>M6 Dome NUT SS (SR structure Clamping)</v>
      </c>
      <c r="Y326" t="str">
        <f t="shared" si="5"/>
        <v/>
      </c>
      <c r="Z326" t="str">
        <f>IF(X326="","",SUMIFS(#REF!,RM!$C$4:$C991,X326))</f>
        <v/>
      </c>
      <c r="AA326" t="str">
        <f>IF(X326="","",SUMIFS(#REF!,RM!$C$4:$C991,X326))</f>
        <v/>
      </c>
      <c r="AB326" t="str">
        <f>IF(X326="","",SUMIFS(IRegback!$Y$2:$Y1001,IRegback!$X$2:$X1001,X326))</f>
        <v/>
      </c>
      <c r="AC326" t="e">
        <f t="shared" si="6"/>
        <v>#VALUE!</v>
      </c>
      <c r="AD326" t="str">
        <f>IF(X326="","",VLOOKUP($X326,RM!$C$4:$G991,3,FALSE))</f>
        <v/>
      </c>
      <c r="AE326" t="str">
        <f>IF(X326="","",VLOOKUP($X326,RM!$C$4:$G991,4,FALSE))</f>
        <v/>
      </c>
      <c r="AF326" t="str">
        <f>IF(X326="","",VLOOKUP($X326,RM!$C$4:$G991,5,FALSE))</f>
        <v/>
      </c>
      <c r="AH326" t="str">
        <f ca="1">IFERROR(__xludf.DUMMYFUNCTION("""COMPUTED_VALUE"""),"PORT Battery Assy")</f>
        <v>PORT Battery Assy</v>
      </c>
      <c r="AI326" t="str">
        <f ca="1">IFERROR(__xludf.DUMMYFUNCTION("""COMPUTED_VALUE"""),"2mm FRP 60x70mm")</f>
        <v>2mm FRP 60x70mm</v>
      </c>
      <c r="AJ326">
        <f ca="1">IFERROR(__xludf.DUMMYFUNCTION("""COMPUTED_VALUE"""),1)</f>
        <v>1</v>
      </c>
      <c r="AK326" t="str">
        <f ca="1">IFERROR(__xludf.DUMMYFUNCTION("""COMPUTED_VALUE"""),"blank")</f>
        <v>blank</v>
      </c>
      <c r="AL326" t="e">
        <f ca="1">_xludf.IFNA(VLOOKUP(AH326,'S-FG'!$B$3:$B1001,1,FALSE),"")</f>
        <v>#NAME?</v>
      </c>
      <c r="AM326" t="e">
        <f ca="1">IF(AI326="","",SUMIFS(#REF!,RM!$C$4:$C991,AI326))</f>
        <v>#REF!</v>
      </c>
    </row>
    <row r="327" spans="5:39">
      <c r="E327" t="str">
        <f>IF(A327="","",SUMIFS('PR-BOM'!$D$3:$D1001,'PR-BOM'!$C$3:$C1001,A327)*C327)</f>
        <v/>
      </c>
      <c r="F327" t="e">
        <f ca="1">_xludf.IFNA(VLOOKUP(B327,'S-FG'!$B$3:$B1001,1,FALSE),"")</f>
        <v>#NAME?</v>
      </c>
      <c r="H327" t="str">
        <f ca="1">IFERROR(__xludf.DUMMYFUNCTION("""COMPUTED_VALUE"""),"Self Rightening Assy")</f>
        <v>Self Rightening Assy</v>
      </c>
      <c r="I327" t="str">
        <f ca="1">IFERROR(__xludf.DUMMYFUNCTION("""COMPUTED_VALUE"""),"3D printed SR Pillow Side Caps")</f>
        <v>3D printed SR Pillow Side Caps</v>
      </c>
      <c r="J327">
        <f ca="1">IFERROR(__xludf.DUMMYFUNCTION("""COMPUTED_VALUE"""),4)</f>
        <v>4</v>
      </c>
      <c r="K327" t="str">
        <f ca="1">IFERROR(__xludf.DUMMYFUNCTION("""COMPUTED_VALUE"""),"blank")</f>
        <v>blank</v>
      </c>
      <c r="L327">
        <f t="shared" ca="1" si="4"/>
        <v>0</v>
      </c>
      <c r="Q327" t="str">
        <f>IF(N327="","",SUMIFS('PR-BOM'!$D$3:$D1001,'PR-BOM'!$C$3:$C1001,N327))</f>
        <v/>
      </c>
      <c r="S327" t="str">
        <f ca="1">IFERROR(__xludf.DUMMYFUNCTION("""COMPUTED_VALUE"""),"Teroson MS930")</f>
        <v>Teroson MS930</v>
      </c>
      <c r="Y327" t="str">
        <f t="shared" si="5"/>
        <v/>
      </c>
      <c r="Z327" t="str">
        <f>IF(X327="","",SUMIFS(#REF!,RM!$C$4:$C991,X327))</f>
        <v/>
      </c>
      <c r="AA327" t="str">
        <f>IF(X327="","",SUMIFS(#REF!,RM!$C$4:$C991,X327))</f>
        <v/>
      </c>
      <c r="AB327" t="str">
        <f>IF(X327="","",SUMIFS(IRegback!$Y$2:$Y1001,IRegback!$X$2:$X1001,X327))</f>
        <v/>
      </c>
      <c r="AC327" t="e">
        <f t="shared" si="6"/>
        <v>#VALUE!</v>
      </c>
      <c r="AD327" t="str">
        <f>IF(X327="","",VLOOKUP($X327,RM!$C$4:$G991,3,FALSE))</f>
        <v/>
      </c>
      <c r="AE327" t="str">
        <f>IF(X327="","",VLOOKUP($X327,RM!$C$4:$G991,4,FALSE))</f>
        <v/>
      </c>
      <c r="AF327" t="str">
        <f>IF(X327="","",VLOOKUP($X327,RM!$C$4:$G991,5,FALSE))</f>
        <v/>
      </c>
      <c r="AH327" t="str">
        <f ca="1">IFERROR(__xludf.DUMMYFUNCTION("""COMPUTED_VALUE"""),"PORT Battery Assy")</f>
        <v>PORT Battery Assy</v>
      </c>
      <c r="AI327" t="str">
        <f ca="1">IFERROR(__xludf.DUMMYFUNCTION("""COMPUTED_VALUE"""),"2mm FRP 60x70mm with 18 mm hole")</f>
        <v>2mm FRP 60x70mm with 18 mm hole</v>
      </c>
      <c r="AJ327">
        <f ca="1">IFERROR(__xludf.DUMMYFUNCTION("""COMPUTED_VALUE"""),1)</f>
        <v>1</v>
      </c>
      <c r="AL327" t="e">
        <f ca="1">_xludf.IFNA(VLOOKUP(AH327,'S-FG'!$B$3:$B1001,1,FALSE),"")</f>
        <v>#NAME?</v>
      </c>
      <c r="AM327" t="e">
        <f ca="1">IF(AI327="","",SUMIFS(#REF!,RM!$C$4:$C991,AI327))</f>
        <v>#REF!</v>
      </c>
    </row>
    <row r="328" spans="5:39">
      <c r="E328" t="str">
        <f>IF(A328="","",SUMIFS('PR-BOM'!$D$3:$D1001,'PR-BOM'!$C$3:$C1001,A328)*C328)</f>
        <v/>
      </c>
      <c r="F328" t="e">
        <f ca="1">_xludf.IFNA(VLOOKUP(B328,'S-FG'!$B$3:$B1001,1,FALSE),"")</f>
        <v>#NAME?</v>
      </c>
      <c r="H328" t="str">
        <f ca="1">IFERROR(__xludf.DUMMYFUNCTION("""COMPUTED_VALUE"""),"Self Rightening Assy")</f>
        <v>Self Rightening Assy</v>
      </c>
      <c r="I328" t="str">
        <f ca="1">IFERROR(__xludf.DUMMYFUNCTION("""COMPUTED_VALUE"""),"3D printed SR Pillow Middle Caps")</f>
        <v>3D printed SR Pillow Middle Caps</v>
      </c>
      <c r="J328">
        <f ca="1">IFERROR(__xludf.DUMMYFUNCTION("""COMPUTED_VALUE"""),2)</f>
        <v>2</v>
      </c>
      <c r="K328" t="str">
        <f ca="1">IFERROR(__xludf.DUMMYFUNCTION("""COMPUTED_VALUE"""),"blank")</f>
        <v>blank</v>
      </c>
      <c r="L328">
        <f t="shared" ca="1" si="4"/>
        <v>0</v>
      </c>
      <c r="Q328" t="str">
        <f>IF(N328="","",SUMIFS('PR-BOM'!$D$3:$D1001,'PR-BOM'!$C$3:$C1001,N328))</f>
        <v/>
      </c>
      <c r="S328" t="str">
        <f ca="1">IFERROR(__xludf.DUMMYFUNCTION("""COMPUTED_VALUE"""),"3D printed SR Pillow Side Caps")</f>
        <v>3D printed SR Pillow Side Caps</v>
      </c>
      <c r="Y328" t="str">
        <f t="shared" si="5"/>
        <v/>
      </c>
      <c r="Z328" t="str">
        <f>IF(X328="","",SUMIFS(#REF!,RM!$C$4:$C991,X328))</f>
        <v/>
      </c>
      <c r="AA328" t="str">
        <f>IF(X328="","",SUMIFS(#REF!,RM!$C$4:$C991,X328))</f>
        <v/>
      </c>
      <c r="AB328" t="str">
        <f>IF(X328="","",SUMIFS(IRegback!$Y$2:$Y1001,IRegback!$X$2:$X1001,X328))</f>
        <v/>
      </c>
      <c r="AC328" t="e">
        <f t="shared" si="6"/>
        <v>#VALUE!</v>
      </c>
      <c r="AD328" t="str">
        <f>IF(X328="","",VLOOKUP($X328,RM!$C$4:$G991,3,FALSE))</f>
        <v/>
      </c>
      <c r="AE328" t="str">
        <f>IF(X328="","",VLOOKUP($X328,RM!$C$4:$G991,4,FALSE))</f>
        <v/>
      </c>
      <c r="AF328" t="str">
        <f>IF(X328="","",VLOOKUP($X328,RM!$C$4:$G991,5,FALSE))</f>
        <v/>
      </c>
      <c r="AH328" t="str">
        <f ca="1">IFERROR(__xludf.DUMMYFUNCTION("""COMPUTED_VALUE"""),"PORT Battery Assy")</f>
        <v>PORT Battery Assy</v>
      </c>
      <c r="AI328" t="str">
        <f ca="1">IFERROR(__xludf.DUMMYFUNCTION("""COMPUTED_VALUE"""),"70mm Paper Separator")</f>
        <v>70mm Paper Separator</v>
      </c>
      <c r="AJ328">
        <f ca="1">IFERROR(__xludf.DUMMYFUNCTION("""COMPUTED_VALUE"""),0.5)</f>
        <v>0.5</v>
      </c>
      <c r="AK328" t="str">
        <f ca="1">IFERROR(__xludf.DUMMYFUNCTION("""COMPUTED_VALUE"""),"blank")</f>
        <v>blank</v>
      </c>
      <c r="AL328" t="e">
        <f ca="1">_xludf.IFNA(VLOOKUP(AH328,'S-FG'!$B$3:$B1001,1,FALSE),"")</f>
        <v>#NAME?</v>
      </c>
      <c r="AM328" t="e">
        <f ca="1">IF(AI328="","",SUMIFS(#REF!,RM!$C$4:$C991,AI328))</f>
        <v>#REF!</v>
      </c>
    </row>
    <row r="329" spans="5:39">
      <c r="E329" t="str">
        <f>IF(A329="","",SUMIFS('PR-BOM'!$D$3:$D1001,'PR-BOM'!$C$3:$C1001,A329)*C329)</f>
        <v/>
      </c>
      <c r="F329" t="e">
        <f ca="1">_xludf.IFNA(VLOOKUP(B329,'S-FG'!$B$3:$B1001,1,FALSE),"")</f>
        <v>#NAME?</v>
      </c>
      <c r="H329" t="str">
        <f ca="1">IFERROR(__xludf.DUMMYFUNCTION("""COMPUTED_VALUE"""),"Self Rightening Assy")</f>
        <v>Self Rightening Assy</v>
      </c>
      <c r="I329" t="str">
        <f ca="1">IFERROR(__xludf.DUMMYFUNCTION("""COMPUTED_VALUE"""),"6mmx12mm Rubber Bush")</f>
        <v>6mmx12mm Rubber Bush</v>
      </c>
      <c r="J329">
        <f ca="1">IFERROR(__xludf.DUMMYFUNCTION("""COMPUTED_VALUE"""),0.15)</f>
        <v>0.15</v>
      </c>
      <c r="K329" t="str">
        <f ca="1">IFERROR(__xludf.DUMMYFUNCTION("""COMPUTED_VALUE"""),"blank")</f>
        <v>blank</v>
      </c>
      <c r="L329">
        <f t="shared" ca="1" si="4"/>
        <v>0</v>
      </c>
      <c r="Q329" t="str">
        <f>IF(N329="","",SUMIFS('PR-BOM'!$D$3:$D1001,'PR-BOM'!$C$3:$C1001,N329))</f>
        <v/>
      </c>
      <c r="S329" t="str">
        <f ca="1">IFERROR(__xludf.DUMMYFUNCTION("""COMPUTED_VALUE"""),"3D printed SR Pillow Middle Caps")</f>
        <v>3D printed SR Pillow Middle Caps</v>
      </c>
      <c r="Y329" t="str">
        <f t="shared" si="5"/>
        <v/>
      </c>
      <c r="Z329" t="str">
        <f>IF(X329="","",SUMIFS(#REF!,RM!$C$4:$C991,X329))</f>
        <v/>
      </c>
      <c r="AA329" t="str">
        <f>IF(X329="","",SUMIFS(#REF!,RM!$C$4:$C991,X329))</f>
        <v/>
      </c>
      <c r="AB329" t="str">
        <f>IF(X329="","",SUMIFS(IRegback!$Y$2:$Y1001,IRegback!$X$2:$X1001,X329))</f>
        <v/>
      </c>
      <c r="AC329" t="e">
        <f t="shared" si="6"/>
        <v>#VALUE!</v>
      </c>
      <c r="AD329" t="str">
        <f>IF(X329="","",VLOOKUP($X329,RM!$C$4:$G991,3,FALSE))</f>
        <v/>
      </c>
      <c r="AE329" t="str">
        <f>IF(X329="","",VLOOKUP($X329,RM!$C$4:$G991,4,FALSE))</f>
        <v/>
      </c>
      <c r="AF329" t="str">
        <f>IF(X329="","",VLOOKUP($X329,RM!$C$4:$G991,5,FALSE))</f>
        <v/>
      </c>
      <c r="AH329" t="str">
        <f ca="1">IFERROR(__xludf.DUMMYFUNCTION("""COMPUTED_VALUE"""),"PORT Battery Assy")</f>
        <v>PORT Battery Assy</v>
      </c>
      <c r="AI329" t="str">
        <f ca="1">IFERROR(__xludf.DUMMYFUNCTION("""COMPUTED_VALUE"""),"16AWG Lead")</f>
        <v>16AWG Lead</v>
      </c>
      <c r="AJ329">
        <f ca="1">IFERROR(__xludf.DUMMYFUNCTION("""COMPUTED_VALUE"""),30)</f>
        <v>30</v>
      </c>
      <c r="AK329" t="str">
        <f ca="1">IFERROR(__xludf.DUMMYFUNCTION("""COMPUTED_VALUE"""),"blank")</f>
        <v>blank</v>
      </c>
      <c r="AL329" t="e">
        <f ca="1">_xludf.IFNA(VLOOKUP(AH329,'S-FG'!$B$3:$B1001,1,FALSE),"")</f>
        <v>#NAME?</v>
      </c>
      <c r="AM329" t="e">
        <f ca="1">IF(AI329="","",SUMIFS(#REF!,RM!$C$4:$C991,AI329))</f>
        <v>#REF!</v>
      </c>
    </row>
    <row r="330" spans="5:39">
      <c r="E330" t="str">
        <f>IF(A330="","",SUMIFS('PR-BOM'!$D$3:$D1001,'PR-BOM'!$C$3:$C1001,A330)*C330)</f>
        <v/>
      </c>
      <c r="F330" t="e">
        <f ca="1">_xludf.IFNA(VLOOKUP(B330,'S-FG'!$B$3:$B1001,1,FALSE),"")</f>
        <v>#NAME?</v>
      </c>
      <c r="H330" t="str">
        <f ca="1">IFERROR(__xludf.DUMMYFUNCTION("""COMPUTED_VALUE"""),"Self Rightening Assy")</f>
        <v>Self Rightening Assy</v>
      </c>
      <c r="I330" t="str">
        <f ca="1">IFERROR(__xludf.DUMMYFUNCTION("""COMPUTED_VALUE"""),"Thread locker 242/270/290")</f>
        <v>Thread locker 242/270/290</v>
      </c>
      <c r="J330">
        <f ca="1">IFERROR(__xludf.DUMMYFUNCTION("""COMPUTED_VALUE"""),1)</f>
        <v>1</v>
      </c>
      <c r="K330" t="str">
        <f ca="1">IFERROR(__xludf.DUMMYFUNCTION("""COMPUTED_VALUE"""),"blank")</f>
        <v>blank</v>
      </c>
      <c r="L330">
        <f t="shared" ca="1" si="4"/>
        <v>0</v>
      </c>
      <c r="Q330" t="str">
        <f>IF(N330="","",SUMIFS('PR-BOM'!$D$3:$D1001,'PR-BOM'!$C$3:$C1001,N330))</f>
        <v/>
      </c>
      <c r="S330" t="str">
        <f ca="1">IFERROR(__xludf.DUMMYFUNCTION("""COMPUTED_VALUE"""),"6mmx12mm Rubber Bush")</f>
        <v>6mmx12mm Rubber Bush</v>
      </c>
      <c r="Y330" t="str">
        <f t="shared" si="5"/>
        <v/>
      </c>
      <c r="Z330" t="str">
        <f>IF(X330="","",SUMIFS(#REF!,RM!$C$4:$C991,X330))</f>
        <v/>
      </c>
      <c r="AA330" t="str">
        <f>IF(X330="","",SUMIFS(#REF!,RM!$C$4:$C991,X330))</f>
        <v/>
      </c>
      <c r="AB330" t="str">
        <f>IF(X330="","",SUMIFS(IRegback!$Y$2:$Y1001,IRegback!$X$2:$X1001,X330))</f>
        <v/>
      </c>
      <c r="AC330" t="e">
        <f t="shared" si="6"/>
        <v>#VALUE!</v>
      </c>
      <c r="AD330" t="str">
        <f>IF(X330="","",VLOOKUP($X330,RM!$C$4:$G991,3,FALSE))</f>
        <v/>
      </c>
      <c r="AE330" t="str">
        <f>IF(X330="","",VLOOKUP($X330,RM!$C$4:$G991,4,FALSE))</f>
        <v/>
      </c>
      <c r="AF330" t="str">
        <f>IF(X330="","",VLOOKUP($X330,RM!$C$4:$G991,5,FALSE))</f>
        <v/>
      </c>
      <c r="AH330" t="str">
        <f ca="1">IFERROR(__xludf.DUMMYFUNCTION("""COMPUTED_VALUE"""),"PORT Battery Assy")</f>
        <v>PORT Battery Assy</v>
      </c>
      <c r="AI330" t="str">
        <f ca="1">IFERROR(__xludf.DUMMYFUNCTION("""COMPUTED_VALUE"""),"HeatShrink Tube 12:3")</f>
        <v>HeatShrink Tube 12:3</v>
      </c>
      <c r="AJ330">
        <f ca="1">IFERROR(__xludf.DUMMYFUNCTION("""COMPUTED_VALUE"""),0.03)</f>
        <v>0.03</v>
      </c>
      <c r="AK330" t="str">
        <f ca="1">IFERROR(__xludf.DUMMYFUNCTION("""COMPUTED_VALUE"""),"blank")</f>
        <v>blank</v>
      </c>
      <c r="AL330" t="e">
        <f ca="1">_xludf.IFNA(VLOOKUP(AH330,'S-FG'!$B$3:$B1001,1,FALSE),"")</f>
        <v>#NAME?</v>
      </c>
      <c r="AM330" t="e">
        <f ca="1">IF(AI330="","",SUMIFS(#REF!,RM!$C$4:$C991,AI330))</f>
        <v>#REF!</v>
      </c>
    </row>
    <row r="331" spans="5:39">
      <c r="E331" t="str">
        <f>IF(A331="","",SUMIFS('PR-BOM'!$D$3:$D1001,'PR-BOM'!$C$3:$C1001,A331)*C331)</f>
        <v/>
      </c>
      <c r="F331" t="e">
        <f ca="1">_xludf.IFNA(VLOOKUP(B331,'S-FG'!$B$3:$B1001,1,FALSE),"")</f>
        <v>#NAME?</v>
      </c>
      <c r="H331" t="str">
        <f ca="1">IFERROR(__xludf.DUMMYFUNCTION("""COMPUTED_VALUE"""),"Self Rightening Assy")</f>
        <v>Self Rightening Assy</v>
      </c>
      <c r="I331" t="str">
        <f ca="1">IFERROR(__xludf.DUMMYFUNCTION("""COMPUTED_VALUE"""),"Instant Adhesive 407 for EPE sticking")</f>
        <v>Instant Adhesive 407 for EPE sticking</v>
      </c>
      <c r="J331">
        <f ca="1">IFERROR(__xludf.DUMMYFUNCTION("""COMPUTED_VALUE"""),5)</f>
        <v>5</v>
      </c>
      <c r="K331" t="str">
        <f ca="1">IFERROR(__xludf.DUMMYFUNCTION("""COMPUTED_VALUE"""),"blank")</f>
        <v>blank</v>
      </c>
      <c r="L331">
        <f t="shared" ca="1" si="4"/>
        <v>0</v>
      </c>
      <c r="Q331" t="str">
        <f>IF(N331="","",SUMIFS('PR-BOM'!$D$3:$D1001,'PR-BOM'!$C$3:$C1001,N331))</f>
        <v/>
      </c>
      <c r="S331" t="str">
        <f ca="1">IFERROR(__xludf.DUMMYFUNCTION("""COMPUTED_VALUE"""),"Thread locker 242/270/290")</f>
        <v>Thread locker 242/270/290</v>
      </c>
      <c r="Y331" t="str">
        <f t="shared" si="5"/>
        <v/>
      </c>
      <c r="Z331" t="str">
        <f>IF(X331="","",SUMIFS(#REF!,RM!$C$4:$C991,X331))</f>
        <v/>
      </c>
      <c r="AA331" t="str">
        <f>IF(X331="","",SUMIFS(#REF!,RM!$C$4:$C991,X331))</f>
        <v/>
      </c>
      <c r="AB331" t="str">
        <f>IF(X331="","",SUMIFS(IRegback!$Y$2:$Y1001,IRegback!$X$2:$X1001,X331))</f>
        <v/>
      </c>
      <c r="AC331" t="e">
        <f t="shared" si="6"/>
        <v>#VALUE!</v>
      </c>
      <c r="AD331" t="str">
        <f>IF(X331="","",VLOOKUP($X331,RM!$C$4:$G991,3,FALSE))</f>
        <v/>
      </c>
      <c r="AE331" t="str">
        <f>IF(X331="","",VLOOKUP($X331,RM!$C$4:$G991,4,FALSE))</f>
        <v/>
      </c>
      <c r="AF331" t="str">
        <f>IF(X331="","",VLOOKUP($X331,RM!$C$4:$G991,5,FALSE))</f>
        <v/>
      </c>
      <c r="AH331" t="str">
        <f ca="1">IFERROR(__xludf.DUMMYFUNCTION("""COMPUTED_VALUE"""),"PORT Battery Assy")</f>
        <v>PORT Battery Assy</v>
      </c>
      <c r="AI331" t="str">
        <f ca="1">IFERROR(__xludf.DUMMYFUNCTION("""COMPUTED_VALUE"""),"PORT Signal CM Assy")</f>
        <v>PORT Signal CM Assy</v>
      </c>
      <c r="AJ331">
        <f ca="1">IFERROR(__xludf.DUMMYFUNCTION("""COMPUTED_VALUE"""),0)</f>
        <v>0</v>
      </c>
      <c r="AK331" t="str">
        <f ca="1">IFERROR(__xludf.DUMMYFUNCTION("""COMPUTED_VALUE"""),"blank")</f>
        <v>blank</v>
      </c>
      <c r="AL331" t="e">
        <f ca="1">_xludf.IFNA(VLOOKUP(AH331,'S-FG'!$B$3:$B1001,1,FALSE),"")</f>
        <v>#NAME?</v>
      </c>
      <c r="AM331" t="e">
        <f ca="1">IF(AI331="","",SUMIFS(#REF!,RM!$C$4:$C991,AI331))</f>
        <v>#REF!</v>
      </c>
    </row>
    <row r="332" spans="5:39">
      <c r="E332" t="str">
        <f>IF(A332="","",SUMIFS('PR-BOM'!$D$3:$D1001,'PR-BOM'!$C$3:$C1001,A332)*C332)</f>
        <v/>
      </c>
      <c r="F332" t="e">
        <f ca="1">_xludf.IFNA(VLOOKUP(B332,'S-FG'!$B$3:$B1001,1,FALSE),"")</f>
        <v>#NAME?</v>
      </c>
      <c r="H332" t="str">
        <f ca="1">IFERROR(__xludf.DUMMYFUNCTION("""COMPUTED_VALUE"""),"Self Rightening Assy")</f>
        <v>Self Rightening Assy</v>
      </c>
      <c r="I332" t="str">
        <f ca="1">IFERROR(__xludf.DUMMYFUNCTION("""COMPUTED_VALUE"""),"STBD SR Rubber Boot")</f>
        <v>STBD SR Rubber Boot</v>
      </c>
      <c r="J332">
        <f ca="1">IFERROR(__xludf.DUMMYFUNCTION("""COMPUTED_VALUE"""),1)</f>
        <v>1</v>
      </c>
      <c r="K332" t="str">
        <f ca="1">IFERROR(__xludf.DUMMYFUNCTION("""COMPUTED_VALUE"""),"blank")</f>
        <v>blank</v>
      </c>
      <c r="L332">
        <f t="shared" ca="1" si="4"/>
        <v>0</v>
      </c>
      <c r="Q332" t="str">
        <f>IF(N332="","",SUMIFS('PR-BOM'!$D$3:$D1001,'PR-BOM'!$C$3:$C1001,N332))</f>
        <v/>
      </c>
      <c r="S332" t="str">
        <f ca="1">IFERROR(__xludf.DUMMYFUNCTION("""COMPUTED_VALUE"""),"Instant Adhesive 407 for EPE sticking")</f>
        <v>Instant Adhesive 407 for EPE sticking</v>
      </c>
      <c r="Y332" t="str">
        <f t="shared" si="5"/>
        <v/>
      </c>
      <c r="Z332" t="str">
        <f>IF(X332="","",SUMIFS(#REF!,RM!$C$4:$C991,X332))</f>
        <v/>
      </c>
      <c r="AA332" t="str">
        <f>IF(X332="","",SUMIFS(#REF!,RM!$C$4:$C991,X332))</f>
        <v/>
      </c>
      <c r="AB332" t="str">
        <f>IF(X332="","",SUMIFS(IRegback!$Y$2:$Y1001,IRegback!$X$2:$X1001,X332))</f>
        <v/>
      </c>
      <c r="AC332" t="e">
        <f t="shared" si="6"/>
        <v>#VALUE!</v>
      </c>
      <c r="AD332" t="str">
        <f>IF(X332="","",VLOOKUP($X332,RM!$C$4:$G991,3,FALSE))</f>
        <v/>
      </c>
      <c r="AE332" t="str">
        <f>IF(X332="","",VLOOKUP($X332,RM!$C$4:$G991,4,FALSE))</f>
        <v/>
      </c>
      <c r="AF332" t="str">
        <f>IF(X332="","",VLOOKUP($X332,RM!$C$4:$G991,5,FALSE))</f>
        <v/>
      </c>
      <c r="AH332" t="str">
        <f ca="1">IFERROR(__xludf.DUMMYFUNCTION("""COMPUTED_VALUE"""),"PORT Battery Assy")</f>
        <v>PORT Battery Assy</v>
      </c>
      <c r="AI332" t="str">
        <f ca="1">IFERROR(__xludf.DUMMYFUNCTION("""COMPUTED_VALUE"""),"Battery Block Assy")</f>
        <v>Battery Block Assy</v>
      </c>
      <c r="AJ332">
        <f ca="1">IFERROR(__xludf.DUMMYFUNCTION("""COMPUTED_VALUE"""),0)</f>
        <v>0</v>
      </c>
      <c r="AK332" t="str">
        <f ca="1">IFERROR(__xludf.DUMMYFUNCTION("""COMPUTED_VALUE"""),"blank")</f>
        <v>blank</v>
      </c>
      <c r="AL332" t="e">
        <f ca="1">_xludf.IFNA(VLOOKUP(AH332,'S-FG'!$B$3:$B1001,1,FALSE),"")</f>
        <v>#NAME?</v>
      </c>
      <c r="AM332" t="e">
        <f ca="1">IF(AI332="","",SUMIFS(#REF!,RM!$C$4:$C991,AI332))</f>
        <v>#REF!</v>
      </c>
    </row>
    <row r="333" spans="5:39">
      <c r="E333" t="str">
        <f>IF(A333="","",SUMIFS('PR-BOM'!$D$3:$D1001,'PR-BOM'!$C$3:$C1001,A333)*C333)</f>
        <v/>
      </c>
      <c r="F333" t="e">
        <f ca="1">_xludf.IFNA(VLOOKUP(B333,'S-FG'!$B$3:$B1001,1,FALSE),"")</f>
        <v>#NAME?</v>
      </c>
      <c r="H333" t="str">
        <f ca="1">IFERROR(__xludf.DUMMYFUNCTION("""COMPUTED_VALUE"""),"Self Rightening Assy")</f>
        <v>Self Rightening Assy</v>
      </c>
      <c r="I333" t="str">
        <f ca="1">IFERROR(__xludf.DUMMYFUNCTION("""COMPUTED_VALUE"""),"PORT SR Rubber Boot")</f>
        <v>PORT SR Rubber Boot</v>
      </c>
      <c r="J333">
        <f ca="1">IFERROR(__xludf.DUMMYFUNCTION("""COMPUTED_VALUE"""),1)</f>
        <v>1</v>
      </c>
      <c r="K333" t="str">
        <f ca="1">IFERROR(__xludf.DUMMYFUNCTION("""COMPUTED_VALUE"""),"blank")</f>
        <v>blank</v>
      </c>
      <c r="L333">
        <f t="shared" ca="1" si="4"/>
        <v>0</v>
      </c>
      <c r="Q333" t="str">
        <f>IF(N333="","",SUMIFS('PR-BOM'!$D$3:$D1001,'PR-BOM'!$C$3:$C1001,N333))</f>
        <v/>
      </c>
      <c r="S333" t="str">
        <f ca="1">IFERROR(__xludf.DUMMYFUNCTION("""COMPUTED_VALUE"""),"STBD SR Rubber Boot")</f>
        <v>STBD SR Rubber Boot</v>
      </c>
      <c r="Y333" t="str">
        <f t="shared" si="5"/>
        <v/>
      </c>
      <c r="Z333" t="str">
        <f>IF(X333="","",SUMIFS(#REF!,RM!$C$4:$C991,X333))</f>
        <v/>
      </c>
      <c r="AA333" t="str">
        <f>IF(X333="","",SUMIFS(#REF!,RM!$C$4:$C991,X333))</f>
        <v/>
      </c>
      <c r="AB333" t="str">
        <f>IF(X333="","",SUMIFS(IRegback!$Y$2:$Y1001,IRegback!$X$2:$X1001,X333))</f>
        <v/>
      </c>
      <c r="AC333" t="e">
        <f t="shared" si="6"/>
        <v>#VALUE!</v>
      </c>
      <c r="AD333" t="str">
        <f>IF(X333="","",VLOOKUP($X333,RM!$C$4:$G991,3,FALSE))</f>
        <v/>
      </c>
      <c r="AE333" t="str">
        <f>IF(X333="","",VLOOKUP($X333,RM!$C$4:$G991,4,FALSE))</f>
        <v/>
      </c>
      <c r="AF333" t="str">
        <f>IF(X333="","",VLOOKUP($X333,RM!$C$4:$G991,5,FALSE))</f>
        <v/>
      </c>
      <c r="AH333" t="str">
        <f ca="1">IFERROR(__xludf.DUMMYFUNCTION("""COMPUTED_VALUE"""),"PORT Battery Assy")</f>
        <v>PORT Battery Assy</v>
      </c>
      <c r="AI333" t="str">
        <f ca="1">IFERROR(__xludf.DUMMYFUNCTION("""COMPUTED_VALUE"""),"HeatShrink Tube 100mm")</f>
        <v>HeatShrink Tube 100mm</v>
      </c>
      <c r="AJ333">
        <f ca="1">IFERROR(__xludf.DUMMYFUNCTION("""COMPUTED_VALUE"""),0.17)</f>
        <v>0.17</v>
      </c>
      <c r="AK333" t="str">
        <f ca="1">IFERROR(__xludf.DUMMYFUNCTION("""COMPUTED_VALUE"""),"blank")</f>
        <v>blank</v>
      </c>
      <c r="AL333" t="e">
        <f ca="1">_xludf.IFNA(VLOOKUP(AH333,'S-FG'!$B$3:$B1001,1,FALSE),"")</f>
        <v>#NAME?</v>
      </c>
      <c r="AM333" t="e">
        <f ca="1">IF(AI333="","",SUMIFS(#REF!,RM!$C$4:$C991,AI333))</f>
        <v>#REF!</v>
      </c>
    </row>
    <row r="334" spans="5:39">
      <c r="E334" t="str">
        <f>IF(A334="","",SUMIFS('PR-BOM'!$D$3:$D1001,'PR-BOM'!$C$3:$C1001,A334)*C334)</f>
        <v/>
      </c>
      <c r="F334" t="e">
        <f ca="1">_xludf.IFNA(VLOOKUP(B334,'S-FG'!$B$3:$B1001,1,FALSE),"")</f>
        <v>#NAME?</v>
      </c>
      <c r="H334" t="str">
        <f ca="1">IFERROR(__xludf.DUMMYFUNCTION("""COMPUTED_VALUE"""),"Self Rightening Assy")</f>
        <v>Self Rightening Assy</v>
      </c>
      <c r="I334" t="str">
        <f ca="1">IFERROR(__xludf.DUMMYFUNCTION("""COMPUTED_VALUE"""),"M6x150 Allen head ")</f>
        <v xml:space="preserve">M6x150 Allen head </v>
      </c>
      <c r="J334">
        <f ca="1">IFERROR(__xludf.DUMMYFUNCTION("""COMPUTED_VALUE"""),4)</f>
        <v>4</v>
      </c>
      <c r="K334" t="str">
        <f ca="1">IFERROR(__xludf.DUMMYFUNCTION("""COMPUTED_VALUE"""),"blank")</f>
        <v>blank</v>
      </c>
      <c r="L334">
        <f t="shared" ca="1" si="4"/>
        <v>0</v>
      </c>
      <c r="Q334" t="str">
        <f>IF(N334="","",SUMIFS('PR-BOM'!$D$3:$D1001,'PR-BOM'!$C$3:$C1001,N334))</f>
        <v/>
      </c>
      <c r="S334" t="str">
        <f ca="1">IFERROR(__xludf.DUMMYFUNCTION("""COMPUTED_VALUE"""),"PORT SR Rubber Boot")</f>
        <v>PORT SR Rubber Boot</v>
      </c>
      <c r="Y334" t="str">
        <f t="shared" si="5"/>
        <v/>
      </c>
      <c r="Z334" t="str">
        <f>IF(X334="","",SUMIFS(#REF!,RM!$C$4:$C991,X334))</f>
        <v/>
      </c>
      <c r="AA334" t="str">
        <f>IF(X334="","",SUMIFS(#REF!,RM!$C$4:$C991,X334))</f>
        <v/>
      </c>
      <c r="AB334" t="str">
        <f>IF(X334="","",SUMIFS(IRegback!$Y$2:$Y1001,IRegback!$X$2:$X1001,X334))</f>
        <v/>
      </c>
      <c r="AC334" t="e">
        <f t="shared" si="6"/>
        <v>#VALUE!</v>
      </c>
      <c r="AD334" t="str">
        <f>IF(X334="","",VLOOKUP($X334,RM!$C$4:$G991,3,FALSE))</f>
        <v/>
      </c>
      <c r="AE334" t="str">
        <f>IF(X334="","",VLOOKUP($X334,RM!$C$4:$G991,4,FALSE))</f>
        <v/>
      </c>
      <c r="AF334" t="str">
        <f>IF(X334="","",VLOOKUP($X334,RM!$C$4:$G991,5,FALSE))</f>
        <v/>
      </c>
      <c r="AH334" t="str">
        <f ca="1">IFERROR(__xludf.DUMMYFUNCTION("""COMPUTED_VALUE"""),"PORT Battery Assy")</f>
        <v>PORT Battery Assy</v>
      </c>
      <c r="AI334" t="str">
        <f ca="1">IFERROR(__xludf.DUMMYFUNCTION("""COMPUTED_VALUE"""),"Teroson MS930")</f>
        <v>Teroson MS930</v>
      </c>
      <c r="AJ334">
        <f ca="1">IFERROR(__xludf.DUMMYFUNCTION("""COMPUTED_VALUE"""),20)</f>
        <v>20</v>
      </c>
      <c r="AK334" t="str">
        <f ca="1">IFERROR(__xludf.DUMMYFUNCTION("""COMPUTED_VALUE"""),"blank")</f>
        <v>blank</v>
      </c>
      <c r="AL334" t="e">
        <f ca="1">_xludf.IFNA(VLOOKUP(AH334,'S-FG'!$B$3:$B1001,1,FALSE),"")</f>
        <v>#NAME?</v>
      </c>
      <c r="AM334" t="e">
        <f ca="1">IF(AI334="","",SUMIFS(#REF!,RM!$C$4:$C991,AI334))</f>
        <v>#REF!</v>
      </c>
    </row>
    <row r="335" spans="5:39">
      <c r="E335" t="str">
        <f>IF(A335="","",SUMIFS('PR-BOM'!$D$3:$D1001,'PR-BOM'!$C$3:$C1001,A335)*C335)</f>
        <v/>
      </c>
      <c r="F335" t="e">
        <f ca="1">_xludf.IFNA(VLOOKUP(B335,'S-FG'!$B$3:$B1001,1,FALSE),"")</f>
        <v>#NAME?</v>
      </c>
      <c r="H335" t="str">
        <f ca="1">IFERROR(__xludf.DUMMYFUNCTION("""COMPUTED_VALUE"""),"Self Rightening Assy")</f>
        <v>Self Rightening Assy</v>
      </c>
      <c r="I335" t="str">
        <f ca="1">IFERROR(__xludf.DUMMYFUNCTION("""COMPUTED_VALUE"""),"M6 Nyloc Nut")</f>
        <v>M6 Nyloc Nut</v>
      </c>
      <c r="J335">
        <f ca="1">IFERROR(__xludf.DUMMYFUNCTION("""COMPUTED_VALUE"""),4)</f>
        <v>4</v>
      </c>
      <c r="K335" t="str">
        <f ca="1">IFERROR(__xludf.DUMMYFUNCTION("""COMPUTED_VALUE"""),"blank")</f>
        <v>blank</v>
      </c>
      <c r="L335">
        <f t="shared" ca="1" si="4"/>
        <v>0</v>
      </c>
      <c r="Q335" t="str">
        <f>IF(N335="","",SUMIFS('PR-BOM'!$D$3:$D1001,'PR-BOM'!$C$3:$C1001,N335))</f>
        <v/>
      </c>
      <c r="S335" t="str">
        <f ca="1">IFERROR(__xludf.DUMMYFUNCTION("""COMPUTED_VALUE"""),"M6x150 Allen head ")</f>
        <v xml:space="preserve">M6x150 Allen head </v>
      </c>
      <c r="Y335" t="str">
        <f t="shared" si="5"/>
        <v/>
      </c>
      <c r="Z335" t="str">
        <f>IF(X335="","",SUMIFS(#REF!,RM!$C$4:$C991,X335))</f>
        <v/>
      </c>
      <c r="AA335" t="str">
        <f>IF(X335="","",SUMIFS(#REF!,RM!$C$4:$C991,X335))</f>
        <v/>
      </c>
      <c r="AB335" t="str">
        <f>IF(X335="","",SUMIFS(IRegback!$Y$2:$Y1001,IRegback!$X$2:$X1001,X335))</f>
        <v/>
      </c>
      <c r="AC335" t="e">
        <f t="shared" si="6"/>
        <v>#VALUE!</v>
      </c>
      <c r="AD335" t="str">
        <f>IF(X335="","",VLOOKUP($X335,RM!$C$4:$G991,3,FALSE))</f>
        <v/>
      </c>
      <c r="AE335" t="str">
        <f>IF(X335="","",VLOOKUP($X335,RM!$C$4:$G991,4,FALSE))</f>
        <v/>
      </c>
      <c r="AF335" t="str">
        <f>IF(X335="","",VLOOKUP($X335,RM!$C$4:$G991,5,FALSE))</f>
        <v/>
      </c>
      <c r="AH335" t="str">
        <f ca="1">IFERROR(__xludf.DUMMYFUNCTION("""COMPUTED_VALUE"""),"STBD Unit Assy")</f>
        <v>STBD Unit Assy</v>
      </c>
      <c r="AI335" t="str">
        <f ca="1">IFERROR(__xludf.DUMMYFUNCTION("""COMPUTED_VALUE"""),"ESC Mounting Clamp")</f>
        <v>ESC Mounting Clamp</v>
      </c>
      <c r="AJ335">
        <f ca="1">IFERROR(__xludf.DUMMYFUNCTION("""COMPUTED_VALUE"""),1)</f>
        <v>1</v>
      </c>
      <c r="AK335" t="str">
        <f ca="1">IFERROR(__xludf.DUMMYFUNCTION("""COMPUTED_VALUE"""),"blank")</f>
        <v>blank</v>
      </c>
      <c r="AL335" t="e">
        <f ca="1">_xludf.IFNA(VLOOKUP(AH335,'S-FG'!$B$3:$B1001,1,FALSE),"")</f>
        <v>#NAME?</v>
      </c>
      <c r="AM335" t="e">
        <f ca="1">IF(AI335="","",SUMIFS(#REF!,RM!$C$4:$C991,AI335))</f>
        <v>#REF!</v>
      </c>
    </row>
    <row r="336" spans="5:39">
      <c r="E336" t="str">
        <f>IF(A336="","",SUMIFS('PR-BOM'!$D$3:$D1001,'PR-BOM'!$C$3:$C1001,A336)*C336)</f>
        <v/>
      </c>
      <c r="F336" t="e">
        <f ca="1">_xludf.IFNA(VLOOKUP(B336,'S-FG'!$B$3:$B1001,1,FALSE),"")</f>
        <v>#NAME?</v>
      </c>
      <c r="H336" t="str">
        <f ca="1">IFERROR(__xludf.DUMMYFUNCTION("""COMPUTED_VALUE"""),"Self Rightening Assy")</f>
        <v>Self Rightening Assy</v>
      </c>
      <c r="I336" t="str">
        <f ca="1">IFERROR(__xludf.DUMMYFUNCTION("""COMPUTED_VALUE"""),"M6x12 Plain washer")</f>
        <v>M6x12 Plain washer</v>
      </c>
      <c r="J336">
        <f ca="1">IFERROR(__xludf.DUMMYFUNCTION("""COMPUTED_VALUE"""),0)</f>
        <v>0</v>
      </c>
      <c r="K336" t="str">
        <f ca="1">IFERROR(__xludf.DUMMYFUNCTION("""COMPUTED_VALUE"""),"blank")</f>
        <v>blank</v>
      </c>
      <c r="L336">
        <f t="shared" ca="1" si="4"/>
        <v>0</v>
      </c>
      <c r="Q336" t="str">
        <f>IF(N336="","",SUMIFS('PR-BOM'!$D$3:$D1001,'PR-BOM'!$C$3:$C1001,N336))</f>
        <v/>
      </c>
      <c r="S336" t="str">
        <f ca="1">IFERROR(__xludf.DUMMYFUNCTION("""COMPUTED_VALUE"""),"M6 Nyloc Nut")</f>
        <v>M6 Nyloc Nut</v>
      </c>
      <c r="Y336" t="str">
        <f t="shared" si="5"/>
        <v/>
      </c>
      <c r="Z336" t="str">
        <f>IF(X336="","",SUMIFS(#REF!,RM!$C$4:$C991,X336))</f>
        <v/>
      </c>
      <c r="AA336" t="str">
        <f>IF(X336="","",SUMIFS(#REF!,RM!$C$4:$C991,X336))</f>
        <v/>
      </c>
      <c r="AB336" t="str">
        <f>IF(X336="","",SUMIFS(IRegback!$Y$2:$Y1001,IRegback!$X$2:$X1001,X336))</f>
        <v/>
      </c>
      <c r="AC336" t="e">
        <f t="shared" si="6"/>
        <v>#VALUE!</v>
      </c>
      <c r="AD336" t="str">
        <f>IF(X336="","",VLOOKUP($X336,RM!$C$4:$G991,3,FALSE))</f>
        <v/>
      </c>
      <c r="AE336" t="str">
        <f>IF(X336="","",VLOOKUP($X336,RM!$C$4:$G991,4,FALSE))</f>
        <v/>
      </c>
      <c r="AF336" t="str">
        <f>IF(X336="","",VLOOKUP($X336,RM!$C$4:$G991,5,FALSE))</f>
        <v/>
      </c>
      <c r="AH336" t="str">
        <f ca="1">IFERROR(__xludf.DUMMYFUNCTION("""COMPUTED_VALUE"""),"STBD Unit Assy")</f>
        <v>STBD Unit Assy</v>
      </c>
      <c r="AI336" t="str">
        <f ca="1">IFERROR(__xludf.DUMMYFUNCTION("""COMPUTED_VALUE"""),"M4 Nyloc")</f>
        <v>M4 Nyloc</v>
      </c>
      <c r="AJ336">
        <f ca="1">IFERROR(__xludf.DUMMYFUNCTION("""COMPUTED_VALUE"""),4)</f>
        <v>4</v>
      </c>
      <c r="AK336" t="str">
        <f ca="1">IFERROR(__xludf.DUMMYFUNCTION("""COMPUTED_VALUE"""),"blank")</f>
        <v>blank</v>
      </c>
      <c r="AL336" t="e">
        <f ca="1">_xludf.IFNA(VLOOKUP(AH336,'S-FG'!$B$3:$B1001,1,FALSE),"")</f>
        <v>#NAME?</v>
      </c>
      <c r="AM336" t="e">
        <f ca="1">IF(AI336="","",SUMIFS(#REF!,RM!$C$4:$C991,AI336))</f>
        <v>#REF!</v>
      </c>
    </row>
    <row r="337" spans="5:39">
      <c r="E337" t="str">
        <f>IF(A337="","",SUMIFS('PR-BOM'!$D$3:$D1001,'PR-BOM'!$C$3:$C1001,A337)*C337)</f>
        <v/>
      </c>
      <c r="F337" t="e">
        <f ca="1">_xludf.IFNA(VLOOKUP(B337,'S-FG'!$B$3:$B1001,1,FALSE),"")</f>
        <v>#NAME?</v>
      </c>
      <c r="H337" t="str">
        <f ca="1">IFERROR(__xludf.DUMMYFUNCTION("""COMPUTED_VALUE"""),"Self Rightening Assy")</f>
        <v>Self Rightening Assy</v>
      </c>
      <c r="I337" t="str">
        <f ca="1">IFERROR(__xludf.DUMMYFUNCTION("""COMPUTED_VALUE"""),"RR Tape")</f>
        <v>RR Tape</v>
      </c>
      <c r="J337">
        <f ca="1">IFERROR(__xludf.DUMMYFUNCTION("""COMPUTED_VALUE"""),2.6)</f>
        <v>2.6</v>
      </c>
      <c r="L337">
        <f t="shared" ca="1" si="4"/>
        <v>0</v>
      </c>
      <c r="Q337" t="str">
        <f>IF(N337="","",SUMIFS('PR-BOM'!$D$3:$D1001,'PR-BOM'!$C$3:$C1001,N337))</f>
        <v/>
      </c>
      <c r="S337" t="str">
        <f ca="1">IFERROR(__xludf.DUMMYFUNCTION("""COMPUTED_VALUE"""),"M6x12 Plain washer")</f>
        <v>M6x12 Plain washer</v>
      </c>
      <c r="Y337" t="str">
        <f t="shared" si="5"/>
        <v/>
      </c>
      <c r="Z337" t="str">
        <f>IF(X337="","",SUMIFS(#REF!,RM!$C$4:$C991,X337))</f>
        <v/>
      </c>
      <c r="AA337" t="str">
        <f>IF(X337="","",SUMIFS(#REF!,RM!$C$4:$C991,X337))</f>
        <v/>
      </c>
      <c r="AB337" t="str">
        <f>IF(X337="","",SUMIFS(IRegback!$Y$2:$Y1001,IRegback!$X$2:$X1001,X337))</f>
        <v/>
      </c>
      <c r="AC337" t="e">
        <f t="shared" si="6"/>
        <v>#VALUE!</v>
      </c>
      <c r="AD337" t="str">
        <f>IF(X337="","",VLOOKUP($X337,RM!$C$4:$G991,3,FALSE))</f>
        <v/>
      </c>
      <c r="AE337" t="str">
        <f>IF(X337="","",VLOOKUP($X337,RM!$C$4:$G991,4,FALSE))</f>
        <v/>
      </c>
      <c r="AF337" t="str">
        <f>IF(X337="","",VLOOKUP($X337,RM!$C$4:$G991,5,FALSE))</f>
        <v/>
      </c>
      <c r="AH337" t="str">
        <f ca="1">IFERROR(__xludf.DUMMYFUNCTION("""COMPUTED_VALUE"""),"STBD Unit Assy")</f>
        <v>STBD Unit Assy</v>
      </c>
      <c r="AI337" t="str">
        <f ca="1">IFERROR(__xludf.DUMMYFUNCTION("""COMPUTED_VALUE"""),"M4 Spring washer")</f>
        <v>M4 Spring washer</v>
      </c>
      <c r="AJ337">
        <f ca="1">IFERROR(__xludf.DUMMYFUNCTION("""COMPUTED_VALUE"""),4)</f>
        <v>4</v>
      </c>
      <c r="AK337" t="str">
        <f ca="1">IFERROR(__xludf.DUMMYFUNCTION("""COMPUTED_VALUE"""),"blank")</f>
        <v>blank</v>
      </c>
      <c r="AL337" t="e">
        <f ca="1">_xludf.IFNA(VLOOKUP(AH337,'S-FG'!$B$3:$B1001,1,FALSE),"")</f>
        <v>#NAME?</v>
      </c>
      <c r="AM337" t="e">
        <f ca="1">IF(AI337="","",SUMIFS(#REF!,RM!$C$4:$C991,AI337))</f>
        <v>#REF!</v>
      </c>
    </row>
    <row r="338" spans="5:39">
      <c r="E338" t="str">
        <f>IF(A338="","",SUMIFS('PR-BOM'!$D$3:$D1001,'PR-BOM'!$C$3:$C1001,A338)*C338)</f>
        <v/>
      </c>
      <c r="F338" t="e">
        <f ca="1">_xludf.IFNA(VLOOKUP(B338,'S-FG'!$B$3:$B1001,1,FALSE),"")</f>
        <v>#NAME?</v>
      </c>
      <c r="H338" t="str">
        <f ca="1">IFERROR(__xludf.DUMMYFUNCTION("""COMPUTED_VALUE"""),"IP Remote Assy")</f>
        <v>IP Remote Assy</v>
      </c>
      <c r="I338" t="str">
        <f ca="1">IFERROR(__xludf.DUMMYFUNCTION("""COMPUTED_VALUE"""),"QX7 Transmitter with R9M")</f>
        <v>QX7 Transmitter with R9M</v>
      </c>
      <c r="J338">
        <f ca="1">IFERROR(__xludf.DUMMYFUNCTION("""COMPUTED_VALUE"""),1)</f>
        <v>1</v>
      </c>
      <c r="K338" t="str">
        <f ca="1">IFERROR(__xludf.DUMMYFUNCTION("""COMPUTED_VALUE"""),"blank")</f>
        <v>blank</v>
      </c>
      <c r="L338">
        <f t="shared" ca="1" si="4"/>
        <v>0</v>
      </c>
      <c r="Q338" t="str">
        <f>IF(N338="","",SUMIFS('PR-BOM'!$D$3:$D1001,'PR-BOM'!$C$3:$C1001,N338))</f>
        <v/>
      </c>
      <c r="S338" t="str">
        <f ca="1">IFERROR(__xludf.DUMMYFUNCTION("""COMPUTED_VALUE"""),"RR Tape")</f>
        <v>RR Tape</v>
      </c>
      <c r="Y338" t="str">
        <f t="shared" si="5"/>
        <v/>
      </c>
      <c r="Z338" t="str">
        <f>IF(X338="","",SUMIFS(#REF!,RM!$C$4:$C991,X338))</f>
        <v/>
      </c>
      <c r="AA338" t="str">
        <f>IF(X338="","",SUMIFS(#REF!,RM!$C$4:$C991,X338))</f>
        <v/>
      </c>
      <c r="AB338" t="str">
        <f>IF(X338="","",SUMIFS(IRegback!$Y$2:$Y1001,IRegback!$X$2:$X1001,X338))</f>
        <v/>
      </c>
      <c r="AC338" t="e">
        <f t="shared" si="6"/>
        <v>#VALUE!</v>
      </c>
      <c r="AD338" t="str">
        <f>IF(X338="","",VLOOKUP($X338,RM!$C$4:$G991,3,FALSE))</f>
        <v/>
      </c>
      <c r="AE338" t="str">
        <f>IF(X338="","",VLOOKUP($X338,RM!$C$4:$G991,4,FALSE))</f>
        <v/>
      </c>
      <c r="AF338" t="str">
        <f>IF(X338="","",VLOOKUP($X338,RM!$C$4:$G991,5,FALSE))</f>
        <v/>
      </c>
      <c r="AH338" t="str">
        <f ca="1">IFERROR(__xludf.DUMMYFUNCTION("""COMPUTED_VALUE"""),"STBD Unit Assy")</f>
        <v>STBD Unit Assy</v>
      </c>
      <c r="AI338" t="str">
        <f ca="1">IFERROR(__xludf.DUMMYFUNCTION("""COMPUTED_VALUE"""),"M4x12 plain washer")</f>
        <v>M4x12 plain washer</v>
      </c>
      <c r="AJ338">
        <f ca="1">IFERROR(__xludf.DUMMYFUNCTION("""COMPUTED_VALUE"""),4)</f>
        <v>4</v>
      </c>
      <c r="AK338" t="str">
        <f ca="1">IFERROR(__xludf.DUMMYFUNCTION("""COMPUTED_VALUE"""),"blank")</f>
        <v>blank</v>
      </c>
      <c r="AL338" t="e">
        <f ca="1">_xludf.IFNA(VLOOKUP(AH338,'S-FG'!$B$3:$B1001,1,FALSE),"")</f>
        <v>#NAME?</v>
      </c>
      <c r="AM338" t="e">
        <f ca="1">IF(AI338="","",SUMIFS(#REF!,RM!$C$4:$C991,AI338))</f>
        <v>#REF!</v>
      </c>
    </row>
    <row r="339" spans="5:39">
      <c r="E339" t="str">
        <f>IF(A339="","",SUMIFS('PR-BOM'!$D$3:$D1001,'PR-BOM'!$C$3:$C1001,A339)*C339)</f>
        <v/>
      </c>
      <c r="F339" t="e">
        <f ca="1">_xludf.IFNA(VLOOKUP(B339,'S-FG'!$B$3:$B1001,1,FALSE),"")</f>
        <v>#NAME?</v>
      </c>
      <c r="H339" t="str">
        <f ca="1">IFERROR(__xludf.DUMMYFUNCTION("""COMPUTED_VALUE"""),"IP Remote Assy")</f>
        <v>IP Remote Assy</v>
      </c>
      <c r="I339" t="str">
        <f ca="1">IFERROR(__xludf.DUMMYFUNCTION("""COMPUTED_VALUE"""),"PWB of Button -2")</f>
        <v>PWB of Button -2</v>
      </c>
      <c r="J339">
        <f ca="1">IFERROR(__xludf.DUMMYFUNCTION("""COMPUTED_VALUE"""),2)</f>
        <v>2</v>
      </c>
      <c r="L339">
        <f t="shared" ca="1" si="4"/>
        <v>0</v>
      </c>
      <c r="Q339" t="str">
        <f>IF(N339="","",SUMIFS('PR-BOM'!$D$3:$D1001,'PR-BOM'!$C$3:$C1001,N339))</f>
        <v/>
      </c>
      <c r="S339" t="str">
        <f ca="1">IFERROR(__xludf.DUMMYFUNCTION("""COMPUTED_VALUE"""),"QX7 Transmitter with R9M")</f>
        <v>QX7 Transmitter with R9M</v>
      </c>
      <c r="Y339" t="str">
        <f t="shared" si="5"/>
        <v/>
      </c>
      <c r="Z339" t="str">
        <f>IF(X339="","",SUMIFS(#REF!,RM!$C$4:$C991,X339))</f>
        <v/>
      </c>
      <c r="AA339" t="str">
        <f>IF(X339="","",SUMIFS(#REF!,RM!$C$4:$C991,X339))</f>
        <v/>
      </c>
      <c r="AB339" t="str">
        <f>IF(X339="","",SUMIFS(IRegback!$Y$2:$Y1001,IRegback!$X$2:$X1001,X339))</f>
        <v/>
      </c>
      <c r="AC339" t="e">
        <f t="shared" si="6"/>
        <v>#VALUE!</v>
      </c>
      <c r="AD339" t="str">
        <f>IF(X339="","",VLOOKUP($X339,RM!$C$4:$G991,3,FALSE))</f>
        <v/>
      </c>
      <c r="AE339" t="str">
        <f>IF(X339="","",VLOOKUP($X339,RM!$C$4:$G991,4,FALSE))</f>
        <v/>
      </c>
      <c r="AF339" t="str">
        <f>IF(X339="","",VLOOKUP($X339,RM!$C$4:$G991,5,FALSE))</f>
        <v/>
      </c>
      <c r="AH339" t="str">
        <f ca="1">IFERROR(__xludf.DUMMYFUNCTION("""COMPUTED_VALUE"""),"STBD Unit Assy")</f>
        <v>STBD Unit Assy</v>
      </c>
      <c r="AI339" t="str">
        <f ca="1">IFERROR(__xludf.DUMMYFUNCTION("""COMPUTED_VALUE"""),"3mm Silicon Rubber Gaskets (35mmx10mm)")</f>
        <v>3mm Silicon Rubber Gaskets (35mmx10mm)</v>
      </c>
      <c r="AJ339">
        <f ca="1">IFERROR(__xludf.DUMMYFUNCTION("""COMPUTED_VALUE"""),1)</f>
        <v>1</v>
      </c>
      <c r="AK339" t="str">
        <f ca="1">IFERROR(__xludf.DUMMYFUNCTION("""COMPUTED_VALUE"""),"blank")</f>
        <v>blank</v>
      </c>
      <c r="AL339" t="e">
        <f ca="1">_xludf.IFNA(VLOOKUP(AH339,'S-FG'!$B$3:$B1001,1,FALSE),"")</f>
        <v>#NAME?</v>
      </c>
      <c r="AM339" t="e">
        <f ca="1">IF(AI339="","",SUMIFS(#REF!,RM!$C$4:$C991,AI339))</f>
        <v>#REF!</v>
      </c>
    </row>
    <row r="340" spans="5:39">
      <c r="E340" t="str">
        <f>IF(A340="","",SUMIFS('PR-BOM'!$D$3:$D1001,'PR-BOM'!$C$3:$C1001,A340)*C340)</f>
        <v/>
      </c>
      <c r="F340" t="e">
        <f ca="1">_xludf.IFNA(VLOOKUP(B340,'S-FG'!$B$3:$B1001,1,FALSE),"")</f>
        <v>#NAME?</v>
      </c>
      <c r="H340" t="str">
        <f ca="1">IFERROR(__xludf.DUMMYFUNCTION("""COMPUTED_VALUE"""),"IP Remote Assy")</f>
        <v>IP Remote Assy</v>
      </c>
      <c r="I340" t="str">
        <f ca="1">IFERROR(__xludf.DUMMYFUNCTION("""COMPUTED_VALUE"""),"Li-In 21700 Cells Molicel P42A/ Samsung-40T")</f>
        <v>Li-In 21700 Cells Molicel P42A/ Samsung-40T</v>
      </c>
      <c r="J340">
        <f ca="1">IFERROR(__xludf.DUMMYFUNCTION("""COMPUTED_VALUE"""),2)</f>
        <v>2</v>
      </c>
      <c r="K340" t="str">
        <f ca="1">IFERROR(__xludf.DUMMYFUNCTION("""COMPUTED_VALUE"""),"blank")</f>
        <v>blank</v>
      </c>
      <c r="L340">
        <f t="shared" ca="1" si="4"/>
        <v>0</v>
      </c>
      <c r="Q340" t="str">
        <f>IF(N340="","",SUMIFS('PR-BOM'!$D$3:$D1001,'PR-BOM'!$C$3:$C1001,N340))</f>
        <v/>
      </c>
      <c r="S340" t="str">
        <f ca="1">IFERROR(__xludf.DUMMYFUNCTION("""COMPUTED_VALUE"""),"PWB of Button -2")</f>
        <v>PWB of Button -2</v>
      </c>
      <c r="Y340" t="str">
        <f t="shared" si="5"/>
        <v/>
      </c>
      <c r="Z340" t="str">
        <f>IF(X340="","",SUMIFS(#REF!,RM!$C$4:$C991,X340))</f>
        <v/>
      </c>
      <c r="AA340" t="str">
        <f>IF(X340="","",SUMIFS(#REF!,RM!$C$4:$C991,X340))</f>
        <v/>
      </c>
      <c r="AB340" t="str">
        <f>IF(X340="","",SUMIFS(IRegback!$Y$2:$Y1001,IRegback!$X$2:$X1001,X340))</f>
        <v/>
      </c>
      <c r="AC340" t="e">
        <f t="shared" si="6"/>
        <v>#VALUE!</v>
      </c>
      <c r="AD340" t="str">
        <f>IF(X340="","",VLOOKUP($X340,RM!$C$4:$G991,3,FALSE))</f>
        <v/>
      </c>
      <c r="AE340" t="str">
        <f>IF(X340="","",VLOOKUP($X340,RM!$C$4:$G991,4,FALSE))</f>
        <v/>
      </c>
      <c r="AF340" t="str">
        <f>IF(X340="","",VLOOKUP($X340,RM!$C$4:$G991,5,FALSE))</f>
        <v/>
      </c>
      <c r="AH340" t="str">
        <f ca="1">IFERROR(__xludf.DUMMYFUNCTION("""COMPUTED_VALUE"""),"STBD Unit Assy")</f>
        <v>STBD Unit Assy</v>
      </c>
      <c r="AI340" t="str">
        <f ca="1">IFERROR(__xludf.DUMMYFUNCTION("""COMPUTED_VALUE"""),"Jet Motor Assy")</f>
        <v>Jet Motor Assy</v>
      </c>
      <c r="AJ340">
        <f ca="1">IFERROR(__xludf.DUMMYFUNCTION("""COMPUTED_VALUE"""),0)</f>
        <v>0</v>
      </c>
      <c r="AK340" t="str">
        <f ca="1">IFERROR(__xludf.DUMMYFUNCTION("""COMPUTED_VALUE"""),"blank")</f>
        <v>blank</v>
      </c>
      <c r="AL340" t="e">
        <f ca="1">_xludf.IFNA(VLOOKUP(AH340,'S-FG'!$B$3:$B1001,1,FALSE),"")</f>
        <v>#NAME?</v>
      </c>
      <c r="AM340" t="e">
        <f ca="1">IF(AI340="","",SUMIFS(#REF!,RM!$C$4:$C991,AI340))</f>
        <v>#REF!</v>
      </c>
    </row>
    <row r="341" spans="5:39">
      <c r="E341" t="str">
        <f>IF(A341="","",SUMIFS('PR-BOM'!$D$3:$D1001,'PR-BOM'!$C$3:$C1001,A341)*C341)</f>
        <v/>
      </c>
      <c r="F341" t="e">
        <f ca="1">_xludf.IFNA(VLOOKUP(B341,'S-FG'!$B$3:$B1001,1,FALSE),"")</f>
        <v>#NAME?</v>
      </c>
      <c r="H341" t="str">
        <f ca="1">IFERROR(__xludf.DUMMYFUNCTION("""COMPUTED_VALUE"""),"IP Remote Assy")</f>
        <v>IP Remote Assy</v>
      </c>
      <c r="I341" t="str">
        <f ca="1">IFERROR(__xludf.DUMMYFUNCTION("""COMPUTED_VALUE"""),"3 pin JST-XH housing")</f>
        <v>3 pin JST-XH housing</v>
      </c>
      <c r="J341">
        <f ca="1">IFERROR(__xludf.DUMMYFUNCTION("""COMPUTED_VALUE"""),1)</f>
        <v>1</v>
      </c>
      <c r="L341">
        <f t="shared" ca="1" si="4"/>
        <v>0</v>
      </c>
      <c r="Q341" t="str">
        <f>IF(N341="","",SUMIFS('PR-BOM'!$D$3:$D1001,'PR-BOM'!$C$3:$C1001,N341))</f>
        <v/>
      </c>
      <c r="S341" t="str">
        <f ca="1">IFERROR(__xludf.DUMMYFUNCTION("""COMPUTED_VALUE"""),"Li-In 21700 Cells Molicel P42A/ Samsung-40T")</f>
        <v>Li-In 21700 Cells Molicel P42A/ Samsung-40T</v>
      </c>
      <c r="Y341" t="str">
        <f t="shared" si="5"/>
        <v/>
      </c>
      <c r="Z341" t="str">
        <f>IF(X341="","",SUMIFS(#REF!,RM!$C$4:$C991,X341))</f>
        <v/>
      </c>
      <c r="AA341" t="str">
        <f>IF(X341="","",SUMIFS(#REF!,RM!$C$4:$C991,X341))</f>
        <v/>
      </c>
      <c r="AB341" t="str">
        <f>IF(X341="","",SUMIFS(IRegback!$Y$2:$Y1001,IRegback!$X$2:$X1001,X341))</f>
        <v/>
      </c>
      <c r="AC341" t="e">
        <f t="shared" si="6"/>
        <v>#VALUE!</v>
      </c>
      <c r="AD341" t="str">
        <f>IF(X341="","",VLOOKUP($X341,RM!$C$4:$G991,3,FALSE))</f>
        <v/>
      </c>
      <c r="AE341" t="str">
        <f>IF(X341="","",VLOOKUP($X341,RM!$C$4:$G991,4,FALSE))</f>
        <v/>
      </c>
      <c r="AF341" t="str">
        <f>IF(X341="","",VLOOKUP($X341,RM!$C$4:$G991,5,FALSE))</f>
        <v/>
      </c>
      <c r="AH341" t="str">
        <f ca="1">IFERROR(__xludf.DUMMYFUNCTION("""COMPUTED_VALUE"""),"STBD Unit Assy")</f>
        <v>STBD Unit Assy</v>
      </c>
      <c r="AI341" t="str">
        <f ca="1">IFERROR(__xludf.DUMMYFUNCTION("""COMPUTED_VALUE"""),"STBD_ESC Assy")</f>
        <v>STBD_ESC Assy</v>
      </c>
      <c r="AJ341">
        <f ca="1">IFERROR(__xludf.DUMMYFUNCTION("""COMPUTED_VALUE"""),0)</f>
        <v>0</v>
      </c>
      <c r="AK341" t="str">
        <f ca="1">IFERROR(__xludf.DUMMYFUNCTION("""COMPUTED_VALUE"""),"blank")</f>
        <v>blank</v>
      </c>
      <c r="AL341" t="e">
        <f ca="1">_xludf.IFNA(VLOOKUP(AH341,'S-FG'!$B$3:$B1001,1,FALSE),"")</f>
        <v>#NAME?</v>
      </c>
      <c r="AM341" t="e">
        <f ca="1">IF(AI341="","",SUMIFS(#REF!,RM!$C$4:$C991,AI341))</f>
        <v>#REF!</v>
      </c>
    </row>
    <row r="342" spans="5:39">
      <c r="E342" t="str">
        <f>IF(A342="","",SUMIFS('PR-BOM'!$D$3:$D1001,'PR-BOM'!$C$3:$C1001,A342)*C342)</f>
        <v/>
      </c>
      <c r="F342" t="e">
        <f ca="1">_xludf.IFNA(VLOOKUP(B342,'S-FG'!$B$3:$B1001,1,FALSE),"")</f>
        <v>#NAME?</v>
      </c>
      <c r="H342" t="str">
        <f ca="1">IFERROR(__xludf.DUMMYFUNCTION("""COMPUTED_VALUE"""),"IP Remote Assy")</f>
        <v>IP Remote Assy</v>
      </c>
      <c r="I342" t="str">
        <f ca="1">IFERROR(__xludf.DUMMYFUNCTION("""COMPUTED_VALUE"""),"25cm Red one side crimped wire")</f>
        <v>25cm Red one side crimped wire</v>
      </c>
      <c r="J342">
        <f ca="1">IFERROR(__xludf.DUMMYFUNCTION("""COMPUTED_VALUE"""),1)</f>
        <v>1</v>
      </c>
      <c r="K342" t="str">
        <f ca="1">IFERROR(__xludf.DUMMYFUNCTION("""COMPUTED_VALUE"""),"blank")</f>
        <v>blank</v>
      </c>
      <c r="L342">
        <f t="shared" ca="1" si="4"/>
        <v>0</v>
      </c>
      <c r="Q342" t="str">
        <f>IF(N342="","",SUMIFS('PR-BOM'!$D$3:$D1001,'PR-BOM'!$C$3:$C1001,N342))</f>
        <v/>
      </c>
      <c r="S342" t="str">
        <f ca="1">IFERROR(__xludf.DUMMYFUNCTION("""COMPUTED_VALUE"""),"3 pin JST-XH housing")</f>
        <v>3 pin JST-XH housing</v>
      </c>
      <c r="Y342" t="str">
        <f t="shared" si="5"/>
        <v/>
      </c>
      <c r="Z342" t="str">
        <f>IF(X342="","",SUMIFS(#REF!,RM!$C$4:$C991,X342))</f>
        <v/>
      </c>
      <c r="AA342" t="str">
        <f>IF(X342="","",SUMIFS(#REF!,RM!$C$4:$C991,X342))</f>
        <v/>
      </c>
      <c r="AB342" t="str">
        <f>IF(X342="","",SUMIFS(IRegback!$Y$2:$Y1001,IRegback!$X$2:$X1001,X342))</f>
        <v/>
      </c>
      <c r="AC342" t="e">
        <f t="shared" si="6"/>
        <v>#VALUE!</v>
      </c>
      <c r="AD342" t="str">
        <f>IF(X342="","",VLOOKUP($X342,RM!$C$4:$G991,3,FALSE))</f>
        <v/>
      </c>
      <c r="AE342" t="str">
        <f>IF(X342="","",VLOOKUP($X342,RM!$C$4:$G991,4,FALSE))</f>
        <v/>
      </c>
      <c r="AF342" t="str">
        <f>IF(X342="","",VLOOKUP($X342,RM!$C$4:$G991,5,FALSE))</f>
        <v/>
      </c>
      <c r="AH342" t="str">
        <f ca="1">IFERROR(__xludf.DUMMYFUNCTION("""COMPUTED_VALUE"""),"STBD Unit Assy")</f>
        <v>STBD Unit Assy</v>
      </c>
      <c r="AI342" t="str">
        <f ca="1">IFERROR(__xludf.DUMMYFUNCTION("""COMPUTED_VALUE"""),"STBD Battery Assy")</f>
        <v>STBD Battery Assy</v>
      </c>
      <c r="AJ342">
        <f ca="1">IFERROR(__xludf.DUMMYFUNCTION("""COMPUTED_VALUE"""),0)</f>
        <v>0</v>
      </c>
      <c r="AK342" t="str">
        <f ca="1">IFERROR(__xludf.DUMMYFUNCTION("""COMPUTED_VALUE"""),"blank")</f>
        <v>blank</v>
      </c>
      <c r="AL342" t="e">
        <f ca="1">_xludf.IFNA(VLOOKUP(AH342,'S-FG'!$B$3:$B1001,1,FALSE),"")</f>
        <v>#NAME?</v>
      </c>
      <c r="AM342" t="e">
        <f ca="1">IF(AI342="","",SUMIFS(#REF!,RM!$C$4:$C991,AI342))</f>
        <v>#REF!</v>
      </c>
    </row>
    <row r="343" spans="5:39">
      <c r="E343" t="str">
        <f>IF(A343="","",SUMIFS('PR-BOM'!$D$3:$D1001,'PR-BOM'!$C$3:$C1001,A343)*C343)</f>
        <v/>
      </c>
      <c r="F343" t="e">
        <f ca="1">_xludf.IFNA(VLOOKUP(B343,'S-FG'!$B$3:$B1001,1,FALSE),"")</f>
        <v>#NAME?</v>
      </c>
      <c r="H343" t="str">
        <f ca="1">IFERROR(__xludf.DUMMYFUNCTION("""COMPUTED_VALUE"""),"IP Remote Assy")</f>
        <v>IP Remote Assy</v>
      </c>
      <c r="I343" t="str">
        <f ca="1">IFERROR(__xludf.DUMMYFUNCTION("""COMPUTED_VALUE"""),"25cm Green one side crimped wire")</f>
        <v>25cm Green one side crimped wire</v>
      </c>
      <c r="J343">
        <f ca="1">IFERROR(__xludf.DUMMYFUNCTION("""COMPUTED_VALUE"""),1)</f>
        <v>1</v>
      </c>
      <c r="K343" t="str">
        <f ca="1">IFERROR(__xludf.DUMMYFUNCTION("""COMPUTED_VALUE"""),"blank")</f>
        <v>blank</v>
      </c>
      <c r="L343">
        <f t="shared" ca="1" si="4"/>
        <v>0</v>
      </c>
      <c r="Q343" t="str">
        <f>IF(N343="","",SUMIFS('PR-BOM'!$D$3:$D1001,'PR-BOM'!$C$3:$C1001,N343))</f>
        <v/>
      </c>
      <c r="S343" t="str">
        <f ca="1">IFERROR(__xludf.DUMMYFUNCTION("""COMPUTED_VALUE"""),"25cm Red one side crimped wire")</f>
        <v>25cm Red one side crimped wire</v>
      </c>
      <c r="Y343" t="str">
        <f t="shared" si="5"/>
        <v/>
      </c>
      <c r="Z343" t="str">
        <f>IF(X343="","",SUMIFS(#REF!,RM!$C$4:$C991,X343))</f>
        <v/>
      </c>
      <c r="AA343" t="str">
        <f>IF(X343="","",SUMIFS(#REF!,RM!$C$4:$C991,X343))</f>
        <v/>
      </c>
      <c r="AB343" t="str">
        <f>IF(X343="","",SUMIFS(IRegback!$Y$2:$Y1001,IRegback!$X$2:$X1001,X343))</f>
        <v/>
      </c>
      <c r="AC343" t="e">
        <f t="shared" si="6"/>
        <v>#VALUE!</v>
      </c>
      <c r="AD343" t="str">
        <f>IF(X343="","",VLOOKUP($X343,RM!$C$4:$G991,3,FALSE))</f>
        <v/>
      </c>
      <c r="AE343" t="str">
        <f>IF(X343="","",VLOOKUP($X343,RM!$C$4:$G991,4,FALSE))</f>
        <v/>
      </c>
      <c r="AF343" t="str">
        <f>IF(X343="","",VLOOKUP($X343,RM!$C$4:$G991,5,FALSE))</f>
        <v/>
      </c>
      <c r="AH343" t="str">
        <f ca="1">IFERROR(__xludf.DUMMYFUNCTION("""COMPUTED_VALUE"""),"STBD Unit Assy")</f>
        <v>STBD Unit Assy</v>
      </c>
      <c r="AI343" t="str">
        <f ca="1">IFERROR(__xludf.DUMMYFUNCTION("""COMPUTED_VALUE"""),"M4x20 CSK Phillips")</f>
        <v>M4x20 CSK Phillips</v>
      </c>
      <c r="AJ343">
        <f ca="1">IFERROR(__xludf.DUMMYFUNCTION("""COMPUTED_VALUE"""),2)</f>
        <v>2</v>
      </c>
      <c r="AK343" t="str">
        <f ca="1">IFERROR(__xludf.DUMMYFUNCTION("""COMPUTED_VALUE"""),"blank")</f>
        <v>blank</v>
      </c>
      <c r="AL343" t="e">
        <f ca="1">_xludf.IFNA(VLOOKUP(AH343,'S-FG'!$B$3:$B1001,1,FALSE),"")</f>
        <v>#NAME?</v>
      </c>
      <c r="AM343" t="e">
        <f ca="1">IF(AI343="","",SUMIFS(#REF!,RM!$C$4:$C991,AI343))</f>
        <v>#REF!</v>
      </c>
    </row>
    <row r="344" spans="5:39">
      <c r="E344" t="str">
        <f>IF(A344="","",SUMIFS('PR-BOM'!$D$3:$D1001,'PR-BOM'!$C$3:$C1001,A344)*C344)</f>
        <v/>
      </c>
      <c r="F344" t="e">
        <f ca="1">_xludf.IFNA(VLOOKUP(B344,'S-FG'!$B$3:$B1001,1,FALSE),"")</f>
        <v>#NAME?</v>
      </c>
      <c r="H344" t="str">
        <f ca="1">IFERROR(__xludf.DUMMYFUNCTION("""COMPUTED_VALUE"""),"IP Remote Assy")</f>
        <v>IP Remote Assy</v>
      </c>
      <c r="I344" t="str">
        <f ca="1">IFERROR(__xludf.DUMMYFUNCTION("""COMPUTED_VALUE"""),"25cm Black one side crimped wire")</f>
        <v>25cm Black one side crimped wire</v>
      </c>
      <c r="J344">
        <f ca="1">IFERROR(__xludf.DUMMYFUNCTION("""COMPUTED_VALUE"""),1)</f>
        <v>1</v>
      </c>
      <c r="K344" t="str">
        <f ca="1">IFERROR(__xludf.DUMMYFUNCTION("""COMPUTED_VALUE"""),"blank")</f>
        <v>blank</v>
      </c>
      <c r="L344">
        <f t="shared" ca="1" si="4"/>
        <v>0</v>
      </c>
      <c r="Q344" t="str">
        <f>IF(N344="","",SUMIFS('PR-BOM'!$D$3:$D1001,'PR-BOM'!$C$3:$C1001,N344))</f>
        <v/>
      </c>
      <c r="S344" t="str">
        <f ca="1">IFERROR(__xludf.DUMMYFUNCTION("""COMPUTED_VALUE"""),"25cm Green one side crimped wire")</f>
        <v>25cm Green one side crimped wire</v>
      </c>
      <c r="Y344" t="str">
        <f t="shared" si="5"/>
        <v/>
      </c>
      <c r="Z344" t="str">
        <f>IF(X344="","",SUMIFS(#REF!,RM!$C$4:$C991,X344))</f>
        <v/>
      </c>
      <c r="AA344" t="str">
        <f>IF(X344="","",SUMIFS(#REF!,RM!$C$4:$C991,X344))</f>
        <v/>
      </c>
      <c r="AB344" t="str">
        <f>IF(X344="","",SUMIFS(IRegback!$Y$2:$Y1001,IRegback!$X$2:$X1001,X344))</f>
        <v/>
      </c>
      <c r="AC344" t="e">
        <f t="shared" si="6"/>
        <v>#VALUE!</v>
      </c>
      <c r="AD344" t="str">
        <f>IF(X344="","",VLOOKUP($X344,RM!$C$4:$G991,3,FALSE))</f>
        <v/>
      </c>
      <c r="AE344" t="str">
        <f>IF(X344="","",VLOOKUP($X344,RM!$C$4:$G991,4,FALSE))</f>
        <v/>
      </c>
      <c r="AF344" t="str">
        <f>IF(X344="","",VLOOKUP($X344,RM!$C$4:$G991,5,FALSE))</f>
        <v/>
      </c>
      <c r="AH344" t="str">
        <f ca="1">IFERROR(__xludf.DUMMYFUNCTION("""COMPUTED_VALUE"""),"STBD Unit Assy")</f>
        <v>STBD Unit Assy</v>
      </c>
      <c r="AI344" t="str">
        <f ca="1">IFERROR(__xludf.DUMMYFUNCTION("""COMPUTED_VALUE"""),"M4x16 Allen Head")</f>
        <v>M4x16 Allen Head</v>
      </c>
      <c r="AJ344">
        <f ca="1">IFERROR(__xludf.DUMMYFUNCTION("""COMPUTED_VALUE"""),2)</f>
        <v>2</v>
      </c>
      <c r="AK344" t="str">
        <f ca="1">IFERROR(__xludf.DUMMYFUNCTION("""COMPUTED_VALUE"""),"blank")</f>
        <v>blank</v>
      </c>
      <c r="AL344" t="e">
        <f ca="1">_xludf.IFNA(VLOOKUP(AH344,'S-FG'!$B$3:$B1001,1,FALSE),"")</f>
        <v>#NAME?</v>
      </c>
      <c r="AM344" t="e">
        <f ca="1">IF(AI344="","",SUMIFS(#REF!,RM!$C$4:$C991,AI344))</f>
        <v>#REF!</v>
      </c>
    </row>
    <row r="345" spans="5:39">
      <c r="E345" t="str">
        <f>IF(A345="","",SUMIFS('PR-BOM'!$D$3:$D1001,'PR-BOM'!$C$3:$C1001,A345)*C345)</f>
        <v/>
      </c>
      <c r="F345" t="e">
        <f ca="1">_xludf.IFNA(VLOOKUP(B345,'S-FG'!$B$3:$B1001,1,FALSE),"")</f>
        <v>#NAME?</v>
      </c>
      <c r="H345" t="str">
        <f ca="1">IFERROR(__xludf.DUMMYFUNCTION("""COMPUTED_VALUE"""),"IP Remote Assy")</f>
        <v>IP Remote Assy</v>
      </c>
      <c r="I345" t="str">
        <f ca="1">IFERROR(__xludf.DUMMYFUNCTION("""COMPUTED_VALUE"""),"Tactile switch ")</f>
        <v xml:space="preserve">Tactile switch </v>
      </c>
      <c r="J345">
        <f ca="1">IFERROR(__xludf.DUMMYFUNCTION("""COMPUTED_VALUE"""),0)</f>
        <v>0</v>
      </c>
      <c r="K345" t="str">
        <f ca="1">IFERROR(__xludf.DUMMYFUNCTION("""COMPUTED_VALUE"""),"blank")</f>
        <v>blank</v>
      </c>
      <c r="L345">
        <f t="shared" ca="1" si="4"/>
        <v>0</v>
      </c>
      <c r="Q345" t="str">
        <f>IF(N345="","",SUMIFS('PR-BOM'!$D$3:$D1001,'PR-BOM'!$C$3:$C1001,N345))</f>
        <v/>
      </c>
      <c r="S345" t="str">
        <f ca="1">IFERROR(__xludf.DUMMYFUNCTION("""COMPUTED_VALUE"""),"25cm Black one side crimped wire")</f>
        <v>25cm Black one side crimped wire</v>
      </c>
      <c r="Y345" t="str">
        <f t="shared" si="5"/>
        <v/>
      </c>
      <c r="Z345" t="str">
        <f>IF(X345="","",SUMIFS(#REF!,RM!$C$4:$C991,X345))</f>
        <v/>
      </c>
      <c r="AA345" t="str">
        <f>IF(X345="","",SUMIFS(#REF!,RM!$C$4:$C991,X345))</f>
        <v/>
      </c>
      <c r="AB345" t="str">
        <f>IF(X345="","",SUMIFS(IRegback!$Y$2:$Y1001,IRegback!$X$2:$X1001,X345))</f>
        <v/>
      </c>
      <c r="AC345" t="e">
        <f t="shared" si="6"/>
        <v>#VALUE!</v>
      </c>
      <c r="AD345" t="str">
        <f>IF(X345="","",VLOOKUP($X345,RM!$C$4:$G991,3,FALSE))</f>
        <v/>
      </c>
      <c r="AE345" t="str">
        <f>IF(X345="","",VLOOKUP($X345,RM!$C$4:$G991,4,FALSE))</f>
        <v/>
      </c>
      <c r="AF345" t="str">
        <f>IF(X345="","",VLOOKUP($X345,RM!$C$4:$G991,5,FALSE))</f>
        <v/>
      </c>
      <c r="AH345" t="str">
        <f ca="1">IFERROR(__xludf.DUMMYFUNCTION("""COMPUTED_VALUE"""),"PORT Unit Assy")</f>
        <v>PORT Unit Assy</v>
      </c>
      <c r="AI345" t="str">
        <f ca="1">IFERROR(__xludf.DUMMYFUNCTION("""COMPUTED_VALUE"""),"ESC Mounting Clamp")</f>
        <v>ESC Mounting Clamp</v>
      </c>
      <c r="AJ345">
        <f ca="1">IFERROR(__xludf.DUMMYFUNCTION("""COMPUTED_VALUE"""),1)</f>
        <v>1</v>
      </c>
      <c r="AK345" t="str">
        <f ca="1">IFERROR(__xludf.DUMMYFUNCTION("""COMPUTED_VALUE"""),"blank")</f>
        <v>blank</v>
      </c>
      <c r="AL345" t="e">
        <f ca="1">_xludf.IFNA(VLOOKUP(AH345,'S-FG'!$B$3:$B1001,1,FALSE),"")</f>
        <v>#NAME?</v>
      </c>
      <c r="AM345" t="e">
        <f ca="1">IF(AI345="","",SUMIFS(#REF!,RM!$C$4:$C991,AI345))</f>
        <v>#REF!</v>
      </c>
    </row>
    <row r="346" spans="5:39">
      <c r="E346" t="str">
        <f>IF(A346="","",SUMIFS('PR-BOM'!$D$3:$D1001,'PR-BOM'!$C$3:$C1001,A346)*C346)</f>
        <v/>
      </c>
      <c r="F346" t="e">
        <f ca="1">_xludf.IFNA(VLOOKUP(B346,'S-FG'!$B$3:$B1001,1,FALSE),"")</f>
        <v>#NAME?</v>
      </c>
      <c r="H346" t="str">
        <f ca="1">IFERROR(__xludf.DUMMYFUNCTION("""COMPUTED_VALUE"""),"IP Remote Assy")</f>
        <v>IP Remote Assy</v>
      </c>
      <c r="I346" t="str">
        <f ca="1">IFERROR(__xludf.DUMMYFUNCTION("""COMPUTED_VALUE"""),"R9M Antenna Extension wire RP-SMA to Open")</f>
        <v>R9M Antenna Extension wire RP-SMA to Open</v>
      </c>
      <c r="J346">
        <f ca="1">IFERROR(__xludf.DUMMYFUNCTION("""COMPUTED_VALUE"""),1)</f>
        <v>1</v>
      </c>
      <c r="K346" t="str">
        <f ca="1">IFERROR(__xludf.DUMMYFUNCTION("""COMPUTED_VALUE"""),"blank")</f>
        <v>blank</v>
      </c>
      <c r="L346">
        <f t="shared" ca="1" si="4"/>
        <v>0</v>
      </c>
      <c r="Q346" t="str">
        <f>IF(N346="","",SUMIFS('PR-BOM'!$D$3:$D1001,'PR-BOM'!$C$3:$C1001,N346))</f>
        <v/>
      </c>
      <c r="S346" t="str">
        <f ca="1">IFERROR(__xludf.DUMMYFUNCTION("""COMPUTED_VALUE"""),"Tactile switch ")</f>
        <v xml:space="preserve">Tactile switch </v>
      </c>
      <c r="Y346" t="str">
        <f t="shared" si="5"/>
        <v/>
      </c>
      <c r="Z346" t="str">
        <f>IF(X346="","",SUMIFS(#REF!,RM!$C$4:$C991,X346))</f>
        <v/>
      </c>
      <c r="AA346" t="str">
        <f>IF(X346="","",SUMIFS(#REF!,RM!$C$4:$C991,X346))</f>
        <v/>
      </c>
      <c r="AB346" t="str">
        <f>IF(X346="","",SUMIFS(IRegback!$Y$2:$Y1001,IRegback!$X$2:$X1001,X346))</f>
        <v/>
      </c>
      <c r="AC346" t="e">
        <f t="shared" si="6"/>
        <v>#VALUE!</v>
      </c>
      <c r="AD346" t="str">
        <f>IF(X346="","",VLOOKUP($X346,RM!$C$4:$G991,3,FALSE))</f>
        <v/>
      </c>
      <c r="AE346" t="str">
        <f>IF(X346="","",VLOOKUP($X346,RM!$C$4:$G991,4,FALSE))</f>
        <v/>
      </c>
      <c r="AF346" t="str">
        <f>IF(X346="","",VLOOKUP($X346,RM!$C$4:$G991,5,FALSE))</f>
        <v/>
      </c>
      <c r="AH346" t="str">
        <f ca="1">IFERROR(__xludf.DUMMYFUNCTION("""COMPUTED_VALUE"""),"PORT Unit Assy")</f>
        <v>PORT Unit Assy</v>
      </c>
      <c r="AI346" t="str">
        <f ca="1">IFERROR(__xludf.DUMMYFUNCTION("""COMPUTED_VALUE"""),"M4 Nyloc")</f>
        <v>M4 Nyloc</v>
      </c>
      <c r="AJ346">
        <f ca="1">IFERROR(__xludf.DUMMYFUNCTION("""COMPUTED_VALUE"""),4)</f>
        <v>4</v>
      </c>
      <c r="AK346" t="str">
        <f ca="1">IFERROR(__xludf.DUMMYFUNCTION("""COMPUTED_VALUE"""),"blank")</f>
        <v>blank</v>
      </c>
      <c r="AL346" t="e">
        <f ca="1">_xludf.IFNA(VLOOKUP(AH346,'S-FG'!$B$3:$B1001,1,FALSE),"")</f>
        <v>#NAME?</v>
      </c>
      <c r="AM346" t="e">
        <f ca="1">IF(AI346="","",SUMIFS(#REF!,RM!$C$4:$C991,AI346))</f>
        <v>#REF!</v>
      </c>
    </row>
    <row r="347" spans="5:39">
      <c r="E347" t="str">
        <f>IF(A347="","",SUMIFS('PR-BOM'!$D$3:$D1001,'PR-BOM'!$C$3:$C1001,A347)*C347)</f>
        <v/>
      </c>
      <c r="F347" t="e">
        <f ca="1">_xludf.IFNA(VLOOKUP(B347,'S-FG'!$B$3:$B1001,1,FALSE),"")</f>
        <v>#NAME?</v>
      </c>
      <c r="H347" t="str">
        <f ca="1">IFERROR(__xludf.DUMMYFUNCTION("""COMPUTED_VALUE"""),"IP Remote Assy")</f>
        <v>IP Remote Assy</v>
      </c>
      <c r="I347" t="str">
        <f ca="1">IFERROR(__xludf.DUMMYFUNCTION("""COMPUTED_VALUE"""),"Black 14/38 Wire")</f>
        <v>Black 14/38 Wire</v>
      </c>
      <c r="J347">
        <f ca="1">IFERROR(__xludf.DUMMYFUNCTION("""COMPUTED_VALUE"""),0.2)</f>
        <v>0.2</v>
      </c>
      <c r="L347">
        <f t="shared" ca="1" si="4"/>
        <v>0</v>
      </c>
      <c r="Q347" t="str">
        <f>IF(N347="","",SUMIFS('PR-BOM'!$D$3:$D1001,'PR-BOM'!$C$3:$C1001,N347))</f>
        <v/>
      </c>
      <c r="S347" t="str">
        <f ca="1">IFERROR(__xludf.DUMMYFUNCTION("""COMPUTED_VALUE"""),"R9M Antenna Extension wire RP-SMA to Open")</f>
        <v>R9M Antenna Extension wire RP-SMA to Open</v>
      </c>
      <c r="Y347" t="str">
        <f t="shared" si="5"/>
        <v/>
      </c>
      <c r="Z347" t="str">
        <f>IF(X347="","",SUMIFS(#REF!,RM!$C$4:$C991,X347))</f>
        <v/>
      </c>
      <c r="AA347" t="str">
        <f>IF(X347="","",SUMIFS(#REF!,RM!$C$4:$C991,X347))</f>
        <v/>
      </c>
      <c r="AB347" t="str">
        <f>IF(X347="","",SUMIFS(IRegback!$Y$2:$Y1001,IRegback!$X$2:$X1001,X347))</f>
        <v/>
      </c>
      <c r="AC347" t="e">
        <f t="shared" si="6"/>
        <v>#VALUE!</v>
      </c>
      <c r="AD347" t="str">
        <f>IF(X347="","",VLOOKUP($X347,RM!$C$4:$G991,3,FALSE))</f>
        <v/>
      </c>
      <c r="AE347" t="str">
        <f>IF(X347="","",VLOOKUP($X347,RM!$C$4:$G991,4,FALSE))</f>
        <v/>
      </c>
      <c r="AF347" t="str">
        <f>IF(X347="","",VLOOKUP($X347,RM!$C$4:$G991,5,FALSE))</f>
        <v/>
      </c>
      <c r="AH347" t="str">
        <f ca="1">IFERROR(__xludf.DUMMYFUNCTION("""COMPUTED_VALUE"""),"PORT Unit Assy")</f>
        <v>PORT Unit Assy</v>
      </c>
      <c r="AI347" t="str">
        <f ca="1">IFERROR(__xludf.DUMMYFUNCTION("""COMPUTED_VALUE"""),"M4 Spring washer")</f>
        <v>M4 Spring washer</v>
      </c>
      <c r="AJ347">
        <f ca="1">IFERROR(__xludf.DUMMYFUNCTION("""COMPUTED_VALUE"""),4)</f>
        <v>4</v>
      </c>
      <c r="AK347" t="str">
        <f ca="1">IFERROR(__xludf.DUMMYFUNCTION("""COMPUTED_VALUE"""),"blank")</f>
        <v>blank</v>
      </c>
      <c r="AL347" t="e">
        <f ca="1">_xludf.IFNA(VLOOKUP(AH347,'S-FG'!$B$3:$B1001,1,FALSE),"")</f>
        <v>#NAME?</v>
      </c>
      <c r="AM347" t="e">
        <f ca="1">IF(AI347="","",SUMIFS(#REF!,RM!$C$4:$C991,AI347))</f>
        <v>#REF!</v>
      </c>
    </row>
    <row r="348" spans="5:39">
      <c r="E348" t="str">
        <f>IF(A348="","",SUMIFS('PR-BOM'!$D$3:$D1001,'PR-BOM'!$C$3:$C1001,A348)*C348)</f>
        <v/>
      </c>
      <c r="F348" t="e">
        <f ca="1">_xludf.IFNA(VLOOKUP(B348,'S-FG'!$B$3:$B1001,1,FALSE),"")</f>
        <v>#NAME?</v>
      </c>
      <c r="H348" t="str">
        <f ca="1">IFERROR(__xludf.DUMMYFUNCTION("""COMPUTED_VALUE"""),"IP Remote Assy")</f>
        <v>IP Remote Assy</v>
      </c>
      <c r="I348" t="str">
        <f ca="1">IFERROR(__xludf.DUMMYFUNCTION("""COMPUTED_VALUE"""),"White 14/38 Wire")</f>
        <v>White 14/38 Wire</v>
      </c>
      <c r="J348">
        <f ca="1">IFERROR(__xludf.DUMMYFUNCTION("""COMPUTED_VALUE"""),0.2)</f>
        <v>0.2</v>
      </c>
      <c r="L348">
        <f t="shared" ca="1" si="4"/>
        <v>0</v>
      </c>
      <c r="Q348" t="str">
        <f>IF(N348="","",SUMIFS('PR-BOM'!$D$3:$D1001,'PR-BOM'!$C$3:$C1001,N348))</f>
        <v/>
      </c>
      <c r="S348" t="str">
        <f ca="1">IFERROR(__xludf.DUMMYFUNCTION("""COMPUTED_VALUE"""),"Black 14/38 Wire")</f>
        <v>Black 14/38 Wire</v>
      </c>
      <c r="Y348" t="str">
        <f t="shared" si="5"/>
        <v/>
      </c>
      <c r="Z348" t="str">
        <f>IF(X348="","",SUMIFS(#REF!,RM!$C$4:$C991,X348))</f>
        <v/>
      </c>
      <c r="AA348" t="str">
        <f>IF(X348="","",SUMIFS(#REF!,RM!$C$4:$C991,X348))</f>
        <v/>
      </c>
      <c r="AB348" t="str">
        <f>IF(X348="","",SUMIFS(IRegback!$Y$2:$Y1001,IRegback!$X$2:$X1001,X348))</f>
        <v/>
      </c>
      <c r="AC348" t="e">
        <f t="shared" si="6"/>
        <v>#VALUE!</v>
      </c>
      <c r="AD348" t="str">
        <f>IF(X348="","",VLOOKUP($X348,RM!$C$4:$G991,3,FALSE))</f>
        <v/>
      </c>
      <c r="AE348" t="str">
        <f>IF(X348="","",VLOOKUP($X348,RM!$C$4:$G991,4,FALSE))</f>
        <v/>
      </c>
      <c r="AF348" t="str">
        <f>IF(X348="","",VLOOKUP($X348,RM!$C$4:$G991,5,FALSE))</f>
        <v/>
      </c>
      <c r="AH348" t="str">
        <f ca="1">IFERROR(__xludf.DUMMYFUNCTION("""COMPUTED_VALUE"""),"PORT Unit Assy")</f>
        <v>PORT Unit Assy</v>
      </c>
      <c r="AI348" t="str">
        <f ca="1">IFERROR(__xludf.DUMMYFUNCTION("""COMPUTED_VALUE"""),"M4x12 plain washer")</f>
        <v>M4x12 plain washer</v>
      </c>
      <c r="AJ348">
        <f ca="1">IFERROR(__xludf.DUMMYFUNCTION("""COMPUTED_VALUE"""),4)</f>
        <v>4</v>
      </c>
      <c r="AK348" t="str">
        <f ca="1">IFERROR(__xludf.DUMMYFUNCTION("""COMPUTED_VALUE"""),"blank")</f>
        <v>blank</v>
      </c>
      <c r="AL348" t="e">
        <f ca="1">_xludf.IFNA(VLOOKUP(AH348,'S-FG'!$B$3:$B1001,1,FALSE),"")</f>
        <v>#NAME?</v>
      </c>
      <c r="AM348" t="e">
        <f ca="1">IF(AI348="","",SUMIFS(#REF!,RM!$C$4:$C991,AI348))</f>
        <v>#REF!</v>
      </c>
    </row>
    <row r="349" spans="5:39">
      <c r="E349" t="str">
        <f>IF(A349="","",SUMIFS('PR-BOM'!$D$3:$D1001,'PR-BOM'!$C$3:$C1001,A349)*C349)</f>
        <v/>
      </c>
      <c r="F349" t="e">
        <f ca="1">_xludf.IFNA(VLOOKUP(B349,'S-FG'!$B$3:$B1001,1,FALSE),"")</f>
        <v>#NAME?</v>
      </c>
      <c r="H349" t="str">
        <f ca="1">IFERROR(__xludf.DUMMYFUNCTION("""COMPUTED_VALUE"""),"IP Remote Assy")</f>
        <v>IP Remote Assy</v>
      </c>
      <c r="I349" t="str">
        <f ca="1">IFERROR(__xludf.DUMMYFUNCTION("""COMPUTED_VALUE"""),"Sky Blue 14/38 Wire")</f>
        <v>Sky Blue 14/38 Wire</v>
      </c>
      <c r="J349">
        <f ca="1">IFERROR(__xludf.DUMMYFUNCTION("""COMPUTED_VALUE"""),0.2)</f>
        <v>0.2</v>
      </c>
      <c r="L349">
        <f t="shared" ca="1" si="4"/>
        <v>0</v>
      </c>
      <c r="Q349" t="str">
        <f>IF(N349="","",SUMIFS('PR-BOM'!$D$3:$D1001,'PR-BOM'!$C$3:$C1001,N349))</f>
        <v/>
      </c>
      <c r="S349" t="str">
        <f ca="1">IFERROR(__xludf.DUMMYFUNCTION("""COMPUTED_VALUE"""),"White 14/38 Wire")</f>
        <v>White 14/38 Wire</v>
      </c>
      <c r="Y349" t="str">
        <f t="shared" si="5"/>
        <v/>
      </c>
      <c r="Z349" t="str">
        <f>IF(X349="","",SUMIFS(#REF!,RM!$C$4:$C991,X349))</f>
        <v/>
      </c>
      <c r="AA349" t="str">
        <f>IF(X349="","",SUMIFS(#REF!,RM!$C$4:$C991,X349))</f>
        <v/>
      </c>
      <c r="AB349" t="str">
        <f>IF(X349="","",SUMIFS(IRegback!$Y$2:$Y1001,IRegback!$X$2:$X1001,X349))</f>
        <v/>
      </c>
      <c r="AC349" t="e">
        <f t="shared" si="6"/>
        <v>#VALUE!</v>
      </c>
      <c r="AD349" t="str">
        <f>IF(X349="","",VLOOKUP($X349,RM!$C$4:$G991,3,FALSE))</f>
        <v/>
      </c>
      <c r="AE349" t="str">
        <f>IF(X349="","",VLOOKUP($X349,RM!$C$4:$G991,4,FALSE))</f>
        <v/>
      </c>
      <c r="AF349" t="str">
        <f>IF(X349="","",VLOOKUP($X349,RM!$C$4:$G991,5,FALSE))</f>
        <v/>
      </c>
      <c r="AH349" t="str">
        <f ca="1">IFERROR(__xludf.DUMMYFUNCTION("""COMPUTED_VALUE"""),"PORT Unit Assy")</f>
        <v>PORT Unit Assy</v>
      </c>
      <c r="AI349" t="str">
        <f ca="1">IFERROR(__xludf.DUMMYFUNCTION("""COMPUTED_VALUE"""),"3mm Silicon Rubber Gaskets (35mmx10mm)")</f>
        <v>3mm Silicon Rubber Gaskets (35mmx10mm)</v>
      </c>
      <c r="AJ349">
        <f ca="1">IFERROR(__xludf.DUMMYFUNCTION("""COMPUTED_VALUE"""),1)</f>
        <v>1</v>
      </c>
      <c r="AK349" t="str">
        <f ca="1">IFERROR(__xludf.DUMMYFUNCTION("""COMPUTED_VALUE"""),"blank")</f>
        <v>blank</v>
      </c>
      <c r="AL349" t="e">
        <f ca="1">_xludf.IFNA(VLOOKUP(AH349,'S-FG'!$B$3:$B1001,1,FALSE),"")</f>
        <v>#NAME?</v>
      </c>
      <c r="AM349" t="e">
        <f ca="1">IF(AI349="","",SUMIFS(#REF!,RM!$C$4:$C991,AI349))</f>
        <v>#REF!</v>
      </c>
    </row>
    <row r="350" spans="5:39">
      <c r="E350" t="str">
        <f>IF(A350="","",SUMIFS('PR-BOM'!$D$3:$D1001,'PR-BOM'!$C$3:$C1001,A350)*C350)</f>
        <v/>
      </c>
      <c r="F350" t="e">
        <f ca="1">_xludf.IFNA(VLOOKUP(B350,'S-FG'!$B$3:$B1001,1,FALSE),"")</f>
        <v>#NAME?</v>
      </c>
      <c r="H350" t="str">
        <f ca="1">IFERROR(__xludf.DUMMYFUNCTION("""COMPUTED_VALUE"""),"IP Remote Assy")</f>
        <v>IP Remote Assy</v>
      </c>
      <c r="I350" t="str">
        <f ca="1">IFERROR(__xludf.DUMMYFUNCTION("""COMPUTED_VALUE"""),"Red 14/38 wire")</f>
        <v>Red 14/38 wire</v>
      </c>
      <c r="J350">
        <f ca="1">IFERROR(__xludf.DUMMYFUNCTION("""COMPUTED_VALUE"""),0.2)</f>
        <v>0.2</v>
      </c>
      <c r="L350">
        <f t="shared" ca="1" si="4"/>
        <v>0</v>
      </c>
      <c r="Q350" t="str">
        <f>IF(N350="","",SUMIFS('PR-BOM'!$D$3:$D1001,'PR-BOM'!$C$3:$C1001,N350))</f>
        <v/>
      </c>
      <c r="S350" t="str">
        <f ca="1">IFERROR(__xludf.DUMMYFUNCTION("""COMPUTED_VALUE"""),"Sky Blue 14/38 Wire")</f>
        <v>Sky Blue 14/38 Wire</v>
      </c>
      <c r="Y350" t="str">
        <f t="shared" si="5"/>
        <v/>
      </c>
      <c r="Z350" t="str">
        <f>IF(X350="","",SUMIFS(#REF!,RM!$C$4:$C991,X350))</f>
        <v/>
      </c>
      <c r="AA350" t="str">
        <f>IF(X350="","",SUMIFS(#REF!,RM!$C$4:$C991,X350))</f>
        <v/>
      </c>
      <c r="AB350" t="str">
        <f>IF(X350="","",SUMIFS(IRegback!$Y$2:$Y1001,IRegback!$X$2:$X1001,X350))</f>
        <v/>
      </c>
      <c r="AC350" t="e">
        <f t="shared" si="6"/>
        <v>#VALUE!</v>
      </c>
      <c r="AD350" t="str">
        <f>IF(X350="","",VLOOKUP($X350,RM!$C$4:$G991,3,FALSE))</f>
        <v/>
      </c>
      <c r="AE350" t="str">
        <f>IF(X350="","",VLOOKUP($X350,RM!$C$4:$G991,4,FALSE))</f>
        <v/>
      </c>
      <c r="AF350" t="str">
        <f>IF(X350="","",VLOOKUP($X350,RM!$C$4:$G991,5,FALSE))</f>
        <v/>
      </c>
      <c r="AH350" t="str">
        <f ca="1">IFERROR(__xludf.DUMMYFUNCTION("""COMPUTED_VALUE"""),"PORT Unit Assy")</f>
        <v>PORT Unit Assy</v>
      </c>
      <c r="AI350" t="str">
        <f ca="1">IFERROR(__xludf.DUMMYFUNCTION("""COMPUTED_VALUE"""),"Jet Motor Assy")</f>
        <v>Jet Motor Assy</v>
      </c>
      <c r="AJ350">
        <f ca="1">IFERROR(__xludf.DUMMYFUNCTION("""COMPUTED_VALUE"""),0)</f>
        <v>0</v>
      </c>
      <c r="AK350" t="str">
        <f ca="1">IFERROR(__xludf.DUMMYFUNCTION("""COMPUTED_VALUE"""),"blank")</f>
        <v>blank</v>
      </c>
      <c r="AL350" t="e">
        <f ca="1">_xludf.IFNA(VLOOKUP(AH350,'S-FG'!$B$3:$B1001,1,FALSE),"")</f>
        <v>#NAME?</v>
      </c>
      <c r="AM350" t="e">
        <f ca="1">IF(AI350="","",SUMIFS(#REF!,RM!$C$4:$C991,AI350))</f>
        <v>#REF!</v>
      </c>
    </row>
    <row r="351" spans="5:39">
      <c r="E351" t="str">
        <f>IF(A351="","",SUMIFS('PR-BOM'!$D$3:$D1001,'PR-BOM'!$C$3:$C1001,A351)*C351)</f>
        <v/>
      </c>
      <c r="F351" t="e">
        <f ca="1">_xludf.IFNA(VLOOKUP(B351,'S-FG'!$B$3:$B1001,1,FALSE),"")</f>
        <v>#NAME?</v>
      </c>
      <c r="H351" t="str">
        <f ca="1">IFERROR(__xludf.DUMMYFUNCTION("""COMPUTED_VALUE"""),"IP Remote Assy")</f>
        <v>IP Remote Assy</v>
      </c>
      <c r="I351" t="str">
        <f ca="1">IFERROR(__xludf.DUMMYFUNCTION("""COMPUTED_VALUE"""),"Yellow 14/38 Wire")</f>
        <v>Yellow 14/38 Wire</v>
      </c>
      <c r="J351">
        <f ca="1">IFERROR(__xludf.DUMMYFUNCTION("""COMPUTED_VALUE"""),0.2)</f>
        <v>0.2</v>
      </c>
      <c r="L351">
        <f t="shared" ca="1" si="4"/>
        <v>0</v>
      </c>
      <c r="Q351" t="str">
        <f>IF(N351="","",SUMIFS('PR-BOM'!$D$3:$D1001,'PR-BOM'!$C$3:$C1001,N351))</f>
        <v/>
      </c>
      <c r="S351" t="str">
        <f ca="1">IFERROR(__xludf.DUMMYFUNCTION("""COMPUTED_VALUE"""),"Red 14/38 wire")</f>
        <v>Red 14/38 wire</v>
      </c>
      <c r="Y351" t="str">
        <f t="shared" si="5"/>
        <v/>
      </c>
      <c r="Z351" t="str">
        <f>IF(X351="","",SUMIFS(#REF!,RM!$C$4:$C991,X351))</f>
        <v/>
      </c>
      <c r="AA351" t="str">
        <f>IF(X351="","",SUMIFS(#REF!,RM!$C$4:$C991,X351))</f>
        <v/>
      </c>
      <c r="AB351" t="str">
        <f>IF(X351="","",SUMIFS(IRegback!$Y$2:$Y1001,IRegback!$X$2:$X1001,X351))</f>
        <v/>
      </c>
      <c r="AC351" t="e">
        <f t="shared" si="6"/>
        <v>#VALUE!</v>
      </c>
      <c r="AD351" t="str">
        <f>IF(X351="","",VLOOKUP($X351,RM!$C$4:$G991,3,FALSE))</f>
        <v/>
      </c>
      <c r="AE351" t="str">
        <f>IF(X351="","",VLOOKUP($X351,RM!$C$4:$G991,4,FALSE))</f>
        <v/>
      </c>
      <c r="AF351" t="str">
        <f>IF(X351="","",VLOOKUP($X351,RM!$C$4:$G991,5,FALSE))</f>
        <v/>
      </c>
      <c r="AH351" t="str">
        <f ca="1">IFERROR(__xludf.DUMMYFUNCTION("""COMPUTED_VALUE"""),"PORT Unit Assy")</f>
        <v>PORT Unit Assy</v>
      </c>
      <c r="AI351" t="str">
        <f ca="1">IFERROR(__xludf.DUMMYFUNCTION("""COMPUTED_VALUE"""),"PORT_ESC Assy")</f>
        <v>PORT_ESC Assy</v>
      </c>
      <c r="AJ351">
        <f ca="1">IFERROR(__xludf.DUMMYFUNCTION("""COMPUTED_VALUE"""),0)</f>
        <v>0</v>
      </c>
      <c r="AK351" t="str">
        <f ca="1">IFERROR(__xludf.DUMMYFUNCTION("""COMPUTED_VALUE"""),"blank")</f>
        <v>blank</v>
      </c>
      <c r="AL351" t="e">
        <f ca="1">_xludf.IFNA(VLOOKUP(AH351,'S-FG'!$B$3:$B1001,1,FALSE),"")</f>
        <v>#NAME?</v>
      </c>
      <c r="AM351" t="e">
        <f ca="1">IF(AI351="","",SUMIFS(#REF!,RM!$C$4:$C991,AI351))</f>
        <v>#REF!</v>
      </c>
    </row>
    <row r="352" spans="5:39">
      <c r="E352" t="str">
        <f>IF(A352="","",SUMIFS('PR-BOM'!$D$3:$D1001,'PR-BOM'!$C$3:$C1001,A352)*C352)</f>
        <v/>
      </c>
      <c r="F352" t="e">
        <f ca="1">_xludf.IFNA(VLOOKUP(B352,'S-FG'!$B$3:$B1001,1,FALSE),"")</f>
        <v>#NAME?</v>
      </c>
      <c r="H352" t="str">
        <f ca="1">IFERROR(__xludf.DUMMYFUNCTION("""COMPUTED_VALUE"""),"IP Remote Assy")</f>
        <v>IP Remote Assy</v>
      </c>
      <c r="I352" t="str">
        <f ca="1">IFERROR(__xludf.DUMMYFUNCTION("""COMPUTED_VALUE"""),"Orange 14/38 Wire")</f>
        <v>Orange 14/38 Wire</v>
      </c>
      <c r="J352">
        <f ca="1">IFERROR(__xludf.DUMMYFUNCTION("""COMPUTED_VALUE"""),0.2)</f>
        <v>0.2</v>
      </c>
      <c r="L352">
        <f t="shared" ca="1" si="4"/>
        <v>0</v>
      </c>
      <c r="Q352" t="str">
        <f>IF(N352="","",SUMIFS('PR-BOM'!$D$3:$D1001,'PR-BOM'!$C$3:$C1001,N352))</f>
        <v/>
      </c>
      <c r="S352" t="str">
        <f ca="1">IFERROR(__xludf.DUMMYFUNCTION("""COMPUTED_VALUE"""),"Yellow 14/38 Wire")</f>
        <v>Yellow 14/38 Wire</v>
      </c>
      <c r="Y352" t="str">
        <f t="shared" si="5"/>
        <v/>
      </c>
      <c r="Z352" t="str">
        <f>IF(X352="","",SUMIFS(#REF!,RM!$C$4:$C991,X352))</f>
        <v/>
      </c>
      <c r="AA352" t="str">
        <f>IF(X352="","",SUMIFS(#REF!,RM!$C$4:$C991,X352))</f>
        <v/>
      </c>
      <c r="AB352" t="str">
        <f>IF(X352="","",SUMIFS(IRegback!$Y$2:$Y1001,IRegback!$X$2:$X1001,X352))</f>
        <v/>
      </c>
      <c r="AC352" t="e">
        <f t="shared" si="6"/>
        <v>#VALUE!</v>
      </c>
      <c r="AD352" t="str">
        <f>IF(X352="","",VLOOKUP($X352,RM!$C$4:$G991,3,FALSE))</f>
        <v/>
      </c>
      <c r="AE352" t="str">
        <f>IF(X352="","",VLOOKUP($X352,RM!$C$4:$G991,4,FALSE))</f>
        <v/>
      </c>
      <c r="AF352" t="str">
        <f>IF(X352="","",VLOOKUP($X352,RM!$C$4:$G991,5,FALSE))</f>
        <v/>
      </c>
      <c r="AH352" t="str">
        <f ca="1">IFERROR(__xludf.DUMMYFUNCTION("""COMPUTED_VALUE"""),"PORT Unit Assy")</f>
        <v>PORT Unit Assy</v>
      </c>
      <c r="AI352" t="str">
        <f ca="1">IFERROR(__xludf.DUMMYFUNCTION("""COMPUTED_VALUE"""),"PORT Battery Assy")</f>
        <v>PORT Battery Assy</v>
      </c>
      <c r="AJ352">
        <f ca="1">IFERROR(__xludf.DUMMYFUNCTION("""COMPUTED_VALUE"""),0)</f>
        <v>0</v>
      </c>
      <c r="AK352" t="str">
        <f ca="1">IFERROR(__xludf.DUMMYFUNCTION("""COMPUTED_VALUE"""),"blank")</f>
        <v>blank</v>
      </c>
      <c r="AL352" t="e">
        <f ca="1">_xludf.IFNA(VLOOKUP(AH352,'S-FG'!$B$3:$B1001,1,FALSE),"")</f>
        <v>#NAME?</v>
      </c>
      <c r="AM352" t="e">
        <f ca="1">IF(AI352="","",SUMIFS(#REF!,RM!$C$4:$C991,AI352))</f>
        <v>#REF!</v>
      </c>
    </row>
    <row r="353" spans="5:39">
      <c r="E353" t="str">
        <f>IF(A353="","",SUMIFS('PR-BOM'!$D$3:$D1001,'PR-BOM'!$C$3:$C1001,A353)*C353)</f>
        <v/>
      </c>
      <c r="F353" t="e">
        <f ca="1">_xludf.IFNA(VLOOKUP(B353,'S-FG'!$B$3:$B1001,1,FALSE),"")</f>
        <v>#NAME?</v>
      </c>
      <c r="H353" t="str">
        <f ca="1">IFERROR(__xludf.DUMMYFUNCTION("""COMPUTED_VALUE"""),"IP Remote Assy")</f>
        <v>IP Remote Assy</v>
      </c>
      <c r="I353" t="str">
        <f ca="1">IFERROR(__xludf.DUMMYFUNCTION("""COMPUTED_VALUE"""),"Green 14/38 Wire")</f>
        <v>Green 14/38 Wire</v>
      </c>
      <c r="J353">
        <f ca="1">IFERROR(__xludf.DUMMYFUNCTION("""COMPUTED_VALUE"""),0.2)</f>
        <v>0.2</v>
      </c>
      <c r="L353">
        <f t="shared" ca="1" si="4"/>
        <v>0</v>
      </c>
      <c r="Q353" t="str">
        <f>IF(N353="","",SUMIFS('PR-BOM'!$D$3:$D1001,'PR-BOM'!$C$3:$C1001,N353))</f>
        <v/>
      </c>
      <c r="S353" t="str">
        <f ca="1">IFERROR(__xludf.DUMMYFUNCTION("""COMPUTED_VALUE"""),"Orange 14/38 Wire")</f>
        <v>Orange 14/38 Wire</v>
      </c>
      <c r="Y353" t="str">
        <f t="shared" si="5"/>
        <v/>
      </c>
      <c r="Z353" t="str">
        <f>IF(X353="","",SUMIFS(#REF!,RM!$C$4:$C991,X353))</f>
        <v/>
      </c>
      <c r="AA353" t="str">
        <f>IF(X353="","",SUMIFS(#REF!,RM!$C$4:$C991,X353))</f>
        <v/>
      </c>
      <c r="AB353" t="str">
        <f>IF(X353="","",SUMIFS(IRegback!$Y$2:$Y1001,IRegback!$X$2:$X1001,X353))</f>
        <v/>
      </c>
      <c r="AC353" t="e">
        <f t="shared" si="6"/>
        <v>#VALUE!</v>
      </c>
      <c r="AD353" t="str">
        <f>IF(X353="","",VLOOKUP($X353,RM!$C$4:$G991,3,FALSE))</f>
        <v/>
      </c>
      <c r="AE353" t="str">
        <f>IF(X353="","",VLOOKUP($X353,RM!$C$4:$G991,4,FALSE))</f>
        <v/>
      </c>
      <c r="AF353" t="str">
        <f>IF(X353="","",VLOOKUP($X353,RM!$C$4:$G991,5,FALSE))</f>
        <v/>
      </c>
      <c r="AH353" t="str">
        <f ca="1">IFERROR(__xludf.DUMMYFUNCTION("""COMPUTED_VALUE"""),"PORT Unit Assy")</f>
        <v>PORT Unit Assy</v>
      </c>
      <c r="AI353" t="str">
        <f ca="1">IFERROR(__xludf.DUMMYFUNCTION("""COMPUTED_VALUE"""),"M4x20 CSK Phillips")</f>
        <v>M4x20 CSK Phillips</v>
      </c>
      <c r="AJ353">
        <f ca="1">IFERROR(__xludf.DUMMYFUNCTION("""COMPUTED_VALUE"""),2)</f>
        <v>2</v>
      </c>
      <c r="AK353" t="str">
        <f ca="1">IFERROR(__xludf.DUMMYFUNCTION("""COMPUTED_VALUE"""),"blank")</f>
        <v>blank</v>
      </c>
      <c r="AL353" t="e">
        <f ca="1">_xludf.IFNA(VLOOKUP(AH353,'S-FG'!$B$3:$B1001,1,FALSE),"")</f>
        <v>#NAME?</v>
      </c>
      <c r="AM353" t="e">
        <f ca="1">IF(AI353="","",SUMIFS(#REF!,RM!$C$4:$C991,AI353))</f>
        <v>#REF!</v>
      </c>
    </row>
    <row r="354" spans="5:39">
      <c r="E354" t="str">
        <f>IF(A354="","",SUMIFS('PR-BOM'!$D$3:$D1001,'PR-BOM'!$C$3:$C1001,A354)*C354)</f>
        <v/>
      </c>
      <c r="F354" t="e">
        <f ca="1">_xludf.IFNA(VLOOKUP(B354,'S-FG'!$B$3:$B1001,1,FALSE),"")</f>
        <v>#NAME?</v>
      </c>
      <c r="H354" t="str">
        <f ca="1">IFERROR(__xludf.DUMMYFUNCTION("""COMPUTED_VALUE"""),"IP Remote Assy")</f>
        <v>IP Remote Assy</v>
      </c>
      <c r="I354" t="str">
        <f ca="1">IFERROR(__xludf.DUMMYFUNCTION("""COMPUTED_VALUE"""),"Purple 14/38 Wire")</f>
        <v>Purple 14/38 Wire</v>
      </c>
      <c r="J354">
        <f ca="1">IFERROR(__xludf.DUMMYFUNCTION("""COMPUTED_VALUE"""),0.2)</f>
        <v>0.2</v>
      </c>
      <c r="L354">
        <f t="shared" ca="1" si="4"/>
        <v>0</v>
      </c>
      <c r="Q354" t="str">
        <f>IF(N354="","",SUMIFS('PR-BOM'!$D$3:$D1001,'PR-BOM'!$C$3:$C1001,N354))</f>
        <v/>
      </c>
      <c r="S354" t="str">
        <f ca="1">IFERROR(__xludf.DUMMYFUNCTION("""COMPUTED_VALUE"""),"Green 14/38 Wire")</f>
        <v>Green 14/38 Wire</v>
      </c>
      <c r="Y354" t="str">
        <f t="shared" si="5"/>
        <v/>
      </c>
      <c r="Z354" t="str">
        <f>IF(X354="","",SUMIFS(#REF!,RM!$C$4:$C991,X354))</f>
        <v/>
      </c>
      <c r="AA354" t="str">
        <f>IF(X354="","",SUMIFS(#REF!,RM!$C$4:$C991,X354))</f>
        <v/>
      </c>
      <c r="AB354" t="str">
        <f>IF(X354="","",SUMIFS(IRegback!$Y$2:$Y1001,IRegback!$X$2:$X1001,X354))</f>
        <v/>
      </c>
      <c r="AC354" t="e">
        <f t="shared" si="6"/>
        <v>#VALUE!</v>
      </c>
      <c r="AD354" t="str">
        <f>IF(X354="","",VLOOKUP($X354,RM!$C$4:$G991,3,FALSE))</f>
        <v/>
      </c>
      <c r="AE354" t="str">
        <f>IF(X354="","",VLOOKUP($X354,RM!$C$4:$G991,4,FALSE))</f>
        <v/>
      </c>
      <c r="AF354" t="str">
        <f>IF(X354="","",VLOOKUP($X354,RM!$C$4:$G991,5,FALSE))</f>
        <v/>
      </c>
      <c r="AH354" t="str">
        <f ca="1">IFERROR(__xludf.DUMMYFUNCTION("""COMPUTED_VALUE"""),"Self Rightening Assy")</f>
        <v>Self Rightening Assy</v>
      </c>
      <c r="AI354" t="str">
        <f ca="1">IFERROR(__xludf.DUMMYFUNCTION("""COMPUTED_VALUE"""),"SR Structure")</f>
        <v>SR Structure</v>
      </c>
      <c r="AJ354">
        <f ca="1">IFERROR(__xludf.DUMMYFUNCTION("""COMPUTED_VALUE"""),1)</f>
        <v>1</v>
      </c>
      <c r="AK354" t="str">
        <f ca="1">IFERROR(__xludf.DUMMYFUNCTION("""COMPUTED_VALUE"""),"blank")</f>
        <v>blank</v>
      </c>
      <c r="AL354" t="e">
        <f ca="1">_xludf.IFNA(VLOOKUP(AH354,'S-FG'!$B$3:$B1001,1,FALSE),"")</f>
        <v>#NAME?</v>
      </c>
      <c r="AM354" t="e">
        <f ca="1">IF(AI354="","",SUMIFS(#REF!,RM!$C$4:$C991,AI354))</f>
        <v>#REF!</v>
      </c>
    </row>
    <row r="355" spans="5:39">
      <c r="E355" t="str">
        <f>IF(A355="","",SUMIFS('PR-BOM'!$D$3:$D1001,'PR-BOM'!$C$3:$C1001,A355)*C355)</f>
        <v/>
      </c>
      <c r="F355" t="e">
        <f ca="1">_xludf.IFNA(VLOOKUP(B355,'S-FG'!$B$3:$B1001,1,FALSE),"")</f>
        <v>#NAME?</v>
      </c>
      <c r="H355" t="str">
        <f ca="1">IFERROR(__xludf.DUMMYFUNCTION("""COMPUTED_VALUE"""),"IP Remote Assy")</f>
        <v>IP Remote Assy</v>
      </c>
      <c r="I355" t="str">
        <f ca="1">IFERROR(__xludf.DUMMYFUNCTION("""COMPUTED_VALUE"""),"Brown 14/38 Wire")</f>
        <v>Brown 14/38 Wire</v>
      </c>
      <c r="J355">
        <f ca="1">IFERROR(__xludf.DUMMYFUNCTION("""COMPUTED_VALUE"""),0.2)</f>
        <v>0.2</v>
      </c>
      <c r="L355">
        <f t="shared" ca="1" si="4"/>
        <v>0</v>
      </c>
      <c r="Q355" t="str">
        <f>IF(N355="","",SUMIFS('PR-BOM'!$D$3:$D1001,'PR-BOM'!$C$3:$C1001,N355))</f>
        <v/>
      </c>
      <c r="S355" t="str">
        <f ca="1">IFERROR(__xludf.DUMMYFUNCTION("""COMPUTED_VALUE"""),"Purple 14/38 Wire")</f>
        <v>Purple 14/38 Wire</v>
      </c>
      <c r="Y355" t="str">
        <f t="shared" si="5"/>
        <v/>
      </c>
      <c r="Z355" t="str">
        <f>IF(X355="","",SUMIFS(#REF!,RM!$C$4:$C991,X355))</f>
        <v/>
      </c>
      <c r="AA355" t="str">
        <f>IF(X355="","",SUMIFS(#REF!,RM!$C$4:$C991,X355))</f>
        <v/>
      </c>
      <c r="AB355" t="str">
        <f>IF(X355="","",SUMIFS(IRegback!$Y$2:$Y1001,IRegback!$X$2:$X1001,X355))</f>
        <v/>
      </c>
      <c r="AC355" t="e">
        <f t="shared" si="6"/>
        <v>#VALUE!</v>
      </c>
      <c r="AD355" t="str">
        <f>IF(X355="","",VLOOKUP($X355,RM!$C$4:$G991,3,FALSE))</f>
        <v/>
      </c>
      <c r="AE355" t="str">
        <f>IF(X355="","",VLOOKUP($X355,RM!$C$4:$G991,4,FALSE))</f>
        <v/>
      </c>
      <c r="AF355" t="str">
        <f>IF(X355="","",VLOOKUP($X355,RM!$C$4:$G991,5,FALSE))</f>
        <v/>
      </c>
      <c r="AH355" t="str">
        <f ca="1">IFERROR(__xludf.DUMMYFUNCTION("""COMPUTED_VALUE"""),"Self Rightening Assy")</f>
        <v>Self Rightening Assy</v>
      </c>
      <c r="AI355" t="str">
        <f ca="1">IFERROR(__xludf.DUMMYFUNCTION("""COMPUTED_VALUE"""),"SR Pillow")</f>
        <v>SR Pillow</v>
      </c>
      <c r="AJ355">
        <f ca="1">IFERROR(__xludf.DUMMYFUNCTION("""COMPUTED_VALUE"""),1)</f>
        <v>1</v>
      </c>
      <c r="AK355" t="str">
        <f ca="1">IFERROR(__xludf.DUMMYFUNCTION("""COMPUTED_VALUE"""),"blank")</f>
        <v>blank</v>
      </c>
      <c r="AL355" t="e">
        <f ca="1">_xludf.IFNA(VLOOKUP(AH355,'S-FG'!$B$3:$B1001,1,FALSE),"")</f>
        <v>#NAME?</v>
      </c>
      <c r="AM355" t="e">
        <f ca="1">IF(AI355="","",SUMIFS(#REF!,RM!$C$4:$C991,AI355))</f>
        <v>#REF!</v>
      </c>
    </row>
    <row r="356" spans="5:39">
      <c r="E356" t="str">
        <f>IF(A356="","",SUMIFS('PR-BOM'!$D$3:$D1001,'PR-BOM'!$C$3:$C1001,A356)*C356)</f>
        <v/>
      </c>
      <c r="F356" t="e">
        <f ca="1">_xludf.IFNA(VLOOKUP(B356,'S-FG'!$B$3:$B1001,1,FALSE),"")</f>
        <v>#NAME?</v>
      </c>
      <c r="H356" t="str">
        <f ca="1">IFERROR(__xludf.DUMMYFUNCTION("""COMPUTED_VALUE"""),"IP Remote Assy")</f>
        <v>IP Remote Assy</v>
      </c>
      <c r="I356" t="str">
        <f ca="1">IFERROR(__xludf.DUMMYFUNCTION("""COMPUTED_VALUE"""),"SA12 9pin PM Pushpull")</f>
        <v>SA12 9pin PM Pushpull</v>
      </c>
      <c r="J356">
        <f ca="1">IFERROR(__xludf.DUMMYFUNCTION("""COMPUTED_VALUE"""),1)</f>
        <v>1</v>
      </c>
      <c r="K356" t="str">
        <f ca="1">IFERROR(__xludf.DUMMYFUNCTION("""COMPUTED_VALUE"""),"blank")</f>
        <v>blank</v>
      </c>
      <c r="L356">
        <f t="shared" ca="1" si="4"/>
        <v>0</v>
      </c>
      <c r="Q356" t="str">
        <f>IF(N356="","",SUMIFS('PR-BOM'!$D$3:$D1001,'PR-BOM'!$C$3:$C1001,N356))</f>
        <v/>
      </c>
      <c r="S356" t="str">
        <f ca="1">IFERROR(__xludf.DUMMYFUNCTION("""COMPUTED_VALUE"""),"Brown 14/38 Wire")</f>
        <v>Brown 14/38 Wire</v>
      </c>
      <c r="Y356" t="str">
        <f t="shared" si="5"/>
        <v/>
      </c>
      <c r="Z356" t="str">
        <f>IF(X356="","",SUMIFS(#REF!,RM!$C$4:$C991,X356))</f>
        <v/>
      </c>
      <c r="AA356" t="str">
        <f>IF(X356="","",SUMIFS(#REF!,RM!$C$4:$C991,X356))</f>
        <v/>
      </c>
      <c r="AB356" t="str">
        <f>IF(X356="","",SUMIFS(IRegback!$Y$2:$Y1001,IRegback!$X$2:$X1001,X356))</f>
        <v/>
      </c>
      <c r="AC356" t="e">
        <f t="shared" si="6"/>
        <v>#VALUE!</v>
      </c>
      <c r="AD356" t="str">
        <f>IF(X356="","",VLOOKUP($X356,RM!$C$4:$G991,3,FALSE))</f>
        <v/>
      </c>
      <c r="AE356" t="str">
        <f>IF(X356="","",VLOOKUP($X356,RM!$C$4:$G991,4,FALSE))</f>
        <v/>
      </c>
      <c r="AF356" t="str">
        <f>IF(X356="","",VLOOKUP($X356,RM!$C$4:$G991,5,FALSE))</f>
        <v/>
      </c>
      <c r="AH356" t="str">
        <f ca="1">IFERROR(__xludf.DUMMYFUNCTION("""COMPUTED_VALUE"""),"Self Rightening Assy")</f>
        <v>Self Rightening Assy</v>
      </c>
      <c r="AI356" t="str">
        <f ca="1">IFERROR(__xludf.DUMMYFUNCTION("""COMPUTED_VALUE"""),"M6x50 Button head")</f>
        <v>M6x50 Button head</v>
      </c>
      <c r="AJ356">
        <f ca="1">IFERROR(__xludf.DUMMYFUNCTION("""COMPUTED_VALUE"""),6)</f>
        <v>6</v>
      </c>
      <c r="AK356" t="str">
        <f ca="1">IFERROR(__xludf.DUMMYFUNCTION("""COMPUTED_VALUE"""),"blank")</f>
        <v>blank</v>
      </c>
      <c r="AL356" t="e">
        <f ca="1">_xludf.IFNA(VLOOKUP(AH356,'S-FG'!$B$3:$B1001,1,FALSE),"")</f>
        <v>#NAME?</v>
      </c>
      <c r="AM356" t="e">
        <f ca="1">IF(AI356="","",SUMIFS(#REF!,RM!$C$4:$C991,AI356))</f>
        <v>#REF!</v>
      </c>
    </row>
    <row r="357" spans="5:39">
      <c r="E357" t="str">
        <f>IF(A357="","",SUMIFS('PR-BOM'!$D$3:$D1001,'PR-BOM'!$C$3:$C1001,A357)*C357)</f>
        <v/>
      </c>
      <c r="F357" t="e">
        <f ca="1">_xludf.IFNA(VLOOKUP(B357,'S-FG'!$B$3:$B1001,1,FALSE),"")</f>
        <v>#NAME?</v>
      </c>
      <c r="H357" t="str">
        <f ca="1">IFERROR(__xludf.DUMMYFUNCTION("""COMPUTED_VALUE"""),"IP Remote Assy")</f>
        <v>IP Remote Assy</v>
      </c>
      <c r="I357" t="str">
        <f ca="1">IFERROR(__xludf.DUMMYFUNCTION("""COMPUTED_VALUE"""),"IP Remote Lower Shell")</f>
        <v>IP Remote Lower Shell</v>
      </c>
      <c r="J357">
        <f ca="1">IFERROR(__xludf.DUMMYFUNCTION("""COMPUTED_VALUE"""),1)</f>
        <v>1</v>
      </c>
      <c r="K357" t="str">
        <f ca="1">IFERROR(__xludf.DUMMYFUNCTION("""COMPUTED_VALUE"""),"blank")</f>
        <v>blank</v>
      </c>
      <c r="L357">
        <f t="shared" ca="1" si="4"/>
        <v>0</v>
      </c>
      <c r="Q357" t="str">
        <f>IF(N357="","",SUMIFS('PR-BOM'!$D$3:$D1001,'PR-BOM'!$C$3:$C1001,N357))</f>
        <v/>
      </c>
      <c r="S357" t="str">
        <f ca="1">IFERROR(__xludf.DUMMYFUNCTION("""COMPUTED_VALUE"""),"SA12 9pin PM Pushpull")</f>
        <v>SA12 9pin PM Pushpull</v>
      </c>
      <c r="Y357" t="str">
        <f t="shared" si="5"/>
        <v/>
      </c>
      <c r="Z357" t="str">
        <f>IF(X357="","",SUMIFS(#REF!,RM!$C$4:$C991,X357))</f>
        <v/>
      </c>
      <c r="AA357" t="str">
        <f>IF(X357="","",SUMIFS(#REF!,RM!$C$4:$C991,X357))</f>
        <v/>
      </c>
      <c r="AB357" t="str">
        <f>IF(X357="","",SUMIFS(IRegback!$Y$2:$Y1001,IRegback!$X$2:$X1001,X357))</f>
        <v/>
      </c>
      <c r="AC357" t="e">
        <f t="shared" si="6"/>
        <v>#VALUE!</v>
      </c>
      <c r="AD357" t="str">
        <f>IF(X357="","",VLOOKUP($X357,RM!$C$4:$G991,3,FALSE))</f>
        <v/>
      </c>
      <c r="AE357" t="str">
        <f>IF(X357="","",VLOOKUP($X357,RM!$C$4:$G991,4,FALSE))</f>
        <v/>
      </c>
      <c r="AF357" t="str">
        <f>IF(X357="","",VLOOKUP($X357,RM!$C$4:$G991,5,FALSE))</f>
        <v/>
      </c>
      <c r="AH357" t="str">
        <f ca="1">IFERROR(__xludf.DUMMYFUNCTION("""COMPUTED_VALUE"""),"Self Rightening Assy")</f>
        <v>Self Rightening Assy</v>
      </c>
      <c r="AI357" t="str">
        <f ca="1">IFERROR(__xludf.DUMMYFUNCTION("""COMPUTED_VALUE"""),"M6 Spring washer (SR structure clamping)")</f>
        <v>M6 Spring washer (SR structure clamping)</v>
      </c>
      <c r="AJ357">
        <f ca="1">IFERROR(__xludf.DUMMYFUNCTION("""COMPUTED_VALUE"""),6)</f>
        <v>6</v>
      </c>
      <c r="AK357" t="str">
        <f ca="1">IFERROR(__xludf.DUMMYFUNCTION("""COMPUTED_VALUE"""),"blank")</f>
        <v>blank</v>
      </c>
      <c r="AL357" t="e">
        <f ca="1">_xludf.IFNA(VLOOKUP(AH357,'S-FG'!$B$3:$B1001,1,FALSE),"")</f>
        <v>#NAME?</v>
      </c>
      <c r="AM357" t="e">
        <f ca="1">IF(AI357="","",SUMIFS(#REF!,RM!$C$4:$C991,AI357))</f>
        <v>#REF!</v>
      </c>
    </row>
    <row r="358" spans="5:39">
      <c r="E358" t="str">
        <f>IF(A358="","",SUMIFS('PR-BOM'!$D$3:$D1001,'PR-BOM'!$C$3:$C1001,A358)*C358)</f>
        <v/>
      </c>
      <c r="F358" t="e">
        <f ca="1">_xludf.IFNA(VLOOKUP(B358,'S-FG'!$B$3:$B1001,1,FALSE),"")</f>
        <v>#NAME?</v>
      </c>
      <c r="H358" t="str">
        <f ca="1">IFERROR(__xludf.DUMMYFUNCTION("""COMPUTED_VALUE"""),"IP Remote Assy")</f>
        <v>IP Remote Assy</v>
      </c>
      <c r="I358" t="str">
        <f ca="1">IFERROR(__xludf.DUMMYFUNCTION("""COMPUTED_VALUE"""),"IP Remote Upper Shell")</f>
        <v>IP Remote Upper Shell</v>
      </c>
      <c r="J358">
        <f ca="1">IFERROR(__xludf.DUMMYFUNCTION("""COMPUTED_VALUE"""),1)</f>
        <v>1</v>
      </c>
      <c r="K358" t="str">
        <f ca="1">IFERROR(__xludf.DUMMYFUNCTION("""COMPUTED_VALUE"""),"blank")</f>
        <v>blank</v>
      </c>
      <c r="L358">
        <f t="shared" ca="1" si="4"/>
        <v>0</v>
      </c>
      <c r="Q358" t="str">
        <f>IF(N358="","",SUMIFS('PR-BOM'!$D$3:$D1001,'PR-BOM'!$C$3:$C1001,N358))</f>
        <v/>
      </c>
      <c r="S358" t="str">
        <f ca="1">IFERROR(__xludf.DUMMYFUNCTION("""COMPUTED_VALUE"""),"IP Remote Lower Shell")</f>
        <v>IP Remote Lower Shell</v>
      </c>
      <c r="Y358" t="str">
        <f t="shared" si="5"/>
        <v/>
      </c>
      <c r="Z358" t="str">
        <f>IF(X358="","",SUMIFS(#REF!,RM!$C$4:$C991,X358))</f>
        <v/>
      </c>
      <c r="AA358" t="str">
        <f>IF(X358="","",SUMIFS(#REF!,RM!$C$4:$C991,X358))</f>
        <v/>
      </c>
      <c r="AB358" t="str">
        <f>IF(X358="","",SUMIFS(IRegback!$Y$2:$Y1001,IRegback!$X$2:$X1001,X358))</f>
        <v/>
      </c>
      <c r="AC358" t="e">
        <f t="shared" si="6"/>
        <v>#VALUE!</v>
      </c>
      <c r="AD358" t="str">
        <f>IF(X358="","",VLOOKUP($X358,RM!$C$4:$G991,3,FALSE))</f>
        <v/>
      </c>
      <c r="AE358" t="str">
        <f>IF(X358="","",VLOOKUP($X358,RM!$C$4:$G991,4,FALSE))</f>
        <v/>
      </c>
      <c r="AF358" t="str">
        <f>IF(X358="","",VLOOKUP($X358,RM!$C$4:$G991,5,FALSE))</f>
        <v/>
      </c>
      <c r="AH358" t="str">
        <f ca="1">IFERROR(__xludf.DUMMYFUNCTION("""COMPUTED_VALUE"""),"Self Rightening Assy")</f>
        <v>Self Rightening Assy</v>
      </c>
      <c r="AI358" t="str">
        <f ca="1">IFERROR(__xludf.DUMMYFUNCTION("""COMPUTED_VALUE"""),"M6x20 Plain washer (SR structure clamping)")</f>
        <v>M6x20 Plain washer (SR structure clamping)</v>
      </c>
      <c r="AJ358">
        <f ca="1">IFERROR(__xludf.DUMMYFUNCTION("""COMPUTED_VALUE"""),22)</f>
        <v>22</v>
      </c>
      <c r="AK358" t="str">
        <f ca="1">IFERROR(__xludf.DUMMYFUNCTION("""COMPUTED_VALUE"""),"blank")</f>
        <v>blank</v>
      </c>
      <c r="AL358" t="e">
        <f ca="1">_xludf.IFNA(VLOOKUP(AH358,'S-FG'!$B$3:$B1001,1,FALSE),"")</f>
        <v>#NAME?</v>
      </c>
      <c r="AM358" t="e">
        <f ca="1">IF(AI358="","",SUMIFS(#REF!,RM!$C$4:$C991,AI358))</f>
        <v>#REF!</v>
      </c>
    </row>
    <row r="359" spans="5:39">
      <c r="E359" t="str">
        <f>IF(A359="","",SUMIFS('PR-BOM'!$D$3:$D1001,'PR-BOM'!$C$3:$C1001,A359)*C359)</f>
        <v/>
      </c>
      <c r="F359" t="e">
        <f ca="1">_xludf.IFNA(VLOOKUP(B359,'S-FG'!$B$3:$B1001,1,FALSE),"")</f>
        <v>#NAME?</v>
      </c>
      <c r="H359" t="str">
        <f ca="1">IFERROR(__xludf.DUMMYFUNCTION("""COMPUTED_VALUE"""),"IP Remote Assy")</f>
        <v>IP Remote Assy</v>
      </c>
      <c r="I359" t="str">
        <f ca="1">IFERROR(__xludf.DUMMYFUNCTION("""COMPUTED_VALUE"""),"PU Gasket Remote Lower Shell")</f>
        <v>PU Gasket Remote Lower Shell</v>
      </c>
      <c r="J359">
        <f ca="1">IFERROR(__xludf.DUMMYFUNCTION("""COMPUTED_VALUE"""),1)</f>
        <v>1</v>
      </c>
      <c r="K359" t="str">
        <f ca="1">IFERROR(__xludf.DUMMYFUNCTION("""COMPUTED_VALUE"""),"blank")</f>
        <v>blank</v>
      </c>
      <c r="L359">
        <f t="shared" ca="1" si="4"/>
        <v>0</v>
      </c>
      <c r="Q359" t="str">
        <f>IF(N359="","",SUMIFS('PR-BOM'!$D$3:$D1001,'PR-BOM'!$C$3:$C1001,N359))</f>
        <v/>
      </c>
      <c r="S359" t="str">
        <f ca="1">IFERROR(__xludf.DUMMYFUNCTION("""COMPUTED_VALUE"""),"IP Remote Upper Shell")</f>
        <v>IP Remote Upper Shell</v>
      </c>
      <c r="Y359" t="str">
        <f t="shared" si="5"/>
        <v/>
      </c>
      <c r="Z359" t="str">
        <f>IF(X359="","",SUMIFS(#REF!,RM!$C$4:$C991,X359))</f>
        <v/>
      </c>
      <c r="AA359" t="str">
        <f>IF(X359="","",SUMIFS(#REF!,RM!$C$4:$C991,X359))</f>
        <v/>
      </c>
      <c r="AB359" t="str">
        <f>IF(X359="","",SUMIFS(IRegback!$Y$2:$Y1001,IRegback!$X$2:$X1001,X359))</f>
        <v/>
      </c>
      <c r="AC359" t="e">
        <f t="shared" si="6"/>
        <v>#VALUE!</v>
      </c>
      <c r="AD359" t="str">
        <f>IF(X359="","",VLOOKUP($X359,RM!$C$4:$G991,3,FALSE))</f>
        <v/>
      </c>
      <c r="AE359" t="str">
        <f>IF(X359="","",VLOOKUP($X359,RM!$C$4:$G991,4,FALSE))</f>
        <v/>
      </c>
      <c r="AF359" t="str">
        <f>IF(X359="","",VLOOKUP($X359,RM!$C$4:$G991,5,FALSE))</f>
        <v/>
      </c>
      <c r="AH359" t="str">
        <f ca="1">IFERROR(__xludf.DUMMYFUNCTION("""COMPUTED_VALUE"""),"Self Rightening Assy")</f>
        <v>Self Rightening Assy</v>
      </c>
      <c r="AI359" t="str">
        <f ca="1">IFERROR(__xludf.DUMMYFUNCTION("""COMPUTED_VALUE"""),"M6 Dome NUT SS (SR structure Clamping)")</f>
        <v>M6 Dome NUT SS (SR structure Clamping)</v>
      </c>
      <c r="AJ359">
        <f ca="1">IFERROR(__xludf.DUMMYFUNCTION("""COMPUTED_VALUE"""),6)</f>
        <v>6</v>
      </c>
      <c r="AK359" t="str">
        <f ca="1">IFERROR(__xludf.DUMMYFUNCTION("""COMPUTED_VALUE"""),"blank")</f>
        <v>blank</v>
      </c>
      <c r="AL359" t="e">
        <f ca="1">_xludf.IFNA(VLOOKUP(AH359,'S-FG'!$B$3:$B1001,1,FALSE),"")</f>
        <v>#NAME?</v>
      </c>
      <c r="AM359" t="e">
        <f ca="1">IF(AI359="","",SUMIFS(#REF!,RM!$C$4:$C991,AI359))</f>
        <v>#REF!</v>
      </c>
    </row>
    <row r="360" spans="5:39">
      <c r="E360" t="str">
        <f>IF(A360="","",SUMIFS('PR-BOM'!$D$3:$D1001,'PR-BOM'!$C$3:$C1001,A360)*C360)</f>
        <v/>
      </c>
      <c r="F360" t="e">
        <f ca="1">_xludf.IFNA(VLOOKUP(B360,'S-FG'!$B$3:$B1001,1,FALSE),"")</f>
        <v>#NAME?</v>
      </c>
      <c r="H360" t="str">
        <f ca="1">IFERROR(__xludf.DUMMYFUNCTION("""COMPUTED_VALUE"""),"IP Remote Assy")</f>
        <v>IP Remote Assy</v>
      </c>
      <c r="I360" t="str">
        <f ca="1">IFERROR(__xludf.DUMMYFUNCTION("""COMPUTED_VALUE"""),"Teroson MS930")</f>
        <v>Teroson MS930</v>
      </c>
      <c r="J360">
        <f ca="1">IFERROR(__xludf.DUMMYFUNCTION("""COMPUTED_VALUE"""),20)</f>
        <v>20</v>
      </c>
      <c r="K360" t="str">
        <f ca="1">IFERROR(__xludf.DUMMYFUNCTION("""COMPUTED_VALUE"""),"blank")</f>
        <v>blank</v>
      </c>
      <c r="L360">
        <f t="shared" ca="1" si="4"/>
        <v>0</v>
      </c>
      <c r="Q360" t="str">
        <f>IF(N360="","",SUMIFS('PR-BOM'!$D$3:$D1001,'PR-BOM'!$C$3:$C1001,N360))</f>
        <v/>
      </c>
      <c r="S360" t="str">
        <f ca="1">IFERROR(__xludf.DUMMYFUNCTION("""COMPUTED_VALUE"""),"PU Gasket Remote Lower Shell")</f>
        <v>PU Gasket Remote Lower Shell</v>
      </c>
      <c r="Y360" t="str">
        <f t="shared" si="5"/>
        <v/>
      </c>
      <c r="Z360" t="str">
        <f>IF(X360="","",SUMIFS(#REF!,RM!$C$4:$C991,X360))</f>
        <v/>
      </c>
      <c r="AA360" t="str">
        <f>IF(X360="","",SUMIFS(#REF!,RM!$C$4:$C991,X360))</f>
        <v/>
      </c>
      <c r="AB360" t="str">
        <f>IF(X360="","",SUMIFS(IRegback!$Y$2:$Y1001,IRegback!$X$2:$X1001,X360))</f>
        <v/>
      </c>
      <c r="AC360" t="e">
        <f t="shared" si="6"/>
        <v>#VALUE!</v>
      </c>
      <c r="AD360" t="str">
        <f>IF(X360="","",VLOOKUP($X360,RM!$C$4:$G991,3,FALSE))</f>
        <v/>
      </c>
      <c r="AE360" t="str">
        <f>IF(X360="","",VLOOKUP($X360,RM!$C$4:$G991,4,FALSE))</f>
        <v/>
      </c>
      <c r="AF360" t="str">
        <f>IF(X360="","",VLOOKUP($X360,RM!$C$4:$G991,5,FALSE))</f>
        <v/>
      </c>
      <c r="AH360" t="str">
        <f ca="1">IFERROR(__xludf.DUMMYFUNCTION("""COMPUTED_VALUE"""),"Self Rightening Assy")</f>
        <v>Self Rightening Assy</v>
      </c>
      <c r="AI360" t="str">
        <f ca="1">IFERROR(__xludf.DUMMYFUNCTION("""COMPUTED_VALUE"""),"Teroson MS930")</f>
        <v>Teroson MS930</v>
      </c>
      <c r="AJ360">
        <f ca="1">IFERROR(__xludf.DUMMYFUNCTION("""COMPUTED_VALUE"""),20)</f>
        <v>20</v>
      </c>
      <c r="AK360" t="str">
        <f ca="1">IFERROR(__xludf.DUMMYFUNCTION("""COMPUTED_VALUE"""),"blank")</f>
        <v>blank</v>
      </c>
      <c r="AL360" t="e">
        <f ca="1">_xludf.IFNA(VLOOKUP(AH360,'S-FG'!$B$3:$B1001,1,FALSE),"")</f>
        <v>#NAME?</v>
      </c>
      <c r="AM360" t="e">
        <f ca="1">IF(AI360="","",SUMIFS(#REF!,RM!$C$4:$C991,AI360))</f>
        <v>#REF!</v>
      </c>
    </row>
    <row r="361" spans="5:39">
      <c r="E361" t="str">
        <f>IF(A361="","",SUMIFS('PR-BOM'!$D$3:$D1001,'PR-BOM'!$C$3:$C1001,A361)*C361)</f>
        <v/>
      </c>
      <c r="F361" t="e">
        <f ca="1">_xludf.IFNA(VLOOKUP(B361,'S-FG'!$B$3:$B1001,1,FALSE),"")</f>
        <v>#NAME?</v>
      </c>
      <c r="H361" t="str">
        <f ca="1">IFERROR(__xludf.DUMMYFUNCTION("""COMPUTED_VALUE"""),"IP Remote Assy")</f>
        <v>IP Remote Assy</v>
      </c>
      <c r="I361" t="str">
        <f ca="1">IFERROR(__xludf.DUMMYFUNCTION("""COMPUTED_VALUE"""),"Button Spacer No. 1")</f>
        <v>Button Spacer No. 1</v>
      </c>
      <c r="J361">
        <f ca="1">IFERROR(__xludf.DUMMYFUNCTION("""COMPUTED_VALUE"""),2)</f>
        <v>2</v>
      </c>
      <c r="K361" t="str">
        <f ca="1">IFERROR(__xludf.DUMMYFUNCTION("""COMPUTED_VALUE"""),"blank")</f>
        <v>blank</v>
      </c>
      <c r="L361">
        <f t="shared" ca="1" si="4"/>
        <v>0</v>
      </c>
      <c r="Q361" t="str">
        <f>IF(N361="","",SUMIFS('PR-BOM'!$D$3:$D1001,'PR-BOM'!$C$3:$C1001,N361))</f>
        <v/>
      </c>
      <c r="S361" t="str">
        <f ca="1">IFERROR(__xludf.DUMMYFUNCTION("""COMPUTED_VALUE"""),"Teroson MS930")</f>
        <v>Teroson MS930</v>
      </c>
      <c r="Y361" t="str">
        <f t="shared" si="5"/>
        <v/>
      </c>
      <c r="Z361" t="str">
        <f>IF(X361="","",SUMIFS(#REF!,RM!$C$4:$C991,X361))</f>
        <v/>
      </c>
      <c r="AA361" t="str">
        <f>IF(X361="","",SUMIFS(#REF!,RM!$C$4:$C991,X361))</f>
        <v/>
      </c>
      <c r="AB361" t="str">
        <f>IF(X361="","",SUMIFS(IRegback!$Y$2:$Y1001,IRegback!$X$2:$X1001,X361))</f>
        <v/>
      </c>
      <c r="AC361" t="e">
        <f t="shared" si="6"/>
        <v>#VALUE!</v>
      </c>
      <c r="AD361" t="str">
        <f>IF(X361="","",VLOOKUP($X361,RM!$C$4:$G991,3,FALSE))</f>
        <v/>
      </c>
      <c r="AE361" t="str">
        <f>IF(X361="","",VLOOKUP($X361,RM!$C$4:$G991,4,FALSE))</f>
        <v/>
      </c>
      <c r="AF361" t="str">
        <f>IF(X361="","",VLOOKUP($X361,RM!$C$4:$G991,5,FALSE))</f>
        <v/>
      </c>
      <c r="AH361" t="str">
        <f ca="1">IFERROR(__xludf.DUMMYFUNCTION("""COMPUTED_VALUE"""),"Self Rightening Assy")</f>
        <v>Self Rightening Assy</v>
      </c>
      <c r="AI361" t="str">
        <f ca="1">IFERROR(__xludf.DUMMYFUNCTION("""COMPUTED_VALUE"""),"3D printed SR Pillow Side Caps")</f>
        <v>3D printed SR Pillow Side Caps</v>
      </c>
      <c r="AJ361">
        <f ca="1">IFERROR(__xludf.DUMMYFUNCTION("""COMPUTED_VALUE"""),4)</f>
        <v>4</v>
      </c>
      <c r="AK361" t="str">
        <f ca="1">IFERROR(__xludf.DUMMYFUNCTION("""COMPUTED_VALUE"""),"blank")</f>
        <v>blank</v>
      </c>
      <c r="AL361" t="e">
        <f ca="1">_xludf.IFNA(VLOOKUP(AH361,'S-FG'!$B$3:$B1001,1,FALSE),"")</f>
        <v>#NAME?</v>
      </c>
      <c r="AM361" t="e">
        <f ca="1">IF(AI361="","",SUMIFS(#REF!,RM!$C$4:$C991,AI361))</f>
        <v>#REF!</v>
      </c>
    </row>
    <row r="362" spans="5:39">
      <c r="E362" t="str">
        <f>IF(A362="","",SUMIFS('PR-BOM'!$D$3:$D1001,'PR-BOM'!$C$3:$C1001,A362)*C362)</f>
        <v/>
      </c>
      <c r="F362" t="e">
        <f ca="1">_xludf.IFNA(VLOOKUP(B362,'S-FG'!$B$3:$B1001,1,FALSE),"")</f>
        <v>#NAME?</v>
      </c>
      <c r="H362" t="str">
        <f ca="1">IFERROR(__xludf.DUMMYFUNCTION("""COMPUTED_VALUE"""),"IP Remote Assy")</f>
        <v>IP Remote Assy</v>
      </c>
      <c r="I362" t="str">
        <f ca="1">IFERROR(__xludf.DUMMYFUNCTION("""COMPUTED_VALUE"""),"Button Spacer No. 2")</f>
        <v>Button Spacer No. 2</v>
      </c>
      <c r="J362">
        <f ca="1">IFERROR(__xludf.DUMMYFUNCTION("""COMPUTED_VALUE"""),2)</f>
        <v>2</v>
      </c>
      <c r="K362" t="str">
        <f ca="1">IFERROR(__xludf.DUMMYFUNCTION("""COMPUTED_VALUE"""),"blank")</f>
        <v>blank</v>
      </c>
      <c r="L362">
        <f t="shared" ca="1" si="4"/>
        <v>0</v>
      </c>
      <c r="Q362" t="str">
        <f>IF(N362="","",SUMIFS('PR-BOM'!$D$3:$D1001,'PR-BOM'!$C$3:$C1001,N362))</f>
        <v/>
      </c>
      <c r="S362" t="str">
        <f ca="1">IFERROR(__xludf.DUMMYFUNCTION("""COMPUTED_VALUE"""),"Button Spacer No. 1")</f>
        <v>Button Spacer No. 1</v>
      </c>
      <c r="Y362" t="str">
        <f t="shared" si="5"/>
        <v/>
      </c>
      <c r="Z362" t="str">
        <f>IF(X362="","",SUMIFS(#REF!,RM!$C$4:$C991,X362))</f>
        <v/>
      </c>
      <c r="AA362" t="str">
        <f>IF(X362="","",SUMIFS(#REF!,RM!$C$4:$C991,X362))</f>
        <v/>
      </c>
      <c r="AB362" t="str">
        <f>IF(X362="","",SUMIFS(IRegback!$Y$2:$Y1001,IRegback!$X$2:$X1001,X362))</f>
        <v/>
      </c>
      <c r="AC362" t="e">
        <f t="shared" si="6"/>
        <v>#VALUE!</v>
      </c>
      <c r="AD362" t="str">
        <f>IF(X362="","",VLOOKUP($X362,RM!$C$4:$G991,3,FALSE))</f>
        <v/>
      </c>
      <c r="AE362" t="str">
        <f>IF(X362="","",VLOOKUP($X362,RM!$C$4:$G991,4,FALSE))</f>
        <v/>
      </c>
      <c r="AF362" t="str">
        <f>IF(X362="","",VLOOKUP($X362,RM!$C$4:$G991,5,FALSE))</f>
        <v/>
      </c>
      <c r="AH362" t="str">
        <f ca="1">IFERROR(__xludf.DUMMYFUNCTION("""COMPUTED_VALUE"""),"Self Rightening Assy")</f>
        <v>Self Rightening Assy</v>
      </c>
      <c r="AI362" t="str">
        <f ca="1">IFERROR(__xludf.DUMMYFUNCTION("""COMPUTED_VALUE"""),"3D printed SR Pillow Middle Caps")</f>
        <v>3D printed SR Pillow Middle Caps</v>
      </c>
      <c r="AJ362">
        <f ca="1">IFERROR(__xludf.DUMMYFUNCTION("""COMPUTED_VALUE"""),2)</f>
        <v>2</v>
      </c>
      <c r="AK362" t="str">
        <f ca="1">IFERROR(__xludf.DUMMYFUNCTION("""COMPUTED_VALUE"""),"blank")</f>
        <v>blank</v>
      </c>
      <c r="AL362" t="e">
        <f ca="1">_xludf.IFNA(VLOOKUP(AH362,'S-FG'!$B$3:$B1001,1,FALSE),"")</f>
        <v>#NAME?</v>
      </c>
      <c r="AM362" t="e">
        <f ca="1">IF(AI362="","",SUMIFS(#REF!,RM!$C$4:$C991,AI362))</f>
        <v>#REF!</v>
      </c>
    </row>
    <row r="363" spans="5:39">
      <c r="E363" t="str">
        <f>IF(A363="","",SUMIFS('PR-BOM'!$D$3:$D1001,'PR-BOM'!$C$3:$C1001,A363)*C363)</f>
        <v/>
      </c>
      <c r="F363" t="e">
        <f ca="1">_xludf.IFNA(VLOOKUP(B363,'S-FG'!$B$3:$B1001,1,FALSE),"")</f>
        <v>#NAME?</v>
      </c>
      <c r="H363" t="str">
        <f ca="1">IFERROR(__xludf.DUMMYFUNCTION("""COMPUTED_VALUE"""),"IP Remote Assy")</f>
        <v>IP Remote Assy</v>
      </c>
      <c r="I363" t="str">
        <f ca="1">IFERROR(__xludf.DUMMYFUNCTION("""COMPUTED_VALUE"""),"Button No. 1 pressure bracket")</f>
        <v>Button No. 1 pressure bracket</v>
      </c>
      <c r="J363">
        <f ca="1">IFERROR(__xludf.DUMMYFUNCTION("""COMPUTED_VALUE"""),2)</f>
        <v>2</v>
      </c>
      <c r="K363" t="str">
        <f ca="1">IFERROR(__xludf.DUMMYFUNCTION("""COMPUTED_VALUE"""),"blank")</f>
        <v>blank</v>
      </c>
      <c r="L363">
        <f t="shared" ca="1" si="4"/>
        <v>0</v>
      </c>
      <c r="Q363" t="str">
        <f>IF(N363="","",SUMIFS('PR-BOM'!$D$3:$D1001,'PR-BOM'!$C$3:$C1001,N363))</f>
        <v/>
      </c>
      <c r="S363" t="str">
        <f ca="1">IFERROR(__xludf.DUMMYFUNCTION("""COMPUTED_VALUE"""),"Button Spacer No. 2")</f>
        <v>Button Spacer No. 2</v>
      </c>
      <c r="Y363" t="str">
        <f t="shared" si="5"/>
        <v/>
      </c>
      <c r="Z363" t="str">
        <f>IF(X363="","",SUMIFS(#REF!,RM!$C$4:$C991,X363))</f>
        <v/>
      </c>
      <c r="AA363" t="str">
        <f>IF(X363="","",SUMIFS(#REF!,RM!$C$4:$C991,X363))</f>
        <v/>
      </c>
      <c r="AB363" t="str">
        <f>IF(X363="","",SUMIFS(IRegback!$Y$2:$Y1001,IRegback!$X$2:$X1001,X363))</f>
        <v/>
      </c>
      <c r="AC363" t="e">
        <f t="shared" si="6"/>
        <v>#VALUE!</v>
      </c>
      <c r="AD363" t="str">
        <f>IF(X363="","",VLOOKUP($X363,RM!$C$4:$G991,3,FALSE))</f>
        <v/>
      </c>
      <c r="AE363" t="str">
        <f>IF(X363="","",VLOOKUP($X363,RM!$C$4:$G991,4,FALSE))</f>
        <v/>
      </c>
      <c r="AF363" t="str">
        <f>IF(X363="","",VLOOKUP($X363,RM!$C$4:$G991,5,FALSE))</f>
        <v/>
      </c>
      <c r="AH363" t="str">
        <f ca="1">IFERROR(__xludf.DUMMYFUNCTION("""COMPUTED_VALUE"""),"Self Rightening Assy")</f>
        <v>Self Rightening Assy</v>
      </c>
      <c r="AI363" t="str">
        <f ca="1">IFERROR(__xludf.DUMMYFUNCTION("""COMPUTED_VALUE"""),"6mmx12mm Rubber Bush")</f>
        <v>6mmx12mm Rubber Bush</v>
      </c>
      <c r="AJ363">
        <f ca="1">IFERROR(__xludf.DUMMYFUNCTION("""COMPUTED_VALUE"""),0.15)</f>
        <v>0.15</v>
      </c>
      <c r="AK363" t="str">
        <f ca="1">IFERROR(__xludf.DUMMYFUNCTION("""COMPUTED_VALUE"""),"blank")</f>
        <v>blank</v>
      </c>
      <c r="AL363" t="e">
        <f ca="1">_xludf.IFNA(VLOOKUP(AH363,'S-FG'!$B$3:$B1001,1,FALSE),"")</f>
        <v>#NAME?</v>
      </c>
      <c r="AM363" t="e">
        <f ca="1">IF(AI363="","",SUMIFS(#REF!,RM!$C$4:$C991,AI363))</f>
        <v>#REF!</v>
      </c>
    </row>
    <row r="364" spans="5:39">
      <c r="E364" t="str">
        <f>IF(A364="","",SUMIFS('PR-BOM'!$D$3:$D1001,'PR-BOM'!$C$3:$C1001,A364)*C364)</f>
        <v/>
      </c>
      <c r="F364" t="e">
        <f ca="1">_xludf.IFNA(VLOOKUP(B364,'S-FG'!$B$3:$B1001,1,FALSE),"")</f>
        <v>#NAME?</v>
      </c>
      <c r="H364" t="str">
        <f ca="1">IFERROR(__xludf.DUMMYFUNCTION("""COMPUTED_VALUE"""),"IP Remote Assy")</f>
        <v>IP Remote Assy</v>
      </c>
      <c r="I364" t="str">
        <f ca="1">IFERROR(__xludf.DUMMYFUNCTION("""COMPUTED_VALUE"""),"Remote Battery Holding Bracket")</f>
        <v>Remote Battery Holding Bracket</v>
      </c>
      <c r="J364">
        <f ca="1">IFERROR(__xludf.DUMMYFUNCTION("""COMPUTED_VALUE"""),4)</f>
        <v>4</v>
      </c>
      <c r="K364" t="str">
        <f ca="1">IFERROR(__xludf.DUMMYFUNCTION("""COMPUTED_VALUE"""),"blank")</f>
        <v>blank</v>
      </c>
      <c r="L364">
        <f t="shared" ca="1" si="4"/>
        <v>0</v>
      </c>
      <c r="Q364" t="str">
        <f>IF(N364="","",SUMIFS('PR-BOM'!$D$3:$D1001,'PR-BOM'!$C$3:$C1001,N364))</f>
        <v/>
      </c>
      <c r="S364" t="str">
        <f ca="1">IFERROR(__xludf.DUMMYFUNCTION("""COMPUTED_VALUE"""),"Button No. 1 pressure bracket")</f>
        <v>Button No. 1 pressure bracket</v>
      </c>
      <c r="Y364" t="str">
        <f t="shared" si="5"/>
        <v/>
      </c>
      <c r="Z364" t="str">
        <f>IF(X364="","",SUMIFS(#REF!,RM!$C$4:$C991,X364))</f>
        <v/>
      </c>
      <c r="AA364" t="str">
        <f>IF(X364="","",SUMIFS(#REF!,RM!$C$4:$C991,X364))</f>
        <v/>
      </c>
      <c r="AB364" t="str">
        <f>IF(X364="","",SUMIFS(IRegback!$Y$2:$Y1001,IRegback!$X$2:$X1001,X364))</f>
        <v/>
      </c>
      <c r="AC364" t="e">
        <f t="shared" si="6"/>
        <v>#VALUE!</v>
      </c>
      <c r="AD364" t="str">
        <f>IF(X364="","",VLOOKUP($X364,RM!$C$4:$G991,3,FALSE))</f>
        <v/>
      </c>
      <c r="AE364" t="str">
        <f>IF(X364="","",VLOOKUP($X364,RM!$C$4:$G991,4,FALSE))</f>
        <v/>
      </c>
      <c r="AF364" t="str">
        <f>IF(X364="","",VLOOKUP($X364,RM!$C$4:$G991,5,FALSE))</f>
        <v/>
      </c>
      <c r="AH364" t="str">
        <f ca="1">IFERROR(__xludf.DUMMYFUNCTION("""COMPUTED_VALUE"""),"Self Rightening Assy")</f>
        <v>Self Rightening Assy</v>
      </c>
      <c r="AI364" t="str">
        <f ca="1">IFERROR(__xludf.DUMMYFUNCTION("""COMPUTED_VALUE"""),"Thread locker 242/270/290")</f>
        <v>Thread locker 242/270/290</v>
      </c>
      <c r="AJ364">
        <f ca="1">IFERROR(__xludf.DUMMYFUNCTION("""COMPUTED_VALUE"""),1)</f>
        <v>1</v>
      </c>
      <c r="AK364" t="str">
        <f ca="1">IFERROR(__xludf.DUMMYFUNCTION("""COMPUTED_VALUE"""),"blank")</f>
        <v>blank</v>
      </c>
      <c r="AL364" t="e">
        <f ca="1">_xludf.IFNA(VLOOKUP(AH364,'S-FG'!$B$3:$B1001,1,FALSE),"")</f>
        <v>#NAME?</v>
      </c>
      <c r="AM364" t="e">
        <f ca="1">IF(AI364="","",SUMIFS(#REF!,RM!$C$4:$C991,AI364))</f>
        <v>#REF!</v>
      </c>
    </row>
    <row r="365" spans="5:39">
      <c r="E365" t="str">
        <f>IF(A365="","",SUMIFS('PR-BOM'!$D$3:$D1001,'PR-BOM'!$C$3:$C1001,A365)*C365)</f>
        <v/>
      </c>
      <c r="F365" t="e">
        <f ca="1">_xludf.IFNA(VLOOKUP(B365,'S-FG'!$B$3:$B1001,1,FALSE),"")</f>
        <v>#NAME?</v>
      </c>
      <c r="H365" t="str">
        <f ca="1">IFERROR(__xludf.DUMMYFUNCTION("""COMPUTED_VALUE"""),"IP Remote Assy")</f>
        <v>IP Remote Assy</v>
      </c>
      <c r="I365" t="str">
        <f ca="1">IFERROR(__xludf.DUMMYFUNCTION("""COMPUTED_VALUE"""),"Antenna clamp -1")</f>
        <v>Antenna clamp -1</v>
      </c>
      <c r="J365">
        <f ca="1">IFERROR(__xludf.DUMMYFUNCTION("""COMPUTED_VALUE"""),1)</f>
        <v>1</v>
      </c>
      <c r="K365" t="str">
        <f ca="1">IFERROR(__xludf.DUMMYFUNCTION("""COMPUTED_VALUE"""),"blank")</f>
        <v>blank</v>
      </c>
      <c r="L365">
        <f t="shared" ca="1" si="4"/>
        <v>0</v>
      </c>
      <c r="Q365" t="str">
        <f>IF(N365="","",SUMIFS('PR-BOM'!$D$3:$D1001,'PR-BOM'!$C$3:$C1001,N365))</f>
        <v/>
      </c>
      <c r="S365" t="str">
        <f ca="1">IFERROR(__xludf.DUMMYFUNCTION("""COMPUTED_VALUE"""),"Remote Battery Holding Bracket")</f>
        <v>Remote Battery Holding Bracket</v>
      </c>
      <c r="Y365" t="str">
        <f t="shared" si="5"/>
        <v/>
      </c>
      <c r="Z365" t="str">
        <f>IF(X365="","",SUMIFS(#REF!,RM!$C$4:$C991,X365))</f>
        <v/>
      </c>
      <c r="AA365" t="str">
        <f>IF(X365="","",SUMIFS(#REF!,RM!$C$4:$C991,X365))</f>
        <v/>
      </c>
      <c r="AB365" t="str">
        <f>IF(X365="","",SUMIFS(IRegback!$Y$2:$Y1001,IRegback!$X$2:$X1001,X365))</f>
        <v/>
      </c>
      <c r="AC365" t="e">
        <f t="shared" si="6"/>
        <v>#VALUE!</v>
      </c>
      <c r="AD365" t="str">
        <f>IF(X365="","",VLOOKUP($X365,RM!$C$4:$G991,3,FALSE))</f>
        <v/>
      </c>
      <c r="AE365" t="str">
        <f>IF(X365="","",VLOOKUP($X365,RM!$C$4:$G991,4,FALSE))</f>
        <v/>
      </c>
      <c r="AF365" t="str">
        <f>IF(X365="","",VLOOKUP($X365,RM!$C$4:$G991,5,FALSE))</f>
        <v/>
      </c>
      <c r="AH365" t="str">
        <f ca="1">IFERROR(__xludf.DUMMYFUNCTION("""COMPUTED_VALUE"""),"Self Rightening Assy")</f>
        <v>Self Rightening Assy</v>
      </c>
      <c r="AI365" t="str">
        <f ca="1">IFERROR(__xludf.DUMMYFUNCTION("""COMPUTED_VALUE"""),"Instant Adhesive 407 for EPE sticking")</f>
        <v>Instant Adhesive 407 for EPE sticking</v>
      </c>
      <c r="AJ365">
        <f ca="1">IFERROR(__xludf.DUMMYFUNCTION("""COMPUTED_VALUE"""),5)</f>
        <v>5</v>
      </c>
      <c r="AK365" t="str">
        <f ca="1">IFERROR(__xludf.DUMMYFUNCTION("""COMPUTED_VALUE"""),"blank")</f>
        <v>blank</v>
      </c>
      <c r="AL365" t="e">
        <f ca="1">_xludf.IFNA(VLOOKUP(AH365,'S-FG'!$B$3:$B1001,1,FALSE),"")</f>
        <v>#NAME?</v>
      </c>
      <c r="AM365" t="e">
        <f ca="1">IF(AI365="","",SUMIFS(#REF!,RM!$C$4:$C991,AI365))</f>
        <v>#REF!</v>
      </c>
    </row>
    <row r="366" spans="5:39">
      <c r="E366" t="str">
        <f>IF(A366="","",SUMIFS('PR-BOM'!$D$3:$D1001,'PR-BOM'!$C$3:$C1001,A366)*C366)</f>
        <v/>
      </c>
      <c r="F366" t="e">
        <f ca="1">_xludf.IFNA(VLOOKUP(B366,'S-FG'!$B$3:$B1001,1,FALSE),"")</f>
        <v>#NAME?</v>
      </c>
      <c r="H366" t="str">
        <f ca="1">IFERROR(__xludf.DUMMYFUNCTION("""COMPUTED_VALUE"""),"IP Remote Assy")</f>
        <v>IP Remote Assy</v>
      </c>
      <c r="I366" t="str">
        <f ca="1">IFERROR(__xludf.DUMMYFUNCTION("""COMPUTED_VALUE"""),"Antenna Clamp -2")</f>
        <v>Antenna Clamp -2</v>
      </c>
      <c r="J366">
        <f ca="1">IFERROR(__xludf.DUMMYFUNCTION("""COMPUTED_VALUE"""),1)</f>
        <v>1</v>
      </c>
      <c r="K366" t="str">
        <f ca="1">IFERROR(__xludf.DUMMYFUNCTION("""COMPUTED_VALUE"""),"blank")</f>
        <v>blank</v>
      </c>
      <c r="L366">
        <f t="shared" ca="1" si="4"/>
        <v>0</v>
      </c>
      <c r="Q366" t="str">
        <f>IF(N366="","",SUMIFS('PR-BOM'!$D$3:$D1001,'PR-BOM'!$C$3:$C1001,N366))</f>
        <v/>
      </c>
      <c r="S366" t="str">
        <f ca="1">IFERROR(__xludf.DUMMYFUNCTION("""COMPUTED_VALUE"""),"Antenna clamp -1")</f>
        <v>Antenna clamp -1</v>
      </c>
      <c r="Y366" t="str">
        <f t="shared" si="5"/>
        <v/>
      </c>
      <c r="Z366" t="str">
        <f>IF(X366="","",SUMIFS(#REF!,RM!$C$4:$C991,X366))</f>
        <v/>
      </c>
      <c r="AA366" t="str">
        <f>IF(X366="","",SUMIFS(#REF!,RM!$C$4:$C991,X366))</f>
        <v/>
      </c>
      <c r="AB366" t="str">
        <f>IF(X366="","",SUMIFS(IRegback!$Y$2:$Y1001,IRegback!$X$2:$X1001,X366))</f>
        <v/>
      </c>
      <c r="AC366" t="e">
        <f t="shared" si="6"/>
        <v>#VALUE!</v>
      </c>
      <c r="AD366" t="str">
        <f>IF(X366="","",VLOOKUP($X366,RM!$C$4:$G991,3,FALSE))</f>
        <v/>
      </c>
      <c r="AE366" t="str">
        <f>IF(X366="","",VLOOKUP($X366,RM!$C$4:$G991,4,FALSE))</f>
        <v/>
      </c>
      <c r="AF366" t="str">
        <f>IF(X366="","",VLOOKUP($X366,RM!$C$4:$G991,5,FALSE))</f>
        <v/>
      </c>
      <c r="AH366" t="str">
        <f ca="1">IFERROR(__xludf.DUMMYFUNCTION("""COMPUTED_VALUE"""),"Self Rightening Assy")</f>
        <v>Self Rightening Assy</v>
      </c>
      <c r="AI366" t="str">
        <f ca="1">IFERROR(__xludf.DUMMYFUNCTION("""COMPUTED_VALUE"""),"STBD SR Rubber Boot")</f>
        <v>STBD SR Rubber Boot</v>
      </c>
      <c r="AJ366">
        <f ca="1">IFERROR(__xludf.DUMMYFUNCTION("""COMPUTED_VALUE"""),1)</f>
        <v>1</v>
      </c>
      <c r="AK366" t="str">
        <f ca="1">IFERROR(__xludf.DUMMYFUNCTION("""COMPUTED_VALUE"""),"blank")</f>
        <v>blank</v>
      </c>
      <c r="AL366" t="e">
        <f ca="1">_xludf.IFNA(VLOOKUP(AH366,'S-FG'!$B$3:$B1001,1,FALSE),"")</f>
        <v>#NAME?</v>
      </c>
      <c r="AM366" t="e">
        <f ca="1">IF(AI366="","",SUMIFS(#REF!,RM!$C$4:$C991,AI366))</f>
        <v>#REF!</v>
      </c>
    </row>
    <row r="367" spans="5:39">
      <c r="E367" t="str">
        <f>IF(A367="","",SUMIFS('PR-BOM'!$D$3:$D1001,'PR-BOM'!$C$3:$C1001,A367)*C367)</f>
        <v/>
      </c>
      <c r="F367" t="e">
        <f ca="1">_xludf.IFNA(VLOOKUP(B367,'S-FG'!$B$3:$B1001,1,FALSE),"")</f>
        <v>#NAME?</v>
      </c>
      <c r="H367" t="str">
        <f ca="1">IFERROR(__xludf.DUMMYFUNCTION("""COMPUTED_VALUE"""),"IP Remote Assy")</f>
        <v>IP Remote Assy</v>
      </c>
      <c r="I367" t="str">
        <f ca="1">IFERROR(__xludf.DUMMYFUNCTION("""COMPUTED_VALUE"""),"Cable Holder")</f>
        <v>Cable Holder</v>
      </c>
      <c r="J367">
        <f ca="1">IFERROR(__xludf.DUMMYFUNCTION("""COMPUTED_VALUE"""),2)</f>
        <v>2</v>
      </c>
      <c r="K367" t="str">
        <f ca="1">IFERROR(__xludf.DUMMYFUNCTION("""COMPUTED_VALUE"""),"blank")</f>
        <v>blank</v>
      </c>
      <c r="L367">
        <f t="shared" ca="1" si="4"/>
        <v>0</v>
      </c>
      <c r="Q367" t="str">
        <f>IF(N367="","",SUMIFS('PR-BOM'!$D$3:$D1001,'PR-BOM'!$C$3:$C1001,N367))</f>
        <v/>
      </c>
      <c r="S367" t="str">
        <f ca="1">IFERROR(__xludf.DUMMYFUNCTION("""COMPUTED_VALUE"""),"Antenna Clamp -2")</f>
        <v>Antenna Clamp -2</v>
      </c>
      <c r="Y367" t="str">
        <f t="shared" si="5"/>
        <v/>
      </c>
      <c r="Z367" t="str">
        <f>IF(X367="","",SUMIFS(#REF!,RM!$C$4:$C991,X367))</f>
        <v/>
      </c>
      <c r="AA367" t="str">
        <f>IF(X367="","",SUMIFS(#REF!,RM!$C$4:$C991,X367))</f>
        <v/>
      </c>
      <c r="AB367" t="str">
        <f>IF(X367="","",SUMIFS(IRegback!$Y$2:$Y1001,IRegback!$X$2:$X1001,X367))</f>
        <v/>
      </c>
      <c r="AC367" t="e">
        <f t="shared" si="6"/>
        <v>#VALUE!</v>
      </c>
      <c r="AD367" t="str">
        <f>IF(X367="","",VLOOKUP($X367,RM!$C$4:$G991,3,FALSE))</f>
        <v/>
      </c>
      <c r="AE367" t="str">
        <f>IF(X367="","",VLOOKUP($X367,RM!$C$4:$G991,4,FALSE))</f>
        <v/>
      </c>
      <c r="AF367" t="str">
        <f>IF(X367="","",VLOOKUP($X367,RM!$C$4:$G991,5,FALSE))</f>
        <v/>
      </c>
      <c r="AH367" t="str">
        <f ca="1">IFERROR(__xludf.DUMMYFUNCTION("""COMPUTED_VALUE"""),"Self Rightening Assy")</f>
        <v>Self Rightening Assy</v>
      </c>
      <c r="AI367" t="str">
        <f ca="1">IFERROR(__xludf.DUMMYFUNCTION("""COMPUTED_VALUE"""),"PORT SR Rubber Boot")</f>
        <v>PORT SR Rubber Boot</v>
      </c>
      <c r="AJ367">
        <f ca="1">IFERROR(__xludf.DUMMYFUNCTION("""COMPUTED_VALUE"""),1)</f>
        <v>1</v>
      </c>
      <c r="AK367" t="str">
        <f ca="1">IFERROR(__xludf.DUMMYFUNCTION("""COMPUTED_VALUE"""),"blank")</f>
        <v>blank</v>
      </c>
      <c r="AL367" t="e">
        <f ca="1">_xludf.IFNA(VLOOKUP(AH367,'S-FG'!$B$3:$B1001,1,FALSE),"")</f>
        <v>#NAME?</v>
      </c>
      <c r="AM367" t="e">
        <f ca="1">IF(AI367="","",SUMIFS(#REF!,RM!$C$4:$C991,AI367))</f>
        <v>#REF!</v>
      </c>
    </row>
    <row r="368" spans="5:39">
      <c r="E368" t="str">
        <f>IF(A368="","",SUMIFS('PR-BOM'!$D$3:$D1001,'PR-BOM'!$C$3:$C1001,A368)*C368)</f>
        <v/>
      </c>
      <c r="F368" t="e">
        <f ca="1">_xludf.IFNA(VLOOKUP(B368,'S-FG'!$B$3:$B1001,1,FALSE),"")</f>
        <v>#NAME?</v>
      </c>
      <c r="H368" t="str">
        <f ca="1">IFERROR(__xludf.DUMMYFUNCTION("""COMPUTED_VALUE"""),"IP Remote Assy")</f>
        <v>IP Remote Assy</v>
      </c>
      <c r="I368" t="str">
        <f ca="1">IFERROR(__xludf.DUMMYFUNCTION("""COMPUTED_VALUE"""),"Remote Handle")</f>
        <v>Remote Handle</v>
      </c>
      <c r="J368">
        <f ca="1">IFERROR(__xludf.DUMMYFUNCTION("""COMPUTED_VALUE"""),1)</f>
        <v>1</v>
      </c>
      <c r="K368" t="str">
        <f ca="1">IFERROR(__xludf.DUMMYFUNCTION("""COMPUTED_VALUE"""),"blank")</f>
        <v>blank</v>
      </c>
      <c r="L368">
        <f t="shared" ca="1" si="4"/>
        <v>0</v>
      </c>
      <c r="Q368" t="str">
        <f>IF(N368="","",SUMIFS('PR-BOM'!$D$3:$D1001,'PR-BOM'!$C$3:$C1001,N368))</f>
        <v/>
      </c>
      <c r="S368" t="str">
        <f ca="1">IFERROR(__xludf.DUMMYFUNCTION("""COMPUTED_VALUE"""),"Cable Holder")</f>
        <v>Cable Holder</v>
      </c>
      <c r="Y368" t="str">
        <f t="shared" si="5"/>
        <v/>
      </c>
      <c r="Z368" t="str">
        <f>IF(X368="","",SUMIFS(#REF!,RM!$C$4:$C991,X368))</f>
        <v/>
      </c>
      <c r="AA368" t="str">
        <f>IF(X368="","",SUMIFS(#REF!,RM!$C$4:$C991,X368))</f>
        <v/>
      </c>
      <c r="AB368" t="str">
        <f>IF(X368="","",SUMIFS(IRegback!$Y$2:$Y1001,IRegback!$X$2:$X1001,X368))</f>
        <v/>
      </c>
      <c r="AC368" t="e">
        <f t="shared" si="6"/>
        <v>#VALUE!</v>
      </c>
      <c r="AD368" t="str">
        <f>IF(X368="","",VLOOKUP($X368,RM!$C$4:$G991,3,FALSE))</f>
        <v/>
      </c>
      <c r="AE368" t="str">
        <f>IF(X368="","",VLOOKUP($X368,RM!$C$4:$G991,4,FALSE))</f>
        <v/>
      </c>
      <c r="AF368" t="str">
        <f>IF(X368="","",VLOOKUP($X368,RM!$C$4:$G991,5,FALSE))</f>
        <v/>
      </c>
      <c r="AH368" t="str">
        <f ca="1">IFERROR(__xludf.DUMMYFUNCTION("""COMPUTED_VALUE"""),"Self Rightening Assy")</f>
        <v>Self Rightening Assy</v>
      </c>
      <c r="AI368" t="str">
        <f ca="1">IFERROR(__xludf.DUMMYFUNCTION("""COMPUTED_VALUE"""),"M6x150 Allen head ")</f>
        <v xml:space="preserve">M6x150 Allen head </v>
      </c>
      <c r="AJ368">
        <f ca="1">IFERROR(__xludf.DUMMYFUNCTION("""COMPUTED_VALUE"""),4)</f>
        <v>4</v>
      </c>
      <c r="AK368" t="str">
        <f ca="1">IFERROR(__xludf.DUMMYFUNCTION("""COMPUTED_VALUE"""),"blank")</f>
        <v>blank</v>
      </c>
      <c r="AL368" t="e">
        <f ca="1">_xludf.IFNA(VLOOKUP(AH368,'S-FG'!$B$3:$B1001,1,FALSE),"")</f>
        <v>#NAME?</v>
      </c>
      <c r="AM368" t="e">
        <f ca="1">IF(AI368="","",SUMIFS(#REF!,RM!$C$4:$C991,AI368))</f>
        <v>#REF!</v>
      </c>
    </row>
    <row r="369" spans="5:39">
      <c r="E369" t="str">
        <f>IF(A369="","",SUMIFS('PR-BOM'!$D$3:$D1001,'PR-BOM'!$C$3:$C1001,A369)*C369)</f>
        <v/>
      </c>
      <c r="F369" t="e">
        <f ca="1">_xludf.IFNA(VLOOKUP(B369,'S-FG'!$B$3:$B1001,1,FALSE),"")</f>
        <v>#NAME?</v>
      </c>
      <c r="H369" t="str">
        <f ca="1">IFERROR(__xludf.DUMMYFUNCTION("""COMPUTED_VALUE"""),"IP Remote Assy")</f>
        <v>IP Remote Assy</v>
      </c>
      <c r="I369" t="str">
        <f ca="1">IFERROR(__xludf.DUMMYFUNCTION("""COMPUTED_VALUE"""),"Polycarbonate Glass for Remote")</f>
        <v>Polycarbonate Glass for Remote</v>
      </c>
      <c r="J369">
        <f ca="1">IFERROR(__xludf.DUMMYFUNCTION("""COMPUTED_VALUE"""),1)</f>
        <v>1</v>
      </c>
      <c r="K369" t="str">
        <f ca="1">IFERROR(__xludf.DUMMYFUNCTION("""COMPUTED_VALUE"""),"blank")</f>
        <v>blank</v>
      </c>
      <c r="L369">
        <f t="shared" ca="1" si="4"/>
        <v>0</v>
      </c>
      <c r="Q369" t="str">
        <f>IF(N369="","",SUMIFS('PR-BOM'!$D$3:$D1001,'PR-BOM'!$C$3:$C1001,N369))</f>
        <v/>
      </c>
      <c r="S369" t="str">
        <f ca="1">IFERROR(__xludf.DUMMYFUNCTION("""COMPUTED_VALUE"""),"Remote Handle")</f>
        <v>Remote Handle</v>
      </c>
      <c r="Y369" t="str">
        <f t="shared" si="5"/>
        <v/>
      </c>
      <c r="Z369" t="str">
        <f>IF(X369="","",SUMIFS(#REF!,RM!$C$4:$C991,X369))</f>
        <v/>
      </c>
      <c r="AA369" t="str">
        <f>IF(X369="","",SUMIFS(#REF!,RM!$C$4:$C991,X369))</f>
        <v/>
      </c>
      <c r="AB369" t="str">
        <f>IF(X369="","",SUMIFS(IRegback!$Y$2:$Y1001,IRegback!$X$2:$X1001,X369))</f>
        <v/>
      </c>
      <c r="AC369" t="e">
        <f t="shared" si="6"/>
        <v>#VALUE!</v>
      </c>
      <c r="AD369" t="str">
        <f>IF(X369="","",VLOOKUP($X369,RM!$C$4:$G991,3,FALSE))</f>
        <v/>
      </c>
      <c r="AE369" t="str">
        <f>IF(X369="","",VLOOKUP($X369,RM!$C$4:$G991,4,FALSE))</f>
        <v/>
      </c>
      <c r="AF369" t="str">
        <f>IF(X369="","",VLOOKUP($X369,RM!$C$4:$G991,5,FALSE))</f>
        <v/>
      </c>
      <c r="AH369" t="str">
        <f ca="1">IFERROR(__xludf.DUMMYFUNCTION("""COMPUTED_VALUE"""),"Self Rightening Assy")</f>
        <v>Self Rightening Assy</v>
      </c>
      <c r="AI369" t="str">
        <f ca="1">IFERROR(__xludf.DUMMYFUNCTION("""COMPUTED_VALUE"""),"M6 Nyloc Nut")</f>
        <v>M6 Nyloc Nut</v>
      </c>
      <c r="AJ369">
        <f ca="1">IFERROR(__xludf.DUMMYFUNCTION("""COMPUTED_VALUE"""),4)</f>
        <v>4</v>
      </c>
      <c r="AK369" t="str">
        <f ca="1">IFERROR(__xludf.DUMMYFUNCTION("""COMPUTED_VALUE"""),"blank")</f>
        <v>blank</v>
      </c>
      <c r="AL369" t="e">
        <f ca="1">_xludf.IFNA(VLOOKUP(AH369,'S-FG'!$B$3:$B1001,1,FALSE),"")</f>
        <v>#NAME?</v>
      </c>
      <c r="AM369" t="e">
        <f ca="1">IF(AI369="","",SUMIFS(#REF!,RM!$C$4:$C991,AI369))</f>
        <v>#REF!</v>
      </c>
    </row>
    <row r="370" spans="5:39">
      <c r="E370" t="str">
        <f>IF(A370="","",SUMIFS('PR-BOM'!$D$3:$D1001,'PR-BOM'!$C$3:$C1001,A370)*C370)</f>
        <v/>
      </c>
      <c r="F370" t="e">
        <f ca="1">_xludf.IFNA(VLOOKUP(B370,'S-FG'!$B$3:$B1001,1,FALSE),"")</f>
        <v>#NAME?</v>
      </c>
      <c r="H370" t="str">
        <f ca="1">IFERROR(__xludf.DUMMYFUNCTION("""COMPUTED_VALUE"""),"IP Remote Assy")</f>
        <v>IP Remote Assy</v>
      </c>
      <c r="I370" t="str">
        <f ca="1">IFERROR(__xludf.DUMMYFUNCTION("""COMPUTED_VALUE"""),"Joystick Water proof rubber")</f>
        <v>Joystick Water proof rubber</v>
      </c>
      <c r="J370">
        <f ca="1">IFERROR(__xludf.DUMMYFUNCTION("""COMPUTED_VALUE"""),2)</f>
        <v>2</v>
      </c>
      <c r="K370" t="str">
        <f ca="1">IFERROR(__xludf.DUMMYFUNCTION("""COMPUTED_VALUE"""),"blank")</f>
        <v>blank</v>
      </c>
      <c r="L370">
        <f t="shared" ca="1" si="4"/>
        <v>0</v>
      </c>
      <c r="Q370" t="str">
        <f>IF(N370="","",SUMIFS('PR-BOM'!$D$3:$D1001,'PR-BOM'!$C$3:$C1001,N370))</f>
        <v/>
      </c>
      <c r="S370" t="str">
        <f ca="1">IFERROR(__xludf.DUMMYFUNCTION("""COMPUTED_VALUE"""),"Polycarbonate Glass for Remote")</f>
        <v>Polycarbonate Glass for Remote</v>
      </c>
      <c r="Y370" t="str">
        <f t="shared" si="5"/>
        <v/>
      </c>
      <c r="Z370" t="str">
        <f>IF(X370="","",SUMIFS(#REF!,RM!$C$4:$C991,X370))</f>
        <v/>
      </c>
      <c r="AA370" t="str">
        <f>IF(X370="","",SUMIFS(#REF!,RM!$C$4:$C991,X370))</f>
        <v/>
      </c>
      <c r="AB370" t="str">
        <f>IF(X370="","",SUMIFS(IRegback!$Y$2:$Y1001,IRegback!$X$2:$X1001,X370))</f>
        <v/>
      </c>
      <c r="AC370" t="e">
        <f t="shared" si="6"/>
        <v>#VALUE!</v>
      </c>
      <c r="AD370" t="str">
        <f>IF(X370="","",VLOOKUP($X370,RM!$C$4:$G991,3,FALSE))</f>
        <v/>
      </c>
      <c r="AE370" t="str">
        <f>IF(X370="","",VLOOKUP($X370,RM!$C$4:$G991,4,FALSE))</f>
        <v/>
      </c>
      <c r="AF370" t="str">
        <f>IF(X370="","",VLOOKUP($X370,RM!$C$4:$G991,5,FALSE))</f>
        <v/>
      </c>
      <c r="AH370" t="str">
        <f ca="1">IFERROR(__xludf.DUMMYFUNCTION("""COMPUTED_VALUE"""),"Self Rightening Assy")</f>
        <v>Self Rightening Assy</v>
      </c>
      <c r="AI370" t="str">
        <f ca="1">IFERROR(__xludf.DUMMYFUNCTION("""COMPUTED_VALUE"""),"M6x12 Plain washer")</f>
        <v>M6x12 Plain washer</v>
      </c>
      <c r="AJ370">
        <f ca="1">IFERROR(__xludf.DUMMYFUNCTION("""COMPUTED_VALUE"""),0)</f>
        <v>0</v>
      </c>
      <c r="AK370" t="str">
        <f ca="1">IFERROR(__xludf.DUMMYFUNCTION("""COMPUTED_VALUE"""),"blank")</f>
        <v>blank</v>
      </c>
      <c r="AL370" t="e">
        <f ca="1">_xludf.IFNA(VLOOKUP(AH370,'S-FG'!$B$3:$B1001,1,FALSE),"")</f>
        <v>#NAME?</v>
      </c>
      <c r="AM370" t="e">
        <f ca="1">IF(AI370="","",SUMIFS(#REF!,RM!$C$4:$C991,AI370))</f>
        <v>#REF!</v>
      </c>
    </row>
    <row r="371" spans="5:39">
      <c r="E371" t="str">
        <f>IF(A371="","",SUMIFS('PR-BOM'!$D$3:$D1001,'PR-BOM'!$C$3:$C1001,A371)*C371)</f>
        <v/>
      </c>
      <c r="F371" t="e">
        <f ca="1">_xludf.IFNA(VLOOKUP(B371,'S-FG'!$B$3:$B1001,1,FALSE),"")</f>
        <v>#NAME?</v>
      </c>
      <c r="H371" t="str">
        <f ca="1">IFERROR(__xludf.DUMMYFUNCTION("""COMPUTED_VALUE"""),"IP Remote Assy")</f>
        <v>IP Remote Assy</v>
      </c>
      <c r="I371" t="str">
        <f ca="1">IFERROR(__xludf.DUMMYFUNCTION("""COMPUTED_VALUE"""),"Button Silicon Cover No. 1")</f>
        <v>Button Silicon Cover No. 1</v>
      </c>
      <c r="J371">
        <f ca="1">IFERROR(__xludf.DUMMYFUNCTION("""COMPUTED_VALUE"""),2)</f>
        <v>2</v>
      </c>
      <c r="K371" t="str">
        <f ca="1">IFERROR(__xludf.DUMMYFUNCTION("""COMPUTED_VALUE"""),"blank")</f>
        <v>blank</v>
      </c>
      <c r="L371">
        <f t="shared" ca="1" si="4"/>
        <v>0</v>
      </c>
      <c r="Q371" t="str">
        <f>IF(N371="","",SUMIFS('PR-BOM'!$D$3:$D1001,'PR-BOM'!$C$3:$C1001,N371))</f>
        <v/>
      </c>
      <c r="S371" t="str">
        <f ca="1">IFERROR(__xludf.DUMMYFUNCTION("""COMPUTED_VALUE"""),"Joystick Water proof rubber")</f>
        <v>Joystick Water proof rubber</v>
      </c>
      <c r="Y371" t="str">
        <f t="shared" si="5"/>
        <v/>
      </c>
      <c r="Z371" t="str">
        <f>IF(X371="","",SUMIFS(#REF!,RM!$C$4:$C991,X371))</f>
        <v/>
      </c>
      <c r="AA371" t="str">
        <f>IF(X371="","",SUMIFS(#REF!,RM!$C$4:$C991,X371))</f>
        <v/>
      </c>
      <c r="AB371" t="str">
        <f>IF(X371="","",SUMIFS(IRegback!$Y$2:$Y1001,IRegback!$X$2:$X1001,X371))</f>
        <v/>
      </c>
      <c r="AC371" t="e">
        <f t="shared" si="6"/>
        <v>#VALUE!</v>
      </c>
      <c r="AD371" t="str">
        <f>IF(X371="","",VLOOKUP($X371,RM!$C$4:$G991,3,FALSE))</f>
        <v/>
      </c>
      <c r="AE371" t="str">
        <f>IF(X371="","",VLOOKUP($X371,RM!$C$4:$G991,4,FALSE))</f>
        <v/>
      </c>
      <c r="AF371" t="str">
        <f>IF(X371="","",VLOOKUP($X371,RM!$C$4:$G991,5,FALSE))</f>
        <v/>
      </c>
      <c r="AH371" t="str">
        <f ca="1">IFERROR(__xludf.DUMMYFUNCTION("""COMPUTED_VALUE"""),"Self Rightening Assy")</f>
        <v>Self Rightening Assy</v>
      </c>
      <c r="AI371" t="str">
        <f ca="1">IFERROR(__xludf.DUMMYFUNCTION("""COMPUTED_VALUE"""),"RR Tape")</f>
        <v>RR Tape</v>
      </c>
      <c r="AJ371">
        <f ca="1">IFERROR(__xludf.DUMMYFUNCTION("""COMPUTED_VALUE"""),2.6)</f>
        <v>2.6</v>
      </c>
      <c r="AL371" t="e">
        <f ca="1">_xludf.IFNA(VLOOKUP(AH371,'S-FG'!$B$3:$B1001,1,FALSE),"")</f>
        <v>#NAME?</v>
      </c>
      <c r="AM371" t="e">
        <f ca="1">IF(AI371="","",SUMIFS(#REF!,RM!$C$4:$C991,AI371))</f>
        <v>#REF!</v>
      </c>
    </row>
    <row r="372" spans="5:39">
      <c r="E372" t="str">
        <f>IF(A372="","",SUMIFS('PR-BOM'!$D$3:$D1001,'PR-BOM'!$C$3:$C1001,A372)*C372)</f>
        <v/>
      </c>
      <c r="F372" t="e">
        <f ca="1">_xludf.IFNA(VLOOKUP(B372,'S-FG'!$B$3:$B1001,1,FALSE),"")</f>
        <v>#NAME?</v>
      </c>
      <c r="H372" t="str">
        <f ca="1">IFERROR(__xludf.DUMMYFUNCTION("""COMPUTED_VALUE"""),"IP Remote Assy")</f>
        <v>IP Remote Assy</v>
      </c>
      <c r="I372" t="str">
        <f ca="1">IFERROR(__xludf.DUMMYFUNCTION("""COMPUTED_VALUE"""),"Button Silicon Cover No. 2")</f>
        <v>Button Silicon Cover No. 2</v>
      </c>
      <c r="J372">
        <f ca="1">IFERROR(__xludf.DUMMYFUNCTION("""COMPUTED_VALUE"""),2)</f>
        <v>2</v>
      </c>
      <c r="K372" t="str">
        <f ca="1">IFERROR(__xludf.DUMMYFUNCTION("""COMPUTED_VALUE"""),"blank")</f>
        <v>blank</v>
      </c>
      <c r="L372">
        <f t="shared" ca="1" si="4"/>
        <v>0</v>
      </c>
      <c r="Q372" t="str">
        <f>IF(N372="","",SUMIFS('PR-BOM'!$D$3:$D1001,'PR-BOM'!$C$3:$C1001,N372))</f>
        <v/>
      </c>
      <c r="S372" t="str">
        <f ca="1">IFERROR(__xludf.DUMMYFUNCTION("""COMPUTED_VALUE"""),"Button Silicon Cover No. 1")</f>
        <v>Button Silicon Cover No. 1</v>
      </c>
      <c r="Y372" t="str">
        <f t="shared" si="5"/>
        <v/>
      </c>
      <c r="Z372" t="str">
        <f>IF(X372="","",SUMIFS(#REF!,RM!$C$4:$C991,X372))</f>
        <v/>
      </c>
      <c r="AA372" t="str">
        <f>IF(X372="","",SUMIFS(#REF!,RM!$C$4:$C991,X372))</f>
        <v/>
      </c>
      <c r="AB372" t="str">
        <f>IF(X372="","",SUMIFS(IRegback!$Y$2:$Y1001,IRegback!$X$2:$X1001,X372))</f>
        <v/>
      </c>
      <c r="AC372" t="e">
        <f t="shared" si="6"/>
        <v>#VALUE!</v>
      </c>
      <c r="AD372" t="str">
        <f>IF(X372="","",VLOOKUP($X372,RM!$C$4:$G991,3,FALSE))</f>
        <v/>
      </c>
      <c r="AE372" t="str">
        <f>IF(X372="","",VLOOKUP($X372,RM!$C$4:$G991,4,FALSE))</f>
        <v/>
      </c>
      <c r="AF372" t="str">
        <f>IF(X372="","",VLOOKUP($X372,RM!$C$4:$G991,5,FALSE))</f>
        <v/>
      </c>
      <c r="AH372" t="str">
        <f ca="1">IFERROR(__xludf.DUMMYFUNCTION("""COMPUTED_VALUE"""),"IP Remote Assy")</f>
        <v>IP Remote Assy</v>
      </c>
      <c r="AI372" t="str">
        <f ca="1">IFERROR(__xludf.DUMMYFUNCTION("""COMPUTED_VALUE"""),"QX7 Transmitter with R9M")</f>
        <v>QX7 Transmitter with R9M</v>
      </c>
      <c r="AJ372">
        <f ca="1">IFERROR(__xludf.DUMMYFUNCTION("""COMPUTED_VALUE"""),1)</f>
        <v>1</v>
      </c>
      <c r="AK372" t="str">
        <f ca="1">IFERROR(__xludf.DUMMYFUNCTION("""COMPUTED_VALUE"""),"blank")</f>
        <v>blank</v>
      </c>
      <c r="AL372" t="e">
        <f ca="1">_xludf.IFNA(VLOOKUP(AH372,'S-FG'!$B$3:$B1001,1,FALSE),"")</f>
        <v>#NAME?</v>
      </c>
      <c r="AM372" t="e">
        <f ca="1">IF(AI372="","",SUMIFS(#REF!,RM!$C$4:$C991,AI372))</f>
        <v>#REF!</v>
      </c>
    </row>
    <row r="373" spans="5:39">
      <c r="E373" t="str">
        <f>IF(A373="","",SUMIFS('PR-BOM'!$D$3:$D1001,'PR-BOM'!$C$3:$C1001,A373)*C373)</f>
        <v/>
      </c>
      <c r="F373" t="e">
        <f ca="1">_xludf.IFNA(VLOOKUP(B373,'S-FG'!$B$3:$B1001,1,FALSE),"")</f>
        <v>#NAME?</v>
      </c>
      <c r="H373" t="str">
        <f ca="1">IFERROR(__xludf.DUMMYFUNCTION("""COMPUTED_VALUE"""),"IP Remote Assy")</f>
        <v>IP Remote Assy</v>
      </c>
      <c r="I373" t="str">
        <f ca="1">IFERROR(__xludf.DUMMYFUNCTION("""COMPUTED_VALUE"""),"Neck Strap Hook")</f>
        <v>Neck Strap Hook</v>
      </c>
      <c r="J373">
        <f ca="1">IFERROR(__xludf.DUMMYFUNCTION("""COMPUTED_VALUE"""),1)</f>
        <v>1</v>
      </c>
      <c r="K373" t="str">
        <f ca="1">IFERROR(__xludf.DUMMYFUNCTION("""COMPUTED_VALUE"""),"blank")</f>
        <v>blank</v>
      </c>
      <c r="L373">
        <f t="shared" ca="1" si="4"/>
        <v>0</v>
      </c>
      <c r="Q373" t="str">
        <f>IF(N373="","",SUMIFS('PR-BOM'!$D$3:$D1001,'PR-BOM'!$C$3:$C1001,N373))</f>
        <v/>
      </c>
      <c r="S373" t="str">
        <f ca="1">IFERROR(__xludf.DUMMYFUNCTION("""COMPUTED_VALUE"""),"Button Silicon Cover No. 2")</f>
        <v>Button Silicon Cover No. 2</v>
      </c>
      <c r="Y373" t="str">
        <f t="shared" si="5"/>
        <v/>
      </c>
      <c r="Z373" t="str">
        <f>IF(X373="","",SUMIFS(#REF!,RM!$C$4:$C991,X373))</f>
        <v/>
      </c>
      <c r="AA373" t="str">
        <f>IF(X373="","",SUMIFS(#REF!,RM!$C$4:$C991,X373))</f>
        <v/>
      </c>
      <c r="AB373" t="str">
        <f>IF(X373="","",SUMIFS(IRegback!$Y$2:$Y1001,IRegback!$X$2:$X1001,X373))</f>
        <v/>
      </c>
      <c r="AC373" t="e">
        <f t="shared" si="6"/>
        <v>#VALUE!</v>
      </c>
      <c r="AD373" t="str">
        <f>IF(X373="","",VLOOKUP($X373,RM!$C$4:$G991,3,FALSE))</f>
        <v/>
      </c>
      <c r="AE373" t="str">
        <f>IF(X373="","",VLOOKUP($X373,RM!$C$4:$G991,4,FALSE))</f>
        <v/>
      </c>
      <c r="AF373" t="str">
        <f>IF(X373="","",VLOOKUP($X373,RM!$C$4:$G991,5,FALSE))</f>
        <v/>
      </c>
      <c r="AH373" t="str">
        <f ca="1">IFERROR(__xludf.DUMMYFUNCTION("""COMPUTED_VALUE"""),"IP Remote Assy")</f>
        <v>IP Remote Assy</v>
      </c>
      <c r="AI373" t="str">
        <f ca="1">IFERROR(__xludf.DUMMYFUNCTION("""COMPUTED_VALUE"""),"PWB of Button -2")</f>
        <v>PWB of Button -2</v>
      </c>
      <c r="AJ373">
        <f ca="1">IFERROR(__xludf.DUMMYFUNCTION("""COMPUTED_VALUE"""),2)</f>
        <v>2</v>
      </c>
      <c r="AL373" t="e">
        <f ca="1">_xludf.IFNA(VLOOKUP(AH373,'S-FG'!$B$3:$B1001,1,FALSE),"")</f>
        <v>#NAME?</v>
      </c>
      <c r="AM373" t="e">
        <f ca="1">IF(AI373="","",SUMIFS(#REF!,RM!$C$4:$C991,AI373))</f>
        <v>#REF!</v>
      </c>
    </row>
    <row r="374" spans="5:39">
      <c r="E374" t="str">
        <f>IF(A374="","",SUMIFS('PR-BOM'!$D$3:$D1001,'PR-BOM'!$C$3:$C1001,A374)*C374)</f>
        <v/>
      </c>
      <c r="F374" t="e">
        <f ca="1">_xludf.IFNA(VLOOKUP(B374,'S-FG'!$B$3:$B1001,1,FALSE),"")</f>
        <v>#NAME?</v>
      </c>
      <c r="H374" t="str">
        <f ca="1">IFERROR(__xludf.DUMMYFUNCTION("""COMPUTED_VALUE"""),"IP Remote Assy")</f>
        <v>IP Remote Assy</v>
      </c>
      <c r="I374" t="str">
        <f ca="1">IFERROR(__xludf.DUMMYFUNCTION("""COMPUTED_VALUE"""),"Neck Strap")</f>
        <v>Neck Strap</v>
      </c>
      <c r="J374">
        <f ca="1">IFERROR(__xludf.DUMMYFUNCTION("""COMPUTED_VALUE"""),1)</f>
        <v>1</v>
      </c>
      <c r="K374" t="str">
        <f ca="1">IFERROR(__xludf.DUMMYFUNCTION("""COMPUTED_VALUE"""),"blank")</f>
        <v>blank</v>
      </c>
      <c r="L374">
        <f t="shared" ca="1" si="4"/>
        <v>0</v>
      </c>
      <c r="Q374" t="str">
        <f>IF(N374="","",SUMIFS('PR-BOM'!$D$3:$D1001,'PR-BOM'!$C$3:$C1001,N374))</f>
        <v/>
      </c>
      <c r="S374" t="str">
        <f ca="1">IFERROR(__xludf.DUMMYFUNCTION("""COMPUTED_VALUE"""),"Neck Strap Hook")</f>
        <v>Neck Strap Hook</v>
      </c>
      <c r="Y374" t="str">
        <f t="shared" si="5"/>
        <v/>
      </c>
      <c r="Z374" t="str">
        <f>IF(X374="","",SUMIFS(#REF!,RM!$C$4:$C991,X374))</f>
        <v/>
      </c>
      <c r="AA374" t="str">
        <f>IF(X374="","",SUMIFS(#REF!,RM!$C$4:$C991,X374))</f>
        <v/>
      </c>
      <c r="AB374" t="str">
        <f>IF(X374="","",SUMIFS(IRegback!$Y$2:$Y1001,IRegback!$X$2:$X1001,X374))</f>
        <v/>
      </c>
      <c r="AC374" t="e">
        <f t="shared" si="6"/>
        <v>#VALUE!</v>
      </c>
      <c r="AD374" t="str">
        <f>IF(X374="","",VLOOKUP($X374,RM!$C$4:$G991,3,FALSE))</f>
        <v/>
      </c>
      <c r="AE374" t="str">
        <f>IF(X374="","",VLOOKUP($X374,RM!$C$4:$G991,4,FALSE))</f>
        <v/>
      </c>
      <c r="AF374" t="str">
        <f>IF(X374="","",VLOOKUP($X374,RM!$C$4:$G991,5,FALSE))</f>
        <v/>
      </c>
      <c r="AH374" t="str">
        <f ca="1">IFERROR(__xludf.DUMMYFUNCTION("""COMPUTED_VALUE"""),"IP Remote Assy")</f>
        <v>IP Remote Assy</v>
      </c>
      <c r="AI374" t="str">
        <f ca="1">IFERROR(__xludf.DUMMYFUNCTION("""COMPUTED_VALUE"""),"Li-In 21700 Cells Molicel P42A/ Samsung-40T")</f>
        <v>Li-In 21700 Cells Molicel P42A/ Samsung-40T</v>
      </c>
      <c r="AJ374">
        <f ca="1">IFERROR(__xludf.DUMMYFUNCTION("""COMPUTED_VALUE"""),2)</f>
        <v>2</v>
      </c>
      <c r="AK374" t="str">
        <f ca="1">IFERROR(__xludf.DUMMYFUNCTION("""COMPUTED_VALUE"""),"blank")</f>
        <v>blank</v>
      </c>
      <c r="AL374" t="e">
        <f ca="1">_xludf.IFNA(VLOOKUP(AH374,'S-FG'!$B$3:$B1001,1,FALSE),"")</f>
        <v>#NAME?</v>
      </c>
      <c r="AM374" t="e">
        <f ca="1">IF(AI374="","",SUMIFS(#REF!,RM!$C$4:$C991,AI374))</f>
        <v>#REF!</v>
      </c>
    </row>
    <row r="375" spans="5:39">
      <c r="E375" t="str">
        <f>IF(A375="","",SUMIFS('PR-BOM'!$D$3:$D1001,'PR-BOM'!$C$3:$C1001,A375)*C375)</f>
        <v/>
      </c>
      <c r="F375" t="e">
        <f ca="1">_xludf.IFNA(VLOOKUP(B375,'S-FG'!$B$3:$B1001,1,FALSE),"")</f>
        <v>#NAME?</v>
      </c>
      <c r="H375" t="str">
        <f ca="1">IFERROR(__xludf.DUMMYFUNCTION("""COMPUTED_VALUE"""),"IP Remote Assy")</f>
        <v>IP Remote Assy</v>
      </c>
      <c r="I375" t="str">
        <f ca="1">IFERROR(__xludf.DUMMYFUNCTION("""COMPUTED_VALUE"""),"M2x12 Allen Head SS304")</f>
        <v>M2x12 Allen Head SS304</v>
      </c>
      <c r="J375">
        <f ca="1">IFERROR(__xludf.DUMMYFUNCTION("""COMPUTED_VALUE"""),20)</f>
        <v>20</v>
      </c>
      <c r="K375" t="str">
        <f ca="1">IFERROR(__xludf.DUMMYFUNCTION("""COMPUTED_VALUE"""),"blank")</f>
        <v>blank</v>
      </c>
      <c r="L375">
        <f t="shared" ca="1" si="4"/>
        <v>0</v>
      </c>
      <c r="Q375" t="str">
        <f>IF(N375="","",SUMIFS('PR-BOM'!$D$3:$D1001,'PR-BOM'!$C$3:$C1001,N375))</f>
        <v/>
      </c>
      <c r="S375" t="str">
        <f ca="1">IFERROR(__xludf.DUMMYFUNCTION("""COMPUTED_VALUE"""),"Neck Strap")</f>
        <v>Neck Strap</v>
      </c>
      <c r="Y375" t="str">
        <f t="shared" si="5"/>
        <v/>
      </c>
      <c r="Z375" t="str">
        <f>IF(X375="","",SUMIFS(#REF!,RM!$C$4:$C991,X375))</f>
        <v/>
      </c>
      <c r="AA375" t="str">
        <f>IF(X375="","",SUMIFS(#REF!,RM!$C$4:$C991,X375))</f>
        <v/>
      </c>
      <c r="AB375" t="str">
        <f>IF(X375="","",SUMIFS(IRegback!$Y$2:$Y1001,IRegback!$X$2:$X1001,X375))</f>
        <v/>
      </c>
      <c r="AC375" t="e">
        <f t="shared" si="6"/>
        <v>#VALUE!</v>
      </c>
      <c r="AD375" t="str">
        <f>IF(X375="","",VLOOKUP($X375,RM!$C$4:$G991,3,FALSE))</f>
        <v/>
      </c>
      <c r="AE375" t="str">
        <f>IF(X375="","",VLOOKUP($X375,RM!$C$4:$G991,4,FALSE))</f>
        <v/>
      </c>
      <c r="AF375" t="str">
        <f>IF(X375="","",VLOOKUP($X375,RM!$C$4:$G991,5,FALSE))</f>
        <v/>
      </c>
      <c r="AH375" t="str">
        <f ca="1">IFERROR(__xludf.DUMMYFUNCTION("""COMPUTED_VALUE"""),"IP Remote Assy")</f>
        <v>IP Remote Assy</v>
      </c>
      <c r="AI375" t="str">
        <f ca="1">IFERROR(__xludf.DUMMYFUNCTION("""COMPUTED_VALUE"""),"3 pin JST-XH housing")</f>
        <v>3 pin JST-XH housing</v>
      </c>
      <c r="AJ375">
        <f ca="1">IFERROR(__xludf.DUMMYFUNCTION("""COMPUTED_VALUE"""),1)</f>
        <v>1</v>
      </c>
      <c r="AL375" t="e">
        <f ca="1">_xludf.IFNA(VLOOKUP(AH375,'S-FG'!$B$3:$B1001,1,FALSE),"")</f>
        <v>#NAME?</v>
      </c>
      <c r="AM375" t="e">
        <f ca="1">IF(AI375="","",SUMIFS(#REF!,RM!$C$4:$C991,AI375))</f>
        <v>#REF!</v>
      </c>
    </row>
    <row r="376" spans="5:39">
      <c r="E376" t="str">
        <f>IF(A376="","",SUMIFS('PR-BOM'!$D$3:$D1001,'PR-BOM'!$C$3:$C1001,A376)*C376)</f>
        <v/>
      </c>
      <c r="F376" t="e">
        <f ca="1">_xludf.IFNA(VLOOKUP(B376,'S-FG'!$B$3:$B1001,1,FALSE),"")</f>
        <v>#NAME?</v>
      </c>
      <c r="H376" t="str">
        <f ca="1">IFERROR(__xludf.DUMMYFUNCTION("""COMPUTED_VALUE"""),"IP Remote Assy")</f>
        <v>IP Remote Assy</v>
      </c>
      <c r="I376" t="str">
        <f ca="1">IFERROR(__xludf.DUMMYFUNCTION("""COMPUTED_VALUE"""),"32Gb SD Card")</f>
        <v>32Gb SD Card</v>
      </c>
      <c r="J376">
        <f ca="1">IFERROR(__xludf.DUMMYFUNCTION("""COMPUTED_VALUE"""),1)</f>
        <v>1</v>
      </c>
      <c r="K376" t="str">
        <f ca="1">IFERROR(__xludf.DUMMYFUNCTION("""COMPUTED_VALUE"""),"blank")</f>
        <v>blank</v>
      </c>
      <c r="L376">
        <f t="shared" ca="1" si="4"/>
        <v>0</v>
      </c>
      <c r="Q376" t="str">
        <f>IF(N376="","",SUMIFS('PR-BOM'!$D$3:$D1001,'PR-BOM'!$C$3:$C1001,N376))</f>
        <v/>
      </c>
      <c r="S376" t="str">
        <f ca="1">IFERROR(__xludf.DUMMYFUNCTION("""COMPUTED_VALUE"""),"M2x12 Allen Head SS304")</f>
        <v>M2x12 Allen Head SS304</v>
      </c>
      <c r="Y376" t="str">
        <f t="shared" si="5"/>
        <v/>
      </c>
      <c r="Z376" t="str">
        <f>IF(X376="","",SUMIFS(#REF!,RM!$C$4:$C991,X376))</f>
        <v/>
      </c>
      <c r="AA376" t="str">
        <f>IF(X376="","",SUMIFS(#REF!,RM!$C$4:$C991,X376))</f>
        <v/>
      </c>
      <c r="AB376" t="str">
        <f>IF(X376="","",SUMIFS(IRegback!$Y$2:$Y1001,IRegback!$X$2:$X1001,X376))</f>
        <v/>
      </c>
      <c r="AC376" t="e">
        <f t="shared" si="6"/>
        <v>#VALUE!</v>
      </c>
      <c r="AD376" t="str">
        <f>IF(X376="","",VLOOKUP($X376,RM!$C$4:$G991,3,FALSE))</f>
        <v/>
      </c>
      <c r="AE376" t="str">
        <f>IF(X376="","",VLOOKUP($X376,RM!$C$4:$G991,4,FALSE))</f>
        <v/>
      </c>
      <c r="AF376" t="str">
        <f>IF(X376="","",VLOOKUP($X376,RM!$C$4:$G991,5,FALSE))</f>
        <v/>
      </c>
      <c r="AH376" t="str">
        <f ca="1">IFERROR(__xludf.DUMMYFUNCTION("""COMPUTED_VALUE"""),"IP Remote Assy")</f>
        <v>IP Remote Assy</v>
      </c>
      <c r="AI376" t="str">
        <f ca="1">IFERROR(__xludf.DUMMYFUNCTION("""COMPUTED_VALUE"""),"25cm Red one side crimped wire")</f>
        <v>25cm Red one side crimped wire</v>
      </c>
      <c r="AJ376">
        <f ca="1">IFERROR(__xludf.DUMMYFUNCTION("""COMPUTED_VALUE"""),1)</f>
        <v>1</v>
      </c>
      <c r="AK376" t="str">
        <f ca="1">IFERROR(__xludf.DUMMYFUNCTION("""COMPUTED_VALUE"""),"blank")</f>
        <v>blank</v>
      </c>
      <c r="AL376" t="e">
        <f ca="1">_xludf.IFNA(VLOOKUP(AH376,'S-FG'!$B$3:$B1001,1,FALSE),"")</f>
        <v>#NAME?</v>
      </c>
      <c r="AM376" t="e">
        <f ca="1">IF(AI376="","",SUMIFS(#REF!,RM!$C$4:$C991,AI376))</f>
        <v>#REF!</v>
      </c>
    </row>
    <row r="377" spans="5:39">
      <c r="E377" t="str">
        <f>IF(A377="","",SUMIFS('PR-BOM'!$D$3:$D1001,'PR-BOM'!$C$3:$C1001,A377)*C377)</f>
        <v/>
      </c>
      <c r="F377" t="e">
        <f ca="1">_xludf.IFNA(VLOOKUP(B377,'S-FG'!$B$3:$B1001,1,FALSE),"")</f>
        <v>#NAME?</v>
      </c>
      <c r="H377" t="str">
        <f ca="1">IFERROR(__xludf.DUMMYFUNCTION("""COMPUTED_VALUE"""),"IP Remote Charging Cable Assy")</f>
        <v>IP Remote Charging Cable Assy</v>
      </c>
      <c r="I377" t="str">
        <f ca="1">IFERROR(__xludf.DUMMYFUNCTION("""COMPUTED_VALUE"""),"USB Data &amp; Charging Cable 1m length")</f>
        <v>USB Data &amp; Charging Cable 1m length</v>
      </c>
      <c r="J377">
        <f ca="1">IFERROR(__xludf.DUMMYFUNCTION("""COMPUTED_VALUE"""),1)</f>
        <v>1</v>
      </c>
      <c r="K377" t="str">
        <f ca="1">IFERROR(__xludf.DUMMYFUNCTION("""COMPUTED_VALUE"""),"blank")</f>
        <v>blank</v>
      </c>
      <c r="L377">
        <f t="shared" ca="1" si="4"/>
        <v>0</v>
      </c>
      <c r="Q377" t="str">
        <f>IF(N377="","",SUMIFS('PR-BOM'!$D$3:$D1001,'PR-BOM'!$C$3:$C1001,N377))</f>
        <v/>
      </c>
      <c r="S377" t="str">
        <f ca="1">IFERROR(__xludf.DUMMYFUNCTION("""COMPUTED_VALUE"""),"32Gb SD Card")</f>
        <v>32Gb SD Card</v>
      </c>
      <c r="Y377" t="str">
        <f t="shared" si="5"/>
        <v/>
      </c>
      <c r="Z377" t="str">
        <f>IF(X377="","",SUMIFS(#REF!,RM!$C$4:$C991,X377))</f>
        <v/>
      </c>
      <c r="AA377" t="str">
        <f>IF(X377="","",SUMIFS(#REF!,RM!$C$4:$C991,X377))</f>
        <v/>
      </c>
      <c r="AB377" t="str">
        <f>IF(X377="","",SUMIFS(IRegback!$Y$2:$Y1001,IRegback!$X$2:$X1001,X377))</f>
        <v/>
      </c>
      <c r="AC377" t="e">
        <f t="shared" si="6"/>
        <v>#VALUE!</v>
      </c>
      <c r="AD377" t="str">
        <f>IF(X377="","",VLOOKUP($X377,RM!$C$4:$G991,3,FALSE))</f>
        <v/>
      </c>
      <c r="AE377" t="str">
        <f>IF(X377="","",VLOOKUP($X377,RM!$C$4:$G991,4,FALSE))</f>
        <v/>
      </c>
      <c r="AF377" t="str">
        <f>IF(X377="","",VLOOKUP($X377,RM!$C$4:$G991,5,FALSE))</f>
        <v/>
      </c>
      <c r="AH377" t="str">
        <f ca="1">IFERROR(__xludf.DUMMYFUNCTION("""COMPUTED_VALUE"""),"IP Remote Assy")</f>
        <v>IP Remote Assy</v>
      </c>
      <c r="AI377" t="str">
        <f ca="1">IFERROR(__xludf.DUMMYFUNCTION("""COMPUTED_VALUE"""),"25cm Green one side crimped wire")</f>
        <v>25cm Green one side crimped wire</v>
      </c>
      <c r="AJ377">
        <f ca="1">IFERROR(__xludf.DUMMYFUNCTION("""COMPUTED_VALUE"""),1)</f>
        <v>1</v>
      </c>
      <c r="AK377" t="str">
        <f ca="1">IFERROR(__xludf.DUMMYFUNCTION("""COMPUTED_VALUE"""),"blank")</f>
        <v>blank</v>
      </c>
      <c r="AL377" t="e">
        <f ca="1">_xludf.IFNA(VLOOKUP(AH377,'S-FG'!$B$3:$B1001,1,FALSE),"")</f>
        <v>#NAME?</v>
      </c>
      <c r="AM377" t="e">
        <f ca="1">IF(AI377="","",SUMIFS(#REF!,RM!$C$4:$C991,AI377))</f>
        <v>#REF!</v>
      </c>
    </row>
    <row r="378" spans="5:39">
      <c r="E378" t="str">
        <f>IF(A378="","",SUMIFS('PR-BOM'!$D$3:$D1001,'PR-BOM'!$C$3:$C1001,A378)*C378)</f>
        <v/>
      </c>
      <c r="F378" t="e">
        <f ca="1">_xludf.IFNA(VLOOKUP(B378,'S-FG'!$B$3:$B1001,1,FALSE),"")</f>
        <v>#NAME?</v>
      </c>
      <c r="H378" t="str">
        <f ca="1">IFERROR(__xludf.DUMMYFUNCTION("""COMPUTED_VALUE"""),"IP Remote Charging Cable Assy")</f>
        <v>IP Remote Charging Cable Assy</v>
      </c>
      <c r="I378" t="str">
        <f ca="1">IFERROR(__xludf.DUMMYFUNCTION("""COMPUTED_VALUE"""),"5v 2A USB Adapter")</f>
        <v>5v 2A USB Adapter</v>
      </c>
      <c r="J378">
        <f ca="1">IFERROR(__xludf.DUMMYFUNCTION("""COMPUTED_VALUE"""),1)</f>
        <v>1</v>
      </c>
      <c r="K378" t="str">
        <f ca="1">IFERROR(__xludf.DUMMYFUNCTION("""COMPUTED_VALUE"""),"blank")</f>
        <v>blank</v>
      </c>
      <c r="L378">
        <f t="shared" ca="1" si="4"/>
        <v>0</v>
      </c>
      <c r="Q378" t="str">
        <f>IF(N378="","",SUMIFS('PR-BOM'!$D$3:$D1001,'PR-BOM'!$C$3:$C1001,N378))</f>
        <v/>
      </c>
      <c r="S378" t="str">
        <f ca="1">IFERROR(__xludf.DUMMYFUNCTION("""COMPUTED_VALUE"""),"USB Data &amp; Charging Cable 1m length")</f>
        <v>USB Data &amp; Charging Cable 1m length</v>
      </c>
      <c r="Y378" t="str">
        <f t="shared" si="5"/>
        <v/>
      </c>
      <c r="Z378" t="str">
        <f>IF(X378="","",SUMIFS(#REF!,RM!$C$4:$C991,X378))</f>
        <v/>
      </c>
      <c r="AA378" t="str">
        <f>IF(X378="","",SUMIFS(#REF!,RM!$C$4:$C991,X378))</f>
        <v/>
      </c>
      <c r="AB378" t="str">
        <f>IF(X378="","",SUMIFS(IRegback!$Y$2:$Y1001,IRegback!$X$2:$X1001,X378))</f>
        <v/>
      </c>
      <c r="AC378" t="e">
        <f t="shared" si="6"/>
        <v>#VALUE!</v>
      </c>
      <c r="AD378" t="str">
        <f>IF(X378="","",VLOOKUP($X378,RM!$C$4:$G991,3,FALSE))</f>
        <v/>
      </c>
      <c r="AE378" t="str">
        <f>IF(X378="","",VLOOKUP($X378,RM!$C$4:$G991,4,FALSE))</f>
        <v/>
      </c>
      <c r="AF378" t="str">
        <f>IF(X378="","",VLOOKUP($X378,RM!$C$4:$G991,5,FALSE))</f>
        <v/>
      </c>
      <c r="AH378" t="str">
        <f ca="1">IFERROR(__xludf.DUMMYFUNCTION("""COMPUTED_VALUE"""),"IP Remote Assy")</f>
        <v>IP Remote Assy</v>
      </c>
      <c r="AI378" t="str">
        <f ca="1">IFERROR(__xludf.DUMMYFUNCTION("""COMPUTED_VALUE"""),"25cm Black one side crimped wire")</f>
        <v>25cm Black one side crimped wire</v>
      </c>
      <c r="AJ378">
        <f ca="1">IFERROR(__xludf.DUMMYFUNCTION("""COMPUTED_VALUE"""),1)</f>
        <v>1</v>
      </c>
      <c r="AK378" t="str">
        <f ca="1">IFERROR(__xludf.DUMMYFUNCTION("""COMPUTED_VALUE"""),"blank")</f>
        <v>blank</v>
      </c>
      <c r="AL378" t="e">
        <f ca="1">_xludf.IFNA(VLOOKUP(AH378,'S-FG'!$B$3:$B1001,1,FALSE),"")</f>
        <v>#NAME?</v>
      </c>
      <c r="AM378" t="e">
        <f ca="1">IF(AI378="","",SUMIFS(#REF!,RM!$C$4:$C991,AI378))</f>
        <v>#REF!</v>
      </c>
    </row>
    <row r="379" spans="5:39">
      <c r="E379" t="str">
        <f>IF(A379="","",SUMIFS('PR-BOM'!$D$3:$D1001,'PR-BOM'!$C$3:$C1001,A379)*C379)</f>
        <v/>
      </c>
      <c r="F379" t="e">
        <f ca="1">_xludf.IFNA(VLOOKUP(B379,'S-FG'!$B$3:$B1001,1,FALSE),"")</f>
        <v>#NAME?</v>
      </c>
      <c r="H379" t="str">
        <f ca="1">IFERROR(__xludf.DUMMYFUNCTION("""COMPUTED_VALUE"""),"IP Remote Charging Cable Assy")</f>
        <v>IP Remote Charging Cable Assy</v>
      </c>
      <c r="I379" t="str">
        <f ca="1">IFERROR(__xludf.DUMMYFUNCTION("""COMPUTED_VALUE"""),"SA12 9pin CM Pushpull")</f>
        <v>SA12 9pin CM Pushpull</v>
      </c>
      <c r="J379">
        <f ca="1">IFERROR(__xludf.DUMMYFUNCTION("""COMPUTED_VALUE"""),1)</f>
        <v>1</v>
      </c>
      <c r="K379" t="str">
        <f ca="1">IFERROR(__xludf.DUMMYFUNCTION("""COMPUTED_VALUE"""),"blank")</f>
        <v>blank</v>
      </c>
      <c r="L379">
        <f t="shared" ca="1" si="4"/>
        <v>0</v>
      </c>
      <c r="Q379" t="str">
        <f>IF(N379="","",SUMIFS('PR-BOM'!$D$3:$D1001,'PR-BOM'!$C$3:$C1001,N379))</f>
        <v/>
      </c>
      <c r="S379" t="str">
        <f ca="1">IFERROR(__xludf.DUMMYFUNCTION("""COMPUTED_VALUE"""),"5v 2A USB Adapter")</f>
        <v>5v 2A USB Adapter</v>
      </c>
      <c r="Y379" t="str">
        <f t="shared" si="5"/>
        <v/>
      </c>
      <c r="Z379" t="str">
        <f>IF(X379="","",SUMIFS(#REF!,RM!$C$4:$C991,X379))</f>
        <v/>
      </c>
      <c r="AA379" t="str">
        <f>IF(X379="","",SUMIFS(#REF!,RM!$C$4:$C991,X379))</f>
        <v/>
      </c>
      <c r="AB379" t="str">
        <f>IF(X379="","",SUMIFS(IRegback!$Y$2:$Y1001,IRegback!$X$2:$X1001,X379))</f>
        <v/>
      </c>
      <c r="AC379" t="e">
        <f t="shared" si="6"/>
        <v>#VALUE!</v>
      </c>
      <c r="AD379" t="str">
        <f>IF(X379="","",VLOOKUP($X379,RM!$C$4:$G991,3,FALSE))</f>
        <v/>
      </c>
      <c r="AE379" t="str">
        <f>IF(X379="","",VLOOKUP($X379,RM!$C$4:$G991,4,FALSE))</f>
        <v/>
      </c>
      <c r="AF379" t="str">
        <f>IF(X379="","",VLOOKUP($X379,RM!$C$4:$G991,5,FALSE))</f>
        <v/>
      </c>
      <c r="AH379" t="str">
        <f ca="1">IFERROR(__xludf.DUMMYFUNCTION("""COMPUTED_VALUE"""),"IP Remote Assy")</f>
        <v>IP Remote Assy</v>
      </c>
      <c r="AI379" t="str">
        <f ca="1">IFERROR(__xludf.DUMMYFUNCTION("""COMPUTED_VALUE"""),"Tactile switch ")</f>
        <v xml:space="preserve">Tactile switch </v>
      </c>
      <c r="AJ379">
        <f ca="1">IFERROR(__xludf.DUMMYFUNCTION("""COMPUTED_VALUE"""),0)</f>
        <v>0</v>
      </c>
      <c r="AK379" t="str">
        <f ca="1">IFERROR(__xludf.DUMMYFUNCTION("""COMPUTED_VALUE"""),"blank")</f>
        <v>blank</v>
      </c>
      <c r="AL379" t="e">
        <f ca="1">_xludf.IFNA(VLOOKUP(AH379,'S-FG'!$B$3:$B1001,1,FALSE),"")</f>
        <v>#NAME?</v>
      </c>
      <c r="AM379" t="e">
        <f ca="1">IF(AI379="","",SUMIFS(#REF!,RM!$C$4:$C991,AI379))</f>
        <v>#REF!</v>
      </c>
    </row>
    <row r="380" spans="5:39">
      <c r="E380" t="str">
        <f>IF(A380="","",SUMIFS('PR-BOM'!$D$3:$D1001,'PR-BOM'!$C$3:$C1001,A380)*C380)</f>
        <v/>
      </c>
      <c r="F380" t="e">
        <f ca="1">_xludf.IFNA(VLOOKUP(B380,'S-FG'!$B$3:$B1001,1,FALSE),"")</f>
        <v>#NAME?</v>
      </c>
      <c r="H380" t="str">
        <f ca="1">IFERROR(__xludf.DUMMYFUNCTION("""COMPUTED_VALUE"""),"IP Remote Charging Cable Assy")</f>
        <v>IP Remote Charging Cable Assy</v>
      </c>
      <c r="I380" t="str">
        <f ca="1">IFERROR(__xludf.DUMMYFUNCTION("""COMPUTED_VALUE"""),"Rotary Knob Box 3D print")</f>
        <v>Rotary Knob Box 3D print</v>
      </c>
      <c r="J380">
        <f ca="1">IFERROR(__xludf.DUMMYFUNCTION("""COMPUTED_VALUE"""),1)</f>
        <v>1</v>
      </c>
      <c r="K380" t="str">
        <f ca="1">IFERROR(__xludf.DUMMYFUNCTION("""COMPUTED_VALUE"""),"blank")</f>
        <v>blank</v>
      </c>
      <c r="L380">
        <f t="shared" ca="1" si="4"/>
        <v>0</v>
      </c>
      <c r="Q380" t="str">
        <f>IF(N380="","",SUMIFS('PR-BOM'!$D$3:$D1001,'PR-BOM'!$C$3:$C1001,N380))</f>
        <v/>
      </c>
      <c r="S380" t="str">
        <f ca="1">IFERROR(__xludf.DUMMYFUNCTION("""COMPUTED_VALUE"""),"SA12 9pin CM Pushpull")</f>
        <v>SA12 9pin CM Pushpull</v>
      </c>
      <c r="Y380" t="str">
        <f t="shared" si="5"/>
        <v/>
      </c>
      <c r="Z380" t="str">
        <f>IF(X380="","",SUMIFS(#REF!,RM!$C$4:$C991,X380))</f>
        <v/>
      </c>
      <c r="AA380" t="str">
        <f>IF(X380="","",SUMIFS(#REF!,RM!$C$4:$C991,X380))</f>
        <v/>
      </c>
      <c r="AB380" t="str">
        <f>IF(X380="","",SUMIFS(IRegback!$Y$2:$Y1001,IRegback!$X$2:$X1001,X380))</f>
        <v/>
      </c>
      <c r="AC380" t="e">
        <f t="shared" si="6"/>
        <v>#VALUE!</v>
      </c>
      <c r="AD380" t="str">
        <f>IF(X380="","",VLOOKUP($X380,RM!$C$4:$G991,3,FALSE))</f>
        <v/>
      </c>
      <c r="AE380" t="str">
        <f>IF(X380="","",VLOOKUP($X380,RM!$C$4:$G991,4,FALSE))</f>
        <v/>
      </c>
      <c r="AF380" t="str">
        <f>IF(X380="","",VLOOKUP($X380,RM!$C$4:$G991,5,FALSE))</f>
        <v/>
      </c>
      <c r="AH380" t="str">
        <f ca="1">IFERROR(__xludf.DUMMYFUNCTION("""COMPUTED_VALUE"""),"IP Remote Assy")</f>
        <v>IP Remote Assy</v>
      </c>
      <c r="AI380" t="str">
        <f ca="1">IFERROR(__xludf.DUMMYFUNCTION("""COMPUTED_VALUE"""),"R9M Antenna Extension wire RP-SMA to Open")</f>
        <v>R9M Antenna Extension wire RP-SMA to Open</v>
      </c>
      <c r="AJ380">
        <f ca="1">IFERROR(__xludf.DUMMYFUNCTION("""COMPUTED_VALUE"""),1)</f>
        <v>1</v>
      </c>
      <c r="AK380" t="str">
        <f ca="1">IFERROR(__xludf.DUMMYFUNCTION("""COMPUTED_VALUE"""),"blank")</f>
        <v>blank</v>
      </c>
      <c r="AL380" t="e">
        <f ca="1">_xludf.IFNA(VLOOKUP(AH380,'S-FG'!$B$3:$B1001,1,FALSE),"")</f>
        <v>#NAME?</v>
      </c>
      <c r="AM380" t="e">
        <f ca="1">IF(AI380="","",SUMIFS(#REF!,RM!$C$4:$C991,AI380))</f>
        <v>#REF!</v>
      </c>
    </row>
    <row r="381" spans="5:39">
      <c r="E381" t="str">
        <f>IF(A381="","",SUMIFS('PR-BOM'!$D$3:$D1001,'PR-BOM'!$C$3:$C1001,A381)*C381)</f>
        <v/>
      </c>
      <c r="F381" t="e">
        <f ca="1">_xludf.IFNA(VLOOKUP(B381,'S-FG'!$B$3:$B1001,1,FALSE),"")</f>
        <v>#NAME?</v>
      </c>
      <c r="H381" t="str">
        <f ca="1">IFERROR(__xludf.DUMMYFUNCTION("""COMPUTED_VALUE"""),"AMCA Elec Assy")</f>
        <v>AMCA Elec Assy</v>
      </c>
      <c r="I381" t="str">
        <f ca="1">IFERROR(__xludf.DUMMYFUNCTION("""COMPUTED_VALUE"""),"1N4007 THT diode")</f>
        <v>1N4007 THT diode</v>
      </c>
      <c r="J381">
        <f ca="1">IFERROR(__xludf.DUMMYFUNCTION("""COMPUTED_VALUE"""),4)</f>
        <v>4</v>
      </c>
      <c r="K381" t="str">
        <f ca="1">IFERROR(__xludf.DUMMYFUNCTION("""COMPUTED_VALUE"""),"blank")</f>
        <v>blank</v>
      </c>
      <c r="L381">
        <f t="shared" ca="1" si="4"/>
        <v>0</v>
      </c>
      <c r="Q381" t="str">
        <f>IF(N381="","",SUMIFS('PR-BOM'!$D$3:$D1001,'PR-BOM'!$C$3:$C1001,N381))</f>
        <v/>
      </c>
      <c r="S381" t="str">
        <f ca="1">IFERROR(__xludf.DUMMYFUNCTION("""COMPUTED_VALUE"""),"Rotary Knob Box 3D print")</f>
        <v>Rotary Knob Box 3D print</v>
      </c>
      <c r="Y381" t="str">
        <f t="shared" si="5"/>
        <v/>
      </c>
      <c r="Z381" t="str">
        <f>IF(X381="","",SUMIFS(#REF!,RM!$C$4:$C991,X381))</f>
        <v/>
      </c>
      <c r="AA381" t="str">
        <f>IF(X381="","",SUMIFS(#REF!,RM!$C$4:$C991,X381))</f>
        <v/>
      </c>
      <c r="AB381" t="str">
        <f>IF(X381="","",SUMIFS(IRegback!$Y$2:$Y1001,IRegback!$X$2:$X1001,X381))</f>
        <v/>
      </c>
      <c r="AC381" t="e">
        <f t="shared" si="6"/>
        <v>#VALUE!</v>
      </c>
      <c r="AD381" t="str">
        <f>IF(X381="","",VLOOKUP($X381,RM!$C$4:$G991,3,FALSE))</f>
        <v/>
      </c>
      <c r="AE381" t="str">
        <f>IF(X381="","",VLOOKUP($X381,RM!$C$4:$G991,4,FALSE))</f>
        <v/>
      </c>
      <c r="AF381" t="str">
        <f>IF(X381="","",VLOOKUP($X381,RM!$C$4:$G991,5,FALSE))</f>
        <v/>
      </c>
      <c r="AH381" t="str">
        <f ca="1">IFERROR(__xludf.DUMMYFUNCTION("""COMPUTED_VALUE"""),"IP Remote Assy")</f>
        <v>IP Remote Assy</v>
      </c>
      <c r="AI381" t="str">
        <f ca="1">IFERROR(__xludf.DUMMYFUNCTION("""COMPUTED_VALUE"""),"Black 14/38 Wire")</f>
        <v>Black 14/38 Wire</v>
      </c>
      <c r="AJ381">
        <f ca="1">IFERROR(__xludf.DUMMYFUNCTION("""COMPUTED_VALUE"""),0.2)</f>
        <v>0.2</v>
      </c>
      <c r="AL381" t="e">
        <f ca="1">_xludf.IFNA(VLOOKUP(AH381,'S-FG'!$B$3:$B1001,1,FALSE),"")</f>
        <v>#NAME?</v>
      </c>
      <c r="AM381" t="e">
        <f ca="1">IF(AI381="","",SUMIFS(#REF!,RM!$C$4:$C991,AI381))</f>
        <v>#REF!</v>
      </c>
    </row>
    <row r="382" spans="5:39">
      <c r="E382" t="str">
        <f>IF(A382="","",SUMIFS('PR-BOM'!$D$3:$D1001,'PR-BOM'!$C$3:$C1001,A382)*C382)</f>
        <v/>
      </c>
      <c r="F382" t="e">
        <f ca="1">_xludf.IFNA(VLOOKUP(B382,'S-FG'!$B$3:$B1001,1,FALSE),"")</f>
        <v>#NAME?</v>
      </c>
      <c r="H382" t="str">
        <f ca="1">IFERROR(__xludf.DUMMYFUNCTION("""COMPUTED_VALUE"""),"AMCA Elec Assy")</f>
        <v>AMCA Elec Assy</v>
      </c>
      <c r="I382" t="str">
        <f ca="1">IFERROR(__xludf.DUMMYFUNCTION("""COMPUTED_VALUE"""),"Water flow sensor")</f>
        <v>Water flow sensor</v>
      </c>
      <c r="J382">
        <f ca="1">IFERROR(__xludf.DUMMYFUNCTION("""COMPUTED_VALUE"""),1)</f>
        <v>1</v>
      </c>
      <c r="K382" t="str">
        <f ca="1">IFERROR(__xludf.DUMMYFUNCTION("""COMPUTED_VALUE"""),"blank")</f>
        <v>blank</v>
      </c>
      <c r="L382">
        <f t="shared" ca="1" si="4"/>
        <v>0</v>
      </c>
      <c r="Q382" t="str">
        <f>IF(N382="","",SUMIFS('PR-BOM'!$D$3:$D1001,'PR-BOM'!$C$3:$C1001,N382))</f>
        <v/>
      </c>
      <c r="S382" t="str">
        <f ca="1">IFERROR(__xludf.DUMMYFUNCTION("""COMPUTED_VALUE"""),"1N4007 THT diode")</f>
        <v>1N4007 THT diode</v>
      </c>
      <c r="Y382" t="str">
        <f t="shared" si="5"/>
        <v/>
      </c>
      <c r="Z382" t="str">
        <f>IF(X382="","",SUMIFS(#REF!,RM!$C$4:$C991,X382))</f>
        <v/>
      </c>
      <c r="AA382" t="str">
        <f>IF(X382="","",SUMIFS(#REF!,RM!$C$4:$C991,X382))</f>
        <v/>
      </c>
      <c r="AB382" t="str">
        <f>IF(X382="","",SUMIFS(IRegback!$Y$2:$Y1001,IRegback!$X$2:$X1001,X382))</f>
        <v/>
      </c>
      <c r="AC382" t="e">
        <f t="shared" si="6"/>
        <v>#VALUE!</v>
      </c>
      <c r="AD382" t="str">
        <f>IF(X382="","",VLOOKUP($X382,RM!$C$4:$G991,3,FALSE))</f>
        <v/>
      </c>
      <c r="AE382" t="str">
        <f>IF(X382="","",VLOOKUP($X382,RM!$C$4:$G991,4,FALSE))</f>
        <v/>
      </c>
      <c r="AF382" t="str">
        <f>IF(X382="","",VLOOKUP($X382,RM!$C$4:$G991,5,FALSE))</f>
        <v/>
      </c>
      <c r="AH382" t="str">
        <f ca="1">IFERROR(__xludf.DUMMYFUNCTION("""COMPUTED_VALUE"""),"IP Remote Assy")</f>
        <v>IP Remote Assy</v>
      </c>
      <c r="AI382" t="str">
        <f ca="1">IFERROR(__xludf.DUMMYFUNCTION("""COMPUTED_VALUE"""),"White 14/38 Wire")</f>
        <v>White 14/38 Wire</v>
      </c>
      <c r="AJ382">
        <f ca="1">IFERROR(__xludf.DUMMYFUNCTION("""COMPUTED_VALUE"""),0.2)</f>
        <v>0.2</v>
      </c>
      <c r="AL382" t="e">
        <f ca="1">_xludf.IFNA(VLOOKUP(AH382,'S-FG'!$B$3:$B1001,1,FALSE),"")</f>
        <v>#NAME?</v>
      </c>
      <c r="AM382" t="e">
        <f ca="1">IF(AI382="","",SUMIFS(#REF!,RM!$C$4:$C991,AI382))</f>
        <v>#REF!</v>
      </c>
    </row>
    <row r="383" spans="5:39">
      <c r="E383" t="str">
        <f>IF(A383="","",SUMIFS('PR-BOM'!$D$3:$D1001,'PR-BOM'!$C$3:$C1001,A383)*C383)</f>
        <v/>
      </c>
      <c r="F383" t="e">
        <f ca="1">_xludf.IFNA(VLOOKUP(B383,'S-FG'!$B$3:$B1001,1,FALSE),"")</f>
        <v>#NAME?</v>
      </c>
      <c r="H383" t="str">
        <f ca="1">IFERROR(__xludf.DUMMYFUNCTION("""COMPUTED_VALUE"""),"AMCA Elec Assy")</f>
        <v>AMCA Elec Assy</v>
      </c>
      <c r="I383" t="str">
        <f ca="1">IFERROR(__xludf.DUMMYFUNCTION("""COMPUTED_VALUE"""),"Water pump")</f>
        <v>Water pump</v>
      </c>
      <c r="J383">
        <f ca="1">IFERROR(__xludf.DUMMYFUNCTION("""COMPUTED_VALUE"""),1)</f>
        <v>1</v>
      </c>
      <c r="K383" t="str">
        <f ca="1">IFERROR(__xludf.DUMMYFUNCTION("""COMPUTED_VALUE"""),"blank")</f>
        <v>blank</v>
      </c>
      <c r="L383">
        <f t="shared" ca="1" si="4"/>
        <v>0</v>
      </c>
      <c r="Q383" t="str">
        <f>IF(N383="","",SUMIFS('PR-BOM'!$D$3:$D1001,'PR-BOM'!$C$3:$C1001,N383))</f>
        <v/>
      </c>
      <c r="S383" t="str">
        <f ca="1">IFERROR(__xludf.DUMMYFUNCTION("""COMPUTED_VALUE"""),"Water flow sensor")</f>
        <v>Water flow sensor</v>
      </c>
      <c r="Y383" t="str">
        <f t="shared" si="5"/>
        <v/>
      </c>
      <c r="Z383" t="str">
        <f>IF(X383="","",SUMIFS(#REF!,RM!$C$4:$C991,X383))</f>
        <v/>
      </c>
      <c r="AA383" t="str">
        <f>IF(X383="","",SUMIFS(#REF!,RM!$C$4:$C991,X383))</f>
        <v/>
      </c>
      <c r="AB383" t="str">
        <f>IF(X383="","",SUMIFS(IRegback!$Y$2:$Y1001,IRegback!$X$2:$X1001,X383))</f>
        <v/>
      </c>
      <c r="AC383" t="e">
        <f t="shared" si="6"/>
        <v>#VALUE!</v>
      </c>
      <c r="AD383" t="str">
        <f>IF(X383="","",VLOOKUP($X383,RM!$C$4:$G991,3,FALSE))</f>
        <v/>
      </c>
      <c r="AE383" t="str">
        <f>IF(X383="","",VLOOKUP($X383,RM!$C$4:$G991,4,FALSE))</f>
        <v/>
      </c>
      <c r="AF383" t="str">
        <f>IF(X383="","",VLOOKUP($X383,RM!$C$4:$G991,5,FALSE))</f>
        <v/>
      </c>
      <c r="AH383" t="str">
        <f ca="1">IFERROR(__xludf.DUMMYFUNCTION("""COMPUTED_VALUE"""),"IP Remote Assy")</f>
        <v>IP Remote Assy</v>
      </c>
      <c r="AI383" t="str">
        <f ca="1">IFERROR(__xludf.DUMMYFUNCTION("""COMPUTED_VALUE"""),"Sky Blue 14/38 Wire")</f>
        <v>Sky Blue 14/38 Wire</v>
      </c>
      <c r="AJ383">
        <f ca="1">IFERROR(__xludf.DUMMYFUNCTION("""COMPUTED_VALUE"""),0.2)</f>
        <v>0.2</v>
      </c>
      <c r="AL383" t="e">
        <f ca="1">_xludf.IFNA(VLOOKUP(AH383,'S-FG'!$B$3:$B1001,1,FALSE),"")</f>
        <v>#NAME?</v>
      </c>
      <c r="AM383" t="e">
        <f ca="1">IF(AI383="","",SUMIFS(#REF!,RM!$C$4:$C991,AI383))</f>
        <v>#REF!</v>
      </c>
    </row>
    <row r="384" spans="5:39">
      <c r="E384" t="str">
        <f>IF(A384="","",SUMIFS('PR-BOM'!$D$3:$D1001,'PR-BOM'!$C$3:$C1001,A384)*C384)</f>
        <v/>
      </c>
      <c r="F384" t="e">
        <f ca="1">_xludf.IFNA(VLOOKUP(B384,'S-FG'!$B$3:$B1001,1,FALSE),"")</f>
        <v>#NAME?</v>
      </c>
      <c r="H384" t="str">
        <f ca="1">IFERROR(__xludf.DUMMYFUNCTION("""COMPUTED_VALUE"""),"AMCA Elec Assy")</f>
        <v>AMCA Elec Assy</v>
      </c>
      <c r="I384" t="str">
        <f ca="1">IFERROR(__xludf.DUMMYFUNCTION("""COMPUTED_VALUE"""),"3S Lipo indicator")</f>
        <v>3S Lipo indicator</v>
      </c>
      <c r="J384">
        <f ca="1">IFERROR(__xludf.DUMMYFUNCTION("""COMPUTED_VALUE"""),1)</f>
        <v>1</v>
      </c>
      <c r="K384" t="str">
        <f ca="1">IFERROR(__xludf.DUMMYFUNCTION("""COMPUTED_VALUE"""),"blank")</f>
        <v>blank</v>
      </c>
      <c r="L384">
        <f t="shared" ca="1" si="4"/>
        <v>0</v>
      </c>
      <c r="Q384" t="str">
        <f>IF(N384="","",SUMIFS('PR-BOM'!$D$3:$D1001,'PR-BOM'!$C$3:$C1001,N384))</f>
        <v/>
      </c>
      <c r="S384" t="str">
        <f ca="1">IFERROR(__xludf.DUMMYFUNCTION("""COMPUTED_VALUE"""),"Water pump")</f>
        <v>Water pump</v>
      </c>
      <c r="Y384" t="str">
        <f t="shared" si="5"/>
        <v/>
      </c>
      <c r="Z384" t="str">
        <f>IF(X384="","",SUMIFS(#REF!,RM!$C$4:$C991,X384))</f>
        <v/>
      </c>
      <c r="AA384" t="str">
        <f>IF(X384="","",SUMIFS(#REF!,RM!$C$4:$C991,X384))</f>
        <v/>
      </c>
      <c r="AB384" t="str">
        <f>IF(X384="","",SUMIFS(IRegback!$Y$2:$Y1001,IRegback!$X$2:$X1001,X384))</f>
        <v/>
      </c>
      <c r="AC384" t="e">
        <f t="shared" si="6"/>
        <v>#VALUE!</v>
      </c>
      <c r="AD384" t="str">
        <f>IF(X384="","",VLOOKUP($X384,RM!$C$4:$G991,3,FALSE))</f>
        <v/>
      </c>
      <c r="AE384" t="str">
        <f>IF(X384="","",VLOOKUP($X384,RM!$C$4:$G991,4,FALSE))</f>
        <v/>
      </c>
      <c r="AF384" t="str">
        <f>IF(X384="","",VLOOKUP($X384,RM!$C$4:$G991,5,FALSE))</f>
        <v/>
      </c>
      <c r="AH384" t="str">
        <f ca="1">IFERROR(__xludf.DUMMYFUNCTION("""COMPUTED_VALUE"""),"IP Remote Assy")</f>
        <v>IP Remote Assy</v>
      </c>
      <c r="AI384" t="str">
        <f ca="1">IFERROR(__xludf.DUMMYFUNCTION("""COMPUTED_VALUE"""),"Red 14/38 wire")</f>
        <v>Red 14/38 wire</v>
      </c>
      <c r="AJ384">
        <f ca="1">IFERROR(__xludf.DUMMYFUNCTION("""COMPUTED_VALUE"""),0.2)</f>
        <v>0.2</v>
      </c>
      <c r="AL384" t="e">
        <f ca="1">_xludf.IFNA(VLOOKUP(AH384,'S-FG'!$B$3:$B1001,1,FALSE),"")</f>
        <v>#NAME?</v>
      </c>
      <c r="AM384" t="e">
        <f ca="1">IF(AI384="","",SUMIFS(#REF!,RM!$C$4:$C991,AI384))</f>
        <v>#REF!</v>
      </c>
    </row>
    <row r="385" spans="5:39">
      <c r="E385" t="str">
        <f>IF(A385="","",SUMIFS('PR-BOM'!$D$3:$D1001,'PR-BOM'!$C$3:$C1001,A385)*C385)</f>
        <v/>
      </c>
      <c r="F385" t="e">
        <f ca="1">_xludf.IFNA(VLOOKUP(B385,'S-FG'!$B$3:$B1001,1,FALSE),"")</f>
        <v>#NAME?</v>
      </c>
      <c r="H385" t="str">
        <f ca="1">IFERROR(__xludf.DUMMYFUNCTION("""COMPUTED_VALUE"""),"AMCA Elec Assy")</f>
        <v>AMCA Elec Assy</v>
      </c>
      <c r="I385" t="str">
        <f ca="1">IFERROR(__xludf.DUMMYFUNCTION("""COMPUTED_VALUE"""),"Lipo Indicator Casings")</f>
        <v>Lipo Indicator Casings</v>
      </c>
      <c r="J385">
        <f ca="1">IFERROR(__xludf.DUMMYFUNCTION("""COMPUTED_VALUE"""),1)</f>
        <v>1</v>
      </c>
      <c r="L385">
        <f t="shared" ca="1" si="4"/>
        <v>0</v>
      </c>
      <c r="Q385" t="str">
        <f>IF(N385="","",SUMIFS('PR-BOM'!$D$3:$D1001,'PR-BOM'!$C$3:$C1001,N385))</f>
        <v/>
      </c>
      <c r="S385" t="str">
        <f ca="1">IFERROR(__xludf.DUMMYFUNCTION("""COMPUTED_VALUE"""),"3S Lipo indicator")</f>
        <v>3S Lipo indicator</v>
      </c>
      <c r="Y385" t="str">
        <f t="shared" si="5"/>
        <v/>
      </c>
      <c r="Z385" t="str">
        <f>IF(X385="","",SUMIFS(#REF!,RM!$C$4:$C991,X385))</f>
        <v/>
      </c>
      <c r="AA385" t="str">
        <f>IF(X385="","",SUMIFS(#REF!,RM!$C$4:$C991,X385))</f>
        <v/>
      </c>
      <c r="AB385" t="str">
        <f>IF(X385="","",SUMIFS(IRegback!$Y$2:$Y1001,IRegback!$X$2:$X1001,X385))</f>
        <v/>
      </c>
      <c r="AC385" t="e">
        <f t="shared" si="6"/>
        <v>#VALUE!</v>
      </c>
      <c r="AD385" t="str">
        <f>IF(X385="","",VLOOKUP($X385,RM!$C$4:$G991,3,FALSE))</f>
        <v/>
      </c>
      <c r="AE385" t="str">
        <f>IF(X385="","",VLOOKUP($X385,RM!$C$4:$G991,4,FALSE))</f>
        <v/>
      </c>
      <c r="AF385" t="str">
        <f>IF(X385="","",VLOOKUP($X385,RM!$C$4:$G991,5,FALSE))</f>
        <v/>
      </c>
      <c r="AH385" t="str">
        <f ca="1">IFERROR(__xludf.DUMMYFUNCTION("""COMPUTED_VALUE"""),"IP Remote Assy")</f>
        <v>IP Remote Assy</v>
      </c>
      <c r="AI385" t="str">
        <f ca="1">IFERROR(__xludf.DUMMYFUNCTION("""COMPUTED_VALUE"""),"Yellow 14/38 Wire")</f>
        <v>Yellow 14/38 Wire</v>
      </c>
      <c r="AJ385">
        <f ca="1">IFERROR(__xludf.DUMMYFUNCTION("""COMPUTED_VALUE"""),0.2)</f>
        <v>0.2</v>
      </c>
      <c r="AL385" t="e">
        <f ca="1">_xludf.IFNA(VLOOKUP(AH385,'S-FG'!$B$3:$B1001,1,FALSE),"")</f>
        <v>#NAME?</v>
      </c>
      <c r="AM385" t="e">
        <f ca="1">IF(AI385="","",SUMIFS(#REF!,RM!$C$4:$C991,AI385))</f>
        <v>#REF!</v>
      </c>
    </row>
    <row r="386" spans="5:39">
      <c r="E386" t="str">
        <f>IF(A386="","",SUMIFS('PR-BOM'!$D$3:$D1001,'PR-BOM'!$C$3:$C1001,A386)*C386)</f>
        <v/>
      </c>
      <c r="F386" t="e">
        <f ca="1">_xludf.IFNA(VLOOKUP(B386,'S-FG'!$B$3:$B1001,1,FALSE),"")</f>
        <v>#NAME?</v>
      </c>
      <c r="H386" t="str">
        <f ca="1">IFERROR(__xludf.DUMMYFUNCTION("""COMPUTED_VALUE"""),"AMCA Elec Assy")</f>
        <v>AMCA Elec Assy</v>
      </c>
      <c r="I386" t="str">
        <f ca="1">IFERROR(__xludf.DUMMYFUNCTION("""COMPUTED_VALUE"""),"LM2596HW for PC")</f>
        <v>LM2596HW for PC</v>
      </c>
      <c r="J386">
        <f ca="1">IFERROR(__xludf.DUMMYFUNCTION("""COMPUTED_VALUE"""),1)</f>
        <v>1</v>
      </c>
      <c r="K386" t="str">
        <f ca="1">IFERROR(__xludf.DUMMYFUNCTION("""COMPUTED_VALUE"""),"blank")</f>
        <v>blank</v>
      </c>
      <c r="L386">
        <f t="shared" ca="1" si="4"/>
        <v>0</v>
      </c>
      <c r="Q386" t="str">
        <f>IF(N386="","",SUMIFS('PR-BOM'!$D$3:$D1001,'PR-BOM'!$C$3:$C1001,N386))</f>
        <v/>
      </c>
      <c r="S386" t="str">
        <f ca="1">IFERROR(__xludf.DUMMYFUNCTION("""COMPUTED_VALUE"""),"Lipo Indicator Casings")</f>
        <v>Lipo Indicator Casings</v>
      </c>
      <c r="Y386" t="str">
        <f t="shared" si="5"/>
        <v/>
      </c>
      <c r="Z386" t="str">
        <f>IF(X386="","",SUMIFS(#REF!,RM!$C$4:$C991,X386))</f>
        <v/>
      </c>
      <c r="AA386" t="str">
        <f>IF(X386="","",SUMIFS(#REF!,RM!$C$4:$C991,X386))</f>
        <v/>
      </c>
      <c r="AB386" t="str">
        <f>IF(X386="","",SUMIFS(IRegback!$Y$2:$Y1001,IRegback!$X$2:$X1001,X386))</f>
        <v/>
      </c>
      <c r="AC386" t="e">
        <f t="shared" si="6"/>
        <v>#VALUE!</v>
      </c>
      <c r="AD386" t="str">
        <f>IF(X386="","",VLOOKUP($X386,RM!$C$4:$G991,3,FALSE))</f>
        <v/>
      </c>
      <c r="AE386" t="str">
        <f>IF(X386="","",VLOOKUP($X386,RM!$C$4:$G991,4,FALSE))</f>
        <v/>
      </c>
      <c r="AF386" t="str">
        <f>IF(X386="","",VLOOKUP($X386,RM!$C$4:$G991,5,FALSE))</f>
        <v/>
      </c>
      <c r="AH386" t="str">
        <f ca="1">IFERROR(__xludf.DUMMYFUNCTION("""COMPUTED_VALUE"""),"IP Remote Assy")</f>
        <v>IP Remote Assy</v>
      </c>
      <c r="AI386" t="str">
        <f ca="1">IFERROR(__xludf.DUMMYFUNCTION("""COMPUTED_VALUE"""),"Orange 14/38 Wire")</f>
        <v>Orange 14/38 Wire</v>
      </c>
      <c r="AJ386">
        <f ca="1">IFERROR(__xludf.DUMMYFUNCTION("""COMPUTED_VALUE"""),0.2)</f>
        <v>0.2</v>
      </c>
      <c r="AL386" t="e">
        <f ca="1">_xludf.IFNA(VLOOKUP(AH386,'S-FG'!$B$3:$B1001,1,FALSE),"")</f>
        <v>#NAME?</v>
      </c>
      <c r="AM386" t="e">
        <f ca="1">IF(AI386="","",SUMIFS(#REF!,RM!$C$4:$C991,AI386))</f>
        <v>#REF!</v>
      </c>
    </row>
    <row r="387" spans="5:39">
      <c r="E387" t="str">
        <f>IF(A387="","",SUMIFS('PR-BOM'!$D$3:$D1001,'PR-BOM'!$C$3:$C1001,A387)*C387)</f>
        <v/>
      </c>
      <c r="F387" t="e">
        <f ca="1">_xludf.IFNA(VLOOKUP(B387,'S-FG'!$B$3:$B1001,1,FALSE),"")</f>
        <v>#NAME?</v>
      </c>
      <c r="H387" t="str">
        <f ca="1">IFERROR(__xludf.DUMMYFUNCTION("""COMPUTED_VALUE"""),"AMCA Elec Assy")</f>
        <v>AMCA Elec Assy</v>
      </c>
      <c r="I387" t="str">
        <f ca="1">IFERROR(__xludf.DUMMYFUNCTION("""COMPUTED_VALUE"""),"Momentary Switch JCB")</f>
        <v>Momentary Switch JCB</v>
      </c>
      <c r="J387">
        <f ca="1">IFERROR(__xludf.DUMMYFUNCTION("""COMPUTED_VALUE"""),1)</f>
        <v>1</v>
      </c>
      <c r="L387">
        <f t="shared" ca="1" si="4"/>
        <v>0</v>
      </c>
      <c r="Q387" t="str">
        <f>IF(N387="","",SUMIFS('PR-BOM'!$D$3:$D1001,'PR-BOM'!$C$3:$C1001,N387))</f>
        <v/>
      </c>
      <c r="S387" t="str">
        <f ca="1">IFERROR(__xludf.DUMMYFUNCTION("""COMPUTED_VALUE"""),"LM2596HW for PC")</f>
        <v>LM2596HW for PC</v>
      </c>
      <c r="Y387" t="str">
        <f t="shared" si="5"/>
        <v/>
      </c>
      <c r="Z387" t="str">
        <f>IF(X387="","",SUMIFS(#REF!,RM!$C$4:$C991,X387))</f>
        <v/>
      </c>
      <c r="AA387" t="str">
        <f>IF(X387="","",SUMIFS(#REF!,RM!$C$4:$C991,X387))</f>
        <v/>
      </c>
      <c r="AB387" t="str">
        <f>IF(X387="","",SUMIFS(IRegback!$Y$2:$Y1001,IRegback!$X$2:$X1001,X387))</f>
        <v/>
      </c>
      <c r="AC387" t="e">
        <f t="shared" si="6"/>
        <v>#VALUE!</v>
      </c>
      <c r="AD387" t="str">
        <f>IF(X387="","",VLOOKUP($X387,RM!$C$4:$G991,3,FALSE))</f>
        <v/>
      </c>
      <c r="AE387" t="str">
        <f>IF(X387="","",VLOOKUP($X387,RM!$C$4:$G991,4,FALSE))</f>
        <v/>
      </c>
      <c r="AF387" t="str">
        <f>IF(X387="","",VLOOKUP($X387,RM!$C$4:$G991,5,FALSE))</f>
        <v/>
      </c>
      <c r="AH387" t="str">
        <f ca="1">IFERROR(__xludf.DUMMYFUNCTION("""COMPUTED_VALUE"""),"IP Remote Assy")</f>
        <v>IP Remote Assy</v>
      </c>
      <c r="AI387" t="str">
        <f ca="1">IFERROR(__xludf.DUMMYFUNCTION("""COMPUTED_VALUE"""),"Green 14/38 Wire")</f>
        <v>Green 14/38 Wire</v>
      </c>
      <c r="AJ387">
        <f ca="1">IFERROR(__xludf.DUMMYFUNCTION("""COMPUTED_VALUE"""),0.2)</f>
        <v>0.2</v>
      </c>
      <c r="AL387" t="e">
        <f ca="1">_xludf.IFNA(VLOOKUP(AH387,'S-FG'!$B$3:$B1001,1,FALSE),"")</f>
        <v>#NAME?</v>
      </c>
      <c r="AM387" t="e">
        <f ca="1">IF(AI387="","",SUMIFS(#REF!,RM!$C$4:$C991,AI387))</f>
        <v>#REF!</v>
      </c>
    </row>
    <row r="388" spans="5:39">
      <c r="E388" t="str">
        <f>IF(A388="","",SUMIFS('PR-BOM'!$D$3:$D1001,'PR-BOM'!$C$3:$C1001,A388)*C388)</f>
        <v/>
      </c>
      <c r="F388" t="e">
        <f ca="1">_xludf.IFNA(VLOOKUP(B388,'S-FG'!$B$3:$B1001,1,FALSE),"")</f>
        <v>#NAME?</v>
      </c>
      <c r="H388" t="str">
        <f ca="1">IFERROR(__xludf.DUMMYFUNCTION("""COMPUTED_VALUE"""),"AMCA Elec Assy")</f>
        <v>AMCA Elec Assy</v>
      </c>
      <c r="I388" t="str">
        <f ca="1">IFERROR(__xludf.DUMMYFUNCTION("""COMPUTED_VALUE"""),"Latching Power switch JCB")</f>
        <v>Latching Power switch JCB</v>
      </c>
      <c r="J388">
        <f ca="1">IFERROR(__xludf.DUMMYFUNCTION("""COMPUTED_VALUE"""),1)</f>
        <v>1</v>
      </c>
      <c r="L388">
        <f t="shared" ca="1" si="4"/>
        <v>0</v>
      </c>
      <c r="Q388" t="str">
        <f>IF(N388="","",SUMIFS('PR-BOM'!$D$3:$D1001,'PR-BOM'!$C$3:$C1001,N388))</f>
        <v/>
      </c>
      <c r="S388" t="str">
        <f ca="1">IFERROR(__xludf.DUMMYFUNCTION("""COMPUTED_VALUE"""),"Momentary Switch JCB")</f>
        <v>Momentary Switch JCB</v>
      </c>
      <c r="Y388" t="str">
        <f t="shared" si="5"/>
        <v/>
      </c>
      <c r="Z388" t="str">
        <f>IF(X388="","",SUMIFS(#REF!,RM!$C$4:$C991,X388))</f>
        <v/>
      </c>
      <c r="AA388" t="str">
        <f>IF(X388="","",SUMIFS(#REF!,RM!$C$4:$C991,X388))</f>
        <v/>
      </c>
      <c r="AB388" t="str">
        <f>IF(X388="","",SUMIFS(IRegback!$Y$2:$Y1001,IRegback!$X$2:$X1001,X388))</f>
        <v/>
      </c>
      <c r="AC388" t="e">
        <f t="shared" si="6"/>
        <v>#VALUE!</v>
      </c>
      <c r="AD388" t="str">
        <f>IF(X388="","",VLOOKUP($X388,RM!$C$4:$G991,3,FALSE))</f>
        <v/>
      </c>
      <c r="AE388" t="str">
        <f>IF(X388="","",VLOOKUP($X388,RM!$C$4:$G991,4,FALSE))</f>
        <v/>
      </c>
      <c r="AF388" t="str">
        <f>IF(X388="","",VLOOKUP($X388,RM!$C$4:$G991,5,FALSE))</f>
        <v/>
      </c>
      <c r="AH388" t="str">
        <f ca="1">IFERROR(__xludf.DUMMYFUNCTION("""COMPUTED_VALUE"""),"IP Remote Assy")</f>
        <v>IP Remote Assy</v>
      </c>
      <c r="AI388" t="str">
        <f ca="1">IFERROR(__xludf.DUMMYFUNCTION("""COMPUTED_VALUE"""),"Purple 14/38 Wire")</f>
        <v>Purple 14/38 Wire</v>
      </c>
      <c r="AJ388">
        <f ca="1">IFERROR(__xludf.DUMMYFUNCTION("""COMPUTED_VALUE"""),0.2)</f>
        <v>0.2</v>
      </c>
      <c r="AL388" t="e">
        <f ca="1">_xludf.IFNA(VLOOKUP(AH388,'S-FG'!$B$3:$B1001,1,FALSE),"")</f>
        <v>#NAME?</v>
      </c>
      <c r="AM388" t="e">
        <f ca="1">IF(AI388="","",SUMIFS(#REF!,RM!$C$4:$C991,AI388))</f>
        <v>#REF!</v>
      </c>
    </row>
    <row r="389" spans="5:39">
      <c r="E389" t="str">
        <f>IF(A389="","",SUMIFS('PR-BOM'!$D$3:$D1001,'PR-BOM'!$C$3:$C1001,A389)*C389)</f>
        <v/>
      </c>
      <c r="F389" t="e">
        <f ca="1">_xludf.IFNA(VLOOKUP(B389,'S-FG'!$B$3:$B1001,1,FALSE),"")</f>
        <v>#NAME?</v>
      </c>
      <c r="H389" t="str">
        <f ca="1">IFERROR(__xludf.DUMMYFUNCTION("""COMPUTED_VALUE"""),"AMCA Elec Assy")</f>
        <v>AMCA Elec Assy</v>
      </c>
      <c r="I389" t="str">
        <f ca="1">IFERROR(__xludf.DUMMYFUNCTION("""COMPUTED_VALUE"""),"PWB for JCB")</f>
        <v>PWB for JCB</v>
      </c>
      <c r="J389">
        <f ca="1">IFERROR(__xludf.DUMMYFUNCTION("""COMPUTED_VALUE"""),1)</f>
        <v>1</v>
      </c>
      <c r="K389" t="str">
        <f ca="1">IFERROR(__xludf.DUMMYFUNCTION("""COMPUTED_VALUE"""),"blank")</f>
        <v>blank</v>
      </c>
      <c r="L389">
        <f t="shared" ca="1" si="4"/>
        <v>0</v>
      </c>
      <c r="Q389" t="str">
        <f>IF(N389="","",SUMIFS('PR-BOM'!$D$3:$D1001,'PR-BOM'!$C$3:$C1001,N389))</f>
        <v/>
      </c>
      <c r="S389" t="str">
        <f ca="1">IFERROR(__xludf.DUMMYFUNCTION("""COMPUTED_VALUE"""),"Latching Power switch JCB")</f>
        <v>Latching Power switch JCB</v>
      </c>
      <c r="Y389" t="str">
        <f t="shared" si="5"/>
        <v/>
      </c>
      <c r="Z389" t="str">
        <f>IF(X389="","",SUMIFS(#REF!,RM!$C$4:$C991,X389))</f>
        <v/>
      </c>
      <c r="AA389" t="str">
        <f>IF(X389="","",SUMIFS(#REF!,RM!$C$4:$C991,X389))</f>
        <v/>
      </c>
      <c r="AB389" t="str">
        <f>IF(X389="","",SUMIFS(IRegback!$Y$2:$Y1001,IRegback!$X$2:$X1001,X389))</f>
        <v/>
      </c>
      <c r="AC389" t="e">
        <f t="shared" si="6"/>
        <v>#VALUE!</v>
      </c>
      <c r="AD389" t="str">
        <f>IF(X389="","",VLOOKUP($X389,RM!$C$4:$G991,3,FALSE))</f>
        <v/>
      </c>
      <c r="AE389" t="str">
        <f>IF(X389="","",VLOOKUP($X389,RM!$C$4:$G991,4,FALSE))</f>
        <v/>
      </c>
      <c r="AF389" t="str">
        <f>IF(X389="","",VLOOKUP($X389,RM!$C$4:$G991,5,FALSE))</f>
        <v/>
      </c>
      <c r="AH389" t="str">
        <f ca="1">IFERROR(__xludf.DUMMYFUNCTION("""COMPUTED_VALUE"""),"IP Remote Assy")</f>
        <v>IP Remote Assy</v>
      </c>
      <c r="AI389" t="str">
        <f ca="1">IFERROR(__xludf.DUMMYFUNCTION("""COMPUTED_VALUE"""),"Brown 14/38 Wire")</f>
        <v>Brown 14/38 Wire</v>
      </c>
      <c r="AJ389">
        <f ca="1">IFERROR(__xludf.DUMMYFUNCTION("""COMPUTED_VALUE"""),0.2)</f>
        <v>0.2</v>
      </c>
      <c r="AL389" t="e">
        <f ca="1">_xludf.IFNA(VLOOKUP(AH389,'S-FG'!$B$3:$B1001,1,FALSE),"")</f>
        <v>#NAME?</v>
      </c>
      <c r="AM389" t="e">
        <f ca="1">IF(AI389="","",SUMIFS(#REF!,RM!$C$4:$C991,AI389))</f>
        <v>#REF!</v>
      </c>
    </row>
    <row r="390" spans="5:39">
      <c r="E390" t="str">
        <f>IF(A390="","",SUMIFS('PR-BOM'!$D$3:$D1001,'PR-BOM'!$C$3:$C1001,A390)*C390)</f>
        <v/>
      </c>
      <c r="F390" t="e">
        <f ca="1">_xludf.IFNA(VLOOKUP(B390,'S-FG'!$B$3:$B1001,1,FALSE),"")</f>
        <v>#NAME?</v>
      </c>
      <c r="H390" t="str">
        <f ca="1">IFERROR(__xludf.DUMMYFUNCTION("""COMPUTED_VALUE"""),"AMCA Elec Assy")</f>
        <v>AMCA Elec Assy</v>
      </c>
      <c r="I390" t="str">
        <f ca="1">IFERROR(__xludf.DUMMYFUNCTION("""COMPUTED_VALUE"""),"3S, &gt;2Ah Li-Ion cell for JCB")</f>
        <v>3S, &gt;2Ah Li-Ion cell for JCB</v>
      </c>
      <c r="J390">
        <f ca="1">IFERROR(__xludf.DUMMYFUNCTION("""COMPUTED_VALUE"""),3)</f>
        <v>3</v>
      </c>
      <c r="K390" t="str">
        <f ca="1">IFERROR(__xludf.DUMMYFUNCTION("""COMPUTED_VALUE"""),"blank")</f>
        <v>blank</v>
      </c>
      <c r="L390">
        <f t="shared" ca="1" si="4"/>
        <v>0</v>
      </c>
      <c r="Q390" t="str">
        <f>IF(N390="","",SUMIFS('PR-BOM'!$D$3:$D1001,'PR-BOM'!$C$3:$C1001,N390))</f>
        <v/>
      </c>
      <c r="S390" t="str">
        <f ca="1">IFERROR(__xludf.DUMMYFUNCTION("""COMPUTED_VALUE"""),"PWB for JCB")</f>
        <v>PWB for JCB</v>
      </c>
      <c r="Y390" t="str">
        <f t="shared" si="5"/>
        <v/>
      </c>
      <c r="Z390" t="str">
        <f>IF(X390="","",SUMIFS(#REF!,RM!$C$4:$C991,X390))</f>
        <v/>
      </c>
      <c r="AA390" t="str">
        <f>IF(X390="","",SUMIFS(#REF!,RM!$C$4:$C991,X390))</f>
        <v/>
      </c>
      <c r="AB390" t="str">
        <f>IF(X390="","",SUMIFS(IRegback!$Y$2:$Y1001,IRegback!$X$2:$X1001,X390))</f>
        <v/>
      </c>
      <c r="AC390" t="e">
        <f t="shared" si="6"/>
        <v>#VALUE!</v>
      </c>
      <c r="AD390" t="str">
        <f>IF(X390="","",VLOOKUP($X390,RM!$C$4:$G991,3,FALSE))</f>
        <v/>
      </c>
      <c r="AE390" t="str">
        <f>IF(X390="","",VLOOKUP($X390,RM!$C$4:$G991,4,FALSE))</f>
        <v/>
      </c>
      <c r="AF390" t="str">
        <f>IF(X390="","",VLOOKUP($X390,RM!$C$4:$G991,5,FALSE))</f>
        <v/>
      </c>
      <c r="AH390" t="str">
        <f ca="1">IFERROR(__xludf.DUMMYFUNCTION("""COMPUTED_VALUE"""),"IP Remote Assy")</f>
        <v>IP Remote Assy</v>
      </c>
      <c r="AI390" t="str">
        <f ca="1">IFERROR(__xludf.DUMMYFUNCTION("""COMPUTED_VALUE"""),"SA12 9pin PM Pushpull")</f>
        <v>SA12 9pin PM Pushpull</v>
      </c>
      <c r="AJ390">
        <f ca="1">IFERROR(__xludf.DUMMYFUNCTION("""COMPUTED_VALUE"""),1)</f>
        <v>1</v>
      </c>
      <c r="AK390" t="str">
        <f ca="1">IFERROR(__xludf.DUMMYFUNCTION("""COMPUTED_VALUE"""),"blank")</f>
        <v>blank</v>
      </c>
      <c r="AL390" t="e">
        <f ca="1">_xludf.IFNA(VLOOKUP(AH390,'S-FG'!$B$3:$B1001,1,FALSE),"")</f>
        <v>#NAME?</v>
      </c>
      <c r="AM390" t="e">
        <f ca="1">IF(AI390="","",SUMIFS(#REF!,RM!$C$4:$C991,AI390))</f>
        <v>#REF!</v>
      </c>
    </row>
    <row r="391" spans="5:39">
      <c r="E391" t="str">
        <f>IF(A391="","",SUMIFS('PR-BOM'!$D$3:$D1001,'PR-BOM'!$C$3:$C1001,A391)*C391)</f>
        <v/>
      </c>
      <c r="F391" t="e">
        <f ca="1">_xludf.IFNA(VLOOKUP(B391,'S-FG'!$B$3:$B1001,1,FALSE),"")</f>
        <v>#NAME?</v>
      </c>
      <c r="H391" t="str">
        <f ca="1">IFERROR(__xludf.DUMMYFUNCTION("""COMPUTED_VALUE"""),"AMCA Elec Assy")</f>
        <v>AMCA Elec Assy</v>
      </c>
      <c r="I391" t="str">
        <f ca="1">IFERROR(__xludf.DUMMYFUNCTION("""COMPUTED_VALUE"""),"DC JAck Panel Mount")</f>
        <v>DC JAck Panel Mount</v>
      </c>
      <c r="J391">
        <f ca="1">IFERROR(__xludf.DUMMYFUNCTION("""COMPUTED_VALUE"""),1)</f>
        <v>1</v>
      </c>
      <c r="K391" t="str">
        <f ca="1">IFERROR(__xludf.DUMMYFUNCTION("""COMPUTED_VALUE"""),"blank")</f>
        <v>blank</v>
      </c>
      <c r="L391">
        <f t="shared" ca="1" si="4"/>
        <v>0</v>
      </c>
      <c r="Q391" t="str">
        <f>IF(N391="","",SUMIFS('PR-BOM'!$D$3:$D1001,'PR-BOM'!$C$3:$C1001,N391))</f>
        <v/>
      </c>
      <c r="S391" t="str">
        <f ca="1">IFERROR(__xludf.DUMMYFUNCTION("""COMPUTED_VALUE"""),"3S, &gt;2Ah Li-Ion cell for JCB")</f>
        <v>3S, &gt;2Ah Li-Ion cell for JCB</v>
      </c>
      <c r="Y391" t="str">
        <f t="shared" si="5"/>
        <v/>
      </c>
      <c r="Z391" t="str">
        <f>IF(X391="","",SUMIFS(#REF!,RM!$C$4:$C991,X391))</f>
        <v/>
      </c>
      <c r="AA391" t="str">
        <f>IF(X391="","",SUMIFS(#REF!,RM!$C$4:$C991,X391))</f>
        <v/>
      </c>
      <c r="AB391" t="str">
        <f>IF(X391="","",SUMIFS(IRegback!$Y$2:$Y1001,IRegback!$X$2:$X1001,X391))</f>
        <v/>
      </c>
      <c r="AC391" t="e">
        <f t="shared" si="6"/>
        <v>#VALUE!</v>
      </c>
      <c r="AD391" t="str">
        <f>IF(X391="","",VLOOKUP($X391,RM!$C$4:$G991,3,FALSE))</f>
        <v/>
      </c>
      <c r="AE391" t="str">
        <f>IF(X391="","",VLOOKUP($X391,RM!$C$4:$G991,4,FALSE))</f>
        <v/>
      </c>
      <c r="AF391" t="str">
        <f>IF(X391="","",VLOOKUP($X391,RM!$C$4:$G991,5,FALSE))</f>
        <v/>
      </c>
      <c r="AH391" t="str">
        <f ca="1">IFERROR(__xludf.DUMMYFUNCTION("""COMPUTED_VALUE"""),"IP Remote Assy")</f>
        <v>IP Remote Assy</v>
      </c>
      <c r="AI391" t="str">
        <f ca="1">IFERROR(__xludf.DUMMYFUNCTION("""COMPUTED_VALUE"""),"IP Remote Lower Shell")</f>
        <v>IP Remote Lower Shell</v>
      </c>
      <c r="AJ391">
        <f ca="1">IFERROR(__xludf.DUMMYFUNCTION("""COMPUTED_VALUE"""),1)</f>
        <v>1</v>
      </c>
      <c r="AK391" t="str">
        <f ca="1">IFERROR(__xludf.DUMMYFUNCTION("""COMPUTED_VALUE"""),"blank")</f>
        <v>blank</v>
      </c>
      <c r="AL391" t="e">
        <f ca="1">_xludf.IFNA(VLOOKUP(AH391,'S-FG'!$B$3:$B1001,1,FALSE),"")</f>
        <v>#NAME?</v>
      </c>
      <c r="AM391" t="e">
        <f ca="1">IF(AI391="","",SUMIFS(#REF!,RM!$C$4:$C991,AI391))</f>
        <v>#REF!</v>
      </c>
    </row>
    <row r="392" spans="5:39">
      <c r="E392" t="str">
        <f>IF(A392="","",SUMIFS('PR-BOM'!$D$3:$D1001,'PR-BOM'!$C$3:$C1001,A392)*C392)</f>
        <v/>
      </c>
      <c r="F392" t="e">
        <f ca="1">_xludf.IFNA(VLOOKUP(B392,'S-FG'!$B$3:$B1001,1,FALSE),"")</f>
        <v>#NAME?</v>
      </c>
      <c r="H392" t="str">
        <f ca="1">IFERROR(__xludf.DUMMYFUNCTION("""COMPUTED_VALUE"""),"AMCA Elec Assy")</f>
        <v>AMCA Elec Assy</v>
      </c>
      <c r="I392" t="str">
        <f ca="1">IFERROR(__xludf.DUMMYFUNCTION("""COMPUTED_VALUE"""),"Lead wire 22AWG")</f>
        <v>Lead wire 22AWG</v>
      </c>
      <c r="J392">
        <f ca="1">IFERROR(__xludf.DUMMYFUNCTION("""COMPUTED_VALUE"""),5)</f>
        <v>5</v>
      </c>
      <c r="L392">
        <f t="shared" ca="1" si="4"/>
        <v>0</v>
      </c>
      <c r="Q392" t="str">
        <f>IF(N392="","",SUMIFS('PR-BOM'!$D$3:$D1001,'PR-BOM'!$C$3:$C1001,N392))</f>
        <v/>
      </c>
      <c r="S392" t="str">
        <f ca="1">IFERROR(__xludf.DUMMYFUNCTION("""COMPUTED_VALUE"""),"DC JAck Panel Mount")</f>
        <v>DC JAck Panel Mount</v>
      </c>
      <c r="Y392" t="str">
        <f t="shared" si="5"/>
        <v/>
      </c>
      <c r="Z392" t="str">
        <f>IF(X392="","",SUMIFS(#REF!,RM!$C$4:$C991,X392))</f>
        <v/>
      </c>
      <c r="AA392" t="str">
        <f>IF(X392="","",SUMIFS(#REF!,RM!$C$4:$C991,X392))</f>
        <v/>
      </c>
      <c r="AB392" t="str">
        <f>IF(X392="","",SUMIFS(IRegback!$Y$2:$Y1001,IRegback!$X$2:$X1001,X392))</f>
        <v/>
      </c>
      <c r="AC392" t="e">
        <f t="shared" si="6"/>
        <v>#VALUE!</v>
      </c>
      <c r="AD392" t="str">
        <f>IF(X392="","",VLOOKUP($X392,RM!$C$4:$G991,3,FALSE))</f>
        <v/>
      </c>
      <c r="AE392" t="str">
        <f>IF(X392="","",VLOOKUP($X392,RM!$C$4:$G991,4,FALSE))</f>
        <v/>
      </c>
      <c r="AF392" t="str">
        <f>IF(X392="","",VLOOKUP($X392,RM!$C$4:$G991,5,FALSE))</f>
        <v/>
      </c>
      <c r="AH392" t="str">
        <f ca="1">IFERROR(__xludf.DUMMYFUNCTION("""COMPUTED_VALUE"""),"IP Remote Assy")</f>
        <v>IP Remote Assy</v>
      </c>
      <c r="AI392" t="str">
        <f ca="1">IFERROR(__xludf.DUMMYFUNCTION("""COMPUTED_VALUE"""),"IP Remote Upper Shell")</f>
        <v>IP Remote Upper Shell</v>
      </c>
      <c r="AJ392">
        <f ca="1">IFERROR(__xludf.DUMMYFUNCTION("""COMPUTED_VALUE"""),1)</f>
        <v>1</v>
      </c>
      <c r="AK392" t="str">
        <f ca="1">IFERROR(__xludf.DUMMYFUNCTION("""COMPUTED_VALUE"""),"blank")</f>
        <v>blank</v>
      </c>
      <c r="AL392" t="e">
        <f ca="1">_xludf.IFNA(VLOOKUP(AH392,'S-FG'!$B$3:$B1001,1,FALSE),"")</f>
        <v>#NAME?</v>
      </c>
      <c r="AM392" t="e">
        <f ca="1">IF(AI392="","",SUMIFS(#REF!,RM!$C$4:$C991,AI392))</f>
        <v>#REF!</v>
      </c>
    </row>
    <row r="393" spans="5:39">
      <c r="E393" t="str">
        <f>IF(A393="","",SUMIFS('PR-BOM'!$D$3:$D1001,'PR-BOM'!$C$3:$C1001,A393)*C393)</f>
        <v/>
      </c>
      <c r="F393" t="e">
        <f ca="1">_xludf.IFNA(VLOOKUP(B393,'S-FG'!$B$3:$B1001,1,FALSE),"")</f>
        <v>#NAME?</v>
      </c>
      <c r="H393" t="str">
        <f ca="1">IFERROR(__xludf.DUMMYFUNCTION("""COMPUTED_VALUE"""),"AMCA Elec Assy")</f>
        <v>AMCA Elec Assy</v>
      </c>
      <c r="I393" t="str">
        <f ca="1">IFERROR(__xludf.DUMMYFUNCTION("""COMPUTED_VALUE"""),"16pin IC base")</f>
        <v>16pin IC base</v>
      </c>
      <c r="J393">
        <f ca="1">IFERROR(__xludf.DUMMYFUNCTION("""COMPUTED_VALUE"""),1)</f>
        <v>1</v>
      </c>
      <c r="L393">
        <f t="shared" ca="1" si="4"/>
        <v>0</v>
      </c>
      <c r="Q393" t="str">
        <f>IF(N393="","",SUMIFS('PR-BOM'!$D$3:$D1001,'PR-BOM'!$C$3:$C1001,N393))</f>
        <v/>
      </c>
      <c r="S393" t="str">
        <f ca="1">IFERROR(__xludf.DUMMYFUNCTION("""COMPUTED_VALUE"""),"Lead wire 22AWG")</f>
        <v>Lead wire 22AWG</v>
      </c>
      <c r="Y393" t="str">
        <f t="shared" si="5"/>
        <v/>
      </c>
      <c r="Z393" t="str">
        <f>IF(X393="","",SUMIFS(#REF!,RM!$C$4:$C991,X393))</f>
        <v/>
      </c>
      <c r="AA393" t="str">
        <f>IF(X393="","",SUMIFS(#REF!,RM!$C$4:$C991,X393))</f>
        <v/>
      </c>
      <c r="AB393" t="str">
        <f>IF(X393="","",SUMIFS(IRegback!$Y$2:$Y1001,IRegback!$X$2:$X1001,X393))</f>
        <v/>
      </c>
      <c r="AC393" t="e">
        <f t="shared" si="6"/>
        <v>#VALUE!</v>
      </c>
      <c r="AD393" t="str">
        <f>IF(X393="","",VLOOKUP($X393,RM!$C$4:$G991,3,FALSE))</f>
        <v/>
      </c>
      <c r="AE393" t="str">
        <f>IF(X393="","",VLOOKUP($X393,RM!$C$4:$G991,4,FALSE))</f>
        <v/>
      </c>
      <c r="AF393" t="str">
        <f>IF(X393="","",VLOOKUP($X393,RM!$C$4:$G991,5,FALSE))</f>
        <v/>
      </c>
      <c r="AH393" t="str">
        <f ca="1">IFERROR(__xludf.DUMMYFUNCTION("""COMPUTED_VALUE"""),"IP Remote Assy")</f>
        <v>IP Remote Assy</v>
      </c>
      <c r="AI393" t="str">
        <f ca="1">IFERROR(__xludf.DUMMYFUNCTION("""COMPUTED_VALUE"""),"PU Gasket Remote Lower Shell")</f>
        <v>PU Gasket Remote Lower Shell</v>
      </c>
      <c r="AJ393">
        <f ca="1">IFERROR(__xludf.DUMMYFUNCTION("""COMPUTED_VALUE"""),1)</f>
        <v>1</v>
      </c>
      <c r="AK393" t="str">
        <f ca="1">IFERROR(__xludf.DUMMYFUNCTION("""COMPUTED_VALUE"""),"blank")</f>
        <v>blank</v>
      </c>
      <c r="AL393" t="e">
        <f ca="1">_xludf.IFNA(VLOOKUP(AH393,'S-FG'!$B$3:$B1001,1,FALSE),"")</f>
        <v>#NAME?</v>
      </c>
      <c r="AM393" t="e">
        <f ca="1">IF(AI393="","",SUMIFS(#REF!,RM!$C$4:$C991,AI393))</f>
        <v>#REF!</v>
      </c>
    </row>
    <row r="394" spans="5:39">
      <c r="E394" t="str">
        <f>IF(A394="","",SUMIFS('PR-BOM'!$D$3:$D1001,'PR-BOM'!$C$3:$C1001,A394)*C394)</f>
        <v/>
      </c>
      <c r="F394" t="e">
        <f ca="1">_xludf.IFNA(VLOOKUP(B394,'S-FG'!$B$3:$B1001,1,FALSE),"")</f>
        <v>#NAME?</v>
      </c>
      <c r="H394" t="str">
        <f ca="1">IFERROR(__xludf.DUMMYFUNCTION("""COMPUTED_VALUE"""),"AMCA Elec Assy")</f>
        <v>AMCA Elec Assy</v>
      </c>
      <c r="I394" t="str">
        <f ca="1">IFERROR(__xludf.DUMMYFUNCTION("""COMPUTED_VALUE"""),"ULN2003A THT")</f>
        <v>ULN2003A THT</v>
      </c>
      <c r="J394">
        <f ca="1">IFERROR(__xludf.DUMMYFUNCTION("""COMPUTED_VALUE"""),1)</f>
        <v>1</v>
      </c>
      <c r="K394" t="str">
        <f ca="1">IFERROR(__xludf.DUMMYFUNCTION("""COMPUTED_VALUE"""),"blank")</f>
        <v>blank</v>
      </c>
      <c r="L394">
        <f t="shared" ca="1" si="4"/>
        <v>0</v>
      </c>
      <c r="Q394" t="str">
        <f>IF(N394="","",SUMIFS('PR-BOM'!$D$3:$D1001,'PR-BOM'!$C$3:$C1001,N394))</f>
        <v/>
      </c>
      <c r="S394" t="str">
        <f ca="1">IFERROR(__xludf.DUMMYFUNCTION("""COMPUTED_VALUE"""),"16pin IC base")</f>
        <v>16pin IC base</v>
      </c>
      <c r="Y394" t="str">
        <f t="shared" si="5"/>
        <v/>
      </c>
      <c r="Z394" t="str">
        <f>IF(X394="","",SUMIFS(#REF!,RM!$C$4:$C991,X394))</f>
        <v/>
      </c>
      <c r="AA394" t="str">
        <f>IF(X394="","",SUMIFS(#REF!,RM!$C$4:$C991,X394))</f>
        <v/>
      </c>
      <c r="AB394" t="str">
        <f>IF(X394="","",SUMIFS(IRegback!$Y$2:$Y1001,IRegback!$X$2:$X1001,X394))</f>
        <v/>
      </c>
      <c r="AC394" t="e">
        <f t="shared" si="6"/>
        <v>#VALUE!</v>
      </c>
      <c r="AD394" t="str">
        <f>IF(X394="","",VLOOKUP($X394,RM!$C$4:$G991,3,FALSE))</f>
        <v/>
      </c>
      <c r="AE394" t="str">
        <f>IF(X394="","",VLOOKUP($X394,RM!$C$4:$G991,4,FALSE))</f>
        <v/>
      </c>
      <c r="AF394" t="str">
        <f>IF(X394="","",VLOOKUP($X394,RM!$C$4:$G991,5,FALSE))</f>
        <v/>
      </c>
      <c r="AH394" t="str">
        <f ca="1">IFERROR(__xludf.DUMMYFUNCTION("""COMPUTED_VALUE"""),"IP Remote Assy")</f>
        <v>IP Remote Assy</v>
      </c>
      <c r="AI394" t="str">
        <f ca="1">IFERROR(__xludf.DUMMYFUNCTION("""COMPUTED_VALUE"""),"Teroson MS930")</f>
        <v>Teroson MS930</v>
      </c>
      <c r="AJ394">
        <f ca="1">IFERROR(__xludf.DUMMYFUNCTION("""COMPUTED_VALUE"""),20)</f>
        <v>20</v>
      </c>
      <c r="AK394" t="str">
        <f ca="1">IFERROR(__xludf.DUMMYFUNCTION("""COMPUTED_VALUE"""),"blank")</f>
        <v>blank</v>
      </c>
      <c r="AL394" t="e">
        <f ca="1">_xludf.IFNA(VLOOKUP(AH394,'S-FG'!$B$3:$B1001,1,FALSE),"")</f>
        <v>#NAME?</v>
      </c>
      <c r="AM394" t="e">
        <f ca="1">IF(AI394="","",SUMIFS(#REF!,RM!$C$4:$C991,AI394))</f>
        <v>#REF!</v>
      </c>
    </row>
    <row r="395" spans="5:39">
      <c r="E395" t="str">
        <f>IF(A395="","",SUMIFS('PR-BOM'!$D$3:$D1001,'PR-BOM'!$C$3:$C1001,A395)*C395)</f>
        <v/>
      </c>
      <c r="F395" t="e">
        <f ca="1">_xludf.IFNA(VLOOKUP(B395,'S-FG'!$B$3:$B1001,1,FALSE),"")</f>
        <v>#NAME?</v>
      </c>
      <c r="H395" t="str">
        <f ca="1">IFERROR(__xludf.DUMMYFUNCTION("""COMPUTED_VALUE"""),"AMCA Elec Assy")</f>
        <v>AMCA Elec Assy</v>
      </c>
      <c r="I395" t="str">
        <f ca="1">IFERROR(__xludf.DUMMYFUNCTION("""COMPUTED_VALUE"""),"iMAx B3 Charger")</f>
        <v>iMAx B3 Charger</v>
      </c>
      <c r="J395">
        <f ca="1">IFERROR(__xludf.DUMMYFUNCTION("""COMPUTED_VALUE"""),1)</f>
        <v>1</v>
      </c>
      <c r="L395">
        <f t="shared" ca="1" si="4"/>
        <v>0</v>
      </c>
      <c r="Q395" t="str">
        <f>IF(N395="","",SUMIFS('PR-BOM'!$D$3:$D1001,'PR-BOM'!$C$3:$C1001,N395))</f>
        <v/>
      </c>
      <c r="S395" t="str">
        <f ca="1">IFERROR(__xludf.DUMMYFUNCTION("""COMPUTED_VALUE"""),"ULN2003A THT")</f>
        <v>ULN2003A THT</v>
      </c>
      <c r="Y395" t="str">
        <f t="shared" si="5"/>
        <v/>
      </c>
      <c r="Z395" t="str">
        <f>IF(X395="","",SUMIFS(#REF!,RM!$C$4:$C991,X395))</f>
        <v/>
      </c>
      <c r="AA395" t="str">
        <f>IF(X395="","",SUMIFS(#REF!,RM!$C$4:$C991,X395))</f>
        <v/>
      </c>
      <c r="AB395" t="str">
        <f>IF(X395="","",SUMIFS(IRegback!$Y$2:$Y1001,IRegback!$X$2:$X1001,X395))</f>
        <v/>
      </c>
      <c r="AC395" t="e">
        <f t="shared" si="6"/>
        <v>#VALUE!</v>
      </c>
      <c r="AD395" t="str">
        <f>IF(X395="","",VLOOKUP($X395,RM!$C$4:$G991,3,FALSE))</f>
        <v/>
      </c>
      <c r="AE395" t="str">
        <f>IF(X395="","",VLOOKUP($X395,RM!$C$4:$G991,4,FALSE))</f>
        <v/>
      </c>
      <c r="AF395" t="str">
        <f>IF(X395="","",VLOOKUP($X395,RM!$C$4:$G991,5,FALSE))</f>
        <v/>
      </c>
      <c r="AH395" t="str">
        <f ca="1">IFERROR(__xludf.DUMMYFUNCTION("""COMPUTED_VALUE"""),"IP Remote Assy")</f>
        <v>IP Remote Assy</v>
      </c>
      <c r="AI395" t="str">
        <f ca="1">IFERROR(__xludf.DUMMYFUNCTION("""COMPUTED_VALUE"""),"Button Spacer No. 1")</f>
        <v>Button Spacer No. 1</v>
      </c>
      <c r="AJ395">
        <f ca="1">IFERROR(__xludf.DUMMYFUNCTION("""COMPUTED_VALUE"""),2)</f>
        <v>2</v>
      </c>
      <c r="AK395" t="str">
        <f ca="1">IFERROR(__xludf.DUMMYFUNCTION("""COMPUTED_VALUE"""),"blank")</f>
        <v>blank</v>
      </c>
      <c r="AL395" t="e">
        <f ca="1">_xludf.IFNA(VLOOKUP(AH395,'S-FG'!$B$3:$B1001,1,FALSE),"")</f>
        <v>#NAME?</v>
      </c>
      <c r="AM395" t="e">
        <f ca="1">IF(AI395="","",SUMIFS(#REF!,RM!$C$4:$C991,AI395))</f>
        <v>#REF!</v>
      </c>
    </row>
    <row r="396" spans="5:39">
      <c r="E396" t="str">
        <f>IF(A396="","",SUMIFS('PR-BOM'!$D$3:$D1001,'PR-BOM'!$C$3:$C1001,A396)*C396)</f>
        <v/>
      </c>
      <c r="F396" t="e">
        <f ca="1">_xludf.IFNA(VLOOKUP(B396,'S-FG'!$B$3:$B1001,1,FALSE),"")</f>
        <v>#NAME?</v>
      </c>
      <c r="H396" t="str">
        <f ca="1">IFERROR(__xludf.DUMMYFUNCTION("""COMPUTED_VALUE"""),"AMCA Elec Assy")</f>
        <v>AMCA Elec Assy</v>
      </c>
      <c r="I396" t="str">
        <f ca="1">IFERROR(__xludf.DUMMYFUNCTION("""COMPUTED_VALUE"""),"8core Wire 14/38")</f>
        <v>8core Wire 14/38</v>
      </c>
      <c r="J396">
        <f ca="1">IFERROR(__xludf.DUMMYFUNCTION("""COMPUTED_VALUE"""),1)</f>
        <v>1</v>
      </c>
      <c r="K396" t="str">
        <f ca="1">IFERROR(__xludf.DUMMYFUNCTION("""COMPUTED_VALUE"""),"blank")</f>
        <v>blank</v>
      </c>
      <c r="L396">
        <f t="shared" ca="1" si="4"/>
        <v>0</v>
      </c>
      <c r="Q396" t="str">
        <f>IF(N396="","",SUMIFS('PR-BOM'!$D$3:$D1001,'PR-BOM'!$C$3:$C1001,N396))</f>
        <v/>
      </c>
      <c r="S396" t="str">
        <f ca="1">IFERROR(__xludf.DUMMYFUNCTION("""COMPUTED_VALUE"""),"iMAx B3 Charger")</f>
        <v>iMAx B3 Charger</v>
      </c>
      <c r="Y396" t="str">
        <f t="shared" si="5"/>
        <v/>
      </c>
      <c r="Z396" t="str">
        <f>IF(X396="","",SUMIFS(#REF!,RM!$C$4:$C991,X396))</f>
        <v/>
      </c>
      <c r="AA396" t="str">
        <f>IF(X396="","",SUMIFS(#REF!,RM!$C$4:$C991,X396))</f>
        <v/>
      </c>
      <c r="AB396" t="str">
        <f>IF(X396="","",SUMIFS(IRegback!$Y$2:$Y1001,IRegback!$X$2:$X1001,X396))</f>
        <v/>
      </c>
      <c r="AC396" t="e">
        <f t="shared" si="6"/>
        <v>#VALUE!</v>
      </c>
      <c r="AD396" t="str">
        <f>IF(X396="","",VLOOKUP($X396,RM!$C$4:$G991,3,FALSE))</f>
        <v/>
      </c>
      <c r="AE396" t="str">
        <f>IF(X396="","",VLOOKUP($X396,RM!$C$4:$G991,4,FALSE))</f>
        <v/>
      </c>
      <c r="AF396" t="str">
        <f>IF(X396="","",VLOOKUP($X396,RM!$C$4:$G991,5,FALSE))</f>
        <v/>
      </c>
      <c r="AH396" t="str">
        <f ca="1">IFERROR(__xludf.DUMMYFUNCTION("""COMPUTED_VALUE"""),"IP Remote Assy")</f>
        <v>IP Remote Assy</v>
      </c>
      <c r="AI396" t="str">
        <f ca="1">IFERROR(__xludf.DUMMYFUNCTION("""COMPUTED_VALUE"""),"Button Spacer No. 2")</f>
        <v>Button Spacer No. 2</v>
      </c>
      <c r="AJ396">
        <f ca="1">IFERROR(__xludf.DUMMYFUNCTION("""COMPUTED_VALUE"""),2)</f>
        <v>2</v>
      </c>
      <c r="AK396" t="str">
        <f ca="1">IFERROR(__xludf.DUMMYFUNCTION("""COMPUTED_VALUE"""),"blank")</f>
        <v>blank</v>
      </c>
      <c r="AL396" t="e">
        <f ca="1">_xludf.IFNA(VLOOKUP(AH396,'S-FG'!$B$3:$B1001,1,FALSE),"")</f>
        <v>#NAME?</v>
      </c>
      <c r="AM396" t="e">
        <f ca="1">IF(AI396="","",SUMIFS(#REF!,RM!$C$4:$C991,AI396))</f>
        <v>#REF!</v>
      </c>
    </row>
    <row r="397" spans="5:39">
      <c r="E397" t="str">
        <f>IF(A397="","",SUMIFS('PR-BOM'!$D$3:$D1001,'PR-BOM'!$C$3:$C1001,A397)*C397)</f>
        <v/>
      </c>
      <c r="F397" t="e">
        <f ca="1">_xludf.IFNA(VLOOKUP(B397,'S-FG'!$B$3:$B1001,1,FALSE),"")</f>
        <v>#NAME?</v>
      </c>
      <c r="H397" t="str">
        <f ca="1">IFERROR(__xludf.DUMMYFUNCTION("""COMPUTED_VALUE"""),"AMCA Elec Assy")</f>
        <v>AMCA Elec Assy</v>
      </c>
      <c r="I397" t="str">
        <f ca="1">IFERROR(__xludf.DUMMYFUNCTION("""COMPUTED_VALUE"""),"LP12 4 pin plug male clip lock CM")</f>
        <v>LP12 4 pin plug male clip lock CM</v>
      </c>
      <c r="J397">
        <f ca="1">IFERROR(__xludf.DUMMYFUNCTION("""COMPUTED_VALUE"""),1)</f>
        <v>1</v>
      </c>
      <c r="K397" t="str">
        <f ca="1">IFERROR(__xludf.DUMMYFUNCTION("""COMPUTED_VALUE"""),"LP-12-C04PE-02-001")</f>
        <v>LP-12-C04PE-02-001</v>
      </c>
      <c r="L397">
        <f t="shared" ca="1" si="4"/>
        <v>0</v>
      </c>
      <c r="Q397" t="str">
        <f>IF(N397="","",SUMIFS('PR-BOM'!$D$3:$D1001,'PR-BOM'!$C$3:$C1001,N397))</f>
        <v/>
      </c>
      <c r="S397" t="str">
        <f ca="1">IFERROR(__xludf.DUMMYFUNCTION("""COMPUTED_VALUE"""),"8core Wire 14/38")</f>
        <v>8core Wire 14/38</v>
      </c>
      <c r="Y397" t="str">
        <f t="shared" si="5"/>
        <v/>
      </c>
      <c r="Z397" t="str">
        <f>IF(X397="","",SUMIFS(#REF!,RM!$C$4:$C991,X397))</f>
        <v/>
      </c>
      <c r="AA397" t="str">
        <f>IF(X397="","",SUMIFS(#REF!,RM!$C$4:$C991,X397))</f>
        <v/>
      </c>
      <c r="AB397" t="str">
        <f>IF(X397="","",SUMIFS(IRegback!$Y$2:$Y1001,IRegback!$X$2:$X1001,X397))</f>
        <v/>
      </c>
      <c r="AC397" t="e">
        <f t="shared" si="6"/>
        <v>#VALUE!</v>
      </c>
      <c r="AD397" t="str">
        <f>IF(X397="","",VLOOKUP($X397,RM!$C$4:$G991,3,FALSE))</f>
        <v/>
      </c>
      <c r="AE397" t="str">
        <f>IF(X397="","",VLOOKUP($X397,RM!$C$4:$G991,4,FALSE))</f>
        <v/>
      </c>
      <c r="AF397" t="str">
        <f>IF(X397="","",VLOOKUP($X397,RM!$C$4:$G991,5,FALSE))</f>
        <v/>
      </c>
      <c r="AH397" t="str">
        <f ca="1">IFERROR(__xludf.DUMMYFUNCTION("""COMPUTED_VALUE"""),"IP Remote Assy")</f>
        <v>IP Remote Assy</v>
      </c>
      <c r="AI397" t="str">
        <f ca="1">IFERROR(__xludf.DUMMYFUNCTION("""COMPUTED_VALUE"""),"Button No. 1 pressure bracket")</f>
        <v>Button No. 1 pressure bracket</v>
      </c>
      <c r="AJ397">
        <f ca="1">IFERROR(__xludf.DUMMYFUNCTION("""COMPUTED_VALUE"""),2)</f>
        <v>2</v>
      </c>
      <c r="AK397" t="str">
        <f ca="1">IFERROR(__xludf.DUMMYFUNCTION("""COMPUTED_VALUE"""),"blank")</f>
        <v>blank</v>
      </c>
      <c r="AL397" t="e">
        <f ca="1">_xludf.IFNA(VLOOKUP(AH397,'S-FG'!$B$3:$B1001,1,FALSE),"")</f>
        <v>#NAME?</v>
      </c>
      <c r="AM397" t="e">
        <f ca="1">IF(AI397="","",SUMIFS(#REF!,RM!$C$4:$C991,AI397))</f>
        <v>#REF!</v>
      </c>
    </row>
    <row r="398" spans="5:39">
      <c r="E398" t="str">
        <f>IF(A398="","",SUMIFS('PR-BOM'!$D$3:$D1001,'PR-BOM'!$C$3:$C1001,A398)*C398)</f>
        <v/>
      </c>
      <c r="F398" t="e">
        <f ca="1">_xludf.IFNA(VLOOKUP(B398,'S-FG'!$B$3:$B1001,1,FALSE),"")</f>
        <v>#NAME?</v>
      </c>
      <c r="H398" t="str">
        <f ca="1">IFERROR(__xludf.DUMMYFUNCTION("""COMPUTED_VALUE"""),"AMCA Elec Assy")</f>
        <v>AMCA Elec Assy</v>
      </c>
      <c r="I398" t="str">
        <f ca="1">IFERROR(__xludf.DUMMYFUNCTION("""COMPUTED_VALUE"""),"LP12 4 pin socket female clip lock PM")</f>
        <v>LP12 4 pin socket female clip lock PM</v>
      </c>
      <c r="J398">
        <f ca="1">IFERROR(__xludf.DUMMYFUNCTION("""COMPUTED_VALUE"""),1)</f>
        <v>1</v>
      </c>
      <c r="K398" t="str">
        <f ca="1">IFERROR(__xludf.DUMMYFUNCTION("""COMPUTED_VALUE"""),"LP-12-J04SX-03-001")</f>
        <v>LP-12-J04SX-03-001</v>
      </c>
      <c r="L398">
        <f t="shared" ca="1" si="4"/>
        <v>0</v>
      </c>
      <c r="Q398" t="str">
        <f>IF(N398="","",SUMIFS('PR-BOM'!$D$3:$D1001,'PR-BOM'!$C$3:$C1001,N398))</f>
        <v/>
      </c>
      <c r="S398" t="str">
        <f ca="1">IFERROR(__xludf.DUMMYFUNCTION("""COMPUTED_VALUE"""),"LP12 4 pin plug male clip lock CM")</f>
        <v>LP12 4 pin plug male clip lock CM</v>
      </c>
      <c r="Y398" t="str">
        <f t="shared" si="5"/>
        <v/>
      </c>
      <c r="Z398" t="str">
        <f>IF(X398="","",SUMIFS(#REF!,RM!$C$4:$C991,X398))</f>
        <v/>
      </c>
      <c r="AA398" t="str">
        <f>IF(X398="","",SUMIFS(#REF!,RM!$C$4:$C991,X398))</f>
        <v/>
      </c>
      <c r="AB398" t="str">
        <f>IF(X398="","",SUMIFS(IRegback!$Y$2:$Y1001,IRegback!$X$2:$X1001,X398))</f>
        <v/>
      </c>
      <c r="AC398" t="e">
        <f t="shared" si="6"/>
        <v>#VALUE!</v>
      </c>
      <c r="AD398" t="str">
        <f>IF(X398="","",VLOOKUP($X398,RM!$C$4:$G991,3,FALSE))</f>
        <v/>
      </c>
      <c r="AE398" t="str">
        <f>IF(X398="","",VLOOKUP($X398,RM!$C$4:$G991,4,FALSE))</f>
        <v/>
      </c>
      <c r="AF398" t="str">
        <f>IF(X398="","",VLOOKUP($X398,RM!$C$4:$G991,5,FALSE))</f>
        <v/>
      </c>
      <c r="AH398" t="str">
        <f ca="1">IFERROR(__xludf.DUMMYFUNCTION("""COMPUTED_VALUE"""),"IP Remote Assy")</f>
        <v>IP Remote Assy</v>
      </c>
      <c r="AI398" t="str">
        <f ca="1">IFERROR(__xludf.DUMMYFUNCTION("""COMPUTED_VALUE"""),"Remote Battery Holding Bracket")</f>
        <v>Remote Battery Holding Bracket</v>
      </c>
      <c r="AJ398">
        <f ca="1">IFERROR(__xludf.DUMMYFUNCTION("""COMPUTED_VALUE"""),4)</f>
        <v>4</v>
      </c>
      <c r="AK398" t="str">
        <f ca="1">IFERROR(__xludf.DUMMYFUNCTION("""COMPUTED_VALUE"""),"blank")</f>
        <v>blank</v>
      </c>
      <c r="AL398" t="e">
        <f ca="1">_xludf.IFNA(VLOOKUP(AH398,'S-FG'!$B$3:$B1001,1,FALSE),"")</f>
        <v>#NAME?</v>
      </c>
      <c r="AM398" t="e">
        <f ca="1">IF(AI398="","",SUMIFS(#REF!,RM!$C$4:$C991,AI398))</f>
        <v>#REF!</v>
      </c>
    </row>
    <row r="399" spans="5:39">
      <c r="E399" t="str">
        <f>IF(A399="","",SUMIFS('PR-BOM'!$D$3:$D1001,'PR-BOM'!$C$3:$C1001,A399)*C399)</f>
        <v/>
      </c>
      <c r="F399" t="e">
        <f ca="1">_xludf.IFNA(VLOOKUP(B399,'S-FG'!$B$3:$B1001,1,FALSE),"")</f>
        <v>#NAME?</v>
      </c>
      <c r="H399" t="str">
        <f ca="1">IFERROR(__xludf.DUMMYFUNCTION("""COMPUTED_VALUE"""),"AMCA Elec Assy")</f>
        <v>AMCA Elec Assy</v>
      </c>
      <c r="I399" t="str">
        <f ca="1">IFERROR(__xludf.DUMMYFUNCTION("""COMPUTED_VALUE"""),"9v Piezo Electric Buzzer")</f>
        <v>9v Piezo Electric Buzzer</v>
      </c>
      <c r="J399">
        <f ca="1">IFERROR(__xludf.DUMMYFUNCTION("""COMPUTED_VALUE"""),1)</f>
        <v>1</v>
      </c>
      <c r="L399">
        <f t="shared" ca="1" si="4"/>
        <v>0</v>
      </c>
      <c r="Q399" t="str">
        <f>IF(N399="","",SUMIFS('PR-BOM'!$D$3:$D1001,'PR-BOM'!$C$3:$C1001,N399))</f>
        <v/>
      </c>
      <c r="S399" t="str">
        <f ca="1">IFERROR(__xludf.DUMMYFUNCTION("""COMPUTED_VALUE"""),"LP12 4 pin socket female clip lock PM")</f>
        <v>LP12 4 pin socket female clip lock PM</v>
      </c>
      <c r="Y399" t="str">
        <f t="shared" si="5"/>
        <v/>
      </c>
      <c r="Z399" t="str">
        <f>IF(X399="","",SUMIFS(#REF!,RM!$C$4:$C991,X399))</f>
        <v/>
      </c>
      <c r="AA399" t="str">
        <f>IF(X399="","",SUMIFS(#REF!,RM!$C$4:$C991,X399))</f>
        <v/>
      </c>
      <c r="AB399" t="str">
        <f>IF(X399="","",SUMIFS(IRegback!$Y$2:$Y1001,IRegback!$X$2:$X1001,X399))</f>
        <v/>
      </c>
      <c r="AC399" t="e">
        <f t="shared" si="6"/>
        <v>#VALUE!</v>
      </c>
      <c r="AD399" t="str">
        <f>IF(X399="","",VLOOKUP($X399,RM!$C$4:$G991,3,FALSE))</f>
        <v/>
      </c>
      <c r="AE399" t="str">
        <f>IF(X399="","",VLOOKUP($X399,RM!$C$4:$G991,4,FALSE))</f>
        <v/>
      </c>
      <c r="AF399" t="str">
        <f>IF(X399="","",VLOOKUP($X399,RM!$C$4:$G991,5,FALSE))</f>
        <v/>
      </c>
      <c r="AH399" t="str">
        <f ca="1">IFERROR(__xludf.DUMMYFUNCTION("""COMPUTED_VALUE"""),"IP Remote Assy")</f>
        <v>IP Remote Assy</v>
      </c>
      <c r="AI399" t="str">
        <f ca="1">IFERROR(__xludf.DUMMYFUNCTION("""COMPUTED_VALUE"""),"Antenna clamp -1")</f>
        <v>Antenna clamp -1</v>
      </c>
      <c r="AJ399">
        <f ca="1">IFERROR(__xludf.DUMMYFUNCTION("""COMPUTED_VALUE"""),1)</f>
        <v>1</v>
      </c>
      <c r="AK399" t="str">
        <f ca="1">IFERROR(__xludf.DUMMYFUNCTION("""COMPUTED_VALUE"""),"blank")</f>
        <v>blank</v>
      </c>
      <c r="AL399" t="e">
        <f ca="1">_xludf.IFNA(VLOOKUP(AH399,'S-FG'!$B$3:$B1001,1,FALSE),"")</f>
        <v>#NAME?</v>
      </c>
      <c r="AM399" t="e">
        <f ca="1">IF(AI399="","",SUMIFS(#REF!,RM!$C$4:$C991,AI399))</f>
        <v>#REF!</v>
      </c>
    </row>
    <row r="400" spans="5:39">
      <c r="E400" t="str">
        <f>IF(A400="","",SUMIFS('PR-BOM'!$D$3:$D1001,'PR-BOM'!$C$3:$C1001,A400)*C400)</f>
        <v/>
      </c>
      <c r="F400" t="e">
        <f ca="1">_xludf.IFNA(VLOOKUP(B400,'S-FG'!$B$3:$B1001,1,FALSE),"")</f>
        <v>#NAME?</v>
      </c>
      <c r="H400" t="str">
        <f ca="1">IFERROR(__xludf.DUMMYFUNCTION("""COMPUTED_VALUE"""),"AMCA Elec Assy")</f>
        <v>AMCA Elec Assy</v>
      </c>
      <c r="I400" t="str">
        <f ca="1">IFERROR(__xludf.DUMMYFUNCTION("""COMPUTED_VALUE"""),"Female Bergstrip 40x1 2.54mm")</f>
        <v>Female Bergstrip 40x1 2.54mm</v>
      </c>
      <c r="J400">
        <f ca="1">IFERROR(__xludf.DUMMYFUNCTION("""COMPUTED_VALUE"""),1)</f>
        <v>1</v>
      </c>
      <c r="L400">
        <f t="shared" ca="1" si="4"/>
        <v>0</v>
      </c>
      <c r="Q400" t="str">
        <f>IF(N400="","",SUMIFS('PR-BOM'!$D$3:$D1001,'PR-BOM'!$C$3:$C1001,N400))</f>
        <v/>
      </c>
      <c r="S400" t="str">
        <f ca="1">IFERROR(__xludf.DUMMYFUNCTION("""COMPUTED_VALUE"""),"9v Piezo Electric Buzzer")</f>
        <v>9v Piezo Electric Buzzer</v>
      </c>
      <c r="Y400" t="str">
        <f t="shared" si="5"/>
        <v/>
      </c>
      <c r="Z400" t="str">
        <f>IF(X400="","",SUMIFS(#REF!,RM!$C$4:$C991,X400))</f>
        <v/>
      </c>
      <c r="AA400" t="str">
        <f>IF(X400="","",SUMIFS(#REF!,RM!$C$4:$C991,X400))</f>
        <v/>
      </c>
      <c r="AB400" t="str">
        <f>IF(X400="","",SUMIFS(IRegback!$Y$2:$Y1001,IRegback!$X$2:$X1001,X400))</f>
        <v/>
      </c>
      <c r="AC400" t="e">
        <f t="shared" si="6"/>
        <v>#VALUE!</v>
      </c>
      <c r="AD400" t="str">
        <f>IF(X400="","",VLOOKUP($X400,RM!$C$4:$G991,3,FALSE))</f>
        <v/>
      </c>
      <c r="AE400" t="str">
        <f>IF(X400="","",VLOOKUP($X400,RM!$C$4:$G991,4,FALSE))</f>
        <v/>
      </c>
      <c r="AF400" t="str">
        <f>IF(X400="","",VLOOKUP($X400,RM!$C$4:$G991,5,FALSE))</f>
        <v/>
      </c>
      <c r="AH400" t="str">
        <f ca="1">IFERROR(__xludf.DUMMYFUNCTION("""COMPUTED_VALUE"""),"IP Remote Assy")</f>
        <v>IP Remote Assy</v>
      </c>
      <c r="AI400" t="str">
        <f ca="1">IFERROR(__xludf.DUMMYFUNCTION("""COMPUTED_VALUE"""),"Antenna Clamp -2")</f>
        <v>Antenna Clamp -2</v>
      </c>
      <c r="AJ400">
        <f ca="1">IFERROR(__xludf.DUMMYFUNCTION("""COMPUTED_VALUE"""),1)</f>
        <v>1</v>
      </c>
      <c r="AK400" t="str">
        <f ca="1">IFERROR(__xludf.DUMMYFUNCTION("""COMPUTED_VALUE"""),"blank")</f>
        <v>blank</v>
      </c>
      <c r="AL400" t="e">
        <f ca="1">_xludf.IFNA(VLOOKUP(AH400,'S-FG'!$B$3:$B1001,1,FALSE),"")</f>
        <v>#NAME?</v>
      </c>
      <c r="AM400" t="e">
        <f ca="1">IF(AI400="","",SUMIFS(#REF!,RM!$C$4:$C991,AI400))</f>
        <v>#REF!</v>
      </c>
    </row>
    <row r="401" spans="5:39">
      <c r="E401" t="str">
        <f>IF(A401="","",SUMIFS('PR-BOM'!$D$3:$D1001,'PR-BOM'!$C$3:$C1001,A401)*C401)</f>
        <v/>
      </c>
      <c r="F401" t="e">
        <f ca="1">_xludf.IFNA(VLOOKUP(B401,'S-FG'!$B$3:$B1001,1,FALSE),"")</f>
        <v>#NAME?</v>
      </c>
      <c r="H401" t="str">
        <f ca="1">IFERROR(__xludf.DUMMYFUNCTION("""COMPUTED_VALUE"""),"AMCA Elec Assy")</f>
        <v>AMCA Elec Assy</v>
      </c>
      <c r="I401" t="str">
        <f ca="1">IFERROR(__xludf.DUMMYFUNCTION("""COMPUTED_VALUE"""),"Male Bergstrip 40x1 2.54mm")</f>
        <v>Male Bergstrip 40x1 2.54mm</v>
      </c>
      <c r="J401">
        <f ca="1">IFERROR(__xludf.DUMMYFUNCTION("""COMPUTED_VALUE"""),1)</f>
        <v>1</v>
      </c>
      <c r="L401">
        <f t="shared" ca="1" si="4"/>
        <v>0</v>
      </c>
      <c r="Q401" t="str">
        <f>IF(N401="","",SUMIFS('PR-BOM'!$D$3:$D1001,'PR-BOM'!$C$3:$C1001,N401))</f>
        <v/>
      </c>
      <c r="S401" t="str">
        <f ca="1">IFERROR(__xludf.DUMMYFUNCTION("""COMPUTED_VALUE"""),"Female Bergstrip 40x1 2.54mm")</f>
        <v>Female Bergstrip 40x1 2.54mm</v>
      </c>
      <c r="Y401" t="str">
        <f t="shared" si="5"/>
        <v/>
      </c>
      <c r="Z401" t="str">
        <f>IF(X401="","",SUMIFS(#REF!,RM!$C$4:$C991,X401))</f>
        <v/>
      </c>
      <c r="AA401" t="str">
        <f>IF(X401="","",SUMIFS(#REF!,RM!$C$4:$C991,X401))</f>
        <v/>
      </c>
      <c r="AB401" t="str">
        <f>IF(X401="","",SUMIFS(IRegback!$Y$2:$Y1001,IRegback!$X$2:$X1001,X401))</f>
        <v/>
      </c>
      <c r="AC401" t="e">
        <f t="shared" si="6"/>
        <v>#VALUE!</v>
      </c>
      <c r="AD401" t="str">
        <f>IF(X401="","",VLOOKUP($X401,RM!$C$4:$G991,3,FALSE))</f>
        <v/>
      </c>
      <c r="AE401" t="str">
        <f>IF(X401="","",VLOOKUP($X401,RM!$C$4:$G991,4,FALSE))</f>
        <v/>
      </c>
      <c r="AF401" t="str">
        <f>IF(X401="","",VLOOKUP($X401,RM!$C$4:$G991,5,FALSE))</f>
        <v/>
      </c>
      <c r="AH401" t="str">
        <f ca="1">IFERROR(__xludf.DUMMYFUNCTION("""COMPUTED_VALUE"""),"IP Remote Assy")</f>
        <v>IP Remote Assy</v>
      </c>
      <c r="AI401" t="str">
        <f ca="1">IFERROR(__xludf.DUMMYFUNCTION("""COMPUTED_VALUE"""),"Cable Holder")</f>
        <v>Cable Holder</v>
      </c>
      <c r="AJ401">
        <f ca="1">IFERROR(__xludf.DUMMYFUNCTION("""COMPUTED_VALUE"""),2)</f>
        <v>2</v>
      </c>
      <c r="AK401" t="str">
        <f ca="1">IFERROR(__xludf.DUMMYFUNCTION("""COMPUTED_VALUE"""),"blank")</f>
        <v>blank</v>
      </c>
      <c r="AL401" t="e">
        <f ca="1">_xludf.IFNA(VLOOKUP(AH401,'S-FG'!$B$3:$B1001,1,FALSE),"")</f>
        <v>#NAME?</v>
      </c>
      <c r="AM401" t="e">
        <f ca="1">IF(AI401="","",SUMIFS(#REF!,RM!$C$4:$C991,AI401))</f>
        <v>#REF!</v>
      </c>
    </row>
    <row r="402" spans="5:39">
      <c r="E402" t="str">
        <f>IF(A402="","",SUMIFS('PR-BOM'!$D$3:$D1001,'PR-BOM'!$C$3:$C1001,A402)*C402)</f>
        <v/>
      </c>
      <c r="F402" t="e">
        <f ca="1">_xludf.IFNA(VLOOKUP(B402,'S-FG'!$B$3:$B1001,1,FALSE),"")</f>
        <v>#NAME?</v>
      </c>
      <c r="H402" t="str">
        <f ca="1">IFERROR(__xludf.DUMMYFUNCTION("""COMPUTED_VALUE"""),"AMCA Elec Assy")</f>
        <v>AMCA Elec Assy</v>
      </c>
      <c r="I402" t="str">
        <f ca="1">IFERROR(__xludf.DUMMYFUNCTION("""COMPUTED_VALUE"""),"Conformal Coating")</f>
        <v>Conformal Coating</v>
      </c>
      <c r="J402">
        <f ca="1">IFERROR(__xludf.DUMMYFUNCTION("""COMPUTED_VALUE"""),10)</f>
        <v>10</v>
      </c>
      <c r="L402">
        <f t="shared" ca="1" si="4"/>
        <v>0</v>
      </c>
      <c r="Q402" t="str">
        <f>IF(N402="","",SUMIFS('PR-BOM'!$D$3:$D1001,'PR-BOM'!$C$3:$C1001,N402))</f>
        <v/>
      </c>
      <c r="S402" t="str">
        <f ca="1">IFERROR(__xludf.DUMMYFUNCTION("""COMPUTED_VALUE"""),"Male Bergstrip 40x1 2.54mm")</f>
        <v>Male Bergstrip 40x1 2.54mm</v>
      </c>
      <c r="Y402" t="str">
        <f t="shared" si="5"/>
        <v/>
      </c>
      <c r="Z402" t="str">
        <f>IF(X402="","",SUMIFS(#REF!,RM!$C$4:$C991,X402))</f>
        <v/>
      </c>
      <c r="AA402" t="str">
        <f>IF(X402="","",SUMIFS(#REF!,RM!$C$4:$C991,X402))</f>
        <v/>
      </c>
      <c r="AB402" t="str">
        <f>IF(X402="","",SUMIFS(IRegback!$Y$2:$Y1001,IRegback!$X$2:$X1001,X402))</f>
        <v/>
      </c>
      <c r="AC402" t="e">
        <f t="shared" si="6"/>
        <v>#VALUE!</v>
      </c>
      <c r="AD402" t="str">
        <f>IF(X402="","",VLOOKUP($X402,RM!$C$4:$G991,3,FALSE))</f>
        <v/>
      </c>
      <c r="AE402" t="str">
        <f>IF(X402="","",VLOOKUP($X402,RM!$C$4:$G991,4,FALSE))</f>
        <v/>
      </c>
      <c r="AF402" t="str">
        <f>IF(X402="","",VLOOKUP($X402,RM!$C$4:$G991,5,FALSE))</f>
        <v/>
      </c>
      <c r="AH402" t="str">
        <f ca="1">IFERROR(__xludf.DUMMYFUNCTION("""COMPUTED_VALUE"""),"IP Remote Assy")</f>
        <v>IP Remote Assy</v>
      </c>
      <c r="AI402" t="str">
        <f ca="1">IFERROR(__xludf.DUMMYFUNCTION("""COMPUTED_VALUE"""),"Remote Handle")</f>
        <v>Remote Handle</v>
      </c>
      <c r="AJ402">
        <f ca="1">IFERROR(__xludf.DUMMYFUNCTION("""COMPUTED_VALUE"""),1)</f>
        <v>1</v>
      </c>
      <c r="AK402" t="str">
        <f ca="1">IFERROR(__xludf.DUMMYFUNCTION("""COMPUTED_VALUE"""),"blank")</f>
        <v>blank</v>
      </c>
      <c r="AL402" t="e">
        <f ca="1">_xludf.IFNA(VLOOKUP(AH402,'S-FG'!$B$3:$B1001,1,FALSE),"")</f>
        <v>#NAME?</v>
      </c>
      <c r="AM402" t="e">
        <f ca="1">IF(AI402="","",SUMIFS(#REF!,RM!$C$4:$C991,AI402))</f>
        <v>#REF!</v>
      </c>
    </row>
    <row r="403" spans="5:39">
      <c r="E403" t="str">
        <f>IF(A403="","",SUMIFS('PR-BOM'!$D$3:$D1001,'PR-BOM'!$C$3:$C1001,A403)*C403)</f>
        <v/>
      </c>
      <c r="F403" t="e">
        <f ca="1">_xludf.IFNA(VLOOKUP(B403,'S-FG'!$B$3:$B1001,1,FALSE),"")</f>
        <v>#NAME?</v>
      </c>
      <c r="H403" t="str">
        <f ca="1">IFERROR(__xludf.DUMMYFUNCTION("""COMPUTED_VALUE"""),"AMCA Elec Assy")</f>
        <v>AMCA Elec Assy</v>
      </c>
      <c r="I403" t="str">
        <f ca="1">IFERROR(__xludf.DUMMYFUNCTION("""COMPUTED_VALUE"""),"Soldering flux")</f>
        <v>Soldering flux</v>
      </c>
      <c r="J403">
        <f ca="1">IFERROR(__xludf.DUMMYFUNCTION("""COMPUTED_VALUE"""),2)</f>
        <v>2</v>
      </c>
      <c r="L403">
        <f t="shared" ca="1" si="4"/>
        <v>0</v>
      </c>
      <c r="Q403" t="str">
        <f>IF(N403="","",SUMIFS('PR-BOM'!$D$3:$D1001,'PR-BOM'!$C$3:$C1001,N403))</f>
        <v/>
      </c>
      <c r="S403" t="str">
        <f ca="1">IFERROR(__xludf.DUMMYFUNCTION("""COMPUTED_VALUE"""),"Conformal Coating")</f>
        <v>Conformal Coating</v>
      </c>
      <c r="Y403" t="str">
        <f t="shared" si="5"/>
        <v/>
      </c>
      <c r="Z403" t="str">
        <f>IF(X403="","",SUMIFS(#REF!,RM!$C$4:$C991,X403))</f>
        <v/>
      </c>
      <c r="AA403" t="str">
        <f>IF(X403="","",SUMIFS(#REF!,RM!$C$4:$C991,X403))</f>
        <v/>
      </c>
      <c r="AB403" t="str">
        <f>IF(X403="","",SUMIFS(IRegback!$Y$2:$Y1001,IRegback!$X$2:$X1001,X403))</f>
        <v/>
      </c>
      <c r="AC403" t="e">
        <f t="shared" si="6"/>
        <v>#VALUE!</v>
      </c>
      <c r="AD403" t="str">
        <f>IF(X403="","",VLOOKUP($X403,RM!$C$4:$G991,3,FALSE))</f>
        <v/>
      </c>
      <c r="AE403" t="str">
        <f>IF(X403="","",VLOOKUP($X403,RM!$C$4:$G991,4,FALSE))</f>
        <v/>
      </c>
      <c r="AF403" t="str">
        <f>IF(X403="","",VLOOKUP($X403,RM!$C$4:$G991,5,FALSE))</f>
        <v/>
      </c>
      <c r="AH403" t="str">
        <f ca="1">IFERROR(__xludf.DUMMYFUNCTION("""COMPUTED_VALUE"""),"IP Remote Assy")</f>
        <v>IP Remote Assy</v>
      </c>
      <c r="AI403" t="str">
        <f ca="1">IFERROR(__xludf.DUMMYFUNCTION("""COMPUTED_VALUE"""),"Polycarbonate Glass for Remote")</f>
        <v>Polycarbonate Glass for Remote</v>
      </c>
      <c r="AJ403">
        <f ca="1">IFERROR(__xludf.DUMMYFUNCTION("""COMPUTED_VALUE"""),1)</f>
        <v>1</v>
      </c>
      <c r="AK403" t="str">
        <f ca="1">IFERROR(__xludf.DUMMYFUNCTION("""COMPUTED_VALUE"""),"blank")</f>
        <v>blank</v>
      </c>
      <c r="AL403" t="e">
        <f ca="1">_xludf.IFNA(VLOOKUP(AH403,'S-FG'!$B$3:$B1001,1,FALSE),"")</f>
        <v>#NAME?</v>
      </c>
      <c r="AM403" t="e">
        <f ca="1">IF(AI403="","",SUMIFS(#REF!,RM!$C$4:$C991,AI403))</f>
        <v>#REF!</v>
      </c>
    </row>
    <row r="404" spans="5:39">
      <c r="E404" t="str">
        <f>IF(A404="","",SUMIFS('PR-BOM'!$D$3:$D1001,'PR-BOM'!$C$3:$C1001,A404)*C404)</f>
        <v/>
      </c>
      <c r="F404" t="e">
        <f ca="1">_xludf.IFNA(VLOOKUP(B404,'S-FG'!$B$3:$B1001,1,FALSE),"")</f>
        <v>#NAME?</v>
      </c>
      <c r="H404" t="str">
        <f ca="1">IFERROR(__xludf.DUMMYFUNCTION("""COMPUTED_VALUE"""),"AMCA Elec Assy")</f>
        <v>AMCA Elec Assy</v>
      </c>
      <c r="I404" t="str">
        <f ca="1">IFERROR(__xludf.DUMMYFUNCTION("""COMPUTED_VALUE"""),"2 pin JST-XH housing")</f>
        <v>2 pin JST-XH housing</v>
      </c>
      <c r="J404">
        <f ca="1">IFERROR(__xludf.DUMMYFUNCTION("""COMPUTED_VALUE"""),3)</f>
        <v>3</v>
      </c>
      <c r="L404">
        <f t="shared" ca="1" si="4"/>
        <v>0</v>
      </c>
      <c r="Q404" t="str">
        <f>IF(N404="","",SUMIFS('PR-BOM'!$D$3:$D1001,'PR-BOM'!$C$3:$C1001,N404))</f>
        <v/>
      </c>
      <c r="S404" t="str">
        <f ca="1">IFERROR(__xludf.DUMMYFUNCTION("""COMPUTED_VALUE"""),"Soldering flux")</f>
        <v>Soldering flux</v>
      </c>
      <c r="Y404" t="str">
        <f t="shared" si="5"/>
        <v/>
      </c>
      <c r="Z404" t="str">
        <f>IF(X404="","",SUMIFS(#REF!,RM!$C$4:$C991,X404))</f>
        <v/>
      </c>
      <c r="AA404" t="str">
        <f>IF(X404="","",SUMIFS(#REF!,RM!$C$4:$C991,X404))</f>
        <v/>
      </c>
      <c r="AB404" t="str">
        <f>IF(X404="","",SUMIFS(IRegback!$Y$2:$Y1001,IRegback!$X$2:$X1001,X404))</f>
        <v/>
      </c>
      <c r="AC404" t="e">
        <f t="shared" si="6"/>
        <v>#VALUE!</v>
      </c>
      <c r="AD404" t="str">
        <f>IF(X404="","",VLOOKUP($X404,RM!$C$4:$G991,3,FALSE))</f>
        <v/>
      </c>
      <c r="AE404" t="str">
        <f>IF(X404="","",VLOOKUP($X404,RM!$C$4:$G991,4,FALSE))</f>
        <v/>
      </c>
      <c r="AF404" t="str">
        <f>IF(X404="","",VLOOKUP($X404,RM!$C$4:$G991,5,FALSE))</f>
        <v/>
      </c>
      <c r="AH404" t="str">
        <f ca="1">IFERROR(__xludf.DUMMYFUNCTION("""COMPUTED_VALUE"""),"IP Remote Assy")</f>
        <v>IP Remote Assy</v>
      </c>
      <c r="AI404" t="str">
        <f ca="1">IFERROR(__xludf.DUMMYFUNCTION("""COMPUTED_VALUE"""),"Joystick Water proof rubber")</f>
        <v>Joystick Water proof rubber</v>
      </c>
      <c r="AJ404">
        <f ca="1">IFERROR(__xludf.DUMMYFUNCTION("""COMPUTED_VALUE"""),2)</f>
        <v>2</v>
      </c>
      <c r="AK404" t="str">
        <f ca="1">IFERROR(__xludf.DUMMYFUNCTION("""COMPUTED_VALUE"""),"blank")</f>
        <v>blank</v>
      </c>
      <c r="AL404" t="e">
        <f ca="1">_xludf.IFNA(VLOOKUP(AH404,'S-FG'!$B$3:$B1001,1,FALSE),"")</f>
        <v>#NAME?</v>
      </c>
      <c r="AM404" t="e">
        <f ca="1">IF(AI404="","",SUMIFS(#REF!,RM!$C$4:$C991,AI404))</f>
        <v>#REF!</v>
      </c>
    </row>
    <row r="405" spans="5:39">
      <c r="E405" t="str">
        <f>IF(A405="","",SUMIFS('PR-BOM'!$D$3:$D1001,'PR-BOM'!$C$3:$C1001,A405)*C405)</f>
        <v/>
      </c>
      <c r="F405" t="e">
        <f ca="1">_xludf.IFNA(VLOOKUP(B405,'S-FG'!$B$3:$B1001,1,FALSE),"")</f>
        <v>#NAME?</v>
      </c>
      <c r="H405" t="str">
        <f ca="1">IFERROR(__xludf.DUMMYFUNCTION("""COMPUTED_VALUE"""),"AMCA Elec Assy")</f>
        <v>AMCA Elec Assy</v>
      </c>
      <c r="I405" t="str">
        <f ca="1">IFERROR(__xludf.DUMMYFUNCTION("""COMPUTED_VALUE"""),"2 pin JST-XH male top entry")</f>
        <v>2 pin JST-XH male top entry</v>
      </c>
      <c r="J405">
        <f ca="1">IFERROR(__xludf.DUMMYFUNCTION("""COMPUTED_VALUE"""),3)</f>
        <v>3</v>
      </c>
      <c r="K405" t="str">
        <f ca="1">IFERROR(__xludf.DUMMYFUNCTION("""COMPUTED_VALUE"""),"blank")</f>
        <v>blank</v>
      </c>
      <c r="L405">
        <f t="shared" ca="1" si="4"/>
        <v>0</v>
      </c>
      <c r="Q405" t="str">
        <f>IF(N405="","",SUMIFS('PR-BOM'!$D$3:$D1001,'PR-BOM'!$C$3:$C1001,N405))</f>
        <v/>
      </c>
      <c r="S405" t="str">
        <f ca="1">IFERROR(__xludf.DUMMYFUNCTION("""COMPUTED_VALUE"""),"2 pin JST-XH housing")</f>
        <v>2 pin JST-XH housing</v>
      </c>
      <c r="Y405" t="str">
        <f t="shared" si="5"/>
        <v/>
      </c>
      <c r="Z405" t="str">
        <f>IF(X405="","",SUMIFS(#REF!,RM!$C$4:$C991,X405))</f>
        <v/>
      </c>
      <c r="AA405" t="str">
        <f>IF(X405="","",SUMIFS(#REF!,RM!$C$4:$C991,X405))</f>
        <v/>
      </c>
      <c r="AB405" t="str">
        <f>IF(X405="","",SUMIFS(IRegback!$Y$2:$Y1001,IRegback!$X$2:$X1001,X405))</f>
        <v/>
      </c>
      <c r="AC405" t="e">
        <f t="shared" si="6"/>
        <v>#VALUE!</v>
      </c>
      <c r="AD405" t="str">
        <f>IF(X405="","",VLOOKUP($X405,RM!$C$4:$G991,3,FALSE))</f>
        <v/>
      </c>
      <c r="AE405" t="str">
        <f>IF(X405="","",VLOOKUP($X405,RM!$C$4:$G991,4,FALSE))</f>
        <v/>
      </c>
      <c r="AF405" t="str">
        <f>IF(X405="","",VLOOKUP($X405,RM!$C$4:$G991,5,FALSE))</f>
        <v/>
      </c>
      <c r="AH405" t="str">
        <f ca="1">IFERROR(__xludf.DUMMYFUNCTION("""COMPUTED_VALUE"""),"IP Remote Assy")</f>
        <v>IP Remote Assy</v>
      </c>
      <c r="AI405" t="str">
        <f ca="1">IFERROR(__xludf.DUMMYFUNCTION("""COMPUTED_VALUE"""),"Button Silicon Cover No. 1")</f>
        <v>Button Silicon Cover No. 1</v>
      </c>
      <c r="AJ405">
        <f ca="1">IFERROR(__xludf.DUMMYFUNCTION("""COMPUTED_VALUE"""),2)</f>
        <v>2</v>
      </c>
      <c r="AK405" t="str">
        <f ca="1">IFERROR(__xludf.DUMMYFUNCTION("""COMPUTED_VALUE"""),"blank")</f>
        <v>blank</v>
      </c>
      <c r="AL405" t="e">
        <f ca="1">_xludf.IFNA(VLOOKUP(AH405,'S-FG'!$B$3:$B1001,1,FALSE),"")</f>
        <v>#NAME?</v>
      </c>
      <c r="AM405" t="e">
        <f ca="1">IF(AI405="","",SUMIFS(#REF!,RM!$C$4:$C991,AI405))</f>
        <v>#REF!</v>
      </c>
    </row>
    <row r="406" spans="5:39">
      <c r="E406" t="str">
        <f>IF(A406="","",SUMIFS('PR-BOM'!$D$3:$D1001,'PR-BOM'!$C$3:$C1001,A406)*C406)</f>
        <v/>
      </c>
      <c r="F406" t="e">
        <f ca="1">_xludf.IFNA(VLOOKUP(B406,'S-FG'!$B$3:$B1001,1,FALSE),"")</f>
        <v>#NAME?</v>
      </c>
      <c r="H406" t="str">
        <f ca="1">IFERROR(__xludf.DUMMYFUNCTION("""COMPUTED_VALUE"""),"AMCA Elec Assy")</f>
        <v>AMCA Elec Assy</v>
      </c>
      <c r="I406" t="str">
        <f ca="1">IFERROR(__xludf.DUMMYFUNCTION("""COMPUTED_VALUE"""),"3 pin JST-XH male top entry")</f>
        <v>3 pin JST-XH male top entry</v>
      </c>
      <c r="J406">
        <f ca="1">IFERROR(__xludf.DUMMYFUNCTION("""COMPUTED_VALUE"""),1)</f>
        <v>1</v>
      </c>
      <c r="L406">
        <f t="shared" ca="1" si="4"/>
        <v>0</v>
      </c>
      <c r="Q406" t="str">
        <f>IF(N406="","",SUMIFS('PR-BOM'!$D$3:$D1001,'PR-BOM'!$C$3:$C1001,N406))</f>
        <v/>
      </c>
      <c r="S406" t="str">
        <f ca="1">IFERROR(__xludf.DUMMYFUNCTION("""COMPUTED_VALUE"""),"2 pin JST-XH male top entry")</f>
        <v>2 pin JST-XH male top entry</v>
      </c>
      <c r="Y406" t="str">
        <f t="shared" si="5"/>
        <v/>
      </c>
      <c r="Z406" t="str">
        <f>IF(X406="","",SUMIFS(#REF!,RM!$C$4:$C991,X406))</f>
        <v/>
      </c>
      <c r="AA406" t="str">
        <f>IF(X406="","",SUMIFS(#REF!,RM!$C$4:$C991,X406))</f>
        <v/>
      </c>
      <c r="AB406" t="str">
        <f>IF(X406="","",SUMIFS(IRegback!$Y$2:$Y1001,IRegback!$X$2:$X1001,X406))</f>
        <v/>
      </c>
      <c r="AC406" t="e">
        <f t="shared" si="6"/>
        <v>#VALUE!</v>
      </c>
      <c r="AD406" t="str">
        <f>IF(X406="","",VLOOKUP($X406,RM!$C$4:$G991,3,FALSE))</f>
        <v/>
      </c>
      <c r="AE406" t="str">
        <f>IF(X406="","",VLOOKUP($X406,RM!$C$4:$G991,4,FALSE))</f>
        <v/>
      </c>
      <c r="AF406" t="str">
        <f>IF(X406="","",VLOOKUP($X406,RM!$C$4:$G991,5,FALSE))</f>
        <v/>
      </c>
      <c r="AH406" t="str">
        <f ca="1">IFERROR(__xludf.DUMMYFUNCTION("""COMPUTED_VALUE"""),"IP Remote Assy")</f>
        <v>IP Remote Assy</v>
      </c>
      <c r="AI406" t="str">
        <f ca="1">IFERROR(__xludf.DUMMYFUNCTION("""COMPUTED_VALUE"""),"Button Silicon Cover No. 2")</f>
        <v>Button Silicon Cover No. 2</v>
      </c>
      <c r="AJ406">
        <f ca="1">IFERROR(__xludf.DUMMYFUNCTION("""COMPUTED_VALUE"""),2)</f>
        <v>2</v>
      </c>
      <c r="AK406" t="str">
        <f ca="1">IFERROR(__xludf.DUMMYFUNCTION("""COMPUTED_VALUE"""),"blank")</f>
        <v>blank</v>
      </c>
      <c r="AL406" t="e">
        <f ca="1">_xludf.IFNA(VLOOKUP(AH406,'S-FG'!$B$3:$B1001,1,FALSE),"")</f>
        <v>#NAME?</v>
      </c>
      <c r="AM406" t="e">
        <f ca="1">IF(AI406="","",SUMIFS(#REF!,RM!$C$4:$C991,AI406))</f>
        <v>#REF!</v>
      </c>
    </row>
    <row r="407" spans="5:39">
      <c r="E407" t="str">
        <f>IF(A407="","",SUMIFS('PR-BOM'!$D$3:$D1001,'PR-BOM'!$C$3:$C1001,A407)*C407)</f>
        <v/>
      </c>
      <c r="F407" t="e">
        <f ca="1">_xludf.IFNA(VLOOKUP(B407,'S-FG'!$B$3:$B1001,1,FALSE),"")</f>
        <v>#NAME?</v>
      </c>
      <c r="H407" t="str">
        <f ca="1">IFERROR(__xludf.DUMMYFUNCTION("""COMPUTED_VALUE"""),"AMCA Elec Assy")</f>
        <v>AMCA Elec Assy</v>
      </c>
      <c r="I407" t="str">
        <f ca="1">IFERROR(__xludf.DUMMYFUNCTION("""COMPUTED_VALUE"""),"10cm one sided JST crimped Black")</f>
        <v>10cm one sided JST crimped Black</v>
      </c>
      <c r="J407">
        <f ca="1">IFERROR(__xludf.DUMMYFUNCTION("""COMPUTED_VALUE"""),2)</f>
        <v>2</v>
      </c>
      <c r="K407" t="str">
        <f ca="1">IFERROR(__xludf.DUMMYFUNCTION("""COMPUTED_VALUE"""),"blank")</f>
        <v>blank</v>
      </c>
      <c r="L407">
        <f t="shared" ca="1" si="4"/>
        <v>0</v>
      </c>
      <c r="Q407" t="str">
        <f>IF(N407="","",SUMIFS('PR-BOM'!$D$3:$D1001,'PR-BOM'!$C$3:$C1001,N407))</f>
        <v/>
      </c>
      <c r="S407" t="str">
        <f ca="1">IFERROR(__xludf.DUMMYFUNCTION("""COMPUTED_VALUE"""),"3 pin JST-XH male top entry")</f>
        <v>3 pin JST-XH male top entry</v>
      </c>
      <c r="Y407" t="str">
        <f t="shared" si="5"/>
        <v/>
      </c>
      <c r="Z407" t="str">
        <f>IF(X407="","",SUMIFS(#REF!,RM!$C$4:$C991,X407))</f>
        <v/>
      </c>
      <c r="AA407" t="str">
        <f>IF(X407="","",SUMIFS(#REF!,RM!$C$4:$C991,X407))</f>
        <v/>
      </c>
      <c r="AB407" t="str">
        <f>IF(X407="","",SUMIFS(IRegback!$Y$2:$Y1001,IRegback!$X$2:$X1001,X407))</f>
        <v/>
      </c>
      <c r="AC407" t="e">
        <f t="shared" si="6"/>
        <v>#VALUE!</v>
      </c>
      <c r="AD407" t="str">
        <f>IF(X407="","",VLOOKUP($X407,RM!$C$4:$G991,3,FALSE))</f>
        <v/>
      </c>
      <c r="AE407" t="str">
        <f>IF(X407="","",VLOOKUP($X407,RM!$C$4:$G991,4,FALSE))</f>
        <v/>
      </c>
      <c r="AF407" t="str">
        <f>IF(X407="","",VLOOKUP($X407,RM!$C$4:$G991,5,FALSE))</f>
        <v/>
      </c>
      <c r="AH407" t="str">
        <f ca="1">IFERROR(__xludf.DUMMYFUNCTION("""COMPUTED_VALUE"""),"IP Remote Assy")</f>
        <v>IP Remote Assy</v>
      </c>
      <c r="AI407" t="str">
        <f ca="1">IFERROR(__xludf.DUMMYFUNCTION("""COMPUTED_VALUE"""),"Neck Strap Hook")</f>
        <v>Neck Strap Hook</v>
      </c>
      <c r="AJ407">
        <f ca="1">IFERROR(__xludf.DUMMYFUNCTION("""COMPUTED_VALUE"""),1)</f>
        <v>1</v>
      </c>
      <c r="AK407" t="str">
        <f ca="1">IFERROR(__xludf.DUMMYFUNCTION("""COMPUTED_VALUE"""),"blank")</f>
        <v>blank</v>
      </c>
      <c r="AL407" t="e">
        <f ca="1">_xludf.IFNA(VLOOKUP(AH407,'S-FG'!$B$3:$B1001,1,FALSE),"")</f>
        <v>#NAME?</v>
      </c>
      <c r="AM407" t="e">
        <f ca="1">IF(AI407="","",SUMIFS(#REF!,RM!$C$4:$C991,AI407))</f>
        <v>#REF!</v>
      </c>
    </row>
    <row r="408" spans="5:39">
      <c r="E408" t="str">
        <f>IF(A408="","",SUMIFS('PR-BOM'!$D$3:$D1001,'PR-BOM'!$C$3:$C1001,A408)*C408)</f>
        <v/>
      </c>
      <c r="F408" t="e">
        <f ca="1">_xludf.IFNA(VLOOKUP(B408,'S-FG'!$B$3:$B1001,1,FALSE),"")</f>
        <v>#NAME?</v>
      </c>
      <c r="H408" t="str">
        <f ca="1">IFERROR(__xludf.DUMMYFUNCTION("""COMPUTED_VALUE"""),"AMCA Elec Assy")</f>
        <v>AMCA Elec Assy</v>
      </c>
      <c r="I408" t="str">
        <f ca="1">IFERROR(__xludf.DUMMYFUNCTION("""COMPUTED_VALUE"""),"10cm one sided JST crimped Red")</f>
        <v>10cm one sided JST crimped Red</v>
      </c>
      <c r="J408">
        <f ca="1">IFERROR(__xludf.DUMMYFUNCTION("""COMPUTED_VALUE"""),2)</f>
        <v>2</v>
      </c>
      <c r="K408" t="str">
        <f ca="1">IFERROR(__xludf.DUMMYFUNCTION("""COMPUTED_VALUE"""),"blank")</f>
        <v>blank</v>
      </c>
      <c r="L408">
        <f t="shared" ca="1" si="4"/>
        <v>0</v>
      </c>
      <c r="Q408" t="str">
        <f>IF(N408="","",SUMIFS('PR-BOM'!$D$3:$D1001,'PR-BOM'!$C$3:$C1001,N408))</f>
        <v/>
      </c>
      <c r="S408" t="str">
        <f ca="1">IFERROR(__xludf.DUMMYFUNCTION("""COMPUTED_VALUE"""),"10cm one sided JST crimped Black")</f>
        <v>10cm one sided JST crimped Black</v>
      </c>
      <c r="Y408" t="str">
        <f t="shared" si="5"/>
        <v/>
      </c>
      <c r="Z408" t="str">
        <f>IF(X408="","",SUMIFS(#REF!,RM!$C$4:$C991,X408))</f>
        <v/>
      </c>
      <c r="AA408" t="str">
        <f>IF(X408="","",SUMIFS(#REF!,RM!$C$4:$C991,X408))</f>
        <v/>
      </c>
      <c r="AB408" t="str">
        <f>IF(X408="","",SUMIFS(IRegback!$Y$2:$Y1001,IRegback!$X$2:$X1001,X408))</f>
        <v/>
      </c>
      <c r="AC408" t="e">
        <f t="shared" si="6"/>
        <v>#VALUE!</v>
      </c>
      <c r="AD408" t="str">
        <f>IF(X408="","",VLOOKUP($X408,RM!$C$4:$G991,3,FALSE))</f>
        <v/>
      </c>
      <c r="AE408" t="str">
        <f>IF(X408="","",VLOOKUP($X408,RM!$C$4:$G991,4,FALSE))</f>
        <v/>
      </c>
      <c r="AF408" t="str">
        <f>IF(X408="","",VLOOKUP($X408,RM!$C$4:$G991,5,FALSE))</f>
        <v/>
      </c>
      <c r="AH408" t="str">
        <f ca="1">IFERROR(__xludf.DUMMYFUNCTION("""COMPUTED_VALUE"""),"IP Remote Assy")</f>
        <v>IP Remote Assy</v>
      </c>
      <c r="AI408" t="str">
        <f ca="1">IFERROR(__xludf.DUMMYFUNCTION("""COMPUTED_VALUE"""),"Neck Strap")</f>
        <v>Neck Strap</v>
      </c>
      <c r="AJ408">
        <f ca="1">IFERROR(__xludf.DUMMYFUNCTION("""COMPUTED_VALUE"""),1)</f>
        <v>1</v>
      </c>
      <c r="AK408" t="str">
        <f ca="1">IFERROR(__xludf.DUMMYFUNCTION("""COMPUTED_VALUE"""),"blank")</f>
        <v>blank</v>
      </c>
      <c r="AL408" t="e">
        <f ca="1">_xludf.IFNA(VLOOKUP(AH408,'S-FG'!$B$3:$B1001,1,FALSE),"")</f>
        <v>#NAME?</v>
      </c>
      <c r="AM408" t="e">
        <f ca="1">IF(AI408="","",SUMIFS(#REF!,RM!$C$4:$C991,AI408))</f>
        <v>#REF!</v>
      </c>
    </row>
    <row r="409" spans="5:39">
      <c r="E409" t="str">
        <f>IF(A409="","",SUMIFS('PR-BOM'!$D$3:$D1001,'PR-BOM'!$C$3:$C1001,A409)*C409)</f>
        <v/>
      </c>
      <c r="F409" t="e">
        <f ca="1">_xludf.IFNA(VLOOKUP(B409,'S-FG'!$B$3:$B1001,1,FALSE),"")</f>
        <v>#NAME?</v>
      </c>
      <c r="H409" t="str">
        <f ca="1">IFERROR(__xludf.DUMMYFUNCTION("""COMPUTED_VALUE"""),"AMCA Elec Assy")</f>
        <v>AMCA Elec Assy</v>
      </c>
      <c r="I409" t="str">
        <f ca="1">IFERROR(__xludf.DUMMYFUNCTION("""COMPUTED_VALUE"""),"Atmega328P-AU")</f>
        <v>Atmega328P-AU</v>
      </c>
      <c r="J409">
        <f ca="1">IFERROR(__xludf.DUMMYFUNCTION("""COMPUTED_VALUE"""),1)</f>
        <v>1</v>
      </c>
      <c r="K409" t="str">
        <f ca="1">IFERROR(__xludf.DUMMYFUNCTION("""COMPUTED_VALUE"""),"blank")</f>
        <v>blank</v>
      </c>
      <c r="L409">
        <f t="shared" ca="1" si="4"/>
        <v>0</v>
      </c>
      <c r="Q409" t="str">
        <f>IF(N409="","",SUMIFS('PR-BOM'!$D$3:$D1001,'PR-BOM'!$C$3:$C1001,N409))</f>
        <v/>
      </c>
      <c r="S409" t="str">
        <f ca="1">IFERROR(__xludf.DUMMYFUNCTION("""COMPUTED_VALUE"""),"10cm one sided JST crimped Red")</f>
        <v>10cm one sided JST crimped Red</v>
      </c>
      <c r="Y409" t="str">
        <f t="shared" si="5"/>
        <v/>
      </c>
      <c r="Z409" t="str">
        <f>IF(X409="","",SUMIFS(#REF!,RM!$C$4:$C991,X409))</f>
        <v/>
      </c>
      <c r="AA409" t="str">
        <f>IF(X409="","",SUMIFS(#REF!,RM!$C$4:$C991,X409))</f>
        <v/>
      </c>
      <c r="AB409" t="str">
        <f>IF(X409="","",SUMIFS(IRegback!$Y$2:$Y1001,IRegback!$X$2:$X1001,X409))</f>
        <v/>
      </c>
      <c r="AC409" t="e">
        <f t="shared" si="6"/>
        <v>#VALUE!</v>
      </c>
      <c r="AD409" t="str">
        <f>IF(X409="","",VLOOKUP($X409,RM!$C$4:$G991,3,FALSE))</f>
        <v/>
      </c>
      <c r="AE409" t="str">
        <f>IF(X409="","",VLOOKUP($X409,RM!$C$4:$G991,4,FALSE))</f>
        <v/>
      </c>
      <c r="AF409" t="str">
        <f>IF(X409="","",VLOOKUP($X409,RM!$C$4:$G991,5,FALSE))</f>
        <v/>
      </c>
      <c r="AH409" t="str">
        <f ca="1">IFERROR(__xludf.DUMMYFUNCTION("""COMPUTED_VALUE"""),"IP Remote Assy")</f>
        <v>IP Remote Assy</v>
      </c>
      <c r="AI409" t="str">
        <f ca="1">IFERROR(__xludf.DUMMYFUNCTION("""COMPUTED_VALUE"""),"M2x12 Allen Head SS304")</f>
        <v>M2x12 Allen Head SS304</v>
      </c>
      <c r="AJ409">
        <f ca="1">IFERROR(__xludf.DUMMYFUNCTION("""COMPUTED_VALUE"""),20)</f>
        <v>20</v>
      </c>
      <c r="AK409" t="str">
        <f ca="1">IFERROR(__xludf.DUMMYFUNCTION("""COMPUTED_VALUE"""),"blank")</f>
        <v>blank</v>
      </c>
      <c r="AL409" t="e">
        <f ca="1">_xludf.IFNA(VLOOKUP(AH409,'S-FG'!$B$3:$B1001,1,FALSE),"")</f>
        <v>#NAME?</v>
      </c>
      <c r="AM409" t="e">
        <f ca="1">IF(AI409="","",SUMIFS(#REF!,RM!$C$4:$C991,AI409))</f>
        <v>#REF!</v>
      </c>
    </row>
    <row r="410" spans="5:39">
      <c r="E410" t="str">
        <f>IF(A410="","",SUMIFS('PR-BOM'!$D$3:$D1001,'PR-BOM'!$C$3:$C1001,A410)*C410)</f>
        <v/>
      </c>
      <c r="F410" t="e">
        <f ca="1">_xludf.IFNA(VLOOKUP(B410,'S-FG'!$B$3:$B1001,1,FALSE),"")</f>
        <v>#NAME?</v>
      </c>
      <c r="H410" t="str">
        <f ca="1">IFERROR(__xludf.DUMMYFUNCTION("""COMPUTED_VALUE"""),"AMCA Elec Assy")</f>
        <v>AMCA Elec Assy</v>
      </c>
      <c r="I410" t="str">
        <f ca="1">IFERROR(__xludf.DUMMYFUNCTION("""COMPUTED_VALUE"""),"Red 14/38 wire")</f>
        <v>Red 14/38 wire</v>
      </c>
      <c r="J410">
        <f ca="1">IFERROR(__xludf.DUMMYFUNCTION("""COMPUTED_VALUE"""),2)</f>
        <v>2</v>
      </c>
      <c r="L410">
        <f t="shared" ca="1" si="4"/>
        <v>0</v>
      </c>
      <c r="Q410" t="str">
        <f>IF(N410="","",SUMIFS('PR-BOM'!$D$3:$D1001,'PR-BOM'!$C$3:$C1001,N410))</f>
        <v/>
      </c>
      <c r="S410" t="str">
        <f ca="1">IFERROR(__xludf.DUMMYFUNCTION("""COMPUTED_VALUE"""),"Atmega328P-AU")</f>
        <v>Atmega328P-AU</v>
      </c>
      <c r="Y410" t="str">
        <f t="shared" si="5"/>
        <v/>
      </c>
      <c r="Z410" t="str">
        <f>IF(X410="","",SUMIFS(#REF!,RM!$C$4:$C991,X410))</f>
        <v/>
      </c>
      <c r="AA410" t="str">
        <f>IF(X410="","",SUMIFS(#REF!,RM!$C$4:$C991,X410))</f>
        <v/>
      </c>
      <c r="AB410" t="str">
        <f>IF(X410="","",SUMIFS(IRegback!$Y$2:$Y1001,IRegback!$X$2:$X1001,X410))</f>
        <v/>
      </c>
      <c r="AC410" t="e">
        <f t="shared" si="6"/>
        <v>#VALUE!</v>
      </c>
      <c r="AD410" t="str">
        <f>IF(X410="","",VLOOKUP($X410,RM!$C$4:$G991,3,FALSE))</f>
        <v/>
      </c>
      <c r="AE410" t="str">
        <f>IF(X410="","",VLOOKUP($X410,RM!$C$4:$G991,4,FALSE))</f>
        <v/>
      </c>
      <c r="AF410" t="str">
        <f>IF(X410="","",VLOOKUP($X410,RM!$C$4:$G991,5,FALSE))</f>
        <v/>
      </c>
      <c r="AH410" t="str">
        <f ca="1">IFERROR(__xludf.DUMMYFUNCTION("""COMPUTED_VALUE"""),"IP Remote Assy")</f>
        <v>IP Remote Assy</v>
      </c>
      <c r="AI410" t="str">
        <f ca="1">IFERROR(__xludf.DUMMYFUNCTION("""COMPUTED_VALUE"""),"32Gb SD Card")</f>
        <v>32Gb SD Card</v>
      </c>
      <c r="AJ410">
        <f ca="1">IFERROR(__xludf.DUMMYFUNCTION("""COMPUTED_VALUE"""),1)</f>
        <v>1</v>
      </c>
      <c r="AK410" t="str">
        <f ca="1">IFERROR(__xludf.DUMMYFUNCTION("""COMPUTED_VALUE"""),"blank")</f>
        <v>blank</v>
      </c>
      <c r="AL410" t="e">
        <f ca="1">_xludf.IFNA(VLOOKUP(AH410,'S-FG'!$B$3:$B1001,1,FALSE),"")</f>
        <v>#NAME?</v>
      </c>
      <c r="AM410" t="e">
        <f ca="1">IF(AI410="","",SUMIFS(#REF!,RM!$C$4:$C991,AI410))</f>
        <v>#REF!</v>
      </c>
    </row>
    <row r="411" spans="5:39">
      <c r="E411" t="str">
        <f>IF(A411="","",SUMIFS('PR-BOM'!$D$3:$D1001,'PR-BOM'!$C$3:$C1001,A411)*C411)</f>
        <v/>
      </c>
      <c r="F411" t="e">
        <f ca="1">_xludf.IFNA(VLOOKUP(B411,'S-FG'!$B$3:$B1001,1,FALSE),"")</f>
        <v>#NAME?</v>
      </c>
      <c r="H411" t="str">
        <f ca="1">IFERROR(__xludf.DUMMYFUNCTION("""COMPUTED_VALUE"""),"AMCA Elec Assy")</f>
        <v>AMCA Elec Assy</v>
      </c>
      <c r="I411" t="str">
        <f ca="1">IFERROR(__xludf.DUMMYFUNCTION("""COMPUTED_VALUE"""),"Black 14/38 Wire")</f>
        <v>Black 14/38 Wire</v>
      </c>
      <c r="J411">
        <f ca="1">IFERROR(__xludf.DUMMYFUNCTION("""COMPUTED_VALUE"""),2)</f>
        <v>2</v>
      </c>
      <c r="L411">
        <f t="shared" ca="1" si="4"/>
        <v>0</v>
      </c>
      <c r="Q411" t="str">
        <f>IF(N411="","",SUMIFS('PR-BOM'!$D$3:$D1001,'PR-BOM'!$C$3:$C1001,N411))</f>
        <v/>
      </c>
      <c r="S411" t="str">
        <f ca="1">IFERROR(__xludf.DUMMYFUNCTION("""COMPUTED_VALUE"""),"Red 14/38 wire")</f>
        <v>Red 14/38 wire</v>
      </c>
      <c r="Y411" t="str">
        <f t="shared" si="5"/>
        <v/>
      </c>
      <c r="Z411" t="str">
        <f>IF(X411="","",SUMIFS(#REF!,RM!$C$4:$C991,X411))</f>
        <v/>
      </c>
      <c r="AA411" t="str">
        <f>IF(X411="","",SUMIFS(#REF!,RM!$C$4:$C991,X411))</f>
        <v/>
      </c>
      <c r="AB411" t="str">
        <f>IF(X411="","",SUMIFS(IRegback!$Y$2:$Y1001,IRegback!$X$2:$X1001,X411))</f>
        <v/>
      </c>
      <c r="AC411" t="e">
        <f t="shared" si="6"/>
        <v>#VALUE!</v>
      </c>
      <c r="AD411" t="str">
        <f>IF(X411="","",VLOOKUP($X411,RM!$C$4:$G991,3,FALSE))</f>
        <v/>
      </c>
      <c r="AE411" t="str">
        <f>IF(X411="","",VLOOKUP($X411,RM!$C$4:$G991,4,FALSE))</f>
        <v/>
      </c>
      <c r="AF411" t="str">
        <f>IF(X411="","",VLOOKUP($X411,RM!$C$4:$G991,5,FALSE))</f>
        <v/>
      </c>
      <c r="AH411" t="str">
        <f ca="1">IFERROR(__xludf.DUMMYFUNCTION("""COMPUTED_VALUE"""),"IP Remote Charging Cable Assy")</f>
        <v>IP Remote Charging Cable Assy</v>
      </c>
      <c r="AI411" t="str">
        <f ca="1">IFERROR(__xludf.DUMMYFUNCTION("""COMPUTED_VALUE"""),"USB Data &amp; Charging Cable 1m length")</f>
        <v>USB Data &amp; Charging Cable 1m length</v>
      </c>
      <c r="AJ411">
        <f ca="1">IFERROR(__xludf.DUMMYFUNCTION("""COMPUTED_VALUE"""),1)</f>
        <v>1</v>
      </c>
      <c r="AK411" t="str">
        <f ca="1">IFERROR(__xludf.DUMMYFUNCTION("""COMPUTED_VALUE"""),"blank")</f>
        <v>blank</v>
      </c>
      <c r="AL411" t="e">
        <f ca="1">_xludf.IFNA(VLOOKUP(AH411,'S-FG'!$B$3:$B1001,1,FALSE),"")</f>
        <v>#NAME?</v>
      </c>
      <c r="AM411" t="e">
        <f ca="1">IF(AI411="","",SUMIFS(#REF!,RM!$C$4:$C991,AI411))</f>
        <v>#REF!</v>
      </c>
    </row>
    <row r="412" spans="5:39">
      <c r="E412" t="str">
        <f>IF(A412="","",SUMIFS('PR-BOM'!$D$3:$D1001,'PR-BOM'!$C$3:$C1001,A412)*C412)</f>
        <v/>
      </c>
      <c r="F412" t="e">
        <f ca="1">_xludf.IFNA(VLOOKUP(B412,'S-FG'!$B$3:$B1001,1,FALSE),"")</f>
        <v>#NAME?</v>
      </c>
      <c r="H412" t="str">
        <f ca="1">IFERROR(__xludf.DUMMYFUNCTION("""COMPUTED_VALUE"""),"AMCA Elec Assy")</f>
        <v>AMCA Elec Assy</v>
      </c>
      <c r="I412" t="str">
        <f ca="1">IFERROR(__xludf.DUMMYFUNCTION("""COMPUTED_VALUE"""),"Yellow 14/38 Wire")</f>
        <v>Yellow 14/38 Wire</v>
      </c>
      <c r="J412">
        <f ca="1">IFERROR(__xludf.DUMMYFUNCTION("""COMPUTED_VALUE"""),2)</f>
        <v>2</v>
      </c>
      <c r="L412">
        <f t="shared" ca="1" si="4"/>
        <v>0</v>
      </c>
      <c r="Q412" t="str">
        <f>IF(N412="","",SUMIFS('PR-BOM'!$D$3:$D1001,'PR-BOM'!$C$3:$C1001,N412))</f>
        <v/>
      </c>
      <c r="S412" t="str">
        <f ca="1">IFERROR(__xludf.DUMMYFUNCTION("""COMPUTED_VALUE"""),"Black 14/38 Wire")</f>
        <v>Black 14/38 Wire</v>
      </c>
      <c r="Y412" t="str">
        <f t="shared" si="5"/>
        <v/>
      </c>
      <c r="Z412" t="str">
        <f>IF(X412="","",SUMIFS(#REF!,RM!$C$4:$C991,X412))</f>
        <v/>
      </c>
      <c r="AA412" t="str">
        <f>IF(X412="","",SUMIFS(#REF!,RM!$C$4:$C991,X412))</f>
        <v/>
      </c>
      <c r="AB412" t="str">
        <f>IF(X412="","",SUMIFS(IRegback!$Y$2:$Y1001,IRegback!$X$2:$X1001,X412))</f>
        <v/>
      </c>
      <c r="AC412" t="e">
        <f t="shared" si="6"/>
        <v>#VALUE!</v>
      </c>
      <c r="AD412" t="str">
        <f>IF(X412="","",VLOOKUP($X412,RM!$C$4:$G991,3,FALSE))</f>
        <v/>
      </c>
      <c r="AE412" t="str">
        <f>IF(X412="","",VLOOKUP($X412,RM!$C$4:$G991,4,FALSE))</f>
        <v/>
      </c>
      <c r="AF412" t="str">
        <f>IF(X412="","",VLOOKUP($X412,RM!$C$4:$G991,5,FALSE))</f>
        <v/>
      </c>
      <c r="AH412" t="str">
        <f ca="1">IFERROR(__xludf.DUMMYFUNCTION("""COMPUTED_VALUE"""),"IP Remote Charging Cable Assy")</f>
        <v>IP Remote Charging Cable Assy</v>
      </c>
      <c r="AI412" t="str">
        <f ca="1">IFERROR(__xludf.DUMMYFUNCTION("""COMPUTED_VALUE"""),"5v 2A USB Adapter")</f>
        <v>5v 2A USB Adapter</v>
      </c>
      <c r="AJ412">
        <f ca="1">IFERROR(__xludf.DUMMYFUNCTION("""COMPUTED_VALUE"""),1)</f>
        <v>1</v>
      </c>
      <c r="AK412" t="str">
        <f ca="1">IFERROR(__xludf.DUMMYFUNCTION("""COMPUTED_VALUE"""),"blank")</f>
        <v>blank</v>
      </c>
      <c r="AL412" t="e">
        <f ca="1">_xludf.IFNA(VLOOKUP(AH412,'S-FG'!$B$3:$B1001,1,FALSE),"")</f>
        <v>#NAME?</v>
      </c>
      <c r="AM412" t="e">
        <f ca="1">IF(AI412="","",SUMIFS(#REF!,RM!$C$4:$C991,AI412))</f>
        <v>#REF!</v>
      </c>
    </row>
    <row r="413" spans="5:39">
      <c r="E413" t="str">
        <f>IF(A413="","",SUMIFS('PR-BOM'!$D$3:$D1001,'PR-BOM'!$C$3:$C1001,A413)*C413)</f>
        <v/>
      </c>
      <c r="F413" t="e">
        <f ca="1">_xludf.IFNA(VLOOKUP(B413,'S-FG'!$B$3:$B1001,1,FALSE),"")</f>
        <v>#NAME?</v>
      </c>
      <c r="H413" t="str">
        <f ca="1">IFERROR(__xludf.DUMMYFUNCTION("""COMPUTED_VALUE"""),"AMCA Elec Assy")</f>
        <v>AMCA Elec Assy</v>
      </c>
      <c r="I413" t="str">
        <f ca="1">IFERROR(__xludf.DUMMYFUNCTION("""COMPUTED_VALUE"""),"3S BMS")</f>
        <v>3S BMS</v>
      </c>
      <c r="J413">
        <f ca="1">IFERROR(__xludf.DUMMYFUNCTION("""COMPUTED_VALUE"""),1)</f>
        <v>1</v>
      </c>
      <c r="L413">
        <f t="shared" ca="1" si="4"/>
        <v>0</v>
      </c>
      <c r="Q413" t="str">
        <f>IF(N413="","",SUMIFS('PR-BOM'!$D$3:$D1001,'PR-BOM'!$C$3:$C1001,N413))</f>
        <v/>
      </c>
      <c r="S413" t="str">
        <f ca="1">IFERROR(__xludf.DUMMYFUNCTION("""COMPUTED_VALUE"""),"Yellow 14/38 Wire")</f>
        <v>Yellow 14/38 Wire</v>
      </c>
      <c r="Y413" t="str">
        <f t="shared" si="5"/>
        <v/>
      </c>
      <c r="Z413" t="str">
        <f>IF(X413="","",SUMIFS(#REF!,RM!$C$4:$C991,X413))</f>
        <v/>
      </c>
      <c r="AA413" t="str">
        <f>IF(X413="","",SUMIFS(#REF!,RM!$C$4:$C991,X413))</f>
        <v/>
      </c>
      <c r="AB413" t="str">
        <f>IF(X413="","",SUMIFS(IRegback!$Y$2:$Y1001,IRegback!$X$2:$X1001,X413))</f>
        <v/>
      </c>
      <c r="AC413" t="e">
        <f t="shared" si="6"/>
        <v>#VALUE!</v>
      </c>
      <c r="AD413" t="str">
        <f>IF(X413="","",VLOOKUP($X413,RM!$C$4:$G991,3,FALSE))</f>
        <v/>
      </c>
      <c r="AE413" t="str">
        <f>IF(X413="","",VLOOKUP($X413,RM!$C$4:$G991,4,FALSE))</f>
        <v/>
      </c>
      <c r="AF413" t="str">
        <f>IF(X413="","",VLOOKUP($X413,RM!$C$4:$G991,5,FALSE))</f>
        <v/>
      </c>
      <c r="AH413" t="str">
        <f ca="1">IFERROR(__xludf.DUMMYFUNCTION("""COMPUTED_VALUE"""),"IP Remote Charging Cable Assy")</f>
        <v>IP Remote Charging Cable Assy</v>
      </c>
      <c r="AI413" t="str">
        <f ca="1">IFERROR(__xludf.DUMMYFUNCTION("""COMPUTED_VALUE"""),"SA12 9pin CM Pushpull")</f>
        <v>SA12 9pin CM Pushpull</v>
      </c>
      <c r="AJ413">
        <f ca="1">IFERROR(__xludf.DUMMYFUNCTION("""COMPUTED_VALUE"""),1)</f>
        <v>1</v>
      </c>
      <c r="AK413" t="str">
        <f ca="1">IFERROR(__xludf.DUMMYFUNCTION("""COMPUTED_VALUE"""),"blank")</f>
        <v>blank</v>
      </c>
      <c r="AL413" t="e">
        <f ca="1">_xludf.IFNA(VLOOKUP(AH413,'S-FG'!$B$3:$B1001,1,FALSE),"")</f>
        <v>#NAME?</v>
      </c>
      <c r="AM413" t="e">
        <f ca="1">IF(AI413="","",SUMIFS(#REF!,RM!$C$4:$C991,AI413))</f>
        <v>#REF!</v>
      </c>
    </row>
    <row r="414" spans="5:39">
      <c r="E414" t="str">
        <f>IF(A414="","",SUMIFS('PR-BOM'!$D$3:$D1001,'PR-BOM'!$C$3:$C1001,A414)*C414)</f>
        <v/>
      </c>
      <c r="F414" t="e">
        <f ca="1">_xludf.IFNA(VLOOKUP(B414,'S-FG'!$B$3:$B1001,1,FALSE),"")</f>
        <v>#NAME?</v>
      </c>
      <c r="H414" t="str">
        <f ca="1">IFERROR(__xludf.DUMMYFUNCTION("""COMPUTED_VALUE"""),"AMCA Elec Assy")</f>
        <v>AMCA Elec Assy</v>
      </c>
      <c r="I414" t="str">
        <f ca="1">IFERROR(__xludf.DUMMYFUNCTION("""COMPUTED_VALUE"""),"130x80x60 enclosure box")</f>
        <v>130x80x60 enclosure box</v>
      </c>
      <c r="J414">
        <f ca="1">IFERROR(__xludf.DUMMYFUNCTION("""COMPUTED_VALUE"""),1)</f>
        <v>1</v>
      </c>
      <c r="L414">
        <f t="shared" ca="1" si="4"/>
        <v>0</v>
      </c>
      <c r="Q414" t="str">
        <f>IF(N414="","",SUMIFS('PR-BOM'!$D$3:$D1001,'PR-BOM'!$C$3:$C1001,N414))</f>
        <v/>
      </c>
      <c r="S414" t="str">
        <f ca="1">IFERROR(__xludf.DUMMYFUNCTION("""COMPUTED_VALUE"""),"3S BMS")</f>
        <v>3S BMS</v>
      </c>
      <c r="Y414" t="str">
        <f t="shared" si="5"/>
        <v/>
      </c>
      <c r="Z414" t="str">
        <f>IF(X414="","",SUMIFS(#REF!,RM!$C$4:$C991,X414))</f>
        <v/>
      </c>
      <c r="AA414" t="str">
        <f>IF(X414="","",SUMIFS(#REF!,RM!$C$4:$C991,X414))</f>
        <v/>
      </c>
      <c r="AB414" t="str">
        <f>IF(X414="","",SUMIFS(IRegback!$Y$2:$Y1001,IRegback!$X$2:$X1001,X414))</f>
        <v/>
      </c>
      <c r="AC414" t="e">
        <f t="shared" si="6"/>
        <v>#VALUE!</v>
      </c>
      <c r="AD414" t="str">
        <f>IF(X414="","",VLOOKUP($X414,RM!$C$4:$G991,3,FALSE))</f>
        <v/>
      </c>
      <c r="AE414" t="str">
        <f>IF(X414="","",VLOOKUP($X414,RM!$C$4:$G991,4,FALSE))</f>
        <v/>
      </c>
      <c r="AF414" t="str">
        <f>IF(X414="","",VLOOKUP($X414,RM!$C$4:$G991,5,FALSE))</f>
        <v/>
      </c>
      <c r="AH414" t="str">
        <f ca="1">IFERROR(__xludf.DUMMYFUNCTION("""COMPUTED_VALUE"""),"IP Remote Charging Cable Assy")</f>
        <v>IP Remote Charging Cable Assy</v>
      </c>
      <c r="AI414" t="str">
        <f ca="1">IFERROR(__xludf.DUMMYFUNCTION("""COMPUTED_VALUE"""),"Rotary Knob Box 3D print")</f>
        <v>Rotary Knob Box 3D print</v>
      </c>
      <c r="AJ414">
        <f ca="1">IFERROR(__xludf.DUMMYFUNCTION("""COMPUTED_VALUE"""),1)</f>
        <v>1</v>
      </c>
      <c r="AK414" t="str">
        <f ca="1">IFERROR(__xludf.DUMMYFUNCTION("""COMPUTED_VALUE"""),"blank")</f>
        <v>blank</v>
      </c>
      <c r="AL414" t="e">
        <f ca="1">_xludf.IFNA(VLOOKUP(AH414,'S-FG'!$B$3:$B1001,1,FALSE),"")</f>
        <v>#NAME?</v>
      </c>
      <c r="AM414" t="e">
        <f ca="1">IF(AI414="","",SUMIFS(#REF!,RM!$C$4:$C991,AI414))</f>
        <v>#REF!</v>
      </c>
    </row>
    <row r="415" spans="5:39">
      <c r="E415" t="str">
        <f>IF(A415="","",SUMIFS('PR-BOM'!$D$3:$D1001,'PR-BOM'!$C$3:$C1001,A415)*C415)</f>
        <v/>
      </c>
      <c r="F415" t="e">
        <f ca="1">_xludf.IFNA(VLOOKUP(B415,'S-FG'!$B$3:$B1001,1,FALSE),"")</f>
        <v>#NAME?</v>
      </c>
      <c r="H415" t="str">
        <f ca="1">IFERROR(__xludf.DUMMYFUNCTION("""COMPUTED_VALUE"""),"AMCA Elec Assy")</f>
        <v>AMCA Elec Assy</v>
      </c>
      <c r="I415" t="str">
        <f ca="1">IFERROR(__xludf.DUMMYFUNCTION("""COMPUTED_VALUE"""),"2mm male bullet connector")</f>
        <v>2mm male bullet connector</v>
      </c>
      <c r="J415">
        <f ca="1">IFERROR(__xludf.DUMMYFUNCTION("""COMPUTED_VALUE"""),6)</f>
        <v>6</v>
      </c>
      <c r="K415" t="str">
        <f ca="1">IFERROR(__xludf.DUMMYFUNCTION("""COMPUTED_VALUE"""),"blank")</f>
        <v>blank</v>
      </c>
      <c r="L415">
        <f t="shared" ca="1" si="4"/>
        <v>0</v>
      </c>
      <c r="Q415" t="str">
        <f>IF(N415="","",SUMIFS('PR-BOM'!$D$3:$D1001,'PR-BOM'!$C$3:$C1001,N415))</f>
        <v/>
      </c>
      <c r="S415" t="str">
        <f ca="1">IFERROR(__xludf.DUMMYFUNCTION("""COMPUTED_VALUE"""),"130x80x60 enclosure box")</f>
        <v>130x80x60 enclosure box</v>
      </c>
      <c r="Y415" t="str">
        <f t="shared" si="5"/>
        <v/>
      </c>
      <c r="Z415" t="str">
        <f>IF(X415="","",SUMIFS(#REF!,RM!$C$4:$C991,X415))</f>
        <v/>
      </c>
      <c r="AA415" t="str">
        <f>IF(X415="","",SUMIFS(#REF!,RM!$C$4:$C991,X415))</f>
        <v/>
      </c>
      <c r="AB415" t="str">
        <f>IF(X415="","",SUMIFS(IRegback!$Y$2:$Y1001,IRegback!$X$2:$X1001,X415))</f>
        <v/>
      </c>
      <c r="AC415" t="e">
        <f t="shared" si="6"/>
        <v>#VALUE!</v>
      </c>
      <c r="AD415" t="str">
        <f>IF(X415="","",VLOOKUP($X415,RM!$C$4:$G991,3,FALSE))</f>
        <v/>
      </c>
      <c r="AE415" t="str">
        <f>IF(X415="","",VLOOKUP($X415,RM!$C$4:$G991,4,FALSE))</f>
        <v/>
      </c>
      <c r="AF415" t="str">
        <f>IF(X415="","",VLOOKUP($X415,RM!$C$4:$G991,5,FALSE))</f>
        <v/>
      </c>
      <c r="AH415" t="str">
        <f ca="1">IFERROR(__xludf.DUMMYFUNCTION("""COMPUTED_VALUE"""),"AMCA Elec Assy")</f>
        <v>AMCA Elec Assy</v>
      </c>
      <c r="AI415" t="str">
        <f ca="1">IFERROR(__xludf.DUMMYFUNCTION("""COMPUTED_VALUE"""),"1N4007 THT diode")</f>
        <v>1N4007 THT diode</v>
      </c>
      <c r="AJ415">
        <f ca="1">IFERROR(__xludf.DUMMYFUNCTION("""COMPUTED_VALUE"""),4)</f>
        <v>4</v>
      </c>
      <c r="AK415" t="str">
        <f ca="1">IFERROR(__xludf.DUMMYFUNCTION("""COMPUTED_VALUE"""),"blank")</f>
        <v>blank</v>
      </c>
      <c r="AL415" t="e">
        <f ca="1">_xludf.IFNA(VLOOKUP(AH415,'S-FG'!$B$3:$B1001,1,FALSE),"")</f>
        <v>#NAME?</v>
      </c>
      <c r="AM415" t="e">
        <f ca="1">IF(AI415="","",SUMIFS(#REF!,RM!$C$4:$C991,AI415))</f>
        <v>#REF!</v>
      </c>
    </row>
    <row r="416" spans="5:39">
      <c r="E416" t="str">
        <f>IF(A416="","",SUMIFS('PR-BOM'!$D$3:$D1001,'PR-BOM'!$C$3:$C1001,A416)*C416)</f>
        <v/>
      </c>
      <c r="F416" t="e">
        <f ca="1">_xludf.IFNA(VLOOKUP(B416,'S-FG'!$B$3:$B1001,1,FALSE),"")</f>
        <v>#NAME?</v>
      </c>
      <c r="H416" t="str">
        <f ca="1">IFERROR(__xludf.DUMMYFUNCTION("""COMPUTED_VALUE"""),"AMCA Elec Assy")</f>
        <v>AMCA Elec Assy</v>
      </c>
      <c r="I416" t="str">
        <f ca="1">IFERROR(__xludf.DUMMYFUNCTION("""COMPUTED_VALUE"""),"2mm Female Bullet connector")</f>
        <v>2mm Female Bullet connector</v>
      </c>
      <c r="J416">
        <f ca="1">IFERROR(__xludf.DUMMYFUNCTION("""COMPUTED_VALUE"""),6)</f>
        <v>6</v>
      </c>
      <c r="K416" t="str">
        <f ca="1">IFERROR(__xludf.DUMMYFUNCTION("""COMPUTED_VALUE"""),"blank")</f>
        <v>blank</v>
      </c>
      <c r="L416">
        <f t="shared" ca="1" si="4"/>
        <v>0</v>
      </c>
      <c r="Q416" t="str">
        <f>IF(N416="","",SUMIFS('PR-BOM'!$D$3:$D1001,'PR-BOM'!$C$3:$C1001,N416))</f>
        <v/>
      </c>
      <c r="S416" t="str">
        <f ca="1">IFERROR(__xludf.DUMMYFUNCTION("""COMPUTED_VALUE"""),"2mm male bullet connector")</f>
        <v>2mm male bullet connector</v>
      </c>
      <c r="Y416" t="str">
        <f t="shared" si="5"/>
        <v/>
      </c>
      <c r="Z416" t="str">
        <f>IF(X416="","",SUMIFS(#REF!,RM!$C$4:$C991,X416))</f>
        <v/>
      </c>
      <c r="AA416" t="str">
        <f>IF(X416="","",SUMIFS(#REF!,RM!$C$4:$C991,X416))</f>
        <v/>
      </c>
      <c r="AB416" t="str">
        <f>IF(X416="","",SUMIFS(IRegback!$Y$2:$Y1001,IRegback!$X$2:$X1001,X416))</f>
        <v/>
      </c>
      <c r="AC416" t="e">
        <f t="shared" si="6"/>
        <v>#VALUE!</v>
      </c>
      <c r="AD416" t="str">
        <f>IF(X416="","",VLOOKUP($X416,RM!$C$4:$G991,3,FALSE))</f>
        <v/>
      </c>
      <c r="AE416" t="str">
        <f>IF(X416="","",VLOOKUP($X416,RM!$C$4:$G991,4,FALSE))</f>
        <v/>
      </c>
      <c r="AF416" t="str">
        <f>IF(X416="","",VLOOKUP($X416,RM!$C$4:$G991,5,FALSE))</f>
        <v/>
      </c>
      <c r="AH416" t="str">
        <f ca="1">IFERROR(__xludf.DUMMYFUNCTION("""COMPUTED_VALUE"""),"AMCA Elec Assy")</f>
        <v>AMCA Elec Assy</v>
      </c>
      <c r="AI416" t="str">
        <f ca="1">IFERROR(__xludf.DUMMYFUNCTION("""COMPUTED_VALUE"""),"Water flow sensor")</f>
        <v>Water flow sensor</v>
      </c>
      <c r="AJ416">
        <f ca="1">IFERROR(__xludf.DUMMYFUNCTION("""COMPUTED_VALUE"""),1)</f>
        <v>1</v>
      </c>
      <c r="AK416" t="str">
        <f ca="1">IFERROR(__xludf.DUMMYFUNCTION("""COMPUTED_VALUE"""),"blank")</f>
        <v>blank</v>
      </c>
      <c r="AL416" t="e">
        <f ca="1">_xludf.IFNA(VLOOKUP(AH416,'S-FG'!$B$3:$B1001,1,FALSE),"")</f>
        <v>#NAME?</v>
      </c>
      <c r="AM416" t="e">
        <f ca="1">IF(AI416="","",SUMIFS(#REF!,RM!$C$4:$C991,AI416))</f>
        <v>#REF!</v>
      </c>
    </row>
    <row r="417" spans="5:39">
      <c r="E417" t="str">
        <f>IF(A417="","",SUMIFS('PR-BOM'!$D$3:$D1001,'PR-BOM'!$C$3:$C1001,A417)*C417)</f>
        <v/>
      </c>
      <c r="F417" t="e">
        <f ca="1">_xludf.IFNA(VLOOKUP(B417,'S-FG'!$B$3:$B1001,1,FALSE),"")</f>
        <v>#NAME?</v>
      </c>
      <c r="H417" t="str">
        <f ca="1">IFERROR(__xludf.DUMMYFUNCTION("""COMPUTED_VALUE"""),"AMCA Elec Assy")</f>
        <v>AMCA Elec Assy</v>
      </c>
      <c r="I417" t="str">
        <f ca="1">IFERROR(__xludf.DUMMYFUNCTION("""COMPUTED_VALUE"""),"HeatShrink Tube 3:1")</f>
        <v>HeatShrink Tube 3:1</v>
      </c>
      <c r="J417">
        <f ca="1">IFERROR(__xludf.DUMMYFUNCTION("""COMPUTED_VALUE"""),0.12)</f>
        <v>0.12</v>
      </c>
      <c r="K417" t="str">
        <f ca="1">IFERROR(__xludf.DUMMYFUNCTION("""COMPUTED_VALUE"""),"blank")</f>
        <v>blank</v>
      </c>
      <c r="L417">
        <f t="shared" ca="1" si="4"/>
        <v>0</v>
      </c>
      <c r="Q417" t="str">
        <f>IF(N417="","",SUMIFS('PR-BOM'!$D$3:$D1001,'PR-BOM'!$C$3:$C1001,N417))</f>
        <v/>
      </c>
      <c r="S417" t="str">
        <f ca="1">IFERROR(__xludf.DUMMYFUNCTION("""COMPUTED_VALUE"""),"2mm Female Bullet connector")</f>
        <v>2mm Female Bullet connector</v>
      </c>
      <c r="Y417" t="str">
        <f t="shared" si="5"/>
        <v/>
      </c>
      <c r="Z417" t="str">
        <f>IF(X417="","",SUMIFS(#REF!,RM!$C$4:$C991,X417))</f>
        <v/>
      </c>
      <c r="AA417" t="str">
        <f>IF(X417="","",SUMIFS(#REF!,RM!$C$4:$C991,X417))</f>
        <v/>
      </c>
      <c r="AB417" t="str">
        <f>IF(X417="","",SUMIFS(IRegback!$Y$2:$Y1001,IRegback!$X$2:$X1001,X417))</f>
        <v/>
      </c>
      <c r="AC417" t="e">
        <f t="shared" si="6"/>
        <v>#VALUE!</v>
      </c>
      <c r="AD417" t="str">
        <f>IF(X417="","",VLOOKUP($X417,RM!$C$4:$G991,3,FALSE))</f>
        <v/>
      </c>
      <c r="AE417" t="str">
        <f>IF(X417="","",VLOOKUP($X417,RM!$C$4:$G991,4,FALSE))</f>
        <v/>
      </c>
      <c r="AF417" t="str">
        <f>IF(X417="","",VLOOKUP($X417,RM!$C$4:$G991,5,FALSE))</f>
        <v/>
      </c>
      <c r="AH417" t="str">
        <f ca="1">IFERROR(__xludf.DUMMYFUNCTION("""COMPUTED_VALUE"""),"AMCA Elec Assy")</f>
        <v>AMCA Elec Assy</v>
      </c>
      <c r="AI417" t="str">
        <f ca="1">IFERROR(__xludf.DUMMYFUNCTION("""COMPUTED_VALUE"""),"Water pump")</f>
        <v>Water pump</v>
      </c>
      <c r="AJ417">
        <f ca="1">IFERROR(__xludf.DUMMYFUNCTION("""COMPUTED_VALUE"""),1)</f>
        <v>1</v>
      </c>
      <c r="AK417" t="str">
        <f ca="1">IFERROR(__xludf.DUMMYFUNCTION("""COMPUTED_VALUE"""),"blank")</f>
        <v>blank</v>
      </c>
      <c r="AL417" t="e">
        <f ca="1">_xludf.IFNA(VLOOKUP(AH417,'S-FG'!$B$3:$B1001,1,FALSE),"")</f>
        <v>#NAME?</v>
      </c>
      <c r="AM417" t="e">
        <f ca="1">IF(AI417="","",SUMIFS(#REF!,RM!$C$4:$C991,AI417))</f>
        <v>#REF!</v>
      </c>
    </row>
    <row r="418" spans="5:39">
      <c r="E418" t="str">
        <f>IF(A418="","",SUMIFS('PR-BOM'!$D$3:$D1001,'PR-BOM'!$C$3:$C1001,A418)*C418)</f>
        <v/>
      </c>
      <c r="F418" t="e">
        <f ca="1">_xludf.IFNA(VLOOKUP(B418,'S-FG'!$B$3:$B1001,1,FALSE),"")</f>
        <v>#NAME?</v>
      </c>
      <c r="H418" t="str">
        <f ca="1">IFERROR(__xludf.DUMMYFUNCTION("""COMPUTED_VALUE"""),"AMCA Elec Assy")</f>
        <v>AMCA Elec Assy</v>
      </c>
      <c r="I418" t="str">
        <f ca="1">IFERROR(__xludf.DUMMYFUNCTION("""COMPUTED_VALUE"""),"Teroson MS930")</f>
        <v>Teroson MS930</v>
      </c>
      <c r="J418">
        <f ca="1">IFERROR(__xludf.DUMMYFUNCTION("""COMPUTED_VALUE"""),10)</f>
        <v>10</v>
      </c>
      <c r="K418" t="str">
        <f ca="1">IFERROR(__xludf.DUMMYFUNCTION("""COMPUTED_VALUE"""),"blank")</f>
        <v>blank</v>
      </c>
      <c r="L418">
        <f t="shared" ca="1" si="4"/>
        <v>0</v>
      </c>
      <c r="Q418" t="str">
        <f>IF(N418="","",SUMIFS('PR-BOM'!$D$3:$D1001,'PR-BOM'!$C$3:$C1001,N418))</f>
        <v/>
      </c>
      <c r="S418" t="str">
        <f ca="1">IFERROR(__xludf.DUMMYFUNCTION("""COMPUTED_VALUE"""),"HeatShrink Tube 3:1")</f>
        <v>HeatShrink Tube 3:1</v>
      </c>
      <c r="Y418" t="str">
        <f t="shared" si="5"/>
        <v/>
      </c>
      <c r="Z418" t="str">
        <f>IF(X418="","",SUMIFS(#REF!,RM!$C$4:$C991,X418))</f>
        <v/>
      </c>
      <c r="AA418" t="str">
        <f>IF(X418="","",SUMIFS(#REF!,RM!$C$4:$C991,X418))</f>
        <v/>
      </c>
      <c r="AB418" t="str">
        <f>IF(X418="","",SUMIFS(IRegback!$Y$2:$Y1001,IRegback!$X$2:$X1001,X418))</f>
        <v/>
      </c>
      <c r="AC418" t="e">
        <f t="shared" si="6"/>
        <v>#VALUE!</v>
      </c>
      <c r="AD418" t="str">
        <f>IF(X418="","",VLOOKUP($X418,RM!$C$4:$G991,3,FALSE))</f>
        <v/>
      </c>
      <c r="AE418" t="str">
        <f>IF(X418="","",VLOOKUP($X418,RM!$C$4:$G991,4,FALSE))</f>
        <v/>
      </c>
      <c r="AF418" t="str">
        <f>IF(X418="","",VLOOKUP($X418,RM!$C$4:$G991,5,FALSE))</f>
        <v/>
      </c>
      <c r="AH418" t="str">
        <f ca="1">IFERROR(__xludf.DUMMYFUNCTION("""COMPUTED_VALUE"""),"AMCA Elec Assy")</f>
        <v>AMCA Elec Assy</v>
      </c>
      <c r="AI418" t="str">
        <f ca="1">IFERROR(__xludf.DUMMYFUNCTION("""COMPUTED_VALUE"""),"3S Lipo indicator")</f>
        <v>3S Lipo indicator</v>
      </c>
      <c r="AJ418">
        <f ca="1">IFERROR(__xludf.DUMMYFUNCTION("""COMPUTED_VALUE"""),1)</f>
        <v>1</v>
      </c>
      <c r="AK418" t="str">
        <f ca="1">IFERROR(__xludf.DUMMYFUNCTION("""COMPUTED_VALUE"""),"blank")</f>
        <v>blank</v>
      </c>
      <c r="AL418" t="e">
        <f ca="1">_xludf.IFNA(VLOOKUP(AH418,'S-FG'!$B$3:$B1001,1,FALSE),"")</f>
        <v>#NAME?</v>
      </c>
      <c r="AM418" t="e">
        <f ca="1">IF(AI418="","",SUMIFS(#REF!,RM!$C$4:$C991,AI418))</f>
        <v>#REF!</v>
      </c>
    </row>
    <row r="419" spans="5:39">
      <c r="E419" t="str">
        <f>IF(A419="","",SUMIFS('PR-BOM'!$D$3:$D1001,'PR-BOM'!$C$3:$C1001,A419)*C419)</f>
        <v/>
      </c>
      <c r="F419" t="e">
        <f ca="1">_xludf.IFNA(VLOOKUP(B419,'S-FG'!$B$3:$B1001,1,FALSE),"")</f>
        <v>#NAME?</v>
      </c>
      <c r="H419" t="str">
        <f ca="1">IFERROR(__xludf.DUMMYFUNCTION("""COMPUTED_VALUE"""),"AMCA Mech Assy")</f>
        <v>AMCA Mech Assy</v>
      </c>
      <c r="I419" t="str">
        <f ca="1">IFERROR(__xludf.DUMMYFUNCTION("""COMPUTED_VALUE"""),"JCB Body cum mounting frame")</f>
        <v>JCB Body cum mounting frame</v>
      </c>
      <c r="J419">
        <f ca="1">IFERROR(__xludf.DUMMYFUNCTION("""COMPUTED_VALUE"""),1)</f>
        <v>1</v>
      </c>
      <c r="L419">
        <f t="shared" ca="1" si="4"/>
        <v>0</v>
      </c>
      <c r="Q419" t="str">
        <f>IF(N419="","",SUMIFS('PR-BOM'!$D$3:$D1001,'PR-BOM'!$C$3:$C1001,N419))</f>
        <v/>
      </c>
      <c r="S419" t="str">
        <f ca="1">IFERROR(__xludf.DUMMYFUNCTION("""COMPUTED_VALUE"""),"Teroson MS930")</f>
        <v>Teroson MS930</v>
      </c>
      <c r="Y419" t="str">
        <f t="shared" si="5"/>
        <v/>
      </c>
      <c r="Z419" t="str">
        <f>IF(X419="","",SUMIFS(#REF!,RM!$C$4:$C991,X419))</f>
        <v/>
      </c>
      <c r="AA419" t="str">
        <f>IF(X419="","",SUMIFS(#REF!,RM!$C$4:$C991,X419))</f>
        <v/>
      </c>
      <c r="AB419" t="str">
        <f>IF(X419="","",SUMIFS(IRegback!$Y$2:$Y1001,IRegback!$X$2:$X1001,X419))</f>
        <v/>
      </c>
      <c r="AC419" t="e">
        <f t="shared" si="6"/>
        <v>#VALUE!</v>
      </c>
      <c r="AD419" t="str">
        <f>IF(X419="","",VLOOKUP($X419,RM!$C$4:$G991,3,FALSE))</f>
        <v/>
      </c>
      <c r="AE419" t="str">
        <f>IF(X419="","",VLOOKUP($X419,RM!$C$4:$G991,4,FALSE))</f>
        <v/>
      </c>
      <c r="AF419" t="str">
        <f>IF(X419="","",VLOOKUP($X419,RM!$C$4:$G991,5,FALSE))</f>
        <v/>
      </c>
      <c r="AH419" t="str">
        <f ca="1">IFERROR(__xludf.DUMMYFUNCTION("""COMPUTED_VALUE"""),"AMCA Elec Assy")</f>
        <v>AMCA Elec Assy</v>
      </c>
      <c r="AI419" t="str">
        <f ca="1">IFERROR(__xludf.DUMMYFUNCTION("""COMPUTED_VALUE"""),"Lipo Indicator Casings")</f>
        <v>Lipo Indicator Casings</v>
      </c>
      <c r="AJ419">
        <f ca="1">IFERROR(__xludf.DUMMYFUNCTION("""COMPUTED_VALUE"""),1)</f>
        <v>1</v>
      </c>
      <c r="AL419" t="e">
        <f ca="1">_xludf.IFNA(VLOOKUP(AH419,'S-FG'!$B$3:$B1001,1,FALSE),"")</f>
        <v>#NAME?</v>
      </c>
      <c r="AM419" t="e">
        <f ca="1">IF(AI419="","",SUMIFS(#REF!,RM!$C$4:$C991,AI419))</f>
        <v>#REF!</v>
      </c>
    </row>
    <row r="420" spans="5:39">
      <c r="E420" t="str">
        <f>IF(A420="","",SUMIFS('PR-BOM'!$D$3:$D1001,'PR-BOM'!$C$3:$C1001,A420)*C420)</f>
        <v/>
      </c>
      <c r="F420" t="e">
        <f ca="1">_xludf.IFNA(VLOOKUP(B420,'S-FG'!$B$3:$B1001,1,FALSE),"")</f>
        <v>#NAME?</v>
      </c>
      <c r="H420" t="str">
        <f ca="1">IFERROR(__xludf.DUMMYFUNCTION("""COMPUTED_VALUE"""),"AMCA Mech Assy")</f>
        <v>AMCA Mech Assy</v>
      </c>
      <c r="I420" t="str">
        <f ca="1">IFERROR(__xludf.DUMMYFUNCTION("""COMPUTED_VALUE"""),"flow sensor Clamp")</f>
        <v>flow sensor Clamp</v>
      </c>
      <c r="J420">
        <f ca="1">IFERROR(__xludf.DUMMYFUNCTION("""COMPUTED_VALUE"""),2)</f>
        <v>2</v>
      </c>
      <c r="L420">
        <f t="shared" ca="1" si="4"/>
        <v>0</v>
      </c>
      <c r="Q420" t="str">
        <f>IF(N420="","",SUMIFS('PR-BOM'!$D$3:$D1001,'PR-BOM'!$C$3:$C1001,N420))</f>
        <v/>
      </c>
      <c r="S420" t="str">
        <f ca="1">IFERROR(__xludf.DUMMYFUNCTION("""COMPUTED_VALUE"""),"JCB Body cum mounting frame")</f>
        <v>JCB Body cum mounting frame</v>
      </c>
      <c r="Y420" t="str">
        <f t="shared" si="5"/>
        <v/>
      </c>
      <c r="Z420" t="str">
        <f>IF(X420="","",SUMIFS(#REF!,RM!$C$4:$C991,X420))</f>
        <v/>
      </c>
      <c r="AA420" t="str">
        <f>IF(X420="","",SUMIFS(#REF!,RM!$C$4:$C991,X420))</f>
        <v/>
      </c>
      <c r="AB420" t="str">
        <f>IF(X420="","",SUMIFS(IRegback!$Y$2:$Y1001,IRegback!$X$2:$X1001,X420))</f>
        <v/>
      </c>
      <c r="AC420" t="e">
        <f t="shared" si="6"/>
        <v>#VALUE!</v>
      </c>
      <c r="AD420" t="str">
        <f>IF(X420="","",VLOOKUP($X420,RM!$C$4:$G991,3,FALSE))</f>
        <v/>
      </c>
      <c r="AE420" t="str">
        <f>IF(X420="","",VLOOKUP($X420,RM!$C$4:$G991,4,FALSE))</f>
        <v/>
      </c>
      <c r="AF420" t="str">
        <f>IF(X420="","",VLOOKUP($X420,RM!$C$4:$G991,5,FALSE))</f>
        <v/>
      </c>
      <c r="AH420" t="str">
        <f ca="1">IFERROR(__xludf.DUMMYFUNCTION("""COMPUTED_VALUE"""),"AMCA Elec Assy")</f>
        <v>AMCA Elec Assy</v>
      </c>
      <c r="AI420" t="str">
        <f ca="1">IFERROR(__xludf.DUMMYFUNCTION("""COMPUTED_VALUE"""),"LM2596HW for PC")</f>
        <v>LM2596HW for PC</v>
      </c>
      <c r="AJ420">
        <f ca="1">IFERROR(__xludf.DUMMYFUNCTION("""COMPUTED_VALUE"""),1)</f>
        <v>1</v>
      </c>
      <c r="AK420" t="str">
        <f ca="1">IFERROR(__xludf.DUMMYFUNCTION("""COMPUTED_VALUE"""),"blank")</f>
        <v>blank</v>
      </c>
      <c r="AL420" t="e">
        <f ca="1">_xludf.IFNA(VLOOKUP(AH420,'S-FG'!$B$3:$B1001,1,FALSE),"")</f>
        <v>#NAME?</v>
      </c>
      <c r="AM420" t="e">
        <f ca="1">IF(AI420="","",SUMIFS(#REF!,RM!$C$4:$C991,AI420))</f>
        <v>#REF!</v>
      </c>
    </row>
    <row r="421" spans="5:39">
      <c r="E421" t="str">
        <f>IF(A421="","",SUMIFS('PR-BOM'!$D$3:$D1001,'PR-BOM'!$C$3:$C1001,A421)*C421)</f>
        <v/>
      </c>
      <c r="F421" t="e">
        <f ca="1">_xludf.IFNA(VLOOKUP(B421,'S-FG'!$B$3:$B1001,1,FALSE),"")</f>
        <v>#NAME?</v>
      </c>
      <c r="H421" t="str">
        <f ca="1">IFERROR(__xludf.DUMMYFUNCTION("""COMPUTED_VALUE"""),"AMCA Mech Assy")</f>
        <v>AMCA Mech Assy</v>
      </c>
      <c r="I421" t="str">
        <f ca="1">IFERROR(__xludf.DUMMYFUNCTION("""COMPUTED_VALUE"""),"Water tank with clamp")</f>
        <v>Water tank with clamp</v>
      </c>
      <c r="J421">
        <f ca="1">IFERROR(__xludf.DUMMYFUNCTION("""COMPUTED_VALUE"""),1)</f>
        <v>1</v>
      </c>
      <c r="K421" t="str">
        <f ca="1">IFERROR(__xludf.DUMMYFUNCTION("""COMPUTED_VALUE"""),"blank")</f>
        <v>blank</v>
      </c>
      <c r="L421">
        <f t="shared" ca="1" si="4"/>
        <v>0</v>
      </c>
      <c r="Q421" t="str">
        <f>IF(N421="","",SUMIFS('PR-BOM'!$D$3:$D1001,'PR-BOM'!$C$3:$C1001,N421))</f>
        <v/>
      </c>
      <c r="S421" t="str">
        <f ca="1">IFERROR(__xludf.DUMMYFUNCTION("""COMPUTED_VALUE"""),"flow sensor Clamp")</f>
        <v>flow sensor Clamp</v>
      </c>
      <c r="Y421" t="str">
        <f t="shared" si="5"/>
        <v/>
      </c>
      <c r="Z421" t="str">
        <f>IF(X421="","",SUMIFS(#REF!,RM!$C$4:$C991,X421))</f>
        <v/>
      </c>
      <c r="AA421" t="str">
        <f>IF(X421="","",SUMIFS(#REF!,RM!$C$4:$C991,X421))</f>
        <v/>
      </c>
      <c r="AB421" t="str">
        <f>IF(X421="","",SUMIFS(IRegback!$Y$2:$Y1001,IRegback!$X$2:$X1001,X421))</f>
        <v/>
      </c>
      <c r="AC421" t="e">
        <f t="shared" si="6"/>
        <v>#VALUE!</v>
      </c>
      <c r="AD421" t="str">
        <f>IF(X421="","",VLOOKUP($X421,RM!$C$4:$G991,3,FALSE))</f>
        <v/>
      </c>
      <c r="AE421" t="str">
        <f>IF(X421="","",VLOOKUP($X421,RM!$C$4:$G991,4,FALSE))</f>
        <v/>
      </c>
      <c r="AF421" t="str">
        <f>IF(X421="","",VLOOKUP($X421,RM!$C$4:$G991,5,FALSE))</f>
        <v/>
      </c>
      <c r="AH421" t="str">
        <f ca="1">IFERROR(__xludf.DUMMYFUNCTION("""COMPUTED_VALUE"""),"AMCA Elec Assy")</f>
        <v>AMCA Elec Assy</v>
      </c>
      <c r="AI421" t="str">
        <f ca="1">IFERROR(__xludf.DUMMYFUNCTION("""COMPUTED_VALUE"""),"Momentary Switch JCB")</f>
        <v>Momentary Switch JCB</v>
      </c>
      <c r="AJ421">
        <f ca="1">IFERROR(__xludf.DUMMYFUNCTION("""COMPUTED_VALUE"""),1)</f>
        <v>1</v>
      </c>
      <c r="AL421" t="e">
        <f ca="1">_xludf.IFNA(VLOOKUP(AH421,'S-FG'!$B$3:$B1001,1,FALSE),"")</f>
        <v>#NAME?</v>
      </c>
      <c r="AM421" t="e">
        <f ca="1">IF(AI421="","",SUMIFS(#REF!,RM!$C$4:$C991,AI421))</f>
        <v>#REF!</v>
      </c>
    </row>
    <row r="422" spans="5:39">
      <c r="E422" t="str">
        <f>IF(A422="","",SUMIFS('PR-BOM'!$D$3:$D1001,'PR-BOM'!$C$3:$C1001,A422)*C422)</f>
        <v/>
      </c>
      <c r="F422" t="e">
        <f ca="1">_xludf.IFNA(VLOOKUP(B422,'S-FG'!$B$3:$B1001,1,FALSE),"")</f>
        <v>#NAME?</v>
      </c>
      <c r="H422" t="str">
        <f ca="1">IFERROR(__xludf.DUMMYFUNCTION("""COMPUTED_VALUE"""),"AMCA Mech Assy")</f>
        <v>AMCA Mech Assy</v>
      </c>
      <c r="I422" t="str">
        <f ca="1">IFERROR(__xludf.DUMMYFUNCTION("""COMPUTED_VALUE"""),"M5x10 Allen / M5x12")</f>
        <v>M5x10 Allen / M5x12</v>
      </c>
      <c r="J422">
        <f ca="1">IFERROR(__xludf.DUMMYFUNCTION("""COMPUTED_VALUE"""),10)</f>
        <v>10</v>
      </c>
      <c r="K422" t="str">
        <f ca="1">IFERROR(__xludf.DUMMYFUNCTION("""COMPUTED_VALUE"""),"blank")</f>
        <v>blank</v>
      </c>
      <c r="L422">
        <f t="shared" ca="1" si="4"/>
        <v>0</v>
      </c>
      <c r="Q422" t="str">
        <f>IF(N422="","",SUMIFS('PR-BOM'!$D$3:$D1001,'PR-BOM'!$C$3:$C1001,N422))</f>
        <v/>
      </c>
      <c r="S422" t="str">
        <f ca="1">IFERROR(__xludf.DUMMYFUNCTION("""COMPUTED_VALUE"""),"Water tank with clamp")</f>
        <v>Water tank with clamp</v>
      </c>
      <c r="Y422" t="str">
        <f t="shared" si="5"/>
        <v/>
      </c>
      <c r="Z422" t="str">
        <f>IF(X422="","",SUMIFS(#REF!,RM!$C$4:$C991,X422))</f>
        <v/>
      </c>
      <c r="AA422" t="str">
        <f>IF(X422="","",SUMIFS(#REF!,RM!$C$4:$C991,X422))</f>
        <v/>
      </c>
      <c r="AB422" t="str">
        <f>IF(X422="","",SUMIFS(IRegback!$Y$2:$Y1001,IRegback!$X$2:$X1001,X422))</f>
        <v/>
      </c>
      <c r="AC422" t="e">
        <f t="shared" si="6"/>
        <v>#VALUE!</v>
      </c>
      <c r="AD422" t="str">
        <f>IF(X422="","",VLOOKUP($X422,RM!$C$4:$G991,3,FALSE))</f>
        <v/>
      </c>
      <c r="AE422" t="str">
        <f>IF(X422="","",VLOOKUP($X422,RM!$C$4:$G991,4,FALSE))</f>
        <v/>
      </c>
      <c r="AF422" t="str">
        <f>IF(X422="","",VLOOKUP($X422,RM!$C$4:$G991,5,FALSE))</f>
        <v/>
      </c>
      <c r="AH422" t="str">
        <f ca="1">IFERROR(__xludf.DUMMYFUNCTION("""COMPUTED_VALUE"""),"AMCA Elec Assy")</f>
        <v>AMCA Elec Assy</v>
      </c>
      <c r="AI422" t="str">
        <f ca="1">IFERROR(__xludf.DUMMYFUNCTION("""COMPUTED_VALUE"""),"Latching Power switch JCB")</f>
        <v>Latching Power switch JCB</v>
      </c>
      <c r="AJ422">
        <f ca="1">IFERROR(__xludf.DUMMYFUNCTION("""COMPUTED_VALUE"""),1)</f>
        <v>1</v>
      </c>
      <c r="AL422" t="e">
        <f ca="1">_xludf.IFNA(VLOOKUP(AH422,'S-FG'!$B$3:$B1001,1,FALSE),"")</f>
        <v>#NAME?</v>
      </c>
      <c r="AM422" t="e">
        <f ca="1">IF(AI422="","",SUMIFS(#REF!,RM!$C$4:$C991,AI422))</f>
        <v>#REF!</v>
      </c>
    </row>
    <row r="423" spans="5:39">
      <c r="E423" t="str">
        <f>IF(A423="","",SUMIFS('PR-BOM'!$D$3:$D1001,'PR-BOM'!$C$3:$C1001,A423)*C423)</f>
        <v/>
      </c>
      <c r="F423" t="e">
        <f ca="1">_xludf.IFNA(VLOOKUP(B423,'S-FG'!$B$3:$B1001,1,FALSE),"")</f>
        <v>#NAME?</v>
      </c>
      <c r="H423" t="str">
        <f ca="1">IFERROR(__xludf.DUMMYFUNCTION("""COMPUTED_VALUE"""),"AMCA Mech Assy")</f>
        <v>AMCA Mech Assy</v>
      </c>
      <c r="I423" t="str">
        <f ca="1">IFERROR(__xludf.DUMMYFUNCTION("""COMPUTED_VALUE"""),"M4x12 Allen Head")</f>
        <v>M4x12 Allen Head</v>
      </c>
      <c r="J423">
        <f ca="1">IFERROR(__xludf.DUMMYFUNCTION("""COMPUTED_VALUE"""),4)</f>
        <v>4</v>
      </c>
      <c r="K423" t="str">
        <f ca="1">IFERROR(__xludf.DUMMYFUNCTION("""COMPUTED_VALUE"""),"blank")</f>
        <v>blank</v>
      </c>
      <c r="L423">
        <f t="shared" ca="1" si="4"/>
        <v>0</v>
      </c>
      <c r="Q423" t="str">
        <f>IF(N423="","",SUMIFS('PR-BOM'!$D$3:$D1001,'PR-BOM'!$C$3:$C1001,N423))</f>
        <v/>
      </c>
      <c r="S423" t="str">
        <f ca="1">IFERROR(__xludf.DUMMYFUNCTION("""COMPUTED_VALUE"""),"M5x10 Allen / M5x12")</f>
        <v>M5x10 Allen / M5x12</v>
      </c>
      <c r="Y423" t="str">
        <f t="shared" si="5"/>
        <v/>
      </c>
      <c r="Z423" t="str">
        <f>IF(X423="","",SUMIFS(#REF!,RM!$C$4:$C991,X423))</f>
        <v/>
      </c>
      <c r="AA423" t="str">
        <f>IF(X423="","",SUMIFS(#REF!,RM!$C$4:$C991,X423))</f>
        <v/>
      </c>
      <c r="AB423" t="str">
        <f>IF(X423="","",SUMIFS(IRegback!$Y$2:$Y1001,IRegback!$X$2:$X1001,X423))</f>
        <v/>
      </c>
      <c r="AC423" t="e">
        <f t="shared" si="6"/>
        <v>#VALUE!</v>
      </c>
      <c r="AD423" t="str">
        <f>IF(X423="","",VLOOKUP($X423,RM!$C$4:$G991,3,FALSE))</f>
        <v/>
      </c>
      <c r="AE423" t="str">
        <f>IF(X423="","",VLOOKUP($X423,RM!$C$4:$G991,4,FALSE))</f>
        <v/>
      </c>
      <c r="AF423" t="str">
        <f>IF(X423="","",VLOOKUP($X423,RM!$C$4:$G991,5,FALSE))</f>
        <v/>
      </c>
      <c r="AH423" t="str">
        <f ca="1">IFERROR(__xludf.DUMMYFUNCTION("""COMPUTED_VALUE"""),"AMCA Elec Assy")</f>
        <v>AMCA Elec Assy</v>
      </c>
      <c r="AI423" t="str">
        <f ca="1">IFERROR(__xludf.DUMMYFUNCTION("""COMPUTED_VALUE"""),"PWB for JCB")</f>
        <v>PWB for JCB</v>
      </c>
      <c r="AJ423">
        <f ca="1">IFERROR(__xludf.DUMMYFUNCTION("""COMPUTED_VALUE"""),1)</f>
        <v>1</v>
      </c>
      <c r="AK423" t="str">
        <f ca="1">IFERROR(__xludf.DUMMYFUNCTION("""COMPUTED_VALUE"""),"blank")</f>
        <v>blank</v>
      </c>
      <c r="AL423" t="e">
        <f ca="1">_xludf.IFNA(VLOOKUP(AH423,'S-FG'!$B$3:$B1001,1,FALSE),"")</f>
        <v>#NAME?</v>
      </c>
      <c r="AM423" t="e">
        <f ca="1">IF(AI423="","",SUMIFS(#REF!,RM!$C$4:$C991,AI423))</f>
        <v>#REF!</v>
      </c>
    </row>
    <row r="424" spans="5:39">
      <c r="E424" t="str">
        <f>IF(A424="","",SUMIFS('PR-BOM'!$D$3:$D1001,'PR-BOM'!$C$3:$C1001,A424)*C424)</f>
        <v/>
      </c>
      <c r="F424" t="e">
        <f ca="1">_xludf.IFNA(VLOOKUP(B424,'S-FG'!$B$3:$B1001,1,FALSE),"")</f>
        <v>#NAME?</v>
      </c>
      <c r="H424" t="str">
        <f ca="1">IFERROR(__xludf.DUMMYFUNCTION("""COMPUTED_VALUE"""),"AMCA Mech Assy")</f>
        <v>AMCA Mech Assy</v>
      </c>
      <c r="I424" t="str">
        <f ca="1">IFERROR(__xludf.DUMMYFUNCTION("""COMPUTED_VALUE"""),"M4x16 Allen Head")</f>
        <v>M4x16 Allen Head</v>
      </c>
      <c r="J424">
        <f ca="1">IFERROR(__xludf.DUMMYFUNCTION("""COMPUTED_VALUE"""),6)</f>
        <v>6</v>
      </c>
      <c r="K424" t="str">
        <f ca="1">IFERROR(__xludf.DUMMYFUNCTION("""COMPUTED_VALUE"""),"blank")</f>
        <v>blank</v>
      </c>
      <c r="L424">
        <f t="shared" ca="1" si="4"/>
        <v>0</v>
      </c>
      <c r="Q424" t="str">
        <f>IF(N424="","",SUMIFS('PR-BOM'!$D$3:$D1001,'PR-BOM'!$C$3:$C1001,N424))</f>
        <v/>
      </c>
      <c r="S424" t="str">
        <f ca="1">IFERROR(__xludf.DUMMYFUNCTION("""COMPUTED_VALUE"""),"M4x12 Allen Head")</f>
        <v>M4x12 Allen Head</v>
      </c>
      <c r="Y424" t="str">
        <f t="shared" si="5"/>
        <v/>
      </c>
      <c r="Z424" t="str">
        <f>IF(X424="","",SUMIFS(#REF!,RM!$C$4:$C991,X424))</f>
        <v/>
      </c>
      <c r="AA424" t="str">
        <f>IF(X424="","",SUMIFS(#REF!,RM!$C$4:$C991,X424))</f>
        <v/>
      </c>
      <c r="AB424" t="str">
        <f>IF(X424="","",SUMIFS(IRegback!$Y$2:$Y1001,IRegback!$X$2:$X1001,X424))</f>
        <v/>
      </c>
      <c r="AC424" t="e">
        <f t="shared" si="6"/>
        <v>#VALUE!</v>
      </c>
      <c r="AD424" t="str">
        <f>IF(X424="","",VLOOKUP($X424,RM!$C$4:$G991,3,FALSE))</f>
        <v/>
      </c>
      <c r="AE424" t="str">
        <f>IF(X424="","",VLOOKUP($X424,RM!$C$4:$G991,4,FALSE))</f>
        <v/>
      </c>
      <c r="AF424" t="str">
        <f>IF(X424="","",VLOOKUP($X424,RM!$C$4:$G991,5,FALSE))</f>
        <v/>
      </c>
      <c r="AH424" t="str">
        <f ca="1">IFERROR(__xludf.DUMMYFUNCTION("""COMPUTED_VALUE"""),"AMCA Elec Assy")</f>
        <v>AMCA Elec Assy</v>
      </c>
      <c r="AI424" t="str">
        <f ca="1">IFERROR(__xludf.DUMMYFUNCTION("""COMPUTED_VALUE"""),"3S, &gt;2Ah Li-Ion cell for JCB")</f>
        <v>3S, &gt;2Ah Li-Ion cell for JCB</v>
      </c>
      <c r="AJ424">
        <f ca="1">IFERROR(__xludf.DUMMYFUNCTION("""COMPUTED_VALUE"""),3)</f>
        <v>3</v>
      </c>
      <c r="AK424" t="str">
        <f ca="1">IFERROR(__xludf.DUMMYFUNCTION("""COMPUTED_VALUE"""),"blank")</f>
        <v>blank</v>
      </c>
      <c r="AL424" t="e">
        <f ca="1">_xludf.IFNA(VLOOKUP(AH424,'S-FG'!$B$3:$B1001,1,FALSE),"")</f>
        <v>#NAME?</v>
      </c>
      <c r="AM424" t="e">
        <f ca="1">IF(AI424="","",SUMIFS(#REF!,RM!$C$4:$C991,AI424))</f>
        <v>#REF!</v>
      </c>
    </row>
    <row r="425" spans="5:39">
      <c r="E425" t="str">
        <f>IF(A425="","",SUMIFS('PR-BOM'!$D$3:$D1001,'PR-BOM'!$C$3:$C1001,A425)*C425)</f>
        <v/>
      </c>
      <c r="F425" t="e">
        <f ca="1">_xludf.IFNA(VLOOKUP(B425,'S-FG'!$B$3:$B1001,1,FALSE),"")</f>
        <v>#NAME?</v>
      </c>
      <c r="H425" t="str">
        <f ca="1">IFERROR(__xludf.DUMMYFUNCTION("""COMPUTED_VALUE"""),"AMCA Mech Assy")</f>
        <v>AMCA Mech Assy</v>
      </c>
      <c r="I425" t="str">
        <f ca="1">IFERROR(__xludf.DUMMYFUNCTION("""COMPUTED_VALUE"""),"M4 Nyloc")</f>
        <v>M4 Nyloc</v>
      </c>
      <c r="J425">
        <f ca="1">IFERROR(__xludf.DUMMYFUNCTION("""COMPUTED_VALUE"""),10)</f>
        <v>10</v>
      </c>
      <c r="K425" t="str">
        <f ca="1">IFERROR(__xludf.DUMMYFUNCTION("""COMPUTED_VALUE"""),"blank")</f>
        <v>blank</v>
      </c>
      <c r="L425">
        <f t="shared" ca="1" si="4"/>
        <v>0</v>
      </c>
      <c r="Q425" t="str">
        <f>IF(N425="","",SUMIFS('PR-BOM'!$D$3:$D1001,'PR-BOM'!$C$3:$C1001,N425))</f>
        <v/>
      </c>
      <c r="S425" t="str">
        <f ca="1">IFERROR(__xludf.DUMMYFUNCTION("""COMPUTED_VALUE"""),"M4x16 Allen Head")</f>
        <v>M4x16 Allen Head</v>
      </c>
      <c r="Y425" t="str">
        <f t="shared" si="5"/>
        <v/>
      </c>
      <c r="Z425" t="str">
        <f>IF(X425="","",SUMIFS(#REF!,RM!$C$4:$C991,X425))</f>
        <v/>
      </c>
      <c r="AA425" t="str">
        <f>IF(X425="","",SUMIFS(#REF!,RM!$C$4:$C991,X425))</f>
        <v/>
      </c>
      <c r="AB425" t="str">
        <f>IF(X425="","",SUMIFS(IRegback!$Y$2:$Y1001,IRegback!$X$2:$X1001,X425))</f>
        <v/>
      </c>
      <c r="AC425" t="e">
        <f t="shared" si="6"/>
        <v>#VALUE!</v>
      </c>
      <c r="AD425" t="str">
        <f>IF(X425="","",VLOOKUP($X425,RM!$C$4:$G991,3,FALSE))</f>
        <v/>
      </c>
      <c r="AE425" t="str">
        <f>IF(X425="","",VLOOKUP($X425,RM!$C$4:$G991,4,FALSE))</f>
        <v/>
      </c>
      <c r="AF425" t="str">
        <f>IF(X425="","",VLOOKUP($X425,RM!$C$4:$G991,5,FALSE))</f>
        <v/>
      </c>
      <c r="AH425" t="str">
        <f ca="1">IFERROR(__xludf.DUMMYFUNCTION("""COMPUTED_VALUE"""),"AMCA Elec Assy")</f>
        <v>AMCA Elec Assy</v>
      </c>
      <c r="AI425" t="str">
        <f ca="1">IFERROR(__xludf.DUMMYFUNCTION("""COMPUTED_VALUE"""),"DC JAck Panel Mount")</f>
        <v>DC JAck Panel Mount</v>
      </c>
      <c r="AJ425">
        <f ca="1">IFERROR(__xludf.DUMMYFUNCTION("""COMPUTED_VALUE"""),1)</f>
        <v>1</v>
      </c>
      <c r="AK425" t="str">
        <f ca="1">IFERROR(__xludf.DUMMYFUNCTION("""COMPUTED_VALUE"""),"blank")</f>
        <v>blank</v>
      </c>
      <c r="AL425" t="e">
        <f ca="1">_xludf.IFNA(VLOOKUP(AH425,'S-FG'!$B$3:$B1001,1,FALSE),"")</f>
        <v>#NAME?</v>
      </c>
      <c r="AM425" t="e">
        <f ca="1">IF(AI425="","",SUMIFS(#REF!,RM!$C$4:$C991,AI425))</f>
        <v>#REF!</v>
      </c>
    </row>
    <row r="426" spans="5:39">
      <c r="E426" t="str">
        <f>IF(A426="","",SUMIFS('PR-BOM'!$D$3:$D1001,'PR-BOM'!$C$3:$C1001,A426)*C426)</f>
        <v/>
      </c>
      <c r="F426" t="e">
        <f ca="1">_xludf.IFNA(VLOOKUP(B426,'S-FG'!$B$3:$B1001,1,FALSE),"")</f>
        <v>#NAME?</v>
      </c>
      <c r="H426" t="str">
        <f ca="1">IFERROR(__xludf.DUMMYFUNCTION("""COMPUTED_VALUE"""),"AMCA Mech Assy")</f>
        <v>AMCA Mech Assy</v>
      </c>
      <c r="I426" t="str">
        <f ca="1">IFERROR(__xludf.DUMMYFUNCTION("""COMPUTED_VALUE"""),"M4 Spring washer")</f>
        <v>M4 Spring washer</v>
      </c>
      <c r="J426">
        <f ca="1">IFERROR(__xludf.DUMMYFUNCTION("""COMPUTED_VALUE"""),10)</f>
        <v>10</v>
      </c>
      <c r="K426" t="str">
        <f ca="1">IFERROR(__xludf.DUMMYFUNCTION("""COMPUTED_VALUE"""),"blank")</f>
        <v>blank</v>
      </c>
      <c r="L426">
        <f t="shared" ca="1" si="4"/>
        <v>0</v>
      </c>
      <c r="Q426" t="str">
        <f>IF(N426="","",SUMIFS('PR-BOM'!$D$3:$D1001,'PR-BOM'!$C$3:$C1001,N426))</f>
        <v/>
      </c>
      <c r="S426" t="str">
        <f ca="1">IFERROR(__xludf.DUMMYFUNCTION("""COMPUTED_VALUE"""),"M4 Nyloc")</f>
        <v>M4 Nyloc</v>
      </c>
      <c r="Y426" t="str">
        <f t="shared" si="5"/>
        <v/>
      </c>
      <c r="Z426" t="str">
        <f>IF(X426="","",SUMIFS(#REF!,RM!$C$4:$C991,X426))</f>
        <v/>
      </c>
      <c r="AA426" t="str">
        <f>IF(X426="","",SUMIFS(#REF!,RM!$C$4:$C991,X426))</f>
        <v/>
      </c>
      <c r="AB426" t="str">
        <f>IF(X426="","",SUMIFS(IRegback!$Y$2:$Y1001,IRegback!$X$2:$X1001,X426))</f>
        <v/>
      </c>
      <c r="AC426" t="e">
        <f t="shared" si="6"/>
        <v>#VALUE!</v>
      </c>
      <c r="AD426" t="str">
        <f>IF(X426="","",VLOOKUP($X426,RM!$C$4:$G991,3,FALSE))</f>
        <v/>
      </c>
      <c r="AE426" t="str">
        <f>IF(X426="","",VLOOKUP($X426,RM!$C$4:$G991,4,FALSE))</f>
        <v/>
      </c>
      <c r="AF426" t="str">
        <f>IF(X426="","",VLOOKUP($X426,RM!$C$4:$G991,5,FALSE))</f>
        <v/>
      </c>
      <c r="AH426" t="str">
        <f ca="1">IFERROR(__xludf.DUMMYFUNCTION("""COMPUTED_VALUE"""),"AMCA Elec Assy")</f>
        <v>AMCA Elec Assy</v>
      </c>
      <c r="AI426" t="str">
        <f ca="1">IFERROR(__xludf.DUMMYFUNCTION("""COMPUTED_VALUE"""),"Lead wire 22AWG")</f>
        <v>Lead wire 22AWG</v>
      </c>
      <c r="AJ426">
        <f ca="1">IFERROR(__xludf.DUMMYFUNCTION("""COMPUTED_VALUE"""),5)</f>
        <v>5</v>
      </c>
      <c r="AL426" t="e">
        <f ca="1">_xludf.IFNA(VLOOKUP(AH426,'S-FG'!$B$3:$B1001,1,FALSE),"")</f>
        <v>#NAME?</v>
      </c>
      <c r="AM426" t="e">
        <f ca="1">IF(AI426="","",SUMIFS(#REF!,RM!$C$4:$C991,AI426))</f>
        <v>#REF!</v>
      </c>
    </row>
    <row r="427" spans="5:39">
      <c r="E427" t="str">
        <f>IF(A427="","",SUMIFS('PR-BOM'!$D$3:$D1001,'PR-BOM'!$C$3:$C1001,A427)*C427)</f>
        <v/>
      </c>
      <c r="F427" t="e">
        <f ca="1">_xludf.IFNA(VLOOKUP(B427,'S-FG'!$B$3:$B1001,1,FALSE),"")</f>
        <v>#NAME?</v>
      </c>
      <c r="H427" t="str">
        <f ca="1">IFERROR(__xludf.DUMMYFUNCTION("""COMPUTED_VALUE"""),"AMCA Mech Assy")</f>
        <v>AMCA Mech Assy</v>
      </c>
      <c r="I427" t="str">
        <f ca="1">IFERROR(__xludf.DUMMYFUNCTION("""COMPUTED_VALUE"""),"M4x12 plain washer")</f>
        <v>M4x12 plain washer</v>
      </c>
      <c r="J427">
        <f ca="1">IFERROR(__xludf.DUMMYFUNCTION("""COMPUTED_VALUE"""),14)</f>
        <v>14</v>
      </c>
      <c r="K427" t="str">
        <f ca="1">IFERROR(__xludf.DUMMYFUNCTION("""COMPUTED_VALUE"""),"blank")</f>
        <v>blank</v>
      </c>
      <c r="L427">
        <f t="shared" ca="1" si="4"/>
        <v>0</v>
      </c>
      <c r="Q427" t="str">
        <f>IF(N427="","",SUMIFS('PR-BOM'!$D$3:$D1001,'PR-BOM'!$C$3:$C1001,N427))</f>
        <v/>
      </c>
      <c r="S427" t="str">
        <f ca="1">IFERROR(__xludf.DUMMYFUNCTION("""COMPUTED_VALUE"""),"M4 Spring washer")</f>
        <v>M4 Spring washer</v>
      </c>
      <c r="Y427" t="str">
        <f t="shared" si="5"/>
        <v/>
      </c>
      <c r="Z427" t="str">
        <f>IF(X427="","",SUMIFS(#REF!,RM!$C$4:$C991,X427))</f>
        <v/>
      </c>
      <c r="AA427" t="str">
        <f>IF(X427="","",SUMIFS(#REF!,RM!$C$4:$C991,X427))</f>
        <v/>
      </c>
      <c r="AB427" t="str">
        <f>IF(X427="","",SUMIFS(IRegback!$Y$2:$Y1001,IRegback!$X$2:$X1001,X427))</f>
        <v/>
      </c>
      <c r="AC427" t="e">
        <f t="shared" si="6"/>
        <v>#VALUE!</v>
      </c>
      <c r="AD427" t="str">
        <f>IF(X427="","",VLOOKUP($X427,RM!$C$4:$G991,3,FALSE))</f>
        <v/>
      </c>
      <c r="AE427" t="str">
        <f>IF(X427="","",VLOOKUP($X427,RM!$C$4:$G991,4,FALSE))</f>
        <v/>
      </c>
      <c r="AF427" t="str">
        <f>IF(X427="","",VLOOKUP($X427,RM!$C$4:$G991,5,FALSE))</f>
        <v/>
      </c>
      <c r="AH427" t="str">
        <f ca="1">IFERROR(__xludf.DUMMYFUNCTION("""COMPUTED_VALUE"""),"AMCA Elec Assy")</f>
        <v>AMCA Elec Assy</v>
      </c>
      <c r="AI427" t="str">
        <f ca="1">IFERROR(__xludf.DUMMYFUNCTION("""COMPUTED_VALUE"""),"16pin IC base")</f>
        <v>16pin IC base</v>
      </c>
      <c r="AJ427">
        <f ca="1">IFERROR(__xludf.DUMMYFUNCTION("""COMPUTED_VALUE"""),1)</f>
        <v>1</v>
      </c>
      <c r="AL427" t="e">
        <f ca="1">_xludf.IFNA(VLOOKUP(AH427,'S-FG'!$B$3:$B1001,1,FALSE),"")</f>
        <v>#NAME?</v>
      </c>
      <c r="AM427" t="e">
        <f ca="1">IF(AI427="","",SUMIFS(#REF!,RM!$C$4:$C991,AI427))</f>
        <v>#REF!</v>
      </c>
    </row>
    <row r="428" spans="5:39">
      <c r="E428" t="str">
        <f>IF(A428="","",SUMIFS('PR-BOM'!$D$3:$D1001,'PR-BOM'!$C$3:$C1001,A428)*C428)</f>
        <v/>
      </c>
      <c r="F428" t="e">
        <f ca="1">_xludf.IFNA(VLOOKUP(B428,'S-FG'!$B$3:$B1001,1,FALSE),"")</f>
        <v>#NAME?</v>
      </c>
      <c r="H428" t="str">
        <f ca="1">IFERROR(__xludf.DUMMYFUNCTION("""COMPUTED_VALUE"""),"AMCA Mech Assy")</f>
        <v>AMCA Mech Assy</v>
      </c>
      <c r="I428" t="str">
        <f ca="1">IFERROR(__xludf.DUMMYFUNCTION("""COMPUTED_VALUE"""),"Brass nozzle for water outlet from JCB")</f>
        <v>Brass nozzle for water outlet from JCB</v>
      </c>
      <c r="J428">
        <f ca="1">IFERROR(__xludf.DUMMYFUNCTION("""COMPUTED_VALUE"""),1)</f>
        <v>1</v>
      </c>
      <c r="L428">
        <f t="shared" ca="1" si="4"/>
        <v>0</v>
      </c>
      <c r="Q428" t="str">
        <f>IF(N428="","",SUMIFS('PR-BOM'!$D$3:$D1001,'PR-BOM'!$C$3:$C1001,N428))</f>
        <v/>
      </c>
      <c r="S428" t="str">
        <f ca="1">IFERROR(__xludf.DUMMYFUNCTION("""COMPUTED_VALUE"""),"M4x12 plain washer")</f>
        <v>M4x12 plain washer</v>
      </c>
      <c r="Y428" t="str">
        <f t="shared" si="5"/>
        <v/>
      </c>
      <c r="Z428" t="str">
        <f>IF(X428="","",SUMIFS(#REF!,RM!$C$4:$C991,X428))</f>
        <v/>
      </c>
      <c r="AA428" t="str">
        <f>IF(X428="","",SUMIFS(#REF!,RM!$C$4:$C991,X428))</f>
        <v/>
      </c>
      <c r="AB428" t="str">
        <f>IF(X428="","",SUMIFS(IRegback!$Y$2:$Y1001,IRegback!$X$2:$X1001,X428))</f>
        <v/>
      </c>
      <c r="AC428" t="e">
        <f t="shared" si="6"/>
        <v>#VALUE!</v>
      </c>
      <c r="AD428" t="str">
        <f>IF(X428="","",VLOOKUP($X428,RM!$C$4:$G991,3,FALSE))</f>
        <v/>
      </c>
      <c r="AE428" t="str">
        <f>IF(X428="","",VLOOKUP($X428,RM!$C$4:$G991,4,FALSE))</f>
        <v/>
      </c>
      <c r="AF428" t="str">
        <f>IF(X428="","",VLOOKUP($X428,RM!$C$4:$G991,5,FALSE))</f>
        <v/>
      </c>
      <c r="AH428" t="str">
        <f ca="1">IFERROR(__xludf.DUMMYFUNCTION("""COMPUTED_VALUE"""),"AMCA Elec Assy")</f>
        <v>AMCA Elec Assy</v>
      </c>
      <c r="AI428" t="str">
        <f ca="1">IFERROR(__xludf.DUMMYFUNCTION("""COMPUTED_VALUE"""),"ULN2003A THT")</f>
        <v>ULN2003A THT</v>
      </c>
      <c r="AJ428">
        <f ca="1">IFERROR(__xludf.DUMMYFUNCTION("""COMPUTED_VALUE"""),1)</f>
        <v>1</v>
      </c>
      <c r="AK428" t="str">
        <f ca="1">IFERROR(__xludf.DUMMYFUNCTION("""COMPUTED_VALUE"""),"blank")</f>
        <v>blank</v>
      </c>
      <c r="AL428" t="e">
        <f ca="1">_xludf.IFNA(VLOOKUP(AH428,'S-FG'!$B$3:$B1001,1,FALSE),"")</f>
        <v>#NAME?</v>
      </c>
      <c r="AM428" t="e">
        <f ca="1">IF(AI428="","",SUMIFS(#REF!,RM!$C$4:$C991,AI428))</f>
        <v>#REF!</v>
      </c>
    </row>
    <row r="429" spans="5:39">
      <c r="E429" t="str">
        <f>IF(A429="","",SUMIFS('PR-BOM'!$D$3:$D1001,'PR-BOM'!$C$3:$C1001,A429)*C429)</f>
        <v/>
      </c>
      <c r="F429" t="e">
        <f ca="1">_xludf.IFNA(VLOOKUP(B429,'S-FG'!$B$3:$B1001,1,FALSE),"")</f>
        <v>#NAME?</v>
      </c>
      <c r="H429" t="str">
        <f ca="1">IFERROR(__xludf.DUMMYFUNCTION("""COMPUTED_VALUE"""),"AMCA Mech Assy")</f>
        <v>AMCA Mech Assy</v>
      </c>
      <c r="I429" t="str">
        <f ca="1">IFERROR(__xludf.DUMMYFUNCTION("""COMPUTED_VALUE"""),"8 mm OD pneaumatic pipe")</f>
        <v>8 mm OD pneaumatic pipe</v>
      </c>
      <c r="J429">
        <f ca="1">IFERROR(__xludf.DUMMYFUNCTION("""COMPUTED_VALUE"""),0.5)</f>
        <v>0.5</v>
      </c>
      <c r="L429">
        <f t="shared" ca="1" si="4"/>
        <v>0</v>
      </c>
      <c r="Q429" t="str">
        <f>IF(N429="","",SUMIFS('PR-BOM'!$D$3:$D1001,'PR-BOM'!$C$3:$C1001,N429))</f>
        <v/>
      </c>
      <c r="S429" t="str">
        <f ca="1">IFERROR(__xludf.DUMMYFUNCTION("""COMPUTED_VALUE"""),"Brass nozzle for water outlet from JCB")</f>
        <v>Brass nozzle for water outlet from JCB</v>
      </c>
      <c r="Y429" t="str">
        <f t="shared" si="5"/>
        <v/>
      </c>
      <c r="Z429" t="str">
        <f>IF(X429="","",SUMIFS(#REF!,RM!$C$4:$C991,X429))</f>
        <v/>
      </c>
      <c r="AA429" t="str">
        <f>IF(X429="","",SUMIFS(#REF!,RM!$C$4:$C991,X429))</f>
        <v/>
      </c>
      <c r="AB429" t="str">
        <f>IF(X429="","",SUMIFS(IRegback!$Y$2:$Y1001,IRegback!$X$2:$X1001,X429))</f>
        <v/>
      </c>
      <c r="AC429" t="e">
        <f t="shared" si="6"/>
        <v>#VALUE!</v>
      </c>
      <c r="AD429" t="str">
        <f>IF(X429="","",VLOOKUP($X429,RM!$C$4:$G991,3,FALSE))</f>
        <v/>
      </c>
      <c r="AE429" t="str">
        <f>IF(X429="","",VLOOKUP($X429,RM!$C$4:$G991,4,FALSE))</f>
        <v/>
      </c>
      <c r="AF429" t="str">
        <f>IF(X429="","",VLOOKUP($X429,RM!$C$4:$G991,5,FALSE))</f>
        <v/>
      </c>
      <c r="AH429" t="str">
        <f ca="1">IFERROR(__xludf.DUMMYFUNCTION("""COMPUTED_VALUE"""),"AMCA Elec Assy")</f>
        <v>AMCA Elec Assy</v>
      </c>
      <c r="AI429" t="str">
        <f ca="1">IFERROR(__xludf.DUMMYFUNCTION("""COMPUTED_VALUE"""),"iMAx B3 Charger")</f>
        <v>iMAx B3 Charger</v>
      </c>
      <c r="AJ429">
        <f ca="1">IFERROR(__xludf.DUMMYFUNCTION("""COMPUTED_VALUE"""),1)</f>
        <v>1</v>
      </c>
      <c r="AL429" t="e">
        <f ca="1">_xludf.IFNA(VLOOKUP(AH429,'S-FG'!$B$3:$B1001,1,FALSE),"")</f>
        <v>#NAME?</v>
      </c>
      <c r="AM429" t="e">
        <f ca="1">IF(AI429="","",SUMIFS(#REF!,RM!$C$4:$C991,AI429))</f>
        <v>#REF!</v>
      </c>
    </row>
    <row r="430" spans="5:39">
      <c r="E430" t="str">
        <f>IF(A430="","",SUMIFS('PR-BOM'!$D$3:$D1001,'PR-BOM'!$C$3:$C1001,A430)*C430)</f>
        <v/>
      </c>
      <c r="F430" t="e">
        <f ca="1">_xludf.IFNA(VLOOKUP(B430,'S-FG'!$B$3:$B1001,1,FALSE),"")</f>
        <v>#NAME?</v>
      </c>
      <c r="H430" t="str">
        <f ca="1">IFERROR(__xludf.DUMMYFUNCTION("""COMPUTED_VALUE"""),"AMCA Mech Assy")</f>
        <v>AMCA Mech Assy</v>
      </c>
      <c r="I430" t="str">
        <f ca="1">IFERROR(__xludf.DUMMYFUNCTION("""COMPUTED_VALUE"""),"12 to 8 reducer with lock clips")</f>
        <v>12 to 8 reducer with lock clips</v>
      </c>
      <c r="J430">
        <f ca="1">IFERROR(__xludf.DUMMYFUNCTION("""COMPUTED_VALUE"""),2)</f>
        <v>2</v>
      </c>
      <c r="K430" t="str">
        <f ca="1">IFERROR(__xludf.DUMMYFUNCTION("""COMPUTED_VALUE"""),"blank")</f>
        <v>blank</v>
      </c>
      <c r="L430">
        <f t="shared" ca="1" si="4"/>
        <v>0</v>
      </c>
      <c r="Q430" t="str">
        <f>IF(N430="","",SUMIFS('PR-BOM'!$D$3:$D1001,'PR-BOM'!$C$3:$C1001,N430))</f>
        <v/>
      </c>
      <c r="S430" t="str">
        <f ca="1">IFERROR(__xludf.DUMMYFUNCTION("""COMPUTED_VALUE"""),"8 mm OD pneaumatic pipe")</f>
        <v>8 mm OD pneaumatic pipe</v>
      </c>
      <c r="Y430" t="str">
        <f t="shared" si="5"/>
        <v/>
      </c>
      <c r="Z430" t="str">
        <f>IF(X430="","",SUMIFS(#REF!,RM!$C$4:$C991,X430))</f>
        <v/>
      </c>
      <c r="AA430" t="str">
        <f>IF(X430="","",SUMIFS(#REF!,RM!$C$4:$C991,X430))</f>
        <v/>
      </c>
      <c r="AB430" t="str">
        <f>IF(X430="","",SUMIFS(IRegback!$Y$2:$Y1001,IRegback!$X$2:$X1001,X430))</f>
        <v/>
      </c>
      <c r="AC430" t="e">
        <f t="shared" si="6"/>
        <v>#VALUE!</v>
      </c>
      <c r="AD430" t="str">
        <f>IF(X430="","",VLOOKUP($X430,RM!$C$4:$G991,3,FALSE))</f>
        <v/>
      </c>
      <c r="AE430" t="str">
        <f>IF(X430="","",VLOOKUP($X430,RM!$C$4:$G991,4,FALSE))</f>
        <v/>
      </c>
      <c r="AF430" t="str">
        <f>IF(X430="","",VLOOKUP($X430,RM!$C$4:$G991,5,FALSE))</f>
        <v/>
      </c>
      <c r="AH430" t="str">
        <f ca="1">IFERROR(__xludf.DUMMYFUNCTION("""COMPUTED_VALUE"""),"AMCA Elec Assy")</f>
        <v>AMCA Elec Assy</v>
      </c>
      <c r="AI430" t="str">
        <f ca="1">IFERROR(__xludf.DUMMYFUNCTION("""COMPUTED_VALUE"""),"8core Wire 14/38")</f>
        <v>8core Wire 14/38</v>
      </c>
      <c r="AJ430">
        <f ca="1">IFERROR(__xludf.DUMMYFUNCTION("""COMPUTED_VALUE"""),1)</f>
        <v>1</v>
      </c>
      <c r="AK430" t="str">
        <f ca="1">IFERROR(__xludf.DUMMYFUNCTION("""COMPUTED_VALUE"""),"blank")</f>
        <v>blank</v>
      </c>
      <c r="AL430" t="e">
        <f ca="1">_xludf.IFNA(VLOOKUP(AH430,'S-FG'!$B$3:$B1001,1,FALSE),"")</f>
        <v>#NAME?</v>
      </c>
      <c r="AM430" t="e">
        <f ca="1">IF(AI430="","",SUMIFS(#REF!,RM!$C$4:$C991,AI430))</f>
        <v>#REF!</v>
      </c>
    </row>
    <row r="431" spans="5:39">
      <c r="E431" t="str">
        <f>IF(A431="","",SUMIFS('PR-BOM'!$D$3:$D1001,'PR-BOM'!$C$3:$C1001,A431)*C431)</f>
        <v/>
      </c>
      <c r="F431" t="e">
        <f ca="1">_xludf.IFNA(VLOOKUP(B431,'S-FG'!$B$3:$B1001,1,FALSE),"")</f>
        <v>#NAME?</v>
      </c>
      <c r="H431" t="str">
        <f ca="1">IFERROR(__xludf.DUMMYFUNCTION("""COMPUTED_VALUE"""),"AMCA Mech Assy")</f>
        <v>AMCA Mech Assy</v>
      </c>
      <c r="I431" t="str">
        <f ca="1">IFERROR(__xludf.DUMMYFUNCTION("""COMPUTED_VALUE"""),"12mm OD pneumatic pipe")</f>
        <v>12mm OD pneumatic pipe</v>
      </c>
      <c r="J431">
        <f ca="1">IFERROR(__xludf.DUMMYFUNCTION("""COMPUTED_VALUE"""),0.1)</f>
        <v>0.1</v>
      </c>
      <c r="L431">
        <f t="shared" ca="1" si="4"/>
        <v>0</v>
      </c>
      <c r="Q431" t="str">
        <f>IF(N431="","",SUMIFS('PR-BOM'!$D$3:$D1001,'PR-BOM'!$C$3:$C1001,N431))</f>
        <v/>
      </c>
      <c r="S431" t="str">
        <f ca="1">IFERROR(__xludf.DUMMYFUNCTION("""COMPUTED_VALUE"""),"12 to 8 reducer with lock clips")</f>
        <v>12 to 8 reducer with lock clips</v>
      </c>
      <c r="Y431" t="str">
        <f t="shared" si="5"/>
        <v/>
      </c>
      <c r="Z431" t="str">
        <f>IF(X431="","",SUMIFS(#REF!,RM!$C$4:$C991,X431))</f>
        <v/>
      </c>
      <c r="AA431" t="str">
        <f>IF(X431="","",SUMIFS(#REF!,RM!$C$4:$C991,X431))</f>
        <v/>
      </c>
      <c r="AB431" t="str">
        <f>IF(X431="","",SUMIFS(IRegback!$Y$2:$Y1001,IRegback!$X$2:$X1001,X431))</f>
        <v/>
      </c>
      <c r="AC431" t="e">
        <f t="shared" si="6"/>
        <v>#VALUE!</v>
      </c>
      <c r="AD431" t="str">
        <f>IF(X431="","",VLOOKUP($X431,RM!$C$4:$G991,3,FALSE))</f>
        <v/>
      </c>
      <c r="AE431" t="str">
        <f>IF(X431="","",VLOOKUP($X431,RM!$C$4:$G991,4,FALSE))</f>
        <v/>
      </c>
      <c r="AF431" t="str">
        <f>IF(X431="","",VLOOKUP($X431,RM!$C$4:$G991,5,FALSE))</f>
        <v/>
      </c>
      <c r="AH431" t="str">
        <f ca="1">IFERROR(__xludf.DUMMYFUNCTION("""COMPUTED_VALUE"""),"AMCA Elec Assy")</f>
        <v>AMCA Elec Assy</v>
      </c>
      <c r="AI431" t="str">
        <f ca="1">IFERROR(__xludf.DUMMYFUNCTION("""COMPUTED_VALUE"""),"LP12 4 pin plug male clip lock CM")</f>
        <v>LP12 4 pin plug male clip lock CM</v>
      </c>
      <c r="AJ431">
        <f ca="1">IFERROR(__xludf.DUMMYFUNCTION("""COMPUTED_VALUE"""),1)</f>
        <v>1</v>
      </c>
      <c r="AK431" t="str">
        <f ca="1">IFERROR(__xludf.DUMMYFUNCTION("""COMPUTED_VALUE"""),"LP-12-C04PE-02-001")</f>
        <v>LP-12-C04PE-02-001</v>
      </c>
      <c r="AL431" t="e">
        <f ca="1">_xludf.IFNA(VLOOKUP(AH431,'S-FG'!$B$3:$B1001,1,FALSE),"")</f>
        <v>#NAME?</v>
      </c>
      <c r="AM431" t="e">
        <f ca="1">IF(AI431="","",SUMIFS(#REF!,RM!$C$4:$C991,AI431))</f>
        <v>#REF!</v>
      </c>
    </row>
    <row r="432" spans="5:39">
      <c r="E432" t="str">
        <f>IF(A432="","",SUMIFS('PR-BOM'!$D$3:$D1001,'PR-BOM'!$C$3:$C1001,A432)*C432)</f>
        <v/>
      </c>
      <c r="F432" t="e">
        <f ca="1">_xludf.IFNA(VLOOKUP(B432,'S-FG'!$B$3:$B1001,1,FALSE),"")</f>
        <v>#NAME?</v>
      </c>
      <c r="H432" t="str">
        <f ca="1">IFERROR(__xludf.DUMMYFUNCTION("""COMPUTED_VALUE"""),"AMCA Mech Assy")</f>
        <v>AMCA Mech Assy</v>
      </c>
      <c r="I432" t="str">
        <f ca="1">IFERROR(__xludf.DUMMYFUNCTION("""COMPUTED_VALUE"""),"Silicon Hose 3mm x 6mm")</f>
        <v>Silicon Hose 3mm x 6mm</v>
      </c>
      <c r="J432">
        <f ca="1">IFERROR(__xludf.DUMMYFUNCTION("""COMPUTED_VALUE"""),1)</f>
        <v>1</v>
      </c>
      <c r="L432">
        <f t="shared" ca="1" si="4"/>
        <v>0</v>
      </c>
      <c r="Q432" t="str">
        <f>IF(N432="","",SUMIFS('PR-BOM'!$D$3:$D1001,'PR-BOM'!$C$3:$C1001,N432))</f>
        <v/>
      </c>
      <c r="S432" t="str">
        <f ca="1">IFERROR(__xludf.DUMMYFUNCTION("""COMPUTED_VALUE"""),"12mm OD pneumatic pipe")</f>
        <v>12mm OD pneumatic pipe</v>
      </c>
      <c r="Y432" t="str">
        <f t="shared" si="5"/>
        <v/>
      </c>
      <c r="Z432" t="str">
        <f>IF(X432="","",SUMIFS(#REF!,RM!$C$4:$C991,X432))</f>
        <v/>
      </c>
      <c r="AA432" t="str">
        <f>IF(X432="","",SUMIFS(#REF!,RM!$C$4:$C991,X432))</f>
        <v/>
      </c>
      <c r="AB432" t="str">
        <f>IF(X432="","",SUMIFS(IRegback!$Y$2:$Y1001,IRegback!$X$2:$X1001,X432))</f>
        <v/>
      </c>
      <c r="AC432" t="e">
        <f t="shared" si="6"/>
        <v>#VALUE!</v>
      </c>
      <c r="AD432" t="str">
        <f>IF(X432="","",VLOOKUP($X432,RM!$C$4:$G991,3,FALSE))</f>
        <v/>
      </c>
      <c r="AE432" t="str">
        <f>IF(X432="","",VLOOKUP($X432,RM!$C$4:$G991,4,FALSE))</f>
        <v/>
      </c>
      <c r="AF432" t="str">
        <f>IF(X432="","",VLOOKUP($X432,RM!$C$4:$G991,5,FALSE))</f>
        <v/>
      </c>
      <c r="AH432" t="str">
        <f ca="1">IFERROR(__xludf.DUMMYFUNCTION("""COMPUTED_VALUE"""),"AMCA Elec Assy")</f>
        <v>AMCA Elec Assy</v>
      </c>
      <c r="AI432" t="str">
        <f ca="1">IFERROR(__xludf.DUMMYFUNCTION("""COMPUTED_VALUE"""),"LP12 4 pin socket female clip lock PM")</f>
        <v>LP12 4 pin socket female clip lock PM</v>
      </c>
      <c r="AJ432">
        <f ca="1">IFERROR(__xludf.DUMMYFUNCTION("""COMPUTED_VALUE"""),1)</f>
        <v>1</v>
      </c>
      <c r="AK432" t="str">
        <f ca="1">IFERROR(__xludf.DUMMYFUNCTION("""COMPUTED_VALUE"""),"LP-12-J04SX-03-001")</f>
        <v>LP-12-J04SX-03-001</v>
      </c>
      <c r="AL432" t="e">
        <f ca="1">_xludf.IFNA(VLOOKUP(AH432,'S-FG'!$B$3:$B1001,1,FALSE),"")</f>
        <v>#NAME?</v>
      </c>
      <c r="AM432" t="e">
        <f ca="1">IF(AI432="","",SUMIFS(#REF!,RM!$C$4:$C991,AI432))</f>
        <v>#REF!</v>
      </c>
    </row>
    <row r="433" spans="5:39">
      <c r="E433" t="str">
        <f>IF(A433="","",SUMIFS('PR-BOM'!$D$3:$D1001,'PR-BOM'!$C$3:$C1001,A433)*C433)</f>
        <v/>
      </c>
      <c r="F433" t="e">
        <f ca="1">_xludf.IFNA(VLOOKUP(B433,'S-FG'!$B$3:$B1001,1,FALSE),"")</f>
        <v>#NAME?</v>
      </c>
      <c r="H433" t="str">
        <f ca="1">IFERROR(__xludf.DUMMYFUNCTION("""COMPUTED_VALUE"""),"Final Craft Assy")</f>
        <v>Final Craft Assy</v>
      </c>
      <c r="I433" t="str">
        <f ca="1">IFERROR(__xludf.DUMMYFUNCTION("""COMPUTED_VALUE"""),"M4x20 Allen Head")</f>
        <v>M4x20 Allen Head</v>
      </c>
      <c r="J433">
        <f ca="1">IFERROR(__xludf.DUMMYFUNCTION("""COMPUTED_VALUE"""),14)</f>
        <v>14</v>
      </c>
      <c r="K433" t="str">
        <f ca="1">IFERROR(__xludf.DUMMYFUNCTION("""COMPUTED_VALUE"""),"blank")</f>
        <v>blank</v>
      </c>
      <c r="L433">
        <f t="shared" ca="1" si="4"/>
        <v>0</v>
      </c>
      <c r="Q433" t="str">
        <f>IF(N433="","",SUMIFS('PR-BOM'!$D$3:$D1001,'PR-BOM'!$C$3:$C1001,N433))</f>
        <v/>
      </c>
      <c r="S433" t="str">
        <f ca="1">IFERROR(__xludf.DUMMYFUNCTION("""COMPUTED_VALUE"""),"Silicon Hose 3mm x 6mm")</f>
        <v>Silicon Hose 3mm x 6mm</v>
      </c>
      <c r="Y433" t="str">
        <f t="shared" si="5"/>
        <v/>
      </c>
      <c r="Z433" t="str">
        <f>IF(X433="","",SUMIFS(#REF!,RM!$C$4:$C991,X433))</f>
        <v/>
      </c>
      <c r="AA433" t="str">
        <f>IF(X433="","",SUMIFS(#REF!,RM!$C$4:$C991,X433))</f>
        <v/>
      </c>
      <c r="AB433" t="str">
        <f>IF(X433="","",SUMIFS(IRegback!$Y$2:$Y1001,IRegback!$X$2:$X1001,X433))</f>
        <v/>
      </c>
      <c r="AC433" t="e">
        <f t="shared" si="6"/>
        <v>#VALUE!</v>
      </c>
      <c r="AD433" t="str">
        <f>IF(X433="","",VLOOKUP($X433,RM!$C$4:$G991,3,FALSE))</f>
        <v/>
      </c>
      <c r="AE433" t="str">
        <f>IF(X433="","",VLOOKUP($X433,RM!$C$4:$G991,4,FALSE))</f>
        <v/>
      </c>
      <c r="AF433" t="str">
        <f>IF(X433="","",VLOOKUP($X433,RM!$C$4:$G991,5,FALSE))</f>
        <v/>
      </c>
      <c r="AH433" t="str">
        <f ca="1">IFERROR(__xludf.DUMMYFUNCTION("""COMPUTED_VALUE"""),"AMCA Elec Assy")</f>
        <v>AMCA Elec Assy</v>
      </c>
      <c r="AI433" t="str">
        <f ca="1">IFERROR(__xludf.DUMMYFUNCTION("""COMPUTED_VALUE"""),"9v Piezo Electric Buzzer")</f>
        <v>9v Piezo Electric Buzzer</v>
      </c>
      <c r="AJ433">
        <f ca="1">IFERROR(__xludf.DUMMYFUNCTION("""COMPUTED_VALUE"""),1)</f>
        <v>1</v>
      </c>
      <c r="AL433" t="e">
        <f ca="1">_xludf.IFNA(VLOOKUP(AH433,'S-FG'!$B$3:$B1001,1,FALSE),"")</f>
        <v>#NAME?</v>
      </c>
      <c r="AM433" t="e">
        <f ca="1">IF(AI433="","",SUMIFS(#REF!,RM!$C$4:$C991,AI433))</f>
        <v>#REF!</v>
      </c>
    </row>
    <row r="434" spans="5:39">
      <c r="E434" t="str">
        <f>IF(A434="","",SUMIFS('PR-BOM'!$D$3:$D1001,'PR-BOM'!$C$3:$C1001,A434)*C434)</f>
        <v/>
      </c>
      <c r="F434" t="e">
        <f ca="1">_xludf.IFNA(VLOOKUP(B434,'S-FG'!$B$3:$B1001,1,FALSE),"")</f>
        <v>#NAME?</v>
      </c>
      <c r="H434" t="str">
        <f ca="1">IFERROR(__xludf.DUMMYFUNCTION("""COMPUTED_VALUE"""),"Final Craft Assy")</f>
        <v>Final Craft Assy</v>
      </c>
      <c r="I434" t="str">
        <f ca="1">IFERROR(__xludf.DUMMYFUNCTION("""COMPUTED_VALUE"""),"M5x10 Torx")</f>
        <v>M5x10 Torx</v>
      </c>
      <c r="J434">
        <f ca="1">IFERROR(__xludf.DUMMYFUNCTION("""COMPUTED_VALUE"""),28)</f>
        <v>28</v>
      </c>
      <c r="K434" t="str">
        <f ca="1">IFERROR(__xludf.DUMMYFUNCTION("""COMPUTED_VALUE"""),"blank")</f>
        <v>blank</v>
      </c>
      <c r="L434">
        <f t="shared" ca="1" si="4"/>
        <v>0</v>
      </c>
      <c r="Q434" t="str">
        <f>IF(N434="","",SUMIFS('PR-BOM'!$D$3:$D1001,'PR-BOM'!$C$3:$C1001,N434))</f>
        <v/>
      </c>
      <c r="S434" t="str">
        <f ca="1">IFERROR(__xludf.DUMMYFUNCTION("""COMPUTED_VALUE"""),"M4x20 Allen Head")</f>
        <v>M4x20 Allen Head</v>
      </c>
      <c r="Y434" t="str">
        <f t="shared" si="5"/>
        <v/>
      </c>
      <c r="Z434" t="str">
        <f>IF(X434="","",SUMIFS(#REF!,RM!$C$4:$C991,X434))</f>
        <v/>
      </c>
      <c r="AA434" t="str">
        <f>IF(X434="","",SUMIFS(#REF!,RM!$C$4:$C991,X434))</f>
        <v/>
      </c>
      <c r="AB434" t="str">
        <f>IF(X434="","",SUMIFS(IRegback!$Y$2:$Y1001,IRegback!$X$2:$X1001,X434))</f>
        <v/>
      </c>
      <c r="AC434" t="e">
        <f t="shared" si="6"/>
        <v>#VALUE!</v>
      </c>
      <c r="AD434" t="str">
        <f>IF(X434="","",VLOOKUP($X434,RM!$C$4:$G991,3,FALSE))</f>
        <v/>
      </c>
      <c r="AE434" t="str">
        <f>IF(X434="","",VLOOKUP($X434,RM!$C$4:$G991,4,FALSE))</f>
        <v/>
      </c>
      <c r="AF434" t="str">
        <f>IF(X434="","",VLOOKUP($X434,RM!$C$4:$G991,5,FALSE))</f>
        <v/>
      </c>
      <c r="AH434" t="str">
        <f ca="1">IFERROR(__xludf.DUMMYFUNCTION("""COMPUTED_VALUE"""),"AMCA Elec Assy")</f>
        <v>AMCA Elec Assy</v>
      </c>
      <c r="AI434" t="str">
        <f ca="1">IFERROR(__xludf.DUMMYFUNCTION("""COMPUTED_VALUE"""),"Female Bergstrip 40x1 2.54mm")</f>
        <v>Female Bergstrip 40x1 2.54mm</v>
      </c>
      <c r="AJ434">
        <f ca="1">IFERROR(__xludf.DUMMYFUNCTION("""COMPUTED_VALUE"""),1)</f>
        <v>1</v>
      </c>
      <c r="AL434" t="e">
        <f ca="1">_xludf.IFNA(VLOOKUP(AH434,'S-FG'!$B$3:$B1001,1,FALSE),"")</f>
        <v>#NAME?</v>
      </c>
      <c r="AM434" t="e">
        <f ca="1">IF(AI434="","",SUMIFS(#REF!,RM!$C$4:$C991,AI434))</f>
        <v>#REF!</v>
      </c>
    </row>
    <row r="435" spans="5:39">
      <c r="E435" t="str">
        <f>IF(A435="","",SUMIFS('PR-BOM'!$D$3:$D1001,'PR-BOM'!$C$3:$C1001,A435)*C435)</f>
        <v/>
      </c>
      <c r="F435" t="e">
        <f ca="1">_xludf.IFNA(VLOOKUP(B435,'S-FG'!$B$3:$B1001,1,FALSE),"")</f>
        <v>#NAME?</v>
      </c>
      <c r="H435" t="str">
        <f ca="1">IFERROR(__xludf.DUMMYFUNCTION("""COMPUTED_VALUE"""),"Final Craft Assy")</f>
        <v>Final Craft Assy</v>
      </c>
      <c r="I435" t="str">
        <f ca="1">IFERROR(__xludf.DUMMYFUNCTION("""COMPUTED_VALUE"""),"Teroson MS930")</f>
        <v>Teroson MS930</v>
      </c>
      <c r="J435">
        <f ca="1">IFERROR(__xludf.DUMMYFUNCTION("""COMPUTED_VALUE"""),50)</f>
        <v>50</v>
      </c>
      <c r="K435" t="str">
        <f ca="1">IFERROR(__xludf.DUMMYFUNCTION("""COMPUTED_VALUE"""),"blank")</f>
        <v>blank</v>
      </c>
      <c r="L435">
        <f t="shared" ca="1" si="4"/>
        <v>0</v>
      </c>
      <c r="Q435" t="str">
        <f>IF(N435="","",SUMIFS('PR-BOM'!$D$3:$D1001,'PR-BOM'!$C$3:$C1001,N435))</f>
        <v/>
      </c>
      <c r="S435" t="str">
        <f ca="1">IFERROR(__xludf.DUMMYFUNCTION("""COMPUTED_VALUE"""),"M5x10 Torx")</f>
        <v>M5x10 Torx</v>
      </c>
      <c r="Y435" t="str">
        <f t="shared" si="5"/>
        <v/>
      </c>
      <c r="Z435" t="str">
        <f>IF(X435="","",SUMIFS(#REF!,RM!$C$4:$C991,X435))</f>
        <v/>
      </c>
      <c r="AA435" t="str">
        <f>IF(X435="","",SUMIFS(#REF!,RM!$C$4:$C991,X435))</f>
        <v/>
      </c>
      <c r="AB435" t="str">
        <f>IF(X435="","",SUMIFS(IRegback!$Y$2:$Y1001,IRegback!$X$2:$X1001,X435))</f>
        <v/>
      </c>
      <c r="AC435" t="e">
        <f t="shared" si="6"/>
        <v>#VALUE!</v>
      </c>
      <c r="AD435" t="str">
        <f>IF(X435="","",VLOOKUP($X435,RM!$C$4:$G991,3,FALSE))</f>
        <v/>
      </c>
      <c r="AE435" t="str">
        <f>IF(X435="","",VLOOKUP($X435,RM!$C$4:$G991,4,FALSE))</f>
        <v/>
      </c>
      <c r="AF435" t="str">
        <f>IF(X435="","",VLOOKUP($X435,RM!$C$4:$G991,5,FALSE))</f>
        <v/>
      </c>
      <c r="AH435" t="str">
        <f ca="1">IFERROR(__xludf.DUMMYFUNCTION("""COMPUTED_VALUE"""),"AMCA Elec Assy")</f>
        <v>AMCA Elec Assy</v>
      </c>
      <c r="AI435" t="str">
        <f ca="1">IFERROR(__xludf.DUMMYFUNCTION("""COMPUTED_VALUE"""),"Male Bergstrip 40x1 2.54mm")</f>
        <v>Male Bergstrip 40x1 2.54mm</v>
      </c>
      <c r="AJ435">
        <f ca="1">IFERROR(__xludf.DUMMYFUNCTION("""COMPUTED_VALUE"""),1)</f>
        <v>1</v>
      </c>
      <c r="AL435" t="e">
        <f ca="1">_xludf.IFNA(VLOOKUP(AH435,'S-FG'!$B$3:$B1001,1,FALSE),"")</f>
        <v>#NAME?</v>
      </c>
      <c r="AM435" t="e">
        <f ca="1">IF(AI435="","",SUMIFS(#REF!,RM!$C$4:$C991,AI435))</f>
        <v>#REF!</v>
      </c>
    </row>
    <row r="436" spans="5:39">
      <c r="E436" t="str">
        <f>IF(A436="","",SUMIFS('PR-BOM'!$D$3:$D1001,'PR-BOM'!$C$3:$C1001,A436)*C436)</f>
        <v/>
      </c>
      <c r="F436" t="e">
        <f ca="1">_xludf.IFNA(VLOOKUP(B436,'S-FG'!$B$3:$B1001,1,FALSE),"")</f>
        <v>#NAME?</v>
      </c>
      <c r="H436" t="str">
        <f ca="1">IFERROR(__xludf.DUMMYFUNCTION("""COMPUTED_VALUE"""),"Final Craft Assy")</f>
        <v>Final Craft Assy</v>
      </c>
      <c r="I436" t="str">
        <f ca="1">IFERROR(__xludf.DUMMYFUNCTION("""COMPUTED_VALUE"""),"Rope 8mm")</f>
        <v>Rope 8mm</v>
      </c>
      <c r="J436">
        <f ca="1">IFERROR(__xludf.DUMMYFUNCTION("""COMPUTED_VALUE"""),4.5)</f>
        <v>4.5</v>
      </c>
      <c r="K436" t="str">
        <f ca="1">IFERROR(__xludf.DUMMYFUNCTION("""COMPUTED_VALUE"""),"blank")</f>
        <v>blank</v>
      </c>
      <c r="L436">
        <f t="shared" ca="1" si="4"/>
        <v>0</v>
      </c>
      <c r="Q436" t="str">
        <f>IF(N436="","",SUMIFS('PR-BOM'!$D$3:$D1001,'PR-BOM'!$C$3:$C1001,N436))</f>
        <v/>
      </c>
      <c r="S436" t="str">
        <f ca="1">IFERROR(__xludf.DUMMYFUNCTION("""COMPUTED_VALUE"""),"Teroson MS930")</f>
        <v>Teroson MS930</v>
      </c>
      <c r="Y436" t="str">
        <f t="shared" si="5"/>
        <v/>
      </c>
      <c r="Z436" t="str">
        <f>IF(X436="","",SUMIFS(#REF!,RM!$C$4:$C991,X436))</f>
        <v/>
      </c>
      <c r="AA436" t="str">
        <f>IF(X436="","",SUMIFS(#REF!,RM!$C$4:$C991,X436))</f>
        <v/>
      </c>
      <c r="AB436" t="str">
        <f>IF(X436="","",SUMIFS(IRegback!$Y$2:$Y1001,IRegback!$X$2:$X1001,X436))</f>
        <v/>
      </c>
      <c r="AC436" t="e">
        <f t="shared" si="6"/>
        <v>#VALUE!</v>
      </c>
      <c r="AD436" t="str">
        <f>IF(X436="","",VLOOKUP($X436,RM!$C$4:$G991,3,FALSE))</f>
        <v/>
      </c>
      <c r="AE436" t="str">
        <f>IF(X436="","",VLOOKUP($X436,RM!$C$4:$G991,4,FALSE))</f>
        <v/>
      </c>
      <c r="AF436" t="str">
        <f>IF(X436="","",VLOOKUP($X436,RM!$C$4:$G991,5,FALSE))</f>
        <v/>
      </c>
      <c r="AH436" t="str">
        <f ca="1">IFERROR(__xludf.DUMMYFUNCTION("""COMPUTED_VALUE"""),"AMCA Elec Assy")</f>
        <v>AMCA Elec Assy</v>
      </c>
      <c r="AI436" t="str">
        <f ca="1">IFERROR(__xludf.DUMMYFUNCTION("""COMPUTED_VALUE"""),"Conformal Coating")</f>
        <v>Conformal Coating</v>
      </c>
      <c r="AJ436">
        <f ca="1">IFERROR(__xludf.DUMMYFUNCTION("""COMPUTED_VALUE"""),10)</f>
        <v>10</v>
      </c>
      <c r="AL436" t="e">
        <f ca="1">_xludf.IFNA(VLOOKUP(AH436,'S-FG'!$B$3:$B1001,1,FALSE),"")</f>
        <v>#NAME?</v>
      </c>
      <c r="AM436" t="e">
        <f ca="1">IF(AI436="","",SUMIFS(#REF!,RM!$C$4:$C991,AI436))</f>
        <v>#REF!</v>
      </c>
    </row>
    <row r="437" spans="5:39">
      <c r="E437" t="str">
        <f>IF(A437="","",SUMIFS('PR-BOM'!$D$3:$D1001,'PR-BOM'!$C$3:$C1001,A437)*C437)</f>
        <v/>
      </c>
      <c r="F437" t="e">
        <f ca="1">_xludf.IFNA(VLOOKUP(B437,'S-FG'!$B$3:$B1001,1,FALSE),"")</f>
        <v>#NAME?</v>
      </c>
      <c r="H437" t="str">
        <f ca="1">IFERROR(__xludf.DUMMYFUNCTION("""COMPUTED_VALUE"""),"Final Craft Assy")</f>
        <v>Final Craft Assy</v>
      </c>
      <c r="I437" t="str">
        <f ca="1">IFERROR(__xludf.DUMMYFUNCTION("""COMPUTED_VALUE"""),"Ferrole")</f>
        <v>Ferrole</v>
      </c>
      <c r="J437">
        <f ca="1">IFERROR(__xludf.DUMMYFUNCTION("""COMPUTED_VALUE"""),1)</f>
        <v>1</v>
      </c>
      <c r="K437" t="str">
        <f ca="1">IFERROR(__xludf.DUMMYFUNCTION("""COMPUTED_VALUE"""),"blank")</f>
        <v>blank</v>
      </c>
      <c r="L437">
        <f t="shared" ca="1" si="4"/>
        <v>0</v>
      </c>
      <c r="Q437" t="str">
        <f>IF(N437="","",SUMIFS('PR-BOM'!$D$3:$D1001,'PR-BOM'!$C$3:$C1001,N437))</f>
        <v/>
      </c>
      <c r="S437" t="str">
        <f ca="1">IFERROR(__xludf.DUMMYFUNCTION("""COMPUTED_VALUE"""),"Rope 8mm")</f>
        <v>Rope 8mm</v>
      </c>
      <c r="Y437" t="str">
        <f t="shared" si="5"/>
        <v/>
      </c>
      <c r="Z437" t="str">
        <f>IF(X437="","",SUMIFS(#REF!,RM!$C$4:$C991,X437))</f>
        <v/>
      </c>
      <c r="AA437" t="str">
        <f>IF(X437="","",SUMIFS(#REF!,RM!$C$4:$C991,X437))</f>
        <v/>
      </c>
      <c r="AB437" t="str">
        <f>IF(X437="","",SUMIFS(IRegback!$Y$2:$Y1001,IRegback!$X$2:$X1001,X437))</f>
        <v/>
      </c>
      <c r="AC437" t="e">
        <f t="shared" si="6"/>
        <v>#VALUE!</v>
      </c>
      <c r="AD437" t="str">
        <f>IF(X437="","",VLOOKUP($X437,RM!$C$4:$G991,3,FALSE))</f>
        <v/>
      </c>
      <c r="AE437" t="str">
        <f>IF(X437="","",VLOOKUP($X437,RM!$C$4:$G991,4,FALSE))</f>
        <v/>
      </c>
      <c r="AF437" t="str">
        <f>IF(X437="","",VLOOKUP($X437,RM!$C$4:$G991,5,FALSE))</f>
        <v/>
      </c>
      <c r="AH437" t="str">
        <f ca="1">IFERROR(__xludf.DUMMYFUNCTION("""COMPUTED_VALUE"""),"AMCA Elec Assy")</f>
        <v>AMCA Elec Assy</v>
      </c>
      <c r="AI437" t="str">
        <f ca="1">IFERROR(__xludf.DUMMYFUNCTION("""COMPUTED_VALUE"""),"Soldering flux")</f>
        <v>Soldering flux</v>
      </c>
      <c r="AJ437">
        <f ca="1">IFERROR(__xludf.DUMMYFUNCTION("""COMPUTED_VALUE"""),2)</f>
        <v>2</v>
      </c>
      <c r="AL437" t="e">
        <f ca="1">_xludf.IFNA(VLOOKUP(AH437,'S-FG'!$B$3:$B1001,1,FALSE),"")</f>
        <v>#NAME?</v>
      </c>
      <c r="AM437" t="e">
        <f ca="1">IF(AI437="","",SUMIFS(#REF!,RM!$C$4:$C991,AI437))</f>
        <v>#REF!</v>
      </c>
    </row>
    <row r="438" spans="5:39">
      <c r="E438" t="str">
        <f>IF(A438="","",SUMIFS('PR-BOM'!$D$3:$D1001,'PR-BOM'!$C$3:$C1001,A438)*C438)</f>
        <v/>
      </c>
      <c r="F438" t="e">
        <f ca="1">_xludf.IFNA(VLOOKUP(B438,'S-FG'!$B$3:$B1001,1,FALSE),"")</f>
        <v>#NAME?</v>
      </c>
      <c r="H438" t="str">
        <f ca="1">IFERROR(__xludf.DUMMYFUNCTION("""COMPUTED_VALUE"""),"Final Craft Assy")</f>
        <v>Final Craft Assy</v>
      </c>
      <c r="I438" t="str">
        <f ca="1">IFERROR(__xludf.DUMMYFUNCTION("""COMPUTED_VALUE"""),"Hook Sticker STBD")</f>
        <v>Hook Sticker STBD</v>
      </c>
      <c r="J438">
        <f ca="1">IFERROR(__xludf.DUMMYFUNCTION("""COMPUTED_VALUE"""),1)</f>
        <v>1</v>
      </c>
      <c r="K438" t="str">
        <f ca="1">IFERROR(__xludf.DUMMYFUNCTION("""COMPUTED_VALUE"""),"blank")</f>
        <v>blank</v>
      </c>
      <c r="L438">
        <f t="shared" ca="1" si="4"/>
        <v>0</v>
      </c>
      <c r="Q438" t="str">
        <f>IF(N438="","",SUMIFS('PR-BOM'!$D$3:$D1001,'PR-BOM'!$C$3:$C1001,N438))</f>
        <v/>
      </c>
      <c r="S438" t="str">
        <f ca="1">IFERROR(__xludf.DUMMYFUNCTION("""COMPUTED_VALUE"""),"Ferrole")</f>
        <v>Ferrole</v>
      </c>
      <c r="Y438" t="str">
        <f t="shared" si="5"/>
        <v/>
      </c>
      <c r="Z438" t="str">
        <f>IF(X438="","",SUMIFS(#REF!,RM!$C$4:$C991,X438))</f>
        <v/>
      </c>
      <c r="AA438" t="str">
        <f>IF(X438="","",SUMIFS(#REF!,RM!$C$4:$C991,X438))</f>
        <v/>
      </c>
      <c r="AB438" t="str">
        <f>IF(X438="","",SUMIFS(IRegback!$Y$2:$Y1001,IRegback!$X$2:$X1001,X438))</f>
        <v/>
      </c>
      <c r="AC438" t="e">
        <f t="shared" si="6"/>
        <v>#VALUE!</v>
      </c>
      <c r="AD438" t="str">
        <f>IF(X438="","",VLOOKUP($X438,RM!$C$4:$G991,3,FALSE))</f>
        <v/>
      </c>
      <c r="AE438" t="str">
        <f>IF(X438="","",VLOOKUP($X438,RM!$C$4:$G991,4,FALSE))</f>
        <v/>
      </c>
      <c r="AF438" t="str">
        <f>IF(X438="","",VLOOKUP($X438,RM!$C$4:$G991,5,FALSE))</f>
        <v/>
      </c>
      <c r="AH438" t="str">
        <f ca="1">IFERROR(__xludf.DUMMYFUNCTION("""COMPUTED_VALUE"""),"AMCA Elec Assy")</f>
        <v>AMCA Elec Assy</v>
      </c>
      <c r="AI438" t="str">
        <f ca="1">IFERROR(__xludf.DUMMYFUNCTION("""COMPUTED_VALUE"""),"2 pin JST-XH housing")</f>
        <v>2 pin JST-XH housing</v>
      </c>
      <c r="AJ438">
        <f ca="1">IFERROR(__xludf.DUMMYFUNCTION("""COMPUTED_VALUE"""),3)</f>
        <v>3</v>
      </c>
      <c r="AL438" t="e">
        <f ca="1">_xludf.IFNA(VLOOKUP(AH438,'S-FG'!$B$3:$B1001,1,FALSE),"")</f>
        <v>#NAME?</v>
      </c>
      <c r="AM438" t="e">
        <f ca="1">IF(AI438="","",SUMIFS(#REF!,RM!$C$4:$C991,AI438))</f>
        <v>#REF!</v>
      </c>
    </row>
    <row r="439" spans="5:39">
      <c r="E439" t="str">
        <f>IF(A439="","",SUMIFS('PR-BOM'!$D$3:$D1001,'PR-BOM'!$C$3:$C1001,A439)*C439)</f>
        <v/>
      </c>
      <c r="F439" t="e">
        <f ca="1">_xludf.IFNA(VLOOKUP(B439,'S-FG'!$B$3:$B1001,1,FALSE),"")</f>
        <v>#NAME?</v>
      </c>
      <c r="H439" t="str">
        <f ca="1">IFERROR(__xludf.DUMMYFUNCTION("""COMPUTED_VALUE"""),"Final Craft Assy")</f>
        <v>Final Craft Assy</v>
      </c>
      <c r="I439" t="str">
        <f ca="1">IFERROR(__xludf.DUMMYFUNCTION("""COMPUTED_VALUE"""),"Hook Stiker PORT")</f>
        <v>Hook Stiker PORT</v>
      </c>
      <c r="J439">
        <f ca="1">IFERROR(__xludf.DUMMYFUNCTION("""COMPUTED_VALUE"""),1)</f>
        <v>1</v>
      </c>
      <c r="K439" t="str">
        <f ca="1">IFERROR(__xludf.DUMMYFUNCTION("""COMPUTED_VALUE"""),"blank")</f>
        <v>blank</v>
      </c>
      <c r="L439">
        <f t="shared" ca="1" si="4"/>
        <v>0</v>
      </c>
      <c r="Q439" t="str">
        <f>IF(N439="","",SUMIFS('PR-BOM'!$D$3:$D1001,'PR-BOM'!$C$3:$C1001,N439))</f>
        <v/>
      </c>
      <c r="S439" t="str">
        <f ca="1">IFERROR(__xludf.DUMMYFUNCTION("""COMPUTED_VALUE"""),"Hook Sticker STBD")</f>
        <v>Hook Sticker STBD</v>
      </c>
      <c r="Y439" t="str">
        <f t="shared" si="5"/>
        <v/>
      </c>
      <c r="Z439" t="str">
        <f>IF(X439="","",SUMIFS(#REF!,RM!$C$4:$C991,X439))</f>
        <v/>
      </c>
      <c r="AA439" t="str">
        <f>IF(X439="","",SUMIFS(#REF!,RM!$C$4:$C991,X439))</f>
        <v/>
      </c>
      <c r="AB439" t="str">
        <f>IF(X439="","",SUMIFS(IRegback!$Y$2:$Y1001,IRegback!$X$2:$X1001,X439))</f>
        <v/>
      </c>
      <c r="AC439" t="e">
        <f t="shared" si="6"/>
        <v>#VALUE!</v>
      </c>
      <c r="AD439" t="str">
        <f>IF(X439="","",VLOOKUP($X439,RM!$C$4:$G991,3,FALSE))</f>
        <v/>
      </c>
      <c r="AE439" t="str">
        <f>IF(X439="","",VLOOKUP($X439,RM!$C$4:$G991,4,FALSE))</f>
        <v/>
      </c>
      <c r="AF439" t="str">
        <f>IF(X439="","",VLOOKUP($X439,RM!$C$4:$G991,5,FALSE))</f>
        <v/>
      </c>
      <c r="AH439" t="str">
        <f ca="1">IFERROR(__xludf.DUMMYFUNCTION("""COMPUTED_VALUE"""),"AMCA Elec Assy")</f>
        <v>AMCA Elec Assy</v>
      </c>
      <c r="AI439" t="str">
        <f ca="1">IFERROR(__xludf.DUMMYFUNCTION("""COMPUTED_VALUE"""),"2 pin JST-XH male top entry")</f>
        <v>2 pin JST-XH male top entry</v>
      </c>
      <c r="AJ439">
        <f ca="1">IFERROR(__xludf.DUMMYFUNCTION("""COMPUTED_VALUE"""),3)</f>
        <v>3</v>
      </c>
      <c r="AK439" t="str">
        <f ca="1">IFERROR(__xludf.DUMMYFUNCTION("""COMPUTED_VALUE"""),"blank")</f>
        <v>blank</v>
      </c>
      <c r="AL439" t="e">
        <f ca="1">_xludf.IFNA(VLOOKUP(AH439,'S-FG'!$B$3:$B1001,1,FALSE),"")</f>
        <v>#NAME?</v>
      </c>
      <c r="AM439" t="e">
        <f ca="1">IF(AI439="","",SUMIFS(#REF!,RM!$C$4:$C991,AI439))</f>
        <v>#REF!</v>
      </c>
    </row>
    <row r="440" spans="5:39">
      <c r="E440" t="str">
        <f>IF(A440="","",SUMIFS('PR-BOM'!$D$3:$D1001,'PR-BOM'!$C$3:$C1001,A440)*C440)</f>
        <v/>
      </c>
      <c r="F440" t="e">
        <f ca="1">_xludf.IFNA(VLOOKUP(B440,'S-FG'!$B$3:$B1001,1,FALSE),"")</f>
        <v>#NAME?</v>
      </c>
      <c r="H440" t="str">
        <f ca="1">IFERROR(__xludf.DUMMYFUNCTION("""COMPUTED_VALUE"""),"Final Craft Assy")</f>
        <v>Final Craft Assy</v>
      </c>
      <c r="I440" t="str">
        <f ca="1">IFERROR(__xludf.DUMMYFUNCTION("""COMPUTED_VALUE"""),"Hold here sticker STBD")</f>
        <v>Hold here sticker STBD</v>
      </c>
      <c r="J440">
        <f ca="1">IFERROR(__xludf.DUMMYFUNCTION("""COMPUTED_VALUE"""),1)</f>
        <v>1</v>
      </c>
      <c r="K440" t="str">
        <f ca="1">IFERROR(__xludf.DUMMYFUNCTION("""COMPUTED_VALUE"""),"blank")</f>
        <v>blank</v>
      </c>
      <c r="L440">
        <f t="shared" ca="1" si="4"/>
        <v>0</v>
      </c>
      <c r="Q440" t="str">
        <f>IF(N440="","",SUMIFS('PR-BOM'!$D$3:$D1001,'PR-BOM'!$C$3:$C1001,N440))</f>
        <v/>
      </c>
      <c r="S440" t="str">
        <f ca="1">IFERROR(__xludf.DUMMYFUNCTION("""COMPUTED_VALUE"""),"Hook Stiker PORT")</f>
        <v>Hook Stiker PORT</v>
      </c>
      <c r="Y440" t="str">
        <f t="shared" si="5"/>
        <v/>
      </c>
      <c r="Z440" t="str">
        <f>IF(X440="","",SUMIFS(#REF!,RM!$C$4:$C991,X440))</f>
        <v/>
      </c>
      <c r="AA440" t="str">
        <f>IF(X440="","",SUMIFS(#REF!,RM!$C$4:$C991,X440))</f>
        <v/>
      </c>
      <c r="AB440" t="str">
        <f>IF(X440="","",SUMIFS(IRegback!$Y$2:$Y1001,IRegback!$X$2:$X1001,X440))</f>
        <v/>
      </c>
      <c r="AC440" t="e">
        <f t="shared" si="6"/>
        <v>#VALUE!</v>
      </c>
      <c r="AD440" t="str">
        <f>IF(X440="","",VLOOKUP($X440,RM!$C$4:$G991,3,FALSE))</f>
        <v/>
      </c>
      <c r="AE440" t="str">
        <f>IF(X440="","",VLOOKUP($X440,RM!$C$4:$G991,4,FALSE))</f>
        <v/>
      </c>
      <c r="AF440" t="str">
        <f>IF(X440="","",VLOOKUP($X440,RM!$C$4:$G991,5,FALSE))</f>
        <v/>
      </c>
      <c r="AH440" t="str">
        <f ca="1">IFERROR(__xludf.DUMMYFUNCTION("""COMPUTED_VALUE"""),"AMCA Elec Assy")</f>
        <v>AMCA Elec Assy</v>
      </c>
      <c r="AI440" t="str">
        <f ca="1">IFERROR(__xludf.DUMMYFUNCTION("""COMPUTED_VALUE"""),"3 pin JST-XH male top entry")</f>
        <v>3 pin JST-XH male top entry</v>
      </c>
      <c r="AJ440">
        <f ca="1">IFERROR(__xludf.DUMMYFUNCTION("""COMPUTED_VALUE"""),1)</f>
        <v>1</v>
      </c>
      <c r="AL440" t="e">
        <f ca="1">_xludf.IFNA(VLOOKUP(AH440,'S-FG'!$B$3:$B1001,1,FALSE),"")</f>
        <v>#NAME?</v>
      </c>
      <c r="AM440" t="e">
        <f ca="1">IF(AI440="","",SUMIFS(#REF!,RM!$C$4:$C991,AI440))</f>
        <v>#REF!</v>
      </c>
    </row>
    <row r="441" spans="5:39">
      <c r="E441" t="str">
        <f>IF(A441="","",SUMIFS('PR-BOM'!$D$3:$D1001,'PR-BOM'!$C$3:$C1001,A441)*C441)</f>
        <v/>
      </c>
      <c r="F441" t="e">
        <f ca="1">_xludf.IFNA(VLOOKUP(B441,'S-FG'!$B$3:$B1001,1,FALSE),"")</f>
        <v>#NAME?</v>
      </c>
      <c r="H441" t="str">
        <f ca="1">IFERROR(__xludf.DUMMYFUNCTION("""COMPUTED_VALUE"""),"Final Craft Assy")</f>
        <v>Final Craft Assy</v>
      </c>
      <c r="I441" t="str">
        <f ca="1">IFERROR(__xludf.DUMMYFUNCTION("""COMPUTED_VALUE"""),"Hold here sticker PORT")</f>
        <v>Hold here sticker PORT</v>
      </c>
      <c r="J441">
        <f ca="1">IFERROR(__xludf.DUMMYFUNCTION("""COMPUTED_VALUE"""),1)</f>
        <v>1</v>
      </c>
      <c r="K441" t="str">
        <f ca="1">IFERROR(__xludf.DUMMYFUNCTION("""COMPUTED_VALUE"""),"blank")</f>
        <v>blank</v>
      </c>
      <c r="L441">
        <f t="shared" ca="1" si="4"/>
        <v>0</v>
      </c>
      <c r="Q441" t="str">
        <f>IF(N441="","",SUMIFS('PR-BOM'!$D$3:$D1001,'PR-BOM'!$C$3:$C1001,N441))</f>
        <v/>
      </c>
      <c r="S441" t="str">
        <f ca="1">IFERROR(__xludf.DUMMYFUNCTION("""COMPUTED_VALUE"""),"Hold here sticker STBD")</f>
        <v>Hold here sticker STBD</v>
      </c>
      <c r="Y441" t="str">
        <f t="shared" si="5"/>
        <v/>
      </c>
      <c r="Z441" t="str">
        <f>IF(X441="","",SUMIFS(#REF!,RM!$C$4:$C991,X441))</f>
        <v/>
      </c>
      <c r="AA441" t="str">
        <f>IF(X441="","",SUMIFS(#REF!,RM!$C$4:$C991,X441))</f>
        <v/>
      </c>
      <c r="AB441" t="str">
        <f>IF(X441="","",SUMIFS(IRegback!$Y$2:$Y1001,IRegback!$X$2:$X1001,X441))</f>
        <v/>
      </c>
      <c r="AC441" t="e">
        <f t="shared" si="6"/>
        <v>#VALUE!</v>
      </c>
      <c r="AD441" t="str">
        <f>IF(X441="","",VLOOKUP($X441,RM!$C$4:$G991,3,FALSE))</f>
        <v/>
      </c>
      <c r="AE441" t="str">
        <f>IF(X441="","",VLOOKUP($X441,RM!$C$4:$G991,4,FALSE))</f>
        <v/>
      </c>
      <c r="AF441" t="str">
        <f>IF(X441="","",VLOOKUP($X441,RM!$C$4:$G991,5,FALSE))</f>
        <v/>
      </c>
      <c r="AH441" t="str">
        <f ca="1">IFERROR(__xludf.DUMMYFUNCTION("""COMPUTED_VALUE"""),"AMCA Elec Assy")</f>
        <v>AMCA Elec Assy</v>
      </c>
      <c r="AI441" t="str">
        <f ca="1">IFERROR(__xludf.DUMMYFUNCTION("""COMPUTED_VALUE"""),"10cm one sided JST crimped Black")</f>
        <v>10cm one sided JST crimped Black</v>
      </c>
      <c r="AJ441">
        <f ca="1">IFERROR(__xludf.DUMMYFUNCTION("""COMPUTED_VALUE"""),2)</f>
        <v>2</v>
      </c>
      <c r="AK441" t="str">
        <f ca="1">IFERROR(__xludf.DUMMYFUNCTION("""COMPUTED_VALUE"""),"blank")</f>
        <v>blank</v>
      </c>
      <c r="AL441" t="e">
        <f ca="1">_xludf.IFNA(VLOOKUP(AH441,'S-FG'!$B$3:$B1001,1,FALSE),"")</f>
        <v>#NAME?</v>
      </c>
      <c r="AM441" t="e">
        <f ca="1">IF(AI441="","",SUMIFS(#REF!,RM!$C$4:$C991,AI441))</f>
        <v>#REF!</v>
      </c>
    </row>
    <row r="442" spans="5:39">
      <c r="E442" t="str">
        <f>IF(A442="","",SUMIFS('PR-BOM'!$D$3:$D1001,'PR-BOM'!$C$3:$C1001,A442)*C442)</f>
        <v/>
      </c>
      <c r="F442" t="e">
        <f ca="1">_xludf.IFNA(VLOOKUP(B442,'S-FG'!$B$3:$B1001,1,FALSE),"")</f>
        <v>#NAME?</v>
      </c>
      <c r="H442" t="str">
        <f ca="1">IFERROR(__xludf.DUMMYFUNCTION("""COMPUTED_VALUE"""),"Final Craft Assy")</f>
        <v>Final Craft Assy</v>
      </c>
      <c r="I442" t="str">
        <f ca="1">IFERROR(__xludf.DUMMYFUNCTION("""COMPUTED_VALUE"""),"M4x12 plain washer")</f>
        <v>M4x12 plain washer</v>
      </c>
      <c r="J442">
        <f ca="1">IFERROR(__xludf.DUMMYFUNCTION("""COMPUTED_VALUE"""),8)</f>
        <v>8</v>
      </c>
      <c r="K442" t="str">
        <f ca="1">IFERROR(__xludf.DUMMYFUNCTION("""COMPUTED_VALUE"""),"blank")</f>
        <v>blank</v>
      </c>
      <c r="L442">
        <f t="shared" ca="1" si="4"/>
        <v>0</v>
      </c>
      <c r="Q442" t="str">
        <f>IF(N442="","",SUMIFS('PR-BOM'!$D$3:$D1001,'PR-BOM'!$C$3:$C1001,N442))</f>
        <v/>
      </c>
      <c r="S442" t="str">
        <f ca="1">IFERROR(__xludf.DUMMYFUNCTION("""COMPUTED_VALUE"""),"Hold here sticker PORT")</f>
        <v>Hold here sticker PORT</v>
      </c>
      <c r="Y442" t="str">
        <f t="shared" si="5"/>
        <v/>
      </c>
      <c r="Z442" t="str">
        <f>IF(X442="","",SUMIFS(#REF!,RM!$C$4:$C991,X442))</f>
        <v/>
      </c>
      <c r="AA442" t="str">
        <f>IF(X442="","",SUMIFS(#REF!,RM!$C$4:$C991,X442))</f>
        <v/>
      </c>
      <c r="AB442" t="str">
        <f>IF(X442="","",SUMIFS(IRegback!$Y$2:$Y1001,IRegback!$X$2:$X1001,X442))</f>
        <v/>
      </c>
      <c r="AC442" t="e">
        <f t="shared" si="6"/>
        <v>#VALUE!</v>
      </c>
      <c r="AD442" t="str">
        <f>IF(X442="","",VLOOKUP($X442,RM!$C$4:$G991,3,FALSE))</f>
        <v/>
      </c>
      <c r="AE442" t="str">
        <f>IF(X442="","",VLOOKUP($X442,RM!$C$4:$G991,4,FALSE))</f>
        <v/>
      </c>
      <c r="AF442" t="str">
        <f>IF(X442="","",VLOOKUP($X442,RM!$C$4:$G991,5,FALSE))</f>
        <v/>
      </c>
      <c r="AH442" t="str">
        <f ca="1">IFERROR(__xludf.DUMMYFUNCTION("""COMPUTED_VALUE"""),"AMCA Elec Assy")</f>
        <v>AMCA Elec Assy</v>
      </c>
      <c r="AI442" t="str">
        <f ca="1">IFERROR(__xludf.DUMMYFUNCTION("""COMPUTED_VALUE"""),"10cm one sided JST crimped Red")</f>
        <v>10cm one sided JST crimped Red</v>
      </c>
      <c r="AJ442">
        <f ca="1">IFERROR(__xludf.DUMMYFUNCTION("""COMPUTED_VALUE"""),2)</f>
        <v>2</v>
      </c>
      <c r="AK442" t="str">
        <f ca="1">IFERROR(__xludf.DUMMYFUNCTION("""COMPUTED_VALUE"""),"blank")</f>
        <v>blank</v>
      </c>
      <c r="AL442" t="e">
        <f ca="1">_xludf.IFNA(VLOOKUP(AH442,'S-FG'!$B$3:$B1001,1,FALSE),"")</f>
        <v>#NAME?</v>
      </c>
      <c r="AM442" t="e">
        <f ca="1">IF(AI442="","",SUMIFS(#REF!,RM!$C$4:$C991,AI442))</f>
        <v>#REF!</v>
      </c>
    </row>
    <row r="443" spans="5:39">
      <c r="E443" t="str">
        <f>IF(A443="","",SUMIFS('PR-BOM'!$D$3:$D1001,'PR-BOM'!$C$3:$C1001,A443)*C443)</f>
        <v/>
      </c>
      <c r="F443" t="e">
        <f ca="1">_xludf.IFNA(VLOOKUP(B443,'S-FG'!$B$3:$B1001,1,FALSE),"")</f>
        <v>#NAME?</v>
      </c>
      <c r="H443" t="str">
        <f ca="1">IFERROR(__xludf.DUMMYFUNCTION("""COMPUTED_VALUE"""),"Final Craft Assy")</f>
        <v>Final Craft Assy</v>
      </c>
      <c r="I443" t="str">
        <f ca="1">IFERROR(__xludf.DUMMYFUNCTION("""COMPUTED_VALUE"""),"915MHz Antenna")</f>
        <v>915MHz Antenna</v>
      </c>
      <c r="J443">
        <f ca="1">IFERROR(__xludf.DUMMYFUNCTION("""COMPUTED_VALUE"""),1)</f>
        <v>1</v>
      </c>
      <c r="K443" t="str">
        <f ca="1">IFERROR(__xludf.DUMMYFUNCTION("""COMPUTED_VALUE"""),"blank")</f>
        <v>blank</v>
      </c>
      <c r="L443">
        <f t="shared" ca="1" si="4"/>
        <v>0</v>
      </c>
      <c r="Q443" t="str">
        <f>IF(N443="","",SUMIFS('PR-BOM'!$D$3:$D1001,'PR-BOM'!$C$3:$C1001,N443))</f>
        <v/>
      </c>
      <c r="S443" t="str">
        <f ca="1">IFERROR(__xludf.DUMMYFUNCTION("""COMPUTED_VALUE"""),"M4x12 plain washer")</f>
        <v>M4x12 plain washer</v>
      </c>
      <c r="Y443" t="str">
        <f t="shared" si="5"/>
        <v/>
      </c>
      <c r="Z443" t="str">
        <f>IF(X443="","",SUMIFS(#REF!,RM!$C$4:$C991,X443))</f>
        <v/>
      </c>
      <c r="AA443" t="str">
        <f>IF(X443="","",SUMIFS(#REF!,RM!$C$4:$C991,X443))</f>
        <v/>
      </c>
      <c r="AB443" t="str">
        <f>IF(X443="","",SUMIFS(IRegback!$Y$2:$Y1001,IRegback!$X$2:$X1001,X443))</f>
        <v/>
      </c>
      <c r="AC443" t="e">
        <f t="shared" si="6"/>
        <v>#VALUE!</v>
      </c>
      <c r="AD443" t="str">
        <f>IF(X443="","",VLOOKUP($X443,RM!$C$4:$G991,3,FALSE))</f>
        <v/>
      </c>
      <c r="AE443" t="str">
        <f>IF(X443="","",VLOOKUP($X443,RM!$C$4:$G991,4,FALSE))</f>
        <v/>
      </c>
      <c r="AF443" t="str">
        <f>IF(X443="","",VLOOKUP($X443,RM!$C$4:$G991,5,FALSE))</f>
        <v/>
      </c>
      <c r="AH443" t="str">
        <f ca="1">IFERROR(__xludf.DUMMYFUNCTION("""COMPUTED_VALUE"""),"AMCA Elec Assy")</f>
        <v>AMCA Elec Assy</v>
      </c>
      <c r="AI443" t="str">
        <f ca="1">IFERROR(__xludf.DUMMYFUNCTION("""COMPUTED_VALUE"""),"Atmega328P-AU")</f>
        <v>Atmega328P-AU</v>
      </c>
      <c r="AJ443">
        <f ca="1">IFERROR(__xludf.DUMMYFUNCTION("""COMPUTED_VALUE"""),1)</f>
        <v>1</v>
      </c>
      <c r="AK443" t="str">
        <f ca="1">IFERROR(__xludf.DUMMYFUNCTION("""COMPUTED_VALUE"""),"blank")</f>
        <v>blank</v>
      </c>
      <c r="AL443" t="e">
        <f ca="1">_xludf.IFNA(VLOOKUP(AH443,'S-FG'!$B$3:$B1001,1,FALSE),"")</f>
        <v>#NAME?</v>
      </c>
      <c r="AM443" t="e">
        <f ca="1">IF(AI443="","",SUMIFS(#REF!,RM!$C$4:$C991,AI443))</f>
        <v>#REF!</v>
      </c>
    </row>
    <row r="444" spans="5:39">
      <c r="E444" t="str">
        <f>IF(A444="","",SUMIFS('PR-BOM'!$D$3:$D1001,'PR-BOM'!$C$3:$C1001,A444)*C444)</f>
        <v/>
      </c>
      <c r="F444" t="e">
        <f ca="1">_xludf.IFNA(VLOOKUP(B444,'S-FG'!$B$3:$B1001,1,FALSE),"")</f>
        <v>#NAME?</v>
      </c>
      <c r="H444" t="str">
        <f ca="1">IFERROR(__xludf.DUMMYFUNCTION("""COMPUTED_VALUE"""),"Final Craft Assy")</f>
        <v>Final Craft Assy</v>
      </c>
      <c r="I444" t="str">
        <f ca="1">IFERROR(__xludf.DUMMYFUNCTION("""COMPUTED_VALUE"""),"M4x20 plain washer")</f>
        <v>M4x20 plain washer</v>
      </c>
      <c r="J444">
        <f ca="1">IFERROR(__xludf.DUMMYFUNCTION("""COMPUTED_VALUE"""),6)</f>
        <v>6</v>
      </c>
      <c r="L444">
        <f t="shared" ca="1" si="4"/>
        <v>0</v>
      </c>
      <c r="Q444" t="str">
        <f>IF(N444="","",SUMIFS('PR-BOM'!$D$3:$D1001,'PR-BOM'!$C$3:$C1001,N444))</f>
        <v/>
      </c>
      <c r="S444" t="str">
        <f ca="1">IFERROR(__xludf.DUMMYFUNCTION("""COMPUTED_VALUE"""),"915MHz Antenna")</f>
        <v>915MHz Antenna</v>
      </c>
      <c r="Y444" t="str">
        <f t="shared" si="5"/>
        <v/>
      </c>
      <c r="Z444" t="str">
        <f>IF(X444="","",SUMIFS(#REF!,RM!$C$4:$C991,X444))</f>
        <v/>
      </c>
      <c r="AA444" t="str">
        <f>IF(X444="","",SUMIFS(#REF!,RM!$C$4:$C991,X444))</f>
        <v/>
      </c>
      <c r="AB444" t="str">
        <f>IF(X444="","",SUMIFS(IRegback!$Y$2:$Y1001,IRegback!$X$2:$X1001,X444))</f>
        <v/>
      </c>
      <c r="AC444" t="e">
        <f t="shared" si="6"/>
        <v>#VALUE!</v>
      </c>
      <c r="AD444" t="str">
        <f>IF(X444="","",VLOOKUP($X444,RM!$C$4:$G991,3,FALSE))</f>
        <v/>
      </c>
      <c r="AE444" t="str">
        <f>IF(X444="","",VLOOKUP($X444,RM!$C$4:$G991,4,FALSE))</f>
        <v/>
      </c>
      <c r="AF444" t="str">
        <f>IF(X444="","",VLOOKUP($X444,RM!$C$4:$G991,5,FALSE))</f>
        <v/>
      </c>
      <c r="AH444" t="str">
        <f ca="1">IFERROR(__xludf.DUMMYFUNCTION("""COMPUTED_VALUE"""),"AMCA Elec Assy")</f>
        <v>AMCA Elec Assy</v>
      </c>
      <c r="AI444" t="str">
        <f ca="1">IFERROR(__xludf.DUMMYFUNCTION("""COMPUTED_VALUE"""),"Red 14/38 wire")</f>
        <v>Red 14/38 wire</v>
      </c>
      <c r="AJ444">
        <f ca="1">IFERROR(__xludf.DUMMYFUNCTION("""COMPUTED_VALUE"""),2)</f>
        <v>2</v>
      </c>
      <c r="AL444" t="e">
        <f ca="1">_xludf.IFNA(VLOOKUP(AH444,'S-FG'!$B$3:$B1001,1,FALSE),"")</f>
        <v>#NAME?</v>
      </c>
      <c r="AM444" t="e">
        <f ca="1">IF(AI444="","",SUMIFS(#REF!,RM!$C$4:$C991,AI444))</f>
        <v>#REF!</v>
      </c>
    </row>
    <row r="445" spans="5:39">
      <c r="E445" t="str">
        <f>IF(A445="","",SUMIFS('PR-BOM'!$D$3:$D1001,'PR-BOM'!$C$3:$C1001,A445)*C445)</f>
        <v/>
      </c>
      <c r="F445" t="e">
        <f ca="1">_xludf.IFNA(VLOOKUP(B445,'S-FG'!$B$3:$B1001,1,FALSE),"")</f>
        <v>#NAME?</v>
      </c>
      <c r="H445" t="str">
        <f ca="1">IFERROR(__xludf.DUMMYFUNCTION("""COMPUTED_VALUE"""),"Final Craft Assy")</f>
        <v>Final Craft Assy</v>
      </c>
      <c r="I445" t="str">
        <f ca="1">IFERROR(__xludf.DUMMYFUNCTION("""COMPUTED_VALUE"""),"M4x12 Button head")</f>
        <v>M4x12 Button head</v>
      </c>
      <c r="J445">
        <f ca="1">IFERROR(__xludf.DUMMYFUNCTION("""COMPUTED_VALUE"""),4)</f>
        <v>4</v>
      </c>
      <c r="K445" t="str">
        <f ca="1">IFERROR(__xludf.DUMMYFUNCTION("""COMPUTED_VALUE"""),"blank")</f>
        <v>blank</v>
      </c>
      <c r="L445">
        <f t="shared" ca="1" si="4"/>
        <v>0</v>
      </c>
      <c r="Q445" t="str">
        <f>IF(N445="","",SUMIFS('PR-BOM'!$D$3:$D1001,'PR-BOM'!$C$3:$C1001,N445))</f>
        <v/>
      </c>
      <c r="S445" t="str">
        <f ca="1">IFERROR(__xludf.DUMMYFUNCTION("""COMPUTED_VALUE"""),"M4x20 plain washer")</f>
        <v>M4x20 plain washer</v>
      </c>
      <c r="Y445" t="str">
        <f t="shared" si="5"/>
        <v/>
      </c>
      <c r="Z445" t="str">
        <f>IF(X445="","",SUMIFS(#REF!,RM!$C$4:$C991,X445))</f>
        <v/>
      </c>
      <c r="AA445" t="str">
        <f>IF(X445="","",SUMIFS(#REF!,RM!$C$4:$C991,X445))</f>
        <v/>
      </c>
      <c r="AB445" t="str">
        <f>IF(X445="","",SUMIFS(IRegback!$Y$2:$Y1001,IRegback!$X$2:$X1001,X445))</f>
        <v/>
      </c>
      <c r="AC445" t="e">
        <f t="shared" si="6"/>
        <v>#VALUE!</v>
      </c>
      <c r="AD445" t="str">
        <f>IF(X445="","",VLOOKUP($X445,RM!$C$4:$G991,3,FALSE))</f>
        <v/>
      </c>
      <c r="AE445" t="str">
        <f>IF(X445="","",VLOOKUP($X445,RM!$C$4:$G991,4,FALSE))</f>
        <v/>
      </c>
      <c r="AF445" t="str">
        <f>IF(X445="","",VLOOKUP($X445,RM!$C$4:$G991,5,FALSE))</f>
        <v/>
      </c>
      <c r="AH445" t="str">
        <f ca="1">IFERROR(__xludf.DUMMYFUNCTION("""COMPUTED_VALUE"""),"AMCA Elec Assy")</f>
        <v>AMCA Elec Assy</v>
      </c>
      <c r="AI445" t="str">
        <f ca="1">IFERROR(__xludf.DUMMYFUNCTION("""COMPUTED_VALUE"""),"Black 14/38 Wire")</f>
        <v>Black 14/38 Wire</v>
      </c>
      <c r="AJ445">
        <f ca="1">IFERROR(__xludf.DUMMYFUNCTION("""COMPUTED_VALUE"""),2)</f>
        <v>2</v>
      </c>
      <c r="AL445" t="e">
        <f ca="1">_xludf.IFNA(VLOOKUP(AH445,'S-FG'!$B$3:$B1001,1,FALSE),"")</f>
        <v>#NAME?</v>
      </c>
      <c r="AM445" t="e">
        <f ca="1">IF(AI445="","",SUMIFS(#REF!,RM!$C$4:$C991,AI445))</f>
        <v>#REF!</v>
      </c>
    </row>
    <row r="446" spans="5:39">
      <c r="E446" t="str">
        <f>IF(A446="","",SUMIFS('PR-BOM'!$D$3:$D1001,'PR-BOM'!$C$3:$C1001,A446)*C446)</f>
        <v/>
      </c>
      <c r="F446" t="e">
        <f ca="1">_xludf.IFNA(VLOOKUP(B446,'S-FG'!$B$3:$B1001,1,FALSE),"")</f>
        <v>#NAME?</v>
      </c>
      <c r="H446" t="str">
        <f ca="1">IFERROR(__xludf.DUMMYFUNCTION("""COMPUTED_VALUE"""),"Final Craft Assy")</f>
        <v>Final Craft Assy</v>
      </c>
      <c r="I446" t="str">
        <f ca="1">IFERROR(__xludf.DUMMYFUNCTION("""COMPUTED_VALUE"""),"8kg Hull")</f>
        <v>8kg Hull</v>
      </c>
      <c r="J446">
        <f ca="1">IFERROR(__xludf.DUMMYFUNCTION("""COMPUTED_VALUE"""),1)</f>
        <v>1</v>
      </c>
      <c r="K446" t="str">
        <f ca="1">IFERROR(__xludf.DUMMYFUNCTION("""COMPUTED_VALUE"""),"blank")</f>
        <v>blank</v>
      </c>
      <c r="L446">
        <f t="shared" ca="1" si="4"/>
        <v>0</v>
      </c>
      <c r="Q446" t="str">
        <f>IF(N446="","",SUMIFS('PR-BOM'!$D$3:$D1001,'PR-BOM'!$C$3:$C1001,N446))</f>
        <v/>
      </c>
      <c r="S446" t="str">
        <f ca="1">IFERROR(__xludf.DUMMYFUNCTION("""COMPUTED_VALUE"""),"M4x12 Button head")</f>
        <v>M4x12 Button head</v>
      </c>
      <c r="Y446" t="str">
        <f t="shared" si="5"/>
        <v/>
      </c>
      <c r="Z446" t="str">
        <f>IF(X446="","",SUMIFS(#REF!,RM!$C$4:$C991,X446))</f>
        <v/>
      </c>
      <c r="AA446" t="str">
        <f>IF(X446="","",SUMIFS(#REF!,RM!$C$4:$C991,X446))</f>
        <v/>
      </c>
      <c r="AB446" t="str">
        <f>IF(X446="","",SUMIFS(IRegback!$Y$2:$Y1001,IRegback!$X$2:$X1001,X446))</f>
        <v/>
      </c>
      <c r="AC446" t="e">
        <f t="shared" si="6"/>
        <v>#VALUE!</v>
      </c>
      <c r="AD446" t="str">
        <f>IF(X446="","",VLOOKUP($X446,RM!$C$4:$G991,3,FALSE))</f>
        <v/>
      </c>
      <c r="AE446" t="str">
        <f>IF(X446="","",VLOOKUP($X446,RM!$C$4:$G991,4,FALSE))</f>
        <v/>
      </c>
      <c r="AF446" t="str">
        <f>IF(X446="","",VLOOKUP($X446,RM!$C$4:$G991,5,FALSE))</f>
        <v/>
      </c>
      <c r="AH446" t="str">
        <f ca="1">IFERROR(__xludf.DUMMYFUNCTION("""COMPUTED_VALUE"""),"AMCA Elec Assy")</f>
        <v>AMCA Elec Assy</v>
      </c>
      <c r="AI446" t="str">
        <f ca="1">IFERROR(__xludf.DUMMYFUNCTION("""COMPUTED_VALUE"""),"Yellow 14/38 Wire")</f>
        <v>Yellow 14/38 Wire</v>
      </c>
      <c r="AJ446">
        <f ca="1">IFERROR(__xludf.DUMMYFUNCTION("""COMPUTED_VALUE"""),2)</f>
        <v>2</v>
      </c>
      <c r="AL446" t="e">
        <f ca="1">_xludf.IFNA(VLOOKUP(AH446,'S-FG'!$B$3:$B1001,1,FALSE),"")</f>
        <v>#NAME?</v>
      </c>
      <c r="AM446" t="e">
        <f ca="1">IF(AI446="","",SUMIFS(#REF!,RM!$C$4:$C991,AI446))</f>
        <v>#REF!</v>
      </c>
    </row>
    <row r="447" spans="5:39">
      <c r="E447" t="str">
        <f>IF(A447="","",SUMIFS('PR-BOM'!$D$3:$D1001,'PR-BOM'!$C$3:$C1001,A447)*C447)</f>
        <v/>
      </c>
      <c r="F447" t="e">
        <f ca="1">_xludf.IFNA(VLOOKUP(B447,'S-FG'!$B$3:$B1001,1,FALSE),"")</f>
        <v>#NAME?</v>
      </c>
      <c r="H447" t="str">
        <f ca="1">IFERROR(__xludf.DUMMYFUNCTION("""COMPUTED_VALUE"""),"Bottom Block Assy")</f>
        <v>Bottom Block Assy</v>
      </c>
      <c r="I447" t="str">
        <f ca="1">IFERROR(__xludf.DUMMYFUNCTION("""COMPUTED_VALUE"""),"IM Bottom Block")</f>
        <v>IM Bottom Block</v>
      </c>
      <c r="J447">
        <f ca="1">IFERROR(__xludf.DUMMYFUNCTION("""COMPUTED_VALUE"""),2)</f>
        <v>2</v>
      </c>
      <c r="K447" t="str">
        <f ca="1">IFERROR(__xludf.DUMMYFUNCTION("""COMPUTED_VALUE"""),"blank")</f>
        <v>blank</v>
      </c>
      <c r="L447">
        <f t="shared" ca="1" si="4"/>
        <v>0</v>
      </c>
      <c r="Q447" t="str">
        <f>IF(N447="","",SUMIFS('PR-BOM'!$D$3:$D1001,'PR-BOM'!$C$3:$C1001,N447))</f>
        <v/>
      </c>
      <c r="S447" t="str">
        <f ca="1">IFERROR(__xludf.DUMMYFUNCTION("""COMPUTED_VALUE"""),"8kg Hull")</f>
        <v>8kg Hull</v>
      </c>
      <c r="Y447" t="str">
        <f t="shared" si="5"/>
        <v/>
      </c>
      <c r="Z447" t="str">
        <f>IF(X447="","",SUMIFS(#REF!,RM!$C$4:$C991,X447))</f>
        <v/>
      </c>
      <c r="AA447" t="str">
        <f>IF(X447="","",SUMIFS(#REF!,RM!$C$4:$C991,X447))</f>
        <v/>
      </c>
      <c r="AB447" t="str">
        <f>IF(X447="","",SUMIFS(IRegback!$Y$2:$Y1001,IRegback!$X$2:$X1001,X447))</f>
        <v/>
      </c>
      <c r="AC447" t="e">
        <f t="shared" si="6"/>
        <v>#VALUE!</v>
      </c>
      <c r="AD447" t="str">
        <f>IF(X447="","",VLOOKUP($X447,RM!$C$4:$G991,3,FALSE))</f>
        <v/>
      </c>
      <c r="AE447" t="str">
        <f>IF(X447="","",VLOOKUP($X447,RM!$C$4:$G991,4,FALSE))</f>
        <v/>
      </c>
      <c r="AF447" t="str">
        <f>IF(X447="","",VLOOKUP($X447,RM!$C$4:$G991,5,FALSE))</f>
        <v/>
      </c>
      <c r="AH447" t="str">
        <f ca="1">IFERROR(__xludf.DUMMYFUNCTION("""COMPUTED_VALUE"""),"AMCA Elec Assy")</f>
        <v>AMCA Elec Assy</v>
      </c>
      <c r="AI447" t="str">
        <f ca="1">IFERROR(__xludf.DUMMYFUNCTION("""COMPUTED_VALUE"""),"3S BMS")</f>
        <v>3S BMS</v>
      </c>
      <c r="AJ447">
        <f ca="1">IFERROR(__xludf.DUMMYFUNCTION("""COMPUTED_VALUE"""),1)</f>
        <v>1</v>
      </c>
      <c r="AL447" t="e">
        <f ca="1">_xludf.IFNA(VLOOKUP(AH447,'S-FG'!$B$3:$B1001,1,FALSE),"")</f>
        <v>#NAME?</v>
      </c>
      <c r="AM447" t="e">
        <f ca="1">IF(AI447="","",SUMIFS(#REF!,RM!$C$4:$C991,AI447))</f>
        <v>#REF!</v>
      </c>
    </row>
    <row r="448" spans="5:39">
      <c r="E448" t="str">
        <f>IF(A448="","",SUMIFS('PR-BOM'!$D$3:$D1001,'PR-BOM'!$C$3:$C1001,A448)*C448)</f>
        <v/>
      </c>
      <c r="F448" t="e">
        <f ca="1">_xludf.IFNA(VLOOKUP(B448,'S-FG'!$B$3:$B1001,1,FALSE),"")</f>
        <v>#NAME?</v>
      </c>
      <c r="H448" t="str">
        <f ca="1">IFERROR(__xludf.DUMMYFUNCTION("""COMPUTED_VALUE"""),"Bottom Block Assy")</f>
        <v>Bottom Block Assy</v>
      </c>
      <c r="I448" t="str">
        <f ca="1">IFERROR(__xludf.DUMMYFUNCTION("""COMPUTED_VALUE"""),"Bottom Mesh (120mm x 100mm, 5""x4"")")</f>
        <v>Bottom Mesh (120mm x 100mm, 5"x4")</v>
      </c>
      <c r="J448">
        <f ca="1">IFERROR(__xludf.DUMMYFUNCTION("""COMPUTED_VALUE"""),2)</f>
        <v>2</v>
      </c>
      <c r="K448" t="str">
        <f ca="1">IFERROR(__xludf.DUMMYFUNCTION("""COMPUTED_VALUE"""),"blank")</f>
        <v>blank</v>
      </c>
      <c r="L448">
        <f t="shared" ca="1" si="4"/>
        <v>0</v>
      </c>
      <c r="Q448" t="str">
        <f>IF(N448="","",SUMIFS('PR-BOM'!$D$3:$D1001,'PR-BOM'!$C$3:$C1001,N448))</f>
        <v/>
      </c>
      <c r="S448" t="str">
        <f ca="1">IFERROR(__xludf.DUMMYFUNCTION("""COMPUTED_VALUE"""),"IM Bottom Block")</f>
        <v>IM Bottom Block</v>
      </c>
      <c r="Y448" t="str">
        <f t="shared" si="5"/>
        <v/>
      </c>
      <c r="Z448" t="str">
        <f>IF(X448="","",SUMIFS(#REF!,RM!$C$4:$C991,X448))</f>
        <v/>
      </c>
      <c r="AA448" t="str">
        <f>IF(X448="","",SUMIFS(#REF!,RM!$C$4:$C991,X448))</f>
        <v/>
      </c>
      <c r="AB448" t="str">
        <f>IF(X448="","",SUMIFS(IRegback!$Y$2:$Y1001,IRegback!$X$2:$X1001,X448))</f>
        <v/>
      </c>
      <c r="AC448" t="e">
        <f t="shared" si="6"/>
        <v>#VALUE!</v>
      </c>
      <c r="AD448" t="str">
        <f>IF(X448="","",VLOOKUP($X448,RM!$C$4:$G991,3,FALSE))</f>
        <v/>
      </c>
      <c r="AE448" t="str">
        <f>IF(X448="","",VLOOKUP($X448,RM!$C$4:$G991,4,FALSE))</f>
        <v/>
      </c>
      <c r="AF448" t="str">
        <f>IF(X448="","",VLOOKUP($X448,RM!$C$4:$G991,5,FALSE))</f>
        <v/>
      </c>
      <c r="AH448" t="str">
        <f ca="1">IFERROR(__xludf.DUMMYFUNCTION("""COMPUTED_VALUE"""),"AMCA Elec Assy")</f>
        <v>AMCA Elec Assy</v>
      </c>
      <c r="AI448" t="str">
        <f ca="1">IFERROR(__xludf.DUMMYFUNCTION("""COMPUTED_VALUE"""),"130x80x60 enclosure box")</f>
        <v>130x80x60 enclosure box</v>
      </c>
      <c r="AJ448">
        <f ca="1">IFERROR(__xludf.DUMMYFUNCTION("""COMPUTED_VALUE"""),1)</f>
        <v>1</v>
      </c>
      <c r="AL448" t="e">
        <f ca="1">_xludf.IFNA(VLOOKUP(AH448,'S-FG'!$B$3:$B1001,1,FALSE),"")</f>
        <v>#NAME?</v>
      </c>
      <c r="AM448" t="e">
        <f ca="1">IF(AI448="","",SUMIFS(#REF!,RM!$C$4:$C991,AI448))</f>
        <v>#REF!</v>
      </c>
    </row>
    <row r="449" spans="5:39">
      <c r="E449" t="str">
        <f>IF(A449="","",SUMIFS('PR-BOM'!$D$3:$D1001,'PR-BOM'!$C$3:$C1001,A449)*C449)</f>
        <v/>
      </c>
      <c r="F449" t="e">
        <f ca="1">_xludf.IFNA(VLOOKUP(B449,'S-FG'!$B$3:$B1001,1,FALSE),"")</f>
        <v>#NAME?</v>
      </c>
      <c r="H449" t="str">
        <f ca="1">IFERROR(__xludf.DUMMYFUNCTION("""COMPUTED_VALUE"""),"Bottom Block Assy")</f>
        <v>Bottom Block Assy</v>
      </c>
      <c r="I449" t="str">
        <f ca="1">IFERROR(__xludf.DUMMYFUNCTION("""COMPUTED_VALUE"""),"M4x12 Pan Combi Screws")</f>
        <v>M4x12 Pan Combi Screws</v>
      </c>
      <c r="J449">
        <f ca="1">IFERROR(__xludf.DUMMYFUNCTION("""COMPUTED_VALUE"""),8)</f>
        <v>8</v>
      </c>
      <c r="K449" t="str">
        <f ca="1">IFERROR(__xludf.DUMMYFUNCTION("""COMPUTED_VALUE"""),"blank")</f>
        <v>blank</v>
      </c>
      <c r="L449">
        <f t="shared" ca="1" si="4"/>
        <v>0</v>
      </c>
      <c r="Q449" t="str">
        <f>IF(N449="","",SUMIFS('PR-BOM'!$D$3:$D1001,'PR-BOM'!$C$3:$C1001,N449))</f>
        <v/>
      </c>
      <c r="S449" t="str">
        <f ca="1">IFERROR(__xludf.DUMMYFUNCTION("""COMPUTED_VALUE"""),"Bottom Mesh (120mm x 100mm, 5""x4"")")</f>
        <v>Bottom Mesh (120mm x 100mm, 5"x4")</v>
      </c>
      <c r="Y449" t="str">
        <f t="shared" si="5"/>
        <v/>
      </c>
      <c r="Z449" t="str">
        <f>IF(X449="","",SUMIFS(#REF!,RM!$C$4:$C991,X449))</f>
        <v/>
      </c>
      <c r="AA449" t="str">
        <f>IF(X449="","",SUMIFS(#REF!,RM!$C$4:$C991,X449))</f>
        <v/>
      </c>
      <c r="AB449" t="str">
        <f>IF(X449="","",SUMIFS(IRegback!$Y$2:$Y1001,IRegback!$X$2:$X1001,X449))</f>
        <v/>
      </c>
      <c r="AC449" t="e">
        <f t="shared" si="6"/>
        <v>#VALUE!</v>
      </c>
      <c r="AD449" t="str">
        <f>IF(X449="","",VLOOKUP($X449,RM!$C$4:$G991,3,FALSE))</f>
        <v/>
      </c>
      <c r="AE449" t="str">
        <f>IF(X449="","",VLOOKUP($X449,RM!$C$4:$G991,4,FALSE))</f>
        <v/>
      </c>
      <c r="AF449" t="str">
        <f>IF(X449="","",VLOOKUP($X449,RM!$C$4:$G991,5,FALSE))</f>
        <v/>
      </c>
      <c r="AH449" t="str">
        <f ca="1">IFERROR(__xludf.DUMMYFUNCTION("""COMPUTED_VALUE"""),"AMCA Elec Assy")</f>
        <v>AMCA Elec Assy</v>
      </c>
      <c r="AI449" t="str">
        <f ca="1">IFERROR(__xludf.DUMMYFUNCTION("""COMPUTED_VALUE"""),"2mm male bullet connector")</f>
        <v>2mm male bullet connector</v>
      </c>
      <c r="AJ449">
        <f ca="1">IFERROR(__xludf.DUMMYFUNCTION("""COMPUTED_VALUE"""),6)</f>
        <v>6</v>
      </c>
      <c r="AK449" t="str">
        <f ca="1">IFERROR(__xludf.DUMMYFUNCTION("""COMPUTED_VALUE"""),"blank")</f>
        <v>blank</v>
      </c>
      <c r="AL449" t="e">
        <f ca="1">_xludf.IFNA(VLOOKUP(AH449,'S-FG'!$B$3:$B1001,1,FALSE),"")</f>
        <v>#NAME?</v>
      </c>
      <c r="AM449" t="e">
        <f ca="1">IF(AI449="","",SUMIFS(#REF!,RM!$C$4:$C991,AI449))</f>
        <v>#REF!</v>
      </c>
    </row>
    <row r="450" spans="5:39">
      <c r="E450" t="str">
        <f>IF(A450="","",SUMIFS('PR-BOM'!$D$3:$D1001,'PR-BOM'!$C$3:$C1001,A450)*C450)</f>
        <v/>
      </c>
      <c r="F450" t="e">
        <f ca="1">_xludf.IFNA(VLOOKUP(B450,'S-FG'!$B$3:$B1001,1,FALSE),"")</f>
        <v>#NAME?</v>
      </c>
      <c r="H450" t="str">
        <f ca="1">IFERROR(__xludf.DUMMYFUNCTION("""COMPUTED_VALUE"""),"Bottom Block Assy")</f>
        <v>Bottom Block Assy</v>
      </c>
      <c r="I450" t="str">
        <f ca="1">IFERROR(__xludf.DUMMYFUNCTION("""COMPUTED_VALUE"""),"M3x8 CSK Phillips")</f>
        <v>M3x8 CSK Phillips</v>
      </c>
      <c r="J450">
        <f ca="1">IFERROR(__xludf.DUMMYFUNCTION("""COMPUTED_VALUE"""),14)</f>
        <v>14</v>
      </c>
      <c r="K450" t="str">
        <f ca="1">IFERROR(__xludf.DUMMYFUNCTION("""COMPUTED_VALUE"""),"blank")</f>
        <v>blank</v>
      </c>
      <c r="L450">
        <f t="shared" ca="1" si="4"/>
        <v>0</v>
      </c>
      <c r="Q450" t="str">
        <f>IF(N450="","",SUMIFS('PR-BOM'!$D$3:$D1001,'PR-BOM'!$C$3:$C1001,N450))</f>
        <v/>
      </c>
      <c r="S450" t="str">
        <f ca="1">IFERROR(__xludf.DUMMYFUNCTION("""COMPUTED_VALUE"""),"M4x12 Pan Combi Screws")</f>
        <v>M4x12 Pan Combi Screws</v>
      </c>
      <c r="Y450" t="str">
        <f t="shared" si="5"/>
        <v/>
      </c>
      <c r="Z450" t="str">
        <f>IF(X450="","",SUMIFS(#REF!,RM!$C$4:$C991,X450))</f>
        <v/>
      </c>
      <c r="AA450" t="str">
        <f>IF(X450="","",SUMIFS(#REF!,RM!$C$4:$C991,X450))</f>
        <v/>
      </c>
      <c r="AB450" t="str">
        <f>IF(X450="","",SUMIFS(IRegback!$Y$2:$Y1001,IRegback!$X$2:$X1001,X450))</f>
        <v/>
      </c>
      <c r="AC450" t="e">
        <f t="shared" si="6"/>
        <v>#VALUE!</v>
      </c>
      <c r="AD450" t="str">
        <f>IF(X450="","",VLOOKUP($X450,RM!$C$4:$G991,3,FALSE))</f>
        <v/>
      </c>
      <c r="AE450" t="str">
        <f>IF(X450="","",VLOOKUP($X450,RM!$C$4:$G991,4,FALSE))</f>
        <v/>
      </c>
      <c r="AF450" t="str">
        <f>IF(X450="","",VLOOKUP($X450,RM!$C$4:$G991,5,FALSE))</f>
        <v/>
      </c>
      <c r="AH450" t="str">
        <f ca="1">IFERROR(__xludf.DUMMYFUNCTION("""COMPUTED_VALUE"""),"AMCA Elec Assy")</f>
        <v>AMCA Elec Assy</v>
      </c>
      <c r="AI450" t="str">
        <f ca="1">IFERROR(__xludf.DUMMYFUNCTION("""COMPUTED_VALUE"""),"2mm Female Bullet connector")</f>
        <v>2mm Female Bullet connector</v>
      </c>
      <c r="AJ450">
        <f ca="1">IFERROR(__xludf.DUMMYFUNCTION("""COMPUTED_VALUE"""),6)</f>
        <v>6</v>
      </c>
      <c r="AK450" t="str">
        <f ca="1">IFERROR(__xludf.DUMMYFUNCTION("""COMPUTED_VALUE"""),"blank")</f>
        <v>blank</v>
      </c>
      <c r="AL450" t="e">
        <f ca="1">_xludf.IFNA(VLOOKUP(AH450,'S-FG'!$B$3:$B1001,1,FALSE),"")</f>
        <v>#NAME?</v>
      </c>
      <c r="AM450" t="e">
        <f ca="1">IF(AI450="","",SUMIFS(#REF!,RM!$C$4:$C991,AI450))</f>
        <v>#REF!</v>
      </c>
    </row>
    <row r="451" spans="5:39">
      <c r="E451" t="str">
        <f>IF(A451="","",SUMIFS('PR-BOM'!$D$3:$D1001,'PR-BOM'!$C$3:$C1001,A451)*C451)</f>
        <v/>
      </c>
      <c r="F451" t="e">
        <f ca="1">_xludf.IFNA(VLOOKUP(B451,'S-FG'!$B$3:$B1001,1,FALSE),"")</f>
        <v>#NAME?</v>
      </c>
      <c r="H451" t="str">
        <f ca="1">IFERROR(__xludf.DUMMYFUNCTION("""COMPUTED_VALUE"""),"Bottom Block Assy")</f>
        <v>Bottom Block Assy</v>
      </c>
      <c r="I451" t="str">
        <f ca="1">IFERROR(__xludf.DUMMYFUNCTION("""COMPUTED_VALUE"""),"M3x8 plain wahser")</f>
        <v>M3x8 plain wahser</v>
      </c>
      <c r="J451">
        <f ca="1">IFERROR(__xludf.DUMMYFUNCTION("""COMPUTED_VALUE"""),2.5)</f>
        <v>2.5</v>
      </c>
      <c r="K451" t="str">
        <f ca="1">IFERROR(__xludf.DUMMYFUNCTION("""COMPUTED_VALUE"""),"blank")</f>
        <v>blank</v>
      </c>
      <c r="L451">
        <f t="shared" ca="1" si="4"/>
        <v>0</v>
      </c>
      <c r="Q451" t="str">
        <f>IF(N451="","",SUMIFS('PR-BOM'!$D$3:$D1001,'PR-BOM'!$C$3:$C1001,N451))</f>
        <v/>
      </c>
      <c r="S451" t="str">
        <f ca="1">IFERROR(__xludf.DUMMYFUNCTION("""COMPUTED_VALUE"""),"M3x8 CSK Phillips")</f>
        <v>M3x8 CSK Phillips</v>
      </c>
      <c r="Y451" t="str">
        <f t="shared" si="5"/>
        <v/>
      </c>
      <c r="Z451" t="str">
        <f>IF(X451="","",SUMIFS(#REF!,RM!$C$4:$C991,X451))</f>
        <v/>
      </c>
      <c r="AA451" t="str">
        <f>IF(X451="","",SUMIFS(#REF!,RM!$C$4:$C991,X451))</f>
        <v/>
      </c>
      <c r="AB451" t="str">
        <f>IF(X451="","",SUMIFS(IRegback!$Y$2:$Y1001,IRegback!$X$2:$X1001,X451))</f>
        <v/>
      </c>
      <c r="AC451" t="e">
        <f t="shared" si="6"/>
        <v>#VALUE!</v>
      </c>
      <c r="AD451" t="str">
        <f>IF(X451="","",VLOOKUP($X451,RM!$C$4:$G991,3,FALSE))</f>
        <v/>
      </c>
      <c r="AE451" t="str">
        <f>IF(X451="","",VLOOKUP($X451,RM!$C$4:$G991,4,FALSE))</f>
        <v/>
      </c>
      <c r="AF451" t="str">
        <f>IF(X451="","",VLOOKUP($X451,RM!$C$4:$G991,5,FALSE))</f>
        <v/>
      </c>
      <c r="AH451" t="str">
        <f ca="1">IFERROR(__xludf.DUMMYFUNCTION("""COMPUTED_VALUE"""),"AMCA Elec Assy")</f>
        <v>AMCA Elec Assy</v>
      </c>
      <c r="AI451" t="str">
        <f ca="1">IFERROR(__xludf.DUMMYFUNCTION("""COMPUTED_VALUE"""),"HeatShrink Tube 3:1")</f>
        <v>HeatShrink Tube 3:1</v>
      </c>
      <c r="AJ451">
        <f ca="1">IFERROR(__xludf.DUMMYFUNCTION("""COMPUTED_VALUE"""),0.12)</f>
        <v>0.12</v>
      </c>
      <c r="AK451" t="str">
        <f ca="1">IFERROR(__xludf.DUMMYFUNCTION("""COMPUTED_VALUE"""),"blank")</f>
        <v>blank</v>
      </c>
      <c r="AL451" t="e">
        <f ca="1">_xludf.IFNA(VLOOKUP(AH451,'S-FG'!$B$3:$B1001,1,FALSE),"")</f>
        <v>#NAME?</v>
      </c>
      <c r="AM451" t="e">
        <f ca="1">IF(AI451="","",SUMIFS(#REF!,RM!$C$4:$C991,AI451))</f>
        <v>#REF!</v>
      </c>
    </row>
    <row r="452" spans="5:39">
      <c r="E452" t="str">
        <f>IF(A452="","",SUMIFS('PR-BOM'!$D$3:$D1001,'PR-BOM'!$C$3:$C1001,A452)*C452)</f>
        <v/>
      </c>
      <c r="F452" t="e">
        <f ca="1">_xludf.IFNA(VLOOKUP(B452,'S-FG'!$B$3:$B1001,1,FALSE),"")</f>
        <v>#NAME?</v>
      </c>
      <c r="H452" t="str">
        <f ca="1">IFERROR(__xludf.DUMMYFUNCTION("""COMPUTED_VALUE"""),"STBD Aft Plate Assy")</f>
        <v>STBD Aft Plate Assy</v>
      </c>
      <c r="I452" t="str">
        <f ca="1">IFERROR(__xludf.DUMMYFUNCTION("""COMPUTED_VALUE"""),"STBD Aft Plate")</f>
        <v>STBD Aft Plate</v>
      </c>
      <c r="J452">
        <f ca="1">IFERROR(__xludf.DUMMYFUNCTION("""COMPUTED_VALUE"""),1)</f>
        <v>1</v>
      </c>
      <c r="K452" t="str">
        <f ca="1">IFERROR(__xludf.DUMMYFUNCTION("""COMPUTED_VALUE"""),"blank")</f>
        <v>blank</v>
      </c>
      <c r="L452">
        <f t="shared" ca="1" si="4"/>
        <v>0</v>
      </c>
      <c r="Q452" t="str">
        <f>IF(N452="","",SUMIFS('PR-BOM'!$D$3:$D1001,'PR-BOM'!$C$3:$C1001,N452))</f>
        <v/>
      </c>
      <c r="S452" t="str">
        <f ca="1">IFERROR(__xludf.DUMMYFUNCTION("""COMPUTED_VALUE"""),"M3x8 plain wahser")</f>
        <v>M3x8 plain wahser</v>
      </c>
      <c r="Y452" t="str">
        <f t="shared" si="5"/>
        <v/>
      </c>
      <c r="Z452" t="str">
        <f>IF(X452="","",SUMIFS(#REF!,RM!$C$4:$C991,X452))</f>
        <v/>
      </c>
      <c r="AA452" t="str">
        <f>IF(X452="","",SUMIFS(#REF!,RM!$C$4:$C991,X452))</f>
        <v/>
      </c>
      <c r="AB452" t="str">
        <f>IF(X452="","",SUMIFS(IRegback!$Y$2:$Y1001,IRegback!$X$2:$X1001,X452))</f>
        <v/>
      </c>
      <c r="AC452" t="e">
        <f t="shared" si="6"/>
        <v>#VALUE!</v>
      </c>
      <c r="AD452" t="str">
        <f>IF(X452="","",VLOOKUP($X452,RM!$C$4:$G991,3,FALSE))</f>
        <v/>
      </c>
      <c r="AE452" t="str">
        <f>IF(X452="","",VLOOKUP($X452,RM!$C$4:$G991,4,FALSE))</f>
        <v/>
      </c>
      <c r="AF452" t="str">
        <f>IF(X452="","",VLOOKUP($X452,RM!$C$4:$G991,5,FALSE))</f>
        <v/>
      </c>
      <c r="AH452" t="str">
        <f ca="1">IFERROR(__xludf.DUMMYFUNCTION("""COMPUTED_VALUE"""),"AMCA Elec Assy")</f>
        <v>AMCA Elec Assy</v>
      </c>
      <c r="AI452" t="str">
        <f ca="1">IFERROR(__xludf.DUMMYFUNCTION("""COMPUTED_VALUE"""),"Teroson MS930")</f>
        <v>Teroson MS930</v>
      </c>
      <c r="AJ452">
        <f ca="1">IFERROR(__xludf.DUMMYFUNCTION("""COMPUTED_VALUE"""),10)</f>
        <v>10</v>
      </c>
      <c r="AK452" t="str">
        <f ca="1">IFERROR(__xludf.DUMMYFUNCTION("""COMPUTED_VALUE"""),"blank")</f>
        <v>blank</v>
      </c>
      <c r="AL452" t="e">
        <f ca="1">_xludf.IFNA(VLOOKUP(AH452,'S-FG'!$B$3:$B1001,1,FALSE),"")</f>
        <v>#NAME?</v>
      </c>
      <c r="AM452" t="e">
        <f ca="1">IF(AI452="","",SUMIFS(#REF!,RM!$C$4:$C991,AI452))</f>
        <v>#REF!</v>
      </c>
    </row>
    <row r="453" spans="5:39">
      <c r="E453" t="str">
        <f>IF(A453="","",SUMIFS('PR-BOM'!$D$3:$D1001,'PR-BOM'!$C$3:$C1001,A453)*C453)</f>
        <v/>
      </c>
      <c r="F453" t="e">
        <f ca="1">_xludf.IFNA(VLOOKUP(B453,'S-FG'!$B$3:$B1001,1,FALSE),"")</f>
        <v>#NAME?</v>
      </c>
      <c r="H453" t="str">
        <f ca="1">IFERROR(__xludf.DUMMYFUNCTION("""COMPUTED_VALUE"""),"STBD Aft Plate Assy")</f>
        <v>STBD Aft Plate Assy</v>
      </c>
      <c r="I453" t="str">
        <f ca="1">IFERROR(__xludf.DUMMYFUNCTION("""COMPUTED_VALUE"""),"SS Cooling Water Inlet nozzle")</f>
        <v>SS Cooling Water Inlet nozzle</v>
      </c>
      <c r="J453">
        <f ca="1">IFERROR(__xludf.DUMMYFUNCTION("""COMPUTED_VALUE"""),1)</f>
        <v>1</v>
      </c>
      <c r="L453">
        <f t="shared" ca="1" si="4"/>
        <v>0</v>
      </c>
      <c r="Q453" t="str">
        <f>IF(N453="","",SUMIFS('PR-BOM'!$D$3:$D1001,'PR-BOM'!$C$3:$C1001,N453))</f>
        <v/>
      </c>
      <c r="S453" t="str">
        <f ca="1">IFERROR(__xludf.DUMMYFUNCTION("""COMPUTED_VALUE"""),"STBD Aft Plate")</f>
        <v>STBD Aft Plate</v>
      </c>
      <c r="Y453" t="str">
        <f t="shared" si="5"/>
        <v/>
      </c>
      <c r="Z453" t="str">
        <f>IF(X453="","",SUMIFS(#REF!,RM!$C$4:$C991,X453))</f>
        <v/>
      </c>
      <c r="AA453" t="str">
        <f>IF(X453="","",SUMIFS(#REF!,RM!$C$4:$C991,X453))</f>
        <v/>
      </c>
      <c r="AB453" t="str">
        <f>IF(X453="","",SUMIFS(IRegback!$Y$2:$Y1001,IRegback!$X$2:$X1001,X453))</f>
        <v/>
      </c>
      <c r="AC453" t="e">
        <f t="shared" si="6"/>
        <v>#VALUE!</v>
      </c>
      <c r="AD453" t="str">
        <f>IF(X453="","",VLOOKUP($X453,RM!$C$4:$G991,3,FALSE))</f>
        <v/>
      </c>
      <c r="AE453" t="str">
        <f>IF(X453="","",VLOOKUP($X453,RM!$C$4:$G991,4,FALSE))</f>
        <v/>
      </c>
      <c r="AF453" t="str">
        <f>IF(X453="","",VLOOKUP($X453,RM!$C$4:$G991,5,FALSE))</f>
        <v/>
      </c>
      <c r="AH453" t="str">
        <f ca="1">IFERROR(__xludf.DUMMYFUNCTION("""COMPUTED_VALUE"""),"AMCA Mech Assy")</f>
        <v>AMCA Mech Assy</v>
      </c>
      <c r="AI453" t="str">
        <f ca="1">IFERROR(__xludf.DUMMYFUNCTION("""COMPUTED_VALUE"""),"JCB Body cum mounting frame")</f>
        <v>JCB Body cum mounting frame</v>
      </c>
      <c r="AJ453">
        <f ca="1">IFERROR(__xludf.DUMMYFUNCTION("""COMPUTED_VALUE"""),1)</f>
        <v>1</v>
      </c>
      <c r="AL453" t="e">
        <f ca="1">_xludf.IFNA(VLOOKUP(AH453,'S-FG'!$B$3:$B1001,1,FALSE),"")</f>
        <v>#NAME?</v>
      </c>
      <c r="AM453" t="e">
        <f ca="1">IF(AI453="","",SUMIFS(#REF!,RM!$C$4:$C991,AI453))</f>
        <v>#REF!</v>
      </c>
    </row>
    <row r="454" spans="5:39">
      <c r="E454" t="str">
        <f>IF(A454="","",SUMIFS('PR-BOM'!$D$3:$D1001,'PR-BOM'!$C$3:$C1001,A454)*C454)</f>
        <v/>
      </c>
      <c r="F454" t="e">
        <f ca="1">_xludf.IFNA(VLOOKUP(B454,'S-FG'!$B$3:$B1001,1,FALSE),"")</f>
        <v>#NAME?</v>
      </c>
      <c r="H454" t="str">
        <f ca="1">IFERROR(__xludf.DUMMYFUNCTION("""COMPUTED_VALUE"""),"STBD Aft Plate Assy")</f>
        <v>STBD Aft Plate Assy</v>
      </c>
      <c r="I454" t="str">
        <f ca="1">IFERROR(__xludf.DUMMYFUNCTION("""COMPUTED_VALUE"""),"SS Cooling Water Outlet nozzle")</f>
        <v>SS Cooling Water Outlet nozzle</v>
      </c>
      <c r="J454">
        <f ca="1">IFERROR(__xludf.DUMMYFUNCTION("""COMPUTED_VALUE"""),1)</f>
        <v>1</v>
      </c>
      <c r="L454">
        <f t="shared" ca="1" si="4"/>
        <v>0</v>
      </c>
      <c r="Q454" t="str">
        <f>IF(N454="","",SUMIFS('PR-BOM'!$D$3:$D1001,'PR-BOM'!$C$3:$C1001,N454))</f>
        <v/>
      </c>
      <c r="S454" t="str">
        <f ca="1">IFERROR(__xludf.DUMMYFUNCTION("""COMPUTED_VALUE"""),"SS Cooling Water Inlet nozzle")</f>
        <v>SS Cooling Water Inlet nozzle</v>
      </c>
      <c r="Y454" t="str">
        <f t="shared" si="5"/>
        <v/>
      </c>
      <c r="Z454" t="str">
        <f>IF(X454="","",SUMIFS(#REF!,RM!$C$4:$C991,X454))</f>
        <v/>
      </c>
      <c r="AA454" t="str">
        <f>IF(X454="","",SUMIFS(#REF!,RM!$C$4:$C991,X454))</f>
        <v/>
      </c>
      <c r="AB454" t="str">
        <f>IF(X454="","",SUMIFS(IRegback!$Y$2:$Y1001,IRegback!$X$2:$X1001,X454))</f>
        <v/>
      </c>
      <c r="AC454" t="e">
        <f t="shared" si="6"/>
        <v>#VALUE!</v>
      </c>
      <c r="AD454" t="str">
        <f>IF(X454="","",VLOOKUP($X454,RM!$C$4:$G991,3,FALSE))</f>
        <v/>
      </c>
      <c r="AE454" t="str">
        <f>IF(X454="","",VLOOKUP($X454,RM!$C$4:$G991,4,FALSE))</f>
        <v/>
      </c>
      <c r="AF454" t="str">
        <f>IF(X454="","",VLOOKUP($X454,RM!$C$4:$G991,5,FALSE))</f>
        <v/>
      </c>
      <c r="AH454" t="str">
        <f ca="1">IFERROR(__xludf.DUMMYFUNCTION("""COMPUTED_VALUE"""),"AMCA Mech Assy")</f>
        <v>AMCA Mech Assy</v>
      </c>
      <c r="AI454" t="str">
        <f ca="1">IFERROR(__xludf.DUMMYFUNCTION("""COMPUTED_VALUE"""),"flow sensor Clamp")</f>
        <v>flow sensor Clamp</v>
      </c>
      <c r="AJ454">
        <f ca="1">IFERROR(__xludf.DUMMYFUNCTION("""COMPUTED_VALUE"""),2)</f>
        <v>2</v>
      </c>
      <c r="AL454" t="e">
        <f ca="1">_xludf.IFNA(VLOOKUP(AH454,'S-FG'!$B$3:$B1001,1,FALSE),"")</f>
        <v>#NAME?</v>
      </c>
      <c r="AM454" t="e">
        <f ca="1">IF(AI454="","",SUMIFS(#REF!,RM!$C$4:$C991,AI454))</f>
        <v>#REF!</v>
      </c>
    </row>
    <row r="455" spans="5:39">
      <c r="E455" t="str">
        <f>IF(A455="","",SUMIFS('PR-BOM'!$D$3:$D1001,'PR-BOM'!$C$3:$C1001,A455)*C455)</f>
        <v/>
      </c>
      <c r="F455" t="e">
        <f ca="1">_xludf.IFNA(VLOOKUP(B455,'S-FG'!$B$3:$B1001,1,FALSE),"")</f>
        <v>#NAME?</v>
      </c>
      <c r="H455" t="str">
        <f ca="1">IFERROR(__xludf.DUMMYFUNCTION("""COMPUTED_VALUE"""),"STBD Aft Plate Assy")</f>
        <v>STBD Aft Plate Assy</v>
      </c>
      <c r="I455" t="str">
        <f ca="1">IFERROR(__xludf.DUMMYFUNCTION("""COMPUTED_VALUE"""),"Greasing nozzle")</f>
        <v>Greasing nozzle</v>
      </c>
      <c r="J455">
        <f ca="1">IFERROR(__xludf.DUMMYFUNCTION("""COMPUTED_VALUE"""),1)</f>
        <v>1</v>
      </c>
      <c r="L455">
        <f t="shared" ca="1" si="4"/>
        <v>0</v>
      </c>
      <c r="Q455" t="str">
        <f>IF(N455="","",SUMIFS('PR-BOM'!$D$3:$D1001,'PR-BOM'!$C$3:$C1001,N455))</f>
        <v/>
      </c>
      <c r="S455" t="str">
        <f ca="1">IFERROR(__xludf.DUMMYFUNCTION("""COMPUTED_VALUE"""),"SS Cooling Water Outlet nozzle")</f>
        <v>SS Cooling Water Outlet nozzle</v>
      </c>
      <c r="Y455" t="str">
        <f t="shared" si="5"/>
        <v/>
      </c>
      <c r="Z455" t="str">
        <f>IF(X455="","",SUMIFS(#REF!,RM!$C$4:$C991,X455))</f>
        <v/>
      </c>
      <c r="AA455" t="str">
        <f>IF(X455="","",SUMIFS(#REF!,RM!$C$4:$C991,X455))</f>
        <v/>
      </c>
      <c r="AB455" t="str">
        <f>IF(X455="","",SUMIFS(IRegback!$Y$2:$Y1001,IRegback!$X$2:$X1001,X455))</f>
        <v/>
      </c>
      <c r="AC455" t="e">
        <f t="shared" si="6"/>
        <v>#VALUE!</v>
      </c>
      <c r="AD455" t="str">
        <f>IF(X455="","",VLOOKUP($X455,RM!$C$4:$G991,3,FALSE))</f>
        <v/>
      </c>
      <c r="AE455" t="str">
        <f>IF(X455="","",VLOOKUP($X455,RM!$C$4:$G991,4,FALSE))</f>
        <v/>
      </c>
      <c r="AF455" t="str">
        <f>IF(X455="","",VLOOKUP($X455,RM!$C$4:$G991,5,FALSE))</f>
        <v/>
      </c>
      <c r="AH455" t="str">
        <f ca="1">IFERROR(__xludf.DUMMYFUNCTION("""COMPUTED_VALUE"""),"AMCA Mech Assy")</f>
        <v>AMCA Mech Assy</v>
      </c>
      <c r="AI455" t="str">
        <f ca="1">IFERROR(__xludf.DUMMYFUNCTION("""COMPUTED_VALUE"""),"Water tank with clamp")</f>
        <v>Water tank with clamp</v>
      </c>
      <c r="AJ455">
        <f ca="1">IFERROR(__xludf.DUMMYFUNCTION("""COMPUTED_VALUE"""),1)</f>
        <v>1</v>
      </c>
      <c r="AK455" t="str">
        <f ca="1">IFERROR(__xludf.DUMMYFUNCTION("""COMPUTED_VALUE"""),"blank")</f>
        <v>blank</v>
      </c>
      <c r="AL455" t="e">
        <f ca="1">_xludf.IFNA(VLOOKUP(AH455,'S-FG'!$B$3:$B1001,1,FALSE),"")</f>
        <v>#NAME?</v>
      </c>
      <c r="AM455" t="e">
        <f ca="1">IF(AI455="","",SUMIFS(#REF!,RM!$C$4:$C991,AI455))</f>
        <v>#REF!</v>
      </c>
    </row>
    <row r="456" spans="5:39">
      <c r="E456" t="str">
        <f>IF(A456="","",SUMIFS('PR-BOM'!$D$3:$D1001,'PR-BOM'!$C$3:$C1001,A456)*C456)</f>
        <v/>
      </c>
      <c r="F456" t="e">
        <f ca="1">_xludf.IFNA(VLOOKUP(B456,'S-FG'!$B$3:$B1001,1,FALSE),"")</f>
        <v>#NAME?</v>
      </c>
      <c r="H456" t="str">
        <f ca="1">IFERROR(__xludf.DUMMYFUNCTION("""COMPUTED_VALUE"""),"STBD Aft Plate Assy")</f>
        <v>STBD Aft Plate Assy</v>
      </c>
      <c r="I456" t="str">
        <f ca="1">IFERROR(__xludf.DUMMYFUNCTION("""COMPUTED_VALUE"""),"M8 Slim Locknut")</f>
        <v>M8 Slim Locknut</v>
      </c>
      <c r="J456">
        <f ca="1">IFERROR(__xludf.DUMMYFUNCTION("""COMPUTED_VALUE"""),3)</f>
        <v>3</v>
      </c>
      <c r="K456" t="str">
        <f ca="1">IFERROR(__xludf.DUMMYFUNCTION("""COMPUTED_VALUE"""),"blank")</f>
        <v>blank</v>
      </c>
      <c r="L456">
        <f t="shared" ca="1" si="4"/>
        <v>0</v>
      </c>
      <c r="Q456" t="str">
        <f>IF(N456="","",SUMIFS('PR-BOM'!$D$3:$D1001,'PR-BOM'!$C$3:$C1001,N456))</f>
        <v/>
      </c>
      <c r="S456" t="str">
        <f ca="1">IFERROR(__xludf.DUMMYFUNCTION("""COMPUTED_VALUE"""),"Greasing nozzle")</f>
        <v>Greasing nozzle</v>
      </c>
      <c r="Y456" t="str">
        <f t="shared" si="5"/>
        <v/>
      </c>
      <c r="Z456" t="str">
        <f>IF(X456="","",SUMIFS(#REF!,RM!$C$4:$C991,X456))</f>
        <v/>
      </c>
      <c r="AA456" t="str">
        <f>IF(X456="","",SUMIFS(#REF!,RM!$C$4:$C991,X456))</f>
        <v/>
      </c>
      <c r="AB456" t="str">
        <f>IF(X456="","",SUMIFS(IRegback!$Y$2:$Y1001,IRegback!$X$2:$X1001,X456))</f>
        <v/>
      </c>
      <c r="AC456" t="e">
        <f t="shared" si="6"/>
        <v>#VALUE!</v>
      </c>
      <c r="AD456" t="str">
        <f>IF(X456="","",VLOOKUP($X456,RM!$C$4:$G991,3,FALSE))</f>
        <v/>
      </c>
      <c r="AE456" t="str">
        <f>IF(X456="","",VLOOKUP($X456,RM!$C$4:$G991,4,FALSE))</f>
        <v/>
      </c>
      <c r="AF456" t="str">
        <f>IF(X456="","",VLOOKUP($X456,RM!$C$4:$G991,5,FALSE))</f>
        <v/>
      </c>
      <c r="AH456" t="str">
        <f ca="1">IFERROR(__xludf.DUMMYFUNCTION("""COMPUTED_VALUE"""),"AMCA Mech Assy")</f>
        <v>AMCA Mech Assy</v>
      </c>
      <c r="AI456" t="str">
        <f ca="1">IFERROR(__xludf.DUMMYFUNCTION("""COMPUTED_VALUE"""),"M5x10 Allen / M5x12")</f>
        <v>M5x10 Allen / M5x12</v>
      </c>
      <c r="AJ456">
        <f ca="1">IFERROR(__xludf.DUMMYFUNCTION("""COMPUTED_VALUE"""),10)</f>
        <v>10</v>
      </c>
      <c r="AK456" t="str">
        <f ca="1">IFERROR(__xludf.DUMMYFUNCTION("""COMPUTED_VALUE"""),"blank")</f>
        <v>blank</v>
      </c>
      <c r="AL456" t="e">
        <f ca="1">_xludf.IFNA(VLOOKUP(AH456,'S-FG'!$B$3:$B1001,1,FALSE),"")</f>
        <v>#NAME?</v>
      </c>
      <c r="AM456" t="e">
        <f ca="1">IF(AI456="","",SUMIFS(#REF!,RM!$C$4:$C991,AI456))</f>
        <v>#REF!</v>
      </c>
    </row>
    <row r="457" spans="5:39">
      <c r="E457" t="str">
        <f>IF(A457="","",SUMIFS('PR-BOM'!$D$3:$D1001,'PR-BOM'!$C$3:$C1001,A457)*C457)</f>
        <v/>
      </c>
      <c r="F457" t="e">
        <f ca="1">_xludf.IFNA(VLOOKUP(B457,'S-FG'!$B$3:$B1001,1,FALSE),"")</f>
        <v>#NAME?</v>
      </c>
      <c r="H457" t="str">
        <f ca="1">IFERROR(__xludf.DUMMYFUNCTION("""COMPUTED_VALUE"""),"PORT Aft Plate Assy")</f>
        <v>PORT Aft Plate Assy</v>
      </c>
      <c r="I457" t="str">
        <f ca="1">IFERROR(__xludf.DUMMYFUNCTION("""COMPUTED_VALUE"""),"PORT Aft Plate")</f>
        <v>PORT Aft Plate</v>
      </c>
      <c r="J457">
        <f ca="1">IFERROR(__xludf.DUMMYFUNCTION("""COMPUTED_VALUE"""),1)</f>
        <v>1</v>
      </c>
      <c r="K457" t="str">
        <f ca="1">IFERROR(__xludf.DUMMYFUNCTION("""COMPUTED_VALUE"""),"blank")</f>
        <v>blank</v>
      </c>
      <c r="L457">
        <f t="shared" ca="1" si="4"/>
        <v>0</v>
      </c>
      <c r="Q457" t="str">
        <f>IF(N457="","",SUMIFS('PR-BOM'!$D$3:$D1001,'PR-BOM'!$C$3:$C1001,N457))</f>
        <v/>
      </c>
      <c r="S457" t="str">
        <f ca="1">IFERROR(__xludf.DUMMYFUNCTION("""COMPUTED_VALUE"""),"M8 Slim Locknut")</f>
        <v>M8 Slim Locknut</v>
      </c>
      <c r="Y457" t="str">
        <f t="shared" si="5"/>
        <v/>
      </c>
      <c r="Z457" t="str">
        <f>IF(X457="","",SUMIFS(#REF!,RM!$C$4:$C991,X457))</f>
        <v/>
      </c>
      <c r="AA457" t="str">
        <f>IF(X457="","",SUMIFS(#REF!,RM!$C$4:$C991,X457))</f>
        <v/>
      </c>
      <c r="AB457" t="str">
        <f>IF(X457="","",SUMIFS(IRegback!$Y$2:$Y1001,IRegback!$X$2:$X1001,X457))</f>
        <v/>
      </c>
      <c r="AC457" t="e">
        <f t="shared" si="6"/>
        <v>#VALUE!</v>
      </c>
      <c r="AD457" t="str">
        <f>IF(X457="","",VLOOKUP($X457,RM!$C$4:$G991,3,FALSE))</f>
        <v/>
      </c>
      <c r="AE457" t="str">
        <f>IF(X457="","",VLOOKUP($X457,RM!$C$4:$G991,4,FALSE))</f>
        <v/>
      </c>
      <c r="AF457" t="str">
        <f>IF(X457="","",VLOOKUP($X457,RM!$C$4:$G991,5,FALSE))</f>
        <v/>
      </c>
      <c r="AH457" t="str">
        <f ca="1">IFERROR(__xludf.DUMMYFUNCTION("""COMPUTED_VALUE"""),"AMCA Mech Assy")</f>
        <v>AMCA Mech Assy</v>
      </c>
      <c r="AI457" t="str">
        <f ca="1">IFERROR(__xludf.DUMMYFUNCTION("""COMPUTED_VALUE"""),"M4x12 Allen Head")</f>
        <v>M4x12 Allen Head</v>
      </c>
      <c r="AJ457">
        <f ca="1">IFERROR(__xludf.DUMMYFUNCTION("""COMPUTED_VALUE"""),4)</f>
        <v>4</v>
      </c>
      <c r="AK457" t="str">
        <f ca="1">IFERROR(__xludf.DUMMYFUNCTION("""COMPUTED_VALUE"""),"blank")</f>
        <v>blank</v>
      </c>
      <c r="AL457" t="e">
        <f ca="1">_xludf.IFNA(VLOOKUP(AH457,'S-FG'!$B$3:$B1001,1,FALSE),"")</f>
        <v>#NAME?</v>
      </c>
      <c r="AM457" t="e">
        <f ca="1">IF(AI457="","",SUMIFS(#REF!,RM!$C$4:$C991,AI457))</f>
        <v>#REF!</v>
      </c>
    </row>
    <row r="458" spans="5:39">
      <c r="E458" t="str">
        <f>IF(A458="","",SUMIFS('PR-BOM'!$D$3:$D1001,'PR-BOM'!$C$3:$C1001,A458)*C458)</f>
        <v/>
      </c>
      <c r="F458" t="e">
        <f ca="1">_xludf.IFNA(VLOOKUP(B458,'S-FG'!$B$3:$B1001,1,FALSE),"")</f>
        <v>#NAME?</v>
      </c>
      <c r="H458" t="str">
        <f ca="1">IFERROR(__xludf.DUMMYFUNCTION("""COMPUTED_VALUE"""),"PORT Aft Plate Assy")</f>
        <v>PORT Aft Plate Assy</v>
      </c>
      <c r="I458" t="str">
        <f ca="1">IFERROR(__xludf.DUMMYFUNCTION("""COMPUTED_VALUE"""),"SS Cooling Water Inlet nozzle")</f>
        <v>SS Cooling Water Inlet nozzle</v>
      </c>
      <c r="J458">
        <f ca="1">IFERROR(__xludf.DUMMYFUNCTION("""COMPUTED_VALUE"""),1)</f>
        <v>1</v>
      </c>
      <c r="L458">
        <f t="shared" ca="1" si="4"/>
        <v>0</v>
      </c>
      <c r="Q458" t="str">
        <f>IF(N458="","",SUMIFS('PR-BOM'!$D$3:$D1001,'PR-BOM'!$C$3:$C1001,N458))</f>
        <v/>
      </c>
      <c r="S458" t="str">
        <f ca="1">IFERROR(__xludf.DUMMYFUNCTION("""COMPUTED_VALUE"""),"PORT Aft Plate")</f>
        <v>PORT Aft Plate</v>
      </c>
      <c r="Y458" t="str">
        <f t="shared" si="5"/>
        <v/>
      </c>
      <c r="Z458" t="str">
        <f>IF(X458="","",SUMIFS(#REF!,RM!$C$4:$C991,X458))</f>
        <v/>
      </c>
      <c r="AA458" t="str">
        <f>IF(X458="","",SUMIFS(#REF!,RM!$C$4:$C991,X458))</f>
        <v/>
      </c>
      <c r="AB458" t="str">
        <f>IF(X458="","",SUMIFS(IRegback!$Y$2:$Y1001,IRegback!$X$2:$X1001,X458))</f>
        <v/>
      </c>
      <c r="AC458" t="e">
        <f t="shared" si="6"/>
        <v>#VALUE!</v>
      </c>
      <c r="AD458" t="str">
        <f>IF(X458="","",VLOOKUP($X458,RM!$C$4:$G991,3,FALSE))</f>
        <v/>
      </c>
      <c r="AE458" t="str">
        <f>IF(X458="","",VLOOKUP($X458,RM!$C$4:$G991,4,FALSE))</f>
        <v/>
      </c>
      <c r="AF458" t="str">
        <f>IF(X458="","",VLOOKUP($X458,RM!$C$4:$G991,5,FALSE))</f>
        <v/>
      </c>
      <c r="AH458" t="str">
        <f ca="1">IFERROR(__xludf.DUMMYFUNCTION("""COMPUTED_VALUE"""),"AMCA Mech Assy")</f>
        <v>AMCA Mech Assy</v>
      </c>
      <c r="AI458" t="str">
        <f ca="1">IFERROR(__xludf.DUMMYFUNCTION("""COMPUTED_VALUE"""),"M4x16 Allen Head")</f>
        <v>M4x16 Allen Head</v>
      </c>
      <c r="AJ458">
        <f ca="1">IFERROR(__xludf.DUMMYFUNCTION("""COMPUTED_VALUE"""),6)</f>
        <v>6</v>
      </c>
      <c r="AK458" t="str">
        <f ca="1">IFERROR(__xludf.DUMMYFUNCTION("""COMPUTED_VALUE"""),"blank")</f>
        <v>blank</v>
      </c>
      <c r="AL458" t="e">
        <f ca="1">_xludf.IFNA(VLOOKUP(AH458,'S-FG'!$B$3:$B1001,1,FALSE),"")</f>
        <v>#NAME?</v>
      </c>
      <c r="AM458" t="e">
        <f ca="1">IF(AI458="","",SUMIFS(#REF!,RM!$C$4:$C991,AI458))</f>
        <v>#REF!</v>
      </c>
    </row>
    <row r="459" spans="5:39">
      <c r="E459" t="str">
        <f>IF(A459="","",SUMIFS('PR-BOM'!$D$3:$D1001,'PR-BOM'!$C$3:$C1001,A459)*C459)</f>
        <v/>
      </c>
      <c r="F459" t="e">
        <f ca="1">_xludf.IFNA(VLOOKUP(B459,'S-FG'!$B$3:$B1001,1,FALSE),"")</f>
        <v>#NAME?</v>
      </c>
      <c r="H459" t="str">
        <f ca="1">IFERROR(__xludf.DUMMYFUNCTION("""COMPUTED_VALUE"""),"PORT Aft Plate Assy")</f>
        <v>PORT Aft Plate Assy</v>
      </c>
      <c r="I459" t="str">
        <f ca="1">IFERROR(__xludf.DUMMYFUNCTION("""COMPUTED_VALUE"""),"SS Cooling Water Outlet nozzle")</f>
        <v>SS Cooling Water Outlet nozzle</v>
      </c>
      <c r="J459">
        <f ca="1">IFERROR(__xludf.DUMMYFUNCTION("""COMPUTED_VALUE"""),1)</f>
        <v>1</v>
      </c>
      <c r="L459">
        <f t="shared" ca="1" si="4"/>
        <v>0</v>
      </c>
      <c r="Q459" t="str">
        <f>IF(N459="","",SUMIFS('PR-BOM'!$D$3:$D1001,'PR-BOM'!$C$3:$C1001,N459))</f>
        <v/>
      </c>
      <c r="S459" t="str">
        <f ca="1">IFERROR(__xludf.DUMMYFUNCTION("""COMPUTED_VALUE"""),"SS Cooling Water Inlet nozzle")</f>
        <v>SS Cooling Water Inlet nozzle</v>
      </c>
      <c r="Y459" t="str">
        <f t="shared" si="5"/>
        <v/>
      </c>
      <c r="Z459" t="str">
        <f>IF(X459="","",SUMIFS(#REF!,RM!$C$4:$C991,X459))</f>
        <v/>
      </c>
      <c r="AA459" t="str">
        <f>IF(X459="","",SUMIFS(#REF!,RM!$C$4:$C991,X459))</f>
        <v/>
      </c>
      <c r="AB459" t="str">
        <f>IF(X459="","",SUMIFS(IRegback!$Y$2:$Y1001,IRegback!$X$2:$X1001,X459))</f>
        <v/>
      </c>
      <c r="AC459" t="e">
        <f t="shared" si="6"/>
        <v>#VALUE!</v>
      </c>
      <c r="AD459" t="str">
        <f>IF(X459="","",VLOOKUP($X459,RM!$C$4:$G991,3,FALSE))</f>
        <v/>
      </c>
      <c r="AE459" t="str">
        <f>IF(X459="","",VLOOKUP($X459,RM!$C$4:$G991,4,FALSE))</f>
        <v/>
      </c>
      <c r="AF459" t="str">
        <f>IF(X459="","",VLOOKUP($X459,RM!$C$4:$G991,5,FALSE))</f>
        <v/>
      </c>
      <c r="AH459" t="str">
        <f ca="1">IFERROR(__xludf.DUMMYFUNCTION("""COMPUTED_VALUE"""),"AMCA Mech Assy")</f>
        <v>AMCA Mech Assy</v>
      </c>
      <c r="AI459" t="str">
        <f ca="1">IFERROR(__xludf.DUMMYFUNCTION("""COMPUTED_VALUE"""),"M4 Nyloc")</f>
        <v>M4 Nyloc</v>
      </c>
      <c r="AJ459">
        <f ca="1">IFERROR(__xludf.DUMMYFUNCTION("""COMPUTED_VALUE"""),10)</f>
        <v>10</v>
      </c>
      <c r="AK459" t="str">
        <f ca="1">IFERROR(__xludf.DUMMYFUNCTION("""COMPUTED_VALUE"""),"blank")</f>
        <v>blank</v>
      </c>
      <c r="AL459" t="e">
        <f ca="1">_xludf.IFNA(VLOOKUP(AH459,'S-FG'!$B$3:$B1001,1,FALSE),"")</f>
        <v>#NAME?</v>
      </c>
      <c r="AM459" t="e">
        <f ca="1">IF(AI459="","",SUMIFS(#REF!,RM!$C$4:$C991,AI459))</f>
        <v>#REF!</v>
      </c>
    </row>
    <row r="460" spans="5:39">
      <c r="E460" t="str">
        <f>IF(A460="","",SUMIFS('PR-BOM'!$D$3:$D1001,'PR-BOM'!$C$3:$C1001,A460)*C460)</f>
        <v/>
      </c>
      <c r="F460" t="e">
        <f ca="1">_xludf.IFNA(VLOOKUP(B460,'S-FG'!$B$3:$B1001,1,FALSE),"")</f>
        <v>#NAME?</v>
      </c>
      <c r="H460" t="str">
        <f ca="1">IFERROR(__xludf.DUMMYFUNCTION("""COMPUTED_VALUE"""),"PORT Aft Plate Assy")</f>
        <v>PORT Aft Plate Assy</v>
      </c>
      <c r="I460" t="str">
        <f ca="1">IFERROR(__xludf.DUMMYFUNCTION("""COMPUTED_VALUE"""),"Greasing nozzle")</f>
        <v>Greasing nozzle</v>
      </c>
      <c r="J460">
        <f ca="1">IFERROR(__xludf.DUMMYFUNCTION("""COMPUTED_VALUE"""),1)</f>
        <v>1</v>
      </c>
      <c r="L460">
        <f t="shared" ca="1" si="4"/>
        <v>0</v>
      </c>
      <c r="Q460" t="str">
        <f>IF(N460="","",SUMIFS('PR-BOM'!$D$3:$D1001,'PR-BOM'!$C$3:$C1001,N460))</f>
        <v/>
      </c>
      <c r="S460" t="str">
        <f ca="1">IFERROR(__xludf.DUMMYFUNCTION("""COMPUTED_VALUE"""),"SS Cooling Water Outlet nozzle")</f>
        <v>SS Cooling Water Outlet nozzle</v>
      </c>
      <c r="Y460" t="str">
        <f t="shared" si="5"/>
        <v/>
      </c>
      <c r="Z460" t="str">
        <f>IF(X460="","",SUMIFS(#REF!,RM!$C$4:$C991,X460))</f>
        <v/>
      </c>
      <c r="AA460" t="str">
        <f>IF(X460="","",SUMIFS(#REF!,RM!$C$4:$C991,X460))</f>
        <v/>
      </c>
      <c r="AB460" t="str">
        <f>IF(X460="","",SUMIFS(IRegback!$Y$2:$Y1001,IRegback!$X$2:$X1001,X460))</f>
        <v/>
      </c>
      <c r="AC460" t="e">
        <f t="shared" si="6"/>
        <v>#VALUE!</v>
      </c>
      <c r="AD460" t="str">
        <f>IF(X460="","",VLOOKUP($X460,RM!$C$4:$G991,3,FALSE))</f>
        <v/>
      </c>
      <c r="AE460" t="str">
        <f>IF(X460="","",VLOOKUP($X460,RM!$C$4:$G991,4,FALSE))</f>
        <v/>
      </c>
      <c r="AF460" t="str">
        <f>IF(X460="","",VLOOKUP($X460,RM!$C$4:$G991,5,FALSE))</f>
        <v/>
      </c>
      <c r="AH460" t="str">
        <f ca="1">IFERROR(__xludf.DUMMYFUNCTION("""COMPUTED_VALUE"""),"AMCA Mech Assy")</f>
        <v>AMCA Mech Assy</v>
      </c>
      <c r="AI460" t="str">
        <f ca="1">IFERROR(__xludf.DUMMYFUNCTION("""COMPUTED_VALUE"""),"M4 Spring washer")</f>
        <v>M4 Spring washer</v>
      </c>
      <c r="AJ460">
        <f ca="1">IFERROR(__xludf.DUMMYFUNCTION("""COMPUTED_VALUE"""),10)</f>
        <v>10</v>
      </c>
      <c r="AK460" t="str">
        <f ca="1">IFERROR(__xludf.DUMMYFUNCTION("""COMPUTED_VALUE"""),"blank")</f>
        <v>blank</v>
      </c>
      <c r="AL460" t="e">
        <f ca="1">_xludf.IFNA(VLOOKUP(AH460,'S-FG'!$B$3:$B1001,1,FALSE),"")</f>
        <v>#NAME?</v>
      </c>
      <c r="AM460" t="e">
        <f ca="1">IF(AI460="","",SUMIFS(#REF!,RM!$C$4:$C991,AI460))</f>
        <v>#REF!</v>
      </c>
    </row>
    <row r="461" spans="5:39">
      <c r="E461" t="str">
        <f>IF(A461="","",SUMIFS('PR-BOM'!$D$3:$D1001,'PR-BOM'!$C$3:$C1001,A461)*C461)</f>
        <v/>
      </c>
      <c r="F461" t="e">
        <f ca="1">_xludf.IFNA(VLOOKUP(B461,'S-FG'!$B$3:$B1001,1,FALSE),"")</f>
        <v>#NAME?</v>
      </c>
      <c r="H461" t="str">
        <f ca="1">IFERROR(__xludf.DUMMYFUNCTION("""COMPUTED_VALUE"""),"PORT Aft Plate Assy")</f>
        <v>PORT Aft Plate Assy</v>
      </c>
      <c r="I461" t="str">
        <f ca="1">IFERROR(__xludf.DUMMYFUNCTION("""COMPUTED_VALUE"""),"Air nozzle")</f>
        <v>Air nozzle</v>
      </c>
      <c r="J461">
        <f ca="1">IFERROR(__xludf.DUMMYFUNCTION("""COMPUTED_VALUE"""),1)</f>
        <v>1</v>
      </c>
      <c r="K461" t="str">
        <f ca="1">IFERROR(__xludf.DUMMYFUNCTION("""COMPUTED_VALUE"""),"blank")</f>
        <v>blank</v>
      </c>
      <c r="L461">
        <f t="shared" ca="1" si="4"/>
        <v>0</v>
      </c>
      <c r="Q461" t="str">
        <f>IF(N461="","",SUMIFS('PR-BOM'!$D$3:$D1001,'PR-BOM'!$C$3:$C1001,N461))</f>
        <v/>
      </c>
      <c r="S461" t="str">
        <f ca="1">IFERROR(__xludf.DUMMYFUNCTION("""COMPUTED_VALUE"""),"Greasing nozzle")</f>
        <v>Greasing nozzle</v>
      </c>
      <c r="Y461" t="str">
        <f t="shared" si="5"/>
        <v/>
      </c>
      <c r="Z461" t="str">
        <f>IF(X461="","",SUMIFS(#REF!,RM!$C$4:$C991,X461))</f>
        <v/>
      </c>
      <c r="AA461" t="str">
        <f>IF(X461="","",SUMIFS(#REF!,RM!$C$4:$C991,X461))</f>
        <v/>
      </c>
      <c r="AB461" t="str">
        <f>IF(X461="","",SUMIFS(IRegback!$Y$2:$Y1001,IRegback!$X$2:$X1001,X461))</f>
        <v/>
      </c>
      <c r="AC461" t="e">
        <f t="shared" si="6"/>
        <v>#VALUE!</v>
      </c>
      <c r="AD461" t="str">
        <f>IF(X461="","",VLOOKUP($X461,RM!$C$4:$G991,3,FALSE))</f>
        <v/>
      </c>
      <c r="AE461" t="str">
        <f>IF(X461="","",VLOOKUP($X461,RM!$C$4:$G991,4,FALSE))</f>
        <v/>
      </c>
      <c r="AF461" t="str">
        <f>IF(X461="","",VLOOKUP($X461,RM!$C$4:$G991,5,FALSE))</f>
        <v/>
      </c>
      <c r="AH461" t="str">
        <f ca="1">IFERROR(__xludf.DUMMYFUNCTION("""COMPUTED_VALUE"""),"AMCA Mech Assy")</f>
        <v>AMCA Mech Assy</v>
      </c>
      <c r="AI461" t="str">
        <f ca="1">IFERROR(__xludf.DUMMYFUNCTION("""COMPUTED_VALUE"""),"M4x12 plain washer")</f>
        <v>M4x12 plain washer</v>
      </c>
      <c r="AJ461">
        <f ca="1">IFERROR(__xludf.DUMMYFUNCTION("""COMPUTED_VALUE"""),14)</f>
        <v>14</v>
      </c>
      <c r="AK461" t="str">
        <f ca="1">IFERROR(__xludf.DUMMYFUNCTION("""COMPUTED_VALUE"""),"blank")</f>
        <v>blank</v>
      </c>
      <c r="AL461" t="e">
        <f ca="1">_xludf.IFNA(VLOOKUP(AH461,'S-FG'!$B$3:$B1001,1,FALSE),"")</f>
        <v>#NAME?</v>
      </c>
      <c r="AM461" t="e">
        <f ca="1">IF(AI461="","",SUMIFS(#REF!,RM!$C$4:$C991,AI461))</f>
        <v>#REF!</v>
      </c>
    </row>
    <row r="462" spans="5:39">
      <c r="E462" t="str">
        <f>IF(A462="","",SUMIFS('PR-BOM'!$D$3:$D1001,'PR-BOM'!$C$3:$C1001,A462)*C462)</f>
        <v/>
      </c>
      <c r="F462" t="e">
        <f ca="1">_xludf.IFNA(VLOOKUP(B462,'S-FG'!$B$3:$B1001,1,FALSE),"")</f>
        <v>#NAME?</v>
      </c>
      <c r="H462" t="str">
        <f ca="1">IFERROR(__xludf.DUMMYFUNCTION("""COMPUTED_VALUE"""),"PORT Aft Plate Assy")</f>
        <v>PORT Aft Plate Assy</v>
      </c>
      <c r="I462" t="str">
        <f ca="1">IFERROR(__xludf.DUMMYFUNCTION("""COMPUTED_VALUE"""),"M8 Slim Locknut")</f>
        <v>M8 Slim Locknut</v>
      </c>
      <c r="J462">
        <f ca="1">IFERROR(__xludf.DUMMYFUNCTION("""COMPUTED_VALUE"""),3)</f>
        <v>3</v>
      </c>
      <c r="K462" t="str">
        <f ca="1">IFERROR(__xludf.DUMMYFUNCTION("""COMPUTED_VALUE"""),"blank")</f>
        <v>blank</v>
      </c>
      <c r="L462">
        <f t="shared" ca="1" si="4"/>
        <v>0</v>
      </c>
      <c r="Q462" t="str">
        <f>IF(N462="","",SUMIFS('PR-BOM'!$D$3:$D1001,'PR-BOM'!$C$3:$C1001,N462))</f>
        <v/>
      </c>
      <c r="S462" t="str">
        <f ca="1">IFERROR(__xludf.DUMMYFUNCTION("""COMPUTED_VALUE"""),"Air nozzle")</f>
        <v>Air nozzle</v>
      </c>
      <c r="Y462" t="str">
        <f t="shared" si="5"/>
        <v/>
      </c>
      <c r="Z462" t="str">
        <f>IF(X462="","",SUMIFS(#REF!,RM!$C$4:$C991,X462))</f>
        <v/>
      </c>
      <c r="AA462" t="str">
        <f>IF(X462="","",SUMIFS(#REF!,RM!$C$4:$C991,X462))</f>
        <v/>
      </c>
      <c r="AB462" t="str">
        <f>IF(X462="","",SUMIFS(IRegback!$Y$2:$Y1001,IRegback!$X$2:$X1001,X462))</f>
        <v/>
      </c>
      <c r="AC462" t="e">
        <f t="shared" si="6"/>
        <v>#VALUE!</v>
      </c>
      <c r="AD462" t="str">
        <f>IF(X462="","",VLOOKUP($X462,RM!$C$4:$G991,3,FALSE))</f>
        <v/>
      </c>
      <c r="AE462" t="str">
        <f>IF(X462="","",VLOOKUP($X462,RM!$C$4:$G991,4,FALSE))</f>
        <v/>
      </c>
      <c r="AF462" t="str">
        <f>IF(X462="","",VLOOKUP($X462,RM!$C$4:$G991,5,FALSE))</f>
        <v/>
      </c>
      <c r="AH462" t="str">
        <f ca="1">IFERROR(__xludf.DUMMYFUNCTION("""COMPUTED_VALUE"""),"AMCA Mech Assy")</f>
        <v>AMCA Mech Assy</v>
      </c>
      <c r="AI462" t="str">
        <f ca="1">IFERROR(__xludf.DUMMYFUNCTION("""COMPUTED_VALUE"""),"Brass nozzle for water outlet from JCB")</f>
        <v>Brass nozzle for water outlet from JCB</v>
      </c>
      <c r="AJ462">
        <f ca="1">IFERROR(__xludf.DUMMYFUNCTION("""COMPUTED_VALUE"""),1)</f>
        <v>1</v>
      </c>
      <c r="AL462" t="e">
        <f ca="1">_xludf.IFNA(VLOOKUP(AH462,'S-FG'!$B$3:$B1001,1,FALSE),"")</f>
        <v>#NAME?</v>
      </c>
      <c r="AM462" t="e">
        <f ca="1">IF(AI462="","",SUMIFS(#REF!,RM!$C$4:$C991,AI462))</f>
        <v>#REF!</v>
      </c>
    </row>
    <row r="463" spans="5:39">
      <c r="E463" t="str">
        <f>IF(A463="","",SUMIFS('PR-BOM'!$D$3:$D1001,'PR-BOM'!$C$3:$C1001,A463)*C463)</f>
        <v/>
      </c>
      <c r="F463" t="e">
        <f ca="1">_xludf.IFNA(VLOOKUP(B463,'S-FG'!$B$3:$B1001,1,FALSE),"")</f>
        <v>#NAME?</v>
      </c>
      <c r="H463" t="str">
        <f ca="1">IFERROR(__xludf.DUMMYFUNCTION("""COMPUTED_VALUE"""),"R9MX Adapter")</f>
        <v>R9MX Adapter</v>
      </c>
      <c r="I463" t="str">
        <f ca="1">IFERROR(__xludf.DUMMYFUNCTION("""COMPUTED_VALUE"""),"PWB of R9MX adapter")</f>
        <v>PWB of R9MX adapter</v>
      </c>
      <c r="J463">
        <f ca="1">IFERROR(__xludf.DUMMYFUNCTION("""COMPUTED_VALUE"""),1)</f>
        <v>1</v>
      </c>
      <c r="K463" t="str">
        <f ca="1">IFERROR(__xludf.DUMMYFUNCTION("""COMPUTED_VALUE"""),"blank")</f>
        <v>blank</v>
      </c>
      <c r="L463">
        <f t="shared" ca="1" si="4"/>
        <v>0</v>
      </c>
      <c r="Q463" t="str">
        <f>IF(N463="","",SUMIFS('PR-BOM'!$D$3:$D1001,'PR-BOM'!$C$3:$C1001,N463))</f>
        <v/>
      </c>
      <c r="S463" t="str">
        <f ca="1">IFERROR(__xludf.DUMMYFUNCTION("""COMPUTED_VALUE"""),"M8 Slim Locknut")</f>
        <v>M8 Slim Locknut</v>
      </c>
      <c r="Y463" t="str">
        <f t="shared" si="5"/>
        <v/>
      </c>
      <c r="Z463" t="str">
        <f>IF(X463="","",SUMIFS(#REF!,RM!$C$4:$C991,X463))</f>
        <v/>
      </c>
      <c r="AA463" t="str">
        <f>IF(X463="","",SUMIFS(#REF!,RM!$C$4:$C991,X463))</f>
        <v/>
      </c>
      <c r="AB463" t="str">
        <f>IF(X463="","",SUMIFS(IRegback!$Y$2:$Y1001,IRegback!$X$2:$X1001,X463))</f>
        <v/>
      </c>
      <c r="AC463" t="e">
        <f t="shared" si="6"/>
        <v>#VALUE!</v>
      </c>
      <c r="AD463" t="str">
        <f>IF(X463="","",VLOOKUP($X463,RM!$C$4:$G991,3,FALSE))</f>
        <v/>
      </c>
      <c r="AE463" t="str">
        <f>IF(X463="","",VLOOKUP($X463,RM!$C$4:$G991,4,FALSE))</f>
        <v/>
      </c>
      <c r="AF463" t="str">
        <f>IF(X463="","",VLOOKUP($X463,RM!$C$4:$G991,5,FALSE))</f>
        <v/>
      </c>
      <c r="AH463" t="str">
        <f ca="1">IFERROR(__xludf.DUMMYFUNCTION("""COMPUTED_VALUE"""),"AMCA Mech Assy")</f>
        <v>AMCA Mech Assy</v>
      </c>
      <c r="AI463" t="str">
        <f ca="1">IFERROR(__xludf.DUMMYFUNCTION("""COMPUTED_VALUE"""),"8 mm OD pneaumatic pipe")</f>
        <v>8 mm OD pneaumatic pipe</v>
      </c>
      <c r="AJ463">
        <f ca="1">IFERROR(__xludf.DUMMYFUNCTION("""COMPUTED_VALUE"""),0.5)</f>
        <v>0.5</v>
      </c>
      <c r="AL463" t="e">
        <f ca="1">_xludf.IFNA(VLOOKUP(AH463,'S-FG'!$B$3:$B1001,1,FALSE),"")</f>
        <v>#NAME?</v>
      </c>
      <c r="AM463" t="e">
        <f ca="1">IF(AI463="","",SUMIFS(#REF!,RM!$C$4:$C991,AI463))</f>
        <v>#REF!</v>
      </c>
    </row>
    <row r="464" spans="5:39">
      <c r="E464" t="str">
        <f>IF(A464="","",SUMIFS('PR-BOM'!$D$3:$D1001,'PR-BOM'!$C$3:$C1001,A464)*C464)</f>
        <v/>
      </c>
      <c r="F464" t="e">
        <f ca="1">_xludf.IFNA(VLOOKUP(B464,'S-FG'!$B$3:$B1001,1,FALSE),"")</f>
        <v>#NAME?</v>
      </c>
      <c r="H464" t="str">
        <f ca="1">IFERROR(__xludf.DUMMYFUNCTION("""COMPUTED_VALUE"""),"R9MX Adapter")</f>
        <v>R9MX Adapter</v>
      </c>
      <c r="I464" t="str">
        <f ca="1">IFERROR(__xludf.DUMMYFUNCTION("""COMPUTED_VALUE"""),"Female Bergstrip 40x1 2.0mm")</f>
        <v>Female Bergstrip 40x1 2.0mm</v>
      </c>
      <c r="J464">
        <f ca="1">IFERROR(__xludf.DUMMYFUNCTION("""COMPUTED_VALUE"""),0.25)</f>
        <v>0.25</v>
      </c>
      <c r="L464">
        <f t="shared" ca="1" si="4"/>
        <v>0</v>
      </c>
      <c r="Q464" t="str">
        <f>IF(N464="","",SUMIFS('PR-BOM'!$D$3:$D1001,'PR-BOM'!$C$3:$C1001,N464))</f>
        <v/>
      </c>
      <c r="S464" t="str">
        <f ca="1">IFERROR(__xludf.DUMMYFUNCTION("""COMPUTED_VALUE"""),"PWB of R9MX adapter")</f>
        <v>PWB of R9MX adapter</v>
      </c>
      <c r="Y464" t="str">
        <f t="shared" si="5"/>
        <v/>
      </c>
      <c r="Z464" t="str">
        <f>IF(X464="","",SUMIFS(#REF!,RM!$C$4:$C991,X464))</f>
        <v/>
      </c>
      <c r="AA464" t="str">
        <f>IF(X464="","",SUMIFS(#REF!,RM!$C$4:$C991,X464))</f>
        <v/>
      </c>
      <c r="AB464" t="str">
        <f>IF(X464="","",SUMIFS(IRegback!$Y$2:$Y1001,IRegback!$X$2:$X1001,X464))</f>
        <v/>
      </c>
      <c r="AC464" t="e">
        <f t="shared" si="6"/>
        <v>#VALUE!</v>
      </c>
      <c r="AD464" t="str">
        <f>IF(X464="","",VLOOKUP($X464,RM!$C$4:$G991,3,FALSE))</f>
        <v/>
      </c>
      <c r="AE464" t="str">
        <f>IF(X464="","",VLOOKUP($X464,RM!$C$4:$G991,4,FALSE))</f>
        <v/>
      </c>
      <c r="AF464" t="str">
        <f>IF(X464="","",VLOOKUP($X464,RM!$C$4:$G991,5,FALSE))</f>
        <v/>
      </c>
      <c r="AH464" t="str">
        <f ca="1">IFERROR(__xludf.DUMMYFUNCTION("""COMPUTED_VALUE"""),"AMCA Mech Assy")</f>
        <v>AMCA Mech Assy</v>
      </c>
      <c r="AI464" t="str">
        <f ca="1">IFERROR(__xludf.DUMMYFUNCTION("""COMPUTED_VALUE"""),"12 to 8 reducer with lock clips")</f>
        <v>12 to 8 reducer with lock clips</v>
      </c>
      <c r="AJ464">
        <f ca="1">IFERROR(__xludf.DUMMYFUNCTION("""COMPUTED_VALUE"""),2)</f>
        <v>2</v>
      </c>
      <c r="AK464" t="str">
        <f ca="1">IFERROR(__xludf.DUMMYFUNCTION("""COMPUTED_VALUE"""),"blank")</f>
        <v>blank</v>
      </c>
      <c r="AL464" t="e">
        <f ca="1">_xludf.IFNA(VLOOKUP(AH464,'S-FG'!$B$3:$B1001,1,FALSE),"")</f>
        <v>#NAME?</v>
      </c>
      <c r="AM464" t="e">
        <f ca="1">IF(AI464="","",SUMIFS(#REF!,RM!$C$4:$C991,AI464))</f>
        <v>#REF!</v>
      </c>
    </row>
    <row r="465" spans="5:39">
      <c r="E465" t="str">
        <f>IF(A465="","",SUMIFS('PR-BOM'!$D$3:$D1001,'PR-BOM'!$C$3:$C1001,A465)*C465)</f>
        <v/>
      </c>
      <c r="F465" t="e">
        <f ca="1">_xludf.IFNA(VLOOKUP(B465,'S-FG'!$B$3:$B1001,1,FALSE),"")</f>
        <v>#NAME?</v>
      </c>
      <c r="H465" t="str">
        <f ca="1">IFERROR(__xludf.DUMMYFUNCTION("""COMPUTED_VALUE"""),"R9MX Adapter")</f>
        <v>R9MX Adapter</v>
      </c>
      <c r="I465" t="str">
        <f ca="1">IFERROR(__xludf.DUMMYFUNCTION("""COMPUTED_VALUE"""),"Male Bergstrip 40x1 2.0mm")</f>
        <v>Male Bergstrip 40x1 2.0mm</v>
      </c>
      <c r="J465">
        <f ca="1">IFERROR(__xludf.DUMMYFUNCTION("""COMPUTED_VALUE"""),0.25)</f>
        <v>0.25</v>
      </c>
      <c r="L465">
        <f t="shared" ca="1" si="4"/>
        <v>0</v>
      </c>
      <c r="Q465" t="str">
        <f>IF(N465="","",SUMIFS('PR-BOM'!$D$3:$D1001,'PR-BOM'!$C$3:$C1001,N465))</f>
        <v/>
      </c>
      <c r="S465" t="str">
        <f ca="1">IFERROR(__xludf.DUMMYFUNCTION("""COMPUTED_VALUE"""),"Female Bergstrip 40x1 2.0mm")</f>
        <v>Female Bergstrip 40x1 2.0mm</v>
      </c>
      <c r="Y465" t="str">
        <f t="shared" si="5"/>
        <v/>
      </c>
      <c r="Z465" t="str">
        <f>IF(X465="","",SUMIFS(#REF!,RM!$C$4:$C991,X465))</f>
        <v/>
      </c>
      <c r="AA465" t="str">
        <f>IF(X465="","",SUMIFS(#REF!,RM!$C$4:$C991,X465))</f>
        <v/>
      </c>
      <c r="AB465" t="str">
        <f>IF(X465="","",SUMIFS(IRegback!$Y$2:$Y1001,IRegback!$X$2:$X1001,X465))</f>
        <v/>
      </c>
      <c r="AC465" t="e">
        <f t="shared" si="6"/>
        <v>#VALUE!</v>
      </c>
      <c r="AD465" t="str">
        <f>IF(X465="","",VLOOKUP($X465,RM!$C$4:$G991,3,FALSE))</f>
        <v/>
      </c>
      <c r="AE465" t="str">
        <f>IF(X465="","",VLOOKUP($X465,RM!$C$4:$G991,4,FALSE))</f>
        <v/>
      </c>
      <c r="AF465" t="str">
        <f>IF(X465="","",VLOOKUP($X465,RM!$C$4:$G991,5,FALSE))</f>
        <v/>
      </c>
      <c r="AH465" t="str">
        <f ca="1">IFERROR(__xludf.DUMMYFUNCTION("""COMPUTED_VALUE"""),"AMCA Mech Assy")</f>
        <v>AMCA Mech Assy</v>
      </c>
      <c r="AI465" t="str">
        <f ca="1">IFERROR(__xludf.DUMMYFUNCTION("""COMPUTED_VALUE"""),"12mm OD pneumatic pipe")</f>
        <v>12mm OD pneumatic pipe</v>
      </c>
      <c r="AJ465">
        <f ca="1">IFERROR(__xludf.DUMMYFUNCTION("""COMPUTED_VALUE"""),0.1)</f>
        <v>0.1</v>
      </c>
      <c r="AL465" t="e">
        <f ca="1">_xludf.IFNA(VLOOKUP(AH465,'S-FG'!$B$3:$B1001,1,FALSE),"")</f>
        <v>#NAME?</v>
      </c>
      <c r="AM465" t="e">
        <f ca="1">IF(AI465="","",SUMIFS(#REF!,RM!$C$4:$C991,AI465))</f>
        <v>#REF!</v>
      </c>
    </row>
    <row r="466" spans="5:39">
      <c r="E466" t="str">
        <f>IF(A466="","",SUMIFS('PR-BOM'!$D$3:$D1001,'PR-BOM'!$C$3:$C1001,A466)*C466)</f>
        <v/>
      </c>
      <c r="F466" t="e">
        <f ca="1">_xludf.IFNA(VLOOKUP(B466,'S-FG'!$B$3:$B1001,1,FALSE),"")</f>
        <v>#NAME?</v>
      </c>
      <c r="H466" t="str">
        <f ca="1">IFERROR(__xludf.DUMMYFUNCTION("""COMPUTED_VALUE"""),"R9MX Adapter")</f>
        <v>R9MX Adapter</v>
      </c>
      <c r="I466" t="str">
        <f ca="1">IFERROR(__xludf.DUMMYFUNCTION("""COMPUTED_VALUE"""),"Lead wire 22AWG")</f>
        <v>Lead wire 22AWG</v>
      </c>
      <c r="J466">
        <f ca="1">IFERROR(__xludf.DUMMYFUNCTION("""COMPUTED_VALUE"""),2)</f>
        <v>2</v>
      </c>
      <c r="L466">
        <f t="shared" ca="1" si="4"/>
        <v>0</v>
      </c>
      <c r="Q466" t="str">
        <f>IF(N466="","",SUMIFS('PR-BOM'!$D$3:$D1001,'PR-BOM'!$C$3:$C1001,N466))</f>
        <v/>
      </c>
      <c r="S466" t="str">
        <f ca="1">IFERROR(__xludf.DUMMYFUNCTION("""COMPUTED_VALUE"""),"Male Bergstrip 40x1 2.0mm")</f>
        <v>Male Bergstrip 40x1 2.0mm</v>
      </c>
      <c r="Y466" t="str">
        <f t="shared" si="5"/>
        <v/>
      </c>
      <c r="Z466" t="str">
        <f>IF(X466="","",SUMIFS(#REF!,RM!$C$4:$C991,X466))</f>
        <v/>
      </c>
      <c r="AA466" t="str">
        <f>IF(X466="","",SUMIFS(#REF!,RM!$C$4:$C991,X466))</f>
        <v/>
      </c>
      <c r="AB466" t="str">
        <f>IF(X466="","",SUMIFS(IRegback!$Y$2:$Y1001,IRegback!$X$2:$X1001,X466))</f>
        <v/>
      </c>
      <c r="AC466" t="e">
        <f t="shared" si="6"/>
        <v>#VALUE!</v>
      </c>
      <c r="AD466" t="str">
        <f>IF(X466="","",VLOOKUP($X466,RM!$C$4:$G991,3,FALSE))</f>
        <v/>
      </c>
      <c r="AE466" t="str">
        <f>IF(X466="","",VLOOKUP($X466,RM!$C$4:$G991,4,FALSE))</f>
        <v/>
      </c>
      <c r="AF466" t="str">
        <f>IF(X466="","",VLOOKUP($X466,RM!$C$4:$G991,5,FALSE))</f>
        <v/>
      </c>
      <c r="AH466" t="str">
        <f ca="1">IFERROR(__xludf.DUMMYFUNCTION("""COMPUTED_VALUE"""),"AMCA Mech Assy")</f>
        <v>AMCA Mech Assy</v>
      </c>
      <c r="AI466" t="str">
        <f ca="1">IFERROR(__xludf.DUMMYFUNCTION("""COMPUTED_VALUE"""),"Silicon Hose 3mm x 6mm")</f>
        <v>Silicon Hose 3mm x 6mm</v>
      </c>
      <c r="AJ466">
        <f ca="1">IFERROR(__xludf.DUMMYFUNCTION("""COMPUTED_VALUE"""),1)</f>
        <v>1</v>
      </c>
      <c r="AL466" t="e">
        <f ca="1">_xludf.IFNA(VLOOKUP(AH466,'S-FG'!$B$3:$B1001,1,FALSE),"")</f>
        <v>#NAME?</v>
      </c>
      <c r="AM466" t="e">
        <f ca="1">IF(AI466="","",SUMIFS(#REF!,RM!$C$4:$C991,AI466))</f>
        <v>#REF!</v>
      </c>
    </row>
    <row r="467" spans="5:39">
      <c r="E467" t="str">
        <f>IF(A467="","",SUMIFS('PR-BOM'!$D$3:$D1001,'PR-BOM'!$C$3:$C1001,A467)*C467)</f>
        <v/>
      </c>
      <c r="F467" t="e">
        <f ca="1">_xludf.IFNA(VLOOKUP(B467,'S-FG'!$B$3:$B1001,1,FALSE),"")</f>
        <v>#NAME?</v>
      </c>
      <c r="H467" t="str">
        <f ca="1">IFERROR(__xludf.DUMMYFUNCTION("""COMPUTED_VALUE"""),"R9MX Adapter")</f>
        <v>R9MX Adapter</v>
      </c>
      <c r="I467" t="str">
        <f ca="1">IFERROR(__xludf.DUMMYFUNCTION("""COMPUTED_VALUE"""),"LM1117 5.0v")</f>
        <v>LM1117 5.0v</v>
      </c>
      <c r="J467">
        <f ca="1">IFERROR(__xludf.DUMMYFUNCTION("""COMPUTED_VALUE"""),1)</f>
        <v>1</v>
      </c>
      <c r="K467" t="str">
        <f ca="1">IFERROR(__xludf.DUMMYFUNCTION("""COMPUTED_VALUE"""),"blank")</f>
        <v>blank</v>
      </c>
      <c r="L467">
        <f t="shared" ca="1" si="4"/>
        <v>0</v>
      </c>
      <c r="Q467" t="str">
        <f>IF(N467="","",SUMIFS('PR-BOM'!$D$3:$D1001,'PR-BOM'!$C$3:$C1001,N467))</f>
        <v/>
      </c>
      <c r="S467" t="str">
        <f ca="1">IFERROR(__xludf.DUMMYFUNCTION("""COMPUTED_VALUE"""),"Lead wire 22AWG")</f>
        <v>Lead wire 22AWG</v>
      </c>
      <c r="Y467" t="str">
        <f t="shared" si="5"/>
        <v/>
      </c>
      <c r="Z467" t="str">
        <f>IF(X467="","",SUMIFS(#REF!,RM!$C$4:$C991,X467))</f>
        <v/>
      </c>
      <c r="AA467" t="str">
        <f>IF(X467="","",SUMIFS(#REF!,RM!$C$4:$C991,X467))</f>
        <v/>
      </c>
      <c r="AB467" t="str">
        <f>IF(X467="","",SUMIFS(IRegback!$Y$2:$Y1001,IRegback!$X$2:$X1001,X467))</f>
        <v/>
      </c>
      <c r="AC467" t="e">
        <f t="shared" si="6"/>
        <v>#VALUE!</v>
      </c>
      <c r="AD467" t="str">
        <f>IF(X467="","",VLOOKUP($X467,RM!$C$4:$G991,3,FALSE))</f>
        <v/>
      </c>
      <c r="AE467" t="str">
        <f>IF(X467="","",VLOOKUP($X467,RM!$C$4:$G991,4,FALSE))</f>
        <v/>
      </c>
      <c r="AF467" t="str">
        <f>IF(X467="","",VLOOKUP($X467,RM!$C$4:$G991,5,FALSE))</f>
        <v/>
      </c>
      <c r="AH467" t="str">
        <f ca="1">IFERROR(__xludf.DUMMYFUNCTION("""COMPUTED_VALUE"""),"Final Craft Assy")</f>
        <v>Final Craft Assy</v>
      </c>
      <c r="AI467" t="str">
        <f ca="1">IFERROR(__xludf.DUMMYFUNCTION("""COMPUTED_VALUE"""),"M4x20 Allen Head")</f>
        <v>M4x20 Allen Head</v>
      </c>
      <c r="AJ467">
        <f ca="1">IFERROR(__xludf.DUMMYFUNCTION("""COMPUTED_VALUE"""),14)</f>
        <v>14</v>
      </c>
      <c r="AK467" t="str">
        <f ca="1">IFERROR(__xludf.DUMMYFUNCTION("""COMPUTED_VALUE"""),"blank")</f>
        <v>blank</v>
      </c>
      <c r="AL467" t="e">
        <f ca="1">_xludf.IFNA(VLOOKUP(AH467,'S-FG'!$B$3:$B1001,1,FALSE),"")</f>
        <v>#NAME?</v>
      </c>
      <c r="AM467" t="e">
        <f ca="1">IF(AI467="","",SUMIFS(#REF!,RM!$C$4:$C991,AI467))</f>
        <v>#REF!</v>
      </c>
    </row>
    <row r="468" spans="5:39">
      <c r="E468" t="str">
        <f>IF(A468="","",SUMIFS('PR-BOM'!$D$3:$D1001,'PR-BOM'!$C$3:$C1001,A468)*C468)</f>
        <v/>
      </c>
      <c r="F468" t="e">
        <f ca="1">_xludf.IFNA(VLOOKUP(B468,'S-FG'!$B$3:$B1001,1,FALSE),"")</f>
        <v>#NAME?</v>
      </c>
      <c r="H468" t="str">
        <f ca="1">IFERROR(__xludf.DUMMYFUNCTION("""COMPUTED_VALUE"""),"R9MX Adapter")</f>
        <v>R9MX Adapter</v>
      </c>
      <c r="I468" t="str">
        <f ca="1">IFERROR(__xludf.DUMMYFUNCTION("""COMPUTED_VALUE"""),"10uF 10v Tantalum Capacitor Case A")</f>
        <v>10uF 10v Tantalum Capacitor Case A</v>
      </c>
      <c r="J468">
        <f ca="1">IFERROR(__xludf.DUMMYFUNCTION("""COMPUTED_VALUE"""),1)</f>
        <v>1</v>
      </c>
      <c r="K468" t="str">
        <f ca="1">IFERROR(__xludf.DUMMYFUNCTION("""COMPUTED_VALUE"""),"T491A106K010AT")</f>
        <v>T491A106K010AT</v>
      </c>
      <c r="L468">
        <f t="shared" ca="1" si="4"/>
        <v>0</v>
      </c>
      <c r="Q468" t="str">
        <f>IF(N468="","",SUMIFS('PR-BOM'!$D$3:$D1001,'PR-BOM'!$C$3:$C1001,N468))</f>
        <v/>
      </c>
      <c r="S468" t="str">
        <f ca="1">IFERROR(__xludf.DUMMYFUNCTION("""COMPUTED_VALUE"""),"LM1117 5.0v")</f>
        <v>LM1117 5.0v</v>
      </c>
      <c r="Y468" t="str">
        <f t="shared" si="5"/>
        <v/>
      </c>
      <c r="Z468" t="str">
        <f>IF(X468="","",SUMIFS(#REF!,RM!$C$4:$C991,X468))</f>
        <v/>
      </c>
      <c r="AA468" t="str">
        <f>IF(X468="","",SUMIFS(#REF!,RM!$C$4:$C991,X468))</f>
        <v/>
      </c>
      <c r="AB468" t="str">
        <f>IF(X468="","",SUMIFS(IRegback!$Y$2:$Y1001,IRegback!$X$2:$X1001,X468))</f>
        <v/>
      </c>
      <c r="AC468" t="e">
        <f t="shared" si="6"/>
        <v>#VALUE!</v>
      </c>
      <c r="AD468" t="str">
        <f>IF(X468="","",VLOOKUP($X468,RM!$C$4:$G991,3,FALSE))</f>
        <v/>
      </c>
      <c r="AE468" t="str">
        <f>IF(X468="","",VLOOKUP($X468,RM!$C$4:$G991,4,FALSE))</f>
        <v/>
      </c>
      <c r="AF468" t="str">
        <f>IF(X468="","",VLOOKUP($X468,RM!$C$4:$G991,5,FALSE))</f>
        <v/>
      </c>
      <c r="AH468" t="str">
        <f ca="1">IFERROR(__xludf.DUMMYFUNCTION("""COMPUTED_VALUE"""),"Final Craft Assy")</f>
        <v>Final Craft Assy</v>
      </c>
      <c r="AI468" t="str">
        <f ca="1">IFERROR(__xludf.DUMMYFUNCTION("""COMPUTED_VALUE"""),"M5x10 Torx")</f>
        <v>M5x10 Torx</v>
      </c>
      <c r="AJ468">
        <f ca="1">IFERROR(__xludf.DUMMYFUNCTION("""COMPUTED_VALUE"""),28)</f>
        <v>28</v>
      </c>
      <c r="AK468" t="str">
        <f ca="1">IFERROR(__xludf.DUMMYFUNCTION("""COMPUTED_VALUE"""),"blank")</f>
        <v>blank</v>
      </c>
      <c r="AL468" t="e">
        <f ca="1">_xludf.IFNA(VLOOKUP(AH468,'S-FG'!$B$3:$B1001,1,FALSE),"")</f>
        <v>#NAME?</v>
      </c>
      <c r="AM468" t="e">
        <f ca="1">IF(AI468="","",SUMIFS(#REF!,RM!$C$4:$C991,AI468))</f>
        <v>#REF!</v>
      </c>
    </row>
    <row r="469" spans="5:39">
      <c r="E469" t="str">
        <f>IF(A469="","",SUMIFS('PR-BOM'!$D$3:$D1001,'PR-BOM'!$C$3:$C1001,A469)*C469)</f>
        <v/>
      </c>
      <c r="F469" t="e">
        <f ca="1">_xludf.IFNA(VLOOKUP(B469,'S-FG'!$B$3:$B1001,1,FALSE),"")</f>
        <v>#NAME?</v>
      </c>
      <c r="H469" t="str">
        <f ca="1">IFERROR(__xludf.DUMMYFUNCTION("""COMPUTED_VALUE"""),"Final Packing")</f>
        <v>Final Packing</v>
      </c>
      <c r="I469" t="str">
        <f ca="1">IFERROR(__xludf.DUMMYFUNCTION("""COMPUTED_VALUE"""),"66 No. Box for chraging cable &amp; Tool box")</f>
        <v>66 No. Box for chraging cable &amp; Tool box</v>
      </c>
      <c r="J469">
        <f ca="1">IFERROR(__xludf.DUMMYFUNCTION("""COMPUTED_VALUE"""),1)</f>
        <v>1</v>
      </c>
      <c r="K469" t="str">
        <f ca="1">IFERROR(__xludf.DUMMYFUNCTION("""COMPUTED_VALUE"""),"blank")</f>
        <v>blank</v>
      </c>
      <c r="L469">
        <f t="shared" ca="1" si="4"/>
        <v>0</v>
      </c>
      <c r="Q469" t="str">
        <f>IF(N469="","",SUMIFS('PR-BOM'!$D$3:$D1001,'PR-BOM'!$C$3:$C1001,N469))</f>
        <v/>
      </c>
      <c r="S469" t="str">
        <f ca="1">IFERROR(__xludf.DUMMYFUNCTION("""COMPUTED_VALUE"""),"10uF 10v Tantalum Capacitor Case A")</f>
        <v>10uF 10v Tantalum Capacitor Case A</v>
      </c>
      <c r="Y469" t="str">
        <f t="shared" si="5"/>
        <v/>
      </c>
      <c r="Z469" t="str">
        <f>IF(X469="","",SUMIFS(#REF!,RM!$C$4:$C991,X469))</f>
        <v/>
      </c>
      <c r="AA469" t="str">
        <f>IF(X469="","",SUMIFS(#REF!,RM!$C$4:$C991,X469))</f>
        <v/>
      </c>
      <c r="AB469" t="str">
        <f>IF(X469="","",SUMIFS(IRegback!$Y$2:$Y1001,IRegback!$X$2:$X1001,X469))</f>
        <v/>
      </c>
      <c r="AC469" t="e">
        <f t="shared" si="6"/>
        <v>#VALUE!</v>
      </c>
      <c r="AD469" t="str">
        <f>IF(X469="","",VLOOKUP($X469,RM!$C$4:$G991,3,FALSE))</f>
        <v/>
      </c>
      <c r="AE469" t="str">
        <f>IF(X469="","",VLOOKUP($X469,RM!$C$4:$G991,4,FALSE))</f>
        <v/>
      </c>
      <c r="AF469" t="str">
        <f>IF(X469="","",VLOOKUP($X469,RM!$C$4:$G991,5,FALSE))</f>
        <v/>
      </c>
      <c r="AH469" t="str">
        <f ca="1">IFERROR(__xludf.DUMMYFUNCTION("""COMPUTED_VALUE"""),"Final Craft Assy")</f>
        <v>Final Craft Assy</v>
      </c>
      <c r="AI469" t="str">
        <f ca="1">IFERROR(__xludf.DUMMYFUNCTION("""COMPUTED_VALUE"""),"Teroson MS930")</f>
        <v>Teroson MS930</v>
      </c>
      <c r="AJ469">
        <f ca="1">IFERROR(__xludf.DUMMYFUNCTION("""COMPUTED_VALUE"""),50)</f>
        <v>50</v>
      </c>
      <c r="AK469" t="str">
        <f ca="1">IFERROR(__xludf.DUMMYFUNCTION("""COMPUTED_VALUE"""),"blank")</f>
        <v>blank</v>
      </c>
      <c r="AL469" t="e">
        <f ca="1">_xludf.IFNA(VLOOKUP(AH469,'S-FG'!$B$3:$B1001,1,FALSE),"")</f>
        <v>#NAME?</v>
      </c>
      <c r="AM469" t="e">
        <f ca="1">IF(AI469="","",SUMIFS(#REF!,RM!$C$4:$C991,AI469))</f>
        <v>#REF!</v>
      </c>
    </row>
    <row r="470" spans="5:39">
      <c r="E470" t="str">
        <f>IF(A470="","",SUMIFS('PR-BOM'!$D$3:$D1001,'PR-BOM'!$C$3:$C1001,A470)*C470)</f>
        <v/>
      </c>
      <c r="F470" t="e">
        <f ca="1">_xludf.IFNA(VLOOKUP(B470,'S-FG'!$B$3:$B1001,1,FALSE),"")</f>
        <v>#NAME?</v>
      </c>
      <c r="H470" t="str">
        <f ca="1">IFERROR(__xludf.DUMMYFUNCTION("""COMPUTED_VALUE"""),"Final Packing")</f>
        <v>Final Packing</v>
      </c>
      <c r="I470" t="str">
        <f ca="1">IFERROR(__xludf.DUMMYFUNCTION("""COMPUTED_VALUE"""),"22 No. Box for SR structure screws")</f>
        <v>22 No. Box for SR structure screws</v>
      </c>
      <c r="J470">
        <f ca="1">IFERROR(__xludf.DUMMYFUNCTION("""COMPUTED_VALUE"""),1)</f>
        <v>1</v>
      </c>
      <c r="K470" t="str">
        <f ca="1">IFERROR(__xludf.DUMMYFUNCTION("""COMPUTED_VALUE"""),"                                                                                 ")</f>
        <v xml:space="preserve">                                                                                 </v>
      </c>
      <c r="L470">
        <f t="shared" ca="1" si="4"/>
        <v>0</v>
      </c>
      <c r="Q470" t="str">
        <f>IF(N470="","",SUMIFS('PR-BOM'!$D$3:$D1001,'PR-BOM'!$C$3:$C1001,N470))</f>
        <v/>
      </c>
      <c r="S470" t="str">
        <f ca="1">IFERROR(__xludf.DUMMYFUNCTION("""COMPUTED_VALUE"""),"66 No. Box for chraging cable &amp; Tool box")</f>
        <v>66 No. Box for chraging cable &amp; Tool box</v>
      </c>
      <c r="Y470" t="str">
        <f t="shared" si="5"/>
        <v/>
      </c>
      <c r="Z470" t="str">
        <f>IF(X470="","",SUMIFS(#REF!,RM!$C$4:$C991,X470))</f>
        <v/>
      </c>
      <c r="AA470" t="str">
        <f>IF(X470="","",SUMIFS(#REF!,RM!$C$4:$C991,X470))</f>
        <v/>
      </c>
      <c r="AB470" t="str">
        <f>IF(X470="","",SUMIFS(IRegback!$Y$2:$Y1001,IRegback!$X$2:$X1001,X470))</f>
        <v/>
      </c>
      <c r="AC470" t="e">
        <f t="shared" si="6"/>
        <v>#VALUE!</v>
      </c>
      <c r="AD470" t="str">
        <f>IF(X470="","",VLOOKUP($X470,RM!$C$4:$G991,3,FALSE))</f>
        <v/>
      </c>
      <c r="AE470" t="str">
        <f>IF(X470="","",VLOOKUP($X470,RM!$C$4:$G991,4,FALSE))</f>
        <v/>
      </c>
      <c r="AF470" t="str">
        <f>IF(X470="","",VLOOKUP($X470,RM!$C$4:$G991,5,FALSE))</f>
        <v/>
      </c>
      <c r="AH470" t="str">
        <f ca="1">IFERROR(__xludf.DUMMYFUNCTION("""COMPUTED_VALUE"""),"Final Craft Assy")</f>
        <v>Final Craft Assy</v>
      </c>
      <c r="AI470" t="str">
        <f ca="1">IFERROR(__xludf.DUMMYFUNCTION("""COMPUTED_VALUE"""),"Rope 8mm")</f>
        <v>Rope 8mm</v>
      </c>
      <c r="AJ470">
        <f ca="1">IFERROR(__xludf.DUMMYFUNCTION("""COMPUTED_VALUE"""),4.5)</f>
        <v>4.5</v>
      </c>
      <c r="AK470" t="str">
        <f ca="1">IFERROR(__xludf.DUMMYFUNCTION("""COMPUTED_VALUE"""),"blank")</f>
        <v>blank</v>
      </c>
      <c r="AL470" t="e">
        <f ca="1">_xludf.IFNA(VLOOKUP(AH470,'S-FG'!$B$3:$B1001,1,FALSE),"")</f>
        <v>#NAME?</v>
      </c>
      <c r="AM470" t="e">
        <f ca="1">IF(AI470="","",SUMIFS(#REF!,RM!$C$4:$C991,AI470))</f>
        <v>#REF!</v>
      </c>
    </row>
    <row r="471" spans="5:39">
      <c r="E471" t="str">
        <f>IF(A471="","",SUMIFS('PR-BOM'!$D$3:$D1001,'PR-BOM'!$C$3:$C1001,A471)*C471)</f>
        <v/>
      </c>
      <c r="F471" t="e">
        <f ca="1">_xludf.IFNA(VLOOKUP(B471,'S-FG'!$B$3:$B1001,1,FALSE),"")</f>
        <v>#NAME?</v>
      </c>
      <c r="H471" t="str">
        <f ca="1">IFERROR(__xludf.DUMMYFUNCTION("""COMPUTED_VALUE"""),"Final Packing")</f>
        <v>Final Packing</v>
      </c>
      <c r="I471" t="str">
        <f ca="1">IFERROR(__xludf.DUMMYFUNCTION("""COMPUTED_VALUE"""),"10mm Nut Driver with 15mm Depth")</f>
        <v>10mm Nut Driver with 15mm Depth</v>
      </c>
      <c r="J471">
        <f ca="1">IFERROR(__xludf.DUMMYFUNCTION("""COMPUTED_VALUE"""),1)</f>
        <v>1</v>
      </c>
      <c r="K471" t="str">
        <f ca="1">IFERROR(__xludf.DUMMYFUNCTION("""COMPUTED_VALUE"""),"blank")</f>
        <v>blank</v>
      </c>
      <c r="L471">
        <f t="shared" ca="1" si="4"/>
        <v>0</v>
      </c>
      <c r="Q471" t="str">
        <f>IF(N471="","",SUMIFS('PR-BOM'!$D$3:$D1001,'PR-BOM'!$C$3:$C1001,N471))</f>
        <v/>
      </c>
      <c r="S471" t="str">
        <f ca="1">IFERROR(__xludf.DUMMYFUNCTION("""COMPUTED_VALUE"""),"22 No. Box for SR structure screws")</f>
        <v>22 No. Box for SR structure screws</v>
      </c>
      <c r="Y471" t="str">
        <f t="shared" si="5"/>
        <v/>
      </c>
      <c r="Z471" t="str">
        <f>IF(X471="","",SUMIFS(#REF!,RM!$C$4:$C991,X471))</f>
        <v/>
      </c>
      <c r="AA471" t="str">
        <f>IF(X471="","",SUMIFS(#REF!,RM!$C$4:$C991,X471))</f>
        <v/>
      </c>
      <c r="AB471" t="str">
        <f>IF(X471="","",SUMIFS(IRegback!$Y$2:$Y1001,IRegback!$X$2:$X1001,X471))</f>
        <v/>
      </c>
      <c r="AC471" t="e">
        <f t="shared" si="6"/>
        <v>#VALUE!</v>
      </c>
      <c r="AD471" t="str">
        <f>IF(X471="","",VLOOKUP($X471,RM!$C$4:$G991,3,FALSE))</f>
        <v/>
      </c>
      <c r="AE471" t="str">
        <f>IF(X471="","",VLOOKUP($X471,RM!$C$4:$G991,4,FALSE))</f>
        <v/>
      </c>
      <c r="AF471" t="str">
        <f>IF(X471="","",VLOOKUP($X471,RM!$C$4:$G991,5,FALSE))</f>
        <v/>
      </c>
      <c r="AH471" t="str">
        <f ca="1">IFERROR(__xludf.DUMMYFUNCTION("""COMPUTED_VALUE"""),"Final Craft Assy")</f>
        <v>Final Craft Assy</v>
      </c>
      <c r="AI471" t="str">
        <f ca="1">IFERROR(__xludf.DUMMYFUNCTION("""COMPUTED_VALUE"""),"Ferrole")</f>
        <v>Ferrole</v>
      </c>
      <c r="AJ471">
        <f ca="1">IFERROR(__xludf.DUMMYFUNCTION("""COMPUTED_VALUE"""),1)</f>
        <v>1</v>
      </c>
      <c r="AK471" t="str">
        <f ca="1">IFERROR(__xludf.DUMMYFUNCTION("""COMPUTED_VALUE"""),"blank")</f>
        <v>blank</v>
      </c>
      <c r="AL471" t="e">
        <f ca="1">_xludf.IFNA(VLOOKUP(AH471,'S-FG'!$B$3:$B1001,1,FALSE),"")</f>
        <v>#NAME?</v>
      </c>
      <c r="AM471" t="e">
        <f ca="1">IF(AI471="","",SUMIFS(#REF!,RM!$C$4:$C991,AI471))</f>
        <v>#REF!</v>
      </c>
    </row>
    <row r="472" spans="5:39">
      <c r="E472" t="str">
        <f>IF(A472="","",SUMIFS('PR-BOM'!$D$3:$D1001,'PR-BOM'!$C$3:$C1001,A472)*C472)</f>
        <v/>
      </c>
      <c r="F472" t="e">
        <f ca="1">_xludf.IFNA(VLOOKUP(B472,'S-FG'!$B$3:$B1001,1,FALSE),"")</f>
        <v>#NAME?</v>
      </c>
      <c r="H472" t="str">
        <f ca="1">IFERROR(__xludf.DUMMYFUNCTION("""COMPUTED_VALUE"""),"Final Packing")</f>
        <v>Final Packing</v>
      </c>
      <c r="I472" t="str">
        <f ca="1">IFERROR(__xludf.DUMMYFUNCTION("""COMPUTED_VALUE"""),"4mm T-Handle")</f>
        <v>4mm T-Handle</v>
      </c>
      <c r="J472">
        <f ca="1">IFERROR(__xludf.DUMMYFUNCTION("""COMPUTED_VALUE"""),1)</f>
        <v>1</v>
      </c>
      <c r="K472" t="str">
        <f ca="1">IFERROR(__xludf.DUMMYFUNCTION("""COMPUTED_VALUE"""),"blank")</f>
        <v>blank</v>
      </c>
      <c r="L472">
        <f t="shared" ca="1" si="4"/>
        <v>0</v>
      </c>
      <c r="Q472" t="str">
        <f>IF(N472="","",SUMIFS('PR-BOM'!$D$3:$D1001,'PR-BOM'!$C$3:$C1001,N472))</f>
        <v/>
      </c>
      <c r="S472" t="str">
        <f ca="1">IFERROR(__xludf.DUMMYFUNCTION("""COMPUTED_VALUE"""),"10mm Nut Driver with 15mm Depth")</f>
        <v>10mm Nut Driver with 15mm Depth</v>
      </c>
      <c r="Y472" t="str">
        <f t="shared" si="5"/>
        <v/>
      </c>
      <c r="Z472" t="str">
        <f>IF(X472="","",SUMIFS(#REF!,RM!$C$4:$C991,X472))</f>
        <v/>
      </c>
      <c r="AA472" t="str">
        <f>IF(X472="","",SUMIFS(#REF!,RM!$C$4:$C991,X472))</f>
        <v/>
      </c>
      <c r="AB472" t="str">
        <f>IF(X472="","",SUMIFS(IRegback!$Y$2:$Y1001,IRegback!$X$2:$X1001,X472))</f>
        <v/>
      </c>
      <c r="AC472" t="e">
        <f t="shared" si="6"/>
        <v>#VALUE!</v>
      </c>
      <c r="AD472" t="str">
        <f>IF(X472="","",VLOOKUP($X472,RM!$C$4:$G991,3,FALSE))</f>
        <v/>
      </c>
      <c r="AE472" t="str">
        <f>IF(X472="","",VLOOKUP($X472,RM!$C$4:$G991,4,FALSE))</f>
        <v/>
      </c>
      <c r="AF472" t="str">
        <f>IF(X472="","",VLOOKUP($X472,RM!$C$4:$G991,5,FALSE))</f>
        <v/>
      </c>
      <c r="AH472" t="str">
        <f ca="1">IFERROR(__xludf.DUMMYFUNCTION("""COMPUTED_VALUE"""),"Final Craft Assy")</f>
        <v>Final Craft Assy</v>
      </c>
      <c r="AI472" t="str">
        <f ca="1">IFERROR(__xludf.DUMMYFUNCTION("""COMPUTED_VALUE"""),"Hook Sticker STBD")</f>
        <v>Hook Sticker STBD</v>
      </c>
      <c r="AJ472">
        <f ca="1">IFERROR(__xludf.DUMMYFUNCTION("""COMPUTED_VALUE"""),1)</f>
        <v>1</v>
      </c>
      <c r="AK472" t="str">
        <f ca="1">IFERROR(__xludf.DUMMYFUNCTION("""COMPUTED_VALUE"""),"blank")</f>
        <v>blank</v>
      </c>
      <c r="AL472" t="e">
        <f ca="1">_xludf.IFNA(VLOOKUP(AH472,'S-FG'!$B$3:$B1001,1,FALSE),"")</f>
        <v>#NAME?</v>
      </c>
      <c r="AM472" t="e">
        <f ca="1">IF(AI472="","",SUMIFS(#REF!,RM!$C$4:$C991,AI472))</f>
        <v>#REF!</v>
      </c>
    </row>
    <row r="473" spans="5:39">
      <c r="E473" t="str">
        <f>IF(A473="","",SUMIFS('PR-BOM'!$D$3:$D1001,'PR-BOM'!$C$3:$C1001,A473)*C473)</f>
        <v/>
      </c>
      <c r="F473" t="e">
        <f ca="1">_xludf.IFNA(VLOOKUP(B473,'S-FG'!$B$3:$B1001,1,FALSE),"")</f>
        <v>#NAME?</v>
      </c>
      <c r="H473" t="str">
        <f ca="1">IFERROR(__xludf.DUMMYFUNCTION("""COMPUTED_VALUE"""),"Final Packing")</f>
        <v>Final Packing</v>
      </c>
      <c r="I473" t="str">
        <f ca="1">IFERROR(__xludf.DUMMYFUNCTION("""COMPUTED_VALUE"""),"Greasing Pump")</f>
        <v>Greasing Pump</v>
      </c>
      <c r="J473">
        <f ca="1">IFERROR(__xludf.DUMMYFUNCTION("""COMPUTED_VALUE"""),1)</f>
        <v>1</v>
      </c>
      <c r="L473">
        <f t="shared" ca="1" si="4"/>
        <v>0</v>
      </c>
      <c r="Q473" t="str">
        <f>IF(N473="","",SUMIFS('PR-BOM'!$D$3:$D1001,'PR-BOM'!$C$3:$C1001,N473))</f>
        <v/>
      </c>
      <c r="S473" t="str">
        <f ca="1">IFERROR(__xludf.DUMMYFUNCTION("""COMPUTED_VALUE"""),"4mm T-Handle")</f>
        <v>4mm T-Handle</v>
      </c>
      <c r="Y473" t="str">
        <f t="shared" si="5"/>
        <v/>
      </c>
      <c r="Z473" t="str">
        <f>IF(X473="","",SUMIFS(#REF!,RM!$C$4:$C991,X473))</f>
        <v/>
      </c>
      <c r="AA473" t="str">
        <f>IF(X473="","",SUMIFS(#REF!,RM!$C$4:$C991,X473))</f>
        <v/>
      </c>
      <c r="AB473" t="str">
        <f>IF(X473="","",SUMIFS(IRegback!$Y$2:$Y1001,IRegback!$X$2:$X1001,X473))</f>
        <v/>
      </c>
      <c r="AC473" t="e">
        <f t="shared" si="6"/>
        <v>#VALUE!</v>
      </c>
      <c r="AD473" t="str">
        <f>IF(X473="","",VLOOKUP($X473,RM!$C$4:$G991,3,FALSE))</f>
        <v/>
      </c>
      <c r="AE473" t="str">
        <f>IF(X473="","",VLOOKUP($X473,RM!$C$4:$G991,4,FALSE))</f>
        <v/>
      </c>
      <c r="AF473" t="str">
        <f>IF(X473="","",VLOOKUP($X473,RM!$C$4:$G991,5,FALSE))</f>
        <v/>
      </c>
      <c r="AH473" t="str">
        <f ca="1">IFERROR(__xludf.DUMMYFUNCTION("""COMPUTED_VALUE"""),"Final Craft Assy")</f>
        <v>Final Craft Assy</v>
      </c>
      <c r="AI473" t="str">
        <f ca="1">IFERROR(__xludf.DUMMYFUNCTION("""COMPUTED_VALUE"""),"Hook Stiker PORT")</f>
        <v>Hook Stiker PORT</v>
      </c>
      <c r="AJ473">
        <f ca="1">IFERROR(__xludf.DUMMYFUNCTION("""COMPUTED_VALUE"""),1)</f>
        <v>1</v>
      </c>
      <c r="AK473" t="str">
        <f ca="1">IFERROR(__xludf.DUMMYFUNCTION("""COMPUTED_VALUE"""),"blank")</f>
        <v>blank</v>
      </c>
      <c r="AL473" t="e">
        <f ca="1">_xludf.IFNA(VLOOKUP(AH473,'S-FG'!$B$3:$B1001,1,FALSE),"")</f>
        <v>#NAME?</v>
      </c>
      <c r="AM473" t="e">
        <f ca="1">IF(AI473="","",SUMIFS(#REF!,RM!$C$4:$C991,AI473))</f>
        <v>#REF!</v>
      </c>
    </row>
    <row r="474" spans="5:39">
      <c r="E474" t="str">
        <f>IF(A474="","",SUMIFS('PR-BOM'!$D$3:$D1001,'PR-BOM'!$C$3:$C1001,A474)*C474)</f>
        <v/>
      </c>
      <c r="F474" t="e">
        <f ca="1">_xludf.IFNA(VLOOKUP(B474,'S-FG'!$B$3:$B1001,1,FALSE),"")</f>
        <v>#NAME?</v>
      </c>
      <c r="H474" t="str">
        <f ca="1">IFERROR(__xludf.DUMMYFUNCTION("""COMPUTED_VALUE"""),"Final Packing")</f>
        <v>Final Packing</v>
      </c>
      <c r="I474" t="str">
        <f ca="1">IFERROR(__xludf.DUMMYFUNCTION("""COMPUTED_VALUE"""),"Grease")</f>
        <v>Grease</v>
      </c>
      <c r="J474">
        <f ca="1">IFERROR(__xludf.DUMMYFUNCTION("""COMPUTED_VALUE"""),180)</f>
        <v>180</v>
      </c>
      <c r="L474">
        <f t="shared" ca="1" si="4"/>
        <v>0</v>
      </c>
      <c r="Q474" t="str">
        <f>IF(N474="","",SUMIFS('PR-BOM'!$D$3:$D1001,'PR-BOM'!$C$3:$C1001,N474))</f>
        <v/>
      </c>
      <c r="S474" t="str">
        <f ca="1">IFERROR(__xludf.DUMMYFUNCTION("""COMPUTED_VALUE"""),"Greasing Pump")</f>
        <v>Greasing Pump</v>
      </c>
      <c r="Y474" t="str">
        <f t="shared" si="5"/>
        <v/>
      </c>
      <c r="Z474" t="str">
        <f>IF(X474="","",SUMIFS(#REF!,RM!$C$4:$C991,X474))</f>
        <v/>
      </c>
      <c r="AA474" t="str">
        <f>IF(X474="","",SUMIFS(#REF!,RM!$C$4:$C991,X474))</f>
        <v/>
      </c>
      <c r="AB474" t="str">
        <f>IF(X474="","",SUMIFS(IRegback!$Y$2:$Y1001,IRegback!$X$2:$X1001,X474))</f>
        <v/>
      </c>
      <c r="AC474" t="e">
        <f t="shared" si="6"/>
        <v>#VALUE!</v>
      </c>
      <c r="AD474" t="str">
        <f>IF(X474="","",VLOOKUP($X474,RM!$C$4:$G991,3,FALSE))</f>
        <v/>
      </c>
      <c r="AE474" t="str">
        <f>IF(X474="","",VLOOKUP($X474,RM!$C$4:$G991,4,FALSE))</f>
        <v/>
      </c>
      <c r="AF474" t="str">
        <f>IF(X474="","",VLOOKUP($X474,RM!$C$4:$G991,5,FALSE))</f>
        <v/>
      </c>
      <c r="AH474" t="str">
        <f ca="1">IFERROR(__xludf.DUMMYFUNCTION("""COMPUTED_VALUE"""),"Final Craft Assy")</f>
        <v>Final Craft Assy</v>
      </c>
      <c r="AI474" t="str">
        <f ca="1">IFERROR(__xludf.DUMMYFUNCTION("""COMPUTED_VALUE"""),"Hold here sticker STBD")</f>
        <v>Hold here sticker STBD</v>
      </c>
      <c r="AJ474">
        <f ca="1">IFERROR(__xludf.DUMMYFUNCTION("""COMPUTED_VALUE"""),1)</f>
        <v>1</v>
      </c>
      <c r="AK474" t="str">
        <f ca="1">IFERROR(__xludf.DUMMYFUNCTION("""COMPUTED_VALUE"""),"blank")</f>
        <v>blank</v>
      </c>
      <c r="AL474" t="e">
        <f ca="1">_xludf.IFNA(VLOOKUP(AH474,'S-FG'!$B$3:$B1001,1,FALSE),"")</f>
        <v>#NAME?</v>
      </c>
      <c r="AM474" t="e">
        <f ca="1">IF(AI474="","",SUMIFS(#REF!,RM!$C$4:$C991,AI474))</f>
        <v>#REF!</v>
      </c>
    </row>
    <row r="475" spans="5:39">
      <c r="E475" t="str">
        <f>IF(A475="","",SUMIFS('PR-BOM'!$D$3:$D1001,'PR-BOM'!$C$3:$C1001,A475)*C475)</f>
        <v/>
      </c>
      <c r="F475" t="e">
        <f ca="1">_xludf.IFNA(VLOOKUP(B475,'S-FG'!$B$3:$B1001,1,FALSE),"")</f>
        <v>#NAME?</v>
      </c>
      <c r="H475" t="str">
        <f ca="1">IFERROR(__xludf.DUMMYFUNCTION("""COMPUTED_VALUE"""),"Final Packing")</f>
        <v>Final Packing</v>
      </c>
      <c r="I475" t="str">
        <f ca="1">IFERROR(__xludf.DUMMYFUNCTION("""COMPUTED_VALUE"""),"EPE sheet 20mm 48""x72""")</f>
        <v>EPE sheet 20mm 48"x72"</v>
      </c>
      <c r="J475">
        <f ca="1">IFERROR(__xludf.DUMMYFUNCTION("""COMPUTED_VALUE"""),1)</f>
        <v>1</v>
      </c>
      <c r="L475">
        <f t="shared" ca="1" si="4"/>
        <v>0</v>
      </c>
      <c r="Q475" t="str">
        <f>IF(N475="","",SUMIFS('PR-BOM'!$D$3:$D1001,'PR-BOM'!$C$3:$C1001,N475))</f>
        <v/>
      </c>
      <c r="S475" t="str">
        <f ca="1">IFERROR(__xludf.DUMMYFUNCTION("""COMPUTED_VALUE"""),"Grease")</f>
        <v>Grease</v>
      </c>
      <c r="Y475" t="str">
        <f t="shared" si="5"/>
        <v/>
      </c>
      <c r="Z475" t="str">
        <f>IF(X475="","",SUMIFS(#REF!,RM!$C$4:$C991,X475))</f>
        <v/>
      </c>
      <c r="AA475" t="str">
        <f>IF(X475="","",SUMIFS(#REF!,RM!$C$4:$C991,X475))</f>
        <v/>
      </c>
      <c r="AB475" t="str">
        <f>IF(X475="","",SUMIFS(IRegback!$Y$2:$Y1001,IRegback!$X$2:$X1001,X475))</f>
        <v/>
      </c>
      <c r="AC475" t="e">
        <f t="shared" si="6"/>
        <v>#VALUE!</v>
      </c>
      <c r="AD475" t="str">
        <f>IF(X475="","",VLOOKUP($X475,RM!$C$4:$G991,3,FALSE))</f>
        <v/>
      </c>
      <c r="AE475" t="str">
        <f>IF(X475="","",VLOOKUP($X475,RM!$C$4:$G991,4,FALSE))</f>
        <v/>
      </c>
      <c r="AF475" t="str">
        <f>IF(X475="","",VLOOKUP($X475,RM!$C$4:$G991,5,FALSE))</f>
        <v/>
      </c>
      <c r="AH475" t="str">
        <f ca="1">IFERROR(__xludf.DUMMYFUNCTION("""COMPUTED_VALUE"""),"Final Craft Assy")</f>
        <v>Final Craft Assy</v>
      </c>
      <c r="AI475" t="str">
        <f ca="1">IFERROR(__xludf.DUMMYFUNCTION("""COMPUTED_VALUE"""),"Hold here sticker PORT")</f>
        <v>Hold here sticker PORT</v>
      </c>
      <c r="AJ475">
        <f ca="1">IFERROR(__xludf.DUMMYFUNCTION("""COMPUTED_VALUE"""),1)</f>
        <v>1</v>
      </c>
      <c r="AK475" t="str">
        <f ca="1">IFERROR(__xludf.DUMMYFUNCTION("""COMPUTED_VALUE"""),"blank")</f>
        <v>blank</v>
      </c>
      <c r="AL475" t="e">
        <f ca="1">_xludf.IFNA(VLOOKUP(AH475,'S-FG'!$B$3:$B1001,1,FALSE),"")</f>
        <v>#NAME?</v>
      </c>
      <c r="AM475" t="e">
        <f ca="1">IF(AI475="","",SUMIFS(#REF!,RM!$C$4:$C991,AI475))</f>
        <v>#REF!</v>
      </c>
    </row>
    <row r="476" spans="5:39">
      <c r="E476" t="str">
        <f>IF(A476="","",SUMIFS('PR-BOM'!$D$3:$D1001,'PR-BOM'!$C$3:$C1001,A476)*C476)</f>
        <v/>
      </c>
      <c r="F476" t="e">
        <f ca="1">_xludf.IFNA(VLOOKUP(B476,'S-FG'!$B$3:$B1001,1,FALSE),"")</f>
        <v>#NAME?</v>
      </c>
      <c r="H476" t="str">
        <f ca="1">IFERROR(__xludf.DUMMYFUNCTION("""COMPUTED_VALUE"""),"Final Packing")</f>
        <v>Final Packing</v>
      </c>
      <c r="I476" t="str">
        <f ca="1">IFERROR(__xludf.DUMMYFUNCTION("""COMPUTED_VALUE"""),"HardBox FRP/HDPE/CARTON/EPE")</f>
        <v>HardBox FRP/HDPE/CARTON/EPE</v>
      </c>
      <c r="J476">
        <f ca="1">IFERROR(__xludf.DUMMYFUNCTION("""COMPUTED_VALUE"""),1)</f>
        <v>1</v>
      </c>
      <c r="K476" t="str">
        <f ca="1">IFERROR(__xludf.DUMMYFUNCTION("""COMPUTED_VALUE"""),"blank")</f>
        <v>blank</v>
      </c>
      <c r="L476">
        <f t="shared" ca="1" si="4"/>
        <v>0</v>
      </c>
      <c r="Q476" t="str">
        <f>IF(N476="","",SUMIFS('PR-BOM'!$D$3:$D1001,'PR-BOM'!$C$3:$C1001,N476))</f>
        <v/>
      </c>
      <c r="S476" t="str">
        <f ca="1">IFERROR(__xludf.DUMMYFUNCTION("""COMPUTED_VALUE"""),"EPE sheet 20mm 48""x72""")</f>
        <v>EPE sheet 20mm 48"x72"</v>
      </c>
      <c r="Y476" t="str">
        <f t="shared" si="5"/>
        <v/>
      </c>
      <c r="Z476" t="str">
        <f>IF(X476="","",SUMIFS(#REF!,RM!$C$4:$C991,X476))</f>
        <v/>
      </c>
      <c r="AA476" t="str">
        <f>IF(X476="","",SUMIFS(#REF!,RM!$C$4:$C991,X476))</f>
        <v/>
      </c>
      <c r="AB476" t="str">
        <f>IF(X476="","",SUMIFS(IRegback!$Y$2:$Y1001,IRegback!$X$2:$X1001,X476))</f>
        <v/>
      </c>
      <c r="AC476" t="e">
        <f t="shared" si="6"/>
        <v>#VALUE!</v>
      </c>
      <c r="AD476" t="str">
        <f>IF(X476="","",VLOOKUP($X476,RM!$C$4:$G991,3,FALSE))</f>
        <v/>
      </c>
      <c r="AE476" t="str">
        <f>IF(X476="","",VLOOKUP($X476,RM!$C$4:$G991,4,FALSE))</f>
        <v/>
      </c>
      <c r="AF476" t="str">
        <f>IF(X476="","",VLOOKUP($X476,RM!$C$4:$G991,5,FALSE))</f>
        <v/>
      </c>
      <c r="AH476" t="str">
        <f ca="1">IFERROR(__xludf.DUMMYFUNCTION("""COMPUTED_VALUE"""),"Final Craft Assy")</f>
        <v>Final Craft Assy</v>
      </c>
      <c r="AI476" t="str">
        <f ca="1">IFERROR(__xludf.DUMMYFUNCTION("""COMPUTED_VALUE"""),"M4x12 plain washer")</f>
        <v>M4x12 plain washer</v>
      </c>
      <c r="AJ476">
        <f ca="1">IFERROR(__xludf.DUMMYFUNCTION("""COMPUTED_VALUE"""),8)</f>
        <v>8</v>
      </c>
      <c r="AK476" t="str">
        <f ca="1">IFERROR(__xludf.DUMMYFUNCTION("""COMPUTED_VALUE"""),"blank")</f>
        <v>blank</v>
      </c>
      <c r="AL476" t="e">
        <f ca="1">_xludf.IFNA(VLOOKUP(AH476,'S-FG'!$B$3:$B1001,1,FALSE),"")</f>
        <v>#NAME?</v>
      </c>
      <c r="AM476" t="e">
        <f ca="1">IF(AI476="","",SUMIFS(#REF!,RM!$C$4:$C991,AI476))</f>
        <v>#REF!</v>
      </c>
    </row>
    <row r="477" spans="5:39">
      <c r="E477" t="str">
        <f>IF(A477="","",SUMIFS('PR-BOM'!$D$3:$D1001,'PR-BOM'!$C$3:$C1001,A477)*C477)</f>
        <v/>
      </c>
      <c r="F477" t="e">
        <f ca="1">_xludf.IFNA(VLOOKUP(B477,'S-FG'!$B$3:$B1001,1,FALSE),"")</f>
        <v>#NAME?</v>
      </c>
      <c r="H477" t="str">
        <f ca="1">IFERROR(__xludf.DUMMYFUNCTION("""COMPUTED_VALUE"""),"Final Packing")</f>
        <v>Final Packing</v>
      </c>
      <c r="I477" t="str">
        <f ca="1">IFERROR(__xludf.DUMMYFUNCTION("""COMPUTED_VALUE"""),"User Manual")</f>
        <v>User Manual</v>
      </c>
      <c r="J477">
        <f ca="1">IFERROR(__xludf.DUMMYFUNCTION("""COMPUTED_VALUE"""),1)</f>
        <v>1</v>
      </c>
      <c r="K477" t="str">
        <f ca="1">IFERROR(__xludf.DUMMYFUNCTION("""COMPUTED_VALUE"""),"blank")</f>
        <v>blank</v>
      </c>
      <c r="L477">
        <f t="shared" ca="1" si="4"/>
        <v>0</v>
      </c>
      <c r="Q477" t="str">
        <f>IF(N477="","",SUMIFS('PR-BOM'!$D$3:$D1001,'PR-BOM'!$C$3:$C1001,N477))</f>
        <v/>
      </c>
      <c r="S477" t="str">
        <f ca="1">IFERROR(__xludf.DUMMYFUNCTION("""COMPUTED_VALUE"""),"HardBox FRP/HDPE/CARTON/EPE")</f>
        <v>HardBox FRP/HDPE/CARTON/EPE</v>
      </c>
      <c r="Y477" t="str">
        <f t="shared" si="5"/>
        <v/>
      </c>
      <c r="Z477" t="str">
        <f>IF(X477="","",SUMIFS(#REF!,RM!$C$4:$C991,X477))</f>
        <v/>
      </c>
      <c r="AA477" t="str">
        <f>IF(X477="","",SUMIFS(#REF!,RM!$C$4:$C991,X477))</f>
        <v/>
      </c>
      <c r="AB477" t="str">
        <f>IF(X477="","",SUMIFS(IRegback!$Y$2:$Y1001,IRegback!$X$2:$X1001,X477))</f>
        <v/>
      </c>
      <c r="AC477" t="e">
        <f t="shared" si="6"/>
        <v>#VALUE!</v>
      </c>
      <c r="AD477" t="str">
        <f>IF(X477="","",VLOOKUP($X477,RM!$C$4:$G991,3,FALSE))</f>
        <v/>
      </c>
      <c r="AE477" t="str">
        <f>IF(X477="","",VLOOKUP($X477,RM!$C$4:$G991,4,FALSE))</f>
        <v/>
      </c>
      <c r="AF477" t="str">
        <f>IF(X477="","",VLOOKUP($X477,RM!$C$4:$G991,5,FALSE))</f>
        <v/>
      </c>
      <c r="AH477" t="str">
        <f ca="1">IFERROR(__xludf.DUMMYFUNCTION("""COMPUTED_VALUE"""),"Final Craft Assy")</f>
        <v>Final Craft Assy</v>
      </c>
      <c r="AI477" t="str">
        <f ca="1">IFERROR(__xludf.DUMMYFUNCTION("""COMPUTED_VALUE"""),"915MHz Antenna")</f>
        <v>915MHz Antenna</v>
      </c>
      <c r="AJ477">
        <f ca="1">IFERROR(__xludf.DUMMYFUNCTION("""COMPUTED_VALUE"""),1)</f>
        <v>1</v>
      </c>
      <c r="AK477" t="str">
        <f ca="1">IFERROR(__xludf.DUMMYFUNCTION("""COMPUTED_VALUE"""),"blank")</f>
        <v>blank</v>
      </c>
      <c r="AL477" t="e">
        <f ca="1">_xludf.IFNA(VLOOKUP(AH477,'S-FG'!$B$3:$B1001,1,FALSE),"")</f>
        <v>#NAME?</v>
      </c>
      <c r="AM477" t="e">
        <f ca="1">IF(AI477="","",SUMIFS(#REF!,RM!$C$4:$C991,AI477))</f>
        <v>#REF!</v>
      </c>
    </row>
    <row r="478" spans="5:39">
      <c r="E478" t="str">
        <f>IF(A478="","",SUMIFS('PR-BOM'!$D$3:$D1001,'PR-BOM'!$C$3:$C1001,A478)*C478)</f>
        <v/>
      </c>
      <c r="F478" t="e">
        <f ca="1">_xludf.IFNA(VLOOKUP(B478,'S-FG'!$B$3:$B1001,1,FALSE),"")</f>
        <v>#NAME?</v>
      </c>
      <c r="H478" t="str">
        <f ca="1">IFERROR(__xludf.DUMMYFUNCTION("""COMPUTED_VALUE"""),"Final Packing")</f>
        <v>Final Packing</v>
      </c>
      <c r="I478" t="str">
        <f ca="1">IFERROR(__xludf.DUMMYFUNCTION("""COMPUTED_VALUE"""),"Envelope for User Manual")</f>
        <v>Envelope for User Manual</v>
      </c>
      <c r="J478">
        <f ca="1">IFERROR(__xludf.DUMMYFUNCTION("""COMPUTED_VALUE"""),1)</f>
        <v>1</v>
      </c>
      <c r="L478">
        <f t="shared" ca="1" si="4"/>
        <v>0</v>
      </c>
      <c r="Q478" t="str">
        <f>IF(N478="","",SUMIFS('PR-BOM'!$D$3:$D1001,'PR-BOM'!$C$3:$C1001,N478))</f>
        <v/>
      </c>
      <c r="S478" t="str">
        <f ca="1">IFERROR(__xludf.DUMMYFUNCTION("""COMPUTED_VALUE"""),"User Manual")</f>
        <v>User Manual</v>
      </c>
      <c r="Y478" t="str">
        <f t="shared" si="5"/>
        <v/>
      </c>
      <c r="Z478" t="str">
        <f>IF(X478="","",SUMIFS(#REF!,RM!$C$4:$C991,X478))</f>
        <v/>
      </c>
      <c r="AA478" t="str">
        <f>IF(X478="","",SUMIFS(#REF!,RM!$C$4:$C991,X478))</f>
        <v/>
      </c>
      <c r="AB478" t="str">
        <f>IF(X478="","",SUMIFS(IRegback!$Y$2:$Y1001,IRegback!$X$2:$X1001,X478))</f>
        <v/>
      </c>
      <c r="AC478" t="e">
        <f t="shared" si="6"/>
        <v>#VALUE!</v>
      </c>
      <c r="AD478" t="str">
        <f>IF(X478="","",VLOOKUP($X478,RM!$C$4:$G991,3,FALSE))</f>
        <v/>
      </c>
      <c r="AE478" t="str">
        <f>IF(X478="","",VLOOKUP($X478,RM!$C$4:$G991,4,FALSE))</f>
        <v/>
      </c>
      <c r="AF478" t="str">
        <f>IF(X478="","",VLOOKUP($X478,RM!$C$4:$G991,5,FALSE))</f>
        <v/>
      </c>
      <c r="AH478" t="str">
        <f ca="1">IFERROR(__xludf.DUMMYFUNCTION("""COMPUTED_VALUE"""),"Final Craft Assy")</f>
        <v>Final Craft Assy</v>
      </c>
      <c r="AI478" t="str">
        <f ca="1">IFERROR(__xludf.DUMMYFUNCTION("""COMPUTED_VALUE"""),"M4x20 plain washer")</f>
        <v>M4x20 plain washer</v>
      </c>
      <c r="AJ478">
        <f ca="1">IFERROR(__xludf.DUMMYFUNCTION("""COMPUTED_VALUE"""),6)</f>
        <v>6</v>
      </c>
      <c r="AL478" t="e">
        <f ca="1">_xludf.IFNA(VLOOKUP(AH478,'S-FG'!$B$3:$B1001,1,FALSE),"")</f>
        <v>#NAME?</v>
      </c>
      <c r="AM478" t="e">
        <f ca="1">IF(AI478="","",SUMIFS(#REF!,RM!$C$4:$C991,AI478))</f>
        <v>#REF!</v>
      </c>
    </row>
    <row r="479" spans="5:39">
      <c r="E479" t="str">
        <f>IF(A479="","",SUMIFS('PR-BOM'!$D$3:$D1001,'PR-BOM'!$C$3:$C1001,A479)*C479)</f>
        <v/>
      </c>
      <c r="F479" t="e">
        <f ca="1">_xludf.IFNA(VLOOKUP(B479,'S-FG'!$B$3:$B1001,1,FALSE),"")</f>
        <v>#NAME?</v>
      </c>
      <c r="H479" t="str">
        <f ca="1">IFERROR(__xludf.DUMMYFUNCTION("""COMPUTED_VALUE"""),"Final Packing")</f>
        <v>Final Packing</v>
      </c>
      <c r="I479" t="str">
        <f ca="1">IFERROR(__xludf.DUMMYFUNCTION("""COMPUTED_VALUE"""),"2.5mm T handle")</f>
        <v>2.5mm T handle</v>
      </c>
      <c r="J479">
        <f ca="1">IFERROR(__xludf.DUMMYFUNCTION("""COMPUTED_VALUE"""),1)</f>
        <v>1</v>
      </c>
      <c r="K479" t="str">
        <f ca="1">IFERROR(__xludf.DUMMYFUNCTION("""COMPUTED_VALUE"""),"blank")</f>
        <v>blank</v>
      </c>
      <c r="L479">
        <f t="shared" ca="1" si="4"/>
        <v>0</v>
      </c>
      <c r="Q479" t="str">
        <f>IF(N479="","",SUMIFS('PR-BOM'!$D$3:$D1001,'PR-BOM'!$C$3:$C1001,N479))</f>
        <v/>
      </c>
      <c r="S479" t="str">
        <f ca="1">IFERROR(__xludf.DUMMYFUNCTION("""COMPUTED_VALUE"""),"Envelope for User Manual")</f>
        <v>Envelope for User Manual</v>
      </c>
      <c r="Y479" t="str">
        <f t="shared" si="5"/>
        <v/>
      </c>
      <c r="Z479" t="str">
        <f>IF(X479="","",SUMIFS(#REF!,RM!$C$4:$C991,X479))</f>
        <v/>
      </c>
      <c r="AA479" t="str">
        <f>IF(X479="","",SUMIFS(#REF!,RM!$C$4:$C991,X479))</f>
        <v/>
      </c>
      <c r="AB479" t="str">
        <f>IF(X479="","",SUMIFS(IRegback!$Y$2:$Y1001,IRegback!$X$2:$X1001,X479))</f>
        <v/>
      </c>
      <c r="AC479" t="e">
        <f t="shared" si="6"/>
        <v>#VALUE!</v>
      </c>
      <c r="AD479" t="str">
        <f>IF(X479="","",VLOOKUP($X479,RM!$C$4:$G991,3,FALSE))</f>
        <v/>
      </c>
      <c r="AE479" t="str">
        <f>IF(X479="","",VLOOKUP($X479,RM!$C$4:$G991,4,FALSE))</f>
        <v/>
      </c>
      <c r="AF479" t="str">
        <f>IF(X479="","",VLOOKUP($X479,RM!$C$4:$G991,5,FALSE))</f>
        <v/>
      </c>
      <c r="AH479" t="str">
        <f ca="1">IFERROR(__xludf.DUMMYFUNCTION("""COMPUTED_VALUE"""),"Final Craft Assy")</f>
        <v>Final Craft Assy</v>
      </c>
      <c r="AI479" t="str">
        <f ca="1">IFERROR(__xludf.DUMMYFUNCTION("""COMPUTED_VALUE"""),"M4x12 Button head")</f>
        <v>M4x12 Button head</v>
      </c>
      <c r="AJ479">
        <f ca="1">IFERROR(__xludf.DUMMYFUNCTION("""COMPUTED_VALUE"""),4)</f>
        <v>4</v>
      </c>
      <c r="AK479" t="str">
        <f ca="1">IFERROR(__xludf.DUMMYFUNCTION("""COMPUTED_VALUE"""),"blank")</f>
        <v>blank</v>
      </c>
      <c r="AL479" t="e">
        <f ca="1">_xludf.IFNA(VLOOKUP(AH479,'S-FG'!$B$3:$B1001,1,FALSE),"")</f>
        <v>#NAME?</v>
      </c>
      <c r="AM479" t="e">
        <f ca="1">IF(AI479="","",SUMIFS(#REF!,RM!$C$4:$C991,AI479))</f>
        <v>#REF!</v>
      </c>
    </row>
    <row r="480" spans="5:39">
      <c r="E480" t="str">
        <f>IF(A480="","",SUMIFS('PR-BOM'!$D$3:$D1001,'PR-BOM'!$C$3:$C1001,A480)*C480)</f>
        <v/>
      </c>
      <c r="F480" t="e">
        <f ca="1">_xludf.IFNA(VLOOKUP(B480,'S-FG'!$B$3:$B1001,1,FALSE),"")</f>
        <v>#NAME?</v>
      </c>
      <c r="H480" t="str">
        <f ca="1">IFERROR(__xludf.DUMMYFUNCTION("""COMPUTED_VALUE"""),"Final Packing")</f>
        <v>Final Packing</v>
      </c>
      <c r="I480" t="str">
        <f ca="1">IFERROR(__xludf.DUMMYFUNCTION("""COMPUTED_VALUE"""),"Oring AFT plate")</f>
        <v>Oring AFT plate</v>
      </c>
      <c r="J480">
        <f ca="1">IFERROR(__xludf.DUMMYFUNCTION("""COMPUTED_VALUE"""),2)</f>
        <v>2</v>
      </c>
      <c r="K480" t="str">
        <f ca="1">IFERROR(__xludf.DUMMYFUNCTION("""COMPUTED_VALUE"""),"blank")</f>
        <v>blank</v>
      </c>
      <c r="L480">
        <f t="shared" ca="1" si="4"/>
        <v>0</v>
      </c>
      <c r="Q480" t="str">
        <f>IF(N480="","",SUMIFS('PR-BOM'!$D$3:$D1001,'PR-BOM'!$C$3:$C1001,N480))</f>
        <v/>
      </c>
      <c r="S480" t="str">
        <f ca="1">IFERROR(__xludf.DUMMYFUNCTION("""COMPUTED_VALUE"""),"2.5mm T handle")</f>
        <v>2.5mm T handle</v>
      </c>
      <c r="Y480" t="str">
        <f t="shared" si="5"/>
        <v/>
      </c>
      <c r="Z480" t="str">
        <f>IF(X480="","",SUMIFS(#REF!,RM!$C$4:$C991,X480))</f>
        <v/>
      </c>
      <c r="AA480" t="str">
        <f>IF(X480="","",SUMIFS(#REF!,RM!$C$4:$C991,X480))</f>
        <v/>
      </c>
      <c r="AB480" t="str">
        <f>IF(X480="","",SUMIFS(IRegback!$Y$2:$Y1001,IRegback!$X$2:$X1001,X480))</f>
        <v/>
      </c>
      <c r="AC480" t="e">
        <f t="shared" si="6"/>
        <v>#VALUE!</v>
      </c>
      <c r="AD480" t="str">
        <f>IF(X480="","",VLOOKUP($X480,RM!$C$4:$G991,3,FALSE))</f>
        <v/>
      </c>
      <c r="AE480" t="str">
        <f>IF(X480="","",VLOOKUP($X480,RM!$C$4:$G991,4,FALSE))</f>
        <v/>
      </c>
      <c r="AF480" t="str">
        <f>IF(X480="","",VLOOKUP($X480,RM!$C$4:$G991,5,FALSE))</f>
        <v/>
      </c>
      <c r="AH480" t="str">
        <f ca="1">IFERROR(__xludf.DUMMYFUNCTION("""COMPUTED_VALUE"""),"Final Craft Assy")</f>
        <v>Final Craft Assy</v>
      </c>
      <c r="AI480" t="str">
        <f ca="1">IFERROR(__xludf.DUMMYFUNCTION("""COMPUTED_VALUE"""),"8kg Hull")</f>
        <v>8kg Hull</v>
      </c>
      <c r="AJ480">
        <f ca="1">IFERROR(__xludf.DUMMYFUNCTION("""COMPUTED_VALUE"""),1)</f>
        <v>1</v>
      </c>
      <c r="AK480" t="str">
        <f ca="1">IFERROR(__xludf.DUMMYFUNCTION("""COMPUTED_VALUE"""),"blank")</f>
        <v>blank</v>
      </c>
      <c r="AL480" t="e">
        <f ca="1">_xludf.IFNA(VLOOKUP(AH480,'S-FG'!$B$3:$B1001,1,FALSE),"")</f>
        <v>#NAME?</v>
      </c>
      <c r="AM480" t="e">
        <f ca="1">IF(AI480="","",SUMIFS(#REF!,RM!$C$4:$C991,AI480))</f>
        <v>#REF!</v>
      </c>
    </row>
    <row r="481" spans="5:39">
      <c r="E481" t="str">
        <f>IF(A481="","",SUMIFS('PR-BOM'!$D$3:$D1001,'PR-BOM'!$C$3:$C1001,A481)*C481)</f>
        <v/>
      </c>
      <c r="F481" t="e">
        <f ca="1">_xludf.IFNA(VLOOKUP(B481,'S-FG'!$B$3:$B1001,1,FALSE),"")</f>
        <v>#NAME?</v>
      </c>
      <c r="H481" t="str">
        <f ca="1">IFERROR(__xludf.DUMMYFUNCTION("""COMPUTED_VALUE"""),"Power Switch Assy")</f>
        <v>Power Switch Assy</v>
      </c>
      <c r="I481" t="str">
        <f ca="1">IFERROR(__xludf.DUMMYFUNCTION("""COMPUTED_VALUE"""),"IP68 Rotary main Switch")</f>
        <v>IP68 Rotary main Switch</v>
      </c>
      <c r="J481">
        <f ca="1">IFERROR(__xludf.DUMMYFUNCTION("""COMPUTED_VALUE"""),1)</f>
        <v>1</v>
      </c>
      <c r="K481" t="str">
        <f ca="1">IFERROR(__xludf.DUMMYFUNCTION("""COMPUTED_VALUE"""),"blank")</f>
        <v>blank</v>
      </c>
      <c r="L481">
        <f t="shared" ca="1" si="4"/>
        <v>0</v>
      </c>
      <c r="Q481" t="str">
        <f>IF(N481="","",SUMIFS('PR-BOM'!$D$3:$D1001,'PR-BOM'!$C$3:$C1001,N481))</f>
        <v/>
      </c>
      <c r="S481" t="str">
        <f ca="1">IFERROR(__xludf.DUMMYFUNCTION("""COMPUTED_VALUE"""),"Oring AFT plate")</f>
        <v>Oring AFT plate</v>
      </c>
      <c r="Y481" t="str">
        <f t="shared" si="5"/>
        <v/>
      </c>
      <c r="Z481" t="str">
        <f>IF(X481="","",SUMIFS(#REF!,RM!$C$4:$C991,X481))</f>
        <v/>
      </c>
      <c r="AA481" t="str">
        <f>IF(X481="","",SUMIFS(#REF!,RM!$C$4:$C991,X481))</f>
        <v/>
      </c>
      <c r="AB481" t="str">
        <f>IF(X481="","",SUMIFS(IRegback!$Y$2:$Y1001,IRegback!$X$2:$X1001,X481))</f>
        <v/>
      </c>
      <c r="AC481" t="e">
        <f t="shared" si="6"/>
        <v>#VALUE!</v>
      </c>
      <c r="AD481" t="str">
        <f>IF(X481="","",VLOOKUP($X481,RM!$C$4:$G991,3,FALSE))</f>
        <v/>
      </c>
      <c r="AE481" t="str">
        <f>IF(X481="","",VLOOKUP($X481,RM!$C$4:$G991,4,FALSE))</f>
        <v/>
      </c>
      <c r="AF481" t="str">
        <f>IF(X481="","",VLOOKUP($X481,RM!$C$4:$G991,5,FALSE))</f>
        <v/>
      </c>
      <c r="AH481" t="str">
        <f ca="1">IFERROR(__xludf.DUMMYFUNCTION("""COMPUTED_VALUE"""),"Bottom Block Assy")</f>
        <v>Bottom Block Assy</v>
      </c>
      <c r="AI481" t="str">
        <f ca="1">IFERROR(__xludf.DUMMYFUNCTION("""COMPUTED_VALUE"""),"IM Bottom Block")</f>
        <v>IM Bottom Block</v>
      </c>
      <c r="AJ481">
        <f ca="1">IFERROR(__xludf.DUMMYFUNCTION("""COMPUTED_VALUE"""),2)</f>
        <v>2</v>
      </c>
      <c r="AK481" t="str">
        <f ca="1">IFERROR(__xludf.DUMMYFUNCTION("""COMPUTED_VALUE"""),"blank")</f>
        <v>blank</v>
      </c>
      <c r="AL481" t="e">
        <f ca="1">_xludf.IFNA(VLOOKUP(AH481,'S-FG'!$B$3:$B1001,1,FALSE),"")</f>
        <v>#NAME?</v>
      </c>
      <c r="AM481" t="e">
        <f ca="1">IF(AI481="","",SUMIFS(#REF!,RM!$C$4:$C991,AI481))</f>
        <v>#REF!</v>
      </c>
    </row>
    <row r="482" spans="5:39">
      <c r="E482" t="str">
        <f>IF(A482="","",SUMIFS('PR-BOM'!$D$3:$D1001,'PR-BOM'!$C$3:$C1001,A482)*C482)</f>
        <v/>
      </c>
      <c r="F482" t="e">
        <f ca="1">_xludf.IFNA(VLOOKUP(B482,'S-FG'!$B$3:$B1001,1,FALSE),"")</f>
        <v>#NAME?</v>
      </c>
      <c r="H482" t="str">
        <f ca="1">IFERROR(__xludf.DUMMYFUNCTION("""COMPUTED_VALUE"""),"Power Switch Assy")</f>
        <v>Power Switch Assy</v>
      </c>
      <c r="I482" t="str">
        <f ca="1">IFERROR(__xludf.DUMMYFUNCTION("""COMPUTED_VALUE"""),"10cm one sided JST crimped White")</f>
        <v>10cm one sided JST crimped White</v>
      </c>
      <c r="J482">
        <f ca="1">IFERROR(__xludf.DUMMYFUNCTION("""COMPUTED_VALUE"""),2)</f>
        <v>2</v>
      </c>
      <c r="K482" t="str">
        <f ca="1">IFERROR(__xludf.DUMMYFUNCTION("""COMPUTED_VALUE"""),"blank")</f>
        <v>blank</v>
      </c>
      <c r="L482">
        <f t="shared" ca="1" si="4"/>
        <v>0</v>
      </c>
      <c r="Q482" t="str">
        <f>IF(N482="","",SUMIFS('PR-BOM'!$D$3:$D1001,'PR-BOM'!$C$3:$C1001,N482))</f>
        <v/>
      </c>
      <c r="S482" t="str">
        <f ca="1">IFERROR(__xludf.DUMMYFUNCTION("""COMPUTED_VALUE"""),"IP68 Rotary main Switch")</f>
        <v>IP68 Rotary main Switch</v>
      </c>
      <c r="Y482" t="str">
        <f t="shared" si="5"/>
        <v/>
      </c>
      <c r="Z482" t="str">
        <f>IF(X482="","",SUMIFS(#REF!,RM!$C$4:$C991,X482))</f>
        <v/>
      </c>
      <c r="AA482" t="str">
        <f>IF(X482="","",SUMIFS(#REF!,RM!$C$4:$C991,X482))</f>
        <v/>
      </c>
      <c r="AB482" t="str">
        <f>IF(X482="","",SUMIFS(IRegback!$Y$2:$Y1001,IRegback!$X$2:$X1001,X482))</f>
        <v/>
      </c>
      <c r="AC482" t="e">
        <f t="shared" si="6"/>
        <v>#VALUE!</v>
      </c>
      <c r="AD482" t="str">
        <f>IF(X482="","",VLOOKUP($X482,RM!$C$4:$G991,3,FALSE))</f>
        <v/>
      </c>
      <c r="AE482" t="str">
        <f>IF(X482="","",VLOOKUP($X482,RM!$C$4:$G991,4,FALSE))</f>
        <v/>
      </c>
      <c r="AF482" t="str">
        <f>IF(X482="","",VLOOKUP($X482,RM!$C$4:$G991,5,FALSE))</f>
        <v/>
      </c>
      <c r="AH482" t="str">
        <f ca="1">IFERROR(__xludf.DUMMYFUNCTION("""COMPUTED_VALUE"""),"Bottom Block Assy")</f>
        <v>Bottom Block Assy</v>
      </c>
      <c r="AI482" t="str">
        <f ca="1">IFERROR(__xludf.DUMMYFUNCTION("""COMPUTED_VALUE"""),"Bottom Mesh (120mm x 100mm, 5""x4"")")</f>
        <v>Bottom Mesh (120mm x 100mm, 5"x4")</v>
      </c>
      <c r="AJ482">
        <f ca="1">IFERROR(__xludf.DUMMYFUNCTION("""COMPUTED_VALUE"""),2)</f>
        <v>2</v>
      </c>
      <c r="AK482" t="str">
        <f ca="1">IFERROR(__xludf.DUMMYFUNCTION("""COMPUTED_VALUE"""),"blank")</f>
        <v>blank</v>
      </c>
      <c r="AL482" t="e">
        <f ca="1">_xludf.IFNA(VLOOKUP(AH482,'S-FG'!$B$3:$B1001,1,FALSE),"")</f>
        <v>#NAME?</v>
      </c>
      <c r="AM482" t="e">
        <f ca="1">IF(AI482="","",SUMIFS(#REF!,RM!$C$4:$C991,AI482))</f>
        <v>#REF!</v>
      </c>
    </row>
    <row r="483" spans="5:39">
      <c r="E483" t="str">
        <f>IF(A483="","",SUMIFS('PR-BOM'!$D$3:$D1001,'PR-BOM'!$C$3:$C1001,A483)*C483)</f>
        <v/>
      </c>
      <c r="F483" t="e">
        <f ca="1">_xludf.IFNA(VLOOKUP(B483,'S-FG'!$B$3:$B1001,1,FALSE),"")</f>
        <v>#NAME?</v>
      </c>
      <c r="H483" t="str">
        <f ca="1">IFERROR(__xludf.DUMMYFUNCTION("""COMPUTED_VALUE"""),"Power Switch Assy")</f>
        <v>Power Switch Assy</v>
      </c>
      <c r="I483" t="str">
        <f ca="1">IFERROR(__xludf.DUMMYFUNCTION("""COMPUTED_VALUE"""),"2 pin JST-XH housing")</f>
        <v>2 pin JST-XH housing</v>
      </c>
      <c r="J483">
        <f ca="1">IFERROR(__xludf.DUMMYFUNCTION("""COMPUTED_VALUE"""),1)</f>
        <v>1</v>
      </c>
      <c r="L483">
        <f t="shared" ca="1" si="4"/>
        <v>0</v>
      </c>
      <c r="Q483" t="str">
        <f>IF(N483="","",SUMIFS('PR-BOM'!$D$3:$D1001,'PR-BOM'!$C$3:$C1001,N483))</f>
        <v/>
      </c>
      <c r="S483" t="str">
        <f ca="1">IFERROR(__xludf.DUMMYFUNCTION("""COMPUTED_VALUE"""),"10cm one sided JST crimped White")</f>
        <v>10cm one sided JST crimped White</v>
      </c>
      <c r="Y483" t="str">
        <f t="shared" si="5"/>
        <v/>
      </c>
      <c r="Z483" t="str">
        <f>IF(X483="","",SUMIFS(#REF!,RM!$C$4:$C991,X483))</f>
        <v/>
      </c>
      <c r="AA483" t="str">
        <f>IF(X483="","",SUMIFS(#REF!,RM!$C$4:$C991,X483))</f>
        <v/>
      </c>
      <c r="AB483" t="str">
        <f>IF(X483="","",SUMIFS(IRegback!$Y$2:$Y1001,IRegback!$X$2:$X1001,X483))</f>
        <v/>
      </c>
      <c r="AC483" t="e">
        <f t="shared" si="6"/>
        <v>#VALUE!</v>
      </c>
      <c r="AD483" t="str">
        <f>IF(X483="","",VLOOKUP($X483,RM!$C$4:$G991,3,FALSE))</f>
        <v/>
      </c>
      <c r="AE483" t="str">
        <f>IF(X483="","",VLOOKUP($X483,RM!$C$4:$G991,4,FALSE))</f>
        <v/>
      </c>
      <c r="AF483" t="str">
        <f>IF(X483="","",VLOOKUP($X483,RM!$C$4:$G991,5,FALSE))</f>
        <v/>
      </c>
      <c r="AH483" t="str">
        <f ca="1">IFERROR(__xludf.DUMMYFUNCTION("""COMPUTED_VALUE"""),"Bottom Block Assy")</f>
        <v>Bottom Block Assy</v>
      </c>
      <c r="AI483" t="str">
        <f ca="1">IFERROR(__xludf.DUMMYFUNCTION("""COMPUTED_VALUE"""),"M4x12 Pan Combi Screws")</f>
        <v>M4x12 Pan Combi Screws</v>
      </c>
      <c r="AJ483">
        <f ca="1">IFERROR(__xludf.DUMMYFUNCTION("""COMPUTED_VALUE"""),8)</f>
        <v>8</v>
      </c>
      <c r="AK483" t="str">
        <f ca="1">IFERROR(__xludf.DUMMYFUNCTION("""COMPUTED_VALUE"""),"blank")</f>
        <v>blank</v>
      </c>
      <c r="AL483" t="e">
        <f ca="1">_xludf.IFNA(VLOOKUP(AH483,'S-FG'!$B$3:$B1001,1,FALSE),"")</f>
        <v>#NAME?</v>
      </c>
      <c r="AM483" t="e">
        <f ca="1">IF(AI483="","",SUMIFS(#REF!,RM!$C$4:$C991,AI483))</f>
        <v>#REF!</v>
      </c>
    </row>
    <row r="484" spans="5:39">
      <c r="E484" t="str">
        <f>IF(A484="","",SUMIFS('PR-BOM'!$D$3:$D1001,'PR-BOM'!$C$3:$C1001,A484)*C484)</f>
        <v/>
      </c>
      <c r="F484" t="e">
        <f ca="1">_xludf.IFNA(VLOOKUP(B484,'S-FG'!$B$3:$B1001,1,FALSE),"")</f>
        <v>#NAME?</v>
      </c>
      <c r="L484" t="str">
        <f t="shared" si="4"/>
        <v/>
      </c>
      <c r="Q484" t="str">
        <f>IF(N484="","",SUMIFS('PR-BOM'!$D$3:$D1001,'PR-BOM'!$C$3:$C1001,N484))</f>
        <v/>
      </c>
      <c r="S484" t="str">
        <f ca="1">IFERROR(__xludf.DUMMYFUNCTION("""COMPUTED_VALUE"""),"2 pin JST-XH housing")</f>
        <v>2 pin JST-XH housing</v>
      </c>
      <c r="Y484" t="str">
        <f t="shared" si="5"/>
        <v/>
      </c>
      <c r="Z484" t="str">
        <f>IF(X484="","",SUMIFS(#REF!,RM!$C$4:$C991,X484))</f>
        <v/>
      </c>
      <c r="AA484" t="str">
        <f>IF(X484="","",SUMIFS(#REF!,RM!$C$4:$C991,X484))</f>
        <v/>
      </c>
      <c r="AB484" t="str">
        <f>IF(X484="","",SUMIFS(IRegback!$Y$2:$Y1001,IRegback!$X$2:$X1001,X484))</f>
        <v/>
      </c>
      <c r="AC484" t="e">
        <f t="shared" si="6"/>
        <v>#VALUE!</v>
      </c>
      <c r="AD484" t="str">
        <f>IF(X484="","",VLOOKUP($X484,RM!$C$4:$G991,3,FALSE))</f>
        <v/>
      </c>
      <c r="AE484" t="str">
        <f>IF(X484="","",VLOOKUP($X484,RM!$C$4:$G991,4,FALSE))</f>
        <v/>
      </c>
      <c r="AF484" t="str">
        <f>IF(X484="","",VLOOKUP($X484,RM!$C$4:$G991,5,FALSE))</f>
        <v/>
      </c>
      <c r="AH484" t="str">
        <f ca="1">IFERROR(__xludf.DUMMYFUNCTION("""COMPUTED_VALUE"""),"Bottom Block Assy")</f>
        <v>Bottom Block Assy</v>
      </c>
      <c r="AI484" t="str">
        <f ca="1">IFERROR(__xludf.DUMMYFUNCTION("""COMPUTED_VALUE"""),"M3x8 CSK Phillips")</f>
        <v>M3x8 CSK Phillips</v>
      </c>
      <c r="AJ484">
        <f ca="1">IFERROR(__xludf.DUMMYFUNCTION("""COMPUTED_VALUE"""),14)</f>
        <v>14</v>
      </c>
      <c r="AK484" t="str">
        <f ca="1">IFERROR(__xludf.DUMMYFUNCTION("""COMPUTED_VALUE"""),"blank")</f>
        <v>blank</v>
      </c>
      <c r="AL484" t="e">
        <f ca="1">_xludf.IFNA(VLOOKUP(AH484,'S-FG'!$B$3:$B1001,1,FALSE),"")</f>
        <v>#NAME?</v>
      </c>
      <c r="AM484" t="e">
        <f ca="1">IF(AI484="","",SUMIFS(#REF!,RM!$C$4:$C991,AI484))</f>
        <v>#REF!</v>
      </c>
    </row>
    <row r="485" spans="5:39">
      <c r="E485" t="str">
        <f>IF(A485="","",SUMIFS('PR-BOM'!$D$3:$D1001,'PR-BOM'!$C$3:$C1001,A485)*C485)</f>
        <v/>
      </c>
      <c r="F485" t="e">
        <f ca="1">_xludf.IFNA(VLOOKUP(B485,'S-FG'!$B$3:$B1001,1,FALSE),"")</f>
        <v>#NAME?</v>
      </c>
      <c r="L485" t="str">
        <f t="shared" si="4"/>
        <v/>
      </c>
      <c r="Q485" t="str">
        <f>IF(N485="","",SUMIFS('PR-BOM'!$D$3:$D1001,'PR-BOM'!$C$3:$C1001,N485))</f>
        <v/>
      </c>
      <c r="S485" t="str">
        <f ca="1">IFERROR(__xludf.DUMMYFUNCTION("""COMPUTED_VALUE"""),"#N/A")</f>
        <v>#N/A</v>
      </c>
      <c r="Y485" t="str">
        <f t="shared" si="5"/>
        <v/>
      </c>
      <c r="Z485" t="str">
        <f>IF(X485="","",SUMIFS(#REF!,RM!$C$4:$C991,X485))</f>
        <v/>
      </c>
      <c r="AA485" t="str">
        <f>IF(X485="","",SUMIFS(#REF!,RM!$C$4:$C991,X485))</f>
        <v/>
      </c>
      <c r="AB485" t="str">
        <f>IF(X485="","",SUMIFS(IRegback!$Y$2:$Y1001,IRegback!$X$2:$X1001,X485))</f>
        <v/>
      </c>
      <c r="AC485" t="e">
        <f t="shared" si="6"/>
        <v>#VALUE!</v>
      </c>
      <c r="AD485" t="str">
        <f>IF(X485="","",VLOOKUP($X485,RM!$C$4:$G991,3,FALSE))</f>
        <v/>
      </c>
      <c r="AE485" t="str">
        <f>IF(X485="","",VLOOKUP($X485,RM!$C$4:$G991,4,FALSE))</f>
        <v/>
      </c>
      <c r="AF485" t="str">
        <f>IF(X485="","",VLOOKUP($X485,RM!$C$4:$G991,5,FALSE))</f>
        <v/>
      </c>
      <c r="AH485" t="str">
        <f ca="1">IFERROR(__xludf.DUMMYFUNCTION("""COMPUTED_VALUE"""),"Bottom Block Assy")</f>
        <v>Bottom Block Assy</v>
      </c>
      <c r="AI485" t="str">
        <f ca="1">IFERROR(__xludf.DUMMYFUNCTION("""COMPUTED_VALUE"""),"M3x8 plain wahser")</f>
        <v>M3x8 plain wahser</v>
      </c>
      <c r="AJ485">
        <f ca="1">IFERROR(__xludf.DUMMYFUNCTION("""COMPUTED_VALUE"""),2.5)</f>
        <v>2.5</v>
      </c>
      <c r="AK485" t="str">
        <f ca="1">IFERROR(__xludf.DUMMYFUNCTION("""COMPUTED_VALUE"""),"blank")</f>
        <v>blank</v>
      </c>
      <c r="AL485" t="e">
        <f ca="1">_xludf.IFNA(VLOOKUP(AH485,'S-FG'!$B$3:$B1001,1,FALSE),"")</f>
        <v>#NAME?</v>
      </c>
      <c r="AM485" t="e">
        <f ca="1">IF(AI485="","",SUMIFS(#REF!,RM!$C$4:$C991,AI485))</f>
        <v>#REF!</v>
      </c>
    </row>
    <row r="486" spans="5:39">
      <c r="E486" t="str">
        <f>IF(A486="","",SUMIFS('PR-BOM'!$D$3:$D1001,'PR-BOM'!$C$3:$C1001,A486)*C486)</f>
        <v/>
      </c>
      <c r="F486" t="e">
        <f ca="1">_xludf.IFNA(VLOOKUP(B486,'S-FG'!$B$3:$B1001,1,FALSE),"")</f>
        <v>#NAME?</v>
      </c>
      <c r="L486" t="str">
        <f t="shared" si="4"/>
        <v/>
      </c>
      <c r="Q486" t="str">
        <f>IF(N486="","",SUMIFS('PR-BOM'!$D$3:$D1001,'PR-BOM'!$C$3:$C1001,N486))</f>
        <v/>
      </c>
      <c r="Y486" t="str">
        <f t="shared" si="5"/>
        <v/>
      </c>
      <c r="Z486" t="str">
        <f>IF(X486="","",SUMIFS(#REF!,RM!$C$4:$C991,X486))</f>
        <v/>
      </c>
      <c r="AA486" t="str">
        <f>IF(X486="","",SUMIFS(#REF!,RM!$C$4:$C991,X486))</f>
        <v/>
      </c>
      <c r="AB486" t="str">
        <f>IF(X486="","",SUMIFS(IRegback!$Y$2:$Y1001,IRegback!$X$2:$X1001,X486))</f>
        <v/>
      </c>
      <c r="AC486" t="e">
        <f t="shared" si="6"/>
        <v>#VALUE!</v>
      </c>
      <c r="AD486" t="str">
        <f>IF(X486="","",VLOOKUP($X486,RM!$C$4:$G991,3,FALSE))</f>
        <v/>
      </c>
      <c r="AE486" t="str">
        <f>IF(X486="","",VLOOKUP($X486,RM!$C$4:$G991,4,FALSE))</f>
        <v/>
      </c>
      <c r="AF486" t="str">
        <f>IF(X486="","",VLOOKUP($X486,RM!$C$4:$G991,5,FALSE))</f>
        <v/>
      </c>
      <c r="AH486" t="str">
        <f ca="1">IFERROR(__xludf.DUMMYFUNCTION("""COMPUTED_VALUE"""),"STBD Aft Plate Assy")</f>
        <v>STBD Aft Plate Assy</v>
      </c>
      <c r="AI486" t="str">
        <f ca="1">IFERROR(__xludf.DUMMYFUNCTION("""COMPUTED_VALUE"""),"STBD Aft Plate")</f>
        <v>STBD Aft Plate</v>
      </c>
      <c r="AJ486">
        <f ca="1">IFERROR(__xludf.DUMMYFUNCTION("""COMPUTED_VALUE"""),1)</f>
        <v>1</v>
      </c>
      <c r="AK486" t="str">
        <f ca="1">IFERROR(__xludf.DUMMYFUNCTION("""COMPUTED_VALUE"""),"blank")</f>
        <v>blank</v>
      </c>
      <c r="AL486" t="e">
        <f ca="1">_xludf.IFNA(VLOOKUP(AH486,'S-FG'!$B$3:$B1001,1,FALSE),"")</f>
        <v>#NAME?</v>
      </c>
      <c r="AM486" t="e">
        <f ca="1">IF(AI486="","",SUMIFS(#REF!,RM!$C$4:$C991,AI486))</f>
        <v>#REF!</v>
      </c>
    </row>
    <row r="487" spans="5:39">
      <c r="E487" t="str">
        <f>IF(A487="","",SUMIFS('PR-BOM'!$D$3:$D1001,'PR-BOM'!$C$3:$C1001,A487)*C487)</f>
        <v/>
      </c>
      <c r="F487" t="e">
        <f ca="1">_xludf.IFNA(VLOOKUP(B487,'S-FG'!$B$3:$B1001,1,FALSE),"")</f>
        <v>#NAME?</v>
      </c>
      <c r="L487" t="str">
        <f t="shared" si="4"/>
        <v/>
      </c>
      <c r="Q487" t="str">
        <f>IF(N487="","",SUMIFS('PR-BOM'!$D$3:$D1001,'PR-BOM'!$C$3:$C1001,N487))</f>
        <v/>
      </c>
      <c r="Y487" t="str">
        <f t="shared" si="5"/>
        <v/>
      </c>
      <c r="Z487" t="str">
        <f>IF(X487="","",SUMIFS(#REF!,RM!$C$4:$C991,X487))</f>
        <v/>
      </c>
      <c r="AA487" t="str">
        <f>IF(X487="","",SUMIFS(#REF!,RM!$C$4:$C991,X487))</f>
        <v/>
      </c>
      <c r="AB487" t="str">
        <f>IF(X487="","",SUMIFS(IRegback!$Y$2:$Y1001,IRegback!$X$2:$X1001,X487))</f>
        <v/>
      </c>
      <c r="AC487" t="e">
        <f t="shared" si="6"/>
        <v>#VALUE!</v>
      </c>
      <c r="AD487" t="str">
        <f>IF(X487="","",VLOOKUP($X487,RM!$C$4:$G991,3,FALSE))</f>
        <v/>
      </c>
      <c r="AE487" t="str">
        <f>IF(X487="","",VLOOKUP($X487,RM!$C$4:$G991,4,FALSE))</f>
        <v/>
      </c>
      <c r="AF487" t="str">
        <f>IF(X487="","",VLOOKUP($X487,RM!$C$4:$G991,5,FALSE))</f>
        <v/>
      </c>
      <c r="AH487" t="str">
        <f ca="1">IFERROR(__xludf.DUMMYFUNCTION("""COMPUTED_VALUE"""),"STBD Aft Plate Assy")</f>
        <v>STBD Aft Plate Assy</v>
      </c>
      <c r="AI487" t="str">
        <f ca="1">IFERROR(__xludf.DUMMYFUNCTION("""COMPUTED_VALUE"""),"SS Cooling Water Inlet nozzle")</f>
        <v>SS Cooling Water Inlet nozzle</v>
      </c>
      <c r="AJ487">
        <f ca="1">IFERROR(__xludf.DUMMYFUNCTION("""COMPUTED_VALUE"""),1)</f>
        <v>1</v>
      </c>
      <c r="AL487" t="e">
        <f ca="1">_xludf.IFNA(VLOOKUP(AH487,'S-FG'!$B$3:$B1001,1,FALSE),"")</f>
        <v>#NAME?</v>
      </c>
      <c r="AM487" t="e">
        <f ca="1">IF(AI487="","",SUMIFS(#REF!,RM!$C$4:$C991,AI487))</f>
        <v>#REF!</v>
      </c>
    </row>
    <row r="488" spans="5:39">
      <c r="E488" t="str">
        <f>IF(A488="","",SUMIFS('PR-BOM'!$D$3:$D1001,'PR-BOM'!$C$3:$C1001,A488)*C488)</f>
        <v/>
      </c>
      <c r="F488" t="e">
        <f ca="1">_xludf.IFNA(VLOOKUP(B488,'S-FG'!$B$3:$B1001,1,FALSE),"")</f>
        <v>#NAME?</v>
      </c>
      <c r="L488" t="str">
        <f t="shared" si="4"/>
        <v/>
      </c>
      <c r="Q488" t="str">
        <f>IF(N488="","",SUMIFS('PR-BOM'!$D$3:$D1001,'PR-BOM'!$C$3:$C1001,N488))</f>
        <v/>
      </c>
      <c r="Y488" t="str">
        <f t="shared" si="5"/>
        <v/>
      </c>
      <c r="Z488" t="str">
        <f>IF(X488="","",SUMIFS(#REF!,RM!$C$4:$C991,X488))</f>
        <v/>
      </c>
      <c r="AA488" t="str">
        <f>IF(X488="","",SUMIFS(#REF!,RM!$C$4:$C991,X488))</f>
        <v/>
      </c>
      <c r="AB488" t="str">
        <f>IF(X488="","",SUMIFS(IRegback!$Y$2:$Y1001,IRegback!$X$2:$X1001,X488))</f>
        <v/>
      </c>
      <c r="AC488" t="e">
        <f t="shared" si="6"/>
        <v>#VALUE!</v>
      </c>
      <c r="AD488" t="str">
        <f>IF(X488="","",VLOOKUP($X488,RM!$C$4:$G991,3,FALSE))</f>
        <v/>
      </c>
      <c r="AE488" t="str">
        <f>IF(X488="","",VLOOKUP($X488,RM!$C$4:$G991,4,FALSE))</f>
        <v/>
      </c>
      <c r="AF488" t="str">
        <f>IF(X488="","",VLOOKUP($X488,RM!$C$4:$G991,5,FALSE))</f>
        <v/>
      </c>
      <c r="AH488" t="str">
        <f ca="1">IFERROR(__xludf.DUMMYFUNCTION("""COMPUTED_VALUE"""),"STBD Aft Plate Assy")</f>
        <v>STBD Aft Plate Assy</v>
      </c>
      <c r="AI488" t="str">
        <f ca="1">IFERROR(__xludf.DUMMYFUNCTION("""COMPUTED_VALUE"""),"SS Cooling Water Outlet nozzle")</f>
        <v>SS Cooling Water Outlet nozzle</v>
      </c>
      <c r="AJ488">
        <f ca="1">IFERROR(__xludf.DUMMYFUNCTION("""COMPUTED_VALUE"""),1)</f>
        <v>1</v>
      </c>
      <c r="AL488" t="e">
        <f ca="1">_xludf.IFNA(VLOOKUP(AH488,'S-FG'!$B$3:$B1001,1,FALSE),"")</f>
        <v>#NAME?</v>
      </c>
      <c r="AM488" t="e">
        <f ca="1">IF(AI488="","",SUMIFS(#REF!,RM!$C$4:$C991,AI488))</f>
        <v>#REF!</v>
      </c>
    </row>
    <row r="489" spans="5:39">
      <c r="E489" t="str">
        <f>IF(A489="","",SUMIFS('PR-BOM'!$D$3:$D1001,'PR-BOM'!$C$3:$C1001,A489)*C489)</f>
        <v/>
      </c>
      <c r="F489" t="e">
        <f ca="1">_xludf.IFNA(VLOOKUP(B489,'S-FG'!$B$3:$B1001,1,FALSE),"")</f>
        <v>#NAME?</v>
      </c>
      <c r="L489" t="str">
        <f t="shared" si="4"/>
        <v/>
      </c>
      <c r="Q489" t="str">
        <f>IF(N489="","",SUMIFS('PR-BOM'!$D$3:$D1001,'PR-BOM'!$C$3:$C1001,N489))</f>
        <v/>
      </c>
      <c r="Y489" t="str">
        <f t="shared" si="5"/>
        <v/>
      </c>
      <c r="Z489" t="str">
        <f>IF(X489="","",SUMIFS(#REF!,RM!$C$4:$C991,X489))</f>
        <v/>
      </c>
      <c r="AA489" t="str">
        <f>IF(X489="","",SUMIFS(#REF!,RM!$C$4:$C991,X489))</f>
        <v/>
      </c>
      <c r="AB489" t="str">
        <f>IF(X489="","",SUMIFS(IRegback!$Y$2:$Y1001,IRegback!$X$2:$X1001,X489))</f>
        <v/>
      </c>
      <c r="AC489" t="e">
        <f t="shared" si="6"/>
        <v>#VALUE!</v>
      </c>
      <c r="AD489" t="str">
        <f>IF(X489="","",VLOOKUP($X489,RM!$C$4:$G991,3,FALSE))</f>
        <v/>
      </c>
      <c r="AE489" t="str">
        <f>IF(X489="","",VLOOKUP($X489,RM!$C$4:$G991,4,FALSE))</f>
        <v/>
      </c>
      <c r="AF489" t="str">
        <f>IF(X489="","",VLOOKUP($X489,RM!$C$4:$G991,5,FALSE))</f>
        <v/>
      </c>
      <c r="AH489" t="str">
        <f ca="1">IFERROR(__xludf.DUMMYFUNCTION("""COMPUTED_VALUE"""),"STBD Aft Plate Assy")</f>
        <v>STBD Aft Plate Assy</v>
      </c>
      <c r="AI489" t="str">
        <f ca="1">IFERROR(__xludf.DUMMYFUNCTION("""COMPUTED_VALUE"""),"Greasing nozzle")</f>
        <v>Greasing nozzle</v>
      </c>
      <c r="AJ489">
        <f ca="1">IFERROR(__xludf.DUMMYFUNCTION("""COMPUTED_VALUE"""),1)</f>
        <v>1</v>
      </c>
      <c r="AL489" t="e">
        <f ca="1">_xludf.IFNA(VLOOKUP(AH489,'S-FG'!$B$3:$B1001,1,FALSE),"")</f>
        <v>#NAME?</v>
      </c>
      <c r="AM489" t="e">
        <f ca="1">IF(AI489="","",SUMIFS(#REF!,RM!$C$4:$C991,AI489))</f>
        <v>#REF!</v>
      </c>
    </row>
    <row r="490" spans="5:39">
      <c r="E490" t="str">
        <f>IF(A490="","",SUMIFS('PR-BOM'!$D$3:$D1001,'PR-BOM'!$C$3:$C1001,A490)*C490)</f>
        <v/>
      </c>
      <c r="F490" t="e">
        <f ca="1">_xludf.IFNA(VLOOKUP(B490,'S-FG'!$B$3:$B1001,1,FALSE),"")</f>
        <v>#NAME?</v>
      </c>
      <c r="L490" t="str">
        <f t="shared" si="4"/>
        <v/>
      </c>
      <c r="Q490" t="str">
        <f>IF(N490="","",SUMIFS('PR-BOM'!$D$3:$D1001,'PR-BOM'!$C$3:$C1001,N490))</f>
        <v/>
      </c>
      <c r="Y490" t="str">
        <f t="shared" si="5"/>
        <v/>
      </c>
      <c r="Z490" t="str">
        <f>IF(X490="","",SUMIFS(#REF!,RM!$C$4:$C991,X490))</f>
        <v/>
      </c>
      <c r="AA490" t="str">
        <f>IF(X490="","",SUMIFS(#REF!,RM!$C$4:$C991,X490))</f>
        <v/>
      </c>
      <c r="AB490" t="str">
        <f>IF(X490="","",SUMIFS(IRegback!$Y$2:$Y1001,IRegback!$X$2:$X1001,X490))</f>
        <v/>
      </c>
      <c r="AC490" t="e">
        <f t="shared" si="6"/>
        <v>#VALUE!</v>
      </c>
      <c r="AD490" t="str">
        <f>IF(X490="","",VLOOKUP($X490,RM!$C$4:$G991,3,FALSE))</f>
        <v/>
      </c>
      <c r="AE490" t="str">
        <f>IF(X490="","",VLOOKUP($X490,RM!$C$4:$G991,4,FALSE))</f>
        <v/>
      </c>
      <c r="AF490" t="str">
        <f>IF(X490="","",VLOOKUP($X490,RM!$C$4:$G991,5,FALSE))</f>
        <v/>
      </c>
      <c r="AH490" t="str">
        <f ca="1">IFERROR(__xludf.DUMMYFUNCTION("""COMPUTED_VALUE"""),"STBD Aft Plate Assy")</f>
        <v>STBD Aft Plate Assy</v>
      </c>
      <c r="AI490" t="str">
        <f ca="1">IFERROR(__xludf.DUMMYFUNCTION("""COMPUTED_VALUE"""),"M8 Slim Locknut")</f>
        <v>M8 Slim Locknut</v>
      </c>
      <c r="AJ490">
        <f ca="1">IFERROR(__xludf.DUMMYFUNCTION("""COMPUTED_VALUE"""),3)</f>
        <v>3</v>
      </c>
      <c r="AK490" t="str">
        <f ca="1">IFERROR(__xludf.DUMMYFUNCTION("""COMPUTED_VALUE"""),"blank")</f>
        <v>blank</v>
      </c>
      <c r="AL490" t="e">
        <f ca="1">_xludf.IFNA(VLOOKUP(AH490,'S-FG'!$B$3:$B1001,1,FALSE),"")</f>
        <v>#NAME?</v>
      </c>
      <c r="AM490" t="e">
        <f ca="1">IF(AI490="","",SUMIFS(#REF!,RM!$C$4:$C991,AI490))</f>
        <v>#REF!</v>
      </c>
    </row>
    <row r="491" spans="5:39">
      <c r="E491" t="str">
        <f>IF(A491="","",SUMIFS('PR-BOM'!$D$3:$D1001,'PR-BOM'!$C$3:$C1001,A491)*C491)</f>
        <v/>
      </c>
      <c r="F491" t="e">
        <f ca="1">_xludf.IFNA(VLOOKUP(B491,'S-FG'!$B$3:$B1001,1,FALSE),"")</f>
        <v>#NAME?</v>
      </c>
      <c r="L491" t="str">
        <f t="shared" si="4"/>
        <v/>
      </c>
      <c r="Q491" t="str">
        <f>IF(N491="","",SUMIFS('PR-BOM'!$D$3:$D1001,'PR-BOM'!$C$3:$C1001,N491))</f>
        <v/>
      </c>
      <c r="Y491" t="str">
        <f t="shared" si="5"/>
        <v/>
      </c>
      <c r="Z491" t="str">
        <f>IF(X491="","",SUMIFS(#REF!,RM!$C$4:$C991,X491))</f>
        <v/>
      </c>
      <c r="AA491" t="str">
        <f>IF(X491="","",SUMIFS(#REF!,RM!$C$4:$C991,X491))</f>
        <v/>
      </c>
      <c r="AB491" t="str">
        <f>IF(X491="","",SUMIFS(IRegback!$Y$2:$Y1001,IRegback!$X$2:$X1001,X491))</f>
        <v/>
      </c>
      <c r="AC491" t="e">
        <f t="shared" si="6"/>
        <v>#VALUE!</v>
      </c>
      <c r="AD491" t="str">
        <f>IF(X491="","",VLOOKUP($X491,RM!$C$4:$G991,3,FALSE))</f>
        <v/>
      </c>
      <c r="AE491" t="str">
        <f>IF(X491="","",VLOOKUP($X491,RM!$C$4:$G991,4,FALSE))</f>
        <v/>
      </c>
      <c r="AF491" t="str">
        <f>IF(X491="","",VLOOKUP($X491,RM!$C$4:$G991,5,FALSE))</f>
        <v/>
      </c>
      <c r="AH491" t="str">
        <f ca="1">IFERROR(__xludf.DUMMYFUNCTION("""COMPUTED_VALUE"""),"PORT Aft Plate Assy")</f>
        <v>PORT Aft Plate Assy</v>
      </c>
      <c r="AI491" t="str">
        <f ca="1">IFERROR(__xludf.DUMMYFUNCTION("""COMPUTED_VALUE"""),"PORT Aft Plate")</f>
        <v>PORT Aft Plate</v>
      </c>
      <c r="AJ491">
        <f ca="1">IFERROR(__xludf.DUMMYFUNCTION("""COMPUTED_VALUE"""),1)</f>
        <v>1</v>
      </c>
      <c r="AK491" t="str">
        <f ca="1">IFERROR(__xludf.DUMMYFUNCTION("""COMPUTED_VALUE"""),"blank")</f>
        <v>blank</v>
      </c>
      <c r="AL491" t="e">
        <f ca="1">_xludf.IFNA(VLOOKUP(AH491,'S-FG'!$B$3:$B1001,1,FALSE),"")</f>
        <v>#NAME?</v>
      </c>
      <c r="AM491" t="e">
        <f ca="1">IF(AI491="","",SUMIFS(#REF!,RM!$C$4:$C991,AI491))</f>
        <v>#REF!</v>
      </c>
    </row>
    <row r="492" spans="5:39">
      <c r="E492" t="str">
        <f>IF(A492="","",SUMIFS('PR-BOM'!$D$3:$D1001,'PR-BOM'!$C$3:$C1001,A492)*C492)</f>
        <v/>
      </c>
      <c r="F492" t="e">
        <f ca="1">_xludf.IFNA(VLOOKUP(B492,'S-FG'!$B$3:$B1001,1,FALSE),"")</f>
        <v>#NAME?</v>
      </c>
      <c r="L492" t="str">
        <f t="shared" si="4"/>
        <v/>
      </c>
      <c r="Q492" t="str">
        <f>IF(N492="","",SUMIFS('PR-BOM'!$D$3:$D1001,'PR-BOM'!$C$3:$C1001,N492))</f>
        <v/>
      </c>
      <c r="Y492" t="str">
        <f t="shared" si="5"/>
        <v/>
      </c>
      <c r="Z492" t="str">
        <f>IF(X492="","",SUMIFS(#REF!,RM!$C$4:$C991,X492))</f>
        <v/>
      </c>
      <c r="AA492" t="str">
        <f>IF(X492="","",SUMIFS(#REF!,RM!$C$4:$C991,X492))</f>
        <v/>
      </c>
      <c r="AB492" t="str">
        <f>IF(X492="","",SUMIFS(IRegback!$Y$2:$Y1001,IRegback!$X$2:$X1001,X492))</f>
        <v/>
      </c>
      <c r="AC492" t="e">
        <f t="shared" si="6"/>
        <v>#VALUE!</v>
      </c>
      <c r="AD492" t="str">
        <f>IF(X492="","",VLOOKUP($X492,RM!$C$4:$G991,3,FALSE))</f>
        <v/>
      </c>
      <c r="AE492" t="str">
        <f>IF(X492="","",VLOOKUP($X492,RM!$C$4:$G991,4,FALSE))</f>
        <v/>
      </c>
      <c r="AF492" t="str">
        <f>IF(X492="","",VLOOKUP($X492,RM!$C$4:$G991,5,FALSE))</f>
        <v/>
      </c>
      <c r="AH492" t="str">
        <f ca="1">IFERROR(__xludf.DUMMYFUNCTION("""COMPUTED_VALUE"""),"PORT Aft Plate Assy")</f>
        <v>PORT Aft Plate Assy</v>
      </c>
      <c r="AI492" t="str">
        <f ca="1">IFERROR(__xludf.DUMMYFUNCTION("""COMPUTED_VALUE"""),"SS Cooling Water Inlet nozzle")</f>
        <v>SS Cooling Water Inlet nozzle</v>
      </c>
      <c r="AJ492">
        <f ca="1">IFERROR(__xludf.DUMMYFUNCTION("""COMPUTED_VALUE"""),1)</f>
        <v>1</v>
      </c>
      <c r="AL492" t="e">
        <f ca="1">_xludf.IFNA(VLOOKUP(AH492,'S-FG'!$B$3:$B1001,1,FALSE),"")</f>
        <v>#NAME?</v>
      </c>
      <c r="AM492" t="e">
        <f ca="1">IF(AI492="","",SUMIFS(#REF!,RM!$C$4:$C991,AI492))</f>
        <v>#REF!</v>
      </c>
    </row>
    <row r="493" spans="5:39">
      <c r="E493" t="str">
        <f>IF(A493="","",SUMIFS('PR-BOM'!$D$3:$D1001,'PR-BOM'!$C$3:$C1001,A493)*C493)</f>
        <v/>
      </c>
      <c r="F493" t="e">
        <f ca="1">_xludf.IFNA(VLOOKUP(B493,'S-FG'!$B$3:$B1001,1,FALSE),"")</f>
        <v>#NAME?</v>
      </c>
      <c r="L493" t="str">
        <f t="shared" si="4"/>
        <v/>
      </c>
      <c r="Q493" t="str">
        <f>IF(N493="","",SUMIFS('PR-BOM'!$D$3:$D1001,'PR-BOM'!$C$3:$C1001,N493))</f>
        <v/>
      </c>
      <c r="Y493" t="str">
        <f t="shared" si="5"/>
        <v/>
      </c>
      <c r="Z493" t="str">
        <f>IF(X493="","",SUMIFS(#REF!,RM!$C$4:$C991,X493))</f>
        <v/>
      </c>
      <c r="AA493" t="str">
        <f>IF(X493="","",SUMIFS(#REF!,RM!$C$4:$C991,X493))</f>
        <v/>
      </c>
      <c r="AB493" t="str">
        <f>IF(X493="","",SUMIFS(IRegback!$Y$2:$Y1001,IRegback!$X$2:$X1001,X493))</f>
        <v/>
      </c>
      <c r="AC493" t="e">
        <f t="shared" si="6"/>
        <v>#VALUE!</v>
      </c>
      <c r="AD493" t="str">
        <f>IF(X493="","",VLOOKUP($X493,RM!$C$4:$G991,3,FALSE))</f>
        <v/>
      </c>
      <c r="AE493" t="str">
        <f>IF(X493="","",VLOOKUP($X493,RM!$C$4:$G991,4,FALSE))</f>
        <v/>
      </c>
      <c r="AF493" t="str">
        <f>IF(X493="","",VLOOKUP($X493,RM!$C$4:$G991,5,FALSE))</f>
        <v/>
      </c>
      <c r="AH493" t="str">
        <f ca="1">IFERROR(__xludf.DUMMYFUNCTION("""COMPUTED_VALUE"""),"PORT Aft Plate Assy")</f>
        <v>PORT Aft Plate Assy</v>
      </c>
      <c r="AI493" t="str">
        <f ca="1">IFERROR(__xludf.DUMMYFUNCTION("""COMPUTED_VALUE"""),"SS Cooling Water Outlet nozzle")</f>
        <v>SS Cooling Water Outlet nozzle</v>
      </c>
      <c r="AJ493">
        <f ca="1">IFERROR(__xludf.DUMMYFUNCTION("""COMPUTED_VALUE"""),1)</f>
        <v>1</v>
      </c>
      <c r="AL493" t="e">
        <f ca="1">_xludf.IFNA(VLOOKUP(AH493,'S-FG'!$B$3:$B1001,1,FALSE),"")</f>
        <v>#NAME?</v>
      </c>
      <c r="AM493" t="e">
        <f ca="1">IF(AI493="","",SUMIFS(#REF!,RM!$C$4:$C991,AI493))</f>
        <v>#REF!</v>
      </c>
    </row>
    <row r="494" spans="5:39">
      <c r="E494" t="str">
        <f>IF(A494="","",SUMIFS('PR-BOM'!$D$3:$D1001,'PR-BOM'!$C$3:$C1001,A494)*C494)</f>
        <v/>
      </c>
      <c r="F494" t="e">
        <f ca="1">_xludf.IFNA(VLOOKUP(B494,'S-FG'!$B$3:$B1001,1,FALSE),"")</f>
        <v>#NAME?</v>
      </c>
      <c r="L494" t="str">
        <f t="shared" si="4"/>
        <v/>
      </c>
      <c r="Q494" t="str">
        <f>IF(N494="","",SUMIFS('PR-BOM'!$D$3:$D1001,'PR-BOM'!$C$3:$C1001,N494))</f>
        <v/>
      </c>
      <c r="Y494" t="str">
        <f t="shared" si="5"/>
        <v/>
      </c>
      <c r="Z494" t="str">
        <f>IF(X494="","",SUMIFS(#REF!,RM!$C$4:$C991,X494))</f>
        <v/>
      </c>
      <c r="AA494" t="str">
        <f>IF(X494="","",SUMIFS(#REF!,RM!$C$4:$C991,X494))</f>
        <v/>
      </c>
      <c r="AB494" t="str">
        <f>IF(X494="","",SUMIFS(IRegback!$Y$2:$Y1001,IRegback!$X$2:$X1001,X494))</f>
        <v/>
      </c>
      <c r="AC494" t="e">
        <f t="shared" si="6"/>
        <v>#VALUE!</v>
      </c>
      <c r="AD494" t="str">
        <f>IF(X494="","",VLOOKUP($X494,RM!$C$4:$G991,3,FALSE))</f>
        <v/>
      </c>
      <c r="AE494" t="str">
        <f>IF(X494="","",VLOOKUP($X494,RM!$C$4:$G991,4,FALSE))</f>
        <v/>
      </c>
      <c r="AF494" t="str">
        <f>IF(X494="","",VLOOKUP($X494,RM!$C$4:$G991,5,FALSE))</f>
        <v/>
      </c>
      <c r="AH494" t="str">
        <f ca="1">IFERROR(__xludf.DUMMYFUNCTION("""COMPUTED_VALUE"""),"PORT Aft Plate Assy")</f>
        <v>PORT Aft Plate Assy</v>
      </c>
      <c r="AI494" t="str">
        <f ca="1">IFERROR(__xludf.DUMMYFUNCTION("""COMPUTED_VALUE"""),"Greasing nozzle")</f>
        <v>Greasing nozzle</v>
      </c>
      <c r="AJ494">
        <f ca="1">IFERROR(__xludf.DUMMYFUNCTION("""COMPUTED_VALUE"""),1)</f>
        <v>1</v>
      </c>
      <c r="AL494" t="e">
        <f ca="1">_xludf.IFNA(VLOOKUP(AH494,'S-FG'!$B$3:$B1001,1,FALSE),"")</f>
        <v>#NAME?</v>
      </c>
      <c r="AM494" t="e">
        <f ca="1">IF(AI494="","",SUMIFS(#REF!,RM!$C$4:$C991,AI494))</f>
        <v>#REF!</v>
      </c>
    </row>
    <row r="495" spans="5:39">
      <c r="E495" t="str">
        <f>IF(A495="","",SUMIFS('PR-BOM'!$D$3:$D1001,'PR-BOM'!$C$3:$C1001,A495)*C495)</f>
        <v/>
      </c>
      <c r="F495" t="e">
        <f ca="1">_xludf.IFNA(VLOOKUP(B495,'S-FG'!$B$3:$B1001,1,FALSE),"")</f>
        <v>#NAME?</v>
      </c>
      <c r="L495" t="str">
        <f t="shared" si="4"/>
        <v/>
      </c>
      <c r="Q495" t="str">
        <f>IF(N495="","",SUMIFS('PR-BOM'!$D$3:$D1001,'PR-BOM'!$C$3:$C1001,N495))</f>
        <v/>
      </c>
      <c r="Y495" t="str">
        <f t="shared" si="5"/>
        <v/>
      </c>
      <c r="Z495" t="str">
        <f>IF(X495="","",SUMIFS(#REF!,RM!$C$4:$C991,X495))</f>
        <v/>
      </c>
      <c r="AA495" t="str">
        <f>IF(X495="","",SUMIFS(#REF!,RM!$C$4:$C991,X495))</f>
        <v/>
      </c>
      <c r="AB495" t="str">
        <f>IF(X495="","",SUMIFS(IRegback!$Y$2:$Y1001,IRegback!$X$2:$X1001,X495))</f>
        <v/>
      </c>
      <c r="AC495" t="e">
        <f t="shared" si="6"/>
        <v>#VALUE!</v>
      </c>
      <c r="AD495" t="str">
        <f>IF(X495="","",VLOOKUP($X495,RM!$C$4:$G991,3,FALSE))</f>
        <v/>
      </c>
      <c r="AE495" t="str">
        <f>IF(X495="","",VLOOKUP($X495,RM!$C$4:$G991,4,FALSE))</f>
        <v/>
      </c>
      <c r="AF495" t="str">
        <f>IF(X495="","",VLOOKUP($X495,RM!$C$4:$G991,5,FALSE))</f>
        <v/>
      </c>
      <c r="AH495" t="str">
        <f ca="1">IFERROR(__xludf.DUMMYFUNCTION("""COMPUTED_VALUE"""),"PORT Aft Plate Assy")</f>
        <v>PORT Aft Plate Assy</v>
      </c>
      <c r="AI495" t="str">
        <f ca="1">IFERROR(__xludf.DUMMYFUNCTION("""COMPUTED_VALUE"""),"Air nozzle")</f>
        <v>Air nozzle</v>
      </c>
      <c r="AJ495">
        <f ca="1">IFERROR(__xludf.DUMMYFUNCTION("""COMPUTED_VALUE"""),1)</f>
        <v>1</v>
      </c>
      <c r="AK495" t="str">
        <f ca="1">IFERROR(__xludf.DUMMYFUNCTION("""COMPUTED_VALUE"""),"blank")</f>
        <v>blank</v>
      </c>
      <c r="AL495" t="e">
        <f ca="1">_xludf.IFNA(VLOOKUP(AH495,'S-FG'!$B$3:$B1001,1,FALSE),"")</f>
        <v>#NAME?</v>
      </c>
      <c r="AM495" t="e">
        <f ca="1">IF(AI495="","",SUMIFS(#REF!,RM!$C$4:$C991,AI495))</f>
        <v>#REF!</v>
      </c>
    </row>
    <row r="496" spans="5:39">
      <c r="E496" t="str">
        <f>IF(A496="","",SUMIFS('PR-BOM'!$D$3:$D1001,'PR-BOM'!$C$3:$C1001,A496)*C496)</f>
        <v/>
      </c>
      <c r="F496" t="e">
        <f ca="1">_xludf.IFNA(VLOOKUP(B496,'S-FG'!$B$3:$B1001,1,FALSE),"")</f>
        <v>#NAME?</v>
      </c>
      <c r="L496" t="str">
        <f t="shared" si="4"/>
        <v/>
      </c>
      <c r="Q496" t="str">
        <f>IF(N496="","",SUMIFS('PR-BOM'!$D$3:$D1001,'PR-BOM'!$C$3:$C1001,N496))</f>
        <v/>
      </c>
      <c r="Y496" t="str">
        <f t="shared" si="5"/>
        <v/>
      </c>
      <c r="Z496" t="str">
        <f>IF(X496="","",SUMIFS(#REF!,RM!$C$4:$C991,X496))</f>
        <v/>
      </c>
      <c r="AA496" t="str">
        <f>IF(X496="","",SUMIFS(#REF!,RM!$C$4:$C991,X496))</f>
        <v/>
      </c>
      <c r="AB496" t="str">
        <f>IF(X496="","",SUMIFS(IRegback!$Y$2:$Y1001,IRegback!$X$2:$X1001,X496))</f>
        <v/>
      </c>
      <c r="AC496" t="e">
        <f t="shared" si="6"/>
        <v>#VALUE!</v>
      </c>
      <c r="AD496" t="str">
        <f>IF(X496="","",VLOOKUP($X496,RM!$C$4:$G991,3,FALSE))</f>
        <v/>
      </c>
      <c r="AE496" t="str">
        <f>IF(X496="","",VLOOKUP($X496,RM!$C$4:$G991,4,FALSE))</f>
        <v/>
      </c>
      <c r="AF496" t="str">
        <f>IF(X496="","",VLOOKUP($X496,RM!$C$4:$G991,5,FALSE))</f>
        <v/>
      </c>
      <c r="AH496" t="str">
        <f ca="1">IFERROR(__xludf.DUMMYFUNCTION("""COMPUTED_VALUE"""),"PORT Aft Plate Assy")</f>
        <v>PORT Aft Plate Assy</v>
      </c>
      <c r="AI496" t="str">
        <f ca="1">IFERROR(__xludf.DUMMYFUNCTION("""COMPUTED_VALUE"""),"M8 Slim Locknut")</f>
        <v>M8 Slim Locknut</v>
      </c>
      <c r="AJ496">
        <f ca="1">IFERROR(__xludf.DUMMYFUNCTION("""COMPUTED_VALUE"""),3)</f>
        <v>3</v>
      </c>
      <c r="AK496" t="str">
        <f ca="1">IFERROR(__xludf.DUMMYFUNCTION("""COMPUTED_VALUE"""),"blank")</f>
        <v>blank</v>
      </c>
      <c r="AL496" t="e">
        <f ca="1">_xludf.IFNA(VLOOKUP(AH496,'S-FG'!$B$3:$B1001,1,FALSE),"")</f>
        <v>#NAME?</v>
      </c>
      <c r="AM496" t="e">
        <f ca="1">IF(AI496="","",SUMIFS(#REF!,RM!$C$4:$C991,AI496))</f>
        <v>#REF!</v>
      </c>
    </row>
    <row r="497" spans="5:39">
      <c r="E497" t="str">
        <f>IF(A497="","",SUMIFS('PR-BOM'!$D$3:$D1001,'PR-BOM'!$C$3:$C1001,A497)*C497)</f>
        <v/>
      </c>
      <c r="F497" t="e">
        <f ca="1">_xludf.IFNA(VLOOKUP(B497,'S-FG'!$B$3:$B1001,1,FALSE),"")</f>
        <v>#NAME?</v>
      </c>
      <c r="L497" t="str">
        <f t="shared" si="4"/>
        <v/>
      </c>
      <c r="Q497" t="str">
        <f>IF(N497="","",SUMIFS('PR-BOM'!$D$3:$D1001,'PR-BOM'!$C$3:$C1001,N497))</f>
        <v/>
      </c>
      <c r="Y497" t="str">
        <f t="shared" si="5"/>
        <v/>
      </c>
      <c r="Z497" t="str">
        <f>IF(X497="","",SUMIFS(#REF!,RM!$C$4:$C991,X497))</f>
        <v/>
      </c>
      <c r="AA497" t="str">
        <f>IF(X497="","",SUMIFS(#REF!,RM!$C$4:$C991,X497))</f>
        <v/>
      </c>
      <c r="AB497" t="str">
        <f>IF(X497="","",SUMIFS(IRegback!$Y$2:$Y1001,IRegback!$X$2:$X1001,X497))</f>
        <v/>
      </c>
      <c r="AC497" t="e">
        <f t="shared" si="6"/>
        <v>#VALUE!</v>
      </c>
      <c r="AD497" t="str">
        <f>IF(X497="","",VLOOKUP($X497,RM!$C$4:$G991,3,FALSE))</f>
        <v/>
      </c>
      <c r="AE497" t="str">
        <f>IF(X497="","",VLOOKUP($X497,RM!$C$4:$G991,4,FALSE))</f>
        <v/>
      </c>
      <c r="AF497" t="str">
        <f>IF(X497="","",VLOOKUP($X497,RM!$C$4:$G991,5,FALSE))</f>
        <v/>
      </c>
      <c r="AH497" t="str">
        <f ca="1">IFERROR(__xludf.DUMMYFUNCTION("""COMPUTED_VALUE"""),"R9MX Adapter")</f>
        <v>R9MX Adapter</v>
      </c>
      <c r="AI497" t="str">
        <f ca="1">IFERROR(__xludf.DUMMYFUNCTION("""COMPUTED_VALUE"""),"PWB of R9MX adapter")</f>
        <v>PWB of R9MX adapter</v>
      </c>
      <c r="AJ497">
        <f ca="1">IFERROR(__xludf.DUMMYFUNCTION("""COMPUTED_VALUE"""),1)</f>
        <v>1</v>
      </c>
      <c r="AK497" t="str">
        <f ca="1">IFERROR(__xludf.DUMMYFUNCTION("""COMPUTED_VALUE"""),"blank")</f>
        <v>blank</v>
      </c>
      <c r="AL497" t="e">
        <f ca="1">_xludf.IFNA(VLOOKUP(AH497,'S-FG'!$B$3:$B1001,1,FALSE),"")</f>
        <v>#NAME?</v>
      </c>
      <c r="AM497" t="e">
        <f ca="1">IF(AI497="","",SUMIFS(#REF!,RM!$C$4:$C991,AI497))</f>
        <v>#REF!</v>
      </c>
    </row>
    <row r="498" spans="5:39">
      <c r="E498" t="str">
        <f>IF(A498="","",SUMIFS('PR-BOM'!$D$3:$D1001,'PR-BOM'!$C$3:$C1001,A498)*C498)</f>
        <v/>
      </c>
      <c r="F498" t="e">
        <f ca="1">_xludf.IFNA(VLOOKUP(B498,'S-FG'!$B$3:$B1001,1,FALSE),"")</f>
        <v>#NAME?</v>
      </c>
      <c r="L498" t="str">
        <f t="shared" si="4"/>
        <v/>
      </c>
      <c r="Q498" t="str">
        <f>IF(N498="","",SUMIFS('PR-BOM'!$D$3:$D1001,'PR-BOM'!$C$3:$C1001,N498))</f>
        <v/>
      </c>
      <c r="Y498" t="str">
        <f t="shared" si="5"/>
        <v/>
      </c>
      <c r="Z498" t="str">
        <f>IF(X498="","",SUMIFS(#REF!,RM!$C$4:$C991,X498))</f>
        <v/>
      </c>
      <c r="AA498" t="str">
        <f>IF(X498="","",SUMIFS(#REF!,RM!$C$4:$C991,X498))</f>
        <v/>
      </c>
      <c r="AB498" t="str">
        <f>IF(X498="","",SUMIFS(IRegback!$Y$2:$Y1001,IRegback!$X$2:$X1001,X498))</f>
        <v/>
      </c>
      <c r="AC498" t="e">
        <f t="shared" si="6"/>
        <v>#VALUE!</v>
      </c>
      <c r="AD498" t="str">
        <f>IF(X498="","",VLOOKUP($X498,RM!$C$4:$G991,3,FALSE))</f>
        <v/>
      </c>
      <c r="AE498" t="str">
        <f>IF(X498="","",VLOOKUP($X498,RM!$C$4:$G991,4,FALSE))</f>
        <v/>
      </c>
      <c r="AF498" t="str">
        <f>IF(X498="","",VLOOKUP($X498,RM!$C$4:$G991,5,FALSE))</f>
        <v/>
      </c>
      <c r="AH498" t="str">
        <f ca="1">IFERROR(__xludf.DUMMYFUNCTION("""COMPUTED_VALUE"""),"R9MX Adapter")</f>
        <v>R9MX Adapter</v>
      </c>
      <c r="AI498" t="str">
        <f ca="1">IFERROR(__xludf.DUMMYFUNCTION("""COMPUTED_VALUE"""),"Female Bergstrip 40x1 2.0mm")</f>
        <v>Female Bergstrip 40x1 2.0mm</v>
      </c>
      <c r="AJ498">
        <f ca="1">IFERROR(__xludf.DUMMYFUNCTION("""COMPUTED_VALUE"""),0.25)</f>
        <v>0.25</v>
      </c>
      <c r="AL498" t="e">
        <f ca="1">_xludf.IFNA(VLOOKUP(AH498,'S-FG'!$B$3:$B1001,1,FALSE),"")</f>
        <v>#NAME?</v>
      </c>
      <c r="AM498" t="e">
        <f ca="1">IF(AI498="","",SUMIFS(#REF!,RM!$C$4:$C991,AI498))</f>
        <v>#REF!</v>
      </c>
    </row>
    <row r="499" spans="5:39">
      <c r="E499" t="str">
        <f>IF(A499="","",SUMIFS('PR-BOM'!$D$3:$D1001,'PR-BOM'!$C$3:$C1001,A499)*C499)</f>
        <v/>
      </c>
      <c r="F499" t="e">
        <f ca="1">_xludf.IFNA(VLOOKUP(B499,'S-FG'!$B$3:$B1001,1,FALSE),"")</f>
        <v>#NAME?</v>
      </c>
      <c r="L499" t="str">
        <f t="shared" si="4"/>
        <v/>
      </c>
      <c r="Q499" t="str">
        <f>IF(N499="","",SUMIFS('PR-BOM'!$D$3:$D1001,'PR-BOM'!$C$3:$C1001,N499))</f>
        <v/>
      </c>
      <c r="Y499" t="str">
        <f t="shared" si="5"/>
        <v/>
      </c>
      <c r="Z499" t="str">
        <f>IF(X499="","",SUMIFS(#REF!,RM!$C$4:$C991,X499))</f>
        <v/>
      </c>
      <c r="AA499" t="str">
        <f>IF(X499="","",SUMIFS(#REF!,RM!$C$4:$C991,X499))</f>
        <v/>
      </c>
      <c r="AB499" t="str">
        <f>IF(X499="","",SUMIFS(IRegback!$Y$2:$Y1001,IRegback!$X$2:$X1001,X499))</f>
        <v/>
      </c>
      <c r="AC499" t="e">
        <f t="shared" si="6"/>
        <v>#VALUE!</v>
      </c>
      <c r="AD499" t="str">
        <f>IF(X499="","",VLOOKUP($X499,RM!$C$4:$G991,3,FALSE))</f>
        <v/>
      </c>
      <c r="AE499" t="str">
        <f>IF(X499="","",VLOOKUP($X499,RM!$C$4:$G991,4,FALSE))</f>
        <v/>
      </c>
      <c r="AF499" t="str">
        <f>IF(X499="","",VLOOKUP($X499,RM!$C$4:$G991,5,FALSE))</f>
        <v/>
      </c>
      <c r="AH499" t="str">
        <f ca="1">IFERROR(__xludf.DUMMYFUNCTION("""COMPUTED_VALUE"""),"R9MX Adapter")</f>
        <v>R9MX Adapter</v>
      </c>
      <c r="AI499" t="str">
        <f ca="1">IFERROR(__xludf.DUMMYFUNCTION("""COMPUTED_VALUE"""),"Male Bergstrip 40x1 2.0mm")</f>
        <v>Male Bergstrip 40x1 2.0mm</v>
      </c>
      <c r="AJ499">
        <f ca="1">IFERROR(__xludf.DUMMYFUNCTION("""COMPUTED_VALUE"""),0.25)</f>
        <v>0.25</v>
      </c>
      <c r="AL499" t="e">
        <f ca="1">_xludf.IFNA(VLOOKUP(AH499,'S-FG'!$B$3:$B1001,1,FALSE),"")</f>
        <v>#NAME?</v>
      </c>
      <c r="AM499" t="e">
        <f ca="1">IF(AI499="","",SUMIFS(#REF!,RM!$C$4:$C991,AI499))</f>
        <v>#REF!</v>
      </c>
    </row>
    <row r="500" spans="5:39">
      <c r="E500" t="str">
        <f>IF(A500="","",SUMIFS('PR-BOM'!$D$3:$D1001,'PR-BOM'!$C$3:$C1001,A500)*C500)</f>
        <v/>
      </c>
      <c r="F500" t="e">
        <f ca="1">_xludf.IFNA(VLOOKUP(B500,'S-FG'!$B$3:$B1001,1,FALSE),"")</f>
        <v>#NAME?</v>
      </c>
      <c r="L500" t="str">
        <f t="shared" si="4"/>
        <v/>
      </c>
      <c r="Q500" t="str">
        <f>IF(N500="","",SUMIFS('PR-BOM'!$D$3:$D1001,'PR-BOM'!$C$3:$C1001,N500))</f>
        <v/>
      </c>
      <c r="Y500" t="str">
        <f t="shared" si="5"/>
        <v/>
      </c>
      <c r="Z500" t="str">
        <f>IF(X500="","",SUMIFS(#REF!,RM!$C$4:$C991,X500))</f>
        <v/>
      </c>
      <c r="AA500" t="str">
        <f>IF(X500="","",SUMIFS(#REF!,RM!$C$4:$C991,X500))</f>
        <v/>
      </c>
      <c r="AB500" t="str">
        <f>IF(X500="","",SUMIFS(IRegback!$Y$2:$Y1001,IRegback!$X$2:$X1001,X500))</f>
        <v/>
      </c>
      <c r="AC500" t="e">
        <f t="shared" si="6"/>
        <v>#VALUE!</v>
      </c>
      <c r="AD500" t="str">
        <f>IF(X500="","",VLOOKUP($X500,RM!$C$4:$G991,3,FALSE))</f>
        <v/>
      </c>
      <c r="AE500" t="str">
        <f>IF(X500="","",VLOOKUP($X500,RM!$C$4:$G991,4,FALSE))</f>
        <v/>
      </c>
      <c r="AF500" t="str">
        <f>IF(X500="","",VLOOKUP($X500,RM!$C$4:$G991,5,FALSE))</f>
        <v/>
      </c>
      <c r="AH500" t="str">
        <f ca="1">IFERROR(__xludf.DUMMYFUNCTION("""COMPUTED_VALUE"""),"R9MX Adapter")</f>
        <v>R9MX Adapter</v>
      </c>
      <c r="AI500" t="str">
        <f ca="1">IFERROR(__xludf.DUMMYFUNCTION("""COMPUTED_VALUE"""),"Lead wire 22AWG")</f>
        <v>Lead wire 22AWG</v>
      </c>
      <c r="AJ500">
        <f ca="1">IFERROR(__xludf.DUMMYFUNCTION("""COMPUTED_VALUE"""),2)</f>
        <v>2</v>
      </c>
      <c r="AL500" t="e">
        <f ca="1">_xludf.IFNA(VLOOKUP(AH500,'S-FG'!$B$3:$B1001,1,FALSE),"")</f>
        <v>#NAME?</v>
      </c>
      <c r="AM500" t="e">
        <f ca="1">IF(AI500="","",SUMIFS(#REF!,RM!$C$4:$C991,AI500))</f>
        <v>#REF!</v>
      </c>
    </row>
    <row r="501" spans="5:39">
      <c r="E501" t="str">
        <f>IF(A501="","",SUMIFS('PR-BOM'!$D$3:$D1001,'PR-BOM'!$C$3:$C1001,A501)*C501)</f>
        <v/>
      </c>
      <c r="F501" t="e">
        <f ca="1">_xludf.IFNA(VLOOKUP(B501,'S-FG'!$B$3:$B1001,1,FALSE),"")</f>
        <v>#NAME?</v>
      </c>
      <c r="L501" t="str">
        <f t="shared" si="4"/>
        <v/>
      </c>
      <c r="Q501" t="str">
        <f>IF(N501="","",SUMIFS('PR-BOM'!$D$3:$D1001,'PR-BOM'!$C$3:$C1001,N501))</f>
        <v/>
      </c>
      <c r="Y501" t="str">
        <f t="shared" si="5"/>
        <v/>
      </c>
      <c r="Z501" t="str">
        <f>IF(X501="","",SUMIFS(#REF!,RM!$C$4:$C991,X501))</f>
        <v/>
      </c>
      <c r="AA501" t="str">
        <f>IF(X501="","",SUMIFS(#REF!,RM!$C$4:$C991,X501))</f>
        <v/>
      </c>
      <c r="AB501" t="str">
        <f>IF(X501="","",SUMIFS(IRegback!$Y$2:$Y1001,IRegback!$X$2:$X1001,X501))</f>
        <v/>
      </c>
      <c r="AC501" t="e">
        <f t="shared" si="6"/>
        <v>#VALUE!</v>
      </c>
      <c r="AD501" t="str">
        <f>IF(X501="","",VLOOKUP($X501,RM!$C$4:$G991,3,FALSE))</f>
        <v/>
      </c>
      <c r="AE501" t="str">
        <f>IF(X501="","",VLOOKUP($X501,RM!$C$4:$G991,4,FALSE))</f>
        <v/>
      </c>
      <c r="AF501" t="str">
        <f>IF(X501="","",VLOOKUP($X501,RM!$C$4:$G991,5,FALSE))</f>
        <v/>
      </c>
      <c r="AH501" t="str">
        <f ca="1">IFERROR(__xludf.DUMMYFUNCTION("""COMPUTED_VALUE"""),"R9MX Adapter")</f>
        <v>R9MX Adapter</v>
      </c>
      <c r="AI501" t="str">
        <f ca="1">IFERROR(__xludf.DUMMYFUNCTION("""COMPUTED_VALUE"""),"LM1117 5.0v")</f>
        <v>LM1117 5.0v</v>
      </c>
      <c r="AJ501">
        <f ca="1">IFERROR(__xludf.DUMMYFUNCTION("""COMPUTED_VALUE"""),1)</f>
        <v>1</v>
      </c>
      <c r="AK501" t="str">
        <f ca="1">IFERROR(__xludf.DUMMYFUNCTION("""COMPUTED_VALUE"""),"blank")</f>
        <v>blank</v>
      </c>
      <c r="AL501" t="e">
        <f ca="1">_xludf.IFNA(VLOOKUP(AH501,'S-FG'!$B$3:$B1001,1,FALSE),"")</f>
        <v>#NAME?</v>
      </c>
      <c r="AM501" t="e">
        <f ca="1">IF(AI501="","",SUMIFS(#REF!,RM!$C$4:$C991,AI501))</f>
        <v>#REF!</v>
      </c>
    </row>
    <row r="502" spans="5:39">
      <c r="E502" t="str">
        <f>IF(A502="","",SUMIFS('PR-BOM'!$D$3:$D1001,'PR-BOM'!$C$3:$C1001,A502)*C502)</f>
        <v/>
      </c>
      <c r="F502" t="e">
        <f ca="1">_xludf.IFNA(VLOOKUP(B502,'S-FG'!$B$3:$B1001,1,FALSE),"")</f>
        <v>#NAME?</v>
      </c>
      <c r="L502" t="str">
        <f t="shared" si="4"/>
        <v/>
      </c>
      <c r="Q502" t="str">
        <f>IF(N502="","",SUMIFS('PR-BOM'!$D$3:$D1001,'PR-BOM'!$C$3:$C1001,N502))</f>
        <v/>
      </c>
      <c r="Y502" t="str">
        <f t="shared" si="5"/>
        <v/>
      </c>
      <c r="Z502" t="str">
        <f>IF(X502="","",SUMIFS(#REF!,RM!$C$4:$C991,X502))</f>
        <v/>
      </c>
      <c r="AA502" t="str">
        <f>IF(X502="","",SUMIFS(#REF!,RM!$C$4:$C991,X502))</f>
        <v/>
      </c>
      <c r="AB502" t="str">
        <f>IF(X502="","",SUMIFS(IRegback!$Y$2:$Y1001,IRegback!$X$2:$X1001,X502))</f>
        <v/>
      </c>
      <c r="AC502" t="e">
        <f t="shared" si="6"/>
        <v>#VALUE!</v>
      </c>
      <c r="AD502" t="str">
        <f>IF(X502="","",VLOOKUP($X502,RM!$C$4:$G991,3,FALSE))</f>
        <v/>
      </c>
      <c r="AE502" t="str">
        <f>IF(X502="","",VLOOKUP($X502,RM!$C$4:$G991,4,FALSE))</f>
        <v/>
      </c>
      <c r="AF502" t="str">
        <f>IF(X502="","",VLOOKUP($X502,RM!$C$4:$G991,5,FALSE))</f>
        <v/>
      </c>
      <c r="AH502" t="str">
        <f ca="1">IFERROR(__xludf.DUMMYFUNCTION("""COMPUTED_VALUE"""),"R9MX Adapter")</f>
        <v>R9MX Adapter</v>
      </c>
      <c r="AI502" t="str">
        <f ca="1">IFERROR(__xludf.DUMMYFUNCTION("""COMPUTED_VALUE"""),"10uF 10v Tantalum Capacitor Case A")</f>
        <v>10uF 10v Tantalum Capacitor Case A</v>
      </c>
      <c r="AJ502">
        <f ca="1">IFERROR(__xludf.DUMMYFUNCTION("""COMPUTED_VALUE"""),1)</f>
        <v>1</v>
      </c>
      <c r="AK502" t="str">
        <f ca="1">IFERROR(__xludf.DUMMYFUNCTION("""COMPUTED_VALUE"""),"T491A106K010AT")</f>
        <v>T491A106K010AT</v>
      </c>
      <c r="AL502" t="e">
        <f ca="1">_xludf.IFNA(VLOOKUP(AH502,'S-FG'!$B$3:$B1001,1,FALSE),"")</f>
        <v>#NAME?</v>
      </c>
      <c r="AM502" t="e">
        <f ca="1">IF(AI502="","",SUMIFS(#REF!,RM!$C$4:$C991,AI502))</f>
        <v>#REF!</v>
      </c>
    </row>
    <row r="503" spans="5:39">
      <c r="E503" t="str">
        <f>IF(A503="","",SUMIFS('PR-BOM'!$D$3:$D1001,'PR-BOM'!$C$3:$C1001,A503)*C503)</f>
        <v/>
      </c>
      <c r="F503" t="e">
        <f ca="1">_xludf.IFNA(VLOOKUP(B503,'S-FG'!$B$3:$B1001,1,FALSE),"")</f>
        <v>#NAME?</v>
      </c>
      <c r="L503" t="str">
        <f t="shared" si="4"/>
        <v/>
      </c>
      <c r="Q503" t="str">
        <f>IF(N503="","",SUMIFS('PR-BOM'!$D$3:$D1001,'PR-BOM'!$C$3:$C1001,N503))</f>
        <v/>
      </c>
      <c r="Y503" t="str">
        <f t="shared" si="5"/>
        <v/>
      </c>
      <c r="Z503" t="str">
        <f>IF(X503="","",SUMIFS(#REF!,RM!$C$4:$C991,X503))</f>
        <v/>
      </c>
      <c r="AA503" t="str">
        <f>IF(X503="","",SUMIFS(#REF!,RM!$C$4:$C991,X503))</f>
        <v/>
      </c>
      <c r="AB503" t="str">
        <f>IF(X503="","",SUMIFS(IRegback!$Y$2:$Y1001,IRegback!$X$2:$X1001,X503))</f>
        <v/>
      </c>
      <c r="AC503" t="e">
        <f t="shared" si="6"/>
        <v>#VALUE!</v>
      </c>
      <c r="AD503" t="str">
        <f>IF(X503="","",VLOOKUP($X503,RM!$C$4:$G991,3,FALSE))</f>
        <v/>
      </c>
      <c r="AE503" t="str">
        <f>IF(X503="","",VLOOKUP($X503,RM!$C$4:$G991,4,FALSE))</f>
        <v/>
      </c>
      <c r="AF503" t="str">
        <f>IF(X503="","",VLOOKUP($X503,RM!$C$4:$G991,5,FALSE))</f>
        <v/>
      </c>
      <c r="AH503" t="str">
        <f ca="1">IFERROR(__xludf.DUMMYFUNCTION("""COMPUTED_VALUE"""),"Final Packing")</f>
        <v>Final Packing</v>
      </c>
      <c r="AI503" t="str">
        <f ca="1">IFERROR(__xludf.DUMMYFUNCTION("""COMPUTED_VALUE"""),"66 No. Box for chraging cable &amp; Tool box")</f>
        <v>66 No. Box for chraging cable &amp; Tool box</v>
      </c>
      <c r="AJ503">
        <f ca="1">IFERROR(__xludf.DUMMYFUNCTION("""COMPUTED_VALUE"""),1)</f>
        <v>1</v>
      </c>
      <c r="AK503" t="str">
        <f ca="1">IFERROR(__xludf.DUMMYFUNCTION("""COMPUTED_VALUE"""),"blank")</f>
        <v>blank</v>
      </c>
      <c r="AL503" t="e">
        <f ca="1">_xludf.IFNA(VLOOKUP(AH503,'S-FG'!$B$3:$B1001,1,FALSE),"")</f>
        <v>#NAME?</v>
      </c>
      <c r="AM503" t="e">
        <f ca="1">IF(AI503="","",SUMIFS(#REF!,RM!$C$4:$C991,AI503))</f>
        <v>#REF!</v>
      </c>
    </row>
    <row r="504" spans="5:39">
      <c r="E504" t="str">
        <f>IF(A504="","",SUMIFS('PR-BOM'!$D$3:$D1001,'PR-BOM'!$C$3:$C1001,A504)*C504)</f>
        <v/>
      </c>
      <c r="F504" t="e">
        <f ca="1">_xludf.IFNA(VLOOKUP(B504,'S-FG'!$B$3:$B1001,1,FALSE),"")</f>
        <v>#NAME?</v>
      </c>
      <c r="L504" t="str">
        <f t="shared" si="4"/>
        <v/>
      </c>
      <c r="Q504" t="str">
        <f>IF(N504="","",SUMIFS('PR-BOM'!$D$3:$D1001,'PR-BOM'!$C$3:$C1001,N504))</f>
        <v/>
      </c>
      <c r="Y504" t="str">
        <f t="shared" si="5"/>
        <v/>
      </c>
      <c r="Z504" t="str">
        <f>IF(X504="","",SUMIFS(#REF!,RM!$C$4:$C991,X504))</f>
        <v/>
      </c>
      <c r="AA504" t="str">
        <f>IF(X504="","",SUMIFS(#REF!,RM!$C$4:$C991,X504))</f>
        <v/>
      </c>
      <c r="AB504" t="str">
        <f>IF(X504="","",SUMIFS(IRegback!$Y$2:$Y1001,IRegback!$X$2:$X1001,X504))</f>
        <v/>
      </c>
      <c r="AC504" t="e">
        <f t="shared" si="6"/>
        <v>#VALUE!</v>
      </c>
      <c r="AD504" t="str">
        <f>IF(X504="","",VLOOKUP($X504,RM!$C$4:$G991,3,FALSE))</f>
        <v/>
      </c>
      <c r="AE504" t="str">
        <f>IF(X504="","",VLOOKUP($X504,RM!$C$4:$G991,4,FALSE))</f>
        <v/>
      </c>
      <c r="AF504" t="str">
        <f>IF(X504="","",VLOOKUP($X504,RM!$C$4:$G991,5,FALSE))</f>
        <v/>
      </c>
      <c r="AH504" t="str">
        <f ca="1">IFERROR(__xludf.DUMMYFUNCTION("""COMPUTED_VALUE"""),"Final Packing")</f>
        <v>Final Packing</v>
      </c>
      <c r="AI504" t="str">
        <f ca="1">IFERROR(__xludf.DUMMYFUNCTION("""COMPUTED_VALUE"""),"22 No. Box for SR structure screws")</f>
        <v>22 No. Box for SR structure screws</v>
      </c>
      <c r="AJ504">
        <f ca="1">IFERROR(__xludf.DUMMYFUNCTION("""COMPUTED_VALUE"""),1)</f>
        <v>1</v>
      </c>
      <c r="AK504" t="str">
        <f ca="1">IFERROR(__xludf.DUMMYFUNCTION("""COMPUTED_VALUE"""),"                                                                                 ")</f>
        <v xml:space="preserve">                                                                                 </v>
      </c>
      <c r="AL504" t="e">
        <f ca="1">_xludf.IFNA(VLOOKUP(AH504,'S-FG'!$B$3:$B1001,1,FALSE),"")</f>
        <v>#NAME?</v>
      </c>
      <c r="AM504" t="e">
        <f ca="1">IF(AI504="","",SUMIFS(#REF!,RM!$C$4:$C991,AI504))</f>
        <v>#REF!</v>
      </c>
    </row>
    <row r="505" spans="5:39">
      <c r="E505" t="str">
        <f>IF(A505="","",SUMIFS('PR-BOM'!$D$3:$D1001,'PR-BOM'!$C$3:$C1001,A505)*C505)</f>
        <v/>
      </c>
      <c r="F505" t="e">
        <f ca="1">_xludf.IFNA(VLOOKUP(B505,'S-FG'!$B$3:$B1001,1,FALSE),"")</f>
        <v>#NAME?</v>
      </c>
      <c r="L505" t="str">
        <f t="shared" si="4"/>
        <v/>
      </c>
      <c r="Q505" t="str">
        <f>IF(N505="","",SUMIFS('PR-BOM'!$D$3:$D1001,'PR-BOM'!$C$3:$C1001,N505))</f>
        <v/>
      </c>
      <c r="Y505" t="str">
        <f t="shared" si="5"/>
        <v/>
      </c>
      <c r="Z505" t="str">
        <f>IF(X505="","",SUMIFS(#REF!,RM!$C$4:$C991,X505))</f>
        <v/>
      </c>
      <c r="AA505" t="str">
        <f>IF(X505="","",SUMIFS(#REF!,RM!$C$4:$C991,X505))</f>
        <v/>
      </c>
      <c r="AB505" t="str">
        <f>IF(X505="","",SUMIFS(IRegback!$Y$2:$Y1001,IRegback!$X$2:$X1001,X505))</f>
        <v/>
      </c>
      <c r="AC505" t="e">
        <f t="shared" si="6"/>
        <v>#VALUE!</v>
      </c>
      <c r="AD505" t="str">
        <f>IF(X505="","",VLOOKUP($X505,RM!$C$4:$G991,3,FALSE))</f>
        <v/>
      </c>
      <c r="AE505" t="str">
        <f>IF(X505="","",VLOOKUP($X505,RM!$C$4:$G991,4,FALSE))</f>
        <v/>
      </c>
      <c r="AF505" t="str">
        <f>IF(X505="","",VLOOKUP($X505,RM!$C$4:$G991,5,FALSE))</f>
        <v/>
      </c>
      <c r="AH505" t="str">
        <f ca="1">IFERROR(__xludf.DUMMYFUNCTION("""COMPUTED_VALUE"""),"Final Packing")</f>
        <v>Final Packing</v>
      </c>
      <c r="AI505" t="str">
        <f ca="1">IFERROR(__xludf.DUMMYFUNCTION("""COMPUTED_VALUE"""),"10mm Nut Driver with 15mm Depth")</f>
        <v>10mm Nut Driver with 15mm Depth</v>
      </c>
      <c r="AJ505">
        <f ca="1">IFERROR(__xludf.DUMMYFUNCTION("""COMPUTED_VALUE"""),1)</f>
        <v>1</v>
      </c>
      <c r="AK505" t="str">
        <f ca="1">IFERROR(__xludf.DUMMYFUNCTION("""COMPUTED_VALUE"""),"blank")</f>
        <v>blank</v>
      </c>
      <c r="AL505" t="e">
        <f ca="1">_xludf.IFNA(VLOOKUP(AH505,'S-FG'!$B$3:$B1001,1,FALSE),"")</f>
        <v>#NAME?</v>
      </c>
      <c r="AM505" t="e">
        <f ca="1">IF(AI505="","",SUMIFS(#REF!,RM!$C$4:$C991,AI505))</f>
        <v>#REF!</v>
      </c>
    </row>
    <row r="506" spans="5:39">
      <c r="E506" t="str">
        <f>IF(A506="","",SUMIFS('PR-BOM'!$D$3:$D1001,'PR-BOM'!$C$3:$C1001,A506)*C506)</f>
        <v/>
      </c>
      <c r="F506" t="e">
        <f ca="1">_xludf.IFNA(VLOOKUP(B506,'S-FG'!$B$3:$B1001,1,FALSE),"")</f>
        <v>#NAME?</v>
      </c>
      <c r="L506" t="str">
        <f t="shared" si="4"/>
        <v/>
      </c>
      <c r="Q506" t="str">
        <f>IF(N506="","",SUMIFS('PR-BOM'!$D$3:$D1001,'PR-BOM'!$C$3:$C1001,N506))</f>
        <v/>
      </c>
      <c r="Y506" t="str">
        <f t="shared" si="5"/>
        <v/>
      </c>
      <c r="Z506" t="str">
        <f>IF(X506="","",SUMIFS(#REF!,RM!$C$4:$C991,X506))</f>
        <v/>
      </c>
      <c r="AA506" t="str">
        <f>IF(X506="","",SUMIFS(#REF!,RM!$C$4:$C991,X506))</f>
        <v/>
      </c>
      <c r="AB506" t="str">
        <f>IF(X506="","",SUMIFS(IRegback!$Y$2:$Y1001,IRegback!$X$2:$X1001,X506))</f>
        <v/>
      </c>
      <c r="AC506" t="e">
        <f t="shared" si="6"/>
        <v>#VALUE!</v>
      </c>
      <c r="AD506" t="str">
        <f>IF(X506="","",VLOOKUP($X506,RM!$C$4:$G991,3,FALSE))</f>
        <v/>
      </c>
      <c r="AE506" t="str">
        <f>IF(X506="","",VLOOKUP($X506,RM!$C$4:$G991,4,FALSE))</f>
        <v/>
      </c>
      <c r="AF506" t="str">
        <f>IF(X506="","",VLOOKUP($X506,RM!$C$4:$G991,5,FALSE))</f>
        <v/>
      </c>
      <c r="AH506" t="str">
        <f ca="1">IFERROR(__xludf.DUMMYFUNCTION("""COMPUTED_VALUE"""),"Final Packing")</f>
        <v>Final Packing</v>
      </c>
      <c r="AI506" t="str">
        <f ca="1">IFERROR(__xludf.DUMMYFUNCTION("""COMPUTED_VALUE"""),"4mm T-Handle")</f>
        <v>4mm T-Handle</v>
      </c>
      <c r="AJ506">
        <f ca="1">IFERROR(__xludf.DUMMYFUNCTION("""COMPUTED_VALUE"""),1)</f>
        <v>1</v>
      </c>
      <c r="AK506" t="str">
        <f ca="1">IFERROR(__xludf.DUMMYFUNCTION("""COMPUTED_VALUE"""),"blank")</f>
        <v>blank</v>
      </c>
      <c r="AL506" t="e">
        <f ca="1">_xludf.IFNA(VLOOKUP(AH506,'S-FG'!$B$3:$B1001,1,FALSE),"")</f>
        <v>#NAME?</v>
      </c>
      <c r="AM506" t="e">
        <f ca="1">IF(AI506="","",SUMIFS(#REF!,RM!$C$4:$C991,AI506))</f>
        <v>#REF!</v>
      </c>
    </row>
    <row r="507" spans="5:39">
      <c r="E507" t="str">
        <f>IF(A507="","",SUMIFS('PR-BOM'!$D$3:$D1001,'PR-BOM'!$C$3:$C1001,A507)*C507)</f>
        <v/>
      </c>
      <c r="F507" t="e">
        <f ca="1">_xludf.IFNA(VLOOKUP(B507,'S-FG'!$B$3:$B1001,1,FALSE),"")</f>
        <v>#NAME?</v>
      </c>
      <c r="L507" t="str">
        <f t="shared" si="4"/>
        <v/>
      </c>
      <c r="Q507" t="str">
        <f>IF(N507="","",SUMIFS('PR-BOM'!$D$3:$D1001,'PR-BOM'!$C$3:$C1001,N507))</f>
        <v/>
      </c>
      <c r="Y507" t="str">
        <f t="shared" si="5"/>
        <v/>
      </c>
      <c r="Z507" t="str">
        <f>IF(X507="","",SUMIFS(#REF!,RM!$C$4:$C991,X507))</f>
        <v/>
      </c>
      <c r="AA507" t="str">
        <f>IF(X507="","",SUMIFS(#REF!,RM!$C$4:$C991,X507))</f>
        <v/>
      </c>
      <c r="AB507" t="str">
        <f>IF(X507="","",SUMIFS(IRegback!$Y$2:$Y1001,IRegback!$X$2:$X1001,X507))</f>
        <v/>
      </c>
      <c r="AC507" t="e">
        <f t="shared" si="6"/>
        <v>#VALUE!</v>
      </c>
      <c r="AD507" t="str">
        <f>IF(X507="","",VLOOKUP($X507,RM!$C$4:$G991,3,FALSE))</f>
        <v/>
      </c>
      <c r="AE507" t="str">
        <f>IF(X507="","",VLOOKUP($X507,RM!$C$4:$G991,4,FALSE))</f>
        <v/>
      </c>
      <c r="AF507" t="str">
        <f>IF(X507="","",VLOOKUP($X507,RM!$C$4:$G991,5,FALSE))</f>
        <v/>
      </c>
      <c r="AH507" t="str">
        <f ca="1">IFERROR(__xludf.DUMMYFUNCTION("""COMPUTED_VALUE"""),"Final Packing")</f>
        <v>Final Packing</v>
      </c>
      <c r="AI507" t="str">
        <f ca="1">IFERROR(__xludf.DUMMYFUNCTION("""COMPUTED_VALUE"""),"Greasing Pump")</f>
        <v>Greasing Pump</v>
      </c>
      <c r="AJ507">
        <f ca="1">IFERROR(__xludf.DUMMYFUNCTION("""COMPUTED_VALUE"""),1)</f>
        <v>1</v>
      </c>
      <c r="AL507" t="e">
        <f ca="1">_xludf.IFNA(VLOOKUP(AH507,'S-FG'!$B$3:$B1001,1,FALSE),"")</f>
        <v>#NAME?</v>
      </c>
      <c r="AM507" t="e">
        <f ca="1">IF(AI507="","",SUMIFS(#REF!,RM!$C$4:$C991,AI507))</f>
        <v>#REF!</v>
      </c>
    </row>
    <row r="508" spans="5:39">
      <c r="E508" t="str">
        <f>IF(A508="","",SUMIFS('PR-BOM'!$D$3:$D1001,'PR-BOM'!$C$3:$C1001,A508)*C508)</f>
        <v/>
      </c>
      <c r="F508" t="e">
        <f ca="1">_xludf.IFNA(VLOOKUP(B508,'S-FG'!$B$3:$B1001,1,FALSE),"")</f>
        <v>#NAME?</v>
      </c>
      <c r="L508" t="str">
        <f t="shared" si="4"/>
        <v/>
      </c>
      <c r="Q508" t="str">
        <f>IF(N508="","",SUMIFS('PR-BOM'!$D$3:$D1001,'PR-BOM'!$C$3:$C1001,N508))</f>
        <v/>
      </c>
      <c r="Y508" t="str">
        <f t="shared" si="5"/>
        <v/>
      </c>
      <c r="Z508" t="str">
        <f>IF(X508="","",SUMIFS(#REF!,RM!$C$4:$C991,X508))</f>
        <v/>
      </c>
      <c r="AA508" t="str">
        <f>IF(X508="","",SUMIFS(#REF!,RM!$C$4:$C991,X508))</f>
        <v/>
      </c>
      <c r="AB508" t="str">
        <f>IF(X508="","",SUMIFS(IRegback!$Y$2:$Y1001,IRegback!$X$2:$X1001,X508))</f>
        <v/>
      </c>
      <c r="AC508" t="e">
        <f t="shared" si="6"/>
        <v>#VALUE!</v>
      </c>
      <c r="AD508" t="str">
        <f>IF(X508="","",VLOOKUP($X508,RM!$C$4:$G991,3,FALSE))</f>
        <v/>
      </c>
      <c r="AE508" t="str">
        <f>IF(X508="","",VLOOKUP($X508,RM!$C$4:$G991,4,FALSE))</f>
        <v/>
      </c>
      <c r="AF508" t="str">
        <f>IF(X508="","",VLOOKUP($X508,RM!$C$4:$G991,5,FALSE))</f>
        <v/>
      </c>
      <c r="AH508" t="str">
        <f ca="1">IFERROR(__xludf.DUMMYFUNCTION("""COMPUTED_VALUE"""),"Final Packing")</f>
        <v>Final Packing</v>
      </c>
      <c r="AI508" t="str">
        <f ca="1">IFERROR(__xludf.DUMMYFUNCTION("""COMPUTED_VALUE"""),"Grease")</f>
        <v>Grease</v>
      </c>
      <c r="AJ508">
        <f ca="1">IFERROR(__xludf.DUMMYFUNCTION("""COMPUTED_VALUE"""),180)</f>
        <v>180</v>
      </c>
      <c r="AL508" t="e">
        <f ca="1">_xludf.IFNA(VLOOKUP(AH508,'S-FG'!$B$3:$B1001,1,FALSE),"")</f>
        <v>#NAME?</v>
      </c>
      <c r="AM508" t="e">
        <f ca="1">IF(AI508="","",SUMIFS(#REF!,RM!$C$4:$C991,AI508))</f>
        <v>#REF!</v>
      </c>
    </row>
    <row r="509" spans="5:39">
      <c r="E509" t="str">
        <f>IF(A509="","",SUMIFS('PR-BOM'!$D$3:$D1001,'PR-BOM'!$C$3:$C1001,A509)*C509)</f>
        <v/>
      </c>
      <c r="F509" t="e">
        <f ca="1">_xludf.IFNA(VLOOKUP(B509,'S-FG'!$B$3:$B1001,1,FALSE),"")</f>
        <v>#NAME?</v>
      </c>
      <c r="L509" t="str">
        <f t="shared" si="4"/>
        <v/>
      </c>
      <c r="Q509" t="str">
        <f>IF(N509="","",SUMIFS('PR-BOM'!$D$3:$D1001,'PR-BOM'!$C$3:$C1001,N509))</f>
        <v/>
      </c>
      <c r="Y509" t="str">
        <f t="shared" si="5"/>
        <v/>
      </c>
      <c r="Z509" t="str">
        <f>IF(X509="","",SUMIFS(#REF!,RM!$C$4:$C991,X509))</f>
        <v/>
      </c>
      <c r="AA509" t="str">
        <f>IF(X509="","",SUMIFS(#REF!,RM!$C$4:$C991,X509))</f>
        <v/>
      </c>
      <c r="AB509" t="str">
        <f>IF(X509="","",SUMIFS(IRegback!$Y$2:$Y1001,IRegback!$X$2:$X1001,X509))</f>
        <v/>
      </c>
      <c r="AC509" t="e">
        <f t="shared" si="6"/>
        <v>#VALUE!</v>
      </c>
      <c r="AD509" t="str">
        <f>IF(X509="","",VLOOKUP($X509,RM!$C$4:$G991,3,FALSE))</f>
        <v/>
      </c>
      <c r="AE509" t="str">
        <f>IF(X509="","",VLOOKUP($X509,RM!$C$4:$G991,4,FALSE))</f>
        <v/>
      </c>
      <c r="AF509" t="str">
        <f>IF(X509="","",VLOOKUP($X509,RM!$C$4:$G991,5,FALSE))</f>
        <v/>
      </c>
      <c r="AH509" t="str">
        <f ca="1">IFERROR(__xludf.DUMMYFUNCTION("""COMPUTED_VALUE"""),"Final Packing")</f>
        <v>Final Packing</v>
      </c>
      <c r="AI509" t="str">
        <f ca="1">IFERROR(__xludf.DUMMYFUNCTION("""COMPUTED_VALUE"""),"EPE sheet 20mm 48""x72""")</f>
        <v>EPE sheet 20mm 48"x72"</v>
      </c>
      <c r="AJ509">
        <f ca="1">IFERROR(__xludf.DUMMYFUNCTION("""COMPUTED_VALUE"""),1)</f>
        <v>1</v>
      </c>
      <c r="AL509" t="e">
        <f ca="1">_xludf.IFNA(VLOOKUP(AH509,'S-FG'!$B$3:$B1001,1,FALSE),"")</f>
        <v>#NAME?</v>
      </c>
      <c r="AM509" t="e">
        <f ca="1">IF(AI509="","",SUMIFS(#REF!,RM!$C$4:$C991,AI509))</f>
        <v>#REF!</v>
      </c>
    </row>
    <row r="510" spans="5:39">
      <c r="E510" t="str">
        <f>IF(A510="","",SUMIFS('PR-BOM'!$D$3:$D1001,'PR-BOM'!$C$3:$C1001,A510)*C510)</f>
        <v/>
      </c>
      <c r="F510" t="e">
        <f ca="1">_xludf.IFNA(VLOOKUP(B510,'S-FG'!$B$3:$B1001,1,FALSE),"")</f>
        <v>#NAME?</v>
      </c>
      <c r="L510" t="str">
        <f t="shared" si="4"/>
        <v/>
      </c>
      <c r="Q510" t="str">
        <f>IF(N510="","",SUMIFS('PR-BOM'!$D$3:$D1001,'PR-BOM'!$C$3:$C1001,N510))</f>
        <v/>
      </c>
      <c r="Y510" t="str">
        <f t="shared" si="5"/>
        <v/>
      </c>
      <c r="Z510" t="str">
        <f>IF(X510="","",SUMIFS(#REF!,RM!$C$4:$C991,X510))</f>
        <v/>
      </c>
      <c r="AA510" t="str">
        <f>IF(X510="","",SUMIFS(#REF!,RM!$C$4:$C991,X510))</f>
        <v/>
      </c>
      <c r="AB510" t="str">
        <f>IF(X510="","",SUMIFS(IRegback!$Y$2:$Y1001,IRegback!$X$2:$X1001,X510))</f>
        <v/>
      </c>
      <c r="AC510" t="e">
        <f t="shared" si="6"/>
        <v>#VALUE!</v>
      </c>
      <c r="AD510" t="str">
        <f>IF(X510="","",VLOOKUP($X510,RM!$C$4:$G991,3,FALSE))</f>
        <v/>
      </c>
      <c r="AE510" t="str">
        <f>IF(X510="","",VLOOKUP($X510,RM!$C$4:$G991,4,FALSE))</f>
        <v/>
      </c>
      <c r="AF510" t="str">
        <f>IF(X510="","",VLOOKUP($X510,RM!$C$4:$G991,5,FALSE))</f>
        <v/>
      </c>
      <c r="AH510" t="str">
        <f ca="1">IFERROR(__xludf.DUMMYFUNCTION("""COMPUTED_VALUE"""),"Final Packing")</f>
        <v>Final Packing</v>
      </c>
      <c r="AI510" t="str">
        <f ca="1">IFERROR(__xludf.DUMMYFUNCTION("""COMPUTED_VALUE"""),"HardBox FRP/HDPE/CARTON/EPE")</f>
        <v>HardBox FRP/HDPE/CARTON/EPE</v>
      </c>
      <c r="AJ510">
        <f ca="1">IFERROR(__xludf.DUMMYFUNCTION("""COMPUTED_VALUE"""),1)</f>
        <v>1</v>
      </c>
      <c r="AK510" t="str">
        <f ca="1">IFERROR(__xludf.DUMMYFUNCTION("""COMPUTED_VALUE"""),"blank")</f>
        <v>blank</v>
      </c>
      <c r="AL510" t="e">
        <f ca="1">_xludf.IFNA(VLOOKUP(AH510,'S-FG'!$B$3:$B1001,1,FALSE),"")</f>
        <v>#NAME?</v>
      </c>
      <c r="AM510" t="e">
        <f ca="1">IF(AI510="","",SUMIFS(#REF!,RM!$C$4:$C991,AI510))</f>
        <v>#REF!</v>
      </c>
    </row>
    <row r="511" spans="5:39">
      <c r="E511" t="str">
        <f>IF(A511="","",SUMIFS('PR-BOM'!$D$3:$D1001,'PR-BOM'!$C$3:$C1001,A511)*C511)</f>
        <v/>
      </c>
      <c r="F511" t="e">
        <f ca="1">_xludf.IFNA(VLOOKUP(B511,'S-FG'!$B$3:$B1001,1,FALSE),"")</f>
        <v>#NAME?</v>
      </c>
      <c r="L511" t="str">
        <f t="shared" si="4"/>
        <v/>
      </c>
      <c r="Q511" t="str">
        <f>IF(N511="","",SUMIFS('PR-BOM'!$D$3:$D1001,'PR-BOM'!$C$3:$C1001,N511))</f>
        <v/>
      </c>
      <c r="Y511" t="str">
        <f t="shared" si="5"/>
        <v/>
      </c>
      <c r="Z511" t="str">
        <f>IF(X511="","",SUMIFS(#REF!,RM!$C$4:$C991,X511))</f>
        <v/>
      </c>
      <c r="AA511" t="str">
        <f>IF(X511="","",SUMIFS(#REF!,RM!$C$4:$C991,X511))</f>
        <v/>
      </c>
      <c r="AB511" t="str">
        <f>IF(X511="","",SUMIFS(IRegback!$Y$2:$Y1001,IRegback!$X$2:$X1001,X511))</f>
        <v/>
      </c>
      <c r="AC511" t="e">
        <f t="shared" si="6"/>
        <v>#VALUE!</v>
      </c>
      <c r="AD511" t="str">
        <f>IF(X511="","",VLOOKUP($X511,RM!$C$4:$G991,3,FALSE))</f>
        <v/>
      </c>
      <c r="AE511" t="str">
        <f>IF(X511="","",VLOOKUP($X511,RM!$C$4:$G991,4,FALSE))</f>
        <v/>
      </c>
      <c r="AF511" t="str">
        <f>IF(X511="","",VLOOKUP($X511,RM!$C$4:$G991,5,FALSE))</f>
        <v/>
      </c>
      <c r="AH511" t="str">
        <f ca="1">IFERROR(__xludf.DUMMYFUNCTION("""COMPUTED_VALUE"""),"Final Packing")</f>
        <v>Final Packing</v>
      </c>
      <c r="AI511" t="str">
        <f ca="1">IFERROR(__xludf.DUMMYFUNCTION("""COMPUTED_VALUE"""),"User Manual")</f>
        <v>User Manual</v>
      </c>
      <c r="AJ511">
        <f ca="1">IFERROR(__xludf.DUMMYFUNCTION("""COMPUTED_VALUE"""),1)</f>
        <v>1</v>
      </c>
      <c r="AK511" t="str">
        <f ca="1">IFERROR(__xludf.DUMMYFUNCTION("""COMPUTED_VALUE"""),"blank")</f>
        <v>blank</v>
      </c>
      <c r="AL511" t="e">
        <f ca="1">_xludf.IFNA(VLOOKUP(AH511,'S-FG'!$B$3:$B1001,1,FALSE),"")</f>
        <v>#NAME?</v>
      </c>
      <c r="AM511" t="e">
        <f ca="1">IF(AI511="","",SUMIFS(#REF!,RM!$C$4:$C991,AI511))</f>
        <v>#REF!</v>
      </c>
    </row>
    <row r="512" spans="5:39">
      <c r="E512" t="str">
        <f>IF(A512="","",SUMIFS('PR-BOM'!$D$3:$D1001,'PR-BOM'!$C$3:$C1001,A512)*C512)</f>
        <v/>
      </c>
      <c r="F512" t="e">
        <f ca="1">_xludf.IFNA(VLOOKUP(B512,'S-FG'!$B$3:$B1001,1,FALSE),"")</f>
        <v>#NAME?</v>
      </c>
      <c r="L512" t="str">
        <f t="shared" ref="L512:L766" si="7">IF(H512="","",SUMIFS($E$2:$E1511,$F$2:$F1511,H512)*J512)</f>
        <v/>
      </c>
      <c r="Q512" t="str">
        <f>IF(N512="","",SUMIFS('PR-BOM'!$D$3:$D1001,'PR-BOM'!$C$3:$C1001,N512))</f>
        <v/>
      </c>
      <c r="Y512" t="str">
        <f t="shared" ref="Y512:Y766" si="8">IF(X512="","",SUMIFS($E$2:$E1511,$B$2:$B1511,X512)+SUMIFS($L$2:$L1511,$I$2:$I1511,X512)+(SUMIFS($Q$2:$Q1511,$N$2:$N1511,X512)))</f>
        <v/>
      </c>
      <c r="Z512" t="str">
        <f>IF(X512="","",SUMIFS(#REF!,RM!$C$4:$C991,X512))</f>
        <v/>
      </c>
      <c r="AA512" t="str">
        <f>IF(X512="","",SUMIFS(#REF!,RM!$C$4:$C991,X512))</f>
        <v/>
      </c>
      <c r="AB512" t="str">
        <f>IF(X512="","",SUMIFS(IRegback!$Y$2:$Y1001,IRegback!$X$2:$X1001,X512))</f>
        <v/>
      </c>
      <c r="AC512" t="e">
        <f t="shared" ref="AC512:AC766" si="9">Y512-AA512-Z512-AB512</f>
        <v>#VALUE!</v>
      </c>
      <c r="AD512" t="str">
        <f>IF(X512="","",VLOOKUP($X512,RM!$C$4:$G991,3,FALSE))</f>
        <v/>
      </c>
      <c r="AE512" t="str">
        <f>IF(X512="","",VLOOKUP($X512,RM!$C$4:$G991,4,FALSE))</f>
        <v/>
      </c>
      <c r="AF512" t="str">
        <f>IF(X512="","",VLOOKUP($X512,RM!$C$4:$G991,5,FALSE))</f>
        <v/>
      </c>
      <c r="AH512" t="str">
        <f ca="1">IFERROR(__xludf.DUMMYFUNCTION("""COMPUTED_VALUE"""),"Final Packing")</f>
        <v>Final Packing</v>
      </c>
      <c r="AI512" t="str">
        <f ca="1">IFERROR(__xludf.DUMMYFUNCTION("""COMPUTED_VALUE"""),"Envelope for User Manual")</f>
        <v>Envelope for User Manual</v>
      </c>
      <c r="AJ512">
        <f ca="1">IFERROR(__xludf.DUMMYFUNCTION("""COMPUTED_VALUE"""),1)</f>
        <v>1</v>
      </c>
      <c r="AL512" t="e">
        <f ca="1">_xludf.IFNA(VLOOKUP(AH512,'S-FG'!$B$3:$B1001,1,FALSE),"")</f>
        <v>#NAME?</v>
      </c>
      <c r="AM512" t="e">
        <f ca="1">IF(AI512="","",SUMIFS(#REF!,RM!$C$4:$C991,AI512))</f>
        <v>#REF!</v>
      </c>
    </row>
    <row r="513" spans="5:39">
      <c r="E513" t="str">
        <f>IF(A513="","",SUMIFS('PR-BOM'!$D$3:$D1001,'PR-BOM'!$C$3:$C1001,A513)*C513)</f>
        <v/>
      </c>
      <c r="F513" t="e">
        <f ca="1">_xludf.IFNA(VLOOKUP(B513,'S-FG'!$B$3:$B1001,1,FALSE),"")</f>
        <v>#NAME?</v>
      </c>
      <c r="L513" t="str">
        <f t="shared" si="7"/>
        <v/>
      </c>
      <c r="Q513" t="str">
        <f>IF(N513="","",SUMIFS('PR-BOM'!$D$3:$D1001,'PR-BOM'!$C$3:$C1001,N513))</f>
        <v/>
      </c>
      <c r="Y513" t="str">
        <f t="shared" si="8"/>
        <v/>
      </c>
      <c r="Z513" t="str">
        <f>IF(X513="","",SUMIFS(#REF!,RM!$C$4:$C991,X513))</f>
        <v/>
      </c>
      <c r="AA513" t="str">
        <f>IF(X513="","",SUMIFS(#REF!,RM!$C$4:$C991,X513))</f>
        <v/>
      </c>
      <c r="AB513" t="str">
        <f>IF(X513="","",SUMIFS(IRegback!$Y$2:$Y1001,IRegback!$X$2:$X1001,X513))</f>
        <v/>
      </c>
      <c r="AC513" t="e">
        <f t="shared" si="9"/>
        <v>#VALUE!</v>
      </c>
      <c r="AD513" t="str">
        <f>IF(X513="","",VLOOKUP($X513,RM!$C$4:$G991,3,FALSE))</f>
        <v/>
      </c>
      <c r="AE513" t="str">
        <f>IF(X513="","",VLOOKUP($X513,RM!$C$4:$G991,4,FALSE))</f>
        <v/>
      </c>
      <c r="AF513" t="str">
        <f>IF(X513="","",VLOOKUP($X513,RM!$C$4:$G991,5,FALSE))</f>
        <v/>
      </c>
      <c r="AH513" t="str">
        <f ca="1">IFERROR(__xludf.DUMMYFUNCTION("""COMPUTED_VALUE"""),"Final Packing")</f>
        <v>Final Packing</v>
      </c>
      <c r="AI513" t="str">
        <f ca="1">IFERROR(__xludf.DUMMYFUNCTION("""COMPUTED_VALUE"""),"2.5mm T handle")</f>
        <v>2.5mm T handle</v>
      </c>
      <c r="AJ513">
        <f ca="1">IFERROR(__xludf.DUMMYFUNCTION("""COMPUTED_VALUE"""),1)</f>
        <v>1</v>
      </c>
      <c r="AK513" t="str">
        <f ca="1">IFERROR(__xludf.DUMMYFUNCTION("""COMPUTED_VALUE"""),"blank")</f>
        <v>blank</v>
      </c>
      <c r="AL513" t="e">
        <f ca="1">_xludf.IFNA(VLOOKUP(AH513,'S-FG'!$B$3:$B1001,1,FALSE),"")</f>
        <v>#NAME?</v>
      </c>
      <c r="AM513" t="e">
        <f ca="1">IF(AI513="","",SUMIFS(#REF!,RM!$C$4:$C991,AI513))</f>
        <v>#REF!</v>
      </c>
    </row>
    <row r="514" spans="5:39">
      <c r="E514" t="str">
        <f>IF(A514="","",SUMIFS('PR-BOM'!$D$3:$D1001,'PR-BOM'!$C$3:$C1001,A514)*C514)</f>
        <v/>
      </c>
      <c r="F514" t="e">
        <f ca="1">_xludf.IFNA(VLOOKUP(B514,'S-FG'!$B$3:$B1001,1,FALSE),"")</f>
        <v>#NAME?</v>
      </c>
      <c r="L514" t="str">
        <f t="shared" si="7"/>
        <v/>
      </c>
      <c r="Q514" t="str">
        <f>IF(N514="","",SUMIFS('PR-BOM'!$D$3:$D1001,'PR-BOM'!$C$3:$C1001,N514))</f>
        <v/>
      </c>
      <c r="Y514" t="str">
        <f t="shared" si="8"/>
        <v/>
      </c>
      <c r="Z514" t="str">
        <f>IF(X514="","",SUMIFS(#REF!,RM!$C$4:$C991,X514))</f>
        <v/>
      </c>
      <c r="AA514" t="str">
        <f>IF(X514="","",SUMIFS(#REF!,RM!$C$4:$C991,X514))</f>
        <v/>
      </c>
      <c r="AB514" t="str">
        <f>IF(X514="","",SUMIFS(IRegback!$Y$2:$Y1001,IRegback!$X$2:$X1001,X514))</f>
        <v/>
      </c>
      <c r="AC514" t="e">
        <f t="shared" si="9"/>
        <v>#VALUE!</v>
      </c>
      <c r="AD514" t="str">
        <f>IF(X514="","",VLOOKUP($X514,RM!$C$4:$G991,3,FALSE))</f>
        <v/>
      </c>
      <c r="AE514" t="str">
        <f>IF(X514="","",VLOOKUP($X514,RM!$C$4:$G991,4,FALSE))</f>
        <v/>
      </c>
      <c r="AF514" t="str">
        <f>IF(X514="","",VLOOKUP($X514,RM!$C$4:$G991,5,FALSE))</f>
        <v/>
      </c>
      <c r="AH514" t="str">
        <f ca="1">IFERROR(__xludf.DUMMYFUNCTION("""COMPUTED_VALUE"""),"Final Packing")</f>
        <v>Final Packing</v>
      </c>
      <c r="AI514" t="str">
        <f ca="1">IFERROR(__xludf.DUMMYFUNCTION("""COMPUTED_VALUE"""),"Oring AFT plate")</f>
        <v>Oring AFT plate</v>
      </c>
      <c r="AJ514">
        <f ca="1">IFERROR(__xludf.DUMMYFUNCTION("""COMPUTED_VALUE"""),2)</f>
        <v>2</v>
      </c>
      <c r="AK514" t="str">
        <f ca="1">IFERROR(__xludf.DUMMYFUNCTION("""COMPUTED_VALUE"""),"blank")</f>
        <v>blank</v>
      </c>
      <c r="AL514" t="e">
        <f ca="1">_xludf.IFNA(VLOOKUP(AH514,'S-FG'!$B$3:$B1001,1,FALSE),"")</f>
        <v>#NAME?</v>
      </c>
      <c r="AM514" t="e">
        <f ca="1">IF(AI514="","",SUMIFS(#REF!,RM!$C$4:$C991,AI514))</f>
        <v>#REF!</v>
      </c>
    </row>
    <row r="515" spans="5:39">
      <c r="E515" t="str">
        <f>IF(A515="","",SUMIFS('PR-BOM'!$D$3:$D1001,'PR-BOM'!$C$3:$C1001,A515)*C515)</f>
        <v/>
      </c>
      <c r="F515" t="e">
        <f ca="1">_xludf.IFNA(VLOOKUP(B515,'S-FG'!$B$3:$B1001,1,FALSE),"")</f>
        <v>#NAME?</v>
      </c>
      <c r="L515" t="str">
        <f t="shared" si="7"/>
        <v/>
      </c>
      <c r="Q515" t="str">
        <f>IF(N515="","",SUMIFS('PR-BOM'!$D$3:$D1001,'PR-BOM'!$C$3:$C1001,N515))</f>
        <v/>
      </c>
      <c r="Y515" t="str">
        <f t="shared" si="8"/>
        <v/>
      </c>
      <c r="Z515" t="str">
        <f>IF(X515="","",SUMIFS(#REF!,RM!$C$4:$C991,X515))</f>
        <v/>
      </c>
      <c r="AA515" t="str">
        <f>IF(X515="","",SUMIFS(#REF!,RM!$C$4:$C991,X515))</f>
        <v/>
      </c>
      <c r="AB515" t="str">
        <f>IF(X515="","",SUMIFS(IRegback!$Y$2:$Y1001,IRegback!$X$2:$X1001,X515))</f>
        <v/>
      </c>
      <c r="AC515" t="e">
        <f t="shared" si="9"/>
        <v>#VALUE!</v>
      </c>
      <c r="AD515" t="str">
        <f>IF(X515="","",VLOOKUP($X515,RM!$C$4:$G991,3,FALSE))</f>
        <v/>
      </c>
      <c r="AE515" t="str">
        <f>IF(X515="","",VLOOKUP($X515,RM!$C$4:$G991,4,FALSE))</f>
        <v/>
      </c>
      <c r="AF515" t="str">
        <f>IF(X515="","",VLOOKUP($X515,RM!$C$4:$G991,5,FALSE))</f>
        <v/>
      </c>
      <c r="AH515" t="str">
        <f ca="1">IFERROR(__xludf.DUMMYFUNCTION("""COMPUTED_VALUE"""),"Power Switch Assy")</f>
        <v>Power Switch Assy</v>
      </c>
      <c r="AI515" t="str">
        <f ca="1">IFERROR(__xludf.DUMMYFUNCTION("""COMPUTED_VALUE"""),"IP68 Rotary main Switch")</f>
        <v>IP68 Rotary main Switch</v>
      </c>
      <c r="AJ515">
        <f ca="1">IFERROR(__xludf.DUMMYFUNCTION("""COMPUTED_VALUE"""),1)</f>
        <v>1</v>
      </c>
      <c r="AK515" t="str">
        <f ca="1">IFERROR(__xludf.DUMMYFUNCTION("""COMPUTED_VALUE"""),"blank")</f>
        <v>blank</v>
      </c>
      <c r="AL515" t="e">
        <f ca="1">_xludf.IFNA(VLOOKUP(AH515,'S-FG'!$B$3:$B1001,1,FALSE),"")</f>
        <v>#NAME?</v>
      </c>
      <c r="AM515" t="e">
        <f ca="1">IF(AI515="","",SUMIFS(#REF!,RM!$C$4:$C991,AI515))</f>
        <v>#REF!</v>
      </c>
    </row>
    <row r="516" spans="5:39">
      <c r="E516" t="str">
        <f>IF(A516="","",SUMIFS('PR-BOM'!$D$3:$D1001,'PR-BOM'!$C$3:$C1001,A516)*C516)</f>
        <v/>
      </c>
      <c r="F516" t="e">
        <f ca="1">_xludf.IFNA(VLOOKUP(B516,'S-FG'!$B$3:$B1001,1,FALSE),"")</f>
        <v>#NAME?</v>
      </c>
      <c r="L516" t="str">
        <f t="shared" si="7"/>
        <v/>
      </c>
      <c r="Q516" t="str">
        <f>IF(N516="","",SUMIFS('PR-BOM'!$D$3:$D1001,'PR-BOM'!$C$3:$C1001,N516))</f>
        <v/>
      </c>
      <c r="Y516" t="str">
        <f t="shared" si="8"/>
        <v/>
      </c>
      <c r="Z516" t="str">
        <f>IF(X516="","",SUMIFS(#REF!,RM!$C$4:$C991,X516))</f>
        <v/>
      </c>
      <c r="AA516" t="str">
        <f>IF(X516="","",SUMIFS(#REF!,RM!$C$4:$C991,X516))</f>
        <v/>
      </c>
      <c r="AB516" t="str">
        <f>IF(X516="","",SUMIFS(IRegback!$Y$2:$Y1001,IRegback!$X$2:$X1001,X516))</f>
        <v/>
      </c>
      <c r="AC516" t="e">
        <f t="shared" si="9"/>
        <v>#VALUE!</v>
      </c>
      <c r="AD516" t="str">
        <f>IF(X516="","",VLOOKUP($X516,RM!$C$4:$G991,3,FALSE))</f>
        <v/>
      </c>
      <c r="AE516" t="str">
        <f>IF(X516="","",VLOOKUP($X516,RM!$C$4:$G991,4,FALSE))</f>
        <v/>
      </c>
      <c r="AF516" t="str">
        <f>IF(X516="","",VLOOKUP($X516,RM!$C$4:$G991,5,FALSE))</f>
        <v/>
      </c>
      <c r="AH516" t="str">
        <f ca="1">IFERROR(__xludf.DUMMYFUNCTION("""COMPUTED_VALUE"""),"Power Switch Assy")</f>
        <v>Power Switch Assy</v>
      </c>
      <c r="AI516" t="str">
        <f ca="1">IFERROR(__xludf.DUMMYFUNCTION("""COMPUTED_VALUE"""),"10cm one sided JST crimped White")</f>
        <v>10cm one sided JST crimped White</v>
      </c>
      <c r="AJ516">
        <f ca="1">IFERROR(__xludf.DUMMYFUNCTION("""COMPUTED_VALUE"""),2)</f>
        <v>2</v>
      </c>
      <c r="AK516" t="str">
        <f ca="1">IFERROR(__xludf.DUMMYFUNCTION("""COMPUTED_VALUE"""),"blank")</f>
        <v>blank</v>
      </c>
      <c r="AL516" t="e">
        <f ca="1">_xludf.IFNA(VLOOKUP(AH516,'S-FG'!$B$3:$B1001,1,FALSE),"")</f>
        <v>#NAME?</v>
      </c>
      <c r="AM516" t="e">
        <f ca="1">IF(AI516="","",SUMIFS(#REF!,RM!$C$4:$C991,AI516))</f>
        <v>#REF!</v>
      </c>
    </row>
    <row r="517" spans="5:39">
      <c r="E517" t="str">
        <f>IF(A517="","",SUMIFS('PR-BOM'!$D$3:$D1001,'PR-BOM'!$C$3:$C1001,A517)*C517)</f>
        <v/>
      </c>
      <c r="F517" t="e">
        <f ca="1">_xludf.IFNA(VLOOKUP(B517,'S-FG'!$B$3:$B1001,1,FALSE),"")</f>
        <v>#NAME?</v>
      </c>
      <c r="L517" t="str">
        <f t="shared" si="7"/>
        <v/>
      </c>
      <c r="Q517" t="str">
        <f>IF(N517="","",SUMIFS('PR-BOM'!$D$3:$D1001,'PR-BOM'!$C$3:$C1001,N517))</f>
        <v/>
      </c>
      <c r="Y517" t="str">
        <f t="shared" si="8"/>
        <v/>
      </c>
      <c r="Z517" t="str">
        <f>IF(X517="","",SUMIFS(#REF!,RM!$C$4:$C991,X517))</f>
        <v/>
      </c>
      <c r="AA517" t="str">
        <f>IF(X517="","",SUMIFS(#REF!,RM!$C$4:$C991,X517))</f>
        <v/>
      </c>
      <c r="AB517" t="str">
        <f>IF(X517="","",SUMIFS(IRegback!$Y$2:$Y1001,IRegback!$X$2:$X1001,X517))</f>
        <v/>
      </c>
      <c r="AC517" t="e">
        <f t="shared" si="9"/>
        <v>#VALUE!</v>
      </c>
      <c r="AD517" t="str">
        <f>IF(X517="","",VLOOKUP($X517,RM!$C$4:$G991,3,FALSE))</f>
        <v/>
      </c>
      <c r="AE517" t="str">
        <f>IF(X517="","",VLOOKUP($X517,RM!$C$4:$G991,4,FALSE))</f>
        <v/>
      </c>
      <c r="AF517" t="str">
        <f>IF(X517="","",VLOOKUP($X517,RM!$C$4:$G991,5,FALSE))</f>
        <v/>
      </c>
      <c r="AH517" t="str">
        <f ca="1">IFERROR(__xludf.DUMMYFUNCTION("""COMPUTED_VALUE"""),"Power Switch Assy")</f>
        <v>Power Switch Assy</v>
      </c>
      <c r="AI517" t="str">
        <f ca="1">IFERROR(__xludf.DUMMYFUNCTION("""COMPUTED_VALUE"""),"2 pin JST-XH housing")</f>
        <v>2 pin JST-XH housing</v>
      </c>
      <c r="AJ517">
        <f ca="1">IFERROR(__xludf.DUMMYFUNCTION("""COMPUTED_VALUE"""),1)</f>
        <v>1</v>
      </c>
      <c r="AL517" t="e">
        <f ca="1">_xludf.IFNA(VLOOKUP(AH517,'S-FG'!$B$3:$B1001,1,FALSE),"")</f>
        <v>#NAME?</v>
      </c>
      <c r="AM517" t="e">
        <f ca="1">IF(AI517="","",SUMIFS(#REF!,RM!$C$4:$C991,AI517))</f>
        <v>#REF!</v>
      </c>
    </row>
    <row r="518" spans="5:39">
      <c r="E518" t="str">
        <f>IF(A518="","",SUMIFS('PR-BOM'!$D$3:$D1001,'PR-BOM'!$C$3:$C1001,A518)*C518)</f>
        <v/>
      </c>
      <c r="F518" t="e">
        <f ca="1">_xludf.IFNA(VLOOKUP(B518,'S-FG'!$B$3:$B1001,1,FALSE),"")</f>
        <v>#NAME?</v>
      </c>
      <c r="L518" t="str">
        <f t="shared" si="7"/>
        <v/>
      </c>
      <c r="Q518" t="str">
        <f>IF(N518="","",SUMIFS('PR-BOM'!$D$3:$D1001,'PR-BOM'!$C$3:$C1001,N518))</f>
        <v/>
      </c>
      <c r="Y518" t="str">
        <f t="shared" si="8"/>
        <v/>
      </c>
      <c r="Z518" t="str">
        <f>IF(X518="","",SUMIFS(#REF!,RM!$C$4:$C991,X518))</f>
        <v/>
      </c>
      <c r="AA518" t="str">
        <f>IF(X518="","",SUMIFS(#REF!,RM!$C$4:$C991,X518))</f>
        <v/>
      </c>
      <c r="AB518" t="str">
        <f>IF(X518="","",SUMIFS(IRegback!$Y$2:$Y1001,IRegback!$X$2:$X1001,X518))</f>
        <v/>
      </c>
      <c r="AC518" t="e">
        <f t="shared" si="9"/>
        <v>#VALUE!</v>
      </c>
      <c r="AD518" t="str">
        <f>IF(X518="","",VLOOKUP($X518,RM!$C$4:$G991,3,FALSE))</f>
        <v/>
      </c>
      <c r="AE518" t="str">
        <f>IF(X518="","",VLOOKUP($X518,RM!$C$4:$G991,4,FALSE))</f>
        <v/>
      </c>
      <c r="AF518" t="str">
        <f>IF(X518="","",VLOOKUP($X518,RM!$C$4:$G991,5,FALSE))</f>
        <v/>
      </c>
      <c r="AL518" t="e">
        <f ca="1">_xludf.IFNA(VLOOKUP(AH518,'S-FG'!$B$3:$B1001,1,FALSE),"")</f>
        <v>#NAME?</v>
      </c>
      <c r="AM518" t="str">
        <f>IF(AI518="","",SUMIFS(#REF!,RM!$C$4:$C991,AI518))</f>
        <v/>
      </c>
    </row>
    <row r="519" spans="5:39">
      <c r="E519" t="str">
        <f>IF(A519="","",SUMIFS('PR-BOM'!$D$3:$D1001,'PR-BOM'!$C$3:$C1001,A519)*C519)</f>
        <v/>
      </c>
      <c r="F519" t="e">
        <f ca="1">_xludf.IFNA(VLOOKUP(B519,'S-FG'!$B$3:$B1001,1,FALSE),"")</f>
        <v>#NAME?</v>
      </c>
      <c r="L519" t="str">
        <f t="shared" si="7"/>
        <v/>
      </c>
      <c r="Q519" t="str">
        <f>IF(N519="","",SUMIFS('PR-BOM'!$D$3:$D1001,'PR-BOM'!$C$3:$C1001,N519))</f>
        <v/>
      </c>
      <c r="Y519" t="str">
        <f t="shared" si="8"/>
        <v/>
      </c>
      <c r="Z519" t="str">
        <f>IF(X519="","",SUMIFS(#REF!,RM!$C$4:$C991,X519))</f>
        <v/>
      </c>
      <c r="AA519" t="str">
        <f>IF(X519="","",SUMIFS(#REF!,RM!$C$4:$C991,X519))</f>
        <v/>
      </c>
      <c r="AB519" t="str">
        <f>IF(X519="","",SUMIFS(IRegback!$Y$2:$Y1001,IRegback!$X$2:$X1001,X519))</f>
        <v/>
      </c>
      <c r="AC519" t="e">
        <f t="shared" si="9"/>
        <v>#VALUE!</v>
      </c>
      <c r="AD519" t="str">
        <f>IF(X519="","",VLOOKUP($X519,RM!$C$4:$G991,3,FALSE))</f>
        <v/>
      </c>
      <c r="AE519" t="str">
        <f>IF(X519="","",VLOOKUP($X519,RM!$C$4:$G991,4,FALSE))</f>
        <v/>
      </c>
      <c r="AF519" t="str">
        <f>IF(X519="","",VLOOKUP($X519,RM!$C$4:$G991,5,FALSE))</f>
        <v/>
      </c>
      <c r="AL519" t="e">
        <f ca="1">_xludf.IFNA(VLOOKUP(AH519,'S-FG'!$B$3:$B1001,1,FALSE),"")</f>
        <v>#NAME?</v>
      </c>
      <c r="AM519" t="str">
        <f>IF(AI519="","",SUMIFS(#REF!,RM!$C$4:$C991,AI519))</f>
        <v/>
      </c>
    </row>
    <row r="520" spans="5:39">
      <c r="E520" t="str">
        <f>IF(A520="","",SUMIFS('PR-BOM'!$D$3:$D1001,'PR-BOM'!$C$3:$C1001,A520)*C520)</f>
        <v/>
      </c>
      <c r="F520" t="e">
        <f ca="1">_xludf.IFNA(VLOOKUP(B520,'S-FG'!$B$3:$B1001,1,FALSE),"")</f>
        <v>#NAME?</v>
      </c>
      <c r="L520" t="str">
        <f t="shared" si="7"/>
        <v/>
      </c>
      <c r="Q520" t="str">
        <f>IF(N520="","",SUMIFS('PR-BOM'!$D$3:$D1001,'PR-BOM'!$C$3:$C1001,N520))</f>
        <v/>
      </c>
      <c r="Y520" t="str">
        <f t="shared" si="8"/>
        <v/>
      </c>
      <c r="Z520" t="str">
        <f>IF(X520="","",SUMIFS(#REF!,RM!$C$4:$C991,X520))</f>
        <v/>
      </c>
      <c r="AA520" t="str">
        <f>IF(X520="","",SUMIFS(#REF!,RM!$C$4:$C991,X520))</f>
        <v/>
      </c>
      <c r="AB520" t="str">
        <f>IF(X520="","",SUMIFS(IRegback!$Y$2:$Y1001,IRegback!$X$2:$X1001,X520))</f>
        <v/>
      </c>
      <c r="AC520" t="e">
        <f t="shared" si="9"/>
        <v>#VALUE!</v>
      </c>
      <c r="AD520" t="str">
        <f>IF(X520="","",VLOOKUP($X520,RM!$C$4:$G991,3,FALSE))</f>
        <v/>
      </c>
      <c r="AE520" t="str">
        <f>IF(X520="","",VLOOKUP($X520,RM!$C$4:$G991,4,FALSE))</f>
        <v/>
      </c>
      <c r="AF520" t="str">
        <f>IF(X520="","",VLOOKUP($X520,RM!$C$4:$G991,5,FALSE))</f>
        <v/>
      </c>
      <c r="AL520" t="e">
        <f ca="1">_xludf.IFNA(VLOOKUP(AH520,'S-FG'!$B$3:$B1001,1,FALSE),"")</f>
        <v>#NAME?</v>
      </c>
      <c r="AM520" t="str">
        <f>IF(AI520="","",SUMIFS(#REF!,RM!$C$4:$C991,AI520))</f>
        <v/>
      </c>
    </row>
    <row r="521" spans="5:39">
      <c r="E521" t="str">
        <f>IF(A521="","",SUMIFS('PR-BOM'!$D$3:$D1001,'PR-BOM'!$C$3:$C1001,A521)*C521)</f>
        <v/>
      </c>
      <c r="F521" t="e">
        <f ca="1">_xludf.IFNA(VLOOKUP(B521,'S-FG'!$B$3:$B1001,1,FALSE),"")</f>
        <v>#NAME?</v>
      </c>
      <c r="L521" t="str">
        <f t="shared" si="7"/>
        <v/>
      </c>
      <c r="Q521" t="str">
        <f>IF(N521="","",SUMIFS('PR-BOM'!$D$3:$D1001,'PR-BOM'!$C$3:$C1001,N521))</f>
        <v/>
      </c>
      <c r="Y521" t="str">
        <f t="shared" si="8"/>
        <v/>
      </c>
      <c r="Z521" t="str">
        <f>IF(X521="","",SUMIFS(#REF!,RM!$C$4:$C991,X521))</f>
        <v/>
      </c>
      <c r="AA521" t="str">
        <f>IF(X521="","",SUMIFS(#REF!,RM!$C$4:$C991,X521))</f>
        <v/>
      </c>
      <c r="AB521" t="str">
        <f>IF(X521="","",SUMIFS(IRegback!$Y$2:$Y1001,IRegback!$X$2:$X1001,X521))</f>
        <v/>
      </c>
      <c r="AC521" t="e">
        <f t="shared" si="9"/>
        <v>#VALUE!</v>
      </c>
      <c r="AD521" t="str">
        <f>IF(X521="","",VLOOKUP($X521,RM!$C$4:$G991,3,FALSE))</f>
        <v/>
      </c>
      <c r="AE521" t="str">
        <f>IF(X521="","",VLOOKUP($X521,RM!$C$4:$G991,4,FALSE))</f>
        <v/>
      </c>
      <c r="AF521" t="str">
        <f>IF(X521="","",VLOOKUP($X521,RM!$C$4:$G991,5,FALSE))</f>
        <v/>
      </c>
      <c r="AL521" t="e">
        <f ca="1">_xludf.IFNA(VLOOKUP(AH521,'S-FG'!$B$3:$B1001,1,FALSE),"")</f>
        <v>#NAME?</v>
      </c>
      <c r="AM521" t="str">
        <f>IF(AI521="","",SUMIFS(#REF!,RM!$C$4:$C991,AI521))</f>
        <v/>
      </c>
    </row>
    <row r="522" spans="5:39">
      <c r="E522" t="str">
        <f>IF(A522="","",SUMIFS('PR-BOM'!$D$3:$D1001,'PR-BOM'!$C$3:$C1001,A522)*C522)</f>
        <v/>
      </c>
      <c r="F522" t="e">
        <f ca="1">_xludf.IFNA(VLOOKUP(B522,'S-FG'!$B$3:$B1001,1,FALSE),"")</f>
        <v>#NAME?</v>
      </c>
      <c r="L522" t="str">
        <f t="shared" si="7"/>
        <v/>
      </c>
      <c r="Q522" t="str">
        <f>IF(N522="","",SUMIFS('PR-BOM'!$D$3:$D1001,'PR-BOM'!$C$3:$C1001,N522))</f>
        <v/>
      </c>
      <c r="Y522" t="str">
        <f t="shared" si="8"/>
        <v/>
      </c>
      <c r="Z522" t="str">
        <f>IF(X522="","",SUMIFS(#REF!,RM!$C$4:$C991,X522))</f>
        <v/>
      </c>
      <c r="AA522" t="str">
        <f>IF(X522="","",SUMIFS(#REF!,RM!$C$4:$C991,X522))</f>
        <v/>
      </c>
      <c r="AB522" t="str">
        <f>IF(X522="","",SUMIFS(IRegback!$Y$2:$Y1001,IRegback!$X$2:$X1001,X522))</f>
        <v/>
      </c>
      <c r="AC522" t="e">
        <f t="shared" si="9"/>
        <v>#VALUE!</v>
      </c>
      <c r="AD522" t="str">
        <f>IF(X522="","",VLOOKUP($X522,RM!$C$4:$G991,3,FALSE))</f>
        <v/>
      </c>
      <c r="AE522" t="str">
        <f>IF(X522="","",VLOOKUP($X522,RM!$C$4:$G991,4,FALSE))</f>
        <v/>
      </c>
      <c r="AF522" t="str">
        <f>IF(X522="","",VLOOKUP($X522,RM!$C$4:$G991,5,FALSE))</f>
        <v/>
      </c>
      <c r="AL522" t="e">
        <f ca="1">_xludf.IFNA(VLOOKUP(AH522,'S-FG'!$B$3:$B1001,1,FALSE),"")</f>
        <v>#NAME?</v>
      </c>
      <c r="AM522" t="str">
        <f>IF(AI522="","",SUMIFS(#REF!,RM!$C$4:$C991,AI522))</f>
        <v/>
      </c>
    </row>
    <row r="523" spans="5:39">
      <c r="E523" t="str">
        <f>IF(A523="","",SUMIFS('PR-BOM'!$D$3:$D1001,'PR-BOM'!$C$3:$C1001,A523)*C523)</f>
        <v/>
      </c>
      <c r="F523" t="e">
        <f ca="1">_xludf.IFNA(VLOOKUP(B523,'S-FG'!$B$3:$B1001,1,FALSE),"")</f>
        <v>#NAME?</v>
      </c>
      <c r="L523" t="str">
        <f t="shared" si="7"/>
        <v/>
      </c>
      <c r="Q523" t="str">
        <f>IF(N523="","",SUMIFS('PR-BOM'!$D$3:$D1001,'PR-BOM'!$C$3:$C1001,N523))</f>
        <v/>
      </c>
      <c r="Y523" t="str">
        <f t="shared" si="8"/>
        <v/>
      </c>
      <c r="Z523" t="str">
        <f>IF(X523="","",SUMIFS(#REF!,RM!$C$4:$C991,X523))</f>
        <v/>
      </c>
      <c r="AA523" t="str">
        <f>IF(X523="","",SUMIFS(#REF!,RM!$C$4:$C991,X523))</f>
        <v/>
      </c>
      <c r="AB523" t="str">
        <f>IF(X523="","",SUMIFS(IRegback!$Y$2:$Y1001,IRegback!$X$2:$X1001,X523))</f>
        <v/>
      </c>
      <c r="AC523" t="e">
        <f t="shared" si="9"/>
        <v>#VALUE!</v>
      </c>
      <c r="AD523" t="str">
        <f>IF(X523="","",VLOOKUP($X523,RM!$C$4:$G991,3,FALSE))</f>
        <v/>
      </c>
      <c r="AE523" t="str">
        <f>IF(X523="","",VLOOKUP($X523,RM!$C$4:$G991,4,FALSE))</f>
        <v/>
      </c>
      <c r="AF523" t="str">
        <f>IF(X523="","",VLOOKUP($X523,RM!$C$4:$G991,5,FALSE))</f>
        <v/>
      </c>
      <c r="AL523" t="e">
        <f ca="1">_xludf.IFNA(VLOOKUP(AH523,'S-FG'!$B$3:$B1001,1,FALSE),"")</f>
        <v>#NAME?</v>
      </c>
      <c r="AM523" t="str">
        <f>IF(AI523="","",SUMIFS(#REF!,RM!$C$4:$C991,AI523))</f>
        <v/>
      </c>
    </row>
    <row r="524" spans="5:39">
      <c r="E524" t="str">
        <f>IF(A524="","",SUMIFS('PR-BOM'!$D$3:$D1001,'PR-BOM'!$C$3:$C1001,A524)*C524)</f>
        <v/>
      </c>
      <c r="F524" t="e">
        <f ca="1">_xludf.IFNA(VLOOKUP(B524,'S-FG'!$B$3:$B1001,1,FALSE),"")</f>
        <v>#NAME?</v>
      </c>
      <c r="L524" t="str">
        <f t="shared" si="7"/>
        <v/>
      </c>
      <c r="Q524" t="str">
        <f>IF(N524="","",SUMIFS('PR-BOM'!$D$3:$D1001,'PR-BOM'!$C$3:$C1001,N524))</f>
        <v/>
      </c>
      <c r="Y524" t="str">
        <f t="shared" si="8"/>
        <v/>
      </c>
      <c r="Z524" t="str">
        <f>IF(X524="","",SUMIFS(#REF!,RM!$C$4:$C991,X524))</f>
        <v/>
      </c>
      <c r="AA524" t="str">
        <f>IF(X524="","",SUMIFS(#REF!,RM!$C$4:$C991,X524))</f>
        <v/>
      </c>
      <c r="AB524" t="str">
        <f>IF(X524="","",SUMIFS(IRegback!$Y$2:$Y1001,IRegback!$X$2:$X1001,X524))</f>
        <v/>
      </c>
      <c r="AC524" t="e">
        <f t="shared" si="9"/>
        <v>#VALUE!</v>
      </c>
      <c r="AD524" t="str">
        <f>IF(X524="","",VLOOKUP($X524,RM!$C$4:$G991,3,FALSE))</f>
        <v/>
      </c>
      <c r="AE524" t="str">
        <f>IF(X524="","",VLOOKUP($X524,RM!$C$4:$G991,4,FALSE))</f>
        <v/>
      </c>
      <c r="AF524" t="str">
        <f>IF(X524="","",VLOOKUP($X524,RM!$C$4:$G991,5,FALSE))</f>
        <v/>
      </c>
      <c r="AL524" t="e">
        <f ca="1">_xludf.IFNA(VLOOKUP(AH524,'S-FG'!$B$3:$B1001,1,FALSE),"")</f>
        <v>#NAME?</v>
      </c>
      <c r="AM524" t="str">
        <f>IF(AI524="","",SUMIFS(#REF!,RM!$C$4:$C991,AI524))</f>
        <v/>
      </c>
    </row>
    <row r="525" spans="5:39">
      <c r="E525" t="str">
        <f>IF(A525="","",SUMIFS('PR-BOM'!$D$3:$D1001,'PR-BOM'!$C$3:$C1001,A525)*C525)</f>
        <v/>
      </c>
      <c r="F525" t="e">
        <f ca="1">_xludf.IFNA(VLOOKUP(B525,'S-FG'!$B$3:$B1001,1,FALSE),"")</f>
        <v>#NAME?</v>
      </c>
      <c r="L525" t="str">
        <f t="shared" si="7"/>
        <v/>
      </c>
      <c r="Q525" t="str">
        <f>IF(N525="","",SUMIFS('PR-BOM'!$D$3:$D1001,'PR-BOM'!$C$3:$C1001,N525))</f>
        <v/>
      </c>
      <c r="Y525" t="str">
        <f t="shared" si="8"/>
        <v/>
      </c>
      <c r="Z525" t="str">
        <f>IF(X525="","",SUMIFS(#REF!,RM!$C$4:$C991,X525))</f>
        <v/>
      </c>
      <c r="AA525" t="str">
        <f>IF(X525="","",SUMIFS(#REF!,RM!$C$4:$C991,X525))</f>
        <v/>
      </c>
      <c r="AB525" t="str">
        <f>IF(X525="","",SUMIFS(IRegback!$Y$2:$Y1001,IRegback!$X$2:$X1001,X525))</f>
        <v/>
      </c>
      <c r="AC525" t="e">
        <f t="shared" si="9"/>
        <v>#VALUE!</v>
      </c>
      <c r="AD525" t="str">
        <f>IF(X525="","",VLOOKUP($X525,RM!$C$4:$G991,3,FALSE))</f>
        <v/>
      </c>
      <c r="AE525" t="str">
        <f>IF(X525="","",VLOOKUP($X525,RM!$C$4:$G991,4,FALSE))</f>
        <v/>
      </c>
      <c r="AF525" t="str">
        <f>IF(X525="","",VLOOKUP($X525,RM!$C$4:$G991,5,FALSE))</f>
        <v/>
      </c>
      <c r="AL525" t="e">
        <f ca="1">_xludf.IFNA(VLOOKUP(AH525,'S-FG'!$B$3:$B1001,1,FALSE),"")</f>
        <v>#NAME?</v>
      </c>
      <c r="AM525" t="str">
        <f>IF(AI525="","",SUMIFS(#REF!,RM!$C$4:$C991,AI525))</f>
        <v/>
      </c>
    </row>
    <row r="526" spans="5:39">
      <c r="E526" t="str">
        <f>IF(A526="","",SUMIFS('PR-BOM'!$D$3:$D1001,'PR-BOM'!$C$3:$C1001,A526)*C526)</f>
        <v/>
      </c>
      <c r="F526" t="e">
        <f ca="1">_xludf.IFNA(VLOOKUP(B526,'S-FG'!$B$3:$B1001,1,FALSE),"")</f>
        <v>#NAME?</v>
      </c>
      <c r="L526" t="str">
        <f t="shared" si="7"/>
        <v/>
      </c>
      <c r="Q526" t="str">
        <f>IF(N526="","",SUMIFS('PR-BOM'!$D$3:$D1001,'PR-BOM'!$C$3:$C1001,N526))</f>
        <v/>
      </c>
      <c r="Y526" t="str">
        <f t="shared" si="8"/>
        <v/>
      </c>
      <c r="Z526" t="str">
        <f>IF(X526="","",SUMIFS(#REF!,RM!$C$4:$C991,X526))</f>
        <v/>
      </c>
      <c r="AA526" t="str">
        <f>IF(X526="","",SUMIFS(#REF!,RM!$C$4:$C991,X526))</f>
        <v/>
      </c>
      <c r="AB526" t="str">
        <f>IF(X526="","",SUMIFS(IRegback!$Y$2:$Y1001,IRegback!$X$2:$X1001,X526))</f>
        <v/>
      </c>
      <c r="AC526" t="e">
        <f t="shared" si="9"/>
        <v>#VALUE!</v>
      </c>
      <c r="AD526" t="str">
        <f>IF(X526="","",VLOOKUP($X526,RM!$C$4:$G991,3,FALSE))</f>
        <v/>
      </c>
      <c r="AE526" t="str">
        <f>IF(X526="","",VLOOKUP($X526,RM!$C$4:$G991,4,FALSE))</f>
        <v/>
      </c>
      <c r="AF526" t="str">
        <f>IF(X526="","",VLOOKUP($X526,RM!$C$4:$G991,5,FALSE))</f>
        <v/>
      </c>
      <c r="AL526" t="e">
        <f ca="1">_xludf.IFNA(VLOOKUP(AH526,'S-FG'!$B$3:$B1001,1,FALSE),"")</f>
        <v>#NAME?</v>
      </c>
      <c r="AM526" t="str">
        <f>IF(AI526="","",SUMIFS(#REF!,RM!$C$4:$C991,AI526))</f>
        <v/>
      </c>
    </row>
    <row r="527" spans="5:39">
      <c r="E527" t="str">
        <f>IF(A527="","",SUMIFS('PR-BOM'!$D$3:$D1001,'PR-BOM'!$C$3:$C1001,A527)*C527)</f>
        <v/>
      </c>
      <c r="F527" t="e">
        <f ca="1">_xludf.IFNA(VLOOKUP(B527,'S-FG'!$B$3:$B1001,1,FALSE),"")</f>
        <v>#NAME?</v>
      </c>
      <c r="L527" t="str">
        <f t="shared" si="7"/>
        <v/>
      </c>
      <c r="Q527" t="str">
        <f>IF(N527="","",SUMIFS('PR-BOM'!$D$3:$D1001,'PR-BOM'!$C$3:$C1001,N527))</f>
        <v/>
      </c>
      <c r="Y527" t="str">
        <f t="shared" si="8"/>
        <v/>
      </c>
      <c r="Z527" t="str">
        <f>IF(X527="","",SUMIFS(#REF!,RM!$C$4:$C991,X527))</f>
        <v/>
      </c>
      <c r="AA527" t="str">
        <f>IF(X527="","",SUMIFS(#REF!,RM!$C$4:$C991,X527))</f>
        <v/>
      </c>
      <c r="AB527" t="str">
        <f>IF(X527="","",SUMIFS(IRegback!$Y$2:$Y1001,IRegback!$X$2:$X1001,X527))</f>
        <v/>
      </c>
      <c r="AC527" t="e">
        <f t="shared" si="9"/>
        <v>#VALUE!</v>
      </c>
      <c r="AD527" t="str">
        <f>IF(X527="","",VLOOKUP($X527,RM!$C$4:$G991,3,FALSE))</f>
        <v/>
      </c>
      <c r="AE527" t="str">
        <f>IF(X527="","",VLOOKUP($X527,RM!$C$4:$G991,4,FALSE))</f>
        <v/>
      </c>
      <c r="AF527" t="str">
        <f>IF(X527="","",VLOOKUP($X527,RM!$C$4:$G991,5,FALSE))</f>
        <v/>
      </c>
      <c r="AL527" t="e">
        <f ca="1">_xludf.IFNA(VLOOKUP(AH527,'S-FG'!$B$3:$B1001,1,FALSE),"")</f>
        <v>#NAME?</v>
      </c>
      <c r="AM527" t="str">
        <f>IF(AI527="","",SUMIFS(#REF!,RM!$C$4:$C991,AI527))</f>
        <v/>
      </c>
    </row>
    <row r="528" spans="5:39">
      <c r="E528" t="str">
        <f>IF(A528="","",SUMIFS('PR-BOM'!$D$3:$D1001,'PR-BOM'!$C$3:$C1001,A528)*C528)</f>
        <v/>
      </c>
      <c r="F528" t="e">
        <f ca="1">_xludf.IFNA(VLOOKUP(B528,'S-FG'!$B$3:$B1001,1,FALSE),"")</f>
        <v>#NAME?</v>
      </c>
      <c r="L528" t="str">
        <f t="shared" si="7"/>
        <v/>
      </c>
      <c r="Q528" t="str">
        <f>IF(N528="","",SUMIFS('PR-BOM'!$D$3:$D1001,'PR-BOM'!$C$3:$C1001,N528))</f>
        <v/>
      </c>
      <c r="Y528" t="str">
        <f t="shared" si="8"/>
        <v/>
      </c>
      <c r="Z528" t="str">
        <f>IF(X528="","",SUMIFS(#REF!,RM!$C$4:$C991,X528))</f>
        <v/>
      </c>
      <c r="AA528" t="str">
        <f>IF(X528="","",SUMIFS(#REF!,RM!$C$4:$C991,X528))</f>
        <v/>
      </c>
      <c r="AB528" t="str">
        <f>IF(X528="","",SUMIFS(IRegback!$Y$2:$Y1001,IRegback!$X$2:$X1001,X528))</f>
        <v/>
      </c>
      <c r="AC528" t="e">
        <f t="shared" si="9"/>
        <v>#VALUE!</v>
      </c>
      <c r="AD528" t="str">
        <f>IF(X528="","",VLOOKUP($X528,RM!$C$4:$G991,3,FALSE))</f>
        <v/>
      </c>
      <c r="AE528" t="str">
        <f>IF(X528="","",VLOOKUP($X528,RM!$C$4:$G991,4,FALSE))</f>
        <v/>
      </c>
      <c r="AF528" t="str">
        <f>IF(X528="","",VLOOKUP($X528,RM!$C$4:$G991,5,FALSE))</f>
        <v/>
      </c>
      <c r="AL528" t="e">
        <f ca="1">_xludf.IFNA(VLOOKUP(AH528,'S-FG'!$B$3:$B1001,1,FALSE),"")</f>
        <v>#NAME?</v>
      </c>
      <c r="AM528" t="str">
        <f>IF(AI528="","",SUMIFS(#REF!,RM!$C$4:$C991,AI528))</f>
        <v/>
      </c>
    </row>
    <row r="529" spans="5:39">
      <c r="E529" t="str">
        <f>IF(A529="","",SUMIFS('PR-BOM'!$D$3:$D1001,'PR-BOM'!$C$3:$C1001,A529)*C529)</f>
        <v/>
      </c>
      <c r="F529" t="e">
        <f ca="1">_xludf.IFNA(VLOOKUP(B529,'S-FG'!$B$3:$B1001,1,FALSE),"")</f>
        <v>#NAME?</v>
      </c>
      <c r="L529" t="str">
        <f t="shared" si="7"/>
        <v/>
      </c>
      <c r="Q529" t="str">
        <f>IF(N529="","",SUMIFS('PR-BOM'!$D$3:$D1001,'PR-BOM'!$C$3:$C1001,N529))</f>
        <v/>
      </c>
      <c r="Y529" t="str">
        <f t="shared" si="8"/>
        <v/>
      </c>
      <c r="Z529" t="str">
        <f>IF(X529="","",SUMIFS(#REF!,RM!$C$4:$C991,X529))</f>
        <v/>
      </c>
      <c r="AA529" t="str">
        <f>IF(X529="","",SUMIFS(#REF!,RM!$C$4:$C991,X529))</f>
        <v/>
      </c>
      <c r="AB529" t="str">
        <f>IF(X529="","",SUMIFS(IRegback!$Y$2:$Y1001,IRegback!$X$2:$X1001,X529))</f>
        <v/>
      </c>
      <c r="AC529" t="e">
        <f t="shared" si="9"/>
        <v>#VALUE!</v>
      </c>
      <c r="AD529" t="str">
        <f>IF(X529="","",VLOOKUP($X529,RM!$C$4:$G991,3,FALSE))</f>
        <v/>
      </c>
      <c r="AE529" t="str">
        <f>IF(X529="","",VLOOKUP($X529,RM!$C$4:$G991,4,FALSE))</f>
        <v/>
      </c>
      <c r="AF529" t="str">
        <f>IF(X529="","",VLOOKUP($X529,RM!$C$4:$G991,5,FALSE))</f>
        <v/>
      </c>
      <c r="AL529" t="e">
        <f ca="1">_xludf.IFNA(VLOOKUP(AH529,'S-FG'!$B$3:$B1001,1,FALSE),"")</f>
        <v>#NAME?</v>
      </c>
      <c r="AM529" t="str">
        <f>IF(AI529="","",SUMIFS(#REF!,RM!$C$4:$C991,AI529))</f>
        <v/>
      </c>
    </row>
    <row r="530" spans="5:39">
      <c r="E530" t="str">
        <f>IF(A530="","",SUMIFS('PR-BOM'!$D$3:$D1001,'PR-BOM'!$C$3:$C1001,A530)*C530)</f>
        <v/>
      </c>
      <c r="F530" t="e">
        <f ca="1">_xludf.IFNA(VLOOKUP(B530,'S-FG'!$B$3:$B1001,1,FALSE),"")</f>
        <v>#NAME?</v>
      </c>
      <c r="L530" t="str">
        <f t="shared" si="7"/>
        <v/>
      </c>
      <c r="Q530" t="str">
        <f>IF(N530="","",SUMIFS('PR-BOM'!$D$3:$D1001,'PR-BOM'!$C$3:$C1001,N530))</f>
        <v/>
      </c>
      <c r="Y530" t="str">
        <f t="shared" si="8"/>
        <v/>
      </c>
      <c r="Z530" t="str">
        <f>IF(X530="","",SUMIFS(#REF!,RM!$C$4:$C991,X530))</f>
        <v/>
      </c>
      <c r="AA530" t="str">
        <f>IF(X530="","",SUMIFS(#REF!,RM!$C$4:$C991,X530))</f>
        <v/>
      </c>
      <c r="AB530" t="str">
        <f>IF(X530="","",SUMIFS(IRegback!$Y$2:$Y1001,IRegback!$X$2:$X1001,X530))</f>
        <v/>
      </c>
      <c r="AC530" t="e">
        <f t="shared" si="9"/>
        <v>#VALUE!</v>
      </c>
      <c r="AD530" t="str">
        <f>IF(X530="","",VLOOKUP($X530,RM!$C$4:$G991,3,FALSE))</f>
        <v/>
      </c>
      <c r="AE530" t="str">
        <f>IF(X530="","",VLOOKUP($X530,RM!$C$4:$G991,4,FALSE))</f>
        <v/>
      </c>
      <c r="AF530" t="str">
        <f>IF(X530="","",VLOOKUP($X530,RM!$C$4:$G991,5,FALSE))</f>
        <v/>
      </c>
      <c r="AL530" t="e">
        <f ca="1">_xludf.IFNA(VLOOKUP(AH530,'S-FG'!$B$3:$B1001,1,FALSE),"")</f>
        <v>#NAME?</v>
      </c>
      <c r="AM530" t="str">
        <f>IF(AI530="","",SUMIFS(#REF!,RM!$C$4:$C991,AI530))</f>
        <v/>
      </c>
    </row>
    <row r="531" spans="5:39">
      <c r="E531" t="str">
        <f>IF(A531="","",SUMIFS('PR-BOM'!$D$3:$D1001,'PR-BOM'!$C$3:$C1001,A531)*C531)</f>
        <v/>
      </c>
      <c r="F531" t="e">
        <f ca="1">_xludf.IFNA(VLOOKUP(B531,'S-FG'!$B$3:$B1001,1,FALSE),"")</f>
        <v>#NAME?</v>
      </c>
      <c r="L531" t="str">
        <f t="shared" si="7"/>
        <v/>
      </c>
      <c r="Q531" t="str">
        <f>IF(N531="","",SUMIFS('PR-BOM'!$D$3:$D1001,'PR-BOM'!$C$3:$C1001,N531))</f>
        <v/>
      </c>
      <c r="Y531" t="str">
        <f t="shared" si="8"/>
        <v/>
      </c>
      <c r="Z531" t="str">
        <f>IF(X531="","",SUMIFS(#REF!,RM!$C$4:$C991,X531))</f>
        <v/>
      </c>
      <c r="AA531" t="str">
        <f>IF(X531="","",SUMIFS(#REF!,RM!$C$4:$C991,X531))</f>
        <v/>
      </c>
      <c r="AB531" t="str">
        <f>IF(X531="","",SUMIFS(IRegback!$Y$2:$Y1001,IRegback!$X$2:$X1001,X531))</f>
        <v/>
      </c>
      <c r="AC531" t="e">
        <f t="shared" si="9"/>
        <v>#VALUE!</v>
      </c>
      <c r="AD531" t="str">
        <f>IF(X531="","",VLOOKUP($X531,RM!$C$4:$G991,3,FALSE))</f>
        <v/>
      </c>
      <c r="AE531" t="str">
        <f>IF(X531="","",VLOOKUP($X531,RM!$C$4:$G991,4,FALSE))</f>
        <v/>
      </c>
      <c r="AF531" t="str">
        <f>IF(X531="","",VLOOKUP($X531,RM!$C$4:$G991,5,FALSE))</f>
        <v/>
      </c>
      <c r="AL531" t="e">
        <f ca="1">_xludf.IFNA(VLOOKUP(AH531,'S-FG'!$B$3:$B1001,1,FALSE),"")</f>
        <v>#NAME?</v>
      </c>
      <c r="AM531" t="str">
        <f>IF(AI531="","",SUMIFS(#REF!,RM!$C$4:$C991,AI531))</f>
        <v/>
      </c>
    </row>
    <row r="532" spans="5:39">
      <c r="E532" t="str">
        <f>IF(A532="","",SUMIFS('PR-BOM'!$D$3:$D1001,'PR-BOM'!$C$3:$C1001,A532)*C532)</f>
        <v/>
      </c>
      <c r="F532" t="e">
        <f ca="1">_xludf.IFNA(VLOOKUP(B532,'S-FG'!$B$3:$B1001,1,FALSE),"")</f>
        <v>#NAME?</v>
      </c>
      <c r="L532" t="str">
        <f t="shared" si="7"/>
        <v/>
      </c>
      <c r="Q532" t="str">
        <f>IF(N532="","",SUMIFS('PR-BOM'!$D$3:$D1001,'PR-BOM'!$C$3:$C1001,N532))</f>
        <v/>
      </c>
      <c r="Y532" t="str">
        <f t="shared" si="8"/>
        <v/>
      </c>
      <c r="Z532" t="str">
        <f>IF(X532="","",SUMIFS(#REF!,RM!$C$4:$C991,X532))</f>
        <v/>
      </c>
      <c r="AA532" t="str">
        <f>IF(X532="","",SUMIFS(#REF!,RM!$C$4:$C991,X532))</f>
        <v/>
      </c>
      <c r="AB532" t="str">
        <f>IF(X532="","",SUMIFS(IRegback!$Y$2:$Y1001,IRegback!$X$2:$X1001,X532))</f>
        <v/>
      </c>
      <c r="AC532" t="e">
        <f t="shared" si="9"/>
        <v>#VALUE!</v>
      </c>
      <c r="AD532" t="str">
        <f>IF(X532="","",VLOOKUP($X532,RM!$C$4:$G991,3,FALSE))</f>
        <v/>
      </c>
      <c r="AE532" t="str">
        <f>IF(X532="","",VLOOKUP($X532,RM!$C$4:$G991,4,FALSE))</f>
        <v/>
      </c>
      <c r="AF532" t="str">
        <f>IF(X532="","",VLOOKUP($X532,RM!$C$4:$G991,5,FALSE))</f>
        <v/>
      </c>
      <c r="AL532" t="e">
        <f ca="1">_xludf.IFNA(VLOOKUP(AH532,'S-FG'!$B$3:$B1001,1,FALSE),"")</f>
        <v>#NAME?</v>
      </c>
      <c r="AM532" t="str">
        <f>IF(AI532="","",SUMIFS(#REF!,RM!$C$4:$C991,AI532))</f>
        <v/>
      </c>
    </row>
    <row r="533" spans="5:39">
      <c r="E533" t="str">
        <f>IF(A533="","",SUMIFS('PR-BOM'!$D$3:$D1001,'PR-BOM'!$C$3:$C1001,A533)*C533)</f>
        <v/>
      </c>
      <c r="F533" t="e">
        <f ca="1">_xludf.IFNA(VLOOKUP(B533,'S-FG'!$B$3:$B1001,1,FALSE),"")</f>
        <v>#NAME?</v>
      </c>
      <c r="L533" t="str">
        <f t="shared" si="7"/>
        <v/>
      </c>
      <c r="Q533" t="str">
        <f>IF(N533="","",SUMIFS('PR-BOM'!$D$3:$D1001,'PR-BOM'!$C$3:$C1001,N533))</f>
        <v/>
      </c>
      <c r="Y533" t="str">
        <f t="shared" si="8"/>
        <v/>
      </c>
      <c r="Z533" t="str">
        <f>IF(X533="","",SUMIFS(#REF!,RM!$C$4:$C991,X533))</f>
        <v/>
      </c>
      <c r="AA533" t="str">
        <f>IF(X533="","",SUMIFS(#REF!,RM!$C$4:$C991,X533))</f>
        <v/>
      </c>
      <c r="AB533" t="str">
        <f>IF(X533="","",SUMIFS(IRegback!$Y$2:$Y1001,IRegback!$X$2:$X1001,X533))</f>
        <v/>
      </c>
      <c r="AC533" t="e">
        <f t="shared" si="9"/>
        <v>#VALUE!</v>
      </c>
      <c r="AD533" t="str">
        <f>IF(X533="","",VLOOKUP($X533,RM!$C$4:$G991,3,FALSE))</f>
        <v/>
      </c>
      <c r="AE533" t="str">
        <f>IF(X533="","",VLOOKUP($X533,RM!$C$4:$G991,4,FALSE))</f>
        <v/>
      </c>
      <c r="AF533" t="str">
        <f>IF(X533="","",VLOOKUP($X533,RM!$C$4:$G991,5,FALSE))</f>
        <v/>
      </c>
      <c r="AL533" t="e">
        <f ca="1">_xludf.IFNA(VLOOKUP(AH533,'S-FG'!$B$3:$B1001,1,FALSE),"")</f>
        <v>#NAME?</v>
      </c>
      <c r="AM533" t="str">
        <f>IF(AI533="","",SUMIFS(#REF!,RM!$C$4:$C991,AI533))</f>
        <v/>
      </c>
    </row>
    <row r="534" spans="5:39">
      <c r="E534" t="str">
        <f>IF(A534="","",SUMIFS('PR-BOM'!$D$3:$D1001,'PR-BOM'!$C$3:$C1001,A534)*C534)</f>
        <v/>
      </c>
      <c r="F534" t="e">
        <f ca="1">_xludf.IFNA(VLOOKUP(B534,'S-FG'!$B$3:$B1001,1,FALSE),"")</f>
        <v>#NAME?</v>
      </c>
      <c r="L534" t="str">
        <f t="shared" si="7"/>
        <v/>
      </c>
      <c r="Q534" t="str">
        <f>IF(N534="","",SUMIFS('PR-BOM'!$D$3:$D1001,'PR-BOM'!$C$3:$C1001,N534))</f>
        <v/>
      </c>
      <c r="Y534" t="str">
        <f t="shared" si="8"/>
        <v/>
      </c>
      <c r="Z534" t="str">
        <f>IF(X534="","",SUMIFS(#REF!,RM!$C$4:$C991,X534))</f>
        <v/>
      </c>
      <c r="AA534" t="str">
        <f>IF(X534="","",SUMIFS(#REF!,RM!$C$4:$C991,X534))</f>
        <v/>
      </c>
      <c r="AB534" t="str">
        <f>IF(X534="","",SUMIFS(IRegback!$Y$2:$Y1001,IRegback!$X$2:$X1001,X534))</f>
        <v/>
      </c>
      <c r="AC534" t="e">
        <f t="shared" si="9"/>
        <v>#VALUE!</v>
      </c>
      <c r="AD534" t="str">
        <f>IF(X534="","",VLOOKUP($X534,RM!$C$4:$G991,3,FALSE))</f>
        <v/>
      </c>
      <c r="AE534" t="str">
        <f>IF(X534="","",VLOOKUP($X534,RM!$C$4:$G991,4,FALSE))</f>
        <v/>
      </c>
      <c r="AF534" t="str">
        <f>IF(X534="","",VLOOKUP($X534,RM!$C$4:$G991,5,FALSE))</f>
        <v/>
      </c>
      <c r="AL534" t="e">
        <f ca="1">_xludf.IFNA(VLOOKUP(AH534,'S-FG'!$B$3:$B1001,1,FALSE),"")</f>
        <v>#NAME?</v>
      </c>
      <c r="AM534" t="str">
        <f>IF(AI534="","",SUMIFS(#REF!,RM!$C$4:$C991,AI534))</f>
        <v/>
      </c>
    </row>
    <row r="535" spans="5:39">
      <c r="E535" t="str">
        <f>IF(A535="","",SUMIFS('PR-BOM'!$D$3:$D1001,'PR-BOM'!$C$3:$C1001,A535)*C535)</f>
        <v/>
      </c>
      <c r="F535" t="e">
        <f ca="1">_xludf.IFNA(VLOOKUP(B535,'S-FG'!$B$3:$B1001,1,FALSE),"")</f>
        <v>#NAME?</v>
      </c>
      <c r="L535" t="str">
        <f t="shared" si="7"/>
        <v/>
      </c>
      <c r="Q535" t="str">
        <f>IF(N535="","",SUMIFS('PR-BOM'!$D$3:$D1001,'PR-BOM'!$C$3:$C1001,N535))</f>
        <v/>
      </c>
      <c r="Y535" t="str">
        <f t="shared" si="8"/>
        <v/>
      </c>
      <c r="Z535" t="str">
        <f>IF(X535="","",SUMIFS(#REF!,RM!$C$4:$C991,X535))</f>
        <v/>
      </c>
      <c r="AA535" t="str">
        <f>IF(X535="","",SUMIFS(#REF!,RM!$C$4:$C991,X535))</f>
        <v/>
      </c>
      <c r="AB535" t="str">
        <f>IF(X535="","",SUMIFS(IRegback!$Y$2:$Y1001,IRegback!$X$2:$X1001,X535))</f>
        <v/>
      </c>
      <c r="AC535" t="e">
        <f t="shared" si="9"/>
        <v>#VALUE!</v>
      </c>
      <c r="AD535" t="str">
        <f>IF(X535="","",VLOOKUP($X535,RM!$C$4:$G991,3,FALSE))</f>
        <v/>
      </c>
      <c r="AE535" t="str">
        <f>IF(X535="","",VLOOKUP($X535,RM!$C$4:$G991,4,FALSE))</f>
        <v/>
      </c>
      <c r="AF535" t="str">
        <f>IF(X535="","",VLOOKUP($X535,RM!$C$4:$G991,5,FALSE))</f>
        <v/>
      </c>
      <c r="AL535" t="e">
        <f ca="1">_xludf.IFNA(VLOOKUP(AH535,'S-FG'!$B$3:$B1001,1,FALSE),"")</f>
        <v>#NAME?</v>
      </c>
      <c r="AM535" t="str">
        <f>IF(AI535="","",SUMIFS(#REF!,RM!$C$4:$C991,AI535))</f>
        <v/>
      </c>
    </row>
    <row r="536" spans="5:39">
      <c r="E536" t="str">
        <f>IF(A536="","",SUMIFS('PR-BOM'!$D$3:$D1001,'PR-BOM'!$C$3:$C1001,A536)*C536)</f>
        <v/>
      </c>
      <c r="F536" t="e">
        <f ca="1">_xludf.IFNA(VLOOKUP(B536,'S-FG'!$B$3:$B1001,1,FALSE),"")</f>
        <v>#NAME?</v>
      </c>
      <c r="L536" t="str">
        <f t="shared" si="7"/>
        <v/>
      </c>
      <c r="Q536" t="str">
        <f>IF(N536="","",SUMIFS('PR-BOM'!$D$3:$D1001,'PR-BOM'!$C$3:$C1001,N536))</f>
        <v/>
      </c>
      <c r="Y536" t="str">
        <f t="shared" si="8"/>
        <v/>
      </c>
      <c r="Z536" t="str">
        <f>IF(X536="","",SUMIFS(#REF!,RM!$C$4:$C991,X536))</f>
        <v/>
      </c>
      <c r="AA536" t="str">
        <f>IF(X536="","",SUMIFS(#REF!,RM!$C$4:$C991,X536))</f>
        <v/>
      </c>
      <c r="AB536" t="str">
        <f>IF(X536="","",SUMIFS(IRegback!$Y$2:$Y1001,IRegback!$X$2:$X1001,X536))</f>
        <v/>
      </c>
      <c r="AC536" t="e">
        <f t="shared" si="9"/>
        <v>#VALUE!</v>
      </c>
      <c r="AD536" t="str">
        <f>IF(X536="","",VLOOKUP($X536,RM!$C$4:$G991,3,FALSE))</f>
        <v/>
      </c>
      <c r="AE536" t="str">
        <f>IF(X536="","",VLOOKUP($X536,RM!$C$4:$G991,4,FALSE))</f>
        <v/>
      </c>
      <c r="AF536" t="str">
        <f>IF(X536="","",VLOOKUP($X536,RM!$C$4:$G991,5,FALSE))</f>
        <v/>
      </c>
      <c r="AL536" t="e">
        <f ca="1">_xludf.IFNA(VLOOKUP(AH536,'S-FG'!$B$3:$B1001,1,FALSE),"")</f>
        <v>#NAME?</v>
      </c>
      <c r="AM536" t="str">
        <f>IF(AI536="","",SUMIFS(#REF!,RM!$C$4:$C991,AI536))</f>
        <v/>
      </c>
    </row>
    <row r="537" spans="5:39">
      <c r="E537" t="str">
        <f>IF(A537="","",SUMIFS('PR-BOM'!$D$3:$D1001,'PR-BOM'!$C$3:$C1001,A537)*C537)</f>
        <v/>
      </c>
      <c r="F537" t="e">
        <f ca="1">_xludf.IFNA(VLOOKUP(B537,'S-FG'!$B$3:$B1001,1,FALSE),"")</f>
        <v>#NAME?</v>
      </c>
      <c r="L537" t="str">
        <f t="shared" si="7"/>
        <v/>
      </c>
      <c r="Q537" t="str">
        <f>IF(N537="","",SUMIFS('PR-BOM'!$D$3:$D1001,'PR-BOM'!$C$3:$C1001,N537))</f>
        <v/>
      </c>
      <c r="Y537" t="str">
        <f t="shared" si="8"/>
        <v/>
      </c>
      <c r="Z537" t="str">
        <f>IF(X537="","",SUMIFS(#REF!,RM!$C$4:$C991,X537))</f>
        <v/>
      </c>
      <c r="AA537" t="str">
        <f>IF(X537="","",SUMIFS(#REF!,RM!$C$4:$C991,X537))</f>
        <v/>
      </c>
      <c r="AB537" t="str">
        <f>IF(X537="","",SUMIFS(IRegback!$Y$2:$Y1001,IRegback!$X$2:$X1001,X537))</f>
        <v/>
      </c>
      <c r="AC537" t="e">
        <f t="shared" si="9"/>
        <v>#VALUE!</v>
      </c>
      <c r="AD537" t="str">
        <f>IF(X537="","",VLOOKUP($X537,RM!$C$4:$G991,3,FALSE))</f>
        <v/>
      </c>
      <c r="AE537" t="str">
        <f>IF(X537="","",VLOOKUP($X537,RM!$C$4:$G991,4,FALSE))</f>
        <v/>
      </c>
      <c r="AF537" t="str">
        <f>IF(X537="","",VLOOKUP($X537,RM!$C$4:$G991,5,FALSE))</f>
        <v/>
      </c>
      <c r="AL537" t="e">
        <f ca="1">_xludf.IFNA(VLOOKUP(AH537,'S-FG'!$B$3:$B1001,1,FALSE),"")</f>
        <v>#NAME?</v>
      </c>
      <c r="AM537" t="str">
        <f>IF(AI537="","",SUMIFS(#REF!,RM!$C$4:$C991,AI537))</f>
        <v/>
      </c>
    </row>
    <row r="538" spans="5:39">
      <c r="E538" t="str">
        <f>IF(A538="","",SUMIFS('PR-BOM'!$D$3:$D1001,'PR-BOM'!$C$3:$C1001,A538)*C538)</f>
        <v/>
      </c>
      <c r="F538" t="e">
        <f ca="1">_xludf.IFNA(VLOOKUP(B538,'S-FG'!$B$3:$B1001,1,FALSE),"")</f>
        <v>#NAME?</v>
      </c>
      <c r="L538" t="str">
        <f t="shared" si="7"/>
        <v/>
      </c>
      <c r="Q538" t="str">
        <f>IF(N538="","",SUMIFS('PR-BOM'!$D$3:$D1001,'PR-BOM'!$C$3:$C1001,N538))</f>
        <v/>
      </c>
      <c r="Y538" t="str">
        <f t="shared" si="8"/>
        <v/>
      </c>
      <c r="Z538" t="str">
        <f>IF(X538="","",SUMIFS(#REF!,RM!$C$4:$C991,X538))</f>
        <v/>
      </c>
      <c r="AA538" t="str">
        <f>IF(X538="","",SUMIFS(#REF!,RM!$C$4:$C991,X538))</f>
        <v/>
      </c>
      <c r="AB538" t="str">
        <f>IF(X538="","",SUMIFS(IRegback!$Y$2:$Y1001,IRegback!$X$2:$X1001,X538))</f>
        <v/>
      </c>
      <c r="AC538" t="e">
        <f t="shared" si="9"/>
        <v>#VALUE!</v>
      </c>
      <c r="AD538" t="str">
        <f>IF(X538="","",VLOOKUP($X538,RM!$C$4:$G991,3,FALSE))</f>
        <v/>
      </c>
      <c r="AE538" t="str">
        <f>IF(X538="","",VLOOKUP($X538,RM!$C$4:$G991,4,FALSE))</f>
        <v/>
      </c>
      <c r="AF538" t="str">
        <f>IF(X538="","",VLOOKUP($X538,RM!$C$4:$G991,5,FALSE))</f>
        <v/>
      </c>
      <c r="AL538" t="e">
        <f ca="1">_xludf.IFNA(VLOOKUP(AH538,'S-FG'!$B$3:$B1001,1,FALSE),"")</f>
        <v>#NAME?</v>
      </c>
      <c r="AM538" t="str">
        <f>IF(AI538="","",SUMIFS(#REF!,RM!$C$4:$C991,AI538))</f>
        <v/>
      </c>
    </row>
    <row r="539" spans="5:39">
      <c r="E539" t="str">
        <f>IF(A539="","",SUMIFS('PR-BOM'!$D$3:$D1001,'PR-BOM'!$C$3:$C1001,A539)*C539)</f>
        <v/>
      </c>
      <c r="F539" t="e">
        <f ca="1">_xludf.IFNA(VLOOKUP(B539,'S-FG'!$B$3:$B1001,1,FALSE),"")</f>
        <v>#NAME?</v>
      </c>
      <c r="L539" t="str">
        <f t="shared" si="7"/>
        <v/>
      </c>
      <c r="Q539" t="str">
        <f>IF(N539="","",SUMIFS('PR-BOM'!$D$3:$D1001,'PR-BOM'!$C$3:$C1001,N539))</f>
        <v/>
      </c>
      <c r="Y539" t="str">
        <f t="shared" si="8"/>
        <v/>
      </c>
      <c r="Z539" t="str">
        <f>IF(X539="","",SUMIFS(#REF!,RM!$C$4:$C991,X539))</f>
        <v/>
      </c>
      <c r="AA539" t="str">
        <f>IF(X539="","",SUMIFS(#REF!,RM!$C$4:$C991,X539))</f>
        <v/>
      </c>
      <c r="AB539" t="str">
        <f>IF(X539="","",SUMIFS(IRegback!$Y$2:$Y1001,IRegback!$X$2:$X1001,X539))</f>
        <v/>
      </c>
      <c r="AC539" t="e">
        <f t="shared" si="9"/>
        <v>#VALUE!</v>
      </c>
      <c r="AD539" t="str">
        <f>IF(X539="","",VLOOKUP($X539,RM!$C$4:$G991,3,FALSE))</f>
        <v/>
      </c>
      <c r="AE539" t="str">
        <f>IF(X539="","",VLOOKUP($X539,RM!$C$4:$G991,4,FALSE))</f>
        <v/>
      </c>
      <c r="AF539" t="str">
        <f>IF(X539="","",VLOOKUP($X539,RM!$C$4:$G991,5,FALSE))</f>
        <v/>
      </c>
      <c r="AL539" t="e">
        <f ca="1">_xludf.IFNA(VLOOKUP(AH539,'S-FG'!$B$3:$B1001,1,FALSE),"")</f>
        <v>#NAME?</v>
      </c>
      <c r="AM539" t="str">
        <f>IF(AI539="","",SUMIFS(#REF!,RM!$C$4:$C991,AI539))</f>
        <v/>
      </c>
    </row>
    <row r="540" spans="5:39">
      <c r="E540" t="str">
        <f>IF(A540="","",SUMIFS('PR-BOM'!$D$3:$D1001,'PR-BOM'!$C$3:$C1001,A540)*C540)</f>
        <v/>
      </c>
      <c r="F540" t="e">
        <f ca="1">_xludf.IFNA(VLOOKUP(B540,'S-FG'!$B$3:$B1001,1,FALSE),"")</f>
        <v>#NAME?</v>
      </c>
      <c r="L540" t="str">
        <f t="shared" si="7"/>
        <v/>
      </c>
      <c r="Q540" t="str">
        <f>IF(N540="","",SUMIFS('PR-BOM'!$D$3:$D1001,'PR-BOM'!$C$3:$C1001,N540))</f>
        <v/>
      </c>
      <c r="Y540" t="str">
        <f t="shared" si="8"/>
        <v/>
      </c>
      <c r="Z540" t="str">
        <f>IF(X540="","",SUMIFS(#REF!,RM!$C$4:$C991,X540))</f>
        <v/>
      </c>
      <c r="AA540" t="str">
        <f>IF(X540="","",SUMIFS(#REF!,RM!$C$4:$C991,X540))</f>
        <v/>
      </c>
      <c r="AB540" t="str">
        <f>IF(X540="","",SUMIFS(IRegback!$Y$2:$Y1001,IRegback!$X$2:$X1001,X540))</f>
        <v/>
      </c>
      <c r="AC540" t="e">
        <f t="shared" si="9"/>
        <v>#VALUE!</v>
      </c>
      <c r="AD540" t="str">
        <f>IF(X540="","",VLOOKUP($X540,RM!$C$4:$G991,3,FALSE))</f>
        <v/>
      </c>
      <c r="AE540" t="str">
        <f>IF(X540="","",VLOOKUP($X540,RM!$C$4:$G991,4,FALSE))</f>
        <v/>
      </c>
      <c r="AF540" t="str">
        <f>IF(X540="","",VLOOKUP($X540,RM!$C$4:$G991,5,FALSE))</f>
        <v/>
      </c>
      <c r="AL540" t="e">
        <f ca="1">_xludf.IFNA(VLOOKUP(AH540,'S-FG'!$B$3:$B1001,1,FALSE),"")</f>
        <v>#NAME?</v>
      </c>
      <c r="AM540" t="str">
        <f>IF(AI540="","",SUMIFS(#REF!,RM!$C$4:$C991,AI540))</f>
        <v/>
      </c>
    </row>
    <row r="541" spans="5:39">
      <c r="E541" t="str">
        <f>IF(A541="","",SUMIFS('PR-BOM'!$D$3:$D1001,'PR-BOM'!$C$3:$C1001,A541)*C541)</f>
        <v/>
      </c>
      <c r="F541" t="e">
        <f ca="1">_xludf.IFNA(VLOOKUP(B541,'S-FG'!$B$3:$B1001,1,FALSE),"")</f>
        <v>#NAME?</v>
      </c>
      <c r="L541" t="str">
        <f t="shared" si="7"/>
        <v/>
      </c>
      <c r="Q541" t="str">
        <f>IF(N541="","",SUMIFS('PR-BOM'!$D$3:$D1001,'PR-BOM'!$C$3:$C1001,N541))</f>
        <v/>
      </c>
      <c r="Y541" t="str">
        <f t="shared" si="8"/>
        <v/>
      </c>
      <c r="Z541" t="str">
        <f>IF(X541="","",SUMIFS(#REF!,RM!$C$4:$C991,X541))</f>
        <v/>
      </c>
      <c r="AA541" t="str">
        <f>IF(X541="","",SUMIFS(#REF!,RM!$C$4:$C991,X541))</f>
        <v/>
      </c>
      <c r="AB541" t="str">
        <f>IF(X541="","",SUMIFS(IRegback!$Y$2:$Y1001,IRegback!$X$2:$X1001,X541))</f>
        <v/>
      </c>
      <c r="AC541" t="e">
        <f t="shared" si="9"/>
        <v>#VALUE!</v>
      </c>
      <c r="AD541" t="str">
        <f>IF(X541="","",VLOOKUP($X541,RM!$C$4:$G991,3,FALSE))</f>
        <v/>
      </c>
      <c r="AE541" t="str">
        <f>IF(X541="","",VLOOKUP($X541,RM!$C$4:$G991,4,FALSE))</f>
        <v/>
      </c>
      <c r="AF541" t="str">
        <f>IF(X541="","",VLOOKUP($X541,RM!$C$4:$G991,5,FALSE))</f>
        <v/>
      </c>
      <c r="AL541" t="e">
        <f ca="1">_xludf.IFNA(VLOOKUP(AH541,'S-FG'!$B$3:$B1001,1,FALSE),"")</f>
        <v>#NAME?</v>
      </c>
      <c r="AM541" t="str">
        <f>IF(AI541="","",SUMIFS(#REF!,RM!$C$4:$C991,AI541))</f>
        <v/>
      </c>
    </row>
    <row r="542" spans="5:39">
      <c r="E542" t="str">
        <f>IF(A542="","",SUMIFS('PR-BOM'!$D$3:$D1001,'PR-BOM'!$C$3:$C1001,A542)*C542)</f>
        <v/>
      </c>
      <c r="F542" t="e">
        <f ca="1">_xludf.IFNA(VLOOKUP(B542,'S-FG'!$B$3:$B1001,1,FALSE),"")</f>
        <v>#NAME?</v>
      </c>
      <c r="L542" t="str">
        <f t="shared" si="7"/>
        <v/>
      </c>
      <c r="Q542" t="str">
        <f>IF(N542="","",SUMIFS('PR-BOM'!$D$3:$D1001,'PR-BOM'!$C$3:$C1001,N542))</f>
        <v/>
      </c>
      <c r="Y542" t="str">
        <f t="shared" si="8"/>
        <v/>
      </c>
      <c r="Z542" t="str">
        <f>IF(X542="","",SUMIFS(#REF!,RM!$C$4:$C991,X542))</f>
        <v/>
      </c>
      <c r="AA542" t="str">
        <f>IF(X542="","",SUMIFS(#REF!,RM!$C$4:$C991,X542))</f>
        <v/>
      </c>
      <c r="AB542" t="str">
        <f>IF(X542="","",SUMIFS(IRegback!$Y$2:$Y1001,IRegback!$X$2:$X1001,X542))</f>
        <v/>
      </c>
      <c r="AC542" t="e">
        <f t="shared" si="9"/>
        <v>#VALUE!</v>
      </c>
      <c r="AD542" t="str">
        <f>IF(X542="","",VLOOKUP($X542,RM!$C$4:$G991,3,FALSE))</f>
        <v/>
      </c>
      <c r="AE542" t="str">
        <f>IF(X542="","",VLOOKUP($X542,RM!$C$4:$G991,4,FALSE))</f>
        <v/>
      </c>
      <c r="AF542" t="str">
        <f>IF(X542="","",VLOOKUP($X542,RM!$C$4:$G991,5,FALSE))</f>
        <v/>
      </c>
      <c r="AL542" t="e">
        <f ca="1">_xludf.IFNA(VLOOKUP(AH542,'S-FG'!$B$3:$B1001,1,FALSE),"")</f>
        <v>#NAME?</v>
      </c>
      <c r="AM542" t="str">
        <f>IF(AI542="","",SUMIFS(#REF!,RM!$C$4:$C991,AI542))</f>
        <v/>
      </c>
    </row>
    <row r="543" spans="5:39">
      <c r="E543" t="str">
        <f>IF(A543="","",SUMIFS('PR-BOM'!$D$3:$D1001,'PR-BOM'!$C$3:$C1001,A543)*C543)</f>
        <v/>
      </c>
      <c r="F543" t="e">
        <f ca="1">_xludf.IFNA(VLOOKUP(B543,'S-FG'!$B$3:$B1001,1,FALSE),"")</f>
        <v>#NAME?</v>
      </c>
      <c r="L543" t="str">
        <f t="shared" si="7"/>
        <v/>
      </c>
      <c r="Q543" t="str">
        <f>IF(N543="","",SUMIFS('PR-BOM'!$D$3:$D1001,'PR-BOM'!$C$3:$C1001,N543))</f>
        <v/>
      </c>
      <c r="Y543" t="str">
        <f t="shared" si="8"/>
        <v/>
      </c>
      <c r="Z543" t="str">
        <f>IF(X543="","",SUMIFS(#REF!,RM!$C$4:$C991,X543))</f>
        <v/>
      </c>
      <c r="AA543" t="str">
        <f>IF(X543="","",SUMIFS(#REF!,RM!$C$4:$C991,X543))</f>
        <v/>
      </c>
      <c r="AB543" t="str">
        <f>IF(X543="","",SUMIFS(IRegback!$Y$2:$Y1001,IRegback!$X$2:$X1001,X543))</f>
        <v/>
      </c>
      <c r="AC543" t="e">
        <f t="shared" si="9"/>
        <v>#VALUE!</v>
      </c>
      <c r="AD543" t="str">
        <f>IF(X543="","",VLOOKUP($X543,RM!$C$4:$G991,3,FALSE))</f>
        <v/>
      </c>
      <c r="AE543" t="str">
        <f>IF(X543="","",VLOOKUP($X543,RM!$C$4:$G991,4,FALSE))</f>
        <v/>
      </c>
      <c r="AF543" t="str">
        <f>IF(X543="","",VLOOKUP($X543,RM!$C$4:$G991,5,FALSE))</f>
        <v/>
      </c>
      <c r="AL543" t="e">
        <f ca="1">_xludf.IFNA(VLOOKUP(AH543,'S-FG'!$B$3:$B1001,1,FALSE),"")</f>
        <v>#NAME?</v>
      </c>
      <c r="AM543" t="str">
        <f>IF(AI543="","",SUMIFS(#REF!,RM!$C$4:$C991,AI543))</f>
        <v/>
      </c>
    </row>
    <row r="544" spans="5:39">
      <c r="E544" t="str">
        <f>IF(A544="","",SUMIFS('PR-BOM'!$D$3:$D1001,'PR-BOM'!$C$3:$C1001,A544)*C544)</f>
        <v/>
      </c>
      <c r="F544" t="e">
        <f ca="1">_xludf.IFNA(VLOOKUP(B544,'S-FG'!$B$3:$B1001,1,FALSE),"")</f>
        <v>#NAME?</v>
      </c>
      <c r="L544" t="str">
        <f t="shared" si="7"/>
        <v/>
      </c>
      <c r="Q544" t="str">
        <f>IF(N544="","",SUMIFS('PR-BOM'!$D$3:$D1001,'PR-BOM'!$C$3:$C1001,N544))</f>
        <v/>
      </c>
      <c r="Y544" t="str">
        <f t="shared" si="8"/>
        <v/>
      </c>
      <c r="Z544" t="str">
        <f>IF(X544="","",SUMIFS(#REF!,RM!$C$4:$C991,X544))</f>
        <v/>
      </c>
      <c r="AA544" t="str">
        <f>IF(X544="","",SUMIFS(#REF!,RM!$C$4:$C991,X544))</f>
        <v/>
      </c>
      <c r="AB544" t="str">
        <f>IF(X544="","",SUMIFS(IRegback!$Y$2:$Y1001,IRegback!$X$2:$X1001,X544))</f>
        <v/>
      </c>
      <c r="AC544" t="e">
        <f t="shared" si="9"/>
        <v>#VALUE!</v>
      </c>
      <c r="AD544" t="str">
        <f>IF(X544="","",VLOOKUP($X544,RM!$C$4:$G991,3,FALSE))</f>
        <v/>
      </c>
      <c r="AE544" t="str">
        <f>IF(X544="","",VLOOKUP($X544,RM!$C$4:$G991,4,FALSE))</f>
        <v/>
      </c>
      <c r="AF544" t="str">
        <f>IF(X544="","",VLOOKUP($X544,RM!$C$4:$G991,5,FALSE))</f>
        <v/>
      </c>
      <c r="AL544" t="e">
        <f ca="1">_xludf.IFNA(VLOOKUP(AH544,'S-FG'!$B$3:$B1001,1,FALSE),"")</f>
        <v>#NAME?</v>
      </c>
      <c r="AM544" t="str">
        <f>IF(AI544="","",SUMIFS(#REF!,RM!$C$4:$C991,AI544))</f>
        <v/>
      </c>
    </row>
    <row r="545" spans="5:39">
      <c r="E545" t="str">
        <f>IF(A545="","",SUMIFS('PR-BOM'!$D$3:$D1001,'PR-BOM'!$C$3:$C1001,A545)*C545)</f>
        <v/>
      </c>
      <c r="F545" t="e">
        <f ca="1">_xludf.IFNA(VLOOKUP(B545,'S-FG'!$B$3:$B1001,1,FALSE),"")</f>
        <v>#NAME?</v>
      </c>
      <c r="L545" t="str">
        <f t="shared" si="7"/>
        <v/>
      </c>
      <c r="Q545" t="str">
        <f>IF(N545="","",SUMIFS('PR-BOM'!$D$3:$D1001,'PR-BOM'!$C$3:$C1001,N545))</f>
        <v/>
      </c>
      <c r="Y545" t="str">
        <f t="shared" si="8"/>
        <v/>
      </c>
      <c r="Z545" t="str">
        <f>IF(X545="","",SUMIFS(#REF!,RM!$C$4:$C991,X545))</f>
        <v/>
      </c>
      <c r="AA545" t="str">
        <f>IF(X545="","",SUMIFS(#REF!,RM!$C$4:$C991,X545))</f>
        <v/>
      </c>
      <c r="AB545" t="str">
        <f>IF(X545="","",SUMIFS(IRegback!$Y$2:$Y1001,IRegback!$X$2:$X1001,X545))</f>
        <v/>
      </c>
      <c r="AC545" t="e">
        <f t="shared" si="9"/>
        <v>#VALUE!</v>
      </c>
      <c r="AD545" t="str">
        <f>IF(X545="","",VLOOKUP($X545,RM!$C$4:$G991,3,FALSE))</f>
        <v/>
      </c>
      <c r="AE545" t="str">
        <f>IF(X545="","",VLOOKUP($X545,RM!$C$4:$G991,4,FALSE))</f>
        <v/>
      </c>
      <c r="AF545" t="str">
        <f>IF(X545="","",VLOOKUP($X545,RM!$C$4:$G991,5,FALSE))</f>
        <v/>
      </c>
      <c r="AL545" t="e">
        <f ca="1">_xludf.IFNA(VLOOKUP(AH545,'S-FG'!$B$3:$B1001,1,FALSE),"")</f>
        <v>#NAME?</v>
      </c>
      <c r="AM545" t="str">
        <f>IF(AI545="","",SUMIFS(#REF!,RM!$C$4:$C991,AI545))</f>
        <v/>
      </c>
    </row>
    <row r="546" spans="5:39">
      <c r="E546" t="str">
        <f>IF(A546="","",SUMIFS('PR-BOM'!$D$3:$D1001,'PR-BOM'!$C$3:$C1001,A546)*C546)</f>
        <v/>
      </c>
      <c r="F546" t="e">
        <f ca="1">_xludf.IFNA(VLOOKUP(B546,'S-FG'!$B$3:$B1001,1,FALSE),"")</f>
        <v>#NAME?</v>
      </c>
      <c r="L546" t="str">
        <f t="shared" si="7"/>
        <v/>
      </c>
      <c r="Q546" t="str">
        <f>IF(N546="","",SUMIFS('PR-BOM'!$D$3:$D1001,'PR-BOM'!$C$3:$C1001,N546))</f>
        <v/>
      </c>
      <c r="Y546" t="str">
        <f t="shared" si="8"/>
        <v/>
      </c>
      <c r="Z546" t="str">
        <f>IF(X546="","",SUMIFS(#REF!,RM!$C$4:$C991,X546))</f>
        <v/>
      </c>
      <c r="AA546" t="str">
        <f>IF(X546="","",SUMIFS(#REF!,RM!$C$4:$C991,X546))</f>
        <v/>
      </c>
      <c r="AB546" t="str">
        <f>IF(X546="","",SUMIFS(IRegback!$Y$2:$Y1001,IRegback!$X$2:$X1001,X546))</f>
        <v/>
      </c>
      <c r="AC546" t="e">
        <f t="shared" si="9"/>
        <v>#VALUE!</v>
      </c>
      <c r="AD546" t="str">
        <f>IF(X546="","",VLOOKUP($X546,RM!$C$4:$G991,3,FALSE))</f>
        <v/>
      </c>
      <c r="AE546" t="str">
        <f>IF(X546="","",VLOOKUP($X546,RM!$C$4:$G991,4,FALSE))</f>
        <v/>
      </c>
      <c r="AF546" t="str">
        <f>IF(X546="","",VLOOKUP($X546,RM!$C$4:$G991,5,FALSE))</f>
        <v/>
      </c>
      <c r="AL546" t="e">
        <f ca="1">_xludf.IFNA(VLOOKUP(AH546,'S-FG'!$B$3:$B1001,1,FALSE),"")</f>
        <v>#NAME?</v>
      </c>
      <c r="AM546" t="str">
        <f>IF(AI546="","",SUMIFS(#REF!,RM!$C$4:$C991,AI546))</f>
        <v/>
      </c>
    </row>
    <row r="547" spans="5:39">
      <c r="E547" t="str">
        <f>IF(A547="","",SUMIFS('PR-BOM'!$D$3:$D1001,'PR-BOM'!$C$3:$C1001,A547)*C547)</f>
        <v/>
      </c>
      <c r="F547" t="e">
        <f ca="1">_xludf.IFNA(VLOOKUP(B547,'S-FG'!$B$3:$B1001,1,FALSE),"")</f>
        <v>#NAME?</v>
      </c>
      <c r="L547" t="str">
        <f t="shared" si="7"/>
        <v/>
      </c>
      <c r="Q547" t="str">
        <f>IF(N547="","",SUMIFS('PR-BOM'!$D$3:$D1001,'PR-BOM'!$C$3:$C1001,N547))</f>
        <v/>
      </c>
      <c r="Y547" t="str">
        <f t="shared" si="8"/>
        <v/>
      </c>
      <c r="Z547" t="str">
        <f>IF(X547="","",SUMIFS(#REF!,RM!$C$4:$C991,X547))</f>
        <v/>
      </c>
      <c r="AA547" t="str">
        <f>IF(X547="","",SUMIFS(#REF!,RM!$C$4:$C991,X547))</f>
        <v/>
      </c>
      <c r="AB547" t="str">
        <f>IF(X547="","",SUMIFS(IRegback!$Y$2:$Y1001,IRegback!$X$2:$X1001,X547))</f>
        <v/>
      </c>
      <c r="AC547" t="e">
        <f t="shared" si="9"/>
        <v>#VALUE!</v>
      </c>
      <c r="AD547" t="str">
        <f>IF(X547="","",VLOOKUP($X547,RM!$C$4:$G991,3,FALSE))</f>
        <v/>
      </c>
      <c r="AE547" t="str">
        <f>IF(X547="","",VLOOKUP($X547,RM!$C$4:$G991,4,FALSE))</f>
        <v/>
      </c>
      <c r="AF547" t="str">
        <f>IF(X547="","",VLOOKUP($X547,RM!$C$4:$G991,5,FALSE))</f>
        <v/>
      </c>
      <c r="AL547" t="e">
        <f ca="1">_xludf.IFNA(VLOOKUP(AH547,'S-FG'!$B$3:$B1001,1,FALSE),"")</f>
        <v>#NAME?</v>
      </c>
      <c r="AM547" t="str">
        <f>IF(AI547="","",SUMIFS(#REF!,RM!$C$4:$C991,AI547))</f>
        <v/>
      </c>
    </row>
    <row r="548" spans="5:39">
      <c r="E548" t="str">
        <f>IF(A548="","",SUMIFS('PR-BOM'!$D$3:$D1001,'PR-BOM'!$C$3:$C1001,A548)*C548)</f>
        <v/>
      </c>
      <c r="F548" t="e">
        <f ca="1">_xludf.IFNA(VLOOKUP(B548,'S-FG'!$B$3:$B1001,1,FALSE),"")</f>
        <v>#NAME?</v>
      </c>
      <c r="L548" t="str">
        <f t="shared" si="7"/>
        <v/>
      </c>
      <c r="Q548" t="str">
        <f>IF(N548="","",SUMIFS('PR-BOM'!$D$3:$D1001,'PR-BOM'!$C$3:$C1001,N548))</f>
        <v/>
      </c>
      <c r="Y548" t="str">
        <f t="shared" si="8"/>
        <v/>
      </c>
      <c r="Z548" t="str">
        <f>IF(X548="","",SUMIFS(#REF!,RM!$C$4:$C991,X548))</f>
        <v/>
      </c>
      <c r="AA548" t="str">
        <f>IF(X548="","",SUMIFS(#REF!,RM!$C$4:$C991,X548))</f>
        <v/>
      </c>
      <c r="AB548" t="str">
        <f>IF(X548="","",SUMIFS(IRegback!$Y$2:$Y1001,IRegback!$X$2:$X1001,X548))</f>
        <v/>
      </c>
      <c r="AC548" t="e">
        <f t="shared" si="9"/>
        <v>#VALUE!</v>
      </c>
      <c r="AD548" t="str">
        <f>IF(X548="","",VLOOKUP($X548,RM!$C$4:$G991,3,FALSE))</f>
        <v/>
      </c>
      <c r="AE548" t="str">
        <f>IF(X548="","",VLOOKUP($X548,RM!$C$4:$G991,4,FALSE))</f>
        <v/>
      </c>
      <c r="AF548" t="str">
        <f>IF(X548="","",VLOOKUP($X548,RM!$C$4:$G991,5,FALSE))</f>
        <v/>
      </c>
      <c r="AL548" t="e">
        <f ca="1">_xludf.IFNA(VLOOKUP(AH548,'S-FG'!$B$3:$B1001,1,FALSE),"")</f>
        <v>#NAME?</v>
      </c>
      <c r="AM548" t="str">
        <f>IF(AI548="","",SUMIFS(#REF!,RM!$C$4:$C991,AI548))</f>
        <v/>
      </c>
    </row>
    <row r="549" spans="5:39">
      <c r="E549" t="str">
        <f>IF(A549="","",SUMIFS('PR-BOM'!$D$3:$D1001,'PR-BOM'!$C$3:$C1001,A549)*C549)</f>
        <v/>
      </c>
      <c r="F549" t="e">
        <f ca="1">_xludf.IFNA(VLOOKUP(B549,'S-FG'!$B$3:$B1001,1,FALSE),"")</f>
        <v>#NAME?</v>
      </c>
      <c r="L549" t="str">
        <f t="shared" si="7"/>
        <v/>
      </c>
      <c r="Q549" t="str">
        <f>IF(N549="","",SUMIFS('PR-BOM'!$D$3:$D1001,'PR-BOM'!$C$3:$C1001,N549))</f>
        <v/>
      </c>
      <c r="Y549" t="str">
        <f t="shared" si="8"/>
        <v/>
      </c>
      <c r="Z549" t="str">
        <f>IF(X549="","",SUMIFS(#REF!,RM!$C$4:$C991,X549))</f>
        <v/>
      </c>
      <c r="AA549" t="str">
        <f>IF(X549="","",SUMIFS(#REF!,RM!$C$4:$C991,X549))</f>
        <v/>
      </c>
      <c r="AB549" t="str">
        <f>IF(X549="","",SUMIFS(IRegback!$Y$2:$Y1001,IRegback!$X$2:$X1001,X549))</f>
        <v/>
      </c>
      <c r="AC549" t="e">
        <f t="shared" si="9"/>
        <v>#VALUE!</v>
      </c>
      <c r="AD549" t="str">
        <f>IF(X549="","",VLOOKUP($X549,RM!$C$4:$G991,3,FALSE))</f>
        <v/>
      </c>
      <c r="AE549" t="str">
        <f>IF(X549="","",VLOOKUP($X549,RM!$C$4:$G991,4,FALSE))</f>
        <v/>
      </c>
      <c r="AF549" t="str">
        <f>IF(X549="","",VLOOKUP($X549,RM!$C$4:$G991,5,FALSE))</f>
        <v/>
      </c>
      <c r="AL549" t="e">
        <f ca="1">_xludf.IFNA(VLOOKUP(AH549,'S-FG'!$B$3:$B1001,1,FALSE),"")</f>
        <v>#NAME?</v>
      </c>
      <c r="AM549" t="str">
        <f>IF(AI549="","",SUMIFS(#REF!,RM!$C$4:$C991,AI549))</f>
        <v/>
      </c>
    </row>
    <row r="550" spans="5:39">
      <c r="E550" t="str">
        <f>IF(A550="","",SUMIFS('PR-BOM'!$D$3:$D1001,'PR-BOM'!$C$3:$C1001,A550)*C550)</f>
        <v/>
      </c>
      <c r="F550" t="e">
        <f ca="1">_xludf.IFNA(VLOOKUP(B550,'S-FG'!$B$3:$B1001,1,FALSE),"")</f>
        <v>#NAME?</v>
      </c>
      <c r="L550" t="str">
        <f t="shared" si="7"/>
        <v/>
      </c>
      <c r="Q550" t="str">
        <f>IF(N550="","",SUMIFS('PR-BOM'!$D$3:$D1001,'PR-BOM'!$C$3:$C1001,N550))</f>
        <v/>
      </c>
      <c r="Y550" t="str">
        <f t="shared" si="8"/>
        <v/>
      </c>
      <c r="Z550" t="str">
        <f>IF(X550="","",SUMIFS(#REF!,RM!$C$4:$C991,X550))</f>
        <v/>
      </c>
      <c r="AA550" t="str">
        <f>IF(X550="","",SUMIFS(#REF!,RM!$C$4:$C991,X550))</f>
        <v/>
      </c>
      <c r="AB550" t="str">
        <f>IF(X550="","",SUMIFS(IRegback!$Y$2:$Y1001,IRegback!$X$2:$X1001,X550))</f>
        <v/>
      </c>
      <c r="AC550" t="e">
        <f t="shared" si="9"/>
        <v>#VALUE!</v>
      </c>
      <c r="AD550" t="str">
        <f>IF(X550="","",VLOOKUP($X550,RM!$C$4:$G991,3,FALSE))</f>
        <v/>
      </c>
      <c r="AE550" t="str">
        <f>IF(X550="","",VLOOKUP($X550,RM!$C$4:$G991,4,FALSE))</f>
        <v/>
      </c>
      <c r="AF550" t="str">
        <f>IF(X550="","",VLOOKUP($X550,RM!$C$4:$G991,5,FALSE))</f>
        <v/>
      </c>
      <c r="AL550" t="e">
        <f ca="1">_xludf.IFNA(VLOOKUP(AH550,'S-FG'!$B$3:$B1001,1,FALSE),"")</f>
        <v>#NAME?</v>
      </c>
      <c r="AM550" t="str">
        <f>IF(AI550="","",SUMIFS(#REF!,RM!$C$4:$C991,AI550))</f>
        <v/>
      </c>
    </row>
    <row r="551" spans="5:39">
      <c r="E551" t="str">
        <f>IF(A551="","",SUMIFS('PR-BOM'!$D$3:$D1001,'PR-BOM'!$C$3:$C1001,A551)*C551)</f>
        <v/>
      </c>
      <c r="F551" t="e">
        <f ca="1">_xludf.IFNA(VLOOKUP(B551,'S-FG'!$B$3:$B1001,1,FALSE),"")</f>
        <v>#NAME?</v>
      </c>
      <c r="L551" t="str">
        <f t="shared" si="7"/>
        <v/>
      </c>
      <c r="Q551" t="str">
        <f>IF(N551="","",SUMIFS('PR-BOM'!$D$3:$D1001,'PR-BOM'!$C$3:$C1001,N551))</f>
        <v/>
      </c>
      <c r="Y551" t="str">
        <f t="shared" si="8"/>
        <v/>
      </c>
      <c r="Z551" t="str">
        <f>IF(X551="","",SUMIFS(#REF!,RM!$C$4:$C991,X551))</f>
        <v/>
      </c>
      <c r="AA551" t="str">
        <f>IF(X551="","",SUMIFS(#REF!,RM!$C$4:$C991,X551))</f>
        <v/>
      </c>
      <c r="AB551" t="str">
        <f>IF(X551="","",SUMIFS(IRegback!$Y$2:$Y1001,IRegback!$X$2:$X1001,X551))</f>
        <v/>
      </c>
      <c r="AC551" t="e">
        <f t="shared" si="9"/>
        <v>#VALUE!</v>
      </c>
      <c r="AD551" t="str">
        <f>IF(X551="","",VLOOKUP($X551,RM!$C$4:$G991,3,FALSE))</f>
        <v/>
      </c>
      <c r="AE551" t="str">
        <f>IF(X551="","",VLOOKUP($X551,RM!$C$4:$G991,4,FALSE))</f>
        <v/>
      </c>
      <c r="AF551" t="str">
        <f>IF(X551="","",VLOOKUP($X551,RM!$C$4:$G991,5,FALSE))</f>
        <v/>
      </c>
      <c r="AL551" t="e">
        <f ca="1">_xludf.IFNA(VLOOKUP(AH551,'S-FG'!$B$3:$B1001,1,FALSE),"")</f>
        <v>#NAME?</v>
      </c>
      <c r="AM551" t="str">
        <f>IF(AI551="","",SUMIFS(#REF!,RM!$C$4:$C991,AI551))</f>
        <v/>
      </c>
    </row>
    <row r="552" spans="5:39">
      <c r="E552" t="str">
        <f>IF(A552="","",SUMIFS('PR-BOM'!$D$3:$D1001,'PR-BOM'!$C$3:$C1001,A552)*C552)</f>
        <v/>
      </c>
      <c r="F552" t="e">
        <f ca="1">_xludf.IFNA(VLOOKUP(B552,'S-FG'!$B$3:$B1001,1,FALSE),"")</f>
        <v>#NAME?</v>
      </c>
      <c r="L552" t="str">
        <f t="shared" si="7"/>
        <v/>
      </c>
      <c r="Q552" t="str">
        <f>IF(N552="","",SUMIFS('PR-BOM'!$D$3:$D1001,'PR-BOM'!$C$3:$C1001,N552))</f>
        <v/>
      </c>
      <c r="Y552" t="str">
        <f t="shared" si="8"/>
        <v/>
      </c>
      <c r="Z552" t="str">
        <f>IF(X552="","",SUMIFS(#REF!,RM!$C$4:$C991,X552))</f>
        <v/>
      </c>
      <c r="AA552" t="str">
        <f>IF(X552="","",SUMIFS(#REF!,RM!$C$4:$C991,X552))</f>
        <v/>
      </c>
      <c r="AB552" t="str">
        <f>IF(X552="","",SUMIFS(IRegback!$Y$2:$Y1001,IRegback!$X$2:$X1001,X552))</f>
        <v/>
      </c>
      <c r="AC552" t="e">
        <f t="shared" si="9"/>
        <v>#VALUE!</v>
      </c>
      <c r="AD552" t="str">
        <f>IF(X552="","",VLOOKUP($X552,RM!$C$4:$G991,3,FALSE))</f>
        <v/>
      </c>
      <c r="AE552" t="str">
        <f>IF(X552="","",VLOOKUP($X552,RM!$C$4:$G991,4,FALSE))</f>
        <v/>
      </c>
      <c r="AF552" t="str">
        <f>IF(X552="","",VLOOKUP($X552,RM!$C$4:$G991,5,FALSE))</f>
        <v/>
      </c>
      <c r="AL552" t="e">
        <f ca="1">_xludf.IFNA(VLOOKUP(AH552,'S-FG'!$B$3:$B1001,1,FALSE),"")</f>
        <v>#NAME?</v>
      </c>
      <c r="AM552" t="str">
        <f>IF(AI552="","",SUMIFS(#REF!,RM!$C$4:$C991,AI552))</f>
        <v/>
      </c>
    </row>
    <row r="553" spans="5:39">
      <c r="E553" t="str">
        <f>IF(A553="","",SUMIFS('PR-BOM'!$D$3:$D1001,'PR-BOM'!$C$3:$C1001,A553)*C553)</f>
        <v/>
      </c>
      <c r="F553" t="e">
        <f ca="1">_xludf.IFNA(VLOOKUP(B553,'S-FG'!$B$3:$B1001,1,FALSE),"")</f>
        <v>#NAME?</v>
      </c>
      <c r="L553" t="str">
        <f t="shared" si="7"/>
        <v/>
      </c>
      <c r="Q553" t="str">
        <f>IF(N553="","",SUMIFS('PR-BOM'!$D$3:$D1001,'PR-BOM'!$C$3:$C1001,N553))</f>
        <v/>
      </c>
      <c r="Y553" t="str">
        <f t="shared" si="8"/>
        <v/>
      </c>
      <c r="Z553" t="str">
        <f>IF(X553="","",SUMIFS(#REF!,RM!$C$4:$C991,X553))</f>
        <v/>
      </c>
      <c r="AA553" t="str">
        <f>IF(X553="","",SUMIFS(#REF!,RM!$C$4:$C991,X553))</f>
        <v/>
      </c>
      <c r="AB553" t="str">
        <f>IF(X553="","",SUMIFS(IRegback!$Y$2:$Y1001,IRegback!$X$2:$X1001,X553))</f>
        <v/>
      </c>
      <c r="AC553" t="e">
        <f t="shared" si="9"/>
        <v>#VALUE!</v>
      </c>
      <c r="AD553" t="str">
        <f>IF(X553="","",VLOOKUP($X553,RM!$C$4:$G991,3,FALSE))</f>
        <v/>
      </c>
      <c r="AE553" t="str">
        <f>IF(X553="","",VLOOKUP($X553,RM!$C$4:$G991,4,FALSE))</f>
        <v/>
      </c>
      <c r="AF553" t="str">
        <f>IF(X553="","",VLOOKUP($X553,RM!$C$4:$G991,5,FALSE))</f>
        <v/>
      </c>
      <c r="AL553" t="e">
        <f ca="1">_xludf.IFNA(VLOOKUP(AH553,'S-FG'!$B$3:$B1001,1,FALSE),"")</f>
        <v>#NAME?</v>
      </c>
      <c r="AM553" t="str">
        <f>IF(AI553="","",SUMIFS(#REF!,RM!$C$4:$C991,AI553))</f>
        <v/>
      </c>
    </row>
    <row r="554" spans="5:39">
      <c r="E554" t="str">
        <f>IF(A554="","",SUMIFS('PR-BOM'!$D$3:$D1001,'PR-BOM'!$C$3:$C1001,A554)*C554)</f>
        <v/>
      </c>
      <c r="F554" t="e">
        <f ca="1">_xludf.IFNA(VLOOKUP(B554,'S-FG'!$B$3:$B1001,1,FALSE),"")</f>
        <v>#NAME?</v>
      </c>
      <c r="L554" t="str">
        <f t="shared" si="7"/>
        <v/>
      </c>
      <c r="Q554" t="str">
        <f>IF(N554="","",SUMIFS('PR-BOM'!$D$3:$D1001,'PR-BOM'!$C$3:$C1001,N554))</f>
        <v/>
      </c>
      <c r="Y554" t="str">
        <f t="shared" si="8"/>
        <v/>
      </c>
      <c r="Z554" t="str">
        <f>IF(X554="","",SUMIFS(#REF!,RM!$C$4:$C991,X554))</f>
        <v/>
      </c>
      <c r="AA554" t="str">
        <f>IF(X554="","",SUMIFS(#REF!,RM!$C$4:$C991,X554))</f>
        <v/>
      </c>
      <c r="AB554" t="str">
        <f>IF(X554="","",SUMIFS(IRegback!$Y$2:$Y1001,IRegback!$X$2:$X1001,X554))</f>
        <v/>
      </c>
      <c r="AC554" t="e">
        <f t="shared" si="9"/>
        <v>#VALUE!</v>
      </c>
      <c r="AD554" t="str">
        <f>IF(X554="","",VLOOKUP($X554,RM!$C$4:$G991,3,FALSE))</f>
        <v/>
      </c>
      <c r="AE554" t="str">
        <f>IF(X554="","",VLOOKUP($X554,RM!$C$4:$G991,4,FALSE))</f>
        <v/>
      </c>
      <c r="AF554" t="str">
        <f>IF(X554="","",VLOOKUP($X554,RM!$C$4:$G991,5,FALSE))</f>
        <v/>
      </c>
      <c r="AL554" t="e">
        <f ca="1">_xludf.IFNA(VLOOKUP(AH554,'S-FG'!$B$3:$B1001,1,FALSE),"")</f>
        <v>#NAME?</v>
      </c>
      <c r="AM554" t="str">
        <f>IF(AI554="","",SUMIFS(#REF!,RM!$C$4:$C991,AI554))</f>
        <v/>
      </c>
    </row>
    <row r="555" spans="5:39">
      <c r="E555" t="str">
        <f>IF(A555="","",SUMIFS('PR-BOM'!$D$3:$D1001,'PR-BOM'!$C$3:$C1001,A555)*C555)</f>
        <v/>
      </c>
      <c r="F555" t="e">
        <f ca="1">_xludf.IFNA(VLOOKUP(B555,'S-FG'!$B$3:$B1001,1,FALSE),"")</f>
        <v>#NAME?</v>
      </c>
      <c r="L555" t="str">
        <f t="shared" si="7"/>
        <v/>
      </c>
      <c r="Q555" t="str">
        <f>IF(N555="","",SUMIFS('PR-BOM'!$D$3:$D1001,'PR-BOM'!$C$3:$C1001,N555))</f>
        <v/>
      </c>
      <c r="Y555" t="str">
        <f t="shared" si="8"/>
        <v/>
      </c>
      <c r="Z555" t="str">
        <f>IF(X555="","",SUMIFS(#REF!,RM!$C$4:$C991,X555))</f>
        <v/>
      </c>
      <c r="AA555" t="str">
        <f>IF(X555="","",SUMIFS(#REF!,RM!$C$4:$C991,X555))</f>
        <v/>
      </c>
      <c r="AB555" t="str">
        <f>IF(X555="","",SUMIFS(IRegback!$Y$2:$Y1001,IRegback!$X$2:$X1001,X555))</f>
        <v/>
      </c>
      <c r="AC555" t="e">
        <f t="shared" si="9"/>
        <v>#VALUE!</v>
      </c>
      <c r="AD555" t="str">
        <f>IF(X555="","",VLOOKUP($X555,RM!$C$4:$G991,3,FALSE))</f>
        <v/>
      </c>
      <c r="AE555" t="str">
        <f>IF(X555="","",VLOOKUP($X555,RM!$C$4:$G991,4,FALSE))</f>
        <v/>
      </c>
      <c r="AF555" t="str">
        <f>IF(X555="","",VLOOKUP($X555,RM!$C$4:$G991,5,FALSE))</f>
        <v/>
      </c>
      <c r="AL555" t="e">
        <f ca="1">_xludf.IFNA(VLOOKUP(AH555,'S-FG'!$B$3:$B1001,1,FALSE),"")</f>
        <v>#NAME?</v>
      </c>
      <c r="AM555" t="str">
        <f>IF(AI555="","",SUMIFS(#REF!,RM!$C$4:$C991,AI555))</f>
        <v/>
      </c>
    </row>
    <row r="556" spans="5:39">
      <c r="E556" t="str">
        <f>IF(A556="","",SUMIFS('PR-BOM'!$D$3:$D1001,'PR-BOM'!$C$3:$C1001,A556)*C556)</f>
        <v/>
      </c>
      <c r="F556" t="e">
        <f ca="1">_xludf.IFNA(VLOOKUP(B556,'S-FG'!$B$3:$B1001,1,FALSE),"")</f>
        <v>#NAME?</v>
      </c>
      <c r="L556" t="str">
        <f t="shared" si="7"/>
        <v/>
      </c>
      <c r="Q556" t="str">
        <f>IF(N556="","",SUMIFS('PR-BOM'!$D$3:$D1001,'PR-BOM'!$C$3:$C1001,N556))</f>
        <v/>
      </c>
      <c r="Y556" t="str">
        <f t="shared" si="8"/>
        <v/>
      </c>
      <c r="Z556" t="str">
        <f>IF(X556="","",SUMIFS(#REF!,RM!$C$4:$C991,X556))</f>
        <v/>
      </c>
      <c r="AA556" t="str">
        <f>IF(X556="","",SUMIFS(#REF!,RM!$C$4:$C991,X556))</f>
        <v/>
      </c>
      <c r="AB556" t="str">
        <f>IF(X556="","",SUMIFS(IRegback!$Y$2:$Y1001,IRegback!$X$2:$X1001,X556))</f>
        <v/>
      </c>
      <c r="AC556" t="e">
        <f t="shared" si="9"/>
        <v>#VALUE!</v>
      </c>
      <c r="AD556" t="str">
        <f>IF(X556="","",VLOOKUP($X556,RM!$C$4:$G991,3,FALSE))</f>
        <v/>
      </c>
      <c r="AE556" t="str">
        <f>IF(X556="","",VLOOKUP($X556,RM!$C$4:$G991,4,FALSE))</f>
        <v/>
      </c>
      <c r="AF556" t="str">
        <f>IF(X556="","",VLOOKUP($X556,RM!$C$4:$G991,5,FALSE))</f>
        <v/>
      </c>
      <c r="AL556" t="e">
        <f ca="1">_xludf.IFNA(VLOOKUP(AH556,'S-FG'!$B$3:$B1001,1,FALSE),"")</f>
        <v>#NAME?</v>
      </c>
      <c r="AM556" t="str">
        <f>IF(AI556="","",SUMIFS(#REF!,RM!$C$4:$C991,AI556))</f>
        <v/>
      </c>
    </row>
    <row r="557" spans="5:39">
      <c r="E557" t="str">
        <f>IF(A557="","",SUMIFS('PR-BOM'!$D$3:$D1001,'PR-BOM'!$C$3:$C1001,A557)*C557)</f>
        <v/>
      </c>
      <c r="F557" t="e">
        <f ca="1">_xludf.IFNA(VLOOKUP(B557,'S-FG'!$B$3:$B1001,1,FALSE),"")</f>
        <v>#NAME?</v>
      </c>
      <c r="L557" t="str">
        <f t="shared" si="7"/>
        <v/>
      </c>
      <c r="Q557" t="str">
        <f>IF(N557="","",SUMIFS('PR-BOM'!$D$3:$D1001,'PR-BOM'!$C$3:$C1001,N557))</f>
        <v/>
      </c>
      <c r="Y557" t="str">
        <f t="shared" si="8"/>
        <v/>
      </c>
      <c r="Z557" t="str">
        <f>IF(X557="","",SUMIFS(#REF!,RM!$C$4:$C991,X557))</f>
        <v/>
      </c>
      <c r="AA557" t="str">
        <f>IF(X557="","",SUMIFS(#REF!,RM!$C$4:$C991,X557))</f>
        <v/>
      </c>
      <c r="AB557" t="str">
        <f>IF(X557="","",SUMIFS(IRegback!$Y$2:$Y1001,IRegback!$X$2:$X1001,X557))</f>
        <v/>
      </c>
      <c r="AC557" t="e">
        <f t="shared" si="9"/>
        <v>#VALUE!</v>
      </c>
      <c r="AD557" t="str">
        <f>IF(X557="","",VLOOKUP($X557,RM!$C$4:$G991,3,FALSE))</f>
        <v/>
      </c>
      <c r="AE557" t="str">
        <f>IF(X557="","",VLOOKUP($X557,RM!$C$4:$G991,4,FALSE))</f>
        <v/>
      </c>
      <c r="AF557" t="str">
        <f>IF(X557="","",VLOOKUP($X557,RM!$C$4:$G991,5,FALSE))</f>
        <v/>
      </c>
      <c r="AL557" t="e">
        <f ca="1">_xludf.IFNA(VLOOKUP(AH557,'S-FG'!$B$3:$B1001,1,FALSE),"")</f>
        <v>#NAME?</v>
      </c>
      <c r="AM557" t="str">
        <f>IF(AI557="","",SUMIFS(#REF!,RM!$C$4:$C991,AI557))</f>
        <v/>
      </c>
    </row>
    <row r="558" spans="5:39">
      <c r="E558" t="str">
        <f>IF(A558="","",SUMIFS('PR-BOM'!$D$3:$D1001,'PR-BOM'!$C$3:$C1001,A558)*C558)</f>
        <v/>
      </c>
      <c r="F558" t="e">
        <f ca="1">_xludf.IFNA(VLOOKUP(B558,'S-FG'!$B$3:$B1001,1,FALSE),"")</f>
        <v>#NAME?</v>
      </c>
      <c r="L558" t="str">
        <f t="shared" si="7"/>
        <v/>
      </c>
      <c r="Q558" t="str">
        <f>IF(N558="","",SUMIFS('PR-BOM'!$D$3:$D1001,'PR-BOM'!$C$3:$C1001,N558))</f>
        <v/>
      </c>
      <c r="Y558" t="str">
        <f t="shared" si="8"/>
        <v/>
      </c>
      <c r="Z558" t="str">
        <f>IF(X558="","",SUMIFS(#REF!,RM!$C$4:$C991,X558))</f>
        <v/>
      </c>
      <c r="AA558" t="str">
        <f>IF(X558="","",SUMIFS(#REF!,RM!$C$4:$C991,X558))</f>
        <v/>
      </c>
      <c r="AB558" t="str">
        <f>IF(X558="","",SUMIFS(IRegback!$Y$2:$Y1001,IRegback!$X$2:$X1001,X558))</f>
        <v/>
      </c>
      <c r="AC558" t="e">
        <f t="shared" si="9"/>
        <v>#VALUE!</v>
      </c>
      <c r="AD558" t="str">
        <f>IF(X558="","",VLOOKUP($X558,RM!$C$4:$G991,3,FALSE))</f>
        <v/>
      </c>
      <c r="AE558" t="str">
        <f>IF(X558="","",VLOOKUP($X558,RM!$C$4:$G991,4,FALSE))</f>
        <v/>
      </c>
      <c r="AF558" t="str">
        <f>IF(X558="","",VLOOKUP($X558,RM!$C$4:$G991,5,FALSE))</f>
        <v/>
      </c>
      <c r="AL558" t="e">
        <f ca="1">_xludf.IFNA(VLOOKUP(AH558,'S-FG'!$B$3:$B1001,1,FALSE),"")</f>
        <v>#NAME?</v>
      </c>
      <c r="AM558" t="str">
        <f>IF(AI558="","",SUMIFS(#REF!,RM!$C$4:$C991,AI558))</f>
        <v/>
      </c>
    </row>
    <row r="559" spans="5:39">
      <c r="E559" t="str">
        <f>IF(A559="","",SUMIFS('PR-BOM'!$D$3:$D1001,'PR-BOM'!$C$3:$C1001,A559)*C559)</f>
        <v/>
      </c>
      <c r="F559" t="e">
        <f ca="1">_xludf.IFNA(VLOOKUP(B559,'S-FG'!$B$3:$B1001,1,FALSE),"")</f>
        <v>#NAME?</v>
      </c>
      <c r="L559" t="str">
        <f t="shared" si="7"/>
        <v/>
      </c>
      <c r="Q559" t="str">
        <f>IF(N559="","",SUMIFS('PR-BOM'!$D$3:$D1001,'PR-BOM'!$C$3:$C1001,N559))</f>
        <v/>
      </c>
      <c r="Y559" t="str">
        <f t="shared" si="8"/>
        <v/>
      </c>
      <c r="Z559" t="str">
        <f>IF(X559="","",SUMIFS(#REF!,RM!$C$4:$C991,X559))</f>
        <v/>
      </c>
      <c r="AA559" t="str">
        <f>IF(X559="","",SUMIFS(#REF!,RM!$C$4:$C991,X559))</f>
        <v/>
      </c>
      <c r="AB559" t="str">
        <f>IF(X559="","",SUMIFS(IRegback!$Y$2:$Y1001,IRegback!$X$2:$X1001,X559))</f>
        <v/>
      </c>
      <c r="AC559" t="e">
        <f t="shared" si="9"/>
        <v>#VALUE!</v>
      </c>
      <c r="AD559" t="str">
        <f>IF(X559="","",VLOOKUP($X559,RM!$C$4:$G991,3,FALSE))</f>
        <v/>
      </c>
      <c r="AE559" t="str">
        <f>IF(X559="","",VLOOKUP($X559,RM!$C$4:$G991,4,FALSE))</f>
        <v/>
      </c>
      <c r="AF559" t="str">
        <f>IF(X559="","",VLOOKUP($X559,RM!$C$4:$G991,5,FALSE))</f>
        <v/>
      </c>
      <c r="AL559" t="e">
        <f ca="1">_xludf.IFNA(VLOOKUP(AH559,'S-FG'!$B$3:$B1001,1,FALSE),"")</f>
        <v>#NAME?</v>
      </c>
      <c r="AM559" t="str">
        <f>IF(AI559="","",SUMIFS(#REF!,RM!$C$4:$C991,AI559))</f>
        <v/>
      </c>
    </row>
    <row r="560" spans="5:39">
      <c r="E560" t="str">
        <f>IF(A560="","",SUMIFS('PR-BOM'!$D$3:$D1001,'PR-BOM'!$C$3:$C1001,A560)*C560)</f>
        <v/>
      </c>
      <c r="F560" t="e">
        <f ca="1">_xludf.IFNA(VLOOKUP(B560,'S-FG'!$B$3:$B1001,1,FALSE),"")</f>
        <v>#NAME?</v>
      </c>
      <c r="L560" t="str">
        <f t="shared" si="7"/>
        <v/>
      </c>
      <c r="Q560" t="str">
        <f>IF(N560="","",SUMIFS('PR-BOM'!$D$3:$D1001,'PR-BOM'!$C$3:$C1001,N560))</f>
        <v/>
      </c>
      <c r="Y560" t="str">
        <f t="shared" si="8"/>
        <v/>
      </c>
      <c r="Z560" t="str">
        <f>IF(X560="","",SUMIFS(#REF!,RM!$C$4:$C991,X560))</f>
        <v/>
      </c>
      <c r="AA560" t="str">
        <f>IF(X560="","",SUMIFS(#REF!,RM!$C$4:$C991,X560))</f>
        <v/>
      </c>
      <c r="AB560" t="str">
        <f>IF(X560="","",SUMIFS(IRegback!$Y$2:$Y1001,IRegback!$X$2:$X1001,X560))</f>
        <v/>
      </c>
      <c r="AC560" t="e">
        <f t="shared" si="9"/>
        <v>#VALUE!</v>
      </c>
      <c r="AD560" t="str">
        <f>IF(X560="","",VLOOKUP($X560,RM!$C$4:$G991,3,FALSE))</f>
        <v/>
      </c>
      <c r="AE560" t="str">
        <f>IF(X560="","",VLOOKUP($X560,RM!$C$4:$G991,4,FALSE))</f>
        <v/>
      </c>
      <c r="AF560" t="str">
        <f>IF(X560="","",VLOOKUP($X560,RM!$C$4:$G991,5,FALSE))</f>
        <v/>
      </c>
      <c r="AL560" t="e">
        <f ca="1">_xludf.IFNA(VLOOKUP(AH560,'S-FG'!$B$3:$B1001,1,FALSE),"")</f>
        <v>#NAME?</v>
      </c>
      <c r="AM560" t="str">
        <f>IF(AI560="","",SUMIFS(#REF!,RM!$C$4:$C991,AI560))</f>
        <v/>
      </c>
    </row>
    <row r="561" spans="5:39">
      <c r="E561" t="str">
        <f>IF(A561="","",SUMIFS('PR-BOM'!$D$3:$D1001,'PR-BOM'!$C$3:$C1001,A561)*C561)</f>
        <v/>
      </c>
      <c r="F561" t="e">
        <f ca="1">_xludf.IFNA(VLOOKUP(B561,'S-FG'!$B$3:$B1001,1,FALSE),"")</f>
        <v>#NAME?</v>
      </c>
      <c r="L561" t="str">
        <f t="shared" si="7"/>
        <v/>
      </c>
      <c r="Q561" t="str">
        <f>IF(N561="","",SUMIFS('PR-BOM'!$D$3:$D1001,'PR-BOM'!$C$3:$C1001,N561))</f>
        <v/>
      </c>
      <c r="Y561" t="str">
        <f t="shared" si="8"/>
        <v/>
      </c>
      <c r="Z561" t="str">
        <f>IF(X561="","",SUMIFS(#REF!,RM!$C$4:$C991,X561))</f>
        <v/>
      </c>
      <c r="AA561" t="str">
        <f>IF(X561="","",SUMIFS(#REF!,RM!$C$4:$C991,X561))</f>
        <v/>
      </c>
      <c r="AB561" t="str">
        <f>IF(X561="","",SUMIFS(IRegback!$Y$2:$Y1001,IRegback!$X$2:$X1001,X561))</f>
        <v/>
      </c>
      <c r="AC561" t="e">
        <f t="shared" si="9"/>
        <v>#VALUE!</v>
      </c>
      <c r="AD561" t="str">
        <f>IF(X561="","",VLOOKUP($X561,RM!$C$4:$G991,3,FALSE))</f>
        <v/>
      </c>
      <c r="AE561" t="str">
        <f>IF(X561="","",VLOOKUP($X561,RM!$C$4:$G991,4,FALSE))</f>
        <v/>
      </c>
      <c r="AF561" t="str">
        <f>IF(X561="","",VLOOKUP($X561,RM!$C$4:$G991,5,FALSE))</f>
        <v/>
      </c>
      <c r="AL561" t="e">
        <f ca="1">_xludf.IFNA(VLOOKUP(AH561,'S-FG'!$B$3:$B1001,1,FALSE),"")</f>
        <v>#NAME?</v>
      </c>
      <c r="AM561" t="str">
        <f>IF(AI561="","",SUMIFS(#REF!,RM!$C$4:$C991,AI561))</f>
        <v/>
      </c>
    </row>
    <row r="562" spans="5:39">
      <c r="E562" t="str">
        <f>IF(A562="","",SUMIFS('PR-BOM'!$D$3:$D1001,'PR-BOM'!$C$3:$C1001,A562)*C562)</f>
        <v/>
      </c>
      <c r="F562" t="e">
        <f ca="1">_xludf.IFNA(VLOOKUP(B562,'S-FG'!$B$3:$B1001,1,FALSE),"")</f>
        <v>#NAME?</v>
      </c>
      <c r="L562" t="str">
        <f t="shared" si="7"/>
        <v/>
      </c>
      <c r="Q562" t="str">
        <f>IF(N562="","",SUMIFS('PR-BOM'!$D$3:$D1001,'PR-BOM'!$C$3:$C1001,N562))</f>
        <v/>
      </c>
      <c r="Y562" t="str">
        <f t="shared" si="8"/>
        <v/>
      </c>
      <c r="Z562" t="str">
        <f>IF(X562="","",SUMIFS(#REF!,RM!$C$4:$C991,X562))</f>
        <v/>
      </c>
      <c r="AA562" t="str">
        <f>IF(X562="","",SUMIFS(#REF!,RM!$C$4:$C991,X562))</f>
        <v/>
      </c>
      <c r="AB562" t="str">
        <f>IF(X562="","",SUMIFS(IRegback!$Y$2:$Y1001,IRegback!$X$2:$X1001,X562))</f>
        <v/>
      </c>
      <c r="AC562" t="e">
        <f t="shared" si="9"/>
        <v>#VALUE!</v>
      </c>
      <c r="AD562" t="str">
        <f>IF(X562="","",VLOOKUP($X562,RM!$C$4:$G991,3,FALSE))</f>
        <v/>
      </c>
      <c r="AE562" t="str">
        <f>IF(X562="","",VLOOKUP($X562,RM!$C$4:$G991,4,FALSE))</f>
        <v/>
      </c>
      <c r="AF562" t="str">
        <f>IF(X562="","",VLOOKUP($X562,RM!$C$4:$G991,5,FALSE))</f>
        <v/>
      </c>
      <c r="AL562" t="e">
        <f ca="1">_xludf.IFNA(VLOOKUP(AH562,'S-FG'!$B$3:$B1001,1,FALSE),"")</f>
        <v>#NAME?</v>
      </c>
      <c r="AM562" t="str">
        <f>IF(AI562="","",SUMIFS(#REF!,RM!$C$4:$C991,AI562))</f>
        <v/>
      </c>
    </row>
    <row r="563" spans="5:39">
      <c r="E563" t="str">
        <f>IF(A563="","",SUMIFS('PR-BOM'!$D$3:$D1001,'PR-BOM'!$C$3:$C1001,A563)*C563)</f>
        <v/>
      </c>
      <c r="F563" t="e">
        <f ca="1">_xludf.IFNA(VLOOKUP(B563,'S-FG'!$B$3:$B1001,1,FALSE),"")</f>
        <v>#NAME?</v>
      </c>
      <c r="L563" t="str">
        <f t="shared" si="7"/>
        <v/>
      </c>
      <c r="Q563" t="str">
        <f>IF(N563="","",SUMIFS('PR-BOM'!$D$3:$D1001,'PR-BOM'!$C$3:$C1001,N563))</f>
        <v/>
      </c>
      <c r="Y563" t="str">
        <f t="shared" si="8"/>
        <v/>
      </c>
      <c r="Z563" t="str">
        <f>IF(X563="","",SUMIFS(#REF!,RM!$C$4:$C991,X563))</f>
        <v/>
      </c>
      <c r="AA563" t="str">
        <f>IF(X563="","",SUMIFS(#REF!,RM!$C$4:$C991,X563))</f>
        <v/>
      </c>
      <c r="AB563" t="str">
        <f>IF(X563="","",SUMIFS(IRegback!$Y$2:$Y1001,IRegback!$X$2:$X1001,X563))</f>
        <v/>
      </c>
      <c r="AC563" t="e">
        <f t="shared" si="9"/>
        <v>#VALUE!</v>
      </c>
      <c r="AD563" t="str">
        <f>IF(X563="","",VLOOKUP($X563,RM!$C$4:$G991,3,FALSE))</f>
        <v/>
      </c>
      <c r="AE563" t="str">
        <f>IF(X563="","",VLOOKUP($X563,RM!$C$4:$G991,4,FALSE))</f>
        <v/>
      </c>
      <c r="AF563" t="str">
        <f>IF(X563="","",VLOOKUP($X563,RM!$C$4:$G991,5,FALSE))</f>
        <v/>
      </c>
      <c r="AL563" t="e">
        <f ca="1">_xludf.IFNA(VLOOKUP(AH563,'S-FG'!$B$3:$B1001,1,FALSE),"")</f>
        <v>#NAME?</v>
      </c>
      <c r="AM563" t="str">
        <f>IF(AI563="","",SUMIFS(#REF!,RM!$C$4:$C991,AI563))</f>
        <v/>
      </c>
    </row>
    <row r="564" spans="5:39">
      <c r="E564" t="str">
        <f>IF(A564="","",SUMIFS('PR-BOM'!$D$3:$D1001,'PR-BOM'!$C$3:$C1001,A564)*C564)</f>
        <v/>
      </c>
      <c r="F564" t="e">
        <f ca="1">_xludf.IFNA(VLOOKUP(B564,'S-FG'!$B$3:$B1001,1,FALSE),"")</f>
        <v>#NAME?</v>
      </c>
      <c r="L564" t="str">
        <f t="shared" si="7"/>
        <v/>
      </c>
      <c r="Q564" t="str">
        <f>IF(N564="","",SUMIFS('PR-BOM'!$D$3:$D1001,'PR-BOM'!$C$3:$C1001,N564))</f>
        <v/>
      </c>
      <c r="Y564" t="str">
        <f t="shared" si="8"/>
        <v/>
      </c>
      <c r="Z564" t="str">
        <f>IF(X564="","",SUMIFS(#REF!,RM!$C$4:$C991,X564))</f>
        <v/>
      </c>
      <c r="AA564" t="str">
        <f>IF(X564="","",SUMIFS(#REF!,RM!$C$4:$C991,X564))</f>
        <v/>
      </c>
      <c r="AB564" t="str">
        <f>IF(X564="","",SUMIFS(IRegback!$Y$2:$Y1001,IRegback!$X$2:$X1001,X564))</f>
        <v/>
      </c>
      <c r="AC564" t="e">
        <f t="shared" si="9"/>
        <v>#VALUE!</v>
      </c>
      <c r="AD564" t="str">
        <f>IF(X564="","",VLOOKUP($X564,RM!$C$4:$G991,3,FALSE))</f>
        <v/>
      </c>
      <c r="AE564" t="str">
        <f>IF(X564="","",VLOOKUP($X564,RM!$C$4:$G991,4,FALSE))</f>
        <v/>
      </c>
      <c r="AF564" t="str">
        <f>IF(X564="","",VLOOKUP($X564,RM!$C$4:$G991,5,FALSE))</f>
        <v/>
      </c>
      <c r="AL564" t="e">
        <f ca="1">_xludf.IFNA(VLOOKUP(AH564,'S-FG'!$B$3:$B1001,1,FALSE),"")</f>
        <v>#NAME?</v>
      </c>
      <c r="AM564" t="str">
        <f>IF(AI564="","",SUMIFS(#REF!,RM!$C$4:$C991,AI564))</f>
        <v/>
      </c>
    </row>
    <row r="565" spans="5:39">
      <c r="E565" t="str">
        <f>IF(A565="","",SUMIFS('PR-BOM'!$D$3:$D1001,'PR-BOM'!$C$3:$C1001,A565)*C565)</f>
        <v/>
      </c>
      <c r="F565" t="e">
        <f ca="1">_xludf.IFNA(VLOOKUP(B565,'S-FG'!$B$3:$B1001,1,FALSE),"")</f>
        <v>#NAME?</v>
      </c>
      <c r="L565" t="str">
        <f t="shared" si="7"/>
        <v/>
      </c>
      <c r="Q565" t="str">
        <f>IF(N565="","",SUMIFS('PR-BOM'!$D$3:$D1001,'PR-BOM'!$C$3:$C1001,N565))</f>
        <v/>
      </c>
      <c r="Y565" t="str">
        <f t="shared" si="8"/>
        <v/>
      </c>
      <c r="Z565" t="str">
        <f>IF(X565="","",SUMIFS(#REF!,RM!$C$4:$C991,X565))</f>
        <v/>
      </c>
      <c r="AA565" t="str">
        <f>IF(X565="","",SUMIFS(#REF!,RM!$C$4:$C991,X565))</f>
        <v/>
      </c>
      <c r="AB565" t="str">
        <f>IF(X565="","",SUMIFS(IRegback!$Y$2:$Y1001,IRegback!$X$2:$X1001,X565))</f>
        <v/>
      </c>
      <c r="AC565" t="e">
        <f t="shared" si="9"/>
        <v>#VALUE!</v>
      </c>
      <c r="AD565" t="str">
        <f>IF(X565="","",VLOOKUP($X565,RM!$C$4:$G991,3,FALSE))</f>
        <v/>
      </c>
      <c r="AE565" t="str">
        <f>IF(X565="","",VLOOKUP($X565,RM!$C$4:$G991,4,FALSE))</f>
        <v/>
      </c>
      <c r="AF565" t="str">
        <f>IF(X565="","",VLOOKUP($X565,RM!$C$4:$G991,5,FALSE))</f>
        <v/>
      </c>
      <c r="AL565" t="e">
        <f ca="1">_xludf.IFNA(VLOOKUP(AH565,'S-FG'!$B$3:$B1001,1,FALSE),"")</f>
        <v>#NAME?</v>
      </c>
      <c r="AM565" t="str">
        <f>IF(AI565="","",SUMIFS(#REF!,RM!$C$4:$C991,AI565))</f>
        <v/>
      </c>
    </row>
    <row r="566" spans="5:39">
      <c r="E566" t="str">
        <f>IF(A566="","",SUMIFS('PR-BOM'!$D$3:$D1001,'PR-BOM'!$C$3:$C1001,A566)*C566)</f>
        <v/>
      </c>
      <c r="F566" t="e">
        <f ca="1">_xludf.IFNA(VLOOKUP(B566,'S-FG'!$B$3:$B1001,1,FALSE),"")</f>
        <v>#NAME?</v>
      </c>
      <c r="L566" t="str">
        <f t="shared" si="7"/>
        <v/>
      </c>
      <c r="Q566" t="str">
        <f>IF(N566="","",SUMIFS('PR-BOM'!$D$3:$D1001,'PR-BOM'!$C$3:$C1001,N566))</f>
        <v/>
      </c>
      <c r="Y566" t="str">
        <f t="shared" si="8"/>
        <v/>
      </c>
      <c r="Z566" t="str">
        <f>IF(X566="","",SUMIFS(#REF!,RM!$C$4:$C991,X566))</f>
        <v/>
      </c>
      <c r="AA566" t="str">
        <f>IF(X566="","",SUMIFS(#REF!,RM!$C$4:$C991,X566))</f>
        <v/>
      </c>
      <c r="AB566" t="str">
        <f>IF(X566="","",SUMIFS(IRegback!$Y$2:$Y1001,IRegback!$X$2:$X1001,X566))</f>
        <v/>
      </c>
      <c r="AC566" t="e">
        <f t="shared" si="9"/>
        <v>#VALUE!</v>
      </c>
      <c r="AD566" t="str">
        <f>IF(X566="","",VLOOKUP($X566,RM!$C$4:$G991,3,FALSE))</f>
        <v/>
      </c>
      <c r="AE566" t="str">
        <f>IF(X566="","",VLOOKUP($X566,RM!$C$4:$G991,4,FALSE))</f>
        <v/>
      </c>
      <c r="AF566" t="str">
        <f>IF(X566="","",VLOOKUP($X566,RM!$C$4:$G991,5,FALSE))</f>
        <v/>
      </c>
      <c r="AL566" t="e">
        <f ca="1">_xludf.IFNA(VLOOKUP(AH566,'S-FG'!$B$3:$B1001,1,FALSE),"")</f>
        <v>#NAME?</v>
      </c>
      <c r="AM566" t="str">
        <f>IF(AI566="","",SUMIFS(#REF!,RM!$C$4:$C991,AI566))</f>
        <v/>
      </c>
    </row>
    <row r="567" spans="5:39">
      <c r="E567" t="str">
        <f>IF(A567="","",SUMIFS('PR-BOM'!$D$3:$D1001,'PR-BOM'!$C$3:$C1001,A567)*C567)</f>
        <v/>
      </c>
      <c r="F567" t="e">
        <f ca="1">_xludf.IFNA(VLOOKUP(B567,'S-FG'!$B$3:$B1001,1,FALSE),"")</f>
        <v>#NAME?</v>
      </c>
      <c r="L567" t="str">
        <f t="shared" si="7"/>
        <v/>
      </c>
      <c r="Q567" t="str">
        <f>IF(N567="","",SUMIFS('PR-BOM'!$D$3:$D1001,'PR-BOM'!$C$3:$C1001,N567))</f>
        <v/>
      </c>
      <c r="Y567" t="str">
        <f t="shared" si="8"/>
        <v/>
      </c>
      <c r="Z567" t="str">
        <f>IF(X567="","",SUMIFS(#REF!,RM!$C$4:$C991,X567))</f>
        <v/>
      </c>
      <c r="AA567" t="str">
        <f>IF(X567="","",SUMIFS(#REF!,RM!$C$4:$C991,X567))</f>
        <v/>
      </c>
      <c r="AB567" t="str">
        <f>IF(X567="","",SUMIFS(IRegback!$Y$2:$Y1001,IRegback!$X$2:$X1001,X567))</f>
        <v/>
      </c>
      <c r="AC567" t="e">
        <f t="shared" si="9"/>
        <v>#VALUE!</v>
      </c>
      <c r="AD567" t="str">
        <f>IF(X567="","",VLOOKUP($X567,RM!$C$4:$G991,3,FALSE))</f>
        <v/>
      </c>
      <c r="AE567" t="str">
        <f>IF(X567="","",VLOOKUP($X567,RM!$C$4:$G991,4,FALSE))</f>
        <v/>
      </c>
      <c r="AF567" t="str">
        <f>IF(X567="","",VLOOKUP($X567,RM!$C$4:$G991,5,FALSE))</f>
        <v/>
      </c>
      <c r="AL567" t="e">
        <f ca="1">_xludf.IFNA(VLOOKUP(AH567,'S-FG'!$B$3:$B1001,1,FALSE),"")</f>
        <v>#NAME?</v>
      </c>
      <c r="AM567" t="str">
        <f>IF(AI567="","",SUMIFS(#REF!,RM!$C$4:$C991,AI567))</f>
        <v/>
      </c>
    </row>
    <row r="568" spans="5:39">
      <c r="E568" t="str">
        <f>IF(A568="","",SUMIFS('PR-BOM'!$D$3:$D1001,'PR-BOM'!$C$3:$C1001,A568)*C568)</f>
        <v/>
      </c>
      <c r="F568" t="e">
        <f ca="1">_xludf.IFNA(VLOOKUP(B568,'S-FG'!$B$3:$B1001,1,FALSE),"")</f>
        <v>#NAME?</v>
      </c>
      <c r="L568" t="str">
        <f t="shared" si="7"/>
        <v/>
      </c>
      <c r="Q568" t="str">
        <f>IF(N568="","",SUMIFS('PR-BOM'!$D$3:$D1001,'PR-BOM'!$C$3:$C1001,N568))</f>
        <v/>
      </c>
      <c r="Y568" t="str">
        <f t="shared" si="8"/>
        <v/>
      </c>
      <c r="Z568" t="str">
        <f>IF(X568="","",SUMIFS(#REF!,RM!$C$4:$C991,X568))</f>
        <v/>
      </c>
      <c r="AA568" t="str">
        <f>IF(X568="","",SUMIFS(#REF!,RM!$C$4:$C991,X568))</f>
        <v/>
      </c>
      <c r="AB568" t="str">
        <f>IF(X568="","",SUMIFS(IRegback!$Y$2:$Y1001,IRegback!$X$2:$X1001,X568))</f>
        <v/>
      </c>
      <c r="AC568" t="e">
        <f t="shared" si="9"/>
        <v>#VALUE!</v>
      </c>
      <c r="AD568" t="str">
        <f>IF(X568="","",VLOOKUP($X568,RM!$C$4:$G991,3,FALSE))</f>
        <v/>
      </c>
      <c r="AE568" t="str">
        <f>IF(X568="","",VLOOKUP($X568,RM!$C$4:$G991,4,FALSE))</f>
        <v/>
      </c>
      <c r="AF568" t="str">
        <f>IF(X568="","",VLOOKUP($X568,RM!$C$4:$G991,5,FALSE))</f>
        <v/>
      </c>
      <c r="AL568" t="e">
        <f ca="1">_xludf.IFNA(VLOOKUP(AH568,'S-FG'!$B$3:$B1001,1,FALSE),"")</f>
        <v>#NAME?</v>
      </c>
      <c r="AM568" t="str">
        <f>IF(AI568="","",SUMIFS(#REF!,RM!$C$4:$C991,AI568))</f>
        <v/>
      </c>
    </row>
    <row r="569" spans="5:39">
      <c r="E569" t="str">
        <f>IF(A569="","",SUMIFS('PR-BOM'!$D$3:$D1001,'PR-BOM'!$C$3:$C1001,A569)*C569)</f>
        <v/>
      </c>
      <c r="F569" t="e">
        <f ca="1">_xludf.IFNA(VLOOKUP(B569,'S-FG'!$B$3:$B1001,1,FALSE),"")</f>
        <v>#NAME?</v>
      </c>
      <c r="L569" t="str">
        <f t="shared" si="7"/>
        <v/>
      </c>
      <c r="Q569" t="str">
        <f>IF(N569="","",SUMIFS('PR-BOM'!$D$3:$D1001,'PR-BOM'!$C$3:$C1001,N569))</f>
        <v/>
      </c>
      <c r="Y569" t="str">
        <f t="shared" si="8"/>
        <v/>
      </c>
      <c r="Z569" t="str">
        <f>IF(X569="","",SUMIFS(#REF!,RM!$C$4:$C991,X569))</f>
        <v/>
      </c>
      <c r="AA569" t="str">
        <f>IF(X569="","",SUMIFS(#REF!,RM!$C$4:$C991,X569))</f>
        <v/>
      </c>
      <c r="AB569" t="str">
        <f>IF(X569="","",SUMIFS(IRegback!$Y$2:$Y1001,IRegback!$X$2:$X1001,X569))</f>
        <v/>
      </c>
      <c r="AC569" t="e">
        <f t="shared" si="9"/>
        <v>#VALUE!</v>
      </c>
      <c r="AD569" t="str">
        <f>IF(X569="","",VLOOKUP($X569,RM!$C$4:$G991,3,FALSE))</f>
        <v/>
      </c>
      <c r="AE569" t="str">
        <f>IF(X569="","",VLOOKUP($X569,RM!$C$4:$G991,4,FALSE))</f>
        <v/>
      </c>
      <c r="AF569" t="str">
        <f>IF(X569="","",VLOOKUP($X569,RM!$C$4:$G991,5,FALSE))</f>
        <v/>
      </c>
      <c r="AL569" t="e">
        <f ca="1">_xludf.IFNA(VLOOKUP(AH569,'S-FG'!$B$3:$B1001,1,FALSE),"")</f>
        <v>#NAME?</v>
      </c>
      <c r="AM569" t="str">
        <f>IF(AI569="","",SUMIFS(#REF!,RM!$C$4:$C991,AI569))</f>
        <v/>
      </c>
    </row>
    <row r="570" spans="5:39">
      <c r="E570" t="str">
        <f>IF(A570="","",SUMIFS('PR-BOM'!$D$3:$D1001,'PR-BOM'!$C$3:$C1001,A570)*C570)</f>
        <v/>
      </c>
      <c r="F570" t="e">
        <f ca="1">_xludf.IFNA(VLOOKUP(B570,'S-FG'!$B$3:$B1001,1,FALSE),"")</f>
        <v>#NAME?</v>
      </c>
      <c r="L570" t="str">
        <f t="shared" si="7"/>
        <v/>
      </c>
      <c r="Q570" t="str">
        <f>IF(N570="","",SUMIFS('PR-BOM'!$D$3:$D1001,'PR-BOM'!$C$3:$C1001,N570))</f>
        <v/>
      </c>
      <c r="Y570" t="str">
        <f t="shared" si="8"/>
        <v/>
      </c>
      <c r="Z570" t="str">
        <f>IF(X570="","",SUMIFS(#REF!,RM!$C$4:$C991,X570))</f>
        <v/>
      </c>
      <c r="AA570" t="str">
        <f>IF(X570="","",SUMIFS(#REF!,RM!$C$4:$C991,X570))</f>
        <v/>
      </c>
      <c r="AB570" t="str">
        <f>IF(X570="","",SUMIFS(IRegback!$Y$2:$Y1001,IRegback!$X$2:$X1001,X570))</f>
        <v/>
      </c>
      <c r="AC570" t="e">
        <f t="shared" si="9"/>
        <v>#VALUE!</v>
      </c>
      <c r="AD570" t="str">
        <f>IF(X570="","",VLOOKUP($X570,RM!$C$4:$G991,3,FALSE))</f>
        <v/>
      </c>
      <c r="AE570" t="str">
        <f>IF(X570="","",VLOOKUP($X570,RM!$C$4:$G991,4,FALSE))</f>
        <v/>
      </c>
      <c r="AF570" t="str">
        <f>IF(X570="","",VLOOKUP($X570,RM!$C$4:$G991,5,FALSE))</f>
        <v/>
      </c>
      <c r="AL570" t="e">
        <f ca="1">_xludf.IFNA(VLOOKUP(AH570,'S-FG'!$B$3:$B1001,1,FALSE),"")</f>
        <v>#NAME?</v>
      </c>
      <c r="AM570" t="str">
        <f>IF(AI570="","",SUMIFS(#REF!,RM!$C$4:$C991,AI570))</f>
        <v/>
      </c>
    </row>
    <row r="571" spans="5:39">
      <c r="E571" t="str">
        <f>IF(A571="","",SUMIFS('PR-BOM'!$D$3:$D1001,'PR-BOM'!$C$3:$C1001,A571)*C571)</f>
        <v/>
      </c>
      <c r="F571" t="e">
        <f ca="1">_xludf.IFNA(VLOOKUP(B571,'S-FG'!$B$3:$B1001,1,FALSE),"")</f>
        <v>#NAME?</v>
      </c>
      <c r="L571" t="str">
        <f t="shared" si="7"/>
        <v/>
      </c>
      <c r="Q571" t="str">
        <f>IF(N571="","",SUMIFS('PR-BOM'!$D$3:$D1001,'PR-BOM'!$C$3:$C1001,N571))</f>
        <v/>
      </c>
      <c r="Y571" t="str">
        <f t="shared" si="8"/>
        <v/>
      </c>
      <c r="Z571" t="str">
        <f>IF(X571="","",SUMIFS(#REF!,RM!$C$4:$C991,X571))</f>
        <v/>
      </c>
      <c r="AA571" t="str">
        <f>IF(X571="","",SUMIFS(#REF!,RM!$C$4:$C991,X571))</f>
        <v/>
      </c>
      <c r="AB571" t="str">
        <f>IF(X571="","",SUMIFS(IRegback!$Y$2:$Y1001,IRegback!$X$2:$X1001,X571))</f>
        <v/>
      </c>
      <c r="AC571" t="e">
        <f t="shared" si="9"/>
        <v>#VALUE!</v>
      </c>
      <c r="AD571" t="str">
        <f>IF(X571="","",VLOOKUP($X571,RM!$C$4:$G991,3,FALSE))</f>
        <v/>
      </c>
      <c r="AE571" t="str">
        <f>IF(X571="","",VLOOKUP($X571,RM!$C$4:$G991,4,FALSE))</f>
        <v/>
      </c>
      <c r="AF571" t="str">
        <f>IF(X571="","",VLOOKUP($X571,RM!$C$4:$G991,5,FALSE))</f>
        <v/>
      </c>
      <c r="AL571" t="e">
        <f ca="1">_xludf.IFNA(VLOOKUP(AH571,'S-FG'!$B$3:$B1001,1,FALSE),"")</f>
        <v>#NAME?</v>
      </c>
      <c r="AM571" t="str">
        <f>IF(AI571="","",SUMIFS(#REF!,RM!$C$4:$C991,AI571))</f>
        <v/>
      </c>
    </row>
    <row r="572" spans="5:39">
      <c r="E572" t="str">
        <f>IF(A572="","",SUMIFS('PR-BOM'!$D$3:$D1001,'PR-BOM'!$C$3:$C1001,A572)*C572)</f>
        <v/>
      </c>
      <c r="F572" t="e">
        <f ca="1">_xludf.IFNA(VLOOKUP(B572,'S-FG'!$B$3:$B1001,1,FALSE),"")</f>
        <v>#NAME?</v>
      </c>
      <c r="L572" t="str">
        <f t="shared" si="7"/>
        <v/>
      </c>
      <c r="Q572" t="str">
        <f>IF(N572="","",SUMIFS('PR-BOM'!$D$3:$D1001,'PR-BOM'!$C$3:$C1001,N572))</f>
        <v/>
      </c>
      <c r="Y572" t="str">
        <f t="shared" si="8"/>
        <v/>
      </c>
      <c r="Z572" t="str">
        <f>IF(X572="","",SUMIFS(#REF!,RM!$C$4:$C991,X572))</f>
        <v/>
      </c>
      <c r="AA572" t="str">
        <f>IF(X572="","",SUMIFS(#REF!,RM!$C$4:$C991,X572))</f>
        <v/>
      </c>
      <c r="AB572" t="str">
        <f>IF(X572="","",SUMIFS(IRegback!$Y$2:$Y1001,IRegback!$X$2:$X1001,X572))</f>
        <v/>
      </c>
      <c r="AC572" t="e">
        <f t="shared" si="9"/>
        <v>#VALUE!</v>
      </c>
      <c r="AD572" t="str">
        <f>IF(X572="","",VLOOKUP($X572,RM!$C$4:$G991,3,FALSE))</f>
        <v/>
      </c>
      <c r="AE572" t="str">
        <f>IF(X572="","",VLOOKUP($X572,RM!$C$4:$G991,4,FALSE))</f>
        <v/>
      </c>
      <c r="AF572" t="str">
        <f>IF(X572="","",VLOOKUP($X572,RM!$C$4:$G991,5,FALSE))</f>
        <v/>
      </c>
      <c r="AL572" t="e">
        <f ca="1">_xludf.IFNA(VLOOKUP(AH572,'S-FG'!$B$3:$B1001,1,FALSE),"")</f>
        <v>#NAME?</v>
      </c>
      <c r="AM572" t="str">
        <f>IF(AI572="","",SUMIFS(#REF!,RM!$C$4:$C991,AI572))</f>
        <v/>
      </c>
    </row>
    <row r="573" spans="5:39">
      <c r="E573" t="str">
        <f>IF(A573="","",SUMIFS('PR-BOM'!$D$3:$D1001,'PR-BOM'!$C$3:$C1001,A573)*C573)</f>
        <v/>
      </c>
      <c r="F573" t="e">
        <f ca="1">_xludf.IFNA(VLOOKUP(B573,'S-FG'!$B$3:$B1001,1,FALSE),"")</f>
        <v>#NAME?</v>
      </c>
      <c r="L573" t="str">
        <f t="shared" si="7"/>
        <v/>
      </c>
      <c r="Q573" t="str">
        <f>IF(N573="","",SUMIFS('PR-BOM'!$D$3:$D1001,'PR-BOM'!$C$3:$C1001,N573))</f>
        <v/>
      </c>
      <c r="Y573" t="str">
        <f t="shared" si="8"/>
        <v/>
      </c>
      <c r="Z573" t="str">
        <f>IF(X573="","",SUMIFS(#REF!,RM!$C$4:$C991,X573))</f>
        <v/>
      </c>
      <c r="AA573" t="str">
        <f>IF(X573="","",SUMIFS(#REF!,RM!$C$4:$C991,X573))</f>
        <v/>
      </c>
      <c r="AB573" t="str">
        <f>IF(X573="","",SUMIFS(IRegback!$Y$2:$Y1001,IRegback!$X$2:$X1001,X573))</f>
        <v/>
      </c>
      <c r="AC573" t="e">
        <f t="shared" si="9"/>
        <v>#VALUE!</v>
      </c>
      <c r="AD573" t="str">
        <f>IF(X573="","",VLOOKUP($X573,RM!$C$4:$G991,3,FALSE))</f>
        <v/>
      </c>
      <c r="AE573" t="str">
        <f>IF(X573="","",VLOOKUP($X573,RM!$C$4:$G991,4,FALSE))</f>
        <v/>
      </c>
      <c r="AF573" t="str">
        <f>IF(X573="","",VLOOKUP($X573,RM!$C$4:$G991,5,FALSE))</f>
        <v/>
      </c>
      <c r="AL573" t="e">
        <f ca="1">_xludf.IFNA(VLOOKUP(AH573,'S-FG'!$B$3:$B1001,1,FALSE),"")</f>
        <v>#NAME?</v>
      </c>
      <c r="AM573" t="str">
        <f>IF(AI573="","",SUMIFS(#REF!,RM!$C$4:$C991,AI573))</f>
        <v/>
      </c>
    </row>
    <row r="574" spans="5:39">
      <c r="E574" t="str">
        <f>IF(A574="","",SUMIFS('PR-BOM'!$D$3:$D1001,'PR-BOM'!$C$3:$C1001,A574)*C574)</f>
        <v/>
      </c>
      <c r="F574" t="e">
        <f ca="1">_xludf.IFNA(VLOOKUP(B574,'S-FG'!$B$3:$B1001,1,FALSE),"")</f>
        <v>#NAME?</v>
      </c>
      <c r="L574" t="str">
        <f t="shared" si="7"/>
        <v/>
      </c>
      <c r="Q574" t="str">
        <f>IF(N574="","",SUMIFS('PR-BOM'!$D$3:$D1001,'PR-BOM'!$C$3:$C1001,N574))</f>
        <v/>
      </c>
      <c r="Y574" t="str">
        <f t="shared" si="8"/>
        <v/>
      </c>
      <c r="Z574" t="str">
        <f>IF(X574="","",SUMIFS(#REF!,RM!$C$4:$C991,X574))</f>
        <v/>
      </c>
      <c r="AA574" t="str">
        <f>IF(X574="","",SUMIFS(#REF!,RM!$C$4:$C991,X574))</f>
        <v/>
      </c>
      <c r="AB574" t="str">
        <f>IF(X574="","",SUMIFS(IRegback!$Y$2:$Y1001,IRegback!$X$2:$X1001,X574))</f>
        <v/>
      </c>
      <c r="AC574" t="e">
        <f t="shared" si="9"/>
        <v>#VALUE!</v>
      </c>
      <c r="AD574" t="str">
        <f>IF(X574="","",VLOOKUP($X574,RM!$C$4:$G991,3,FALSE))</f>
        <v/>
      </c>
      <c r="AE574" t="str">
        <f>IF(X574="","",VLOOKUP($X574,RM!$C$4:$G991,4,FALSE))</f>
        <v/>
      </c>
      <c r="AF574" t="str">
        <f>IF(X574="","",VLOOKUP($X574,RM!$C$4:$G991,5,FALSE))</f>
        <v/>
      </c>
      <c r="AL574" t="e">
        <f ca="1">_xludf.IFNA(VLOOKUP(AH574,'S-FG'!$B$3:$B1001,1,FALSE),"")</f>
        <v>#NAME?</v>
      </c>
      <c r="AM574" t="str">
        <f>IF(AI574="","",SUMIFS(#REF!,RM!$C$4:$C991,AI574))</f>
        <v/>
      </c>
    </row>
    <row r="575" spans="5:39">
      <c r="E575" t="str">
        <f>IF(A575="","",SUMIFS('PR-BOM'!$D$3:$D1001,'PR-BOM'!$C$3:$C1001,A575)*C575)</f>
        <v/>
      </c>
      <c r="F575" t="e">
        <f ca="1">_xludf.IFNA(VLOOKUP(B575,'S-FG'!$B$3:$B1001,1,FALSE),"")</f>
        <v>#NAME?</v>
      </c>
      <c r="L575" t="str">
        <f t="shared" si="7"/>
        <v/>
      </c>
      <c r="Q575" t="str">
        <f>IF(N575="","",SUMIFS('PR-BOM'!$D$3:$D1001,'PR-BOM'!$C$3:$C1001,N575))</f>
        <v/>
      </c>
      <c r="Y575" t="str">
        <f t="shared" si="8"/>
        <v/>
      </c>
      <c r="Z575" t="str">
        <f>IF(X575="","",SUMIFS(#REF!,RM!$C$4:$C991,X575))</f>
        <v/>
      </c>
      <c r="AA575" t="str">
        <f>IF(X575="","",SUMIFS(#REF!,RM!$C$4:$C991,X575))</f>
        <v/>
      </c>
      <c r="AB575" t="str">
        <f>IF(X575="","",SUMIFS(IRegback!$Y$2:$Y1001,IRegback!$X$2:$X1001,X575))</f>
        <v/>
      </c>
      <c r="AC575" t="e">
        <f t="shared" si="9"/>
        <v>#VALUE!</v>
      </c>
      <c r="AD575" t="str">
        <f>IF(X575="","",VLOOKUP($X575,RM!$C$4:$G991,3,FALSE))</f>
        <v/>
      </c>
      <c r="AE575" t="str">
        <f>IF(X575="","",VLOOKUP($X575,RM!$C$4:$G991,4,FALSE))</f>
        <v/>
      </c>
      <c r="AF575" t="str">
        <f>IF(X575="","",VLOOKUP($X575,RM!$C$4:$G991,5,FALSE))</f>
        <v/>
      </c>
      <c r="AL575" t="e">
        <f ca="1">_xludf.IFNA(VLOOKUP(AH575,'S-FG'!$B$3:$B1001,1,FALSE),"")</f>
        <v>#NAME?</v>
      </c>
      <c r="AM575" t="str">
        <f>IF(AI575="","",SUMIFS(#REF!,RM!$C$4:$C991,AI575))</f>
        <v/>
      </c>
    </row>
    <row r="576" spans="5:39">
      <c r="E576" t="str">
        <f>IF(A576="","",SUMIFS('PR-BOM'!$D$3:$D1001,'PR-BOM'!$C$3:$C1001,A576)*C576)</f>
        <v/>
      </c>
      <c r="F576" t="e">
        <f ca="1">_xludf.IFNA(VLOOKUP(B576,'S-FG'!$B$3:$B1001,1,FALSE),"")</f>
        <v>#NAME?</v>
      </c>
      <c r="L576" t="str">
        <f t="shared" si="7"/>
        <v/>
      </c>
      <c r="Q576" t="str">
        <f>IF(N576="","",SUMIFS('PR-BOM'!$D$3:$D1001,'PR-BOM'!$C$3:$C1001,N576))</f>
        <v/>
      </c>
      <c r="Y576" t="str">
        <f t="shared" si="8"/>
        <v/>
      </c>
      <c r="Z576" t="str">
        <f>IF(X576="","",SUMIFS(#REF!,RM!$C$4:$C991,X576))</f>
        <v/>
      </c>
      <c r="AA576" t="str">
        <f>IF(X576="","",SUMIFS(#REF!,RM!$C$4:$C991,X576))</f>
        <v/>
      </c>
      <c r="AB576" t="str">
        <f>IF(X576="","",SUMIFS(IRegback!$Y$2:$Y1001,IRegback!$X$2:$X1001,X576))</f>
        <v/>
      </c>
      <c r="AC576" t="e">
        <f t="shared" si="9"/>
        <v>#VALUE!</v>
      </c>
      <c r="AD576" t="str">
        <f>IF(X576="","",VLOOKUP($X576,RM!$C$4:$G991,3,FALSE))</f>
        <v/>
      </c>
      <c r="AE576" t="str">
        <f>IF(X576="","",VLOOKUP($X576,RM!$C$4:$G991,4,FALSE))</f>
        <v/>
      </c>
      <c r="AF576" t="str">
        <f>IF(X576="","",VLOOKUP($X576,RM!$C$4:$G991,5,FALSE))</f>
        <v/>
      </c>
      <c r="AL576" t="e">
        <f ca="1">_xludf.IFNA(VLOOKUP(AH576,'S-FG'!$B$3:$B1001,1,FALSE),"")</f>
        <v>#NAME?</v>
      </c>
      <c r="AM576" t="str">
        <f>IF(AI576="","",SUMIFS(#REF!,RM!$C$4:$C991,AI576))</f>
        <v/>
      </c>
    </row>
    <row r="577" spans="5:39">
      <c r="E577" t="str">
        <f>IF(A577="","",SUMIFS('PR-BOM'!$D$3:$D1001,'PR-BOM'!$C$3:$C1001,A577)*C577)</f>
        <v/>
      </c>
      <c r="F577" t="e">
        <f ca="1">_xludf.IFNA(VLOOKUP(B577,'S-FG'!$B$3:$B1001,1,FALSE),"")</f>
        <v>#NAME?</v>
      </c>
      <c r="L577" t="str">
        <f t="shared" si="7"/>
        <v/>
      </c>
      <c r="Q577" t="str">
        <f>IF(N577="","",SUMIFS('PR-BOM'!$D$3:$D1001,'PR-BOM'!$C$3:$C1001,N577))</f>
        <v/>
      </c>
      <c r="Y577" t="str">
        <f t="shared" si="8"/>
        <v/>
      </c>
      <c r="Z577" t="str">
        <f>IF(X577="","",SUMIFS(#REF!,RM!$C$4:$C991,X577))</f>
        <v/>
      </c>
      <c r="AA577" t="str">
        <f>IF(X577="","",SUMIFS(#REF!,RM!$C$4:$C991,X577))</f>
        <v/>
      </c>
      <c r="AB577" t="str">
        <f>IF(X577="","",SUMIFS(IRegback!$Y$2:$Y1001,IRegback!$X$2:$X1001,X577))</f>
        <v/>
      </c>
      <c r="AC577" t="e">
        <f t="shared" si="9"/>
        <v>#VALUE!</v>
      </c>
      <c r="AD577" t="str">
        <f>IF(X577="","",VLOOKUP($X577,RM!$C$4:$G991,3,FALSE))</f>
        <v/>
      </c>
      <c r="AE577" t="str">
        <f>IF(X577="","",VLOOKUP($X577,RM!$C$4:$G991,4,FALSE))</f>
        <v/>
      </c>
      <c r="AF577" t="str">
        <f>IF(X577="","",VLOOKUP($X577,RM!$C$4:$G991,5,FALSE))</f>
        <v/>
      </c>
      <c r="AL577" t="e">
        <f ca="1">_xludf.IFNA(VLOOKUP(AH577,'S-FG'!$B$3:$B1001,1,FALSE),"")</f>
        <v>#NAME?</v>
      </c>
      <c r="AM577" t="str">
        <f>IF(AI577="","",SUMIFS(#REF!,RM!$C$4:$C991,AI577))</f>
        <v/>
      </c>
    </row>
    <row r="578" spans="5:39">
      <c r="E578" t="str">
        <f>IF(A578="","",SUMIFS('PR-BOM'!$D$3:$D1001,'PR-BOM'!$C$3:$C1001,A578)*C578)</f>
        <v/>
      </c>
      <c r="F578" t="e">
        <f ca="1">_xludf.IFNA(VLOOKUP(B578,'S-FG'!$B$3:$B1001,1,FALSE),"")</f>
        <v>#NAME?</v>
      </c>
      <c r="L578" t="str">
        <f t="shared" si="7"/>
        <v/>
      </c>
      <c r="Q578" t="str">
        <f>IF(N578="","",SUMIFS('PR-BOM'!$D$3:$D1001,'PR-BOM'!$C$3:$C1001,N578))</f>
        <v/>
      </c>
      <c r="Y578" t="str">
        <f t="shared" si="8"/>
        <v/>
      </c>
      <c r="Z578" t="str">
        <f>IF(X578="","",SUMIFS(#REF!,RM!$C$4:$C991,X578))</f>
        <v/>
      </c>
      <c r="AA578" t="str">
        <f>IF(X578="","",SUMIFS(#REF!,RM!$C$4:$C991,X578))</f>
        <v/>
      </c>
      <c r="AB578" t="str">
        <f>IF(X578="","",SUMIFS(IRegback!$Y$2:$Y1001,IRegback!$X$2:$X1001,X578))</f>
        <v/>
      </c>
      <c r="AC578" t="e">
        <f t="shared" si="9"/>
        <v>#VALUE!</v>
      </c>
      <c r="AD578" t="str">
        <f>IF(X578="","",VLOOKUP($X578,RM!$C$4:$G991,3,FALSE))</f>
        <v/>
      </c>
      <c r="AE578" t="str">
        <f>IF(X578="","",VLOOKUP($X578,RM!$C$4:$G991,4,FALSE))</f>
        <v/>
      </c>
      <c r="AF578" t="str">
        <f>IF(X578="","",VLOOKUP($X578,RM!$C$4:$G991,5,FALSE))</f>
        <v/>
      </c>
      <c r="AL578" t="e">
        <f ca="1">_xludf.IFNA(VLOOKUP(AH578,'S-FG'!$B$3:$B1001,1,FALSE),"")</f>
        <v>#NAME?</v>
      </c>
      <c r="AM578" t="str">
        <f>IF(AI578="","",SUMIFS(#REF!,RM!$C$4:$C991,AI578))</f>
        <v/>
      </c>
    </row>
    <row r="579" spans="5:39">
      <c r="E579" t="str">
        <f>IF(A579="","",SUMIFS('PR-BOM'!$D$3:$D1001,'PR-BOM'!$C$3:$C1001,A579)*C579)</f>
        <v/>
      </c>
      <c r="F579" t="e">
        <f ca="1">_xludf.IFNA(VLOOKUP(B579,'S-FG'!$B$3:$B1001,1,FALSE),"")</f>
        <v>#NAME?</v>
      </c>
      <c r="L579" t="str">
        <f t="shared" si="7"/>
        <v/>
      </c>
      <c r="Q579" t="str">
        <f>IF(N579="","",SUMIFS('PR-BOM'!$D$3:$D1001,'PR-BOM'!$C$3:$C1001,N579))</f>
        <v/>
      </c>
      <c r="Y579" t="str">
        <f t="shared" si="8"/>
        <v/>
      </c>
      <c r="Z579" t="str">
        <f>IF(X579="","",SUMIFS(#REF!,RM!$C$4:$C991,X579))</f>
        <v/>
      </c>
      <c r="AA579" t="str">
        <f>IF(X579="","",SUMIFS(#REF!,RM!$C$4:$C991,X579))</f>
        <v/>
      </c>
      <c r="AB579" t="str">
        <f>IF(X579="","",SUMIFS(IRegback!$Y$2:$Y1001,IRegback!$X$2:$X1001,X579))</f>
        <v/>
      </c>
      <c r="AC579" t="e">
        <f t="shared" si="9"/>
        <v>#VALUE!</v>
      </c>
      <c r="AD579" t="str">
        <f>IF(X579="","",VLOOKUP($X579,RM!$C$4:$G991,3,FALSE))</f>
        <v/>
      </c>
      <c r="AE579" t="str">
        <f>IF(X579="","",VLOOKUP($X579,RM!$C$4:$G991,4,FALSE))</f>
        <v/>
      </c>
      <c r="AF579" t="str">
        <f>IF(X579="","",VLOOKUP($X579,RM!$C$4:$G991,5,FALSE))</f>
        <v/>
      </c>
      <c r="AL579" t="e">
        <f ca="1">_xludf.IFNA(VLOOKUP(AH579,'S-FG'!$B$3:$B1001,1,FALSE),"")</f>
        <v>#NAME?</v>
      </c>
      <c r="AM579" t="str">
        <f>IF(AI579="","",SUMIFS(#REF!,RM!$C$4:$C991,AI579))</f>
        <v/>
      </c>
    </row>
    <row r="580" spans="5:39">
      <c r="E580" t="str">
        <f>IF(A580="","",SUMIFS('PR-BOM'!$D$3:$D1001,'PR-BOM'!$C$3:$C1001,A580)*C580)</f>
        <v/>
      </c>
      <c r="F580" t="e">
        <f ca="1">_xludf.IFNA(VLOOKUP(B580,'S-FG'!$B$3:$B1001,1,FALSE),"")</f>
        <v>#NAME?</v>
      </c>
      <c r="L580" t="str">
        <f t="shared" si="7"/>
        <v/>
      </c>
      <c r="Q580" t="str">
        <f>IF(N580="","",SUMIFS('PR-BOM'!$D$3:$D1001,'PR-BOM'!$C$3:$C1001,N580))</f>
        <v/>
      </c>
      <c r="Y580" t="str">
        <f t="shared" si="8"/>
        <v/>
      </c>
      <c r="Z580" t="str">
        <f>IF(X580="","",SUMIFS(#REF!,RM!$C$4:$C991,X580))</f>
        <v/>
      </c>
      <c r="AA580" t="str">
        <f>IF(X580="","",SUMIFS(#REF!,RM!$C$4:$C991,X580))</f>
        <v/>
      </c>
      <c r="AB580" t="str">
        <f>IF(X580="","",SUMIFS(IRegback!$Y$2:$Y1001,IRegback!$X$2:$X1001,X580))</f>
        <v/>
      </c>
      <c r="AC580" t="e">
        <f t="shared" si="9"/>
        <v>#VALUE!</v>
      </c>
      <c r="AD580" t="str">
        <f>IF(X580="","",VLOOKUP($X580,RM!$C$4:$G991,3,FALSE))</f>
        <v/>
      </c>
      <c r="AE580" t="str">
        <f>IF(X580="","",VLOOKUP($X580,RM!$C$4:$G991,4,FALSE))</f>
        <v/>
      </c>
      <c r="AF580" t="str">
        <f>IF(X580="","",VLOOKUP($X580,RM!$C$4:$G991,5,FALSE))</f>
        <v/>
      </c>
      <c r="AL580" t="e">
        <f ca="1">_xludf.IFNA(VLOOKUP(AH580,'S-FG'!$B$3:$B1001,1,FALSE),"")</f>
        <v>#NAME?</v>
      </c>
      <c r="AM580" t="str">
        <f>IF(AI580="","",SUMIFS(#REF!,RM!$C$4:$C991,AI580))</f>
        <v/>
      </c>
    </row>
    <row r="581" spans="5:39">
      <c r="E581" t="str">
        <f>IF(A581="","",SUMIFS('PR-BOM'!$D$3:$D1001,'PR-BOM'!$C$3:$C1001,A581)*C581)</f>
        <v/>
      </c>
      <c r="F581" t="e">
        <f ca="1">_xludf.IFNA(VLOOKUP(B581,'S-FG'!$B$3:$B1001,1,FALSE),"")</f>
        <v>#NAME?</v>
      </c>
      <c r="L581" t="str">
        <f t="shared" si="7"/>
        <v/>
      </c>
      <c r="Q581" t="str">
        <f>IF(N581="","",SUMIFS('PR-BOM'!$D$3:$D1001,'PR-BOM'!$C$3:$C1001,N581))</f>
        <v/>
      </c>
      <c r="Y581" t="str">
        <f t="shared" si="8"/>
        <v/>
      </c>
      <c r="Z581" t="str">
        <f>IF(X581="","",SUMIFS(#REF!,RM!$C$4:$C991,X581))</f>
        <v/>
      </c>
      <c r="AA581" t="str">
        <f>IF(X581="","",SUMIFS(#REF!,RM!$C$4:$C991,X581))</f>
        <v/>
      </c>
      <c r="AB581" t="str">
        <f>IF(X581="","",SUMIFS(IRegback!$Y$2:$Y1001,IRegback!$X$2:$X1001,X581))</f>
        <v/>
      </c>
      <c r="AC581" t="e">
        <f t="shared" si="9"/>
        <v>#VALUE!</v>
      </c>
      <c r="AD581" t="str">
        <f>IF(X581="","",VLOOKUP($X581,RM!$C$4:$G991,3,FALSE))</f>
        <v/>
      </c>
      <c r="AE581" t="str">
        <f>IF(X581="","",VLOOKUP($X581,RM!$C$4:$G991,4,FALSE))</f>
        <v/>
      </c>
      <c r="AF581" t="str">
        <f>IF(X581="","",VLOOKUP($X581,RM!$C$4:$G991,5,FALSE))</f>
        <v/>
      </c>
      <c r="AL581" t="e">
        <f ca="1">_xludf.IFNA(VLOOKUP(AH581,'S-FG'!$B$3:$B1001,1,FALSE),"")</f>
        <v>#NAME?</v>
      </c>
      <c r="AM581" t="str">
        <f>IF(AI581="","",SUMIFS(#REF!,RM!$C$4:$C991,AI581))</f>
        <v/>
      </c>
    </row>
    <row r="582" spans="5:39">
      <c r="E582" t="str">
        <f>IF(A582="","",SUMIFS('PR-BOM'!$D$3:$D1001,'PR-BOM'!$C$3:$C1001,A582)*C582)</f>
        <v/>
      </c>
      <c r="F582" t="e">
        <f ca="1">_xludf.IFNA(VLOOKUP(B582,'S-FG'!$B$3:$B1001,1,FALSE),"")</f>
        <v>#NAME?</v>
      </c>
      <c r="L582" t="str">
        <f t="shared" si="7"/>
        <v/>
      </c>
      <c r="Q582" t="str">
        <f>IF(N582="","",SUMIFS('PR-BOM'!$D$3:$D1001,'PR-BOM'!$C$3:$C1001,N582))</f>
        <v/>
      </c>
      <c r="Y582" t="str">
        <f t="shared" si="8"/>
        <v/>
      </c>
      <c r="Z582" t="str">
        <f>IF(X582="","",SUMIFS(#REF!,RM!$C$4:$C991,X582))</f>
        <v/>
      </c>
      <c r="AA582" t="str">
        <f>IF(X582="","",SUMIFS(#REF!,RM!$C$4:$C991,X582))</f>
        <v/>
      </c>
      <c r="AB582" t="str">
        <f>IF(X582="","",SUMIFS(IRegback!$Y$2:$Y1001,IRegback!$X$2:$X1001,X582))</f>
        <v/>
      </c>
      <c r="AC582" t="e">
        <f t="shared" si="9"/>
        <v>#VALUE!</v>
      </c>
      <c r="AD582" t="str">
        <f>IF(X582="","",VLOOKUP($X582,RM!$C$4:$G991,3,FALSE))</f>
        <v/>
      </c>
      <c r="AE582" t="str">
        <f>IF(X582="","",VLOOKUP($X582,RM!$C$4:$G991,4,FALSE))</f>
        <v/>
      </c>
      <c r="AF582" t="str">
        <f>IF(X582="","",VLOOKUP($X582,RM!$C$4:$G991,5,FALSE))</f>
        <v/>
      </c>
      <c r="AL582" t="e">
        <f ca="1">_xludf.IFNA(VLOOKUP(AH582,'S-FG'!$B$3:$B1001,1,FALSE),"")</f>
        <v>#NAME?</v>
      </c>
      <c r="AM582" t="str">
        <f>IF(AI582="","",SUMIFS(#REF!,RM!$C$4:$C991,AI582))</f>
        <v/>
      </c>
    </row>
    <row r="583" spans="5:39">
      <c r="E583" t="str">
        <f>IF(A583="","",SUMIFS('PR-BOM'!$D$3:$D1001,'PR-BOM'!$C$3:$C1001,A583)*C583)</f>
        <v/>
      </c>
      <c r="F583" t="e">
        <f ca="1">_xludf.IFNA(VLOOKUP(B583,'S-FG'!$B$3:$B1001,1,FALSE),"")</f>
        <v>#NAME?</v>
      </c>
      <c r="L583" t="str">
        <f t="shared" si="7"/>
        <v/>
      </c>
      <c r="Q583" t="str">
        <f>IF(N583="","",SUMIFS('PR-BOM'!$D$3:$D1001,'PR-BOM'!$C$3:$C1001,N583))</f>
        <v/>
      </c>
      <c r="Y583" t="str">
        <f t="shared" si="8"/>
        <v/>
      </c>
      <c r="Z583" t="str">
        <f>IF(X583="","",SUMIFS(#REF!,RM!$C$4:$C991,X583))</f>
        <v/>
      </c>
      <c r="AA583" t="str">
        <f>IF(X583="","",SUMIFS(#REF!,RM!$C$4:$C991,X583))</f>
        <v/>
      </c>
      <c r="AB583" t="str">
        <f>IF(X583="","",SUMIFS(IRegback!$Y$2:$Y1001,IRegback!$X$2:$X1001,X583))</f>
        <v/>
      </c>
      <c r="AC583" t="e">
        <f t="shared" si="9"/>
        <v>#VALUE!</v>
      </c>
      <c r="AD583" t="str">
        <f>IF(X583="","",VLOOKUP($X583,RM!$C$4:$G991,3,FALSE))</f>
        <v/>
      </c>
      <c r="AE583" t="str">
        <f>IF(X583="","",VLOOKUP($X583,RM!$C$4:$G991,4,FALSE))</f>
        <v/>
      </c>
      <c r="AF583" t="str">
        <f>IF(X583="","",VLOOKUP($X583,RM!$C$4:$G991,5,FALSE))</f>
        <v/>
      </c>
      <c r="AL583" t="e">
        <f ca="1">_xludf.IFNA(VLOOKUP(AH583,'S-FG'!$B$3:$B1001,1,FALSE),"")</f>
        <v>#NAME?</v>
      </c>
      <c r="AM583" t="str">
        <f>IF(AI583="","",SUMIFS(#REF!,RM!$C$4:$C991,AI583))</f>
        <v/>
      </c>
    </row>
    <row r="584" spans="5:39">
      <c r="E584" t="str">
        <f>IF(A584="","",SUMIFS('PR-BOM'!$D$3:$D1001,'PR-BOM'!$C$3:$C1001,A584)*C584)</f>
        <v/>
      </c>
      <c r="F584" t="e">
        <f ca="1">_xludf.IFNA(VLOOKUP(B584,'S-FG'!$B$3:$B1001,1,FALSE),"")</f>
        <v>#NAME?</v>
      </c>
      <c r="L584" t="str">
        <f t="shared" si="7"/>
        <v/>
      </c>
      <c r="Q584" t="str">
        <f>IF(N584="","",SUMIFS('PR-BOM'!$D$3:$D1001,'PR-BOM'!$C$3:$C1001,N584))</f>
        <v/>
      </c>
      <c r="Y584" t="str">
        <f t="shared" si="8"/>
        <v/>
      </c>
      <c r="Z584" t="str">
        <f>IF(X584="","",SUMIFS(#REF!,RM!$C$4:$C991,X584))</f>
        <v/>
      </c>
      <c r="AA584" t="str">
        <f>IF(X584="","",SUMIFS(#REF!,RM!$C$4:$C991,X584))</f>
        <v/>
      </c>
      <c r="AB584" t="str">
        <f>IF(X584="","",SUMIFS(IRegback!$Y$2:$Y1001,IRegback!$X$2:$X1001,X584))</f>
        <v/>
      </c>
      <c r="AC584" t="e">
        <f t="shared" si="9"/>
        <v>#VALUE!</v>
      </c>
      <c r="AD584" t="str">
        <f>IF(X584="","",VLOOKUP($X584,RM!$C$4:$G991,3,FALSE))</f>
        <v/>
      </c>
      <c r="AE584" t="str">
        <f>IF(X584="","",VLOOKUP($X584,RM!$C$4:$G991,4,FALSE))</f>
        <v/>
      </c>
      <c r="AF584" t="str">
        <f>IF(X584="","",VLOOKUP($X584,RM!$C$4:$G991,5,FALSE))</f>
        <v/>
      </c>
      <c r="AL584" t="e">
        <f ca="1">_xludf.IFNA(VLOOKUP(AH584,'S-FG'!$B$3:$B1001,1,FALSE),"")</f>
        <v>#NAME?</v>
      </c>
      <c r="AM584" t="str">
        <f>IF(AI584="","",SUMIFS(#REF!,RM!$C$4:$C991,AI584))</f>
        <v/>
      </c>
    </row>
    <row r="585" spans="5:39">
      <c r="E585" t="str">
        <f>IF(A585="","",SUMIFS('PR-BOM'!$D$3:$D1001,'PR-BOM'!$C$3:$C1001,A585)*C585)</f>
        <v/>
      </c>
      <c r="F585" t="e">
        <f ca="1">_xludf.IFNA(VLOOKUP(B585,'S-FG'!$B$3:$B1001,1,FALSE),"")</f>
        <v>#NAME?</v>
      </c>
      <c r="L585" t="str">
        <f t="shared" si="7"/>
        <v/>
      </c>
      <c r="Q585" t="str">
        <f>IF(N585="","",SUMIFS('PR-BOM'!$D$3:$D1001,'PR-BOM'!$C$3:$C1001,N585))</f>
        <v/>
      </c>
      <c r="Y585" t="str">
        <f t="shared" si="8"/>
        <v/>
      </c>
      <c r="Z585" t="str">
        <f>IF(X585="","",SUMIFS(#REF!,RM!$C$4:$C991,X585))</f>
        <v/>
      </c>
      <c r="AA585" t="str">
        <f>IF(X585="","",SUMIFS(#REF!,RM!$C$4:$C991,X585))</f>
        <v/>
      </c>
      <c r="AB585" t="str">
        <f>IF(X585="","",SUMIFS(IRegback!$Y$2:$Y1001,IRegback!$X$2:$X1001,X585))</f>
        <v/>
      </c>
      <c r="AC585" t="e">
        <f t="shared" si="9"/>
        <v>#VALUE!</v>
      </c>
      <c r="AD585" t="str">
        <f>IF(X585="","",VLOOKUP($X585,RM!$C$4:$G991,3,FALSE))</f>
        <v/>
      </c>
      <c r="AE585" t="str">
        <f>IF(X585="","",VLOOKUP($X585,RM!$C$4:$G991,4,FALSE))</f>
        <v/>
      </c>
      <c r="AF585" t="str">
        <f>IF(X585="","",VLOOKUP($X585,RM!$C$4:$G991,5,FALSE))</f>
        <v/>
      </c>
      <c r="AL585" t="e">
        <f ca="1">_xludf.IFNA(VLOOKUP(AH585,'S-FG'!$B$3:$B1001,1,FALSE),"")</f>
        <v>#NAME?</v>
      </c>
      <c r="AM585" t="str">
        <f>IF(AI585="","",SUMIFS(#REF!,RM!$C$4:$C991,AI585))</f>
        <v/>
      </c>
    </row>
    <row r="586" spans="5:39">
      <c r="E586" t="str">
        <f>IF(A586="","",SUMIFS('PR-BOM'!$D$3:$D1001,'PR-BOM'!$C$3:$C1001,A586)*C586)</f>
        <v/>
      </c>
      <c r="F586" t="e">
        <f ca="1">_xludf.IFNA(VLOOKUP(B586,'S-FG'!$B$3:$B1001,1,FALSE),"")</f>
        <v>#NAME?</v>
      </c>
      <c r="L586" t="str">
        <f t="shared" si="7"/>
        <v/>
      </c>
      <c r="Q586" t="str">
        <f>IF(N586="","",SUMIFS('PR-BOM'!$D$3:$D1001,'PR-BOM'!$C$3:$C1001,N586))</f>
        <v/>
      </c>
      <c r="Y586" t="str">
        <f t="shared" si="8"/>
        <v/>
      </c>
      <c r="Z586" t="str">
        <f>IF(X586="","",SUMIFS(#REF!,RM!$C$4:$C991,X586))</f>
        <v/>
      </c>
      <c r="AA586" t="str">
        <f>IF(X586="","",SUMIFS(#REF!,RM!$C$4:$C991,X586))</f>
        <v/>
      </c>
      <c r="AB586" t="str">
        <f>IF(X586="","",SUMIFS(IRegback!$Y$2:$Y1001,IRegback!$X$2:$X1001,X586))</f>
        <v/>
      </c>
      <c r="AC586" t="e">
        <f t="shared" si="9"/>
        <v>#VALUE!</v>
      </c>
      <c r="AD586" t="str">
        <f>IF(X586="","",VLOOKUP($X586,RM!$C$4:$G991,3,FALSE))</f>
        <v/>
      </c>
      <c r="AE586" t="str">
        <f>IF(X586="","",VLOOKUP($X586,RM!$C$4:$G991,4,FALSE))</f>
        <v/>
      </c>
      <c r="AF586" t="str">
        <f>IF(X586="","",VLOOKUP($X586,RM!$C$4:$G991,5,FALSE))</f>
        <v/>
      </c>
      <c r="AL586" t="e">
        <f ca="1">_xludf.IFNA(VLOOKUP(AH586,'S-FG'!$B$3:$B1001,1,FALSE),"")</f>
        <v>#NAME?</v>
      </c>
      <c r="AM586" t="str">
        <f>IF(AI586="","",SUMIFS(#REF!,RM!$C$4:$C991,AI586))</f>
        <v/>
      </c>
    </row>
    <row r="587" spans="5:39">
      <c r="E587" t="str">
        <f>IF(A587="","",SUMIFS('PR-BOM'!$D$3:$D1001,'PR-BOM'!$C$3:$C1001,A587)*C587)</f>
        <v/>
      </c>
      <c r="F587" t="e">
        <f ca="1">_xludf.IFNA(VLOOKUP(B587,'S-FG'!$B$3:$B1001,1,FALSE),"")</f>
        <v>#NAME?</v>
      </c>
      <c r="L587" t="str">
        <f t="shared" si="7"/>
        <v/>
      </c>
      <c r="Q587" t="str">
        <f>IF(N587="","",SUMIFS('PR-BOM'!$D$3:$D1001,'PR-BOM'!$C$3:$C1001,N587))</f>
        <v/>
      </c>
      <c r="Y587" t="str">
        <f t="shared" si="8"/>
        <v/>
      </c>
      <c r="Z587" t="str">
        <f>IF(X587="","",SUMIFS(#REF!,RM!$C$4:$C991,X587))</f>
        <v/>
      </c>
      <c r="AA587" t="str">
        <f>IF(X587="","",SUMIFS(#REF!,RM!$C$4:$C991,X587))</f>
        <v/>
      </c>
      <c r="AB587" t="str">
        <f>IF(X587="","",SUMIFS(IRegback!$Y$2:$Y1001,IRegback!$X$2:$X1001,X587))</f>
        <v/>
      </c>
      <c r="AC587" t="e">
        <f t="shared" si="9"/>
        <v>#VALUE!</v>
      </c>
      <c r="AD587" t="str">
        <f>IF(X587="","",VLOOKUP($X587,RM!$C$4:$G991,3,FALSE))</f>
        <v/>
      </c>
      <c r="AE587" t="str">
        <f>IF(X587="","",VLOOKUP($X587,RM!$C$4:$G991,4,FALSE))</f>
        <v/>
      </c>
      <c r="AF587" t="str">
        <f>IF(X587="","",VLOOKUP($X587,RM!$C$4:$G991,5,FALSE))</f>
        <v/>
      </c>
      <c r="AL587" t="e">
        <f ca="1">_xludf.IFNA(VLOOKUP(AH587,'S-FG'!$B$3:$B1001,1,FALSE),"")</f>
        <v>#NAME?</v>
      </c>
      <c r="AM587" t="str">
        <f>IF(AI587="","",SUMIFS(#REF!,RM!$C$4:$C991,AI587))</f>
        <v/>
      </c>
    </row>
    <row r="588" spans="5:39">
      <c r="E588" t="str">
        <f>IF(A588="","",SUMIFS('PR-BOM'!$D$3:$D1001,'PR-BOM'!$C$3:$C1001,A588)*C588)</f>
        <v/>
      </c>
      <c r="F588" t="e">
        <f ca="1">_xludf.IFNA(VLOOKUP(B588,'S-FG'!$B$3:$B1001,1,FALSE),"")</f>
        <v>#NAME?</v>
      </c>
      <c r="L588" t="str">
        <f t="shared" si="7"/>
        <v/>
      </c>
      <c r="Q588" t="str">
        <f>IF(N588="","",SUMIFS('PR-BOM'!$D$3:$D1001,'PR-BOM'!$C$3:$C1001,N588))</f>
        <v/>
      </c>
      <c r="Y588" t="str">
        <f t="shared" si="8"/>
        <v/>
      </c>
      <c r="Z588" t="str">
        <f>IF(X588="","",SUMIFS(#REF!,RM!$C$4:$C991,X588))</f>
        <v/>
      </c>
      <c r="AA588" t="str">
        <f>IF(X588="","",SUMIFS(#REF!,RM!$C$4:$C991,X588))</f>
        <v/>
      </c>
      <c r="AB588" t="str">
        <f>IF(X588="","",SUMIFS(IRegback!$Y$2:$Y1001,IRegback!$X$2:$X1001,X588))</f>
        <v/>
      </c>
      <c r="AC588" t="e">
        <f t="shared" si="9"/>
        <v>#VALUE!</v>
      </c>
      <c r="AD588" t="str">
        <f>IF(X588="","",VLOOKUP($X588,RM!$C$4:$G991,3,FALSE))</f>
        <v/>
      </c>
      <c r="AE588" t="str">
        <f>IF(X588="","",VLOOKUP($X588,RM!$C$4:$G991,4,FALSE))</f>
        <v/>
      </c>
      <c r="AF588" t="str">
        <f>IF(X588="","",VLOOKUP($X588,RM!$C$4:$G991,5,FALSE))</f>
        <v/>
      </c>
      <c r="AL588" t="e">
        <f ca="1">_xludf.IFNA(VLOOKUP(AH588,'S-FG'!$B$3:$B1001,1,FALSE),"")</f>
        <v>#NAME?</v>
      </c>
      <c r="AM588" t="str">
        <f>IF(AI588="","",SUMIFS(#REF!,RM!$C$4:$C991,AI588))</f>
        <v/>
      </c>
    </row>
    <row r="589" spans="5:39">
      <c r="E589" t="str">
        <f>IF(A589="","",SUMIFS('PR-BOM'!$D$3:$D1001,'PR-BOM'!$C$3:$C1001,A589)*C589)</f>
        <v/>
      </c>
      <c r="F589" t="e">
        <f ca="1">_xludf.IFNA(VLOOKUP(B589,'S-FG'!$B$3:$B1001,1,FALSE),"")</f>
        <v>#NAME?</v>
      </c>
      <c r="L589" t="str">
        <f t="shared" si="7"/>
        <v/>
      </c>
      <c r="Q589" t="str">
        <f>IF(N589="","",SUMIFS('PR-BOM'!$D$3:$D1001,'PR-BOM'!$C$3:$C1001,N589))</f>
        <v/>
      </c>
      <c r="Y589" t="str">
        <f t="shared" si="8"/>
        <v/>
      </c>
      <c r="Z589" t="str">
        <f>IF(X589="","",SUMIFS(#REF!,RM!$C$4:$C991,X589))</f>
        <v/>
      </c>
      <c r="AA589" t="str">
        <f>IF(X589="","",SUMIFS(#REF!,RM!$C$4:$C991,X589))</f>
        <v/>
      </c>
      <c r="AB589" t="str">
        <f>IF(X589="","",SUMIFS(IRegback!$Y$2:$Y1001,IRegback!$X$2:$X1001,X589))</f>
        <v/>
      </c>
      <c r="AC589" t="e">
        <f t="shared" si="9"/>
        <v>#VALUE!</v>
      </c>
      <c r="AD589" t="str">
        <f>IF(X589="","",VLOOKUP($X589,RM!$C$4:$G991,3,FALSE))</f>
        <v/>
      </c>
      <c r="AE589" t="str">
        <f>IF(X589="","",VLOOKUP($X589,RM!$C$4:$G991,4,FALSE))</f>
        <v/>
      </c>
      <c r="AF589" t="str">
        <f>IF(X589="","",VLOOKUP($X589,RM!$C$4:$G991,5,FALSE))</f>
        <v/>
      </c>
      <c r="AL589" t="e">
        <f ca="1">_xludf.IFNA(VLOOKUP(AH589,'S-FG'!$B$3:$B1001,1,FALSE),"")</f>
        <v>#NAME?</v>
      </c>
      <c r="AM589" t="str">
        <f>IF(AI589="","",SUMIFS(#REF!,RM!$C$4:$C991,AI589))</f>
        <v/>
      </c>
    </row>
    <row r="590" spans="5:39">
      <c r="E590" t="str">
        <f>IF(A590="","",SUMIFS('PR-BOM'!$D$3:$D1001,'PR-BOM'!$C$3:$C1001,A590)*C590)</f>
        <v/>
      </c>
      <c r="F590" t="e">
        <f ca="1">_xludf.IFNA(VLOOKUP(B590,'S-FG'!$B$3:$B1001,1,FALSE),"")</f>
        <v>#NAME?</v>
      </c>
      <c r="L590" t="str">
        <f t="shared" si="7"/>
        <v/>
      </c>
      <c r="Q590" t="str">
        <f>IF(N590="","",SUMIFS('PR-BOM'!$D$3:$D1001,'PR-BOM'!$C$3:$C1001,N590))</f>
        <v/>
      </c>
      <c r="Y590" t="str">
        <f t="shared" si="8"/>
        <v/>
      </c>
      <c r="Z590" t="str">
        <f>IF(X590="","",SUMIFS(#REF!,RM!$C$4:$C991,X590))</f>
        <v/>
      </c>
      <c r="AA590" t="str">
        <f>IF(X590="","",SUMIFS(#REF!,RM!$C$4:$C991,X590))</f>
        <v/>
      </c>
      <c r="AB590" t="str">
        <f>IF(X590="","",SUMIFS(IRegback!$Y$2:$Y1001,IRegback!$X$2:$X1001,X590))</f>
        <v/>
      </c>
      <c r="AC590" t="e">
        <f t="shared" si="9"/>
        <v>#VALUE!</v>
      </c>
      <c r="AD590" t="str">
        <f>IF(X590="","",VLOOKUP($X590,RM!$C$4:$G991,3,FALSE))</f>
        <v/>
      </c>
      <c r="AE590" t="str">
        <f>IF(X590="","",VLOOKUP($X590,RM!$C$4:$G991,4,FALSE))</f>
        <v/>
      </c>
      <c r="AF590" t="str">
        <f>IF(X590="","",VLOOKUP($X590,RM!$C$4:$G991,5,FALSE))</f>
        <v/>
      </c>
      <c r="AL590" t="e">
        <f ca="1">_xludf.IFNA(VLOOKUP(AH590,'S-FG'!$B$3:$B1001,1,FALSE),"")</f>
        <v>#NAME?</v>
      </c>
      <c r="AM590" t="str">
        <f>IF(AI590="","",SUMIFS(#REF!,RM!$C$4:$C991,AI590))</f>
        <v/>
      </c>
    </row>
    <row r="591" spans="5:39">
      <c r="E591" t="str">
        <f>IF(A591="","",SUMIFS('PR-BOM'!$D$3:$D1001,'PR-BOM'!$C$3:$C1001,A591)*C591)</f>
        <v/>
      </c>
      <c r="F591" t="e">
        <f ca="1">_xludf.IFNA(VLOOKUP(B591,'S-FG'!$B$3:$B1001,1,FALSE),"")</f>
        <v>#NAME?</v>
      </c>
      <c r="L591" t="str">
        <f t="shared" si="7"/>
        <v/>
      </c>
      <c r="Q591" t="str">
        <f>IF(N591="","",SUMIFS('PR-BOM'!$D$3:$D1001,'PR-BOM'!$C$3:$C1001,N591))</f>
        <v/>
      </c>
      <c r="Y591" t="str">
        <f t="shared" si="8"/>
        <v/>
      </c>
      <c r="Z591" t="str">
        <f>IF(X591="","",SUMIFS(#REF!,RM!$C$4:$C991,X591))</f>
        <v/>
      </c>
      <c r="AA591" t="str">
        <f>IF(X591="","",SUMIFS(#REF!,RM!$C$4:$C991,X591))</f>
        <v/>
      </c>
      <c r="AB591" t="str">
        <f>IF(X591="","",SUMIFS(IRegback!$Y$2:$Y1001,IRegback!$X$2:$X1001,X591))</f>
        <v/>
      </c>
      <c r="AC591" t="e">
        <f t="shared" si="9"/>
        <v>#VALUE!</v>
      </c>
      <c r="AD591" t="str">
        <f>IF(X591="","",VLOOKUP($X591,RM!$C$4:$G991,3,FALSE))</f>
        <v/>
      </c>
      <c r="AE591" t="str">
        <f>IF(X591="","",VLOOKUP($X591,RM!$C$4:$G991,4,FALSE))</f>
        <v/>
      </c>
      <c r="AF591" t="str">
        <f>IF(X591="","",VLOOKUP($X591,RM!$C$4:$G991,5,FALSE))</f>
        <v/>
      </c>
      <c r="AL591" t="e">
        <f ca="1">_xludf.IFNA(VLOOKUP(AH591,'S-FG'!$B$3:$B1001,1,FALSE),"")</f>
        <v>#NAME?</v>
      </c>
      <c r="AM591" t="str">
        <f>IF(AI591="","",SUMIFS(#REF!,RM!$C$4:$C991,AI591))</f>
        <v/>
      </c>
    </row>
    <row r="592" spans="5:39">
      <c r="E592" t="str">
        <f>IF(A592="","",SUMIFS('PR-BOM'!$D$3:$D1001,'PR-BOM'!$C$3:$C1001,A592)*C592)</f>
        <v/>
      </c>
      <c r="F592" t="e">
        <f ca="1">_xludf.IFNA(VLOOKUP(B592,'S-FG'!$B$3:$B1001,1,FALSE),"")</f>
        <v>#NAME?</v>
      </c>
      <c r="L592" t="str">
        <f t="shared" si="7"/>
        <v/>
      </c>
      <c r="Q592" t="str">
        <f>IF(N592="","",SUMIFS('PR-BOM'!$D$3:$D1001,'PR-BOM'!$C$3:$C1001,N592))</f>
        <v/>
      </c>
      <c r="Y592" t="str">
        <f t="shared" si="8"/>
        <v/>
      </c>
      <c r="Z592" t="str">
        <f>IF(X592="","",SUMIFS(#REF!,RM!$C$4:$C991,X592))</f>
        <v/>
      </c>
      <c r="AA592" t="str">
        <f>IF(X592="","",SUMIFS(#REF!,RM!$C$4:$C991,X592))</f>
        <v/>
      </c>
      <c r="AB592" t="str">
        <f>IF(X592="","",SUMIFS(IRegback!$Y$2:$Y1001,IRegback!$X$2:$X1001,X592))</f>
        <v/>
      </c>
      <c r="AC592" t="e">
        <f t="shared" si="9"/>
        <v>#VALUE!</v>
      </c>
      <c r="AD592" t="str">
        <f>IF(X592="","",VLOOKUP($X592,RM!$C$4:$G991,3,FALSE))</f>
        <v/>
      </c>
      <c r="AE592" t="str">
        <f>IF(X592="","",VLOOKUP($X592,RM!$C$4:$G991,4,FALSE))</f>
        <v/>
      </c>
      <c r="AF592" t="str">
        <f>IF(X592="","",VLOOKUP($X592,RM!$C$4:$G991,5,FALSE))</f>
        <v/>
      </c>
      <c r="AL592" t="e">
        <f ca="1">_xludf.IFNA(VLOOKUP(AH592,'S-FG'!$B$3:$B1001,1,FALSE),"")</f>
        <v>#NAME?</v>
      </c>
      <c r="AM592" t="str">
        <f>IF(AI592="","",SUMIFS(#REF!,RM!$C$4:$C991,AI592))</f>
        <v/>
      </c>
    </row>
    <row r="593" spans="5:39">
      <c r="E593" t="str">
        <f>IF(A593="","",SUMIFS('PR-BOM'!$D$3:$D1001,'PR-BOM'!$C$3:$C1001,A593)*C593)</f>
        <v/>
      </c>
      <c r="F593" t="e">
        <f ca="1">_xludf.IFNA(VLOOKUP(B593,'S-FG'!$B$3:$B1001,1,FALSE),"")</f>
        <v>#NAME?</v>
      </c>
      <c r="L593" t="str">
        <f t="shared" si="7"/>
        <v/>
      </c>
      <c r="Q593" t="str">
        <f>IF(N593="","",SUMIFS('PR-BOM'!$D$3:$D1001,'PR-BOM'!$C$3:$C1001,N593))</f>
        <v/>
      </c>
      <c r="Y593" t="str">
        <f t="shared" si="8"/>
        <v/>
      </c>
      <c r="Z593" t="str">
        <f>IF(X593="","",SUMIFS(#REF!,RM!$C$4:$C991,X593))</f>
        <v/>
      </c>
      <c r="AA593" t="str">
        <f>IF(X593="","",SUMIFS(#REF!,RM!$C$4:$C991,X593))</f>
        <v/>
      </c>
      <c r="AB593" t="str">
        <f>IF(X593="","",SUMIFS(IRegback!$Y$2:$Y1001,IRegback!$X$2:$X1001,X593))</f>
        <v/>
      </c>
      <c r="AC593" t="e">
        <f t="shared" si="9"/>
        <v>#VALUE!</v>
      </c>
      <c r="AD593" t="str">
        <f>IF(X593="","",VLOOKUP($X593,RM!$C$4:$G991,3,FALSE))</f>
        <v/>
      </c>
      <c r="AE593" t="str">
        <f>IF(X593="","",VLOOKUP($X593,RM!$C$4:$G991,4,FALSE))</f>
        <v/>
      </c>
      <c r="AF593" t="str">
        <f>IF(X593="","",VLOOKUP($X593,RM!$C$4:$G991,5,FALSE))</f>
        <v/>
      </c>
      <c r="AL593" t="e">
        <f ca="1">_xludf.IFNA(VLOOKUP(AH593,'S-FG'!$B$3:$B1001,1,FALSE),"")</f>
        <v>#NAME?</v>
      </c>
      <c r="AM593" t="str">
        <f>IF(AI593="","",SUMIFS(#REF!,RM!$C$4:$C991,AI593))</f>
        <v/>
      </c>
    </row>
    <row r="594" spans="5:39">
      <c r="E594" t="str">
        <f>IF(A594="","",SUMIFS('PR-BOM'!$D$3:$D1001,'PR-BOM'!$C$3:$C1001,A594)*C594)</f>
        <v/>
      </c>
      <c r="F594" t="e">
        <f ca="1">_xludf.IFNA(VLOOKUP(B594,'S-FG'!$B$3:$B1001,1,FALSE),"")</f>
        <v>#NAME?</v>
      </c>
      <c r="L594" t="str">
        <f t="shared" si="7"/>
        <v/>
      </c>
      <c r="Q594" t="str">
        <f>IF(N594="","",SUMIFS('PR-BOM'!$D$3:$D1001,'PR-BOM'!$C$3:$C1001,N594))</f>
        <v/>
      </c>
      <c r="Y594" t="str">
        <f t="shared" si="8"/>
        <v/>
      </c>
      <c r="Z594" t="str">
        <f>IF(X594="","",SUMIFS(#REF!,RM!$C$4:$C991,X594))</f>
        <v/>
      </c>
      <c r="AA594" t="str">
        <f>IF(X594="","",SUMIFS(#REF!,RM!$C$4:$C991,X594))</f>
        <v/>
      </c>
      <c r="AB594" t="str">
        <f>IF(X594="","",SUMIFS(IRegback!$Y$2:$Y1001,IRegback!$X$2:$X1001,X594))</f>
        <v/>
      </c>
      <c r="AC594" t="e">
        <f t="shared" si="9"/>
        <v>#VALUE!</v>
      </c>
      <c r="AD594" t="str">
        <f>IF(X594="","",VLOOKUP($X594,RM!$C$4:$G991,3,FALSE))</f>
        <v/>
      </c>
      <c r="AE594" t="str">
        <f>IF(X594="","",VLOOKUP($X594,RM!$C$4:$G991,4,FALSE))</f>
        <v/>
      </c>
      <c r="AF594" t="str">
        <f>IF(X594="","",VLOOKUP($X594,RM!$C$4:$G991,5,FALSE))</f>
        <v/>
      </c>
      <c r="AL594" t="e">
        <f ca="1">_xludf.IFNA(VLOOKUP(AH594,'S-FG'!$B$3:$B1001,1,FALSE),"")</f>
        <v>#NAME?</v>
      </c>
      <c r="AM594" t="str">
        <f>IF(AI594="","",SUMIFS(#REF!,RM!$C$4:$C991,AI594))</f>
        <v/>
      </c>
    </row>
    <row r="595" spans="5:39">
      <c r="E595" t="str">
        <f>IF(A595="","",SUMIFS('PR-BOM'!$D$3:$D1001,'PR-BOM'!$C$3:$C1001,A595)*C595)</f>
        <v/>
      </c>
      <c r="F595" t="e">
        <f ca="1">_xludf.IFNA(VLOOKUP(B595,'S-FG'!$B$3:$B1001,1,FALSE),"")</f>
        <v>#NAME?</v>
      </c>
      <c r="L595" t="str">
        <f t="shared" si="7"/>
        <v/>
      </c>
      <c r="Q595" t="str">
        <f>IF(N595="","",SUMIFS('PR-BOM'!$D$3:$D1001,'PR-BOM'!$C$3:$C1001,N595))</f>
        <v/>
      </c>
      <c r="Y595" t="str">
        <f t="shared" si="8"/>
        <v/>
      </c>
      <c r="Z595" t="str">
        <f>IF(X595="","",SUMIFS(#REF!,RM!$C$4:$C991,X595))</f>
        <v/>
      </c>
      <c r="AA595" t="str">
        <f>IF(X595="","",SUMIFS(#REF!,RM!$C$4:$C991,X595))</f>
        <v/>
      </c>
      <c r="AB595" t="str">
        <f>IF(X595="","",SUMIFS(IRegback!$Y$2:$Y1001,IRegback!$X$2:$X1001,X595))</f>
        <v/>
      </c>
      <c r="AC595" t="e">
        <f t="shared" si="9"/>
        <v>#VALUE!</v>
      </c>
      <c r="AD595" t="str">
        <f>IF(X595="","",VLOOKUP($X595,RM!$C$4:$G991,3,FALSE))</f>
        <v/>
      </c>
      <c r="AE595" t="str">
        <f>IF(X595="","",VLOOKUP($X595,RM!$C$4:$G991,4,FALSE))</f>
        <v/>
      </c>
      <c r="AF595" t="str">
        <f>IF(X595="","",VLOOKUP($X595,RM!$C$4:$G991,5,FALSE))</f>
        <v/>
      </c>
      <c r="AL595" t="e">
        <f ca="1">_xludf.IFNA(VLOOKUP(AH595,'S-FG'!$B$3:$B1001,1,FALSE),"")</f>
        <v>#NAME?</v>
      </c>
      <c r="AM595" t="str">
        <f>IF(AI595="","",SUMIFS(#REF!,RM!$C$4:$C991,AI595))</f>
        <v/>
      </c>
    </row>
    <row r="596" spans="5:39">
      <c r="E596" t="str">
        <f>IF(A596="","",SUMIFS('PR-BOM'!$D$3:$D1001,'PR-BOM'!$C$3:$C1001,A596)*C596)</f>
        <v/>
      </c>
      <c r="F596" t="e">
        <f ca="1">_xludf.IFNA(VLOOKUP(B596,'S-FG'!$B$3:$B1001,1,FALSE),"")</f>
        <v>#NAME?</v>
      </c>
      <c r="L596" t="str">
        <f t="shared" si="7"/>
        <v/>
      </c>
      <c r="Q596" t="str">
        <f>IF(N596="","",SUMIFS('PR-BOM'!$D$3:$D1001,'PR-BOM'!$C$3:$C1001,N596))</f>
        <v/>
      </c>
      <c r="Y596" t="str">
        <f t="shared" si="8"/>
        <v/>
      </c>
      <c r="Z596" t="str">
        <f>IF(X596="","",SUMIFS(#REF!,RM!$C$4:$C991,X596))</f>
        <v/>
      </c>
      <c r="AA596" t="str">
        <f>IF(X596="","",SUMIFS(#REF!,RM!$C$4:$C991,X596))</f>
        <v/>
      </c>
      <c r="AB596" t="str">
        <f>IF(X596="","",SUMIFS(IRegback!$Y$2:$Y1001,IRegback!$X$2:$X1001,X596))</f>
        <v/>
      </c>
      <c r="AC596" t="e">
        <f t="shared" si="9"/>
        <v>#VALUE!</v>
      </c>
      <c r="AD596" t="str">
        <f>IF(X596="","",VLOOKUP($X596,RM!$C$4:$G991,3,FALSE))</f>
        <v/>
      </c>
      <c r="AE596" t="str">
        <f>IF(X596="","",VLOOKUP($X596,RM!$C$4:$G991,4,FALSE))</f>
        <v/>
      </c>
      <c r="AF596" t="str">
        <f>IF(X596="","",VLOOKUP($X596,RM!$C$4:$G991,5,FALSE))</f>
        <v/>
      </c>
      <c r="AL596" t="e">
        <f ca="1">_xludf.IFNA(VLOOKUP(AH596,'S-FG'!$B$3:$B1001,1,FALSE),"")</f>
        <v>#NAME?</v>
      </c>
      <c r="AM596" t="str">
        <f>IF(AI596="","",SUMIFS(#REF!,RM!$C$4:$C991,AI596))</f>
        <v/>
      </c>
    </row>
    <row r="597" spans="5:39">
      <c r="E597" t="str">
        <f>IF(A597="","",SUMIFS('PR-BOM'!$D$3:$D1001,'PR-BOM'!$C$3:$C1001,A597)*C597)</f>
        <v/>
      </c>
      <c r="F597" t="e">
        <f ca="1">_xludf.IFNA(VLOOKUP(B597,'S-FG'!$B$3:$B1001,1,FALSE),"")</f>
        <v>#NAME?</v>
      </c>
      <c r="L597" t="str">
        <f t="shared" si="7"/>
        <v/>
      </c>
      <c r="Q597" t="str">
        <f>IF(N597="","",SUMIFS('PR-BOM'!$D$3:$D1001,'PR-BOM'!$C$3:$C1001,N597))</f>
        <v/>
      </c>
      <c r="Y597" t="str">
        <f t="shared" si="8"/>
        <v/>
      </c>
      <c r="Z597" t="str">
        <f>IF(X597="","",SUMIFS(#REF!,RM!$C$4:$C991,X597))</f>
        <v/>
      </c>
      <c r="AA597" t="str">
        <f>IF(X597="","",SUMIFS(#REF!,RM!$C$4:$C991,X597))</f>
        <v/>
      </c>
      <c r="AB597" t="str">
        <f>IF(X597="","",SUMIFS(IRegback!$Y$2:$Y1001,IRegback!$X$2:$X1001,X597))</f>
        <v/>
      </c>
      <c r="AC597" t="e">
        <f t="shared" si="9"/>
        <v>#VALUE!</v>
      </c>
      <c r="AD597" t="str">
        <f>IF(X597="","",VLOOKUP($X597,RM!$C$4:$G991,3,FALSE))</f>
        <v/>
      </c>
      <c r="AE597" t="str">
        <f>IF(X597="","",VLOOKUP($X597,RM!$C$4:$G991,4,FALSE))</f>
        <v/>
      </c>
      <c r="AF597" t="str">
        <f>IF(X597="","",VLOOKUP($X597,RM!$C$4:$G991,5,FALSE))</f>
        <v/>
      </c>
      <c r="AL597" t="e">
        <f ca="1">_xludf.IFNA(VLOOKUP(AH597,'S-FG'!$B$3:$B1001,1,FALSE),"")</f>
        <v>#NAME?</v>
      </c>
      <c r="AM597" t="str">
        <f>IF(AI597="","",SUMIFS(#REF!,RM!$C$4:$C991,AI597))</f>
        <v/>
      </c>
    </row>
    <row r="598" spans="5:39">
      <c r="E598" t="str">
        <f>IF(A598="","",SUMIFS('PR-BOM'!$D$3:$D1001,'PR-BOM'!$C$3:$C1001,A598)*C598)</f>
        <v/>
      </c>
      <c r="F598" t="e">
        <f ca="1">_xludf.IFNA(VLOOKUP(B598,'S-FG'!$B$3:$B1001,1,FALSE),"")</f>
        <v>#NAME?</v>
      </c>
      <c r="L598" t="str">
        <f t="shared" si="7"/>
        <v/>
      </c>
      <c r="Q598" t="str">
        <f>IF(N598="","",SUMIFS('PR-BOM'!$D$3:$D1001,'PR-BOM'!$C$3:$C1001,N598))</f>
        <v/>
      </c>
      <c r="Y598" t="str">
        <f t="shared" si="8"/>
        <v/>
      </c>
      <c r="Z598" t="str">
        <f>IF(X598="","",SUMIFS(#REF!,RM!$C$4:$C991,X598))</f>
        <v/>
      </c>
      <c r="AA598" t="str">
        <f>IF(X598="","",SUMIFS(#REF!,RM!$C$4:$C991,X598))</f>
        <v/>
      </c>
      <c r="AB598" t="str">
        <f>IF(X598="","",SUMIFS(IRegback!$Y$2:$Y1001,IRegback!$X$2:$X1001,X598))</f>
        <v/>
      </c>
      <c r="AC598" t="e">
        <f t="shared" si="9"/>
        <v>#VALUE!</v>
      </c>
      <c r="AD598" t="str">
        <f>IF(X598="","",VLOOKUP($X598,RM!$C$4:$G991,3,FALSE))</f>
        <v/>
      </c>
      <c r="AE598" t="str">
        <f>IF(X598="","",VLOOKUP($X598,RM!$C$4:$G991,4,FALSE))</f>
        <v/>
      </c>
      <c r="AF598" t="str">
        <f>IF(X598="","",VLOOKUP($X598,RM!$C$4:$G991,5,FALSE))</f>
        <v/>
      </c>
      <c r="AL598" t="e">
        <f ca="1">_xludf.IFNA(VLOOKUP(AH598,'S-FG'!$B$3:$B1001,1,FALSE),"")</f>
        <v>#NAME?</v>
      </c>
      <c r="AM598" t="str">
        <f>IF(AI598="","",SUMIFS(#REF!,RM!$C$4:$C991,AI598))</f>
        <v/>
      </c>
    </row>
    <row r="599" spans="5:39">
      <c r="E599" t="str">
        <f>IF(A599="","",SUMIFS('PR-BOM'!$D$3:$D1001,'PR-BOM'!$C$3:$C1001,A599)*C599)</f>
        <v/>
      </c>
      <c r="F599" t="e">
        <f ca="1">_xludf.IFNA(VLOOKUP(B599,'S-FG'!$B$3:$B1001,1,FALSE),"")</f>
        <v>#NAME?</v>
      </c>
      <c r="L599" t="str">
        <f t="shared" si="7"/>
        <v/>
      </c>
      <c r="Q599" t="str">
        <f>IF(N599="","",SUMIFS('PR-BOM'!$D$3:$D1001,'PR-BOM'!$C$3:$C1001,N599))</f>
        <v/>
      </c>
      <c r="Y599" t="str">
        <f t="shared" si="8"/>
        <v/>
      </c>
      <c r="Z599" t="str">
        <f>IF(X599="","",SUMIFS(#REF!,RM!$C$4:$C991,X599))</f>
        <v/>
      </c>
      <c r="AA599" t="str">
        <f>IF(X599="","",SUMIFS(#REF!,RM!$C$4:$C991,X599))</f>
        <v/>
      </c>
      <c r="AB599" t="str">
        <f>IF(X599="","",SUMIFS(IRegback!$Y$2:$Y1001,IRegback!$X$2:$X1001,X599))</f>
        <v/>
      </c>
      <c r="AC599" t="e">
        <f t="shared" si="9"/>
        <v>#VALUE!</v>
      </c>
      <c r="AD599" t="str">
        <f>IF(X599="","",VLOOKUP($X599,RM!$C$4:$G991,3,FALSE))</f>
        <v/>
      </c>
      <c r="AE599" t="str">
        <f>IF(X599="","",VLOOKUP($X599,RM!$C$4:$G991,4,FALSE))</f>
        <v/>
      </c>
      <c r="AF599" t="str">
        <f>IF(X599="","",VLOOKUP($X599,RM!$C$4:$G991,5,FALSE))</f>
        <v/>
      </c>
      <c r="AL599" t="e">
        <f ca="1">_xludf.IFNA(VLOOKUP(AH599,'S-FG'!$B$3:$B1001,1,FALSE),"")</f>
        <v>#NAME?</v>
      </c>
      <c r="AM599" t="str">
        <f>IF(AI599="","",SUMIFS(#REF!,RM!$C$4:$C991,AI599))</f>
        <v/>
      </c>
    </row>
    <row r="600" spans="5:39">
      <c r="E600" t="str">
        <f>IF(A600="","",SUMIFS('PR-BOM'!$D$3:$D1001,'PR-BOM'!$C$3:$C1001,A600)*C600)</f>
        <v/>
      </c>
      <c r="F600" t="e">
        <f ca="1">_xludf.IFNA(VLOOKUP(B600,'S-FG'!$B$3:$B1001,1,FALSE),"")</f>
        <v>#NAME?</v>
      </c>
      <c r="L600" t="str">
        <f t="shared" si="7"/>
        <v/>
      </c>
      <c r="Q600" t="str">
        <f>IF(N600="","",SUMIFS('PR-BOM'!$D$3:$D1001,'PR-BOM'!$C$3:$C1001,N600))</f>
        <v/>
      </c>
      <c r="Y600" t="str">
        <f t="shared" si="8"/>
        <v/>
      </c>
      <c r="Z600" t="str">
        <f>IF(X600="","",SUMIFS(#REF!,RM!$C$4:$C991,X600))</f>
        <v/>
      </c>
      <c r="AA600" t="str">
        <f>IF(X600="","",SUMIFS(#REF!,RM!$C$4:$C991,X600))</f>
        <v/>
      </c>
      <c r="AB600" t="str">
        <f>IF(X600="","",SUMIFS(IRegback!$Y$2:$Y1001,IRegback!$X$2:$X1001,X600))</f>
        <v/>
      </c>
      <c r="AC600" t="e">
        <f t="shared" si="9"/>
        <v>#VALUE!</v>
      </c>
      <c r="AD600" t="str">
        <f>IF(X600="","",VLOOKUP($X600,RM!$C$4:$G991,3,FALSE))</f>
        <v/>
      </c>
      <c r="AE600" t="str">
        <f>IF(X600="","",VLOOKUP($X600,RM!$C$4:$G991,4,FALSE))</f>
        <v/>
      </c>
      <c r="AF600" t="str">
        <f>IF(X600="","",VLOOKUP($X600,RM!$C$4:$G991,5,FALSE))</f>
        <v/>
      </c>
      <c r="AL600" t="e">
        <f ca="1">_xludf.IFNA(VLOOKUP(AH600,'S-FG'!$B$3:$B1001,1,FALSE),"")</f>
        <v>#NAME?</v>
      </c>
      <c r="AM600" t="str">
        <f>IF(AI600="","",SUMIFS(#REF!,RM!$C$4:$C991,AI600))</f>
        <v/>
      </c>
    </row>
    <row r="601" spans="5:39">
      <c r="E601" t="str">
        <f>IF(A601="","",SUMIFS('PR-BOM'!$D$3:$D1001,'PR-BOM'!$C$3:$C1001,A601)*C601)</f>
        <v/>
      </c>
      <c r="F601" t="e">
        <f ca="1">_xludf.IFNA(VLOOKUP(B601,'S-FG'!$B$3:$B1001,1,FALSE),"")</f>
        <v>#NAME?</v>
      </c>
      <c r="L601" t="str">
        <f t="shared" si="7"/>
        <v/>
      </c>
      <c r="Q601" t="str">
        <f>IF(N601="","",SUMIFS('PR-BOM'!$D$3:$D1001,'PR-BOM'!$C$3:$C1001,N601))</f>
        <v/>
      </c>
      <c r="Y601" t="str">
        <f t="shared" si="8"/>
        <v/>
      </c>
      <c r="Z601" t="str">
        <f>IF(X601="","",SUMIFS(#REF!,RM!$C$4:$C991,X601))</f>
        <v/>
      </c>
      <c r="AA601" t="str">
        <f>IF(X601="","",SUMIFS(#REF!,RM!$C$4:$C991,X601))</f>
        <v/>
      </c>
      <c r="AB601" t="str">
        <f>IF(X601="","",SUMIFS(IRegback!$Y$2:$Y1001,IRegback!$X$2:$X1001,X601))</f>
        <v/>
      </c>
      <c r="AC601" t="e">
        <f t="shared" si="9"/>
        <v>#VALUE!</v>
      </c>
      <c r="AD601" t="str">
        <f>IF(X601="","",VLOOKUP($X601,RM!$C$4:$G991,3,FALSE))</f>
        <v/>
      </c>
      <c r="AE601" t="str">
        <f>IF(X601="","",VLOOKUP($X601,RM!$C$4:$G991,4,FALSE))</f>
        <v/>
      </c>
      <c r="AF601" t="str">
        <f>IF(X601="","",VLOOKUP($X601,RM!$C$4:$G991,5,FALSE))</f>
        <v/>
      </c>
      <c r="AL601" t="e">
        <f ca="1">_xludf.IFNA(VLOOKUP(AH601,'S-FG'!$B$3:$B1001,1,FALSE),"")</f>
        <v>#NAME?</v>
      </c>
      <c r="AM601" t="str">
        <f>IF(AI601="","",SUMIFS(#REF!,RM!$C$4:$C991,AI601))</f>
        <v/>
      </c>
    </row>
    <row r="602" spans="5:39">
      <c r="E602" t="str">
        <f>IF(A602="","",SUMIFS('PR-BOM'!$D$3:$D1001,'PR-BOM'!$C$3:$C1001,A602)*C602)</f>
        <v/>
      </c>
      <c r="F602" t="e">
        <f ca="1">_xludf.IFNA(VLOOKUP(B602,'S-FG'!$B$3:$B1001,1,FALSE),"")</f>
        <v>#NAME?</v>
      </c>
      <c r="L602" t="str">
        <f t="shared" si="7"/>
        <v/>
      </c>
      <c r="Q602" t="str">
        <f>IF(N602="","",SUMIFS('PR-BOM'!$D$3:$D1001,'PR-BOM'!$C$3:$C1001,N602))</f>
        <v/>
      </c>
      <c r="Y602" t="str">
        <f t="shared" si="8"/>
        <v/>
      </c>
      <c r="Z602" t="str">
        <f>IF(X602="","",SUMIFS(#REF!,RM!$C$4:$C991,X602))</f>
        <v/>
      </c>
      <c r="AA602" t="str">
        <f>IF(X602="","",SUMIFS(#REF!,RM!$C$4:$C991,X602))</f>
        <v/>
      </c>
      <c r="AB602" t="str">
        <f>IF(X602="","",SUMIFS(IRegback!$Y$2:$Y1001,IRegback!$X$2:$X1001,X602))</f>
        <v/>
      </c>
      <c r="AC602" t="e">
        <f t="shared" si="9"/>
        <v>#VALUE!</v>
      </c>
      <c r="AD602" t="str">
        <f>IF(X602="","",VLOOKUP($X602,RM!$C$4:$G991,3,FALSE))</f>
        <v/>
      </c>
      <c r="AE602" t="str">
        <f>IF(X602="","",VLOOKUP($X602,RM!$C$4:$G991,4,FALSE))</f>
        <v/>
      </c>
      <c r="AF602" t="str">
        <f>IF(X602="","",VLOOKUP($X602,RM!$C$4:$G991,5,FALSE))</f>
        <v/>
      </c>
      <c r="AL602" t="e">
        <f ca="1">_xludf.IFNA(VLOOKUP(AH602,'S-FG'!$B$3:$B1001,1,FALSE),"")</f>
        <v>#NAME?</v>
      </c>
      <c r="AM602" t="str">
        <f>IF(AI602="","",SUMIFS(#REF!,RM!$C$4:$C991,AI602))</f>
        <v/>
      </c>
    </row>
    <row r="603" spans="5:39">
      <c r="E603" t="str">
        <f>IF(A603="","",SUMIFS('PR-BOM'!$D$3:$D1001,'PR-BOM'!$C$3:$C1001,A603)*C603)</f>
        <v/>
      </c>
      <c r="F603" t="e">
        <f ca="1">_xludf.IFNA(VLOOKUP(B603,'S-FG'!$B$3:$B1001,1,FALSE),"")</f>
        <v>#NAME?</v>
      </c>
      <c r="L603" t="str">
        <f t="shared" si="7"/>
        <v/>
      </c>
      <c r="Q603" t="str">
        <f>IF(N603="","",SUMIFS('PR-BOM'!$D$3:$D1001,'PR-BOM'!$C$3:$C1001,N603))</f>
        <v/>
      </c>
      <c r="Y603" t="str">
        <f t="shared" si="8"/>
        <v/>
      </c>
      <c r="Z603" t="str">
        <f>IF(X603="","",SUMIFS(#REF!,RM!$C$4:$C991,X603))</f>
        <v/>
      </c>
      <c r="AA603" t="str">
        <f>IF(X603="","",SUMIFS(#REF!,RM!$C$4:$C991,X603))</f>
        <v/>
      </c>
      <c r="AB603" t="str">
        <f>IF(X603="","",SUMIFS(IRegback!$Y$2:$Y1001,IRegback!$X$2:$X1001,X603))</f>
        <v/>
      </c>
      <c r="AC603" t="e">
        <f t="shared" si="9"/>
        <v>#VALUE!</v>
      </c>
      <c r="AD603" t="str">
        <f>IF(X603="","",VLOOKUP($X603,RM!$C$4:$G991,3,FALSE))</f>
        <v/>
      </c>
      <c r="AE603" t="str">
        <f>IF(X603="","",VLOOKUP($X603,RM!$C$4:$G991,4,FALSE))</f>
        <v/>
      </c>
      <c r="AF603" t="str">
        <f>IF(X603="","",VLOOKUP($X603,RM!$C$4:$G991,5,FALSE))</f>
        <v/>
      </c>
      <c r="AL603" t="e">
        <f ca="1">_xludf.IFNA(VLOOKUP(AH603,'S-FG'!$B$3:$B1001,1,FALSE),"")</f>
        <v>#NAME?</v>
      </c>
      <c r="AM603" t="str">
        <f>IF(AI603="","",SUMIFS(#REF!,RM!$C$4:$C991,AI603))</f>
        <v/>
      </c>
    </row>
    <row r="604" spans="5:39">
      <c r="E604" t="str">
        <f>IF(A604="","",SUMIFS('PR-BOM'!$D$3:$D1001,'PR-BOM'!$C$3:$C1001,A604)*C604)</f>
        <v/>
      </c>
      <c r="F604" t="e">
        <f ca="1">_xludf.IFNA(VLOOKUP(B604,'S-FG'!$B$3:$B1001,1,FALSE),"")</f>
        <v>#NAME?</v>
      </c>
      <c r="L604" t="str">
        <f t="shared" si="7"/>
        <v/>
      </c>
      <c r="Q604" t="str">
        <f>IF(N604="","",SUMIFS('PR-BOM'!$D$3:$D1001,'PR-BOM'!$C$3:$C1001,N604))</f>
        <v/>
      </c>
      <c r="Y604" t="str">
        <f t="shared" si="8"/>
        <v/>
      </c>
      <c r="Z604" t="str">
        <f>IF(X604="","",SUMIFS(#REF!,RM!$C$4:$C991,X604))</f>
        <v/>
      </c>
      <c r="AA604" t="str">
        <f>IF(X604="","",SUMIFS(#REF!,RM!$C$4:$C991,X604))</f>
        <v/>
      </c>
      <c r="AB604" t="str">
        <f>IF(X604="","",SUMIFS(IRegback!$Y$2:$Y1001,IRegback!$X$2:$X1001,X604))</f>
        <v/>
      </c>
      <c r="AC604" t="e">
        <f t="shared" si="9"/>
        <v>#VALUE!</v>
      </c>
      <c r="AD604" t="str">
        <f>IF(X604="","",VLOOKUP($X604,RM!$C$4:$G991,3,FALSE))</f>
        <v/>
      </c>
      <c r="AE604" t="str">
        <f>IF(X604="","",VLOOKUP($X604,RM!$C$4:$G991,4,FALSE))</f>
        <v/>
      </c>
      <c r="AF604" t="str">
        <f>IF(X604="","",VLOOKUP($X604,RM!$C$4:$G991,5,FALSE))</f>
        <v/>
      </c>
      <c r="AL604" t="e">
        <f ca="1">_xludf.IFNA(VLOOKUP(AH604,'S-FG'!$B$3:$B1001,1,FALSE),"")</f>
        <v>#NAME?</v>
      </c>
      <c r="AM604" t="str">
        <f>IF(AI604="","",SUMIFS(#REF!,RM!$C$4:$C991,AI604))</f>
        <v/>
      </c>
    </row>
    <row r="605" spans="5:39">
      <c r="E605" t="str">
        <f>IF(A605="","",SUMIFS('PR-BOM'!$D$3:$D1001,'PR-BOM'!$C$3:$C1001,A605)*C605)</f>
        <v/>
      </c>
      <c r="F605" t="e">
        <f ca="1">_xludf.IFNA(VLOOKUP(B605,'S-FG'!$B$3:$B1001,1,FALSE),"")</f>
        <v>#NAME?</v>
      </c>
      <c r="L605" t="str">
        <f t="shared" si="7"/>
        <v/>
      </c>
      <c r="Q605" t="str">
        <f>IF(N605="","",SUMIFS('PR-BOM'!$D$3:$D1001,'PR-BOM'!$C$3:$C1001,N605))</f>
        <v/>
      </c>
      <c r="Y605" t="str">
        <f t="shared" si="8"/>
        <v/>
      </c>
      <c r="Z605" t="str">
        <f>IF(X605="","",SUMIFS(#REF!,RM!$C$4:$C991,X605))</f>
        <v/>
      </c>
      <c r="AA605" t="str">
        <f>IF(X605="","",SUMIFS(#REF!,RM!$C$4:$C991,X605))</f>
        <v/>
      </c>
      <c r="AB605" t="str">
        <f>IF(X605="","",SUMIFS(IRegback!$Y$2:$Y1001,IRegback!$X$2:$X1001,X605))</f>
        <v/>
      </c>
      <c r="AC605" t="e">
        <f t="shared" si="9"/>
        <v>#VALUE!</v>
      </c>
      <c r="AD605" t="str">
        <f>IF(X605="","",VLOOKUP($X605,RM!$C$4:$G991,3,FALSE))</f>
        <v/>
      </c>
      <c r="AE605" t="str">
        <f>IF(X605="","",VLOOKUP($X605,RM!$C$4:$G991,4,FALSE))</f>
        <v/>
      </c>
      <c r="AF605" t="str">
        <f>IF(X605="","",VLOOKUP($X605,RM!$C$4:$G991,5,FALSE))</f>
        <v/>
      </c>
      <c r="AL605" t="e">
        <f ca="1">_xludf.IFNA(VLOOKUP(AH605,'S-FG'!$B$3:$B1001,1,FALSE),"")</f>
        <v>#NAME?</v>
      </c>
      <c r="AM605" t="str">
        <f>IF(AI605="","",SUMIFS(#REF!,RM!$C$4:$C991,AI605))</f>
        <v/>
      </c>
    </row>
    <row r="606" spans="5:39">
      <c r="E606" t="str">
        <f>IF(A606="","",SUMIFS('PR-BOM'!$D$3:$D1001,'PR-BOM'!$C$3:$C1001,A606)*C606)</f>
        <v/>
      </c>
      <c r="F606" t="e">
        <f ca="1">_xludf.IFNA(VLOOKUP(B606,'S-FG'!$B$3:$B1001,1,FALSE),"")</f>
        <v>#NAME?</v>
      </c>
      <c r="L606" t="str">
        <f t="shared" si="7"/>
        <v/>
      </c>
      <c r="Q606" t="str">
        <f>IF(N606="","",SUMIFS('PR-BOM'!$D$3:$D1001,'PR-BOM'!$C$3:$C1001,N606))</f>
        <v/>
      </c>
      <c r="Y606" t="str">
        <f t="shared" si="8"/>
        <v/>
      </c>
      <c r="Z606" t="str">
        <f>IF(X606="","",SUMIFS(#REF!,RM!$C$4:$C991,X606))</f>
        <v/>
      </c>
      <c r="AA606" t="str">
        <f>IF(X606="","",SUMIFS(#REF!,RM!$C$4:$C991,X606))</f>
        <v/>
      </c>
      <c r="AB606" t="str">
        <f>IF(X606="","",SUMIFS(IRegback!$Y$2:$Y1001,IRegback!$X$2:$X1001,X606))</f>
        <v/>
      </c>
      <c r="AC606" t="e">
        <f t="shared" si="9"/>
        <v>#VALUE!</v>
      </c>
      <c r="AD606" t="str">
        <f>IF(X606="","",VLOOKUP($X606,RM!$C$4:$G991,3,FALSE))</f>
        <v/>
      </c>
      <c r="AE606" t="str">
        <f>IF(X606="","",VLOOKUP($X606,RM!$C$4:$G991,4,FALSE))</f>
        <v/>
      </c>
      <c r="AF606" t="str">
        <f>IF(X606="","",VLOOKUP($X606,RM!$C$4:$G991,5,FALSE))</f>
        <v/>
      </c>
      <c r="AL606" t="e">
        <f ca="1">_xludf.IFNA(VLOOKUP(AH606,'S-FG'!$B$3:$B1001,1,FALSE),"")</f>
        <v>#NAME?</v>
      </c>
      <c r="AM606" t="str">
        <f>IF(AI606="","",SUMIFS(#REF!,RM!$C$4:$C991,AI606))</f>
        <v/>
      </c>
    </row>
    <row r="607" spans="5:39">
      <c r="E607" t="str">
        <f>IF(A607="","",SUMIFS('PR-BOM'!$D$3:$D1001,'PR-BOM'!$C$3:$C1001,A607)*C607)</f>
        <v/>
      </c>
      <c r="F607" t="e">
        <f ca="1">_xludf.IFNA(VLOOKUP(B607,'S-FG'!$B$3:$B1001,1,FALSE),"")</f>
        <v>#NAME?</v>
      </c>
      <c r="L607" t="str">
        <f t="shared" si="7"/>
        <v/>
      </c>
      <c r="Q607" t="str">
        <f>IF(N607="","",SUMIFS('PR-BOM'!$D$3:$D1001,'PR-BOM'!$C$3:$C1001,N607))</f>
        <v/>
      </c>
      <c r="Y607" t="str">
        <f t="shared" si="8"/>
        <v/>
      </c>
      <c r="Z607" t="str">
        <f>IF(X607="","",SUMIFS(#REF!,RM!$C$4:$C991,X607))</f>
        <v/>
      </c>
      <c r="AA607" t="str">
        <f>IF(X607="","",SUMIFS(#REF!,RM!$C$4:$C991,X607))</f>
        <v/>
      </c>
      <c r="AB607" t="str">
        <f>IF(X607="","",SUMIFS(IRegback!$Y$2:$Y1001,IRegback!$X$2:$X1001,X607))</f>
        <v/>
      </c>
      <c r="AC607" t="e">
        <f t="shared" si="9"/>
        <v>#VALUE!</v>
      </c>
      <c r="AD607" t="str">
        <f>IF(X607="","",VLOOKUP($X607,RM!$C$4:$G991,3,FALSE))</f>
        <v/>
      </c>
      <c r="AE607" t="str">
        <f>IF(X607="","",VLOOKUP($X607,RM!$C$4:$G991,4,FALSE))</f>
        <v/>
      </c>
      <c r="AF607" t="str">
        <f>IF(X607="","",VLOOKUP($X607,RM!$C$4:$G991,5,FALSE))</f>
        <v/>
      </c>
      <c r="AL607" t="e">
        <f ca="1">_xludf.IFNA(VLOOKUP(AH607,'S-FG'!$B$3:$B1001,1,FALSE),"")</f>
        <v>#NAME?</v>
      </c>
      <c r="AM607" t="str">
        <f>IF(AI607="","",SUMIFS(#REF!,RM!$C$4:$C991,AI607))</f>
        <v/>
      </c>
    </row>
    <row r="608" spans="5:39">
      <c r="E608" t="str">
        <f>IF(A608="","",SUMIFS('PR-BOM'!$D$3:$D1001,'PR-BOM'!$C$3:$C1001,A608)*C608)</f>
        <v/>
      </c>
      <c r="F608" t="e">
        <f ca="1">_xludf.IFNA(VLOOKUP(B608,'S-FG'!$B$3:$B1001,1,FALSE),"")</f>
        <v>#NAME?</v>
      </c>
      <c r="L608" t="str">
        <f t="shared" si="7"/>
        <v/>
      </c>
      <c r="Q608" t="str">
        <f>IF(N608="","",SUMIFS('PR-BOM'!$D$3:$D1001,'PR-BOM'!$C$3:$C1001,N608))</f>
        <v/>
      </c>
      <c r="Y608" t="str">
        <f t="shared" si="8"/>
        <v/>
      </c>
      <c r="Z608" t="str">
        <f>IF(X608="","",SUMIFS(#REF!,RM!$C$4:$C991,X608))</f>
        <v/>
      </c>
      <c r="AA608" t="str">
        <f>IF(X608="","",SUMIFS(#REF!,RM!$C$4:$C991,X608))</f>
        <v/>
      </c>
      <c r="AB608" t="str">
        <f>IF(X608="","",SUMIFS(IRegback!$Y$2:$Y1001,IRegback!$X$2:$X1001,X608))</f>
        <v/>
      </c>
      <c r="AC608" t="e">
        <f t="shared" si="9"/>
        <v>#VALUE!</v>
      </c>
      <c r="AD608" t="str">
        <f>IF(X608="","",VLOOKUP($X608,RM!$C$4:$G991,3,FALSE))</f>
        <v/>
      </c>
      <c r="AE608" t="str">
        <f>IF(X608="","",VLOOKUP($X608,RM!$C$4:$G991,4,FALSE))</f>
        <v/>
      </c>
      <c r="AF608" t="str">
        <f>IF(X608="","",VLOOKUP($X608,RM!$C$4:$G991,5,FALSE))</f>
        <v/>
      </c>
      <c r="AL608" t="e">
        <f ca="1">_xludf.IFNA(VLOOKUP(AH608,'S-FG'!$B$3:$B1001,1,FALSE),"")</f>
        <v>#NAME?</v>
      </c>
      <c r="AM608" t="str">
        <f>IF(AI608="","",SUMIFS(#REF!,RM!$C$4:$C991,AI608))</f>
        <v/>
      </c>
    </row>
    <row r="609" spans="5:39">
      <c r="E609" t="str">
        <f>IF(A609="","",SUMIFS('PR-BOM'!$D$3:$D1001,'PR-BOM'!$C$3:$C1001,A609)*C609)</f>
        <v/>
      </c>
      <c r="F609" t="e">
        <f ca="1">_xludf.IFNA(VLOOKUP(B609,'S-FG'!$B$3:$B1001,1,FALSE),"")</f>
        <v>#NAME?</v>
      </c>
      <c r="L609" t="str">
        <f t="shared" si="7"/>
        <v/>
      </c>
      <c r="Q609" t="str">
        <f>IF(N609="","",SUMIFS('PR-BOM'!$D$3:$D1001,'PR-BOM'!$C$3:$C1001,N609))</f>
        <v/>
      </c>
      <c r="Y609" t="str">
        <f t="shared" si="8"/>
        <v/>
      </c>
      <c r="Z609" t="str">
        <f>IF(X609="","",SUMIFS(#REF!,RM!$C$4:$C991,X609))</f>
        <v/>
      </c>
      <c r="AA609" t="str">
        <f>IF(X609="","",SUMIFS(#REF!,RM!$C$4:$C991,X609))</f>
        <v/>
      </c>
      <c r="AB609" t="str">
        <f>IF(X609="","",SUMIFS(IRegback!$Y$2:$Y1001,IRegback!$X$2:$X1001,X609))</f>
        <v/>
      </c>
      <c r="AC609" t="e">
        <f t="shared" si="9"/>
        <v>#VALUE!</v>
      </c>
      <c r="AD609" t="str">
        <f>IF(X609="","",VLOOKUP($X609,RM!$C$4:$G991,3,FALSE))</f>
        <v/>
      </c>
      <c r="AE609" t="str">
        <f>IF(X609="","",VLOOKUP($X609,RM!$C$4:$G991,4,FALSE))</f>
        <v/>
      </c>
      <c r="AF609" t="str">
        <f>IF(X609="","",VLOOKUP($X609,RM!$C$4:$G991,5,FALSE))</f>
        <v/>
      </c>
      <c r="AL609" t="e">
        <f ca="1">_xludf.IFNA(VLOOKUP(AH609,'S-FG'!$B$3:$B1001,1,FALSE),"")</f>
        <v>#NAME?</v>
      </c>
      <c r="AM609" t="str">
        <f>IF(AI609="","",SUMIFS(#REF!,RM!$C$4:$C991,AI609))</f>
        <v/>
      </c>
    </row>
    <row r="610" spans="5:39">
      <c r="E610" t="str">
        <f>IF(A610="","",SUMIFS('PR-BOM'!$D$3:$D1001,'PR-BOM'!$C$3:$C1001,A610)*C610)</f>
        <v/>
      </c>
      <c r="F610" t="e">
        <f ca="1">_xludf.IFNA(VLOOKUP(B610,'S-FG'!$B$3:$B1001,1,FALSE),"")</f>
        <v>#NAME?</v>
      </c>
      <c r="L610" t="str">
        <f t="shared" si="7"/>
        <v/>
      </c>
      <c r="Q610" t="str">
        <f>IF(N610="","",SUMIFS('PR-BOM'!$D$3:$D1001,'PR-BOM'!$C$3:$C1001,N610))</f>
        <v/>
      </c>
      <c r="Y610" t="str">
        <f t="shared" si="8"/>
        <v/>
      </c>
      <c r="Z610" t="str">
        <f>IF(X610="","",SUMIFS(#REF!,RM!$C$4:$C991,X610))</f>
        <v/>
      </c>
      <c r="AA610" t="str">
        <f>IF(X610="","",SUMIFS(#REF!,RM!$C$4:$C991,X610))</f>
        <v/>
      </c>
      <c r="AB610" t="str">
        <f>IF(X610="","",SUMIFS(IRegback!$Y$2:$Y1001,IRegback!$X$2:$X1001,X610))</f>
        <v/>
      </c>
      <c r="AC610" t="e">
        <f t="shared" si="9"/>
        <v>#VALUE!</v>
      </c>
      <c r="AD610" t="str">
        <f>IF(X610="","",VLOOKUP($X610,RM!$C$4:$G991,3,FALSE))</f>
        <v/>
      </c>
      <c r="AE610" t="str">
        <f>IF(X610="","",VLOOKUP($X610,RM!$C$4:$G991,4,FALSE))</f>
        <v/>
      </c>
      <c r="AF610" t="str">
        <f>IF(X610="","",VLOOKUP($X610,RM!$C$4:$G991,5,FALSE))</f>
        <v/>
      </c>
      <c r="AL610" t="e">
        <f ca="1">_xludf.IFNA(VLOOKUP(AH610,'S-FG'!$B$3:$B1001,1,FALSE),"")</f>
        <v>#NAME?</v>
      </c>
      <c r="AM610" t="str">
        <f>IF(AI610="","",SUMIFS(#REF!,RM!$C$4:$C991,AI610))</f>
        <v/>
      </c>
    </row>
    <row r="611" spans="5:39">
      <c r="E611" t="str">
        <f>IF(A611="","",SUMIFS('PR-BOM'!$D$3:$D1001,'PR-BOM'!$C$3:$C1001,A611)*C611)</f>
        <v/>
      </c>
      <c r="F611" t="e">
        <f ca="1">_xludf.IFNA(VLOOKUP(B611,'S-FG'!$B$3:$B1001,1,FALSE),"")</f>
        <v>#NAME?</v>
      </c>
      <c r="L611" t="str">
        <f t="shared" si="7"/>
        <v/>
      </c>
      <c r="Q611" t="str">
        <f>IF(N611="","",SUMIFS('PR-BOM'!$D$3:$D1001,'PR-BOM'!$C$3:$C1001,N611))</f>
        <v/>
      </c>
      <c r="Y611" t="str">
        <f t="shared" si="8"/>
        <v/>
      </c>
      <c r="Z611" t="str">
        <f>IF(X611="","",SUMIFS(#REF!,RM!$C$4:$C991,X611))</f>
        <v/>
      </c>
      <c r="AA611" t="str">
        <f>IF(X611="","",SUMIFS(#REF!,RM!$C$4:$C991,X611))</f>
        <v/>
      </c>
      <c r="AB611" t="str">
        <f>IF(X611="","",SUMIFS(IRegback!$Y$2:$Y1001,IRegback!$X$2:$X1001,X611))</f>
        <v/>
      </c>
      <c r="AC611" t="e">
        <f t="shared" si="9"/>
        <v>#VALUE!</v>
      </c>
      <c r="AD611" t="str">
        <f>IF(X611="","",VLOOKUP($X611,RM!$C$4:$G991,3,FALSE))</f>
        <v/>
      </c>
      <c r="AE611" t="str">
        <f>IF(X611="","",VLOOKUP($X611,RM!$C$4:$G991,4,FALSE))</f>
        <v/>
      </c>
      <c r="AF611" t="str">
        <f>IF(X611="","",VLOOKUP($X611,RM!$C$4:$G991,5,FALSE))</f>
        <v/>
      </c>
      <c r="AL611" t="e">
        <f ca="1">_xludf.IFNA(VLOOKUP(AH611,'S-FG'!$B$3:$B1001,1,FALSE),"")</f>
        <v>#NAME?</v>
      </c>
      <c r="AM611" t="str">
        <f>IF(AI611="","",SUMIFS(#REF!,RM!$C$4:$C991,AI611))</f>
        <v/>
      </c>
    </row>
    <row r="612" spans="5:39">
      <c r="E612" t="str">
        <f>IF(A612="","",SUMIFS('PR-BOM'!$D$3:$D1001,'PR-BOM'!$C$3:$C1001,A612)*C612)</f>
        <v/>
      </c>
      <c r="F612" t="e">
        <f ca="1">_xludf.IFNA(VLOOKUP(B612,'S-FG'!$B$3:$B1001,1,FALSE),"")</f>
        <v>#NAME?</v>
      </c>
      <c r="L612" t="str">
        <f t="shared" si="7"/>
        <v/>
      </c>
      <c r="Q612" t="str">
        <f>IF(N612="","",SUMIFS('PR-BOM'!$D$3:$D1001,'PR-BOM'!$C$3:$C1001,N612))</f>
        <v/>
      </c>
      <c r="Y612" t="str">
        <f t="shared" si="8"/>
        <v/>
      </c>
      <c r="Z612" t="str">
        <f>IF(X612="","",SUMIFS(#REF!,RM!$C$4:$C991,X612))</f>
        <v/>
      </c>
      <c r="AA612" t="str">
        <f>IF(X612="","",SUMIFS(#REF!,RM!$C$4:$C991,X612))</f>
        <v/>
      </c>
      <c r="AB612" t="str">
        <f>IF(X612="","",SUMIFS(IRegback!$Y$2:$Y1001,IRegback!$X$2:$X1001,X612))</f>
        <v/>
      </c>
      <c r="AC612" t="e">
        <f t="shared" si="9"/>
        <v>#VALUE!</v>
      </c>
      <c r="AD612" t="str">
        <f>IF(X612="","",VLOOKUP($X612,RM!$C$4:$G991,3,FALSE))</f>
        <v/>
      </c>
      <c r="AE612" t="str">
        <f>IF(X612="","",VLOOKUP($X612,RM!$C$4:$G991,4,FALSE))</f>
        <v/>
      </c>
      <c r="AF612" t="str">
        <f>IF(X612="","",VLOOKUP($X612,RM!$C$4:$G991,5,FALSE))</f>
        <v/>
      </c>
      <c r="AL612" t="e">
        <f ca="1">_xludf.IFNA(VLOOKUP(AH612,'S-FG'!$B$3:$B1001,1,FALSE),"")</f>
        <v>#NAME?</v>
      </c>
      <c r="AM612" t="str">
        <f>IF(AI612="","",SUMIFS(#REF!,RM!$C$4:$C991,AI612))</f>
        <v/>
      </c>
    </row>
    <row r="613" spans="5:39">
      <c r="E613" t="str">
        <f>IF(A613="","",SUMIFS('PR-BOM'!$D$3:$D1001,'PR-BOM'!$C$3:$C1001,A613)*C613)</f>
        <v/>
      </c>
      <c r="F613" t="e">
        <f ca="1">_xludf.IFNA(VLOOKUP(B613,'S-FG'!$B$3:$B1001,1,FALSE),"")</f>
        <v>#NAME?</v>
      </c>
      <c r="L613" t="str">
        <f t="shared" si="7"/>
        <v/>
      </c>
      <c r="Q613" t="str">
        <f>IF(N613="","",SUMIFS('PR-BOM'!$D$3:$D1001,'PR-BOM'!$C$3:$C1001,N613))</f>
        <v/>
      </c>
      <c r="Y613" t="str">
        <f t="shared" si="8"/>
        <v/>
      </c>
      <c r="Z613" t="str">
        <f>IF(X613="","",SUMIFS(#REF!,RM!$C$4:$C991,X613))</f>
        <v/>
      </c>
      <c r="AA613" t="str">
        <f>IF(X613="","",SUMIFS(#REF!,RM!$C$4:$C991,X613))</f>
        <v/>
      </c>
      <c r="AB613" t="str">
        <f>IF(X613="","",SUMIFS(IRegback!$Y$2:$Y1001,IRegback!$X$2:$X1001,X613))</f>
        <v/>
      </c>
      <c r="AC613" t="e">
        <f t="shared" si="9"/>
        <v>#VALUE!</v>
      </c>
      <c r="AD613" t="str">
        <f>IF(X613="","",VLOOKUP($X613,RM!$C$4:$G991,3,FALSE))</f>
        <v/>
      </c>
      <c r="AE613" t="str">
        <f>IF(X613="","",VLOOKUP($X613,RM!$C$4:$G991,4,FALSE))</f>
        <v/>
      </c>
      <c r="AF613" t="str">
        <f>IF(X613="","",VLOOKUP($X613,RM!$C$4:$G991,5,FALSE))</f>
        <v/>
      </c>
      <c r="AL613" t="e">
        <f ca="1">_xludf.IFNA(VLOOKUP(AH613,'S-FG'!$B$3:$B1001,1,FALSE),"")</f>
        <v>#NAME?</v>
      </c>
      <c r="AM613" t="str">
        <f>IF(AI613="","",SUMIFS(#REF!,RM!$C$4:$C991,AI613))</f>
        <v/>
      </c>
    </row>
    <row r="614" spans="5:39">
      <c r="E614" t="str">
        <f>IF(A614="","",SUMIFS('PR-BOM'!$D$3:$D1001,'PR-BOM'!$C$3:$C1001,A614)*C614)</f>
        <v/>
      </c>
      <c r="F614" t="e">
        <f ca="1">_xludf.IFNA(VLOOKUP(B614,'S-FG'!$B$3:$B1001,1,FALSE),"")</f>
        <v>#NAME?</v>
      </c>
      <c r="L614" t="str">
        <f t="shared" si="7"/>
        <v/>
      </c>
      <c r="Q614" t="str">
        <f>IF(N614="","",SUMIFS('PR-BOM'!$D$3:$D1001,'PR-BOM'!$C$3:$C1001,N614))</f>
        <v/>
      </c>
      <c r="Y614" t="str">
        <f t="shared" si="8"/>
        <v/>
      </c>
      <c r="Z614" t="str">
        <f>IF(X614="","",SUMIFS(#REF!,RM!$C$4:$C991,X614))</f>
        <v/>
      </c>
      <c r="AA614" t="str">
        <f>IF(X614="","",SUMIFS(#REF!,RM!$C$4:$C991,X614))</f>
        <v/>
      </c>
      <c r="AB614" t="str">
        <f>IF(X614="","",SUMIFS(IRegback!$Y$2:$Y1001,IRegback!$X$2:$X1001,X614))</f>
        <v/>
      </c>
      <c r="AC614" t="e">
        <f t="shared" si="9"/>
        <v>#VALUE!</v>
      </c>
      <c r="AD614" t="str">
        <f>IF(X614="","",VLOOKUP($X614,RM!$C$4:$G991,3,FALSE))</f>
        <v/>
      </c>
      <c r="AE614" t="str">
        <f>IF(X614="","",VLOOKUP($X614,RM!$C$4:$G991,4,FALSE))</f>
        <v/>
      </c>
      <c r="AF614" t="str">
        <f>IF(X614="","",VLOOKUP($X614,RM!$C$4:$G991,5,FALSE))</f>
        <v/>
      </c>
      <c r="AL614" t="e">
        <f ca="1">_xludf.IFNA(VLOOKUP(AH614,'S-FG'!$B$3:$B1001,1,FALSE),"")</f>
        <v>#NAME?</v>
      </c>
      <c r="AM614" t="str">
        <f>IF(AI614="","",SUMIFS(#REF!,RM!$C$4:$C991,AI614))</f>
        <v/>
      </c>
    </row>
    <row r="615" spans="5:39">
      <c r="E615" t="str">
        <f>IF(A615="","",SUMIFS('PR-BOM'!$D$3:$D1001,'PR-BOM'!$C$3:$C1001,A615)*C615)</f>
        <v/>
      </c>
      <c r="F615" t="e">
        <f ca="1">_xludf.IFNA(VLOOKUP(B615,'S-FG'!$B$3:$B1001,1,FALSE),"")</f>
        <v>#NAME?</v>
      </c>
      <c r="L615" t="str">
        <f t="shared" si="7"/>
        <v/>
      </c>
      <c r="Q615" t="str">
        <f>IF(N615="","",SUMIFS('PR-BOM'!$D$3:$D1001,'PR-BOM'!$C$3:$C1001,N615))</f>
        <v/>
      </c>
      <c r="Y615" t="str">
        <f t="shared" si="8"/>
        <v/>
      </c>
      <c r="Z615" t="str">
        <f>IF(X615="","",SUMIFS(#REF!,RM!$C$4:$C991,X615))</f>
        <v/>
      </c>
      <c r="AA615" t="str">
        <f>IF(X615="","",SUMIFS(#REF!,RM!$C$4:$C991,X615))</f>
        <v/>
      </c>
      <c r="AB615" t="str">
        <f>IF(X615="","",SUMIFS(IRegback!$Y$2:$Y1001,IRegback!$X$2:$X1001,X615))</f>
        <v/>
      </c>
      <c r="AC615" t="e">
        <f t="shared" si="9"/>
        <v>#VALUE!</v>
      </c>
      <c r="AD615" t="str">
        <f>IF(X615="","",VLOOKUP($X615,RM!$C$4:$G991,3,FALSE))</f>
        <v/>
      </c>
      <c r="AE615" t="str">
        <f>IF(X615="","",VLOOKUP($X615,RM!$C$4:$G991,4,FALSE))</f>
        <v/>
      </c>
      <c r="AF615" t="str">
        <f>IF(X615="","",VLOOKUP($X615,RM!$C$4:$G991,5,FALSE))</f>
        <v/>
      </c>
      <c r="AL615" t="e">
        <f ca="1">_xludf.IFNA(VLOOKUP(AH615,'S-FG'!$B$3:$B1001,1,FALSE),"")</f>
        <v>#NAME?</v>
      </c>
      <c r="AM615" t="str">
        <f>IF(AI615="","",SUMIFS(#REF!,RM!$C$4:$C991,AI615))</f>
        <v/>
      </c>
    </row>
    <row r="616" spans="5:39">
      <c r="E616" t="str">
        <f>IF(A616="","",SUMIFS('PR-BOM'!$D$3:$D1001,'PR-BOM'!$C$3:$C1001,A616)*C616)</f>
        <v/>
      </c>
      <c r="F616" t="e">
        <f ca="1">_xludf.IFNA(VLOOKUP(B616,'S-FG'!$B$3:$B1001,1,FALSE),"")</f>
        <v>#NAME?</v>
      </c>
      <c r="L616" t="str">
        <f t="shared" si="7"/>
        <v/>
      </c>
      <c r="Q616" t="str">
        <f>IF(N616="","",SUMIFS('PR-BOM'!$D$3:$D1001,'PR-BOM'!$C$3:$C1001,N616))</f>
        <v/>
      </c>
      <c r="Y616" t="str">
        <f t="shared" si="8"/>
        <v/>
      </c>
      <c r="Z616" t="str">
        <f>IF(X616="","",SUMIFS(#REF!,RM!$C$4:$C991,X616))</f>
        <v/>
      </c>
      <c r="AA616" t="str">
        <f>IF(X616="","",SUMIFS(#REF!,RM!$C$4:$C991,X616))</f>
        <v/>
      </c>
      <c r="AB616" t="str">
        <f>IF(X616="","",SUMIFS(IRegback!$Y$2:$Y1001,IRegback!$X$2:$X1001,X616))</f>
        <v/>
      </c>
      <c r="AC616" t="e">
        <f t="shared" si="9"/>
        <v>#VALUE!</v>
      </c>
      <c r="AD616" t="str">
        <f>IF(X616="","",VLOOKUP($X616,RM!$C$4:$G991,3,FALSE))</f>
        <v/>
      </c>
      <c r="AE616" t="str">
        <f>IF(X616="","",VLOOKUP($X616,RM!$C$4:$G991,4,FALSE))</f>
        <v/>
      </c>
      <c r="AF616" t="str">
        <f>IF(X616="","",VLOOKUP($X616,RM!$C$4:$G991,5,FALSE))</f>
        <v/>
      </c>
      <c r="AL616" t="e">
        <f ca="1">_xludf.IFNA(VLOOKUP(AH616,'S-FG'!$B$3:$B1001,1,FALSE),"")</f>
        <v>#NAME?</v>
      </c>
      <c r="AM616" t="str">
        <f>IF(AI616="","",SUMIFS(#REF!,RM!$C$4:$C991,AI616))</f>
        <v/>
      </c>
    </row>
    <row r="617" spans="5:39">
      <c r="E617" t="str">
        <f>IF(A617="","",SUMIFS('PR-BOM'!$D$3:$D1001,'PR-BOM'!$C$3:$C1001,A617)*C617)</f>
        <v/>
      </c>
      <c r="F617" t="e">
        <f ca="1">_xludf.IFNA(VLOOKUP(B617,'S-FG'!$B$3:$B1001,1,FALSE),"")</f>
        <v>#NAME?</v>
      </c>
      <c r="L617" t="str">
        <f t="shared" si="7"/>
        <v/>
      </c>
      <c r="Q617" t="str">
        <f>IF(N617="","",SUMIFS('PR-BOM'!$D$3:$D1001,'PR-BOM'!$C$3:$C1001,N617))</f>
        <v/>
      </c>
      <c r="Y617" t="str">
        <f t="shared" si="8"/>
        <v/>
      </c>
      <c r="Z617" t="str">
        <f>IF(X617="","",SUMIFS(#REF!,RM!$C$4:$C991,X617))</f>
        <v/>
      </c>
      <c r="AA617" t="str">
        <f>IF(X617="","",SUMIFS(#REF!,RM!$C$4:$C991,X617))</f>
        <v/>
      </c>
      <c r="AB617" t="str">
        <f>IF(X617="","",SUMIFS(IRegback!$Y$2:$Y1001,IRegback!$X$2:$X1001,X617))</f>
        <v/>
      </c>
      <c r="AC617" t="e">
        <f t="shared" si="9"/>
        <v>#VALUE!</v>
      </c>
      <c r="AD617" t="str">
        <f>IF(X617="","",VLOOKUP($X617,RM!$C$4:$G991,3,FALSE))</f>
        <v/>
      </c>
      <c r="AE617" t="str">
        <f>IF(X617="","",VLOOKUP($X617,RM!$C$4:$G991,4,FALSE))</f>
        <v/>
      </c>
      <c r="AF617" t="str">
        <f>IF(X617="","",VLOOKUP($X617,RM!$C$4:$G991,5,FALSE))</f>
        <v/>
      </c>
      <c r="AL617" t="e">
        <f ca="1">_xludf.IFNA(VLOOKUP(AH617,'S-FG'!$B$3:$B1001,1,FALSE),"")</f>
        <v>#NAME?</v>
      </c>
      <c r="AM617" t="str">
        <f>IF(AI617="","",SUMIFS(#REF!,RM!$C$4:$C991,AI617))</f>
        <v/>
      </c>
    </row>
    <row r="618" spans="5:39">
      <c r="E618" t="str">
        <f>IF(A618="","",SUMIFS('PR-BOM'!$D$3:$D1001,'PR-BOM'!$C$3:$C1001,A618)*C618)</f>
        <v/>
      </c>
      <c r="F618" t="e">
        <f ca="1">_xludf.IFNA(VLOOKUP(B618,'S-FG'!$B$3:$B1001,1,FALSE),"")</f>
        <v>#NAME?</v>
      </c>
      <c r="L618" t="str">
        <f t="shared" si="7"/>
        <v/>
      </c>
      <c r="Q618" t="str">
        <f>IF(N618="","",SUMIFS('PR-BOM'!$D$3:$D1001,'PR-BOM'!$C$3:$C1001,N618))</f>
        <v/>
      </c>
      <c r="Y618" t="str">
        <f t="shared" si="8"/>
        <v/>
      </c>
      <c r="Z618" t="str">
        <f>IF(X618="","",SUMIFS(#REF!,RM!$C$4:$C991,X618))</f>
        <v/>
      </c>
      <c r="AA618" t="str">
        <f>IF(X618="","",SUMIFS(#REF!,RM!$C$4:$C991,X618))</f>
        <v/>
      </c>
      <c r="AB618" t="str">
        <f>IF(X618="","",SUMIFS(IRegback!$Y$2:$Y1001,IRegback!$X$2:$X1001,X618))</f>
        <v/>
      </c>
      <c r="AC618" t="e">
        <f t="shared" si="9"/>
        <v>#VALUE!</v>
      </c>
      <c r="AD618" t="str">
        <f>IF(X618="","",VLOOKUP($X618,RM!$C$4:$G991,3,FALSE))</f>
        <v/>
      </c>
      <c r="AE618" t="str">
        <f>IF(X618="","",VLOOKUP($X618,RM!$C$4:$G991,4,FALSE))</f>
        <v/>
      </c>
      <c r="AF618" t="str">
        <f>IF(X618="","",VLOOKUP($X618,RM!$C$4:$G991,5,FALSE))</f>
        <v/>
      </c>
      <c r="AL618" t="e">
        <f ca="1">_xludf.IFNA(VLOOKUP(AH618,'S-FG'!$B$3:$B1001,1,FALSE),"")</f>
        <v>#NAME?</v>
      </c>
      <c r="AM618" t="str">
        <f>IF(AI618="","",SUMIFS(#REF!,RM!$C$4:$C991,AI618))</f>
        <v/>
      </c>
    </row>
    <row r="619" spans="5:39">
      <c r="E619" t="str">
        <f>IF(A619="","",SUMIFS('PR-BOM'!$D$3:$D1001,'PR-BOM'!$C$3:$C1001,A619)*C619)</f>
        <v/>
      </c>
      <c r="F619" t="e">
        <f ca="1">_xludf.IFNA(VLOOKUP(B619,'S-FG'!$B$3:$B1001,1,FALSE),"")</f>
        <v>#NAME?</v>
      </c>
      <c r="L619" t="str">
        <f t="shared" si="7"/>
        <v/>
      </c>
      <c r="Q619" t="str">
        <f>IF(N619="","",SUMIFS('PR-BOM'!$D$3:$D1001,'PR-BOM'!$C$3:$C1001,N619))</f>
        <v/>
      </c>
      <c r="Y619" t="str">
        <f t="shared" si="8"/>
        <v/>
      </c>
      <c r="Z619" t="str">
        <f>IF(X619="","",SUMIFS(#REF!,RM!$C$4:$C991,X619))</f>
        <v/>
      </c>
      <c r="AA619" t="str">
        <f>IF(X619="","",SUMIFS(#REF!,RM!$C$4:$C991,X619))</f>
        <v/>
      </c>
      <c r="AB619" t="str">
        <f>IF(X619="","",SUMIFS(IRegback!$Y$2:$Y1001,IRegback!$X$2:$X1001,X619))</f>
        <v/>
      </c>
      <c r="AC619" t="e">
        <f t="shared" si="9"/>
        <v>#VALUE!</v>
      </c>
      <c r="AD619" t="str">
        <f>IF(X619="","",VLOOKUP($X619,RM!$C$4:$G991,3,FALSE))</f>
        <v/>
      </c>
      <c r="AE619" t="str">
        <f>IF(X619="","",VLOOKUP($X619,RM!$C$4:$G991,4,FALSE))</f>
        <v/>
      </c>
      <c r="AF619" t="str">
        <f>IF(X619="","",VLOOKUP($X619,RM!$C$4:$G991,5,FALSE))</f>
        <v/>
      </c>
      <c r="AL619" t="e">
        <f ca="1">_xludf.IFNA(VLOOKUP(AH619,'S-FG'!$B$3:$B1001,1,FALSE),"")</f>
        <v>#NAME?</v>
      </c>
      <c r="AM619" t="str">
        <f>IF(AI619="","",SUMIFS(#REF!,RM!$C$4:$C991,AI619))</f>
        <v/>
      </c>
    </row>
    <row r="620" spans="5:39">
      <c r="E620" t="str">
        <f>IF(A620="","",SUMIFS('PR-BOM'!$D$3:$D1001,'PR-BOM'!$C$3:$C1001,A620)*C620)</f>
        <v/>
      </c>
      <c r="F620" t="e">
        <f ca="1">_xludf.IFNA(VLOOKUP(B620,'S-FG'!$B$3:$B1001,1,FALSE),"")</f>
        <v>#NAME?</v>
      </c>
      <c r="L620" t="str">
        <f t="shared" si="7"/>
        <v/>
      </c>
      <c r="Q620" t="str">
        <f>IF(N620="","",SUMIFS('PR-BOM'!$D$3:$D1001,'PR-BOM'!$C$3:$C1001,N620))</f>
        <v/>
      </c>
      <c r="Y620" t="str">
        <f t="shared" si="8"/>
        <v/>
      </c>
      <c r="Z620" t="str">
        <f>IF(X620="","",SUMIFS(#REF!,RM!$C$4:$C991,X620))</f>
        <v/>
      </c>
      <c r="AA620" t="str">
        <f>IF(X620="","",SUMIFS(#REF!,RM!$C$4:$C991,X620))</f>
        <v/>
      </c>
      <c r="AB620" t="str">
        <f>IF(X620="","",SUMIFS(IRegback!$Y$2:$Y1001,IRegback!$X$2:$X1001,X620))</f>
        <v/>
      </c>
      <c r="AC620" t="e">
        <f t="shared" si="9"/>
        <v>#VALUE!</v>
      </c>
      <c r="AD620" t="str">
        <f>IF(X620="","",VLOOKUP($X620,RM!$C$4:$G991,3,FALSE))</f>
        <v/>
      </c>
      <c r="AE620" t="str">
        <f>IF(X620="","",VLOOKUP($X620,RM!$C$4:$G991,4,FALSE))</f>
        <v/>
      </c>
      <c r="AF620" t="str">
        <f>IF(X620="","",VLOOKUP($X620,RM!$C$4:$G991,5,FALSE))</f>
        <v/>
      </c>
      <c r="AL620" t="e">
        <f ca="1">_xludf.IFNA(VLOOKUP(AH620,'S-FG'!$B$3:$B1001,1,FALSE),"")</f>
        <v>#NAME?</v>
      </c>
      <c r="AM620" t="str">
        <f>IF(AI620="","",SUMIFS(#REF!,RM!$C$4:$C991,AI620))</f>
        <v/>
      </c>
    </row>
    <row r="621" spans="5:39">
      <c r="E621" t="str">
        <f>IF(A621="","",SUMIFS('PR-BOM'!$D$3:$D1001,'PR-BOM'!$C$3:$C1001,A621)*C621)</f>
        <v/>
      </c>
      <c r="F621" t="e">
        <f ca="1">_xludf.IFNA(VLOOKUP(B621,'S-FG'!$B$3:$B1001,1,FALSE),"")</f>
        <v>#NAME?</v>
      </c>
      <c r="L621" t="str">
        <f t="shared" si="7"/>
        <v/>
      </c>
      <c r="Q621" t="str">
        <f>IF(N621="","",SUMIFS('PR-BOM'!$D$3:$D1001,'PR-BOM'!$C$3:$C1001,N621))</f>
        <v/>
      </c>
      <c r="Y621" t="str">
        <f t="shared" si="8"/>
        <v/>
      </c>
      <c r="Z621" t="str">
        <f>IF(X621="","",SUMIFS(#REF!,RM!$C$4:$C991,X621))</f>
        <v/>
      </c>
      <c r="AA621" t="str">
        <f>IF(X621="","",SUMIFS(#REF!,RM!$C$4:$C991,X621))</f>
        <v/>
      </c>
      <c r="AB621" t="str">
        <f>IF(X621="","",SUMIFS(IRegback!$Y$2:$Y1001,IRegback!$X$2:$X1001,X621))</f>
        <v/>
      </c>
      <c r="AC621" t="e">
        <f t="shared" si="9"/>
        <v>#VALUE!</v>
      </c>
      <c r="AD621" t="str">
        <f>IF(X621="","",VLOOKUP($X621,RM!$C$4:$G991,3,FALSE))</f>
        <v/>
      </c>
      <c r="AE621" t="str">
        <f>IF(X621="","",VLOOKUP($X621,RM!$C$4:$G991,4,FALSE))</f>
        <v/>
      </c>
      <c r="AF621" t="str">
        <f>IF(X621="","",VLOOKUP($X621,RM!$C$4:$G991,5,FALSE))</f>
        <v/>
      </c>
      <c r="AL621" t="e">
        <f ca="1">_xludf.IFNA(VLOOKUP(AH621,'S-FG'!$B$3:$B1001,1,FALSE),"")</f>
        <v>#NAME?</v>
      </c>
      <c r="AM621" t="str">
        <f>IF(AI621="","",SUMIFS(#REF!,RM!$C$4:$C991,AI621))</f>
        <v/>
      </c>
    </row>
    <row r="622" spans="5:39">
      <c r="E622" t="str">
        <f>IF(A622="","",SUMIFS('PR-BOM'!$D$3:$D1001,'PR-BOM'!$C$3:$C1001,A622)*C622)</f>
        <v/>
      </c>
      <c r="F622" t="e">
        <f ca="1">_xludf.IFNA(VLOOKUP(B622,'S-FG'!$B$3:$B1001,1,FALSE),"")</f>
        <v>#NAME?</v>
      </c>
      <c r="L622" t="str">
        <f t="shared" si="7"/>
        <v/>
      </c>
      <c r="Q622" t="str">
        <f>IF(N622="","",SUMIFS('PR-BOM'!$D$3:$D1001,'PR-BOM'!$C$3:$C1001,N622))</f>
        <v/>
      </c>
      <c r="Y622" t="str">
        <f t="shared" si="8"/>
        <v/>
      </c>
      <c r="Z622" t="str">
        <f>IF(X622="","",SUMIFS(#REF!,RM!$C$4:$C991,X622))</f>
        <v/>
      </c>
      <c r="AA622" t="str">
        <f>IF(X622="","",SUMIFS(#REF!,RM!$C$4:$C991,X622))</f>
        <v/>
      </c>
      <c r="AB622" t="str">
        <f>IF(X622="","",SUMIFS(IRegback!$Y$2:$Y1001,IRegback!$X$2:$X1001,X622))</f>
        <v/>
      </c>
      <c r="AC622" t="e">
        <f t="shared" si="9"/>
        <v>#VALUE!</v>
      </c>
      <c r="AD622" t="str">
        <f>IF(X622="","",VLOOKUP($X622,RM!$C$4:$G991,3,FALSE))</f>
        <v/>
      </c>
      <c r="AE622" t="str">
        <f>IF(X622="","",VLOOKUP($X622,RM!$C$4:$G991,4,FALSE))</f>
        <v/>
      </c>
      <c r="AF622" t="str">
        <f>IF(X622="","",VLOOKUP($X622,RM!$C$4:$G991,5,FALSE))</f>
        <v/>
      </c>
      <c r="AL622" t="e">
        <f ca="1">_xludf.IFNA(VLOOKUP(AH622,'S-FG'!$B$3:$B1001,1,FALSE),"")</f>
        <v>#NAME?</v>
      </c>
      <c r="AM622" t="str">
        <f>IF(AI622="","",SUMIFS(#REF!,RM!$C$4:$C991,AI622))</f>
        <v/>
      </c>
    </row>
    <row r="623" spans="5:39">
      <c r="E623" t="str">
        <f>IF(A623="","",SUMIFS('PR-BOM'!$D$3:$D1001,'PR-BOM'!$C$3:$C1001,A623)*C623)</f>
        <v/>
      </c>
      <c r="F623" t="e">
        <f ca="1">_xludf.IFNA(VLOOKUP(B623,'S-FG'!$B$3:$B1001,1,FALSE),"")</f>
        <v>#NAME?</v>
      </c>
      <c r="L623" t="str">
        <f t="shared" si="7"/>
        <v/>
      </c>
      <c r="Q623" t="str">
        <f>IF(N623="","",SUMIFS('PR-BOM'!$D$3:$D1001,'PR-BOM'!$C$3:$C1001,N623))</f>
        <v/>
      </c>
      <c r="Y623" t="str">
        <f t="shared" si="8"/>
        <v/>
      </c>
      <c r="Z623" t="str">
        <f>IF(X623="","",SUMIFS(#REF!,RM!$C$4:$C991,X623))</f>
        <v/>
      </c>
      <c r="AA623" t="str">
        <f>IF(X623="","",SUMIFS(#REF!,RM!$C$4:$C991,X623))</f>
        <v/>
      </c>
      <c r="AB623" t="str">
        <f>IF(X623="","",SUMIFS(IRegback!$Y$2:$Y1001,IRegback!$X$2:$X1001,X623))</f>
        <v/>
      </c>
      <c r="AC623" t="e">
        <f t="shared" si="9"/>
        <v>#VALUE!</v>
      </c>
      <c r="AD623" t="str">
        <f>IF(X623="","",VLOOKUP($X623,RM!$C$4:$G991,3,FALSE))</f>
        <v/>
      </c>
      <c r="AE623" t="str">
        <f>IF(X623="","",VLOOKUP($X623,RM!$C$4:$G991,4,FALSE))</f>
        <v/>
      </c>
      <c r="AF623" t="str">
        <f>IF(X623="","",VLOOKUP($X623,RM!$C$4:$G991,5,FALSE))</f>
        <v/>
      </c>
      <c r="AL623" t="e">
        <f ca="1">_xludf.IFNA(VLOOKUP(AH623,'S-FG'!$B$3:$B1001,1,FALSE),"")</f>
        <v>#NAME?</v>
      </c>
      <c r="AM623" t="str">
        <f>IF(AI623="","",SUMIFS(#REF!,RM!$C$4:$C991,AI623))</f>
        <v/>
      </c>
    </row>
    <row r="624" spans="5:39">
      <c r="E624" t="str">
        <f>IF(A624="","",SUMIFS('PR-BOM'!$D$3:$D1001,'PR-BOM'!$C$3:$C1001,A624)*C624)</f>
        <v/>
      </c>
      <c r="F624" t="e">
        <f ca="1">_xludf.IFNA(VLOOKUP(B624,'S-FG'!$B$3:$B1001,1,FALSE),"")</f>
        <v>#NAME?</v>
      </c>
      <c r="L624" t="str">
        <f t="shared" si="7"/>
        <v/>
      </c>
      <c r="Q624" t="str">
        <f>IF(N624="","",SUMIFS('PR-BOM'!$D$3:$D1001,'PR-BOM'!$C$3:$C1001,N624))</f>
        <v/>
      </c>
      <c r="Y624" t="str">
        <f t="shared" si="8"/>
        <v/>
      </c>
      <c r="Z624" t="str">
        <f>IF(X624="","",SUMIFS(#REF!,RM!$C$4:$C991,X624))</f>
        <v/>
      </c>
      <c r="AA624" t="str">
        <f>IF(X624="","",SUMIFS(#REF!,RM!$C$4:$C991,X624))</f>
        <v/>
      </c>
      <c r="AB624" t="str">
        <f>IF(X624="","",SUMIFS(IRegback!$Y$2:$Y1001,IRegback!$X$2:$X1001,X624))</f>
        <v/>
      </c>
      <c r="AC624" t="e">
        <f t="shared" si="9"/>
        <v>#VALUE!</v>
      </c>
      <c r="AD624" t="str">
        <f>IF(X624="","",VLOOKUP($X624,RM!$C$4:$G991,3,FALSE))</f>
        <v/>
      </c>
      <c r="AE624" t="str">
        <f>IF(X624="","",VLOOKUP($X624,RM!$C$4:$G991,4,FALSE))</f>
        <v/>
      </c>
      <c r="AF624" t="str">
        <f>IF(X624="","",VLOOKUP($X624,RM!$C$4:$G991,5,FALSE))</f>
        <v/>
      </c>
      <c r="AL624" t="e">
        <f ca="1">_xludf.IFNA(VLOOKUP(AH624,'S-FG'!$B$3:$B1001,1,FALSE),"")</f>
        <v>#NAME?</v>
      </c>
      <c r="AM624" t="str">
        <f>IF(AI624="","",SUMIFS(#REF!,RM!$C$4:$C991,AI624))</f>
        <v/>
      </c>
    </row>
    <row r="625" spans="5:39">
      <c r="E625" t="str">
        <f>IF(A625="","",SUMIFS('PR-BOM'!$D$3:$D1001,'PR-BOM'!$C$3:$C1001,A625)*C625)</f>
        <v/>
      </c>
      <c r="F625" t="e">
        <f ca="1">_xludf.IFNA(VLOOKUP(B625,'S-FG'!$B$3:$B1001,1,FALSE),"")</f>
        <v>#NAME?</v>
      </c>
      <c r="L625" t="str">
        <f t="shared" si="7"/>
        <v/>
      </c>
      <c r="Q625" t="str">
        <f>IF(N625="","",SUMIFS('PR-BOM'!$D$3:$D1001,'PR-BOM'!$C$3:$C1001,N625))</f>
        <v/>
      </c>
      <c r="Y625" t="str">
        <f t="shared" si="8"/>
        <v/>
      </c>
      <c r="Z625" t="str">
        <f>IF(X625="","",SUMIFS(#REF!,RM!$C$4:$C991,X625))</f>
        <v/>
      </c>
      <c r="AA625" t="str">
        <f>IF(X625="","",SUMIFS(#REF!,RM!$C$4:$C991,X625))</f>
        <v/>
      </c>
      <c r="AB625" t="str">
        <f>IF(X625="","",SUMIFS(IRegback!$Y$2:$Y1001,IRegback!$X$2:$X1001,X625))</f>
        <v/>
      </c>
      <c r="AC625" t="e">
        <f t="shared" si="9"/>
        <v>#VALUE!</v>
      </c>
      <c r="AD625" t="str">
        <f>IF(X625="","",VLOOKUP($X625,RM!$C$4:$G991,3,FALSE))</f>
        <v/>
      </c>
      <c r="AE625" t="str">
        <f>IF(X625="","",VLOOKUP($X625,RM!$C$4:$G991,4,FALSE))</f>
        <v/>
      </c>
      <c r="AF625" t="str">
        <f>IF(X625="","",VLOOKUP($X625,RM!$C$4:$G991,5,FALSE))</f>
        <v/>
      </c>
      <c r="AL625" t="e">
        <f ca="1">_xludf.IFNA(VLOOKUP(AH625,'S-FG'!$B$3:$B1001,1,FALSE),"")</f>
        <v>#NAME?</v>
      </c>
      <c r="AM625" t="str">
        <f>IF(AI625="","",SUMIFS(#REF!,RM!$C$4:$C991,AI625))</f>
        <v/>
      </c>
    </row>
    <row r="626" spans="5:39">
      <c r="E626" t="str">
        <f>IF(A626="","",SUMIFS('PR-BOM'!$D$3:$D1001,'PR-BOM'!$C$3:$C1001,A626)*C626)</f>
        <v/>
      </c>
      <c r="F626" t="e">
        <f ca="1">_xludf.IFNA(VLOOKUP(B626,'S-FG'!$B$3:$B1001,1,FALSE),"")</f>
        <v>#NAME?</v>
      </c>
      <c r="L626" t="str">
        <f t="shared" si="7"/>
        <v/>
      </c>
      <c r="Q626" t="str">
        <f>IF(N626="","",SUMIFS('PR-BOM'!$D$3:$D1001,'PR-BOM'!$C$3:$C1001,N626))</f>
        <v/>
      </c>
      <c r="Y626" t="str">
        <f t="shared" si="8"/>
        <v/>
      </c>
      <c r="Z626" t="str">
        <f>IF(X626="","",SUMIFS(#REF!,RM!$C$4:$C991,X626))</f>
        <v/>
      </c>
      <c r="AA626" t="str">
        <f>IF(X626="","",SUMIFS(#REF!,RM!$C$4:$C991,X626))</f>
        <v/>
      </c>
      <c r="AB626" t="str">
        <f>IF(X626="","",SUMIFS(IRegback!$Y$2:$Y1001,IRegback!$X$2:$X1001,X626))</f>
        <v/>
      </c>
      <c r="AC626" t="e">
        <f t="shared" si="9"/>
        <v>#VALUE!</v>
      </c>
      <c r="AD626" t="str">
        <f>IF(X626="","",VLOOKUP($X626,RM!$C$4:$G991,3,FALSE))</f>
        <v/>
      </c>
      <c r="AE626" t="str">
        <f>IF(X626="","",VLOOKUP($X626,RM!$C$4:$G991,4,FALSE))</f>
        <v/>
      </c>
      <c r="AF626" t="str">
        <f>IF(X626="","",VLOOKUP($X626,RM!$C$4:$G991,5,FALSE))</f>
        <v/>
      </c>
      <c r="AL626" t="e">
        <f ca="1">_xludf.IFNA(VLOOKUP(AH626,'S-FG'!$B$3:$B1001,1,FALSE),"")</f>
        <v>#NAME?</v>
      </c>
      <c r="AM626" t="str">
        <f>IF(AI626="","",SUMIFS(#REF!,RM!$C$4:$C991,AI626))</f>
        <v/>
      </c>
    </row>
    <row r="627" spans="5:39">
      <c r="E627" t="str">
        <f>IF(A627="","",SUMIFS('PR-BOM'!$D$3:$D1001,'PR-BOM'!$C$3:$C1001,A627)*C627)</f>
        <v/>
      </c>
      <c r="F627" t="e">
        <f ca="1">_xludf.IFNA(VLOOKUP(B627,'S-FG'!$B$3:$B1001,1,FALSE),"")</f>
        <v>#NAME?</v>
      </c>
      <c r="L627" t="str">
        <f t="shared" si="7"/>
        <v/>
      </c>
      <c r="Q627" t="str">
        <f>IF(N627="","",SUMIFS('PR-BOM'!$D$3:$D1001,'PR-BOM'!$C$3:$C1001,N627))</f>
        <v/>
      </c>
      <c r="Y627" t="str">
        <f t="shared" si="8"/>
        <v/>
      </c>
      <c r="Z627" t="str">
        <f>IF(X627="","",SUMIFS(#REF!,RM!$C$4:$C991,X627))</f>
        <v/>
      </c>
      <c r="AA627" t="str">
        <f>IF(X627="","",SUMIFS(#REF!,RM!$C$4:$C991,X627))</f>
        <v/>
      </c>
      <c r="AB627" t="str">
        <f>IF(X627="","",SUMIFS(IRegback!$Y$2:$Y1001,IRegback!$X$2:$X1001,X627))</f>
        <v/>
      </c>
      <c r="AC627" t="e">
        <f t="shared" si="9"/>
        <v>#VALUE!</v>
      </c>
      <c r="AD627" t="str">
        <f>IF(X627="","",VLOOKUP($X627,RM!$C$4:$G991,3,FALSE))</f>
        <v/>
      </c>
      <c r="AE627" t="str">
        <f>IF(X627="","",VLOOKUP($X627,RM!$C$4:$G991,4,FALSE))</f>
        <v/>
      </c>
      <c r="AF627" t="str">
        <f>IF(X627="","",VLOOKUP($X627,RM!$C$4:$G991,5,FALSE))</f>
        <v/>
      </c>
      <c r="AL627" t="e">
        <f ca="1">_xludf.IFNA(VLOOKUP(AH627,'S-FG'!$B$3:$B1001,1,FALSE),"")</f>
        <v>#NAME?</v>
      </c>
      <c r="AM627" t="str">
        <f>IF(AI627="","",SUMIFS(#REF!,RM!$C$4:$C991,AI627))</f>
        <v/>
      </c>
    </row>
    <row r="628" spans="5:39">
      <c r="E628" t="str">
        <f>IF(A628="","",SUMIFS('PR-BOM'!$D$3:$D1001,'PR-BOM'!$C$3:$C1001,A628)*C628)</f>
        <v/>
      </c>
      <c r="F628" t="e">
        <f ca="1">_xludf.IFNA(VLOOKUP(B628,'S-FG'!$B$3:$B1001,1,FALSE),"")</f>
        <v>#NAME?</v>
      </c>
      <c r="L628" t="str">
        <f t="shared" si="7"/>
        <v/>
      </c>
      <c r="Q628" t="str">
        <f>IF(N628="","",SUMIFS('PR-BOM'!$D$3:$D1001,'PR-BOM'!$C$3:$C1001,N628))</f>
        <v/>
      </c>
      <c r="Y628" t="str">
        <f t="shared" si="8"/>
        <v/>
      </c>
      <c r="Z628" t="str">
        <f>IF(X628="","",SUMIFS(#REF!,RM!$C$4:$C991,X628))</f>
        <v/>
      </c>
      <c r="AA628" t="str">
        <f>IF(X628="","",SUMIFS(#REF!,RM!$C$4:$C991,X628))</f>
        <v/>
      </c>
      <c r="AB628" t="str">
        <f>IF(X628="","",SUMIFS(IRegback!$Y$2:$Y1001,IRegback!$X$2:$X1001,X628))</f>
        <v/>
      </c>
      <c r="AC628" t="e">
        <f t="shared" si="9"/>
        <v>#VALUE!</v>
      </c>
      <c r="AD628" t="str">
        <f>IF(X628="","",VLOOKUP($X628,RM!$C$4:$G991,3,FALSE))</f>
        <v/>
      </c>
      <c r="AE628" t="str">
        <f>IF(X628="","",VLOOKUP($X628,RM!$C$4:$G991,4,FALSE))</f>
        <v/>
      </c>
      <c r="AF628" t="str">
        <f>IF(X628="","",VLOOKUP($X628,RM!$C$4:$G991,5,FALSE))</f>
        <v/>
      </c>
      <c r="AL628" t="e">
        <f ca="1">_xludf.IFNA(VLOOKUP(AH628,'S-FG'!$B$3:$B1001,1,FALSE),"")</f>
        <v>#NAME?</v>
      </c>
      <c r="AM628" t="str">
        <f>IF(AI628="","",SUMIFS(#REF!,RM!$C$4:$C991,AI628))</f>
        <v/>
      </c>
    </row>
    <row r="629" spans="5:39">
      <c r="E629" t="str">
        <f>IF(A629="","",SUMIFS('PR-BOM'!$D$3:$D1001,'PR-BOM'!$C$3:$C1001,A629)*C629)</f>
        <v/>
      </c>
      <c r="F629" t="e">
        <f ca="1">_xludf.IFNA(VLOOKUP(B629,'S-FG'!$B$3:$B1001,1,FALSE),"")</f>
        <v>#NAME?</v>
      </c>
      <c r="L629" t="str">
        <f t="shared" si="7"/>
        <v/>
      </c>
      <c r="Q629" t="str">
        <f>IF(N629="","",SUMIFS('PR-BOM'!$D$3:$D1001,'PR-BOM'!$C$3:$C1001,N629))</f>
        <v/>
      </c>
      <c r="Y629" t="str">
        <f t="shared" si="8"/>
        <v/>
      </c>
      <c r="Z629" t="str">
        <f>IF(X629="","",SUMIFS(#REF!,RM!$C$4:$C991,X629))</f>
        <v/>
      </c>
      <c r="AA629" t="str">
        <f>IF(X629="","",SUMIFS(#REF!,RM!$C$4:$C991,X629))</f>
        <v/>
      </c>
      <c r="AB629" t="str">
        <f>IF(X629="","",SUMIFS(IRegback!$Y$2:$Y1001,IRegback!$X$2:$X1001,X629))</f>
        <v/>
      </c>
      <c r="AC629" t="e">
        <f t="shared" si="9"/>
        <v>#VALUE!</v>
      </c>
      <c r="AD629" t="str">
        <f>IF(X629="","",VLOOKUP($X629,RM!$C$4:$G991,3,FALSE))</f>
        <v/>
      </c>
      <c r="AE629" t="str">
        <f>IF(X629="","",VLOOKUP($X629,RM!$C$4:$G991,4,FALSE))</f>
        <v/>
      </c>
      <c r="AF629" t="str">
        <f>IF(X629="","",VLOOKUP($X629,RM!$C$4:$G991,5,FALSE))</f>
        <v/>
      </c>
      <c r="AL629" t="e">
        <f ca="1">_xludf.IFNA(VLOOKUP(AH629,'S-FG'!$B$3:$B1001,1,FALSE),"")</f>
        <v>#NAME?</v>
      </c>
      <c r="AM629" t="str">
        <f>IF(AI629="","",SUMIFS(#REF!,RM!$C$4:$C991,AI629))</f>
        <v/>
      </c>
    </row>
    <row r="630" spans="5:39">
      <c r="E630" t="str">
        <f>IF(A630="","",SUMIFS('PR-BOM'!$D$3:$D1001,'PR-BOM'!$C$3:$C1001,A630)*C630)</f>
        <v/>
      </c>
      <c r="F630" t="e">
        <f ca="1">_xludf.IFNA(VLOOKUP(B630,'S-FG'!$B$3:$B1001,1,FALSE),"")</f>
        <v>#NAME?</v>
      </c>
      <c r="L630" t="str">
        <f t="shared" si="7"/>
        <v/>
      </c>
      <c r="Q630" t="str">
        <f>IF(N630="","",SUMIFS('PR-BOM'!$D$3:$D1001,'PR-BOM'!$C$3:$C1001,N630))</f>
        <v/>
      </c>
      <c r="Y630" t="str">
        <f t="shared" si="8"/>
        <v/>
      </c>
      <c r="Z630" t="str">
        <f>IF(X630="","",SUMIFS(#REF!,RM!$C$4:$C991,X630))</f>
        <v/>
      </c>
      <c r="AA630" t="str">
        <f>IF(X630="","",SUMIFS(#REF!,RM!$C$4:$C991,X630))</f>
        <v/>
      </c>
      <c r="AB630" t="str">
        <f>IF(X630="","",SUMIFS(IRegback!$Y$2:$Y1001,IRegback!$X$2:$X1001,X630))</f>
        <v/>
      </c>
      <c r="AC630" t="e">
        <f t="shared" si="9"/>
        <v>#VALUE!</v>
      </c>
      <c r="AD630" t="str">
        <f>IF(X630="","",VLOOKUP($X630,RM!$C$4:$G991,3,FALSE))</f>
        <v/>
      </c>
      <c r="AE630" t="str">
        <f>IF(X630="","",VLOOKUP($X630,RM!$C$4:$G991,4,FALSE))</f>
        <v/>
      </c>
      <c r="AF630" t="str">
        <f>IF(X630="","",VLOOKUP($X630,RM!$C$4:$G991,5,FALSE))</f>
        <v/>
      </c>
      <c r="AL630" t="e">
        <f ca="1">_xludf.IFNA(VLOOKUP(AH630,'S-FG'!$B$3:$B1001,1,FALSE),"")</f>
        <v>#NAME?</v>
      </c>
      <c r="AM630" t="str">
        <f>IF(AI630="","",SUMIFS(#REF!,RM!$C$4:$C991,AI630))</f>
        <v/>
      </c>
    </row>
    <row r="631" spans="5:39">
      <c r="E631" t="str">
        <f>IF(A631="","",SUMIFS('PR-BOM'!$D$3:$D1001,'PR-BOM'!$C$3:$C1001,A631)*C631)</f>
        <v/>
      </c>
      <c r="F631" t="e">
        <f ca="1">_xludf.IFNA(VLOOKUP(B631,'S-FG'!$B$3:$B1001,1,FALSE),"")</f>
        <v>#NAME?</v>
      </c>
      <c r="L631" t="str">
        <f t="shared" si="7"/>
        <v/>
      </c>
      <c r="Q631" t="str">
        <f>IF(N631="","",SUMIFS('PR-BOM'!$D$3:$D1001,'PR-BOM'!$C$3:$C1001,N631))</f>
        <v/>
      </c>
      <c r="Y631" t="str">
        <f t="shared" si="8"/>
        <v/>
      </c>
      <c r="Z631" t="str">
        <f>IF(X631="","",SUMIFS(#REF!,RM!$C$4:$C991,X631))</f>
        <v/>
      </c>
      <c r="AA631" t="str">
        <f>IF(X631="","",SUMIFS(#REF!,RM!$C$4:$C991,X631))</f>
        <v/>
      </c>
      <c r="AB631" t="str">
        <f>IF(X631="","",SUMIFS(IRegback!$Y$2:$Y1001,IRegback!$X$2:$X1001,X631))</f>
        <v/>
      </c>
      <c r="AC631" t="e">
        <f t="shared" si="9"/>
        <v>#VALUE!</v>
      </c>
      <c r="AD631" t="str">
        <f>IF(X631="","",VLOOKUP($X631,RM!$C$4:$G991,3,FALSE))</f>
        <v/>
      </c>
      <c r="AE631" t="str">
        <f>IF(X631="","",VLOOKUP($X631,RM!$C$4:$G991,4,FALSE))</f>
        <v/>
      </c>
      <c r="AF631" t="str">
        <f>IF(X631="","",VLOOKUP($X631,RM!$C$4:$G991,5,FALSE))</f>
        <v/>
      </c>
      <c r="AL631" t="e">
        <f ca="1">_xludf.IFNA(VLOOKUP(AH631,'S-FG'!$B$3:$B1001,1,FALSE),"")</f>
        <v>#NAME?</v>
      </c>
      <c r="AM631" t="str">
        <f>IF(AI631="","",SUMIFS(#REF!,RM!$C$4:$C991,AI631))</f>
        <v/>
      </c>
    </row>
    <row r="632" spans="5:39">
      <c r="E632" t="str">
        <f>IF(A632="","",SUMIFS('PR-BOM'!$D$3:$D1001,'PR-BOM'!$C$3:$C1001,A632)*C632)</f>
        <v/>
      </c>
      <c r="F632" t="e">
        <f ca="1">_xludf.IFNA(VLOOKUP(B632,'S-FG'!$B$3:$B1001,1,FALSE),"")</f>
        <v>#NAME?</v>
      </c>
      <c r="L632" t="str">
        <f t="shared" si="7"/>
        <v/>
      </c>
      <c r="Q632" t="str">
        <f>IF(N632="","",SUMIFS('PR-BOM'!$D$3:$D1001,'PR-BOM'!$C$3:$C1001,N632))</f>
        <v/>
      </c>
      <c r="Y632" t="str">
        <f t="shared" si="8"/>
        <v/>
      </c>
      <c r="Z632" t="str">
        <f>IF(X632="","",SUMIFS(#REF!,RM!$C$4:$C991,X632))</f>
        <v/>
      </c>
      <c r="AA632" t="str">
        <f>IF(X632="","",SUMIFS(#REF!,RM!$C$4:$C991,X632))</f>
        <v/>
      </c>
      <c r="AB632" t="str">
        <f>IF(X632="","",SUMIFS(IRegback!$Y$2:$Y1001,IRegback!$X$2:$X1001,X632))</f>
        <v/>
      </c>
      <c r="AC632" t="e">
        <f t="shared" si="9"/>
        <v>#VALUE!</v>
      </c>
      <c r="AD632" t="str">
        <f>IF(X632="","",VLOOKUP($X632,RM!$C$4:$G991,3,FALSE))</f>
        <v/>
      </c>
      <c r="AE632" t="str">
        <f>IF(X632="","",VLOOKUP($X632,RM!$C$4:$G991,4,FALSE))</f>
        <v/>
      </c>
      <c r="AF632" t="str">
        <f>IF(X632="","",VLOOKUP($X632,RM!$C$4:$G991,5,FALSE))</f>
        <v/>
      </c>
      <c r="AL632" t="e">
        <f ca="1">_xludf.IFNA(VLOOKUP(AH632,'S-FG'!$B$3:$B1001,1,FALSE),"")</f>
        <v>#NAME?</v>
      </c>
      <c r="AM632" t="str">
        <f>IF(AI632="","",SUMIFS(#REF!,RM!$C$4:$C991,AI632))</f>
        <v/>
      </c>
    </row>
    <row r="633" spans="5:39">
      <c r="E633" t="str">
        <f>IF(A633="","",SUMIFS('PR-BOM'!$D$3:$D1001,'PR-BOM'!$C$3:$C1001,A633)*C633)</f>
        <v/>
      </c>
      <c r="F633" t="e">
        <f ca="1">_xludf.IFNA(VLOOKUP(B633,'S-FG'!$B$3:$B1001,1,FALSE),"")</f>
        <v>#NAME?</v>
      </c>
      <c r="L633" t="str">
        <f t="shared" si="7"/>
        <v/>
      </c>
      <c r="Q633" t="str">
        <f>IF(N633="","",SUMIFS('PR-BOM'!$D$3:$D1001,'PR-BOM'!$C$3:$C1001,N633))</f>
        <v/>
      </c>
      <c r="Y633" t="str">
        <f t="shared" si="8"/>
        <v/>
      </c>
      <c r="Z633" t="str">
        <f>IF(X633="","",SUMIFS(#REF!,RM!$C$4:$C991,X633))</f>
        <v/>
      </c>
      <c r="AA633" t="str">
        <f>IF(X633="","",SUMIFS(#REF!,RM!$C$4:$C991,X633))</f>
        <v/>
      </c>
      <c r="AB633" t="str">
        <f>IF(X633="","",SUMIFS(IRegback!$Y$2:$Y1001,IRegback!$X$2:$X1001,X633))</f>
        <v/>
      </c>
      <c r="AC633" t="e">
        <f t="shared" si="9"/>
        <v>#VALUE!</v>
      </c>
      <c r="AD633" t="str">
        <f>IF(X633="","",VLOOKUP($X633,RM!$C$4:$G991,3,FALSE))</f>
        <v/>
      </c>
      <c r="AE633" t="str">
        <f>IF(X633="","",VLOOKUP($X633,RM!$C$4:$G991,4,FALSE))</f>
        <v/>
      </c>
      <c r="AF633" t="str">
        <f>IF(X633="","",VLOOKUP($X633,RM!$C$4:$G991,5,FALSE))</f>
        <v/>
      </c>
      <c r="AL633" t="e">
        <f ca="1">_xludf.IFNA(VLOOKUP(AH633,'S-FG'!$B$3:$B1001,1,FALSE),"")</f>
        <v>#NAME?</v>
      </c>
      <c r="AM633" t="str">
        <f>IF(AI633="","",SUMIFS(#REF!,RM!$C$4:$C991,AI633))</f>
        <v/>
      </c>
    </row>
    <row r="634" spans="5:39">
      <c r="E634" t="str">
        <f>IF(A634="","",SUMIFS('PR-BOM'!$D$3:$D1001,'PR-BOM'!$C$3:$C1001,A634)*C634)</f>
        <v/>
      </c>
      <c r="F634" t="e">
        <f ca="1">_xludf.IFNA(VLOOKUP(B634,'S-FG'!$B$3:$B1001,1,FALSE),"")</f>
        <v>#NAME?</v>
      </c>
      <c r="L634" t="str">
        <f t="shared" si="7"/>
        <v/>
      </c>
      <c r="Q634" t="str">
        <f>IF(N634="","",SUMIFS('PR-BOM'!$D$3:$D1001,'PR-BOM'!$C$3:$C1001,N634))</f>
        <v/>
      </c>
      <c r="Y634" t="str">
        <f t="shared" si="8"/>
        <v/>
      </c>
      <c r="Z634" t="str">
        <f>IF(X634="","",SUMIFS(#REF!,RM!$C$4:$C991,X634))</f>
        <v/>
      </c>
      <c r="AA634" t="str">
        <f>IF(X634="","",SUMIFS(#REF!,RM!$C$4:$C991,X634))</f>
        <v/>
      </c>
      <c r="AB634" t="str">
        <f>IF(X634="","",SUMIFS(IRegback!$Y$2:$Y1001,IRegback!$X$2:$X1001,X634))</f>
        <v/>
      </c>
      <c r="AC634" t="e">
        <f t="shared" si="9"/>
        <v>#VALUE!</v>
      </c>
      <c r="AD634" t="str">
        <f>IF(X634="","",VLOOKUP($X634,RM!$C$4:$G991,3,FALSE))</f>
        <v/>
      </c>
      <c r="AE634" t="str">
        <f>IF(X634="","",VLOOKUP($X634,RM!$C$4:$G991,4,FALSE))</f>
        <v/>
      </c>
      <c r="AF634" t="str">
        <f>IF(X634="","",VLOOKUP($X634,RM!$C$4:$G991,5,FALSE))</f>
        <v/>
      </c>
      <c r="AL634" t="e">
        <f ca="1">_xludf.IFNA(VLOOKUP(AH634,'S-FG'!$B$3:$B1001,1,FALSE),"")</f>
        <v>#NAME?</v>
      </c>
      <c r="AM634" t="str">
        <f>IF(AI634="","",SUMIFS(#REF!,RM!$C$4:$C991,AI634))</f>
        <v/>
      </c>
    </row>
    <row r="635" spans="5:39">
      <c r="E635" t="str">
        <f>IF(A635="","",SUMIFS('PR-BOM'!$D$3:$D1001,'PR-BOM'!$C$3:$C1001,A635)*C635)</f>
        <v/>
      </c>
      <c r="F635" t="e">
        <f ca="1">_xludf.IFNA(VLOOKUP(B635,'S-FG'!$B$3:$B1001,1,FALSE),"")</f>
        <v>#NAME?</v>
      </c>
      <c r="L635" t="str">
        <f t="shared" si="7"/>
        <v/>
      </c>
      <c r="Q635" t="str">
        <f>IF(N635="","",SUMIFS('PR-BOM'!$D$3:$D1001,'PR-BOM'!$C$3:$C1001,N635))</f>
        <v/>
      </c>
      <c r="Y635" t="str">
        <f t="shared" si="8"/>
        <v/>
      </c>
      <c r="Z635" t="str">
        <f>IF(X635="","",SUMIFS(#REF!,RM!$C$4:$C991,X635))</f>
        <v/>
      </c>
      <c r="AA635" t="str">
        <f>IF(X635="","",SUMIFS(#REF!,RM!$C$4:$C991,X635))</f>
        <v/>
      </c>
      <c r="AB635" t="str">
        <f>IF(X635="","",SUMIFS(IRegback!$Y$2:$Y1001,IRegback!$X$2:$X1001,X635))</f>
        <v/>
      </c>
      <c r="AC635" t="e">
        <f t="shared" si="9"/>
        <v>#VALUE!</v>
      </c>
      <c r="AD635" t="str">
        <f>IF(X635="","",VLOOKUP($X635,RM!$C$4:$G991,3,FALSE))</f>
        <v/>
      </c>
      <c r="AE635" t="str">
        <f>IF(X635="","",VLOOKUP($X635,RM!$C$4:$G991,4,FALSE))</f>
        <v/>
      </c>
      <c r="AF635" t="str">
        <f>IF(X635="","",VLOOKUP($X635,RM!$C$4:$G991,5,FALSE))</f>
        <v/>
      </c>
      <c r="AL635" t="e">
        <f ca="1">_xludf.IFNA(VLOOKUP(AH635,'S-FG'!$B$3:$B1001,1,FALSE),"")</f>
        <v>#NAME?</v>
      </c>
      <c r="AM635" t="str">
        <f>IF(AI635="","",SUMIFS(#REF!,RM!$C$4:$C991,AI635))</f>
        <v/>
      </c>
    </row>
    <row r="636" spans="5:39">
      <c r="E636" t="str">
        <f>IF(A636="","",SUMIFS('PR-BOM'!$D$3:$D1001,'PR-BOM'!$C$3:$C1001,A636)*C636)</f>
        <v/>
      </c>
      <c r="F636" t="e">
        <f ca="1">_xludf.IFNA(VLOOKUP(B636,'S-FG'!$B$3:$B1001,1,FALSE),"")</f>
        <v>#NAME?</v>
      </c>
      <c r="L636" t="str">
        <f t="shared" si="7"/>
        <v/>
      </c>
      <c r="Q636" t="str">
        <f>IF(N636="","",SUMIFS('PR-BOM'!$D$3:$D1001,'PR-BOM'!$C$3:$C1001,N636))</f>
        <v/>
      </c>
      <c r="Y636" t="str">
        <f t="shared" si="8"/>
        <v/>
      </c>
      <c r="Z636" t="str">
        <f>IF(X636="","",SUMIFS(#REF!,RM!$C$4:$C991,X636))</f>
        <v/>
      </c>
      <c r="AA636" t="str">
        <f>IF(X636="","",SUMIFS(#REF!,RM!$C$4:$C991,X636))</f>
        <v/>
      </c>
      <c r="AB636" t="str">
        <f>IF(X636="","",SUMIFS(IRegback!$Y$2:$Y1001,IRegback!$X$2:$X1001,X636))</f>
        <v/>
      </c>
      <c r="AC636" t="e">
        <f t="shared" si="9"/>
        <v>#VALUE!</v>
      </c>
      <c r="AD636" t="str">
        <f>IF(X636="","",VLOOKUP($X636,RM!$C$4:$G991,3,FALSE))</f>
        <v/>
      </c>
      <c r="AE636" t="str">
        <f>IF(X636="","",VLOOKUP($X636,RM!$C$4:$G991,4,FALSE))</f>
        <v/>
      </c>
      <c r="AF636" t="str">
        <f>IF(X636="","",VLOOKUP($X636,RM!$C$4:$G991,5,FALSE))</f>
        <v/>
      </c>
      <c r="AL636" t="e">
        <f ca="1">_xludf.IFNA(VLOOKUP(AH636,'S-FG'!$B$3:$B1001,1,FALSE),"")</f>
        <v>#NAME?</v>
      </c>
      <c r="AM636" t="str">
        <f>IF(AI636="","",SUMIFS(#REF!,RM!$C$4:$C991,AI636))</f>
        <v/>
      </c>
    </row>
    <row r="637" spans="5:39">
      <c r="E637" t="str">
        <f>IF(A637="","",SUMIFS('PR-BOM'!$D$3:$D1001,'PR-BOM'!$C$3:$C1001,A637)*C637)</f>
        <v/>
      </c>
      <c r="F637" t="e">
        <f ca="1">_xludf.IFNA(VLOOKUP(B637,'S-FG'!$B$3:$B1001,1,FALSE),"")</f>
        <v>#NAME?</v>
      </c>
      <c r="L637" t="str">
        <f t="shared" si="7"/>
        <v/>
      </c>
      <c r="Q637" t="str">
        <f>IF(N637="","",SUMIFS('PR-BOM'!$D$3:$D1001,'PR-BOM'!$C$3:$C1001,N637))</f>
        <v/>
      </c>
      <c r="Y637" t="str">
        <f t="shared" si="8"/>
        <v/>
      </c>
      <c r="Z637" t="str">
        <f>IF(X637="","",SUMIFS(#REF!,RM!$C$4:$C991,X637))</f>
        <v/>
      </c>
      <c r="AA637" t="str">
        <f>IF(X637="","",SUMIFS(#REF!,RM!$C$4:$C991,X637))</f>
        <v/>
      </c>
      <c r="AB637" t="str">
        <f>IF(X637="","",SUMIFS(IRegback!$Y$2:$Y1001,IRegback!$X$2:$X1001,X637))</f>
        <v/>
      </c>
      <c r="AC637" t="e">
        <f t="shared" si="9"/>
        <v>#VALUE!</v>
      </c>
      <c r="AD637" t="str">
        <f>IF(X637="","",VLOOKUP($X637,RM!$C$4:$G991,3,FALSE))</f>
        <v/>
      </c>
      <c r="AE637" t="str">
        <f>IF(X637="","",VLOOKUP($X637,RM!$C$4:$G991,4,FALSE))</f>
        <v/>
      </c>
      <c r="AF637" t="str">
        <f>IF(X637="","",VLOOKUP($X637,RM!$C$4:$G991,5,FALSE))</f>
        <v/>
      </c>
      <c r="AL637" t="e">
        <f ca="1">_xludf.IFNA(VLOOKUP(AH637,'S-FG'!$B$3:$B1001,1,FALSE),"")</f>
        <v>#NAME?</v>
      </c>
      <c r="AM637" t="str">
        <f>IF(AI637="","",SUMIFS(#REF!,RM!$C$4:$C991,AI637))</f>
        <v/>
      </c>
    </row>
    <row r="638" spans="5:39">
      <c r="E638" t="str">
        <f>IF(A638="","",SUMIFS('PR-BOM'!$D$3:$D1001,'PR-BOM'!$C$3:$C1001,A638)*C638)</f>
        <v/>
      </c>
      <c r="F638" t="e">
        <f ca="1">_xludf.IFNA(VLOOKUP(B638,'S-FG'!$B$3:$B1001,1,FALSE),"")</f>
        <v>#NAME?</v>
      </c>
      <c r="L638" t="str">
        <f t="shared" si="7"/>
        <v/>
      </c>
      <c r="Q638" t="str">
        <f>IF(N638="","",SUMIFS('PR-BOM'!$D$3:$D1001,'PR-BOM'!$C$3:$C1001,N638))</f>
        <v/>
      </c>
      <c r="Y638" t="str">
        <f t="shared" si="8"/>
        <v/>
      </c>
      <c r="Z638" t="str">
        <f>IF(X638="","",SUMIFS(#REF!,RM!$C$4:$C991,X638))</f>
        <v/>
      </c>
      <c r="AA638" t="str">
        <f>IF(X638="","",SUMIFS(#REF!,RM!$C$4:$C991,X638))</f>
        <v/>
      </c>
      <c r="AB638" t="str">
        <f>IF(X638="","",SUMIFS(IRegback!$Y$2:$Y1001,IRegback!$X$2:$X1001,X638))</f>
        <v/>
      </c>
      <c r="AC638" t="e">
        <f t="shared" si="9"/>
        <v>#VALUE!</v>
      </c>
      <c r="AD638" t="str">
        <f>IF(X638="","",VLOOKUP($X638,RM!$C$4:$G991,3,FALSE))</f>
        <v/>
      </c>
      <c r="AE638" t="str">
        <f>IF(X638="","",VLOOKUP($X638,RM!$C$4:$G991,4,FALSE))</f>
        <v/>
      </c>
      <c r="AF638" t="str">
        <f>IF(X638="","",VLOOKUP($X638,RM!$C$4:$G991,5,FALSE))</f>
        <v/>
      </c>
      <c r="AL638" t="e">
        <f ca="1">_xludf.IFNA(VLOOKUP(AH638,'S-FG'!$B$3:$B1001,1,FALSE),"")</f>
        <v>#NAME?</v>
      </c>
      <c r="AM638" t="str">
        <f>IF(AI638="","",SUMIFS(#REF!,RM!$C$4:$C991,AI638))</f>
        <v/>
      </c>
    </row>
    <row r="639" spans="5:39">
      <c r="E639" t="str">
        <f>IF(A639="","",SUMIFS('PR-BOM'!$D$3:$D1001,'PR-BOM'!$C$3:$C1001,A639)*C639)</f>
        <v/>
      </c>
      <c r="F639" t="e">
        <f ca="1">_xludf.IFNA(VLOOKUP(B639,'S-FG'!$B$3:$B1001,1,FALSE),"")</f>
        <v>#NAME?</v>
      </c>
      <c r="L639" t="str">
        <f t="shared" si="7"/>
        <v/>
      </c>
      <c r="Q639" t="str">
        <f>IF(N639="","",SUMIFS('PR-BOM'!$D$3:$D1001,'PR-BOM'!$C$3:$C1001,N639))</f>
        <v/>
      </c>
      <c r="Y639" t="str">
        <f t="shared" si="8"/>
        <v/>
      </c>
      <c r="Z639" t="str">
        <f>IF(X639="","",SUMIFS(#REF!,RM!$C$4:$C991,X639))</f>
        <v/>
      </c>
      <c r="AA639" t="str">
        <f>IF(X639="","",SUMIFS(#REF!,RM!$C$4:$C991,X639))</f>
        <v/>
      </c>
      <c r="AB639" t="str">
        <f>IF(X639="","",SUMIFS(IRegback!$Y$2:$Y1001,IRegback!$X$2:$X1001,X639))</f>
        <v/>
      </c>
      <c r="AC639" t="e">
        <f t="shared" si="9"/>
        <v>#VALUE!</v>
      </c>
      <c r="AD639" t="str">
        <f>IF(X639="","",VLOOKUP($X639,RM!$C$4:$G991,3,FALSE))</f>
        <v/>
      </c>
      <c r="AE639" t="str">
        <f>IF(X639="","",VLOOKUP($X639,RM!$C$4:$G991,4,FALSE))</f>
        <v/>
      </c>
      <c r="AF639" t="str">
        <f>IF(X639="","",VLOOKUP($X639,RM!$C$4:$G991,5,FALSE))</f>
        <v/>
      </c>
      <c r="AL639" t="e">
        <f ca="1">_xludf.IFNA(VLOOKUP(AH639,'S-FG'!$B$3:$B1001,1,FALSE),"")</f>
        <v>#NAME?</v>
      </c>
      <c r="AM639" t="str">
        <f>IF(AI639="","",SUMIFS(#REF!,RM!$C$4:$C991,AI639))</f>
        <v/>
      </c>
    </row>
    <row r="640" spans="5:39">
      <c r="E640" t="str">
        <f>IF(A640="","",SUMIFS('PR-BOM'!$D$3:$D1001,'PR-BOM'!$C$3:$C1001,A640)*C640)</f>
        <v/>
      </c>
      <c r="F640" t="e">
        <f ca="1">_xludf.IFNA(VLOOKUP(B640,'S-FG'!$B$3:$B1001,1,FALSE),"")</f>
        <v>#NAME?</v>
      </c>
      <c r="L640" t="str">
        <f t="shared" si="7"/>
        <v/>
      </c>
      <c r="Q640" t="str">
        <f>IF(N640="","",SUMIFS('PR-BOM'!$D$3:$D1001,'PR-BOM'!$C$3:$C1001,N640))</f>
        <v/>
      </c>
      <c r="Y640" t="str">
        <f t="shared" si="8"/>
        <v/>
      </c>
      <c r="Z640" t="str">
        <f>IF(X640="","",SUMIFS(#REF!,RM!$C$4:$C991,X640))</f>
        <v/>
      </c>
      <c r="AA640" t="str">
        <f>IF(X640="","",SUMIFS(#REF!,RM!$C$4:$C991,X640))</f>
        <v/>
      </c>
      <c r="AB640" t="str">
        <f>IF(X640="","",SUMIFS(IRegback!$Y$2:$Y1001,IRegback!$X$2:$X1001,X640))</f>
        <v/>
      </c>
      <c r="AC640" t="e">
        <f t="shared" si="9"/>
        <v>#VALUE!</v>
      </c>
      <c r="AD640" t="str">
        <f>IF(X640="","",VLOOKUP($X640,RM!$C$4:$G991,3,FALSE))</f>
        <v/>
      </c>
      <c r="AE640" t="str">
        <f>IF(X640="","",VLOOKUP($X640,RM!$C$4:$G991,4,FALSE))</f>
        <v/>
      </c>
      <c r="AF640" t="str">
        <f>IF(X640="","",VLOOKUP($X640,RM!$C$4:$G991,5,FALSE))</f>
        <v/>
      </c>
      <c r="AL640" t="e">
        <f ca="1">_xludf.IFNA(VLOOKUP(AH640,'S-FG'!$B$3:$B1001,1,FALSE),"")</f>
        <v>#NAME?</v>
      </c>
      <c r="AM640" t="str">
        <f>IF(AI640="","",SUMIFS(#REF!,RM!$C$4:$C991,AI640))</f>
        <v/>
      </c>
    </row>
    <row r="641" spans="5:39">
      <c r="E641" t="str">
        <f>IF(A641="","",SUMIFS('PR-BOM'!$D$3:$D1001,'PR-BOM'!$C$3:$C1001,A641)*C641)</f>
        <v/>
      </c>
      <c r="F641" t="e">
        <f ca="1">_xludf.IFNA(VLOOKUP(B641,'S-FG'!$B$3:$B1001,1,FALSE),"")</f>
        <v>#NAME?</v>
      </c>
      <c r="L641" t="str">
        <f t="shared" si="7"/>
        <v/>
      </c>
      <c r="Q641" t="str">
        <f>IF(N641="","",SUMIFS('PR-BOM'!$D$3:$D1001,'PR-BOM'!$C$3:$C1001,N641))</f>
        <v/>
      </c>
      <c r="Y641" t="str">
        <f t="shared" si="8"/>
        <v/>
      </c>
      <c r="Z641" t="str">
        <f>IF(X641="","",SUMIFS(#REF!,RM!$C$4:$C991,X641))</f>
        <v/>
      </c>
      <c r="AA641" t="str">
        <f>IF(X641="","",SUMIFS(#REF!,RM!$C$4:$C991,X641))</f>
        <v/>
      </c>
      <c r="AB641" t="str">
        <f>IF(X641="","",SUMIFS(IRegback!$Y$2:$Y1001,IRegback!$X$2:$X1001,X641))</f>
        <v/>
      </c>
      <c r="AC641" t="e">
        <f t="shared" si="9"/>
        <v>#VALUE!</v>
      </c>
      <c r="AD641" t="str">
        <f>IF(X641="","",VLOOKUP($X641,RM!$C$4:$G991,3,FALSE))</f>
        <v/>
      </c>
      <c r="AE641" t="str">
        <f>IF(X641="","",VLOOKUP($X641,RM!$C$4:$G991,4,FALSE))</f>
        <v/>
      </c>
      <c r="AF641" t="str">
        <f>IF(X641="","",VLOOKUP($X641,RM!$C$4:$G991,5,FALSE))</f>
        <v/>
      </c>
      <c r="AL641" t="e">
        <f ca="1">_xludf.IFNA(VLOOKUP(AH641,'S-FG'!$B$3:$B1001,1,FALSE),"")</f>
        <v>#NAME?</v>
      </c>
      <c r="AM641" t="str">
        <f>IF(AI641="","",SUMIFS(#REF!,RM!$C$4:$C991,AI641))</f>
        <v/>
      </c>
    </row>
    <row r="642" spans="5:39">
      <c r="E642" t="str">
        <f>IF(A642="","",SUMIFS('PR-BOM'!$D$3:$D1001,'PR-BOM'!$C$3:$C1001,A642)*C642)</f>
        <v/>
      </c>
      <c r="F642" t="e">
        <f ca="1">_xludf.IFNA(VLOOKUP(B642,'S-FG'!$B$3:$B1001,1,FALSE),"")</f>
        <v>#NAME?</v>
      </c>
      <c r="L642" t="str">
        <f t="shared" si="7"/>
        <v/>
      </c>
      <c r="Q642" t="str">
        <f>IF(N642="","",SUMIFS('PR-BOM'!$D$3:$D1001,'PR-BOM'!$C$3:$C1001,N642))</f>
        <v/>
      </c>
      <c r="Y642" t="str">
        <f t="shared" si="8"/>
        <v/>
      </c>
      <c r="Z642" t="str">
        <f>IF(X642="","",SUMIFS(#REF!,RM!$C$4:$C991,X642))</f>
        <v/>
      </c>
      <c r="AA642" t="str">
        <f>IF(X642="","",SUMIFS(#REF!,RM!$C$4:$C991,X642))</f>
        <v/>
      </c>
      <c r="AB642" t="str">
        <f>IF(X642="","",SUMIFS(IRegback!$Y$2:$Y1001,IRegback!$X$2:$X1001,X642))</f>
        <v/>
      </c>
      <c r="AC642" t="e">
        <f t="shared" si="9"/>
        <v>#VALUE!</v>
      </c>
      <c r="AD642" t="str">
        <f>IF(X642="","",VLOOKUP($X642,RM!$C$4:$G991,3,FALSE))</f>
        <v/>
      </c>
      <c r="AE642" t="str">
        <f>IF(X642="","",VLOOKUP($X642,RM!$C$4:$G991,4,FALSE))</f>
        <v/>
      </c>
      <c r="AF642" t="str">
        <f>IF(X642="","",VLOOKUP($X642,RM!$C$4:$G991,5,FALSE))</f>
        <v/>
      </c>
      <c r="AL642" t="e">
        <f ca="1">_xludf.IFNA(VLOOKUP(AH642,'S-FG'!$B$3:$B1001,1,FALSE),"")</f>
        <v>#NAME?</v>
      </c>
      <c r="AM642" t="str">
        <f>IF(AI642="","",SUMIFS(#REF!,RM!$C$4:$C991,AI642))</f>
        <v/>
      </c>
    </row>
    <row r="643" spans="5:39">
      <c r="E643" t="str">
        <f>IF(A643="","",SUMIFS('PR-BOM'!$D$3:$D1001,'PR-BOM'!$C$3:$C1001,A643)*C643)</f>
        <v/>
      </c>
      <c r="F643" t="e">
        <f ca="1">_xludf.IFNA(VLOOKUP(B643,'S-FG'!$B$3:$B1001,1,FALSE),"")</f>
        <v>#NAME?</v>
      </c>
      <c r="L643" t="str">
        <f t="shared" si="7"/>
        <v/>
      </c>
      <c r="Q643" t="str">
        <f>IF(N643="","",SUMIFS('PR-BOM'!$D$3:$D1001,'PR-BOM'!$C$3:$C1001,N643))</f>
        <v/>
      </c>
      <c r="Y643" t="str">
        <f t="shared" si="8"/>
        <v/>
      </c>
      <c r="Z643" t="str">
        <f>IF(X643="","",SUMIFS(#REF!,RM!$C$4:$C991,X643))</f>
        <v/>
      </c>
      <c r="AA643" t="str">
        <f>IF(X643="","",SUMIFS(#REF!,RM!$C$4:$C991,X643))</f>
        <v/>
      </c>
      <c r="AB643" t="str">
        <f>IF(X643="","",SUMIFS(IRegback!$Y$2:$Y1001,IRegback!$X$2:$X1001,X643))</f>
        <v/>
      </c>
      <c r="AC643" t="e">
        <f t="shared" si="9"/>
        <v>#VALUE!</v>
      </c>
      <c r="AD643" t="str">
        <f>IF(X643="","",VLOOKUP($X643,RM!$C$4:$G991,3,FALSE))</f>
        <v/>
      </c>
      <c r="AE643" t="str">
        <f>IF(X643="","",VLOOKUP($X643,RM!$C$4:$G991,4,FALSE))</f>
        <v/>
      </c>
      <c r="AF643" t="str">
        <f>IF(X643="","",VLOOKUP($X643,RM!$C$4:$G991,5,FALSE))</f>
        <v/>
      </c>
      <c r="AL643" t="e">
        <f ca="1">_xludf.IFNA(VLOOKUP(AH643,'S-FG'!$B$3:$B1001,1,FALSE),"")</f>
        <v>#NAME?</v>
      </c>
      <c r="AM643" t="str">
        <f>IF(AI643="","",SUMIFS(#REF!,RM!$C$4:$C991,AI643))</f>
        <v/>
      </c>
    </row>
    <row r="644" spans="5:39">
      <c r="E644" t="str">
        <f>IF(A644="","",SUMIFS('PR-BOM'!$D$3:$D1001,'PR-BOM'!$C$3:$C1001,A644)*C644)</f>
        <v/>
      </c>
      <c r="F644" t="e">
        <f ca="1">_xludf.IFNA(VLOOKUP(B644,'S-FG'!$B$3:$B1001,1,FALSE),"")</f>
        <v>#NAME?</v>
      </c>
      <c r="L644" t="str">
        <f t="shared" si="7"/>
        <v/>
      </c>
      <c r="Q644" t="str">
        <f>IF(N644="","",SUMIFS('PR-BOM'!$D$3:$D1001,'PR-BOM'!$C$3:$C1001,N644))</f>
        <v/>
      </c>
      <c r="Y644" t="str">
        <f t="shared" si="8"/>
        <v/>
      </c>
      <c r="Z644" t="str">
        <f>IF(X644="","",SUMIFS(#REF!,RM!$C$4:$C991,X644))</f>
        <v/>
      </c>
      <c r="AA644" t="str">
        <f>IF(X644="","",SUMIFS(#REF!,RM!$C$4:$C991,X644))</f>
        <v/>
      </c>
      <c r="AB644" t="str">
        <f>IF(X644="","",SUMIFS(IRegback!$Y$2:$Y1001,IRegback!$X$2:$X1001,X644))</f>
        <v/>
      </c>
      <c r="AC644" t="e">
        <f t="shared" si="9"/>
        <v>#VALUE!</v>
      </c>
      <c r="AD644" t="str">
        <f>IF(X644="","",VLOOKUP($X644,RM!$C$4:$G991,3,FALSE))</f>
        <v/>
      </c>
      <c r="AE644" t="str">
        <f>IF(X644="","",VLOOKUP($X644,RM!$C$4:$G991,4,FALSE))</f>
        <v/>
      </c>
      <c r="AF644" t="str">
        <f>IF(X644="","",VLOOKUP($X644,RM!$C$4:$G991,5,FALSE))</f>
        <v/>
      </c>
      <c r="AL644" t="e">
        <f ca="1">_xludf.IFNA(VLOOKUP(AH644,'S-FG'!$B$3:$B1001,1,FALSE),"")</f>
        <v>#NAME?</v>
      </c>
      <c r="AM644" t="str">
        <f>IF(AI644="","",SUMIFS(#REF!,RM!$C$4:$C991,AI644))</f>
        <v/>
      </c>
    </row>
    <row r="645" spans="5:39">
      <c r="E645" t="str">
        <f>IF(A645="","",SUMIFS('PR-BOM'!$D$3:$D1001,'PR-BOM'!$C$3:$C1001,A645)*C645)</f>
        <v/>
      </c>
      <c r="F645" t="e">
        <f ca="1">_xludf.IFNA(VLOOKUP(B645,'S-FG'!$B$3:$B1001,1,FALSE),"")</f>
        <v>#NAME?</v>
      </c>
      <c r="L645" t="str">
        <f t="shared" si="7"/>
        <v/>
      </c>
      <c r="Q645" t="str">
        <f>IF(N645="","",SUMIFS('PR-BOM'!$D$3:$D1001,'PR-BOM'!$C$3:$C1001,N645))</f>
        <v/>
      </c>
      <c r="Y645" t="str">
        <f t="shared" si="8"/>
        <v/>
      </c>
      <c r="Z645" t="str">
        <f>IF(X645="","",SUMIFS(#REF!,RM!$C$4:$C991,X645))</f>
        <v/>
      </c>
      <c r="AA645" t="str">
        <f>IF(X645="","",SUMIFS(#REF!,RM!$C$4:$C991,X645))</f>
        <v/>
      </c>
      <c r="AB645" t="str">
        <f>IF(X645="","",SUMIFS(IRegback!$Y$2:$Y1001,IRegback!$X$2:$X1001,X645))</f>
        <v/>
      </c>
      <c r="AC645" t="e">
        <f t="shared" si="9"/>
        <v>#VALUE!</v>
      </c>
      <c r="AD645" t="str">
        <f>IF(X645="","",VLOOKUP($X645,RM!$C$4:$G991,3,FALSE))</f>
        <v/>
      </c>
      <c r="AE645" t="str">
        <f>IF(X645="","",VLOOKUP($X645,RM!$C$4:$G991,4,FALSE))</f>
        <v/>
      </c>
      <c r="AF645" t="str">
        <f>IF(X645="","",VLOOKUP($X645,RM!$C$4:$G991,5,FALSE))</f>
        <v/>
      </c>
      <c r="AL645" t="e">
        <f ca="1">_xludf.IFNA(VLOOKUP(AH645,'S-FG'!$B$3:$B1001,1,FALSE),"")</f>
        <v>#NAME?</v>
      </c>
      <c r="AM645" t="str">
        <f>IF(AI645="","",SUMIFS(#REF!,RM!$C$4:$C991,AI645))</f>
        <v/>
      </c>
    </row>
    <row r="646" spans="5:39">
      <c r="E646" t="str">
        <f>IF(A646="","",SUMIFS('PR-BOM'!$D$3:$D1001,'PR-BOM'!$C$3:$C1001,A646)*C646)</f>
        <v/>
      </c>
      <c r="F646" t="e">
        <f ca="1">_xludf.IFNA(VLOOKUP(B646,'S-FG'!$B$3:$B1001,1,FALSE),"")</f>
        <v>#NAME?</v>
      </c>
      <c r="L646" t="str">
        <f t="shared" si="7"/>
        <v/>
      </c>
      <c r="Q646" t="str">
        <f>IF(N646="","",SUMIFS('PR-BOM'!$D$3:$D1001,'PR-BOM'!$C$3:$C1001,N646))</f>
        <v/>
      </c>
      <c r="Y646" t="str">
        <f t="shared" si="8"/>
        <v/>
      </c>
      <c r="Z646" t="str">
        <f>IF(X646="","",SUMIFS(#REF!,RM!$C$4:$C991,X646))</f>
        <v/>
      </c>
      <c r="AA646" t="str">
        <f>IF(X646="","",SUMIFS(#REF!,RM!$C$4:$C991,X646))</f>
        <v/>
      </c>
      <c r="AB646" t="str">
        <f>IF(X646="","",SUMIFS(IRegback!$Y$2:$Y1001,IRegback!$X$2:$X1001,X646))</f>
        <v/>
      </c>
      <c r="AC646" t="e">
        <f t="shared" si="9"/>
        <v>#VALUE!</v>
      </c>
      <c r="AD646" t="str">
        <f>IF(X646="","",VLOOKUP($X646,RM!$C$4:$G991,3,FALSE))</f>
        <v/>
      </c>
      <c r="AE646" t="str">
        <f>IF(X646="","",VLOOKUP($X646,RM!$C$4:$G991,4,FALSE))</f>
        <v/>
      </c>
      <c r="AF646" t="str">
        <f>IF(X646="","",VLOOKUP($X646,RM!$C$4:$G991,5,FALSE))</f>
        <v/>
      </c>
      <c r="AL646" t="e">
        <f ca="1">_xludf.IFNA(VLOOKUP(AH646,'S-FG'!$B$3:$B1001,1,FALSE),"")</f>
        <v>#NAME?</v>
      </c>
      <c r="AM646" t="str">
        <f>IF(AI646="","",SUMIFS(#REF!,RM!$C$4:$C991,AI646))</f>
        <v/>
      </c>
    </row>
    <row r="647" spans="5:39">
      <c r="E647" t="str">
        <f>IF(A647="","",SUMIFS('PR-BOM'!$D$3:$D1001,'PR-BOM'!$C$3:$C1001,A647)*C647)</f>
        <v/>
      </c>
      <c r="F647" t="e">
        <f ca="1">_xludf.IFNA(VLOOKUP(B647,'S-FG'!$B$3:$B1001,1,FALSE),"")</f>
        <v>#NAME?</v>
      </c>
      <c r="L647" t="str">
        <f t="shared" si="7"/>
        <v/>
      </c>
      <c r="Q647" t="str">
        <f>IF(N647="","",SUMIFS('PR-BOM'!$D$3:$D1001,'PR-BOM'!$C$3:$C1001,N647))</f>
        <v/>
      </c>
      <c r="Y647" t="str">
        <f t="shared" si="8"/>
        <v/>
      </c>
      <c r="Z647" t="str">
        <f>IF(X647="","",SUMIFS(#REF!,RM!$C$4:$C991,X647))</f>
        <v/>
      </c>
      <c r="AA647" t="str">
        <f>IF(X647="","",SUMIFS(#REF!,RM!$C$4:$C991,X647))</f>
        <v/>
      </c>
      <c r="AB647" t="str">
        <f>IF(X647="","",SUMIFS(IRegback!$Y$2:$Y1001,IRegback!$X$2:$X1001,X647))</f>
        <v/>
      </c>
      <c r="AC647" t="e">
        <f t="shared" si="9"/>
        <v>#VALUE!</v>
      </c>
      <c r="AD647" t="str">
        <f>IF(X647="","",VLOOKUP($X647,RM!$C$4:$G991,3,FALSE))</f>
        <v/>
      </c>
      <c r="AE647" t="str">
        <f>IF(X647="","",VLOOKUP($X647,RM!$C$4:$G991,4,FALSE))</f>
        <v/>
      </c>
      <c r="AF647" t="str">
        <f>IF(X647="","",VLOOKUP($X647,RM!$C$4:$G991,5,FALSE))</f>
        <v/>
      </c>
      <c r="AL647" t="e">
        <f ca="1">_xludf.IFNA(VLOOKUP(AH647,'S-FG'!$B$3:$B1001,1,FALSE),"")</f>
        <v>#NAME?</v>
      </c>
      <c r="AM647" t="str">
        <f>IF(AI647="","",SUMIFS(#REF!,RM!$C$4:$C991,AI647))</f>
        <v/>
      </c>
    </row>
    <row r="648" spans="5:39">
      <c r="E648" t="str">
        <f>IF(A648="","",SUMIFS('PR-BOM'!$D$3:$D1001,'PR-BOM'!$C$3:$C1001,A648)*C648)</f>
        <v/>
      </c>
      <c r="F648" t="e">
        <f ca="1">_xludf.IFNA(VLOOKUP(B648,'S-FG'!$B$3:$B1001,1,FALSE),"")</f>
        <v>#NAME?</v>
      </c>
      <c r="L648" t="str">
        <f t="shared" si="7"/>
        <v/>
      </c>
      <c r="Q648" t="str">
        <f>IF(N648="","",SUMIFS('PR-BOM'!$D$3:$D1001,'PR-BOM'!$C$3:$C1001,N648))</f>
        <v/>
      </c>
      <c r="Y648" t="str">
        <f t="shared" si="8"/>
        <v/>
      </c>
      <c r="Z648" t="str">
        <f>IF(X648="","",SUMIFS(#REF!,RM!$C$4:$C991,X648))</f>
        <v/>
      </c>
      <c r="AA648" t="str">
        <f>IF(X648="","",SUMIFS(#REF!,RM!$C$4:$C991,X648))</f>
        <v/>
      </c>
      <c r="AB648" t="str">
        <f>IF(X648="","",SUMIFS(IRegback!$Y$2:$Y1001,IRegback!$X$2:$X1001,X648))</f>
        <v/>
      </c>
      <c r="AC648" t="e">
        <f t="shared" si="9"/>
        <v>#VALUE!</v>
      </c>
      <c r="AD648" t="str">
        <f>IF(X648="","",VLOOKUP($X648,RM!$C$4:$G991,3,FALSE))</f>
        <v/>
      </c>
      <c r="AE648" t="str">
        <f>IF(X648="","",VLOOKUP($X648,RM!$C$4:$G991,4,FALSE))</f>
        <v/>
      </c>
      <c r="AF648" t="str">
        <f>IF(X648="","",VLOOKUP($X648,RM!$C$4:$G991,5,FALSE))</f>
        <v/>
      </c>
      <c r="AL648" t="e">
        <f ca="1">_xludf.IFNA(VLOOKUP(AH648,'S-FG'!$B$3:$B1001,1,FALSE),"")</f>
        <v>#NAME?</v>
      </c>
      <c r="AM648" t="str">
        <f>IF(AI648="","",SUMIFS(#REF!,RM!$C$4:$C991,AI648))</f>
        <v/>
      </c>
    </row>
    <row r="649" spans="5:39">
      <c r="E649" t="str">
        <f>IF(A649="","",SUMIFS('PR-BOM'!$D$3:$D1001,'PR-BOM'!$C$3:$C1001,A649)*C649)</f>
        <v/>
      </c>
      <c r="F649" t="e">
        <f ca="1">_xludf.IFNA(VLOOKUP(B649,'S-FG'!$B$3:$B1001,1,FALSE),"")</f>
        <v>#NAME?</v>
      </c>
      <c r="L649" t="str">
        <f t="shared" si="7"/>
        <v/>
      </c>
      <c r="Q649" t="str">
        <f>IF(N649="","",SUMIFS('PR-BOM'!$D$3:$D1001,'PR-BOM'!$C$3:$C1001,N649))</f>
        <v/>
      </c>
      <c r="Y649" t="str">
        <f t="shared" si="8"/>
        <v/>
      </c>
      <c r="Z649" t="str">
        <f>IF(X649="","",SUMIFS(#REF!,RM!$C$4:$C991,X649))</f>
        <v/>
      </c>
      <c r="AA649" t="str">
        <f>IF(X649="","",SUMIFS(#REF!,RM!$C$4:$C991,X649))</f>
        <v/>
      </c>
      <c r="AB649" t="str">
        <f>IF(X649="","",SUMIFS(IRegback!$Y$2:$Y1001,IRegback!$X$2:$X1001,X649))</f>
        <v/>
      </c>
      <c r="AC649" t="e">
        <f t="shared" si="9"/>
        <v>#VALUE!</v>
      </c>
      <c r="AD649" t="str">
        <f>IF(X649="","",VLOOKUP($X649,RM!$C$4:$G991,3,FALSE))</f>
        <v/>
      </c>
      <c r="AE649" t="str">
        <f>IF(X649="","",VLOOKUP($X649,RM!$C$4:$G991,4,FALSE))</f>
        <v/>
      </c>
      <c r="AF649" t="str">
        <f>IF(X649="","",VLOOKUP($X649,RM!$C$4:$G991,5,FALSE))</f>
        <v/>
      </c>
      <c r="AL649" t="e">
        <f ca="1">_xludf.IFNA(VLOOKUP(AH649,'S-FG'!$B$3:$B1001,1,FALSE),"")</f>
        <v>#NAME?</v>
      </c>
      <c r="AM649" t="str">
        <f>IF(AI649="","",SUMIFS(#REF!,RM!$C$4:$C991,AI649))</f>
        <v/>
      </c>
    </row>
    <row r="650" spans="5:39">
      <c r="E650" t="str">
        <f>IF(A650="","",SUMIFS('PR-BOM'!$D$3:$D1001,'PR-BOM'!$C$3:$C1001,A650)*C650)</f>
        <v/>
      </c>
      <c r="F650" t="e">
        <f ca="1">_xludf.IFNA(VLOOKUP(B650,'S-FG'!$B$3:$B1001,1,FALSE),"")</f>
        <v>#NAME?</v>
      </c>
      <c r="L650" t="str">
        <f t="shared" si="7"/>
        <v/>
      </c>
      <c r="Q650" t="str">
        <f>IF(N650="","",SUMIFS('PR-BOM'!$D$3:$D1001,'PR-BOM'!$C$3:$C1001,N650))</f>
        <v/>
      </c>
      <c r="Y650" t="str">
        <f t="shared" si="8"/>
        <v/>
      </c>
      <c r="Z650" t="str">
        <f>IF(X650="","",SUMIFS(#REF!,RM!$C$4:$C991,X650))</f>
        <v/>
      </c>
      <c r="AA650" t="str">
        <f>IF(X650="","",SUMIFS(#REF!,RM!$C$4:$C991,X650))</f>
        <v/>
      </c>
      <c r="AB650" t="str">
        <f>IF(X650="","",SUMIFS(IRegback!$Y$2:$Y1001,IRegback!$X$2:$X1001,X650))</f>
        <v/>
      </c>
      <c r="AC650" t="e">
        <f t="shared" si="9"/>
        <v>#VALUE!</v>
      </c>
      <c r="AD650" t="str">
        <f>IF(X650="","",VLOOKUP($X650,RM!$C$4:$G991,3,FALSE))</f>
        <v/>
      </c>
      <c r="AE650" t="str">
        <f>IF(X650="","",VLOOKUP($X650,RM!$C$4:$G991,4,FALSE))</f>
        <v/>
      </c>
      <c r="AF650" t="str">
        <f>IF(X650="","",VLOOKUP($X650,RM!$C$4:$G991,5,FALSE))</f>
        <v/>
      </c>
      <c r="AL650" t="e">
        <f ca="1">_xludf.IFNA(VLOOKUP(AH650,'S-FG'!$B$3:$B1001,1,FALSE),"")</f>
        <v>#NAME?</v>
      </c>
      <c r="AM650" t="str">
        <f>IF(AI650="","",SUMIFS(#REF!,RM!$C$4:$C991,AI650))</f>
        <v/>
      </c>
    </row>
    <row r="651" spans="5:39">
      <c r="E651" t="str">
        <f>IF(A651="","",SUMIFS('PR-BOM'!$D$3:$D1001,'PR-BOM'!$C$3:$C1001,A651)*C651)</f>
        <v/>
      </c>
      <c r="F651" t="e">
        <f ca="1">_xludf.IFNA(VLOOKUP(B651,'S-FG'!$B$3:$B1001,1,FALSE),"")</f>
        <v>#NAME?</v>
      </c>
      <c r="L651" t="str">
        <f t="shared" si="7"/>
        <v/>
      </c>
      <c r="Q651" t="str">
        <f>IF(N651="","",SUMIFS('PR-BOM'!$D$3:$D1001,'PR-BOM'!$C$3:$C1001,N651))</f>
        <v/>
      </c>
      <c r="Y651" t="str">
        <f t="shared" si="8"/>
        <v/>
      </c>
      <c r="Z651" t="str">
        <f>IF(X651="","",SUMIFS(#REF!,RM!$C$4:$C991,X651))</f>
        <v/>
      </c>
      <c r="AA651" t="str">
        <f>IF(X651="","",SUMIFS(#REF!,RM!$C$4:$C991,X651))</f>
        <v/>
      </c>
      <c r="AB651" t="str">
        <f>IF(X651="","",SUMIFS(IRegback!$Y$2:$Y1001,IRegback!$X$2:$X1001,X651))</f>
        <v/>
      </c>
      <c r="AC651" t="e">
        <f t="shared" si="9"/>
        <v>#VALUE!</v>
      </c>
      <c r="AD651" t="str">
        <f>IF(X651="","",VLOOKUP($X651,RM!$C$4:$G991,3,FALSE))</f>
        <v/>
      </c>
      <c r="AE651" t="str">
        <f>IF(X651="","",VLOOKUP($X651,RM!$C$4:$G991,4,FALSE))</f>
        <v/>
      </c>
      <c r="AF651" t="str">
        <f>IF(X651="","",VLOOKUP($X651,RM!$C$4:$G991,5,FALSE))</f>
        <v/>
      </c>
      <c r="AL651" t="e">
        <f ca="1">_xludf.IFNA(VLOOKUP(AH651,'S-FG'!$B$3:$B1001,1,FALSE),"")</f>
        <v>#NAME?</v>
      </c>
      <c r="AM651" t="str">
        <f>IF(AI651="","",SUMIFS(#REF!,RM!$C$4:$C991,AI651))</f>
        <v/>
      </c>
    </row>
    <row r="652" spans="5:39">
      <c r="E652" t="str">
        <f>IF(A652="","",SUMIFS('PR-BOM'!$D$3:$D1001,'PR-BOM'!$C$3:$C1001,A652)*C652)</f>
        <v/>
      </c>
      <c r="F652" t="e">
        <f ca="1">_xludf.IFNA(VLOOKUP(B652,'S-FG'!$B$3:$B1001,1,FALSE),"")</f>
        <v>#NAME?</v>
      </c>
      <c r="L652" t="str">
        <f t="shared" si="7"/>
        <v/>
      </c>
      <c r="Q652" t="str">
        <f>IF(N652="","",SUMIFS('PR-BOM'!$D$3:$D1001,'PR-BOM'!$C$3:$C1001,N652))</f>
        <v/>
      </c>
      <c r="Y652" t="str">
        <f t="shared" si="8"/>
        <v/>
      </c>
      <c r="Z652" t="str">
        <f>IF(X652="","",SUMIFS(#REF!,RM!$C$4:$C991,X652))</f>
        <v/>
      </c>
      <c r="AA652" t="str">
        <f>IF(X652="","",SUMIFS(#REF!,RM!$C$4:$C991,X652))</f>
        <v/>
      </c>
      <c r="AB652" t="str">
        <f>IF(X652="","",SUMIFS(IRegback!$Y$2:$Y1001,IRegback!$X$2:$X1001,X652))</f>
        <v/>
      </c>
      <c r="AC652" t="e">
        <f t="shared" si="9"/>
        <v>#VALUE!</v>
      </c>
      <c r="AD652" t="str">
        <f>IF(X652="","",VLOOKUP($X652,RM!$C$4:$G991,3,FALSE))</f>
        <v/>
      </c>
      <c r="AE652" t="str">
        <f>IF(X652="","",VLOOKUP($X652,RM!$C$4:$G991,4,FALSE))</f>
        <v/>
      </c>
      <c r="AF652" t="str">
        <f>IF(X652="","",VLOOKUP($X652,RM!$C$4:$G991,5,FALSE))</f>
        <v/>
      </c>
      <c r="AL652" t="e">
        <f ca="1">_xludf.IFNA(VLOOKUP(AH652,'S-FG'!$B$3:$B1001,1,FALSE),"")</f>
        <v>#NAME?</v>
      </c>
      <c r="AM652" t="str">
        <f>IF(AI652="","",SUMIFS(#REF!,RM!$C$4:$C991,AI652))</f>
        <v/>
      </c>
    </row>
    <row r="653" spans="5:39">
      <c r="E653" t="str">
        <f>IF(A653="","",SUMIFS('PR-BOM'!$D$3:$D1001,'PR-BOM'!$C$3:$C1001,A653)*C653)</f>
        <v/>
      </c>
      <c r="F653" t="e">
        <f ca="1">_xludf.IFNA(VLOOKUP(B653,'S-FG'!$B$3:$B1001,1,FALSE),"")</f>
        <v>#NAME?</v>
      </c>
      <c r="L653" t="str">
        <f t="shared" si="7"/>
        <v/>
      </c>
      <c r="Q653" t="str">
        <f>IF(N653="","",SUMIFS('PR-BOM'!$D$3:$D1001,'PR-BOM'!$C$3:$C1001,N653))</f>
        <v/>
      </c>
      <c r="Y653" t="str">
        <f t="shared" si="8"/>
        <v/>
      </c>
      <c r="Z653" t="str">
        <f>IF(X653="","",SUMIFS(#REF!,RM!$C$4:$C991,X653))</f>
        <v/>
      </c>
      <c r="AA653" t="str">
        <f>IF(X653="","",SUMIFS(#REF!,RM!$C$4:$C991,X653))</f>
        <v/>
      </c>
      <c r="AB653" t="str">
        <f>IF(X653="","",SUMIFS(IRegback!$Y$2:$Y1001,IRegback!$X$2:$X1001,X653))</f>
        <v/>
      </c>
      <c r="AC653" t="e">
        <f t="shared" si="9"/>
        <v>#VALUE!</v>
      </c>
      <c r="AD653" t="str">
        <f>IF(X653="","",VLOOKUP($X653,RM!$C$4:$G991,3,FALSE))</f>
        <v/>
      </c>
      <c r="AE653" t="str">
        <f>IF(X653="","",VLOOKUP($X653,RM!$C$4:$G991,4,FALSE))</f>
        <v/>
      </c>
      <c r="AF653" t="str">
        <f>IF(X653="","",VLOOKUP($X653,RM!$C$4:$G991,5,FALSE))</f>
        <v/>
      </c>
      <c r="AL653" t="e">
        <f ca="1">_xludf.IFNA(VLOOKUP(AH653,'S-FG'!$B$3:$B1001,1,FALSE),"")</f>
        <v>#NAME?</v>
      </c>
      <c r="AM653" t="str">
        <f>IF(AI653="","",SUMIFS(#REF!,RM!$C$4:$C991,AI653))</f>
        <v/>
      </c>
    </row>
    <row r="654" spans="5:39">
      <c r="E654" t="str">
        <f>IF(A654="","",SUMIFS('PR-BOM'!$D$3:$D1001,'PR-BOM'!$C$3:$C1001,A654)*C654)</f>
        <v/>
      </c>
      <c r="F654" t="e">
        <f ca="1">_xludf.IFNA(VLOOKUP(B654,'S-FG'!$B$3:$B1001,1,FALSE),"")</f>
        <v>#NAME?</v>
      </c>
      <c r="L654" t="str">
        <f t="shared" si="7"/>
        <v/>
      </c>
      <c r="Q654" t="str">
        <f>IF(N654="","",SUMIFS('PR-BOM'!$D$3:$D1001,'PR-BOM'!$C$3:$C1001,N654))</f>
        <v/>
      </c>
      <c r="Y654" t="str">
        <f t="shared" si="8"/>
        <v/>
      </c>
      <c r="Z654" t="str">
        <f>IF(X654="","",SUMIFS(#REF!,RM!$C$4:$C991,X654))</f>
        <v/>
      </c>
      <c r="AA654" t="str">
        <f>IF(X654="","",SUMIFS(#REF!,RM!$C$4:$C991,X654))</f>
        <v/>
      </c>
      <c r="AB654" t="str">
        <f>IF(X654="","",SUMIFS(IRegback!$Y$2:$Y1001,IRegback!$X$2:$X1001,X654))</f>
        <v/>
      </c>
      <c r="AC654" t="e">
        <f t="shared" si="9"/>
        <v>#VALUE!</v>
      </c>
      <c r="AD654" t="str">
        <f>IF(X654="","",VLOOKUP($X654,RM!$C$4:$G991,3,FALSE))</f>
        <v/>
      </c>
      <c r="AE654" t="str">
        <f>IF(X654="","",VLOOKUP($X654,RM!$C$4:$G991,4,FALSE))</f>
        <v/>
      </c>
      <c r="AF654" t="str">
        <f>IF(X654="","",VLOOKUP($X654,RM!$C$4:$G991,5,FALSE))</f>
        <v/>
      </c>
      <c r="AL654" t="e">
        <f ca="1">_xludf.IFNA(VLOOKUP(AH654,'S-FG'!$B$3:$B1001,1,FALSE),"")</f>
        <v>#NAME?</v>
      </c>
      <c r="AM654" t="str">
        <f>IF(AI654="","",SUMIFS(#REF!,RM!$C$4:$C991,AI654))</f>
        <v/>
      </c>
    </row>
    <row r="655" spans="5:39">
      <c r="E655" t="str">
        <f>IF(A655="","",SUMIFS('PR-BOM'!$D$3:$D1001,'PR-BOM'!$C$3:$C1001,A655)*C655)</f>
        <v/>
      </c>
      <c r="F655" t="e">
        <f ca="1">_xludf.IFNA(VLOOKUP(B655,'S-FG'!$B$3:$B1001,1,FALSE),"")</f>
        <v>#NAME?</v>
      </c>
      <c r="L655" t="str">
        <f t="shared" si="7"/>
        <v/>
      </c>
      <c r="Q655" t="str">
        <f>IF(N655="","",SUMIFS('PR-BOM'!$D$3:$D1001,'PR-BOM'!$C$3:$C1001,N655))</f>
        <v/>
      </c>
      <c r="Y655" t="str">
        <f t="shared" si="8"/>
        <v/>
      </c>
      <c r="Z655" t="str">
        <f>IF(X655="","",SUMIFS(#REF!,RM!$C$4:$C991,X655))</f>
        <v/>
      </c>
      <c r="AA655" t="str">
        <f>IF(X655="","",SUMIFS(#REF!,RM!$C$4:$C991,X655))</f>
        <v/>
      </c>
      <c r="AB655" t="str">
        <f>IF(X655="","",SUMIFS(IRegback!$Y$2:$Y1001,IRegback!$X$2:$X1001,X655))</f>
        <v/>
      </c>
      <c r="AC655" t="e">
        <f t="shared" si="9"/>
        <v>#VALUE!</v>
      </c>
      <c r="AD655" t="str">
        <f>IF(X655="","",VLOOKUP($X655,RM!$C$4:$G991,3,FALSE))</f>
        <v/>
      </c>
      <c r="AE655" t="str">
        <f>IF(X655="","",VLOOKUP($X655,RM!$C$4:$G991,4,FALSE))</f>
        <v/>
      </c>
      <c r="AF655" t="str">
        <f>IF(X655="","",VLOOKUP($X655,RM!$C$4:$G991,5,FALSE))</f>
        <v/>
      </c>
      <c r="AL655" t="e">
        <f ca="1">_xludf.IFNA(VLOOKUP(AH655,'S-FG'!$B$3:$B1001,1,FALSE),"")</f>
        <v>#NAME?</v>
      </c>
      <c r="AM655" t="str">
        <f>IF(AI655="","",SUMIFS(#REF!,RM!$C$4:$C991,AI655))</f>
        <v/>
      </c>
    </row>
    <row r="656" spans="5:39">
      <c r="E656" t="str">
        <f>IF(A656="","",SUMIFS('PR-BOM'!$D$3:$D1001,'PR-BOM'!$C$3:$C1001,A656)*C656)</f>
        <v/>
      </c>
      <c r="F656" t="e">
        <f ca="1">_xludf.IFNA(VLOOKUP(B656,'S-FG'!$B$3:$B1001,1,FALSE),"")</f>
        <v>#NAME?</v>
      </c>
      <c r="L656" t="str">
        <f t="shared" si="7"/>
        <v/>
      </c>
      <c r="Q656" t="str">
        <f>IF(N656="","",SUMIFS('PR-BOM'!$D$3:$D1001,'PR-BOM'!$C$3:$C1001,N656))</f>
        <v/>
      </c>
      <c r="Y656" t="str">
        <f t="shared" si="8"/>
        <v/>
      </c>
      <c r="Z656" t="str">
        <f>IF(X656="","",SUMIFS(#REF!,RM!$C$4:$C991,X656))</f>
        <v/>
      </c>
      <c r="AA656" t="str">
        <f>IF(X656="","",SUMIFS(#REF!,RM!$C$4:$C991,X656))</f>
        <v/>
      </c>
      <c r="AB656" t="str">
        <f>IF(X656="","",SUMIFS(IRegback!$Y$2:$Y1001,IRegback!$X$2:$X1001,X656))</f>
        <v/>
      </c>
      <c r="AC656" t="e">
        <f t="shared" si="9"/>
        <v>#VALUE!</v>
      </c>
      <c r="AD656" t="str">
        <f>IF(X656="","",VLOOKUP($X656,RM!$C$4:$G991,3,FALSE))</f>
        <v/>
      </c>
      <c r="AE656" t="str">
        <f>IF(X656="","",VLOOKUP($X656,RM!$C$4:$G991,4,FALSE))</f>
        <v/>
      </c>
      <c r="AF656" t="str">
        <f>IF(X656="","",VLOOKUP($X656,RM!$C$4:$G991,5,FALSE))</f>
        <v/>
      </c>
      <c r="AL656" t="e">
        <f ca="1">_xludf.IFNA(VLOOKUP(AH656,'S-FG'!$B$3:$B1001,1,FALSE),"")</f>
        <v>#NAME?</v>
      </c>
      <c r="AM656" t="str">
        <f>IF(AI656="","",SUMIFS(#REF!,RM!$C$4:$C991,AI656))</f>
        <v/>
      </c>
    </row>
    <row r="657" spans="5:39">
      <c r="E657" t="str">
        <f>IF(A657="","",SUMIFS('PR-BOM'!$D$3:$D1001,'PR-BOM'!$C$3:$C1001,A657)*C657)</f>
        <v/>
      </c>
      <c r="F657" t="e">
        <f ca="1">_xludf.IFNA(VLOOKUP(B657,'S-FG'!$B$3:$B1001,1,FALSE),"")</f>
        <v>#NAME?</v>
      </c>
      <c r="L657" t="str">
        <f t="shared" si="7"/>
        <v/>
      </c>
      <c r="Q657" t="str">
        <f>IF(N657="","",SUMIFS('PR-BOM'!$D$3:$D1001,'PR-BOM'!$C$3:$C1001,N657))</f>
        <v/>
      </c>
      <c r="Y657" t="str">
        <f t="shared" si="8"/>
        <v/>
      </c>
      <c r="Z657" t="str">
        <f>IF(X657="","",SUMIFS(#REF!,RM!$C$4:$C991,X657))</f>
        <v/>
      </c>
      <c r="AA657" t="str">
        <f>IF(X657="","",SUMIFS(#REF!,RM!$C$4:$C991,X657))</f>
        <v/>
      </c>
      <c r="AB657" t="str">
        <f>IF(X657="","",SUMIFS(IRegback!$Y$2:$Y1001,IRegback!$X$2:$X1001,X657))</f>
        <v/>
      </c>
      <c r="AC657" t="e">
        <f t="shared" si="9"/>
        <v>#VALUE!</v>
      </c>
      <c r="AD657" t="str">
        <f>IF(X657="","",VLOOKUP($X657,RM!$C$4:$G991,3,FALSE))</f>
        <v/>
      </c>
      <c r="AE657" t="str">
        <f>IF(X657="","",VLOOKUP($X657,RM!$C$4:$G991,4,FALSE))</f>
        <v/>
      </c>
      <c r="AF657" t="str">
        <f>IF(X657="","",VLOOKUP($X657,RM!$C$4:$G991,5,FALSE))</f>
        <v/>
      </c>
      <c r="AL657" t="e">
        <f ca="1">_xludf.IFNA(VLOOKUP(AH657,'S-FG'!$B$3:$B1001,1,FALSE),"")</f>
        <v>#NAME?</v>
      </c>
      <c r="AM657" t="str">
        <f>IF(AI657="","",SUMIFS(#REF!,RM!$C$4:$C991,AI657))</f>
        <v/>
      </c>
    </row>
    <row r="658" spans="5:39">
      <c r="E658" t="str">
        <f>IF(A658="","",SUMIFS('PR-BOM'!$D$3:$D1001,'PR-BOM'!$C$3:$C1001,A658)*C658)</f>
        <v/>
      </c>
      <c r="F658" t="e">
        <f ca="1">_xludf.IFNA(VLOOKUP(B658,'S-FG'!$B$3:$B1001,1,FALSE),"")</f>
        <v>#NAME?</v>
      </c>
      <c r="L658" t="str">
        <f t="shared" si="7"/>
        <v/>
      </c>
      <c r="Q658" t="str">
        <f>IF(N658="","",SUMIFS('PR-BOM'!$D$3:$D1001,'PR-BOM'!$C$3:$C1001,N658))</f>
        <v/>
      </c>
      <c r="Y658" t="str">
        <f t="shared" si="8"/>
        <v/>
      </c>
      <c r="Z658" t="str">
        <f>IF(X658="","",SUMIFS(#REF!,RM!$C$4:$C991,X658))</f>
        <v/>
      </c>
      <c r="AA658" t="str">
        <f>IF(X658="","",SUMIFS(#REF!,RM!$C$4:$C991,X658))</f>
        <v/>
      </c>
      <c r="AB658" t="str">
        <f>IF(X658="","",SUMIFS(IRegback!$Y$2:$Y1001,IRegback!$X$2:$X1001,X658))</f>
        <v/>
      </c>
      <c r="AC658" t="e">
        <f t="shared" si="9"/>
        <v>#VALUE!</v>
      </c>
      <c r="AD658" t="str">
        <f>IF(X658="","",VLOOKUP($X658,RM!$C$4:$G991,3,FALSE))</f>
        <v/>
      </c>
      <c r="AE658" t="str">
        <f>IF(X658="","",VLOOKUP($X658,RM!$C$4:$G991,4,FALSE))</f>
        <v/>
      </c>
      <c r="AF658" t="str">
        <f>IF(X658="","",VLOOKUP($X658,RM!$C$4:$G991,5,FALSE))</f>
        <v/>
      </c>
      <c r="AL658" t="e">
        <f ca="1">_xludf.IFNA(VLOOKUP(AH658,'S-FG'!$B$3:$B1001,1,FALSE),"")</f>
        <v>#NAME?</v>
      </c>
      <c r="AM658" t="str">
        <f>IF(AI658="","",SUMIFS(#REF!,RM!$C$4:$C991,AI658))</f>
        <v/>
      </c>
    </row>
    <row r="659" spans="5:39">
      <c r="E659" t="str">
        <f>IF(A659="","",SUMIFS('PR-BOM'!$D$3:$D1001,'PR-BOM'!$C$3:$C1001,A659)*C659)</f>
        <v/>
      </c>
      <c r="F659" t="e">
        <f ca="1">_xludf.IFNA(VLOOKUP(B659,'S-FG'!$B$3:$B1001,1,FALSE),"")</f>
        <v>#NAME?</v>
      </c>
      <c r="L659" t="str">
        <f t="shared" si="7"/>
        <v/>
      </c>
      <c r="Q659" t="str">
        <f>IF(N659="","",SUMIFS('PR-BOM'!$D$3:$D1001,'PR-BOM'!$C$3:$C1001,N659))</f>
        <v/>
      </c>
      <c r="Y659" t="str">
        <f t="shared" si="8"/>
        <v/>
      </c>
      <c r="Z659" t="str">
        <f>IF(X659="","",SUMIFS(#REF!,RM!$C$4:$C991,X659))</f>
        <v/>
      </c>
      <c r="AA659" t="str">
        <f>IF(X659="","",SUMIFS(#REF!,RM!$C$4:$C991,X659))</f>
        <v/>
      </c>
      <c r="AB659" t="str">
        <f>IF(X659="","",SUMIFS(IRegback!$Y$2:$Y1001,IRegback!$X$2:$X1001,X659))</f>
        <v/>
      </c>
      <c r="AC659" t="e">
        <f t="shared" si="9"/>
        <v>#VALUE!</v>
      </c>
      <c r="AD659" t="str">
        <f>IF(X659="","",VLOOKUP($X659,RM!$C$4:$G991,3,FALSE))</f>
        <v/>
      </c>
      <c r="AE659" t="str">
        <f>IF(X659="","",VLOOKUP($X659,RM!$C$4:$G991,4,FALSE))</f>
        <v/>
      </c>
      <c r="AF659" t="str">
        <f>IF(X659="","",VLOOKUP($X659,RM!$C$4:$G991,5,FALSE))</f>
        <v/>
      </c>
      <c r="AL659" t="e">
        <f ca="1">_xludf.IFNA(VLOOKUP(AH659,'S-FG'!$B$3:$B1001,1,FALSE),"")</f>
        <v>#NAME?</v>
      </c>
      <c r="AM659" t="str">
        <f>IF(AI659="","",SUMIFS(#REF!,RM!$C$4:$C991,AI659))</f>
        <v/>
      </c>
    </row>
    <row r="660" spans="5:39">
      <c r="E660" t="str">
        <f>IF(A660="","",SUMIFS('PR-BOM'!$D$3:$D1001,'PR-BOM'!$C$3:$C1001,A660)*C660)</f>
        <v/>
      </c>
      <c r="F660" t="e">
        <f ca="1">_xludf.IFNA(VLOOKUP(B660,'S-FG'!$B$3:$B1001,1,FALSE),"")</f>
        <v>#NAME?</v>
      </c>
      <c r="L660" t="str">
        <f t="shared" si="7"/>
        <v/>
      </c>
      <c r="Q660" t="str">
        <f>IF(N660="","",SUMIFS('PR-BOM'!$D$3:$D1001,'PR-BOM'!$C$3:$C1001,N660))</f>
        <v/>
      </c>
      <c r="Y660" t="str">
        <f t="shared" si="8"/>
        <v/>
      </c>
      <c r="Z660" t="str">
        <f>IF(X660="","",SUMIFS(#REF!,RM!$C$4:$C991,X660))</f>
        <v/>
      </c>
      <c r="AA660" t="str">
        <f>IF(X660="","",SUMIFS(#REF!,RM!$C$4:$C991,X660))</f>
        <v/>
      </c>
      <c r="AB660" t="str">
        <f>IF(X660="","",SUMIFS(IRegback!$Y$2:$Y1001,IRegback!$X$2:$X1001,X660))</f>
        <v/>
      </c>
      <c r="AC660" t="e">
        <f t="shared" si="9"/>
        <v>#VALUE!</v>
      </c>
      <c r="AD660" t="str">
        <f>IF(X660="","",VLOOKUP($X660,RM!$C$4:$G991,3,FALSE))</f>
        <v/>
      </c>
      <c r="AE660" t="str">
        <f>IF(X660="","",VLOOKUP($X660,RM!$C$4:$G991,4,FALSE))</f>
        <v/>
      </c>
      <c r="AF660" t="str">
        <f>IF(X660="","",VLOOKUP($X660,RM!$C$4:$G991,5,FALSE))</f>
        <v/>
      </c>
      <c r="AL660" t="e">
        <f ca="1">_xludf.IFNA(VLOOKUP(AH660,'S-FG'!$B$3:$B1001,1,FALSE),"")</f>
        <v>#NAME?</v>
      </c>
      <c r="AM660" t="str">
        <f>IF(AI660="","",SUMIFS(#REF!,RM!$C$4:$C991,AI660))</f>
        <v/>
      </c>
    </row>
    <row r="661" spans="5:39">
      <c r="E661" t="str">
        <f>IF(A661="","",SUMIFS('PR-BOM'!$D$3:$D1001,'PR-BOM'!$C$3:$C1001,A661)*C661)</f>
        <v/>
      </c>
      <c r="F661" t="e">
        <f ca="1">_xludf.IFNA(VLOOKUP(B661,'S-FG'!$B$3:$B1001,1,FALSE),"")</f>
        <v>#NAME?</v>
      </c>
      <c r="L661" t="str">
        <f t="shared" si="7"/>
        <v/>
      </c>
      <c r="Q661" t="str">
        <f>IF(N661="","",SUMIFS('PR-BOM'!$D$3:$D1001,'PR-BOM'!$C$3:$C1001,N661))</f>
        <v/>
      </c>
      <c r="Y661" t="str">
        <f t="shared" si="8"/>
        <v/>
      </c>
      <c r="Z661" t="str">
        <f>IF(X661="","",SUMIFS(#REF!,RM!$C$4:$C991,X661))</f>
        <v/>
      </c>
      <c r="AA661" t="str">
        <f>IF(X661="","",SUMIFS(#REF!,RM!$C$4:$C991,X661))</f>
        <v/>
      </c>
      <c r="AB661" t="str">
        <f>IF(X661="","",SUMIFS(IRegback!$Y$2:$Y1001,IRegback!$X$2:$X1001,X661))</f>
        <v/>
      </c>
      <c r="AC661" t="e">
        <f t="shared" si="9"/>
        <v>#VALUE!</v>
      </c>
      <c r="AD661" t="str">
        <f>IF(X661="","",VLOOKUP($X661,RM!$C$4:$G991,3,FALSE))</f>
        <v/>
      </c>
      <c r="AE661" t="str">
        <f>IF(X661="","",VLOOKUP($X661,RM!$C$4:$G991,4,FALSE))</f>
        <v/>
      </c>
      <c r="AF661" t="str">
        <f>IF(X661="","",VLOOKUP($X661,RM!$C$4:$G991,5,FALSE))</f>
        <v/>
      </c>
      <c r="AL661" t="e">
        <f ca="1">_xludf.IFNA(VLOOKUP(AH661,'S-FG'!$B$3:$B1001,1,FALSE),"")</f>
        <v>#NAME?</v>
      </c>
      <c r="AM661" t="str">
        <f>IF(AI661="","",SUMIFS(#REF!,RM!$C$4:$C991,AI661))</f>
        <v/>
      </c>
    </row>
    <row r="662" spans="5:39">
      <c r="E662" t="str">
        <f>IF(A662="","",SUMIFS('PR-BOM'!$D$3:$D1001,'PR-BOM'!$C$3:$C1001,A662)*C662)</f>
        <v/>
      </c>
      <c r="F662" t="e">
        <f ca="1">_xludf.IFNA(VLOOKUP(B662,'S-FG'!$B$3:$B1001,1,FALSE),"")</f>
        <v>#NAME?</v>
      </c>
      <c r="L662" t="str">
        <f t="shared" si="7"/>
        <v/>
      </c>
      <c r="Q662" t="str">
        <f>IF(N662="","",SUMIFS('PR-BOM'!$D$3:$D1001,'PR-BOM'!$C$3:$C1001,N662))</f>
        <v/>
      </c>
      <c r="Y662" t="str">
        <f t="shared" si="8"/>
        <v/>
      </c>
      <c r="Z662" t="str">
        <f>IF(X662="","",SUMIFS(#REF!,RM!$C$4:$C991,X662))</f>
        <v/>
      </c>
      <c r="AA662" t="str">
        <f>IF(X662="","",SUMIFS(#REF!,RM!$C$4:$C991,X662))</f>
        <v/>
      </c>
      <c r="AB662" t="str">
        <f>IF(X662="","",SUMIFS(IRegback!$Y$2:$Y1001,IRegback!$X$2:$X1001,X662))</f>
        <v/>
      </c>
      <c r="AC662" t="e">
        <f t="shared" si="9"/>
        <v>#VALUE!</v>
      </c>
      <c r="AD662" t="str">
        <f>IF(X662="","",VLOOKUP($X662,RM!$C$4:$G991,3,FALSE))</f>
        <v/>
      </c>
      <c r="AE662" t="str">
        <f>IF(X662="","",VLOOKUP($X662,RM!$C$4:$G991,4,FALSE))</f>
        <v/>
      </c>
      <c r="AF662" t="str">
        <f>IF(X662="","",VLOOKUP($X662,RM!$C$4:$G991,5,FALSE))</f>
        <v/>
      </c>
      <c r="AL662" t="e">
        <f ca="1">_xludf.IFNA(VLOOKUP(AH662,'S-FG'!$B$3:$B1001,1,FALSE),"")</f>
        <v>#NAME?</v>
      </c>
      <c r="AM662" t="str">
        <f>IF(AI662="","",SUMIFS(#REF!,RM!$C$4:$C991,AI662))</f>
        <v/>
      </c>
    </row>
    <row r="663" spans="5:39">
      <c r="E663" t="str">
        <f>IF(A663="","",SUMIFS('PR-BOM'!$D$3:$D1001,'PR-BOM'!$C$3:$C1001,A663)*C663)</f>
        <v/>
      </c>
      <c r="F663" t="e">
        <f ca="1">_xludf.IFNA(VLOOKUP(B663,'S-FG'!$B$3:$B1001,1,FALSE),"")</f>
        <v>#NAME?</v>
      </c>
      <c r="L663" t="str">
        <f t="shared" si="7"/>
        <v/>
      </c>
      <c r="Q663" t="str">
        <f>IF(N663="","",SUMIFS('PR-BOM'!$D$3:$D1001,'PR-BOM'!$C$3:$C1001,N663))</f>
        <v/>
      </c>
      <c r="Y663" t="str">
        <f t="shared" si="8"/>
        <v/>
      </c>
      <c r="Z663" t="str">
        <f>IF(X663="","",SUMIFS(#REF!,RM!$C$4:$C991,X663))</f>
        <v/>
      </c>
      <c r="AA663" t="str">
        <f>IF(X663="","",SUMIFS(#REF!,RM!$C$4:$C991,X663))</f>
        <v/>
      </c>
      <c r="AB663" t="str">
        <f>IF(X663="","",SUMIFS(IRegback!$Y$2:$Y1001,IRegback!$X$2:$X1001,X663))</f>
        <v/>
      </c>
      <c r="AC663" t="e">
        <f t="shared" si="9"/>
        <v>#VALUE!</v>
      </c>
      <c r="AD663" t="str">
        <f>IF(X663="","",VLOOKUP($X663,RM!$C$4:$G991,3,FALSE))</f>
        <v/>
      </c>
      <c r="AE663" t="str">
        <f>IF(X663="","",VLOOKUP($X663,RM!$C$4:$G991,4,FALSE))</f>
        <v/>
      </c>
      <c r="AF663" t="str">
        <f>IF(X663="","",VLOOKUP($X663,RM!$C$4:$G991,5,FALSE))</f>
        <v/>
      </c>
      <c r="AL663" t="e">
        <f ca="1">_xludf.IFNA(VLOOKUP(AH663,'S-FG'!$B$3:$B1001,1,FALSE),"")</f>
        <v>#NAME?</v>
      </c>
      <c r="AM663" t="str">
        <f>IF(AI663="","",SUMIFS(#REF!,RM!$C$4:$C991,AI663))</f>
        <v/>
      </c>
    </row>
    <row r="664" spans="5:39">
      <c r="E664" t="str">
        <f>IF(A664="","",SUMIFS('PR-BOM'!$D$3:$D1001,'PR-BOM'!$C$3:$C1001,A664)*C664)</f>
        <v/>
      </c>
      <c r="F664" t="e">
        <f ca="1">_xludf.IFNA(VLOOKUP(B664,'S-FG'!$B$3:$B1001,1,FALSE),"")</f>
        <v>#NAME?</v>
      </c>
      <c r="L664" t="str">
        <f t="shared" si="7"/>
        <v/>
      </c>
      <c r="Q664" t="str">
        <f>IF(N664="","",SUMIFS('PR-BOM'!$D$3:$D1001,'PR-BOM'!$C$3:$C1001,N664))</f>
        <v/>
      </c>
      <c r="Y664" t="str">
        <f t="shared" si="8"/>
        <v/>
      </c>
      <c r="Z664" t="str">
        <f>IF(X664="","",SUMIFS(#REF!,RM!$C$4:$C991,X664))</f>
        <v/>
      </c>
      <c r="AA664" t="str">
        <f>IF(X664="","",SUMIFS(#REF!,RM!$C$4:$C991,X664))</f>
        <v/>
      </c>
      <c r="AB664" t="str">
        <f>IF(X664="","",SUMIFS(IRegback!$Y$2:$Y1001,IRegback!$X$2:$X1001,X664))</f>
        <v/>
      </c>
      <c r="AC664" t="e">
        <f t="shared" si="9"/>
        <v>#VALUE!</v>
      </c>
      <c r="AD664" t="str">
        <f>IF(X664="","",VLOOKUP($X664,RM!$C$4:$G991,3,FALSE))</f>
        <v/>
      </c>
      <c r="AE664" t="str">
        <f>IF(X664="","",VLOOKUP($X664,RM!$C$4:$G991,4,FALSE))</f>
        <v/>
      </c>
      <c r="AF664" t="str">
        <f>IF(X664="","",VLOOKUP($X664,RM!$C$4:$G991,5,FALSE))</f>
        <v/>
      </c>
      <c r="AL664" t="e">
        <f ca="1">_xludf.IFNA(VLOOKUP(AH664,'S-FG'!$B$3:$B1001,1,FALSE),"")</f>
        <v>#NAME?</v>
      </c>
      <c r="AM664" t="str">
        <f>IF(AI664="","",SUMIFS(#REF!,RM!$C$4:$C991,AI664))</f>
        <v/>
      </c>
    </row>
    <row r="665" spans="5:39">
      <c r="E665" t="str">
        <f>IF(A665="","",SUMIFS('PR-BOM'!$D$3:$D1001,'PR-BOM'!$C$3:$C1001,A665)*C665)</f>
        <v/>
      </c>
      <c r="F665" t="e">
        <f ca="1">_xludf.IFNA(VLOOKUP(B665,'S-FG'!$B$3:$B1001,1,FALSE),"")</f>
        <v>#NAME?</v>
      </c>
      <c r="L665" t="str">
        <f t="shared" si="7"/>
        <v/>
      </c>
      <c r="Q665" t="str">
        <f>IF(N665="","",SUMIFS('PR-BOM'!$D$3:$D1001,'PR-BOM'!$C$3:$C1001,N665))</f>
        <v/>
      </c>
      <c r="Y665" t="str">
        <f t="shared" si="8"/>
        <v/>
      </c>
      <c r="Z665" t="str">
        <f>IF(X665="","",SUMIFS(#REF!,RM!$C$4:$C991,X665))</f>
        <v/>
      </c>
      <c r="AA665" t="str">
        <f>IF(X665="","",SUMIFS(#REF!,RM!$C$4:$C991,X665))</f>
        <v/>
      </c>
      <c r="AB665" t="str">
        <f>IF(X665="","",SUMIFS(IRegback!$Y$2:$Y1001,IRegback!$X$2:$X1001,X665))</f>
        <v/>
      </c>
      <c r="AC665" t="e">
        <f t="shared" si="9"/>
        <v>#VALUE!</v>
      </c>
      <c r="AD665" t="str">
        <f>IF(X665="","",VLOOKUP($X665,RM!$C$4:$G991,3,FALSE))</f>
        <v/>
      </c>
      <c r="AE665" t="str">
        <f>IF(X665="","",VLOOKUP($X665,RM!$C$4:$G991,4,FALSE))</f>
        <v/>
      </c>
      <c r="AF665" t="str">
        <f>IF(X665="","",VLOOKUP($X665,RM!$C$4:$G991,5,FALSE))</f>
        <v/>
      </c>
      <c r="AL665" t="e">
        <f ca="1">_xludf.IFNA(VLOOKUP(AH665,'S-FG'!$B$3:$B1001,1,FALSE),"")</f>
        <v>#NAME?</v>
      </c>
      <c r="AM665" t="str">
        <f>IF(AI665="","",SUMIFS(#REF!,RM!$C$4:$C991,AI665))</f>
        <v/>
      </c>
    </row>
    <row r="666" spans="5:39">
      <c r="E666" t="str">
        <f>IF(A666="","",SUMIFS('PR-BOM'!$D$3:$D1001,'PR-BOM'!$C$3:$C1001,A666)*C666)</f>
        <v/>
      </c>
      <c r="F666" t="e">
        <f ca="1">_xludf.IFNA(VLOOKUP(B666,'S-FG'!$B$3:$B1001,1,FALSE),"")</f>
        <v>#NAME?</v>
      </c>
      <c r="L666" t="str">
        <f t="shared" si="7"/>
        <v/>
      </c>
      <c r="Q666" t="str">
        <f>IF(N666="","",SUMIFS('PR-BOM'!$D$3:$D1001,'PR-BOM'!$C$3:$C1001,N666))</f>
        <v/>
      </c>
      <c r="Y666" t="str">
        <f t="shared" si="8"/>
        <v/>
      </c>
      <c r="Z666" t="str">
        <f>IF(X666="","",SUMIFS(#REF!,RM!$C$4:$C991,X666))</f>
        <v/>
      </c>
      <c r="AA666" t="str">
        <f>IF(X666="","",SUMIFS(#REF!,RM!$C$4:$C991,X666))</f>
        <v/>
      </c>
      <c r="AB666" t="str">
        <f>IF(X666="","",SUMIFS(IRegback!$Y$2:$Y1001,IRegback!$X$2:$X1001,X666))</f>
        <v/>
      </c>
      <c r="AC666" t="e">
        <f t="shared" si="9"/>
        <v>#VALUE!</v>
      </c>
      <c r="AD666" t="str">
        <f>IF(X666="","",VLOOKUP($X666,RM!$C$4:$G991,3,FALSE))</f>
        <v/>
      </c>
      <c r="AE666" t="str">
        <f>IF(X666="","",VLOOKUP($X666,RM!$C$4:$G991,4,FALSE))</f>
        <v/>
      </c>
      <c r="AF666" t="str">
        <f>IF(X666="","",VLOOKUP($X666,RM!$C$4:$G991,5,FALSE))</f>
        <v/>
      </c>
      <c r="AL666" t="e">
        <f ca="1">_xludf.IFNA(VLOOKUP(AH666,'S-FG'!$B$3:$B1001,1,FALSE),"")</f>
        <v>#NAME?</v>
      </c>
      <c r="AM666" t="str">
        <f>IF(AI666="","",SUMIFS(#REF!,RM!$C$4:$C991,AI666))</f>
        <v/>
      </c>
    </row>
    <row r="667" spans="5:39">
      <c r="E667" t="str">
        <f>IF(A667="","",SUMIFS('PR-BOM'!$D$3:$D1001,'PR-BOM'!$C$3:$C1001,A667)*C667)</f>
        <v/>
      </c>
      <c r="F667" t="e">
        <f ca="1">_xludf.IFNA(VLOOKUP(B667,'S-FG'!$B$3:$B1001,1,FALSE),"")</f>
        <v>#NAME?</v>
      </c>
      <c r="L667" t="str">
        <f t="shared" si="7"/>
        <v/>
      </c>
      <c r="Q667" t="str">
        <f>IF(N667="","",SUMIFS('PR-BOM'!$D$3:$D1001,'PR-BOM'!$C$3:$C1001,N667))</f>
        <v/>
      </c>
      <c r="Y667" t="str">
        <f t="shared" si="8"/>
        <v/>
      </c>
      <c r="Z667" t="str">
        <f>IF(X667="","",SUMIFS(#REF!,RM!$C$4:$C991,X667))</f>
        <v/>
      </c>
      <c r="AA667" t="str">
        <f>IF(X667="","",SUMIFS(#REF!,RM!$C$4:$C991,X667))</f>
        <v/>
      </c>
      <c r="AB667" t="str">
        <f>IF(X667="","",SUMIFS(IRegback!$Y$2:$Y1001,IRegback!$X$2:$X1001,X667))</f>
        <v/>
      </c>
      <c r="AC667" t="e">
        <f t="shared" si="9"/>
        <v>#VALUE!</v>
      </c>
      <c r="AD667" t="str">
        <f>IF(X667="","",VLOOKUP($X667,RM!$C$4:$G991,3,FALSE))</f>
        <v/>
      </c>
      <c r="AE667" t="str">
        <f>IF(X667="","",VLOOKUP($X667,RM!$C$4:$G991,4,FALSE))</f>
        <v/>
      </c>
      <c r="AF667" t="str">
        <f>IF(X667="","",VLOOKUP($X667,RM!$C$4:$G991,5,FALSE))</f>
        <v/>
      </c>
      <c r="AL667" t="e">
        <f ca="1">_xludf.IFNA(VLOOKUP(AH667,'S-FG'!$B$3:$B1001,1,FALSE),"")</f>
        <v>#NAME?</v>
      </c>
      <c r="AM667" t="str">
        <f>IF(AI667="","",SUMIFS(#REF!,RM!$C$4:$C991,AI667))</f>
        <v/>
      </c>
    </row>
    <row r="668" spans="5:39">
      <c r="E668" t="str">
        <f>IF(A668="","",SUMIFS('PR-BOM'!$D$3:$D1001,'PR-BOM'!$C$3:$C1001,A668)*C668)</f>
        <v/>
      </c>
      <c r="F668" t="e">
        <f ca="1">_xludf.IFNA(VLOOKUP(B668,'S-FG'!$B$3:$B1001,1,FALSE),"")</f>
        <v>#NAME?</v>
      </c>
      <c r="L668" t="str">
        <f t="shared" si="7"/>
        <v/>
      </c>
      <c r="Q668" t="str">
        <f>IF(N668="","",SUMIFS('PR-BOM'!$D$3:$D1001,'PR-BOM'!$C$3:$C1001,N668))</f>
        <v/>
      </c>
      <c r="Y668" t="str">
        <f t="shared" si="8"/>
        <v/>
      </c>
      <c r="Z668" t="str">
        <f>IF(X668="","",SUMIFS(#REF!,RM!$C$4:$C991,X668))</f>
        <v/>
      </c>
      <c r="AA668" t="str">
        <f>IF(X668="","",SUMIFS(#REF!,RM!$C$4:$C991,X668))</f>
        <v/>
      </c>
      <c r="AB668" t="str">
        <f>IF(X668="","",SUMIFS(IRegback!$Y$2:$Y1001,IRegback!$X$2:$X1001,X668))</f>
        <v/>
      </c>
      <c r="AC668" t="e">
        <f t="shared" si="9"/>
        <v>#VALUE!</v>
      </c>
      <c r="AD668" t="str">
        <f>IF(X668="","",VLOOKUP($X668,RM!$C$4:$G991,3,FALSE))</f>
        <v/>
      </c>
      <c r="AE668" t="str">
        <f>IF(X668="","",VLOOKUP($X668,RM!$C$4:$G991,4,FALSE))</f>
        <v/>
      </c>
      <c r="AF668" t="str">
        <f>IF(X668="","",VLOOKUP($X668,RM!$C$4:$G991,5,FALSE))</f>
        <v/>
      </c>
      <c r="AL668" t="e">
        <f ca="1">_xludf.IFNA(VLOOKUP(AH668,'S-FG'!$B$3:$B1001,1,FALSE),"")</f>
        <v>#NAME?</v>
      </c>
      <c r="AM668" t="str">
        <f>IF(AI668="","",SUMIFS(#REF!,RM!$C$4:$C991,AI668))</f>
        <v/>
      </c>
    </row>
    <row r="669" spans="5:39">
      <c r="E669" t="str">
        <f>IF(A669="","",SUMIFS('PR-BOM'!$D$3:$D1001,'PR-BOM'!$C$3:$C1001,A669)*C669)</f>
        <v/>
      </c>
      <c r="F669" t="e">
        <f ca="1">_xludf.IFNA(VLOOKUP(B669,'S-FG'!$B$3:$B1001,1,FALSE),"")</f>
        <v>#NAME?</v>
      </c>
      <c r="L669" t="str">
        <f t="shared" si="7"/>
        <v/>
      </c>
      <c r="Q669" t="str">
        <f>IF(N669="","",SUMIFS('PR-BOM'!$D$3:$D1001,'PR-BOM'!$C$3:$C1001,N669))</f>
        <v/>
      </c>
      <c r="Y669" t="str">
        <f t="shared" si="8"/>
        <v/>
      </c>
      <c r="Z669" t="str">
        <f>IF(X669="","",SUMIFS(#REF!,RM!$C$4:$C991,X669))</f>
        <v/>
      </c>
      <c r="AA669" t="str">
        <f>IF(X669="","",SUMIFS(#REF!,RM!$C$4:$C991,X669))</f>
        <v/>
      </c>
      <c r="AB669" t="str">
        <f>IF(X669="","",SUMIFS(IRegback!$Y$2:$Y1001,IRegback!$X$2:$X1001,X669))</f>
        <v/>
      </c>
      <c r="AC669" t="e">
        <f t="shared" si="9"/>
        <v>#VALUE!</v>
      </c>
      <c r="AD669" t="str">
        <f>IF(X669="","",VLOOKUP($X669,RM!$C$4:$G991,3,FALSE))</f>
        <v/>
      </c>
      <c r="AE669" t="str">
        <f>IF(X669="","",VLOOKUP($X669,RM!$C$4:$G991,4,FALSE))</f>
        <v/>
      </c>
      <c r="AF669" t="str">
        <f>IF(X669="","",VLOOKUP($X669,RM!$C$4:$G991,5,FALSE))</f>
        <v/>
      </c>
      <c r="AL669" t="e">
        <f ca="1">_xludf.IFNA(VLOOKUP(AH669,'S-FG'!$B$3:$B1001,1,FALSE),"")</f>
        <v>#NAME?</v>
      </c>
      <c r="AM669" t="str">
        <f>IF(AI669="","",SUMIFS(#REF!,RM!$C$4:$C991,AI669))</f>
        <v/>
      </c>
    </row>
    <row r="670" spans="5:39">
      <c r="E670" t="str">
        <f>IF(A670="","",SUMIFS('PR-BOM'!$D$3:$D1001,'PR-BOM'!$C$3:$C1001,A670)*C670)</f>
        <v/>
      </c>
      <c r="F670" t="e">
        <f ca="1">_xludf.IFNA(VLOOKUP(B670,'S-FG'!$B$3:$B1001,1,FALSE),"")</f>
        <v>#NAME?</v>
      </c>
      <c r="L670" t="str">
        <f t="shared" si="7"/>
        <v/>
      </c>
      <c r="Q670" t="str">
        <f>IF(N670="","",SUMIFS('PR-BOM'!$D$3:$D1001,'PR-BOM'!$C$3:$C1001,N670))</f>
        <v/>
      </c>
      <c r="Y670" t="str">
        <f t="shared" si="8"/>
        <v/>
      </c>
      <c r="Z670" t="str">
        <f>IF(X670="","",SUMIFS(#REF!,RM!$C$4:$C991,X670))</f>
        <v/>
      </c>
      <c r="AA670" t="str">
        <f>IF(X670="","",SUMIFS(#REF!,RM!$C$4:$C991,X670))</f>
        <v/>
      </c>
      <c r="AB670" t="str">
        <f>IF(X670="","",SUMIFS(IRegback!$Y$2:$Y1001,IRegback!$X$2:$X1001,X670))</f>
        <v/>
      </c>
      <c r="AC670" t="e">
        <f t="shared" si="9"/>
        <v>#VALUE!</v>
      </c>
      <c r="AD670" t="str">
        <f>IF(X670="","",VLOOKUP($X670,RM!$C$4:$G991,3,FALSE))</f>
        <v/>
      </c>
      <c r="AE670" t="str">
        <f>IF(X670="","",VLOOKUP($X670,RM!$C$4:$G991,4,FALSE))</f>
        <v/>
      </c>
      <c r="AF670" t="str">
        <f>IF(X670="","",VLOOKUP($X670,RM!$C$4:$G991,5,FALSE))</f>
        <v/>
      </c>
      <c r="AL670" t="e">
        <f ca="1">_xludf.IFNA(VLOOKUP(AH670,'S-FG'!$B$3:$B1001,1,FALSE),"")</f>
        <v>#NAME?</v>
      </c>
      <c r="AM670" t="str">
        <f>IF(AI670="","",SUMIFS(#REF!,RM!$C$4:$C991,AI670))</f>
        <v/>
      </c>
    </row>
    <row r="671" spans="5:39">
      <c r="E671" t="str">
        <f>IF(A671="","",SUMIFS('PR-BOM'!$D$3:$D1001,'PR-BOM'!$C$3:$C1001,A671)*C671)</f>
        <v/>
      </c>
      <c r="F671" t="e">
        <f ca="1">_xludf.IFNA(VLOOKUP(B671,'S-FG'!$B$3:$B1001,1,FALSE),"")</f>
        <v>#NAME?</v>
      </c>
      <c r="L671" t="str">
        <f t="shared" si="7"/>
        <v/>
      </c>
      <c r="Q671" t="str">
        <f>IF(N671="","",SUMIFS('PR-BOM'!$D$3:$D1001,'PR-BOM'!$C$3:$C1001,N671))</f>
        <v/>
      </c>
      <c r="Y671" t="str">
        <f t="shared" si="8"/>
        <v/>
      </c>
      <c r="Z671" t="str">
        <f>IF(X671="","",SUMIFS(#REF!,RM!$C$4:$C991,X671))</f>
        <v/>
      </c>
      <c r="AA671" t="str">
        <f>IF(X671="","",SUMIFS(#REF!,RM!$C$4:$C991,X671))</f>
        <v/>
      </c>
      <c r="AB671" t="str">
        <f>IF(X671="","",SUMIFS(IRegback!$Y$2:$Y1001,IRegback!$X$2:$X1001,X671))</f>
        <v/>
      </c>
      <c r="AC671" t="e">
        <f t="shared" si="9"/>
        <v>#VALUE!</v>
      </c>
      <c r="AD671" t="str">
        <f>IF(X671="","",VLOOKUP($X671,RM!$C$4:$G991,3,FALSE))</f>
        <v/>
      </c>
      <c r="AE671" t="str">
        <f>IF(X671="","",VLOOKUP($X671,RM!$C$4:$G991,4,FALSE))</f>
        <v/>
      </c>
      <c r="AF671" t="str">
        <f>IF(X671="","",VLOOKUP($X671,RM!$C$4:$G991,5,FALSE))</f>
        <v/>
      </c>
      <c r="AL671" t="e">
        <f ca="1">_xludf.IFNA(VLOOKUP(AH671,'S-FG'!$B$3:$B1001,1,FALSE),"")</f>
        <v>#NAME?</v>
      </c>
      <c r="AM671" t="str">
        <f>IF(AI671="","",SUMIFS(#REF!,RM!$C$4:$C991,AI671))</f>
        <v/>
      </c>
    </row>
    <row r="672" spans="5:39">
      <c r="E672" t="str">
        <f>IF(A672="","",SUMIFS('PR-BOM'!$D$3:$D1001,'PR-BOM'!$C$3:$C1001,A672)*C672)</f>
        <v/>
      </c>
      <c r="F672" t="e">
        <f ca="1">_xludf.IFNA(VLOOKUP(B672,'S-FG'!$B$3:$B1001,1,FALSE),"")</f>
        <v>#NAME?</v>
      </c>
      <c r="L672" t="str">
        <f t="shared" si="7"/>
        <v/>
      </c>
      <c r="Q672" t="str">
        <f>IF(N672="","",SUMIFS('PR-BOM'!$D$3:$D1001,'PR-BOM'!$C$3:$C1001,N672))</f>
        <v/>
      </c>
      <c r="Y672" t="str">
        <f t="shared" si="8"/>
        <v/>
      </c>
      <c r="Z672" t="str">
        <f>IF(X672="","",SUMIFS(#REF!,RM!$C$4:$C991,X672))</f>
        <v/>
      </c>
      <c r="AA672" t="str">
        <f>IF(X672="","",SUMIFS(#REF!,RM!$C$4:$C991,X672))</f>
        <v/>
      </c>
      <c r="AB672" t="str">
        <f>IF(X672="","",SUMIFS(IRegback!$Y$2:$Y1001,IRegback!$X$2:$X1001,X672))</f>
        <v/>
      </c>
      <c r="AC672" t="e">
        <f t="shared" si="9"/>
        <v>#VALUE!</v>
      </c>
      <c r="AD672" t="str">
        <f>IF(X672="","",VLOOKUP($X672,RM!$C$4:$G991,3,FALSE))</f>
        <v/>
      </c>
      <c r="AE672" t="str">
        <f>IF(X672="","",VLOOKUP($X672,RM!$C$4:$G991,4,FALSE))</f>
        <v/>
      </c>
      <c r="AF672" t="str">
        <f>IF(X672="","",VLOOKUP($X672,RM!$C$4:$G991,5,FALSE))</f>
        <v/>
      </c>
      <c r="AL672" t="e">
        <f ca="1">_xludf.IFNA(VLOOKUP(AH672,'S-FG'!$B$3:$B1001,1,FALSE),"")</f>
        <v>#NAME?</v>
      </c>
      <c r="AM672" t="str">
        <f>IF(AI672="","",SUMIFS(#REF!,RM!$C$4:$C991,AI672))</f>
        <v/>
      </c>
    </row>
    <row r="673" spans="5:39">
      <c r="E673" t="str">
        <f>IF(A673="","",SUMIFS('PR-BOM'!$D$3:$D1001,'PR-BOM'!$C$3:$C1001,A673)*C673)</f>
        <v/>
      </c>
      <c r="F673" t="e">
        <f ca="1">_xludf.IFNA(VLOOKUP(B673,'S-FG'!$B$3:$B1001,1,FALSE),"")</f>
        <v>#NAME?</v>
      </c>
      <c r="L673" t="str">
        <f t="shared" si="7"/>
        <v/>
      </c>
      <c r="Q673" t="str">
        <f>IF(N673="","",SUMIFS('PR-BOM'!$D$3:$D1001,'PR-BOM'!$C$3:$C1001,N673))</f>
        <v/>
      </c>
      <c r="Y673" t="str">
        <f t="shared" si="8"/>
        <v/>
      </c>
      <c r="Z673" t="str">
        <f>IF(X673="","",SUMIFS(#REF!,RM!$C$4:$C991,X673))</f>
        <v/>
      </c>
      <c r="AA673" t="str">
        <f>IF(X673="","",SUMIFS(#REF!,RM!$C$4:$C991,X673))</f>
        <v/>
      </c>
      <c r="AB673" t="str">
        <f>IF(X673="","",SUMIFS(IRegback!$Y$2:$Y1001,IRegback!$X$2:$X1001,X673))</f>
        <v/>
      </c>
      <c r="AC673" t="e">
        <f t="shared" si="9"/>
        <v>#VALUE!</v>
      </c>
      <c r="AD673" t="str">
        <f>IF(X673="","",VLOOKUP($X673,RM!$C$4:$G991,3,FALSE))</f>
        <v/>
      </c>
      <c r="AE673" t="str">
        <f>IF(X673="","",VLOOKUP($X673,RM!$C$4:$G991,4,FALSE))</f>
        <v/>
      </c>
      <c r="AF673" t="str">
        <f>IF(X673="","",VLOOKUP($X673,RM!$C$4:$G991,5,FALSE))</f>
        <v/>
      </c>
      <c r="AL673" t="e">
        <f ca="1">_xludf.IFNA(VLOOKUP(AH673,'S-FG'!$B$3:$B1001,1,FALSE),"")</f>
        <v>#NAME?</v>
      </c>
      <c r="AM673" t="str">
        <f>IF(AI673="","",SUMIFS(#REF!,RM!$C$4:$C991,AI673))</f>
        <v/>
      </c>
    </row>
    <row r="674" spans="5:39">
      <c r="E674" t="str">
        <f>IF(A674="","",SUMIFS('PR-BOM'!$D$3:$D1001,'PR-BOM'!$C$3:$C1001,A674)*C674)</f>
        <v/>
      </c>
      <c r="F674" t="e">
        <f ca="1">_xludf.IFNA(VLOOKUP(B674,'S-FG'!$B$3:$B1001,1,FALSE),"")</f>
        <v>#NAME?</v>
      </c>
      <c r="L674" t="str">
        <f t="shared" si="7"/>
        <v/>
      </c>
      <c r="Q674" t="str">
        <f>IF(N674="","",SUMIFS('PR-BOM'!$D$3:$D1001,'PR-BOM'!$C$3:$C1001,N674))</f>
        <v/>
      </c>
      <c r="Y674" t="str">
        <f t="shared" si="8"/>
        <v/>
      </c>
      <c r="Z674" t="str">
        <f>IF(X674="","",SUMIFS(#REF!,RM!$C$4:$C991,X674))</f>
        <v/>
      </c>
      <c r="AA674" t="str">
        <f>IF(X674="","",SUMIFS(#REF!,RM!$C$4:$C991,X674))</f>
        <v/>
      </c>
      <c r="AB674" t="str">
        <f>IF(X674="","",SUMIFS(IRegback!$Y$2:$Y1001,IRegback!$X$2:$X1001,X674))</f>
        <v/>
      </c>
      <c r="AC674" t="e">
        <f t="shared" si="9"/>
        <v>#VALUE!</v>
      </c>
      <c r="AD674" t="str">
        <f>IF(X674="","",VLOOKUP($X674,RM!$C$4:$G991,3,FALSE))</f>
        <v/>
      </c>
      <c r="AE674" t="str">
        <f>IF(X674="","",VLOOKUP($X674,RM!$C$4:$G991,4,FALSE))</f>
        <v/>
      </c>
      <c r="AF674" t="str">
        <f>IF(X674="","",VLOOKUP($X674,RM!$C$4:$G991,5,FALSE))</f>
        <v/>
      </c>
      <c r="AL674" t="e">
        <f ca="1">_xludf.IFNA(VLOOKUP(AH674,'S-FG'!$B$3:$B1001,1,FALSE),"")</f>
        <v>#NAME?</v>
      </c>
      <c r="AM674" t="str">
        <f>IF(AI674="","",SUMIFS(#REF!,RM!$C$4:$C991,AI674))</f>
        <v/>
      </c>
    </row>
    <row r="675" spans="5:39">
      <c r="E675" t="str">
        <f>IF(A675="","",SUMIFS('PR-BOM'!$D$3:$D1001,'PR-BOM'!$C$3:$C1001,A675)*C675)</f>
        <v/>
      </c>
      <c r="F675" t="e">
        <f ca="1">_xludf.IFNA(VLOOKUP(B675,'S-FG'!$B$3:$B1001,1,FALSE),"")</f>
        <v>#NAME?</v>
      </c>
      <c r="L675" t="str">
        <f t="shared" si="7"/>
        <v/>
      </c>
      <c r="Q675" t="str">
        <f>IF(N675="","",SUMIFS('PR-BOM'!$D$3:$D1001,'PR-BOM'!$C$3:$C1001,N675))</f>
        <v/>
      </c>
      <c r="Y675" t="str">
        <f t="shared" si="8"/>
        <v/>
      </c>
      <c r="Z675" t="str">
        <f>IF(X675="","",SUMIFS(#REF!,RM!$C$4:$C991,X675))</f>
        <v/>
      </c>
      <c r="AA675" t="str">
        <f>IF(X675="","",SUMIFS(#REF!,RM!$C$4:$C991,X675))</f>
        <v/>
      </c>
      <c r="AB675" t="str">
        <f>IF(X675="","",SUMIFS(IRegback!$Y$2:$Y1001,IRegback!$X$2:$X1001,X675))</f>
        <v/>
      </c>
      <c r="AC675" t="e">
        <f t="shared" si="9"/>
        <v>#VALUE!</v>
      </c>
      <c r="AD675" t="str">
        <f>IF(X675="","",VLOOKUP($X675,RM!$C$4:$G991,3,FALSE))</f>
        <v/>
      </c>
      <c r="AE675" t="str">
        <f>IF(X675="","",VLOOKUP($X675,RM!$C$4:$G991,4,FALSE))</f>
        <v/>
      </c>
      <c r="AF675" t="str">
        <f>IF(X675="","",VLOOKUP($X675,RM!$C$4:$G991,5,FALSE))</f>
        <v/>
      </c>
      <c r="AL675" t="e">
        <f ca="1">_xludf.IFNA(VLOOKUP(AH675,'S-FG'!$B$3:$B1001,1,FALSE),"")</f>
        <v>#NAME?</v>
      </c>
      <c r="AM675" t="str">
        <f>IF(AI675="","",SUMIFS(#REF!,RM!$C$4:$C991,AI675))</f>
        <v/>
      </c>
    </row>
    <row r="676" spans="5:39">
      <c r="E676" t="str">
        <f>IF(A676="","",SUMIFS('PR-BOM'!$D$3:$D1001,'PR-BOM'!$C$3:$C1001,A676)*C676)</f>
        <v/>
      </c>
      <c r="F676" t="e">
        <f ca="1">_xludf.IFNA(VLOOKUP(B676,'S-FG'!$B$3:$B1001,1,FALSE),"")</f>
        <v>#NAME?</v>
      </c>
      <c r="L676" t="str">
        <f t="shared" si="7"/>
        <v/>
      </c>
      <c r="Q676" t="str">
        <f>IF(N676="","",SUMIFS('PR-BOM'!$D$3:$D1001,'PR-BOM'!$C$3:$C1001,N676))</f>
        <v/>
      </c>
      <c r="Y676" t="str">
        <f t="shared" si="8"/>
        <v/>
      </c>
      <c r="Z676" t="str">
        <f>IF(X676="","",SUMIFS(#REF!,RM!$C$4:$C991,X676))</f>
        <v/>
      </c>
      <c r="AA676" t="str">
        <f>IF(X676="","",SUMIFS(#REF!,RM!$C$4:$C991,X676))</f>
        <v/>
      </c>
      <c r="AB676" t="str">
        <f>IF(X676="","",SUMIFS(IRegback!$Y$2:$Y1001,IRegback!$X$2:$X1001,X676))</f>
        <v/>
      </c>
      <c r="AC676" t="e">
        <f t="shared" si="9"/>
        <v>#VALUE!</v>
      </c>
      <c r="AD676" t="str">
        <f>IF(X676="","",VLOOKUP($X676,RM!$C$4:$G991,3,FALSE))</f>
        <v/>
      </c>
      <c r="AE676" t="str">
        <f>IF(X676="","",VLOOKUP($X676,RM!$C$4:$G991,4,FALSE))</f>
        <v/>
      </c>
      <c r="AF676" t="str">
        <f>IF(X676="","",VLOOKUP($X676,RM!$C$4:$G991,5,FALSE))</f>
        <v/>
      </c>
      <c r="AL676" t="e">
        <f ca="1">_xludf.IFNA(VLOOKUP(AH676,'S-FG'!$B$3:$B1001,1,FALSE),"")</f>
        <v>#NAME?</v>
      </c>
      <c r="AM676" t="str">
        <f>IF(AI676="","",SUMIFS(#REF!,RM!$C$4:$C991,AI676))</f>
        <v/>
      </c>
    </row>
    <row r="677" spans="5:39">
      <c r="E677" t="str">
        <f>IF(A677="","",SUMIFS('PR-BOM'!$D$3:$D1001,'PR-BOM'!$C$3:$C1001,A677)*C677)</f>
        <v/>
      </c>
      <c r="F677" t="e">
        <f ca="1">_xludf.IFNA(VLOOKUP(B677,'S-FG'!$B$3:$B1001,1,FALSE),"")</f>
        <v>#NAME?</v>
      </c>
      <c r="L677" t="str">
        <f t="shared" si="7"/>
        <v/>
      </c>
      <c r="Q677" t="str">
        <f>IF(N677="","",SUMIFS('PR-BOM'!$D$3:$D1001,'PR-BOM'!$C$3:$C1001,N677))</f>
        <v/>
      </c>
      <c r="Y677" t="str">
        <f t="shared" si="8"/>
        <v/>
      </c>
      <c r="Z677" t="str">
        <f>IF(X677="","",SUMIFS(#REF!,RM!$C$4:$C991,X677))</f>
        <v/>
      </c>
      <c r="AA677" t="str">
        <f>IF(X677="","",SUMIFS(#REF!,RM!$C$4:$C991,X677))</f>
        <v/>
      </c>
      <c r="AB677" t="str">
        <f>IF(X677="","",SUMIFS(IRegback!$Y$2:$Y1001,IRegback!$X$2:$X1001,X677))</f>
        <v/>
      </c>
      <c r="AC677" t="e">
        <f t="shared" si="9"/>
        <v>#VALUE!</v>
      </c>
      <c r="AD677" t="str">
        <f>IF(X677="","",VLOOKUP($X677,RM!$C$4:$G991,3,FALSE))</f>
        <v/>
      </c>
      <c r="AE677" t="str">
        <f>IF(X677="","",VLOOKUP($X677,RM!$C$4:$G991,4,FALSE))</f>
        <v/>
      </c>
      <c r="AF677" t="str">
        <f>IF(X677="","",VLOOKUP($X677,RM!$C$4:$G991,5,FALSE))</f>
        <v/>
      </c>
      <c r="AL677" t="e">
        <f ca="1">_xludf.IFNA(VLOOKUP(AH677,'S-FG'!$B$3:$B1001,1,FALSE),"")</f>
        <v>#NAME?</v>
      </c>
      <c r="AM677" t="str">
        <f>IF(AI677="","",SUMIFS(#REF!,RM!$C$4:$C991,AI677))</f>
        <v/>
      </c>
    </row>
    <row r="678" spans="5:39">
      <c r="E678" t="str">
        <f>IF(A678="","",SUMIFS('PR-BOM'!$D$3:$D1001,'PR-BOM'!$C$3:$C1001,A678)*C678)</f>
        <v/>
      </c>
      <c r="F678" t="e">
        <f ca="1">_xludf.IFNA(VLOOKUP(B678,'S-FG'!$B$3:$B1001,1,FALSE),"")</f>
        <v>#NAME?</v>
      </c>
      <c r="L678" t="str">
        <f t="shared" si="7"/>
        <v/>
      </c>
      <c r="Q678" t="str">
        <f>IF(N678="","",SUMIFS('PR-BOM'!$D$3:$D1001,'PR-BOM'!$C$3:$C1001,N678))</f>
        <v/>
      </c>
      <c r="Y678" t="str">
        <f t="shared" si="8"/>
        <v/>
      </c>
      <c r="Z678" t="str">
        <f>IF(X678="","",SUMIFS(#REF!,RM!$C$4:$C991,X678))</f>
        <v/>
      </c>
      <c r="AA678" t="str">
        <f>IF(X678="","",SUMIFS(#REF!,RM!$C$4:$C991,X678))</f>
        <v/>
      </c>
      <c r="AB678" t="str">
        <f>IF(X678="","",SUMIFS(IRegback!$Y$2:$Y1001,IRegback!$X$2:$X1001,X678))</f>
        <v/>
      </c>
      <c r="AC678" t="e">
        <f t="shared" si="9"/>
        <v>#VALUE!</v>
      </c>
      <c r="AD678" t="str">
        <f>IF(X678="","",VLOOKUP($X678,RM!$C$4:$G991,3,FALSE))</f>
        <v/>
      </c>
      <c r="AE678" t="str">
        <f>IF(X678="","",VLOOKUP($X678,RM!$C$4:$G991,4,FALSE))</f>
        <v/>
      </c>
      <c r="AF678" t="str">
        <f>IF(X678="","",VLOOKUP($X678,RM!$C$4:$G991,5,FALSE))</f>
        <v/>
      </c>
      <c r="AL678" t="e">
        <f ca="1">_xludf.IFNA(VLOOKUP(AH678,'S-FG'!$B$3:$B1001,1,FALSE),"")</f>
        <v>#NAME?</v>
      </c>
      <c r="AM678" t="str">
        <f>IF(AI678="","",SUMIFS(#REF!,RM!$C$4:$C991,AI678))</f>
        <v/>
      </c>
    </row>
    <row r="679" spans="5:39">
      <c r="E679" t="str">
        <f>IF(A679="","",SUMIFS('PR-BOM'!$D$3:$D1001,'PR-BOM'!$C$3:$C1001,A679)*C679)</f>
        <v/>
      </c>
      <c r="F679" t="e">
        <f ca="1">_xludf.IFNA(VLOOKUP(B679,'S-FG'!$B$3:$B1001,1,FALSE),"")</f>
        <v>#NAME?</v>
      </c>
      <c r="L679" t="str">
        <f t="shared" si="7"/>
        <v/>
      </c>
      <c r="Q679" t="str">
        <f>IF(N679="","",SUMIFS('PR-BOM'!$D$3:$D1001,'PR-BOM'!$C$3:$C1001,N679))</f>
        <v/>
      </c>
      <c r="Y679" t="str">
        <f t="shared" si="8"/>
        <v/>
      </c>
      <c r="Z679" t="str">
        <f>IF(X679="","",SUMIFS(#REF!,RM!$C$4:$C991,X679))</f>
        <v/>
      </c>
      <c r="AA679" t="str">
        <f>IF(X679="","",SUMIFS(#REF!,RM!$C$4:$C991,X679))</f>
        <v/>
      </c>
      <c r="AB679" t="str">
        <f>IF(X679="","",SUMIFS(IRegback!$Y$2:$Y1001,IRegback!$X$2:$X1001,X679))</f>
        <v/>
      </c>
      <c r="AC679" t="e">
        <f t="shared" si="9"/>
        <v>#VALUE!</v>
      </c>
      <c r="AD679" t="str">
        <f>IF(X679="","",VLOOKUP($X679,RM!$C$4:$G991,3,FALSE))</f>
        <v/>
      </c>
      <c r="AE679" t="str">
        <f>IF(X679="","",VLOOKUP($X679,RM!$C$4:$G991,4,FALSE))</f>
        <v/>
      </c>
      <c r="AF679" t="str">
        <f>IF(X679="","",VLOOKUP($X679,RM!$C$4:$G991,5,FALSE))</f>
        <v/>
      </c>
      <c r="AL679" t="e">
        <f ca="1">_xludf.IFNA(VLOOKUP(AH679,'S-FG'!$B$3:$B1001,1,FALSE),"")</f>
        <v>#NAME?</v>
      </c>
      <c r="AM679" t="str">
        <f>IF(AI679="","",SUMIFS(#REF!,RM!$C$4:$C991,AI679))</f>
        <v/>
      </c>
    </row>
    <row r="680" spans="5:39">
      <c r="E680" t="str">
        <f>IF(A680="","",SUMIFS('PR-BOM'!$D$3:$D1001,'PR-BOM'!$C$3:$C1001,A680)*C680)</f>
        <v/>
      </c>
      <c r="F680" t="e">
        <f ca="1">_xludf.IFNA(VLOOKUP(B680,'S-FG'!$B$3:$B1001,1,FALSE),"")</f>
        <v>#NAME?</v>
      </c>
      <c r="L680" t="str">
        <f t="shared" si="7"/>
        <v/>
      </c>
      <c r="Q680" t="str">
        <f>IF(N680="","",SUMIFS('PR-BOM'!$D$3:$D1001,'PR-BOM'!$C$3:$C1001,N680))</f>
        <v/>
      </c>
      <c r="Y680" t="str">
        <f t="shared" si="8"/>
        <v/>
      </c>
      <c r="Z680" t="str">
        <f>IF(X680="","",SUMIFS(#REF!,RM!$C$4:$C991,X680))</f>
        <v/>
      </c>
      <c r="AA680" t="str">
        <f>IF(X680="","",SUMIFS(#REF!,RM!$C$4:$C991,X680))</f>
        <v/>
      </c>
      <c r="AB680" t="str">
        <f>IF(X680="","",SUMIFS(IRegback!$Y$2:$Y1001,IRegback!$X$2:$X1001,X680))</f>
        <v/>
      </c>
      <c r="AC680" t="e">
        <f t="shared" si="9"/>
        <v>#VALUE!</v>
      </c>
      <c r="AD680" t="str">
        <f>IF(X680="","",VLOOKUP($X680,RM!$C$4:$G991,3,FALSE))</f>
        <v/>
      </c>
      <c r="AE680" t="str">
        <f>IF(X680="","",VLOOKUP($X680,RM!$C$4:$G991,4,FALSE))</f>
        <v/>
      </c>
      <c r="AF680" t="str">
        <f>IF(X680="","",VLOOKUP($X680,RM!$C$4:$G991,5,FALSE))</f>
        <v/>
      </c>
      <c r="AL680" t="e">
        <f ca="1">_xludf.IFNA(VLOOKUP(AH680,'S-FG'!$B$3:$B1001,1,FALSE),"")</f>
        <v>#NAME?</v>
      </c>
      <c r="AM680" t="str">
        <f>IF(AI680="","",SUMIFS(#REF!,RM!$C$4:$C991,AI680))</f>
        <v/>
      </c>
    </row>
    <row r="681" spans="5:39">
      <c r="E681" t="str">
        <f>IF(A681="","",SUMIFS('PR-BOM'!$D$3:$D1001,'PR-BOM'!$C$3:$C1001,A681)*C681)</f>
        <v/>
      </c>
      <c r="F681" t="e">
        <f ca="1">_xludf.IFNA(VLOOKUP(B681,'S-FG'!$B$3:$B1001,1,FALSE),"")</f>
        <v>#NAME?</v>
      </c>
      <c r="L681" t="str">
        <f t="shared" si="7"/>
        <v/>
      </c>
      <c r="Q681" t="str">
        <f>IF(N681="","",SUMIFS('PR-BOM'!$D$3:$D1001,'PR-BOM'!$C$3:$C1001,N681))</f>
        <v/>
      </c>
      <c r="Y681" t="str">
        <f t="shared" si="8"/>
        <v/>
      </c>
      <c r="Z681" t="str">
        <f>IF(X681="","",SUMIFS(#REF!,RM!$C$4:$C991,X681))</f>
        <v/>
      </c>
      <c r="AA681" t="str">
        <f>IF(X681="","",SUMIFS(#REF!,RM!$C$4:$C991,X681))</f>
        <v/>
      </c>
      <c r="AB681" t="str">
        <f>IF(X681="","",SUMIFS(IRegback!$Y$2:$Y1001,IRegback!$X$2:$X1001,X681))</f>
        <v/>
      </c>
      <c r="AC681" t="e">
        <f t="shared" si="9"/>
        <v>#VALUE!</v>
      </c>
      <c r="AD681" t="str">
        <f>IF(X681="","",VLOOKUP($X681,RM!$C$4:$G991,3,FALSE))</f>
        <v/>
      </c>
      <c r="AE681" t="str">
        <f>IF(X681="","",VLOOKUP($X681,RM!$C$4:$G991,4,FALSE))</f>
        <v/>
      </c>
      <c r="AF681" t="str">
        <f>IF(X681="","",VLOOKUP($X681,RM!$C$4:$G991,5,FALSE))</f>
        <v/>
      </c>
      <c r="AL681" t="e">
        <f ca="1">_xludf.IFNA(VLOOKUP(AH681,'S-FG'!$B$3:$B1001,1,FALSE),"")</f>
        <v>#NAME?</v>
      </c>
      <c r="AM681" t="str">
        <f>IF(AI681="","",SUMIFS(#REF!,RM!$C$4:$C991,AI681))</f>
        <v/>
      </c>
    </row>
    <row r="682" spans="5:39">
      <c r="E682" t="str">
        <f>IF(A682="","",SUMIFS('PR-BOM'!$D$3:$D1001,'PR-BOM'!$C$3:$C1001,A682)*C682)</f>
        <v/>
      </c>
      <c r="F682" t="e">
        <f ca="1">_xludf.IFNA(VLOOKUP(B682,'S-FG'!$B$3:$B1001,1,FALSE),"")</f>
        <v>#NAME?</v>
      </c>
      <c r="L682" t="str">
        <f t="shared" si="7"/>
        <v/>
      </c>
      <c r="Q682" t="str">
        <f>IF(N682="","",SUMIFS('PR-BOM'!$D$3:$D1001,'PR-BOM'!$C$3:$C1001,N682))</f>
        <v/>
      </c>
      <c r="Y682" t="str">
        <f t="shared" si="8"/>
        <v/>
      </c>
      <c r="Z682" t="str">
        <f>IF(X682="","",SUMIFS(#REF!,RM!$C$4:$C991,X682))</f>
        <v/>
      </c>
      <c r="AA682" t="str">
        <f>IF(X682="","",SUMIFS(#REF!,RM!$C$4:$C991,X682))</f>
        <v/>
      </c>
      <c r="AB682" t="str">
        <f>IF(X682="","",SUMIFS(IRegback!$Y$2:$Y1001,IRegback!$X$2:$X1001,X682))</f>
        <v/>
      </c>
      <c r="AC682" t="e">
        <f t="shared" si="9"/>
        <v>#VALUE!</v>
      </c>
      <c r="AD682" t="str">
        <f>IF(X682="","",VLOOKUP($X682,RM!$C$4:$G991,3,FALSE))</f>
        <v/>
      </c>
      <c r="AE682" t="str">
        <f>IF(X682="","",VLOOKUP($X682,RM!$C$4:$G991,4,FALSE))</f>
        <v/>
      </c>
      <c r="AF682" t="str">
        <f>IF(X682="","",VLOOKUP($X682,RM!$C$4:$G991,5,FALSE))</f>
        <v/>
      </c>
      <c r="AL682" t="e">
        <f ca="1">_xludf.IFNA(VLOOKUP(AH682,'S-FG'!$B$3:$B1001,1,FALSE),"")</f>
        <v>#NAME?</v>
      </c>
      <c r="AM682" t="str">
        <f>IF(AI682="","",SUMIFS(#REF!,RM!$C$4:$C991,AI682))</f>
        <v/>
      </c>
    </row>
    <row r="683" spans="5:39">
      <c r="E683" t="str">
        <f>IF(A683="","",SUMIFS('PR-BOM'!$D$3:$D1001,'PR-BOM'!$C$3:$C1001,A683)*C683)</f>
        <v/>
      </c>
      <c r="F683" t="e">
        <f ca="1">_xludf.IFNA(VLOOKUP(B683,'S-FG'!$B$3:$B1001,1,FALSE),"")</f>
        <v>#NAME?</v>
      </c>
      <c r="L683" t="str">
        <f t="shared" si="7"/>
        <v/>
      </c>
      <c r="Q683" t="str">
        <f>IF(N683="","",SUMIFS('PR-BOM'!$D$3:$D1001,'PR-BOM'!$C$3:$C1001,N683))</f>
        <v/>
      </c>
      <c r="Y683" t="str">
        <f t="shared" si="8"/>
        <v/>
      </c>
      <c r="Z683" t="str">
        <f>IF(X683="","",SUMIFS(#REF!,RM!$C$4:$C991,X683))</f>
        <v/>
      </c>
      <c r="AA683" t="str">
        <f>IF(X683="","",SUMIFS(#REF!,RM!$C$4:$C991,X683))</f>
        <v/>
      </c>
      <c r="AB683" t="str">
        <f>IF(X683="","",SUMIFS(IRegback!$Y$2:$Y1001,IRegback!$X$2:$X1001,X683))</f>
        <v/>
      </c>
      <c r="AC683" t="e">
        <f t="shared" si="9"/>
        <v>#VALUE!</v>
      </c>
      <c r="AD683" t="str">
        <f>IF(X683="","",VLOOKUP($X683,RM!$C$4:$G991,3,FALSE))</f>
        <v/>
      </c>
      <c r="AE683" t="str">
        <f>IF(X683="","",VLOOKUP($X683,RM!$C$4:$G991,4,FALSE))</f>
        <v/>
      </c>
      <c r="AF683" t="str">
        <f>IF(X683="","",VLOOKUP($X683,RM!$C$4:$G991,5,FALSE))</f>
        <v/>
      </c>
      <c r="AL683" t="e">
        <f ca="1">_xludf.IFNA(VLOOKUP(AH683,'S-FG'!$B$3:$B1001,1,FALSE),"")</f>
        <v>#NAME?</v>
      </c>
      <c r="AM683" t="str">
        <f>IF(AI683="","",SUMIFS(#REF!,RM!$C$4:$C991,AI683))</f>
        <v/>
      </c>
    </row>
    <row r="684" spans="5:39">
      <c r="E684" t="str">
        <f>IF(A684="","",SUMIFS('PR-BOM'!$D$3:$D1001,'PR-BOM'!$C$3:$C1001,A684)*C684)</f>
        <v/>
      </c>
      <c r="F684" t="e">
        <f ca="1">_xludf.IFNA(VLOOKUP(B684,'S-FG'!$B$3:$B1001,1,FALSE),"")</f>
        <v>#NAME?</v>
      </c>
      <c r="L684" t="str">
        <f t="shared" si="7"/>
        <v/>
      </c>
      <c r="Q684" t="str">
        <f>IF(N684="","",SUMIFS('PR-BOM'!$D$3:$D1001,'PR-BOM'!$C$3:$C1001,N684))</f>
        <v/>
      </c>
      <c r="Y684" t="str">
        <f t="shared" si="8"/>
        <v/>
      </c>
      <c r="Z684" t="str">
        <f>IF(X684="","",SUMIFS(#REF!,RM!$C$4:$C991,X684))</f>
        <v/>
      </c>
      <c r="AA684" t="str">
        <f>IF(X684="","",SUMIFS(#REF!,RM!$C$4:$C991,X684))</f>
        <v/>
      </c>
      <c r="AB684" t="str">
        <f>IF(X684="","",SUMIFS(IRegback!$Y$2:$Y1001,IRegback!$X$2:$X1001,X684))</f>
        <v/>
      </c>
      <c r="AC684" t="e">
        <f t="shared" si="9"/>
        <v>#VALUE!</v>
      </c>
      <c r="AD684" t="str">
        <f>IF(X684="","",VLOOKUP($X684,RM!$C$4:$G991,3,FALSE))</f>
        <v/>
      </c>
      <c r="AE684" t="str">
        <f>IF(X684="","",VLOOKUP($X684,RM!$C$4:$G991,4,FALSE))</f>
        <v/>
      </c>
      <c r="AF684" t="str">
        <f>IF(X684="","",VLOOKUP($X684,RM!$C$4:$G991,5,FALSE))</f>
        <v/>
      </c>
      <c r="AL684" t="e">
        <f ca="1">_xludf.IFNA(VLOOKUP(AH684,'S-FG'!$B$3:$B1001,1,FALSE),"")</f>
        <v>#NAME?</v>
      </c>
      <c r="AM684" t="str">
        <f>IF(AI684="","",SUMIFS(#REF!,RM!$C$4:$C991,AI684))</f>
        <v/>
      </c>
    </row>
    <row r="685" spans="5:39">
      <c r="E685" t="str">
        <f>IF(A685="","",SUMIFS('PR-BOM'!$D$3:$D1001,'PR-BOM'!$C$3:$C1001,A685)*C685)</f>
        <v/>
      </c>
      <c r="F685" t="e">
        <f ca="1">_xludf.IFNA(VLOOKUP(B685,'S-FG'!$B$3:$B1001,1,FALSE),"")</f>
        <v>#NAME?</v>
      </c>
      <c r="L685" t="str">
        <f t="shared" si="7"/>
        <v/>
      </c>
      <c r="Q685" t="str">
        <f>IF(N685="","",SUMIFS('PR-BOM'!$D$3:$D1001,'PR-BOM'!$C$3:$C1001,N685))</f>
        <v/>
      </c>
      <c r="Y685" t="str">
        <f t="shared" si="8"/>
        <v/>
      </c>
      <c r="Z685" t="str">
        <f>IF(X685="","",SUMIFS(#REF!,RM!$C$4:$C991,X685))</f>
        <v/>
      </c>
      <c r="AA685" t="str">
        <f>IF(X685="","",SUMIFS(#REF!,RM!$C$4:$C991,X685))</f>
        <v/>
      </c>
      <c r="AB685" t="str">
        <f>IF(X685="","",SUMIFS(IRegback!$Y$2:$Y1001,IRegback!$X$2:$X1001,X685))</f>
        <v/>
      </c>
      <c r="AC685" t="e">
        <f t="shared" si="9"/>
        <v>#VALUE!</v>
      </c>
      <c r="AD685" t="str">
        <f>IF(X685="","",VLOOKUP($X685,RM!$C$4:$G991,3,FALSE))</f>
        <v/>
      </c>
      <c r="AE685" t="str">
        <f>IF(X685="","",VLOOKUP($X685,RM!$C$4:$G991,4,FALSE))</f>
        <v/>
      </c>
      <c r="AF685" t="str">
        <f>IF(X685="","",VLOOKUP($X685,RM!$C$4:$G991,5,FALSE))</f>
        <v/>
      </c>
      <c r="AL685" t="e">
        <f ca="1">_xludf.IFNA(VLOOKUP(AH685,'S-FG'!$B$3:$B1001,1,FALSE),"")</f>
        <v>#NAME?</v>
      </c>
      <c r="AM685" t="str">
        <f>IF(AI685="","",SUMIFS(#REF!,RM!$C$4:$C991,AI685))</f>
        <v/>
      </c>
    </row>
    <row r="686" spans="5:39">
      <c r="E686" t="str">
        <f>IF(A686="","",SUMIFS('PR-BOM'!$D$3:$D1001,'PR-BOM'!$C$3:$C1001,A686)*C686)</f>
        <v/>
      </c>
      <c r="F686" t="e">
        <f ca="1">_xludf.IFNA(VLOOKUP(B686,'S-FG'!$B$3:$B1001,1,FALSE),"")</f>
        <v>#NAME?</v>
      </c>
      <c r="L686" t="str">
        <f t="shared" si="7"/>
        <v/>
      </c>
      <c r="Q686" t="str">
        <f>IF(N686="","",SUMIFS('PR-BOM'!$D$3:$D1001,'PR-BOM'!$C$3:$C1001,N686))</f>
        <v/>
      </c>
      <c r="Y686" t="str">
        <f t="shared" si="8"/>
        <v/>
      </c>
      <c r="Z686" t="str">
        <f>IF(X686="","",SUMIFS(#REF!,RM!$C$4:$C991,X686))</f>
        <v/>
      </c>
      <c r="AA686" t="str">
        <f>IF(X686="","",SUMIFS(#REF!,RM!$C$4:$C991,X686))</f>
        <v/>
      </c>
      <c r="AB686" t="str">
        <f>IF(X686="","",SUMIFS(IRegback!$Y$2:$Y1001,IRegback!$X$2:$X1001,X686))</f>
        <v/>
      </c>
      <c r="AC686" t="e">
        <f t="shared" si="9"/>
        <v>#VALUE!</v>
      </c>
      <c r="AD686" t="str">
        <f>IF(X686="","",VLOOKUP($X686,RM!$C$4:$G991,3,FALSE))</f>
        <v/>
      </c>
      <c r="AE686" t="str">
        <f>IF(X686="","",VLOOKUP($X686,RM!$C$4:$G991,4,FALSE))</f>
        <v/>
      </c>
      <c r="AF686" t="str">
        <f>IF(X686="","",VLOOKUP($X686,RM!$C$4:$G991,5,FALSE))</f>
        <v/>
      </c>
      <c r="AL686" t="e">
        <f ca="1">_xludf.IFNA(VLOOKUP(AH686,'S-FG'!$B$3:$B1001,1,FALSE),"")</f>
        <v>#NAME?</v>
      </c>
      <c r="AM686" t="str">
        <f>IF(AI686="","",SUMIFS(#REF!,RM!$C$4:$C991,AI686))</f>
        <v/>
      </c>
    </row>
    <row r="687" spans="5:39">
      <c r="E687" t="str">
        <f>IF(A687="","",SUMIFS('PR-BOM'!$D$3:$D1001,'PR-BOM'!$C$3:$C1001,A687)*C687)</f>
        <v/>
      </c>
      <c r="F687" t="e">
        <f ca="1">_xludf.IFNA(VLOOKUP(B687,'S-FG'!$B$3:$B1001,1,FALSE),"")</f>
        <v>#NAME?</v>
      </c>
      <c r="L687" t="str">
        <f t="shared" si="7"/>
        <v/>
      </c>
      <c r="Q687" t="str">
        <f>IF(N687="","",SUMIFS('PR-BOM'!$D$3:$D1001,'PR-BOM'!$C$3:$C1001,N687))</f>
        <v/>
      </c>
      <c r="Y687" t="str">
        <f t="shared" si="8"/>
        <v/>
      </c>
      <c r="Z687" t="str">
        <f>IF(X687="","",SUMIFS(#REF!,RM!$C$4:$C991,X687))</f>
        <v/>
      </c>
      <c r="AA687" t="str">
        <f>IF(X687="","",SUMIFS(#REF!,RM!$C$4:$C991,X687))</f>
        <v/>
      </c>
      <c r="AB687" t="str">
        <f>IF(X687="","",SUMIFS(IRegback!$Y$2:$Y1001,IRegback!$X$2:$X1001,X687))</f>
        <v/>
      </c>
      <c r="AC687" t="e">
        <f t="shared" si="9"/>
        <v>#VALUE!</v>
      </c>
      <c r="AD687" t="str">
        <f>IF(X687="","",VLOOKUP($X687,RM!$C$4:$G991,3,FALSE))</f>
        <v/>
      </c>
      <c r="AE687" t="str">
        <f>IF(X687="","",VLOOKUP($X687,RM!$C$4:$G991,4,FALSE))</f>
        <v/>
      </c>
      <c r="AF687" t="str">
        <f>IF(X687="","",VLOOKUP($X687,RM!$C$4:$G991,5,FALSE))</f>
        <v/>
      </c>
      <c r="AL687" t="e">
        <f ca="1">_xludf.IFNA(VLOOKUP(AH687,'S-FG'!$B$3:$B1001,1,FALSE),"")</f>
        <v>#NAME?</v>
      </c>
      <c r="AM687" t="str">
        <f>IF(AI687="","",SUMIFS(#REF!,RM!$C$4:$C991,AI687))</f>
        <v/>
      </c>
    </row>
    <row r="688" spans="5:39">
      <c r="E688" t="str">
        <f>IF(A688="","",SUMIFS('PR-BOM'!$D$3:$D1001,'PR-BOM'!$C$3:$C1001,A688)*C688)</f>
        <v/>
      </c>
      <c r="F688" t="e">
        <f ca="1">_xludf.IFNA(VLOOKUP(B688,'S-FG'!$B$3:$B1001,1,FALSE),"")</f>
        <v>#NAME?</v>
      </c>
      <c r="L688" t="str">
        <f t="shared" si="7"/>
        <v/>
      </c>
      <c r="Q688" t="str">
        <f>IF(N688="","",SUMIFS('PR-BOM'!$D$3:$D1001,'PR-BOM'!$C$3:$C1001,N688))</f>
        <v/>
      </c>
      <c r="Y688" t="str">
        <f t="shared" si="8"/>
        <v/>
      </c>
      <c r="Z688" t="str">
        <f>IF(X688="","",SUMIFS(#REF!,RM!$C$4:$C991,X688))</f>
        <v/>
      </c>
      <c r="AA688" t="str">
        <f>IF(X688="","",SUMIFS(#REF!,RM!$C$4:$C991,X688))</f>
        <v/>
      </c>
      <c r="AB688" t="str">
        <f>IF(X688="","",SUMIFS(IRegback!$Y$2:$Y1001,IRegback!$X$2:$X1001,X688))</f>
        <v/>
      </c>
      <c r="AC688" t="e">
        <f t="shared" si="9"/>
        <v>#VALUE!</v>
      </c>
      <c r="AD688" t="str">
        <f>IF(X688="","",VLOOKUP($X688,RM!$C$4:$G991,3,FALSE))</f>
        <v/>
      </c>
      <c r="AE688" t="str">
        <f>IF(X688="","",VLOOKUP($X688,RM!$C$4:$G991,4,FALSE))</f>
        <v/>
      </c>
      <c r="AF688" t="str">
        <f>IF(X688="","",VLOOKUP($X688,RM!$C$4:$G991,5,FALSE))</f>
        <v/>
      </c>
      <c r="AL688" t="e">
        <f ca="1">_xludf.IFNA(VLOOKUP(AH688,'S-FG'!$B$3:$B1001,1,FALSE),"")</f>
        <v>#NAME?</v>
      </c>
      <c r="AM688" t="str">
        <f>IF(AI688="","",SUMIFS(#REF!,RM!$C$4:$C991,AI688))</f>
        <v/>
      </c>
    </row>
    <row r="689" spans="5:39">
      <c r="E689" t="str">
        <f>IF(A689="","",SUMIFS('PR-BOM'!$D$3:$D1001,'PR-BOM'!$C$3:$C1001,A689)*C689)</f>
        <v/>
      </c>
      <c r="F689" t="e">
        <f ca="1">_xludf.IFNA(VLOOKUP(B689,'S-FG'!$B$3:$B1001,1,FALSE),"")</f>
        <v>#NAME?</v>
      </c>
      <c r="L689" t="str">
        <f t="shared" si="7"/>
        <v/>
      </c>
      <c r="Q689" t="str">
        <f>IF(N689="","",SUMIFS('PR-BOM'!$D$3:$D1001,'PR-BOM'!$C$3:$C1001,N689))</f>
        <v/>
      </c>
      <c r="Y689" t="str">
        <f t="shared" si="8"/>
        <v/>
      </c>
      <c r="Z689" t="str">
        <f>IF(X689="","",SUMIFS(#REF!,RM!$C$4:$C991,X689))</f>
        <v/>
      </c>
      <c r="AA689" t="str">
        <f>IF(X689="","",SUMIFS(#REF!,RM!$C$4:$C991,X689))</f>
        <v/>
      </c>
      <c r="AB689" t="str">
        <f>IF(X689="","",SUMIFS(IRegback!$Y$2:$Y1001,IRegback!$X$2:$X1001,X689))</f>
        <v/>
      </c>
      <c r="AC689" t="e">
        <f t="shared" si="9"/>
        <v>#VALUE!</v>
      </c>
      <c r="AD689" t="str">
        <f>IF(X689="","",VLOOKUP($X689,RM!$C$4:$G991,3,FALSE))</f>
        <v/>
      </c>
      <c r="AE689" t="str">
        <f>IF(X689="","",VLOOKUP($X689,RM!$C$4:$G991,4,FALSE))</f>
        <v/>
      </c>
      <c r="AF689" t="str">
        <f>IF(X689="","",VLOOKUP($X689,RM!$C$4:$G991,5,FALSE))</f>
        <v/>
      </c>
      <c r="AL689" t="e">
        <f ca="1">_xludf.IFNA(VLOOKUP(AH689,'S-FG'!$B$3:$B1001,1,FALSE),"")</f>
        <v>#NAME?</v>
      </c>
      <c r="AM689" t="str">
        <f>IF(AI689="","",SUMIFS(#REF!,RM!$C$4:$C991,AI689))</f>
        <v/>
      </c>
    </row>
    <row r="690" spans="5:39">
      <c r="E690" t="str">
        <f>IF(A690="","",SUMIFS('PR-BOM'!$D$3:$D1001,'PR-BOM'!$C$3:$C1001,A690)*C690)</f>
        <v/>
      </c>
      <c r="F690" t="e">
        <f ca="1">_xludf.IFNA(VLOOKUP(B690,'S-FG'!$B$3:$B1001,1,FALSE),"")</f>
        <v>#NAME?</v>
      </c>
      <c r="L690" t="str">
        <f t="shared" si="7"/>
        <v/>
      </c>
      <c r="Q690" t="str">
        <f>IF(N690="","",SUMIFS('PR-BOM'!$D$3:$D1001,'PR-BOM'!$C$3:$C1001,N690))</f>
        <v/>
      </c>
      <c r="Y690" t="str">
        <f t="shared" si="8"/>
        <v/>
      </c>
      <c r="Z690" t="str">
        <f>IF(X690="","",SUMIFS(#REF!,RM!$C$4:$C991,X690))</f>
        <v/>
      </c>
      <c r="AA690" t="str">
        <f>IF(X690="","",SUMIFS(#REF!,RM!$C$4:$C991,X690))</f>
        <v/>
      </c>
      <c r="AB690" t="str">
        <f>IF(X690="","",SUMIFS(IRegback!$Y$2:$Y1001,IRegback!$X$2:$X1001,X690))</f>
        <v/>
      </c>
      <c r="AC690" t="e">
        <f t="shared" si="9"/>
        <v>#VALUE!</v>
      </c>
      <c r="AD690" t="str">
        <f>IF(X690="","",VLOOKUP($X690,RM!$C$4:$G991,3,FALSE))</f>
        <v/>
      </c>
      <c r="AE690" t="str">
        <f>IF(X690="","",VLOOKUP($X690,RM!$C$4:$G991,4,FALSE))</f>
        <v/>
      </c>
      <c r="AF690" t="str">
        <f>IF(X690="","",VLOOKUP($X690,RM!$C$4:$G991,5,FALSE))</f>
        <v/>
      </c>
      <c r="AL690" t="e">
        <f ca="1">_xludf.IFNA(VLOOKUP(AH690,'S-FG'!$B$3:$B1001,1,FALSE),"")</f>
        <v>#NAME?</v>
      </c>
      <c r="AM690" t="str">
        <f>IF(AI690="","",SUMIFS(#REF!,RM!$C$4:$C991,AI690))</f>
        <v/>
      </c>
    </row>
    <row r="691" spans="5:39">
      <c r="E691" t="str">
        <f>IF(A691="","",SUMIFS('PR-BOM'!$D$3:$D1001,'PR-BOM'!$C$3:$C1001,A691)*C691)</f>
        <v/>
      </c>
      <c r="F691" t="e">
        <f ca="1">_xludf.IFNA(VLOOKUP(B691,'S-FG'!$B$3:$B1001,1,FALSE),"")</f>
        <v>#NAME?</v>
      </c>
      <c r="L691" t="str">
        <f t="shared" si="7"/>
        <v/>
      </c>
      <c r="Q691" t="str">
        <f>IF(N691="","",SUMIFS('PR-BOM'!$D$3:$D1001,'PR-BOM'!$C$3:$C1001,N691))</f>
        <v/>
      </c>
      <c r="Y691" t="str">
        <f t="shared" si="8"/>
        <v/>
      </c>
      <c r="Z691" t="str">
        <f>IF(X691="","",SUMIFS(#REF!,RM!$C$4:$C991,X691))</f>
        <v/>
      </c>
      <c r="AA691" t="str">
        <f>IF(X691="","",SUMIFS(#REF!,RM!$C$4:$C991,X691))</f>
        <v/>
      </c>
      <c r="AB691" t="str">
        <f>IF(X691="","",SUMIFS(IRegback!$Y$2:$Y1001,IRegback!$X$2:$X1001,X691))</f>
        <v/>
      </c>
      <c r="AC691" t="e">
        <f t="shared" si="9"/>
        <v>#VALUE!</v>
      </c>
      <c r="AD691" t="str">
        <f>IF(X691="","",VLOOKUP($X691,RM!$C$4:$G991,3,FALSE))</f>
        <v/>
      </c>
      <c r="AE691" t="str">
        <f>IF(X691="","",VLOOKUP($X691,RM!$C$4:$G991,4,FALSE))</f>
        <v/>
      </c>
      <c r="AF691" t="str">
        <f>IF(X691="","",VLOOKUP($X691,RM!$C$4:$G991,5,FALSE))</f>
        <v/>
      </c>
      <c r="AL691" t="e">
        <f ca="1">_xludf.IFNA(VLOOKUP(AH691,'S-FG'!$B$3:$B1001,1,FALSE),"")</f>
        <v>#NAME?</v>
      </c>
      <c r="AM691" t="str">
        <f>IF(AI691="","",SUMIFS(#REF!,RM!$C$4:$C991,AI691))</f>
        <v/>
      </c>
    </row>
    <row r="692" spans="5:39">
      <c r="E692" t="str">
        <f>IF(A692="","",SUMIFS('PR-BOM'!$D$3:$D1001,'PR-BOM'!$C$3:$C1001,A692)*C692)</f>
        <v/>
      </c>
      <c r="F692" t="e">
        <f ca="1">_xludf.IFNA(VLOOKUP(B692,'S-FG'!$B$3:$B1001,1,FALSE),"")</f>
        <v>#NAME?</v>
      </c>
      <c r="L692" t="str">
        <f t="shared" si="7"/>
        <v/>
      </c>
      <c r="Q692" t="str">
        <f>IF(N692="","",SUMIFS('PR-BOM'!$D$3:$D1001,'PR-BOM'!$C$3:$C1001,N692))</f>
        <v/>
      </c>
      <c r="Y692" t="str">
        <f t="shared" si="8"/>
        <v/>
      </c>
      <c r="Z692" t="str">
        <f>IF(X692="","",SUMIFS(#REF!,RM!$C$4:$C991,X692))</f>
        <v/>
      </c>
      <c r="AA692" t="str">
        <f>IF(X692="","",SUMIFS(#REF!,RM!$C$4:$C991,X692))</f>
        <v/>
      </c>
      <c r="AB692" t="str">
        <f>IF(X692="","",SUMIFS(IRegback!$Y$2:$Y1001,IRegback!$X$2:$X1001,X692))</f>
        <v/>
      </c>
      <c r="AC692" t="e">
        <f t="shared" si="9"/>
        <v>#VALUE!</v>
      </c>
      <c r="AD692" t="str">
        <f>IF(X692="","",VLOOKUP($X692,RM!$C$4:$G991,3,FALSE))</f>
        <v/>
      </c>
      <c r="AE692" t="str">
        <f>IF(X692="","",VLOOKUP($X692,RM!$C$4:$G991,4,FALSE))</f>
        <v/>
      </c>
      <c r="AF692" t="str">
        <f>IF(X692="","",VLOOKUP($X692,RM!$C$4:$G991,5,FALSE))</f>
        <v/>
      </c>
      <c r="AL692" t="e">
        <f ca="1">_xludf.IFNA(VLOOKUP(AH692,'S-FG'!$B$3:$B1001,1,FALSE),"")</f>
        <v>#NAME?</v>
      </c>
      <c r="AM692" t="str">
        <f>IF(AI692="","",SUMIFS(#REF!,RM!$C$4:$C991,AI692))</f>
        <v/>
      </c>
    </row>
    <row r="693" spans="5:39">
      <c r="E693" t="str">
        <f>IF(A693="","",SUMIFS('PR-BOM'!$D$3:$D1001,'PR-BOM'!$C$3:$C1001,A693)*C693)</f>
        <v/>
      </c>
      <c r="F693" t="e">
        <f ca="1">_xludf.IFNA(VLOOKUP(B693,'S-FG'!$B$3:$B1001,1,FALSE),"")</f>
        <v>#NAME?</v>
      </c>
      <c r="L693" t="str">
        <f t="shared" si="7"/>
        <v/>
      </c>
      <c r="Q693" t="str">
        <f>IF(N693="","",SUMIFS('PR-BOM'!$D$3:$D1001,'PR-BOM'!$C$3:$C1001,N693))</f>
        <v/>
      </c>
      <c r="Y693" t="str">
        <f t="shared" si="8"/>
        <v/>
      </c>
      <c r="Z693" t="str">
        <f>IF(X693="","",SUMIFS(#REF!,RM!$C$4:$C991,X693))</f>
        <v/>
      </c>
      <c r="AA693" t="str">
        <f>IF(X693="","",SUMIFS(#REF!,RM!$C$4:$C991,X693))</f>
        <v/>
      </c>
      <c r="AB693" t="str">
        <f>IF(X693="","",SUMIFS(IRegback!$Y$2:$Y1001,IRegback!$X$2:$X1001,X693))</f>
        <v/>
      </c>
      <c r="AC693" t="e">
        <f t="shared" si="9"/>
        <v>#VALUE!</v>
      </c>
      <c r="AD693" t="str">
        <f>IF(X693="","",VLOOKUP($X693,RM!$C$4:$G991,3,FALSE))</f>
        <v/>
      </c>
      <c r="AE693" t="str">
        <f>IF(X693="","",VLOOKUP($X693,RM!$C$4:$G991,4,FALSE))</f>
        <v/>
      </c>
      <c r="AF693" t="str">
        <f>IF(X693="","",VLOOKUP($X693,RM!$C$4:$G991,5,FALSE))</f>
        <v/>
      </c>
      <c r="AL693" t="e">
        <f ca="1">_xludf.IFNA(VLOOKUP(AH693,'S-FG'!$B$3:$B1001,1,FALSE),"")</f>
        <v>#NAME?</v>
      </c>
      <c r="AM693" t="str">
        <f>IF(AI693="","",SUMIFS(#REF!,RM!$C$4:$C991,AI693))</f>
        <v/>
      </c>
    </row>
    <row r="694" spans="5:39">
      <c r="E694" t="str">
        <f>IF(A694="","",SUMIFS('PR-BOM'!$D$3:$D1001,'PR-BOM'!$C$3:$C1001,A694)*C694)</f>
        <v/>
      </c>
      <c r="F694" t="e">
        <f ca="1">_xludf.IFNA(VLOOKUP(B694,'S-FG'!$B$3:$B1001,1,FALSE),"")</f>
        <v>#NAME?</v>
      </c>
      <c r="L694" t="str">
        <f t="shared" si="7"/>
        <v/>
      </c>
      <c r="Q694" t="str">
        <f>IF(N694="","",SUMIFS('PR-BOM'!$D$3:$D1001,'PR-BOM'!$C$3:$C1001,N694))</f>
        <v/>
      </c>
      <c r="Y694" t="str">
        <f t="shared" si="8"/>
        <v/>
      </c>
      <c r="Z694" t="str">
        <f>IF(X694="","",SUMIFS(#REF!,RM!$C$4:$C991,X694))</f>
        <v/>
      </c>
      <c r="AA694" t="str">
        <f>IF(X694="","",SUMIFS(#REF!,RM!$C$4:$C991,X694))</f>
        <v/>
      </c>
      <c r="AB694" t="str">
        <f>IF(X694="","",SUMIFS(IRegback!$Y$2:$Y1001,IRegback!$X$2:$X1001,X694))</f>
        <v/>
      </c>
      <c r="AC694" t="e">
        <f t="shared" si="9"/>
        <v>#VALUE!</v>
      </c>
      <c r="AD694" t="str">
        <f>IF(X694="","",VLOOKUP($X694,RM!$C$4:$G991,3,FALSE))</f>
        <v/>
      </c>
      <c r="AE694" t="str">
        <f>IF(X694="","",VLOOKUP($X694,RM!$C$4:$G991,4,FALSE))</f>
        <v/>
      </c>
      <c r="AF694" t="str">
        <f>IF(X694="","",VLOOKUP($X694,RM!$C$4:$G991,5,FALSE))</f>
        <v/>
      </c>
      <c r="AL694" t="e">
        <f ca="1">_xludf.IFNA(VLOOKUP(AH694,'S-FG'!$B$3:$B1001,1,FALSE),"")</f>
        <v>#NAME?</v>
      </c>
      <c r="AM694" t="str">
        <f>IF(AI694="","",SUMIFS(#REF!,RM!$C$4:$C991,AI694))</f>
        <v/>
      </c>
    </row>
    <row r="695" spans="5:39">
      <c r="E695" t="str">
        <f>IF(A695="","",SUMIFS('PR-BOM'!$D$3:$D1001,'PR-BOM'!$C$3:$C1001,A695)*C695)</f>
        <v/>
      </c>
      <c r="F695" t="e">
        <f ca="1">_xludf.IFNA(VLOOKUP(B695,'S-FG'!$B$3:$B1001,1,FALSE),"")</f>
        <v>#NAME?</v>
      </c>
      <c r="L695" t="str">
        <f t="shared" si="7"/>
        <v/>
      </c>
      <c r="Q695" t="str">
        <f>IF(N695="","",SUMIFS('PR-BOM'!$D$3:$D1001,'PR-BOM'!$C$3:$C1001,N695))</f>
        <v/>
      </c>
      <c r="Y695" t="str">
        <f t="shared" si="8"/>
        <v/>
      </c>
      <c r="Z695" t="str">
        <f>IF(X695="","",SUMIFS(#REF!,RM!$C$4:$C991,X695))</f>
        <v/>
      </c>
      <c r="AA695" t="str">
        <f>IF(X695="","",SUMIFS(#REF!,RM!$C$4:$C991,X695))</f>
        <v/>
      </c>
      <c r="AB695" t="str">
        <f>IF(X695="","",SUMIFS(IRegback!$Y$2:$Y1001,IRegback!$X$2:$X1001,X695))</f>
        <v/>
      </c>
      <c r="AC695" t="e">
        <f t="shared" si="9"/>
        <v>#VALUE!</v>
      </c>
      <c r="AD695" t="str">
        <f>IF(X695="","",VLOOKUP($X695,RM!$C$4:$G991,3,FALSE))</f>
        <v/>
      </c>
      <c r="AE695" t="str">
        <f>IF(X695="","",VLOOKUP($X695,RM!$C$4:$G991,4,FALSE))</f>
        <v/>
      </c>
      <c r="AF695" t="str">
        <f>IF(X695="","",VLOOKUP($X695,RM!$C$4:$G991,5,FALSE))</f>
        <v/>
      </c>
      <c r="AL695" t="e">
        <f ca="1">_xludf.IFNA(VLOOKUP(AH695,'S-FG'!$B$3:$B1001,1,FALSE),"")</f>
        <v>#NAME?</v>
      </c>
      <c r="AM695" t="str">
        <f>IF(AI695="","",SUMIFS(#REF!,RM!$C$4:$C991,AI695))</f>
        <v/>
      </c>
    </row>
    <row r="696" spans="5:39">
      <c r="E696" t="str">
        <f>IF(A696="","",SUMIFS('PR-BOM'!$D$3:$D1001,'PR-BOM'!$C$3:$C1001,A696)*C696)</f>
        <v/>
      </c>
      <c r="F696" t="e">
        <f ca="1">_xludf.IFNA(VLOOKUP(B696,'S-FG'!$B$3:$B1001,1,FALSE),"")</f>
        <v>#NAME?</v>
      </c>
      <c r="L696" t="str">
        <f t="shared" si="7"/>
        <v/>
      </c>
      <c r="Q696" t="str">
        <f>IF(N696="","",SUMIFS('PR-BOM'!$D$3:$D1001,'PR-BOM'!$C$3:$C1001,N696))</f>
        <v/>
      </c>
      <c r="Y696" t="str">
        <f t="shared" si="8"/>
        <v/>
      </c>
      <c r="Z696" t="str">
        <f>IF(X696="","",SUMIFS(#REF!,RM!$C$4:$C991,X696))</f>
        <v/>
      </c>
      <c r="AA696" t="str">
        <f>IF(X696="","",SUMIFS(#REF!,RM!$C$4:$C991,X696))</f>
        <v/>
      </c>
      <c r="AB696" t="str">
        <f>IF(X696="","",SUMIFS(IRegback!$Y$2:$Y1001,IRegback!$X$2:$X1001,X696))</f>
        <v/>
      </c>
      <c r="AC696" t="e">
        <f t="shared" si="9"/>
        <v>#VALUE!</v>
      </c>
      <c r="AD696" t="str">
        <f>IF(X696="","",VLOOKUP($X696,RM!$C$4:$G991,3,FALSE))</f>
        <v/>
      </c>
      <c r="AE696" t="str">
        <f>IF(X696="","",VLOOKUP($X696,RM!$C$4:$G991,4,FALSE))</f>
        <v/>
      </c>
      <c r="AF696" t="str">
        <f>IF(X696="","",VLOOKUP($X696,RM!$C$4:$G991,5,FALSE))</f>
        <v/>
      </c>
      <c r="AL696" t="e">
        <f ca="1">_xludf.IFNA(VLOOKUP(AH696,'S-FG'!$B$3:$B1001,1,FALSE),"")</f>
        <v>#NAME?</v>
      </c>
      <c r="AM696" t="str">
        <f>IF(AI696="","",SUMIFS(#REF!,RM!$C$4:$C991,AI696))</f>
        <v/>
      </c>
    </row>
    <row r="697" spans="5:39">
      <c r="E697" t="str">
        <f>IF(A697="","",SUMIFS('PR-BOM'!$D$3:$D1001,'PR-BOM'!$C$3:$C1001,A697)*C697)</f>
        <v/>
      </c>
      <c r="F697" t="e">
        <f ca="1">_xludf.IFNA(VLOOKUP(B697,'S-FG'!$B$3:$B1001,1,FALSE),"")</f>
        <v>#NAME?</v>
      </c>
      <c r="L697" t="str">
        <f t="shared" si="7"/>
        <v/>
      </c>
      <c r="Q697" t="str">
        <f>IF(N697="","",SUMIFS('PR-BOM'!$D$3:$D1001,'PR-BOM'!$C$3:$C1001,N697))</f>
        <v/>
      </c>
      <c r="Y697" t="str">
        <f t="shared" si="8"/>
        <v/>
      </c>
      <c r="Z697" t="str">
        <f>IF(X697="","",SUMIFS(#REF!,RM!$C$4:$C991,X697))</f>
        <v/>
      </c>
      <c r="AA697" t="str">
        <f>IF(X697="","",SUMIFS(#REF!,RM!$C$4:$C991,X697))</f>
        <v/>
      </c>
      <c r="AB697" t="str">
        <f>IF(X697="","",SUMIFS(IRegback!$Y$2:$Y1001,IRegback!$X$2:$X1001,X697))</f>
        <v/>
      </c>
      <c r="AC697" t="e">
        <f t="shared" si="9"/>
        <v>#VALUE!</v>
      </c>
      <c r="AD697" t="str">
        <f>IF(X697="","",VLOOKUP($X697,RM!$C$4:$G991,3,FALSE))</f>
        <v/>
      </c>
      <c r="AE697" t="str">
        <f>IF(X697="","",VLOOKUP($X697,RM!$C$4:$G991,4,FALSE))</f>
        <v/>
      </c>
      <c r="AF697" t="str">
        <f>IF(X697="","",VLOOKUP($X697,RM!$C$4:$G991,5,FALSE))</f>
        <v/>
      </c>
      <c r="AL697" t="e">
        <f ca="1">_xludf.IFNA(VLOOKUP(AH697,'S-FG'!$B$3:$B1001,1,FALSE),"")</f>
        <v>#NAME?</v>
      </c>
      <c r="AM697" t="str">
        <f>IF(AI697="","",SUMIFS(#REF!,RM!$C$4:$C991,AI697))</f>
        <v/>
      </c>
    </row>
    <row r="698" spans="5:39">
      <c r="E698" t="str">
        <f>IF(A698="","",SUMIFS('PR-BOM'!$D$3:$D1001,'PR-BOM'!$C$3:$C1001,A698)*C698)</f>
        <v/>
      </c>
      <c r="F698" t="e">
        <f ca="1">_xludf.IFNA(VLOOKUP(B698,'S-FG'!$B$3:$B1001,1,FALSE),"")</f>
        <v>#NAME?</v>
      </c>
      <c r="L698" t="str">
        <f t="shared" si="7"/>
        <v/>
      </c>
      <c r="Q698" t="str">
        <f>IF(N698="","",SUMIFS('PR-BOM'!$D$3:$D1001,'PR-BOM'!$C$3:$C1001,N698))</f>
        <v/>
      </c>
      <c r="Y698" t="str">
        <f t="shared" si="8"/>
        <v/>
      </c>
      <c r="Z698" t="str">
        <f>IF(X698="","",SUMIFS(#REF!,RM!$C$4:$C991,X698))</f>
        <v/>
      </c>
      <c r="AA698" t="str">
        <f>IF(X698="","",SUMIFS(#REF!,RM!$C$4:$C991,X698))</f>
        <v/>
      </c>
      <c r="AB698" t="str">
        <f>IF(X698="","",SUMIFS(IRegback!$Y$2:$Y1001,IRegback!$X$2:$X1001,X698))</f>
        <v/>
      </c>
      <c r="AC698" t="e">
        <f t="shared" si="9"/>
        <v>#VALUE!</v>
      </c>
      <c r="AD698" t="str">
        <f>IF(X698="","",VLOOKUP($X698,RM!$C$4:$G991,3,FALSE))</f>
        <v/>
      </c>
      <c r="AE698" t="str">
        <f>IF(X698="","",VLOOKUP($X698,RM!$C$4:$G991,4,FALSE))</f>
        <v/>
      </c>
      <c r="AF698" t="str">
        <f>IF(X698="","",VLOOKUP($X698,RM!$C$4:$G991,5,FALSE))</f>
        <v/>
      </c>
      <c r="AL698" t="e">
        <f ca="1">_xludf.IFNA(VLOOKUP(AH698,'S-FG'!$B$3:$B1001,1,FALSE),"")</f>
        <v>#NAME?</v>
      </c>
      <c r="AM698" t="str">
        <f>IF(AI698="","",SUMIFS(#REF!,RM!$C$4:$C991,AI698))</f>
        <v/>
      </c>
    </row>
    <row r="699" spans="5:39">
      <c r="E699" t="str">
        <f>IF(A699="","",SUMIFS('PR-BOM'!$D$3:$D1001,'PR-BOM'!$C$3:$C1001,A699)*C699)</f>
        <v/>
      </c>
      <c r="F699" t="e">
        <f ca="1">_xludf.IFNA(VLOOKUP(B699,'S-FG'!$B$3:$B1001,1,FALSE),"")</f>
        <v>#NAME?</v>
      </c>
      <c r="L699" t="str">
        <f t="shared" si="7"/>
        <v/>
      </c>
      <c r="Q699" t="str">
        <f>IF(N699="","",SUMIFS('PR-BOM'!$D$3:$D1001,'PR-BOM'!$C$3:$C1001,N699))</f>
        <v/>
      </c>
      <c r="Y699" t="str">
        <f t="shared" si="8"/>
        <v/>
      </c>
      <c r="Z699" t="str">
        <f>IF(X699="","",SUMIFS(#REF!,RM!$C$4:$C991,X699))</f>
        <v/>
      </c>
      <c r="AA699" t="str">
        <f>IF(X699="","",SUMIFS(#REF!,RM!$C$4:$C991,X699))</f>
        <v/>
      </c>
      <c r="AB699" t="str">
        <f>IF(X699="","",SUMIFS(IRegback!$Y$2:$Y1001,IRegback!$X$2:$X1001,X699))</f>
        <v/>
      </c>
      <c r="AC699" t="e">
        <f t="shared" si="9"/>
        <v>#VALUE!</v>
      </c>
      <c r="AD699" t="str">
        <f>IF(X699="","",VLOOKUP($X699,RM!$C$4:$G991,3,FALSE))</f>
        <v/>
      </c>
      <c r="AE699" t="str">
        <f>IF(X699="","",VLOOKUP($X699,RM!$C$4:$G991,4,FALSE))</f>
        <v/>
      </c>
      <c r="AF699" t="str">
        <f>IF(X699="","",VLOOKUP($X699,RM!$C$4:$G991,5,FALSE))</f>
        <v/>
      </c>
      <c r="AL699" t="e">
        <f ca="1">_xludf.IFNA(VLOOKUP(AH699,'S-FG'!$B$3:$B1001,1,FALSE),"")</f>
        <v>#NAME?</v>
      </c>
      <c r="AM699" t="str">
        <f>IF(AI699="","",SUMIFS(#REF!,RM!$C$4:$C991,AI699))</f>
        <v/>
      </c>
    </row>
    <row r="700" spans="5:39">
      <c r="E700" t="str">
        <f>IF(A700="","",SUMIFS('PR-BOM'!$D$3:$D1001,'PR-BOM'!$C$3:$C1001,A700)*C700)</f>
        <v/>
      </c>
      <c r="F700" t="e">
        <f ca="1">_xludf.IFNA(VLOOKUP(B700,'S-FG'!$B$3:$B1001,1,FALSE),"")</f>
        <v>#NAME?</v>
      </c>
      <c r="L700" t="str">
        <f t="shared" si="7"/>
        <v/>
      </c>
      <c r="Q700" t="str">
        <f>IF(N700="","",SUMIFS('PR-BOM'!$D$3:$D1001,'PR-BOM'!$C$3:$C1001,N700))</f>
        <v/>
      </c>
      <c r="Y700" t="str">
        <f t="shared" si="8"/>
        <v/>
      </c>
      <c r="Z700" t="str">
        <f>IF(X700="","",SUMIFS(#REF!,RM!$C$4:$C991,X700))</f>
        <v/>
      </c>
      <c r="AA700" t="str">
        <f>IF(X700="","",SUMIFS(#REF!,RM!$C$4:$C991,X700))</f>
        <v/>
      </c>
      <c r="AB700" t="str">
        <f>IF(X700="","",SUMIFS(IRegback!$Y$2:$Y1001,IRegback!$X$2:$X1001,X700))</f>
        <v/>
      </c>
      <c r="AC700" t="e">
        <f t="shared" si="9"/>
        <v>#VALUE!</v>
      </c>
      <c r="AD700" t="str">
        <f>IF(X700="","",VLOOKUP($X700,RM!$C$4:$G991,3,FALSE))</f>
        <v/>
      </c>
      <c r="AE700" t="str">
        <f>IF(X700="","",VLOOKUP($X700,RM!$C$4:$G991,4,FALSE))</f>
        <v/>
      </c>
      <c r="AF700" t="str">
        <f>IF(X700="","",VLOOKUP($X700,RM!$C$4:$G991,5,FALSE))</f>
        <v/>
      </c>
      <c r="AL700" t="e">
        <f ca="1">_xludf.IFNA(VLOOKUP(AH700,'S-FG'!$B$3:$B1001,1,FALSE),"")</f>
        <v>#NAME?</v>
      </c>
      <c r="AM700" t="str">
        <f>IF(AI700="","",SUMIFS(#REF!,RM!$C$4:$C991,AI700))</f>
        <v/>
      </c>
    </row>
    <row r="701" spans="5:39">
      <c r="E701" t="str">
        <f>IF(A701="","",SUMIFS('PR-BOM'!$D$3:$D1001,'PR-BOM'!$C$3:$C1001,A701)*C701)</f>
        <v/>
      </c>
      <c r="F701" t="e">
        <f ca="1">_xludf.IFNA(VLOOKUP(B701,'S-FG'!$B$3:$B1001,1,FALSE),"")</f>
        <v>#NAME?</v>
      </c>
      <c r="L701" t="str">
        <f t="shared" si="7"/>
        <v/>
      </c>
      <c r="Q701" t="str">
        <f>IF(N701="","",SUMIFS('PR-BOM'!$D$3:$D1001,'PR-BOM'!$C$3:$C1001,N701))</f>
        <v/>
      </c>
      <c r="Y701" t="str">
        <f t="shared" si="8"/>
        <v/>
      </c>
      <c r="Z701" t="str">
        <f>IF(X701="","",SUMIFS(#REF!,RM!$C$4:$C991,X701))</f>
        <v/>
      </c>
      <c r="AA701" t="str">
        <f>IF(X701="","",SUMIFS(#REF!,RM!$C$4:$C991,X701))</f>
        <v/>
      </c>
      <c r="AB701" t="str">
        <f>IF(X701="","",SUMIFS(IRegback!$Y$2:$Y1001,IRegback!$X$2:$X1001,X701))</f>
        <v/>
      </c>
      <c r="AC701" t="e">
        <f t="shared" si="9"/>
        <v>#VALUE!</v>
      </c>
      <c r="AD701" t="str">
        <f>IF(X701="","",VLOOKUP($X701,RM!$C$4:$G991,3,FALSE))</f>
        <v/>
      </c>
      <c r="AE701" t="str">
        <f>IF(X701="","",VLOOKUP($X701,RM!$C$4:$G991,4,FALSE))</f>
        <v/>
      </c>
      <c r="AF701" t="str">
        <f>IF(X701="","",VLOOKUP($X701,RM!$C$4:$G991,5,FALSE))</f>
        <v/>
      </c>
      <c r="AL701" t="e">
        <f ca="1">_xludf.IFNA(VLOOKUP(AH701,'S-FG'!$B$3:$B1001,1,FALSE),"")</f>
        <v>#NAME?</v>
      </c>
      <c r="AM701" t="str">
        <f>IF(AI701="","",SUMIFS(#REF!,RM!$C$4:$C991,AI701))</f>
        <v/>
      </c>
    </row>
    <row r="702" spans="5:39">
      <c r="E702" t="str">
        <f>IF(A702="","",SUMIFS('PR-BOM'!$D$3:$D1001,'PR-BOM'!$C$3:$C1001,A702)*C702)</f>
        <v/>
      </c>
      <c r="F702" t="e">
        <f ca="1">_xludf.IFNA(VLOOKUP(B702,'S-FG'!$B$3:$B1001,1,FALSE),"")</f>
        <v>#NAME?</v>
      </c>
      <c r="L702" t="str">
        <f t="shared" si="7"/>
        <v/>
      </c>
      <c r="Q702" t="str">
        <f>IF(N702="","",SUMIFS('PR-BOM'!$D$3:$D1001,'PR-BOM'!$C$3:$C1001,N702))</f>
        <v/>
      </c>
      <c r="Y702" t="str">
        <f t="shared" si="8"/>
        <v/>
      </c>
      <c r="Z702" t="str">
        <f>IF(X702="","",SUMIFS(#REF!,RM!$C$4:$C991,X702))</f>
        <v/>
      </c>
      <c r="AA702" t="str">
        <f>IF(X702="","",SUMIFS(#REF!,RM!$C$4:$C991,X702))</f>
        <v/>
      </c>
      <c r="AB702" t="str">
        <f>IF(X702="","",SUMIFS(IRegback!$Y$2:$Y1001,IRegback!$X$2:$X1001,X702))</f>
        <v/>
      </c>
      <c r="AC702" t="e">
        <f t="shared" si="9"/>
        <v>#VALUE!</v>
      </c>
      <c r="AD702" t="str">
        <f>IF(X702="","",VLOOKUP($X702,RM!$C$4:$G991,3,FALSE))</f>
        <v/>
      </c>
      <c r="AE702" t="str">
        <f>IF(X702="","",VLOOKUP($X702,RM!$C$4:$G991,4,FALSE))</f>
        <v/>
      </c>
      <c r="AF702" t="str">
        <f>IF(X702="","",VLOOKUP($X702,RM!$C$4:$G991,5,FALSE))</f>
        <v/>
      </c>
      <c r="AL702" t="e">
        <f ca="1">_xludf.IFNA(VLOOKUP(AH702,'S-FG'!$B$3:$B1001,1,FALSE),"")</f>
        <v>#NAME?</v>
      </c>
      <c r="AM702" t="str">
        <f>IF(AI702="","",SUMIFS(#REF!,RM!$C$4:$C991,AI702))</f>
        <v/>
      </c>
    </row>
    <row r="703" spans="5:39">
      <c r="E703" t="str">
        <f>IF(A703="","",SUMIFS('PR-BOM'!$D$3:$D1001,'PR-BOM'!$C$3:$C1001,A703)*C703)</f>
        <v/>
      </c>
      <c r="F703" t="e">
        <f ca="1">_xludf.IFNA(VLOOKUP(B703,'S-FG'!$B$3:$B1001,1,FALSE),"")</f>
        <v>#NAME?</v>
      </c>
      <c r="L703" t="str">
        <f t="shared" si="7"/>
        <v/>
      </c>
      <c r="Q703" t="str">
        <f>IF(N703="","",SUMIFS('PR-BOM'!$D$3:$D1001,'PR-BOM'!$C$3:$C1001,N703))</f>
        <v/>
      </c>
      <c r="Y703" t="str">
        <f t="shared" si="8"/>
        <v/>
      </c>
      <c r="Z703" t="str">
        <f>IF(X703="","",SUMIFS(#REF!,RM!$C$4:$C991,X703))</f>
        <v/>
      </c>
      <c r="AA703" t="str">
        <f>IF(X703="","",SUMIFS(#REF!,RM!$C$4:$C991,X703))</f>
        <v/>
      </c>
      <c r="AB703" t="str">
        <f>IF(X703="","",SUMIFS(IRegback!$Y$2:$Y1001,IRegback!$X$2:$X1001,X703))</f>
        <v/>
      </c>
      <c r="AC703" t="e">
        <f t="shared" si="9"/>
        <v>#VALUE!</v>
      </c>
      <c r="AD703" t="str">
        <f>IF(X703="","",VLOOKUP($X703,RM!$C$4:$G991,3,FALSE))</f>
        <v/>
      </c>
      <c r="AE703" t="str">
        <f>IF(X703="","",VLOOKUP($X703,RM!$C$4:$G991,4,FALSE))</f>
        <v/>
      </c>
      <c r="AF703" t="str">
        <f>IF(X703="","",VLOOKUP($X703,RM!$C$4:$G991,5,FALSE))</f>
        <v/>
      </c>
      <c r="AL703" t="e">
        <f ca="1">_xludf.IFNA(VLOOKUP(AH703,'S-FG'!$B$3:$B1001,1,FALSE),"")</f>
        <v>#NAME?</v>
      </c>
      <c r="AM703" t="str">
        <f>IF(AI703="","",SUMIFS(#REF!,RM!$C$4:$C991,AI703))</f>
        <v/>
      </c>
    </row>
    <row r="704" spans="5:39">
      <c r="E704" t="str">
        <f>IF(A704="","",SUMIFS('PR-BOM'!$D$3:$D1001,'PR-BOM'!$C$3:$C1001,A704)*C704)</f>
        <v/>
      </c>
      <c r="F704" t="e">
        <f ca="1">_xludf.IFNA(VLOOKUP(B704,'S-FG'!$B$3:$B1001,1,FALSE),"")</f>
        <v>#NAME?</v>
      </c>
      <c r="L704" t="str">
        <f t="shared" si="7"/>
        <v/>
      </c>
      <c r="Q704" t="str">
        <f>IF(N704="","",SUMIFS('PR-BOM'!$D$3:$D1001,'PR-BOM'!$C$3:$C1001,N704))</f>
        <v/>
      </c>
      <c r="Y704" t="str">
        <f t="shared" si="8"/>
        <v/>
      </c>
      <c r="Z704" t="str">
        <f>IF(X704="","",SUMIFS(#REF!,RM!$C$4:$C991,X704))</f>
        <v/>
      </c>
      <c r="AA704" t="str">
        <f>IF(X704="","",SUMIFS(#REF!,RM!$C$4:$C991,X704))</f>
        <v/>
      </c>
      <c r="AB704" t="str">
        <f>IF(X704="","",SUMIFS(IRegback!$Y$2:$Y1001,IRegback!$X$2:$X1001,X704))</f>
        <v/>
      </c>
      <c r="AC704" t="e">
        <f t="shared" si="9"/>
        <v>#VALUE!</v>
      </c>
      <c r="AD704" t="str">
        <f>IF(X704="","",VLOOKUP($X704,RM!$C$4:$G991,3,FALSE))</f>
        <v/>
      </c>
      <c r="AE704" t="str">
        <f>IF(X704="","",VLOOKUP($X704,RM!$C$4:$G991,4,FALSE))</f>
        <v/>
      </c>
      <c r="AF704" t="str">
        <f>IF(X704="","",VLOOKUP($X704,RM!$C$4:$G991,5,FALSE))</f>
        <v/>
      </c>
      <c r="AL704" t="e">
        <f ca="1">_xludf.IFNA(VLOOKUP(AH704,'S-FG'!$B$3:$B1001,1,FALSE),"")</f>
        <v>#NAME?</v>
      </c>
      <c r="AM704" t="str">
        <f>IF(AI704="","",SUMIFS(#REF!,RM!$C$4:$C991,AI704))</f>
        <v/>
      </c>
    </row>
    <row r="705" spans="5:39">
      <c r="E705" t="str">
        <f>IF(A705="","",SUMIFS('PR-BOM'!$D$3:$D1001,'PR-BOM'!$C$3:$C1001,A705)*C705)</f>
        <v/>
      </c>
      <c r="F705" t="e">
        <f ca="1">_xludf.IFNA(VLOOKUP(B705,'S-FG'!$B$3:$B1001,1,FALSE),"")</f>
        <v>#NAME?</v>
      </c>
      <c r="L705" t="str">
        <f t="shared" si="7"/>
        <v/>
      </c>
      <c r="Q705" t="str">
        <f>IF(N705="","",SUMIFS('PR-BOM'!$D$3:$D1001,'PR-BOM'!$C$3:$C1001,N705))</f>
        <v/>
      </c>
      <c r="Y705" t="str">
        <f t="shared" si="8"/>
        <v/>
      </c>
      <c r="Z705" t="str">
        <f>IF(X705="","",SUMIFS(#REF!,RM!$C$4:$C991,X705))</f>
        <v/>
      </c>
      <c r="AA705" t="str">
        <f>IF(X705="","",SUMIFS(#REF!,RM!$C$4:$C991,X705))</f>
        <v/>
      </c>
      <c r="AB705" t="str">
        <f>IF(X705="","",SUMIFS(IRegback!$Y$2:$Y1001,IRegback!$X$2:$X1001,X705))</f>
        <v/>
      </c>
      <c r="AC705" t="e">
        <f t="shared" si="9"/>
        <v>#VALUE!</v>
      </c>
      <c r="AD705" t="str">
        <f>IF(X705="","",VLOOKUP($X705,RM!$C$4:$G991,3,FALSE))</f>
        <v/>
      </c>
      <c r="AE705" t="str">
        <f>IF(X705="","",VLOOKUP($X705,RM!$C$4:$G991,4,FALSE))</f>
        <v/>
      </c>
      <c r="AF705" t="str">
        <f>IF(X705="","",VLOOKUP($X705,RM!$C$4:$G991,5,FALSE))</f>
        <v/>
      </c>
      <c r="AL705" t="e">
        <f ca="1">_xludf.IFNA(VLOOKUP(AH705,'S-FG'!$B$3:$B1001,1,FALSE),"")</f>
        <v>#NAME?</v>
      </c>
      <c r="AM705" t="str">
        <f>IF(AI705="","",SUMIFS(#REF!,RM!$C$4:$C991,AI705))</f>
        <v/>
      </c>
    </row>
    <row r="706" spans="5:39">
      <c r="E706" t="str">
        <f>IF(A706="","",SUMIFS('PR-BOM'!$D$3:$D1001,'PR-BOM'!$C$3:$C1001,A706)*C706)</f>
        <v/>
      </c>
      <c r="F706" t="e">
        <f ca="1">_xludf.IFNA(VLOOKUP(B706,'S-FG'!$B$3:$B1001,1,FALSE),"")</f>
        <v>#NAME?</v>
      </c>
      <c r="L706" t="str">
        <f t="shared" si="7"/>
        <v/>
      </c>
      <c r="Q706" t="str">
        <f>IF(N706="","",SUMIFS('PR-BOM'!$D$3:$D1001,'PR-BOM'!$C$3:$C1001,N706))</f>
        <v/>
      </c>
      <c r="Y706" t="str">
        <f t="shared" si="8"/>
        <v/>
      </c>
      <c r="Z706" t="str">
        <f>IF(X706="","",SUMIFS(#REF!,RM!$C$4:$C991,X706))</f>
        <v/>
      </c>
      <c r="AA706" t="str">
        <f>IF(X706="","",SUMIFS(#REF!,RM!$C$4:$C991,X706))</f>
        <v/>
      </c>
      <c r="AB706" t="str">
        <f>IF(X706="","",SUMIFS(IRegback!$Y$2:$Y1001,IRegback!$X$2:$X1001,X706))</f>
        <v/>
      </c>
      <c r="AC706" t="e">
        <f t="shared" si="9"/>
        <v>#VALUE!</v>
      </c>
      <c r="AD706" t="str">
        <f>IF(X706="","",VLOOKUP($X706,RM!$C$4:$G991,3,FALSE))</f>
        <v/>
      </c>
      <c r="AE706" t="str">
        <f>IF(X706="","",VLOOKUP($X706,RM!$C$4:$G991,4,FALSE))</f>
        <v/>
      </c>
      <c r="AF706" t="str">
        <f>IF(X706="","",VLOOKUP($X706,RM!$C$4:$G991,5,FALSE))</f>
        <v/>
      </c>
      <c r="AL706" t="e">
        <f ca="1">_xludf.IFNA(VLOOKUP(AH706,'S-FG'!$B$3:$B1001,1,FALSE),"")</f>
        <v>#NAME?</v>
      </c>
      <c r="AM706" t="str">
        <f>IF(AI706="","",SUMIFS(#REF!,RM!$C$4:$C991,AI706))</f>
        <v/>
      </c>
    </row>
    <row r="707" spans="5:39">
      <c r="E707" t="str">
        <f>IF(A707="","",SUMIFS('PR-BOM'!$D$3:$D1001,'PR-BOM'!$C$3:$C1001,A707)*C707)</f>
        <v/>
      </c>
      <c r="F707" t="e">
        <f ca="1">_xludf.IFNA(VLOOKUP(B707,'S-FG'!$B$3:$B1001,1,FALSE),"")</f>
        <v>#NAME?</v>
      </c>
      <c r="L707" t="str">
        <f t="shared" si="7"/>
        <v/>
      </c>
      <c r="Q707" t="str">
        <f>IF(N707="","",SUMIFS('PR-BOM'!$D$3:$D1001,'PR-BOM'!$C$3:$C1001,N707))</f>
        <v/>
      </c>
      <c r="Y707" t="str">
        <f t="shared" si="8"/>
        <v/>
      </c>
      <c r="Z707" t="str">
        <f>IF(X707="","",SUMIFS(#REF!,RM!$C$4:$C991,X707))</f>
        <v/>
      </c>
      <c r="AA707" t="str">
        <f>IF(X707="","",SUMIFS(#REF!,RM!$C$4:$C991,X707))</f>
        <v/>
      </c>
      <c r="AB707" t="str">
        <f>IF(X707="","",SUMIFS(IRegback!$Y$2:$Y1001,IRegback!$X$2:$X1001,X707))</f>
        <v/>
      </c>
      <c r="AC707" t="e">
        <f t="shared" si="9"/>
        <v>#VALUE!</v>
      </c>
      <c r="AD707" t="str">
        <f>IF(X707="","",VLOOKUP($X707,RM!$C$4:$G991,3,FALSE))</f>
        <v/>
      </c>
      <c r="AE707" t="str">
        <f>IF(X707="","",VLOOKUP($X707,RM!$C$4:$G991,4,FALSE))</f>
        <v/>
      </c>
      <c r="AF707" t="str">
        <f>IF(X707="","",VLOOKUP($X707,RM!$C$4:$G991,5,FALSE))</f>
        <v/>
      </c>
      <c r="AL707" t="e">
        <f ca="1">_xludf.IFNA(VLOOKUP(AH707,'S-FG'!$B$3:$B1001,1,FALSE),"")</f>
        <v>#NAME?</v>
      </c>
      <c r="AM707" t="str">
        <f>IF(AI707="","",SUMIFS(#REF!,RM!$C$4:$C991,AI707))</f>
        <v/>
      </c>
    </row>
    <row r="708" spans="5:39">
      <c r="E708" t="str">
        <f>IF(A708="","",SUMIFS('PR-BOM'!$D$3:$D1001,'PR-BOM'!$C$3:$C1001,A708)*C708)</f>
        <v/>
      </c>
      <c r="F708" t="e">
        <f ca="1">_xludf.IFNA(VLOOKUP(B708,'S-FG'!$B$3:$B1001,1,FALSE),"")</f>
        <v>#NAME?</v>
      </c>
      <c r="L708" t="str">
        <f t="shared" si="7"/>
        <v/>
      </c>
      <c r="Q708" t="str">
        <f>IF(N708="","",SUMIFS('PR-BOM'!$D$3:$D1001,'PR-BOM'!$C$3:$C1001,N708))</f>
        <v/>
      </c>
      <c r="Y708" t="str">
        <f t="shared" si="8"/>
        <v/>
      </c>
      <c r="Z708" t="str">
        <f>IF(X708="","",SUMIFS(#REF!,RM!$C$4:$C991,X708))</f>
        <v/>
      </c>
      <c r="AA708" t="str">
        <f>IF(X708="","",SUMIFS(#REF!,RM!$C$4:$C991,X708))</f>
        <v/>
      </c>
      <c r="AB708" t="str">
        <f>IF(X708="","",SUMIFS(IRegback!$Y$2:$Y1001,IRegback!$X$2:$X1001,X708))</f>
        <v/>
      </c>
      <c r="AC708" t="e">
        <f t="shared" si="9"/>
        <v>#VALUE!</v>
      </c>
      <c r="AD708" t="str">
        <f>IF(X708="","",VLOOKUP($X708,RM!$C$4:$G991,3,FALSE))</f>
        <v/>
      </c>
      <c r="AE708" t="str">
        <f>IF(X708="","",VLOOKUP($X708,RM!$C$4:$G991,4,FALSE))</f>
        <v/>
      </c>
      <c r="AF708" t="str">
        <f>IF(X708="","",VLOOKUP($X708,RM!$C$4:$G991,5,FALSE))</f>
        <v/>
      </c>
      <c r="AL708" t="e">
        <f ca="1">_xludf.IFNA(VLOOKUP(AH708,'S-FG'!$B$3:$B1001,1,FALSE),"")</f>
        <v>#NAME?</v>
      </c>
      <c r="AM708" t="str">
        <f>IF(AI708="","",SUMIFS(#REF!,RM!$C$4:$C991,AI708))</f>
        <v/>
      </c>
    </row>
    <row r="709" spans="5:39">
      <c r="E709" t="str">
        <f>IF(A709="","",SUMIFS('PR-BOM'!$D$3:$D1001,'PR-BOM'!$C$3:$C1001,A709)*C709)</f>
        <v/>
      </c>
      <c r="F709" t="e">
        <f ca="1">_xludf.IFNA(VLOOKUP(B709,'S-FG'!$B$3:$B1001,1,FALSE),"")</f>
        <v>#NAME?</v>
      </c>
      <c r="L709" t="str">
        <f t="shared" si="7"/>
        <v/>
      </c>
      <c r="Q709" t="str">
        <f>IF(N709="","",SUMIFS('PR-BOM'!$D$3:$D1001,'PR-BOM'!$C$3:$C1001,N709))</f>
        <v/>
      </c>
      <c r="Y709" t="str">
        <f t="shared" si="8"/>
        <v/>
      </c>
      <c r="Z709" t="str">
        <f>IF(X709="","",SUMIFS(#REF!,RM!$C$4:$C991,X709))</f>
        <v/>
      </c>
      <c r="AA709" t="str">
        <f>IF(X709="","",SUMIFS(#REF!,RM!$C$4:$C991,X709))</f>
        <v/>
      </c>
      <c r="AB709" t="str">
        <f>IF(X709="","",SUMIFS(IRegback!$Y$2:$Y1001,IRegback!$X$2:$X1001,X709))</f>
        <v/>
      </c>
      <c r="AC709" t="e">
        <f t="shared" si="9"/>
        <v>#VALUE!</v>
      </c>
      <c r="AD709" t="str">
        <f>IF(X709="","",VLOOKUP($X709,RM!$C$4:$G991,3,FALSE))</f>
        <v/>
      </c>
      <c r="AE709" t="str">
        <f>IF(X709="","",VLOOKUP($X709,RM!$C$4:$G991,4,FALSE))</f>
        <v/>
      </c>
      <c r="AF709" t="str">
        <f>IF(X709="","",VLOOKUP($X709,RM!$C$4:$G991,5,FALSE))</f>
        <v/>
      </c>
      <c r="AL709" t="e">
        <f ca="1">_xludf.IFNA(VLOOKUP(AH709,'S-FG'!$B$3:$B1001,1,FALSE),"")</f>
        <v>#NAME?</v>
      </c>
      <c r="AM709" t="str">
        <f>IF(AI709="","",SUMIFS(#REF!,RM!$C$4:$C991,AI709))</f>
        <v/>
      </c>
    </row>
    <row r="710" spans="5:39">
      <c r="E710" t="str">
        <f>IF(A710="","",SUMIFS('PR-BOM'!$D$3:$D1001,'PR-BOM'!$C$3:$C1001,A710)*C710)</f>
        <v/>
      </c>
      <c r="F710" t="e">
        <f ca="1">_xludf.IFNA(VLOOKUP(B710,'S-FG'!$B$3:$B1001,1,FALSE),"")</f>
        <v>#NAME?</v>
      </c>
      <c r="L710" t="str">
        <f t="shared" si="7"/>
        <v/>
      </c>
      <c r="Q710" t="str">
        <f>IF(N710="","",SUMIFS('PR-BOM'!$D$3:$D1001,'PR-BOM'!$C$3:$C1001,N710))</f>
        <v/>
      </c>
      <c r="Y710" t="str">
        <f t="shared" si="8"/>
        <v/>
      </c>
      <c r="Z710" t="str">
        <f>IF(X710="","",SUMIFS(#REF!,RM!$C$4:$C991,X710))</f>
        <v/>
      </c>
      <c r="AA710" t="str">
        <f>IF(X710="","",SUMIFS(#REF!,RM!$C$4:$C991,X710))</f>
        <v/>
      </c>
      <c r="AB710" t="str">
        <f>IF(X710="","",SUMIFS(IRegback!$Y$2:$Y1001,IRegback!$X$2:$X1001,X710))</f>
        <v/>
      </c>
      <c r="AC710" t="e">
        <f t="shared" si="9"/>
        <v>#VALUE!</v>
      </c>
      <c r="AD710" t="str">
        <f>IF(X710="","",VLOOKUP($X710,RM!$C$4:$G991,3,FALSE))</f>
        <v/>
      </c>
      <c r="AE710" t="str">
        <f>IF(X710="","",VLOOKUP($X710,RM!$C$4:$G991,4,FALSE))</f>
        <v/>
      </c>
      <c r="AF710" t="str">
        <f>IF(X710="","",VLOOKUP($X710,RM!$C$4:$G991,5,FALSE))</f>
        <v/>
      </c>
      <c r="AL710" t="e">
        <f ca="1">_xludf.IFNA(VLOOKUP(AH710,'S-FG'!$B$3:$B1001,1,FALSE),"")</f>
        <v>#NAME?</v>
      </c>
      <c r="AM710" t="str">
        <f>IF(AI710="","",SUMIFS(#REF!,RM!$C$4:$C991,AI710))</f>
        <v/>
      </c>
    </row>
    <row r="711" spans="5:39">
      <c r="E711" t="str">
        <f>IF(A711="","",SUMIFS('PR-BOM'!$D$3:$D1001,'PR-BOM'!$C$3:$C1001,A711)*C711)</f>
        <v/>
      </c>
      <c r="F711" t="e">
        <f ca="1">_xludf.IFNA(VLOOKUP(B711,'S-FG'!$B$3:$B1001,1,FALSE),"")</f>
        <v>#NAME?</v>
      </c>
      <c r="L711" t="str">
        <f t="shared" si="7"/>
        <v/>
      </c>
      <c r="Q711" t="str">
        <f>IF(N711="","",SUMIFS('PR-BOM'!$D$3:$D1001,'PR-BOM'!$C$3:$C1001,N711))</f>
        <v/>
      </c>
      <c r="Y711" t="str">
        <f t="shared" si="8"/>
        <v/>
      </c>
      <c r="Z711" t="str">
        <f>IF(X711="","",SUMIFS(#REF!,RM!$C$4:$C991,X711))</f>
        <v/>
      </c>
      <c r="AA711" t="str">
        <f>IF(X711="","",SUMIFS(#REF!,RM!$C$4:$C991,X711))</f>
        <v/>
      </c>
      <c r="AB711" t="str">
        <f>IF(X711="","",SUMIFS(IRegback!$Y$2:$Y1001,IRegback!$X$2:$X1001,X711))</f>
        <v/>
      </c>
      <c r="AC711" t="e">
        <f t="shared" si="9"/>
        <v>#VALUE!</v>
      </c>
      <c r="AD711" t="str">
        <f>IF(X711="","",VLOOKUP($X711,RM!$C$4:$G991,3,FALSE))</f>
        <v/>
      </c>
      <c r="AE711" t="str">
        <f>IF(X711="","",VLOOKUP($X711,RM!$C$4:$G991,4,FALSE))</f>
        <v/>
      </c>
      <c r="AF711" t="str">
        <f>IF(X711="","",VLOOKUP($X711,RM!$C$4:$G991,5,FALSE))</f>
        <v/>
      </c>
      <c r="AL711" t="e">
        <f ca="1">_xludf.IFNA(VLOOKUP(AH711,'S-FG'!$B$3:$B1001,1,FALSE),"")</f>
        <v>#NAME?</v>
      </c>
      <c r="AM711" t="str">
        <f>IF(AI711="","",SUMIFS(#REF!,RM!$C$4:$C991,AI711))</f>
        <v/>
      </c>
    </row>
    <row r="712" spans="5:39">
      <c r="E712" t="str">
        <f>IF(A712="","",SUMIFS('PR-BOM'!$D$3:$D1001,'PR-BOM'!$C$3:$C1001,A712)*C712)</f>
        <v/>
      </c>
      <c r="F712" t="e">
        <f ca="1">_xludf.IFNA(VLOOKUP(B712,'S-FG'!$B$3:$B1001,1,FALSE),"")</f>
        <v>#NAME?</v>
      </c>
      <c r="L712" t="str">
        <f t="shared" si="7"/>
        <v/>
      </c>
      <c r="Q712" t="str">
        <f>IF(N712="","",SUMIFS('PR-BOM'!$D$3:$D1001,'PR-BOM'!$C$3:$C1001,N712))</f>
        <v/>
      </c>
      <c r="Y712" t="str">
        <f t="shared" si="8"/>
        <v/>
      </c>
      <c r="Z712" t="str">
        <f>IF(X712="","",SUMIFS(#REF!,RM!$C$4:$C991,X712))</f>
        <v/>
      </c>
      <c r="AA712" t="str">
        <f>IF(X712="","",SUMIFS(#REF!,RM!$C$4:$C991,X712))</f>
        <v/>
      </c>
      <c r="AB712" t="str">
        <f>IF(X712="","",SUMIFS(IRegback!$Y$2:$Y1001,IRegback!$X$2:$X1001,X712))</f>
        <v/>
      </c>
      <c r="AC712" t="e">
        <f t="shared" si="9"/>
        <v>#VALUE!</v>
      </c>
      <c r="AD712" t="str">
        <f>IF(X712="","",VLOOKUP($X712,RM!$C$4:$G991,3,FALSE))</f>
        <v/>
      </c>
      <c r="AE712" t="str">
        <f>IF(X712="","",VLOOKUP($X712,RM!$C$4:$G991,4,FALSE))</f>
        <v/>
      </c>
      <c r="AF712" t="str">
        <f>IF(X712="","",VLOOKUP($X712,RM!$C$4:$G991,5,FALSE))</f>
        <v/>
      </c>
      <c r="AL712" t="e">
        <f ca="1">_xludf.IFNA(VLOOKUP(AH712,'S-FG'!$B$3:$B1001,1,FALSE),"")</f>
        <v>#NAME?</v>
      </c>
      <c r="AM712" t="str">
        <f>IF(AI712="","",SUMIFS(#REF!,RM!$C$4:$C991,AI712))</f>
        <v/>
      </c>
    </row>
    <row r="713" spans="5:39">
      <c r="E713" t="str">
        <f>IF(A713="","",SUMIFS('PR-BOM'!$D$3:$D1001,'PR-BOM'!$C$3:$C1001,A713)*C713)</f>
        <v/>
      </c>
      <c r="F713" t="e">
        <f ca="1">_xludf.IFNA(VLOOKUP(B713,'S-FG'!$B$3:$B1001,1,FALSE),"")</f>
        <v>#NAME?</v>
      </c>
      <c r="L713" t="str">
        <f t="shared" si="7"/>
        <v/>
      </c>
      <c r="Q713" t="str">
        <f>IF(N713="","",SUMIFS('PR-BOM'!$D$3:$D1001,'PR-BOM'!$C$3:$C1001,N713))</f>
        <v/>
      </c>
      <c r="Y713" t="str">
        <f t="shared" si="8"/>
        <v/>
      </c>
      <c r="Z713" t="str">
        <f>IF(X713="","",SUMIFS(#REF!,RM!$C$4:$C991,X713))</f>
        <v/>
      </c>
      <c r="AA713" t="str">
        <f>IF(X713="","",SUMIFS(#REF!,RM!$C$4:$C991,X713))</f>
        <v/>
      </c>
      <c r="AB713" t="str">
        <f>IF(X713="","",SUMIFS(IRegback!$Y$2:$Y1001,IRegback!$X$2:$X1001,X713))</f>
        <v/>
      </c>
      <c r="AC713" t="e">
        <f t="shared" si="9"/>
        <v>#VALUE!</v>
      </c>
      <c r="AD713" t="str">
        <f>IF(X713="","",VLOOKUP($X713,RM!$C$4:$G991,3,FALSE))</f>
        <v/>
      </c>
      <c r="AE713" t="str">
        <f>IF(X713="","",VLOOKUP($X713,RM!$C$4:$G991,4,FALSE))</f>
        <v/>
      </c>
      <c r="AF713" t="str">
        <f>IF(X713="","",VLOOKUP($X713,RM!$C$4:$G991,5,FALSE))</f>
        <v/>
      </c>
      <c r="AL713" t="e">
        <f ca="1">_xludf.IFNA(VLOOKUP(AH713,'S-FG'!$B$3:$B1001,1,FALSE),"")</f>
        <v>#NAME?</v>
      </c>
      <c r="AM713" t="str">
        <f>IF(AI713="","",SUMIFS(#REF!,RM!$C$4:$C991,AI713))</f>
        <v/>
      </c>
    </row>
    <row r="714" spans="5:39">
      <c r="E714" t="str">
        <f>IF(A714="","",SUMIFS('PR-BOM'!$D$3:$D1001,'PR-BOM'!$C$3:$C1001,A714)*C714)</f>
        <v/>
      </c>
      <c r="F714" t="e">
        <f ca="1">_xludf.IFNA(VLOOKUP(B714,'S-FG'!$B$3:$B1001,1,FALSE),"")</f>
        <v>#NAME?</v>
      </c>
      <c r="L714" t="str">
        <f t="shared" si="7"/>
        <v/>
      </c>
      <c r="Q714" t="str">
        <f>IF(N714="","",SUMIFS('PR-BOM'!$D$3:$D1001,'PR-BOM'!$C$3:$C1001,N714))</f>
        <v/>
      </c>
      <c r="Y714" t="str">
        <f t="shared" si="8"/>
        <v/>
      </c>
      <c r="Z714" t="str">
        <f>IF(X714="","",SUMIFS(#REF!,RM!$C$4:$C991,X714))</f>
        <v/>
      </c>
      <c r="AA714" t="str">
        <f>IF(X714="","",SUMIFS(#REF!,RM!$C$4:$C991,X714))</f>
        <v/>
      </c>
      <c r="AB714" t="str">
        <f>IF(X714="","",SUMIFS(IRegback!$Y$2:$Y1001,IRegback!$X$2:$X1001,X714))</f>
        <v/>
      </c>
      <c r="AC714" t="e">
        <f t="shared" si="9"/>
        <v>#VALUE!</v>
      </c>
      <c r="AD714" t="str">
        <f>IF(X714="","",VLOOKUP($X714,RM!$C$4:$G991,3,FALSE))</f>
        <v/>
      </c>
      <c r="AE714" t="str">
        <f>IF(X714="","",VLOOKUP($X714,RM!$C$4:$G991,4,FALSE))</f>
        <v/>
      </c>
      <c r="AF714" t="str">
        <f>IF(X714="","",VLOOKUP($X714,RM!$C$4:$G991,5,FALSE))</f>
        <v/>
      </c>
      <c r="AL714" t="e">
        <f ca="1">_xludf.IFNA(VLOOKUP(AH714,'S-FG'!$B$3:$B1001,1,FALSE),"")</f>
        <v>#NAME?</v>
      </c>
      <c r="AM714" t="str">
        <f>IF(AI714="","",SUMIFS(#REF!,RM!$C$4:$C991,AI714))</f>
        <v/>
      </c>
    </row>
    <row r="715" spans="5:39">
      <c r="E715" t="str">
        <f>IF(A715="","",SUMIFS('PR-BOM'!$D$3:$D1001,'PR-BOM'!$C$3:$C1001,A715)*C715)</f>
        <v/>
      </c>
      <c r="F715" t="e">
        <f ca="1">_xludf.IFNA(VLOOKUP(B715,'S-FG'!$B$3:$B1001,1,FALSE),"")</f>
        <v>#NAME?</v>
      </c>
      <c r="L715" t="str">
        <f t="shared" si="7"/>
        <v/>
      </c>
      <c r="Q715" t="str">
        <f>IF(N715="","",SUMIFS('PR-BOM'!$D$3:$D1001,'PR-BOM'!$C$3:$C1001,N715))</f>
        <v/>
      </c>
      <c r="Y715" t="str">
        <f t="shared" si="8"/>
        <v/>
      </c>
      <c r="Z715" t="str">
        <f>IF(X715="","",SUMIFS(#REF!,RM!$C$4:$C991,X715))</f>
        <v/>
      </c>
      <c r="AA715" t="str">
        <f>IF(X715="","",SUMIFS(#REF!,RM!$C$4:$C991,X715))</f>
        <v/>
      </c>
      <c r="AB715" t="str">
        <f>IF(X715="","",SUMIFS(IRegback!$Y$2:$Y1001,IRegback!$X$2:$X1001,X715))</f>
        <v/>
      </c>
      <c r="AC715" t="e">
        <f t="shared" si="9"/>
        <v>#VALUE!</v>
      </c>
      <c r="AD715" t="str">
        <f>IF(X715="","",VLOOKUP($X715,RM!$C$4:$G991,3,FALSE))</f>
        <v/>
      </c>
      <c r="AE715" t="str">
        <f>IF(X715="","",VLOOKUP($X715,RM!$C$4:$G991,4,FALSE))</f>
        <v/>
      </c>
      <c r="AF715" t="str">
        <f>IF(X715="","",VLOOKUP($X715,RM!$C$4:$G991,5,FALSE))</f>
        <v/>
      </c>
      <c r="AL715" t="e">
        <f ca="1">_xludf.IFNA(VLOOKUP(AH715,'S-FG'!$B$3:$B1001,1,FALSE),"")</f>
        <v>#NAME?</v>
      </c>
      <c r="AM715" t="str">
        <f>IF(AI715="","",SUMIFS(#REF!,RM!$C$4:$C991,AI715))</f>
        <v/>
      </c>
    </row>
    <row r="716" spans="5:39">
      <c r="E716" t="str">
        <f>IF(A716="","",SUMIFS('PR-BOM'!$D$3:$D1001,'PR-BOM'!$C$3:$C1001,A716)*C716)</f>
        <v/>
      </c>
      <c r="F716" t="e">
        <f ca="1">_xludf.IFNA(VLOOKUP(B716,'S-FG'!$B$3:$B1001,1,FALSE),"")</f>
        <v>#NAME?</v>
      </c>
      <c r="L716" t="str">
        <f t="shared" si="7"/>
        <v/>
      </c>
      <c r="Q716" t="str">
        <f>IF(N716="","",SUMIFS('PR-BOM'!$D$3:$D1001,'PR-BOM'!$C$3:$C1001,N716))</f>
        <v/>
      </c>
      <c r="Y716" t="str">
        <f t="shared" si="8"/>
        <v/>
      </c>
      <c r="Z716" t="str">
        <f>IF(X716="","",SUMIFS(#REF!,RM!$C$4:$C991,X716))</f>
        <v/>
      </c>
      <c r="AA716" t="str">
        <f>IF(X716="","",SUMIFS(#REF!,RM!$C$4:$C991,X716))</f>
        <v/>
      </c>
      <c r="AB716" t="str">
        <f>IF(X716="","",SUMIFS(IRegback!$Y$2:$Y1001,IRegback!$X$2:$X1001,X716))</f>
        <v/>
      </c>
      <c r="AC716" t="e">
        <f t="shared" si="9"/>
        <v>#VALUE!</v>
      </c>
      <c r="AD716" t="str">
        <f>IF(X716="","",VLOOKUP($X716,RM!$C$4:$G991,3,FALSE))</f>
        <v/>
      </c>
      <c r="AE716" t="str">
        <f>IF(X716="","",VLOOKUP($X716,RM!$C$4:$G991,4,FALSE))</f>
        <v/>
      </c>
      <c r="AF716" t="str">
        <f>IF(X716="","",VLOOKUP($X716,RM!$C$4:$G991,5,FALSE))</f>
        <v/>
      </c>
      <c r="AL716" t="e">
        <f ca="1">_xludf.IFNA(VLOOKUP(AH716,'S-FG'!$B$3:$B1001,1,FALSE),"")</f>
        <v>#NAME?</v>
      </c>
      <c r="AM716" t="str">
        <f>IF(AI716="","",SUMIFS(#REF!,RM!$C$4:$C991,AI716))</f>
        <v/>
      </c>
    </row>
    <row r="717" spans="5:39">
      <c r="E717" t="str">
        <f>IF(A717="","",SUMIFS('PR-BOM'!$D$3:$D1001,'PR-BOM'!$C$3:$C1001,A717)*C717)</f>
        <v/>
      </c>
      <c r="F717" t="e">
        <f ca="1">_xludf.IFNA(VLOOKUP(B717,'S-FG'!$B$3:$B1001,1,FALSE),"")</f>
        <v>#NAME?</v>
      </c>
      <c r="L717" t="str">
        <f t="shared" si="7"/>
        <v/>
      </c>
      <c r="Q717" t="str">
        <f>IF(N717="","",SUMIFS('PR-BOM'!$D$3:$D1001,'PR-BOM'!$C$3:$C1001,N717))</f>
        <v/>
      </c>
      <c r="Y717" t="str">
        <f t="shared" si="8"/>
        <v/>
      </c>
      <c r="Z717" t="str">
        <f>IF(X717="","",SUMIFS(#REF!,RM!$C$4:$C991,X717))</f>
        <v/>
      </c>
      <c r="AA717" t="str">
        <f>IF(X717="","",SUMIFS(#REF!,RM!$C$4:$C991,X717))</f>
        <v/>
      </c>
      <c r="AB717" t="str">
        <f>IF(X717="","",SUMIFS(IRegback!$Y$2:$Y1001,IRegback!$X$2:$X1001,X717))</f>
        <v/>
      </c>
      <c r="AC717" t="e">
        <f t="shared" si="9"/>
        <v>#VALUE!</v>
      </c>
      <c r="AD717" t="str">
        <f>IF(X717="","",VLOOKUP($X717,RM!$C$4:$G991,3,FALSE))</f>
        <v/>
      </c>
      <c r="AE717" t="str">
        <f>IF(X717="","",VLOOKUP($X717,RM!$C$4:$G991,4,FALSE))</f>
        <v/>
      </c>
      <c r="AF717" t="str">
        <f>IF(X717="","",VLOOKUP($X717,RM!$C$4:$G991,5,FALSE))</f>
        <v/>
      </c>
      <c r="AL717" t="e">
        <f ca="1">_xludf.IFNA(VLOOKUP(AH717,'S-FG'!$B$3:$B1001,1,FALSE),"")</f>
        <v>#NAME?</v>
      </c>
      <c r="AM717" t="str">
        <f>IF(AI717="","",SUMIFS(#REF!,RM!$C$4:$C991,AI717))</f>
        <v/>
      </c>
    </row>
    <row r="718" spans="5:39">
      <c r="E718" t="str">
        <f>IF(A718="","",SUMIFS('PR-BOM'!$D$3:$D1001,'PR-BOM'!$C$3:$C1001,A718)*C718)</f>
        <v/>
      </c>
      <c r="F718" t="e">
        <f ca="1">_xludf.IFNA(VLOOKUP(B718,'S-FG'!$B$3:$B1001,1,FALSE),"")</f>
        <v>#NAME?</v>
      </c>
      <c r="L718" t="str">
        <f t="shared" si="7"/>
        <v/>
      </c>
      <c r="Q718" t="str">
        <f>IF(N718="","",SUMIFS('PR-BOM'!$D$3:$D1001,'PR-BOM'!$C$3:$C1001,N718))</f>
        <v/>
      </c>
      <c r="Y718" t="str">
        <f t="shared" si="8"/>
        <v/>
      </c>
      <c r="Z718" t="str">
        <f>IF(X718="","",SUMIFS(#REF!,RM!$C$4:$C991,X718))</f>
        <v/>
      </c>
      <c r="AA718" t="str">
        <f>IF(X718="","",SUMIFS(#REF!,RM!$C$4:$C991,X718))</f>
        <v/>
      </c>
      <c r="AB718" t="str">
        <f>IF(X718="","",SUMIFS(IRegback!$Y$2:$Y1001,IRegback!$X$2:$X1001,X718))</f>
        <v/>
      </c>
      <c r="AC718" t="e">
        <f t="shared" si="9"/>
        <v>#VALUE!</v>
      </c>
      <c r="AD718" t="str">
        <f>IF(X718="","",VLOOKUP($X718,RM!$C$4:$G991,3,FALSE))</f>
        <v/>
      </c>
      <c r="AE718" t="str">
        <f>IF(X718="","",VLOOKUP($X718,RM!$C$4:$G991,4,FALSE))</f>
        <v/>
      </c>
      <c r="AF718" t="str">
        <f>IF(X718="","",VLOOKUP($X718,RM!$C$4:$G991,5,FALSE))</f>
        <v/>
      </c>
      <c r="AL718" t="e">
        <f ca="1">_xludf.IFNA(VLOOKUP(AH718,'S-FG'!$B$3:$B1001,1,FALSE),"")</f>
        <v>#NAME?</v>
      </c>
      <c r="AM718" t="str">
        <f>IF(AI718="","",SUMIFS(#REF!,RM!$C$4:$C991,AI718))</f>
        <v/>
      </c>
    </row>
    <row r="719" spans="5:39">
      <c r="E719" t="str">
        <f>IF(A719="","",SUMIFS('PR-BOM'!$D$3:$D1001,'PR-BOM'!$C$3:$C1001,A719)*C719)</f>
        <v/>
      </c>
      <c r="F719" t="e">
        <f ca="1">_xludf.IFNA(VLOOKUP(B719,'S-FG'!$B$3:$B1001,1,FALSE),"")</f>
        <v>#NAME?</v>
      </c>
      <c r="L719" t="str">
        <f t="shared" si="7"/>
        <v/>
      </c>
      <c r="Q719" t="str">
        <f>IF(N719="","",SUMIFS('PR-BOM'!$D$3:$D1001,'PR-BOM'!$C$3:$C1001,N719))</f>
        <v/>
      </c>
      <c r="Y719" t="str">
        <f t="shared" si="8"/>
        <v/>
      </c>
      <c r="Z719" t="str">
        <f>IF(X719="","",SUMIFS(#REF!,RM!$C$4:$C991,X719))</f>
        <v/>
      </c>
      <c r="AA719" t="str">
        <f>IF(X719="","",SUMIFS(#REF!,RM!$C$4:$C991,X719))</f>
        <v/>
      </c>
      <c r="AB719" t="str">
        <f>IF(X719="","",SUMIFS(IRegback!$Y$2:$Y1001,IRegback!$X$2:$X1001,X719))</f>
        <v/>
      </c>
      <c r="AC719" t="e">
        <f t="shared" si="9"/>
        <v>#VALUE!</v>
      </c>
      <c r="AD719" t="str">
        <f>IF(X719="","",VLOOKUP($X719,RM!$C$4:$G991,3,FALSE))</f>
        <v/>
      </c>
      <c r="AE719" t="str">
        <f>IF(X719="","",VLOOKUP($X719,RM!$C$4:$G991,4,FALSE))</f>
        <v/>
      </c>
      <c r="AF719" t="str">
        <f>IF(X719="","",VLOOKUP($X719,RM!$C$4:$G991,5,FALSE))</f>
        <v/>
      </c>
      <c r="AL719" t="e">
        <f ca="1">_xludf.IFNA(VLOOKUP(AH719,'S-FG'!$B$3:$B1001,1,FALSE),"")</f>
        <v>#NAME?</v>
      </c>
      <c r="AM719" t="str">
        <f>IF(AI719="","",SUMIFS(#REF!,RM!$C$4:$C991,AI719))</f>
        <v/>
      </c>
    </row>
    <row r="720" spans="5:39">
      <c r="E720" t="str">
        <f>IF(A720="","",SUMIFS('PR-BOM'!$D$3:$D1001,'PR-BOM'!$C$3:$C1001,A720)*C720)</f>
        <v/>
      </c>
      <c r="F720" t="e">
        <f ca="1">_xludf.IFNA(VLOOKUP(B720,'S-FG'!$B$3:$B1001,1,FALSE),"")</f>
        <v>#NAME?</v>
      </c>
      <c r="L720" t="str">
        <f t="shared" si="7"/>
        <v/>
      </c>
      <c r="Q720" t="str">
        <f>IF(N720="","",SUMIFS('PR-BOM'!$D$3:$D1001,'PR-BOM'!$C$3:$C1001,N720))</f>
        <v/>
      </c>
      <c r="Y720" t="str">
        <f t="shared" si="8"/>
        <v/>
      </c>
      <c r="Z720" t="str">
        <f>IF(X720="","",SUMIFS(#REF!,RM!$C$4:$C991,X720))</f>
        <v/>
      </c>
      <c r="AA720" t="str">
        <f>IF(X720="","",SUMIFS(#REF!,RM!$C$4:$C991,X720))</f>
        <v/>
      </c>
      <c r="AB720" t="str">
        <f>IF(X720="","",SUMIFS(IRegback!$Y$2:$Y1001,IRegback!$X$2:$X1001,X720))</f>
        <v/>
      </c>
      <c r="AC720" t="e">
        <f t="shared" si="9"/>
        <v>#VALUE!</v>
      </c>
      <c r="AD720" t="str">
        <f>IF(X720="","",VLOOKUP($X720,RM!$C$4:$G991,3,FALSE))</f>
        <v/>
      </c>
      <c r="AE720" t="str">
        <f>IF(X720="","",VLOOKUP($X720,RM!$C$4:$G991,4,FALSE))</f>
        <v/>
      </c>
      <c r="AF720" t="str">
        <f>IF(X720="","",VLOOKUP($X720,RM!$C$4:$G991,5,FALSE))</f>
        <v/>
      </c>
      <c r="AL720" t="e">
        <f ca="1">_xludf.IFNA(VLOOKUP(AH720,'S-FG'!$B$3:$B1001,1,FALSE),"")</f>
        <v>#NAME?</v>
      </c>
      <c r="AM720" t="str">
        <f>IF(AI720="","",SUMIFS(#REF!,RM!$C$4:$C991,AI720))</f>
        <v/>
      </c>
    </row>
    <row r="721" spans="5:39">
      <c r="E721" t="str">
        <f>IF(A721="","",SUMIFS('PR-BOM'!$D$3:$D1001,'PR-BOM'!$C$3:$C1001,A721)*C721)</f>
        <v/>
      </c>
      <c r="F721" t="e">
        <f ca="1">_xludf.IFNA(VLOOKUP(B721,'S-FG'!$B$3:$B1001,1,FALSE),"")</f>
        <v>#NAME?</v>
      </c>
      <c r="L721" t="str">
        <f t="shared" si="7"/>
        <v/>
      </c>
      <c r="Q721" t="str">
        <f>IF(N721="","",SUMIFS('PR-BOM'!$D$3:$D1001,'PR-BOM'!$C$3:$C1001,N721))</f>
        <v/>
      </c>
      <c r="Y721" t="str">
        <f t="shared" si="8"/>
        <v/>
      </c>
      <c r="Z721" t="str">
        <f>IF(X721="","",SUMIFS(#REF!,RM!$C$4:$C991,X721))</f>
        <v/>
      </c>
      <c r="AA721" t="str">
        <f>IF(X721="","",SUMIFS(#REF!,RM!$C$4:$C991,X721))</f>
        <v/>
      </c>
      <c r="AB721" t="str">
        <f>IF(X721="","",SUMIFS(IRegback!$Y$2:$Y1001,IRegback!$X$2:$X1001,X721))</f>
        <v/>
      </c>
      <c r="AC721" t="e">
        <f t="shared" si="9"/>
        <v>#VALUE!</v>
      </c>
      <c r="AD721" t="str">
        <f>IF(X721="","",VLOOKUP($X721,RM!$C$4:$G991,3,FALSE))</f>
        <v/>
      </c>
      <c r="AE721" t="str">
        <f>IF(X721="","",VLOOKUP($X721,RM!$C$4:$G991,4,FALSE))</f>
        <v/>
      </c>
      <c r="AF721" t="str">
        <f>IF(X721="","",VLOOKUP($X721,RM!$C$4:$G991,5,FALSE))</f>
        <v/>
      </c>
      <c r="AL721" t="e">
        <f ca="1">_xludf.IFNA(VLOOKUP(AH721,'S-FG'!$B$3:$B1001,1,FALSE),"")</f>
        <v>#NAME?</v>
      </c>
      <c r="AM721" t="str">
        <f>IF(AI721="","",SUMIFS(#REF!,RM!$C$4:$C991,AI721))</f>
        <v/>
      </c>
    </row>
    <row r="722" spans="5:39">
      <c r="E722" t="str">
        <f>IF(A722="","",SUMIFS('PR-BOM'!$D$3:$D1001,'PR-BOM'!$C$3:$C1001,A722)*C722)</f>
        <v/>
      </c>
      <c r="F722" t="e">
        <f ca="1">_xludf.IFNA(VLOOKUP(B722,'S-FG'!$B$3:$B1001,1,FALSE),"")</f>
        <v>#NAME?</v>
      </c>
      <c r="L722" t="str">
        <f t="shared" si="7"/>
        <v/>
      </c>
      <c r="Q722" t="str">
        <f>IF(N722="","",SUMIFS('PR-BOM'!$D$3:$D1001,'PR-BOM'!$C$3:$C1001,N722))</f>
        <v/>
      </c>
      <c r="Y722" t="str">
        <f t="shared" si="8"/>
        <v/>
      </c>
      <c r="Z722" t="str">
        <f>IF(X722="","",SUMIFS(#REF!,RM!$C$4:$C991,X722))</f>
        <v/>
      </c>
      <c r="AA722" t="str">
        <f>IF(X722="","",SUMIFS(#REF!,RM!$C$4:$C991,X722))</f>
        <v/>
      </c>
      <c r="AB722" t="str">
        <f>IF(X722="","",SUMIFS(IRegback!$Y$2:$Y1001,IRegback!$X$2:$X1001,X722))</f>
        <v/>
      </c>
      <c r="AC722" t="e">
        <f t="shared" si="9"/>
        <v>#VALUE!</v>
      </c>
      <c r="AD722" t="str">
        <f>IF(X722="","",VLOOKUP($X722,RM!$C$4:$G991,3,FALSE))</f>
        <v/>
      </c>
      <c r="AE722" t="str">
        <f>IF(X722="","",VLOOKUP($X722,RM!$C$4:$G991,4,FALSE))</f>
        <v/>
      </c>
      <c r="AF722" t="str">
        <f>IF(X722="","",VLOOKUP($X722,RM!$C$4:$G991,5,FALSE))</f>
        <v/>
      </c>
      <c r="AL722" t="e">
        <f ca="1">_xludf.IFNA(VLOOKUP(AH722,'S-FG'!$B$3:$B1001,1,FALSE),"")</f>
        <v>#NAME?</v>
      </c>
      <c r="AM722" t="str">
        <f>IF(AI722="","",SUMIFS(#REF!,RM!$C$4:$C991,AI722))</f>
        <v/>
      </c>
    </row>
    <row r="723" spans="5:39">
      <c r="E723" t="str">
        <f>IF(A723="","",SUMIFS('PR-BOM'!$D$3:$D1001,'PR-BOM'!$C$3:$C1001,A723)*C723)</f>
        <v/>
      </c>
      <c r="F723" t="e">
        <f ca="1">_xludf.IFNA(VLOOKUP(B723,'S-FG'!$B$3:$B1001,1,FALSE),"")</f>
        <v>#NAME?</v>
      </c>
      <c r="L723" t="str">
        <f t="shared" si="7"/>
        <v/>
      </c>
      <c r="Q723" t="str">
        <f>IF(N723="","",SUMIFS('PR-BOM'!$D$3:$D1001,'PR-BOM'!$C$3:$C1001,N723))</f>
        <v/>
      </c>
      <c r="Y723" t="str">
        <f t="shared" si="8"/>
        <v/>
      </c>
      <c r="Z723" t="str">
        <f>IF(X723="","",SUMIFS(#REF!,RM!$C$4:$C991,X723))</f>
        <v/>
      </c>
      <c r="AA723" t="str">
        <f>IF(X723="","",SUMIFS(#REF!,RM!$C$4:$C991,X723))</f>
        <v/>
      </c>
      <c r="AB723" t="str">
        <f>IF(X723="","",SUMIFS(IRegback!$Y$2:$Y1001,IRegback!$X$2:$X1001,X723))</f>
        <v/>
      </c>
      <c r="AC723" t="e">
        <f t="shared" si="9"/>
        <v>#VALUE!</v>
      </c>
      <c r="AD723" t="str">
        <f>IF(X723="","",VLOOKUP($X723,RM!$C$4:$G991,3,FALSE))</f>
        <v/>
      </c>
      <c r="AE723" t="str">
        <f>IF(X723="","",VLOOKUP($X723,RM!$C$4:$G991,4,FALSE))</f>
        <v/>
      </c>
      <c r="AF723" t="str">
        <f>IF(X723="","",VLOOKUP($X723,RM!$C$4:$G991,5,FALSE))</f>
        <v/>
      </c>
      <c r="AL723" t="e">
        <f ca="1">_xludf.IFNA(VLOOKUP(AH723,'S-FG'!$B$3:$B1001,1,FALSE),"")</f>
        <v>#NAME?</v>
      </c>
      <c r="AM723" t="str">
        <f>IF(AI723="","",SUMIFS(#REF!,RM!$C$4:$C991,AI723))</f>
        <v/>
      </c>
    </row>
    <row r="724" spans="5:39">
      <c r="E724" t="str">
        <f>IF(A724="","",SUMIFS('PR-BOM'!$D$3:$D1001,'PR-BOM'!$C$3:$C1001,A724)*C724)</f>
        <v/>
      </c>
      <c r="F724" t="e">
        <f ca="1">_xludf.IFNA(VLOOKUP(B724,'S-FG'!$B$3:$B1001,1,FALSE),"")</f>
        <v>#NAME?</v>
      </c>
      <c r="L724" t="str">
        <f t="shared" si="7"/>
        <v/>
      </c>
      <c r="Q724" t="str">
        <f>IF(N724="","",SUMIFS('PR-BOM'!$D$3:$D1001,'PR-BOM'!$C$3:$C1001,N724))</f>
        <v/>
      </c>
      <c r="Y724" t="str">
        <f t="shared" si="8"/>
        <v/>
      </c>
      <c r="Z724" t="str">
        <f>IF(X724="","",SUMIFS(#REF!,RM!$C$4:$C991,X724))</f>
        <v/>
      </c>
      <c r="AA724" t="str">
        <f>IF(X724="","",SUMIFS(#REF!,RM!$C$4:$C991,X724))</f>
        <v/>
      </c>
      <c r="AB724" t="str">
        <f>IF(X724="","",SUMIFS(IRegback!$Y$2:$Y1001,IRegback!$X$2:$X1001,X724))</f>
        <v/>
      </c>
      <c r="AC724" t="e">
        <f t="shared" si="9"/>
        <v>#VALUE!</v>
      </c>
      <c r="AD724" t="str">
        <f>IF(X724="","",VLOOKUP($X724,RM!$C$4:$G991,3,FALSE))</f>
        <v/>
      </c>
      <c r="AE724" t="str">
        <f>IF(X724="","",VLOOKUP($X724,RM!$C$4:$G991,4,FALSE))</f>
        <v/>
      </c>
      <c r="AF724" t="str">
        <f>IF(X724="","",VLOOKUP($X724,RM!$C$4:$G991,5,FALSE))</f>
        <v/>
      </c>
      <c r="AL724" t="e">
        <f ca="1">_xludf.IFNA(VLOOKUP(AH724,'S-FG'!$B$3:$B1001,1,FALSE),"")</f>
        <v>#NAME?</v>
      </c>
      <c r="AM724" t="str">
        <f>IF(AI724="","",SUMIFS(#REF!,RM!$C$4:$C991,AI724))</f>
        <v/>
      </c>
    </row>
    <row r="725" spans="5:39">
      <c r="E725" t="str">
        <f>IF(A725="","",SUMIFS('PR-BOM'!$D$3:$D1001,'PR-BOM'!$C$3:$C1001,A725)*C725)</f>
        <v/>
      </c>
      <c r="F725" t="e">
        <f ca="1">_xludf.IFNA(VLOOKUP(B725,'S-FG'!$B$3:$B1001,1,FALSE),"")</f>
        <v>#NAME?</v>
      </c>
      <c r="L725" t="str">
        <f t="shared" si="7"/>
        <v/>
      </c>
      <c r="Q725" t="str">
        <f>IF(N725="","",SUMIFS('PR-BOM'!$D$3:$D1001,'PR-BOM'!$C$3:$C1001,N725))</f>
        <v/>
      </c>
      <c r="Y725" t="str">
        <f t="shared" si="8"/>
        <v/>
      </c>
      <c r="Z725" t="str">
        <f>IF(X725="","",SUMIFS(#REF!,RM!$C$4:$C991,X725))</f>
        <v/>
      </c>
      <c r="AA725" t="str">
        <f>IF(X725="","",SUMIFS(#REF!,RM!$C$4:$C991,X725))</f>
        <v/>
      </c>
      <c r="AB725" t="str">
        <f>IF(X725="","",SUMIFS(IRegback!$Y$2:$Y1001,IRegback!$X$2:$X1001,X725))</f>
        <v/>
      </c>
      <c r="AC725" t="e">
        <f t="shared" si="9"/>
        <v>#VALUE!</v>
      </c>
      <c r="AD725" t="str">
        <f>IF(X725="","",VLOOKUP($X725,RM!$C$4:$G991,3,FALSE))</f>
        <v/>
      </c>
      <c r="AE725" t="str">
        <f>IF(X725="","",VLOOKUP($X725,RM!$C$4:$G991,4,FALSE))</f>
        <v/>
      </c>
      <c r="AF725" t="str">
        <f>IF(X725="","",VLOOKUP($X725,RM!$C$4:$G991,5,FALSE))</f>
        <v/>
      </c>
      <c r="AL725" t="e">
        <f ca="1">_xludf.IFNA(VLOOKUP(AH725,'S-FG'!$B$3:$B1001,1,FALSE),"")</f>
        <v>#NAME?</v>
      </c>
      <c r="AM725" t="str">
        <f>IF(AI725="","",SUMIFS(#REF!,RM!$C$4:$C991,AI725))</f>
        <v/>
      </c>
    </row>
    <row r="726" spans="5:39">
      <c r="E726" t="str">
        <f>IF(A726="","",SUMIFS('PR-BOM'!$D$3:$D1001,'PR-BOM'!$C$3:$C1001,A726)*C726)</f>
        <v/>
      </c>
      <c r="F726" t="e">
        <f ca="1">_xludf.IFNA(VLOOKUP(B726,'S-FG'!$B$3:$B1001,1,FALSE),"")</f>
        <v>#NAME?</v>
      </c>
      <c r="L726" t="str">
        <f t="shared" si="7"/>
        <v/>
      </c>
      <c r="Q726" t="str">
        <f>IF(N726="","",SUMIFS('PR-BOM'!$D$3:$D1001,'PR-BOM'!$C$3:$C1001,N726))</f>
        <v/>
      </c>
      <c r="Y726" t="str">
        <f t="shared" si="8"/>
        <v/>
      </c>
      <c r="Z726" t="str">
        <f>IF(X726="","",SUMIFS(#REF!,RM!$C$4:$C991,X726))</f>
        <v/>
      </c>
      <c r="AA726" t="str">
        <f>IF(X726="","",SUMIFS(#REF!,RM!$C$4:$C991,X726))</f>
        <v/>
      </c>
      <c r="AB726" t="str">
        <f>IF(X726="","",SUMIFS(IRegback!$Y$2:$Y1001,IRegback!$X$2:$X1001,X726))</f>
        <v/>
      </c>
      <c r="AC726" t="e">
        <f t="shared" si="9"/>
        <v>#VALUE!</v>
      </c>
      <c r="AD726" t="str">
        <f>IF(X726="","",VLOOKUP($X726,RM!$C$4:$G991,3,FALSE))</f>
        <v/>
      </c>
      <c r="AE726" t="str">
        <f>IF(X726="","",VLOOKUP($X726,RM!$C$4:$G991,4,FALSE))</f>
        <v/>
      </c>
      <c r="AF726" t="str">
        <f>IF(X726="","",VLOOKUP($X726,RM!$C$4:$G991,5,FALSE))</f>
        <v/>
      </c>
      <c r="AL726" t="e">
        <f ca="1">_xludf.IFNA(VLOOKUP(AH726,'S-FG'!$B$3:$B1001,1,FALSE),"")</f>
        <v>#NAME?</v>
      </c>
      <c r="AM726" t="str">
        <f>IF(AI726="","",SUMIFS(#REF!,RM!$C$4:$C991,AI726))</f>
        <v/>
      </c>
    </row>
    <row r="727" spans="5:39">
      <c r="E727" t="str">
        <f>IF(A727="","",SUMIFS('PR-BOM'!$D$3:$D1001,'PR-BOM'!$C$3:$C1001,A727)*C727)</f>
        <v/>
      </c>
      <c r="F727" t="e">
        <f ca="1">_xludf.IFNA(VLOOKUP(B727,'S-FG'!$B$3:$B1001,1,FALSE),"")</f>
        <v>#NAME?</v>
      </c>
      <c r="L727" t="str">
        <f t="shared" si="7"/>
        <v/>
      </c>
      <c r="Q727" t="str">
        <f>IF(N727="","",SUMIFS('PR-BOM'!$D$3:$D1001,'PR-BOM'!$C$3:$C1001,N727))</f>
        <v/>
      </c>
      <c r="Y727" t="str">
        <f t="shared" si="8"/>
        <v/>
      </c>
      <c r="Z727" t="str">
        <f>IF(X727="","",SUMIFS(#REF!,RM!$C$4:$C991,X727))</f>
        <v/>
      </c>
      <c r="AA727" t="str">
        <f>IF(X727="","",SUMIFS(#REF!,RM!$C$4:$C991,X727))</f>
        <v/>
      </c>
      <c r="AB727" t="str">
        <f>IF(X727="","",SUMIFS(IRegback!$Y$2:$Y1001,IRegback!$X$2:$X1001,X727))</f>
        <v/>
      </c>
      <c r="AC727" t="e">
        <f t="shared" si="9"/>
        <v>#VALUE!</v>
      </c>
      <c r="AD727" t="str">
        <f>IF(X727="","",VLOOKUP($X727,RM!$C$4:$G991,3,FALSE))</f>
        <v/>
      </c>
      <c r="AE727" t="str">
        <f>IF(X727="","",VLOOKUP($X727,RM!$C$4:$G991,4,FALSE))</f>
        <v/>
      </c>
      <c r="AF727" t="str">
        <f>IF(X727="","",VLOOKUP($X727,RM!$C$4:$G991,5,FALSE))</f>
        <v/>
      </c>
      <c r="AL727" t="e">
        <f ca="1">_xludf.IFNA(VLOOKUP(AH727,'S-FG'!$B$3:$B1001,1,FALSE),"")</f>
        <v>#NAME?</v>
      </c>
      <c r="AM727" t="str">
        <f>IF(AI727="","",SUMIFS(#REF!,RM!$C$4:$C991,AI727))</f>
        <v/>
      </c>
    </row>
    <row r="728" spans="5:39">
      <c r="E728" t="str">
        <f>IF(A728="","",SUMIFS('PR-BOM'!$D$3:$D1001,'PR-BOM'!$C$3:$C1001,A728)*C728)</f>
        <v/>
      </c>
      <c r="F728" t="e">
        <f ca="1">_xludf.IFNA(VLOOKUP(B728,'S-FG'!$B$3:$B1001,1,FALSE),"")</f>
        <v>#NAME?</v>
      </c>
      <c r="L728" t="str">
        <f t="shared" si="7"/>
        <v/>
      </c>
      <c r="Q728" t="str">
        <f>IF(N728="","",SUMIFS('PR-BOM'!$D$3:$D1001,'PR-BOM'!$C$3:$C1001,N728))</f>
        <v/>
      </c>
      <c r="Y728" t="str">
        <f t="shared" si="8"/>
        <v/>
      </c>
      <c r="Z728" t="str">
        <f>IF(X728="","",SUMIFS(#REF!,RM!$C$4:$C991,X728))</f>
        <v/>
      </c>
      <c r="AA728" t="str">
        <f>IF(X728="","",SUMIFS(#REF!,RM!$C$4:$C991,X728))</f>
        <v/>
      </c>
      <c r="AB728" t="str">
        <f>IF(X728="","",SUMIFS(IRegback!$Y$2:$Y1001,IRegback!$X$2:$X1001,X728))</f>
        <v/>
      </c>
      <c r="AC728" t="e">
        <f t="shared" si="9"/>
        <v>#VALUE!</v>
      </c>
      <c r="AD728" t="str">
        <f>IF(X728="","",VLOOKUP($X728,RM!$C$4:$G991,3,FALSE))</f>
        <v/>
      </c>
      <c r="AE728" t="str">
        <f>IF(X728="","",VLOOKUP($X728,RM!$C$4:$G991,4,FALSE))</f>
        <v/>
      </c>
      <c r="AF728" t="str">
        <f>IF(X728="","",VLOOKUP($X728,RM!$C$4:$G991,5,FALSE))</f>
        <v/>
      </c>
      <c r="AL728" t="e">
        <f ca="1">_xludf.IFNA(VLOOKUP(AH728,'S-FG'!$B$3:$B1001,1,FALSE),"")</f>
        <v>#NAME?</v>
      </c>
      <c r="AM728" t="str">
        <f>IF(AI728="","",SUMIFS(#REF!,RM!$C$4:$C991,AI728))</f>
        <v/>
      </c>
    </row>
    <row r="729" spans="5:39">
      <c r="E729" t="str">
        <f>IF(A729="","",SUMIFS('PR-BOM'!$D$3:$D1001,'PR-BOM'!$C$3:$C1001,A729)*C729)</f>
        <v/>
      </c>
      <c r="F729" t="e">
        <f ca="1">_xludf.IFNA(VLOOKUP(B729,'S-FG'!$B$3:$B1001,1,FALSE),"")</f>
        <v>#NAME?</v>
      </c>
      <c r="L729" t="str">
        <f t="shared" si="7"/>
        <v/>
      </c>
      <c r="Q729" t="str">
        <f>IF(N729="","",SUMIFS('PR-BOM'!$D$3:$D1001,'PR-BOM'!$C$3:$C1001,N729))</f>
        <v/>
      </c>
      <c r="Y729" t="str">
        <f t="shared" si="8"/>
        <v/>
      </c>
      <c r="Z729" t="str">
        <f>IF(X729="","",SUMIFS(#REF!,RM!$C$4:$C991,X729))</f>
        <v/>
      </c>
      <c r="AA729" t="str">
        <f>IF(X729="","",SUMIFS(#REF!,RM!$C$4:$C991,X729))</f>
        <v/>
      </c>
      <c r="AB729" t="str">
        <f>IF(X729="","",SUMIFS(IRegback!$Y$2:$Y1001,IRegback!$X$2:$X1001,X729))</f>
        <v/>
      </c>
      <c r="AC729" t="e">
        <f t="shared" si="9"/>
        <v>#VALUE!</v>
      </c>
      <c r="AD729" t="str">
        <f>IF(X729="","",VLOOKUP($X729,RM!$C$4:$G991,3,FALSE))</f>
        <v/>
      </c>
      <c r="AE729" t="str">
        <f>IF(X729="","",VLOOKUP($X729,RM!$C$4:$G991,4,FALSE))</f>
        <v/>
      </c>
      <c r="AF729" t="str">
        <f>IF(X729="","",VLOOKUP($X729,RM!$C$4:$G991,5,FALSE))</f>
        <v/>
      </c>
      <c r="AL729" t="e">
        <f ca="1">_xludf.IFNA(VLOOKUP(AH729,'S-FG'!$B$3:$B1001,1,FALSE),"")</f>
        <v>#NAME?</v>
      </c>
      <c r="AM729" t="str">
        <f>IF(AI729="","",SUMIFS(#REF!,RM!$C$4:$C991,AI729))</f>
        <v/>
      </c>
    </row>
    <row r="730" spans="5:39">
      <c r="E730" t="str">
        <f>IF(A730="","",SUMIFS('PR-BOM'!$D$3:$D1001,'PR-BOM'!$C$3:$C1001,A730)*C730)</f>
        <v/>
      </c>
      <c r="F730" t="e">
        <f ca="1">_xludf.IFNA(VLOOKUP(B730,'S-FG'!$B$3:$B1001,1,FALSE),"")</f>
        <v>#NAME?</v>
      </c>
      <c r="L730" t="str">
        <f t="shared" si="7"/>
        <v/>
      </c>
      <c r="Q730" t="str">
        <f>IF(N730="","",SUMIFS('PR-BOM'!$D$3:$D1001,'PR-BOM'!$C$3:$C1001,N730))</f>
        <v/>
      </c>
      <c r="Y730" t="str">
        <f t="shared" si="8"/>
        <v/>
      </c>
      <c r="Z730" t="str">
        <f>IF(X730="","",SUMIFS(#REF!,RM!$C$4:$C991,X730))</f>
        <v/>
      </c>
      <c r="AA730" t="str">
        <f>IF(X730="","",SUMIFS(#REF!,RM!$C$4:$C991,X730))</f>
        <v/>
      </c>
      <c r="AB730" t="str">
        <f>IF(X730="","",SUMIFS(IRegback!$Y$2:$Y1001,IRegback!$X$2:$X1001,X730))</f>
        <v/>
      </c>
      <c r="AC730" t="e">
        <f t="shared" si="9"/>
        <v>#VALUE!</v>
      </c>
      <c r="AD730" t="str">
        <f>IF(X730="","",VLOOKUP($X730,RM!$C$4:$G991,3,FALSE))</f>
        <v/>
      </c>
      <c r="AE730" t="str">
        <f>IF(X730="","",VLOOKUP($X730,RM!$C$4:$G991,4,FALSE))</f>
        <v/>
      </c>
      <c r="AF730" t="str">
        <f>IF(X730="","",VLOOKUP($X730,RM!$C$4:$G991,5,FALSE))</f>
        <v/>
      </c>
      <c r="AL730" t="e">
        <f ca="1">_xludf.IFNA(VLOOKUP(AH730,'S-FG'!$B$3:$B1001,1,FALSE),"")</f>
        <v>#NAME?</v>
      </c>
      <c r="AM730" t="str">
        <f>IF(AI730="","",SUMIFS(#REF!,RM!$C$4:$C991,AI730))</f>
        <v/>
      </c>
    </row>
    <row r="731" spans="5:39">
      <c r="E731" t="str">
        <f>IF(A731="","",SUMIFS('PR-BOM'!$D$3:$D1001,'PR-BOM'!$C$3:$C1001,A731)*C731)</f>
        <v/>
      </c>
      <c r="F731" t="e">
        <f ca="1">_xludf.IFNA(VLOOKUP(B731,'S-FG'!$B$3:$B1001,1,FALSE),"")</f>
        <v>#NAME?</v>
      </c>
      <c r="L731" t="str">
        <f t="shared" si="7"/>
        <v/>
      </c>
      <c r="Q731" t="str">
        <f>IF(N731="","",SUMIFS('PR-BOM'!$D$3:$D1001,'PR-BOM'!$C$3:$C1001,N731))</f>
        <v/>
      </c>
      <c r="Y731" t="str">
        <f t="shared" si="8"/>
        <v/>
      </c>
      <c r="Z731" t="str">
        <f>IF(X731="","",SUMIFS(#REF!,RM!$C$4:$C991,X731))</f>
        <v/>
      </c>
      <c r="AA731" t="str">
        <f>IF(X731="","",SUMIFS(#REF!,RM!$C$4:$C991,X731))</f>
        <v/>
      </c>
      <c r="AB731" t="str">
        <f>IF(X731="","",SUMIFS(IRegback!$Y$2:$Y1001,IRegback!$X$2:$X1001,X731))</f>
        <v/>
      </c>
      <c r="AC731" t="e">
        <f t="shared" si="9"/>
        <v>#VALUE!</v>
      </c>
      <c r="AD731" t="str">
        <f>IF(X731="","",VLOOKUP($X731,RM!$C$4:$G991,3,FALSE))</f>
        <v/>
      </c>
      <c r="AE731" t="str">
        <f>IF(X731="","",VLOOKUP($X731,RM!$C$4:$G991,4,FALSE))</f>
        <v/>
      </c>
      <c r="AF731" t="str">
        <f>IF(X731="","",VLOOKUP($X731,RM!$C$4:$G991,5,FALSE))</f>
        <v/>
      </c>
      <c r="AL731" t="e">
        <f ca="1">_xludf.IFNA(VLOOKUP(AH731,'S-FG'!$B$3:$B1001,1,FALSE),"")</f>
        <v>#NAME?</v>
      </c>
      <c r="AM731" t="str">
        <f>IF(AI731="","",SUMIFS(#REF!,RM!$C$4:$C991,AI731))</f>
        <v/>
      </c>
    </row>
    <row r="732" spans="5:39">
      <c r="E732" t="str">
        <f>IF(A732="","",SUMIFS('PR-BOM'!$D$3:$D1001,'PR-BOM'!$C$3:$C1001,A732)*C732)</f>
        <v/>
      </c>
      <c r="F732" t="e">
        <f ca="1">_xludf.IFNA(VLOOKUP(B732,'S-FG'!$B$3:$B1001,1,FALSE),"")</f>
        <v>#NAME?</v>
      </c>
      <c r="L732" t="str">
        <f t="shared" si="7"/>
        <v/>
      </c>
      <c r="Q732" t="str">
        <f>IF(N732="","",SUMIFS('PR-BOM'!$D$3:$D1001,'PR-BOM'!$C$3:$C1001,N732))</f>
        <v/>
      </c>
      <c r="Y732" t="str">
        <f t="shared" si="8"/>
        <v/>
      </c>
      <c r="Z732" t="str">
        <f>IF(X732="","",SUMIFS(#REF!,RM!$C$4:$C991,X732))</f>
        <v/>
      </c>
      <c r="AA732" t="str">
        <f>IF(X732="","",SUMIFS(#REF!,RM!$C$4:$C991,X732))</f>
        <v/>
      </c>
      <c r="AB732" t="str">
        <f>IF(X732="","",SUMIFS(IRegback!$Y$2:$Y1001,IRegback!$X$2:$X1001,X732))</f>
        <v/>
      </c>
      <c r="AC732" t="e">
        <f t="shared" si="9"/>
        <v>#VALUE!</v>
      </c>
      <c r="AD732" t="str">
        <f>IF(X732="","",VLOOKUP($X732,RM!$C$4:$G991,3,FALSE))</f>
        <v/>
      </c>
      <c r="AE732" t="str">
        <f>IF(X732="","",VLOOKUP($X732,RM!$C$4:$G991,4,FALSE))</f>
        <v/>
      </c>
      <c r="AF732" t="str">
        <f>IF(X732="","",VLOOKUP($X732,RM!$C$4:$G991,5,FALSE))</f>
        <v/>
      </c>
      <c r="AL732" t="e">
        <f ca="1">_xludf.IFNA(VLOOKUP(AH732,'S-FG'!$B$3:$B1001,1,FALSE),"")</f>
        <v>#NAME?</v>
      </c>
      <c r="AM732" t="str">
        <f>IF(AI732="","",SUMIFS(#REF!,RM!$C$4:$C991,AI732))</f>
        <v/>
      </c>
    </row>
    <row r="733" spans="5:39">
      <c r="E733" t="str">
        <f>IF(A733="","",SUMIFS('PR-BOM'!$D$3:$D1001,'PR-BOM'!$C$3:$C1001,A733)*C733)</f>
        <v/>
      </c>
      <c r="F733" t="e">
        <f ca="1">_xludf.IFNA(VLOOKUP(B733,'S-FG'!$B$3:$B1001,1,FALSE),"")</f>
        <v>#NAME?</v>
      </c>
      <c r="L733" t="str">
        <f t="shared" si="7"/>
        <v/>
      </c>
      <c r="Q733" t="str">
        <f>IF(N733="","",SUMIFS('PR-BOM'!$D$3:$D1001,'PR-BOM'!$C$3:$C1001,N733))</f>
        <v/>
      </c>
      <c r="Y733" t="str">
        <f t="shared" si="8"/>
        <v/>
      </c>
      <c r="Z733" t="str">
        <f>IF(X733="","",SUMIFS(#REF!,RM!$C$4:$C991,X733))</f>
        <v/>
      </c>
      <c r="AA733" t="str">
        <f>IF(X733="","",SUMIFS(#REF!,RM!$C$4:$C991,X733))</f>
        <v/>
      </c>
      <c r="AB733" t="str">
        <f>IF(X733="","",SUMIFS(IRegback!$Y$2:$Y1001,IRegback!$X$2:$X1001,X733))</f>
        <v/>
      </c>
      <c r="AC733" t="e">
        <f t="shared" si="9"/>
        <v>#VALUE!</v>
      </c>
      <c r="AD733" t="str">
        <f>IF(X733="","",VLOOKUP($X733,RM!$C$4:$G991,3,FALSE))</f>
        <v/>
      </c>
      <c r="AE733" t="str">
        <f>IF(X733="","",VLOOKUP($X733,RM!$C$4:$G991,4,FALSE))</f>
        <v/>
      </c>
      <c r="AF733" t="str">
        <f>IF(X733="","",VLOOKUP($X733,RM!$C$4:$G991,5,FALSE))</f>
        <v/>
      </c>
      <c r="AL733" t="e">
        <f ca="1">_xludf.IFNA(VLOOKUP(AH733,'S-FG'!$B$3:$B1001,1,FALSE),"")</f>
        <v>#NAME?</v>
      </c>
      <c r="AM733" t="str">
        <f>IF(AI733="","",SUMIFS(#REF!,RM!$C$4:$C991,AI733))</f>
        <v/>
      </c>
    </row>
    <row r="734" spans="5:39">
      <c r="E734" t="str">
        <f>IF(A734="","",SUMIFS('PR-BOM'!$D$3:$D1001,'PR-BOM'!$C$3:$C1001,A734)*C734)</f>
        <v/>
      </c>
      <c r="F734" t="e">
        <f ca="1">_xludf.IFNA(VLOOKUP(B734,'S-FG'!$B$3:$B1001,1,FALSE),"")</f>
        <v>#NAME?</v>
      </c>
      <c r="L734" t="str">
        <f t="shared" si="7"/>
        <v/>
      </c>
      <c r="Q734" t="str">
        <f>IF(N734="","",SUMIFS('PR-BOM'!$D$3:$D1001,'PR-BOM'!$C$3:$C1001,N734))</f>
        <v/>
      </c>
      <c r="Y734" t="str">
        <f t="shared" si="8"/>
        <v/>
      </c>
      <c r="Z734" t="str">
        <f>IF(X734="","",SUMIFS(#REF!,RM!$C$4:$C991,X734))</f>
        <v/>
      </c>
      <c r="AA734" t="str">
        <f>IF(X734="","",SUMIFS(#REF!,RM!$C$4:$C991,X734))</f>
        <v/>
      </c>
      <c r="AB734" t="str">
        <f>IF(X734="","",SUMIFS(IRegback!$Y$2:$Y1001,IRegback!$X$2:$X1001,X734))</f>
        <v/>
      </c>
      <c r="AC734" t="e">
        <f t="shared" si="9"/>
        <v>#VALUE!</v>
      </c>
      <c r="AD734" t="str">
        <f>IF(X734="","",VLOOKUP($X734,RM!$C$4:$G991,3,FALSE))</f>
        <v/>
      </c>
      <c r="AE734" t="str">
        <f>IF(X734="","",VLOOKUP($X734,RM!$C$4:$G991,4,FALSE))</f>
        <v/>
      </c>
      <c r="AF734" t="str">
        <f>IF(X734="","",VLOOKUP($X734,RM!$C$4:$G991,5,FALSE))</f>
        <v/>
      </c>
      <c r="AL734" t="e">
        <f ca="1">_xludf.IFNA(VLOOKUP(AH734,'S-FG'!$B$3:$B1001,1,FALSE),"")</f>
        <v>#NAME?</v>
      </c>
      <c r="AM734" t="str">
        <f>IF(AI734="","",SUMIFS(#REF!,RM!$C$4:$C991,AI734))</f>
        <v/>
      </c>
    </row>
    <row r="735" spans="5:39">
      <c r="E735" t="str">
        <f>IF(A735="","",SUMIFS('PR-BOM'!$D$3:$D1001,'PR-BOM'!$C$3:$C1001,A735)*C735)</f>
        <v/>
      </c>
      <c r="F735" t="e">
        <f ca="1">_xludf.IFNA(VLOOKUP(B735,'S-FG'!$B$3:$B1001,1,FALSE),"")</f>
        <v>#NAME?</v>
      </c>
      <c r="L735" t="str">
        <f t="shared" si="7"/>
        <v/>
      </c>
      <c r="Q735" t="str">
        <f>IF(N735="","",SUMIFS('PR-BOM'!$D$3:$D1001,'PR-BOM'!$C$3:$C1001,N735))</f>
        <v/>
      </c>
      <c r="Y735" t="str">
        <f t="shared" si="8"/>
        <v/>
      </c>
      <c r="Z735" t="str">
        <f>IF(X735="","",SUMIFS(#REF!,RM!$C$4:$C991,X735))</f>
        <v/>
      </c>
      <c r="AA735" t="str">
        <f>IF(X735="","",SUMIFS(#REF!,RM!$C$4:$C991,X735))</f>
        <v/>
      </c>
      <c r="AB735" t="str">
        <f>IF(X735="","",SUMIFS(IRegback!$Y$2:$Y1001,IRegback!$X$2:$X1001,X735))</f>
        <v/>
      </c>
      <c r="AC735" t="e">
        <f t="shared" si="9"/>
        <v>#VALUE!</v>
      </c>
      <c r="AD735" t="str">
        <f>IF(X735="","",VLOOKUP($X735,RM!$C$4:$G991,3,FALSE))</f>
        <v/>
      </c>
      <c r="AE735" t="str">
        <f>IF(X735="","",VLOOKUP($X735,RM!$C$4:$G991,4,FALSE))</f>
        <v/>
      </c>
      <c r="AF735" t="str">
        <f>IF(X735="","",VLOOKUP($X735,RM!$C$4:$G991,5,FALSE))</f>
        <v/>
      </c>
      <c r="AL735" t="e">
        <f ca="1">_xludf.IFNA(VLOOKUP(AH735,'S-FG'!$B$3:$B1001,1,FALSE),"")</f>
        <v>#NAME?</v>
      </c>
      <c r="AM735" t="str">
        <f>IF(AI735="","",SUMIFS(#REF!,RM!$C$4:$C991,AI735))</f>
        <v/>
      </c>
    </row>
    <row r="736" spans="5:39">
      <c r="E736" t="str">
        <f>IF(A736="","",SUMIFS('PR-BOM'!$D$3:$D1001,'PR-BOM'!$C$3:$C1001,A736)*C736)</f>
        <v/>
      </c>
      <c r="F736" t="e">
        <f ca="1">_xludf.IFNA(VLOOKUP(B736,'S-FG'!$B$3:$B1001,1,FALSE),"")</f>
        <v>#NAME?</v>
      </c>
      <c r="L736" t="str">
        <f t="shared" si="7"/>
        <v/>
      </c>
      <c r="Q736" t="str">
        <f>IF(N736="","",SUMIFS('PR-BOM'!$D$3:$D1001,'PR-BOM'!$C$3:$C1001,N736))</f>
        <v/>
      </c>
      <c r="Y736" t="str">
        <f t="shared" si="8"/>
        <v/>
      </c>
      <c r="Z736" t="str">
        <f>IF(X736="","",SUMIFS(#REF!,RM!$C$4:$C991,X736))</f>
        <v/>
      </c>
      <c r="AA736" t="str">
        <f>IF(X736="","",SUMIFS(#REF!,RM!$C$4:$C991,X736))</f>
        <v/>
      </c>
      <c r="AB736" t="str">
        <f>IF(X736="","",SUMIFS(IRegback!$Y$2:$Y1001,IRegback!$X$2:$X1001,X736))</f>
        <v/>
      </c>
      <c r="AC736" t="e">
        <f t="shared" si="9"/>
        <v>#VALUE!</v>
      </c>
      <c r="AD736" t="str">
        <f>IF(X736="","",VLOOKUP($X736,RM!$C$4:$G991,3,FALSE))</f>
        <v/>
      </c>
      <c r="AE736" t="str">
        <f>IF(X736="","",VLOOKUP($X736,RM!$C$4:$G991,4,FALSE))</f>
        <v/>
      </c>
      <c r="AF736" t="str">
        <f>IF(X736="","",VLOOKUP($X736,RM!$C$4:$G991,5,FALSE))</f>
        <v/>
      </c>
      <c r="AL736" t="e">
        <f ca="1">_xludf.IFNA(VLOOKUP(AH736,'S-FG'!$B$3:$B1001,1,FALSE),"")</f>
        <v>#NAME?</v>
      </c>
      <c r="AM736" t="str">
        <f>IF(AI736="","",SUMIFS(#REF!,RM!$C$4:$C991,AI736))</f>
        <v/>
      </c>
    </row>
    <row r="737" spans="5:39">
      <c r="E737" t="str">
        <f>IF(A737="","",SUMIFS('PR-BOM'!$D$3:$D1001,'PR-BOM'!$C$3:$C1001,A737)*C737)</f>
        <v/>
      </c>
      <c r="F737" t="e">
        <f ca="1">_xludf.IFNA(VLOOKUP(B737,'S-FG'!$B$3:$B1001,1,FALSE),"")</f>
        <v>#NAME?</v>
      </c>
      <c r="L737" t="str">
        <f t="shared" si="7"/>
        <v/>
      </c>
      <c r="Q737" t="str">
        <f>IF(N737="","",SUMIFS('PR-BOM'!$D$3:$D1001,'PR-BOM'!$C$3:$C1001,N737))</f>
        <v/>
      </c>
      <c r="Y737" t="str">
        <f t="shared" si="8"/>
        <v/>
      </c>
      <c r="Z737" t="str">
        <f>IF(X737="","",SUMIFS(#REF!,RM!$C$4:$C991,X737))</f>
        <v/>
      </c>
      <c r="AA737" t="str">
        <f>IF(X737="","",SUMIFS(#REF!,RM!$C$4:$C991,X737))</f>
        <v/>
      </c>
      <c r="AB737" t="str">
        <f>IF(X737="","",SUMIFS(IRegback!$Y$2:$Y1001,IRegback!$X$2:$X1001,X737))</f>
        <v/>
      </c>
      <c r="AC737" t="e">
        <f t="shared" si="9"/>
        <v>#VALUE!</v>
      </c>
      <c r="AD737" t="str">
        <f>IF(X737="","",VLOOKUP($X737,RM!$C$4:$G991,3,FALSE))</f>
        <v/>
      </c>
      <c r="AE737" t="str">
        <f>IF(X737="","",VLOOKUP($X737,RM!$C$4:$G991,4,FALSE))</f>
        <v/>
      </c>
      <c r="AF737" t="str">
        <f>IF(X737="","",VLOOKUP($X737,RM!$C$4:$G991,5,FALSE))</f>
        <v/>
      </c>
      <c r="AL737" t="e">
        <f ca="1">_xludf.IFNA(VLOOKUP(AH737,'S-FG'!$B$3:$B1001,1,FALSE),"")</f>
        <v>#NAME?</v>
      </c>
      <c r="AM737" t="str">
        <f>IF(AI737="","",SUMIFS(#REF!,RM!$C$4:$C991,AI737))</f>
        <v/>
      </c>
    </row>
    <row r="738" spans="5:39">
      <c r="E738" t="str">
        <f>IF(A738="","",SUMIFS('PR-BOM'!$D$3:$D1001,'PR-BOM'!$C$3:$C1001,A738)*C738)</f>
        <v/>
      </c>
      <c r="F738" t="e">
        <f ca="1">_xludf.IFNA(VLOOKUP(B738,'S-FG'!$B$3:$B1001,1,FALSE),"")</f>
        <v>#NAME?</v>
      </c>
      <c r="L738" t="str">
        <f t="shared" si="7"/>
        <v/>
      </c>
      <c r="Q738" t="str">
        <f>IF(N738="","",SUMIFS('PR-BOM'!$D$3:$D1001,'PR-BOM'!$C$3:$C1001,N738))</f>
        <v/>
      </c>
      <c r="Y738" t="str">
        <f t="shared" si="8"/>
        <v/>
      </c>
      <c r="Z738" t="str">
        <f>IF(X738="","",SUMIFS(#REF!,RM!$C$4:$C991,X738))</f>
        <v/>
      </c>
      <c r="AA738" t="str">
        <f>IF(X738="","",SUMIFS(#REF!,RM!$C$4:$C991,X738))</f>
        <v/>
      </c>
      <c r="AB738" t="str">
        <f>IF(X738="","",SUMIFS(IRegback!$Y$2:$Y1001,IRegback!$X$2:$X1001,X738))</f>
        <v/>
      </c>
      <c r="AC738" t="e">
        <f t="shared" si="9"/>
        <v>#VALUE!</v>
      </c>
      <c r="AD738" t="str">
        <f>IF(X738="","",VLOOKUP($X738,RM!$C$4:$G991,3,FALSE))</f>
        <v/>
      </c>
      <c r="AE738" t="str">
        <f>IF(X738="","",VLOOKUP($X738,RM!$C$4:$G991,4,FALSE))</f>
        <v/>
      </c>
      <c r="AF738" t="str">
        <f>IF(X738="","",VLOOKUP($X738,RM!$C$4:$G991,5,FALSE))</f>
        <v/>
      </c>
      <c r="AL738" t="e">
        <f ca="1">_xludf.IFNA(VLOOKUP(AH738,'S-FG'!$B$3:$B1001,1,FALSE),"")</f>
        <v>#NAME?</v>
      </c>
      <c r="AM738" t="str">
        <f>IF(AI738="","",SUMIFS(#REF!,RM!$C$4:$C991,AI738))</f>
        <v/>
      </c>
    </row>
    <row r="739" spans="5:39">
      <c r="E739" t="str">
        <f>IF(A739="","",SUMIFS('PR-BOM'!$D$3:$D1001,'PR-BOM'!$C$3:$C1001,A739)*C739)</f>
        <v/>
      </c>
      <c r="F739" t="e">
        <f ca="1">_xludf.IFNA(VLOOKUP(B739,'S-FG'!$B$3:$B1001,1,FALSE),"")</f>
        <v>#NAME?</v>
      </c>
      <c r="L739" t="str">
        <f t="shared" si="7"/>
        <v/>
      </c>
      <c r="Q739" t="str">
        <f>IF(N739="","",SUMIFS('PR-BOM'!$D$3:$D1001,'PR-BOM'!$C$3:$C1001,N739))</f>
        <v/>
      </c>
      <c r="Y739" t="str">
        <f t="shared" si="8"/>
        <v/>
      </c>
      <c r="Z739" t="str">
        <f>IF(X739="","",SUMIFS(#REF!,RM!$C$4:$C991,X739))</f>
        <v/>
      </c>
      <c r="AA739" t="str">
        <f>IF(X739="","",SUMIFS(#REF!,RM!$C$4:$C991,X739))</f>
        <v/>
      </c>
      <c r="AB739" t="str">
        <f>IF(X739="","",SUMIFS(IRegback!$Y$2:$Y1001,IRegback!$X$2:$X1001,X739))</f>
        <v/>
      </c>
      <c r="AC739" t="e">
        <f t="shared" si="9"/>
        <v>#VALUE!</v>
      </c>
      <c r="AD739" t="str">
        <f>IF(X739="","",VLOOKUP($X739,RM!$C$4:$G991,3,FALSE))</f>
        <v/>
      </c>
      <c r="AE739" t="str">
        <f>IF(X739="","",VLOOKUP($X739,RM!$C$4:$G991,4,FALSE))</f>
        <v/>
      </c>
      <c r="AF739" t="str">
        <f>IF(X739="","",VLOOKUP($X739,RM!$C$4:$G991,5,FALSE))</f>
        <v/>
      </c>
      <c r="AL739" t="e">
        <f ca="1">_xludf.IFNA(VLOOKUP(AH739,'S-FG'!$B$3:$B1001,1,FALSE),"")</f>
        <v>#NAME?</v>
      </c>
      <c r="AM739" t="str">
        <f>IF(AI739="","",SUMIFS(#REF!,RM!$C$4:$C991,AI739))</f>
        <v/>
      </c>
    </row>
    <row r="740" spans="5:39">
      <c r="E740" t="str">
        <f>IF(A740="","",SUMIFS('PR-BOM'!$D$3:$D1001,'PR-BOM'!$C$3:$C1001,A740)*C740)</f>
        <v/>
      </c>
      <c r="F740" t="e">
        <f ca="1">_xludf.IFNA(VLOOKUP(B740,'S-FG'!$B$3:$B1001,1,FALSE),"")</f>
        <v>#NAME?</v>
      </c>
      <c r="L740" t="str">
        <f t="shared" si="7"/>
        <v/>
      </c>
      <c r="Q740" t="str">
        <f>IF(N740="","",SUMIFS('PR-BOM'!$D$3:$D1001,'PR-BOM'!$C$3:$C1001,N740))</f>
        <v/>
      </c>
      <c r="Y740" t="str">
        <f t="shared" si="8"/>
        <v/>
      </c>
      <c r="Z740" t="str">
        <f>IF(X740="","",SUMIFS(#REF!,RM!$C$4:$C991,X740))</f>
        <v/>
      </c>
      <c r="AA740" t="str">
        <f>IF(X740="","",SUMIFS(#REF!,RM!$C$4:$C991,X740))</f>
        <v/>
      </c>
      <c r="AB740" t="str">
        <f>IF(X740="","",SUMIFS(IRegback!$Y$2:$Y1001,IRegback!$X$2:$X1001,X740))</f>
        <v/>
      </c>
      <c r="AC740" t="e">
        <f t="shared" si="9"/>
        <v>#VALUE!</v>
      </c>
      <c r="AD740" t="str">
        <f>IF(X740="","",VLOOKUP($X740,RM!$C$4:$G991,3,FALSE))</f>
        <v/>
      </c>
      <c r="AE740" t="str">
        <f>IF(X740="","",VLOOKUP($X740,RM!$C$4:$G991,4,FALSE))</f>
        <v/>
      </c>
      <c r="AF740" t="str">
        <f>IF(X740="","",VLOOKUP($X740,RM!$C$4:$G991,5,FALSE))</f>
        <v/>
      </c>
      <c r="AL740" t="e">
        <f ca="1">_xludf.IFNA(VLOOKUP(AH740,'S-FG'!$B$3:$B1001,1,FALSE),"")</f>
        <v>#NAME?</v>
      </c>
      <c r="AM740" t="str">
        <f>IF(AI740="","",SUMIFS(#REF!,RM!$C$4:$C991,AI740))</f>
        <v/>
      </c>
    </row>
    <row r="741" spans="5:39">
      <c r="E741" t="str">
        <f>IF(A741="","",SUMIFS('PR-BOM'!$D$3:$D1001,'PR-BOM'!$C$3:$C1001,A741)*C741)</f>
        <v/>
      </c>
      <c r="F741" t="e">
        <f ca="1">_xludf.IFNA(VLOOKUP(B741,'S-FG'!$B$3:$B1001,1,FALSE),"")</f>
        <v>#NAME?</v>
      </c>
      <c r="L741" t="str">
        <f t="shared" si="7"/>
        <v/>
      </c>
      <c r="Q741" t="str">
        <f>IF(N741="","",SUMIFS('PR-BOM'!$D$3:$D1001,'PR-BOM'!$C$3:$C1001,N741))</f>
        <v/>
      </c>
      <c r="Y741" t="str">
        <f t="shared" si="8"/>
        <v/>
      </c>
      <c r="Z741" t="str">
        <f>IF(X741="","",SUMIFS(#REF!,RM!$C$4:$C991,X741))</f>
        <v/>
      </c>
      <c r="AA741" t="str">
        <f>IF(X741="","",SUMIFS(#REF!,RM!$C$4:$C991,X741))</f>
        <v/>
      </c>
      <c r="AB741" t="str">
        <f>IF(X741="","",SUMIFS(IRegback!$Y$2:$Y1001,IRegback!$X$2:$X1001,X741))</f>
        <v/>
      </c>
      <c r="AC741" t="e">
        <f t="shared" si="9"/>
        <v>#VALUE!</v>
      </c>
      <c r="AD741" t="str">
        <f>IF(X741="","",VLOOKUP($X741,RM!$C$4:$G991,3,FALSE))</f>
        <v/>
      </c>
      <c r="AE741" t="str">
        <f>IF(X741="","",VLOOKUP($X741,RM!$C$4:$G991,4,FALSE))</f>
        <v/>
      </c>
      <c r="AF741" t="str">
        <f>IF(X741="","",VLOOKUP($X741,RM!$C$4:$G991,5,FALSE))</f>
        <v/>
      </c>
      <c r="AL741" t="e">
        <f ca="1">_xludf.IFNA(VLOOKUP(AH741,'S-FG'!$B$3:$B1001,1,FALSE),"")</f>
        <v>#NAME?</v>
      </c>
      <c r="AM741" t="str">
        <f>IF(AI741="","",SUMIFS(#REF!,RM!$C$4:$C991,AI741))</f>
        <v/>
      </c>
    </row>
    <row r="742" spans="5:39">
      <c r="E742" t="str">
        <f>IF(A742="","",SUMIFS('PR-BOM'!$D$3:$D1001,'PR-BOM'!$C$3:$C1001,A742)*C742)</f>
        <v/>
      </c>
      <c r="F742" t="e">
        <f ca="1">_xludf.IFNA(VLOOKUP(B742,'S-FG'!$B$3:$B1001,1,FALSE),"")</f>
        <v>#NAME?</v>
      </c>
      <c r="L742" t="str">
        <f t="shared" si="7"/>
        <v/>
      </c>
      <c r="Q742" t="str">
        <f>IF(N742="","",SUMIFS('PR-BOM'!$D$3:$D1001,'PR-BOM'!$C$3:$C1001,N742))</f>
        <v/>
      </c>
      <c r="Y742" t="str">
        <f t="shared" si="8"/>
        <v/>
      </c>
      <c r="Z742" t="str">
        <f>IF(X742="","",SUMIFS(#REF!,RM!$C$4:$C991,X742))</f>
        <v/>
      </c>
      <c r="AA742" t="str">
        <f>IF(X742="","",SUMIFS(#REF!,RM!$C$4:$C991,X742))</f>
        <v/>
      </c>
      <c r="AB742" t="str">
        <f>IF(X742="","",SUMIFS(IRegback!$Y$2:$Y1001,IRegback!$X$2:$X1001,X742))</f>
        <v/>
      </c>
      <c r="AC742" t="e">
        <f t="shared" si="9"/>
        <v>#VALUE!</v>
      </c>
      <c r="AD742" t="str">
        <f>IF(X742="","",VLOOKUP($X742,RM!$C$4:$G991,3,FALSE))</f>
        <v/>
      </c>
      <c r="AE742" t="str">
        <f>IF(X742="","",VLOOKUP($X742,RM!$C$4:$G991,4,FALSE))</f>
        <v/>
      </c>
      <c r="AF742" t="str">
        <f>IF(X742="","",VLOOKUP($X742,RM!$C$4:$G991,5,FALSE))</f>
        <v/>
      </c>
      <c r="AL742" t="e">
        <f ca="1">_xludf.IFNA(VLOOKUP(AH742,'S-FG'!$B$3:$B1001,1,FALSE),"")</f>
        <v>#NAME?</v>
      </c>
      <c r="AM742" t="str">
        <f>IF(AI742="","",SUMIFS(#REF!,RM!$C$4:$C991,AI742))</f>
        <v/>
      </c>
    </row>
    <row r="743" spans="5:39">
      <c r="E743" t="str">
        <f>IF(A743="","",SUMIFS('PR-BOM'!$D$3:$D1001,'PR-BOM'!$C$3:$C1001,A743)*C743)</f>
        <v/>
      </c>
      <c r="F743" t="e">
        <f ca="1">_xludf.IFNA(VLOOKUP(B743,'S-FG'!$B$3:$B1001,1,FALSE),"")</f>
        <v>#NAME?</v>
      </c>
      <c r="L743" t="str">
        <f t="shared" si="7"/>
        <v/>
      </c>
      <c r="Q743" t="str">
        <f>IF(N743="","",SUMIFS('PR-BOM'!$D$3:$D1001,'PR-BOM'!$C$3:$C1001,N743))</f>
        <v/>
      </c>
      <c r="Y743" t="str">
        <f t="shared" si="8"/>
        <v/>
      </c>
      <c r="Z743" t="str">
        <f>IF(X743="","",SUMIFS(#REF!,RM!$C$4:$C991,X743))</f>
        <v/>
      </c>
      <c r="AA743" t="str">
        <f>IF(X743="","",SUMIFS(#REF!,RM!$C$4:$C991,X743))</f>
        <v/>
      </c>
      <c r="AB743" t="str">
        <f>IF(X743="","",SUMIFS(IRegback!$Y$2:$Y1001,IRegback!$X$2:$X1001,X743))</f>
        <v/>
      </c>
      <c r="AC743" t="e">
        <f t="shared" si="9"/>
        <v>#VALUE!</v>
      </c>
      <c r="AD743" t="str">
        <f>IF(X743="","",VLOOKUP($X743,RM!$C$4:$G991,3,FALSE))</f>
        <v/>
      </c>
      <c r="AE743" t="str">
        <f>IF(X743="","",VLOOKUP($X743,RM!$C$4:$G991,4,FALSE))</f>
        <v/>
      </c>
      <c r="AF743" t="str">
        <f>IF(X743="","",VLOOKUP($X743,RM!$C$4:$G991,5,FALSE))</f>
        <v/>
      </c>
      <c r="AL743" t="e">
        <f ca="1">_xludf.IFNA(VLOOKUP(AH743,'S-FG'!$B$3:$B1001,1,FALSE),"")</f>
        <v>#NAME?</v>
      </c>
      <c r="AM743" t="str">
        <f>IF(AI743="","",SUMIFS(#REF!,RM!$C$4:$C991,AI743))</f>
        <v/>
      </c>
    </row>
    <row r="744" spans="5:39">
      <c r="E744" t="str">
        <f>IF(A744="","",SUMIFS('PR-BOM'!$D$3:$D1001,'PR-BOM'!$C$3:$C1001,A744)*C744)</f>
        <v/>
      </c>
      <c r="F744" t="e">
        <f ca="1">_xludf.IFNA(VLOOKUP(B744,'S-FG'!$B$3:$B1001,1,FALSE),"")</f>
        <v>#NAME?</v>
      </c>
      <c r="L744" t="str">
        <f t="shared" si="7"/>
        <v/>
      </c>
      <c r="Q744" t="str">
        <f>IF(N744="","",SUMIFS('PR-BOM'!$D$3:$D1001,'PR-BOM'!$C$3:$C1001,N744))</f>
        <v/>
      </c>
      <c r="Y744" t="str">
        <f t="shared" si="8"/>
        <v/>
      </c>
      <c r="Z744" t="str">
        <f>IF(X744="","",SUMIFS(#REF!,RM!$C$4:$C991,X744))</f>
        <v/>
      </c>
      <c r="AA744" t="str">
        <f>IF(X744="","",SUMIFS(#REF!,RM!$C$4:$C991,X744))</f>
        <v/>
      </c>
      <c r="AB744" t="str">
        <f>IF(X744="","",SUMIFS(IRegback!$Y$2:$Y1001,IRegback!$X$2:$X1001,X744))</f>
        <v/>
      </c>
      <c r="AC744" t="e">
        <f t="shared" si="9"/>
        <v>#VALUE!</v>
      </c>
      <c r="AD744" t="str">
        <f>IF(X744="","",VLOOKUP($X744,RM!$C$4:$G991,3,FALSE))</f>
        <v/>
      </c>
      <c r="AE744" t="str">
        <f>IF(X744="","",VLOOKUP($X744,RM!$C$4:$G991,4,FALSE))</f>
        <v/>
      </c>
      <c r="AF744" t="str">
        <f>IF(X744="","",VLOOKUP($X744,RM!$C$4:$G991,5,FALSE))</f>
        <v/>
      </c>
      <c r="AL744" t="e">
        <f ca="1">_xludf.IFNA(VLOOKUP(AH744,'S-FG'!$B$3:$B1001,1,FALSE),"")</f>
        <v>#NAME?</v>
      </c>
      <c r="AM744" t="str">
        <f>IF(AI744="","",SUMIFS(#REF!,RM!$C$4:$C991,AI744))</f>
        <v/>
      </c>
    </row>
    <row r="745" spans="5:39">
      <c r="E745" t="str">
        <f>IF(A745="","",SUMIFS('PR-BOM'!$D$3:$D1001,'PR-BOM'!$C$3:$C1001,A745)*C745)</f>
        <v/>
      </c>
      <c r="F745" t="e">
        <f ca="1">_xludf.IFNA(VLOOKUP(B745,'S-FG'!$B$3:$B1001,1,FALSE),"")</f>
        <v>#NAME?</v>
      </c>
      <c r="L745" t="str">
        <f t="shared" si="7"/>
        <v/>
      </c>
      <c r="Q745" t="str">
        <f>IF(N745="","",SUMIFS('PR-BOM'!$D$3:$D1001,'PR-BOM'!$C$3:$C1001,N745))</f>
        <v/>
      </c>
      <c r="Y745" t="str">
        <f t="shared" si="8"/>
        <v/>
      </c>
      <c r="Z745" t="str">
        <f>IF(X745="","",SUMIFS(#REF!,RM!$C$4:$C991,X745))</f>
        <v/>
      </c>
      <c r="AA745" t="str">
        <f>IF(X745="","",SUMIFS(#REF!,RM!$C$4:$C991,X745))</f>
        <v/>
      </c>
      <c r="AB745" t="str">
        <f>IF(X745="","",SUMIFS(IRegback!$Y$2:$Y1001,IRegback!$X$2:$X1001,X745))</f>
        <v/>
      </c>
      <c r="AC745" t="e">
        <f t="shared" si="9"/>
        <v>#VALUE!</v>
      </c>
      <c r="AD745" t="str">
        <f>IF(X745="","",VLOOKUP($X745,RM!$C$4:$G991,3,FALSE))</f>
        <v/>
      </c>
      <c r="AE745" t="str">
        <f>IF(X745="","",VLOOKUP($X745,RM!$C$4:$G991,4,FALSE))</f>
        <v/>
      </c>
      <c r="AF745" t="str">
        <f>IF(X745="","",VLOOKUP($X745,RM!$C$4:$G991,5,FALSE))</f>
        <v/>
      </c>
      <c r="AL745" t="e">
        <f ca="1">_xludf.IFNA(VLOOKUP(AH745,'S-FG'!$B$3:$B1001,1,FALSE),"")</f>
        <v>#NAME?</v>
      </c>
      <c r="AM745" t="str">
        <f>IF(AI745="","",SUMIFS(#REF!,RM!$C$4:$C991,AI745))</f>
        <v/>
      </c>
    </row>
    <row r="746" spans="5:39">
      <c r="E746" t="str">
        <f>IF(A746="","",SUMIFS('PR-BOM'!$D$3:$D1001,'PR-BOM'!$C$3:$C1001,A746)*C746)</f>
        <v/>
      </c>
      <c r="F746" t="e">
        <f ca="1">_xludf.IFNA(VLOOKUP(B746,'S-FG'!$B$3:$B1001,1,FALSE),"")</f>
        <v>#NAME?</v>
      </c>
      <c r="L746" t="str">
        <f t="shared" si="7"/>
        <v/>
      </c>
      <c r="Q746" t="str">
        <f>IF(N746="","",SUMIFS('PR-BOM'!$D$3:$D1001,'PR-BOM'!$C$3:$C1001,N746))</f>
        <v/>
      </c>
      <c r="Y746" t="str">
        <f t="shared" si="8"/>
        <v/>
      </c>
      <c r="Z746" t="str">
        <f>IF(X746="","",SUMIFS(#REF!,RM!$C$4:$C991,X746))</f>
        <v/>
      </c>
      <c r="AA746" t="str">
        <f>IF(X746="","",SUMIFS(#REF!,RM!$C$4:$C991,X746))</f>
        <v/>
      </c>
      <c r="AB746" t="str">
        <f>IF(X746="","",SUMIFS(IRegback!$Y$2:$Y1001,IRegback!$X$2:$X1001,X746))</f>
        <v/>
      </c>
      <c r="AC746" t="e">
        <f t="shared" si="9"/>
        <v>#VALUE!</v>
      </c>
      <c r="AD746" t="str">
        <f>IF(X746="","",VLOOKUP($X746,RM!$C$4:$G991,3,FALSE))</f>
        <v/>
      </c>
      <c r="AE746" t="str">
        <f>IF(X746="","",VLOOKUP($X746,RM!$C$4:$G991,4,FALSE))</f>
        <v/>
      </c>
      <c r="AF746" t="str">
        <f>IF(X746="","",VLOOKUP($X746,RM!$C$4:$G991,5,FALSE))</f>
        <v/>
      </c>
      <c r="AL746" t="e">
        <f ca="1">_xludf.IFNA(VLOOKUP(AH746,'S-FG'!$B$3:$B1001,1,FALSE),"")</f>
        <v>#NAME?</v>
      </c>
      <c r="AM746" t="str">
        <f>IF(AI746="","",SUMIFS(#REF!,RM!$C$4:$C991,AI746))</f>
        <v/>
      </c>
    </row>
    <row r="747" spans="5:39">
      <c r="E747" t="str">
        <f>IF(A747="","",SUMIFS('PR-BOM'!$D$3:$D1001,'PR-BOM'!$C$3:$C1001,A747)*C747)</f>
        <v/>
      </c>
      <c r="F747" t="e">
        <f ca="1">_xludf.IFNA(VLOOKUP(B747,'S-FG'!$B$3:$B1001,1,FALSE),"")</f>
        <v>#NAME?</v>
      </c>
      <c r="L747" t="str">
        <f t="shared" si="7"/>
        <v/>
      </c>
      <c r="Q747" t="str">
        <f>IF(N747="","",SUMIFS('PR-BOM'!$D$3:$D1001,'PR-BOM'!$C$3:$C1001,N747))</f>
        <v/>
      </c>
      <c r="Y747" t="str">
        <f t="shared" si="8"/>
        <v/>
      </c>
      <c r="Z747" t="str">
        <f>IF(X747="","",SUMIFS(#REF!,RM!$C$4:$C991,X747))</f>
        <v/>
      </c>
      <c r="AA747" t="str">
        <f>IF(X747="","",SUMIFS(#REF!,RM!$C$4:$C991,X747))</f>
        <v/>
      </c>
      <c r="AB747" t="str">
        <f>IF(X747="","",SUMIFS(IRegback!$Y$2:$Y1001,IRegback!$X$2:$X1001,X747))</f>
        <v/>
      </c>
      <c r="AC747" t="e">
        <f t="shared" si="9"/>
        <v>#VALUE!</v>
      </c>
      <c r="AD747" t="str">
        <f>IF(X747="","",VLOOKUP($X747,RM!$C$4:$G991,3,FALSE))</f>
        <v/>
      </c>
      <c r="AE747" t="str">
        <f>IF(X747="","",VLOOKUP($X747,RM!$C$4:$G991,4,FALSE))</f>
        <v/>
      </c>
      <c r="AF747" t="str">
        <f>IF(X747="","",VLOOKUP($X747,RM!$C$4:$G991,5,FALSE))</f>
        <v/>
      </c>
      <c r="AL747" t="e">
        <f ca="1">_xludf.IFNA(VLOOKUP(AH747,'S-FG'!$B$3:$B1001,1,FALSE),"")</f>
        <v>#NAME?</v>
      </c>
      <c r="AM747" t="str">
        <f>IF(AI747="","",SUMIFS(#REF!,RM!$C$4:$C991,AI747))</f>
        <v/>
      </c>
    </row>
    <row r="748" spans="5:39">
      <c r="E748" t="str">
        <f>IF(A748="","",SUMIFS('PR-BOM'!$D$3:$D1001,'PR-BOM'!$C$3:$C1001,A748)*C748)</f>
        <v/>
      </c>
      <c r="F748" t="e">
        <f ca="1">_xludf.IFNA(VLOOKUP(B748,'S-FG'!$B$3:$B1001,1,FALSE),"")</f>
        <v>#NAME?</v>
      </c>
      <c r="L748" t="str">
        <f t="shared" si="7"/>
        <v/>
      </c>
      <c r="Q748" t="str">
        <f>IF(N748="","",SUMIFS('PR-BOM'!$D$3:$D1001,'PR-BOM'!$C$3:$C1001,N748))</f>
        <v/>
      </c>
      <c r="Y748" t="str">
        <f t="shared" si="8"/>
        <v/>
      </c>
      <c r="Z748" t="str">
        <f>IF(X748="","",SUMIFS(#REF!,RM!$C$4:$C991,X748))</f>
        <v/>
      </c>
      <c r="AA748" t="str">
        <f>IF(X748="","",SUMIFS(#REF!,RM!$C$4:$C991,X748))</f>
        <v/>
      </c>
      <c r="AB748" t="str">
        <f>IF(X748="","",SUMIFS(IRegback!$Y$2:$Y1001,IRegback!$X$2:$X1001,X748))</f>
        <v/>
      </c>
      <c r="AC748" t="e">
        <f t="shared" si="9"/>
        <v>#VALUE!</v>
      </c>
      <c r="AD748" t="str">
        <f>IF(X748="","",VLOOKUP($X748,RM!$C$4:$G991,3,FALSE))</f>
        <v/>
      </c>
      <c r="AE748" t="str">
        <f>IF(X748="","",VLOOKUP($X748,RM!$C$4:$G991,4,FALSE))</f>
        <v/>
      </c>
      <c r="AF748" t="str">
        <f>IF(X748="","",VLOOKUP($X748,RM!$C$4:$G991,5,FALSE))</f>
        <v/>
      </c>
      <c r="AL748" t="e">
        <f ca="1">_xludf.IFNA(VLOOKUP(AH748,'S-FG'!$B$3:$B1001,1,FALSE),"")</f>
        <v>#NAME?</v>
      </c>
      <c r="AM748" t="str">
        <f>IF(AI748="","",SUMIFS(#REF!,RM!$C$4:$C991,AI748))</f>
        <v/>
      </c>
    </row>
    <row r="749" spans="5:39">
      <c r="E749" t="str">
        <f>IF(A749="","",SUMIFS('PR-BOM'!$D$3:$D1001,'PR-BOM'!$C$3:$C1001,A749)*C749)</f>
        <v/>
      </c>
      <c r="F749" t="e">
        <f ca="1">_xludf.IFNA(VLOOKUP(B749,'S-FG'!$B$3:$B1001,1,FALSE),"")</f>
        <v>#NAME?</v>
      </c>
      <c r="L749" t="str">
        <f t="shared" si="7"/>
        <v/>
      </c>
      <c r="Q749" t="str">
        <f>IF(N749="","",SUMIFS('PR-BOM'!$D$3:$D1001,'PR-BOM'!$C$3:$C1001,N749))</f>
        <v/>
      </c>
      <c r="Y749" t="str">
        <f t="shared" si="8"/>
        <v/>
      </c>
      <c r="Z749" t="str">
        <f>IF(X749="","",SUMIFS(#REF!,RM!$C$4:$C991,X749))</f>
        <v/>
      </c>
      <c r="AA749" t="str">
        <f>IF(X749="","",SUMIFS(#REF!,RM!$C$4:$C991,X749))</f>
        <v/>
      </c>
      <c r="AB749" t="str">
        <f>IF(X749="","",SUMIFS(IRegback!$Y$2:$Y1001,IRegback!$X$2:$X1001,X749))</f>
        <v/>
      </c>
      <c r="AC749" t="e">
        <f t="shared" si="9"/>
        <v>#VALUE!</v>
      </c>
      <c r="AD749" t="str">
        <f>IF(X749="","",VLOOKUP($X749,RM!$C$4:$G991,3,FALSE))</f>
        <v/>
      </c>
      <c r="AE749" t="str">
        <f>IF(X749="","",VLOOKUP($X749,RM!$C$4:$G991,4,FALSE))</f>
        <v/>
      </c>
      <c r="AF749" t="str">
        <f>IF(X749="","",VLOOKUP($X749,RM!$C$4:$G991,5,FALSE))</f>
        <v/>
      </c>
      <c r="AL749" t="e">
        <f ca="1">_xludf.IFNA(VLOOKUP(AH749,'S-FG'!$B$3:$B1001,1,FALSE),"")</f>
        <v>#NAME?</v>
      </c>
      <c r="AM749" t="str">
        <f>IF(AI749="","",SUMIFS(#REF!,RM!$C$4:$C991,AI749))</f>
        <v/>
      </c>
    </row>
    <row r="750" spans="5:39">
      <c r="E750" t="str">
        <f>IF(A750="","",SUMIFS('PR-BOM'!$D$3:$D1001,'PR-BOM'!$C$3:$C1001,A750)*C750)</f>
        <v/>
      </c>
      <c r="F750" t="e">
        <f ca="1">_xludf.IFNA(VLOOKUP(B750,'S-FG'!$B$3:$B1001,1,FALSE),"")</f>
        <v>#NAME?</v>
      </c>
      <c r="L750" t="str">
        <f t="shared" si="7"/>
        <v/>
      </c>
      <c r="Q750" t="str">
        <f>IF(N750="","",SUMIFS('PR-BOM'!$D$3:$D1001,'PR-BOM'!$C$3:$C1001,N750))</f>
        <v/>
      </c>
      <c r="Y750" t="str">
        <f t="shared" si="8"/>
        <v/>
      </c>
      <c r="Z750" t="str">
        <f>IF(X750="","",SUMIFS(#REF!,RM!$C$4:$C991,X750))</f>
        <v/>
      </c>
      <c r="AA750" t="str">
        <f>IF(X750="","",SUMIFS(#REF!,RM!$C$4:$C991,X750))</f>
        <v/>
      </c>
      <c r="AB750" t="str">
        <f>IF(X750="","",SUMIFS(IRegback!$Y$2:$Y1001,IRegback!$X$2:$X1001,X750))</f>
        <v/>
      </c>
      <c r="AC750" t="e">
        <f t="shared" si="9"/>
        <v>#VALUE!</v>
      </c>
      <c r="AD750" t="str">
        <f>IF(X750="","",VLOOKUP($X750,RM!$C$4:$G991,3,FALSE))</f>
        <v/>
      </c>
      <c r="AE750" t="str">
        <f>IF(X750="","",VLOOKUP($X750,RM!$C$4:$G991,4,FALSE))</f>
        <v/>
      </c>
      <c r="AF750" t="str">
        <f>IF(X750="","",VLOOKUP($X750,RM!$C$4:$G991,5,FALSE))</f>
        <v/>
      </c>
      <c r="AL750" t="e">
        <f ca="1">_xludf.IFNA(VLOOKUP(AH750,'S-FG'!$B$3:$B1001,1,FALSE),"")</f>
        <v>#NAME?</v>
      </c>
      <c r="AM750" t="str">
        <f>IF(AI750="","",SUMIFS(#REF!,RM!$C$4:$C991,AI750))</f>
        <v/>
      </c>
    </row>
    <row r="751" spans="5:39">
      <c r="E751" t="str">
        <f>IF(A751="","",SUMIFS('PR-BOM'!$D$3:$D1001,'PR-BOM'!$C$3:$C1001,A751)*C751)</f>
        <v/>
      </c>
      <c r="F751" t="e">
        <f ca="1">_xludf.IFNA(VLOOKUP(B751,'S-FG'!$B$3:$B1001,1,FALSE),"")</f>
        <v>#NAME?</v>
      </c>
      <c r="L751" t="str">
        <f t="shared" si="7"/>
        <v/>
      </c>
      <c r="Q751" t="str">
        <f>IF(N751="","",SUMIFS('PR-BOM'!$D$3:$D1001,'PR-BOM'!$C$3:$C1001,N751))</f>
        <v/>
      </c>
      <c r="Y751" t="str">
        <f t="shared" si="8"/>
        <v/>
      </c>
      <c r="Z751" t="str">
        <f>IF(X751="","",SUMIFS(#REF!,RM!$C$4:$C991,X751))</f>
        <v/>
      </c>
      <c r="AA751" t="str">
        <f>IF(X751="","",SUMIFS(#REF!,RM!$C$4:$C991,X751))</f>
        <v/>
      </c>
      <c r="AB751" t="str">
        <f>IF(X751="","",SUMIFS(IRegback!$Y$2:$Y1001,IRegback!$X$2:$X1001,X751))</f>
        <v/>
      </c>
      <c r="AC751" t="e">
        <f t="shared" si="9"/>
        <v>#VALUE!</v>
      </c>
      <c r="AD751" t="str">
        <f>IF(X751="","",VLOOKUP($X751,RM!$C$4:$G991,3,FALSE))</f>
        <v/>
      </c>
      <c r="AE751" t="str">
        <f>IF(X751="","",VLOOKUP($X751,RM!$C$4:$G991,4,FALSE))</f>
        <v/>
      </c>
      <c r="AF751" t="str">
        <f>IF(X751="","",VLOOKUP($X751,RM!$C$4:$G991,5,FALSE))</f>
        <v/>
      </c>
      <c r="AL751" t="e">
        <f ca="1">_xludf.IFNA(VLOOKUP(AH751,'S-FG'!$B$3:$B1001,1,FALSE),"")</f>
        <v>#NAME?</v>
      </c>
      <c r="AM751" t="str">
        <f>IF(AI751="","",SUMIFS(#REF!,RM!$C$4:$C991,AI751))</f>
        <v/>
      </c>
    </row>
    <row r="752" spans="5:39">
      <c r="E752" t="str">
        <f>IF(A752="","",SUMIFS('PR-BOM'!$D$3:$D1001,'PR-BOM'!$C$3:$C1001,A752)*C752)</f>
        <v/>
      </c>
      <c r="F752" t="e">
        <f ca="1">_xludf.IFNA(VLOOKUP(B752,'S-FG'!$B$3:$B1001,1,FALSE),"")</f>
        <v>#NAME?</v>
      </c>
      <c r="L752" t="str">
        <f t="shared" si="7"/>
        <v/>
      </c>
      <c r="Q752" t="str">
        <f>IF(N752="","",SUMIFS('PR-BOM'!$D$3:$D1001,'PR-BOM'!$C$3:$C1001,N752))</f>
        <v/>
      </c>
      <c r="Y752" t="str">
        <f t="shared" si="8"/>
        <v/>
      </c>
      <c r="Z752" t="str">
        <f>IF(X752="","",SUMIFS(#REF!,RM!$C$4:$C991,X752))</f>
        <v/>
      </c>
      <c r="AA752" t="str">
        <f>IF(X752="","",SUMIFS(#REF!,RM!$C$4:$C991,X752))</f>
        <v/>
      </c>
      <c r="AB752" t="str">
        <f>IF(X752="","",SUMIFS(IRegback!$Y$2:$Y1001,IRegback!$X$2:$X1001,X752))</f>
        <v/>
      </c>
      <c r="AC752" t="e">
        <f t="shared" si="9"/>
        <v>#VALUE!</v>
      </c>
      <c r="AD752" t="str">
        <f>IF(X752="","",VLOOKUP($X752,RM!$C$4:$G991,3,FALSE))</f>
        <v/>
      </c>
      <c r="AE752" t="str">
        <f>IF(X752="","",VLOOKUP($X752,RM!$C$4:$G991,4,FALSE))</f>
        <v/>
      </c>
      <c r="AF752" t="str">
        <f>IF(X752="","",VLOOKUP($X752,RM!$C$4:$G991,5,FALSE))</f>
        <v/>
      </c>
      <c r="AL752" t="e">
        <f ca="1">_xludf.IFNA(VLOOKUP(AH752,'S-FG'!$B$3:$B1001,1,FALSE),"")</f>
        <v>#NAME?</v>
      </c>
      <c r="AM752" t="str">
        <f>IF(AI752="","",SUMIFS(#REF!,RM!$C$4:$C991,AI752))</f>
        <v/>
      </c>
    </row>
    <row r="753" spans="5:39">
      <c r="E753" t="str">
        <f>IF(A753="","",SUMIFS('PR-BOM'!$D$3:$D1001,'PR-BOM'!$C$3:$C1001,A753)*C753)</f>
        <v/>
      </c>
      <c r="F753" t="e">
        <f ca="1">_xludf.IFNA(VLOOKUP(B753,'S-FG'!$B$3:$B1001,1,FALSE),"")</f>
        <v>#NAME?</v>
      </c>
      <c r="L753" t="str">
        <f t="shared" si="7"/>
        <v/>
      </c>
      <c r="Q753" t="str">
        <f>IF(N753="","",SUMIFS('PR-BOM'!$D$3:$D1001,'PR-BOM'!$C$3:$C1001,N753))</f>
        <v/>
      </c>
      <c r="Y753" t="str">
        <f t="shared" si="8"/>
        <v/>
      </c>
      <c r="Z753" t="str">
        <f>IF(X753="","",SUMIFS(#REF!,RM!$C$4:$C991,X753))</f>
        <v/>
      </c>
      <c r="AA753" t="str">
        <f>IF(X753="","",SUMIFS(#REF!,RM!$C$4:$C991,X753))</f>
        <v/>
      </c>
      <c r="AB753" t="str">
        <f>IF(X753="","",SUMIFS(IRegback!$Y$2:$Y1001,IRegback!$X$2:$X1001,X753))</f>
        <v/>
      </c>
      <c r="AC753" t="e">
        <f t="shared" si="9"/>
        <v>#VALUE!</v>
      </c>
      <c r="AD753" t="str">
        <f>IF(X753="","",VLOOKUP($X753,RM!$C$4:$G991,3,FALSE))</f>
        <v/>
      </c>
      <c r="AE753" t="str">
        <f>IF(X753="","",VLOOKUP($X753,RM!$C$4:$G991,4,FALSE))</f>
        <v/>
      </c>
      <c r="AF753" t="str">
        <f>IF(X753="","",VLOOKUP($X753,RM!$C$4:$G991,5,FALSE))</f>
        <v/>
      </c>
      <c r="AL753" t="e">
        <f ca="1">_xludf.IFNA(VLOOKUP(AH753,'S-FG'!$B$3:$B1001,1,FALSE),"")</f>
        <v>#NAME?</v>
      </c>
      <c r="AM753" t="str">
        <f>IF(AI753="","",SUMIFS(#REF!,RM!$C$4:$C991,AI753))</f>
        <v/>
      </c>
    </row>
    <row r="754" spans="5:39">
      <c r="E754" t="str">
        <f>IF(A754="","",SUMIFS('PR-BOM'!$D$3:$D1001,'PR-BOM'!$C$3:$C1001,A754)*C754)</f>
        <v/>
      </c>
      <c r="F754" t="e">
        <f ca="1">_xludf.IFNA(VLOOKUP(B754,'S-FG'!$B$3:$B1001,1,FALSE),"")</f>
        <v>#NAME?</v>
      </c>
      <c r="L754" t="str">
        <f t="shared" si="7"/>
        <v/>
      </c>
      <c r="Q754" t="str">
        <f>IF(N754="","",SUMIFS('PR-BOM'!$D$3:$D1001,'PR-BOM'!$C$3:$C1001,N754))</f>
        <v/>
      </c>
      <c r="Y754" t="str">
        <f t="shared" si="8"/>
        <v/>
      </c>
      <c r="Z754" t="str">
        <f>IF(X754="","",SUMIFS(#REF!,RM!$C$4:$C991,X754))</f>
        <v/>
      </c>
      <c r="AA754" t="str">
        <f>IF(X754="","",SUMIFS(#REF!,RM!$C$4:$C991,X754))</f>
        <v/>
      </c>
      <c r="AB754" t="str">
        <f>IF(X754="","",SUMIFS(IRegback!$Y$2:$Y1001,IRegback!$X$2:$X1001,X754))</f>
        <v/>
      </c>
      <c r="AC754" t="e">
        <f t="shared" si="9"/>
        <v>#VALUE!</v>
      </c>
      <c r="AD754" t="str">
        <f>IF(X754="","",VLOOKUP($X754,RM!$C$4:$G991,3,FALSE))</f>
        <v/>
      </c>
      <c r="AE754" t="str">
        <f>IF(X754="","",VLOOKUP($X754,RM!$C$4:$G991,4,FALSE))</f>
        <v/>
      </c>
      <c r="AF754" t="str">
        <f>IF(X754="","",VLOOKUP($X754,RM!$C$4:$G991,5,FALSE))</f>
        <v/>
      </c>
      <c r="AL754" t="e">
        <f ca="1">_xludf.IFNA(VLOOKUP(AH754,'S-FG'!$B$3:$B1001,1,FALSE),"")</f>
        <v>#NAME?</v>
      </c>
      <c r="AM754" t="str">
        <f>IF(AI754="","",SUMIFS(#REF!,RM!$C$4:$C991,AI754))</f>
        <v/>
      </c>
    </row>
    <row r="755" spans="5:39">
      <c r="E755" t="str">
        <f>IF(A755="","",SUMIFS('PR-BOM'!$D$3:$D1001,'PR-BOM'!$C$3:$C1001,A755)*C755)</f>
        <v/>
      </c>
      <c r="F755" t="e">
        <f ca="1">_xludf.IFNA(VLOOKUP(B755,'S-FG'!$B$3:$B1001,1,FALSE),"")</f>
        <v>#NAME?</v>
      </c>
      <c r="L755" t="str">
        <f t="shared" si="7"/>
        <v/>
      </c>
      <c r="Q755" t="str">
        <f>IF(N755="","",SUMIFS('PR-BOM'!$D$3:$D1001,'PR-BOM'!$C$3:$C1001,N755))</f>
        <v/>
      </c>
      <c r="Y755" t="str">
        <f t="shared" si="8"/>
        <v/>
      </c>
      <c r="Z755" t="str">
        <f>IF(X755="","",SUMIFS(#REF!,RM!$C$4:$C991,X755))</f>
        <v/>
      </c>
      <c r="AA755" t="str">
        <f>IF(X755="","",SUMIFS(#REF!,RM!$C$4:$C991,X755))</f>
        <v/>
      </c>
      <c r="AB755" t="str">
        <f>IF(X755="","",SUMIFS(IRegback!$Y$2:$Y1001,IRegback!$X$2:$X1001,X755))</f>
        <v/>
      </c>
      <c r="AC755" t="e">
        <f t="shared" si="9"/>
        <v>#VALUE!</v>
      </c>
      <c r="AD755" t="str">
        <f>IF(X755="","",VLOOKUP($X755,RM!$C$4:$G991,3,FALSE))</f>
        <v/>
      </c>
      <c r="AE755" t="str">
        <f>IF(X755="","",VLOOKUP($X755,RM!$C$4:$G991,4,FALSE))</f>
        <v/>
      </c>
      <c r="AF755" t="str">
        <f>IF(X755="","",VLOOKUP($X755,RM!$C$4:$G991,5,FALSE))</f>
        <v/>
      </c>
      <c r="AL755" t="e">
        <f ca="1">_xludf.IFNA(VLOOKUP(AH755,'S-FG'!$B$3:$B1001,1,FALSE),"")</f>
        <v>#NAME?</v>
      </c>
      <c r="AM755" t="str">
        <f>IF(AI755="","",SUMIFS(#REF!,RM!$C$4:$C991,AI755))</f>
        <v/>
      </c>
    </row>
    <row r="756" spans="5:39">
      <c r="E756" t="str">
        <f>IF(A756="","",SUMIFS('PR-BOM'!$D$3:$D1001,'PR-BOM'!$C$3:$C1001,A756)*C756)</f>
        <v/>
      </c>
      <c r="F756" t="e">
        <f ca="1">_xludf.IFNA(VLOOKUP(B756,'S-FG'!$B$3:$B1001,1,FALSE),"")</f>
        <v>#NAME?</v>
      </c>
      <c r="L756" t="str">
        <f t="shared" si="7"/>
        <v/>
      </c>
      <c r="Q756" t="str">
        <f>IF(N756="","",SUMIFS('PR-BOM'!$D$3:$D1001,'PR-BOM'!$C$3:$C1001,N756))</f>
        <v/>
      </c>
      <c r="Y756" t="str">
        <f t="shared" si="8"/>
        <v/>
      </c>
      <c r="Z756" t="str">
        <f>IF(X756="","",SUMIFS(#REF!,RM!$C$4:$C991,X756))</f>
        <v/>
      </c>
      <c r="AA756" t="str">
        <f>IF(X756="","",SUMIFS(#REF!,RM!$C$4:$C991,X756))</f>
        <v/>
      </c>
      <c r="AB756" t="str">
        <f>IF(X756="","",SUMIFS(IRegback!$Y$2:$Y1001,IRegback!$X$2:$X1001,X756))</f>
        <v/>
      </c>
      <c r="AC756" t="e">
        <f t="shared" si="9"/>
        <v>#VALUE!</v>
      </c>
      <c r="AD756" t="str">
        <f>IF(X756="","",VLOOKUP($X756,RM!$C$4:$G991,3,FALSE))</f>
        <v/>
      </c>
      <c r="AE756" t="str">
        <f>IF(X756="","",VLOOKUP($X756,RM!$C$4:$G991,4,FALSE))</f>
        <v/>
      </c>
      <c r="AF756" t="str">
        <f>IF(X756="","",VLOOKUP($X756,RM!$C$4:$G991,5,FALSE))</f>
        <v/>
      </c>
      <c r="AL756" t="e">
        <f ca="1">_xludf.IFNA(VLOOKUP(AH756,'S-FG'!$B$3:$B1001,1,FALSE),"")</f>
        <v>#NAME?</v>
      </c>
      <c r="AM756" t="str">
        <f>IF(AI756="","",SUMIFS(#REF!,RM!$C$4:$C991,AI756))</f>
        <v/>
      </c>
    </row>
    <row r="757" spans="5:39">
      <c r="E757" t="str">
        <f>IF(A757="","",SUMIFS('PR-BOM'!$D$3:$D1001,'PR-BOM'!$C$3:$C1001,A757)*C757)</f>
        <v/>
      </c>
      <c r="F757" t="e">
        <f ca="1">_xludf.IFNA(VLOOKUP(B757,'S-FG'!$B$3:$B1001,1,FALSE),"")</f>
        <v>#NAME?</v>
      </c>
      <c r="L757" t="str">
        <f t="shared" si="7"/>
        <v/>
      </c>
      <c r="Q757" t="str">
        <f>IF(N757="","",SUMIFS('PR-BOM'!$D$3:$D1001,'PR-BOM'!$C$3:$C1001,N757))</f>
        <v/>
      </c>
      <c r="Y757" t="str">
        <f t="shared" si="8"/>
        <v/>
      </c>
      <c r="Z757" t="str">
        <f>IF(X757="","",SUMIFS(#REF!,RM!$C$4:$C991,X757))</f>
        <v/>
      </c>
      <c r="AA757" t="str">
        <f>IF(X757="","",SUMIFS(#REF!,RM!$C$4:$C991,X757))</f>
        <v/>
      </c>
      <c r="AB757" t="str">
        <f>IF(X757="","",SUMIFS(IRegback!$Y$2:$Y1001,IRegback!$X$2:$X1001,X757))</f>
        <v/>
      </c>
      <c r="AC757" t="e">
        <f t="shared" si="9"/>
        <v>#VALUE!</v>
      </c>
      <c r="AD757" t="str">
        <f>IF(X757="","",VLOOKUP($X757,RM!$C$4:$G991,3,FALSE))</f>
        <v/>
      </c>
      <c r="AE757" t="str">
        <f>IF(X757="","",VLOOKUP($X757,RM!$C$4:$G991,4,FALSE))</f>
        <v/>
      </c>
      <c r="AF757" t="str">
        <f>IF(X757="","",VLOOKUP($X757,RM!$C$4:$G991,5,FALSE))</f>
        <v/>
      </c>
      <c r="AL757" t="e">
        <f ca="1">_xludf.IFNA(VLOOKUP(AH757,'S-FG'!$B$3:$B1001,1,FALSE),"")</f>
        <v>#NAME?</v>
      </c>
      <c r="AM757" t="str">
        <f>IF(AI757="","",SUMIFS(#REF!,RM!$C$4:$C991,AI757))</f>
        <v/>
      </c>
    </row>
    <row r="758" spans="5:39">
      <c r="E758" t="str">
        <f>IF(A758="","",SUMIFS('PR-BOM'!$D$3:$D1001,'PR-BOM'!$C$3:$C1001,A758)*C758)</f>
        <v/>
      </c>
      <c r="F758" t="e">
        <f ca="1">_xludf.IFNA(VLOOKUP(B758,'S-FG'!$B$3:$B1001,1,FALSE),"")</f>
        <v>#NAME?</v>
      </c>
      <c r="L758" t="str">
        <f t="shared" si="7"/>
        <v/>
      </c>
      <c r="Q758" t="str">
        <f>IF(N758="","",SUMIFS('PR-BOM'!$D$3:$D1001,'PR-BOM'!$C$3:$C1001,N758))</f>
        <v/>
      </c>
      <c r="Y758" t="str">
        <f t="shared" si="8"/>
        <v/>
      </c>
      <c r="Z758" t="str">
        <f>IF(X758="","",SUMIFS(#REF!,RM!$C$4:$C991,X758))</f>
        <v/>
      </c>
      <c r="AA758" t="str">
        <f>IF(X758="","",SUMIFS(#REF!,RM!$C$4:$C991,X758))</f>
        <v/>
      </c>
      <c r="AB758" t="str">
        <f>IF(X758="","",SUMIFS(IRegback!$Y$2:$Y1001,IRegback!$X$2:$X1001,X758))</f>
        <v/>
      </c>
      <c r="AC758" t="e">
        <f t="shared" si="9"/>
        <v>#VALUE!</v>
      </c>
      <c r="AD758" t="str">
        <f>IF(X758="","",VLOOKUP($X758,RM!$C$4:$G991,3,FALSE))</f>
        <v/>
      </c>
      <c r="AE758" t="str">
        <f>IF(X758="","",VLOOKUP($X758,RM!$C$4:$G991,4,FALSE))</f>
        <v/>
      </c>
      <c r="AF758" t="str">
        <f>IF(X758="","",VLOOKUP($X758,RM!$C$4:$G991,5,FALSE))</f>
        <v/>
      </c>
      <c r="AL758" t="e">
        <f ca="1">_xludf.IFNA(VLOOKUP(AH758,'S-FG'!$B$3:$B1001,1,FALSE),"")</f>
        <v>#NAME?</v>
      </c>
      <c r="AM758" t="str">
        <f>IF(AI758="","",SUMIFS(#REF!,RM!$C$4:$C991,AI758))</f>
        <v/>
      </c>
    </row>
    <row r="759" spans="5:39">
      <c r="E759" t="str">
        <f>IF(A759="","",SUMIFS('PR-BOM'!$D$3:$D1001,'PR-BOM'!$C$3:$C1001,A759)*C759)</f>
        <v/>
      </c>
      <c r="F759" t="e">
        <f ca="1">_xludf.IFNA(VLOOKUP(B759,'S-FG'!$B$3:$B1001,1,FALSE),"")</f>
        <v>#NAME?</v>
      </c>
      <c r="L759" t="str">
        <f t="shared" si="7"/>
        <v/>
      </c>
      <c r="Q759" t="str">
        <f>IF(N759="","",SUMIFS('PR-BOM'!$D$3:$D1001,'PR-BOM'!$C$3:$C1001,N759))</f>
        <v/>
      </c>
      <c r="Y759" t="str">
        <f t="shared" si="8"/>
        <v/>
      </c>
      <c r="Z759" t="str">
        <f>IF(X759="","",SUMIFS(#REF!,RM!$C$4:$C991,X759))</f>
        <v/>
      </c>
      <c r="AA759" t="str">
        <f>IF(X759="","",SUMIFS(#REF!,RM!$C$4:$C991,X759))</f>
        <v/>
      </c>
      <c r="AB759" t="str">
        <f>IF(X759="","",SUMIFS(IRegback!$Y$2:$Y1001,IRegback!$X$2:$X1001,X759))</f>
        <v/>
      </c>
      <c r="AC759" t="e">
        <f t="shared" si="9"/>
        <v>#VALUE!</v>
      </c>
      <c r="AD759" t="str">
        <f>IF(X759="","",VLOOKUP($X759,RM!$C$4:$G991,3,FALSE))</f>
        <v/>
      </c>
      <c r="AE759" t="str">
        <f>IF(X759="","",VLOOKUP($X759,RM!$C$4:$G991,4,FALSE))</f>
        <v/>
      </c>
      <c r="AF759" t="str">
        <f>IF(X759="","",VLOOKUP($X759,RM!$C$4:$G991,5,FALSE))</f>
        <v/>
      </c>
      <c r="AL759" t="e">
        <f ca="1">_xludf.IFNA(VLOOKUP(AH759,'S-FG'!$B$3:$B1001,1,FALSE),"")</f>
        <v>#NAME?</v>
      </c>
      <c r="AM759" t="str">
        <f>IF(AI759="","",SUMIFS(#REF!,RM!$C$4:$C991,AI759))</f>
        <v/>
      </c>
    </row>
    <row r="760" spans="5:39">
      <c r="E760" t="str">
        <f>IF(A760="","",SUMIFS('PR-BOM'!$D$3:$D1001,'PR-BOM'!$C$3:$C1001,A760)*C760)</f>
        <v/>
      </c>
      <c r="F760" t="e">
        <f ca="1">_xludf.IFNA(VLOOKUP(B760,'S-FG'!$B$3:$B1001,1,FALSE),"")</f>
        <v>#NAME?</v>
      </c>
      <c r="L760" t="str">
        <f t="shared" si="7"/>
        <v/>
      </c>
      <c r="Q760" t="str">
        <f>IF(N760="","",SUMIFS('PR-BOM'!$D$3:$D1001,'PR-BOM'!$C$3:$C1001,N760))</f>
        <v/>
      </c>
      <c r="Y760" t="str">
        <f t="shared" si="8"/>
        <v/>
      </c>
      <c r="Z760" t="str">
        <f>IF(X760="","",SUMIFS(#REF!,RM!$C$4:$C991,X760))</f>
        <v/>
      </c>
      <c r="AA760" t="str">
        <f>IF(X760="","",SUMIFS(#REF!,RM!$C$4:$C991,X760))</f>
        <v/>
      </c>
      <c r="AB760" t="str">
        <f>IF(X760="","",SUMIFS(IRegback!$Y$2:$Y1001,IRegback!$X$2:$X1001,X760))</f>
        <v/>
      </c>
      <c r="AC760" t="e">
        <f t="shared" si="9"/>
        <v>#VALUE!</v>
      </c>
      <c r="AD760" t="str">
        <f>IF(X760="","",VLOOKUP($X760,RM!$C$4:$G991,3,FALSE))</f>
        <v/>
      </c>
      <c r="AE760" t="str">
        <f>IF(X760="","",VLOOKUP($X760,RM!$C$4:$G991,4,FALSE))</f>
        <v/>
      </c>
      <c r="AF760" t="str">
        <f>IF(X760="","",VLOOKUP($X760,RM!$C$4:$G991,5,FALSE))</f>
        <v/>
      </c>
      <c r="AL760" t="e">
        <f ca="1">_xludf.IFNA(VLOOKUP(AH760,'S-FG'!$B$3:$B1001,1,FALSE),"")</f>
        <v>#NAME?</v>
      </c>
      <c r="AM760" t="str">
        <f>IF(AI760="","",SUMIFS(#REF!,RM!$C$4:$C991,AI760))</f>
        <v/>
      </c>
    </row>
    <row r="761" spans="5:39">
      <c r="E761" t="str">
        <f>IF(A761="","",SUMIFS('PR-BOM'!$D$3:$D1001,'PR-BOM'!$C$3:$C1001,A761)*C761)</f>
        <v/>
      </c>
      <c r="F761" t="e">
        <f ca="1">_xludf.IFNA(VLOOKUP(B761,'S-FG'!$B$3:$B1001,1,FALSE),"")</f>
        <v>#NAME?</v>
      </c>
      <c r="L761" t="str">
        <f t="shared" si="7"/>
        <v/>
      </c>
      <c r="Q761" t="str">
        <f>IF(N761="","",SUMIFS('PR-BOM'!$D$3:$D1001,'PR-BOM'!$C$3:$C1001,N761))</f>
        <v/>
      </c>
      <c r="Y761" t="str">
        <f t="shared" si="8"/>
        <v/>
      </c>
      <c r="Z761" t="str">
        <f>IF(X761="","",SUMIFS(#REF!,RM!$C$4:$C991,X761))</f>
        <v/>
      </c>
      <c r="AA761" t="str">
        <f>IF(X761="","",SUMIFS(#REF!,RM!$C$4:$C991,X761))</f>
        <v/>
      </c>
      <c r="AB761" t="str">
        <f>IF(X761="","",SUMIFS(IRegback!$Y$2:$Y1001,IRegback!$X$2:$X1001,X761))</f>
        <v/>
      </c>
      <c r="AC761" t="e">
        <f t="shared" si="9"/>
        <v>#VALUE!</v>
      </c>
      <c r="AD761" t="str">
        <f>IF(X761="","",VLOOKUP($X761,RM!$C$4:$G991,3,FALSE))</f>
        <v/>
      </c>
      <c r="AE761" t="str">
        <f>IF(X761="","",VLOOKUP($X761,RM!$C$4:$G991,4,FALSE))</f>
        <v/>
      </c>
      <c r="AF761" t="str">
        <f>IF(X761="","",VLOOKUP($X761,RM!$C$4:$G991,5,FALSE))</f>
        <v/>
      </c>
      <c r="AL761" t="e">
        <f ca="1">_xludf.IFNA(VLOOKUP(AH761,'S-FG'!$B$3:$B1001,1,FALSE),"")</f>
        <v>#NAME?</v>
      </c>
      <c r="AM761" t="str">
        <f>IF(AI761="","",SUMIFS(#REF!,RM!$C$4:$C991,AI761))</f>
        <v/>
      </c>
    </row>
    <row r="762" spans="5:39">
      <c r="E762" t="str">
        <f>IF(A762="","",SUMIFS('PR-BOM'!$D$3:$D1001,'PR-BOM'!$C$3:$C1001,A762)*C762)</f>
        <v/>
      </c>
      <c r="F762" t="e">
        <f ca="1">_xludf.IFNA(VLOOKUP(B762,'S-FG'!$B$3:$B1001,1,FALSE),"")</f>
        <v>#NAME?</v>
      </c>
      <c r="L762" t="str">
        <f t="shared" si="7"/>
        <v/>
      </c>
      <c r="Q762" t="str">
        <f>IF(N762="","",SUMIFS('PR-BOM'!$D$3:$D1001,'PR-BOM'!$C$3:$C1001,N762))</f>
        <v/>
      </c>
      <c r="Y762" t="str">
        <f t="shared" si="8"/>
        <v/>
      </c>
      <c r="Z762" t="str">
        <f>IF(X762="","",SUMIFS(#REF!,RM!$C$4:$C991,X762))</f>
        <v/>
      </c>
      <c r="AA762" t="str">
        <f>IF(X762="","",SUMIFS(#REF!,RM!$C$4:$C991,X762))</f>
        <v/>
      </c>
      <c r="AB762" t="str">
        <f>IF(X762="","",SUMIFS(IRegback!$Y$2:$Y1001,IRegback!$X$2:$X1001,X762))</f>
        <v/>
      </c>
      <c r="AC762" t="e">
        <f t="shared" si="9"/>
        <v>#VALUE!</v>
      </c>
      <c r="AD762" t="str">
        <f>IF(X762="","",VLOOKUP($X762,RM!$C$4:$G991,3,FALSE))</f>
        <v/>
      </c>
      <c r="AE762" t="str">
        <f>IF(X762="","",VLOOKUP($X762,RM!$C$4:$G991,4,FALSE))</f>
        <v/>
      </c>
      <c r="AF762" t="str">
        <f>IF(X762="","",VLOOKUP($X762,RM!$C$4:$G991,5,FALSE))</f>
        <v/>
      </c>
      <c r="AL762" t="e">
        <f ca="1">_xludf.IFNA(VLOOKUP(AH762,'S-FG'!$B$3:$B1001,1,FALSE),"")</f>
        <v>#NAME?</v>
      </c>
      <c r="AM762" t="str">
        <f>IF(AI762="","",SUMIFS(#REF!,RM!$C$4:$C991,AI762))</f>
        <v/>
      </c>
    </row>
    <row r="763" spans="5:39">
      <c r="E763" t="str">
        <f>IF(A763="","",SUMIFS('PR-BOM'!$D$3:$D1001,'PR-BOM'!$C$3:$C1001,A763)*C763)</f>
        <v/>
      </c>
      <c r="F763" t="e">
        <f ca="1">_xludf.IFNA(VLOOKUP(B763,'S-FG'!$B$3:$B1001,1,FALSE),"")</f>
        <v>#NAME?</v>
      </c>
      <c r="L763" t="str">
        <f t="shared" si="7"/>
        <v/>
      </c>
      <c r="Q763" t="str">
        <f>IF(N763="","",SUMIFS('PR-BOM'!$D$3:$D1001,'PR-BOM'!$C$3:$C1001,N763))</f>
        <v/>
      </c>
      <c r="Y763" t="str">
        <f t="shared" si="8"/>
        <v/>
      </c>
      <c r="Z763" t="str">
        <f>IF(X763="","",SUMIFS(#REF!,RM!$C$4:$C991,X763))</f>
        <v/>
      </c>
      <c r="AA763" t="str">
        <f>IF(X763="","",SUMIFS(#REF!,RM!$C$4:$C991,X763))</f>
        <v/>
      </c>
      <c r="AB763" t="str">
        <f>IF(X763="","",SUMIFS(IRegback!$Y$2:$Y1001,IRegback!$X$2:$X1001,X763))</f>
        <v/>
      </c>
      <c r="AC763" t="e">
        <f t="shared" si="9"/>
        <v>#VALUE!</v>
      </c>
      <c r="AD763" t="str">
        <f>IF(X763="","",VLOOKUP($X763,RM!$C$4:$G991,3,FALSE))</f>
        <v/>
      </c>
      <c r="AE763" t="str">
        <f>IF(X763="","",VLOOKUP($X763,RM!$C$4:$G991,4,FALSE))</f>
        <v/>
      </c>
      <c r="AF763" t="str">
        <f>IF(X763="","",VLOOKUP($X763,RM!$C$4:$G991,5,FALSE))</f>
        <v/>
      </c>
      <c r="AL763" t="e">
        <f ca="1">_xludf.IFNA(VLOOKUP(AH763,'S-FG'!$B$3:$B1001,1,FALSE),"")</f>
        <v>#NAME?</v>
      </c>
      <c r="AM763" t="str">
        <f>IF(AI763="","",SUMIFS(#REF!,RM!$C$4:$C991,AI763))</f>
        <v/>
      </c>
    </row>
    <row r="764" spans="5:39">
      <c r="E764" t="str">
        <f>IF(A764="","",SUMIFS('PR-BOM'!$D$3:$D1001,'PR-BOM'!$C$3:$C1001,A764)*C764)</f>
        <v/>
      </c>
      <c r="F764" t="e">
        <f ca="1">_xludf.IFNA(VLOOKUP(B764,'S-FG'!$B$3:$B1001,1,FALSE),"")</f>
        <v>#NAME?</v>
      </c>
      <c r="L764" t="str">
        <f t="shared" si="7"/>
        <v/>
      </c>
      <c r="Q764" t="str">
        <f>IF(N764="","",SUMIFS('PR-BOM'!$D$3:$D1001,'PR-BOM'!$C$3:$C1001,N764))</f>
        <v/>
      </c>
      <c r="Y764" t="str">
        <f t="shared" si="8"/>
        <v/>
      </c>
      <c r="Z764" t="str">
        <f>IF(X764="","",SUMIFS(#REF!,RM!$C$4:$C991,X764))</f>
        <v/>
      </c>
      <c r="AA764" t="str">
        <f>IF(X764="","",SUMIFS(#REF!,RM!$C$4:$C991,X764))</f>
        <v/>
      </c>
      <c r="AB764" t="str">
        <f>IF(X764="","",SUMIFS(IRegback!$Y$2:$Y1001,IRegback!$X$2:$X1001,X764))</f>
        <v/>
      </c>
      <c r="AC764" t="e">
        <f t="shared" si="9"/>
        <v>#VALUE!</v>
      </c>
      <c r="AD764" t="str">
        <f>IF(X764="","",VLOOKUP($X764,RM!$C$4:$G991,3,FALSE))</f>
        <v/>
      </c>
      <c r="AE764" t="str">
        <f>IF(X764="","",VLOOKUP($X764,RM!$C$4:$G991,4,FALSE))</f>
        <v/>
      </c>
      <c r="AF764" t="str">
        <f>IF(X764="","",VLOOKUP($X764,RM!$C$4:$G991,5,FALSE))</f>
        <v/>
      </c>
      <c r="AL764" t="e">
        <f ca="1">_xludf.IFNA(VLOOKUP(AH764,'S-FG'!$B$3:$B1001,1,FALSE),"")</f>
        <v>#NAME?</v>
      </c>
      <c r="AM764" t="str">
        <f>IF(AI764="","",SUMIFS(#REF!,RM!$C$4:$C991,AI764))</f>
        <v/>
      </c>
    </row>
    <row r="765" spans="5:39">
      <c r="E765" t="str">
        <f>IF(A765="","",SUMIFS('PR-BOM'!$D$3:$D1001,'PR-BOM'!$C$3:$C1001,A765)*C765)</f>
        <v/>
      </c>
      <c r="F765" t="e">
        <f ca="1">_xludf.IFNA(VLOOKUP(B765,'S-FG'!$B$3:$B1001,1,FALSE),"")</f>
        <v>#NAME?</v>
      </c>
      <c r="L765" t="str">
        <f t="shared" si="7"/>
        <v/>
      </c>
      <c r="Q765" t="str">
        <f>IF(N765="","",SUMIFS('PR-BOM'!$D$3:$D1001,'PR-BOM'!$C$3:$C1001,N765))</f>
        <v/>
      </c>
      <c r="Y765" t="str">
        <f t="shared" si="8"/>
        <v/>
      </c>
      <c r="Z765" t="str">
        <f>IF(X765="","",SUMIFS(#REF!,RM!$C$4:$C991,X765))</f>
        <v/>
      </c>
      <c r="AA765" t="str">
        <f>IF(X765="","",SUMIFS(#REF!,RM!$C$4:$C991,X765))</f>
        <v/>
      </c>
      <c r="AB765" t="str">
        <f>IF(X765="","",SUMIFS(IRegback!$Y$2:$Y1001,IRegback!$X$2:$X1001,X765))</f>
        <v/>
      </c>
      <c r="AC765" t="e">
        <f t="shared" si="9"/>
        <v>#VALUE!</v>
      </c>
      <c r="AD765" t="str">
        <f>IF(X765="","",VLOOKUP($X765,RM!$C$4:$G991,3,FALSE))</f>
        <v/>
      </c>
      <c r="AE765" t="str">
        <f>IF(X765="","",VLOOKUP($X765,RM!$C$4:$G991,4,FALSE))</f>
        <v/>
      </c>
      <c r="AF765" t="str">
        <f>IF(X765="","",VLOOKUP($X765,RM!$C$4:$G991,5,FALSE))</f>
        <v/>
      </c>
      <c r="AL765" t="e">
        <f ca="1">_xludf.IFNA(VLOOKUP(AH765,'S-FG'!$B$3:$B1001,1,FALSE),"")</f>
        <v>#NAME?</v>
      </c>
      <c r="AM765" t="str">
        <f>IF(AI765="","",SUMIFS(#REF!,RM!$C$4:$C991,AI765))</f>
        <v/>
      </c>
    </row>
    <row r="766" spans="5:39">
      <c r="E766" t="str">
        <f>IF(A766="","",SUMIFS('PR-BOM'!$D$3:$D1001,'PR-BOM'!$C$3:$C1001,A766)*C766)</f>
        <v/>
      </c>
      <c r="F766" t="e">
        <f ca="1">_xludf.IFNA(VLOOKUP(B766,'S-FG'!$B$3:$B1001,1,FALSE),"")</f>
        <v>#NAME?</v>
      </c>
      <c r="L766" t="str">
        <f t="shared" si="7"/>
        <v/>
      </c>
      <c r="Q766" t="str">
        <f>IF(N766="","",SUMIFS('PR-BOM'!$D$3:$D1001,'PR-BOM'!$C$3:$C1001,N766))</f>
        <v/>
      </c>
      <c r="Y766" t="str">
        <f t="shared" si="8"/>
        <v/>
      </c>
      <c r="Z766" t="str">
        <f>IF(X766="","",SUMIFS(#REF!,RM!$C$4:$C991,X766))</f>
        <v/>
      </c>
      <c r="AA766" t="str">
        <f>IF(X766="","",SUMIFS(#REF!,RM!$C$4:$C991,X766))</f>
        <v/>
      </c>
      <c r="AB766" t="str">
        <f>IF(X766="","",SUMIFS(IRegback!$Y$2:$Y1001,IRegback!$X$2:$X1001,X766))</f>
        <v/>
      </c>
      <c r="AC766" t="e">
        <f t="shared" si="9"/>
        <v>#VALUE!</v>
      </c>
      <c r="AD766" t="str">
        <f>IF(X766="","",VLOOKUP($X766,RM!$C$4:$G991,3,FALSE))</f>
        <v/>
      </c>
      <c r="AE766" t="str">
        <f>IF(X766="","",VLOOKUP($X766,RM!$C$4:$G991,4,FALSE))</f>
        <v/>
      </c>
      <c r="AF766" t="str">
        <f>IF(X766="","",VLOOKUP($X766,RM!$C$4:$G991,5,FALSE))</f>
        <v/>
      </c>
      <c r="AL766" t="e">
        <f ca="1">_xludf.IFNA(VLOOKUP(AH766,'S-FG'!$B$3:$B1001,1,FALSE),"")</f>
        <v>#NAME?</v>
      </c>
      <c r="AM766" t="str">
        <f>IF(AI766="","",SUMIFS(#REF!,RM!$C$4:$C991,AI766))</f>
        <v/>
      </c>
    </row>
    <row r="767" spans="5:39">
      <c r="E767" t="str">
        <f>IF(A767="","",SUMIFS('PR-BOM'!$D$3:$D1001,'PR-BOM'!$C$3:$C1001,A767)*C767)</f>
        <v/>
      </c>
      <c r="F767" t="e">
        <f ca="1">_xludf.IFNA(VLOOKUP(B767,'S-FG'!$B$3:$B1001,1,FALSE),"")</f>
        <v>#NAME?</v>
      </c>
      <c r="L767" t="str">
        <f t="shared" ref="L767:L1001" si="10">IF(H767="","",SUMIFS($E$2:$E1766,$F$2:$F1766,H767)*J767)</f>
        <v/>
      </c>
      <c r="Q767" t="str">
        <f>IF(N767="","",SUMIFS('PR-BOM'!$D$3:$D1001,'PR-BOM'!$C$3:$C1001,N767))</f>
        <v/>
      </c>
      <c r="Y767" t="str">
        <f t="shared" ref="Y767:Y1001" si="11">IF(X767="","",SUMIFS($E$2:$E1766,$B$2:$B1766,X767)+SUMIFS($L$2:$L1766,$I$2:$I1766,X767)+(SUMIFS($Q$2:$Q1766,$N$2:$N1766,X767)))</f>
        <v/>
      </c>
      <c r="Z767" t="str">
        <f>IF(X767="","",SUMIFS(#REF!,RM!$C$4:$C991,X767))</f>
        <v/>
      </c>
      <c r="AA767" t="str">
        <f>IF(X767="","",SUMIFS(#REF!,RM!$C$4:$C991,X767))</f>
        <v/>
      </c>
      <c r="AB767" t="str">
        <f>IF(X767="","",SUMIFS(IRegback!$Y$2:$Y1001,IRegback!$X$2:$X1001,X767))</f>
        <v/>
      </c>
      <c r="AC767" t="e">
        <f t="shared" ref="AC767:AC1001" si="12">Y767-AA767-Z767-AB767</f>
        <v>#VALUE!</v>
      </c>
      <c r="AD767" t="str">
        <f>IF(X767="","",VLOOKUP($X767,RM!$C$4:$G991,3,FALSE))</f>
        <v/>
      </c>
      <c r="AE767" t="str">
        <f>IF(X767="","",VLOOKUP($X767,RM!$C$4:$G991,4,FALSE))</f>
        <v/>
      </c>
      <c r="AF767" t="str">
        <f>IF(X767="","",VLOOKUP($X767,RM!$C$4:$G991,5,FALSE))</f>
        <v/>
      </c>
      <c r="AL767" t="e">
        <f ca="1">_xludf.IFNA(VLOOKUP(AH767,'S-FG'!$B$3:$B1001,1,FALSE),"")</f>
        <v>#NAME?</v>
      </c>
      <c r="AM767" t="str">
        <f>IF(AI767="","",SUMIFS(#REF!,RM!$C$4:$C991,AI767))</f>
        <v/>
      </c>
    </row>
    <row r="768" spans="5:39">
      <c r="E768" t="str">
        <f>IF(A768="","",SUMIFS('PR-BOM'!$D$3:$D1001,'PR-BOM'!$C$3:$C1001,A768)*C768)</f>
        <v/>
      </c>
      <c r="F768" t="e">
        <f ca="1">_xludf.IFNA(VLOOKUP(B768,'S-FG'!$B$3:$B1001,1,FALSE),"")</f>
        <v>#NAME?</v>
      </c>
      <c r="L768" t="str">
        <f t="shared" si="10"/>
        <v/>
      </c>
      <c r="Q768" t="str">
        <f>IF(N768="","",SUMIFS('PR-BOM'!$D$3:$D1001,'PR-BOM'!$C$3:$C1001,N768))</f>
        <v/>
      </c>
      <c r="Y768" t="str">
        <f t="shared" si="11"/>
        <v/>
      </c>
      <c r="Z768" t="str">
        <f>IF(X768="","",SUMIFS(#REF!,RM!$C$4:$C991,X768))</f>
        <v/>
      </c>
      <c r="AA768" t="str">
        <f>IF(X768="","",SUMIFS(#REF!,RM!$C$4:$C991,X768))</f>
        <v/>
      </c>
      <c r="AB768" t="str">
        <f>IF(X768="","",SUMIFS(IRegback!$Y$2:$Y1001,IRegback!$X$2:$X1001,X768))</f>
        <v/>
      </c>
      <c r="AC768" t="e">
        <f t="shared" si="12"/>
        <v>#VALUE!</v>
      </c>
      <c r="AD768" t="str">
        <f>IF(X768="","",VLOOKUP($X768,RM!$C$4:$G991,3,FALSE))</f>
        <v/>
      </c>
      <c r="AE768" t="str">
        <f>IF(X768="","",VLOOKUP($X768,RM!$C$4:$G991,4,FALSE))</f>
        <v/>
      </c>
      <c r="AF768" t="str">
        <f>IF(X768="","",VLOOKUP($X768,RM!$C$4:$G991,5,FALSE))</f>
        <v/>
      </c>
      <c r="AL768" t="e">
        <f ca="1">_xludf.IFNA(VLOOKUP(AH768,'S-FG'!$B$3:$B1001,1,FALSE),"")</f>
        <v>#NAME?</v>
      </c>
      <c r="AM768" t="str">
        <f>IF(AI768="","",SUMIFS(#REF!,RM!$C$4:$C991,AI768))</f>
        <v/>
      </c>
    </row>
    <row r="769" spans="5:39">
      <c r="E769" t="str">
        <f>IF(A769="","",SUMIFS('PR-BOM'!$D$3:$D1001,'PR-BOM'!$C$3:$C1001,A769)*C769)</f>
        <v/>
      </c>
      <c r="F769" t="e">
        <f ca="1">_xludf.IFNA(VLOOKUP(B769,'S-FG'!$B$3:$B1001,1,FALSE),"")</f>
        <v>#NAME?</v>
      </c>
      <c r="L769" t="str">
        <f t="shared" si="10"/>
        <v/>
      </c>
      <c r="Q769" t="str">
        <f>IF(N769="","",SUMIFS('PR-BOM'!$D$3:$D1001,'PR-BOM'!$C$3:$C1001,N769))</f>
        <v/>
      </c>
      <c r="Y769" t="str">
        <f t="shared" si="11"/>
        <v/>
      </c>
      <c r="Z769" t="str">
        <f>IF(X769="","",SUMIFS(#REF!,RM!$C$4:$C991,X769))</f>
        <v/>
      </c>
      <c r="AA769" t="str">
        <f>IF(X769="","",SUMIFS(#REF!,RM!$C$4:$C991,X769))</f>
        <v/>
      </c>
      <c r="AB769" t="str">
        <f>IF(X769="","",SUMIFS(IRegback!$Y$2:$Y1001,IRegback!$X$2:$X1001,X769))</f>
        <v/>
      </c>
      <c r="AC769" t="e">
        <f t="shared" si="12"/>
        <v>#VALUE!</v>
      </c>
      <c r="AD769" t="str">
        <f>IF(X769="","",VLOOKUP($X769,RM!$C$4:$G991,3,FALSE))</f>
        <v/>
      </c>
      <c r="AE769" t="str">
        <f>IF(X769="","",VLOOKUP($X769,RM!$C$4:$G991,4,FALSE))</f>
        <v/>
      </c>
      <c r="AF769" t="str">
        <f>IF(X769="","",VLOOKUP($X769,RM!$C$4:$G991,5,FALSE))</f>
        <v/>
      </c>
      <c r="AL769" t="e">
        <f ca="1">_xludf.IFNA(VLOOKUP(AH769,'S-FG'!$B$3:$B1001,1,FALSE),"")</f>
        <v>#NAME?</v>
      </c>
      <c r="AM769" t="str">
        <f>IF(AI769="","",SUMIFS(#REF!,RM!$C$4:$C991,AI769))</f>
        <v/>
      </c>
    </row>
    <row r="770" spans="5:39">
      <c r="E770" t="str">
        <f>IF(A770="","",SUMIFS('PR-BOM'!$D$3:$D1001,'PR-BOM'!$C$3:$C1001,A770)*C770)</f>
        <v/>
      </c>
      <c r="F770" t="e">
        <f ca="1">_xludf.IFNA(VLOOKUP(B770,'S-FG'!$B$3:$B1001,1,FALSE),"")</f>
        <v>#NAME?</v>
      </c>
      <c r="L770" t="str">
        <f t="shared" si="10"/>
        <v/>
      </c>
      <c r="Q770" t="str">
        <f>IF(N770="","",SUMIFS('PR-BOM'!$D$3:$D1001,'PR-BOM'!$C$3:$C1001,N770))</f>
        <v/>
      </c>
      <c r="Y770" t="str">
        <f t="shared" si="11"/>
        <v/>
      </c>
      <c r="Z770" t="str">
        <f>IF(X770="","",SUMIFS(#REF!,RM!$C$4:$C991,X770))</f>
        <v/>
      </c>
      <c r="AA770" t="str">
        <f>IF(X770="","",SUMIFS(#REF!,RM!$C$4:$C991,X770))</f>
        <v/>
      </c>
      <c r="AB770" t="str">
        <f>IF(X770="","",SUMIFS(IRegback!$Y$2:$Y1001,IRegback!$X$2:$X1001,X770))</f>
        <v/>
      </c>
      <c r="AC770" t="e">
        <f t="shared" si="12"/>
        <v>#VALUE!</v>
      </c>
      <c r="AD770" t="str">
        <f>IF(X770="","",VLOOKUP($X770,RM!$C$4:$G991,3,FALSE))</f>
        <v/>
      </c>
      <c r="AE770" t="str">
        <f>IF(X770="","",VLOOKUP($X770,RM!$C$4:$G991,4,FALSE))</f>
        <v/>
      </c>
      <c r="AF770" t="str">
        <f>IF(X770="","",VLOOKUP($X770,RM!$C$4:$G991,5,FALSE))</f>
        <v/>
      </c>
      <c r="AL770" t="e">
        <f ca="1">_xludf.IFNA(VLOOKUP(AH770,'S-FG'!$B$3:$B1001,1,FALSE),"")</f>
        <v>#NAME?</v>
      </c>
      <c r="AM770" t="str">
        <f>IF(AI770="","",SUMIFS(#REF!,RM!$C$4:$C991,AI770))</f>
        <v/>
      </c>
    </row>
    <row r="771" spans="5:39">
      <c r="E771" t="str">
        <f>IF(A771="","",SUMIFS('PR-BOM'!$D$3:$D1001,'PR-BOM'!$C$3:$C1001,A771)*C771)</f>
        <v/>
      </c>
      <c r="F771" t="e">
        <f ca="1">_xludf.IFNA(VLOOKUP(B771,'S-FG'!$B$3:$B1001,1,FALSE),"")</f>
        <v>#NAME?</v>
      </c>
      <c r="L771" t="str">
        <f t="shared" si="10"/>
        <v/>
      </c>
      <c r="Q771" t="str">
        <f>IF(N771="","",SUMIFS('PR-BOM'!$D$3:$D1001,'PR-BOM'!$C$3:$C1001,N771))</f>
        <v/>
      </c>
      <c r="Y771" t="str">
        <f t="shared" si="11"/>
        <v/>
      </c>
      <c r="Z771" t="str">
        <f>IF(X771="","",SUMIFS(#REF!,RM!$C$4:$C991,X771))</f>
        <v/>
      </c>
      <c r="AA771" t="str">
        <f>IF(X771="","",SUMIFS(#REF!,RM!$C$4:$C991,X771))</f>
        <v/>
      </c>
      <c r="AB771" t="str">
        <f>IF(X771="","",SUMIFS(IRegback!$Y$2:$Y1001,IRegback!$X$2:$X1001,X771))</f>
        <v/>
      </c>
      <c r="AC771" t="e">
        <f t="shared" si="12"/>
        <v>#VALUE!</v>
      </c>
      <c r="AD771" t="str">
        <f>IF(X771="","",VLOOKUP($X771,RM!$C$4:$G991,3,FALSE))</f>
        <v/>
      </c>
      <c r="AE771" t="str">
        <f>IF(X771="","",VLOOKUP($X771,RM!$C$4:$G991,4,FALSE))</f>
        <v/>
      </c>
      <c r="AF771" t="str">
        <f>IF(X771="","",VLOOKUP($X771,RM!$C$4:$G991,5,FALSE))</f>
        <v/>
      </c>
      <c r="AL771" t="e">
        <f ca="1">_xludf.IFNA(VLOOKUP(AH771,'S-FG'!$B$3:$B1001,1,FALSE),"")</f>
        <v>#NAME?</v>
      </c>
      <c r="AM771" t="str">
        <f>IF(AI771="","",SUMIFS(#REF!,RM!$C$4:$C991,AI771))</f>
        <v/>
      </c>
    </row>
    <row r="772" spans="5:39">
      <c r="E772" t="str">
        <f>IF(A772="","",SUMIFS('PR-BOM'!$D$3:$D1001,'PR-BOM'!$C$3:$C1001,A772)*C772)</f>
        <v/>
      </c>
      <c r="F772" t="e">
        <f ca="1">_xludf.IFNA(VLOOKUP(B772,'S-FG'!$B$3:$B1001,1,FALSE),"")</f>
        <v>#NAME?</v>
      </c>
      <c r="L772" t="str">
        <f t="shared" si="10"/>
        <v/>
      </c>
      <c r="Q772" t="str">
        <f>IF(N772="","",SUMIFS('PR-BOM'!$D$3:$D1001,'PR-BOM'!$C$3:$C1001,N772))</f>
        <v/>
      </c>
      <c r="Y772" t="str">
        <f t="shared" si="11"/>
        <v/>
      </c>
      <c r="Z772" t="str">
        <f>IF(X772="","",SUMIFS(#REF!,RM!$C$4:$C991,X772))</f>
        <v/>
      </c>
      <c r="AA772" t="str">
        <f>IF(X772="","",SUMIFS(#REF!,RM!$C$4:$C991,X772))</f>
        <v/>
      </c>
      <c r="AB772" t="str">
        <f>IF(X772="","",SUMIFS(IRegback!$Y$2:$Y1001,IRegback!$X$2:$X1001,X772))</f>
        <v/>
      </c>
      <c r="AC772" t="e">
        <f t="shared" si="12"/>
        <v>#VALUE!</v>
      </c>
      <c r="AD772" t="str">
        <f>IF(X772="","",VLOOKUP($X772,RM!$C$4:$G991,3,FALSE))</f>
        <v/>
      </c>
      <c r="AE772" t="str">
        <f>IF(X772="","",VLOOKUP($X772,RM!$C$4:$G991,4,FALSE))</f>
        <v/>
      </c>
      <c r="AF772" t="str">
        <f>IF(X772="","",VLOOKUP($X772,RM!$C$4:$G991,5,FALSE))</f>
        <v/>
      </c>
      <c r="AL772" t="e">
        <f ca="1">_xludf.IFNA(VLOOKUP(AH772,'S-FG'!$B$3:$B1001,1,FALSE),"")</f>
        <v>#NAME?</v>
      </c>
      <c r="AM772" t="str">
        <f>IF(AI772="","",SUMIFS(#REF!,RM!$C$4:$C991,AI772))</f>
        <v/>
      </c>
    </row>
    <row r="773" spans="5:39">
      <c r="E773" t="str">
        <f>IF(A773="","",SUMIFS('PR-BOM'!$D$3:$D1001,'PR-BOM'!$C$3:$C1001,A773)*C773)</f>
        <v/>
      </c>
      <c r="F773" t="e">
        <f ca="1">_xludf.IFNA(VLOOKUP(B773,'S-FG'!$B$3:$B1001,1,FALSE),"")</f>
        <v>#NAME?</v>
      </c>
      <c r="L773" t="str">
        <f t="shared" si="10"/>
        <v/>
      </c>
      <c r="Q773" t="str">
        <f>IF(N773="","",SUMIFS('PR-BOM'!$D$3:$D1001,'PR-BOM'!$C$3:$C1001,N773))</f>
        <v/>
      </c>
      <c r="Y773" t="str">
        <f t="shared" si="11"/>
        <v/>
      </c>
      <c r="Z773" t="str">
        <f>IF(X773="","",SUMIFS(#REF!,RM!$C$4:$C991,X773))</f>
        <v/>
      </c>
      <c r="AA773" t="str">
        <f>IF(X773="","",SUMIFS(#REF!,RM!$C$4:$C991,X773))</f>
        <v/>
      </c>
      <c r="AB773" t="str">
        <f>IF(X773="","",SUMIFS(IRegback!$Y$2:$Y1001,IRegback!$X$2:$X1001,X773))</f>
        <v/>
      </c>
      <c r="AC773" t="e">
        <f t="shared" si="12"/>
        <v>#VALUE!</v>
      </c>
      <c r="AD773" t="str">
        <f>IF(X773="","",VLOOKUP($X773,RM!$C$4:$G991,3,FALSE))</f>
        <v/>
      </c>
      <c r="AE773" t="str">
        <f>IF(X773="","",VLOOKUP($X773,RM!$C$4:$G991,4,FALSE))</f>
        <v/>
      </c>
      <c r="AF773" t="str">
        <f>IF(X773="","",VLOOKUP($X773,RM!$C$4:$G991,5,FALSE))</f>
        <v/>
      </c>
      <c r="AL773" t="e">
        <f ca="1">_xludf.IFNA(VLOOKUP(AH773,'S-FG'!$B$3:$B1001,1,FALSE),"")</f>
        <v>#NAME?</v>
      </c>
      <c r="AM773" t="str">
        <f>IF(AI773="","",SUMIFS(#REF!,RM!$C$4:$C991,AI773))</f>
        <v/>
      </c>
    </row>
    <row r="774" spans="5:39">
      <c r="E774" t="str">
        <f>IF(A774="","",SUMIFS('PR-BOM'!$D$3:$D1001,'PR-BOM'!$C$3:$C1001,A774)*C774)</f>
        <v/>
      </c>
      <c r="F774" t="e">
        <f ca="1">_xludf.IFNA(VLOOKUP(B774,'S-FG'!$B$3:$B1001,1,FALSE),"")</f>
        <v>#NAME?</v>
      </c>
      <c r="L774" t="str">
        <f t="shared" si="10"/>
        <v/>
      </c>
      <c r="Q774" t="str">
        <f>IF(N774="","",SUMIFS('PR-BOM'!$D$3:$D1001,'PR-BOM'!$C$3:$C1001,N774))</f>
        <v/>
      </c>
      <c r="Y774" t="str">
        <f t="shared" si="11"/>
        <v/>
      </c>
      <c r="Z774" t="str">
        <f>IF(X774="","",SUMIFS(#REF!,RM!$C$4:$C991,X774))</f>
        <v/>
      </c>
      <c r="AA774" t="str">
        <f>IF(X774="","",SUMIFS(#REF!,RM!$C$4:$C991,X774))</f>
        <v/>
      </c>
      <c r="AB774" t="str">
        <f>IF(X774="","",SUMIFS(IRegback!$Y$2:$Y1001,IRegback!$X$2:$X1001,X774))</f>
        <v/>
      </c>
      <c r="AC774" t="e">
        <f t="shared" si="12"/>
        <v>#VALUE!</v>
      </c>
      <c r="AD774" t="str">
        <f>IF(X774="","",VLOOKUP($X774,RM!$C$4:$G991,3,FALSE))</f>
        <v/>
      </c>
      <c r="AE774" t="str">
        <f>IF(X774="","",VLOOKUP($X774,RM!$C$4:$G991,4,FALSE))</f>
        <v/>
      </c>
      <c r="AF774" t="str">
        <f>IF(X774="","",VLOOKUP($X774,RM!$C$4:$G991,5,FALSE))</f>
        <v/>
      </c>
      <c r="AL774" t="e">
        <f ca="1">_xludf.IFNA(VLOOKUP(AH774,'S-FG'!$B$3:$B1001,1,FALSE),"")</f>
        <v>#NAME?</v>
      </c>
      <c r="AM774" t="str">
        <f>IF(AI774="","",SUMIFS(#REF!,RM!$C$4:$C991,AI774))</f>
        <v/>
      </c>
    </row>
    <row r="775" spans="5:39">
      <c r="E775" t="str">
        <f>IF(A775="","",SUMIFS('PR-BOM'!$D$3:$D1001,'PR-BOM'!$C$3:$C1001,A775)*C775)</f>
        <v/>
      </c>
      <c r="F775" t="e">
        <f ca="1">_xludf.IFNA(VLOOKUP(B775,'S-FG'!$B$3:$B1001,1,FALSE),"")</f>
        <v>#NAME?</v>
      </c>
      <c r="L775" t="str">
        <f t="shared" si="10"/>
        <v/>
      </c>
      <c r="Q775" t="str">
        <f>IF(N775="","",SUMIFS('PR-BOM'!$D$3:$D1001,'PR-BOM'!$C$3:$C1001,N775))</f>
        <v/>
      </c>
      <c r="Y775" t="str">
        <f t="shared" si="11"/>
        <v/>
      </c>
      <c r="Z775" t="str">
        <f>IF(X775="","",SUMIFS(#REF!,RM!$C$4:$C991,X775))</f>
        <v/>
      </c>
      <c r="AA775" t="str">
        <f>IF(X775="","",SUMIFS(#REF!,RM!$C$4:$C991,X775))</f>
        <v/>
      </c>
      <c r="AB775" t="str">
        <f>IF(X775="","",SUMIFS(IRegback!$Y$2:$Y1001,IRegback!$X$2:$X1001,X775))</f>
        <v/>
      </c>
      <c r="AC775" t="e">
        <f t="shared" si="12"/>
        <v>#VALUE!</v>
      </c>
      <c r="AD775" t="str">
        <f>IF(X775="","",VLOOKUP($X775,RM!$C$4:$G991,3,FALSE))</f>
        <v/>
      </c>
      <c r="AE775" t="str">
        <f>IF(X775="","",VLOOKUP($X775,RM!$C$4:$G991,4,FALSE))</f>
        <v/>
      </c>
      <c r="AF775" t="str">
        <f>IF(X775="","",VLOOKUP($X775,RM!$C$4:$G991,5,FALSE))</f>
        <v/>
      </c>
      <c r="AL775" t="e">
        <f ca="1">_xludf.IFNA(VLOOKUP(AH775,'S-FG'!$B$3:$B1001,1,FALSE),"")</f>
        <v>#NAME?</v>
      </c>
      <c r="AM775" t="str">
        <f>IF(AI775="","",SUMIFS(#REF!,RM!$C$4:$C991,AI775))</f>
        <v/>
      </c>
    </row>
    <row r="776" spans="5:39">
      <c r="E776" t="str">
        <f>IF(A776="","",SUMIFS('PR-BOM'!$D$3:$D1001,'PR-BOM'!$C$3:$C1001,A776)*C776)</f>
        <v/>
      </c>
      <c r="F776" t="e">
        <f ca="1">_xludf.IFNA(VLOOKUP(B776,'S-FG'!$B$3:$B1001,1,FALSE),"")</f>
        <v>#NAME?</v>
      </c>
      <c r="L776" t="str">
        <f t="shared" si="10"/>
        <v/>
      </c>
      <c r="Q776" t="str">
        <f>IF(N776="","",SUMIFS('PR-BOM'!$D$3:$D1001,'PR-BOM'!$C$3:$C1001,N776))</f>
        <v/>
      </c>
      <c r="Y776" t="str">
        <f t="shared" si="11"/>
        <v/>
      </c>
      <c r="Z776" t="str">
        <f>IF(X776="","",SUMIFS(#REF!,RM!$C$4:$C991,X776))</f>
        <v/>
      </c>
      <c r="AA776" t="str">
        <f>IF(X776="","",SUMIFS(#REF!,RM!$C$4:$C991,X776))</f>
        <v/>
      </c>
      <c r="AB776" t="str">
        <f>IF(X776="","",SUMIFS(IRegback!$Y$2:$Y1001,IRegback!$X$2:$X1001,X776))</f>
        <v/>
      </c>
      <c r="AC776" t="e">
        <f t="shared" si="12"/>
        <v>#VALUE!</v>
      </c>
      <c r="AD776" t="str">
        <f>IF(X776="","",VLOOKUP($X776,RM!$C$4:$G991,3,FALSE))</f>
        <v/>
      </c>
      <c r="AE776" t="str">
        <f>IF(X776="","",VLOOKUP($X776,RM!$C$4:$G991,4,FALSE))</f>
        <v/>
      </c>
      <c r="AF776" t="str">
        <f>IF(X776="","",VLOOKUP($X776,RM!$C$4:$G991,5,FALSE))</f>
        <v/>
      </c>
      <c r="AL776" t="e">
        <f ca="1">_xludf.IFNA(VLOOKUP(AH776,'S-FG'!$B$3:$B1001,1,FALSE),"")</f>
        <v>#NAME?</v>
      </c>
      <c r="AM776" t="str">
        <f>IF(AI776="","",SUMIFS(#REF!,RM!$C$4:$C991,AI776))</f>
        <v/>
      </c>
    </row>
    <row r="777" spans="5:39">
      <c r="E777" t="str">
        <f>IF(A777="","",SUMIFS('PR-BOM'!$D$3:$D1001,'PR-BOM'!$C$3:$C1001,A777)*C777)</f>
        <v/>
      </c>
      <c r="F777" t="e">
        <f ca="1">_xludf.IFNA(VLOOKUP(B777,'S-FG'!$B$3:$B1001,1,FALSE),"")</f>
        <v>#NAME?</v>
      </c>
      <c r="L777" t="str">
        <f t="shared" si="10"/>
        <v/>
      </c>
      <c r="Q777" t="str">
        <f>IF(N777="","",SUMIFS('PR-BOM'!$D$3:$D1001,'PR-BOM'!$C$3:$C1001,N777))</f>
        <v/>
      </c>
      <c r="Y777" t="str">
        <f t="shared" si="11"/>
        <v/>
      </c>
      <c r="Z777" t="str">
        <f>IF(X777="","",SUMIFS(#REF!,RM!$C$4:$C991,X777))</f>
        <v/>
      </c>
      <c r="AA777" t="str">
        <f>IF(X777="","",SUMIFS(#REF!,RM!$C$4:$C991,X777))</f>
        <v/>
      </c>
      <c r="AB777" t="str">
        <f>IF(X777="","",SUMIFS(IRegback!$Y$2:$Y1001,IRegback!$X$2:$X1001,X777))</f>
        <v/>
      </c>
      <c r="AC777" t="e">
        <f t="shared" si="12"/>
        <v>#VALUE!</v>
      </c>
      <c r="AD777" t="str">
        <f>IF(X777="","",VLOOKUP($X777,RM!$C$4:$G991,3,FALSE))</f>
        <v/>
      </c>
      <c r="AE777" t="str">
        <f>IF(X777="","",VLOOKUP($X777,RM!$C$4:$G991,4,FALSE))</f>
        <v/>
      </c>
      <c r="AF777" t="str">
        <f>IF(X777="","",VLOOKUP($X777,RM!$C$4:$G991,5,FALSE))</f>
        <v/>
      </c>
      <c r="AL777" t="e">
        <f ca="1">_xludf.IFNA(VLOOKUP(AH777,'S-FG'!$B$3:$B1001,1,FALSE),"")</f>
        <v>#NAME?</v>
      </c>
      <c r="AM777" t="str">
        <f>IF(AI777="","",SUMIFS(#REF!,RM!$C$4:$C991,AI777))</f>
        <v/>
      </c>
    </row>
    <row r="778" spans="5:39">
      <c r="E778" t="str">
        <f>IF(A778="","",SUMIFS('PR-BOM'!$D$3:$D1001,'PR-BOM'!$C$3:$C1001,A778)*C778)</f>
        <v/>
      </c>
      <c r="F778" t="e">
        <f ca="1">_xludf.IFNA(VLOOKUP(B778,'S-FG'!$B$3:$B1001,1,FALSE),"")</f>
        <v>#NAME?</v>
      </c>
      <c r="L778" t="str">
        <f t="shared" si="10"/>
        <v/>
      </c>
      <c r="Q778" t="str">
        <f>IF(N778="","",SUMIFS('PR-BOM'!$D$3:$D1001,'PR-BOM'!$C$3:$C1001,N778))</f>
        <v/>
      </c>
      <c r="Y778" t="str">
        <f t="shared" si="11"/>
        <v/>
      </c>
      <c r="Z778" t="str">
        <f>IF(X778="","",SUMIFS(#REF!,RM!$C$4:$C991,X778))</f>
        <v/>
      </c>
      <c r="AA778" t="str">
        <f>IF(X778="","",SUMIFS(#REF!,RM!$C$4:$C991,X778))</f>
        <v/>
      </c>
      <c r="AB778" t="str">
        <f>IF(X778="","",SUMIFS(IRegback!$Y$2:$Y1001,IRegback!$X$2:$X1001,X778))</f>
        <v/>
      </c>
      <c r="AC778" t="e">
        <f t="shared" si="12"/>
        <v>#VALUE!</v>
      </c>
      <c r="AD778" t="str">
        <f>IF(X778="","",VLOOKUP($X778,RM!$C$4:$G991,3,FALSE))</f>
        <v/>
      </c>
      <c r="AE778" t="str">
        <f>IF(X778="","",VLOOKUP($X778,RM!$C$4:$G991,4,FALSE))</f>
        <v/>
      </c>
      <c r="AF778" t="str">
        <f>IF(X778="","",VLOOKUP($X778,RM!$C$4:$G991,5,FALSE))</f>
        <v/>
      </c>
      <c r="AL778" t="e">
        <f ca="1">_xludf.IFNA(VLOOKUP(AH778,'S-FG'!$B$3:$B1001,1,FALSE),"")</f>
        <v>#NAME?</v>
      </c>
      <c r="AM778" t="str">
        <f>IF(AI778="","",SUMIFS(#REF!,RM!$C$4:$C991,AI778))</f>
        <v/>
      </c>
    </row>
    <row r="779" spans="5:39">
      <c r="E779" t="str">
        <f>IF(A779="","",SUMIFS('PR-BOM'!$D$3:$D1001,'PR-BOM'!$C$3:$C1001,A779)*C779)</f>
        <v/>
      </c>
      <c r="F779" t="e">
        <f ca="1">_xludf.IFNA(VLOOKUP(B779,'S-FG'!$B$3:$B1001,1,FALSE),"")</f>
        <v>#NAME?</v>
      </c>
      <c r="L779" t="str">
        <f t="shared" si="10"/>
        <v/>
      </c>
      <c r="Q779" t="str">
        <f>IF(N779="","",SUMIFS('PR-BOM'!$D$3:$D1001,'PR-BOM'!$C$3:$C1001,N779))</f>
        <v/>
      </c>
      <c r="Y779" t="str">
        <f t="shared" si="11"/>
        <v/>
      </c>
      <c r="Z779" t="str">
        <f>IF(X779="","",SUMIFS(#REF!,RM!$C$4:$C991,X779))</f>
        <v/>
      </c>
      <c r="AA779" t="str">
        <f>IF(X779="","",SUMIFS(#REF!,RM!$C$4:$C991,X779))</f>
        <v/>
      </c>
      <c r="AB779" t="str">
        <f>IF(X779="","",SUMIFS(IRegback!$Y$2:$Y1001,IRegback!$X$2:$X1001,X779))</f>
        <v/>
      </c>
      <c r="AC779" t="e">
        <f t="shared" si="12"/>
        <v>#VALUE!</v>
      </c>
      <c r="AD779" t="str">
        <f>IF(X779="","",VLOOKUP($X779,RM!$C$4:$G991,3,FALSE))</f>
        <v/>
      </c>
      <c r="AE779" t="str">
        <f>IF(X779="","",VLOOKUP($X779,RM!$C$4:$G991,4,FALSE))</f>
        <v/>
      </c>
      <c r="AF779" t="str">
        <f>IF(X779="","",VLOOKUP($X779,RM!$C$4:$G991,5,FALSE))</f>
        <v/>
      </c>
      <c r="AL779" t="e">
        <f ca="1">_xludf.IFNA(VLOOKUP(AH779,'S-FG'!$B$3:$B1001,1,FALSE),"")</f>
        <v>#NAME?</v>
      </c>
      <c r="AM779" t="str">
        <f>IF(AI779="","",SUMIFS(#REF!,RM!$C$4:$C991,AI779))</f>
        <v/>
      </c>
    </row>
    <row r="780" spans="5:39">
      <c r="E780" t="str">
        <f>IF(A780="","",SUMIFS('PR-BOM'!$D$3:$D1001,'PR-BOM'!$C$3:$C1001,A780)*C780)</f>
        <v/>
      </c>
      <c r="F780" t="e">
        <f ca="1">_xludf.IFNA(VLOOKUP(B780,'S-FG'!$B$3:$B1001,1,FALSE),"")</f>
        <v>#NAME?</v>
      </c>
      <c r="L780" t="str">
        <f t="shared" si="10"/>
        <v/>
      </c>
      <c r="Q780" t="str">
        <f>IF(N780="","",SUMIFS('PR-BOM'!$D$3:$D1001,'PR-BOM'!$C$3:$C1001,N780))</f>
        <v/>
      </c>
      <c r="Y780" t="str">
        <f t="shared" si="11"/>
        <v/>
      </c>
      <c r="Z780" t="str">
        <f>IF(X780="","",SUMIFS(#REF!,RM!$C$4:$C991,X780))</f>
        <v/>
      </c>
      <c r="AA780" t="str">
        <f>IF(X780="","",SUMIFS(#REF!,RM!$C$4:$C991,X780))</f>
        <v/>
      </c>
      <c r="AB780" t="str">
        <f>IF(X780="","",SUMIFS(IRegback!$Y$2:$Y1001,IRegback!$X$2:$X1001,X780))</f>
        <v/>
      </c>
      <c r="AC780" t="e">
        <f t="shared" si="12"/>
        <v>#VALUE!</v>
      </c>
      <c r="AD780" t="str">
        <f>IF(X780="","",VLOOKUP($X780,RM!$C$4:$G991,3,FALSE))</f>
        <v/>
      </c>
      <c r="AE780" t="str">
        <f>IF(X780="","",VLOOKUP($X780,RM!$C$4:$G991,4,FALSE))</f>
        <v/>
      </c>
      <c r="AF780" t="str">
        <f>IF(X780="","",VLOOKUP($X780,RM!$C$4:$G991,5,FALSE))</f>
        <v/>
      </c>
      <c r="AL780" t="e">
        <f ca="1">_xludf.IFNA(VLOOKUP(AH780,'S-FG'!$B$3:$B1001,1,FALSE),"")</f>
        <v>#NAME?</v>
      </c>
      <c r="AM780" t="str">
        <f>IF(AI780="","",SUMIFS(#REF!,RM!$C$4:$C991,AI780))</f>
        <v/>
      </c>
    </row>
    <row r="781" spans="5:39">
      <c r="E781" t="str">
        <f>IF(A781="","",SUMIFS('PR-BOM'!$D$3:$D1001,'PR-BOM'!$C$3:$C1001,A781)*C781)</f>
        <v/>
      </c>
      <c r="F781" t="e">
        <f ca="1">_xludf.IFNA(VLOOKUP(B781,'S-FG'!$B$3:$B1001,1,FALSE),"")</f>
        <v>#NAME?</v>
      </c>
      <c r="L781" t="str">
        <f t="shared" si="10"/>
        <v/>
      </c>
      <c r="Q781" t="str">
        <f>IF(N781="","",SUMIFS('PR-BOM'!$D$3:$D1001,'PR-BOM'!$C$3:$C1001,N781))</f>
        <v/>
      </c>
      <c r="Y781" t="str">
        <f t="shared" si="11"/>
        <v/>
      </c>
      <c r="Z781" t="str">
        <f>IF(X781="","",SUMIFS(#REF!,RM!$C$4:$C991,X781))</f>
        <v/>
      </c>
      <c r="AA781" t="str">
        <f>IF(X781="","",SUMIFS(#REF!,RM!$C$4:$C991,X781))</f>
        <v/>
      </c>
      <c r="AB781" t="str">
        <f>IF(X781="","",SUMIFS(IRegback!$Y$2:$Y1001,IRegback!$X$2:$X1001,X781))</f>
        <v/>
      </c>
      <c r="AC781" t="e">
        <f t="shared" si="12"/>
        <v>#VALUE!</v>
      </c>
      <c r="AD781" t="str">
        <f>IF(X781="","",VLOOKUP($X781,RM!$C$4:$G991,3,FALSE))</f>
        <v/>
      </c>
      <c r="AE781" t="str">
        <f>IF(X781="","",VLOOKUP($X781,RM!$C$4:$G991,4,FALSE))</f>
        <v/>
      </c>
      <c r="AF781" t="str">
        <f>IF(X781="","",VLOOKUP($X781,RM!$C$4:$G991,5,FALSE))</f>
        <v/>
      </c>
      <c r="AL781" t="e">
        <f ca="1">_xludf.IFNA(VLOOKUP(AH781,'S-FG'!$B$3:$B1001,1,FALSE),"")</f>
        <v>#NAME?</v>
      </c>
      <c r="AM781" t="str">
        <f>IF(AI781="","",SUMIFS(#REF!,RM!$C$4:$C991,AI781))</f>
        <v/>
      </c>
    </row>
    <row r="782" spans="5:39">
      <c r="E782" t="str">
        <f>IF(A782="","",SUMIFS('PR-BOM'!$D$3:$D1001,'PR-BOM'!$C$3:$C1001,A782)*C782)</f>
        <v/>
      </c>
      <c r="F782" t="e">
        <f ca="1">_xludf.IFNA(VLOOKUP(B782,'S-FG'!$B$3:$B1001,1,FALSE),"")</f>
        <v>#NAME?</v>
      </c>
      <c r="L782" t="str">
        <f t="shared" si="10"/>
        <v/>
      </c>
      <c r="Q782" t="str">
        <f>IF(N782="","",SUMIFS('PR-BOM'!$D$3:$D1001,'PR-BOM'!$C$3:$C1001,N782))</f>
        <v/>
      </c>
      <c r="Y782" t="str">
        <f t="shared" si="11"/>
        <v/>
      </c>
      <c r="Z782" t="str">
        <f>IF(X782="","",SUMIFS(#REF!,RM!$C$4:$C991,X782))</f>
        <v/>
      </c>
      <c r="AA782" t="str">
        <f>IF(X782="","",SUMIFS(#REF!,RM!$C$4:$C991,X782))</f>
        <v/>
      </c>
      <c r="AB782" t="str">
        <f>IF(X782="","",SUMIFS(IRegback!$Y$2:$Y1001,IRegback!$X$2:$X1001,X782))</f>
        <v/>
      </c>
      <c r="AC782" t="e">
        <f t="shared" si="12"/>
        <v>#VALUE!</v>
      </c>
      <c r="AD782" t="str">
        <f>IF(X782="","",VLOOKUP($X782,RM!$C$4:$G991,3,FALSE))</f>
        <v/>
      </c>
      <c r="AE782" t="str">
        <f>IF(X782="","",VLOOKUP($X782,RM!$C$4:$G991,4,FALSE))</f>
        <v/>
      </c>
      <c r="AF782" t="str">
        <f>IF(X782="","",VLOOKUP($X782,RM!$C$4:$G991,5,FALSE))</f>
        <v/>
      </c>
      <c r="AL782" t="e">
        <f ca="1">_xludf.IFNA(VLOOKUP(AH782,'S-FG'!$B$3:$B1001,1,FALSE),"")</f>
        <v>#NAME?</v>
      </c>
      <c r="AM782" t="str">
        <f>IF(AI782="","",SUMIFS(#REF!,RM!$C$4:$C991,AI782))</f>
        <v/>
      </c>
    </row>
    <row r="783" spans="5:39">
      <c r="E783" t="str">
        <f>IF(A783="","",SUMIFS('PR-BOM'!$D$3:$D1001,'PR-BOM'!$C$3:$C1001,A783)*C783)</f>
        <v/>
      </c>
      <c r="F783" t="e">
        <f ca="1">_xludf.IFNA(VLOOKUP(B783,'S-FG'!$B$3:$B1001,1,FALSE),"")</f>
        <v>#NAME?</v>
      </c>
      <c r="L783" t="str">
        <f t="shared" si="10"/>
        <v/>
      </c>
      <c r="Q783" t="str">
        <f>IF(N783="","",SUMIFS('PR-BOM'!$D$3:$D1001,'PR-BOM'!$C$3:$C1001,N783))</f>
        <v/>
      </c>
      <c r="Y783" t="str">
        <f t="shared" si="11"/>
        <v/>
      </c>
      <c r="Z783" t="str">
        <f>IF(X783="","",SUMIFS(#REF!,RM!$C$4:$C991,X783))</f>
        <v/>
      </c>
      <c r="AA783" t="str">
        <f>IF(X783="","",SUMIFS(#REF!,RM!$C$4:$C991,X783))</f>
        <v/>
      </c>
      <c r="AB783" t="str">
        <f>IF(X783="","",SUMIFS(IRegback!$Y$2:$Y1001,IRegback!$X$2:$X1001,X783))</f>
        <v/>
      </c>
      <c r="AC783" t="e">
        <f t="shared" si="12"/>
        <v>#VALUE!</v>
      </c>
      <c r="AD783" t="str">
        <f>IF(X783="","",VLOOKUP($X783,RM!$C$4:$G991,3,FALSE))</f>
        <v/>
      </c>
      <c r="AE783" t="str">
        <f>IF(X783="","",VLOOKUP($X783,RM!$C$4:$G991,4,FALSE))</f>
        <v/>
      </c>
      <c r="AF783" t="str">
        <f>IF(X783="","",VLOOKUP($X783,RM!$C$4:$G991,5,FALSE))</f>
        <v/>
      </c>
      <c r="AL783" t="e">
        <f ca="1">_xludf.IFNA(VLOOKUP(AH783,'S-FG'!$B$3:$B1001,1,FALSE),"")</f>
        <v>#NAME?</v>
      </c>
      <c r="AM783" t="str">
        <f>IF(AI783="","",SUMIFS(#REF!,RM!$C$4:$C991,AI783))</f>
        <v/>
      </c>
    </row>
    <row r="784" spans="5:39">
      <c r="E784" t="str">
        <f>IF(A784="","",SUMIFS('PR-BOM'!$D$3:$D1001,'PR-BOM'!$C$3:$C1001,A784)*C784)</f>
        <v/>
      </c>
      <c r="F784" t="e">
        <f ca="1">_xludf.IFNA(VLOOKUP(B784,'S-FG'!$B$3:$B1001,1,FALSE),"")</f>
        <v>#NAME?</v>
      </c>
      <c r="L784" t="str">
        <f t="shared" si="10"/>
        <v/>
      </c>
      <c r="Q784" t="str">
        <f>IF(N784="","",SUMIFS('PR-BOM'!$D$3:$D1001,'PR-BOM'!$C$3:$C1001,N784))</f>
        <v/>
      </c>
      <c r="Y784" t="str">
        <f t="shared" si="11"/>
        <v/>
      </c>
      <c r="Z784" t="str">
        <f>IF(X784="","",SUMIFS(#REF!,RM!$C$4:$C991,X784))</f>
        <v/>
      </c>
      <c r="AA784" t="str">
        <f>IF(X784="","",SUMIFS(#REF!,RM!$C$4:$C991,X784))</f>
        <v/>
      </c>
      <c r="AB784" t="str">
        <f>IF(X784="","",SUMIFS(IRegback!$Y$2:$Y1001,IRegback!$X$2:$X1001,X784))</f>
        <v/>
      </c>
      <c r="AC784" t="e">
        <f t="shared" si="12"/>
        <v>#VALUE!</v>
      </c>
      <c r="AD784" t="str">
        <f>IF(X784="","",VLOOKUP($X784,RM!$C$4:$G991,3,FALSE))</f>
        <v/>
      </c>
      <c r="AE784" t="str">
        <f>IF(X784="","",VLOOKUP($X784,RM!$C$4:$G991,4,FALSE))</f>
        <v/>
      </c>
      <c r="AF784" t="str">
        <f>IF(X784="","",VLOOKUP($X784,RM!$C$4:$G991,5,FALSE))</f>
        <v/>
      </c>
      <c r="AL784" t="e">
        <f ca="1">_xludf.IFNA(VLOOKUP(AH784,'S-FG'!$B$3:$B1001,1,FALSE),"")</f>
        <v>#NAME?</v>
      </c>
      <c r="AM784" t="str">
        <f>IF(AI784="","",SUMIFS(#REF!,RM!$C$4:$C991,AI784))</f>
        <v/>
      </c>
    </row>
    <row r="785" spans="5:39">
      <c r="E785" t="str">
        <f>IF(A785="","",SUMIFS('PR-BOM'!$D$3:$D1001,'PR-BOM'!$C$3:$C1001,A785)*C785)</f>
        <v/>
      </c>
      <c r="F785" t="e">
        <f ca="1">_xludf.IFNA(VLOOKUP(B785,'S-FG'!$B$3:$B1001,1,FALSE),"")</f>
        <v>#NAME?</v>
      </c>
      <c r="L785" t="str">
        <f t="shared" si="10"/>
        <v/>
      </c>
      <c r="Q785" t="str">
        <f>IF(N785="","",SUMIFS('PR-BOM'!$D$3:$D1001,'PR-BOM'!$C$3:$C1001,N785))</f>
        <v/>
      </c>
      <c r="Y785" t="str">
        <f t="shared" si="11"/>
        <v/>
      </c>
      <c r="Z785" t="str">
        <f>IF(X785="","",SUMIFS(#REF!,RM!$C$4:$C991,X785))</f>
        <v/>
      </c>
      <c r="AA785" t="str">
        <f>IF(X785="","",SUMIFS(#REF!,RM!$C$4:$C991,X785))</f>
        <v/>
      </c>
      <c r="AB785" t="str">
        <f>IF(X785="","",SUMIFS(IRegback!$Y$2:$Y1001,IRegback!$X$2:$X1001,X785))</f>
        <v/>
      </c>
      <c r="AC785" t="e">
        <f t="shared" si="12"/>
        <v>#VALUE!</v>
      </c>
      <c r="AD785" t="str">
        <f>IF(X785="","",VLOOKUP($X785,RM!$C$4:$G991,3,FALSE))</f>
        <v/>
      </c>
      <c r="AE785" t="str">
        <f>IF(X785="","",VLOOKUP($X785,RM!$C$4:$G991,4,FALSE))</f>
        <v/>
      </c>
      <c r="AF785" t="str">
        <f>IF(X785="","",VLOOKUP($X785,RM!$C$4:$G991,5,FALSE))</f>
        <v/>
      </c>
      <c r="AL785" t="e">
        <f ca="1">_xludf.IFNA(VLOOKUP(AH785,'S-FG'!$B$3:$B1001,1,FALSE),"")</f>
        <v>#NAME?</v>
      </c>
      <c r="AM785" t="str">
        <f>IF(AI785="","",SUMIFS(#REF!,RM!$C$4:$C991,AI785))</f>
        <v/>
      </c>
    </row>
    <row r="786" spans="5:39">
      <c r="E786" t="str">
        <f>IF(A786="","",SUMIFS('PR-BOM'!$D$3:$D1001,'PR-BOM'!$C$3:$C1001,A786)*C786)</f>
        <v/>
      </c>
      <c r="F786" t="e">
        <f ca="1">_xludf.IFNA(VLOOKUP(B786,'S-FG'!$B$3:$B1001,1,FALSE),"")</f>
        <v>#NAME?</v>
      </c>
      <c r="L786" t="str">
        <f t="shared" si="10"/>
        <v/>
      </c>
      <c r="Q786" t="str">
        <f>IF(N786="","",SUMIFS('PR-BOM'!$D$3:$D1001,'PR-BOM'!$C$3:$C1001,N786))</f>
        <v/>
      </c>
      <c r="Y786" t="str">
        <f t="shared" si="11"/>
        <v/>
      </c>
      <c r="Z786" t="str">
        <f>IF(X786="","",SUMIFS(#REF!,RM!$C$4:$C991,X786))</f>
        <v/>
      </c>
      <c r="AA786" t="str">
        <f>IF(X786="","",SUMIFS(#REF!,RM!$C$4:$C991,X786))</f>
        <v/>
      </c>
      <c r="AB786" t="str">
        <f>IF(X786="","",SUMIFS(IRegback!$Y$2:$Y1001,IRegback!$X$2:$X1001,X786))</f>
        <v/>
      </c>
      <c r="AC786" t="e">
        <f t="shared" si="12"/>
        <v>#VALUE!</v>
      </c>
      <c r="AD786" t="str">
        <f>IF(X786="","",VLOOKUP($X786,RM!$C$4:$G991,3,FALSE))</f>
        <v/>
      </c>
      <c r="AE786" t="str">
        <f>IF(X786="","",VLOOKUP($X786,RM!$C$4:$G991,4,FALSE))</f>
        <v/>
      </c>
      <c r="AF786" t="str">
        <f>IF(X786="","",VLOOKUP($X786,RM!$C$4:$G991,5,FALSE))</f>
        <v/>
      </c>
      <c r="AL786" t="e">
        <f ca="1">_xludf.IFNA(VLOOKUP(AH786,'S-FG'!$B$3:$B1001,1,FALSE),"")</f>
        <v>#NAME?</v>
      </c>
      <c r="AM786" t="str">
        <f>IF(AI786="","",SUMIFS(#REF!,RM!$C$4:$C991,AI786))</f>
        <v/>
      </c>
    </row>
    <row r="787" spans="5:39">
      <c r="E787" t="str">
        <f>IF(A787="","",SUMIFS('PR-BOM'!$D$3:$D1001,'PR-BOM'!$C$3:$C1001,A787)*C787)</f>
        <v/>
      </c>
      <c r="F787" t="e">
        <f ca="1">_xludf.IFNA(VLOOKUP(B787,'S-FG'!$B$3:$B1001,1,FALSE),"")</f>
        <v>#NAME?</v>
      </c>
      <c r="L787" t="str">
        <f t="shared" si="10"/>
        <v/>
      </c>
      <c r="Q787" t="str">
        <f>IF(N787="","",SUMIFS('PR-BOM'!$D$3:$D1001,'PR-BOM'!$C$3:$C1001,N787))</f>
        <v/>
      </c>
      <c r="Y787" t="str">
        <f t="shared" si="11"/>
        <v/>
      </c>
      <c r="Z787" t="str">
        <f>IF(X787="","",SUMIFS(#REF!,RM!$C$4:$C991,X787))</f>
        <v/>
      </c>
      <c r="AA787" t="str">
        <f>IF(X787="","",SUMIFS(#REF!,RM!$C$4:$C991,X787))</f>
        <v/>
      </c>
      <c r="AB787" t="str">
        <f>IF(X787="","",SUMIFS(IRegback!$Y$2:$Y1001,IRegback!$X$2:$X1001,X787))</f>
        <v/>
      </c>
      <c r="AC787" t="e">
        <f t="shared" si="12"/>
        <v>#VALUE!</v>
      </c>
      <c r="AD787" t="str">
        <f>IF(X787="","",VLOOKUP($X787,RM!$C$4:$G991,3,FALSE))</f>
        <v/>
      </c>
      <c r="AE787" t="str">
        <f>IF(X787="","",VLOOKUP($X787,RM!$C$4:$G991,4,FALSE))</f>
        <v/>
      </c>
      <c r="AF787" t="str">
        <f>IF(X787="","",VLOOKUP($X787,RM!$C$4:$G991,5,FALSE))</f>
        <v/>
      </c>
      <c r="AL787" t="e">
        <f ca="1">_xludf.IFNA(VLOOKUP(AH787,'S-FG'!$B$3:$B1001,1,FALSE),"")</f>
        <v>#NAME?</v>
      </c>
      <c r="AM787" t="str">
        <f>IF(AI787="","",SUMIFS(#REF!,RM!$C$4:$C991,AI787))</f>
        <v/>
      </c>
    </row>
    <row r="788" spans="5:39">
      <c r="E788" t="str">
        <f>IF(A788="","",SUMIFS('PR-BOM'!$D$3:$D1001,'PR-BOM'!$C$3:$C1001,A788)*C788)</f>
        <v/>
      </c>
      <c r="F788" t="e">
        <f ca="1">_xludf.IFNA(VLOOKUP(B788,'S-FG'!$B$3:$B1001,1,FALSE),"")</f>
        <v>#NAME?</v>
      </c>
      <c r="L788" t="str">
        <f t="shared" si="10"/>
        <v/>
      </c>
      <c r="Q788" t="str">
        <f>IF(N788="","",SUMIFS('PR-BOM'!$D$3:$D1001,'PR-BOM'!$C$3:$C1001,N788))</f>
        <v/>
      </c>
      <c r="Y788" t="str">
        <f t="shared" si="11"/>
        <v/>
      </c>
      <c r="Z788" t="str">
        <f>IF(X788="","",SUMIFS(#REF!,RM!$C$4:$C991,X788))</f>
        <v/>
      </c>
      <c r="AA788" t="str">
        <f>IF(X788="","",SUMIFS(#REF!,RM!$C$4:$C991,X788))</f>
        <v/>
      </c>
      <c r="AB788" t="str">
        <f>IF(X788="","",SUMIFS(IRegback!$Y$2:$Y1001,IRegback!$X$2:$X1001,X788))</f>
        <v/>
      </c>
      <c r="AC788" t="e">
        <f t="shared" si="12"/>
        <v>#VALUE!</v>
      </c>
      <c r="AD788" t="str">
        <f>IF(X788="","",VLOOKUP($X788,RM!$C$4:$G991,3,FALSE))</f>
        <v/>
      </c>
      <c r="AE788" t="str">
        <f>IF(X788="","",VLOOKUP($X788,RM!$C$4:$G991,4,FALSE))</f>
        <v/>
      </c>
      <c r="AF788" t="str">
        <f>IF(X788="","",VLOOKUP($X788,RM!$C$4:$G991,5,FALSE))</f>
        <v/>
      </c>
      <c r="AL788" t="e">
        <f ca="1">_xludf.IFNA(VLOOKUP(AH788,'S-FG'!$B$3:$B1001,1,FALSE),"")</f>
        <v>#NAME?</v>
      </c>
      <c r="AM788" t="str">
        <f>IF(AI788="","",SUMIFS(#REF!,RM!$C$4:$C991,AI788))</f>
        <v/>
      </c>
    </row>
    <row r="789" spans="5:39">
      <c r="E789" t="str">
        <f>IF(A789="","",SUMIFS('PR-BOM'!$D$3:$D1001,'PR-BOM'!$C$3:$C1001,A789)*C789)</f>
        <v/>
      </c>
      <c r="F789" t="e">
        <f ca="1">_xludf.IFNA(VLOOKUP(B789,'S-FG'!$B$3:$B1001,1,FALSE),"")</f>
        <v>#NAME?</v>
      </c>
      <c r="L789" t="str">
        <f t="shared" si="10"/>
        <v/>
      </c>
      <c r="Q789" t="str">
        <f>IF(N789="","",SUMIFS('PR-BOM'!$D$3:$D1001,'PR-BOM'!$C$3:$C1001,N789))</f>
        <v/>
      </c>
      <c r="Y789" t="str">
        <f t="shared" si="11"/>
        <v/>
      </c>
      <c r="Z789" t="str">
        <f>IF(X789="","",SUMIFS(#REF!,RM!$C$4:$C991,X789))</f>
        <v/>
      </c>
      <c r="AA789" t="str">
        <f>IF(X789="","",SUMIFS(#REF!,RM!$C$4:$C991,X789))</f>
        <v/>
      </c>
      <c r="AB789" t="str">
        <f>IF(X789="","",SUMIFS(IRegback!$Y$2:$Y1001,IRegback!$X$2:$X1001,X789))</f>
        <v/>
      </c>
      <c r="AC789" t="e">
        <f t="shared" si="12"/>
        <v>#VALUE!</v>
      </c>
      <c r="AD789" t="str">
        <f>IF(X789="","",VLOOKUP($X789,RM!$C$4:$G991,3,FALSE))</f>
        <v/>
      </c>
      <c r="AE789" t="str">
        <f>IF(X789="","",VLOOKUP($X789,RM!$C$4:$G991,4,FALSE))</f>
        <v/>
      </c>
      <c r="AF789" t="str">
        <f>IF(X789="","",VLOOKUP($X789,RM!$C$4:$G991,5,FALSE))</f>
        <v/>
      </c>
      <c r="AL789" t="e">
        <f ca="1">_xludf.IFNA(VLOOKUP(AH789,'S-FG'!$B$3:$B1001,1,FALSE),"")</f>
        <v>#NAME?</v>
      </c>
      <c r="AM789" t="str">
        <f>IF(AI789="","",SUMIFS(#REF!,RM!$C$4:$C991,AI789))</f>
        <v/>
      </c>
    </row>
    <row r="790" spans="5:39">
      <c r="E790" t="str">
        <f>IF(A790="","",SUMIFS('PR-BOM'!$D$3:$D1001,'PR-BOM'!$C$3:$C1001,A790)*C790)</f>
        <v/>
      </c>
      <c r="F790" t="e">
        <f ca="1">_xludf.IFNA(VLOOKUP(B790,'S-FG'!$B$3:$B1001,1,FALSE),"")</f>
        <v>#NAME?</v>
      </c>
      <c r="L790" t="str">
        <f t="shared" si="10"/>
        <v/>
      </c>
      <c r="Q790" t="str">
        <f>IF(N790="","",SUMIFS('PR-BOM'!$D$3:$D1001,'PR-BOM'!$C$3:$C1001,N790))</f>
        <v/>
      </c>
      <c r="Y790" t="str">
        <f t="shared" si="11"/>
        <v/>
      </c>
      <c r="Z790" t="str">
        <f>IF(X790="","",SUMIFS(#REF!,RM!$C$4:$C991,X790))</f>
        <v/>
      </c>
      <c r="AA790" t="str">
        <f>IF(X790="","",SUMIFS(#REF!,RM!$C$4:$C991,X790))</f>
        <v/>
      </c>
      <c r="AB790" t="str">
        <f>IF(X790="","",SUMIFS(IRegback!$Y$2:$Y1001,IRegback!$X$2:$X1001,X790))</f>
        <v/>
      </c>
      <c r="AC790" t="e">
        <f t="shared" si="12"/>
        <v>#VALUE!</v>
      </c>
      <c r="AD790" t="str">
        <f>IF(X790="","",VLOOKUP($X790,RM!$C$4:$G991,3,FALSE))</f>
        <v/>
      </c>
      <c r="AE790" t="str">
        <f>IF(X790="","",VLOOKUP($X790,RM!$C$4:$G991,4,FALSE))</f>
        <v/>
      </c>
      <c r="AF790" t="str">
        <f>IF(X790="","",VLOOKUP($X790,RM!$C$4:$G991,5,FALSE))</f>
        <v/>
      </c>
      <c r="AL790" t="e">
        <f ca="1">_xludf.IFNA(VLOOKUP(AH790,'S-FG'!$B$3:$B1001,1,FALSE),"")</f>
        <v>#NAME?</v>
      </c>
      <c r="AM790" t="str">
        <f>IF(AI790="","",SUMIFS(#REF!,RM!$C$4:$C991,AI790))</f>
        <v/>
      </c>
    </row>
    <row r="791" spans="5:39">
      <c r="E791" t="str">
        <f>IF(A791="","",SUMIFS('PR-BOM'!$D$3:$D1001,'PR-BOM'!$C$3:$C1001,A791)*C791)</f>
        <v/>
      </c>
      <c r="F791" t="e">
        <f ca="1">_xludf.IFNA(VLOOKUP(B791,'S-FG'!$B$3:$B1001,1,FALSE),"")</f>
        <v>#NAME?</v>
      </c>
      <c r="L791" t="str">
        <f t="shared" si="10"/>
        <v/>
      </c>
      <c r="Q791" t="str">
        <f>IF(N791="","",SUMIFS('PR-BOM'!$D$3:$D1001,'PR-BOM'!$C$3:$C1001,N791))</f>
        <v/>
      </c>
      <c r="Y791" t="str">
        <f t="shared" si="11"/>
        <v/>
      </c>
      <c r="Z791" t="str">
        <f>IF(X791="","",SUMIFS(#REF!,RM!$C$4:$C991,X791))</f>
        <v/>
      </c>
      <c r="AA791" t="str">
        <f>IF(X791="","",SUMIFS(#REF!,RM!$C$4:$C991,X791))</f>
        <v/>
      </c>
      <c r="AB791" t="str">
        <f>IF(X791="","",SUMIFS(IRegback!$Y$2:$Y1001,IRegback!$X$2:$X1001,X791))</f>
        <v/>
      </c>
      <c r="AC791" t="e">
        <f t="shared" si="12"/>
        <v>#VALUE!</v>
      </c>
      <c r="AD791" t="str">
        <f>IF(X791="","",VLOOKUP($X791,RM!$C$4:$G991,3,FALSE))</f>
        <v/>
      </c>
      <c r="AE791" t="str">
        <f>IF(X791="","",VLOOKUP($X791,RM!$C$4:$G991,4,FALSE))</f>
        <v/>
      </c>
      <c r="AF791" t="str">
        <f>IF(X791="","",VLOOKUP($X791,RM!$C$4:$G991,5,FALSE))</f>
        <v/>
      </c>
      <c r="AL791" t="e">
        <f ca="1">_xludf.IFNA(VLOOKUP(AH791,'S-FG'!$B$3:$B1001,1,FALSE),"")</f>
        <v>#NAME?</v>
      </c>
      <c r="AM791" t="str">
        <f>IF(AI791="","",SUMIFS(#REF!,RM!$C$4:$C991,AI791))</f>
        <v/>
      </c>
    </row>
    <row r="792" spans="5:39">
      <c r="E792" t="str">
        <f>IF(A792="","",SUMIFS('PR-BOM'!$D$3:$D1001,'PR-BOM'!$C$3:$C1001,A792)*C792)</f>
        <v/>
      </c>
      <c r="F792" t="e">
        <f ca="1">_xludf.IFNA(VLOOKUP(B792,'S-FG'!$B$3:$B1001,1,FALSE),"")</f>
        <v>#NAME?</v>
      </c>
      <c r="L792" t="str">
        <f t="shared" si="10"/>
        <v/>
      </c>
      <c r="Q792" t="str">
        <f>IF(N792="","",SUMIFS('PR-BOM'!$D$3:$D1001,'PR-BOM'!$C$3:$C1001,N792))</f>
        <v/>
      </c>
      <c r="Y792" t="str">
        <f t="shared" si="11"/>
        <v/>
      </c>
      <c r="Z792" t="str">
        <f>IF(X792="","",SUMIFS(#REF!,RM!$C$4:$C991,X792))</f>
        <v/>
      </c>
      <c r="AA792" t="str">
        <f>IF(X792="","",SUMIFS(#REF!,RM!$C$4:$C991,X792))</f>
        <v/>
      </c>
      <c r="AB792" t="str">
        <f>IF(X792="","",SUMIFS(IRegback!$Y$2:$Y1001,IRegback!$X$2:$X1001,X792))</f>
        <v/>
      </c>
      <c r="AC792" t="e">
        <f t="shared" si="12"/>
        <v>#VALUE!</v>
      </c>
      <c r="AD792" t="str">
        <f>IF(X792="","",VLOOKUP($X792,RM!$C$4:$G991,3,FALSE))</f>
        <v/>
      </c>
      <c r="AE792" t="str">
        <f>IF(X792="","",VLOOKUP($X792,RM!$C$4:$G991,4,FALSE))</f>
        <v/>
      </c>
      <c r="AF792" t="str">
        <f>IF(X792="","",VLOOKUP($X792,RM!$C$4:$G991,5,FALSE))</f>
        <v/>
      </c>
      <c r="AL792" t="e">
        <f ca="1">_xludf.IFNA(VLOOKUP(AH792,'S-FG'!$B$3:$B1001,1,FALSE),"")</f>
        <v>#NAME?</v>
      </c>
      <c r="AM792" t="str">
        <f>IF(AI792="","",SUMIFS(#REF!,RM!$C$4:$C991,AI792))</f>
        <v/>
      </c>
    </row>
    <row r="793" spans="5:39">
      <c r="E793" t="str">
        <f>IF(A793="","",SUMIFS('PR-BOM'!$D$3:$D1001,'PR-BOM'!$C$3:$C1001,A793)*C793)</f>
        <v/>
      </c>
      <c r="F793" t="e">
        <f ca="1">_xludf.IFNA(VLOOKUP(B793,'S-FG'!$B$3:$B1001,1,FALSE),"")</f>
        <v>#NAME?</v>
      </c>
      <c r="L793" t="str">
        <f t="shared" si="10"/>
        <v/>
      </c>
      <c r="Q793" t="str">
        <f>IF(N793="","",SUMIFS('PR-BOM'!$D$3:$D1001,'PR-BOM'!$C$3:$C1001,N793))</f>
        <v/>
      </c>
      <c r="Y793" t="str">
        <f t="shared" si="11"/>
        <v/>
      </c>
      <c r="Z793" t="str">
        <f>IF(X793="","",SUMIFS(#REF!,RM!$C$4:$C991,X793))</f>
        <v/>
      </c>
      <c r="AA793" t="str">
        <f>IF(X793="","",SUMIFS(#REF!,RM!$C$4:$C991,X793))</f>
        <v/>
      </c>
      <c r="AB793" t="str">
        <f>IF(X793="","",SUMIFS(IRegback!$Y$2:$Y1001,IRegback!$X$2:$X1001,X793))</f>
        <v/>
      </c>
      <c r="AC793" t="e">
        <f t="shared" si="12"/>
        <v>#VALUE!</v>
      </c>
      <c r="AD793" t="str">
        <f>IF(X793="","",VLOOKUP($X793,RM!$C$4:$G991,3,FALSE))</f>
        <v/>
      </c>
      <c r="AE793" t="str">
        <f>IF(X793="","",VLOOKUP($X793,RM!$C$4:$G991,4,FALSE))</f>
        <v/>
      </c>
      <c r="AF793" t="str">
        <f>IF(X793="","",VLOOKUP($X793,RM!$C$4:$G991,5,FALSE))</f>
        <v/>
      </c>
      <c r="AL793" t="e">
        <f ca="1">_xludf.IFNA(VLOOKUP(AH793,'S-FG'!$B$3:$B1001,1,FALSE),"")</f>
        <v>#NAME?</v>
      </c>
      <c r="AM793" t="str">
        <f>IF(AI793="","",SUMIFS(#REF!,RM!$C$4:$C991,AI793))</f>
        <v/>
      </c>
    </row>
    <row r="794" spans="5:39">
      <c r="E794" t="str">
        <f>IF(A794="","",SUMIFS('PR-BOM'!$D$3:$D1001,'PR-BOM'!$C$3:$C1001,A794)*C794)</f>
        <v/>
      </c>
      <c r="F794" t="e">
        <f ca="1">_xludf.IFNA(VLOOKUP(B794,'S-FG'!$B$3:$B1001,1,FALSE),"")</f>
        <v>#NAME?</v>
      </c>
      <c r="L794" t="str">
        <f t="shared" si="10"/>
        <v/>
      </c>
      <c r="Q794" t="str">
        <f>IF(N794="","",SUMIFS('PR-BOM'!$D$3:$D1001,'PR-BOM'!$C$3:$C1001,N794))</f>
        <v/>
      </c>
      <c r="Y794" t="str">
        <f t="shared" si="11"/>
        <v/>
      </c>
      <c r="Z794" t="str">
        <f>IF(X794="","",SUMIFS(#REF!,RM!$C$4:$C991,X794))</f>
        <v/>
      </c>
      <c r="AA794" t="str">
        <f>IF(X794="","",SUMIFS(#REF!,RM!$C$4:$C991,X794))</f>
        <v/>
      </c>
      <c r="AB794" t="str">
        <f>IF(X794="","",SUMIFS(IRegback!$Y$2:$Y1001,IRegback!$X$2:$X1001,X794))</f>
        <v/>
      </c>
      <c r="AC794" t="e">
        <f t="shared" si="12"/>
        <v>#VALUE!</v>
      </c>
      <c r="AD794" t="str">
        <f>IF(X794="","",VLOOKUP($X794,RM!$C$4:$G991,3,FALSE))</f>
        <v/>
      </c>
      <c r="AE794" t="str">
        <f>IF(X794="","",VLOOKUP($X794,RM!$C$4:$G991,4,FALSE))</f>
        <v/>
      </c>
      <c r="AF794" t="str">
        <f>IF(X794="","",VLOOKUP($X794,RM!$C$4:$G991,5,FALSE))</f>
        <v/>
      </c>
      <c r="AL794" t="e">
        <f ca="1">_xludf.IFNA(VLOOKUP(AH794,'S-FG'!$B$3:$B1001,1,FALSE),"")</f>
        <v>#NAME?</v>
      </c>
      <c r="AM794" t="str">
        <f>IF(AI794="","",SUMIFS(#REF!,RM!$C$4:$C991,AI794))</f>
        <v/>
      </c>
    </row>
    <row r="795" spans="5:39">
      <c r="E795" t="str">
        <f>IF(A795="","",SUMIFS('PR-BOM'!$D$3:$D1001,'PR-BOM'!$C$3:$C1001,A795)*C795)</f>
        <v/>
      </c>
      <c r="F795" t="e">
        <f ca="1">_xludf.IFNA(VLOOKUP(B795,'S-FG'!$B$3:$B1001,1,FALSE),"")</f>
        <v>#NAME?</v>
      </c>
      <c r="L795" t="str">
        <f t="shared" si="10"/>
        <v/>
      </c>
      <c r="Q795" t="str">
        <f>IF(N795="","",SUMIFS('PR-BOM'!$D$3:$D1001,'PR-BOM'!$C$3:$C1001,N795))</f>
        <v/>
      </c>
      <c r="Y795" t="str">
        <f t="shared" si="11"/>
        <v/>
      </c>
      <c r="Z795" t="str">
        <f>IF(X795="","",SUMIFS(#REF!,RM!$C$4:$C991,X795))</f>
        <v/>
      </c>
      <c r="AA795" t="str">
        <f>IF(X795="","",SUMIFS(#REF!,RM!$C$4:$C991,X795))</f>
        <v/>
      </c>
      <c r="AB795" t="str">
        <f>IF(X795="","",SUMIFS(IRegback!$Y$2:$Y1001,IRegback!$X$2:$X1001,X795))</f>
        <v/>
      </c>
      <c r="AC795" t="e">
        <f t="shared" si="12"/>
        <v>#VALUE!</v>
      </c>
      <c r="AD795" t="str">
        <f>IF(X795="","",VLOOKUP($X795,RM!$C$4:$G991,3,FALSE))</f>
        <v/>
      </c>
      <c r="AE795" t="str">
        <f>IF(X795="","",VLOOKUP($X795,RM!$C$4:$G991,4,FALSE))</f>
        <v/>
      </c>
      <c r="AF795" t="str">
        <f>IF(X795="","",VLOOKUP($X795,RM!$C$4:$G991,5,FALSE))</f>
        <v/>
      </c>
      <c r="AL795" t="e">
        <f ca="1">_xludf.IFNA(VLOOKUP(AH795,'S-FG'!$B$3:$B1001,1,FALSE),"")</f>
        <v>#NAME?</v>
      </c>
      <c r="AM795" t="str">
        <f>IF(AI795="","",SUMIFS(#REF!,RM!$C$4:$C991,AI795))</f>
        <v/>
      </c>
    </row>
    <row r="796" spans="5:39">
      <c r="E796" t="str">
        <f>IF(A796="","",SUMIFS('PR-BOM'!$D$3:$D1001,'PR-BOM'!$C$3:$C1001,A796)*C796)</f>
        <v/>
      </c>
      <c r="F796" t="e">
        <f ca="1">_xludf.IFNA(VLOOKUP(B796,'S-FG'!$B$3:$B1001,1,FALSE),"")</f>
        <v>#NAME?</v>
      </c>
      <c r="L796" t="str">
        <f t="shared" si="10"/>
        <v/>
      </c>
      <c r="Q796" t="str">
        <f>IF(N796="","",SUMIFS('PR-BOM'!$D$3:$D1001,'PR-BOM'!$C$3:$C1001,N796))</f>
        <v/>
      </c>
      <c r="Y796" t="str">
        <f t="shared" si="11"/>
        <v/>
      </c>
      <c r="Z796" t="str">
        <f>IF(X796="","",SUMIFS(#REF!,RM!$C$4:$C991,X796))</f>
        <v/>
      </c>
      <c r="AA796" t="str">
        <f>IF(X796="","",SUMIFS(#REF!,RM!$C$4:$C991,X796))</f>
        <v/>
      </c>
      <c r="AB796" t="str">
        <f>IF(X796="","",SUMIFS(IRegback!$Y$2:$Y1001,IRegback!$X$2:$X1001,X796))</f>
        <v/>
      </c>
      <c r="AC796" t="e">
        <f t="shared" si="12"/>
        <v>#VALUE!</v>
      </c>
      <c r="AD796" t="str">
        <f>IF(X796="","",VLOOKUP($X796,RM!$C$4:$G991,3,FALSE))</f>
        <v/>
      </c>
      <c r="AE796" t="str">
        <f>IF(X796="","",VLOOKUP($X796,RM!$C$4:$G991,4,FALSE))</f>
        <v/>
      </c>
      <c r="AF796" t="str">
        <f>IF(X796="","",VLOOKUP($X796,RM!$C$4:$G991,5,FALSE))</f>
        <v/>
      </c>
      <c r="AL796" t="e">
        <f ca="1">_xludf.IFNA(VLOOKUP(AH796,'S-FG'!$B$3:$B1001,1,FALSE),"")</f>
        <v>#NAME?</v>
      </c>
      <c r="AM796" t="str">
        <f>IF(AI796="","",SUMIFS(#REF!,RM!$C$4:$C991,AI796))</f>
        <v/>
      </c>
    </row>
    <row r="797" spans="5:39">
      <c r="E797" t="str">
        <f>IF(A797="","",SUMIFS('PR-BOM'!$D$3:$D1001,'PR-BOM'!$C$3:$C1001,A797)*C797)</f>
        <v/>
      </c>
      <c r="F797" t="e">
        <f ca="1">_xludf.IFNA(VLOOKUP(B797,'S-FG'!$B$3:$B1001,1,FALSE),"")</f>
        <v>#NAME?</v>
      </c>
      <c r="L797" t="str">
        <f t="shared" si="10"/>
        <v/>
      </c>
      <c r="Q797" t="str">
        <f>IF(N797="","",SUMIFS('PR-BOM'!$D$3:$D1001,'PR-BOM'!$C$3:$C1001,N797))</f>
        <v/>
      </c>
      <c r="Y797" t="str">
        <f t="shared" si="11"/>
        <v/>
      </c>
      <c r="Z797" t="str">
        <f>IF(X797="","",SUMIFS(#REF!,RM!$C$4:$C991,X797))</f>
        <v/>
      </c>
      <c r="AA797" t="str">
        <f>IF(X797="","",SUMIFS(#REF!,RM!$C$4:$C991,X797))</f>
        <v/>
      </c>
      <c r="AB797" t="str">
        <f>IF(X797="","",SUMIFS(IRegback!$Y$2:$Y1001,IRegback!$X$2:$X1001,X797))</f>
        <v/>
      </c>
      <c r="AC797" t="e">
        <f t="shared" si="12"/>
        <v>#VALUE!</v>
      </c>
      <c r="AD797" t="str">
        <f>IF(X797="","",VLOOKUP($X797,RM!$C$4:$G991,3,FALSE))</f>
        <v/>
      </c>
      <c r="AE797" t="str">
        <f>IF(X797="","",VLOOKUP($X797,RM!$C$4:$G991,4,FALSE))</f>
        <v/>
      </c>
      <c r="AF797" t="str">
        <f>IF(X797="","",VLOOKUP($X797,RM!$C$4:$G991,5,FALSE))</f>
        <v/>
      </c>
      <c r="AL797" t="e">
        <f ca="1">_xludf.IFNA(VLOOKUP(AH797,'S-FG'!$B$3:$B1001,1,FALSE),"")</f>
        <v>#NAME?</v>
      </c>
      <c r="AM797" t="str">
        <f>IF(AI797="","",SUMIFS(#REF!,RM!$C$4:$C991,AI797))</f>
        <v/>
      </c>
    </row>
    <row r="798" spans="5:39">
      <c r="E798" t="str">
        <f>IF(A798="","",SUMIFS('PR-BOM'!$D$3:$D1001,'PR-BOM'!$C$3:$C1001,A798)*C798)</f>
        <v/>
      </c>
      <c r="F798" t="e">
        <f ca="1">_xludf.IFNA(VLOOKUP(B798,'S-FG'!$B$3:$B1001,1,FALSE),"")</f>
        <v>#NAME?</v>
      </c>
      <c r="L798" t="str">
        <f t="shared" si="10"/>
        <v/>
      </c>
      <c r="Q798" t="str">
        <f>IF(N798="","",SUMIFS('PR-BOM'!$D$3:$D1001,'PR-BOM'!$C$3:$C1001,N798))</f>
        <v/>
      </c>
      <c r="Y798" t="str">
        <f t="shared" si="11"/>
        <v/>
      </c>
      <c r="Z798" t="str">
        <f>IF(X798="","",SUMIFS(#REF!,RM!$C$4:$C991,X798))</f>
        <v/>
      </c>
      <c r="AA798" t="str">
        <f>IF(X798="","",SUMIFS(#REF!,RM!$C$4:$C991,X798))</f>
        <v/>
      </c>
      <c r="AB798" t="str">
        <f>IF(X798="","",SUMIFS(IRegback!$Y$2:$Y1001,IRegback!$X$2:$X1001,X798))</f>
        <v/>
      </c>
      <c r="AC798" t="e">
        <f t="shared" si="12"/>
        <v>#VALUE!</v>
      </c>
      <c r="AD798" t="str">
        <f>IF(X798="","",VLOOKUP($X798,RM!$C$4:$G991,3,FALSE))</f>
        <v/>
      </c>
      <c r="AE798" t="str">
        <f>IF(X798="","",VLOOKUP($X798,RM!$C$4:$G991,4,FALSE))</f>
        <v/>
      </c>
      <c r="AF798" t="str">
        <f>IF(X798="","",VLOOKUP($X798,RM!$C$4:$G991,5,FALSE))</f>
        <v/>
      </c>
      <c r="AL798" t="e">
        <f ca="1">_xludf.IFNA(VLOOKUP(AH798,'S-FG'!$B$3:$B1001,1,FALSE),"")</f>
        <v>#NAME?</v>
      </c>
      <c r="AM798" t="str">
        <f>IF(AI798="","",SUMIFS(#REF!,RM!$C$4:$C991,AI798))</f>
        <v/>
      </c>
    </row>
    <row r="799" spans="5:39">
      <c r="E799" t="str">
        <f>IF(A799="","",SUMIFS('PR-BOM'!$D$3:$D1001,'PR-BOM'!$C$3:$C1001,A799)*C799)</f>
        <v/>
      </c>
      <c r="F799" t="e">
        <f ca="1">_xludf.IFNA(VLOOKUP(B799,'S-FG'!$B$3:$B1001,1,FALSE),"")</f>
        <v>#NAME?</v>
      </c>
      <c r="L799" t="str">
        <f t="shared" si="10"/>
        <v/>
      </c>
      <c r="Q799" t="str">
        <f>IF(N799="","",SUMIFS('PR-BOM'!$D$3:$D1001,'PR-BOM'!$C$3:$C1001,N799))</f>
        <v/>
      </c>
      <c r="Y799" t="str">
        <f t="shared" si="11"/>
        <v/>
      </c>
      <c r="Z799" t="str">
        <f>IF(X799="","",SUMIFS(#REF!,RM!$C$4:$C991,X799))</f>
        <v/>
      </c>
      <c r="AA799" t="str">
        <f>IF(X799="","",SUMIFS(#REF!,RM!$C$4:$C991,X799))</f>
        <v/>
      </c>
      <c r="AB799" t="str">
        <f>IF(X799="","",SUMIFS(IRegback!$Y$2:$Y1001,IRegback!$X$2:$X1001,X799))</f>
        <v/>
      </c>
      <c r="AC799" t="e">
        <f t="shared" si="12"/>
        <v>#VALUE!</v>
      </c>
      <c r="AD799" t="str">
        <f>IF(X799="","",VLOOKUP($X799,RM!$C$4:$G991,3,FALSE))</f>
        <v/>
      </c>
      <c r="AE799" t="str">
        <f>IF(X799="","",VLOOKUP($X799,RM!$C$4:$G991,4,FALSE))</f>
        <v/>
      </c>
      <c r="AF799" t="str">
        <f>IF(X799="","",VLOOKUP($X799,RM!$C$4:$G991,5,FALSE))</f>
        <v/>
      </c>
      <c r="AL799" t="e">
        <f ca="1">_xludf.IFNA(VLOOKUP(AH799,'S-FG'!$B$3:$B1001,1,FALSE),"")</f>
        <v>#NAME?</v>
      </c>
      <c r="AM799" t="str">
        <f>IF(AI799="","",SUMIFS(#REF!,RM!$C$4:$C991,AI799))</f>
        <v/>
      </c>
    </row>
    <row r="800" spans="5:39">
      <c r="E800" t="str">
        <f>IF(A800="","",SUMIFS('PR-BOM'!$D$3:$D1001,'PR-BOM'!$C$3:$C1001,A800)*C800)</f>
        <v/>
      </c>
      <c r="F800" t="e">
        <f ca="1">_xludf.IFNA(VLOOKUP(B800,'S-FG'!$B$3:$B1001,1,FALSE),"")</f>
        <v>#NAME?</v>
      </c>
      <c r="L800" t="str">
        <f t="shared" si="10"/>
        <v/>
      </c>
      <c r="Q800" t="str">
        <f>IF(N800="","",SUMIFS('PR-BOM'!$D$3:$D1001,'PR-BOM'!$C$3:$C1001,N800))</f>
        <v/>
      </c>
      <c r="Y800" t="str">
        <f t="shared" si="11"/>
        <v/>
      </c>
      <c r="Z800" t="str">
        <f>IF(X800="","",SUMIFS(#REF!,RM!$C$4:$C991,X800))</f>
        <v/>
      </c>
      <c r="AA800" t="str">
        <f>IF(X800="","",SUMIFS(#REF!,RM!$C$4:$C991,X800))</f>
        <v/>
      </c>
      <c r="AB800" t="str">
        <f>IF(X800="","",SUMIFS(IRegback!$Y$2:$Y1001,IRegback!$X$2:$X1001,X800))</f>
        <v/>
      </c>
      <c r="AC800" t="e">
        <f t="shared" si="12"/>
        <v>#VALUE!</v>
      </c>
      <c r="AD800" t="str">
        <f>IF(X800="","",VLOOKUP($X800,RM!$C$4:$G991,3,FALSE))</f>
        <v/>
      </c>
      <c r="AE800" t="str">
        <f>IF(X800="","",VLOOKUP($X800,RM!$C$4:$G991,4,FALSE))</f>
        <v/>
      </c>
      <c r="AF800" t="str">
        <f>IF(X800="","",VLOOKUP($X800,RM!$C$4:$G991,5,FALSE))</f>
        <v/>
      </c>
      <c r="AL800" t="e">
        <f ca="1">_xludf.IFNA(VLOOKUP(AH800,'S-FG'!$B$3:$B1001,1,FALSE),"")</f>
        <v>#NAME?</v>
      </c>
      <c r="AM800" t="str">
        <f>IF(AI800="","",SUMIFS(#REF!,RM!$C$4:$C991,AI800))</f>
        <v/>
      </c>
    </row>
    <row r="801" spans="5:39">
      <c r="E801" t="str">
        <f>IF(A801="","",SUMIFS('PR-BOM'!$D$3:$D1001,'PR-BOM'!$C$3:$C1001,A801)*C801)</f>
        <v/>
      </c>
      <c r="F801" t="e">
        <f ca="1">_xludf.IFNA(VLOOKUP(B801,'S-FG'!$B$3:$B1001,1,FALSE),"")</f>
        <v>#NAME?</v>
      </c>
      <c r="L801" t="str">
        <f t="shared" si="10"/>
        <v/>
      </c>
      <c r="Q801" t="str">
        <f>IF(N801="","",SUMIFS('PR-BOM'!$D$3:$D1001,'PR-BOM'!$C$3:$C1001,N801))</f>
        <v/>
      </c>
      <c r="Y801" t="str">
        <f t="shared" si="11"/>
        <v/>
      </c>
      <c r="Z801" t="str">
        <f>IF(X801="","",SUMIFS(#REF!,RM!$C$4:$C991,X801))</f>
        <v/>
      </c>
      <c r="AA801" t="str">
        <f>IF(X801="","",SUMIFS(#REF!,RM!$C$4:$C991,X801))</f>
        <v/>
      </c>
      <c r="AB801" t="str">
        <f>IF(X801="","",SUMIFS(IRegback!$Y$2:$Y1001,IRegback!$X$2:$X1001,X801))</f>
        <v/>
      </c>
      <c r="AC801" t="e">
        <f t="shared" si="12"/>
        <v>#VALUE!</v>
      </c>
      <c r="AD801" t="str">
        <f>IF(X801="","",VLOOKUP($X801,RM!$C$4:$G991,3,FALSE))</f>
        <v/>
      </c>
      <c r="AE801" t="str">
        <f>IF(X801="","",VLOOKUP($X801,RM!$C$4:$G991,4,FALSE))</f>
        <v/>
      </c>
      <c r="AF801" t="str">
        <f>IF(X801="","",VLOOKUP($X801,RM!$C$4:$G991,5,FALSE))</f>
        <v/>
      </c>
      <c r="AL801" t="e">
        <f ca="1">_xludf.IFNA(VLOOKUP(AH801,'S-FG'!$B$3:$B1001,1,FALSE),"")</f>
        <v>#NAME?</v>
      </c>
      <c r="AM801" t="str">
        <f>IF(AI801="","",SUMIFS(#REF!,RM!$C$4:$C991,AI801))</f>
        <v/>
      </c>
    </row>
    <row r="802" spans="5:39">
      <c r="E802" t="str">
        <f>IF(A802="","",SUMIFS('PR-BOM'!$D$3:$D1001,'PR-BOM'!$C$3:$C1001,A802)*C802)</f>
        <v/>
      </c>
      <c r="F802" t="e">
        <f ca="1">_xludf.IFNA(VLOOKUP(B802,'S-FG'!$B$3:$B1001,1,FALSE),"")</f>
        <v>#NAME?</v>
      </c>
      <c r="L802" t="str">
        <f t="shared" si="10"/>
        <v/>
      </c>
      <c r="Q802" t="str">
        <f>IF(N802="","",SUMIFS('PR-BOM'!$D$3:$D1001,'PR-BOM'!$C$3:$C1001,N802))</f>
        <v/>
      </c>
      <c r="Y802" t="str">
        <f t="shared" si="11"/>
        <v/>
      </c>
      <c r="Z802" t="str">
        <f>IF(X802="","",SUMIFS(#REF!,RM!$C$4:$C991,X802))</f>
        <v/>
      </c>
      <c r="AA802" t="str">
        <f>IF(X802="","",SUMIFS(#REF!,RM!$C$4:$C991,X802))</f>
        <v/>
      </c>
      <c r="AB802" t="str">
        <f>IF(X802="","",SUMIFS(IRegback!$Y$2:$Y1001,IRegback!$X$2:$X1001,X802))</f>
        <v/>
      </c>
      <c r="AC802" t="e">
        <f t="shared" si="12"/>
        <v>#VALUE!</v>
      </c>
      <c r="AD802" t="str">
        <f>IF(X802="","",VLOOKUP($X802,RM!$C$4:$G991,3,FALSE))</f>
        <v/>
      </c>
      <c r="AE802" t="str">
        <f>IF(X802="","",VLOOKUP($X802,RM!$C$4:$G991,4,FALSE))</f>
        <v/>
      </c>
      <c r="AF802" t="str">
        <f>IF(X802="","",VLOOKUP($X802,RM!$C$4:$G991,5,FALSE))</f>
        <v/>
      </c>
      <c r="AL802" t="e">
        <f ca="1">_xludf.IFNA(VLOOKUP(AH802,'S-FG'!$B$3:$B1001,1,FALSE),"")</f>
        <v>#NAME?</v>
      </c>
      <c r="AM802" t="str">
        <f>IF(AI802="","",SUMIFS(#REF!,RM!$C$4:$C991,AI802))</f>
        <v/>
      </c>
    </row>
    <row r="803" spans="5:39">
      <c r="E803" t="str">
        <f>IF(A803="","",SUMIFS('PR-BOM'!$D$3:$D1001,'PR-BOM'!$C$3:$C1001,A803)*C803)</f>
        <v/>
      </c>
      <c r="F803" t="e">
        <f ca="1">_xludf.IFNA(VLOOKUP(B803,'S-FG'!$B$3:$B1001,1,FALSE),"")</f>
        <v>#NAME?</v>
      </c>
      <c r="L803" t="str">
        <f t="shared" si="10"/>
        <v/>
      </c>
      <c r="Q803" t="str">
        <f>IF(N803="","",SUMIFS('PR-BOM'!$D$3:$D1001,'PR-BOM'!$C$3:$C1001,N803))</f>
        <v/>
      </c>
      <c r="Y803" t="str">
        <f t="shared" si="11"/>
        <v/>
      </c>
      <c r="Z803" t="str">
        <f>IF(X803="","",SUMIFS(#REF!,RM!$C$4:$C991,X803))</f>
        <v/>
      </c>
      <c r="AA803" t="str">
        <f>IF(X803="","",SUMIFS(#REF!,RM!$C$4:$C991,X803))</f>
        <v/>
      </c>
      <c r="AB803" t="str">
        <f>IF(X803="","",SUMIFS(IRegback!$Y$2:$Y1001,IRegback!$X$2:$X1001,X803))</f>
        <v/>
      </c>
      <c r="AC803" t="e">
        <f t="shared" si="12"/>
        <v>#VALUE!</v>
      </c>
      <c r="AD803" t="str">
        <f>IF(X803="","",VLOOKUP($X803,RM!$C$4:$G991,3,FALSE))</f>
        <v/>
      </c>
      <c r="AE803" t="str">
        <f>IF(X803="","",VLOOKUP($X803,RM!$C$4:$G991,4,FALSE))</f>
        <v/>
      </c>
      <c r="AF803" t="str">
        <f>IF(X803="","",VLOOKUP($X803,RM!$C$4:$G991,5,FALSE))</f>
        <v/>
      </c>
      <c r="AL803" t="e">
        <f ca="1">_xludf.IFNA(VLOOKUP(AH803,'S-FG'!$B$3:$B1001,1,FALSE),"")</f>
        <v>#NAME?</v>
      </c>
      <c r="AM803" t="str">
        <f>IF(AI803="","",SUMIFS(#REF!,RM!$C$4:$C991,AI803))</f>
        <v/>
      </c>
    </row>
    <row r="804" spans="5:39">
      <c r="E804" t="str">
        <f>IF(A804="","",SUMIFS('PR-BOM'!$D$3:$D1001,'PR-BOM'!$C$3:$C1001,A804)*C804)</f>
        <v/>
      </c>
      <c r="F804" t="e">
        <f ca="1">_xludf.IFNA(VLOOKUP(B804,'S-FG'!$B$3:$B1001,1,FALSE),"")</f>
        <v>#NAME?</v>
      </c>
      <c r="L804" t="str">
        <f t="shared" si="10"/>
        <v/>
      </c>
      <c r="Q804" t="str">
        <f>IF(N804="","",SUMIFS('PR-BOM'!$D$3:$D1001,'PR-BOM'!$C$3:$C1001,N804))</f>
        <v/>
      </c>
      <c r="Y804" t="str">
        <f t="shared" si="11"/>
        <v/>
      </c>
      <c r="Z804" t="str">
        <f>IF(X804="","",SUMIFS(#REF!,RM!$C$4:$C991,X804))</f>
        <v/>
      </c>
      <c r="AA804" t="str">
        <f>IF(X804="","",SUMIFS(#REF!,RM!$C$4:$C991,X804))</f>
        <v/>
      </c>
      <c r="AB804" t="str">
        <f>IF(X804="","",SUMIFS(IRegback!$Y$2:$Y1001,IRegback!$X$2:$X1001,X804))</f>
        <v/>
      </c>
      <c r="AC804" t="e">
        <f t="shared" si="12"/>
        <v>#VALUE!</v>
      </c>
      <c r="AD804" t="str">
        <f>IF(X804="","",VLOOKUP($X804,RM!$C$4:$G991,3,FALSE))</f>
        <v/>
      </c>
      <c r="AE804" t="str">
        <f>IF(X804="","",VLOOKUP($X804,RM!$C$4:$G991,4,FALSE))</f>
        <v/>
      </c>
      <c r="AF804" t="str">
        <f>IF(X804="","",VLOOKUP($X804,RM!$C$4:$G991,5,FALSE))</f>
        <v/>
      </c>
      <c r="AL804" t="e">
        <f ca="1">_xludf.IFNA(VLOOKUP(AH804,'S-FG'!$B$3:$B1001,1,FALSE),"")</f>
        <v>#NAME?</v>
      </c>
      <c r="AM804" t="str">
        <f>IF(AI804="","",SUMIFS(#REF!,RM!$C$4:$C991,AI804))</f>
        <v/>
      </c>
    </row>
    <row r="805" spans="5:39">
      <c r="E805" t="str">
        <f>IF(A805="","",SUMIFS('PR-BOM'!$D$3:$D1001,'PR-BOM'!$C$3:$C1001,A805)*C805)</f>
        <v/>
      </c>
      <c r="F805" t="e">
        <f ca="1">_xludf.IFNA(VLOOKUP(B805,'S-FG'!$B$3:$B1001,1,FALSE),"")</f>
        <v>#NAME?</v>
      </c>
      <c r="L805" t="str">
        <f t="shared" si="10"/>
        <v/>
      </c>
      <c r="Q805" t="str">
        <f>IF(N805="","",SUMIFS('PR-BOM'!$D$3:$D1001,'PR-BOM'!$C$3:$C1001,N805))</f>
        <v/>
      </c>
      <c r="Y805" t="str">
        <f t="shared" si="11"/>
        <v/>
      </c>
      <c r="Z805" t="str">
        <f>IF(X805="","",SUMIFS(#REF!,RM!$C$4:$C991,X805))</f>
        <v/>
      </c>
      <c r="AA805" t="str">
        <f>IF(X805="","",SUMIFS(#REF!,RM!$C$4:$C991,X805))</f>
        <v/>
      </c>
      <c r="AB805" t="str">
        <f>IF(X805="","",SUMIFS(IRegback!$Y$2:$Y1001,IRegback!$X$2:$X1001,X805))</f>
        <v/>
      </c>
      <c r="AC805" t="e">
        <f t="shared" si="12"/>
        <v>#VALUE!</v>
      </c>
      <c r="AD805" t="str">
        <f>IF(X805="","",VLOOKUP($X805,RM!$C$4:$G991,3,FALSE))</f>
        <v/>
      </c>
      <c r="AE805" t="str">
        <f>IF(X805="","",VLOOKUP($X805,RM!$C$4:$G991,4,FALSE))</f>
        <v/>
      </c>
      <c r="AF805" t="str">
        <f>IF(X805="","",VLOOKUP($X805,RM!$C$4:$G991,5,FALSE))</f>
        <v/>
      </c>
      <c r="AL805" t="e">
        <f ca="1">_xludf.IFNA(VLOOKUP(AH805,'S-FG'!$B$3:$B1001,1,FALSE),"")</f>
        <v>#NAME?</v>
      </c>
      <c r="AM805" t="str">
        <f>IF(AI805="","",SUMIFS(#REF!,RM!$C$4:$C991,AI805))</f>
        <v/>
      </c>
    </row>
    <row r="806" spans="5:39">
      <c r="E806" t="str">
        <f>IF(A806="","",SUMIFS('PR-BOM'!$D$3:$D1001,'PR-BOM'!$C$3:$C1001,A806)*C806)</f>
        <v/>
      </c>
      <c r="F806" t="e">
        <f ca="1">_xludf.IFNA(VLOOKUP(B806,'S-FG'!$B$3:$B1001,1,FALSE),"")</f>
        <v>#NAME?</v>
      </c>
      <c r="L806" t="str">
        <f t="shared" si="10"/>
        <v/>
      </c>
      <c r="Q806" t="str">
        <f>IF(N806="","",SUMIFS('PR-BOM'!$D$3:$D1001,'PR-BOM'!$C$3:$C1001,N806))</f>
        <v/>
      </c>
      <c r="Y806" t="str">
        <f t="shared" si="11"/>
        <v/>
      </c>
      <c r="Z806" t="str">
        <f>IF(X806="","",SUMIFS(#REF!,RM!$C$4:$C991,X806))</f>
        <v/>
      </c>
      <c r="AA806" t="str">
        <f>IF(X806="","",SUMIFS(#REF!,RM!$C$4:$C991,X806))</f>
        <v/>
      </c>
      <c r="AB806" t="str">
        <f>IF(X806="","",SUMIFS(IRegback!$Y$2:$Y1001,IRegback!$X$2:$X1001,X806))</f>
        <v/>
      </c>
      <c r="AC806" t="e">
        <f t="shared" si="12"/>
        <v>#VALUE!</v>
      </c>
      <c r="AD806" t="str">
        <f>IF(X806="","",VLOOKUP($X806,RM!$C$4:$G991,3,FALSE))</f>
        <v/>
      </c>
      <c r="AE806" t="str">
        <f>IF(X806="","",VLOOKUP($X806,RM!$C$4:$G991,4,FALSE))</f>
        <v/>
      </c>
      <c r="AF806" t="str">
        <f>IF(X806="","",VLOOKUP($X806,RM!$C$4:$G991,5,FALSE))</f>
        <v/>
      </c>
      <c r="AL806" t="e">
        <f ca="1">_xludf.IFNA(VLOOKUP(AH806,'S-FG'!$B$3:$B1001,1,FALSE),"")</f>
        <v>#NAME?</v>
      </c>
      <c r="AM806" t="str">
        <f>IF(AI806="","",SUMIFS(#REF!,RM!$C$4:$C991,AI806))</f>
        <v/>
      </c>
    </row>
    <row r="807" spans="5:39">
      <c r="E807" t="str">
        <f>IF(A807="","",SUMIFS('PR-BOM'!$D$3:$D1001,'PR-BOM'!$C$3:$C1001,A807)*C807)</f>
        <v/>
      </c>
      <c r="F807" t="e">
        <f ca="1">_xludf.IFNA(VLOOKUP(B807,'S-FG'!$B$3:$B1001,1,FALSE),"")</f>
        <v>#NAME?</v>
      </c>
      <c r="L807" t="str">
        <f t="shared" si="10"/>
        <v/>
      </c>
      <c r="Q807" t="str">
        <f>IF(N807="","",SUMIFS('PR-BOM'!$D$3:$D1001,'PR-BOM'!$C$3:$C1001,N807))</f>
        <v/>
      </c>
      <c r="Y807" t="str">
        <f t="shared" si="11"/>
        <v/>
      </c>
      <c r="Z807" t="str">
        <f>IF(X807="","",SUMIFS(#REF!,RM!$C$4:$C991,X807))</f>
        <v/>
      </c>
      <c r="AA807" t="str">
        <f>IF(X807="","",SUMIFS(#REF!,RM!$C$4:$C991,X807))</f>
        <v/>
      </c>
      <c r="AB807" t="str">
        <f>IF(X807="","",SUMIFS(IRegback!$Y$2:$Y1001,IRegback!$X$2:$X1001,X807))</f>
        <v/>
      </c>
      <c r="AC807" t="e">
        <f t="shared" si="12"/>
        <v>#VALUE!</v>
      </c>
      <c r="AD807" t="str">
        <f>IF(X807="","",VLOOKUP($X807,RM!$C$4:$G991,3,FALSE))</f>
        <v/>
      </c>
      <c r="AE807" t="str">
        <f>IF(X807="","",VLOOKUP($X807,RM!$C$4:$G991,4,FALSE))</f>
        <v/>
      </c>
      <c r="AF807" t="str">
        <f>IF(X807="","",VLOOKUP($X807,RM!$C$4:$G991,5,FALSE))</f>
        <v/>
      </c>
      <c r="AL807" t="e">
        <f ca="1">_xludf.IFNA(VLOOKUP(AH807,'S-FG'!$B$3:$B1001,1,FALSE),"")</f>
        <v>#NAME?</v>
      </c>
      <c r="AM807" t="str">
        <f>IF(AI807="","",SUMIFS(#REF!,RM!$C$4:$C991,AI807))</f>
        <v/>
      </c>
    </row>
    <row r="808" spans="5:39">
      <c r="E808" t="str">
        <f>IF(A808="","",SUMIFS('PR-BOM'!$D$3:$D1001,'PR-BOM'!$C$3:$C1001,A808)*C808)</f>
        <v/>
      </c>
      <c r="F808" t="e">
        <f ca="1">_xludf.IFNA(VLOOKUP(B808,'S-FG'!$B$3:$B1001,1,FALSE),"")</f>
        <v>#NAME?</v>
      </c>
      <c r="L808" t="str">
        <f t="shared" si="10"/>
        <v/>
      </c>
      <c r="Q808" t="str">
        <f>IF(N808="","",SUMIFS('PR-BOM'!$D$3:$D1001,'PR-BOM'!$C$3:$C1001,N808))</f>
        <v/>
      </c>
      <c r="Y808" t="str">
        <f t="shared" si="11"/>
        <v/>
      </c>
      <c r="Z808" t="str">
        <f>IF(X808="","",SUMIFS(#REF!,RM!$C$4:$C991,X808))</f>
        <v/>
      </c>
      <c r="AA808" t="str">
        <f>IF(X808="","",SUMIFS(#REF!,RM!$C$4:$C991,X808))</f>
        <v/>
      </c>
      <c r="AB808" t="str">
        <f>IF(X808="","",SUMIFS(IRegback!$Y$2:$Y1001,IRegback!$X$2:$X1001,X808))</f>
        <v/>
      </c>
      <c r="AC808" t="e">
        <f t="shared" si="12"/>
        <v>#VALUE!</v>
      </c>
      <c r="AD808" t="str">
        <f>IF(X808="","",VLOOKUP($X808,RM!$C$4:$G991,3,FALSE))</f>
        <v/>
      </c>
      <c r="AE808" t="str">
        <f>IF(X808="","",VLOOKUP($X808,RM!$C$4:$G991,4,FALSE))</f>
        <v/>
      </c>
      <c r="AF808" t="str">
        <f>IF(X808="","",VLOOKUP($X808,RM!$C$4:$G991,5,FALSE))</f>
        <v/>
      </c>
      <c r="AL808" t="e">
        <f ca="1">_xludf.IFNA(VLOOKUP(AH808,'S-FG'!$B$3:$B1001,1,FALSE),"")</f>
        <v>#NAME?</v>
      </c>
      <c r="AM808" t="str">
        <f>IF(AI808="","",SUMIFS(#REF!,RM!$C$4:$C991,AI808))</f>
        <v/>
      </c>
    </row>
    <row r="809" spans="5:39">
      <c r="E809" t="str">
        <f>IF(A809="","",SUMIFS('PR-BOM'!$D$3:$D1001,'PR-BOM'!$C$3:$C1001,A809)*C809)</f>
        <v/>
      </c>
      <c r="F809" t="e">
        <f ca="1">_xludf.IFNA(VLOOKUP(B809,'S-FG'!$B$3:$B1001,1,FALSE),"")</f>
        <v>#NAME?</v>
      </c>
      <c r="L809" t="str">
        <f t="shared" si="10"/>
        <v/>
      </c>
      <c r="Q809" t="str">
        <f>IF(N809="","",SUMIFS('PR-BOM'!$D$3:$D1001,'PR-BOM'!$C$3:$C1001,N809))</f>
        <v/>
      </c>
      <c r="Y809" t="str">
        <f t="shared" si="11"/>
        <v/>
      </c>
      <c r="Z809" t="str">
        <f>IF(X809="","",SUMIFS(#REF!,RM!$C$4:$C991,X809))</f>
        <v/>
      </c>
      <c r="AA809" t="str">
        <f>IF(X809="","",SUMIFS(#REF!,RM!$C$4:$C991,X809))</f>
        <v/>
      </c>
      <c r="AB809" t="str">
        <f>IF(X809="","",SUMIFS(IRegback!$Y$2:$Y1001,IRegback!$X$2:$X1001,X809))</f>
        <v/>
      </c>
      <c r="AC809" t="e">
        <f t="shared" si="12"/>
        <v>#VALUE!</v>
      </c>
      <c r="AD809" t="str">
        <f>IF(X809="","",VLOOKUP($X809,RM!$C$4:$G991,3,FALSE))</f>
        <v/>
      </c>
      <c r="AE809" t="str">
        <f>IF(X809="","",VLOOKUP($X809,RM!$C$4:$G991,4,FALSE))</f>
        <v/>
      </c>
      <c r="AF809" t="str">
        <f>IF(X809="","",VLOOKUP($X809,RM!$C$4:$G991,5,FALSE))</f>
        <v/>
      </c>
      <c r="AL809" t="e">
        <f ca="1">_xludf.IFNA(VLOOKUP(AH809,'S-FG'!$B$3:$B1001,1,FALSE),"")</f>
        <v>#NAME?</v>
      </c>
      <c r="AM809" t="str">
        <f>IF(AI809="","",SUMIFS(#REF!,RM!$C$4:$C991,AI809))</f>
        <v/>
      </c>
    </row>
    <row r="810" spans="5:39">
      <c r="E810" t="str">
        <f>IF(A810="","",SUMIFS('PR-BOM'!$D$3:$D1001,'PR-BOM'!$C$3:$C1001,A810)*C810)</f>
        <v/>
      </c>
      <c r="F810" t="e">
        <f ca="1">_xludf.IFNA(VLOOKUP(B810,'S-FG'!$B$3:$B1001,1,FALSE),"")</f>
        <v>#NAME?</v>
      </c>
      <c r="L810" t="str">
        <f t="shared" si="10"/>
        <v/>
      </c>
      <c r="Q810" t="str">
        <f>IF(N810="","",SUMIFS('PR-BOM'!$D$3:$D1001,'PR-BOM'!$C$3:$C1001,N810))</f>
        <v/>
      </c>
      <c r="Y810" t="str">
        <f t="shared" si="11"/>
        <v/>
      </c>
      <c r="Z810" t="str">
        <f>IF(X810="","",SUMIFS(#REF!,RM!$C$4:$C991,X810))</f>
        <v/>
      </c>
      <c r="AA810" t="str">
        <f>IF(X810="","",SUMIFS(#REF!,RM!$C$4:$C991,X810))</f>
        <v/>
      </c>
      <c r="AB810" t="str">
        <f>IF(X810="","",SUMIFS(IRegback!$Y$2:$Y1001,IRegback!$X$2:$X1001,X810))</f>
        <v/>
      </c>
      <c r="AC810" t="e">
        <f t="shared" si="12"/>
        <v>#VALUE!</v>
      </c>
      <c r="AD810" t="str">
        <f>IF(X810="","",VLOOKUP($X810,RM!$C$4:$G991,3,FALSE))</f>
        <v/>
      </c>
      <c r="AE810" t="str">
        <f>IF(X810="","",VLOOKUP($X810,RM!$C$4:$G991,4,FALSE))</f>
        <v/>
      </c>
      <c r="AF810" t="str">
        <f>IF(X810="","",VLOOKUP($X810,RM!$C$4:$G991,5,FALSE))</f>
        <v/>
      </c>
      <c r="AL810" t="e">
        <f ca="1">_xludf.IFNA(VLOOKUP(AH810,'S-FG'!$B$3:$B1001,1,FALSE),"")</f>
        <v>#NAME?</v>
      </c>
      <c r="AM810" t="str">
        <f>IF(AI810="","",SUMIFS(#REF!,RM!$C$4:$C991,AI810))</f>
        <v/>
      </c>
    </row>
    <row r="811" spans="5:39">
      <c r="E811" t="str">
        <f>IF(A811="","",SUMIFS('PR-BOM'!$D$3:$D1001,'PR-BOM'!$C$3:$C1001,A811)*C811)</f>
        <v/>
      </c>
      <c r="F811" t="e">
        <f ca="1">_xludf.IFNA(VLOOKUP(B811,'S-FG'!$B$3:$B1001,1,FALSE),"")</f>
        <v>#NAME?</v>
      </c>
      <c r="L811" t="str">
        <f t="shared" si="10"/>
        <v/>
      </c>
      <c r="Q811" t="str">
        <f>IF(N811="","",SUMIFS('PR-BOM'!$D$3:$D1001,'PR-BOM'!$C$3:$C1001,N811))</f>
        <v/>
      </c>
      <c r="Y811" t="str">
        <f t="shared" si="11"/>
        <v/>
      </c>
      <c r="Z811" t="str">
        <f>IF(X811="","",SUMIFS(#REF!,RM!$C$4:$C991,X811))</f>
        <v/>
      </c>
      <c r="AA811" t="str">
        <f>IF(X811="","",SUMIFS(#REF!,RM!$C$4:$C991,X811))</f>
        <v/>
      </c>
      <c r="AB811" t="str">
        <f>IF(X811="","",SUMIFS(IRegback!$Y$2:$Y1001,IRegback!$X$2:$X1001,X811))</f>
        <v/>
      </c>
      <c r="AC811" t="e">
        <f t="shared" si="12"/>
        <v>#VALUE!</v>
      </c>
      <c r="AD811" t="str">
        <f>IF(X811="","",VLOOKUP($X811,RM!$C$4:$G991,3,FALSE))</f>
        <v/>
      </c>
      <c r="AE811" t="str">
        <f>IF(X811="","",VLOOKUP($X811,RM!$C$4:$G991,4,FALSE))</f>
        <v/>
      </c>
      <c r="AF811" t="str">
        <f>IF(X811="","",VLOOKUP($X811,RM!$C$4:$G991,5,FALSE))</f>
        <v/>
      </c>
      <c r="AL811" t="e">
        <f ca="1">_xludf.IFNA(VLOOKUP(AH811,'S-FG'!$B$3:$B1001,1,FALSE),"")</f>
        <v>#NAME?</v>
      </c>
      <c r="AM811" t="str">
        <f>IF(AI811="","",SUMIFS(#REF!,RM!$C$4:$C991,AI811))</f>
        <v/>
      </c>
    </row>
    <row r="812" spans="5:39">
      <c r="E812" t="str">
        <f>IF(A812="","",SUMIFS('PR-BOM'!$D$3:$D1001,'PR-BOM'!$C$3:$C1001,A812)*C812)</f>
        <v/>
      </c>
      <c r="F812" t="e">
        <f ca="1">_xludf.IFNA(VLOOKUP(B812,'S-FG'!$B$3:$B1001,1,FALSE),"")</f>
        <v>#NAME?</v>
      </c>
      <c r="L812" t="str">
        <f t="shared" si="10"/>
        <v/>
      </c>
      <c r="Q812" t="str">
        <f>IF(N812="","",SUMIFS('PR-BOM'!$D$3:$D1001,'PR-BOM'!$C$3:$C1001,N812))</f>
        <v/>
      </c>
      <c r="Y812" t="str">
        <f t="shared" si="11"/>
        <v/>
      </c>
      <c r="Z812" t="str">
        <f>IF(X812="","",SUMIFS(#REF!,RM!$C$4:$C991,X812))</f>
        <v/>
      </c>
      <c r="AA812" t="str">
        <f>IF(X812="","",SUMIFS(#REF!,RM!$C$4:$C991,X812))</f>
        <v/>
      </c>
      <c r="AB812" t="str">
        <f>IF(X812="","",SUMIFS(IRegback!$Y$2:$Y1001,IRegback!$X$2:$X1001,X812))</f>
        <v/>
      </c>
      <c r="AC812" t="e">
        <f t="shared" si="12"/>
        <v>#VALUE!</v>
      </c>
      <c r="AD812" t="str">
        <f>IF(X812="","",VLOOKUP($X812,RM!$C$4:$G991,3,FALSE))</f>
        <v/>
      </c>
      <c r="AE812" t="str">
        <f>IF(X812="","",VLOOKUP($X812,RM!$C$4:$G991,4,FALSE))</f>
        <v/>
      </c>
      <c r="AF812" t="str">
        <f>IF(X812="","",VLOOKUP($X812,RM!$C$4:$G991,5,FALSE))</f>
        <v/>
      </c>
      <c r="AL812" t="e">
        <f ca="1">_xludf.IFNA(VLOOKUP(AH812,'S-FG'!$B$3:$B1001,1,FALSE),"")</f>
        <v>#NAME?</v>
      </c>
      <c r="AM812" t="str">
        <f>IF(AI812="","",SUMIFS(#REF!,RM!$C$4:$C991,AI812))</f>
        <v/>
      </c>
    </row>
    <row r="813" spans="5:39">
      <c r="E813" t="str">
        <f>IF(A813="","",SUMIFS('PR-BOM'!$D$3:$D1001,'PR-BOM'!$C$3:$C1001,A813)*C813)</f>
        <v/>
      </c>
      <c r="F813" t="e">
        <f ca="1">_xludf.IFNA(VLOOKUP(B813,'S-FG'!$B$3:$B1001,1,FALSE),"")</f>
        <v>#NAME?</v>
      </c>
      <c r="L813" t="str">
        <f t="shared" si="10"/>
        <v/>
      </c>
      <c r="Q813" t="str">
        <f>IF(N813="","",SUMIFS('PR-BOM'!$D$3:$D1001,'PR-BOM'!$C$3:$C1001,N813))</f>
        <v/>
      </c>
      <c r="Y813" t="str">
        <f t="shared" si="11"/>
        <v/>
      </c>
      <c r="Z813" t="str">
        <f>IF(X813="","",SUMIFS(#REF!,RM!$C$4:$C991,X813))</f>
        <v/>
      </c>
      <c r="AA813" t="str">
        <f>IF(X813="","",SUMIFS(#REF!,RM!$C$4:$C991,X813))</f>
        <v/>
      </c>
      <c r="AB813" t="str">
        <f>IF(X813="","",SUMIFS(IRegback!$Y$2:$Y1001,IRegback!$X$2:$X1001,X813))</f>
        <v/>
      </c>
      <c r="AC813" t="e">
        <f t="shared" si="12"/>
        <v>#VALUE!</v>
      </c>
      <c r="AD813" t="str">
        <f>IF(X813="","",VLOOKUP($X813,RM!$C$4:$G991,3,FALSE))</f>
        <v/>
      </c>
      <c r="AE813" t="str">
        <f>IF(X813="","",VLOOKUP($X813,RM!$C$4:$G991,4,FALSE))</f>
        <v/>
      </c>
      <c r="AF813" t="str">
        <f>IF(X813="","",VLOOKUP($X813,RM!$C$4:$G991,5,FALSE))</f>
        <v/>
      </c>
      <c r="AL813" t="e">
        <f ca="1">_xludf.IFNA(VLOOKUP(AH813,'S-FG'!$B$3:$B1001,1,FALSE),"")</f>
        <v>#NAME?</v>
      </c>
      <c r="AM813" t="str">
        <f>IF(AI813="","",SUMIFS(#REF!,RM!$C$4:$C991,AI813))</f>
        <v/>
      </c>
    </row>
    <row r="814" spans="5:39">
      <c r="E814" t="str">
        <f>IF(A814="","",SUMIFS('PR-BOM'!$D$3:$D1001,'PR-BOM'!$C$3:$C1001,A814)*C814)</f>
        <v/>
      </c>
      <c r="F814" t="e">
        <f ca="1">_xludf.IFNA(VLOOKUP(B814,'S-FG'!$B$3:$B1001,1,FALSE),"")</f>
        <v>#NAME?</v>
      </c>
      <c r="L814" t="str">
        <f t="shared" si="10"/>
        <v/>
      </c>
      <c r="Q814" t="str">
        <f>IF(N814="","",SUMIFS('PR-BOM'!$D$3:$D1001,'PR-BOM'!$C$3:$C1001,N814))</f>
        <v/>
      </c>
      <c r="Y814" t="str">
        <f t="shared" si="11"/>
        <v/>
      </c>
      <c r="Z814" t="str">
        <f>IF(X814="","",SUMIFS(#REF!,RM!$C$4:$C991,X814))</f>
        <v/>
      </c>
      <c r="AA814" t="str">
        <f>IF(X814="","",SUMIFS(#REF!,RM!$C$4:$C991,X814))</f>
        <v/>
      </c>
      <c r="AB814" t="str">
        <f>IF(X814="","",SUMIFS(IRegback!$Y$2:$Y1001,IRegback!$X$2:$X1001,X814))</f>
        <v/>
      </c>
      <c r="AC814" t="e">
        <f t="shared" si="12"/>
        <v>#VALUE!</v>
      </c>
      <c r="AD814" t="str">
        <f>IF(X814="","",VLOOKUP($X814,RM!$C$4:$G991,3,FALSE))</f>
        <v/>
      </c>
      <c r="AE814" t="str">
        <f>IF(X814="","",VLOOKUP($X814,RM!$C$4:$G991,4,FALSE))</f>
        <v/>
      </c>
      <c r="AF814" t="str">
        <f>IF(X814="","",VLOOKUP($X814,RM!$C$4:$G991,5,FALSE))</f>
        <v/>
      </c>
      <c r="AL814" t="e">
        <f ca="1">_xludf.IFNA(VLOOKUP(AH814,'S-FG'!$B$3:$B1001,1,FALSE),"")</f>
        <v>#NAME?</v>
      </c>
      <c r="AM814" t="str">
        <f>IF(AI814="","",SUMIFS(#REF!,RM!$C$4:$C991,AI814))</f>
        <v/>
      </c>
    </row>
    <row r="815" spans="5:39">
      <c r="E815" t="str">
        <f>IF(A815="","",SUMIFS('PR-BOM'!$D$3:$D1001,'PR-BOM'!$C$3:$C1001,A815)*C815)</f>
        <v/>
      </c>
      <c r="F815" t="e">
        <f ca="1">_xludf.IFNA(VLOOKUP(B815,'S-FG'!$B$3:$B1001,1,FALSE),"")</f>
        <v>#NAME?</v>
      </c>
      <c r="L815" t="str">
        <f t="shared" si="10"/>
        <v/>
      </c>
      <c r="Q815" t="str">
        <f>IF(N815="","",SUMIFS('PR-BOM'!$D$3:$D1001,'PR-BOM'!$C$3:$C1001,N815))</f>
        <v/>
      </c>
      <c r="Y815" t="str">
        <f t="shared" si="11"/>
        <v/>
      </c>
      <c r="Z815" t="str">
        <f>IF(X815="","",SUMIFS(#REF!,RM!$C$4:$C991,X815))</f>
        <v/>
      </c>
      <c r="AA815" t="str">
        <f>IF(X815="","",SUMIFS(#REF!,RM!$C$4:$C991,X815))</f>
        <v/>
      </c>
      <c r="AB815" t="str">
        <f>IF(X815="","",SUMIFS(IRegback!$Y$2:$Y1001,IRegback!$X$2:$X1001,X815))</f>
        <v/>
      </c>
      <c r="AC815" t="e">
        <f t="shared" si="12"/>
        <v>#VALUE!</v>
      </c>
      <c r="AD815" t="str">
        <f>IF(X815="","",VLOOKUP($X815,RM!$C$4:$G991,3,FALSE))</f>
        <v/>
      </c>
      <c r="AE815" t="str">
        <f>IF(X815="","",VLOOKUP($X815,RM!$C$4:$G991,4,FALSE))</f>
        <v/>
      </c>
      <c r="AF815" t="str">
        <f>IF(X815="","",VLOOKUP($X815,RM!$C$4:$G991,5,FALSE))</f>
        <v/>
      </c>
      <c r="AL815" t="e">
        <f ca="1">_xludf.IFNA(VLOOKUP(AH815,'S-FG'!$B$3:$B1001,1,FALSE),"")</f>
        <v>#NAME?</v>
      </c>
      <c r="AM815" t="str">
        <f>IF(AI815="","",SUMIFS(#REF!,RM!$C$4:$C991,AI815))</f>
        <v/>
      </c>
    </row>
    <row r="816" spans="5:39">
      <c r="E816" t="str">
        <f>IF(A816="","",SUMIFS('PR-BOM'!$D$3:$D1001,'PR-BOM'!$C$3:$C1001,A816)*C816)</f>
        <v/>
      </c>
      <c r="F816" t="e">
        <f ca="1">_xludf.IFNA(VLOOKUP(B816,'S-FG'!$B$3:$B1001,1,FALSE),"")</f>
        <v>#NAME?</v>
      </c>
      <c r="L816" t="str">
        <f t="shared" si="10"/>
        <v/>
      </c>
      <c r="Q816" t="str">
        <f>IF(N816="","",SUMIFS('PR-BOM'!$D$3:$D1001,'PR-BOM'!$C$3:$C1001,N816))</f>
        <v/>
      </c>
      <c r="Y816" t="str">
        <f t="shared" si="11"/>
        <v/>
      </c>
      <c r="Z816" t="str">
        <f>IF(X816="","",SUMIFS(#REF!,RM!$C$4:$C991,X816))</f>
        <v/>
      </c>
      <c r="AA816" t="str">
        <f>IF(X816="","",SUMIFS(#REF!,RM!$C$4:$C991,X816))</f>
        <v/>
      </c>
      <c r="AB816" t="str">
        <f>IF(X816="","",SUMIFS(IRegback!$Y$2:$Y1001,IRegback!$X$2:$X1001,X816))</f>
        <v/>
      </c>
      <c r="AC816" t="e">
        <f t="shared" si="12"/>
        <v>#VALUE!</v>
      </c>
      <c r="AD816" t="str">
        <f>IF(X816="","",VLOOKUP($X816,RM!$C$4:$G991,3,FALSE))</f>
        <v/>
      </c>
      <c r="AE816" t="str">
        <f>IF(X816="","",VLOOKUP($X816,RM!$C$4:$G991,4,FALSE))</f>
        <v/>
      </c>
      <c r="AF816" t="str">
        <f>IF(X816="","",VLOOKUP($X816,RM!$C$4:$G991,5,FALSE))</f>
        <v/>
      </c>
      <c r="AL816" t="e">
        <f ca="1">_xludf.IFNA(VLOOKUP(AH816,'S-FG'!$B$3:$B1001,1,FALSE),"")</f>
        <v>#NAME?</v>
      </c>
      <c r="AM816" t="str">
        <f>IF(AI816="","",SUMIFS(#REF!,RM!$C$4:$C991,AI816))</f>
        <v/>
      </c>
    </row>
    <row r="817" spans="5:39">
      <c r="E817" t="str">
        <f>IF(A817="","",SUMIFS('PR-BOM'!$D$3:$D1001,'PR-BOM'!$C$3:$C1001,A817)*C817)</f>
        <v/>
      </c>
      <c r="F817" t="e">
        <f ca="1">_xludf.IFNA(VLOOKUP(B817,'S-FG'!$B$3:$B1001,1,FALSE),"")</f>
        <v>#NAME?</v>
      </c>
      <c r="L817" t="str">
        <f t="shared" si="10"/>
        <v/>
      </c>
      <c r="Q817" t="str">
        <f>IF(N817="","",SUMIFS('PR-BOM'!$D$3:$D1001,'PR-BOM'!$C$3:$C1001,N817))</f>
        <v/>
      </c>
      <c r="Y817" t="str">
        <f t="shared" si="11"/>
        <v/>
      </c>
      <c r="Z817" t="str">
        <f>IF(X817="","",SUMIFS(#REF!,RM!$C$4:$C991,X817))</f>
        <v/>
      </c>
      <c r="AA817" t="str">
        <f>IF(X817="","",SUMIFS(#REF!,RM!$C$4:$C991,X817))</f>
        <v/>
      </c>
      <c r="AB817" t="str">
        <f>IF(X817="","",SUMIFS(IRegback!$Y$2:$Y1001,IRegback!$X$2:$X1001,X817))</f>
        <v/>
      </c>
      <c r="AC817" t="e">
        <f t="shared" si="12"/>
        <v>#VALUE!</v>
      </c>
      <c r="AD817" t="str">
        <f>IF(X817="","",VLOOKUP($X817,RM!$C$4:$G991,3,FALSE))</f>
        <v/>
      </c>
      <c r="AE817" t="str">
        <f>IF(X817="","",VLOOKUP($X817,RM!$C$4:$G991,4,FALSE))</f>
        <v/>
      </c>
      <c r="AF817" t="str">
        <f>IF(X817="","",VLOOKUP($X817,RM!$C$4:$G991,5,FALSE))</f>
        <v/>
      </c>
      <c r="AL817" t="e">
        <f ca="1">_xludf.IFNA(VLOOKUP(AH817,'S-FG'!$B$3:$B1001,1,FALSE),"")</f>
        <v>#NAME?</v>
      </c>
      <c r="AM817" t="str">
        <f>IF(AI817="","",SUMIFS(#REF!,RM!$C$4:$C991,AI817))</f>
        <v/>
      </c>
    </row>
    <row r="818" spans="5:39">
      <c r="E818" t="str">
        <f>IF(A818="","",SUMIFS('PR-BOM'!$D$3:$D1001,'PR-BOM'!$C$3:$C1001,A818)*C818)</f>
        <v/>
      </c>
      <c r="F818" t="e">
        <f ca="1">_xludf.IFNA(VLOOKUP(B818,'S-FG'!$B$3:$B1001,1,FALSE),"")</f>
        <v>#NAME?</v>
      </c>
      <c r="L818" t="str">
        <f t="shared" si="10"/>
        <v/>
      </c>
      <c r="Q818" t="str">
        <f>IF(N818="","",SUMIFS('PR-BOM'!$D$3:$D1001,'PR-BOM'!$C$3:$C1001,N818))</f>
        <v/>
      </c>
      <c r="Y818" t="str">
        <f t="shared" si="11"/>
        <v/>
      </c>
      <c r="Z818" t="str">
        <f>IF(X818="","",SUMIFS(#REF!,RM!$C$4:$C991,X818))</f>
        <v/>
      </c>
      <c r="AA818" t="str">
        <f>IF(X818="","",SUMIFS(#REF!,RM!$C$4:$C991,X818))</f>
        <v/>
      </c>
      <c r="AB818" t="str">
        <f>IF(X818="","",SUMIFS(IRegback!$Y$2:$Y1001,IRegback!$X$2:$X1001,X818))</f>
        <v/>
      </c>
      <c r="AC818" t="e">
        <f t="shared" si="12"/>
        <v>#VALUE!</v>
      </c>
      <c r="AD818" t="str">
        <f>IF(X818="","",VLOOKUP($X818,RM!$C$4:$G991,3,FALSE))</f>
        <v/>
      </c>
      <c r="AE818" t="str">
        <f>IF(X818="","",VLOOKUP($X818,RM!$C$4:$G991,4,FALSE))</f>
        <v/>
      </c>
      <c r="AF818" t="str">
        <f>IF(X818="","",VLOOKUP($X818,RM!$C$4:$G991,5,FALSE))</f>
        <v/>
      </c>
      <c r="AL818" t="e">
        <f ca="1">_xludf.IFNA(VLOOKUP(AH818,'S-FG'!$B$3:$B1001,1,FALSE),"")</f>
        <v>#NAME?</v>
      </c>
      <c r="AM818" t="str">
        <f>IF(AI818="","",SUMIFS(#REF!,RM!$C$4:$C991,AI818))</f>
        <v/>
      </c>
    </row>
    <row r="819" spans="5:39">
      <c r="E819" t="str">
        <f>IF(A819="","",SUMIFS('PR-BOM'!$D$3:$D1001,'PR-BOM'!$C$3:$C1001,A819)*C819)</f>
        <v/>
      </c>
      <c r="F819" t="e">
        <f ca="1">_xludf.IFNA(VLOOKUP(B819,'S-FG'!$B$3:$B1001,1,FALSE),"")</f>
        <v>#NAME?</v>
      </c>
      <c r="L819" t="str">
        <f t="shared" si="10"/>
        <v/>
      </c>
      <c r="Q819" t="str">
        <f>IF(N819="","",SUMIFS('PR-BOM'!$D$3:$D1001,'PR-BOM'!$C$3:$C1001,N819))</f>
        <v/>
      </c>
      <c r="Y819" t="str">
        <f t="shared" si="11"/>
        <v/>
      </c>
      <c r="Z819" t="str">
        <f>IF(X819="","",SUMIFS(#REF!,RM!$C$4:$C991,X819))</f>
        <v/>
      </c>
      <c r="AA819" t="str">
        <f>IF(X819="","",SUMIFS(#REF!,RM!$C$4:$C991,X819))</f>
        <v/>
      </c>
      <c r="AB819" t="str">
        <f>IF(X819="","",SUMIFS(IRegback!$Y$2:$Y1001,IRegback!$X$2:$X1001,X819))</f>
        <v/>
      </c>
      <c r="AC819" t="e">
        <f t="shared" si="12"/>
        <v>#VALUE!</v>
      </c>
      <c r="AD819" t="str">
        <f>IF(X819="","",VLOOKUP($X819,RM!$C$4:$G991,3,FALSE))</f>
        <v/>
      </c>
      <c r="AE819" t="str">
        <f>IF(X819="","",VLOOKUP($X819,RM!$C$4:$G991,4,FALSE))</f>
        <v/>
      </c>
      <c r="AF819" t="str">
        <f>IF(X819="","",VLOOKUP($X819,RM!$C$4:$G991,5,FALSE))</f>
        <v/>
      </c>
      <c r="AL819" t="e">
        <f ca="1">_xludf.IFNA(VLOOKUP(AH819,'S-FG'!$B$3:$B1001,1,FALSE),"")</f>
        <v>#NAME?</v>
      </c>
      <c r="AM819" t="str">
        <f>IF(AI819="","",SUMIFS(#REF!,RM!$C$4:$C991,AI819))</f>
        <v/>
      </c>
    </row>
    <row r="820" spans="5:39">
      <c r="E820" t="str">
        <f>IF(A820="","",SUMIFS('PR-BOM'!$D$3:$D1001,'PR-BOM'!$C$3:$C1001,A820)*C820)</f>
        <v/>
      </c>
      <c r="F820" t="e">
        <f ca="1">_xludf.IFNA(VLOOKUP(B820,'S-FG'!$B$3:$B1001,1,FALSE),"")</f>
        <v>#NAME?</v>
      </c>
      <c r="L820" t="str">
        <f t="shared" si="10"/>
        <v/>
      </c>
      <c r="Q820" t="str">
        <f>IF(N820="","",SUMIFS('PR-BOM'!$D$3:$D1001,'PR-BOM'!$C$3:$C1001,N820))</f>
        <v/>
      </c>
      <c r="Y820" t="str">
        <f t="shared" si="11"/>
        <v/>
      </c>
      <c r="Z820" t="str">
        <f>IF(X820="","",SUMIFS(#REF!,RM!$C$4:$C991,X820))</f>
        <v/>
      </c>
      <c r="AA820" t="str">
        <f>IF(X820="","",SUMIFS(#REF!,RM!$C$4:$C991,X820))</f>
        <v/>
      </c>
      <c r="AB820" t="str">
        <f>IF(X820="","",SUMIFS(IRegback!$Y$2:$Y1001,IRegback!$X$2:$X1001,X820))</f>
        <v/>
      </c>
      <c r="AC820" t="e">
        <f t="shared" si="12"/>
        <v>#VALUE!</v>
      </c>
      <c r="AD820" t="str">
        <f>IF(X820="","",VLOOKUP($X820,RM!$C$4:$G991,3,FALSE))</f>
        <v/>
      </c>
      <c r="AE820" t="str">
        <f>IF(X820="","",VLOOKUP($X820,RM!$C$4:$G991,4,FALSE))</f>
        <v/>
      </c>
      <c r="AF820" t="str">
        <f>IF(X820="","",VLOOKUP($X820,RM!$C$4:$G991,5,FALSE))</f>
        <v/>
      </c>
      <c r="AL820" t="e">
        <f ca="1">_xludf.IFNA(VLOOKUP(AH820,'S-FG'!$B$3:$B1001,1,FALSE),"")</f>
        <v>#NAME?</v>
      </c>
      <c r="AM820" t="str">
        <f>IF(AI820="","",SUMIFS(#REF!,RM!$C$4:$C991,AI820))</f>
        <v/>
      </c>
    </row>
    <row r="821" spans="5:39">
      <c r="E821" t="str">
        <f>IF(A821="","",SUMIFS('PR-BOM'!$D$3:$D1001,'PR-BOM'!$C$3:$C1001,A821)*C821)</f>
        <v/>
      </c>
      <c r="F821" t="e">
        <f ca="1">_xludf.IFNA(VLOOKUP(B821,'S-FG'!$B$3:$B1001,1,FALSE),"")</f>
        <v>#NAME?</v>
      </c>
      <c r="L821" t="str">
        <f t="shared" si="10"/>
        <v/>
      </c>
      <c r="Q821" t="str">
        <f>IF(N821="","",SUMIFS('PR-BOM'!$D$3:$D1001,'PR-BOM'!$C$3:$C1001,N821))</f>
        <v/>
      </c>
      <c r="Y821" t="str">
        <f t="shared" si="11"/>
        <v/>
      </c>
      <c r="Z821" t="str">
        <f>IF(X821="","",SUMIFS(#REF!,RM!$C$4:$C991,X821))</f>
        <v/>
      </c>
      <c r="AA821" t="str">
        <f>IF(X821="","",SUMIFS(#REF!,RM!$C$4:$C991,X821))</f>
        <v/>
      </c>
      <c r="AB821" t="str">
        <f>IF(X821="","",SUMIFS(IRegback!$Y$2:$Y1001,IRegback!$X$2:$X1001,X821))</f>
        <v/>
      </c>
      <c r="AC821" t="e">
        <f t="shared" si="12"/>
        <v>#VALUE!</v>
      </c>
      <c r="AD821" t="str">
        <f>IF(X821="","",VLOOKUP($X821,RM!$C$4:$G991,3,FALSE))</f>
        <v/>
      </c>
      <c r="AE821" t="str">
        <f>IF(X821="","",VLOOKUP($X821,RM!$C$4:$G991,4,FALSE))</f>
        <v/>
      </c>
      <c r="AF821" t="str">
        <f>IF(X821="","",VLOOKUP($X821,RM!$C$4:$G991,5,FALSE))</f>
        <v/>
      </c>
      <c r="AL821" t="e">
        <f ca="1">_xludf.IFNA(VLOOKUP(AH821,'S-FG'!$B$3:$B1001,1,FALSE),"")</f>
        <v>#NAME?</v>
      </c>
      <c r="AM821" t="str">
        <f>IF(AI821="","",SUMIFS(#REF!,RM!$C$4:$C991,AI821))</f>
        <v/>
      </c>
    </row>
    <row r="822" spans="5:39">
      <c r="E822" t="str">
        <f>IF(A822="","",SUMIFS('PR-BOM'!$D$3:$D1001,'PR-BOM'!$C$3:$C1001,A822)*C822)</f>
        <v/>
      </c>
      <c r="F822" t="e">
        <f ca="1">_xludf.IFNA(VLOOKUP(B822,'S-FG'!$B$3:$B1001,1,FALSE),"")</f>
        <v>#NAME?</v>
      </c>
      <c r="L822" t="str">
        <f t="shared" si="10"/>
        <v/>
      </c>
      <c r="Q822" t="str">
        <f>IF(N822="","",SUMIFS('PR-BOM'!$D$3:$D1001,'PR-BOM'!$C$3:$C1001,N822))</f>
        <v/>
      </c>
      <c r="Y822" t="str">
        <f t="shared" si="11"/>
        <v/>
      </c>
      <c r="Z822" t="str">
        <f>IF(X822="","",SUMIFS(#REF!,RM!$C$4:$C991,X822))</f>
        <v/>
      </c>
      <c r="AA822" t="str">
        <f>IF(X822="","",SUMIFS(#REF!,RM!$C$4:$C991,X822))</f>
        <v/>
      </c>
      <c r="AB822" t="str">
        <f>IF(X822="","",SUMIFS(IRegback!$Y$2:$Y1001,IRegback!$X$2:$X1001,X822))</f>
        <v/>
      </c>
      <c r="AC822" t="e">
        <f t="shared" si="12"/>
        <v>#VALUE!</v>
      </c>
      <c r="AD822" t="str">
        <f>IF(X822="","",VLOOKUP($X822,RM!$C$4:$G991,3,FALSE))</f>
        <v/>
      </c>
      <c r="AE822" t="str">
        <f>IF(X822="","",VLOOKUP($X822,RM!$C$4:$G991,4,FALSE))</f>
        <v/>
      </c>
      <c r="AF822" t="str">
        <f>IF(X822="","",VLOOKUP($X822,RM!$C$4:$G991,5,FALSE))</f>
        <v/>
      </c>
      <c r="AL822" t="e">
        <f ca="1">_xludf.IFNA(VLOOKUP(AH822,'S-FG'!$B$3:$B1001,1,FALSE),"")</f>
        <v>#NAME?</v>
      </c>
      <c r="AM822" t="str">
        <f>IF(AI822="","",SUMIFS(#REF!,RM!$C$4:$C991,AI822))</f>
        <v/>
      </c>
    </row>
    <row r="823" spans="5:39">
      <c r="E823" t="str">
        <f>IF(A823="","",SUMIFS('PR-BOM'!$D$3:$D1001,'PR-BOM'!$C$3:$C1001,A823)*C823)</f>
        <v/>
      </c>
      <c r="F823" t="e">
        <f ca="1">_xludf.IFNA(VLOOKUP(B823,'S-FG'!$B$3:$B1001,1,FALSE),"")</f>
        <v>#NAME?</v>
      </c>
      <c r="L823" t="str">
        <f t="shared" si="10"/>
        <v/>
      </c>
      <c r="Q823" t="str">
        <f>IF(N823="","",SUMIFS('PR-BOM'!$D$3:$D1001,'PR-BOM'!$C$3:$C1001,N823))</f>
        <v/>
      </c>
      <c r="Y823" t="str">
        <f t="shared" si="11"/>
        <v/>
      </c>
      <c r="Z823" t="str">
        <f>IF(X823="","",SUMIFS(#REF!,RM!$C$4:$C991,X823))</f>
        <v/>
      </c>
      <c r="AA823" t="str">
        <f>IF(X823="","",SUMIFS(#REF!,RM!$C$4:$C991,X823))</f>
        <v/>
      </c>
      <c r="AB823" t="str">
        <f>IF(X823="","",SUMIFS(IRegback!$Y$2:$Y1001,IRegback!$X$2:$X1001,X823))</f>
        <v/>
      </c>
      <c r="AC823" t="e">
        <f t="shared" si="12"/>
        <v>#VALUE!</v>
      </c>
      <c r="AD823" t="str">
        <f>IF(X823="","",VLOOKUP($X823,RM!$C$4:$G991,3,FALSE))</f>
        <v/>
      </c>
      <c r="AE823" t="str">
        <f>IF(X823="","",VLOOKUP($X823,RM!$C$4:$G991,4,FALSE))</f>
        <v/>
      </c>
      <c r="AF823" t="str">
        <f>IF(X823="","",VLOOKUP($X823,RM!$C$4:$G991,5,FALSE))</f>
        <v/>
      </c>
      <c r="AL823" t="e">
        <f ca="1">_xludf.IFNA(VLOOKUP(AH823,'S-FG'!$B$3:$B1001,1,FALSE),"")</f>
        <v>#NAME?</v>
      </c>
      <c r="AM823" t="str">
        <f>IF(AI823="","",SUMIFS(#REF!,RM!$C$4:$C991,AI823))</f>
        <v/>
      </c>
    </row>
    <row r="824" spans="5:39">
      <c r="E824" t="str">
        <f>IF(A824="","",SUMIFS('PR-BOM'!$D$3:$D1001,'PR-BOM'!$C$3:$C1001,A824)*C824)</f>
        <v/>
      </c>
      <c r="F824" t="e">
        <f ca="1">_xludf.IFNA(VLOOKUP(B824,'S-FG'!$B$3:$B1001,1,FALSE),"")</f>
        <v>#NAME?</v>
      </c>
      <c r="L824" t="str">
        <f t="shared" si="10"/>
        <v/>
      </c>
      <c r="Q824" t="str">
        <f>IF(N824="","",SUMIFS('PR-BOM'!$D$3:$D1001,'PR-BOM'!$C$3:$C1001,N824))</f>
        <v/>
      </c>
      <c r="Y824" t="str">
        <f t="shared" si="11"/>
        <v/>
      </c>
      <c r="Z824" t="str">
        <f>IF(X824="","",SUMIFS(#REF!,RM!$C$4:$C991,X824))</f>
        <v/>
      </c>
      <c r="AA824" t="str">
        <f>IF(X824="","",SUMIFS(#REF!,RM!$C$4:$C991,X824))</f>
        <v/>
      </c>
      <c r="AB824" t="str">
        <f>IF(X824="","",SUMIFS(IRegback!$Y$2:$Y1001,IRegback!$X$2:$X1001,X824))</f>
        <v/>
      </c>
      <c r="AC824" t="e">
        <f t="shared" si="12"/>
        <v>#VALUE!</v>
      </c>
      <c r="AD824" t="str">
        <f>IF(X824="","",VLOOKUP($X824,RM!$C$4:$G991,3,FALSE))</f>
        <v/>
      </c>
      <c r="AE824" t="str">
        <f>IF(X824="","",VLOOKUP($X824,RM!$C$4:$G991,4,FALSE))</f>
        <v/>
      </c>
      <c r="AF824" t="str">
        <f>IF(X824="","",VLOOKUP($X824,RM!$C$4:$G991,5,FALSE))</f>
        <v/>
      </c>
      <c r="AL824" t="e">
        <f ca="1">_xludf.IFNA(VLOOKUP(AH824,'S-FG'!$B$3:$B1001,1,FALSE),"")</f>
        <v>#NAME?</v>
      </c>
      <c r="AM824" t="str">
        <f>IF(AI824="","",SUMIFS(#REF!,RM!$C$4:$C991,AI824))</f>
        <v/>
      </c>
    </row>
    <row r="825" spans="5:39">
      <c r="E825" t="str">
        <f>IF(A825="","",SUMIFS('PR-BOM'!$D$3:$D1001,'PR-BOM'!$C$3:$C1001,A825)*C825)</f>
        <v/>
      </c>
      <c r="F825" t="e">
        <f ca="1">_xludf.IFNA(VLOOKUP(B825,'S-FG'!$B$3:$B1001,1,FALSE),"")</f>
        <v>#NAME?</v>
      </c>
      <c r="L825" t="str">
        <f t="shared" si="10"/>
        <v/>
      </c>
      <c r="Q825" t="str">
        <f>IF(N825="","",SUMIFS('PR-BOM'!$D$3:$D1001,'PR-BOM'!$C$3:$C1001,N825))</f>
        <v/>
      </c>
      <c r="Y825" t="str">
        <f t="shared" si="11"/>
        <v/>
      </c>
      <c r="Z825" t="str">
        <f>IF(X825="","",SUMIFS(#REF!,RM!$C$4:$C991,X825))</f>
        <v/>
      </c>
      <c r="AA825" t="str">
        <f>IF(X825="","",SUMIFS(#REF!,RM!$C$4:$C991,X825))</f>
        <v/>
      </c>
      <c r="AB825" t="str">
        <f>IF(X825="","",SUMIFS(IRegback!$Y$2:$Y1001,IRegback!$X$2:$X1001,X825))</f>
        <v/>
      </c>
      <c r="AC825" t="e">
        <f t="shared" si="12"/>
        <v>#VALUE!</v>
      </c>
      <c r="AD825" t="str">
        <f>IF(X825="","",VLOOKUP($X825,RM!$C$4:$G991,3,FALSE))</f>
        <v/>
      </c>
      <c r="AE825" t="str">
        <f>IF(X825="","",VLOOKUP($X825,RM!$C$4:$G991,4,FALSE))</f>
        <v/>
      </c>
      <c r="AF825" t="str">
        <f>IF(X825="","",VLOOKUP($X825,RM!$C$4:$G991,5,FALSE))</f>
        <v/>
      </c>
      <c r="AL825" t="e">
        <f ca="1">_xludf.IFNA(VLOOKUP(AH825,'S-FG'!$B$3:$B1001,1,FALSE),"")</f>
        <v>#NAME?</v>
      </c>
      <c r="AM825" t="str">
        <f>IF(AI825="","",SUMIFS(#REF!,RM!$C$4:$C991,AI825))</f>
        <v/>
      </c>
    </row>
    <row r="826" spans="5:39">
      <c r="E826" t="str">
        <f>IF(A826="","",SUMIFS('PR-BOM'!$D$3:$D1001,'PR-BOM'!$C$3:$C1001,A826)*C826)</f>
        <v/>
      </c>
      <c r="F826" t="e">
        <f ca="1">_xludf.IFNA(VLOOKUP(B826,'S-FG'!$B$3:$B1001,1,FALSE),"")</f>
        <v>#NAME?</v>
      </c>
      <c r="L826" t="str">
        <f t="shared" si="10"/>
        <v/>
      </c>
      <c r="Q826" t="str">
        <f>IF(N826="","",SUMIFS('PR-BOM'!$D$3:$D1001,'PR-BOM'!$C$3:$C1001,N826))</f>
        <v/>
      </c>
      <c r="Y826" t="str">
        <f t="shared" si="11"/>
        <v/>
      </c>
      <c r="Z826" t="str">
        <f>IF(X826="","",SUMIFS(#REF!,RM!$C$4:$C991,X826))</f>
        <v/>
      </c>
      <c r="AA826" t="str">
        <f>IF(X826="","",SUMIFS(#REF!,RM!$C$4:$C991,X826))</f>
        <v/>
      </c>
      <c r="AB826" t="str">
        <f>IF(X826="","",SUMIFS(IRegback!$Y$2:$Y1001,IRegback!$X$2:$X1001,X826))</f>
        <v/>
      </c>
      <c r="AC826" t="e">
        <f t="shared" si="12"/>
        <v>#VALUE!</v>
      </c>
      <c r="AD826" t="str">
        <f>IF(X826="","",VLOOKUP($X826,RM!$C$4:$G991,3,FALSE))</f>
        <v/>
      </c>
      <c r="AE826" t="str">
        <f>IF(X826="","",VLOOKUP($X826,RM!$C$4:$G991,4,FALSE))</f>
        <v/>
      </c>
      <c r="AF826" t="str">
        <f>IF(X826="","",VLOOKUP($X826,RM!$C$4:$G991,5,FALSE))</f>
        <v/>
      </c>
      <c r="AL826" t="e">
        <f ca="1">_xludf.IFNA(VLOOKUP(AH826,'S-FG'!$B$3:$B1001,1,FALSE),"")</f>
        <v>#NAME?</v>
      </c>
      <c r="AM826" t="str">
        <f>IF(AI826="","",SUMIFS(#REF!,RM!$C$4:$C991,AI826))</f>
        <v/>
      </c>
    </row>
    <row r="827" spans="5:39">
      <c r="E827" t="str">
        <f>IF(A827="","",SUMIFS('PR-BOM'!$D$3:$D1001,'PR-BOM'!$C$3:$C1001,A827)*C827)</f>
        <v/>
      </c>
      <c r="F827" t="e">
        <f ca="1">_xludf.IFNA(VLOOKUP(B827,'S-FG'!$B$3:$B1001,1,FALSE),"")</f>
        <v>#NAME?</v>
      </c>
      <c r="L827" t="str">
        <f t="shared" si="10"/>
        <v/>
      </c>
      <c r="Q827" t="str">
        <f>IF(N827="","",SUMIFS('PR-BOM'!$D$3:$D1001,'PR-BOM'!$C$3:$C1001,N827))</f>
        <v/>
      </c>
      <c r="Y827" t="str">
        <f t="shared" si="11"/>
        <v/>
      </c>
      <c r="Z827" t="str">
        <f>IF(X827="","",SUMIFS(#REF!,RM!$C$4:$C991,X827))</f>
        <v/>
      </c>
      <c r="AA827" t="str">
        <f>IF(X827="","",SUMIFS(#REF!,RM!$C$4:$C991,X827))</f>
        <v/>
      </c>
      <c r="AB827" t="str">
        <f>IF(X827="","",SUMIFS(IRegback!$Y$2:$Y1001,IRegback!$X$2:$X1001,X827))</f>
        <v/>
      </c>
      <c r="AC827" t="e">
        <f t="shared" si="12"/>
        <v>#VALUE!</v>
      </c>
      <c r="AD827" t="str">
        <f>IF(X827="","",VLOOKUP($X827,RM!$C$4:$G991,3,FALSE))</f>
        <v/>
      </c>
      <c r="AE827" t="str">
        <f>IF(X827="","",VLOOKUP($X827,RM!$C$4:$G991,4,FALSE))</f>
        <v/>
      </c>
      <c r="AF827" t="str">
        <f>IF(X827="","",VLOOKUP($X827,RM!$C$4:$G991,5,FALSE))</f>
        <v/>
      </c>
      <c r="AL827" t="e">
        <f ca="1">_xludf.IFNA(VLOOKUP(AH827,'S-FG'!$B$3:$B1001,1,FALSE),"")</f>
        <v>#NAME?</v>
      </c>
      <c r="AM827" t="str">
        <f>IF(AI827="","",SUMIFS(#REF!,RM!$C$4:$C991,AI827))</f>
        <v/>
      </c>
    </row>
    <row r="828" spans="5:39">
      <c r="E828" t="str">
        <f>IF(A828="","",SUMIFS('PR-BOM'!$D$3:$D1001,'PR-BOM'!$C$3:$C1001,A828)*C828)</f>
        <v/>
      </c>
      <c r="F828" t="e">
        <f ca="1">_xludf.IFNA(VLOOKUP(B828,'S-FG'!$B$3:$B1001,1,FALSE),"")</f>
        <v>#NAME?</v>
      </c>
      <c r="L828" t="str">
        <f t="shared" si="10"/>
        <v/>
      </c>
      <c r="Q828" t="str">
        <f>IF(N828="","",SUMIFS('PR-BOM'!$D$3:$D1001,'PR-BOM'!$C$3:$C1001,N828))</f>
        <v/>
      </c>
      <c r="Y828" t="str">
        <f t="shared" si="11"/>
        <v/>
      </c>
      <c r="Z828" t="str">
        <f>IF(X828="","",SUMIFS(#REF!,RM!$C$4:$C991,X828))</f>
        <v/>
      </c>
      <c r="AA828" t="str">
        <f>IF(X828="","",SUMIFS(#REF!,RM!$C$4:$C991,X828))</f>
        <v/>
      </c>
      <c r="AB828" t="str">
        <f>IF(X828="","",SUMIFS(IRegback!$Y$2:$Y1001,IRegback!$X$2:$X1001,X828))</f>
        <v/>
      </c>
      <c r="AC828" t="e">
        <f t="shared" si="12"/>
        <v>#VALUE!</v>
      </c>
      <c r="AD828" t="str">
        <f>IF(X828="","",VLOOKUP($X828,RM!$C$4:$G991,3,FALSE))</f>
        <v/>
      </c>
      <c r="AE828" t="str">
        <f>IF(X828="","",VLOOKUP($X828,RM!$C$4:$G991,4,FALSE))</f>
        <v/>
      </c>
      <c r="AF828" t="str">
        <f>IF(X828="","",VLOOKUP($X828,RM!$C$4:$G991,5,FALSE))</f>
        <v/>
      </c>
      <c r="AL828" t="e">
        <f ca="1">_xludf.IFNA(VLOOKUP(AH828,'S-FG'!$B$3:$B1001,1,FALSE),"")</f>
        <v>#NAME?</v>
      </c>
      <c r="AM828" t="str">
        <f>IF(AI828="","",SUMIFS(#REF!,RM!$C$4:$C991,AI828))</f>
        <v/>
      </c>
    </row>
    <row r="829" spans="5:39">
      <c r="E829" t="str">
        <f>IF(A829="","",SUMIFS('PR-BOM'!$D$3:$D1001,'PR-BOM'!$C$3:$C1001,A829)*C829)</f>
        <v/>
      </c>
      <c r="F829" t="e">
        <f ca="1">_xludf.IFNA(VLOOKUP(B829,'S-FG'!$B$3:$B1001,1,FALSE),"")</f>
        <v>#NAME?</v>
      </c>
      <c r="L829" t="str">
        <f t="shared" si="10"/>
        <v/>
      </c>
      <c r="Q829" t="str">
        <f>IF(N829="","",SUMIFS('PR-BOM'!$D$3:$D1001,'PR-BOM'!$C$3:$C1001,N829))</f>
        <v/>
      </c>
      <c r="Y829" t="str">
        <f t="shared" si="11"/>
        <v/>
      </c>
      <c r="Z829" t="str">
        <f>IF(X829="","",SUMIFS(#REF!,RM!$C$4:$C991,X829))</f>
        <v/>
      </c>
      <c r="AA829" t="str">
        <f>IF(X829="","",SUMIFS(#REF!,RM!$C$4:$C991,X829))</f>
        <v/>
      </c>
      <c r="AB829" t="str">
        <f>IF(X829="","",SUMIFS(IRegback!$Y$2:$Y1001,IRegback!$X$2:$X1001,X829))</f>
        <v/>
      </c>
      <c r="AC829" t="e">
        <f t="shared" si="12"/>
        <v>#VALUE!</v>
      </c>
      <c r="AD829" t="str">
        <f>IF(X829="","",VLOOKUP($X829,RM!$C$4:$G991,3,FALSE))</f>
        <v/>
      </c>
      <c r="AE829" t="str">
        <f>IF(X829="","",VLOOKUP($X829,RM!$C$4:$G991,4,FALSE))</f>
        <v/>
      </c>
      <c r="AF829" t="str">
        <f>IF(X829="","",VLOOKUP($X829,RM!$C$4:$G991,5,FALSE))</f>
        <v/>
      </c>
      <c r="AL829" t="e">
        <f ca="1">_xludf.IFNA(VLOOKUP(AH829,'S-FG'!$B$3:$B1001,1,FALSE),"")</f>
        <v>#NAME?</v>
      </c>
      <c r="AM829" t="str">
        <f>IF(AI829="","",SUMIFS(#REF!,RM!$C$4:$C991,AI829))</f>
        <v/>
      </c>
    </row>
    <row r="830" spans="5:39">
      <c r="E830" t="str">
        <f>IF(A830="","",SUMIFS('PR-BOM'!$D$3:$D1001,'PR-BOM'!$C$3:$C1001,A830)*C830)</f>
        <v/>
      </c>
      <c r="F830" t="e">
        <f ca="1">_xludf.IFNA(VLOOKUP(B830,'S-FG'!$B$3:$B1001,1,FALSE),"")</f>
        <v>#NAME?</v>
      </c>
      <c r="L830" t="str">
        <f t="shared" si="10"/>
        <v/>
      </c>
      <c r="Q830" t="str">
        <f>IF(N830="","",SUMIFS('PR-BOM'!$D$3:$D1001,'PR-BOM'!$C$3:$C1001,N830))</f>
        <v/>
      </c>
      <c r="Y830" t="str">
        <f t="shared" si="11"/>
        <v/>
      </c>
      <c r="Z830" t="str">
        <f>IF(X830="","",SUMIFS(#REF!,RM!$C$4:$C991,X830))</f>
        <v/>
      </c>
      <c r="AA830" t="str">
        <f>IF(X830="","",SUMIFS(#REF!,RM!$C$4:$C991,X830))</f>
        <v/>
      </c>
      <c r="AB830" t="str">
        <f>IF(X830="","",SUMIFS(IRegback!$Y$2:$Y1001,IRegback!$X$2:$X1001,X830))</f>
        <v/>
      </c>
      <c r="AC830" t="e">
        <f t="shared" si="12"/>
        <v>#VALUE!</v>
      </c>
      <c r="AD830" t="str">
        <f>IF(X830="","",VLOOKUP($X830,RM!$C$4:$G991,3,FALSE))</f>
        <v/>
      </c>
      <c r="AE830" t="str">
        <f>IF(X830="","",VLOOKUP($X830,RM!$C$4:$G991,4,FALSE))</f>
        <v/>
      </c>
      <c r="AF830" t="str">
        <f>IF(X830="","",VLOOKUP($X830,RM!$C$4:$G991,5,FALSE))</f>
        <v/>
      </c>
      <c r="AL830" t="e">
        <f ca="1">_xludf.IFNA(VLOOKUP(AH830,'S-FG'!$B$3:$B1001,1,FALSE),"")</f>
        <v>#NAME?</v>
      </c>
      <c r="AM830" t="str">
        <f>IF(AI830="","",SUMIFS(#REF!,RM!$C$4:$C991,AI830))</f>
        <v/>
      </c>
    </row>
    <row r="831" spans="5:39">
      <c r="E831" t="str">
        <f>IF(A831="","",SUMIFS('PR-BOM'!$D$3:$D1001,'PR-BOM'!$C$3:$C1001,A831)*C831)</f>
        <v/>
      </c>
      <c r="F831" t="e">
        <f ca="1">_xludf.IFNA(VLOOKUP(B831,'S-FG'!$B$3:$B1001,1,FALSE),"")</f>
        <v>#NAME?</v>
      </c>
      <c r="L831" t="str">
        <f t="shared" si="10"/>
        <v/>
      </c>
      <c r="Q831" t="str">
        <f>IF(N831="","",SUMIFS('PR-BOM'!$D$3:$D1001,'PR-BOM'!$C$3:$C1001,N831))</f>
        <v/>
      </c>
      <c r="Y831" t="str">
        <f t="shared" si="11"/>
        <v/>
      </c>
      <c r="Z831" t="str">
        <f>IF(X831="","",SUMIFS(#REF!,RM!$C$4:$C991,X831))</f>
        <v/>
      </c>
      <c r="AA831" t="str">
        <f>IF(X831="","",SUMIFS(#REF!,RM!$C$4:$C991,X831))</f>
        <v/>
      </c>
      <c r="AB831" t="str">
        <f>IF(X831="","",SUMIFS(IRegback!$Y$2:$Y1001,IRegback!$X$2:$X1001,X831))</f>
        <v/>
      </c>
      <c r="AC831" t="e">
        <f t="shared" si="12"/>
        <v>#VALUE!</v>
      </c>
      <c r="AD831" t="str">
        <f>IF(X831="","",VLOOKUP($X831,RM!$C$4:$G991,3,FALSE))</f>
        <v/>
      </c>
      <c r="AE831" t="str">
        <f>IF(X831="","",VLOOKUP($X831,RM!$C$4:$G991,4,FALSE))</f>
        <v/>
      </c>
      <c r="AF831" t="str">
        <f>IF(X831="","",VLOOKUP($X831,RM!$C$4:$G991,5,FALSE))</f>
        <v/>
      </c>
      <c r="AL831" t="e">
        <f ca="1">_xludf.IFNA(VLOOKUP(AH831,'S-FG'!$B$3:$B1001,1,FALSE),"")</f>
        <v>#NAME?</v>
      </c>
      <c r="AM831" t="str">
        <f>IF(AI831="","",SUMIFS(#REF!,RM!$C$4:$C991,AI831))</f>
        <v/>
      </c>
    </row>
    <row r="832" spans="5:39">
      <c r="E832" t="str">
        <f>IF(A832="","",SUMIFS('PR-BOM'!$D$3:$D1001,'PR-BOM'!$C$3:$C1001,A832)*C832)</f>
        <v/>
      </c>
      <c r="F832" t="e">
        <f ca="1">_xludf.IFNA(VLOOKUP(B832,'S-FG'!$B$3:$B1001,1,FALSE),"")</f>
        <v>#NAME?</v>
      </c>
      <c r="L832" t="str">
        <f t="shared" si="10"/>
        <v/>
      </c>
      <c r="Q832" t="str">
        <f>IF(N832="","",SUMIFS('PR-BOM'!$D$3:$D1001,'PR-BOM'!$C$3:$C1001,N832))</f>
        <v/>
      </c>
      <c r="Y832" t="str">
        <f t="shared" si="11"/>
        <v/>
      </c>
      <c r="Z832" t="str">
        <f>IF(X832="","",SUMIFS(#REF!,RM!$C$4:$C991,X832))</f>
        <v/>
      </c>
      <c r="AA832" t="str">
        <f>IF(X832="","",SUMIFS(#REF!,RM!$C$4:$C991,X832))</f>
        <v/>
      </c>
      <c r="AB832" t="str">
        <f>IF(X832="","",SUMIFS(IRegback!$Y$2:$Y1001,IRegback!$X$2:$X1001,X832))</f>
        <v/>
      </c>
      <c r="AC832" t="e">
        <f t="shared" si="12"/>
        <v>#VALUE!</v>
      </c>
      <c r="AD832" t="str">
        <f>IF(X832="","",VLOOKUP($X832,RM!$C$4:$G991,3,FALSE))</f>
        <v/>
      </c>
      <c r="AE832" t="str">
        <f>IF(X832="","",VLOOKUP($X832,RM!$C$4:$G991,4,FALSE))</f>
        <v/>
      </c>
      <c r="AF832" t="str">
        <f>IF(X832="","",VLOOKUP($X832,RM!$C$4:$G991,5,FALSE))</f>
        <v/>
      </c>
      <c r="AL832" t="e">
        <f ca="1">_xludf.IFNA(VLOOKUP(AH832,'S-FG'!$B$3:$B1001,1,FALSE),"")</f>
        <v>#NAME?</v>
      </c>
      <c r="AM832" t="str">
        <f>IF(AI832="","",SUMIFS(#REF!,RM!$C$4:$C991,AI832))</f>
        <v/>
      </c>
    </row>
    <row r="833" spans="5:39">
      <c r="E833" t="str">
        <f>IF(A833="","",SUMIFS('PR-BOM'!$D$3:$D1001,'PR-BOM'!$C$3:$C1001,A833)*C833)</f>
        <v/>
      </c>
      <c r="F833" t="e">
        <f ca="1">_xludf.IFNA(VLOOKUP(B833,'S-FG'!$B$3:$B1001,1,FALSE),"")</f>
        <v>#NAME?</v>
      </c>
      <c r="L833" t="str">
        <f t="shared" si="10"/>
        <v/>
      </c>
      <c r="Q833" t="str">
        <f>IF(N833="","",SUMIFS('PR-BOM'!$D$3:$D1001,'PR-BOM'!$C$3:$C1001,N833))</f>
        <v/>
      </c>
      <c r="Y833" t="str">
        <f t="shared" si="11"/>
        <v/>
      </c>
      <c r="Z833" t="str">
        <f>IF(X833="","",SUMIFS(#REF!,RM!$C$4:$C991,X833))</f>
        <v/>
      </c>
      <c r="AA833" t="str">
        <f>IF(X833="","",SUMIFS(#REF!,RM!$C$4:$C991,X833))</f>
        <v/>
      </c>
      <c r="AB833" t="str">
        <f>IF(X833="","",SUMIFS(IRegback!$Y$2:$Y1001,IRegback!$X$2:$X1001,X833))</f>
        <v/>
      </c>
      <c r="AC833" t="e">
        <f t="shared" si="12"/>
        <v>#VALUE!</v>
      </c>
      <c r="AD833" t="str">
        <f>IF(X833="","",VLOOKUP($X833,RM!$C$4:$G991,3,FALSE))</f>
        <v/>
      </c>
      <c r="AE833" t="str">
        <f>IF(X833="","",VLOOKUP($X833,RM!$C$4:$G991,4,FALSE))</f>
        <v/>
      </c>
      <c r="AF833" t="str">
        <f>IF(X833="","",VLOOKUP($X833,RM!$C$4:$G991,5,FALSE))</f>
        <v/>
      </c>
      <c r="AL833" t="e">
        <f ca="1">_xludf.IFNA(VLOOKUP(AH833,'S-FG'!$B$3:$B1001,1,FALSE),"")</f>
        <v>#NAME?</v>
      </c>
      <c r="AM833" t="str">
        <f>IF(AI833="","",SUMIFS(#REF!,RM!$C$4:$C991,AI833))</f>
        <v/>
      </c>
    </row>
    <row r="834" spans="5:39">
      <c r="E834" t="str">
        <f>IF(A834="","",SUMIFS('PR-BOM'!$D$3:$D1001,'PR-BOM'!$C$3:$C1001,A834)*C834)</f>
        <v/>
      </c>
      <c r="F834" t="e">
        <f ca="1">_xludf.IFNA(VLOOKUP(B834,'S-FG'!$B$3:$B1001,1,FALSE),"")</f>
        <v>#NAME?</v>
      </c>
      <c r="L834" t="str">
        <f t="shared" si="10"/>
        <v/>
      </c>
      <c r="Q834" t="str">
        <f>IF(N834="","",SUMIFS('PR-BOM'!$D$3:$D1001,'PR-BOM'!$C$3:$C1001,N834))</f>
        <v/>
      </c>
      <c r="Y834" t="str">
        <f t="shared" si="11"/>
        <v/>
      </c>
      <c r="Z834" t="str">
        <f>IF(X834="","",SUMIFS(#REF!,RM!$C$4:$C991,X834))</f>
        <v/>
      </c>
      <c r="AA834" t="str">
        <f>IF(X834="","",SUMIFS(#REF!,RM!$C$4:$C991,X834))</f>
        <v/>
      </c>
      <c r="AB834" t="str">
        <f>IF(X834="","",SUMIFS(IRegback!$Y$2:$Y1001,IRegback!$X$2:$X1001,X834))</f>
        <v/>
      </c>
      <c r="AC834" t="e">
        <f t="shared" si="12"/>
        <v>#VALUE!</v>
      </c>
      <c r="AD834" t="str">
        <f>IF(X834="","",VLOOKUP($X834,RM!$C$4:$G991,3,FALSE))</f>
        <v/>
      </c>
      <c r="AE834" t="str">
        <f>IF(X834="","",VLOOKUP($X834,RM!$C$4:$G991,4,FALSE))</f>
        <v/>
      </c>
      <c r="AF834" t="str">
        <f>IF(X834="","",VLOOKUP($X834,RM!$C$4:$G991,5,FALSE))</f>
        <v/>
      </c>
      <c r="AL834" t="e">
        <f ca="1">_xludf.IFNA(VLOOKUP(AH834,'S-FG'!$B$3:$B1001,1,FALSE),"")</f>
        <v>#NAME?</v>
      </c>
      <c r="AM834" t="str">
        <f>IF(AI834="","",SUMIFS(#REF!,RM!$C$4:$C991,AI834))</f>
        <v/>
      </c>
    </row>
    <row r="835" spans="5:39">
      <c r="E835" t="str">
        <f>IF(A835="","",SUMIFS('PR-BOM'!$D$3:$D1001,'PR-BOM'!$C$3:$C1001,A835)*C835)</f>
        <v/>
      </c>
      <c r="F835" t="e">
        <f ca="1">_xludf.IFNA(VLOOKUP(B835,'S-FG'!$B$3:$B1001,1,FALSE),"")</f>
        <v>#NAME?</v>
      </c>
      <c r="L835" t="str">
        <f t="shared" si="10"/>
        <v/>
      </c>
      <c r="Q835" t="str">
        <f>IF(N835="","",SUMIFS('PR-BOM'!$D$3:$D1001,'PR-BOM'!$C$3:$C1001,N835))</f>
        <v/>
      </c>
      <c r="Y835" t="str">
        <f t="shared" si="11"/>
        <v/>
      </c>
      <c r="Z835" t="str">
        <f>IF(X835="","",SUMIFS(#REF!,RM!$C$4:$C991,X835))</f>
        <v/>
      </c>
      <c r="AA835" t="str">
        <f>IF(X835="","",SUMIFS(#REF!,RM!$C$4:$C991,X835))</f>
        <v/>
      </c>
      <c r="AB835" t="str">
        <f>IF(X835="","",SUMIFS(IRegback!$Y$2:$Y1001,IRegback!$X$2:$X1001,X835))</f>
        <v/>
      </c>
      <c r="AC835" t="e">
        <f t="shared" si="12"/>
        <v>#VALUE!</v>
      </c>
      <c r="AD835" t="str">
        <f>IF(X835="","",VLOOKUP($X835,RM!$C$4:$G991,3,FALSE))</f>
        <v/>
      </c>
      <c r="AE835" t="str">
        <f>IF(X835="","",VLOOKUP($X835,RM!$C$4:$G991,4,FALSE))</f>
        <v/>
      </c>
      <c r="AF835" t="str">
        <f>IF(X835="","",VLOOKUP($X835,RM!$C$4:$G991,5,FALSE))</f>
        <v/>
      </c>
      <c r="AL835" t="e">
        <f ca="1">_xludf.IFNA(VLOOKUP(AH835,'S-FG'!$B$3:$B1001,1,FALSE),"")</f>
        <v>#NAME?</v>
      </c>
      <c r="AM835" t="str">
        <f>IF(AI835="","",SUMIFS(#REF!,RM!$C$4:$C991,AI835))</f>
        <v/>
      </c>
    </row>
    <row r="836" spans="5:39">
      <c r="E836" t="str">
        <f>IF(A836="","",SUMIFS('PR-BOM'!$D$3:$D1001,'PR-BOM'!$C$3:$C1001,A836)*C836)</f>
        <v/>
      </c>
      <c r="F836" t="e">
        <f ca="1">_xludf.IFNA(VLOOKUP(B836,'S-FG'!$B$3:$B1001,1,FALSE),"")</f>
        <v>#NAME?</v>
      </c>
      <c r="L836" t="str">
        <f t="shared" si="10"/>
        <v/>
      </c>
      <c r="Q836" t="str">
        <f>IF(N836="","",SUMIFS('PR-BOM'!$D$3:$D1001,'PR-BOM'!$C$3:$C1001,N836))</f>
        <v/>
      </c>
      <c r="Y836" t="str">
        <f t="shared" si="11"/>
        <v/>
      </c>
      <c r="Z836" t="str">
        <f>IF(X836="","",SUMIFS(#REF!,RM!$C$4:$C991,X836))</f>
        <v/>
      </c>
      <c r="AA836" t="str">
        <f>IF(X836="","",SUMIFS(#REF!,RM!$C$4:$C991,X836))</f>
        <v/>
      </c>
      <c r="AB836" t="str">
        <f>IF(X836="","",SUMIFS(IRegback!$Y$2:$Y1001,IRegback!$X$2:$X1001,X836))</f>
        <v/>
      </c>
      <c r="AC836" t="e">
        <f t="shared" si="12"/>
        <v>#VALUE!</v>
      </c>
      <c r="AD836" t="str">
        <f>IF(X836="","",VLOOKUP($X836,RM!$C$4:$G991,3,FALSE))</f>
        <v/>
      </c>
      <c r="AE836" t="str">
        <f>IF(X836="","",VLOOKUP($X836,RM!$C$4:$G991,4,FALSE))</f>
        <v/>
      </c>
      <c r="AF836" t="str">
        <f>IF(X836="","",VLOOKUP($X836,RM!$C$4:$G991,5,FALSE))</f>
        <v/>
      </c>
      <c r="AL836" t="e">
        <f ca="1">_xludf.IFNA(VLOOKUP(AH836,'S-FG'!$B$3:$B1001,1,FALSE),"")</f>
        <v>#NAME?</v>
      </c>
      <c r="AM836" t="str">
        <f>IF(AI836="","",SUMIFS(#REF!,RM!$C$4:$C991,AI836))</f>
        <v/>
      </c>
    </row>
    <row r="837" spans="5:39">
      <c r="E837" t="str">
        <f>IF(A837="","",SUMIFS('PR-BOM'!$D$3:$D1001,'PR-BOM'!$C$3:$C1001,A837)*C837)</f>
        <v/>
      </c>
      <c r="F837" t="e">
        <f ca="1">_xludf.IFNA(VLOOKUP(B837,'S-FG'!$B$3:$B1001,1,FALSE),"")</f>
        <v>#NAME?</v>
      </c>
      <c r="L837" t="str">
        <f t="shared" si="10"/>
        <v/>
      </c>
      <c r="Q837" t="str">
        <f>IF(N837="","",SUMIFS('PR-BOM'!$D$3:$D1001,'PR-BOM'!$C$3:$C1001,N837))</f>
        <v/>
      </c>
      <c r="Y837" t="str">
        <f t="shared" si="11"/>
        <v/>
      </c>
      <c r="Z837" t="str">
        <f>IF(X837="","",SUMIFS(#REF!,RM!$C$4:$C991,X837))</f>
        <v/>
      </c>
      <c r="AA837" t="str">
        <f>IF(X837="","",SUMIFS(#REF!,RM!$C$4:$C991,X837))</f>
        <v/>
      </c>
      <c r="AB837" t="str">
        <f>IF(X837="","",SUMIFS(IRegback!$Y$2:$Y1001,IRegback!$X$2:$X1001,X837))</f>
        <v/>
      </c>
      <c r="AC837" t="e">
        <f t="shared" si="12"/>
        <v>#VALUE!</v>
      </c>
      <c r="AD837" t="str">
        <f>IF(X837="","",VLOOKUP($X837,RM!$C$4:$G991,3,FALSE))</f>
        <v/>
      </c>
      <c r="AE837" t="str">
        <f>IF(X837="","",VLOOKUP($X837,RM!$C$4:$G991,4,FALSE))</f>
        <v/>
      </c>
      <c r="AF837" t="str">
        <f>IF(X837="","",VLOOKUP($X837,RM!$C$4:$G991,5,FALSE))</f>
        <v/>
      </c>
      <c r="AL837" t="e">
        <f ca="1">_xludf.IFNA(VLOOKUP(AH837,'S-FG'!$B$3:$B1001,1,FALSE),"")</f>
        <v>#NAME?</v>
      </c>
      <c r="AM837" t="str">
        <f>IF(AI837="","",SUMIFS(#REF!,RM!$C$4:$C991,AI837))</f>
        <v/>
      </c>
    </row>
    <row r="838" spans="5:39">
      <c r="E838" t="str">
        <f>IF(A838="","",SUMIFS('PR-BOM'!$D$3:$D1001,'PR-BOM'!$C$3:$C1001,A838)*C838)</f>
        <v/>
      </c>
      <c r="F838" t="e">
        <f ca="1">_xludf.IFNA(VLOOKUP(B838,'S-FG'!$B$3:$B1001,1,FALSE),"")</f>
        <v>#NAME?</v>
      </c>
      <c r="L838" t="str">
        <f t="shared" si="10"/>
        <v/>
      </c>
      <c r="Q838" t="str">
        <f>IF(N838="","",SUMIFS('PR-BOM'!$D$3:$D1001,'PR-BOM'!$C$3:$C1001,N838))</f>
        <v/>
      </c>
      <c r="Y838" t="str">
        <f t="shared" si="11"/>
        <v/>
      </c>
      <c r="Z838" t="str">
        <f>IF(X838="","",SUMIFS(#REF!,RM!$C$4:$C991,X838))</f>
        <v/>
      </c>
      <c r="AA838" t="str">
        <f>IF(X838="","",SUMIFS(#REF!,RM!$C$4:$C991,X838))</f>
        <v/>
      </c>
      <c r="AB838" t="str">
        <f>IF(X838="","",SUMIFS(IRegback!$Y$2:$Y1001,IRegback!$X$2:$X1001,X838))</f>
        <v/>
      </c>
      <c r="AC838" t="e">
        <f t="shared" si="12"/>
        <v>#VALUE!</v>
      </c>
      <c r="AD838" t="str">
        <f>IF(X838="","",VLOOKUP($X838,RM!$C$4:$G991,3,FALSE))</f>
        <v/>
      </c>
      <c r="AE838" t="str">
        <f>IF(X838="","",VLOOKUP($X838,RM!$C$4:$G991,4,FALSE))</f>
        <v/>
      </c>
      <c r="AF838" t="str">
        <f>IF(X838="","",VLOOKUP($X838,RM!$C$4:$G991,5,FALSE))</f>
        <v/>
      </c>
      <c r="AL838" t="e">
        <f ca="1">_xludf.IFNA(VLOOKUP(AH838,'S-FG'!$B$3:$B1001,1,FALSE),"")</f>
        <v>#NAME?</v>
      </c>
      <c r="AM838" t="str">
        <f>IF(AI838="","",SUMIFS(#REF!,RM!$C$4:$C991,AI838))</f>
        <v/>
      </c>
    </row>
    <row r="839" spans="5:39">
      <c r="E839" t="str">
        <f>IF(A839="","",SUMIFS('PR-BOM'!$D$3:$D1001,'PR-BOM'!$C$3:$C1001,A839)*C839)</f>
        <v/>
      </c>
      <c r="F839" t="e">
        <f ca="1">_xludf.IFNA(VLOOKUP(B839,'S-FG'!$B$3:$B1001,1,FALSE),"")</f>
        <v>#NAME?</v>
      </c>
      <c r="L839" t="str">
        <f t="shared" si="10"/>
        <v/>
      </c>
      <c r="Q839" t="str">
        <f>IF(N839="","",SUMIFS('PR-BOM'!$D$3:$D1001,'PR-BOM'!$C$3:$C1001,N839))</f>
        <v/>
      </c>
      <c r="Y839" t="str">
        <f t="shared" si="11"/>
        <v/>
      </c>
      <c r="Z839" t="str">
        <f>IF(X839="","",SUMIFS(#REF!,RM!$C$4:$C991,X839))</f>
        <v/>
      </c>
      <c r="AA839" t="str">
        <f>IF(X839="","",SUMIFS(#REF!,RM!$C$4:$C991,X839))</f>
        <v/>
      </c>
      <c r="AB839" t="str">
        <f>IF(X839="","",SUMIFS(IRegback!$Y$2:$Y1001,IRegback!$X$2:$X1001,X839))</f>
        <v/>
      </c>
      <c r="AC839" t="e">
        <f t="shared" si="12"/>
        <v>#VALUE!</v>
      </c>
      <c r="AD839" t="str">
        <f>IF(X839="","",VLOOKUP($X839,RM!$C$4:$G991,3,FALSE))</f>
        <v/>
      </c>
      <c r="AE839" t="str">
        <f>IF(X839="","",VLOOKUP($X839,RM!$C$4:$G991,4,FALSE))</f>
        <v/>
      </c>
      <c r="AF839" t="str">
        <f>IF(X839="","",VLOOKUP($X839,RM!$C$4:$G991,5,FALSE))</f>
        <v/>
      </c>
      <c r="AL839" t="e">
        <f ca="1">_xludf.IFNA(VLOOKUP(AH839,'S-FG'!$B$3:$B1001,1,FALSE),"")</f>
        <v>#NAME?</v>
      </c>
      <c r="AM839" t="str">
        <f>IF(AI839="","",SUMIFS(#REF!,RM!$C$4:$C991,AI839))</f>
        <v/>
      </c>
    </row>
    <row r="840" spans="5:39">
      <c r="E840" t="str">
        <f>IF(A840="","",SUMIFS('PR-BOM'!$D$3:$D1001,'PR-BOM'!$C$3:$C1001,A840)*C840)</f>
        <v/>
      </c>
      <c r="F840" t="e">
        <f ca="1">_xludf.IFNA(VLOOKUP(B840,'S-FG'!$B$3:$B1001,1,FALSE),"")</f>
        <v>#NAME?</v>
      </c>
      <c r="L840" t="str">
        <f t="shared" si="10"/>
        <v/>
      </c>
      <c r="Q840" t="str">
        <f>IF(N840="","",SUMIFS('PR-BOM'!$D$3:$D1001,'PR-BOM'!$C$3:$C1001,N840))</f>
        <v/>
      </c>
      <c r="Y840" t="str">
        <f t="shared" si="11"/>
        <v/>
      </c>
      <c r="Z840" t="str">
        <f>IF(X840="","",SUMIFS(#REF!,RM!$C$4:$C991,X840))</f>
        <v/>
      </c>
      <c r="AA840" t="str">
        <f>IF(X840="","",SUMIFS(#REF!,RM!$C$4:$C991,X840))</f>
        <v/>
      </c>
      <c r="AB840" t="str">
        <f>IF(X840="","",SUMIFS(IRegback!$Y$2:$Y1001,IRegback!$X$2:$X1001,X840))</f>
        <v/>
      </c>
      <c r="AC840" t="e">
        <f t="shared" si="12"/>
        <v>#VALUE!</v>
      </c>
      <c r="AD840" t="str">
        <f>IF(X840="","",VLOOKUP($X840,RM!$C$4:$G991,3,FALSE))</f>
        <v/>
      </c>
      <c r="AE840" t="str">
        <f>IF(X840="","",VLOOKUP($X840,RM!$C$4:$G991,4,FALSE))</f>
        <v/>
      </c>
      <c r="AF840" t="str">
        <f>IF(X840="","",VLOOKUP($X840,RM!$C$4:$G991,5,FALSE))</f>
        <v/>
      </c>
      <c r="AL840" t="e">
        <f ca="1">_xludf.IFNA(VLOOKUP(AH840,'S-FG'!$B$3:$B1001,1,FALSE),"")</f>
        <v>#NAME?</v>
      </c>
      <c r="AM840" t="str">
        <f>IF(AI840="","",SUMIFS(#REF!,RM!$C$4:$C991,AI840))</f>
        <v/>
      </c>
    </row>
    <row r="841" spans="5:39">
      <c r="E841" t="str">
        <f>IF(A841="","",SUMIFS('PR-BOM'!$D$3:$D1001,'PR-BOM'!$C$3:$C1001,A841)*C841)</f>
        <v/>
      </c>
      <c r="F841" t="e">
        <f ca="1">_xludf.IFNA(VLOOKUP(B841,'S-FG'!$B$3:$B1001,1,FALSE),"")</f>
        <v>#NAME?</v>
      </c>
      <c r="L841" t="str">
        <f t="shared" si="10"/>
        <v/>
      </c>
      <c r="Q841" t="str">
        <f>IF(N841="","",SUMIFS('PR-BOM'!$D$3:$D1001,'PR-BOM'!$C$3:$C1001,N841))</f>
        <v/>
      </c>
      <c r="Y841" t="str">
        <f t="shared" si="11"/>
        <v/>
      </c>
      <c r="Z841" t="str">
        <f>IF(X841="","",SUMIFS(#REF!,RM!$C$4:$C991,X841))</f>
        <v/>
      </c>
      <c r="AA841" t="str">
        <f>IF(X841="","",SUMIFS(#REF!,RM!$C$4:$C991,X841))</f>
        <v/>
      </c>
      <c r="AB841" t="str">
        <f>IF(X841="","",SUMIFS(IRegback!$Y$2:$Y1001,IRegback!$X$2:$X1001,X841))</f>
        <v/>
      </c>
      <c r="AC841" t="e">
        <f t="shared" si="12"/>
        <v>#VALUE!</v>
      </c>
      <c r="AD841" t="str">
        <f>IF(X841="","",VLOOKUP($X841,RM!$C$4:$G991,3,FALSE))</f>
        <v/>
      </c>
      <c r="AE841" t="str">
        <f>IF(X841="","",VLOOKUP($X841,RM!$C$4:$G991,4,FALSE))</f>
        <v/>
      </c>
      <c r="AF841" t="str">
        <f>IF(X841="","",VLOOKUP($X841,RM!$C$4:$G991,5,FALSE))</f>
        <v/>
      </c>
      <c r="AL841" t="e">
        <f ca="1">_xludf.IFNA(VLOOKUP(AH841,'S-FG'!$B$3:$B1001,1,FALSE),"")</f>
        <v>#NAME?</v>
      </c>
      <c r="AM841" t="str">
        <f>IF(AI841="","",SUMIFS(#REF!,RM!$C$4:$C991,AI841))</f>
        <v/>
      </c>
    </row>
    <row r="842" spans="5:39">
      <c r="E842" t="str">
        <f>IF(A842="","",SUMIFS('PR-BOM'!$D$3:$D1001,'PR-BOM'!$C$3:$C1001,A842)*C842)</f>
        <v/>
      </c>
      <c r="F842" t="e">
        <f ca="1">_xludf.IFNA(VLOOKUP(B842,'S-FG'!$B$3:$B1001,1,FALSE),"")</f>
        <v>#NAME?</v>
      </c>
      <c r="L842" t="str">
        <f t="shared" si="10"/>
        <v/>
      </c>
      <c r="Q842" t="str">
        <f>IF(N842="","",SUMIFS('PR-BOM'!$D$3:$D1001,'PR-BOM'!$C$3:$C1001,N842))</f>
        <v/>
      </c>
      <c r="Y842" t="str">
        <f t="shared" si="11"/>
        <v/>
      </c>
      <c r="Z842" t="str">
        <f>IF(X842="","",SUMIFS(#REF!,RM!$C$4:$C991,X842))</f>
        <v/>
      </c>
      <c r="AA842" t="str">
        <f>IF(X842="","",SUMIFS(#REF!,RM!$C$4:$C991,X842))</f>
        <v/>
      </c>
      <c r="AB842" t="str">
        <f>IF(X842="","",SUMIFS(IRegback!$Y$2:$Y1001,IRegback!$X$2:$X1001,X842))</f>
        <v/>
      </c>
      <c r="AC842" t="e">
        <f t="shared" si="12"/>
        <v>#VALUE!</v>
      </c>
      <c r="AD842" t="str">
        <f>IF(X842="","",VLOOKUP($X842,RM!$C$4:$G991,3,FALSE))</f>
        <v/>
      </c>
      <c r="AE842" t="str">
        <f>IF(X842="","",VLOOKUP($X842,RM!$C$4:$G991,4,FALSE))</f>
        <v/>
      </c>
      <c r="AF842" t="str">
        <f>IF(X842="","",VLOOKUP($X842,RM!$C$4:$G991,5,FALSE))</f>
        <v/>
      </c>
      <c r="AL842" t="e">
        <f ca="1">_xludf.IFNA(VLOOKUP(AH842,'S-FG'!$B$3:$B1001,1,FALSE),"")</f>
        <v>#NAME?</v>
      </c>
      <c r="AM842" t="str">
        <f>IF(AI842="","",SUMIFS(#REF!,RM!$C$4:$C991,AI842))</f>
        <v/>
      </c>
    </row>
    <row r="843" spans="5:39">
      <c r="E843" t="str">
        <f>IF(A843="","",SUMIFS('PR-BOM'!$D$3:$D1001,'PR-BOM'!$C$3:$C1001,A843)*C843)</f>
        <v/>
      </c>
      <c r="F843" t="e">
        <f ca="1">_xludf.IFNA(VLOOKUP(B843,'S-FG'!$B$3:$B1001,1,FALSE),"")</f>
        <v>#NAME?</v>
      </c>
      <c r="L843" t="str">
        <f t="shared" si="10"/>
        <v/>
      </c>
      <c r="Q843" t="str">
        <f>IF(N843="","",SUMIFS('PR-BOM'!$D$3:$D1001,'PR-BOM'!$C$3:$C1001,N843))</f>
        <v/>
      </c>
      <c r="Y843" t="str">
        <f t="shared" si="11"/>
        <v/>
      </c>
      <c r="Z843" t="str">
        <f>IF(X843="","",SUMIFS(#REF!,RM!$C$4:$C991,X843))</f>
        <v/>
      </c>
      <c r="AA843" t="str">
        <f>IF(X843="","",SUMIFS(#REF!,RM!$C$4:$C991,X843))</f>
        <v/>
      </c>
      <c r="AB843" t="str">
        <f>IF(X843="","",SUMIFS(IRegback!$Y$2:$Y1001,IRegback!$X$2:$X1001,X843))</f>
        <v/>
      </c>
      <c r="AC843" t="e">
        <f t="shared" si="12"/>
        <v>#VALUE!</v>
      </c>
      <c r="AD843" t="str">
        <f>IF(X843="","",VLOOKUP($X843,RM!$C$4:$G991,3,FALSE))</f>
        <v/>
      </c>
      <c r="AE843" t="str">
        <f>IF(X843="","",VLOOKUP($X843,RM!$C$4:$G991,4,FALSE))</f>
        <v/>
      </c>
      <c r="AF843" t="str">
        <f>IF(X843="","",VLOOKUP($X843,RM!$C$4:$G991,5,FALSE))</f>
        <v/>
      </c>
      <c r="AL843" t="e">
        <f ca="1">_xludf.IFNA(VLOOKUP(AH843,'S-FG'!$B$3:$B1001,1,FALSE),"")</f>
        <v>#NAME?</v>
      </c>
      <c r="AM843" t="str">
        <f>IF(AI843="","",SUMIFS(#REF!,RM!$C$4:$C991,AI843))</f>
        <v/>
      </c>
    </row>
    <row r="844" spans="5:39">
      <c r="E844" t="str">
        <f>IF(A844="","",SUMIFS('PR-BOM'!$D$3:$D1001,'PR-BOM'!$C$3:$C1001,A844)*C844)</f>
        <v/>
      </c>
      <c r="F844" t="e">
        <f ca="1">_xludf.IFNA(VLOOKUP(B844,'S-FG'!$B$3:$B1001,1,FALSE),"")</f>
        <v>#NAME?</v>
      </c>
      <c r="L844" t="str">
        <f t="shared" si="10"/>
        <v/>
      </c>
      <c r="Q844" t="str">
        <f>IF(N844="","",SUMIFS('PR-BOM'!$D$3:$D1001,'PR-BOM'!$C$3:$C1001,N844))</f>
        <v/>
      </c>
      <c r="Y844" t="str">
        <f t="shared" si="11"/>
        <v/>
      </c>
      <c r="Z844" t="str">
        <f>IF(X844="","",SUMIFS(#REF!,RM!$C$4:$C991,X844))</f>
        <v/>
      </c>
      <c r="AA844" t="str">
        <f>IF(X844="","",SUMIFS(#REF!,RM!$C$4:$C991,X844))</f>
        <v/>
      </c>
      <c r="AB844" t="str">
        <f>IF(X844="","",SUMIFS(IRegback!$Y$2:$Y1001,IRegback!$X$2:$X1001,X844))</f>
        <v/>
      </c>
      <c r="AC844" t="e">
        <f t="shared" si="12"/>
        <v>#VALUE!</v>
      </c>
      <c r="AD844" t="str">
        <f>IF(X844="","",VLOOKUP($X844,RM!$C$4:$G991,3,FALSE))</f>
        <v/>
      </c>
      <c r="AE844" t="str">
        <f>IF(X844="","",VLOOKUP($X844,RM!$C$4:$G991,4,FALSE))</f>
        <v/>
      </c>
      <c r="AF844" t="str">
        <f>IF(X844="","",VLOOKUP($X844,RM!$C$4:$G991,5,FALSE))</f>
        <v/>
      </c>
      <c r="AL844" t="e">
        <f ca="1">_xludf.IFNA(VLOOKUP(AH844,'S-FG'!$B$3:$B1001,1,FALSE),"")</f>
        <v>#NAME?</v>
      </c>
      <c r="AM844" t="str">
        <f>IF(AI844="","",SUMIFS(#REF!,RM!$C$4:$C991,AI844))</f>
        <v/>
      </c>
    </row>
    <row r="845" spans="5:39">
      <c r="E845" t="str">
        <f>IF(A845="","",SUMIFS('PR-BOM'!$D$3:$D1001,'PR-BOM'!$C$3:$C1001,A845)*C845)</f>
        <v/>
      </c>
      <c r="F845" t="e">
        <f ca="1">_xludf.IFNA(VLOOKUP(B845,'S-FG'!$B$3:$B1001,1,FALSE),"")</f>
        <v>#NAME?</v>
      </c>
      <c r="L845" t="str">
        <f t="shared" si="10"/>
        <v/>
      </c>
      <c r="Q845" t="str">
        <f>IF(N845="","",SUMIFS('PR-BOM'!$D$3:$D1001,'PR-BOM'!$C$3:$C1001,N845))</f>
        <v/>
      </c>
      <c r="Y845" t="str">
        <f t="shared" si="11"/>
        <v/>
      </c>
      <c r="Z845" t="str">
        <f>IF(X845="","",SUMIFS(#REF!,RM!$C$4:$C991,X845))</f>
        <v/>
      </c>
      <c r="AA845" t="str">
        <f>IF(X845="","",SUMIFS(#REF!,RM!$C$4:$C991,X845))</f>
        <v/>
      </c>
      <c r="AB845" t="str">
        <f>IF(X845="","",SUMIFS(IRegback!$Y$2:$Y1001,IRegback!$X$2:$X1001,X845))</f>
        <v/>
      </c>
      <c r="AC845" t="e">
        <f t="shared" si="12"/>
        <v>#VALUE!</v>
      </c>
      <c r="AD845" t="str">
        <f>IF(X845="","",VLOOKUP($X845,RM!$C$4:$G991,3,FALSE))</f>
        <v/>
      </c>
      <c r="AE845" t="str">
        <f>IF(X845="","",VLOOKUP($X845,RM!$C$4:$G991,4,FALSE))</f>
        <v/>
      </c>
      <c r="AF845" t="str">
        <f>IF(X845="","",VLOOKUP($X845,RM!$C$4:$G991,5,FALSE))</f>
        <v/>
      </c>
      <c r="AL845" t="e">
        <f ca="1">_xludf.IFNA(VLOOKUP(AH845,'S-FG'!$B$3:$B1001,1,FALSE),"")</f>
        <v>#NAME?</v>
      </c>
      <c r="AM845" t="str">
        <f>IF(AI845="","",SUMIFS(#REF!,RM!$C$4:$C991,AI845))</f>
        <v/>
      </c>
    </row>
    <row r="846" spans="5:39">
      <c r="E846" t="str">
        <f>IF(A846="","",SUMIFS('PR-BOM'!$D$3:$D1001,'PR-BOM'!$C$3:$C1001,A846)*C846)</f>
        <v/>
      </c>
      <c r="F846" t="e">
        <f ca="1">_xludf.IFNA(VLOOKUP(B846,'S-FG'!$B$3:$B1001,1,FALSE),"")</f>
        <v>#NAME?</v>
      </c>
      <c r="L846" t="str">
        <f t="shared" si="10"/>
        <v/>
      </c>
      <c r="Q846" t="str">
        <f>IF(N846="","",SUMIFS('PR-BOM'!$D$3:$D1001,'PR-BOM'!$C$3:$C1001,N846))</f>
        <v/>
      </c>
      <c r="Y846" t="str">
        <f t="shared" si="11"/>
        <v/>
      </c>
      <c r="Z846" t="str">
        <f>IF(X846="","",SUMIFS(#REF!,RM!$C$4:$C991,X846))</f>
        <v/>
      </c>
      <c r="AA846" t="str">
        <f>IF(X846="","",SUMIFS(#REF!,RM!$C$4:$C991,X846))</f>
        <v/>
      </c>
      <c r="AB846" t="str">
        <f>IF(X846="","",SUMIFS(IRegback!$Y$2:$Y1001,IRegback!$X$2:$X1001,X846))</f>
        <v/>
      </c>
      <c r="AC846" t="e">
        <f t="shared" si="12"/>
        <v>#VALUE!</v>
      </c>
      <c r="AD846" t="str">
        <f>IF(X846="","",VLOOKUP($X846,RM!$C$4:$G991,3,FALSE))</f>
        <v/>
      </c>
      <c r="AE846" t="str">
        <f>IF(X846="","",VLOOKUP($X846,RM!$C$4:$G991,4,FALSE))</f>
        <v/>
      </c>
      <c r="AF846" t="str">
        <f>IF(X846="","",VLOOKUP($X846,RM!$C$4:$G991,5,FALSE))</f>
        <v/>
      </c>
      <c r="AL846" t="e">
        <f ca="1">_xludf.IFNA(VLOOKUP(AH846,'S-FG'!$B$3:$B1001,1,FALSE),"")</f>
        <v>#NAME?</v>
      </c>
      <c r="AM846" t="str">
        <f>IF(AI846="","",SUMIFS(#REF!,RM!$C$4:$C991,AI846))</f>
        <v/>
      </c>
    </row>
    <row r="847" spans="5:39">
      <c r="E847" t="str">
        <f>IF(A847="","",SUMIFS('PR-BOM'!$D$3:$D1001,'PR-BOM'!$C$3:$C1001,A847)*C847)</f>
        <v/>
      </c>
      <c r="F847" t="e">
        <f ca="1">_xludf.IFNA(VLOOKUP(B847,'S-FG'!$B$3:$B1001,1,FALSE),"")</f>
        <v>#NAME?</v>
      </c>
      <c r="L847" t="str">
        <f t="shared" si="10"/>
        <v/>
      </c>
      <c r="Q847" t="str">
        <f>IF(N847="","",SUMIFS('PR-BOM'!$D$3:$D1001,'PR-BOM'!$C$3:$C1001,N847))</f>
        <v/>
      </c>
      <c r="Y847" t="str">
        <f t="shared" si="11"/>
        <v/>
      </c>
      <c r="Z847" t="str">
        <f>IF(X847="","",SUMIFS(#REF!,RM!$C$4:$C991,X847))</f>
        <v/>
      </c>
      <c r="AA847" t="str">
        <f>IF(X847="","",SUMIFS(#REF!,RM!$C$4:$C991,X847))</f>
        <v/>
      </c>
      <c r="AB847" t="str">
        <f>IF(X847="","",SUMIFS(IRegback!$Y$2:$Y1001,IRegback!$X$2:$X1001,X847))</f>
        <v/>
      </c>
      <c r="AC847" t="e">
        <f t="shared" si="12"/>
        <v>#VALUE!</v>
      </c>
      <c r="AD847" t="str">
        <f>IF(X847="","",VLOOKUP($X847,RM!$C$4:$G991,3,FALSE))</f>
        <v/>
      </c>
      <c r="AE847" t="str">
        <f>IF(X847="","",VLOOKUP($X847,RM!$C$4:$G991,4,FALSE))</f>
        <v/>
      </c>
      <c r="AF847" t="str">
        <f>IF(X847="","",VLOOKUP($X847,RM!$C$4:$G991,5,FALSE))</f>
        <v/>
      </c>
      <c r="AL847" t="e">
        <f ca="1">_xludf.IFNA(VLOOKUP(AH847,'S-FG'!$B$3:$B1001,1,FALSE),"")</f>
        <v>#NAME?</v>
      </c>
      <c r="AM847" t="str">
        <f>IF(AI847="","",SUMIFS(#REF!,RM!$C$4:$C991,AI847))</f>
        <v/>
      </c>
    </row>
    <row r="848" spans="5:39">
      <c r="E848" t="str">
        <f>IF(A848="","",SUMIFS('PR-BOM'!$D$3:$D1001,'PR-BOM'!$C$3:$C1001,A848)*C848)</f>
        <v/>
      </c>
      <c r="F848" t="e">
        <f ca="1">_xludf.IFNA(VLOOKUP(B848,'S-FG'!$B$3:$B1001,1,FALSE),"")</f>
        <v>#NAME?</v>
      </c>
      <c r="L848" t="str">
        <f t="shared" si="10"/>
        <v/>
      </c>
      <c r="Q848" t="str">
        <f>IF(N848="","",SUMIFS('PR-BOM'!$D$3:$D1001,'PR-BOM'!$C$3:$C1001,N848))</f>
        <v/>
      </c>
      <c r="Y848" t="str">
        <f t="shared" si="11"/>
        <v/>
      </c>
      <c r="Z848" t="str">
        <f>IF(X848="","",SUMIFS(#REF!,RM!$C$4:$C991,X848))</f>
        <v/>
      </c>
      <c r="AA848" t="str">
        <f>IF(X848="","",SUMIFS(#REF!,RM!$C$4:$C991,X848))</f>
        <v/>
      </c>
      <c r="AB848" t="str">
        <f>IF(X848="","",SUMIFS(IRegback!$Y$2:$Y1001,IRegback!$X$2:$X1001,X848))</f>
        <v/>
      </c>
      <c r="AC848" t="e">
        <f t="shared" si="12"/>
        <v>#VALUE!</v>
      </c>
      <c r="AD848" t="str">
        <f>IF(X848="","",VLOOKUP($X848,RM!$C$4:$G991,3,FALSE))</f>
        <v/>
      </c>
      <c r="AE848" t="str">
        <f>IF(X848="","",VLOOKUP($X848,RM!$C$4:$G991,4,FALSE))</f>
        <v/>
      </c>
      <c r="AF848" t="str">
        <f>IF(X848="","",VLOOKUP($X848,RM!$C$4:$G991,5,FALSE))</f>
        <v/>
      </c>
      <c r="AL848" t="e">
        <f ca="1">_xludf.IFNA(VLOOKUP(AH848,'S-FG'!$B$3:$B1001,1,FALSE),"")</f>
        <v>#NAME?</v>
      </c>
      <c r="AM848" t="str">
        <f>IF(AI848="","",SUMIFS(#REF!,RM!$C$4:$C991,AI848))</f>
        <v/>
      </c>
    </row>
    <row r="849" spans="5:39">
      <c r="E849" t="str">
        <f>IF(A849="","",SUMIFS('PR-BOM'!$D$3:$D1001,'PR-BOM'!$C$3:$C1001,A849)*C849)</f>
        <v/>
      </c>
      <c r="F849" t="e">
        <f ca="1">_xludf.IFNA(VLOOKUP(B849,'S-FG'!$B$3:$B1001,1,FALSE),"")</f>
        <v>#NAME?</v>
      </c>
      <c r="L849" t="str">
        <f t="shared" si="10"/>
        <v/>
      </c>
      <c r="Q849" t="str">
        <f>IF(N849="","",SUMIFS('PR-BOM'!$D$3:$D1001,'PR-BOM'!$C$3:$C1001,N849))</f>
        <v/>
      </c>
      <c r="Y849" t="str">
        <f t="shared" si="11"/>
        <v/>
      </c>
      <c r="Z849" t="str">
        <f>IF(X849="","",SUMIFS(#REF!,RM!$C$4:$C991,X849))</f>
        <v/>
      </c>
      <c r="AA849" t="str">
        <f>IF(X849="","",SUMIFS(#REF!,RM!$C$4:$C991,X849))</f>
        <v/>
      </c>
      <c r="AB849" t="str">
        <f>IF(X849="","",SUMIFS(IRegback!$Y$2:$Y1001,IRegback!$X$2:$X1001,X849))</f>
        <v/>
      </c>
      <c r="AC849" t="e">
        <f t="shared" si="12"/>
        <v>#VALUE!</v>
      </c>
      <c r="AD849" t="str">
        <f>IF(X849="","",VLOOKUP($X849,RM!$C$4:$G991,3,FALSE))</f>
        <v/>
      </c>
      <c r="AE849" t="str">
        <f>IF(X849="","",VLOOKUP($X849,RM!$C$4:$G991,4,FALSE))</f>
        <v/>
      </c>
      <c r="AF849" t="str">
        <f>IF(X849="","",VLOOKUP($X849,RM!$C$4:$G991,5,FALSE))</f>
        <v/>
      </c>
      <c r="AL849" t="e">
        <f ca="1">_xludf.IFNA(VLOOKUP(AH849,'S-FG'!$B$3:$B1001,1,FALSE),"")</f>
        <v>#NAME?</v>
      </c>
      <c r="AM849" t="str">
        <f>IF(AI849="","",SUMIFS(#REF!,RM!$C$4:$C991,AI849))</f>
        <v/>
      </c>
    </row>
    <row r="850" spans="5:39">
      <c r="E850" t="str">
        <f>IF(A850="","",SUMIFS('PR-BOM'!$D$3:$D1001,'PR-BOM'!$C$3:$C1001,A850)*C850)</f>
        <v/>
      </c>
      <c r="F850" t="e">
        <f ca="1">_xludf.IFNA(VLOOKUP(B850,'S-FG'!$B$3:$B1001,1,FALSE),"")</f>
        <v>#NAME?</v>
      </c>
      <c r="L850" t="str">
        <f t="shared" si="10"/>
        <v/>
      </c>
      <c r="Q850" t="str">
        <f>IF(N850="","",SUMIFS('PR-BOM'!$D$3:$D1001,'PR-BOM'!$C$3:$C1001,N850))</f>
        <v/>
      </c>
      <c r="Y850" t="str">
        <f t="shared" si="11"/>
        <v/>
      </c>
      <c r="Z850" t="str">
        <f>IF(X850="","",SUMIFS(#REF!,RM!$C$4:$C991,X850))</f>
        <v/>
      </c>
      <c r="AA850" t="str">
        <f>IF(X850="","",SUMIFS(#REF!,RM!$C$4:$C991,X850))</f>
        <v/>
      </c>
      <c r="AB850" t="str">
        <f>IF(X850="","",SUMIFS(IRegback!$Y$2:$Y1001,IRegback!$X$2:$X1001,X850))</f>
        <v/>
      </c>
      <c r="AC850" t="e">
        <f t="shared" si="12"/>
        <v>#VALUE!</v>
      </c>
      <c r="AD850" t="str">
        <f>IF(X850="","",VLOOKUP($X850,RM!$C$4:$G991,3,FALSE))</f>
        <v/>
      </c>
      <c r="AE850" t="str">
        <f>IF(X850="","",VLOOKUP($X850,RM!$C$4:$G991,4,FALSE))</f>
        <v/>
      </c>
      <c r="AF850" t="str">
        <f>IF(X850="","",VLOOKUP($X850,RM!$C$4:$G991,5,FALSE))</f>
        <v/>
      </c>
      <c r="AL850" t="e">
        <f ca="1">_xludf.IFNA(VLOOKUP(AH850,'S-FG'!$B$3:$B1001,1,FALSE),"")</f>
        <v>#NAME?</v>
      </c>
      <c r="AM850" t="str">
        <f>IF(AI850="","",SUMIFS(#REF!,RM!$C$4:$C991,AI850))</f>
        <v/>
      </c>
    </row>
    <row r="851" spans="5:39">
      <c r="E851" t="str">
        <f>IF(A851="","",SUMIFS('PR-BOM'!$D$3:$D1001,'PR-BOM'!$C$3:$C1001,A851)*C851)</f>
        <v/>
      </c>
      <c r="F851" t="e">
        <f ca="1">_xludf.IFNA(VLOOKUP(B851,'S-FG'!$B$3:$B1001,1,FALSE),"")</f>
        <v>#NAME?</v>
      </c>
      <c r="L851" t="str">
        <f t="shared" si="10"/>
        <v/>
      </c>
      <c r="Q851" t="str">
        <f>IF(N851="","",SUMIFS('PR-BOM'!$D$3:$D1001,'PR-BOM'!$C$3:$C1001,N851))</f>
        <v/>
      </c>
      <c r="Y851" t="str">
        <f t="shared" si="11"/>
        <v/>
      </c>
      <c r="Z851" t="str">
        <f>IF(X851="","",SUMIFS(#REF!,RM!$C$4:$C991,X851))</f>
        <v/>
      </c>
      <c r="AA851" t="str">
        <f>IF(X851="","",SUMIFS(#REF!,RM!$C$4:$C991,X851))</f>
        <v/>
      </c>
      <c r="AB851" t="str">
        <f>IF(X851="","",SUMIFS(IRegback!$Y$2:$Y1001,IRegback!$X$2:$X1001,X851))</f>
        <v/>
      </c>
      <c r="AC851" t="e">
        <f t="shared" si="12"/>
        <v>#VALUE!</v>
      </c>
      <c r="AD851" t="str">
        <f>IF(X851="","",VLOOKUP($X851,RM!$C$4:$G991,3,FALSE))</f>
        <v/>
      </c>
      <c r="AE851" t="str">
        <f>IF(X851="","",VLOOKUP($X851,RM!$C$4:$G991,4,FALSE))</f>
        <v/>
      </c>
      <c r="AF851" t="str">
        <f>IF(X851="","",VLOOKUP($X851,RM!$C$4:$G991,5,FALSE))</f>
        <v/>
      </c>
      <c r="AL851" t="e">
        <f ca="1">_xludf.IFNA(VLOOKUP(AH851,'S-FG'!$B$3:$B1001,1,FALSE),"")</f>
        <v>#NAME?</v>
      </c>
      <c r="AM851" t="str">
        <f>IF(AI851="","",SUMIFS(#REF!,RM!$C$4:$C991,AI851))</f>
        <v/>
      </c>
    </row>
    <row r="852" spans="5:39">
      <c r="E852" t="str">
        <f>IF(A852="","",SUMIFS('PR-BOM'!$D$3:$D1001,'PR-BOM'!$C$3:$C1001,A852)*C852)</f>
        <v/>
      </c>
      <c r="F852" t="e">
        <f ca="1">_xludf.IFNA(VLOOKUP(B852,'S-FG'!$B$3:$B1001,1,FALSE),"")</f>
        <v>#NAME?</v>
      </c>
      <c r="L852" t="str">
        <f t="shared" si="10"/>
        <v/>
      </c>
      <c r="Q852" t="str">
        <f>IF(N852="","",SUMIFS('PR-BOM'!$D$3:$D1001,'PR-BOM'!$C$3:$C1001,N852))</f>
        <v/>
      </c>
      <c r="Y852" t="str">
        <f t="shared" si="11"/>
        <v/>
      </c>
      <c r="Z852" t="str">
        <f>IF(X852="","",SUMIFS(#REF!,RM!$C$4:$C991,X852))</f>
        <v/>
      </c>
      <c r="AA852" t="str">
        <f>IF(X852="","",SUMIFS(#REF!,RM!$C$4:$C991,X852))</f>
        <v/>
      </c>
      <c r="AB852" t="str">
        <f>IF(X852="","",SUMIFS(IRegback!$Y$2:$Y1001,IRegback!$X$2:$X1001,X852))</f>
        <v/>
      </c>
      <c r="AC852" t="e">
        <f t="shared" si="12"/>
        <v>#VALUE!</v>
      </c>
      <c r="AD852" t="str">
        <f>IF(X852="","",VLOOKUP($X852,RM!$C$4:$G991,3,FALSE))</f>
        <v/>
      </c>
      <c r="AE852" t="str">
        <f>IF(X852="","",VLOOKUP($X852,RM!$C$4:$G991,4,FALSE))</f>
        <v/>
      </c>
      <c r="AF852" t="str">
        <f>IF(X852="","",VLOOKUP($X852,RM!$C$4:$G991,5,FALSE))</f>
        <v/>
      </c>
      <c r="AL852" t="e">
        <f ca="1">_xludf.IFNA(VLOOKUP(AH852,'S-FG'!$B$3:$B1001,1,FALSE),"")</f>
        <v>#NAME?</v>
      </c>
      <c r="AM852" t="str">
        <f>IF(AI852="","",SUMIFS(#REF!,RM!$C$4:$C991,AI852))</f>
        <v/>
      </c>
    </row>
    <row r="853" spans="5:39">
      <c r="E853" t="str">
        <f>IF(A853="","",SUMIFS('PR-BOM'!$D$3:$D1001,'PR-BOM'!$C$3:$C1001,A853)*C853)</f>
        <v/>
      </c>
      <c r="F853" t="e">
        <f ca="1">_xludf.IFNA(VLOOKUP(B853,'S-FG'!$B$3:$B1001,1,FALSE),"")</f>
        <v>#NAME?</v>
      </c>
      <c r="L853" t="str">
        <f t="shared" si="10"/>
        <v/>
      </c>
      <c r="Q853" t="str">
        <f>IF(N853="","",SUMIFS('PR-BOM'!$D$3:$D1001,'PR-BOM'!$C$3:$C1001,N853))</f>
        <v/>
      </c>
      <c r="Y853" t="str">
        <f t="shared" si="11"/>
        <v/>
      </c>
      <c r="Z853" t="str">
        <f>IF(X853="","",SUMIFS(#REF!,RM!$C$4:$C991,X853))</f>
        <v/>
      </c>
      <c r="AA853" t="str">
        <f>IF(X853="","",SUMIFS(#REF!,RM!$C$4:$C991,X853))</f>
        <v/>
      </c>
      <c r="AB853" t="str">
        <f>IF(X853="","",SUMIFS(IRegback!$Y$2:$Y1001,IRegback!$X$2:$X1001,X853))</f>
        <v/>
      </c>
      <c r="AC853" t="e">
        <f t="shared" si="12"/>
        <v>#VALUE!</v>
      </c>
      <c r="AD853" t="str">
        <f>IF(X853="","",VLOOKUP($X853,RM!$C$4:$G991,3,FALSE))</f>
        <v/>
      </c>
      <c r="AE853" t="str">
        <f>IF(X853="","",VLOOKUP($X853,RM!$C$4:$G991,4,FALSE))</f>
        <v/>
      </c>
      <c r="AF853" t="str">
        <f>IF(X853="","",VLOOKUP($X853,RM!$C$4:$G991,5,FALSE))</f>
        <v/>
      </c>
      <c r="AL853" t="e">
        <f ca="1">_xludf.IFNA(VLOOKUP(AH853,'S-FG'!$B$3:$B1001,1,FALSE),"")</f>
        <v>#NAME?</v>
      </c>
      <c r="AM853" t="str">
        <f>IF(AI853="","",SUMIFS(#REF!,RM!$C$4:$C991,AI853))</f>
        <v/>
      </c>
    </row>
    <row r="854" spans="5:39">
      <c r="E854" t="str">
        <f>IF(A854="","",SUMIFS('PR-BOM'!$D$3:$D1001,'PR-BOM'!$C$3:$C1001,A854)*C854)</f>
        <v/>
      </c>
      <c r="F854" t="e">
        <f ca="1">_xludf.IFNA(VLOOKUP(B854,'S-FG'!$B$3:$B1001,1,FALSE),"")</f>
        <v>#NAME?</v>
      </c>
      <c r="L854" t="str">
        <f t="shared" si="10"/>
        <v/>
      </c>
      <c r="Q854" t="str">
        <f>IF(N854="","",SUMIFS('PR-BOM'!$D$3:$D1001,'PR-BOM'!$C$3:$C1001,N854))</f>
        <v/>
      </c>
      <c r="Y854" t="str">
        <f t="shared" si="11"/>
        <v/>
      </c>
      <c r="Z854" t="str">
        <f>IF(X854="","",SUMIFS(#REF!,RM!$C$4:$C991,X854))</f>
        <v/>
      </c>
      <c r="AA854" t="str">
        <f>IF(X854="","",SUMIFS(#REF!,RM!$C$4:$C991,X854))</f>
        <v/>
      </c>
      <c r="AB854" t="str">
        <f>IF(X854="","",SUMIFS(IRegback!$Y$2:$Y1001,IRegback!$X$2:$X1001,X854))</f>
        <v/>
      </c>
      <c r="AC854" t="e">
        <f t="shared" si="12"/>
        <v>#VALUE!</v>
      </c>
      <c r="AD854" t="str">
        <f>IF(X854="","",VLOOKUP($X854,RM!$C$4:$G991,3,FALSE))</f>
        <v/>
      </c>
      <c r="AE854" t="str">
        <f>IF(X854="","",VLOOKUP($X854,RM!$C$4:$G991,4,FALSE))</f>
        <v/>
      </c>
      <c r="AF854" t="str">
        <f>IF(X854="","",VLOOKUP($X854,RM!$C$4:$G991,5,FALSE))</f>
        <v/>
      </c>
      <c r="AL854" t="e">
        <f ca="1">_xludf.IFNA(VLOOKUP(AH854,'S-FG'!$B$3:$B1001,1,FALSE),"")</f>
        <v>#NAME?</v>
      </c>
      <c r="AM854" t="str">
        <f>IF(AI854="","",SUMIFS(#REF!,RM!$C$4:$C991,AI854))</f>
        <v/>
      </c>
    </row>
    <row r="855" spans="5:39">
      <c r="E855" t="str">
        <f>IF(A855="","",SUMIFS('PR-BOM'!$D$3:$D1001,'PR-BOM'!$C$3:$C1001,A855)*C855)</f>
        <v/>
      </c>
      <c r="F855" t="e">
        <f ca="1">_xludf.IFNA(VLOOKUP(B855,'S-FG'!$B$3:$B1001,1,FALSE),"")</f>
        <v>#NAME?</v>
      </c>
      <c r="L855" t="str">
        <f t="shared" si="10"/>
        <v/>
      </c>
      <c r="Q855" t="str">
        <f>IF(N855="","",SUMIFS('PR-BOM'!$D$3:$D1001,'PR-BOM'!$C$3:$C1001,N855))</f>
        <v/>
      </c>
      <c r="Y855" t="str">
        <f t="shared" si="11"/>
        <v/>
      </c>
      <c r="Z855" t="str">
        <f>IF(X855="","",SUMIFS(#REF!,RM!$C$4:$C991,X855))</f>
        <v/>
      </c>
      <c r="AA855" t="str">
        <f>IF(X855="","",SUMIFS(#REF!,RM!$C$4:$C991,X855))</f>
        <v/>
      </c>
      <c r="AB855" t="str">
        <f>IF(X855="","",SUMIFS(IRegback!$Y$2:$Y1001,IRegback!$X$2:$X1001,X855))</f>
        <v/>
      </c>
      <c r="AC855" t="e">
        <f t="shared" si="12"/>
        <v>#VALUE!</v>
      </c>
      <c r="AD855" t="str">
        <f>IF(X855="","",VLOOKUP($X855,RM!$C$4:$G991,3,FALSE))</f>
        <v/>
      </c>
      <c r="AE855" t="str">
        <f>IF(X855="","",VLOOKUP($X855,RM!$C$4:$G991,4,FALSE))</f>
        <v/>
      </c>
      <c r="AF855" t="str">
        <f>IF(X855="","",VLOOKUP($X855,RM!$C$4:$G991,5,FALSE))</f>
        <v/>
      </c>
      <c r="AL855" t="e">
        <f ca="1">_xludf.IFNA(VLOOKUP(AH855,'S-FG'!$B$3:$B1001,1,FALSE),"")</f>
        <v>#NAME?</v>
      </c>
      <c r="AM855" t="str">
        <f>IF(AI855="","",SUMIFS(#REF!,RM!$C$4:$C991,AI855))</f>
        <v/>
      </c>
    </row>
    <row r="856" spans="5:39">
      <c r="E856" t="str">
        <f>IF(A856="","",SUMIFS('PR-BOM'!$D$3:$D1001,'PR-BOM'!$C$3:$C1001,A856)*C856)</f>
        <v/>
      </c>
      <c r="F856" t="e">
        <f ca="1">_xludf.IFNA(VLOOKUP(B856,'S-FG'!$B$3:$B1001,1,FALSE),"")</f>
        <v>#NAME?</v>
      </c>
      <c r="L856" t="str">
        <f t="shared" si="10"/>
        <v/>
      </c>
      <c r="Q856" t="str">
        <f>IF(N856="","",SUMIFS('PR-BOM'!$D$3:$D1001,'PR-BOM'!$C$3:$C1001,N856))</f>
        <v/>
      </c>
      <c r="Y856" t="str">
        <f t="shared" si="11"/>
        <v/>
      </c>
      <c r="Z856" t="str">
        <f>IF(X856="","",SUMIFS(#REF!,RM!$C$4:$C991,X856))</f>
        <v/>
      </c>
      <c r="AA856" t="str">
        <f>IF(X856="","",SUMIFS(#REF!,RM!$C$4:$C991,X856))</f>
        <v/>
      </c>
      <c r="AB856" t="str">
        <f>IF(X856="","",SUMIFS(IRegback!$Y$2:$Y1001,IRegback!$X$2:$X1001,X856))</f>
        <v/>
      </c>
      <c r="AC856" t="e">
        <f t="shared" si="12"/>
        <v>#VALUE!</v>
      </c>
      <c r="AD856" t="str">
        <f>IF(X856="","",VLOOKUP($X856,RM!$C$4:$G991,3,FALSE))</f>
        <v/>
      </c>
      <c r="AE856" t="str">
        <f>IF(X856="","",VLOOKUP($X856,RM!$C$4:$G991,4,FALSE))</f>
        <v/>
      </c>
      <c r="AF856" t="str">
        <f>IF(X856="","",VLOOKUP($X856,RM!$C$4:$G991,5,FALSE))</f>
        <v/>
      </c>
      <c r="AL856" t="e">
        <f ca="1">_xludf.IFNA(VLOOKUP(AH856,'S-FG'!$B$3:$B1001,1,FALSE),"")</f>
        <v>#NAME?</v>
      </c>
      <c r="AM856" t="str">
        <f>IF(AI856="","",SUMIFS(#REF!,RM!$C$4:$C991,AI856))</f>
        <v/>
      </c>
    </row>
    <row r="857" spans="5:39">
      <c r="E857" t="str">
        <f>IF(A857="","",SUMIFS('PR-BOM'!$D$3:$D1001,'PR-BOM'!$C$3:$C1001,A857)*C857)</f>
        <v/>
      </c>
      <c r="F857" t="e">
        <f ca="1">_xludf.IFNA(VLOOKUP(B857,'S-FG'!$B$3:$B1001,1,FALSE),"")</f>
        <v>#NAME?</v>
      </c>
      <c r="L857" t="str">
        <f t="shared" si="10"/>
        <v/>
      </c>
      <c r="Q857" t="str">
        <f>IF(N857="","",SUMIFS('PR-BOM'!$D$3:$D1001,'PR-BOM'!$C$3:$C1001,N857))</f>
        <v/>
      </c>
      <c r="Y857" t="str">
        <f t="shared" si="11"/>
        <v/>
      </c>
      <c r="Z857" t="str">
        <f>IF(X857="","",SUMIFS(#REF!,RM!$C$4:$C991,X857))</f>
        <v/>
      </c>
      <c r="AA857" t="str">
        <f>IF(X857="","",SUMIFS(#REF!,RM!$C$4:$C991,X857))</f>
        <v/>
      </c>
      <c r="AB857" t="str">
        <f>IF(X857="","",SUMIFS(IRegback!$Y$2:$Y1001,IRegback!$X$2:$X1001,X857))</f>
        <v/>
      </c>
      <c r="AC857" t="e">
        <f t="shared" si="12"/>
        <v>#VALUE!</v>
      </c>
      <c r="AD857" t="str">
        <f>IF(X857="","",VLOOKUP($X857,RM!$C$4:$G991,3,FALSE))</f>
        <v/>
      </c>
      <c r="AE857" t="str">
        <f>IF(X857="","",VLOOKUP($X857,RM!$C$4:$G991,4,FALSE))</f>
        <v/>
      </c>
      <c r="AF857" t="str">
        <f>IF(X857="","",VLOOKUP($X857,RM!$C$4:$G991,5,FALSE))</f>
        <v/>
      </c>
      <c r="AL857" t="e">
        <f ca="1">_xludf.IFNA(VLOOKUP(AH857,'S-FG'!$B$3:$B1001,1,FALSE),"")</f>
        <v>#NAME?</v>
      </c>
      <c r="AM857" t="str">
        <f>IF(AI857="","",SUMIFS(#REF!,RM!$C$4:$C991,AI857))</f>
        <v/>
      </c>
    </row>
    <row r="858" spans="5:39">
      <c r="E858" t="str">
        <f>IF(A858="","",SUMIFS('PR-BOM'!$D$3:$D1001,'PR-BOM'!$C$3:$C1001,A858)*C858)</f>
        <v/>
      </c>
      <c r="F858" t="e">
        <f ca="1">_xludf.IFNA(VLOOKUP(B858,'S-FG'!$B$3:$B1001,1,FALSE),"")</f>
        <v>#NAME?</v>
      </c>
      <c r="L858" t="str">
        <f t="shared" si="10"/>
        <v/>
      </c>
      <c r="Q858" t="str">
        <f>IF(N858="","",SUMIFS('PR-BOM'!$D$3:$D1001,'PR-BOM'!$C$3:$C1001,N858))</f>
        <v/>
      </c>
      <c r="Y858" t="str">
        <f t="shared" si="11"/>
        <v/>
      </c>
      <c r="Z858" t="str">
        <f>IF(X858="","",SUMIFS(#REF!,RM!$C$4:$C991,X858))</f>
        <v/>
      </c>
      <c r="AA858" t="str">
        <f>IF(X858="","",SUMIFS(#REF!,RM!$C$4:$C991,X858))</f>
        <v/>
      </c>
      <c r="AB858" t="str">
        <f>IF(X858="","",SUMIFS(IRegback!$Y$2:$Y1001,IRegback!$X$2:$X1001,X858))</f>
        <v/>
      </c>
      <c r="AC858" t="e">
        <f t="shared" si="12"/>
        <v>#VALUE!</v>
      </c>
      <c r="AD858" t="str">
        <f>IF(X858="","",VLOOKUP($X858,RM!$C$4:$G991,3,FALSE))</f>
        <v/>
      </c>
      <c r="AE858" t="str">
        <f>IF(X858="","",VLOOKUP($X858,RM!$C$4:$G991,4,FALSE))</f>
        <v/>
      </c>
      <c r="AF858" t="str">
        <f>IF(X858="","",VLOOKUP($X858,RM!$C$4:$G991,5,FALSE))</f>
        <v/>
      </c>
      <c r="AL858" t="e">
        <f ca="1">_xludf.IFNA(VLOOKUP(AH858,'S-FG'!$B$3:$B1001,1,FALSE),"")</f>
        <v>#NAME?</v>
      </c>
      <c r="AM858" t="str">
        <f>IF(AI858="","",SUMIFS(#REF!,RM!$C$4:$C991,AI858))</f>
        <v/>
      </c>
    </row>
    <row r="859" spans="5:39">
      <c r="E859" t="str">
        <f>IF(A859="","",SUMIFS('PR-BOM'!$D$3:$D1001,'PR-BOM'!$C$3:$C1001,A859)*C859)</f>
        <v/>
      </c>
      <c r="F859" t="e">
        <f ca="1">_xludf.IFNA(VLOOKUP(B859,'S-FG'!$B$3:$B1001,1,FALSE),"")</f>
        <v>#NAME?</v>
      </c>
      <c r="L859" t="str">
        <f t="shared" si="10"/>
        <v/>
      </c>
      <c r="Q859" t="str">
        <f>IF(N859="","",SUMIFS('PR-BOM'!$D$3:$D1001,'PR-BOM'!$C$3:$C1001,N859))</f>
        <v/>
      </c>
      <c r="Y859" t="str">
        <f t="shared" si="11"/>
        <v/>
      </c>
      <c r="Z859" t="str">
        <f>IF(X859="","",SUMIFS(#REF!,RM!$C$4:$C991,X859))</f>
        <v/>
      </c>
      <c r="AA859" t="str">
        <f>IF(X859="","",SUMIFS(#REF!,RM!$C$4:$C991,X859))</f>
        <v/>
      </c>
      <c r="AB859" t="str">
        <f>IF(X859="","",SUMIFS(IRegback!$Y$2:$Y1001,IRegback!$X$2:$X1001,X859))</f>
        <v/>
      </c>
      <c r="AC859" t="e">
        <f t="shared" si="12"/>
        <v>#VALUE!</v>
      </c>
      <c r="AD859" t="str">
        <f>IF(X859="","",VLOOKUP($X859,RM!$C$4:$G991,3,FALSE))</f>
        <v/>
      </c>
      <c r="AE859" t="str">
        <f>IF(X859="","",VLOOKUP($X859,RM!$C$4:$G991,4,FALSE))</f>
        <v/>
      </c>
      <c r="AF859" t="str">
        <f>IF(X859="","",VLOOKUP($X859,RM!$C$4:$G991,5,FALSE))</f>
        <v/>
      </c>
      <c r="AL859" t="e">
        <f ca="1">_xludf.IFNA(VLOOKUP(AH859,'S-FG'!$B$3:$B1001,1,FALSE),"")</f>
        <v>#NAME?</v>
      </c>
      <c r="AM859" t="str">
        <f>IF(AI859="","",SUMIFS(#REF!,RM!$C$4:$C991,AI859))</f>
        <v/>
      </c>
    </row>
    <row r="860" spans="5:39">
      <c r="E860" t="str">
        <f>IF(A860="","",SUMIFS('PR-BOM'!$D$3:$D1001,'PR-BOM'!$C$3:$C1001,A860)*C860)</f>
        <v/>
      </c>
      <c r="F860" t="e">
        <f ca="1">_xludf.IFNA(VLOOKUP(B860,'S-FG'!$B$3:$B1001,1,FALSE),"")</f>
        <v>#NAME?</v>
      </c>
      <c r="L860" t="str">
        <f t="shared" si="10"/>
        <v/>
      </c>
      <c r="Q860" t="str">
        <f>IF(N860="","",SUMIFS('PR-BOM'!$D$3:$D1001,'PR-BOM'!$C$3:$C1001,N860))</f>
        <v/>
      </c>
      <c r="Y860" t="str">
        <f t="shared" si="11"/>
        <v/>
      </c>
      <c r="Z860" t="str">
        <f>IF(X860="","",SUMIFS(#REF!,RM!$C$4:$C991,X860))</f>
        <v/>
      </c>
      <c r="AA860" t="str">
        <f>IF(X860="","",SUMIFS(#REF!,RM!$C$4:$C991,X860))</f>
        <v/>
      </c>
      <c r="AB860" t="str">
        <f>IF(X860="","",SUMIFS(IRegback!$Y$2:$Y1001,IRegback!$X$2:$X1001,X860))</f>
        <v/>
      </c>
      <c r="AC860" t="e">
        <f t="shared" si="12"/>
        <v>#VALUE!</v>
      </c>
      <c r="AD860" t="str">
        <f>IF(X860="","",VLOOKUP($X860,RM!$C$4:$G991,3,FALSE))</f>
        <v/>
      </c>
      <c r="AE860" t="str">
        <f>IF(X860="","",VLOOKUP($X860,RM!$C$4:$G991,4,FALSE))</f>
        <v/>
      </c>
      <c r="AF860" t="str">
        <f>IF(X860="","",VLOOKUP($X860,RM!$C$4:$G991,5,FALSE))</f>
        <v/>
      </c>
      <c r="AL860" t="e">
        <f ca="1">_xludf.IFNA(VLOOKUP(AH860,'S-FG'!$B$3:$B1001,1,FALSE),"")</f>
        <v>#NAME?</v>
      </c>
      <c r="AM860" t="str">
        <f>IF(AI860="","",SUMIFS(#REF!,RM!$C$4:$C991,AI860))</f>
        <v/>
      </c>
    </row>
    <row r="861" spans="5:39">
      <c r="E861" t="str">
        <f>IF(A861="","",SUMIFS('PR-BOM'!$D$3:$D1001,'PR-BOM'!$C$3:$C1001,A861)*C861)</f>
        <v/>
      </c>
      <c r="F861" t="e">
        <f ca="1">_xludf.IFNA(VLOOKUP(B861,'S-FG'!$B$3:$B1001,1,FALSE),"")</f>
        <v>#NAME?</v>
      </c>
      <c r="L861" t="str">
        <f t="shared" si="10"/>
        <v/>
      </c>
      <c r="Q861" t="str">
        <f>IF(N861="","",SUMIFS('PR-BOM'!$D$3:$D1001,'PR-BOM'!$C$3:$C1001,N861))</f>
        <v/>
      </c>
      <c r="Y861" t="str">
        <f t="shared" si="11"/>
        <v/>
      </c>
      <c r="Z861" t="str">
        <f>IF(X861="","",SUMIFS(#REF!,RM!$C$4:$C991,X861))</f>
        <v/>
      </c>
      <c r="AA861" t="str">
        <f>IF(X861="","",SUMIFS(#REF!,RM!$C$4:$C991,X861))</f>
        <v/>
      </c>
      <c r="AB861" t="str">
        <f>IF(X861="","",SUMIFS(IRegback!$Y$2:$Y1001,IRegback!$X$2:$X1001,X861))</f>
        <v/>
      </c>
      <c r="AC861" t="e">
        <f t="shared" si="12"/>
        <v>#VALUE!</v>
      </c>
      <c r="AD861" t="str">
        <f>IF(X861="","",VLOOKUP($X861,RM!$C$4:$G991,3,FALSE))</f>
        <v/>
      </c>
      <c r="AE861" t="str">
        <f>IF(X861="","",VLOOKUP($X861,RM!$C$4:$G991,4,FALSE))</f>
        <v/>
      </c>
      <c r="AF861" t="str">
        <f>IF(X861="","",VLOOKUP($X861,RM!$C$4:$G991,5,FALSE))</f>
        <v/>
      </c>
      <c r="AL861" t="e">
        <f ca="1">_xludf.IFNA(VLOOKUP(AH861,'S-FG'!$B$3:$B1001,1,FALSE),"")</f>
        <v>#NAME?</v>
      </c>
      <c r="AM861" t="str">
        <f>IF(AI861="","",SUMIFS(#REF!,RM!$C$4:$C991,AI861))</f>
        <v/>
      </c>
    </row>
    <row r="862" spans="5:39">
      <c r="E862" t="str">
        <f>IF(A862="","",SUMIFS('PR-BOM'!$D$3:$D1001,'PR-BOM'!$C$3:$C1001,A862)*C862)</f>
        <v/>
      </c>
      <c r="F862" t="e">
        <f ca="1">_xludf.IFNA(VLOOKUP(B862,'S-FG'!$B$3:$B1001,1,FALSE),"")</f>
        <v>#NAME?</v>
      </c>
      <c r="L862" t="str">
        <f t="shared" si="10"/>
        <v/>
      </c>
      <c r="Q862" t="str">
        <f>IF(N862="","",SUMIFS('PR-BOM'!$D$3:$D1001,'PR-BOM'!$C$3:$C1001,N862))</f>
        <v/>
      </c>
      <c r="Y862" t="str">
        <f t="shared" si="11"/>
        <v/>
      </c>
      <c r="Z862" t="str">
        <f>IF(X862="","",SUMIFS(#REF!,RM!$C$4:$C991,X862))</f>
        <v/>
      </c>
      <c r="AA862" t="str">
        <f>IF(X862="","",SUMIFS(#REF!,RM!$C$4:$C991,X862))</f>
        <v/>
      </c>
      <c r="AB862" t="str">
        <f>IF(X862="","",SUMIFS(IRegback!$Y$2:$Y1001,IRegback!$X$2:$X1001,X862))</f>
        <v/>
      </c>
      <c r="AC862" t="e">
        <f t="shared" si="12"/>
        <v>#VALUE!</v>
      </c>
      <c r="AD862" t="str">
        <f>IF(X862="","",VLOOKUP($X862,RM!$C$4:$G991,3,FALSE))</f>
        <v/>
      </c>
      <c r="AE862" t="str">
        <f>IF(X862="","",VLOOKUP($X862,RM!$C$4:$G991,4,FALSE))</f>
        <v/>
      </c>
      <c r="AF862" t="str">
        <f>IF(X862="","",VLOOKUP($X862,RM!$C$4:$G991,5,FALSE))</f>
        <v/>
      </c>
      <c r="AL862" t="e">
        <f ca="1">_xludf.IFNA(VLOOKUP(AH862,'S-FG'!$B$3:$B1001,1,FALSE),"")</f>
        <v>#NAME?</v>
      </c>
      <c r="AM862" t="str">
        <f>IF(AI862="","",SUMIFS(#REF!,RM!$C$4:$C991,AI862))</f>
        <v/>
      </c>
    </row>
    <row r="863" spans="5:39">
      <c r="E863" t="str">
        <f>IF(A863="","",SUMIFS('PR-BOM'!$D$3:$D1001,'PR-BOM'!$C$3:$C1001,A863)*C863)</f>
        <v/>
      </c>
      <c r="F863" t="e">
        <f ca="1">_xludf.IFNA(VLOOKUP(B863,'S-FG'!$B$3:$B1001,1,FALSE),"")</f>
        <v>#NAME?</v>
      </c>
      <c r="L863" t="str">
        <f t="shared" si="10"/>
        <v/>
      </c>
      <c r="Q863" t="str">
        <f>IF(N863="","",SUMIFS('PR-BOM'!$D$3:$D1001,'PR-BOM'!$C$3:$C1001,N863))</f>
        <v/>
      </c>
      <c r="Y863" t="str">
        <f t="shared" si="11"/>
        <v/>
      </c>
      <c r="Z863" t="str">
        <f>IF(X863="","",SUMIFS(#REF!,RM!$C$4:$C991,X863))</f>
        <v/>
      </c>
      <c r="AA863" t="str">
        <f>IF(X863="","",SUMIFS(#REF!,RM!$C$4:$C991,X863))</f>
        <v/>
      </c>
      <c r="AB863" t="str">
        <f>IF(X863="","",SUMIFS(IRegback!$Y$2:$Y1001,IRegback!$X$2:$X1001,X863))</f>
        <v/>
      </c>
      <c r="AC863" t="e">
        <f t="shared" si="12"/>
        <v>#VALUE!</v>
      </c>
      <c r="AD863" t="str">
        <f>IF(X863="","",VLOOKUP($X863,RM!$C$4:$G991,3,FALSE))</f>
        <v/>
      </c>
      <c r="AE863" t="str">
        <f>IF(X863="","",VLOOKUP($X863,RM!$C$4:$G991,4,FALSE))</f>
        <v/>
      </c>
      <c r="AF863" t="str">
        <f>IF(X863="","",VLOOKUP($X863,RM!$C$4:$G991,5,FALSE))</f>
        <v/>
      </c>
      <c r="AL863" t="e">
        <f ca="1">_xludf.IFNA(VLOOKUP(AH863,'S-FG'!$B$3:$B1001,1,FALSE),"")</f>
        <v>#NAME?</v>
      </c>
      <c r="AM863" t="str">
        <f>IF(AI863="","",SUMIFS(#REF!,RM!$C$4:$C991,AI863))</f>
        <v/>
      </c>
    </row>
    <row r="864" spans="5:39">
      <c r="E864" t="str">
        <f>IF(A864="","",SUMIFS('PR-BOM'!$D$3:$D1001,'PR-BOM'!$C$3:$C1001,A864)*C864)</f>
        <v/>
      </c>
      <c r="F864" t="e">
        <f ca="1">_xludf.IFNA(VLOOKUP(B864,'S-FG'!$B$3:$B1001,1,FALSE),"")</f>
        <v>#NAME?</v>
      </c>
      <c r="L864" t="str">
        <f t="shared" si="10"/>
        <v/>
      </c>
      <c r="Q864" t="str">
        <f>IF(N864="","",SUMIFS('PR-BOM'!$D$3:$D1001,'PR-BOM'!$C$3:$C1001,N864))</f>
        <v/>
      </c>
      <c r="Y864" t="str">
        <f t="shared" si="11"/>
        <v/>
      </c>
      <c r="Z864" t="str">
        <f>IF(X864="","",SUMIFS(#REF!,RM!$C$4:$C991,X864))</f>
        <v/>
      </c>
      <c r="AA864" t="str">
        <f>IF(X864="","",SUMIFS(#REF!,RM!$C$4:$C991,X864))</f>
        <v/>
      </c>
      <c r="AB864" t="str">
        <f>IF(X864="","",SUMIFS(IRegback!$Y$2:$Y1001,IRegback!$X$2:$X1001,X864))</f>
        <v/>
      </c>
      <c r="AC864" t="e">
        <f t="shared" si="12"/>
        <v>#VALUE!</v>
      </c>
      <c r="AD864" t="str">
        <f>IF(X864="","",VLOOKUP($X864,RM!$C$4:$G991,3,FALSE))</f>
        <v/>
      </c>
      <c r="AE864" t="str">
        <f>IF(X864="","",VLOOKUP($X864,RM!$C$4:$G991,4,FALSE))</f>
        <v/>
      </c>
      <c r="AF864" t="str">
        <f>IF(X864="","",VLOOKUP($X864,RM!$C$4:$G991,5,FALSE))</f>
        <v/>
      </c>
      <c r="AL864" t="e">
        <f ca="1">_xludf.IFNA(VLOOKUP(AH864,'S-FG'!$B$3:$B1001,1,FALSE),"")</f>
        <v>#NAME?</v>
      </c>
      <c r="AM864" t="str">
        <f>IF(AI864="","",SUMIFS(#REF!,RM!$C$4:$C991,AI864))</f>
        <v/>
      </c>
    </row>
    <row r="865" spans="5:39">
      <c r="E865" t="str">
        <f>IF(A865="","",SUMIFS('PR-BOM'!$D$3:$D1001,'PR-BOM'!$C$3:$C1001,A865)*C865)</f>
        <v/>
      </c>
      <c r="F865" t="e">
        <f ca="1">_xludf.IFNA(VLOOKUP(B865,'S-FG'!$B$3:$B1001,1,FALSE),"")</f>
        <v>#NAME?</v>
      </c>
      <c r="L865" t="str">
        <f t="shared" si="10"/>
        <v/>
      </c>
      <c r="Q865" t="str">
        <f>IF(N865="","",SUMIFS('PR-BOM'!$D$3:$D1001,'PR-BOM'!$C$3:$C1001,N865))</f>
        <v/>
      </c>
      <c r="Y865" t="str">
        <f t="shared" si="11"/>
        <v/>
      </c>
      <c r="Z865" t="str">
        <f>IF(X865="","",SUMIFS(#REF!,RM!$C$4:$C991,X865))</f>
        <v/>
      </c>
      <c r="AA865" t="str">
        <f>IF(X865="","",SUMIFS(#REF!,RM!$C$4:$C991,X865))</f>
        <v/>
      </c>
      <c r="AB865" t="str">
        <f>IF(X865="","",SUMIFS(IRegback!$Y$2:$Y1001,IRegback!$X$2:$X1001,X865))</f>
        <v/>
      </c>
      <c r="AC865" t="e">
        <f t="shared" si="12"/>
        <v>#VALUE!</v>
      </c>
      <c r="AD865" t="str">
        <f>IF(X865="","",VLOOKUP($X865,RM!$C$4:$G991,3,FALSE))</f>
        <v/>
      </c>
      <c r="AE865" t="str">
        <f>IF(X865="","",VLOOKUP($X865,RM!$C$4:$G991,4,FALSE))</f>
        <v/>
      </c>
      <c r="AF865" t="str">
        <f>IF(X865="","",VLOOKUP($X865,RM!$C$4:$G991,5,FALSE))</f>
        <v/>
      </c>
      <c r="AL865" t="e">
        <f ca="1">_xludf.IFNA(VLOOKUP(AH865,'S-FG'!$B$3:$B1001,1,FALSE),"")</f>
        <v>#NAME?</v>
      </c>
      <c r="AM865" t="str">
        <f>IF(AI865="","",SUMIFS(#REF!,RM!$C$4:$C991,AI865))</f>
        <v/>
      </c>
    </row>
    <row r="866" spans="5:39">
      <c r="E866" t="str">
        <f>IF(A866="","",SUMIFS('PR-BOM'!$D$3:$D1001,'PR-BOM'!$C$3:$C1001,A866)*C866)</f>
        <v/>
      </c>
      <c r="F866" t="e">
        <f ca="1">_xludf.IFNA(VLOOKUP(B866,'S-FG'!$B$3:$B1001,1,FALSE),"")</f>
        <v>#NAME?</v>
      </c>
      <c r="L866" t="str">
        <f t="shared" si="10"/>
        <v/>
      </c>
      <c r="Q866" t="str">
        <f>IF(N866="","",SUMIFS('PR-BOM'!$D$3:$D1001,'PR-BOM'!$C$3:$C1001,N866))</f>
        <v/>
      </c>
      <c r="Y866" t="str">
        <f t="shared" si="11"/>
        <v/>
      </c>
      <c r="Z866" t="str">
        <f>IF(X866="","",SUMIFS(#REF!,RM!$C$4:$C991,X866))</f>
        <v/>
      </c>
      <c r="AA866" t="str">
        <f>IF(X866="","",SUMIFS(#REF!,RM!$C$4:$C991,X866))</f>
        <v/>
      </c>
      <c r="AB866" t="str">
        <f>IF(X866="","",SUMIFS(IRegback!$Y$2:$Y1001,IRegback!$X$2:$X1001,X866))</f>
        <v/>
      </c>
      <c r="AC866" t="e">
        <f t="shared" si="12"/>
        <v>#VALUE!</v>
      </c>
      <c r="AD866" t="str">
        <f>IF(X866="","",VLOOKUP($X866,RM!$C$4:$G991,3,FALSE))</f>
        <v/>
      </c>
      <c r="AE866" t="str">
        <f>IF(X866="","",VLOOKUP($X866,RM!$C$4:$G991,4,FALSE))</f>
        <v/>
      </c>
      <c r="AF866" t="str">
        <f>IF(X866="","",VLOOKUP($X866,RM!$C$4:$G991,5,FALSE))</f>
        <v/>
      </c>
      <c r="AL866" t="e">
        <f ca="1">_xludf.IFNA(VLOOKUP(AH866,'S-FG'!$B$3:$B1001,1,FALSE),"")</f>
        <v>#NAME?</v>
      </c>
      <c r="AM866" t="str">
        <f>IF(AI866="","",SUMIFS(#REF!,RM!$C$4:$C991,AI866))</f>
        <v/>
      </c>
    </row>
    <row r="867" spans="5:39">
      <c r="E867" t="str">
        <f>IF(A867="","",SUMIFS('PR-BOM'!$D$3:$D1001,'PR-BOM'!$C$3:$C1001,A867)*C867)</f>
        <v/>
      </c>
      <c r="F867" t="e">
        <f ca="1">_xludf.IFNA(VLOOKUP(B867,'S-FG'!$B$3:$B1001,1,FALSE),"")</f>
        <v>#NAME?</v>
      </c>
      <c r="L867" t="str">
        <f t="shared" si="10"/>
        <v/>
      </c>
      <c r="Q867" t="str">
        <f>IF(N867="","",SUMIFS('PR-BOM'!$D$3:$D1001,'PR-BOM'!$C$3:$C1001,N867))</f>
        <v/>
      </c>
      <c r="Y867" t="str">
        <f t="shared" si="11"/>
        <v/>
      </c>
      <c r="Z867" t="str">
        <f>IF(X867="","",SUMIFS(#REF!,RM!$C$4:$C991,X867))</f>
        <v/>
      </c>
      <c r="AA867" t="str">
        <f>IF(X867="","",SUMIFS(#REF!,RM!$C$4:$C991,X867))</f>
        <v/>
      </c>
      <c r="AB867" t="str">
        <f>IF(X867="","",SUMIFS(IRegback!$Y$2:$Y1001,IRegback!$X$2:$X1001,X867))</f>
        <v/>
      </c>
      <c r="AC867" t="e">
        <f t="shared" si="12"/>
        <v>#VALUE!</v>
      </c>
      <c r="AD867" t="str">
        <f>IF(X867="","",VLOOKUP($X867,RM!$C$4:$G991,3,FALSE))</f>
        <v/>
      </c>
      <c r="AE867" t="str">
        <f>IF(X867="","",VLOOKUP($X867,RM!$C$4:$G991,4,FALSE))</f>
        <v/>
      </c>
      <c r="AF867" t="str">
        <f>IF(X867="","",VLOOKUP($X867,RM!$C$4:$G991,5,FALSE))</f>
        <v/>
      </c>
      <c r="AL867" t="e">
        <f ca="1">_xludf.IFNA(VLOOKUP(AH867,'S-FG'!$B$3:$B1001,1,FALSE),"")</f>
        <v>#NAME?</v>
      </c>
      <c r="AM867" t="str">
        <f>IF(AI867="","",SUMIFS(#REF!,RM!$C$4:$C991,AI867))</f>
        <v/>
      </c>
    </row>
    <row r="868" spans="5:39">
      <c r="E868" t="str">
        <f>IF(A868="","",SUMIFS('PR-BOM'!$D$3:$D1001,'PR-BOM'!$C$3:$C1001,A868)*C868)</f>
        <v/>
      </c>
      <c r="F868" t="e">
        <f ca="1">_xludf.IFNA(VLOOKUP(B868,'S-FG'!$B$3:$B1001,1,FALSE),"")</f>
        <v>#NAME?</v>
      </c>
      <c r="L868" t="str">
        <f t="shared" si="10"/>
        <v/>
      </c>
      <c r="Q868" t="str">
        <f>IF(N868="","",SUMIFS('PR-BOM'!$D$3:$D1001,'PR-BOM'!$C$3:$C1001,N868))</f>
        <v/>
      </c>
      <c r="Y868" t="str">
        <f t="shared" si="11"/>
        <v/>
      </c>
      <c r="Z868" t="str">
        <f>IF(X868="","",SUMIFS(#REF!,RM!$C$4:$C991,X868))</f>
        <v/>
      </c>
      <c r="AA868" t="str">
        <f>IF(X868="","",SUMIFS(#REF!,RM!$C$4:$C991,X868))</f>
        <v/>
      </c>
      <c r="AB868" t="str">
        <f>IF(X868="","",SUMIFS(IRegback!$Y$2:$Y1001,IRegback!$X$2:$X1001,X868))</f>
        <v/>
      </c>
      <c r="AC868" t="e">
        <f t="shared" si="12"/>
        <v>#VALUE!</v>
      </c>
      <c r="AD868" t="str">
        <f>IF(X868="","",VLOOKUP($X868,RM!$C$4:$G991,3,FALSE))</f>
        <v/>
      </c>
      <c r="AE868" t="str">
        <f>IF(X868="","",VLOOKUP($X868,RM!$C$4:$G991,4,FALSE))</f>
        <v/>
      </c>
      <c r="AF868" t="str">
        <f>IF(X868="","",VLOOKUP($X868,RM!$C$4:$G991,5,FALSE))</f>
        <v/>
      </c>
      <c r="AL868" t="e">
        <f ca="1">_xludf.IFNA(VLOOKUP(AH868,'S-FG'!$B$3:$B1001,1,FALSE),"")</f>
        <v>#NAME?</v>
      </c>
      <c r="AM868" t="str">
        <f>IF(AI868="","",SUMIFS(#REF!,RM!$C$4:$C991,AI868))</f>
        <v/>
      </c>
    </row>
    <row r="869" spans="5:39">
      <c r="E869" t="str">
        <f>IF(A869="","",SUMIFS('PR-BOM'!$D$3:$D1001,'PR-BOM'!$C$3:$C1001,A869)*C869)</f>
        <v/>
      </c>
      <c r="F869" t="e">
        <f ca="1">_xludf.IFNA(VLOOKUP(B869,'S-FG'!$B$3:$B1001,1,FALSE),"")</f>
        <v>#NAME?</v>
      </c>
      <c r="L869" t="str">
        <f t="shared" si="10"/>
        <v/>
      </c>
      <c r="Q869" t="str">
        <f>IF(N869="","",SUMIFS('PR-BOM'!$D$3:$D1001,'PR-BOM'!$C$3:$C1001,N869))</f>
        <v/>
      </c>
      <c r="Y869" t="str">
        <f t="shared" si="11"/>
        <v/>
      </c>
      <c r="Z869" t="str">
        <f>IF(X869="","",SUMIFS(#REF!,RM!$C$4:$C991,X869))</f>
        <v/>
      </c>
      <c r="AA869" t="str">
        <f>IF(X869="","",SUMIFS(#REF!,RM!$C$4:$C991,X869))</f>
        <v/>
      </c>
      <c r="AB869" t="str">
        <f>IF(X869="","",SUMIFS(IRegback!$Y$2:$Y1001,IRegback!$X$2:$X1001,X869))</f>
        <v/>
      </c>
      <c r="AC869" t="e">
        <f t="shared" si="12"/>
        <v>#VALUE!</v>
      </c>
      <c r="AD869" t="str">
        <f>IF(X869="","",VLOOKUP($X869,RM!$C$4:$G991,3,FALSE))</f>
        <v/>
      </c>
      <c r="AE869" t="str">
        <f>IF(X869="","",VLOOKUP($X869,RM!$C$4:$G991,4,FALSE))</f>
        <v/>
      </c>
      <c r="AF869" t="str">
        <f>IF(X869="","",VLOOKUP($X869,RM!$C$4:$G991,5,FALSE))</f>
        <v/>
      </c>
      <c r="AL869" t="e">
        <f ca="1">_xludf.IFNA(VLOOKUP(AH869,'S-FG'!$B$3:$B1001,1,FALSE),"")</f>
        <v>#NAME?</v>
      </c>
      <c r="AM869" t="str">
        <f>IF(AI869="","",SUMIFS(#REF!,RM!$C$4:$C991,AI869))</f>
        <v/>
      </c>
    </row>
    <row r="870" spans="5:39">
      <c r="E870" t="str">
        <f>IF(A870="","",SUMIFS('PR-BOM'!$D$3:$D1001,'PR-BOM'!$C$3:$C1001,A870)*C870)</f>
        <v/>
      </c>
      <c r="F870" t="e">
        <f ca="1">_xludf.IFNA(VLOOKUP(B870,'S-FG'!$B$3:$B1001,1,FALSE),"")</f>
        <v>#NAME?</v>
      </c>
      <c r="L870" t="str">
        <f t="shared" si="10"/>
        <v/>
      </c>
      <c r="Q870" t="str">
        <f>IF(N870="","",SUMIFS('PR-BOM'!$D$3:$D1001,'PR-BOM'!$C$3:$C1001,N870))</f>
        <v/>
      </c>
      <c r="Y870" t="str">
        <f t="shared" si="11"/>
        <v/>
      </c>
      <c r="Z870" t="str">
        <f>IF(X870="","",SUMIFS(#REF!,RM!$C$4:$C991,X870))</f>
        <v/>
      </c>
      <c r="AA870" t="str">
        <f>IF(X870="","",SUMIFS(#REF!,RM!$C$4:$C991,X870))</f>
        <v/>
      </c>
      <c r="AB870" t="str">
        <f>IF(X870="","",SUMIFS(IRegback!$Y$2:$Y1001,IRegback!$X$2:$X1001,X870))</f>
        <v/>
      </c>
      <c r="AC870" t="e">
        <f t="shared" si="12"/>
        <v>#VALUE!</v>
      </c>
      <c r="AD870" t="str">
        <f>IF(X870="","",VLOOKUP($X870,RM!$C$4:$G991,3,FALSE))</f>
        <v/>
      </c>
      <c r="AE870" t="str">
        <f>IF(X870="","",VLOOKUP($X870,RM!$C$4:$G991,4,FALSE))</f>
        <v/>
      </c>
      <c r="AF870" t="str">
        <f>IF(X870="","",VLOOKUP($X870,RM!$C$4:$G991,5,FALSE))</f>
        <v/>
      </c>
      <c r="AL870" t="e">
        <f ca="1">_xludf.IFNA(VLOOKUP(AH870,'S-FG'!$B$3:$B1001,1,FALSE),"")</f>
        <v>#NAME?</v>
      </c>
      <c r="AM870" t="str">
        <f>IF(AI870="","",SUMIFS(#REF!,RM!$C$4:$C991,AI870))</f>
        <v/>
      </c>
    </row>
    <row r="871" spans="5:39">
      <c r="E871" t="str">
        <f>IF(A871="","",SUMIFS('PR-BOM'!$D$3:$D1001,'PR-BOM'!$C$3:$C1001,A871)*C871)</f>
        <v/>
      </c>
      <c r="F871" t="e">
        <f ca="1">_xludf.IFNA(VLOOKUP(B871,'S-FG'!$B$3:$B1001,1,FALSE),"")</f>
        <v>#NAME?</v>
      </c>
      <c r="L871" t="str">
        <f t="shared" si="10"/>
        <v/>
      </c>
      <c r="Q871" t="str">
        <f>IF(N871="","",SUMIFS('PR-BOM'!$D$3:$D1001,'PR-BOM'!$C$3:$C1001,N871))</f>
        <v/>
      </c>
      <c r="Y871" t="str">
        <f t="shared" si="11"/>
        <v/>
      </c>
      <c r="Z871" t="str">
        <f>IF(X871="","",SUMIFS(#REF!,RM!$C$4:$C991,X871))</f>
        <v/>
      </c>
      <c r="AA871" t="str">
        <f>IF(X871="","",SUMIFS(#REF!,RM!$C$4:$C991,X871))</f>
        <v/>
      </c>
      <c r="AB871" t="str">
        <f>IF(X871="","",SUMIFS(IRegback!$Y$2:$Y1001,IRegback!$X$2:$X1001,X871))</f>
        <v/>
      </c>
      <c r="AC871" t="e">
        <f t="shared" si="12"/>
        <v>#VALUE!</v>
      </c>
      <c r="AD871" t="str">
        <f>IF(X871="","",VLOOKUP($X871,RM!$C$4:$G991,3,FALSE))</f>
        <v/>
      </c>
      <c r="AE871" t="str">
        <f>IF(X871="","",VLOOKUP($X871,RM!$C$4:$G991,4,FALSE))</f>
        <v/>
      </c>
      <c r="AF871" t="str">
        <f>IF(X871="","",VLOOKUP($X871,RM!$C$4:$G991,5,FALSE))</f>
        <v/>
      </c>
      <c r="AL871" t="e">
        <f ca="1">_xludf.IFNA(VLOOKUP(AH871,'S-FG'!$B$3:$B1001,1,FALSE),"")</f>
        <v>#NAME?</v>
      </c>
      <c r="AM871" t="str">
        <f>IF(AI871="","",SUMIFS(#REF!,RM!$C$4:$C991,AI871))</f>
        <v/>
      </c>
    </row>
    <row r="872" spans="5:39">
      <c r="E872" t="str">
        <f>IF(A872="","",SUMIFS('PR-BOM'!$D$3:$D1001,'PR-BOM'!$C$3:$C1001,A872)*C872)</f>
        <v/>
      </c>
      <c r="F872" t="e">
        <f ca="1">_xludf.IFNA(VLOOKUP(B872,'S-FG'!$B$3:$B1001,1,FALSE),"")</f>
        <v>#NAME?</v>
      </c>
      <c r="L872" t="str">
        <f t="shared" si="10"/>
        <v/>
      </c>
      <c r="Q872" t="str">
        <f>IF(N872="","",SUMIFS('PR-BOM'!$D$3:$D1001,'PR-BOM'!$C$3:$C1001,N872))</f>
        <v/>
      </c>
      <c r="Y872" t="str">
        <f t="shared" si="11"/>
        <v/>
      </c>
      <c r="Z872" t="str">
        <f>IF(X872="","",SUMIFS(#REF!,RM!$C$4:$C991,X872))</f>
        <v/>
      </c>
      <c r="AA872" t="str">
        <f>IF(X872="","",SUMIFS(#REF!,RM!$C$4:$C991,X872))</f>
        <v/>
      </c>
      <c r="AB872" t="str">
        <f>IF(X872="","",SUMIFS(IRegback!$Y$2:$Y1001,IRegback!$X$2:$X1001,X872))</f>
        <v/>
      </c>
      <c r="AC872" t="e">
        <f t="shared" si="12"/>
        <v>#VALUE!</v>
      </c>
      <c r="AD872" t="str">
        <f>IF(X872="","",VLOOKUP($X872,RM!$C$4:$G991,3,FALSE))</f>
        <v/>
      </c>
      <c r="AE872" t="str">
        <f>IF(X872="","",VLOOKUP($X872,RM!$C$4:$G991,4,FALSE))</f>
        <v/>
      </c>
      <c r="AF872" t="str">
        <f>IF(X872="","",VLOOKUP($X872,RM!$C$4:$G991,5,FALSE))</f>
        <v/>
      </c>
      <c r="AL872" t="e">
        <f ca="1">_xludf.IFNA(VLOOKUP(AH872,'S-FG'!$B$3:$B1001,1,FALSE),"")</f>
        <v>#NAME?</v>
      </c>
      <c r="AM872" t="str">
        <f>IF(AI872="","",SUMIFS(#REF!,RM!$C$4:$C991,AI872))</f>
        <v/>
      </c>
    </row>
    <row r="873" spans="5:39">
      <c r="E873" t="str">
        <f>IF(A873="","",SUMIFS('PR-BOM'!$D$3:$D1001,'PR-BOM'!$C$3:$C1001,A873)*C873)</f>
        <v/>
      </c>
      <c r="F873" t="e">
        <f ca="1">_xludf.IFNA(VLOOKUP(B873,'S-FG'!$B$3:$B1001,1,FALSE),"")</f>
        <v>#NAME?</v>
      </c>
      <c r="L873" t="str">
        <f t="shared" si="10"/>
        <v/>
      </c>
      <c r="Q873" t="str">
        <f>IF(N873="","",SUMIFS('PR-BOM'!$D$3:$D1001,'PR-BOM'!$C$3:$C1001,N873))</f>
        <v/>
      </c>
      <c r="Y873" t="str">
        <f t="shared" si="11"/>
        <v/>
      </c>
      <c r="Z873" t="str">
        <f>IF(X873="","",SUMIFS(#REF!,RM!$C$4:$C991,X873))</f>
        <v/>
      </c>
      <c r="AA873" t="str">
        <f>IF(X873="","",SUMIFS(#REF!,RM!$C$4:$C991,X873))</f>
        <v/>
      </c>
      <c r="AB873" t="str">
        <f>IF(X873="","",SUMIFS(IRegback!$Y$2:$Y1001,IRegback!$X$2:$X1001,X873))</f>
        <v/>
      </c>
      <c r="AC873" t="e">
        <f t="shared" si="12"/>
        <v>#VALUE!</v>
      </c>
      <c r="AD873" t="str">
        <f>IF(X873="","",VLOOKUP($X873,RM!$C$4:$G991,3,FALSE))</f>
        <v/>
      </c>
      <c r="AE873" t="str">
        <f>IF(X873="","",VLOOKUP($X873,RM!$C$4:$G991,4,FALSE))</f>
        <v/>
      </c>
      <c r="AF873" t="str">
        <f>IF(X873="","",VLOOKUP($X873,RM!$C$4:$G991,5,FALSE))</f>
        <v/>
      </c>
      <c r="AL873" t="e">
        <f ca="1">_xludf.IFNA(VLOOKUP(AH873,'S-FG'!$B$3:$B1001,1,FALSE),"")</f>
        <v>#NAME?</v>
      </c>
      <c r="AM873" t="str">
        <f>IF(AI873="","",SUMIFS(#REF!,RM!$C$4:$C991,AI873))</f>
        <v/>
      </c>
    </row>
    <row r="874" spans="5:39">
      <c r="E874" t="str">
        <f>IF(A874="","",SUMIFS('PR-BOM'!$D$3:$D1001,'PR-BOM'!$C$3:$C1001,A874)*C874)</f>
        <v/>
      </c>
      <c r="F874" t="e">
        <f ca="1">_xludf.IFNA(VLOOKUP(B874,'S-FG'!$B$3:$B1001,1,FALSE),"")</f>
        <v>#NAME?</v>
      </c>
      <c r="L874" t="str">
        <f t="shared" si="10"/>
        <v/>
      </c>
      <c r="Q874" t="str">
        <f>IF(N874="","",SUMIFS('PR-BOM'!$D$3:$D1001,'PR-BOM'!$C$3:$C1001,N874))</f>
        <v/>
      </c>
      <c r="Y874" t="str">
        <f t="shared" si="11"/>
        <v/>
      </c>
      <c r="Z874" t="str">
        <f>IF(X874="","",SUMIFS(#REF!,RM!$C$4:$C991,X874))</f>
        <v/>
      </c>
      <c r="AA874" t="str">
        <f>IF(X874="","",SUMIFS(#REF!,RM!$C$4:$C991,X874))</f>
        <v/>
      </c>
      <c r="AB874" t="str">
        <f>IF(X874="","",SUMIFS(IRegback!$Y$2:$Y1001,IRegback!$X$2:$X1001,X874))</f>
        <v/>
      </c>
      <c r="AC874" t="e">
        <f t="shared" si="12"/>
        <v>#VALUE!</v>
      </c>
      <c r="AD874" t="str">
        <f>IF(X874="","",VLOOKUP($X874,RM!$C$4:$G991,3,FALSE))</f>
        <v/>
      </c>
      <c r="AE874" t="str">
        <f>IF(X874="","",VLOOKUP($X874,RM!$C$4:$G991,4,FALSE))</f>
        <v/>
      </c>
      <c r="AF874" t="str">
        <f>IF(X874="","",VLOOKUP($X874,RM!$C$4:$G991,5,FALSE))</f>
        <v/>
      </c>
      <c r="AL874" t="e">
        <f ca="1">_xludf.IFNA(VLOOKUP(AH874,'S-FG'!$B$3:$B1001,1,FALSE),"")</f>
        <v>#NAME?</v>
      </c>
      <c r="AM874" t="str">
        <f>IF(AI874="","",SUMIFS(#REF!,RM!$C$4:$C991,AI874))</f>
        <v/>
      </c>
    </row>
    <row r="875" spans="5:39">
      <c r="E875" t="str">
        <f>IF(A875="","",SUMIFS('PR-BOM'!$D$3:$D1001,'PR-BOM'!$C$3:$C1001,A875)*C875)</f>
        <v/>
      </c>
      <c r="F875" t="e">
        <f ca="1">_xludf.IFNA(VLOOKUP(B875,'S-FG'!$B$3:$B1001,1,FALSE),"")</f>
        <v>#NAME?</v>
      </c>
      <c r="L875" t="str">
        <f t="shared" si="10"/>
        <v/>
      </c>
      <c r="Q875" t="str">
        <f>IF(N875="","",SUMIFS('PR-BOM'!$D$3:$D1001,'PR-BOM'!$C$3:$C1001,N875))</f>
        <v/>
      </c>
      <c r="Y875" t="str">
        <f t="shared" si="11"/>
        <v/>
      </c>
      <c r="Z875" t="str">
        <f>IF(X875="","",SUMIFS(#REF!,RM!$C$4:$C991,X875))</f>
        <v/>
      </c>
      <c r="AA875" t="str">
        <f>IF(X875="","",SUMIFS(#REF!,RM!$C$4:$C991,X875))</f>
        <v/>
      </c>
      <c r="AB875" t="str">
        <f>IF(X875="","",SUMIFS(IRegback!$Y$2:$Y1001,IRegback!$X$2:$X1001,X875))</f>
        <v/>
      </c>
      <c r="AC875" t="e">
        <f t="shared" si="12"/>
        <v>#VALUE!</v>
      </c>
      <c r="AD875" t="str">
        <f>IF(X875="","",VLOOKUP($X875,RM!$C$4:$G991,3,FALSE))</f>
        <v/>
      </c>
      <c r="AE875" t="str">
        <f>IF(X875="","",VLOOKUP($X875,RM!$C$4:$G991,4,FALSE))</f>
        <v/>
      </c>
      <c r="AF875" t="str">
        <f>IF(X875="","",VLOOKUP($X875,RM!$C$4:$G991,5,FALSE))</f>
        <v/>
      </c>
      <c r="AL875" t="e">
        <f ca="1">_xludf.IFNA(VLOOKUP(AH875,'S-FG'!$B$3:$B1001,1,FALSE),"")</f>
        <v>#NAME?</v>
      </c>
      <c r="AM875" t="str">
        <f>IF(AI875="","",SUMIFS(#REF!,RM!$C$4:$C991,AI875))</f>
        <v/>
      </c>
    </row>
    <row r="876" spans="5:39">
      <c r="E876" t="str">
        <f>IF(A876="","",SUMIFS('PR-BOM'!$D$3:$D1001,'PR-BOM'!$C$3:$C1001,A876)*C876)</f>
        <v/>
      </c>
      <c r="F876" t="e">
        <f ca="1">_xludf.IFNA(VLOOKUP(B876,'S-FG'!$B$3:$B1001,1,FALSE),"")</f>
        <v>#NAME?</v>
      </c>
      <c r="L876" t="str">
        <f t="shared" si="10"/>
        <v/>
      </c>
      <c r="Q876" t="str">
        <f>IF(N876="","",SUMIFS('PR-BOM'!$D$3:$D1001,'PR-BOM'!$C$3:$C1001,N876))</f>
        <v/>
      </c>
      <c r="Y876" t="str">
        <f t="shared" si="11"/>
        <v/>
      </c>
      <c r="Z876" t="str">
        <f>IF(X876="","",SUMIFS(#REF!,RM!$C$4:$C991,X876))</f>
        <v/>
      </c>
      <c r="AA876" t="str">
        <f>IF(X876="","",SUMIFS(#REF!,RM!$C$4:$C991,X876))</f>
        <v/>
      </c>
      <c r="AB876" t="str">
        <f>IF(X876="","",SUMIFS(IRegback!$Y$2:$Y1001,IRegback!$X$2:$X1001,X876))</f>
        <v/>
      </c>
      <c r="AC876" t="e">
        <f t="shared" si="12"/>
        <v>#VALUE!</v>
      </c>
      <c r="AD876" t="str">
        <f>IF(X876="","",VLOOKUP($X876,RM!$C$4:$G991,3,FALSE))</f>
        <v/>
      </c>
      <c r="AE876" t="str">
        <f>IF(X876="","",VLOOKUP($X876,RM!$C$4:$G991,4,FALSE))</f>
        <v/>
      </c>
      <c r="AF876" t="str">
        <f>IF(X876="","",VLOOKUP($X876,RM!$C$4:$G991,5,FALSE))</f>
        <v/>
      </c>
      <c r="AL876" t="e">
        <f ca="1">_xludf.IFNA(VLOOKUP(AH876,'S-FG'!$B$3:$B1001,1,FALSE),"")</f>
        <v>#NAME?</v>
      </c>
      <c r="AM876" t="str">
        <f>IF(AI876="","",SUMIFS(#REF!,RM!$C$4:$C991,AI876))</f>
        <v/>
      </c>
    </row>
    <row r="877" spans="5:39">
      <c r="E877" t="str">
        <f>IF(A877="","",SUMIFS('PR-BOM'!$D$3:$D1001,'PR-BOM'!$C$3:$C1001,A877)*C877)</f>
        <v/>
      </c>
      <c r="F877" t="e">
        <f ca="1">_xludf.IFNA(VLOOKUP(B877,'S-FG'!$B$3:$B1001,1,FALSE),"")</f>
        <v>#NAME?</v>
      </c>
      <c r="L877" t="str">
        <f t="shared" si="10"/>
        <v/>
      </c>
      <c r="Q877" t="str">
        <f>IF(N877="","",SUMIFS('PR-BOM'!$D$3:$D1001,'PR-BOM'!$C$3:$C1001,N877))</f>
        <v/>
      </c>
      <c r="Y877" t="str">
        <f t="shared" si="11"/>
        <v/>
      </c>
      <c r="Z877" t="str">
        <f>IF(X877="","",SUMIFS(#REF!,RM!$C$4:$C991,X877))</f>
        <v/>
      </c>
      <c r="AA877" t="str">
        <f>IF(X877="","",SUMIFS(#REF!,RM!$C$4:$C991,X877))</f>
        <v/>
      </c>
      <c r="AB877" t="str">
        <f>IF(X877="","",SUMIFS(IRegback!$Y$2:$Y1001,IRegback!$X$2:$X1001,X877))</f>
        <v/>
      </c>
      <c r="AC877" t="e">
        <f t="shared" si="12"/>
        <v>#VALUE!</v>
      </c>
      <c r="AD877" t="str">
        <f>IF(X877="","",VLOOKUP($X877,RM!$C$4:$G991,3,FALSE))</f>
        <v/>
      </c>
      <c r="AE877" t="str">
        <f>IF(X877="","",VLOOKUP($X877,RM!$C$4:$G991,4,FALSE))</f>
        <v/>
      </c>
      <c r="AF877" t="str">
        <f>IF(X877="","",VLOOKUP($X877,RM!$C$4:$G991,5,FALSE))</f>
        <v/>
      </c>
      <c r="AL877" t="e">
        <f ca="1">_xludf.IFNA(VLOOKUP(AH877,'S-FG'!$B$3:$B1001,1,FALSE),"")</f>
        <v>#NAME?</v>
      </c>
      <c r="AM877" t="str">
        <f>IF(AI877="","",SUMIFS(#REF!,RM!$C$4:$C991,AI877))</f>
        <v/>
      </c>
    </row>
    <row r="878" spans="5:39">
      <c r="E878" t="str">
        <f>IF(A878="","",SUMIFS('PR-BOM'!$D$3:$D1001,'PR-BOM'!$C$3:$C1001,A878)*C878)</f>
        <v/>
      </c>
      <c r="F878" t="e">
        <f ca="1">_xludf.IFNA(VLOOKUP(B878,'S-FG'!$B$3:$B1001,1,FALSE),"")</f>
        <v>#NAME?</v>
      </c>
      <c r="L878" t="str">
        <f t="shared" si="10"/>
        <v/>
      </c>
      <c r="Q878" t="str">
        <f>IF(N878="","",SUMIFS('PR-BOM'!$D$3:$D1001,'PR-BOM'!$C$3:$C1001,N878))</f>
        <v/>
      </c>
      <c r="Y878" t="str">
        <f t="shared" si="11"/>
        <v/>
      </c>
      <c r="Z878" t="str">
        <f>IF(X878="","",SUMIFS(#REF!,RM!$C$4:$C991,X878))</f>
        <v/>
      </c>
      <c r="AA878" t="str">
        <f>IF(X878="","",SUMIFS(#REF!,RM!$C$4:$C991,X878))</f>
        <v/>
      </c>
      <c r="AB878" t="str">
        <f>IF(X878="","",SUMIFS(IRegback!$Y$2:$Y1001,IRegback!$X$2:$X1001,X878))</f>
        <v/>
      </c>
      <c r="AC878" t="e">
        <f t="shared" si="12"/>
        <v>#VALUE!</v>
      </c>
      <c r="AD878" t="str">
        <f>IF(X878="","",VLOOKUP($X878,RM!$C$4:$G991,3,FALSE))</f>
        <v/>
      </c>
      <c r="AE878" t="str">
        <f>IF(X878="","",VLOOKUP($X878,RM!$C$4:$G991,4,FALSE))</f>
        <v/>
      </c>
      <c r="AF878" t="str">
        <f>IF(X878="","",VLOOKUP($X878,RM!$C$4:$G991,5,FALSE))</f>
        <v/>
      </c>
      <c r="AL878" t="e">
        <f ca="1">_xludf.IFNA(VLOOKUP(AH878,'S-FG'!$B$3:$B1001,1,FALSE),"")</f>
        <v>#NAME?</v>
      </c>
      <c r="AM878" t="str">
        <f>IF(AI878="","",SUMIFS(#REF!,RM!$C$4:$C991,AI878))</f>
        <v/>
      </c>
    </row>
    <row r="879" spans="5:39">
      <c r="E879" t="str">
        <f>IF(A879="","",SUMIFS('PR-BOM'!$D$3:$D1001,'PR-BOM'!$C$3:$C1001,A879)*C879)</f>
        <v/>
      </c>
      <c r="F879" t="e">
        <f ca="1">_xludf.IFNA(VLOOKUP(B879,'S-FG'!$B$3:$B1001,1,FALSE),"")</f>
        <v>#NAME?</v>
      </c>
      <c r="L879" t="str">
        <f t="shared" si="10"/>
        <v/>
      </c>
      <c r="Q879" t="str">
        <f>IF(N879="","",SUMIFS('PR-BOM'!$D$3:$D1001,'PR-BOM'!$C$3:$C1001,N879))</f>
        <v/>
      </c>
      <c r="Y879" t="str">
        <f t="shared" si="11"/>
        <v/>
      </c>
      <c r="Z879" t="str">
        <f>IF(X879="","",SUMIFS(#REF!,RM!$C$4:$C991,X879))</f>
        <v/>
      </c>
      <c r="AA879" t="str">
        <f>IF(X879="","",SUMIFS(#REF!,RM!$C$4:$C991,X879))</f>
        <v/>
      </c>
      <c r="AB879" t="str">
        <f>IF(X879="","",SUMIFS(IRegback!$Y$2:$Y1001,IRegback!$X$2:$X1001,X879))</f>
        <v/>
      </c>
      <c r="AC879" t="e">
        <f t="shared" si="12"/>
        <v>#VALUE!</v>
      </c>
      <c r="AD879" t="str">
        <f>IF(X879="","",VLOOKUP($X879,RM!$C$4:$G991,3,FALSE))</f>
        <v/>
      </c>
      <c r="AE879" t="str">
        <f>IF(X879="","",VLOOKUP($X879,RM!$C$4:$G991,4,FALSE))</f>
        <v/>
      </c>
      <c r="AF879" t="str">
        <f>IF(X879="","",VLOOKUP($X879,RM!$C$4:$G991,5,FALSE))</f>
        <v/>
      </c>
      <c r="AL879" t="e">
        <f ca="1">_xludf.IFNA(VLOOKUP(AH879,'S-FG'!$B$3:$B1001,1,FALSE),"")</f>
        <v>#NAME?</v>
      </c>
      <c r="AM879" t="str">
        <f>IF(AI879="","",SUMIFS(#REF!,RM!$C$4:$C991,AI879))</f>
        <v/>
      </c>
    </row>
    <row r="880" spans="5:39">
      <c r="E880" t="str">
        <f>IF(A880="","",SUMIFS('PR-BOM'!$D$3:$D1001,'PR-BOM'!$C$3:$C1001,A880)*C880)</f>
        <v/>
      </c>
      <c r="F880" t="e">
        <f ca="1">_xludf.IFNA(VLOOKUP(B880,'S-FG'!$B$3:$B1001,1,FALSE),"")</f>
        <v>#NAME?</v>
      </c>
      <c r="L880" t="str">
        <f t="shared" si="10"/>
        <v/>
      </c>
      <c r="Q880" t="str">
        <f>IF(N880="","",SUMIFS('PR-BOM'!$D$3:$D1001,'PR-BOM'!$C$3:$C1001,N880))</f>
        <v/>
      </c>
      <c r="Y880" t="str">
        <f t="shared" si="11"/>
        <v/>
      </c>
      <c r="Z880" t="str">
        <f>IF(X880="","",SUMIFS(#REF!,RM!$C$4:$C991,X880))</f>
        <v/>
      </c>
      <c r="AA880" t="str">
        <f>IF(X880="","",SUMIFS(#REF!,RM!$C$4:$C991,X880))</f>
        <v/>
      </c>
      <c r="AB880" t="str">
        <f>IF(X880="","",SUMIFS(IRegback!$Y$2:$Y1001,IRegback!$X$2:$X1001,X880))</f>
        <v/>
      </c>
      <c r="AC880" t="e">
        <f t="shared" si="12"/>
        <v>#VALUE!</v>
      </c>
      <c r="AD880" t="str">
        <f>IF(X880="","",VLOOKUP($X880,RM!$C$4:$G991,3,FALSE))</f>
        <v/>
      </c>
      <c r="AE880" t="str">
        <f>IF(X880="","",VLOOKUP($X880,RM!$C$4:$G991,4,FALSE))</f>
        <v/>
      </c>
      <c r="AF880" t="str">
        <f>IF(X880="","",VLOOKUP($X880,RM!$C$4:$G991,5,FALSE))</f>
        <v/>
      </c>
      <c r="AL880" t="e">
        <f ca="1">_xludf.IFNA(VLOOKUP(AH880,'S-FG'!$B$3:$B1001,1,FALSE),"")</f>
        <v>#NAME?</v>
      </c>
      <c r="AM880" t="str">
        <f>IF(AI880="","",SUMIFS(#REF!,RM!$C$4:$C991,AI880))</f>
        <v/>
      </c>
    </row>
    <row r="881" spans="5:39">
      <c r="E881" t="str">
        <f>IF(A881="","",SUMIFS('PR-BOM'!$D$3:$D1001,'PR-BOM'!$C$3:$C1001,A881)*C881)</f>
        <v/>
      </c>
      <c r="F881" t="e">
        <f ca="1">_xludf.IFNA(VLOOKUP(B881,'S-FG'!$B$3:$B1001,1,FALSE),"")</f>
        <v>#NAME?</v>
      </c>
      <c r="L881" t="str">
        <f t="shared" si="10"/>
        <v/>
      </c>
      <c r="Q881" t="str">
        <f>IF(N881="","",SUMIFS('PR-BOM'!$D$3:$D1001,'PR-BOM'!$C$3:$C1001,N881))</f>
        <v/>
      </c>
      <c r="Y881" t="str">
        <f t="shared" si="11"/>
        <v/>
      </c>
      <c r="Z881" t="str">
        <f>IF(X881="","",SUMIFS(#REF!,RM!$C$4:$C991,X881))</f>
        <v/>
      </c>
      <c r="AA881" t="str">
        <f>IF(X881="","",SUMIFS(#REF!,RM!$C$4:$C991,X881))</f>
        <v/>
      </c>
      <c r="AB881" t="str">
        <f>IF(X881="","",SUMIFS(IRegback!$Y$2:$Y1001,IRegback!$X$2:$X1001,X881))</f>
        <v/>
      </c>
      <c r="AC881" t="e">
        <f t="shared" si="12"/>
        <v>#VALUE!</v>
      </c>
      <c r="AD881" t="str">
        <f>IF(X881="","",VLOOKUP($X881,RM!$C$4:$G991,3,FALSE))</f>
        <v/>
      </c>
      <c r="AE881" t="str">
        <f>IF(X881="","",VLOOKUP($X881,RM!$C$4:$G991,4,FALSE))</f>
        <v/>
      </c>
      <c r="AF881" t="str">
        <f>IF(X881="","",VLOOKUP($X881,RM!$C$4:$G991,5,FALSE))</f>
        <v/>
      </c>
      <c r="AL881" t="e">
        <f ca="1">_xludf.IFNA(VLOOKUP(AH881,'S-FG'!$B$3:$B1001,1,FALSE),"")</f>
        <v>#NAME?</v>
      </c>
      <c r="AM881" t="str">
        <f>IF(AI881="","",SUMIFS(#REF!,RM!$C$4:$C991,AI881))</f>
        <v/>
      </c>
    </row>
    <row r="882" spans="5:39">
      <c r="E882" t="str">
        <f>IF(A882="","",SUMIFS('PR-BOM'!$D$3:$D1001,'PR-BOM'!$C$3:$C1001,A882)*C882)</f>
        <v/>
      </c>
      <c r="F882" t="e">
        <f ca="1">_xludf.IFNA(VLOOKUP(B882,'S-FG'!$B$3:$B1001,1,FALSE),"")</f>
        <v>#NAME?</v>
      </c>
      <c r="L882" t="str">
        <f t="shared" si="10"/>
        <v/>
      </c>
      <c r="Q882" t="str">
        <f>IF(N882="","",SUMIFS('PR-BOM'!$D$3:$D1001,'PR-BOM'!$C$3:$C1001,N882))</f>
        <v/>
      </c>
      <c r="Y882" t="str">
        <f t="shared" si="11"/>
        <v/>
      </c>
      <c r="Z882" t="str">
        <f>IF(X882="","",SUMIFS(#REF!,RM!$C$4:$C991,X882))</f>
        <v/>
      </c>
      <c r="AA882" t="str">
        <f>IF(X882="","",SUMIFS(#REF!,RM!$C$4:$C991,X882))</f>
        <v/>
      </c>
      <c r="AB882" t="str">
        <f>IF(X882="","",SUMIFS(IRegback!$Y$2:$Y1001,IRegback!$X$2:$X1001,X882))</f>
        <v/>
      </c>
      <c r="AC882" t="e">
        <f t="shared" si="12"/>
        <v>#VALUE!</v>
      </c>
      <c r="AD882" t="str">
        <f>IF(X882="","",VLOOKUP($X882,RM!$C$4:$G991,3,FALSE))</f>
        <v/>
      </c>
      <c r="AE882" t="str">
        <f>IF(X882="","",VLOOKUP($X882,RM!$C$4:$G991,4,FALSE))</f>
        <v/>
      </c>
      <c r="AF882" t="str">
        <f>IF(X882="","",VLOOKUP($X882,RM!$C$4:$G991,5,FALSE))</f>
        <v/>
      </c>
      <c r="AL882" t="e">
        <f ca="1">_xludf.IFNA(VLOOKUP(AH882,'S-FG'!$B$3:$B1001,1,FALSE),"")</f>
        <v>#NAME?</v>
      </c>
      <c r="AM882" t="str">
        <f>IF(AI882="","",SUMIFS(#REF!,RM!$C$4:$C991,AI882))</f>
        <v/>
      </c>
    </row>
    <row r="883" spans="5:39">
      <c r="E883" t="str">
        <f>IF(A883="","",SUMIFS('PR-BOM'!$D$3:$D1001,'PR-BOM'!$C$3:$C1001,A883)*C883)</f>
        <v/>
      </c>
      <c r="F883" t="e">
        <f ca="1">_xludf.IFNA(VLOOKUP(B883,'S-FG'!$B$3:$B1001,1,FALSE),"")</f>
        <v>#NAME?</v>
      </c>
      <c r="L883" t="str">
        <f t="shared" si="10"/>
        <v/>
      </c>
      <c r="Q883" t="str">
        <f>IF(N883="","",SUMIFS('PR-BOM'!$D$3:$D1001,'PR-BOM'!$C$3:$C1001,N883))</f>
        <v/>
      </c>
      <c r="Y883" t="str">
        <f t="shared" si="11"/>
        <v/>
      </c>
      <c r="Z883" t="str">
        <f>IF(X883="","",SUMIFS(#REF!,RM!$C$4:$C991,X883))</f>
        <v/>
      </c>
      <c r="AA883" t="str">
        <f>IF(X883="","",SUMIFS(#REF!,RM!$C$4:$C991,X883))</f>
        <v/>
      </c>
      <c r="AB883" t="str">
        <f>IF(X883="","",SUMIFS(IRegback!$Y$2:$Y1001,IRegback!$X$2:$X1001,X883))</f>
        <v/>
      </c>
      <c r="AC883" t="e">
        <f t="shared" si="12"/>
        <v>#VALUE!</v>
      </c>
      <c r="AD883" t="str">
        <f>IF(X883="","",VLOOKUP($X883,RM!$C$4:$G991,3,FALSE))</f>
        <v/>
      </c>
      <c r="AE883" t="str">
        <f>IF(X883="","",VLOOKUP($X883,RM!$C$4:$G991,4,FALSE))</f>
        <v/>
      </c>
      <c r="AF883" t="str">
        <f>IF(X883="","",VLOOKUP($X883,RM!$C$4:$G991,5,FALSE))</f>
        <v/>
      </c>
      <c r="AL883" t="e">
        <f ca="1">_xludf.IFNA(VLOOKUP(AH883,'S-FG'!$B$3:$B1001,1,FALSE),"")</f>
        <v>#NAME?</v>
      </c>
      <c r="AM883" t="str">
        <f>IF(AI883="","",SUMIFS(#REF!,RM!$C$4:$C991,AI883))</f>
        <v/>
      </c>
    </row>
    <row r="884" spans="5:39">
      <c r="E884" t="str">
        <f>IF(A884="","",SUMIFS('PR-BOM'!$D$3:$D1001,'PR-BOM'!$C$3:$C1001,A884)*C884)</f>
        <v/>
      </c>
      <c r="F884" t="e">
        <f ca="1">_xludf.IFNA(VLOOKUP(B884,'S-FG'!$B$3:$B1001,1,FALSE),"")</f>
        <v>#NAME?</v>
      </c>
      <c r="L884" t="str">
        <f t="shared" si="10"/>
        <v/>
      </c>
      <c r="Q884" t="str">
        <f>IF(N884="","",SUMIFS('PR-BOM'!$D$3:$D1001,'PR-BOM'!$C$3:$C1001,N884))</f>
        <v/>
      </c>
      <c r="Y884" t="str">
        <f t="shared" si="11"/>
        <v/>
      </c>
      <c r="Z884" t="str">
        <f>IF(X884="","",SUMIFS(#REF!,RM!$C$4:$C991,X884))</f>
        <v/>
      </c>
      <c r="AA884" t="str">
        <f>IF(X884="","",SUMIFS(#REF!,RM!$C$4:$C991,X884))</f>
        <v/>
      </c>
      <c r="AB884" t="str">
        <f>IF(X884="","",SUMIFS(IRegback!$Y$2:$Y1001,IRegback!$X$2:$X1001,X884))</f>
        <v/>
      </c>
      <c r="AC884" t="e">
        <f t="shared" si="12"/>
        <v>#VALUE!</v>
      </c>
      <c r="AD884" t="str">
        <f>IF(X884="","",VLOOKUP($X884,RM!$C$4:$G991,3,FALSE))</f>
        <v/>
      </c>
      <c r="AE884" t="str">
        <f>IF(X884="","",VLOOKUP($X884,RM!$C$4:$G991,4,FALSE))</f>
        <v/>
      </c>
      <c r="AF884" t="str">
        <f>IF(X884="","",VLOOKUP($X884,RM!$C$4:$G991,5,FALSE))</f>
        <v/>
      </c>
      <c r="AL884" t="e">
        <f ca="1">_xludf.IFNA(VLOOKUP(AH884,'S-FG'!$B$3:$B1001,1,FALSE),"")</f>
        <v>#NAME?</v>
      </c>
      <c r="AM884" t="str">
        <f>IF(AI884="","",SUMIFS(#REF!,RM!$C$4:$C991,AI884))</f>
        <v/>
      </c>
    </row>
    <row r="885" spans="5:39">
      <c r="E885" t="str">
        <f>IF(A885="","",SUMIFS('PR-BOM'!$D$3:$D1001,'PR-BOM'!$C$3:$C1001,A885)*C885)</f>
        <v/>
      </c>
      <c r="F885" t="e">
        <f ca="1">_xludf.IFNA(VLOOKUP(B885,'S-FG'!$B$3:$B1001,1,FALSE),"")</f>
        <v>#NAME?</v>
      </c>
      <c r="L885" t="str">
        <f t="shared" si="10"/>
        <v/>
      </c>
      <c r="Q885" t="str">
        <f>IF(N885="","",SUMIFS('PR-BOM'!$D$3:$D1001,'PR-BOM'!$C$3:$C1001,N885))</f>
        <v/>
      </c>
      <c r="Y885" t="str">
        <f t="shared" si="11"/>
        <v/>
      </c>
      <c r="Z885" t="str">
        <f>IF(X885="","",SUMIFS(#REF!,RM!$C$4:$C991,X885))</f>
        <v/>
      </c>
      <c r="AA885" t="str">
        <f>IF(X885="","",SUMIFS(#REF!,RM!$C$4:$C991,X885))</f>
        <v/>
      </c>
      <c r="AB885" t="str">
        <f>IF(X885="","",SUMIFS(IRegback!$Y$2:$Y1001,IRegback!$X$2:$X1001,X885))</f>
        <v/>
      </c>
      <c r="AC885" t="e">
        <f t="shared" si="12"/>
        <v>#VALUE!</v>
      </c>
      <c r="AD885" t="str">
        <f>IF(X885="","",VLOOKUP($X885,RM!$C$4:$G991,3,FALSE))</f>
        <v/>
      </c>
      <c r="AE885" t="str">
        <f>IF(X885="","",VLOOKUP($X885,RM!$C$4:$G991,4,FALSE))</f>
        <v/>
      </c>
      <c r="AF885" t="str">
        <f>IF(X885="","",VLOOKUP($X885,RM!$C$4:$G991,5,FALSE))</f>
        <v/>
      </c>
      <c r="AL885" t="e">
        <f ca="1">_xludf.IFNA(VLOOKUP(AH885,'S-FG'!$B$3:$B1001,1,FALSE),"")</f>
        <v>#NAME?</v>
      </c>
      <c r="AM885" t="str">
        <f>IF(AI885="","",SUMIFS(#REF!,RM!$C$4:$C991,AI885))</f>
        <v/>
      </c>
    </row>
    <row r="886" spans="5:39">
      <c r="E886" t="str">
        <f>IF(A886="","",SUMIFS('PR-BOM'!$D$3:$D1001,'PR-BOM'!$C$3:$C1001,A886)*C886)</f>
        <v/>
      </c>
      <c r="F886" t="e">
        <f ca="1">_xludf.IFNA(VLOOKUP(B886,'S-FG'!$B$3:$B1001,1,FALSE),"")</f>
        <v>#NAME?</v>
      </c>
      <c r="L886" t="str">
        <f t="shared" si="10"/>
        <v/>
      </c>
      <c r="Q886" t="str">
        <f>IF(N886="","",SUMIFS('PR-BOM'!$D$3:$D1001,'PR-BOM'!$C$3:$C1001,N886))</f>
        <v/>
      </c>
      <c r="Y886" t="str">
        <f t="shared" si="11"/>
        <v/>
      </c>
      <c r="Z886" t="str">
        <f>IF(X886="","",SUMIFS(#REF!,RM!$C$4:$C991,X886))</f>
        <v/>
      </c>
      <c r="AA886" t="str">
        <f>IF(X886="","",SUMIFS(#REF!,RM!$C$4:$C991,X886))</f>
        <v/>
      </c>
      <c r="AB886" t="str">
        <f>IF(X886="","",SUMIFS(IRegback!$Y$2:$Y1001,IRegback!$X$2:$X1001,X886))</f>
        <v/>
      </c>
      <c r="AC886" t="e">
        <f t="shared" si="12"/>
        <v>#VALUE!</v>
      </c>
      <c r="AD886" t="str">
        <f>IF(X886="","",VLOOKUP($X886,RM!$C$4:$G991,3,FALSE))</f>
        <v/>
      </c>
      <c r="AE886" t="str">
        <f>IF(X886="","",VLOOKUP($X886,RM!$C$4:$G991,4,FALSE))</f>
        <v/>
      </c>
      <c r="AF886" t="str">
        <f>IF(X886="","",VLOOKUP($X886,RM!$C$4:$G991,5,FALSE))</f>
        <v/>
      </c>
      <c r="AL886" t="e">
        <f ca="1">_xludf.IFNA(VLOOKUP(AH886,'S-FG'!$B$3:$B1001,1,FALSE),"")</f>
        <v>#NAME?</v>
      </c>
      <c r="AM886" t="str">
        <f>IF(AI886="","",SUMIFS(#REF!,RM!$C$4:$C991,AI886))</f>
        <v/>
      </c>
    </row>
    <row r="887" spans="5:39">
      <c r="E887" t="str">
        <f>IF(A887="","",SUMIFS('PR-BOM'!$D$3:$D1001,'PR-BOM'!$C$3:$C1001,A887)*C887)</f>
        <v/>
      </c>
      <c r="F887" t="e">
        <f ca="1">_xludf.IFNA(VLOOKUP(B887,'S-FG'!$B$3:$B1001,1,FALSE),"")</f>
        <v>#NAME?</v>
      </c>
      <c r="L887" t="str">
        <f t="shared" si="10"/>
        <v/>
      </c>
      <c r="Q887" t="str">
        <f>IF(N887="","",SUMIFS('PR-BOM'!$D$3:$D1001,'PR-BOM'!$C$3:$C1001,N887))</f>
        <v/>
      </c>
      <c r="Y887" t="str">
        <f t="shared" si="11"/>
        <v/>
      </c>
      <c r="Z887" t="str">
        <f>IF(X887="","",SUMIFS(#REF!,RM!$C$4:$C991,X887))</f>
        <v/>
      </c>
      <c r="AA887" t="str">
        <f>IF(X887="","",SUMIFS(#REF!,RM!$C$4:$C991,X887))</f>
        <v/>
      </c>
      <c r="AB887" t="str">
        <f>IF(X887="","",SUMIFS(IRegback!$Y$2:$Y1001,IRegback!$X$2:$X1001,X887))</f>
        <v/>
      </c>
      <c r="AC887" t="e">
        <f t="shared" si="12"/>
        <v>#VALUE!</v>
      </c>
      <c r="AD887" t="str">
        <f>IF(X887="","",VLOOKUP($X887,RM!$C$4:$G991,3,FALSE))</f>
        <v/>
      </c>
      <c r="AE887" t="str">
        <f>IF(X887="","",VLOOKUP($X887,RM!$C$4:$G991,4,FALSE))</f>
        <v/>
      </c>
      <c r="AF887" t="str">
        <f>IF(X887="","",VLOOKUP($X887,RM!$C$4:$G991,5,FALSE))</f>
        <v/>
      </c>
      <c r="AL887" t="e">
        <f ca="1">_xludf.IFNA(VLOOKUP(AH887,'S-FG'!$B$3:$B1001,1,FALSE),"")</f>
        <v>#NAME?</v>
      </c>
      <c r="AM887" t="str">
        <f>IF(AI887="","",SUMIFS(#REF!,RM!$C$4:$C991,AI887))</f>
        <v/>
      </c>
    </row>
    <row r="888" spans="5:39">
      <c r="E888" t="str">
        <f>IF(A888="","",SUMIFS('PR-BOM'!$D$3:$D1001,'PR-BOM'!$C$3:$C1001,A888)*C888)</f>
        <v/>
      </c>
      <c r="F888" t="e">
        <f ca="1">_xludf.IFNA(VLOOKUP(B888,'S-FG'!$B$3:$B1001,1,FALSE),"")</f>
        <v>#NAME?</v>
      </c>
      <c r="L888" t="str">
        <f t="shared" si="10"/>
        <v/>
      </c>
      <c r="Q888" t="str">
        <f>IF(N888="","",SUMIFS('PR-BOM'!$D$3:$D1001,'PR-BOM'!$C$3:$C1001,N888))</f>
        <v/>
      </c>
      <c r="Y888" t="str">
        <f t="shared" si="11"/>
        <v/>
      </c>
      <c r="Z888" t="str">
        <f>IF(X888="","",SUMIFS(#REF!,RM!$C$4:$C991,X888))</f>
        <v/>
      </c>
      <c r="AA888" t="str">
        <f>IF(X888="","",SUMIFS(#REF!,RM!$C$4:$C991,X888))</f>
        <v/>
      </c>
      <c r="AB888" t="str">
        <f>IF(X888="","",SUMIFS(IRegback!$Y$2:$Y1001,IRegback!$X$2:$X1001,X888))</f>
        <v/>
      </c>
      <c r="AC888" t="e">
        <f t="shared" si="12"/>
        <v>#VALUE!</v>
      </c>
      <c r="AD888" t="str">
        <f>IF(X888="","",VLOOKUP($X888,RM!$C$4:$G991,3,FALSE))</f>
        <v/>
      </c>
      <c r="AE888" t="str">
        <f>IF(X888="","",VLOOKUP($X888,RM!$C$4:$G991,4,FALSE))</f>
        <v/>
      </c>
      <c r="AF888" t="str">
        <f>IF(X888="","",VLOOKUP($X888,RM!$C$4:$G991,5,FALSE))</f>
        <v/>
      </c>
      <c r="AL888" t="e">
        <f ca="1">_xludf.IFNA(VLOOKUP(AH888,'S-FG'!$B$3:$B1001,1,FALSE),"")</f>
        <v>#NAME?</v>
      </c>
      <c r="AM888" t="str">
        <f>IF(AI888="","",SUMIFS(#REF!,RM!$C$4:$C991,AI888))</f>
        <v/>
      </c>
    </row>
    <row r="889" spans="5:39">
      <c r="E889" t="str">
        <f>IF(A889="","",SUMIFS('PR-BOM'!$D$3:$D1001,'PR-BOM'!$C$3:$C1001,A889)*C889)</f>
        <v/>
      </c>
      <c r="F889" t="e">
        <f ca="1">_xludf.IFNA(VLOOKUP(B889,'S-FG'!$B$3:$B1001,1,FALSE),"")</f>
        <v>#NAME?</v>
      </c>
      <c r="L889" t="str">
        <f t="shared" si="10"/>
        <v/>
      </c>
      <c r="Q889" t="str">
        <f>IF(N889="","",SUMIFS('PR-BOM'!$D$3:$D1001,'PR-BOM'!$C$3:$C1001,N889))</f>
        <v/>
      </c>
      <c r="Y889" t="str">
        <f t="shared" si="11"/>
        <v/>
      </c>
      <c r="Z889" t="str">
        <f>IF(X889="","",SUMIFS(#REF!,RM!$C$4:$C991,X889))</f>
        <v/>
      </c>
      <c r="AA889" t="str">
        <f>IF(X889="","",SUMIFS(#REF!,RM!$C$4:$C991,X889))</f>
        <v/>
      </c>
      <c r="AB889" t="str">
        <f>IF(X889="","",SUMIFS(IRegback!$Y$2:$Y1001,IRegback!$X$2:$X1001,X889))</f>
        <v/>
      </c>
      <c r="AC889" t="e">
        <f t="shared" si="12"/>
        <v>#VALUE!</v>
      </c>
      <c r="AD889" t="str">
        <f>IF(X889="","",VLOOKUP($X889,RM!$C$4:$G991,3,FALSE))</f>
        <v/>
      </c>
      <c r="AE889" t="str">
        <f>IF(X889="","",VLOOKUP($X889,RM!$C$4:$G991,4,FALSE))</f>
        <v/>
      </c>
      <c r="AF889" t="str">
        <f>IF(X889="","",VLOOKUP($X889,RM!$C$4:$G991,5,FALSE))</f>
        <v/>
      </c>
      <c r="AL889" t="e">
        <f ca="1">_xludf.IFNA(VLOOKUP(AH889,'S-FG'!$B$3:$B1001,1,FALSE),"")</f>
        <v>#NAME?</v>
      </c>
      <c r="AM889" t="str">
        <f>IF(AI889="","",SUMIFS(#REF!,RM!$C$4:$C991,AI889))</f>
        <v/>
      </c>
    </row>
    <row r="890" spans="5:39">
      <c r="E890" t="str">
        <f>IF(A890="","",SUMIFS('PR-BOM'!$D$3:$D1001,'PR-BOM'!$C$3:$C1001,A890)*C890)</f>
        <v/>
      </c>
      <c r="F890" t="e">
        <f ca="1">_xludf.IFNA(VLOOKUP(B890,'S-FG'!$B$3:$B1001,1,FALSE),"")</f>
        <v>#NAME?</v>
      </c>
      <c r="L890" t="str">
        <f t="shared" si="10"/>
        <v/>
      </c>
      <c r="Q890" t="str">
        <f>IF(N890="","",SUMIFS('PR-BOM'!$D$3:$D1001,'PR-BOM'!$C$3:$C1001,N890))</f>
        <v/>
      </c>
      <c r="Y890" t="str">
        <f t="shared" si="11"/>
        <v/>
      </c>
      <c r="Z890" t="str">
        <f>IF(X890="","",SUMIFS(#REF!,RM!$C$4:$C991,X890))</f>
        <v/>
      </c>
      <c r="AA890" t="str">
        <f>IF(X890="","",SUMIFS(#REF!,RM!$C$4:$C991,X890))</f>
        <v/>
      </c>
      <c r="AB890" t="str">
        <f>IF(X890="","",SUMIFS(IRegback!$Y$2:$Y1001,IRegback!$X$2:$X1001,X890))</f>
        <v/>
      </c>
      <c r="AC890" t="e">
        <f t="shared" si="12"/>
        <v>#VALUE!</v>
      </c>
      <c r="AD890" t="str">
        <f>IF(X890="","",VLOOKUP($X890,RM!$C$4:$G991,3,FALSE))</f>
        <v/>
      </c>
      <c r="AE890" t="str">
        <f>IF(X890="","",VLOOKUP($X890,RM!$C$4:$G991,4,FALSE))</f>
        <v/>
      </c>
      <c r="AF890" t="str">
        <f>IF(X890="","",VLOOKUP($X890,RM!$C$4:$G991,5,FALSE))</f>
        <v/>
      </c>
      <c r="AL890" t="e">
        <f ca="1">_xludf.IFNA(VLOOKUP(AH890,'S-FG'!$B$3:$B1001,1,FALSE),"")</f>
        <v>#NAME?</v>
      </c>
      <c r="AM890" t="str">
        <f>IF(AI890="","",SUMIFS(#REF!,RM!$C$4:$C991,AI890))</f>
        <v/>
      </c>
    </row>
    <row r="891" spans="5:39">
      <c r="E891" t="str">
        <f>IF(A891="","",SUMIFS('PR-BOM'!$D$3:$D1001,'PR-BOM'!$C$3:$C1001,A891)*C891)</f>
        <v/>
      </c>
      <c r="F891" t="e">
        <f ca="1">_xludf.IFNA(VLOOKUP(B891,'S-FG'!$B$3:$B1001,1,FALSE),"")</f>
        <v>#NAME?</v>
      </c>
      <c r="L891" t="str">
        <f t="shared" si="10"/>
        <v/>
      </c>
      <c r="Q891" t="str">
        <f>IF(N891="","",SUMIFS('PR-BOM'!$D$3:$D1001,'PR-BOM'!$C$3:$C1001,N891))</f>
        <v/>
      </c>
      <c r="Y891" t="str">
        <f t="shared" si="11"/>
        <v/>
      </c>
      <c r="Z891" t="str">
        <f>IF(X891="","",SUMIFS(#REF!,RM!$C$4:$C991,X891))</f>
        <v/>
      </c>
      <c r="AA891" t="str">
        <f>IF(X891="","",SUMIFS(#REF!,RM!$C$4:$C991,X891))</f>
        <v/>
      </c>
      <c r="AB891" t="str">
        <f>IF(X891="","",SUMIFS(IRegback!$Y$2:$Y1001,IRegback!$X$2:$X1001,X891))</f>
        <v/>
      </c>
      <c r="AC891" t="e">
        <f t="shared" si="12"/>
        <v>#VALUE!</v>
      </c>
      <c r="AD891" t="str">
        <f>IF(X891="","",VLOOKUP($X891,RM!$C$4:$G991,3,FALSE))</f>
        <v/>
      </c>
      <c r="AE891" t="str">
        <f>IF(X891="","",VLOOKUP($X891,RM!$C$4:$G991,4,FALSE))</f>
        <v/>
      </c>
      <c r="AF891" t="str">
        <f>IF(X891="","",VLOOKUP($X891,RM!$C$4:$G991,5,FALSE))</f>
        <v/>
      </c>
      <c r="AL891" t="e">
        <f ca="1">_xludf.IFNA(VLOOKUP(AH891,'S-FG'!$B$3:$B1001,1,FALSE),"")</f>
        <v>#NAME?</v>
      </c>
      <c r="AM891" t="str">
        <f>IF(AI891="","",SUMIFS(#REF!,RM!$C$4:$C991,AI891))</f>
        <v/>
      </c>
    </row>
    <row r="892" spans="5:39">
      <c r="E892" t="str">
        <f>IF(A892="","",SUMIFS('PR-BOM'!$D$3:$D1001,'PR-BOM'!$C$3:$C1001,A892)*C892)</f>
        <v/>
      </c>
      <c r="F892" t="e">
        <f ca="1">_xludf.IFNA(VLOOKUP(B892,'S-FG'!$B$3:$B1001,1,FALSE),"")</f>
        <v>#NAME?</v>
      </c>
      <c r="L892" t="str">
        <f t="shared" si="10"/>
        <v/>
      </c>
      <c r="Q892" t="str">
        <f>IF(N892="","",SUMIFS('PR-BOM'!$D$3:$D1001,'PR-BOM'!$C$3:$C1001,N892))</f>
        <v/>
      </c>
      <c r="Y892" t="str">
        <f t="shared" si="11"/>
        <v/>
      </c>
      <c r="Z892" t="str">
        <f>IF(X892="","",SUMIFS(#REF!,RM!$C$4:$C991,X892))</f>
        <v/>
      </c>
      <c r="AA892" t="str">
        <f>IF(X892="","",SUMIFS(#REF!,RM!$C$4:$C991,X892))</f>
        <v/>
      </c>
      <c r="AB892" t="str">
        <f>IF(X892="","",SUMIFS(IRegback!$Y$2:$Y1001,IRegback!$X$2:$X1001,X892))</f>
        <v/>
      </c>
      <c r="AC892" t="e">
        <f t="shared" si="12"/>
        <v>#VALUE!</v>
      </c>
      <c r="AD892" t="str">
        <f>IF(X892="","",VLOOKUP($X892,RM!$C$4:$G991,3,FALSE))</f>
        <v/>
      </c>
      <c r="AE892" t="str">
        <f>IF(X892="","",VLOOKUP($X892,RM!$C$4:$G991,4,FALSE))</f>
        <v/>
      </c>
      <c r="AF892" t="str">
        <f>IF(X892="","",VLOOKUP($X892,RM!$C$4:$G991,5,FALSE))</f>
        <v/>
      </c>
      <c r="AL892" t="e">
        <f ca="1">_xludf.IFNA(VLOOKUP(AH892,'S-FG'!$B$3:$B1001,1,FALSE),"")</f>
        <v>#NAME?</v>
      </c>
      <c r="AM892" t="str">
        <f>IF(AI892="","",SUMIFS(#REF!,RM!$C$4:$C991,AI892))</f>
        <v/>
      </c>
    </row>
    <row r="893" spans="5:39">
      <c r="E893" t="str">
        <f>IF(A893="","",SUMIFS('PR-BOM'!$D$3:$D1001,'PR-BOM'!$C$3:$C1001,A893)*C893)</f>
        <v/>
      </c>
      <c r="F893" t="e">
        <f ca="1">_xludf.IFNA(VLOOKUP(B893,'S-FG'!$B$3:$B1001,1,FALSE),"")</f>
        <v>#NAME?</v>
      </c>
      <c r="L893" t="str">
        <f t="shared" si="10"/>
        <v/>
      </c>
      <c r="Q893" t="str">
        <f>IF(N893="","",SUMIFS('PR-BOM'!$D$3:$D1001,'PR-BOM'!$C$3:$C1001,N893))</f>
        <v/>
      </c>
      <c r="Y893" t="str">
        <f t="shared" si="11"/>
        <v/>
      </c>
      <c r="Z893" t="str">
        <f>IF(X893="","",SUMIFS(#REF!,RM!$C$4:$C991,X893))</f>
        <v/>
      </c>
      <c r="AA893" t="str">
        <f>IF(X893="","",SUMIFS(#REF!,RM!$C$4:$C991,X893))</f>
        <v/>
      </c>
      <c r="AB893" t="str">
        <f>IF(X893="","",SUMIFS(IRegback!$Y$2:$Y1001,IRegback!$X$2:$X1001,X893))</f>
        <v/>
      </c>
      <c r="AC893" t="e">
        <f t="shared" si="12"/>
        <v>#VALUE!</v>
      </c>
      <c r="AD893" t="str">
        <f>IF(X893="","",VLOOKUP($X893,RM!$C$4:$G991,3,FALSE))</f>
        <v/>
      </c>
      <c r="AE893" t="str">
        <f>IF(X893="","",VLOOKUP($X893,RM!$C$4:$G991,4,FALSE))</f>
        <v/>
      </c>
      <c r="AF893" t="str">
        <f>IF(X893="","",VLOOKUP($X893,RM!$C$4:$G991,5,FALSE))</f>
        <v/>
      </c>
      <c r="AL893" t="e">
        <f ca="1">_xludf.IFNA(VLOOKUP(AH893,'S-FG'!$B$3:$B1001,1,FALSE),"")</f>
        <v>#NAME?</v>
      </c>
      <c r="AM893" t="str">
        <f>IF(AI893="","",SUMIFS(#REF!,RM!$C$4:$C991,AI893))</f>
        <v/>
      </c>
    </row>
    <row r="894" spans="5:39">
      <c r="E894" t="str">
        <f>IF(A894="","",SUMIFS('PR-BOM'!$D$3:$D1001,'PR-BOM'!$C$3:$C1001,A894)*C894)</f>
        <v/>
      </c>
      <c r="F894" t="e">
        <f ca="1">_xludf.IFNA(VLOOKUP(B894,'S-FG'!$B$3:$B1001,1,FALSE),"")</f>
        <v>#NAME?</v>
      </c>
      <c r="L894" t="str">
        <f t="shared" si="10"/>
        <v/>
      </c>
      <c r="Q894" t="str">
        <f>IF(N894="","",SUMIFS('PR-BOM'!$D$3:$D1001,'PR-BOM'!$C$3:$C1001,N894))</f>
        <v/>
      </c>
      <c r="Y894" t="str">
        <f t="shared" si="11"/>
        <v/>
      </c>
      <c r="Z894" t="str">
        <f>IF(X894="","",SUMIFS(#REF!,RM!$C$4:$C991,X894))</f>
        <v/>
      </c>
      <c r="AA894" t="str">
        <f>IF(X894="","",SUMIFS(#REF!,RM!$C$4:$C991,X894))</f>
        <v/>
      </c>
      <c r="AB894" t="str">
        <f>IF(X894="","",SUMIFS(IRegback!$Y$2:$Y1001,IRegback!$X$2:$X1001,X894))</f>
        <v/>
      </c>
      <c r="AC894" t="e">
        <f t="shared" si="12"/>
        <v>#VALUE!</v>
      </c>
      <c r="AD894" t="str">
        <f>IF(X894="","",VLOOKUP($X894,RM!$C$4:$G991,3,FALSE))</f>
        <v/>
      </c>
      <c r="AE894" t="str">
        <f>IF(X894="","",VLOOKUP($X894,RM!$C$4:$G991,4,FALSE))</f>
        <v/>
      </c>
      <c r="AF894" t="str">
        <f>IF(X894="","",VLOOKUP($X894,RM!$C$4:$G991,5,FALSE))</f>
        <v/>
      </c>
      <c r="AL894" t="e">
        <f ca="1">_xludf.IFNA(VLOOKUP(AH894,'S-FG'!$B$3:$B1001,1,FALSE),"")</f>
        <v>#NAME?</v>
      </c>
      <c r="AM894" t="str">
        <f>IF(AI894="","",SUMIFS(#REF!,RM!$C$4:$C991,AI894))</f>
        <v/>
      </c>
    </row>
    <row r="895" spans="5:39">
      <c r="E895" t="str">
        <f>IF(A895="","",SUMIFS('PR-BOM'!$D$3:$D1001,'PR-BOM'!$C$3:$C1001,A895)*C895)</f>
        <v/>
      </c>
      <c r="F895" t="e">
        <f ca="1">_xludf.IFNA(VLOOKUP(B895,'S-FG'!$B$3:$B1001,1,FALSE),"")</f>
        <v>#NAME?</v>
      </c>
      <c r="L895" t="str">
        <f t="shared" si="10"/>
        <v/>
      </c>
      <c r="Q895" t="str">
        <f>IF(N895="","",SUMIFS('PR-BOM'!$D$3:$D1001,'PR-BOM'!$C$3:$C1001,N895))</f>
        <v/>
      </c>
      <c r="Y895" t="str">
        <f t="shared" si="11"/>
        <v/>
      </c>
      <c r="Z895" t="str">
        <f>IF(X895="","",SUMIFS(#REF!,RM!$C$4:$C991,X895))</f>
        <v/>
      </c>
      <c r="AA895" t="str">
        <f>IF(X895="","",SUMIFS(#REF!,RM!$C$4:$C991,X895))</f>
        <v/>
      </c>
      <c r="AB895" t="str">
        <f>IF(X895="","",SUMIFS(IRegback!$Y$2:$Y1001,IRegback!$X$2:$X1001,X895))</f>
        <v/>
      </c>
      <c r="AC895" t="e">
        <f t="shared" si="12"/>
        <v>#VALUE!</v>
      </c>
      <c r="AD895" t="str">
        <f>IF(X895="","",VLOOKUP($X895,RM!$C$4:$G991,3,FALSE))</f>
        <v/>
      </c>
      <c r="AE895" t="str">
        <f>IF(X895="","",VLOOKUP($X895,RM!$C$4:$G991,4,FALSE))</f>
        <v/>
      </c>
      <c r="AF895" t="str">
        <f>IF(X895="","",VLOOKUP($X895,RM!$C$4:$G991,5,FALSE))</f>
        <v/>
      </c>
      <c r="AL895" t="e">
        <f ca="1">_xludf.IFNA(VLOOKUP(AH895,'S-FG'!$B$3:$B1001,1,FALSE),"")</f>
        <v>#NAME?</v>
      </c>
      <c r="AM895" t="str">
        <f>IF(AI895="","",SUMIFS(#REF!,RM!$C$4:$C991,AI895))</f>
        <v/>
      </c>
    </row>
    <row r="896" spans="5:39">
      <c r="E896" t="str">
        <f>IF(A896="","",SUMIFS('PR-BOM'!$D$3:$D1001,'PR-BOM'!$C$3:$C1001,A896)*C896)</f>
        <v/>
      </c>
      <c r="F896" t="e">
        <f ca="1">_xludf.IFNA(VLOOKUP(B896,'S-FG'!$B$3:$B1001,1,FALSE),"")</f>
        <v>#NAME?</v>
      </c>
      <c r="L896" t="str">
        <f t="shared" si="10"/>
        <v/>
      </c>
      <c r="Q896" t="str">
        <f>IF(N896="","",SUMIFS('PR-BOM'!$D$3:$D1001,'PR-BOM'!$C$3:$C1001,N896))</f>
        <v/>
      </c>
      <c r="Y896" t="str">
        <f t="shared" si="11"/>
        <v/>
      </c>
      <c r="Z896" t="str">
        <f>IF(X896="","",SUMIFS(#REF!,RM!$C$4:$C991,X896))</f>
        <v/>
      </c>
      <c r="AA896" t="str">
        <f>IF(X896="","",SUMIFS(#REF!,RM!$C$4:$C991,X896))</f>
        <v/>
      </c>
      <c r="AB896" t="str">
        <f>IF(X896="","",SUMIFS(IRegback!$Y$2:$Y1001,IRegback!$X$2:$X1001,X896))</f>
        <v/>
      </c>
      <c r="AC896" t="e">
        <f t="shared" si="12"/>
        <v>#VALUE!</v>
      </c>
      <c r="AD896" t="str">
        <f>IF(X896="","",VLOOKUP($X896,RM!$C$4:$G991,3,FALSE))</f>
        <v/>
      </c>
      <c r="AE896" t="str">
        <f>IF(X896="","",VLOOKUP($X896,RM!$C$4:$G991,4,FALSE))</f>
        <v/>
      </c>
      <c r="AF896" t="str">
        <f>IF(X896="","",VLOOKUP($X896,RM!$C$4:$G991,5,FALSE))</f>
        <v/>
      </c>
      <c r="AL896" t="e">
        <f ca="1">_xludf.IFNA(VLOOKUP(AH896,'S-FG'!$B$3:$B1001,1,FALSE),"")</f>
        <v>#NAME?</v>
      </c>
      <c r="AM896" t="str">
        <f>IF(AI896="","",SUMIFS(#REF!,RM!$C$4:$C991,AI896))</f>
        <v/>
      </c>
    </row>
    <row r="897" spans="5:39">
      <c r="E897" t="str">
        <f>IF(A897="","",SUMIFS('PR-BOM'!$D$3:$D1001,'PR-BOM'!$C$3:$C1001,A897)*C897)</f>
        <v/>
      </c>
      <c r="F897" t="e">
        <f ca="1">_xludf.IFNA(VLOOKUP(B897,'S-FG'!$B$3:$B1001,1,FALSE),"")</f>
        <v>#NAME?</v>
      </c>
      <c r="L897" t="str">
        <f t="shared" si="10"/>
        <v/>
      </c>
      <c r="Q897" t="str">
        <f>IF(N897="","",SUMIFS('PR-BOM'!$D$3:$D1001,'PR-BOM'!$C$3:$C1001,N897))</f>
        <v/>
      </c>
      <c r="Y897" t="str">
        <f t="shared" si="11"/>
        <v/>
      </c>
      <c r="Z897" t="str">
        <f>IF(X897="","",SUMIFS(#REF!,RM!$C$4:$C991,X897))</f>
        <v/>
      </c>
      <c r="AA897" t="str">
        <f>IF(X897="","",SUMIFS(#REF!,RM!$C$4:$C991,X897))</f>
        <v/>
      </c>
      <c r="AB897" t="str">
        <f>IF(X897="","",SUMIFS(IRegback!$Y$2:$Y1001,IRegback!$X$2:$X1001,X897))</f>
        <v/>
      </c>
      <c r="AC897" t="e">
        <f t="shared" si="12"/>
        <v>#VALUE!</v>
      </c>
      <c r="AD897" t="str">
        <f>IF(X897="","",VLOOKUP($X897,RM!$C$4:$G991,3,FALSE))</f>
        <v/>
      </c>
      <c r="AE897" t="str">
        <f>IF(X897="","",VLOOKUP($X897,RM!$C$4:$G991,4,FALSE))</f>
        <v/>
      </c>
      <c r="AF897" t="str">
        <f>IF(X897="","",VLOOKUP($X897,RM!$C$4:$G991,5,FALSE))</f>
        <v/>
      </c>
      <c r="AL897" t="e">
        <f ca="1">_xludf.IFNA(VLOOKUP(AH897,'S-FG'!$B$3:$B1001,1,FALSE),"")</f>
        <v>#NAME?</v>
      </c>
      <c r="AM897" t="str">
        <f>IF(AI897="","",SUMIFS(#REF!,RM!$C$4:$C991,AI897))</f>
        <v/>
      </c>
    </row>
    <row r="898" spans="5:39">
      <c r="E898" t="str">
        <f>IF(A898="","",SUMIFS('PR-BOM'!$D$3:$D1001,'PR-BOM'!$C$3:$C1001,A898)*C898)</f>
        <v/>
      </c>
      <c r="F898" t="e">
        <f ca="1">_xludf.IFNA(VLOOKUP(B898,'S-FG'!$B$3:$B1001,1,FALSE),"")</f>
        <v>#NAME?</v>
      </c>
      <c r="L898" t="str">
        <f t="shared" si="10"/>
        <v/>
      </c>
      <c r="Q898" t="str">
        <f>IF(N898="","",SUMIFS('PR-BOM'!$D$3:$D1001,'PR-BOM'!$C$3:$C1001,N898))</f>
        <v/>
      </c>
      <c r="Y898" t="str">
        <f t="shared" si="11"/>
        <v/>
      </c>
      <c r="Z898" t="str">
        <f>IF(X898="","",SUMIFS(#REF!,RM!$C$4:$C991,X898))</f>
        <v/>
      </c>
      <c r="AA898" t="str">
        <f>IF(X898="","",SUMIFS(#REF!,RM!$C$4:$C991,X898))</f>
        <v/>
      </c>
      <c r="AB898" t="str">
        <f>IF(X898="","",SUMIFS(IRegback!$Y$2:$Y1001,IRegback!$X$2:$X1001,X898))</f>
        <v/>
      </c>
      <c r="AC898" t="e">
        <f t="shared" si="12"/>
        <v>#VALUE!</v>
      </c>
      <c r="AD898" t="str">
        <f>IF(X898="","",VLOOKUP($X898,RM!$C$4:$G991,3,FALSE))</f>
        <v/>
      </c>
      <c r="AE898" t="str">
        <f>IF(X898="","",VLOOKUP($X898,RM!$C$4:$G991,4,FALSE))</f>
        <v/>
      </c>
      <c r="AF898" t="str">
        <f>IF(X898="","",VLOOKUP($X898,RM!$C$4:$G991,5,FALSE))</f>
        <v/>
      </c>
      <c r="AL898" t="e">
        <f ca="1">_xludf.IFNA(VLOOKUP(AH898,'S-FG'!$B$3:$B1001,1,FALSE),"")</f>
        <v>#NAME?</v>
      </c>
      <c r="AM898" t="str">
        <f>IF(AI898="","",SUMIFS(#REF!,RM!$C$4:$C991,AI898))</f>
        <v/>
      </c>
    </row>
    <row r="899" spans="5:39">
      <c r="E899" t="str">
        <f>IF(A899="","",SUMIFS('PR-BOM'!$D$3:$D1001,'PR-BOM'!$C$3:$C1001,A899)*C899)</f>
        <v/>
      </c>
      <c r="F899" t="e">
        <f ca="1">_xludf.IFNA(VLOOKUP(B899,'S-FG'!$B$3:$B1001,1,FALSE),"")</f>
        <v>#NAME?</v>
      </c>
      <c r="L899" t="str">
        <f t="shared" si="10"/>
        <v/>
      </c>
      <c r="Q899" t="str">
        <f>IF(N899="","",SUMIFS('PR-BOM'!$D$3:$D1001,'PR-BOM'!$C$3:$C1001,N899))</f>
        <v/>
      </c>
      <c r="Y899" t="str">
        <f t="shared" si="11"/>
        <v/>
      </c>
      <c r="Z899" t="str">
        <f>IF(X899="","",SUMIFS(#REF!,RM!$C$4:$C991,X899))</f>
        <v/>
      </c>
      <c r="AA899" t="str">
        <f>IF(X899="","",SUMIFS(#REF!,RM!$C$4:$C991,X899))</f>
        <v/>
      </c>
      <c r="AB899" t="str">
        <f>IF(X899="","",SUMIFS(IRegback!$Y$2:$Y1001,IRegback!$X$2:$X1001,X899))</f>
        <v/>
      </c>
      <c r="AC899" t="e">
        <f t="shared" si="12"/>
        <v>#VALUE!</v>
      </c>
      <c r="AD899" t="str">
        <f>IF(X899="","",VLOOKUP($X899,RM!$C$4:$G991,3,FALSE))</f>
        <v/>
      </c>
      <c r="AE899" t="str">
        <f>IF(X899="","",VLOOKUP($X899,RM!$C$4:$G991,4,FALSE))</f>
        <v/>
      </c>
      <c r="AF899" t="str">
        <f>IF(X899="","",VLOOKUP($X899,RM!$C$4:$G991,5,FALSE))</f>
        <v/>
      </c>
      <c r="AL899" t="e">
        <f ca="1">_xludf.IFNA(VLOOKUP(AH899,'S-FG'!$B$3:$B1001,1,FALSE),"")</f>
        <v>#NAME?</v>
      </c>
      <c r="AM899" t="str">
        <f>IF(AI899="","",SUMIFS(#REF!,RM!$C$4:$C991,AI899))</f>
        <v/>
      </c>
    </row>
    <row r="900" spans="5:39">
      <c r="E900" t="str">
        <f>IF(A900="","",SUMIFS('PR-BOM'!$D$3:$D1001,'PR-BOM'!$C$3:$C1001,A900)*C900)</f>
        <v/>
      </c>
      <c r="F900" t="e">
        <f ca="1">_xludf.IFNA(VLOOKUP(B900,'S-FG'!$B$3:$B1001,1,FALSE),"")</f>
        <v>#NAME?</v>
      </c>
      <c r="L900" t="str">
        <f t="shared" si="10"/>
        <v/>
      </c>
      <c r="Q900" t="str">
        <f>IF(N900="","",SUMIFS('PR-BOM'!$D$3:$D1001,'PR-BOM'!$C$3:$C1001,N900))</f>
        <v/>
      </c>
      <c r="Y900" t="str">
        <f t="shared" si="11"/>
        <v/>
      </c>
      <c r="Z900" t="str">
        <f>IF(X900="","",SUMIFS(#REF!,RM!$C$4:$C991,X900))</f>
        <v/>
      </c>
      <c r="AA900" t="str">
        <f>IF(X900="","",SUMIFS(#REF!,RM!$C$4:$C991,X900))</f>
        <v/>
      </c>
      <c r="AB900" t="str">
        <f>IF(X900="","",SUMIFS(IRegback!$Y$2:$Y1001,IRegback!$X$2:$X1001,X900))</f>
        <v/>
      </c>
      <c r="AC900" t="e">
        <f t="shared" si="12"/>
        <v>#VALUE!</v>
      </c>
      <c r="AD900" t="str">
        <f>IF(X900="","",VLOOKUP($X900,RM!$C$4:$G991,3,FALSE))</f>
        <v/>
      </c>
      <c r="AE900" t="str">
        <f>IF(X900="","",VLOOKUP($X900,RM!$C$4:$G991,4,FALSE))</f>
        <v/>
      </c>
      <c r="AF900" t="str">
        <f>IF(X900="","",VLOOKUP($X900,RM!$C$4:$G991,5,FALSE))</f>
        <v/>
      </c>
      <c r="AL900" t="e">
        <f ca="1">_xludf.IFNA(VLOOKUP(AH900,'S-FG'!$B$3:$B1001,1,FALSE),"")</f>
        <v>#NAME?</v>
      </c>
      <c r="AM900" t="str">
        <f>IF(AI900="","",SUMIFS(#REF!,RM!$C$4:$C991,AI900))</f>
        <v/>
      </c>
    </row>
    <row r="901" spans="5:39">
      <c r="E901" t="str">
        <f>IF(A901="","",SUMIFS('PR-BOM'!$D$3:$D1001,'PR-BOM'!$C$3:$C1001,A901)*C901)</f>
        <v/>
      </c>
      <c r="F901" t="e">
        <f ca="1">_xludf.IFNA(VLOOKUP(B901,'S-FG'!$B$3:$B1001,1,FALSE),"")</f>
        <v>#NAME?</v>
      </c>
      <c r="L901" t="str">
        <f t="shared" si="10"/>
        <v/>
      </c>
      <c r="Q901" t="str">
        <f>IF(N901="","",SUMIFS('PR-BOM'!$D$3:$D1001,'PR-BOM'!$C$3:$C1001,N901))</f>
        <v/>
      </c>
      <c r="Y901" t="str">
        <f t="shared" si="11"/>
        <v/>
      </c>
      <c r="Z901" t="str">
        <f>IF(X901="","",SUMIFS(#REF!,RM!$C$4:$C991,X901))</f>
        <v/>
      </c>
      <c r="AA901" t="str">
        <f>IF(X901="","",SUMIFS(#REF!,RM!$C$4:$C991,X901))</f>
        <v/>
      </c>
      <c r="AB901" t="str">
        <f>IF(X901="","",SUMIFS(IRegback!$Y$2:$Y1001,IRegback!$X$2:$X1001,X901))</f>
        <v/>
      </c>
      <c r="AC901" t="e">
        <f t="shared" si="12"/>
        <v>#VALUE!</v>
      </c>
      <c r="AD901" t="str">
        <f>IF(X901="","",VLOOKUP($X901,RM!$C$4:$G991,3,FALSE))</f>
        <v/>
      </c>
      <c r="AE901" t="str">
        <f>IF(X901="","",VLOOKUP($X901,RM!$C$4:$G991,4,FALSE))</f>
        <v/>
      </c>
      <c r="AF901" t="str">
        <f>IF(X901="","",VLOOKUP($X901,RM!$C$4:$G991,5,FALSE))</f>
        <v/>
      </c>
      <c r="AL901" t="e">
        <f ca="1">_xludf.IFNA(VLOOKUP(AH901,'S-FG'!$B$3:$B1001,1,FALSE),"")</f>
        <v>#NAME?</v>
      </c>
      <c r="AM901" t="str">
        <f>IF(AI901="","",SUMIFS(#REF!,RM!$C$4:$C991,AI901))</f>
        <v/>
      </c>
    </row>
    <row r="902" spans="5:39">
      <c r="E902" t="str">
        <f>IF(A902="","",SUMIFS('PR-BOM'!$D$3:$D1001,'PR-BOM'!$C$3:$C1001,A902)*C902)</f>
        <v/>
      </c>
      <c r="F902" t="e">
        <f ca="1">_xludf.IFNA(VLOOKUP(B902,'S-FG'!$B$3:$B1001,1,FALSE),"")</f>
        <v>#NAME?</v>
      </c>
      <c r="L902" t="str">
        <f t="shared" si="10"/>
        <v/>
      </c>
      <c r="Q902" t="str">
        <f>IF(N902="","",SUMIFS('PR-BOM'!$D$3:$D1001,'PR-BOM'!$C$3:$C1001,N902))</f>
        <v/>
      </c>
      <c r="Y902" t="str">
        <f t="shared" si="11"/>
        <v/>
      </c>
      <c r="Z902" t="str">
        <f>IF(X902="","",SUMIFS(#REF!,RM!$C$4:$C991,X902))</f>
        <v/>
      </c>
      <c r="AA902" t="str">
        <f>IF(X902="","",SUMIFS(#REF!,RM!$C$4:$C991,X902))</f>
        <v/>
      </c>
      <c r="AB902" t="str">
        <f>IF(X902="","",SUMIFS(IRegback!$Y$2:$Y1001,IRegback!$X$2:$X1001,X902))</f>
        <v/>
      </c>
      <c r="AC902" t="e">
        <f t="shared" si="12"/>
        <v>#VALUE!</v>
      </c>
      <c r="AD902" t="str">
        <f>IF(X902="","",VLOOKUP($X902,RM!$C$4:$G991,3,FALSE))</f>
        <v/>
      </c>
      <c r="AE902" t="str">
        <f>IF(X902="","",VLOOKUP($X902,RM!$C$4:$G991,4,FALSE))</f>
        <v/>
      </c>
      <c r="AF902" t="str">
        <f>IF(X902="","",VLOOKUP($X902,RM!$C$4:$G991,5,FALSE))</f>
        <v/>
      </c>
      <c r="AL902" t="e">
        <f ca="1">_xludf.IFNA(VLOOKUP(AH902,'S-FG'!$B$3:$B1001,1,FALSE),"")</f>
        <v>#NAME?</v>
      </c>
      <c r="AM902" t="str">
        <f>IF(AI902="","",SUMIFS(#REF!,RM!$C$4:$C991,AI902))</f>
        <v/>
      </c>
    </row>
    <row r="903" spans="5:39">
      <c r="E903" t="str">
        <f>IF(A903="","",SUMIFS('PR-BOM'!$D$3:$D1001,'PR-BOM'!$C$3:$C1001,A903)*C903)</f>
        <v/>
      </c>
      <c r="F903" t="e">
        <f ca="1">_xludf.IFNA(VLOOKUP(B903,'S-FG'!$B$3:$B1001,1,FALSE),"")</f>
        <v>#NAME?</v>
      </c>
      <c r="L903" t="str">
        <f t="shared" si="10"/>
        <v/>
      </c>
      <c r="Q903" t="str">
        <f>IF(N903="","",SUMIFS('PR-BOM'!$D$3:$D1001,'PR-BOM'!$C$3:$C1001,N903))</f>
        <v/>
      </c>
      <c r="Y903" t="str">
        <f t="shared" si="11"/>
        <v/>
      </c>
      <c r="Z903" t="str">
        <f>IF(X903="","",SUMIFS(#REF!,RM!$C$4:$C991,X903))</f>
        <v/>
      </c>
      <c r="AA903" t="str">
        <f>IF(X903="","",SUMIFS(#REF!,RM!$C$4:$C991,X903))</f>
        <v/>
      </c>
      <c r="AB903" t="str">
        <f>IF(X903="","",SUMIFS(IRegback!$Y$2:$Y1001,IRegback!$X$2:$X1001,X903))</f>
        <v/>
      </c>
      <c r="AC903" t="e">
        <f t="shared" si="12"/>
        <v>#VALUE!</v>
      </c>
      <c r="AD903" t="str">
        <f>IF(X903="","",VLOOKUP($X903,RM!$C$4:$G991,3,FALSE))</f>
        <v/>
      </c>
      <c r="AE903" t="str">
        <f>IF(X903="","",VLOOKUP($X903,RM!$C$4:$G991,4,FALSE))</f>
        <v/>
      </c>
      <c r="AF903" t="str">
        <f>IF(X903="","",VLOOKUP($X903,RM!$C$4:$G991,5,FALSE))</f>
        <v/>
      </c>
      <c r="AL903" t="e">
        <f ca="1">_xludf.IFNA(VLOOKUP(AH903,'S-FG'!$B$3:$B1001,1,FALSE),"")</f>
        <v>#NAME?</v>
      </c>
      <c r="AM903" t="str">
        <f>IF(AI903="","",SUMIFS(#REF!,RM!$C$4:$C991,AI903))</f>
        <v/>
      </c>
    </row>
    <row r="904" spans="5:39">
      <c r="E904" t="str">
        <f>IF(A904="","",SUMIFS('PR-BOM'!$D$3:$D1001,'PR-BOM'!$C$3:$C1001,A904)*C904)</f>
        <v/>
      </c>
      <c r="F904" t="e">
        <f ca="1">_xludf.IFNA(VLOOKUP(B904,'S-FG'!$B$3:$B1001,1,FALSE),"")</f>
        <v>#NAME?</v>
      </c>
      <c r="L904" t="str">
        <f t="shared" si="10"/>
        <v/>
      </c>
      <c r="Q904" t="str">
        <f>IF(N904="","",SUMIFS('PR-BOM'!$D$3:$D1001,'PR-BOM'!$C$3:$C1001,N904))</f>
        <v/>
      </c>
      <c r="Y904" t="str">
        <f t="shared" si="11"/>
        <v/>
      </c>
      <c r="Z904" t="str">
        <f>IF(X904="","",SUMIFS(#REF!,RM!$C$4:$C991,X904))</f>
        <v/>
      </c>
      <c r="AA904" t="str">
        <f>IF(X904="","",SUMIFS(#REF!,RM!$C$4:$C991,X904))</f>
        <v/>
      </c>
      <c r="AB904" t="str">
        <f>IF(X904="","",SUMIFS(IRegback!$Y$2:$Y1001,IRegback!$X$2:$X1001,X904))</f>
        <v/>
      </c>
      <c r="AC904" t="e">
        <f t="shared" si="12"/>
        <v>#VALUE!</v>
      </c>
      <c r="AD904" t="str">
        <f>IF(X904="","",VLOOKUP($X904,RM!$C$4:$G991,3,FALSE))</f>
        <v/>
      </c>
      <c r="AE904" t="str">
        <f>IF(X904="","",VLOOKUP($X904,RM!$C$4:$G991,4,FALSE))</f>
        <v/>
      </c>
      <c r="AF904" t="str">
        <f>IF(X904="","",VLOOKUP($X904,RM!$C$4:$G991,5,FALSE))</f>
        <v/>
      </c>
      <c r="AL904" t="e">
        <f ca="1">_xludf.IFNA(VLOOKUP(AH904,'S-FG'!$B$3:$B1001,1,FALSE),"")</f>
        <v>#NAME?</v>
      </c>
      <c r="AM904" t="str">
        <f>IF(AI904="","",SUMIFS(#REF!,RM!$C$4:$C991,AI904))</f>
        <v/>
      </c>
    </row>
    <row r="905" spans="5:39">
      <c r="E905" t="str">
        <f>IF(A905="","",SUMIFS('PR-BOM'!$D$3:$D1001,'PR-BOM'!$C$3:$C1001,A905)*C905)</f>
        <v/>
      </c>
      <c r="F905" t="e">
        <f ca="1">_xludf.IFNA(VLOOKUP(B905,'S-FG'!$B$3:$B1001,1,FALSE),"")</f>
        <v>#NAME?</v>
      </c>
      <c r="L905" t="str">
        <f t="shared" si="10"/>
        <v/>
      </c>
      <c r="Q905" t="str">
        <f>IF(N905="","",SUMIFS('PR-BOM'!$D$3:$D1001,'PR-BOM'!$C$3:$C1001,N905))</f>
        <v/>
      </c>
      <c r="Y905" t="str">
        <f t="shared" si="11"/>
        <v/>
      </c>
      <c r="Z905" t="str">
        <f>IF(X905="","",SUMIFS(#REF!,RM!$C$4:$C991,X905))</f>
        <v/>
      </c>
      <c r="AA905" t="str">
        <f>IF(X905="","",SUMIFS(#REF!,RM!$C$4:$C991,X905))</f>
        <v/>
      </c>
      <c r="AB905" t="str">
        <f>IF(X905="","",SUMIFS(IRegback!$Y$2:$Y1001,IRegback!$X$2:$X1001,X905))</f>
        <v/>
      </c>
      <c r="AC905" t="e">
        <f t="shared" si="12"/>
        <v>#VALUE!</v>
      </c>
      <c r="AD905" t="str">
        <f>IF(X905="","",VLOOKUP($X905,RM!$C$4:$G991,3,FALSE))</f>
        <v/>
      </c>
      <c r="AE905" t="str">
        <f>IF(X905="","",VLOOKUP($X905,RM!$C$4:$G991,4,FALSE))</f>
        <v/>
      </c>
      <c r="AF905" t="str">
        <f>IF(X905="","",VLOOKUP($X905,RM!$C$4:$G991,5,FALSE))</f>
        <v/>
      </c>
      <c r="AL905" t="e">
        <f ca="1">_xludf.IFNA(VLOOKUP(AH905,'S-FG'!$B$3:$B1001,1,FALSE),"")</f>
        <v>#NAME?</v>
      </c>
      <c r="AM905" t="str">
        <f>IF(AI905="","",SUMIFS(#REF!,RM!$C$4:$C991,AI905))</f>
        <v/>
      </c>
    </row>
    <row r="906" spans="5:39">
      <c r="E906" t="str">
        <f>IF(A906="","",SUMIFS('PR-BOM'!$D$3:$D1001,'PR-BOM'!$C$3:$C1001,A906)*C906)</f>
        <v/>
      </c>
      <c r="F906" t="e">
        <f ca="1">_xludf.IFNA(VLOOKUP(B906,'S-FG'!$B$3:$B1001,1,FALSE),"")</f>
        <v>#NAME?</v>
      </c>
      <c r="L906" t="str">
        <f t="shared" si="10"/>
        <v/>
      </c>
      <c r="Q906" t="str">
        <f>IF(N906="","",SUMIFS('PR-BOM'!$D$3:$D1001,'PR-BOM'!$C$3:$C1001,N906))</f>
        <v/>
      </c>
      <c r="Y906" t="str">
        <f t="shared" si="11"/>
        <v/>
      </c>
      <c r="Z906" t="str">
        <f>IF(X906="","",SUMIFS(#REF!,RM!$C$4:$C991,X906))</f>
        <v/>
      </c>
      <c r="AA906" t="str">
        <f>IF(X906="","",SUMIFS(#REF!,RM!$C$4:$C991,X906))</f>
        <v/>
      </c>
      <c r="AB906" t="str">
        <f>IF(X906="","",SUMIFS(IRegback!$Y$2:$Y1001,IRegback!$X$2:$X1001,X906))</f>
        <v/>
      </c>
      <c r="AC906" t="e">
        <f t="shared" si="12"/>
        <v>#VALUE!</v>
      </c>
      <c r="AD906" t="str">
        <f>IF(X906="","",VLOOKUP($X906,RM!$C$4:$G991,3,FALSE))</f>
        <v/>
      </c>
      <c r="AE906" t="str">
        <f>IF(X906="","",VLOOKUP($X906,RM!$C$4:$G991,4,FALSE))</f>
        <v/>
      </c>
      <c r="AF906" t="str">
        <f>IF(X906="","",VLOOKUP($X906,RM!$C$4:$G991,5,FALSE))</f>
        <v/>
      </c>
      <c r="AL906" t="e">
        <f ca="1">_xludf.IFNA(VLOOKUP(AH906,'S-FG'!$B$3:$B1001,1,FALSE),"")</f>
        <v>#NAME?</v>
      </c>
      <c r="AM906" t="str">
        <f>IF(AI906="","",SUMIFS(#REF!,RM!$C$4:$C991,AI906))</f>
        <v/>
      </c>
    </row>
    <row r="907" spans="5:39">
      <c r="E907" t="str">
        <f>IF(A907="","",SUMIFS('PR-BOM'!$D$3:$D1001,'PR-BOM'!$C$3:$C1001,A907)*C907)</f>
        <v/>
      </c>
      <c r="F907" t="e">
        <f ca="1">_xludf.IFNA(VLOOKUP(B907,'S-FG'!$B$3:$B1001,1,FALSE),"")</f>
        <v>#NAME?</v>
      </c>
      <c r="L907" t="str">
        <f t="shared" si="10"/>
        <v/>
      </c>
      <c r="Q907" t="str">
        <f>IF(N907="","",SUMIFS('PR-BOM'!$D$3:$D1001,'PR-BOM'!$C$3:$C1001,N907))</f>
        <v/>
      </c>
      <c r="Y907" t="str">
        <f t="shared" si="11"/>
        <v/>
      </c>
      <c r="Z907" t="str">
        <f>IF(X907="","",SUMIFS(#REF!,RM!$C$4:$C991,X907))</f>
        <v/>
      </c>
      <c r="AA907" t="str">
        <f>IF(X907="","",SUMIFS(#REF!,RM!$C$4:$C991,X907))</f>
        <v/>
      </c>
      <c r="AB907" t="str">
        <f>IF(X907="","",SUMIFS(IRegback!$Y$2:$Y1001,IRegback!$X$2:$X1001,X907))</f>
        <v/>
      </c>
      <c r="AC907" t="e">
        <f t="shared" si="12"/>
        <v>#VALUE!</v>
      </c>
      <c r="AD907" t="str">
        <f>IF(X907="","",VLOOKUP($X907,RM!$C$4:$G991,3,FALSE))</f>
        <v/>
      </c>
      <c r="AE907" t="str">
        <f>IF(X907="","",VLOOKUP($X907,RM!$C$4:$G991,4,FALSE))</f>
        <v/>
      </c>
      <c r="AF907" t="str">
        <f>IF(X907="","",VLOOKUP($X907,RM!$C$4:$G991,5,FALSE))</f>
        <v/>
      </c>
      <c r="AL907" t="e">
        <f ca="1">_xludf.IFNA(VLOOKUP(AH907,'S-FG'!$B$3:$B1001,1,FALSE),"")</f>
        <v>#NAME?</v>
      </c>
      <c r="AM907" t="str">
        <f>IF(AI907="","",SUMIFS(#REF!,RM!$C$4:$C991,AI907))</f>
        <v/>
      </c>
    </row>
    <row r="908" spans="5:39">
      <c r="E908" t="str">
        <f>IF(A908="","",SUMIFS('PR-BOM'!$D$3:$D1001,'PR-BOM'!$C$3:$C1001,A908)*C908)</f>
        <v/>
      </c>
      <c r="F908" t="e">
        <f ca="1">_xludf.IFNA(VLOOKUP(B908,'S-FG'!$B$3:$B1001,1,FALSE),"")</f>
        <v>#NAME?</v>
      </c>
      <c r="L908" t="str">
        <f t="shared" si="10"/>
        <v/>
      </c>
      <c r="Q908" t="str">
        <f>IF(N908="","",SUMIFS('PR-BOM'!$D$3:$D1001,'PR-BOM'!$C$3:$C1001,N908))</f>
        <v/>
      </c>
      <c r="Y908" t="str">
        <f t="shared" si="11"/>
        <v/>
      </c>
      <c r="Z908" t="str">
        <f>IF(X908="","",SUMIFS(#REF!,RM!$C$4:$C991,X908))</f>
        <v/>
      </c>
      <c r="AA908" t="str">
        <f>IF(X908="","",SUMIFS(#REF!,RM!$C$4:$C991,X908))</f>
        <v/>
      </c>
      <c r="AB908" t="str">
        <f>IF(X908="","",SUMIFS(IRegback!$Y$2:$Y1001,IRegback!$X$2:$X1001,X908))</f>
        <v/>
      </c>
      <c r="AC908" t="e">
        <f t="shared" si="12"/>
        <v>#VALUE!</v>
      </c>
      <c r="AD908" t="str">
        <f>IF(X908="","",VLOOKUP($X908,RM!$C$4:$G991,3,FALSE))</f>
        <v/>
      </c>
      <c r="AE908" t="str">
        <f>IF(X908="","",VLOOKUP($X908,RM!$C$4:$G991,4,FALSE))</f>
        <v/>
      </c>
      <c r="AF908" t="str">
        <f>IF(X908="","",VLOOKUP($X908,RM!$C$4:$G991,5,FALSE))</f>
        <v/>
      </c>
      <c r="AL908" t="e">
        <f ca="1">_xludf.IFNA(VLOOKUP(AH908,'S-FG'!$B$3:$B1001,1,FALSE),"")</f>
        <v>#NAME?</v>
      </c>
      <c r="AM908" t="str">
        <f>IF(AI908="","",SUMIFS(#REF!,RM!$C$4:$C991,AI908))</f>
        <v/>
      </c>
    </row>
    <row r="909" spans="5:39">
      <c r="E909" t="str">
        <f>IF(A909="","",SUMIFS('PR-BOM'!$D$3:$D1001,'PR-BOM'!$C$3:$C1001,A909)*C909)</f>
        <v/>
      </c>
      <c r="F909" t="e">
        <f ca="1">_xludf.IFNA(VLOOKUP(B909,'S-FG'!$B$3:$B1001,1,FALSE),"")</f>
        <v>#NAME?</v>
      </c>
      <c r="L909" t="str">
        <f t="shared" si="10"/>
        <v/>
      </c>
      <c r="Q909" t="str">
        <f>IF(N909="","",SUMIFS('PR-BOM'!$D$3:$D1001,'PR-BOM'!$C$3:$C1001,N909))</f>
        <v/>
      </c>
      <c r="Y909" t="str">
        <f t="shared" si="11"/>
        <v/>
      </c>
      <c r="Z909" t="str">
        <f>IF(X909="","",SUMIFS(#REF!,RM!$C$4:$C991,X909))</f>
        <v/>
      </c>
      <c r="AA909" t="str">
        <f>IF(X909="","",SUMIFS(#REF!,RM!$C$4:$C991,X909))</f>
        <v/>
      </c>
      <c r="AB909" t="str">
        <f>IF(X909="","",SUMIFS(IRegback!$Y$2:$Y1001,IRegback!$X$2:$X1001,X909))</f>
        <v/>
      </c>
      <c r="AC909" t="e">
        <f t="shared" si="12"/>
        <v>#VALUE!</v>
      </c>
      <c r="AD909" t="str">
        <f>IF(X909="","",VLOOKUP($X909,RM!$C$4:$G991,3,FALSE))</f>
        <v/>
      </c>
      <c r="AE909" t="str">
        <f>IF(X909="","",VLOOKUP($X909,RM!$C$4:$G991,4,FALSE))</f>
        <v/>
      </c>
      <c r="AF909" t="str">
        <f>IF(X909="","",VLOOKUP($X909,RM!$C$4:$G991,5,FALSE))</f>
        <v/>
      </c>
      <c r="AL909" t="e">
        <f ca="1">_xludf.IFNA(VLOOKUP(AH909,'S-FG'!$B$3:$B1001,1,FALSE),"")</f>
        <v>#NAME?</v>
      </c>
      <c r="AM909" t="str">
        <f>IF(AI909="","",SUMIFS(#REF!,RM!$C$4:$C991,AI909))</f>
        <v/>
      </c>
    </row>
    <row r="910" spans="5:39">
      <c r="E910" t="str">
        <f>IF(A910="","",SUMIFS('PR-BOM'!$D$3:$D1001,'PR-BOM'!$C$3:$C1001,A910)*C910)</f>
        <v/>
      </c>
      <c r="F910" t="e">
        <f ca="1">_xludf.IFNA(VLOOKUP(B910,'S-FG'!$B$3:$B1001,1,FALSE),"")</f>
        <v>#NAME?</v>
      </c>
      <c r="L910" t="str">
        <f t="shared" si="10"/>
        <v/>
      </c>
      <c r="Q910" t="str">
        <f>IF(N910="","",SUMIFS('PR-BOM'!$D$3:$D1001,'PR-BOM'!$C$3:$C1001,N910))</f>
        <v/>
      </c>
      <c r="Y910" t="str">
        <f t="shared" si="11"/>
        <v/>
      </c>
      <c r="Z910" t="str">
        <f>IF(X910="","",SUMIFS(#REF!,RM!$C$4:$C991,X910))</f>
        <v/>
      </c>
      <c r="AA910" t="str">
        <f>IF(X910="","",SUMIFS(#REF!,RM!$C$4:$C991,X910))</f>
        <v/>
      </c>
      <c r="AB910" t="str">
        <f>IF(X910="","",SUMIFS(IRegback!$Y$2:$Y1001,IRegback!$X$2:$X1001,X910))</f>
        <v/>
      </c>
      <c r="AC910" t="e">
        <f t="shared" si="12"/>
        <v>#VALUE!</v>
      </c>
      <c r="AD910" t="str">
        <f>IF(X910="","",VLOOKUP($X910,RM!$C$4:$G991,3,FALSE))</f>
        <v/>
      </c>
      <c r="AE910" t="str">
        <f>IF(X910="","",VLOOKUP($X910,RM!$C$4:$G991,4,FALSE))</f>
        <v/>
      </c>
      <c r="AF910" t="str">
        <f>IF(X910="","",VLOOKUP($X910,RM!$C$4:$G991,5,FALSE))</f>
        <v/>
      </c>
      <c r="AL910" t="e">
        <f ca="1">_xludf.IFNA(VLOOKUP(AH910,'S-FG'!$B$3:$B1001,1,FALSE),"")</f>
        <v>#NAME?</v>
      </c>
      <c r="AM910" t="str">
        <f>IF(AI910="","",SUMIFS(#REF!,RM!$C$4:$C991,AI910))</f>
        <v/>
      </c>
    </row>
    <row r="911" spans="5:39">
      <c r="E911" t="str">
        <f>IF(A911="","",SUMIFS('PR-BOM'!$D$3:$D1001,'PR-BOM'!$C$3:$C1001,A911)*C911)</f>
        <v/>
      </c>
      <c r="F911" t="e">
        <f ca="1">_xludf.IFNA(VLOOKUP(B911,'S-FG'!$B$3:$B1001,1,FALSE),"")</f>
        <v>#NAME?</v>
      </c>
      <c r="L911" t="str">
        <f t="shared" si="10"/>
        <v/>
      </c>
      <c r="Q911" t="str">
        <f>IF(N911="","",SUMIFS('PR-BOM'!$D$3:$D1001,'PR-BOM'!$C$3:$C1001,N911))</f>
        <v/>
      </c>
      <c r="Y911" t="str">
        <f t="shared" si="11"/>
        <v/>
      </c>
      <c r="Z911" t="str">
        <f>IF(X911="","",SUMIFS(#REF!,RM!$C$4:$C991,X911))</f>
        <v/>
      </c>
      <c r="AA911" t="str">
        <f>IF(X911="","",SUMIFS(#REF!,RM!$C$4:$C991,X911))</f>
        <v/>
      </c>
      <c r="AB911" t="str">
        <f>IF(X911="","",SUMIFS(IRegback!$Y$2:$Y1001,IRegback!$X$2:$X1001,X911))</f>
        <v/>
      </c>
      <c r="AC911" t="e">
        <f t="shared" si="12"/>
        <v>#VALUE!</v>
      </c>
      <c r="AD911" t="str">
        <f>IF(X911="","",VLOOKUP($X911,RM!$C$4:$G991,3,FALSE))</f>
        <v/>
      </c>
      <c r="AE911" t="str">
        <f>IF(X911="","",VLOOKUP($X911,RM!$C$4:$G991,4,FALSE))</f>
        <v/>
      </c>
      <c r="AF911" t="str">
        <f>IF(X911="","",VLOOKUP($X911,RM!$C$4:$G991,5,FALSE))</f>
        <v/>
      </c>
      <c r="AL911" t="e">
        <f ca="1">_xludf.IFNA(VLOOKUP(AH911,'S-FG'!$B$3:$B1001,1,FALSE),"")</f>
        <v>#NAME?</v>
      </c>
      <c r="AM911" t="str">
        <f>IF(AI911="","",SUMIFS(#REF!,RM!$C$4:$C991,AI911))</f>
        <v/>
      </c>
    </row>
    <row r="912" spans="5:39">
      <c r="E912" t="str">
        <f>IF(A912="","",SUMIFS('PR-BOM'!$D$3:$D1001,'PR-BOM'!$C$3:$C1001,A912)*C912)</f>
        <v/>
      </c>
      <c r="F912" t="e">
        <f ca="1">_xludf.IFNA(VLOOKUP(B912,'S-FG'!$B$3:$B1001,1,FALSE),"")</f>
        <v>#NAME?</v>
      </c>
      <c r="L912" t="str">
        <f t="shared" si="10"/>
        <v/>
      </c>
      <c r="Q912" t="str">
        <f>IF(N912="","",SUMIFS('PR-BOM'!$D$3:$D1001,'PR-BOM'!$C$3:$C1001,N912))</f>
        <v/>
      </c>
      <c r="Y912" t="str">
        <f t="shared" si="11"/>
        <v/>
      </c>
      <c r="Z912" t="str">
        <f>IF(X912="","",SUMIFS(#REF!,RM!$C$4:$C991,X912))</f>
        <v/>
      </c>
      <c r="AA912" t="str">
        <f>IF(X912="","",SUMIFS(#REF!,RM!$C$4:$C991,X912))</f>
        <v/>
      </c>
      <c r="AB912" t="str">
        <f>IF(X912="","",SUMIFS(IRegback!$Y$2:$Y1001,IRegback!$X$2:$X1001,X912))</f>
        <v/>
      </c>
      <c r="AC912" t="e">
        <f t="shared" si="12"/>
        <v>#VALUE!</v>
      </c>
      <c r="AD912" t="str">
        <f>IF(X912="","",VLOOKUP($X912,RM!$C$4:$G991,3,FALSE))</f>
        <v/>
      </c>
      <c r="AE912" t="str">
        <f>IF(X912="","",VLOOKUP($X912,RM!$C$4:$G991,4,FALSE))</f>
        <v/>
      </c>
      <c r="AF912" t="str">
        <f>IF(X912="","",VLOOKUP($X912,RM!$C$4:$G991,5,FALSE))</f>
        <v/>
      </c>
      <c r="AL912" t="e">
        <f ca="1">_xludf.IFNA(VLOOKUP(AH912,'S-FG'!$B$3:$B1001,1,FALSE),"")</f>
        <v>#NAME?</v>
      </c>
      <c r="AM912" t="str">
        <f>IF(AI912="","",SUMIFS(#REF!,RM!$C$4:$C991,AI912))</f>
        <v/>
      </c>
    </row>
    <row r="913" spans="5:39">
      <c r="E913" t="str">
        <f>IF(A913="","",SUMIFS('PR-BOM'!$D$3:$D1001,'PR-BOM'!$C$3:$C1001,A913)*C913)</f>
        <v/>
      </c>
      <c r="F913" t="e">
        <f ca="1">_xludf.IFNA(VLOOKUP(B913,'S-FG'!$B$3:$B1001,1,FALSE),"")</f>
        <v>#NAME?</v>
      </c>
      <c r="L913" t="str">
        <f t="shared" si="10"/>
        <v/>
      </c>
      <c r="Q913" t="str">
        <f>IF(N913="","",SUMIFS('PR-BOM'!$D$3:$D1001,'PR-BOM'!$C$3:$C1001,N913))</f>
        <v/>
      </c>
      <c r="Y913" t="str">
        <f t="shared" si="11"/>
        <v/>
      </c>
      <c r="Z913" t="str">
        <f>IF(X913="","",SUMIFS(#REF!,RM!$C$4:$C991,X913))</f>
        <v/>
      </c>
      <c r="AA913" t="str">
        <f>IF(X913="","",SUMIFS(#REF!,RM!$C$4:$C991,X913))</f>
        <v/>
      </c>
      <c r="AB913" t="str">
        <f>IF(X913="","",SUMIFS(IRegback!$Y$2:$Y1001,IRegback!$X$2:$X1001,X913))</f>
        <v/>
      </c>
      <c r="AC913" t="e">
        <f t="shared" si="12"/>
        <v>#VALUE!</v>
      </c>
      <c r="AD913" t="str">
        <f>IF(X913="","",VLOOKUP($X913,RM!$C$4:$G991,3,FALSE))</f>
        <v/>
      </c>
      <c r="AE913" t="str">
        <f>IF(X913="","",VLOOKUP($X913,RM!$C$4:$G991,4,FALSE))</f>
        <v/>
      </c>
      <c r="AF913" t="str">
        <f>IF(X913="","",VLOOKUP($X913,RM!$C$4:$G991,5,FALSE))</f>
        <v/>
      </c>
      <c r="AL913" t="e">
        <f ca="1">_xludf.IFNA(VLOOKUP(AH913,'S-FG'!$B$3:$B1001,1,FALSE),"")</f>
        <v>#NAME?</v>
      </c>
      <c r="AM913" t="str">
        <f>IF(AI913="","",SUMIFS(#REF!,RM!$C$4:$C991,AI913))</f>
        <v/>
      </c>
    </row>
    <row r="914" spans="5:39">
      <c r="E914" t="str">
        <f>IF(A914="","",SUMIFS('PR-BOM'!$D$3:$D1001,'PR-BOM'!$C$3:$C1001,A914)*C914)</f>
        <v/>
      </c>
      <c r="F914" t="e">
        <f ca="1">_xludf.IFNA(VLOOKUP(B914,'S-FG'!$B$3:$B1001,1,FALSE),"")</f>
        <v>#NAME?</v>
      </c>
      <c r="L914" t="str">
        <f t="shared" si="10"/>
        <v/>
      </c>
      <c r="Q914" t="str">
        <f>IF(N914="","",SUMIFS('PR-BOM'!$D$3:$D1001,'PR-BOM'!$C$3:$C1001,N914))</f>
        <v/>
      </c>
      <c r="Y914" t="str">
        <f t="shared" si="11"/>
        <v/>
      </c>
      <c r="Z914" t="str">
        <f>IF(X914="","",SUMIFS(#REF!,RM!$C$4:$C991,X914))</f>
        <v/>
      </c>
      <c r="AA914" t="str">
        <f>IF(X914="","",SUMIFS(#REF!,RM!$C$4:$C991,X914))</f>
        <v/>
      </c>
      <c r="AB914" t="str">
        <f>IF(X914="","",SUMIFS(IRegback!$Y$2:$Y1001,IRegback!$X$2:$X1001,X914))</f>
        <v/>
      </c>
      <c r="AC914" t="e">
        <f t="shared" si="12"/>
        <v>#VALUE!</v>
      </c>
      <c r="AD914" t="str">
        <f>IF(X914="","",VLOOKUP($X914,RM!$C$4:$G991,3,FALSE))</f>
        <v/>
      </c>
      <c r="AE914" t="str">
        <f>IF(X914="","",VLOOKUP($X914,RM!$C$4:$G991,4,FALSE))</f>
        <v/>
      </c>
      <c r="AF914" t="str">
        <f>IF(X914="","",VLOOKUP($X914,RM!$C$4:$G991,5,FALSE))</f>
        <v/>
      </c>
      <c r="AL914" t="e">
        <f ca="1">_xludf.IFNA(VLOOKUP(AH914,'S-FG'!$B$3:$B1001,1,FALSE),"")</f>
        <v>#NAME?</v>
      </c>
      <c r="AM914" t="str">
        <f>IF(AI914="","",SUMIFS(#REF!,RM!$C$4:$C991,AI914))</f>
        <v/>
      </c>
    </row>
    <row r="915" spans="5:39">
      <c r="E915" t="str">
        <f>IF(A915="","",SUMIFS('PR-BOM'!$D$3:$D1001,'PR-BOM'!$C$3:$C1001,A915)*C915)</f>
        <v/>
      </c>
      <c r="F915" t="e">
        <f ca="1">_xludf.IFNA(VLOOKUP(B915,'S-FG'!$B$3:$B1001,1,FALSE),"")</f>
        <v>#NAME?</v>
      </c>
      <c r="L915" t="str">
        <f t="shared" si="10"/>
        <v/>
      </c>
      <c r="Q915" t="str">
        <f>IF(N915="","",SUMIFS('PR-BOM'!$D$3:$D1001,'PR-BOM'!$C$3:$C1001,N915))</f>
        <v/>
      </c>
      <c r="Y915" t="str">
        <f t="shared" si="11"/>
        <v/>
      </c>
      <c r="Z915" t="str">
        <f>IF(X915="","",SUMIFS(#REF!,RM!$C$4:$C991,X915))</f>
        <v/>
      </c>
      <c r="AA915" t="str">
        <f>IF(X915="","",SUMIFS(#REF!,RM!$C$4:$C991,X915))</f>
        <v/>
      </c>
      <c r="AB915" t="str">
        <f>IF(X915="","",SUMIFS(IRegback!$Y$2:$Y1001,IRegback!$X$2:$X1001,X915))</f>
        <v/>
      </c>
      <c r="AC915" t="e">
        <f t="shared" si="12"/>
        <v>#VALUE!</v>
      </c>
      <c r="AD915" t="str">
        <f>IF(X915="","",VLOOKUP($X915,RM!$C$4:$G991,3,FALSE))</f>
        <v/>
      </c>
      <c r="AE915" t="str">
        <f>IF(X915="","",VLOOKUP($X915,RM!$C$4:$G991,4,FALSE))</f>
        <v/>
      </c>
      <c r="AF915" t="str">
        <f>IF(X915="","",VLOOKUP($X915,RM!$C$4:$G991,5,FALSE))</f>
        <v/>
      </c>
      <c r="AL915" t="e">
        <f ca="1">_xludf.IFNA(VLOOKUP(AH915,'S-FG'!$B$3:$B1001,1,FALSE),"")</f>
        <v>#NAME?</v>
      </c>
      <c r="AM915" t="str">
        <f>IF(AI915="","",SUMIFS(#REF!,RM!$C$4:$C991,AI915))</f>
        <v/>
      </c>
    </row>
    <row r="916" spans="5:39">
      <c r="E916" t="str">
        <f>IF(A916="","",SUMIFS('PR-BOM'!$D$3:$D1001,'PR-BOM'!$C$3:$C1001,A916)*C916)</f>
        <v/>
      </c>
      <c r="F916" t="e">
        <f ca="1">_xludf.IFNA(VLOOKUP(B916,'S-FG'!$B$3:$B1001,1,FALSE),"")</f>
        <v>#NAME?</v>
      </c>
      <c r="L916" t="str">
        <f t="shared" si="10"/>
        <v/>
      </c>
      <c r="Q916" t="str">
        <f>IF(N916="","",SUMIFS('PR-BOM'!$D$3:$D1001,'PR-BOM'!$C$3:$C1001,N916))</f>
        <v/>
      </c>
      <c r="Y916" t="str">
        <f t="shared" si="11"/>
        <v/>
      </c>
      <c r="Z916" t="str">
        <f>IF(X916="","",SUMIFS(#REF!,RM!$C$4:$C991,X916))</f>
        <v/>
      </c>
      <c r="AA916" t="str">
        <f>IF(X916="","",SUMIFS(#REF!,RM!$C$4:$C991,X916))</f>
        <v/>
      </c>
      <c r="AB916" t="str">
        <f>IF(X916="","",SUMIFS(IRegback!$Y$2:$Y1001,IRegback!$X$2:$X1001,X916))</f>
        <v/>
      </c>
      <c r="AC916" t="e">
        <f t="shared" si="12"/>
        <v>#VALUE!</v>
      </c>
      <c r="AD916" t="str">
        <f>IF(X916="","",VLOOKUP($X916,RM!$C$4:$G991,3,FALSE))</f>
        <v/>
      </c>
      <c r="AE916" t="str">
        <f>IF(X916="","",VLOOKUP($X916,RM!$C$4:$G991,4,FALSE))</f>
        <v/>
      </c>
      <c r="AF916" t="str">
        <f>IF(X916="","",VLOOKUP($X916,RM!$C$4:$G991,5,FALSE))</f>
        <v/>
      </c>
      <c r="AL916" t="e">
        <f ca="1">_xludf.IFNA(VLOOKUP(AH916,'S-FG'!$B$3:$B1001,1,FALSE),"")</f>
        <v>#NAME?</v>
      </c>
      <c r="AM916" t="str">
        <f>IF(AI916="","",SUMIFS(#REF!,RM!$C$4:$C991,AI916))</f>
        <v/>
      </c>
    </row>
    <row r="917" spans="5:39">
      <c r="E917" t="str">
        <f>IF(A917="","",SUMIFS('PR-BOM'!$D$3:$D1001,'PR-BOM'!$C$3:$C1001,A917)*C917)</f>
        <v/>
      </c>
      <c r="F917" t="e">
        <f ca="1">_xludf.IFNA(VLOOKUP(B917,'S-FG'!$B$3:$B1001,1,FALSE),"")</f>
        <v>#NAME?</v>
      </c>
      <c r="L917" t="str">
        <f t="shared" si="10"/>
        <v/>
      </c>
      <c r="Q917" t="str">
        <f>IF(N917="","",SUMIFS('PR-BOM'!$D$3:$D1001,'PR-BOM'!$C$3:$C1001,N917))</f>
        <v/>
      </c>
      <c r="Y917" t="str">
        <f t="shared" si="11"/>
        <v/>
      </c>
      <c r="Z917" t="str">
        <f>IF(X917="","",SUMIFS(#REF!,RM!$C$4:$C991,X917))</f>
        <v/>
      </c>
      <c r="AA917" t="str">
        <f>IF(X917="","",SUMIFS(#REF!,RM!$C$4:$C991,X917))</f>
        <v/>
      </c>
      <c r="AB917" t="str">
        <f>IF(X917="","",SUMIFS(IRegback!$Y$2:$Y1001,IRegback!$X$2:$X1001,X917))</f>
        <v/>
      </c>
      <c r="AC917" t="e">
        <f t="shared" si="12"/>
        <v>#VALUE!</v>
      </c>
      <c r="AD917" t="str">
        <f>IF(X917="","",VLOOKUP($X917,RM!$C$4:$G991,3,FALSE))</f>
        <v/>
      </c>
      <c r="AE917" t="str">
        <f>IF(X917="","",VLOOKUP($X917,RM!$C$4:$G991,4,FALSE))</f>
        <v/>
      </c>
      <c r="AF917" t="str">
        <f>IF(X917="","",VLOOKUP($X917,RM!$C$4:$G991,5,FALSE))</f>
        <v/>
      </c>
      <c r="AL917" t="e">
        <f ca="1">_xludf.IFNA(VLOOKUP(AH917,'S-FG'!$B$3:$B1001,1,FALSE),"")</f>
        <v>#NAME?</v>
      </c>
      <c r="AM917" t="str">
        <f>IF(AI917="","",SUMIFS(#REF!,RM!$C$4:$C991,AI917))</f>
        <v/>
      </c>
    </row>
    <row r="918" spans="5:39">
      <c r="E918" t="str">
        <f>IF(A918="","",SUMIFS('PR-BOM'!$D$3:$D1001,'PR-BOM'!$C$3:$C1001,A918)*C918)</f>
        <v/>
      </c>
      <c r="F918" t="e">
        <f ca="1">_xludf.IFNA(VLOOKUP(B918,'S-FG'!$B$3:$B1001,1,FALSE),"")</f>
        <v>#NAME?</v>
      </c>
      <c r="L918" t="str">
        <f t="shared" si="10"/>
        <v/>
      </c>
      <c r="Q918" t="str">
        <f>IF(N918="","",SUMIFS('PR-BOM'!$D$3:$D1001,'PR-BOM'!$C$3:$C1001,N918))</f>
        <v/>
      </c>
      <c r="Y918" t="str">
        <f t="shared" si="11"/>
        <v/>
      </c>
      <c r="Z918" t="str">
        <f>IF(X918="","",SUMIFS(#REF!,RM!$C$4:$C991,X918))</f>
        <v/>
      </c>
      <c r="AA918" t="str">
        <f>IF(X918="","",SUMIFS(#REF!,RM!$C$4:$C991,X918))</f>
        <v/>
      </c>
      <c r="AB918" t="str">
        <f>IF(X918="","",SUMIFS(IRegback!$Y$2:$Y1001,IRegback!$X$2:$X1001,X918))</f>
        <v/>
      </c>
      <c r="AC918" t="e">
        <f t="shared" si="12"/>
        <v>#VALUE!</v>
      </c>
      <c r="AD918" t="str">
        <f>IF(X918="","",VLOOKUP($X918,RM!$C$4:$G991,3,FALSE))</f>
        <v/>
      </c>
      <c r="AE918" t="str">
        <f>IF(X918="","",VLOOKUP($X918,RM!$C$4:$G991,4,FALSE))</f>
        <v/>
      </c>
      <c r="AF918" t="str">
        <f>IF(X918="","",VLOOKUP($X918,RM!$C$4:$G991,5,FALSE))</f>
        <v/>
      </c>
      <c r="AL918" t="e">
        <f ca="1">_xludf.IFNA(VLOOKUP(AH918,'S-FG'!$B$3:$B1001,1,FALSE),"")</f>
        <v>#NAME?</v>
      </c>
      <c r="AM918" t="str">
        <f>IF(AI918="","",SUMIFS(#REF!,RM!$C$4:$C991,AI918))</f>
        <v/>
      </c>
    </row>
    <row r="919" spans="5:39">
      <c r="E919" t="str">
        <f>IF(A919="","",SUMIFS('PR-BOM'!$D$3:$D1001,'PR-BOM'!$C$3:$C1001,A919)*C919)</f>
        <v/>
      </c>
      <c r="F919" t="e">
        <f ca="1">_xludf.IFNA(VLOOKUP(B919,'S-FG'!$B$3:$B1001,1,FALSE),"")</f>
        <v>#NAME?</v>
      </c>
      <c r="L919" t="str">
        <f t="shared" si="10"/>
        <v/>
      </c>
      <c r="Q919" t="str">
        <f>IF(N919="","",SUMIFS('PR-BOM'!$D$3:$D1001,'PR-BOM'!$C$3:$C1001,N919))</f>
        <v/>
      </c>
      <c r="Y919" t="str">
        <f t="shared" si="11"/>
        <v/>
      </c>
      <c r="Z919" t="str">
        <f>IF(X919="","",SUMIFS(#REF!,RM!$C$4:$C991,X919))</f>
        <v/>
      </c>
      <c r="AA919" t="str">
        <f>IF(X919="","",SUMIFS(#REF!,RM!$C$4:$C991,X919))</f>
        <v/>
      </c>
      <c r="AB919" t="str">
        <f>IF(X919="","",SUMIFS(IRegback!$Y$2:$Y1001,IRegback!$X$2:$X1001,X919))</f>
        <v/>
      </c>
      <c r="AC919" t="e">
        <f t="shared" si="12"/>
        <v>#VALUE!</v>
      </c>
      <c r="AD919" t="str">
        <f>IF(X919="","",VLOOKUP($X919,RM!$C$4:$G991,3,FALSE))</f>
        <v/>
      </c>
      <c r="AE919" t="str">
        <f>IF(X919="","",VLOOKUP($X919,RM!$C$4:$G991,4,FALSE))</f>
        <v/>
      </c>
      <c r="AF919" t="str">
        <f>IF(X919="","",VLOOKUP($X919,RM!$C$4:$G991,5,FALSE))</f>
        <v/>
      </c>
      <c r="AL919" t="e">
        <f ca="1">_xludf.IFNA(VLOOKUP(AH919,'S-FG'!$B$3:$B1001,1,FALSE),"")</f>
        <v>#NAME?</v>
      </c>
      <c r="AM919" t="str">
        <f>IF(AI919="","",SUMIFS(#REF!,RM!$C$4:$C991,AI919))</f>
        <v/>
      </c>
    </row>
    <row r="920" spans="5:39">
      <c r="E920" t="str">
        <f>IF(A920="","",SUMIFS('PR-BOM'!$D$3:$D1001,'PR-BOM'!$C$3:$C1001,A920)*C920)</f>
        <v/>
      </c>
      <c r="F920" t="e">
        <f ca="1">_xludf.IFNA(VLOOKUP(B920,'S-FG'!$B$3:$B1001,1,FALSE),"")</f>
        <v>#NAME?</v>
      </c>
      <c r="L920" t="str">
        <f t="shared" si="10"/>
        <v/>
      </c>
      <c r="Q920" t="str">
        <f>IF(N920="","",SUMIFS('PR-BOM'!$D$3:$D1001,'PR-BOM'!$C$3:$C1001,N920))</f>
        <v/>
      </c>
      <c r="Y920" t="str">
        <f t="shared" si="11"/>
        <v/>
      </c>
      <c r="Z920" t="str">
        <f>IF(X920="","",SUMIFS(#REF!,RM!$C$4:$C991,X920))</f>
        <v/>
      </c>
      <c r="AA920" t="str">
        <f>IF(X920="","",SUMIFS(#REF!,RM!$C$4:$C991,X920))</f>
        <v/>
      </c>
      <c r="AB920" t="str">
        <f>IF(X920="","",SUMIFS(IRegback!$Y$2:$Y1001,IRegback!$X$2:$X1001,X920))</f>
        <v/>
      </c>
      <c r="AC920" t="e">
        <f t="shared" si="12"/>
        <v>#VALUE!</v>
      </c>
      <c r="AD920" t="str">
        <f>IF(X920="","",VLOOKUP($X920,RM!$C$4:$G991,3,FALSE))</f>
        <v/>
      </c>
      <c r="AE920" t="str">
        <f>IF(X920="","",VLOOKUP($X920,RM!$C$4:$G991,4,FALSE))</f>
        <v/>
      </c>
      <c r="AF920" t="str">
        <f>IF(X920="","",VLOOKUP($X920,RM!$C$4:$G991,5,FALSE))</f>
        <v/>
      </c>
      <c r="AL920" t="e">
        <f ca="1">_xludf.IFNA(VLOOKUP(AH920,'S-FG'!$B$3:$B1001,1,FALSE),"")</f>
        <v>#NAME?</v>
      </c>
      <c r="AM920" t="str">
        <f>IF(AI920="","",SUMIFS(#REF!,RM!$C$4:$C991,AI920))</f>
        <v/>
      </c>
    </row>
    <row r="921" spans="5:39">
      <c r="E921" t="str">
        <f>IF(A921="","",SUMIFS('PR-BOM'!$D$3:$D1001,'PR-BOM'!$C$3:$C1001,A921)*C921)</f>
        <v/>
      </c>
      <c r="F921" t="e">
        <f ca="1">_xludf.IFNA(VLOOKUP(B921,'S-FG'!$B$3:$B1001,1,FALSE),"")</f>
        <v>#NAME?</v>
      </c>
      <c r="L921" t="str">
        <f t="shared" si="10"/>
        <v/>
      </c>
      <c r="Q921" t="str">
        <f>IF(N921="","",SUMIFS('PR-BOM'!$D$3:$D1001,'PR-BOM'!$C$3:$C1001,N921))</f>
        <v/>
      </c>
      <c r="Y921" t="str">
        <f t="shared" si="11"/>
        <v/>
      </c>
      <c r="Z921" t="str">
        <f>IF(X921="","",SUMIFS(#REF!,RM!$C$4:$C991,X921))</f>
        <v/>
      </c>
      <c r="AA921" t="str">
        <f>IF(X921="","",SUMIFS(#REF!,RM!$C$4:$C991,X921))</f>
        <v/>
      </c>
      <c r="AB921" t="str">
        <f>IF(X921="","",SUMIFS(IRegback!$Y$2:$Y1001,IRegback!$X$2:$X1001,X921))</f>
        <v/>
      </c>
      <c r="AC921" t="e">
        <f t="shared" si="12"/>
        <v>#VALUE!</v>
      </c>
      <c r="AD921" t="str">
        <f>IF(X921="","",VLOOKUP($X921,RM!$C$4:$G991,3,FALSE))</f>
        <v/>
      </c>
      <c r="AE921" t="str">
        <f>IF(X921="","",VLOOKUP($X921,RM!$C$4:$G991,4,FALSE))</f>
        <v/>
      </c>
      <c r="AF921" t="str">
        <f>IF(X921="","",VLOOKUP($X921,RM!$C$4:$G991,5,FALSE))</f>
        <v/>
      </c>
      <c r="AL921" t="e">
        <f ca="1">_xludf.IFNA(VLOOKUP(AH921,'S-FG'!$B$3:$B1001,1,FALSE),"")</f>
        <v>#NAME?</v>
      </c>
      <c r="AM921" t="str">
        <f>IF(AI921="","",SUMIFS(#REF!,RM!$C$4:$C991,AI921))</f>
        <v/>
      </c>
    </row>
    <row r="922" spans="5:39">
      <c r="E922" t="str">
        <f>IF(A922="","",SUMIFS('PR-BOM'!$D$3:$D1001,'PR-BOM'!$C$3:$C1001,A922)*C922)</f>
        <v/>
      </c>
      <c r="F922" t="e">
        <f ca="1">_xludf.IFNA(VLOOKUP(B922,'S-FG'!$B$3:$B1001,1,FALSE),"")</f>
        <v>#NAME?</v>
      </c>
      <c r="L922" t="str">
        <f t="shared" si="10"/>
        <v/>
      </c>
      <c r="Q922" t="str">
        <f>IF(N922="","",SUMIFS('PR-BOM'!$D$3:$D1001,'PR-BOM'!$C$3:$C1001,N922))</f>
        <v/>
      </c>
      <c r="Y922" t="str">
        <f t="shared" si="11"/>
        <v/>
      </c>
      <c r="Z922" t="str">
        <f>IF(X922="","",SUMIFS(#REF!,RM!$C$4:$C991,X922))</f>
        <v/>
      </c>
      <c r="AA922" t="str">
        <f>IF(X922="","",SUMIFS(#REF!,RM!$C$4:$C991,X922))</f>
        <v/>
      </c>
      <c r="AB922" t="str">
        <f>IF(X922="","",SUMIFS(IRegback!$Y$2:$Y1001,IRegback!$X$2:$X1001,X922))</f>
        <v/>
      </c>
      <c r="AC922" t="e">
        <f t="shared" si="12"/>
        <v>#VALUE!</v>
      </c>
      <c r="AD922" t="str">
        <f>IF(X922="","",VLOOKUP($X922,RM!$C$4:$G991,3,FALSE))</f>
        <v/>
      </c>
      <c r="AE922" t="str">
        <f>IF(X922="","",VLOOKUP($X922,RM!$C$4:$G991,4,FALSE))</f>
        <v/>
      </c>
      <c r="AF922" t="str">
        <f>IF(X922="","",VLOOKUP($X922,RM!$C$4:$G991,5,FALSE))</f>
        <v/>
      </c>
      <c r="AL922" t="e">
        <f ca="1">_xludf.IFNA(VLOOKUP(AH922,'S-FG'!$B$3:$B1001,1,FALSE),"")</f>
        <v>#NAME?</v>
      </c>
      <c r="AM922" t="str">
        <f>IF(AI922="","",SUMIFS(#REF!,RM!$C$4:$C991,AI922))</f>
        <v/>
      </c>
    </row>
    <row r="923" spans="5:39">
      <c r="E923" t="str">
        <f>IF(A923="","",SUMIFS('PR-BOM'!$D$3:$D1001,'PR-BOM'!$C$3:$C1001,A923)*C923)</f>
        <v/>
      </c>
      <c r="F923" t="e">
        <f ca="1">_xludf.IFNA(VLOOKUP(B923,'S-FG'!$B$3:$B1001,1,FALSE),"")</f>
        <v>#NAME?</v>
      </c>
      <c r="L923" t="str">
        <f t="shared" si="10"/>
        <v/>
      </c>
      <c r="Q923" t="str">
        <f>IF(N923="","",SUMIFS('PR-BOM'!$D$3:$D1001,'PR-BOM'!$C$3:$C1001,N923))</f>
        <v/>
      </c>
      <c r="Y923" t="str">
        <f t="shared" si="11"/>
        <v/>
      </c>
      <c r="Z923" t="str">
        <f>IF(X923="","",SUMIFS(#REF!,RM!$C$4:$C991,X923))</f>
        <v/>
      </c>
      <c r="AA923" t="str">
        <f>IF(X923="","",SUMIFS(#REF!,RM!$C$4:$C991,X923))</f>
        <v/>
      </c>
      <c r="AB923" t="str">
        <f>IF(X923="","",SUMIFS(IRegback!$Y$2:$Y1001,IRegback!$X$2:$X1001,X923))</f>
        <v/>
      </c>
      <c r="AC923" t="e">
        <f t="shared" si="12"/>
        <v>#VALUE!</v>
      </c>
      <c r="AD923" t="str">
        <f>IF(X923="","",VLOOKUP($X923,RM!$C$4:$G991,3,FALSE))</f>
        <v/>
      </c>
      <c r="AE923" t="str">
        <f>IF(X923="","",VLOOKUP($X923,RM!$C$4:$G991,4,FALSE))</f>
        <v/>
      </c>
      <c r="AF923" t="str">
        <f>IF(X923="","",VLOOKUP($X923,RM!$C$4:$G991,5,FALSE))</f>
        <v/>
      </c>
      <c r="AL923" t="e">
        <f ca="1">_xludf.IFNA(VLOOKUP(AH923,'S-FG'!$B$3:$B1001,1,FALSE),"")</f>
        <v>#NAME?</v>
      </c>
      <c r="AM923" t="str">
        <f>IF(AI923="","",SUMIFS(#REF!,RM!$C$4:$C991,AI923))</f>
        <v/>
      </c>
    </row>
    <row r="924" spans="5:39">
      <c r="E924" t="str">
        <f>IF(A924="","",SUMIFS('PR-BOM'!$D$3:$D1001,'PR-BOM'!$C$3:$C1001,A924)*C924)</f>
        <v/>
      </c>
      <c r="F924" t="e">
        <f ca="1">_xludf.IFNA(VLOOKUP(B924,'S-FG'!$B$3:$B1001,1,FALSE),"")</f>
        <v>#NAME?</v>
      </c>
      <c r="L924" t="str">
        <f t="shared" si="10"/>
        <v/>
      </c>
      <c r="Q924" t="str">
        <f>IF(N924="","",SUMIFS('PR-BOM'!$D$3:$D1001,'PR-BOM'!$C$3:$C1001,N924))</f>
        <v/>
      </c>
      <c r="Y924" t="str">
        <f t="shared" si="11"/>
        <v/>
      </c>
      <c r="Z924" t="str">
        <f>IF(X924="","",SUMIFS(#REF!,RM!$C$4:$C991,X924))</f>
        <v/>
      </c>
      <c r="AA924" t="str">
        <f>IF(X924="","",SUMIFS(#REF!,RM!$C$4:$C991,X924))</f>
        <v/>
      </c>
      <c r="AB924" t="str">
        <f>IF(X924="","",SUMIFS(IRegback!$Y$2:$Y1001,IRegback!$X$2:$X1001,X924))</f>
        <v/>
      </c>
      <c r="AC924" t="e">
        <f t="shared" si="12"/>
        <v>#VALUE!</v>
      </c>
      <c r="AD924" t="str">
        <f>IF(X924="","",VLOOKUP($X924,RM!$C$4:$G991,3,FALSE))</f>
        <v/>
      </c>
      <c r="AE924" t="str">
        <f>IF(X924="","",VLOOKUP($X924,RM!$C$4:$G991,4,FALSE))</f>
        <v/>
      </c>
      <c r="AF924" t="str">
        <f>IF(X924="","",VLOOKUP($X924,RM!$C$4:$G991,5,FALSE))</f>
        <v/>
      </c>
      <c r="AL924" t="e">
        <f ca="1">_xludf.IFNA(VLOOKUP(AH924,'S-FG'!$B$3:$B1001,1,FALSE),"")</f>
        <v>#NAME?</v>
      </c>
      <c r="AM924" t="str">
        <f>IF(AI924="","",SUMIFS(#REF!,RM!$C$4:$C991,AI924))</f>
        <v/>
      </c>
    </row>
    <row r="925" spans="5:39">
      <c r="E925" t="str">
        <f>IF(A925="","",SUMIFS('PR-BOM'!$D$3:$D1001,'PR-BOM'!$C$3:$C1001,A925)*C925)</f>
        <v/>
      </c>
      <c r="F925" t="e">
        <f ca="1">_xludf.IFNA(VLOOKUP(B925,'S-FG'!$B$3:$B1001,1,FALSE),"")</f>
        <v>#NAME?</v>
      </c>
      <c r="L925" t="str">
        <f t="shared" si="10"/>
        <v/>
      </c>
      <c r="Q925" t="str">
        <f>IF(N925="","",SUMIFS('PR-BOM'!$D$3:$D1001,'PR-BOM'!$C$3:$C1001,N925))</f>
        <v/>
      </c>
      <c r="Y925" t="str">
        <f t="shared" si="11"/>
        <v/>
      </c>
      <c r="Z925" t="str">
        <f>IF(X925="","",SUMIFS(#REF!,RM!$C$4:$C991,X925))</f>
        <v/>
      </c>
      <c r="AA925" t="str">
        <f>IF(X925="","",SUMIFS(#REF!,RM!$C$4:$C991,X925))</f>
        <v/>
      </c>
      <c r="AB925" t="str">
        <f>IF(X925="","",SUMIFS(IRegback!$Y$2:$Y1001,IRegback!$X$2:$X1001,X925))</f>
        <v/>
      </c>
      <c r="AC925" t="e">
        <f t="shared" si="12"/>
        <v>#VALUE!</v>
      </c>
      <c r="AD925" t="str">
        <f>IF(X925="","",VLOOKUP($X925,RM!$C$4:$G991,3,FALSE))</f>
        <v/>
      </c>
      <c r="AE925" t="str">
        <f>IF(X925="","",VLOOKUP($X925,RM!$C$4:$G991,4,FALSE))</f>
        <v/>
      </c>
      <c r="AF925" t="str">
        <f>IF(X925="","",VLOOKUP($X925,RM!$C$4:$G991,5,FALSE))</f>
        <v/>
      </c>
      <c r="AL925" t="e">
        <f ca="1">_xludf.IFNA(VLOOKUP(AH925,'S-FG'!$B$3:$B1001,1,FALSE),"")</f>
        <v>#NAME?</v>
      </c>
      <c r="AM925" t="str">
        <f>IF(AI925="","",SUMIFS(#REF!,RM!$C$4:$C991,AI925))</f>
        <v/>
      </c>
    </row>
    <row r="926" spans="5:39">
      <c r="E926" t="str">
        <f>IF(A926="","",SUMIFS('PR-BOM'!$D$3:$D1001,'PR-BOM'!$C$3:$C1001,A926)*C926)</f>
        <v/>
      </c>
      <c r="F926" t="e">
        <f ca="1">_xludf.IFNA(VLOOKUP(B926,'S-FG'!$B$3:$B1001,1,FALSE),"")</f>
        <v>#NAME?</v>
      </c>
      <c r="L926" t="str">
        <f t="shared" si="10"/>
        <v/>
      </c>
      <c r="Q926" t="str">
        <f>IF(N926="","",SUMIFS('PR-BOM'!$D$3:$D1001,'PR-BOM'!$C$3:$C1001,N926))</f>
        <v/>
      </c>
      <c r="Y926" t="str">
        <f t="shared" si="11"/>
        <v/>
      </c>
      <c r="Z926" t="str">
        <f>IF(X926="","",SUMIFS(#REF!,RM!$C$4:$C991,X926))</f>
        <v/>
      </c>
      <c r="AA926" t="str">
        <f>IF(X926="","",SUMIFS(#REF!,RM!$C$4:$C991,X926))</f>
        <v/>
      </c>
      <c r="AB926" t="str">
        <f>IF(X926="","",SUMIFS(IRegback!$Y$2:$Y1001,IRegback!$X$2:$X1001,X926))</f>
        <v/>
      </c>
      <c r="AC926" t="e">
        <f t="shared" si="12"/>
        <v>#VALUE!</v>
      </c>
      <c r="AD926" t="str">
        <f>IF(X926="","",VLOOKUP($X926,RM!$C$4:$G991,3,FALSE))</f>
        <v/>
      </c>
      <c r="AE926" t="str">
        <f>IF(X926="","",VLOOKUP($X926,RM!$C$4:$G991,4,FALSE))</f>
        <v/>
      </c>
      <c r="AF926" t="str">
        <f>IF(X926="","",VLOOKUP($X926,RM!$C$4:$G991,5,FALSE))</f>
        <v/>
      </c>
      <c r="AL926" t="e">
        <f ca="1">_xludf.IFNA(VLOOKUP(AH926,'S-FG'!$B$3:$B1001,1,FALSE),"")</f>
        <v>#NAME?</v>
      </c>
      <c r="AM926" t="str">
        <f>IF(AI926="","",SUMIFS(#REF!,RM!$C$4:$C991,AI926))</f>
        <v/>
      </c>
    </row>
    <row r="927" spans="5:39">
      <c r="E927" t="str">
        <f>IF(A927="","",SUMIFS('PR-BOM'!$D$3:$D1001,'PR-BOM'!$C$3:$C1001,A927)*C927)</f>
        <v/>
      </c>
      <c r="F927" t="e">
        <f ca="1">_xludf.IFNA(VLOOKUP(B927,'S-FG'!$B$3:$B1001,1,FALSE),"")</f>
        <v>#NAME?</v>
      </c>
      <c r="L927" t="str">
        <f t="shared" si="10"/>
        <v/>
      </c>
      <c r="Q927" t="str">
        <f>IF(N927="","",SUMIFS('PR-BOM'!$D$3:$D1001,'PR-BOM'!$C$3:$C1001,N927))</f>
        <v/>
      </c>
      <c r="Y927" t="str">
        <f t="shared" si="11"/>
        <v/>
      </c>
      <c r="Z927" t="str">
        <f>IF(X927="","",SUMIFS(#REF!,RM!$C$4:$C991,X927))</f>
        <v/>
      </c>
      <c r="AA927" t="str">
        <f>IF(X927="","",SUMIFS(#REF!,RM!$C$4:$C991,X927))</f>
        <v/>
      </c>
      <c r="AB927" t="str">
        <f>IF(X927="","",SUMIFS(IRegback!$Y$2:$Y1001,IRegback!$X$2:$X1001,X927))</f>
        <v/>
      </c>
      <c r="AC927" t="e">
        <f t="shared" si="12"/>
        <v>#VALUE!</v>
      </c>
      <c r="AD927" t="str">
        <f>IF(X927="","",VLOOKUP($X927,RM!$C$4:$G991,3,FALSE))</f>
        <v/>
      </c>
      <c r="AE927" t="str">
        <f>IF(X927="","",VLOOKUP($X927,RM!$C$4:$G991,4,FALSE))</f>
        <v/>
      </c>
      <c r="AF927" t="str">
        <f>IF(X927="","",VLOOKUP($X927,RM!$C$4:$G991,5,FALSE))</f>
        <v/>
      </c>
      <c r="AL927" t="e">
        <f ca="1">_xludf.IFNA(VLOOKUP(AH927,'S-FG'!$B$3:$B1001,1,FALSE),"")</f>
        <v>#NAME?</v>
      </c>
      <c r="AM927" t="str">
        <f>IF(AI927="","",SUMIFS(#REF!,RM!$C$4:$C991,AI927))</f>
        <v/>
      </c>
    </row>
    <row r="928" spans="5:39">
      <c r="E928" t="str">
        <f>IF(A928="","",SUMIFS('PR-BOM'!$D$3:$D1001,'PR-BOM'!$C$3:$C1001,A928)*C928)</f>
        <v/>
      </c>
      <c r="F928" t="e">
        <f ca="1">_xludf.IFNA(VLOOKUP(B928,'S-FG'!$B$3:$B1001,1,FALSE),"")</f>
        <v>#NAME?</v>
      </c>
      <c r="L928" t="str">
        <f t="shared" si="10"/>
        <v/>
      </c>
      <c r="Q928" t="str">
        <f>IF(N928="","",SUMIFS('PR-BOM'!$D$3:$D1001,'PR-BOM'!$C$3:$C1001,N928))</f>
        <v/>
      </c>
      <c r="Y928" t="str">
        <f t="shared" si="11"/>
        <v/>
      </c>
      <c r="Z928" t="str">
        <f>IF(X928="","",SUMIFS(#REF!,RM!$C$4:$C991,X928))</f>
        <v/>
      </c>
      <c r="AA928" t="str">
        <f>IF(X928="","",SUMIFS(#REF!,RM!$C$4:$C991,X928))</f>
        <v/>
      </c>
      <c r="AB928" t="str">
        <f>IF(X928="","",SUMIFS(IRegback!$Y$2:$Y1001,IRegback!$X$2:$X1001,X928))</f>
        <v/>
      </c>
      <c r="AC928" t="e">
        <f t="shared" si="12"/>
        <v>#VALUE!</v>
      </c>
      <c r="AD928" t="str">
        <f>IF(X928="","",VLOOKUP($X928,RM!$C$4:$G991,3,FALSE))</f>
        <v/>
      </c>
      <c r="AE928" t="str">
        <f>IF(X928="","",VLOOKUP($X928,RM!$C$4:$G991,4,FALSE))</f>
        <v/>
      </c>
      <c r="AF928" t="str">
        <f>IF(X928="","",VLOOKUP($X928,RM!$C$4:$G991,5,FALSE))</f>
        <v/>
      </c>
      <c r="AL928" t="e">
        <f ca="1">_xludf.IFNA(VLOOKUP(AH928,'S-FG'!$B$3:$B1001,1,FALSE),"")</f>
        <v>#NAME?</v>
      </c>
      <c r="AM928" t="str">
        <f>IF(AI928="","",SUMIFS(#REF!,RM!$C$4:$C991,AI928))</f>
        <v/>
      </c>
    </row>
    <row r="929" spans="5:39">
      <c r="E929" t="str">
        <f>IF(A929="","",SUMIFS('PR-BOM'!$D$3:$D1001,'PR-BOM'!$C$3:$C1001,A929)*C929)</f>
        <v/>
      </c>
      <c r="F929" t="e">
        <f ca="1">_xludf.IFNA(VLOOKUP(B929,'S-FG'!$B$3:$B1001,1,FALSE),"")</f>
        <v>#NAME?</v>
      </c>
      <c r="L929" t="str">
        <f t="shared" si="10"/>
        <v/>
      </c>
      <c r="Q929" t="str">
        <f>IF(N929="","",SUMIFS('PR-BOM'!$D$3:$D1001,'PR-BOM'!$C$3:$C1001,N929))</f>
        <v/>
      </c>
      <c r="Y929" t="str">
        <f t="shared" si="11"/>
        <v/>
      </c>
      <c r="Z929" t="str">
        <f>IF(X929="","",SUMIFS(#REF!,RM!$C$4:$C991,X929))</f>
        <v/>
      </c>
      <c r="AA929" t="str">
        <f>IF(X929="","",SUMIFS(#REF!,RM!$C$4:$C991,X929))</f>
        <v/>
      </c>
      <c r="AB929" t="str">
        <f>IF(X929="","",SUMIFS(IRegback!$Y$2:$Y1001,IRegback!$X$2:$X1001,X929))</f>
        <v/>
      </c>
      <c r="AC929" t="e">
        <f t="shared" si="12"/>
        <v>#VALUE!</v>
      </c>
      <c r="AD929" t="str">
        <f>IF(X929="","",VLOOKUP($X929,RM!$C$4:$G991,3,FALSE))</f>
        <v/>
      </c>
      <c r="AE929" t="str">
        <f>IF(X929="","",VLOOKUP($X929,RM!$C$4:$G991,4,FALSE))</f>
        <v/>
      </c>
      <c r="AF929" t="str">
        <f>IF(X929="","",VLOOKUP($X929,RM!$C$4:$G991,5,FALSE))</f>
        <v/>
      </c>
      <c r="AL929" t="e">
        <f ca="1">_xludf.IFNA(VLOOKUP(AH929,'S-FG'!$B$3:$B1001,1,FALSE),"")</f>
        <v>#NAME?</v>
      </c>
      <c r="AM929" t="str">
        <f>IF(AI929="","",SUMIFS(#REF!,RM!$C$4:$C991,AI929))</f>
        <v/>
      </c>
    </row>
    <row r="930" spans="5:39">
      <c r="E930" t="str">
        <f>IF(A930="","",SUMIFS('PR-BOM'!$D$3:$D1001,'PR-BOM'!$C$3:$C1001,A930)*C930)</f>
        <v/>
      </c>
      <c r="F930" t="e">
        <f ca="1">_xludf.IFNA(VLOOKUP(B930,'S-FG'!$B$3:$B1001,1,FALSE),"")</f>
        <v>#NAME?</v>
      </c>
      <c r="L930" t="str">
        <f t="shared" si="10"/>
        <v/>
      </c>
      <c r="Q930" t="str">
        <f>IF(N930="","",SUMIFS('PR-BOM'!$D$3:$D1001,'PR-BOM'!$C$3:$C1001,N930))</f>
        <v/>
      </c>
      <c r="Y930" t="str">
        <f t="shared" si="11"/>
        <v/>
      </c>
      <c r="Z930" t="str">
        <f>IF(X930="","",SUMIFS(#REF!,RM!$C$4:$C991,X930))</f>
        <v/>
      </c>
      <c r="AA930" t="str">
        <f>IF(X930="","",SUMIFS(#REF!,RM!$C$4:$C991,X930))</f>
        <v/>
      </c>
      <c r="AB930" t="str">
        <f>IF(X930="","",SUMIFS(IRegback!$Y$2:$Y1001,IRegback!$X$2:$X1001,X930))</f>
        <v/>
      </c>
      <c r="AC930" t="e">
        <f t="shared" si="12"/>
        <v>#VALUE!</v>
      </c>
      <c r="AD930" t="str">
        <f>IF(X930="","",VLOOKUP($X930,RM!$C$4:$G991,3,FALSE))</f>
        <v/>
      </c>
      <c r="AE930" t="str">
        <f>IF(X930="","",VLOOKUP($X930,RM!$C$4:$G991,4,FALSE))</f>
        <v/>
      </c>
      <c r="AF930" t="str">
        <f>IF(X930="","",VLOOKUP($X930,RM!$C$4:$G991,5,FALSE))</f>
        <v/>
      </c>
      <c r="AL930" t="e">
        <f ca="1">_xludf.IFNA(VLOOKUP(AH930,'S-FG'!$B$3:$B1001,1,FALSE),"")</f>
        <v>#NAME?</v>
      </c>
      <c r="AM930" t="str">
        <f>IF(AI930="","",SUMIFS(#REF!,RM!$C$4:$C991,AI930))</f>
        <v/>
      </c>
    </row>
    <row r="931" spans="5:39">
      <c r="E931" t="str">
        <f>IF(A931="","",SUMIFS('PR-BOM'!$D$3:$D1001,'PR-BOM'!$C$3:$C1001,A931)*C931)</f>
        <v/>
      </c>
      <c r="F931" t="e">
        <f ca="1">_xludf.IFNA(VLOOKUP(B931,'S-FG'!$B$3:$B1001,1,FALSE),"")</f>
        <v>#NAME?</v>
      </c>
      <c r="L931" t="str">
        <f t="shared" si="10"/>
        <v/>
      </c>
      <c r="Q931" t="str">
        <f>IF(N931="","",SUMIFS('PR-BOM'!$D$3:$D1001,'PR-BOM'!$C$3:$C1001,N931))</f>
        <v/>
      </c>
      <c r="Y931" t="str">
        <f t="shared" si="11"/>
        <v/>
      </c>
      <c r="Z931" t="str">
        <f>IF(X931="","",SUMIFS(#REF!,RM!$C$4:$C991,X931))</f>
        <v/>
      </c>
      <c r="AA931" t="str">
        <f>IF(X931="","",SUMIFS(#REF!,RM!$C$4:$C991,X931))</f>
        <v/>
      </c>
      <c r="AB931" t="str">
        <f>IF(X931="","",SUMIFS(IRegback!$Y$2:$Y1001,IRegback!$X$2:$X1001,X931))</f>
        <v/>
      </c>
      <c r="AC931" t="e">
        <f t="shared" si="12"/>
        <v>#VALUE!</v>
      </c>
      <c r="AD931" t="str">
        <f>IF(X931="","",VLOOKUP($X931,RM!$C$4:$G991,3,FALSE))</f>
        <v/>
      </c>
      <c r="AE931" t="str">
        <f>IF(X931="","",VLOOKUP($X931,RM!$C$4:$G991,4,FALSE))</f>
        <v/>
      </c>
      <c r="AF931" t="str">
        <f>IF(X931="","",VLOOKUP($X931,RM!$C$4:$G991,5,FALSE))</f>
        <v/>
      </c>
      <c r="AL931" t="e">
        <f ca="1">_xludf.IFNA(VLOOKUP(AH931,'S-FG'!$B$3:$B1001,1,FALSE),"")</f>
        <v>#NAME?</v>
      </c>
      <c r="AM931" t="str">
        <f>IF(AI931="","",SUMIFS(#REF!,RM!$C$4:$C991,AI931))</f>
        <v/>
      </c>
    </row>
    <row r="932" spans="5:39">
      <c r="E932" t="str">
        <f>IF(A932="","",SUMIFS('PR-BOM'!$D$3:$D1001,'PR-BOM'!$C$3:$C1001,A932)*C932)</f>
        <v/>
      </c>
      <c r="F932" t="e">
        <f ca="1">_xludf.IFNA(VLOOKUP(B932,'S-FG'!$B$3:$B1001,1,FALSE),"")</f>
        <v>#NAME?</v>
      </c>
      <c r="L932" t="str">
        <f t="shared" si="10"/>
        <v/>
      </c>
      <c r="Q932" t="str">
        <f>IF(N932="","",SUMIFS('PR-BOM'!$D$3:$D1001,'PR-BOM'!$C$3:$C1001,N932))</f>
        <v/>
      </c>
      <c r="Y932" t="str">
        <f t="shared" si="11"/>
        <v/>
      </c>
      <c r="Z932" t="str">
        <f>IF(X932="","",SUMIFS(#REF!,RM!$C$4:$C991,X932))</f>
        <v/>
      </c>
      <c r="AA932" t="str">
        <f>IF(X932="","",SUMIFS(#REF!,RM!$C$4:$C991,X932))</f>
        <v/>
      </c>
      <c r="AB932" t="str">
        <f>IF(X932="","",SUMIFS(IRegback!$Y$2:$Y1001,IRegback!$X$2:$X1001,X932))</f>
        <v/>
      </c>
      <c r="AC932" t="e">
        <f t="shared" si="12"/>
        <v>#VALUE!</v>
      </c>
      <c r="AD932" t="str">
        <f>IF(X932="","",VLOOKUP($X932,RM!$C$4:$G991,3,FALSE))</f>
        <v/>
      </c>
      <c r="AE932" t="str">
        <f>IF(X932="","",VLOOKUP($X932,RM!$C$4:$G991,4,FALSE))</f>
        <v/>
      </c>
      <c r="AF932" t="str">
        <f>IF(X932="","",VLOOKUP($X932,RM!$C$4:$G991,5,FALSE))</f>
        <v/>
      </c>
      <c r="AL932" t="e">
        <f ca="1">_xludf.IFNA(VLOOKUP(AH932,'S-FG'!$B$3:$B1001,1,FALSE),"")</f>
        <v>#NAME?</v>
      </c>
      <c r="AM932" t="str">
        <f>IF(AI932="","",SUMIFS(#REF!,RM!$C$4:$C991,AI932))</f>
        <v/>
      </c>
    </row>
    <row r="933" spans="5:39">
      <c r="E933" t="str">
        <f>IF(A933="","",SUMIFS('PR-BOM'!$D$3:$D1001,'PR-BOM'!$C$3:$C1001,A933)*C933)</f>
        <v/>
      </c>
      <c r="F933" t="e">
        <f ca="1">_xludf.IFNA(VLOOKUP(B933,'S-FG'!$B$3:$B1001,1,FALSE),"")</f>
        <v>#NAME?</v>
      </c>
      <c r="L933" t="str">
        <f t="shared" si="10"/>
        <v/>
      </c>
      <c r="Q933" t="str">
        <f>IF(N933="","",SUMIFS('PR-BOM'!$D$3:$D1001,'PR-BOM'!$C$3:$C1001,N933))</f>
        <v/>
      </c>
      <c r="Y933" t="str">
        <f t="shared" si="11"/>
        <v/>
      </c>
      <c r="Z933" t="str">
        <f>IF(X933="","",SUMIFS(#REF!,RM!$C$4:$C991,X933))</f>
        <v/>
      </c>
      <c r="AA933" t="str">
        <f>IF(X933="","",SUMIFS(#REF!,RM!$C$4:$C991,X933))</f>
        <v/>
      </c>
      <c r="AB933" t="str">
        <f>IF(X933="","",SUMIFS(IRegback!$Y$2:$Y1001,IRegback!$X$2:$X1001,X933))</f>
        <v/>
      </c>
      <c r="AC933" t="e">
        <f t="shared" si="12"/>
        <v>#VALUE!</v>
      </c>
      <c r="AD933" t="str">
        <f>IF(X933="","",VLOOKUP($X933,RM!$C$4:$G991,3,FALSE))</f>
        <v/>
      </c>
      <c r="AE933" t="str">
        <f>IF(X933="","",VLOOKUP($X933,RM!$C$4:$G991,4,FALSE))</f>
        <v/>
      </c>
      <c r="AF933" t="str">
        <f>IF(X933="","",VLOOKUP($X933,RM!$C$4:$G991,5,FALSE))</f>
        <v/>
      </c>
      <c r="AL933" t="e">
        <f ca="1">_xludf.IFNA(VLOOKUP(AH933,'S-FG'!$B$3:$B1001,1,FALSE),"")</f>
        <v>#NAME?</v>
      </c>
      <c r="AM933" t="str">
        <f>IF(AI933="","",SUMIFS(#REF!,RM!$C$4:$C991,AI933))</f>
        <v/>
      </c>
    </row>
    <row r="934" spans="5:39">
      <c r="E934" t="str">
        <f>IF(A934="","",SUMIFS('PR-BOM'!$D$3:$D1001,'PR-BOM'!$C$3:$C1001,A934)*C934)</f>
        <v/>
      </c>
      <c r="F934" t="e">
        <f ca="1">_xludf.IFNA(VLOOKUP(B934,'S-FG'!$B$3:$B1001,1,FALSE),"")</f>
        <v>#NAME?</v>
      </c>
      <c r="L934" t="str">
        <f t="shared" si="10"/>
        <v/>
      </c>
      <c r="Q934" t="str">
        <f>IF(N934="","",SUMIFS('PR-BOM'!$D$3:$D1001,'PR-BOM'!$C$3:$C1001,N934))</f>
        <v/>
      </c>
      <c r="Y934" t="str">
        <f t="shared" si="11"/>
        <v/>
      </c>
      <c r="Z934" t="str">
        <f>IF(X934="","",SUMIFS(#REF!,RM!$C$4:$C991,X934))</f>
        <v/>
      </c>
      <c r="AA934" t="str">
        <f>IF(X934="","",SUMIFS(#REF!,RM!$C$4:$C991,X934))</f>
        <v/>
      </c>
      <c r="AB934" t="str">
        <f>IF(X934="","",SUMIFS(IRegback!$Y$2:$Y1001,IRegback!$X$2:$X1001,X934))</f>
        <v/>
      </c>
      <c r="AC934" t="e">
        <f t="shared" si="12"/>
        <v>#VALUE!</v>
      </c>
      <c r="AD934" t="str">
        <f>IF(X934="","",VLOOKUP($X934,RM!$C$4:$G991,3,FALSE))</f>
        <v/>
      </c>
      <c r="AE934" t="str">
        <f>IF(X934="","",VLOOKUP($X934,RM!$C$4:$G991,4,FALSE))</f>
        <v/>
      </c>
      <c r="AF934" t="str">
        <f>IF(X934="","",VLOOKUP($X934,RM!$C$4:$G991,5,FALSE))</f>
        <v/>
      </c>
      <c r="AL934" t="e">
        <f ca="1">_xludf.IFNA(VLOOKUP(AH934,'S-FG'!$B$3:$B1001,1,FALSE),"")</f>
        <v>#NAME?</v>
      </c>
      <c r="AM934" t="str">
        <f>IF(AI934="","",SUMIFS(#REF!,RM!$C$4:$C991,AI934))</f>
        <v/>
      </c>
    </row>
    <row r="935" spans="5:39">
      <c r="E935" t="str">
        <f>IF(A935="","",SUMIFS('PR-BOM'!$D$3:$D1001,'PR-BOM'!$C$3:$C1001,A935)*C935)</f>
        <v/>
      </c>
      <c r="F935" t="e">
        <f ca="1">_xludf.IFNA(VLOOKUP(B935,'S-FG'!$B$3:$B1001,1,FALSE),"")</f>
        <v>#NAME?</v>
      </c>
      <c r="L935" t="str">
        <f t="shared" si="10"/>
        <v/>
      </c>
      <c r="Q935" t="str">
        <f>IF(N935="","",SUMIFS('PR-BOM'!$D$3:$D1001,'PR-BOM'!$C$3:$C1001,N935))</f>
        <v/>
      </c>
      <c r="Y935" t="str">
        <f t="shared" si="11"/>
        <v/>
      </c>
      <c r="Z935" t="str">
        <f>IF(X935="","",SUMIFS(#REF!,RM!$C$4:$C991,X935))</f>
        <v/>
      </c>
      <c r="AA935" t="str">
        <f>IF(X935="","",SUMIFS(#REF!,RM!$C$4:$C991,X935))</f>
        <v/>
      </c>
      <c r="AB935" t="str">
        <f>IF(X935="","",SUMIFS(IRegback!$Y$2:$Y1001,IRegback!$X$2:$X1001,X935))</f>
        <v/>
      </c>
      <c r="AC935" t="e">
        <f t="shared" si="12"/>
        <v>#VALUE!</v>
      </c>
      <c r="AD935" t="str">
        <f>IF(X935="","",VLOOKUP($X935,RM!$C$4:$G991,3,FALSE))</f>
        <v/>
      </c>
      <c r="AE935" t="str">
        <f>IF(X935="","",VLOOKUP($X935,RM!$C$4:$G991,4,FALSE))</f>
        <v/>
      </c>
      <c r="AF935" t="str">
        <f>IF(X935="","",VLOOKUP($X935,RM!$C$4:$G991,5,FALSE))</f>
        <v/>
      </c>
      <c r="AL935" t="e">
        <f ca="1">_xludf.IFNA(VLOOKUP(AH935,'S-FG'!$B$3:$B1001,1,FALSE),"")</f>
        <v>#NAME?</v>
      </c>
      <c r="AM935" t="str">
        <f>IF(AI935="","",SUMIFS(#REF!,RM!$C$4:$C991,AI935))</f>
        <v/>
      </c>
    </row>
    <row r="936" spans="5:39">
      <c r="E936" t="str">
        <f>IF(A936="","",SUMIFS('PR-BOM'!$D$3:$D1001,'PR-BOM'!$C$3:$C1001,A936)*C936)</f>
        <v/>
      </c>
      <c r="F936" t="e">
        <f ca="1">_xludf.IFNA(VLOOKUP(B936,'S-FG'!$B$3:$B1001,1,FALSE),"")</f>
        <v>#NAME?</v>
      </c>
      <c r="L936" t="str">
        <f t="shared" si="10"/>
        <v/>
      </c>
      <c r="Q936" t="str">
        <f>IF(N936="","",SUMIFS('PR-BOM'!$D$3:$D1001,'PR-BOM'!$C$3:$C1001,N936))</f>
        <v/>
      </c>
      <c r="Y936" t="str">
        <f t="shared" si="11"/>
        <v/>
      </c>
      <c r="Z936" t="str">
        <f>IF(X936="","",SUMIFS(#REF!,RM!$C$4:$C991,X936))</f>
        <v/>
      </c>
      <c r="AA936" t="str">
        <f>IF(X936="","",SUMIFS(#REF!,RM!$C$4:$C991,X936))</f>
        <v/>
      </c>
      <c r="AB936" t="str">
        <f>IF(X936="","",SUMIFS(IRegback!$Y$2:$Y1001,IRegback!$X$2:$X1001,X936))</f>
        <v/>
      </c>
      <c r="AC936" t="e">
        <f t="shared" si="12"/>
        <v>#VALUE!</v>
      </c>
      <c r="AD936" t="str">
        <f>IF(X936="","",VLOOKUP($X936,RM!$C$4:$G991,3,FALSE))</f>
        <v/>
      </c>
      <c r="AE936" t="str">
        <f>IF(X936="","",VLOOKUP($X936,RM!$C$4:$G991,4,FALSE))</f>
        <v/>
      </c>
      <c r="AF936" t="str">
        <f>IF(X936="","",VLOOKUP($X936,RM!$C$4:$G991,5,FALSE))</f>
        <v/>
      </c>
      <c r="AL936" t="e">
        <f ca="1">_xludf.IFNA(VLOOKUP(AH936,'S-FG'!$B$3:$B1001,1,FALSE),"")</f>
        <v>#NAME?</v>
      </c>
      <c r="AM936" t="str">
        <f>IF(AI936="","",SUMIFS(#REF!,RM!$C$4:$C991,AI936))</f>
        <v/>
      </c>
    </row>
    <row r="937" spans="5:39">
      <c r="E937" t="str">
        <f>IF(A937="","",SUMIFS('PR-BOM'!$D$3:$D1001,'PR-BOM'!$C$3:$C1001,A937)*C937)</f>
        <v/>
      </c>
      <c r="F937" t="e">
        <f ca="1">_xludf.IFNA(VLOOKUP(B937,'S-FG'!$B$3:$B1001,1,FALSE),"")</f>
        <v>#NAME?</v>
      </c>
      <c r="L937" t="str">
        <f t="shared" si="10"/>
        <v/>
      </c>
      <c r="Q937" t="str">
        <f>IF(N937="","",SUMIFS('PR-BOM'!$D$3:$D1001,'PR-BOM'!$C$3:$C1001,N937))</f>
        <v/>
      </c>
      <c r="Y937" t="str">
        <f t="shared" si="11"/>
        <v/>
      </c>
      <c r="Z937" t="str">
        <f>IF(X937="","",SUMIFS(#REF!,RM!$C$4:$C991,X937))</f>
        <v/>
      </c>
      <c r="AA937" t="str">
        <f>IF(X937="","",SUMIFS(#REF!,RM!$C$4:$C991,X937))</f>
        <v/>
      </c>
      <c r="AB937" t="str">
        <f>IF(X937="","",SUMIFS(IRegback!$Y$2:$Y1001,IRegback!$X$2:$X1001,X937))</f>
        <v/>
      </c>
      <c r="AC937" t="e">
        <f t="shared" si="12"/>
        <v>#VALUE!</v>
      </c>
      <c r="AD937" t="str">
        <f>IF(X937="","",VLOOKUP($X937,RM!$C$4:$G991,3,FALSE))</f>
        <v/>
      </c>
      <c r="AE937" t="str">
        <f>IF(X937="","",VLOOKUP($X937,RM!$C$4:$G991,4,FALSE))</f>
        <v/>
      </c>
      <c r="AF937" t="str">
        <f>IF(X937="","",VLOOKUP($X937,RM!$C$4:$G991,5,FALSE))</f>
        <v/>
      </c>
      <c r="AL937" t="e">
        <f ca="1">_xludf.IFNA(VLOOKUP(AH937,'S-FG'!$B$3:$B1001,1,FALSE),"")</f>
        <v>#NAME?</v>
      </c>
      <c r="AM937" t="str">
        <f>IF(AI937="","",SUMIFS(#REF!,RM!$C$4:$C991,AI937))</f>
        <v/>
      </c>
    </row>
    <row r="938" spans="5:39">
      <c r="E938" t="str">
        <f>IF(A938="","",SUMIFS('PR-BOM'!$D$3:$D1001,'PR-BOM'!$C$3:$C1001,A938)*C938)</f>
        <v/>
      </c>
      <c r="F938" t="e">
        <f ca="1">_xludf.IFNA(VLOOKUP(B938,'S-FG'!$B$3:$B1001,1,FALSE),"")</f>
        <v>#NAME?</v>
      </c>
      <c r="L938" t="str">
        <f t="shared" si="10"/>
        <v/>
      </c>
      <c r="Q938" t="str">
        <f>IF(N938="","",SUMIFS('PR-BOM'!$D$3:$D1001,'PR-BOM'!$C$3:$C1001,N938))</f>
        <v/>
      </c>
      <c r="Y938" t="str">
        <f t="shared" si="11"/>
        <v/>
      </c>
      <c r="Z938" t="str">
        <f>IF(X938="","",SUMIFS(#REF!,RM!$C$4:$C991,X938))</f>
        <v/>
      </c>
      <c r="AA938" t="str">
        <f>IF(X938="","",SUMIFS(#REF!,RM!$C$4:$C991,X938))</f>
        <v/>
      </c>
      <c r="AB938" t="str">
        <f>IF(X938="","",SUMIFS(IRegback!$Y$2:$Y1001,IRegback!$X$2:$X1001,X938))</f>
        <v/>
      </c>
      <c r="AC938" t="e">
        <f t="shared" si="12"/>
        <v>#VALUE!</v>
      </c>
      <c r="AD938" t="str">
        <f>IF(X938="","",VLOOKUP($X938,RM!$C$4:$G991,3,FALSE))</f>
        <v/>
      </c>
      <c r="AE938" t="str">
        <f>IF(X938="","",VLOOKUP($X938,RM!$C$4:$G991,4,FALSE))</f>
        <v/>
      </c>
      <c r="AF938" t="str">
        <f>IF(X938="","",VLOOKUP($X938,RM!$C$4:$G991,5,FALSE))</f>
        <v/>
      </c>
      <c r="AL938" t="e">
        <f ca="1">_xludf.IFNA(VLOOKUP(AH938,'S-FG'!$B$3:$B1001,1,FALSE),"")</f>
        <v>#NAME?</v>
      </c>
      <c r="AM938" t="str">
        <f>IF(AI938="","",SUMIFS(#REF!,RM!$C$4:$C991,AI938))</f>
        <v/>
      </c>
    </row>
    <row r="939" spans="5:39">
      <c r="E939" t="str">
        <f>IF(A939="","",SUMIFS('PR-BOM'!$D$3:$D1001,'PR-BOM'!$C$3:$C1001,A939)*C939)</f>
        <v/>
      </c>
      <c r="F939" t="e">
        <f ca="1">_xludf.IFNA(VLOOKUP(B939,'S-FG'!$B$3:$B1001,1,FALSE),"")</f>
        <v>#NAME?</v>
      </c>
      <c r="L939" t="str">
        <f t="shared" si="10"/>
        <v/>
      </c>
      <c r="Q939" t="str">
        <f>IF(N939="","",SUMIFS('PR-BOM'!$D$3:$D1001,'PR-BOM'!$C$3:$C1001,N939))</f>
        <v/>
      </c>
      <c r="Y939" t="str">
        <f t="shared" si="11"/>
        <v/>
      </c>
      <c r="Z939" t="str">
        <f>IF(X939="","",SUMIFS(#REF!,RM!$C$4:$C991,X939))</f>
        <v/>
      </c>
      <c r="AA939" t="str">
        <f>IF(X939="","",SUMIFS(#REF!,RM!$C$4:$C991,X939))</f>
        <v/>
      </c>
      <c r="AB939" t="str">
        <f>IF(X939="","",SUMIFS(IRegback!$Y$2:$Y1001,IRegback!$X$2:$X1001,X939))</f>
        <v/>
      </c>
      <c r="AC939" t="e">
        <f t="shared" si="12"/>
        <v>#VALUE!</v>
      </c>
      <c r="AD939" t="str">
        <f>IF(X939="","",VLOOKUP($X939,RM!$C$4:$G991,3,FALSE))</f>
        <v/>
      </c>
      <c r="AE939" t="str">
        <f>IF(X939="","",VLOOKUP($X939,RM!$C$4:$G991,4,FALSE))</f>
        <v/>
      </c>
      <c r="AF939" t="str">
        <f>IF(X939="","",VLOOKUP($X939,RM!$C$4:$G991,5,FALSE))</f>
        <v/>
      </c>
      <c r="AL939" t="e">
        <f ca="1">_xludf.IFNA(VLOOKUP(AH939,'S-FG'!$B$3:$B1001,1,FALSE),"")</f>
        <v>#NAME?</v>
      </c>
      <c r="AM939" t="str">
        <f>IF(AI939="","",SUMIFS(#REF!,RM!$C$4:$C991,AI939))</f>
        <v/>
      </c>
    </row>
    <row r="940" spans="5:39">
      <c r="E940" t="str">
        <f>IF(A940="","",SUMIFS('PR-BOM'!$D$3:$D1001,'PR-BOM'!$C$3:$C1001,A940)*C940)</f>
        <v/>
      </c>
      <c r="F940" t="e">
        <f ca="1">_xludf.IFNA(VLOOKUP(B940,'S-FG'!$B$3:$B1001,1,FALSE),"")</f>
        <v>#NAME?</v>
      </c>
      <c r="L940" t="str">
        <f t="shared" si="10"/>
        <v/>
      </c>
      <c r="Q940" t="str">
        <f>IF(N940="","",SUMIFS('PR-BOM'!$D$3:$D1001,'PR-BOM'!$C$3:$C1001,N940))</f>
        <v/>
      </c>
      <c r="Y940" t="str">
        <f t="shared" si="11"/>
        <v/>
      </c>
      <c r="Z940" t="str">
        <f>IF(X940="","",SUMIFS(#REF!,RM!$C$4:$C991,X940))</f>
        <v/>
      </c>
      <c r="AA940" t="str">
        <f>IF(X940="","",SUMIFS(#REF!,RM!$C$4:$C991,X940))</f>
        <v/>
      </c>
      <c r="AB940" t="str">
        <f>IF(X940="","",SUMIFS(IRegback!$Y$2:$Y1001,IRegback!$X$2:$X1001,X940))</f>
        <v/>
      </c>
      <c r="AC940" t="e">
        <f t="shared" si="12"/>
        <v>#VALUE!</v>
      </c>
      <c r="AD940" t="str">
        <f>IF(X940="","",VLOOKUP($X940,RM!$C$4:$G991,3,FALSE))</f>
        <v/>
      </c>
      <c r="AE940" t="str">
        <f>IF(X940="","",VLOOKUP($X940,RM!$C$4:$G991,4,FALSE))</f>
        <v/>
      </c>
      <c r="AF940" t="str">
        <f>IF(X940="","",VLOOKUP($X940,RM!$C$4:$G991,5,FALSE))</f>
        <v/>
      </c>
      <c r="AL940" t="e">
        <f ca="1">_xludf.IFNA(VLOOKUP(AH940,'S-FG'!$B$3:$B1001,1,FALSE),"")</f>
        <v>#NAME?</v>
      </c>
      <c r="AM940" t="str">
        <f>IF(AI940="","",SUMIFS(#REF!,RM!$C$4:$C991,AI940))</f>
        <v/>
      </c>
    </row>
    <row r="941" spans="5:39">
      <c r="E941" t="str">
        <f>IF(A941="","",SUMIFS('PR-BOM'!$D$3:$D1001,'PR-BOM'!$C$3:$C1001,A941)*C941)</f>
        <v/>
      </c>
      <c r="F941" t="e">
        <f ca="1">_xludf.IFNA(VLOOKUP(B941,'S-FG'!$B$3:$B1001,1,FALSE),"")</f>
        <v>#NAME?</v>
      </c>
      <c r="L941" t="str">
        <f t="shared" si="10"/>
        <v/>
      </c>
      <c r="Q941" t="str">
        <f>IF(N941="","",SUMIFS('PR-BOM'!$D$3:$D1001,'PR-BOM'!$C$3:$C1001,N941))</f>
        <v/>
      </c>
      <c r="Y941" t="str">
        <f t="shared" si="11"/>
        <v/>
      </c>
      <c r="Z941" t="str">
        <f>IF(X941="","",SUMIFS(#REF!,RM!$C$4:$C991,X941))</f>
        <v/>
      </c>
      <c r="AA941" t="str">
        <f>IF(X941="","",SUMIFS(#REF!,RM!$C$4:$C991,X941))</f>
        <v/>
      </c>
      <c r="AB941" t="str">
        <f>IF(X941="","",SUMIFS(IRegback!$Y$2:$Y1001,IRegback!$X$2:$X1001,X941))</f>
        <v/>
      </c>
      <c r="AC941" t="e">
        <f t="shared" si="12"/>
        <v>#VALUE!</v>
      </c>
      <c r="AD941" t="str">
        <f>IF(X941="","",VLOOKUP($X941,RM!$C$4:$G991,3,FALSE))</f>
        <v/>
      </c>
      <c r="AE941" t="str">
        <f>IF(X941="","",VLOOKUP($X941,RM!$C$4:$G991,4,FALSE))</f>
        <v/>
      </c>
      <c r="AF941" t="str">
        <f>IF(X941="","",VLOOKUP($X941,RM!$C$4:$G991,5,FALSE))</f>
        <v/>
      </c>
      <c r="AL941" t="e">
        <f ca="1">_xludf.IFNA(VLOOKUP(AH941,'S-FG'!$B$3:$B1001,1,FALSE),"")</f>
        <v>#NAME?</v>
      </c>
      <c r="AM941" t="str">
        <f>IF(AI941="","",SUMIFS(#REF!,RM!$C$4:$C991,AI941))</f>
        <v/>
      </c>
    </row>
    <row r="942" spans="5:39">
      <c r="E942" t="str">
        <f>IF(A942="","",SUMIFS('PR-BOM'!$D$3:$D1001,'PR-BOM'!$C$3:$C1001,A942)*C942)</f>
        <v/>
      </c>
      <c r="F942" t="e">
        <f ca="1">_xludf.IFNA(VLOOKUP(B942,'S-FG'!$B$3:$B1001,1,FALSE),"")</f>
        <v>#NAME?</v>
      </c>
      <c r="L942" t="str">
        <f t="shared" si="10"/>
        <v/>
      </c>
      <c r="Q942" t="str">
        <f>IF(N942="","",SUMIFS('PR-BOM'!$D$3:$D1001,'PR-BOM'!$C$3:$C1001,N942))</f>
        <v/>
      </c>
      <c r="Y942" t="str">
        <f t="shared" si="11"/>
        <v/>
      </c>
      <c r="Z942" t="str">
        <f>IF(X942="","",SUMIFS(#REF!,RM!$C$4:$C991,X942))</f>
        <v/>
      </c>
      <c r="AA942" t="str">
        <f>IF(X942="","",SUMIFS(#REF!,RM!$C$4:$C991,X942))</f>
        <v/>
      </c>
      <c r="AB942" t="str">
        <f>IF(X942="","",SUMIFS(IRegback!$Y$2:$Y1001,IRegback!$X$2:$X1001,X942))</f>
        <v/>
      </c>
      <c r="AC942" t="e">
        <f t="shared" si="12"/>
        <v>#VALUE!</v>
      </c>
      <c r="AD942" t="str">
        <f>IF(X942="","",VLOOKUP($X942,RM!$C$4:$G991,3,FALSE))</f>
        <v/>
      </c>
      <c r="AE942" t="str">
        <f>IF(X942="","",VLOOKUP($X942,RM!$C$4:$G991,4,FALSE))</f>
        <v/>
      </c>
      <c r="AF942" t="str">
        <f>IF(X942="","",VLOOKUP($X942,RM!$C$4:$G991,5,FALSE))</f>
        <v/>
      </c>
      <c r="AL942" t="e">
        <f ca="1">_xludf.IFNA(VLOOKUP(AH942,'S-FG'!$B$3:$B1001,1,FALSE),"")</f>
        <v>#NAME?</v>
      </c>
      <c r="AM942" t="str">
        <f>IF(AI942="","",SUMIFS(#REF!,RM!$C$4:$C991,AI942))</f>
        <v/>
      </c>
    </row>
    <row r="943" spans="5:39">
      <c r="E943" t="str">
        <f>IF(A943="","",SUMIFS('PR-BOM'!$D$3:$D1001,'PR-BOM'!$C$3:$C1001,A943)*C943)</f>
        <v/>
      </c>
      <c r="F943" t="e">
        <f ca="1">_xludf.IFNA(VLOOKUP(B943,'S-FG'!$B$3:$B1001,1,FALSE),"")</f>
        <v>#NAME?</v>
      </c>
      <c r="L943" t="str">
        <f t="shared" si="10"/>
        <v/>
      </c>
      <c r="Q943" t="str">
        <f>IF(N943="","",SUMIFS('PR-BOM'!$D$3:$D1001,'PR-BOM'!$C$3:$C1001,N943))</f>
        <v/>
      </c>
      <c r="Y943" t="str">
        <f t="shared" si="11"/>
        <v/>
      </c>
      <c r="Z943" t="str">
        <f>IF(X943="","",SUMIFS(#REF!,RM!$C$4:$C991,X943))</f>
        <v/>
      </c>
      <c r="AA943" t="str">
        <f>IF(X943="","",SUMIFS(#REF!,RM!$C$4:$C991,X943))</f>
        <v/>
      </c>
      <c r="AB943" t="str">
        <f>IF(X943="","",SUMIFS(IRegback!$Y$2:$Y1001,IRegback!$X$2:$X1001,X943))</f>
        <v/>
      </c>
      <c r="AC943" t="e">
        <f t="shared" si="12"/>
        <v>#VALUE!</v>
      </c>
      <c r="AD943" t="str">
        <f>IF(X943="","",VLOOKUP($X943,RM!$C$4:$G991,3,FALSE))</f>
        <v/>
      </c>
      <c r="AE943" t="str">
        <f>IF(X943="","",VLOOKUP($X943,RM!$C$4:$G991,4,FALSE))</f>
        <v/>
      </c>
      <c r="AF943" t="str">
        <f>IF(X943="","",VLOOKUP($X943,RM!$C$4:$G991,5,FALSE))</f>
        <v/>
      </c>
      <c r="AL943" t="e">
        <f ca="1">_xludf.IFNA(VLOOKUP(AH943,'S-FG'!$B$3:$B1001,1,FALSE),"")</f>
        <v>#NAME?</v>
      </c>
      <c r="AM943" t="str">
        <f>IF(AI943="","",SUMIFS(#REF!,RM!$C$4:$C991,AI943))</f>
        <v/>
      </c>
    </row>
    <row r="944" spans="5:39">
      <c r="E944" t="str">
        <f>IF(A944="","",SUMIFS('PR-BOM'!$D$3:$D1001,'PR-BOM'!$C$3:$C1001,A944)*C944)</f>
        <v/>
      </c>
      <c r="F944" t="e">
        <f ca="1">_xludf.IFNA(VLOOKUP(B944,'S-FG'!$B$3:$B1001,1,FALSE),"")</f>
        <v>#NAME?</v>
      </c>
      <c r="L944" t="str">
        <f t="shared" si="10"/>
        <v/>
      </c>
      <c r="Q944" t="str">
        <f>IF(N944="","",SUMIFS('PR-BOM'!$D$3:$D1001,'PR-BOM'!$C$3:$C1001,N944))</f>
        <v/>
      </c>
      <c r="Y944" t="str">
        <f t="shared" si="11"/>
        <v/>
      </c>
      <c r="Z944" t="str">
        <f>IF(X944="","",SUMIFS(#REF!,RM!$C$4:$C991,X944))</f>
        <v/>
      </c>
      <c r="AA944" t="str">
        <f>IF(X944="","",SUMIFS(#REF!,RM!$C$4:$C991,X944))</f>
        <v/>
      </c>
      <c r="AB944" t="str">
        <f>IF(X944="","",SUMIFS(IRegback!$Y$2:$Y1001,IRegback!$X$2:$X1001,X944))</f>
        <v/>
      </c>
      <c r="AC944" t="e">
        <f t="shared" si="12"/>
        <v>#VALUE!</v>
      </c>
      <c r="AD944" t="str">
        <f>IF(X944="","",VLOOKUP($X944,RM!$C$4:$G991,3,FALSE))</f>
        <v/>
      </c>
      <c r="AE944" t="str">
        <f>IF(X944="","",VLOOKUP($X944,RM!$C$4:$G991,4,FALSE))</f>
        <v/>
      </c>
      <c r="AF944" t="str">
        <f>IF(X944="","",VLOOKUP($X944,RM!$C$4:$G991,5,FALSE))</f>
        <v/>
      </c>
      <c r="AL944" t="e">
        <f ca="1">_xludf.IFNA(VLOOKUP(AH944,'S-FG'!$B$3:$B1001,1,FALSE),"")</f>
        <v>#NAME?</v>
      </c>
      <c r="AM944" t="str">
        <f>IF(AI944="","",SUMIFS(#REF!,RM!$C$4:$C991,AI944))</f>
        <v/>
      </c>
    </row>
    <row r="945" spans="5:39">
      <c r="E945" t="str">
        <f>IF(A945="","",SUMIFS('PR-BOM'!$D$3:$D1001,'PR-BOM'!$C$3:$C1001,A945)*C945)</f>
        <v/>
      </c>
      <c r="F945" t="e">
        <f ca="1">_xludf.IFNA(VLOOKUP(B945,'S-FG'!$B$3:$B1001,1,FALSE),"")</f>
        <v>#NAME?</v>
      </c>
      <c r="L945" t="str">
        <f t="shared" si="10"/>
        <v/>
      </c>
      <c r="Q945" t="str">
        <f>IF(N945="","",SUMIFS('PR-BOM'!$D$3:$D1001,'PR-BOM'!$C$3:$C1001,N945))</f>
        <v/>
      </c>
      <c r="Y945" t="str">
        <f t="shared" si="11"/>
        <v/>
      </c>
      <c r="Z945" t="str">
        <f>IF(X945="","",SUMIFS(#REF!,RM!$C$4:$C991,X945))</f>
        <v/>
      </c>
      <c r="AA945" t="str">
        <f>IF(X945="","",SUMIFS(#REF!,RM!$C$4:$C991,X945))</f>
        <v/>
      </c>
      <c r="AB945" t="str">
        <f>IF(X945="","",SUMIFS(IRegback!$Y$2:$Y1001,IRegback!$X$2:$X1001,X945))</f>
        <v/>
      </c>
      <c r="AC945" t="e">
        <f t="shared" si="12"/>
        <v>#VALUE!</v>
      </c>
      <c r="AD945" t="str">
        <f>IF(X945="","",VLOOKUP($X945,RM!$C$4:$G991,3,FALSE))</f>
        <v/>
      </c>
      <c r="AE945" t="str">
        <f>IF(X945="","",VLOOKUP($X945,RM!$C$4:$G991,4,FALSE))</f>
        <v/>
      </c>
      <c r="AF945" t="str">
        <f>IF(X945="","",VLOOKUP($X945,RM!$C$4:$G991,5,FALSE))</f>
        <v/>
      </c>
      <c r="AL945" t="e">
        <f ca="1">_xludf.IFNA(VLOOKUP(AH945,'S-FG'!$B$3:$B1001,1,FALSE),"")</f>
        <v>#NAME?</v>
      </c>
      <c r="AM945" t="str">
        <f>IF(AI945="","",SUMIFS(#REF!,RM!$C$4:$C991,AI945))</f>
        <v/>
      </c>
    </row>
    <row r="946" spans="5:39">
      <c r="E946" t="str">
        <f>IF(A946="","",SUMIFS('PR-BOM'!$D$3:$D1001,'PR-BOM'!$C$3:$C1001,A946)*C946)</f>
        <v/>
      </c>
      <c r="F946" t="e">
        <f ca="1">_xludf.IFNA(VLOOKUP(B946,'S-FG'!$B$3:$B1001,1,FALSE),"")</f>
        <v>#NAME?</v>
      </c>
      <c r="L946" t="str">
        <f t="shared" si="10"/>
        <v/>
      </c>
      <c r="Q946" t="str">
        <f>IF(N946="","",SUMIFS('PR-BOM'!$D$3:$D1001,'PR-BOM'!$C$3:$C1001,N946))</f>
        <v/>
      </c>
      <c r="Y946" t="str">
        <f t="shared" si="11"/>
        <v/>
      </c>
      <c r="Z946" t="str">
        <f>IF(X946="","",SUMIFS(#REF!,RM!$C$4:$C991,X946))</f>
        <v/>
      </c>
      <c r="AA946" t="str">
        <f>IF(X946="","",SUMIFS(#REF!,RM!$C$4:$C991,X946))</f>
        <v/>
      </c>
      <c r="AB946" t="str">
        <f>IF(X946="","",SUMIFS(IRegback!$Y$2:$Y1001,IRegback!$X$2:$X1001,X946))</f>
        <v/>
      </c>
      <c r="AC946" t="e">
        <f t="shared" si="12"/>
        <v>#VALUE!</v>
      </c>
      <c r="AD946" t="str">
        <f>IF(X946="","",VLOOKUP($X946,RM!$C$4:$G991,3,FALSE))</f>
        <v/>
      </c>
      <c r="AE946" t="str">
        <f>IF(X946="","",VLOOKUP($X946,RM!$C$4:$G991,4,FALSE))</f>
        <v/>
      </c>
      <c r="AF946" t="str">
        <f>IF(X946="","",VLOOKUP($X946,RM!$C$4:$G991,5,FALSE))</f>
        <v/>
      </c>
      <c r="AL946" t="e">
        <f ca="1">_xludf.IFNA(VLOOKUP(AH946,'S-FG'!$B$3:$B1001,1,FALSE),"")</f>
        <v>#NAME?</v>
      </c>
      <c r="AM946" t="str">
        <f>IF(AI946="","",SUMIFS(#REF!,RM!$C$4:$C991,AI946))</f>
        <v/>
      </c>
    </row>
    <row r="947" spans="5:39">
      <c r="E947" t="str">
        <f>IF(A947="","",SUMIFS('PR-BOM'!$D$3:$D1001,'PR-BOM'!$C$3:$C1001,A947)*C947)</f>
        <v/>
      </c>
      <c r="F947" t="e">
        <f ca="1">_xludf.IFNA(VLOOKUP(B947,'S-FG'!$B$3:$B1001,1,FALSE),"")</f>
        <v>#NAME?</v>
      </c>
      <c r="L947" t="str">
        <f t="shared" si="10"/>
        <v/>
      </c>
      <c r="Q947" t="str">
        <f>IF(N947="","",SUMIFS('PR-BOM'!$D$3:$D1001,'PR-BOM'!$C$3:$C1001,N947))</f>
        <v/>
      </c>
      <c r="Y947" t="str">
        <f t="shared" si="11"/>
        <v/>
      </c>
      <c r="Z947" t="str">
        <f>IF(X947="","",SUMIFS(#REF!,RM!$C$4:$C991,X947))</f>
        <v/>
      </c>
      <c r="AA947" t="str">
        <f>IF(X947="","",SUMIFS(#REF!,RM!$C$4:$C991,X947))</f>
        <v/>
      </c>
      <c r="AB947" t="str">
        <f>IF(X947="","",SUMIFS(IRegback!$Y$2:$Y1001,IRegback!$X$2:$X1001,X947))</f>
        <v/>
      </c>
      <c r="AC947" t="e">
        <f t="shared" si="12"/>
        <v>#VALUE!</v>
      </c>
      <c r="AD947" t="str">
        <f>IF(X947="","",VLOOKUP($X947,RM!$C$4:$G991,3,FALSE))</f>
        <v/>
      </c>
      <c r="AE947" t="str">
        <f>IF(X947="","",VLOOKUP($X947,RM!$C$4:$G991,4,FALSE))</f>
        <v/>
      </c>
      <c r="AF947" t="str">
        <f>IF(X947="","",VLOOKUP($X947,RM!$C$4:$G991,5,FALSE))</f>
        <v/>
      </c>
      <c r="AL947" t="e">
        <f ca="1">_xludf.IFNA(VLOOKUP(AH947,'S-FG'!$B$3:$B1001,1,FALSE),"")</f>
        <v>#NAME?</v>
      </c>
      <c r="AM947" t="str">
        <f>IF(AI947="","",SUMIFS(#REF!,RM!$C$4:$C991,AI947))</f>
        <v/>
      </c>
    </row>
    <row r="948" spans="5:39">
      <c r="E948" t="str">
        <f>IF(A948="","",SUMIFS('PR-BOM'!$D$3:$D1001,'PR-BOM'!$C$3:$C1001,A948)*C948)</f>
        <v/>
      </c>
      <c r="F948" t="e">
        <f ca="1">_xludf.IFNA(VLOOKUP(B948,'S-FG'!$B$3:$B1001,1,FALSE),"")</f>
        <v>#NAME?</v>
      </c>
      <c r="L948" t="str">
        <f t="shared" si="10"/>
        <v/>
      </c>
      <c r="Q948" t="str">
        <f>IF(N948="","",SUMIFS('PR-BOM'!$D$3:$D1001,'PR-BOM'!$C$3:$C1001,N948))</f>
        <v/>
      </c>
      <c r="Y948" t="str">
        <f t="shared" si="11"/>
        <v/>
      </c>
      <c r="Z948" t="str">
        <f>IF(X948="","",SUMIFS(#REF!,RM!$C$4:$C991,X948))</f>
        <v/>
      </c>
      <c r="AA948" t="str">
        <f>IF(X948="","",SUMIFS(#REF!,RM!$C$4:$C991,X948))</f>
        <v/>
      </c>
      <c r="AB948" t="str">
        <f>IF(X948="","",SUMIFS(IRegback!$Y$2:$Y1001,IRegback!$X$2:$X1001,X948))</f>
        <v/>
      </c>
      <c r="AC948" t="e">
        <f t="shared" si="12"/>
        <v>#VALUE!</v>
      </c>
      <c r="AD948" t="str">
        <f>IF(X948="","",VLOOKUP($X948,RM!$C$4:$G991,3,FALSE))</f>
        <v/>
      </c>
      <c r="AE948" t="str">
        <f>IF(X948="","",VLOOKUP($X948,RM!$C$4:$G991,4,FALSE))</f>
        <v/>
      </c>
      <c r="AF948" t="str">
        <f>IF(X948="","",VLOOKUP($X948,RM!$C$4:$G991,5,FALSE))</f>
        <v/>
      </c>
      <c r="AL948" t="e">
        <f ca="1">_xludf.IFNA(VLOOKUP(AH948,'S-FG'!$B$3:$B1001,1,FALSE),"")</f>
        <v>#NAME?</v>
      </c>
      <c r="AM948" t="str">
        <f>IF(AI948="","",SUMIFS(#REF!,RM!$C$4:$C991,AI948))</f>
        <v/>
      </c>
    </row>
    <row r="949" spans="5:39">
      <c r="E949" t="str">
        <f>IF(A949="","",SUMIFS('PR-BOM'!$D$3:$D1001,'PR-BOM'!$C$3:$C1001,A949)*C949)</f>
        <v/>
      </c>
      <c r="F949" t="e">
        <f ca="1">_xludf.IFNA(VLOOKUP(B949,'S-FG'!$B$3:$B1001,1,FALSE),"")</f>
        <v>#NAME?</v>
      </c>
      <c r="L949" t="str">
        <f t="shared" si="10"/>
        <v/>
      </c>
      <c r="Q949" t="str">
        <f>IF(N949="","",SUMIFS('PR-BOM'!$D$3:$D1001,'PR-BOM'!$C$3:$C1001,N949))</f>
        <v/>
      </c>
      <c r="Y949" t="str">
        <f t="shared" si="11"/>
        <v/>
      </c>
      <c r="Z949" t="str">
        <f>IF(X949="","",SUMIFS(#REF!,RM!$C$4:$C991,X949))</f>
        <v/>
      </c>
      <c r="AA949" t="str">
        <f>IF(X949="","",SUMIFS(#REF!,RM!$C$4:$C991,X949))</f>
        <v/>
      </c>
      <c r="AB949" t="str">
        <f>IF(X949="","",SUMIFS(IRegback!$Y$2:$Y1001,IRegback!$X$2:$X1001,X949))</f>
        <v/>
      </c>
      <c r="AC949" t="e">
        <f t="shared" si="12"/>
        <v>#VALUE!</v>
      </c>
      <c r="AD949" t="str">
        <f>IF(X949="","",VLOOKUP($X949,RM!$C$4:$G991,3,FALSE))</f>
        <v/>
      </c>
      <c r="AE949" t="str">
        <f>IF(X949="","",VLOOKUP($X949,RM!$C$4:$G991,4,FALSE))</f>
        <v/>
      </c>
      <c r="AF949" t="str">
        <f>IF(X949="","",VLOOKUP($X949,RM!$C$4:$G991,5,FALSE))</f>
        <v/>
      </c>
      <c r="AL949" t="e">
        <f ca="1">_xludf.IFNA(VLOOKUP(AH949,'S-FG'!$B$3:$B1001,1,FALSE),"")</f>
        <v>#NAME?</v>
      </c>
      <c r="AM949" t="str">
        <f>IF(AI949="","",SUMIFS(#REF!,RM!$C$4:$C991,AI949))</f>
        <v/>
      </c>
    </row>
    <row r="950" spans="5:39">
      <c r="E950" t="str">
        <f>IF(A950="","",SUMIFS('PR-BOM'!$D$3:$D1001,'PR-BOM'!$C$3:$C1001,A950)*C950)</f>
        <v/>
      </c>
      <c r="F950" t="e">
        <f ca="1">_xludf.IFNA(VLOOKUP(B950,'S-FG'!$B$3:$B1001,1,FALSE),"")</f>
        <v>#NAME?</v>
      </c>
      <c r="L950" t="str">
        <f t="shared" si="10"/>
        <v/>
      </c>
      <c r="Q950" t="str">
        <f>IF(N950="","",SUMIFS('PR-BOM'!$D$3:$D1001,'PR-BOM'!$C$3:$C1001,N950))</f>
        <v/>
      </c>
      <c r="Y950" t="str">
        <f t="shared" si="11"/>
        <v/>
      </c>
      <c r="Z950" t="str">
        <f>IF(X950="","",SUMIFS(#REF!,RM!$C$4:$C991,X950))</f>
        <v/>
      </c>
      <c r="AA950" t="str">
        <f>IF(X950="","",SUMIFS(#REF!,RM!$C$4:$C991,X950))</f>
        <v/>
      </c>
      <c r="AB950" t="str">
        <f>IF(X950="","",SUMIFS(IRegback!$Y$2:$Y1001,IRegback!$X$2:$X1001,X950))</f>
        <v/>
      </c>
      <c r="AC950" t="e">
        <f t="shared" si="12"/>
        <v>#VALUE!</v>
      </c>
      <c r="AD950" t="str">
        <f>IF(X950="","",VLOOKUP($X950,RM!$C$4:$G991,3,FALSE))</f>
        <v/>
      </c>
      <c r="AE950" t="str">
        <f>IF(X950="","",VLOOKUP($X950,RM!$C$4:$G991,4,FALSE))</f>
        <v/>
      </c>
      <c r="AF950" t="str">
        <f>IF(X950="","",VLOOKUP($X950,RM!$C$4:$G991,5,FALSE))</f>
        <v/>
      </c>
      <c r="AL950" t="e">
        <f ca="1">_xludf.IFNA(VLOOKUP(AH950,'S-FG'!$B$3:$B1001,1,FALSE),"")</f>
        <v>#NAME?</v>
      </c>
      <c r="AM950" t="str">
        <f>IF(AI950="","",SUMIFS(#REF!,RM!$C$4:$C991,AI950))</f>
        <v/>
      </c>
    </row>
    <row r="951" spans="5:39">
      <c r="E951" t="str">
        <f>IF(A951="","",SUMIFS('PR-BOM'!$D$3:$D1001,'PR-BOM'!$C$3:$C1001,A951)*C951)</f>
        <v/>
      </c>
      <c r="F951" t="e">
        <f ca="1">_xludf.IFNA(VLOOKUP(B951,'S-FG'!$B$3:$B1001,1,FALSE),"")</f>
        <v>#NAME?</v>
      </c>
      <c r="L951" t="str">
        <f t="shared" si="10"/>
        <v/>
      </c>
      <c r="Q951" t="str">
        <f>IF(N951="","",SUMIFS('PR-BOM'!$D$3:$D1001,'PR-BOM'!$C$3:$C1001,N951))</f>
        <v/>
      </c>
      <c r="Y951" t="str">
        <f t="shared" si="11"/>
        <v/>
      </c>
      <c r="Z951" t="str">
        <f>IF(X951="","",SUMIFS(#REF!,RM!$C$4:$C991,X951))</f>
        <v/>
      </c>
      <c r="AA951" t="str">
        <f>IF(X951="","",SUMIFS(#REF!,RM!$C$4:$C991,X951))</f>
        <v/>
      </c>
      <c r="AB951" t="str">
        <f>IF(X951="","",SUMIFS(IRegback!$Y$2:$Y1001,IRegback!$X$2:$X1001,X951))</f>
        <v/>
      </c>
      <c r="AC951" t="e">
        <f t="shared" si="12"/>
        <v>#VALUE!</v>
      </c>
      <c r="AD951" t="str">
        <f>IF(X951="","",VLOOKUP($X951,RM!$C$4:$G991,3,FALSE))</f>
        <v/>
      </c>
      <c r="AE951" t="str">
        <f>IF(X951="","",VLOOKUP($X951,RM!$C$4:$G991,4,FALSE))</f>
        <v/>
      </c>
      <c r="AF951" t="str">
        <f>IF(X951="","",VLOOKUP($X951,RM!$C$4:$G991,5,FALSE))</f>
        <v/>
      </c>
      <c r="AL951" t="e">
        <f ca="1">_xludf.IFNA(VLOOKUP(AH951,'S-FG'!$B$3:$B1001,1,FALSE),"")</f>
        <v>#NAME?</v>
      </c>
      <c r="AM951" t="str">
        <f>IF(AI951="","",SUMIFS(#REF!,RM!$C$4:$C991,AI951))</f>
        <v/>
      </c>
    </row>
    <row r="952" spans="5:39">
      <c r="E952" t="str">
        <f>IF(A952="","",SUMIFS('PR-BOM'!$D$3:$D1001,'PR-BOM'!$C$3:$C1001,A952)*C952)</f>
        <v/>
      </c>
      <c r="F952" t="e">
        <f ca="1">_xludf.IFNA(VLOOKUP(B952,'S-FG'!$B$3:$B1001,1,FALSE),"")</f>
        <v>#NAME?</v>
      </c>
      <c r="L952" t="str">
        <f t="shared" si="10"/>
        <v/>
      </c>
      <c r="Q952" t="str">
        <f>IF(N952="","",SUMIFS('PR-BOM'!$D$3:$D1001,'PR-BOM'!$C$3:$C1001,N952))</f>
        <v/>
      </c>
      <c r="Y952" t="str">
        <f t="shared" si="11"/>
        <v/>
      </c>
      <c r="Z952" t="str">
        <f>IF(X952="","",SUMIFS(#REF!,RM!$C$4:$C991,X952))</f>
        <v/>
      </c>
      <c r="AA952" t="str">
        <f>IF(X952="","",SUMIFS(#REF!,RM!$C$4:$C991,X952))</f>
        <v/>
      </c>
      <c r="AB952" t="str">
        <f>IF(X952="","",SUMIFS(IRegback!$Y$2:$Y1001,IRegback!$X$2:$X1001,X952))</f>
        <v/>
      </c>
      <c r="AC952" t="e">
        <f t="shared" si="12"/>
        <v>#VALUE!</v>
      </c>
      <c r="AD952" t="str">
        <f>IF(X952="","",VLOOKUP($X952,RM!$C$4:$G991,3,FALSE))</f>
        <v/>
      </c>
      <c r="AE952" t="str">
        <f>IF(X952="","",VLOOKUP($X952,RM!$C$4:$G991,4,FALSE))</f>
        <v/>
      </c>
      <c r="AF952" t="str">
        <f>IF(X952="","",VLOOKUP($X952,RM!$C$4:$G991,5,FALSE))</f>
        <v/>
      </c>
      <c r="AL952" t="e">
        <f ca="1">_xludf.IFNA(VLOOKUP(AH952,'S-FG'!$B$3:$B1001,1,FALSE),"")</f>
        <v>#NAME?</v>
      </c>
      <c r="AM952" t="str">
        <f>IF(AI952="","",SUMIFS(#REF!,RM!$C$4:$C991,AI952))</f>
        <v/>
      </c>
    </row>
    <row r="953" spans="5:39">
      <c r="E953" t="str">
        <f>IF(A953="","",SUMIFS('PR-BOM'!$D$3:$D1001,'PR-BOM'!$C$3:$C1001,A953)*C953)</f>
        <v/>
      </c>
      <c r="F953" t="e">
        <f ca="1">_xludf.IFNA(VLOOKUP(B953,'S-FG'!$B$3:$B1001,1,FALSE),"")</f>
        <v>#NAME?</v>
      </c>
      <c r="L953" t="str">
        <f t="shared" si="10"/>
        <v/>
      </c>
      <c r="Q953" t="str">
        <f>IF(N953="","",SUMIFS('PR-BOM'!$D$3:$D1001,'PR-BOM'!$C$3:$C1001,N953))</f>
        <v/>
      </c>
      <c r="Y953" t="str">
        <f t="shared" si="11"/>
        <v/>
      </c>
      <c r="Z953" t="str">
        <f>IF(X953="","",SUMIFS(#REF!,RM!$C$4:$C991,X953))</f>
        <v/>
      </c>
      <c r="AA953" t="str">
        <f>IF(X953="","",SUMIFS(#REF!,RM!$C$4:$C991,X953))</f>
        <v/>
      </c>
      <c r="AB953" t="str">
        <f>IF(X953="","",SUMIFS(IRegback!$Y$2:$Y1001,IRegback!$X$2:$X1001,X953))</f>
        <v/>
      </c>
      <c r="AC953" t="e">
        <f t="shared" si="12"/>
        <v>#VALUE!</v>
      </c>
      <c r="AD953" t="str">
        <f>IF(X953="","",VLOOKUP($X953,RM!$C$4:$G991,3,FALSE))</f>
        <v/>
      </c>
      <c r="AE953" t="str">
        <f>IF(X953="","",VLOOKUP($X953,RM!$C$4:$G991,4,FALSE))</f>
        <v/>
      </c>
      <c r="AF953" t="str">
        <f>IF(X953="","",VLOOKUP($X953,RM!$C$4:$G991,5,FALSE))</f>
        <v/>
      </c>
      <c r="AL953" t="e">
        <f ca="1">_xludf.IFNA(VLOOKUP(AH953,'S-FG'!$B$3:$B1001,1,FALSE),"")</f>
        <v>#NAME?</v>
      </c>
      <c r="AM953" t="str">
        <f>IF(AI953="","",SUMIFS(#REF!,RM!$C$4:$C991,AI953))</f>
        <v/>
      </c>
    </row>
    <row r="954" spans="5:39">
      <c r="E954" t="str">
        <f>IF(A954="","",SUMIFS('PR-BOM'!$D$3:$D1001,'PR-BOM'!$C$3:$C1001,A954)*C954)</f>
        <v/>
      </c>
      <c r="F954" t="e">
        <f ca="1">_xludf.IFNA(VLOOKUP(B954,'S-FG'!$B$3:$B1001,1,FALSE),"")</f>
        <v>#NAME?</v>
      </c>
      <c r="L954" t="str">
        <f t="shared" si="10"/>
        <v/>
      </c>
      <c r="Q954" t="str">
        <f>IF(N954="","",SUMIFS('PR-BOM'!$D$3:$D1001,'PR-BOM'!$C$3:$C1001,N954))</f>
        <v/>
      </c>
      <c r="Y954" t="str">
        <f t="shared" si="11"/>
        <v/>
      </c>
      <c r="Z954" t="str">
        <f>IF(X954="","",SUMIFS(#REF!,RM!$C$4:$C991,X954))</f>
        <v/>
      </c>
      <c r="AA954" t="str">
        <f>IF(X954="","",SUMIFS(#REF!,RM!$C$4:$C991,X954))</f>
        <v/>
      </c>
      <c r="AB954" t="str">
        <f>IF(X954="","",SUMIFS(IRegback!$Y$2:$Y1001,IRegback!$X$2:$X1001,X954))</f>
        <v/>
      </c>
      <c r="AC954" t="e">
        <f t="shared" si="12"/>
        <v>#VALUE!</v>
      </c>
      <c r="AD954" t="str">
        <f>IF(X954="","",VLOOKUP($X954,RM!$C$4:$G991,3,FALSE))</f>
        <v/>
      </c>
      <c r="AE954" t="str">
        <f>IF(X954="","",VLOOKUP($X954,RM!$C$4:$G991,4,FALSE))</f>
        <v/>
      </c>
      <c r="AF954" t="str">
        <f>IF(X954="","",VLOOKUP($X954,RM!$C$4:$G991,5,FALSE))</f>
        <v/>
      </c>
      <c r="AL954" t="e">
        <f ca="1">_xludf.IFNA(VLOOKUP(AH954,'S-FG'!$B$3:$B1001,1,FALSE),"")</f>
        <v>#NAME?</v>
      </c>
      <c r="AM954" t="str">
        <f>IF(AI954="","",SUMIFS(#REF!,RM!$C$4:$C991,AI954))</f>
        <v/>
      </c>
    </row>
    <row r="955" spans="5:39">
      <c r="E955" t="str">
        <f>IF(A955="","",SUMIFS('PR-BOM'!$D$3:$D1001,'PR-BOM'!$C$3:$C1001,A955)*C955)</f>
        <v/>
      </c>
      <c r="F955" t="e">
        <f ca="1">_xludf.IFNA(VLOOKUP(B955,'S-FG'!$B$3:$B1001,1,FALSE),"")</f>
        <v>#NAME?</v>
      </c>
      <c r="L955" t="str">
        <f t="shared" si="10"/>
        <v/>
      </c>
      <c r="Q955" t="str">
        <f>IF(N955="","",SUMIFS('PR-BOM'!$D$3:$D1001,'PR-BOM'!$C$3:$C1001,N955))</f>
        <v/>
      </c>
      <c r="Y955" t="str">
        <f t="shared" si="11"/>
        <v/>
      </c>
      <c r="Z955" t="str">
        <f>IF(X955="","",SUMIFS(#REF!,RM!$C$4:$C991,X955))</f>
        <v/>
      </c>
      <c r="AA955" t="str">
        <f>IF(X955="","",SUMIFS(#REF!,RM!$C$4:$C991,X955))</f>
        <v/>
      </c>
      <c r="AB955" t="str">
        <f>IF(X955="","",SUMIFS(IRegback!$Y$2:$Y1001,IRegback!$X$2:$X1001,X955))</f>
        <v/>
      </c>
      <c r="AC955" t="e">
        <f t="shared" si="12"/>
        <v>#VALUE!</v>
      </c>
      <c r="AD955" t="str">
        <f>IF(X955="","",VLOOKUP($X955,RM!$C$4:$G991,3,FALSE))</f>
        <v/>
      </c>
      <c r="AE955" t="str">
        <f>IF(X955="","",VLOOKUP($X955,RM!$C$4:$G991,4,FALSE))</f>
        <v/>
      </c>
      <c r="AF955" t="str">
        <f>IF(X955="","",VLOOKUP($X955,RM!$C$4:$G991,5,FALSE))</f>
        <v/>
      </c>
      <c r="AL955" t="e">
        <f ca="1">_xludf.IFNA(VLOOKUP(AH955,'S-FG'!$B$3:$B1001,1,FALSE),"")</f>
        <v>#NAME?</v>
      </c>
      <c r="AM955" t="str">
        <f>IF(AI955="","",SUMIFS(#REF!,RM!$C$4:$C991,AI955))</f>
        <v/>
      </c>
    </row>
    <row r="956" spans="5:39">
      <c r="E956" t="str">
        <f>IF(A956="","",SUMIFS('PR-BOM'!$D$3:$D1001,'PR-BOM'!$C$3:$C1001,A956)*C956)</f>
        <v/>
      </c>
      <c r="F956" t="e">
        <f ca="1">_xludf.IFNA(VLOOKUP(B956,'S-FG'!$B$3:$B1001,1,FALSE),"")</f>
        <v>#NAME?</v>
      </c>
      <c r="L956" t="str">
        <f t="shared" si="10"/>
        <v/>
      </c>
      <c r="Q956" t="str">
        <f>IF(N956="","",SUMIFS('PR-BOM'!$D$3:$D1001,'PR-BOM'!$C$3:$C1001,N956))</f>
        <v/>
      </c>
      <c r="Y956" t="str">
        <f t="shared" si="11"/>
        <v/>
      </c>
      <c r="Z956" t="str">
        <f>IF(X956="","",SUMIFS(#REF!,RM!$C$4:$C991,X956))</f>
        <v/>
      </c>
      <c r="AA956" t="str">
        <f>IF(X956="","",SUMIFS(#REF!,RM!$C$4:$C991,X956))</f>
        <v/>
      </c>
      <c r="AB956" t="str">
        <f>IF(X956="","",SUMIFS(IRegback!$Y$2:$Y1001,IRegback!$X$2:$X1001,X956))</f>
        <v/>
      </c>
      <c r="AC956" t="e">
        <f t="shared" si="12"/>
        <v>#VALUE!</v>
      </c>
      <c r="AD956" t="str">
        <f>IF(X956="","",VLOOKUP($X956,RM!$C$4:$G991,3,FALSE))</f>
        <v/>
      </c>
      <c r="AE956" t="str">
        <f>IF(X956="","",VLOOKUP($X956,RM!$C$4:$G991,4,FALSE))</f>
        <v/>
      </c>
      <c r="AF956" t="str">
        <f>IF(X956="","",VLOOKUP($X956,RM!$C$4:$G991,5,FALSE))</f>
        <v/>
      </c>
      <c r="AL956" t="e">
        <f ca="1">_xludf.IFNA(VLOOKUP(AH956,'S-FG'!$B$3:$B1001,1,FALSE),"")</f>
        <v>#NAME?</v>
      </c>
      <c r="AM956" t="str">
        <f>IF(AI956="","",SUMIFS(#REF!,RM!$C$4:$C991,AI956))</f>
        <v/>
      </c>
    </row>
    <row r="957" spans="5:39">
      <c r="E957" t="str">
        <f>IF(A957="","",SUMIFS('PR-BOM'!$D$3:$D1001,'PR-BOM'!$C$3:$C1001,A957)*C957)</f>
        <v/>
      </c>
      <c r="F957" t="e">
        <f ca="1">_xludf.IFNA(VLOOKUP(B957,'S-FG'!$B$3:$B1001,1,FALSE),"")</f>
        <v>#NAME?</v>
      </c>
      <c r="L957" t="str">
        <f t="shared" si="10"/>
        <v/>
      </c>
      <c r="Q957" t="str">
        <f>IF(N957="","",SUMIFS('PR-BOM'!$D$3:$D1001,'PR-BOM'!$C$3:$C1001,N957))</f>
        <v/>
      </c>
      <c r="Y957" t="str">
        <f t="shared" si="11"/>
        <v/>
      </c>
      <c r="Z957" t="str">
        <f>IF(X957="","",SUMIFS(#REF!,RM!$C$4:$C991,X957))</f>
        <v/>
      </c>
      <c r="AA957" t="str">
        <f>IF(X957="","",SUMIFS(#REF!,RM!$C$4:$C991,X957))</f>
        <v/>
      </c>
      <c r="AB957" t="str">
        <f>IF(X957="","",SUMIFS(IRegback!$Y$2:$Y1001,IRegback!$X$2:$X1001,X957))</f>
        <v/>
      </c>
      <c r="AC957" t="e">
        <f t="shared" si="12"/>
        <v>#VALUE!</v>
      </c>
      <c r="AD957" t="str">
        <f>IF(X957="","",VLOOKUP($X957,RM!$C$4:$G991,3,FALSE))</f>
        <v/>
      </c>
      <c r="AE957" t="str">
        <f>IF(X957="","",VLOOKUP($X957,RM!$C$4:$G991,4,FALSE))</f>
        <v/>
      </c>
      <c r="AF957" t="str">
        <f>IF(X957="","",VLOOKUP($X957,RM!$C$4:$G991,5,FALSE))</f>
        <v/>
      </c>
      <c r="AL957" t="e">
        <f ca="1">_xludf.IFNA(VLOOKUP(AH957,'S-FG'!$B$3:$B1001,1,FALSE),"")</f>
        <v>#NAME?</v>
      </c>
      <c r="AM957" t="str">
        <f>IF(AI957="","",SUMIFS(#REF!,RM!$C$4:$C991,AI957))</f>
        <v/>
      </c>
    </row>
    <row r="958" spans="5:39">
      <c r="E958" t="str">
        <f>IF(A958="","",SUMIFS('PR-BOM'!$D$3:$D1001,'PR-BOM'!$C$3:$C1001,A958)*C958)</f>
        <v/>
      </c>
      <c r="F958" t="e">
        <f ca="1">_xludf.IFNA(VLOOKUP(B958,'S-FG'!$B$3:$B1001,1,FALSE),"")</f>
        <v>#NAME?</v>
      </c>
      <c r="L958" t="str">
        <f t="shared" si="10"/>
        <v/>
      </c>
      <c r="Q958" t="str">
        <f>IF(N958="","",SUMIFS('PR-BOM'!$D$3:$D1001,'PR-BOM'!$C$3:$C1001,N958))</f>
        <v/>
      </c>
      <c r="Y958" t="str">
        <f t="shared" si="11"/>
        <v/>
      </c>
      <c r="Z958" t="str">
        <f>IF(X958="","",SUMIFS(#REF!,RM!$C$4:$C991,X958))</f>
        <v/>
      </c>
      <c r="AA958" t="str">
        <f>IF(X958="","",SUMIFS(#REF!,RM!$C$4:$C991,X958))</f>
        <v/>
      </c>
      <c r="AB958" t="str">
        <f>IF(X958="","",SUMIFS(IRegback!$Y$2:$Y1001,IRegback!$X$2:$X1001,X958))</f>
        <v/>
      </c>
      <c r="AC958" t="e">
        <f t="shared" si="12"/>
        <v>#VALUE!</v>
      </c>
      <c r="AD958" t="str">
        <f>IF(X958="","",VLOOKUP($X958,RM!$C$4:$G991,3,FALSE))</f>
        <v/>
      </c>
      <c r="AE958" t="str">
        <f>IF(X958="","",VLOOKUP($X958,RM!$C$4:$G991,4,FALSE))</f>
        <v/>
      </c>
      <c r="AF958" t="str">
        <f>IF(X958="","",VLOOKUP($X958,RM!$C$4:$G991,5,FALSE))</f>
        <v/>
      </c>
      <c r="AL958" t="e">
        <f ca="1">_xludf.IFNA(VLOOKUP(AH958,'S-FG'!$B$3:$B1001,1,FALSE),"")</f>
        <v>#NAME?</v>
      </c>
      <c r="AM958" t="str">
        <f>IF(AI958="","",SUMIFS(#REF!,RM!$C$4:$C991,AI958))</f>
        <v/>
      </c>
    </row>
    <row r="959" spans="5:39">
      <c r="E959" t="str">
        <f>IF(A959="","",SUMIFS('PR-BOM'!$D$3:$D1001,'PR-BOM'!$C$3:$C1001,A959)*C959)</f>
        <v/>
      </c>
      <c r="F959" t="e">
        <f ca="1">_xludf.IFNA(VLOOKUP(B959,'S-FG'!$B$3:$B1001,1,FALSE),"")</f>
        <v>#NAME?</v>
      </c>
      <c r="L959" t="str">
        <f t="shared" si="10"/>
        <v/>
      </c>
      <c r="Q959" t="str">
        <f>IF(N959="","",SUMIFS('PR-BOM'!$D$3:$D1001,'PR-BOM'!$C$3:$C1001,N959))</f>
        <v/>
      </c>
      <c r="Y959" t="str">
        <f t="shared" si="11"/>
        <v/>
      </c>
      <c r="Z959" t="str">
        <f>IF(X959="","",SUMIFS(#REF!,RM!$C$4:$C991,X959))</f>
        <v/>
      </c>
      <c r="AA959" t="str">
        <f>IF(X959="","",SUMIFS(#REF!,RM!$C$4:$C991,X959))</f>
        <v/>
      </c>
      <c r="AB959" t="str">
        <f>IF(X959="","",SUMIFS(IRegback!$Y$2:$Y1001,IRegback!$X$2:$X1001,X959))</f>
        <v/>
      </c>
      <c r="AC959" t="e">
        <f t="shared" si="12"/>
        <v>#VALUE!</v>
      </c>
      <c r="AD959" t="str">
        <f>IF(X959="","",VLOOKUP($X959,RM!$C$4:$G991,3,FALSE))</f>
        <v/>
      </c>
      <c r="AE959" t="str">
        <f>IF(X959="","",VLOOKUP($X959,RM!$C$4:$G991,4,FALSE))</f>
        <v/>
      </c>
      <c r="AF959" t="str">
        <f>IF(X959="","",VLOOKUP($X959,RM!$C$4:$G991,5,FALSE))</f>
        <v/>
      </c>
      <c r="AL959" t="e">
        <f ca="1">_xludf.IFNA(VLOOKUP(AH959,'S-FG'!$B$3:$B1001,1,FALSE),"")</f>
        <v>#NAME?</v>
      </c>
      <c r="AM959" t="str">
        <f>IF(AI959="","",SUMIFS(#REF!,RM!$C$4:$C991,AI959))</f>
        <v/>
      </c>
    </row>
    <row r="960" spans="5:39">
      <c r="E960" t="str">
        <f>IF(A960="","",SUMIFS('PR-BOM'!$D$3:$D1001,'PR-BOM'!$C$3:$C1001,A960)*C960)</f>
        <v/>
      </c>
      <c r="F960" t="e">
        <f ca="1">_xludf.IFNA(VLOOKUP(B960,'S-FG'!$B$3:$B1001,1,FALSE),"")</f>
        <v>#NAME?</v>
      </c>
      <c r="L960" t="str">
        <f t="shared" si="10"/>
        <v/>
      </c>
      <c r="Q960" t="str">
        <f>IF(N960="","",SUMIFS('PR-BOM'!$D$3:$D1001,'PR-BOM'!$C$3:$C1001,N960))</f>
        <v/>
      </c>
      <c r="Y960" t="str">
        <f t="shared" si="11"/>
        <v/>
      </c>
      <c r="Z960" t="str">
        <f>IF(X960="","",SUMIFS(#REF!,RM!$C$4:$C991,X960))</f>
        <v/>
      </c>
      <c r="AA960" t="str">
        <f>IF(X960="","",SUMIFS(#REF!,RM!$C$4:$C991,X960))</f>
        <v/>
      </c>
      <c r="AB960" t="str">
        <f>IF(X960="","",SUMIFS(IRegback!$Y$2:$Y1001,IRegback!$X$2:$X1001,X960))</f>
        <v/>
      </c>
      <c r="AC960" t="e">
        <f t="shared" si="12"/>
        <v>#VALUE!</v>
      </c>
      <c r="AD960" t="str">
        <f>IF(X960="","",VLOOKUP($X960,RM!$C$4:$G991,3,FALSE))</f>
        <v/>
      </c>
      <c r="AE960" t="str">
        <f>IF(X960="","",VLOOKUP($X960,RM!$C$4:$G991,4,FALSE))</f>
        <v/>
      </c>
      <c r="AF960" t="str">
        <f>IF(X960="","",VLOOKUP($X960,RM!$C$4:$G991,5,FALSE))</f>
        <v/>
      </c>
      <c r="AL960" t="e">
        <f ca="1">_xludf.IFNA(VLOOKUP(AH960,'S-FG'!$B$3:$B1001,1,FALSE),"")</f>
        <v>#NAME?</v>
      </c>
      <c r="AM960" t="str">
        <f>IF(AI960="","",SUMIFS(#REF!,RM!$C$4:$C991,AI960))</f>
        <v/>
      </c>
    </row>
    <row r="961" spans="5:39">
      <c r="E961" t="str">
        <f>IF(A961="","",SUMIFS('PR-BOM'!$D$3:$D1001,'PR-BOM'!$C$3:$C1001,A961)*C961)</f>
        <v/>
      </c>
      <c r="F961" t="e">
        <f ca="1">_xludf.IFNA(VLOOKUP(B961,'S-FG'!$B$3:$B1001,1,FALSE),"")</f>
        <v>#NAME?</v>
      </c>
      <c r="L961" t="str">
        <f t="shared" si="10"/>
        <v/>
      </c>
      <c r="Q961" t="str">
        <f>IF(N961="","",SUMIFS('PR-BOM'!$D$3:$D1001,'PR-BOM'!$C$3:$C1001,N961))</f>
        <v/>
      </c>
      <c r="Y961" t="str">
        <f t="shared" si="11"/>
        <v/>
      </c>
      <c r="Z961" t="str">
        <f>IF(X961="","",SUMIFS(#REF!,RM!$C$4:$C991,X961))</f>
        <v/>
      </c>
      <c r="AA961" t="str">
        <f>IF(X961="","",SUMIFS(#REF!,RM!$C$4:$C991,X961))</f>
        <v/>
      </c>
      <c r="AB961" t="str">
        <f>IF(X961="","",SUMIFS(IRegback!$Y$2:$Y1001,IRegback!$X$2:$X1001,X961))</f>
        <v/>
      </c>
      <c r="AC961" t="e">
        <f t="shared" si="12"/>
        <v>#VALUE!</v>
      </c>
      <c r="AD961" t="str">
        <f>IF(X961="","",VLOOKUP($X961,RM!$C$4:$G991,3,FALSE))</f>
        <v/>
      </c>
      <c r="AE961" t="str">
        <f>IF(X961="","",VLOOKUP($X961,RM!$C$4:$G991,4,FALSE))</f>
        <v/>
      </c>
      <c r="AF961" t="str">
        <f>IF(X961="","",VLOOKUP($X961,RM!$C$4:$G991,5,FALSE))</f>
        <v/>
      </c>
      <c r="AL961" t="e">
        <f ca="1">_xludf.IFNA(VLOOKUP(AH961,'S-FG'!$B$3:$B1001,1,FALSE),"")</f>
        <v>#NAME?</v>
      </c>
      <c r="AM961" t="str">
        <f>IF(AI961="","",SUMIFS(#REF!,RM!$C$4:$C991,AI961))</f>
        <v/>
      </c>
    </row>
    <row r="962" spans="5:39">
      <c r="E962" t="str">
        <f>IF(A962="","",SUMIFS('PR-BOM'!$D$3:$D1001,'PR-BOM'!$C$3:$C1001,A962)*C962)</f>
        <v/>
      </c>
      <c r="F962" t="e">
        <f ca="1">_xludf.IFNA(VLOOKUP(B962,'S-FG'!$B$3:$B1001,1,FALSE),"")</f>
        <v>#NAME?</v>
      </c>
      <c r="L962" t="str">
        <f t="shared" si="10"/>
        <v/>
      </c>
      <c r="Q962" t="str">
        <f>IF(N962="","",SUMIFS('PR-BOM'!$D$3:$D1001,'PR-BOM'!$C$3:$C1001,N962))</f>
        <v/>
      </c>
      <c r="Y962" t="str">
        <f t="shared" si="11"/>
        <v/>
      </c>
      <c r="Z962" t="str">
        <f>IF(X962="","",SUMIFS(#REF!,RM!$C$4:$C991,X962))</f>
        <v/>
      </c>
      <c r="AA962" t="str">
        <f>IF(X962="","",SUMIFS(#REF!,RM!$C$4:$C991,X962))</f>
        <v/>
      </c>
      <c r="AB962" t="str">
        <f>IF(X962="","",SUMIFS(IRegback!$Y$2:$Y1001,IRegback!$X$2:$X1001,X962))</f>
        <v/>
      </c>
      <c r="AC962" t="e">
        <f t="shared" si="12"/>
        <v>#VALUE!</v>
      </c>
      <c r="AD962" t="str">
        <f>IF(X962="","",VLOOKUP($X962,RM!$C$4:$G991,3,FALSE))</f>
        <v/>
      </c>
      <c r="AE962" t="str">
        <f>IF(X962="","",VLOOKUP($X962,RM!$C$4:$G991,4,FALSE))</f>
        <v/>
      </c>
      <c r="AF962" t="str">
        <f>IF(X962="","",VLOOKUP($X962,RM!$C$4:$G991,5,FALSE))</f>
        <v/>
      </c>
      <c r="AL962" t="e">
        <f ca="1">_xludf.IFNA(VLOOKUP(AH962,'S-FG'!$B$3:$B1001,1,FALSE),"")</f>
        <v>#NAME?</v>
      </c>
      <c r="AM962" t="str">
        <f>IF(AI962="","",SUMIFS(#REF!,RM!$C$4:$C991,AI962))</f>
        <v/>
      </c>
    </row>
    <row r="963" spans="5:39">
      <c r="E963" t="str">
        <f>IF(A963="","",SUMIFS('PR-BOM'!$D$3:$D1001,'PR-BOM'!$C$3:$C1001,A963)*C963)</f>
        <v/>
      </c>
      <c r="F963" t="e">
        <f ca="1">_xludf.IFNA(VLOOKUP(B963,'S-FG'!$B$3:$B1001,1,FALSE),"")</f>
        <v>#NAME?</v>
      </c>
      <c r="L963" t="str">
        <f t="shared" si="10"/>
        <v/>
      </c>
      <c r="Q963" t="str">
        <f>IF(N963="","",SUMIFS('PR-BOM'!$D$3:$D1001,'PR-BOM'!$C$3:$C1001,N963))</f>
        <v/>
      </c>
      <c r="Y963" t="str">
        <f t="shared" si="11"/>
        <v/>
      </c>
      <c r="Z963" t="str">
        <f>IF(X963="","",SUMIFS(#REF!,RM!$C$4:$C991,X963))</f>
        <v/>
      </c>
      <c r="AA963" t="str">
        <f>IF(X963="","",SUMIFS(#REF!,RM!$C$4:$C991,X963))</f>
        <v/>
      </c>
      <c r="AB963" t="str">
        <f>IF(X963="","",SUMIFS(IRegback!$Y$2:$Y1001,IRegback!$X$2:$X1001,X963))</f>
        <v/>
      </c>
      <c r="AC963" t="e">
        <f t="shared" si="12"/>
        <v>#VALUE!</v>
      </c>
      <c r="AD963" t="str">
        <f>IF(X963="","",VLOOKUP($X963,RM!$C$4:$G991,3,FALSE))</f>
        <v/>
      </c>
      <c r="AE963" t="str">
        <f>IF(X963="","",VLOOKUP($X963,RM!$C$4:$G991,4,FALSE))</f>
        <v/>
      </c>
      <c r="AF963" t="str">
        <f>IF(X963="","",VLOOKUP($X963,RM!$C$4:$G991,5,FALSE))</f>
        <v/>
      </c>
      <c r="AL963" t="e">
        <f ca="1">_xludf.IFNA(VLOOKUP(AH963,'S-FG'!$B$3:$B1001,1,FALSE),"")</f>
        <v>#NAME?</v>
      </c>
      <c r="AM963" t="str">
        <f>IF(AI963="","",SUMIFS(#REF!,RM!$C$4:$C991,AI963))</f>
        <v/>
      </c>
    </row>
    <row r="964" spans="5:39">
      <c r="E964" t="str">
        <f>IF(A964="","",SUMIFS('PR-BOM'!$D$3:$D1001,'PR-BOM'!$C$3:$C1001,A964)*C964)</f>
        <v/>
      </c>
      <c r="F964" t="e">
        <f ca="1">_xludf.IFNA(VLOOKUP(B964,'S-FG'!$B$3:$B1001,1,FALSE),"")</f>
        <v>#NAME?</v>
      </c>
      <c r="L964" t="str">
        <f t="shared" si="10"/>
        <v/>
      </c>
      <c r="Q964" t="str">
        <f>IF(N964="","",SUMIFS('PR-BOM'!$D$3:$D1001,'PR-BOM'!$C$3:$C1001,N964))</f>
        <v/>
      </c>
      <c r="Y964" t="str">
        <f t="shared" si="11"/>
        <v/>
      </c>
      <c r="Z964" t="str">
        <f>IF(X964="","",SUMIFS(#REF!,RM!$C$4:$C991,X964))</f>
        <v/>
      </c>
      <c r="AA964" t="str">
        <f>IF(X964="","",SUMIFS(#REF!,RM!$C$4:$C991,X964))</f>
        <v/>
      </c>
      <c r="AB964" t="str">
        <f>IF(X964="","",SUMIFS(IRegback!$Y$2:$Y1001,IRegback!$X$2:$X1001,X964))</f>
        <v/>
      </c>
      <c r="AC964" t="e">
        <f t="shared" si="12"/>
        <v>#VALUE!</v>
      </c>
      <c r="AD964" t="str">
        <f>IF(X964="","",VLOOKUP($X964,RM!$C$4:$G991,3,FALSE))</f>
        <v/>
      </c>
      <c r="AE964" t="str">
        <f>IF(X964="","",VLOOKUP($X964,RM!$C$4:$G991,4,FALSE))</f>
        <v/>
      </c>
      <c r="AF964" t="str">
        <f>IF(X964="","",VLOOKUP($X964,RM!$C$4:$G991,5,FALSE))</f>
        <v/>
      </c>
      <c r="AL964" t="e">
        <f ca="1">_xludf.IFNA(VLOOKUP(AH964,'S-FG'!$B$3:$B1001,1,FALSE),"")</f>
        <v>#NAME?</v>
      </c>
      <c r="AM964" t="str">
        <f>IF(AI964="","",SUMIFS(#REF!,RM!$C$4:$C991,AI964))</f>
        <v/>
      </c>
    </row>
    <row r="965" spans="5:39">
      <c r="E965" t="str">
        <f>IF(A965="","",SUMIFS('PR-BOM'!$D$3:$D1001,'PR-BOM'!$C$3:$C1001,A965)*C965)</f>
        <v/>
      </c>
      <c r="F965" t="e">
        <f ca="1">_xludf.IFNA(VLOOKUP(B965,'S-FG'!$B$3:$B1001,1,FALSE),"")</f>
        <v>#NAME?</v>
      </c>
      <c r="L965" t="str">
        <f t="shared" si="10"/>
        <v/>
      </c>
      <c r="Q965" t="str">
        <f>IF(N965="","",SUMIFS('PR-BOM'!$D$3:$D1001,'PR-BOM'!$C$3:$C1001,N965))</f>
        <v/>
      </c>
      <c r="Y965" t="str">
        <f t="shared" si="11"/>
        <v/>
      </c>
      <c r="Z965" t="str">
        <f>IF(X965="","",SUMIFS(#REF!,RM!$C$4:$C991,X965))</f>
        <v/>
      </c>
      <c r="AA965" t="str">
        <f>IF(X965="","",SUMIFS(#REF!,RM!$C$4:$C991,X965))</f>
        <v/>
      </c>
      <c r="AB965" t="str">
        <f>IF(X965="","",SUMIFS(IRegback!$Y$2:$Y1001,IRegback!$X$2:$X1001,X965))</f>
        <v/>
      </c>
      <c r="AC965" t="e">
        <f t="shared" si="12"/>
        <v>#VALUE!</v>
      </c>
      <c r="AD965" t="str">
        <f>IF(X965="","",VLOOKUP($X965,RM!$C$4:$G991,3,FALSE))</f>
        <v/>
      </c>
      <c r="AE965" t="str">
        <f>IF(X965="","",VLOOKUP($X965,RM!$C$4:$G991,4,FALSE))</f>
        <v/>
      </c>
      <c r="AF965" t="str">
        <f>IF(X965="","",VLOOKUP($X965,RM!$C$4:$G991,5,FALSE))</f>
        <v/>
      </c>
      <c r="AL965" t="e">
        <f ca="1">_xludf.IFNA(VLOOKUP(AH965,'S-FG'!$B$3:$B1001,1,FALSE),"")</f>
        <v>#NAME?</v>
      </c>
      <c r="AM965" t="str">
        <f>IF(AI965="","",SUMIFS(#REF!,RM!$C$4:$C991,AI965))</f>
        <v/>
      </c>
    </row>
    <row r="966" spans="5:39">
      <c r="E966" t="str">
        <f>IF(A966="","",SUMIFS('PR-BOM'!$D$3:$D1001,'PR-BOM'!$C$3:$C1001,A966)*C966)</f>
        <v/>
      </c>
      <c r="F966" t="e">
        <f ca="1">_xludf.IFNA(VLOOKUP(B966,'S-FG'!$B$3:$B1001,1,FALSE),"")</f>
        <v>#NAME?</v>
      </c>
      <c r="L966" t="str">
        <f t="shared" si="10"/>
        <v/>
      </c>
      <c r="Q966" t="str">
        <f>IF(N966="","",SUMIFS('PR-BOM'!$D$3:$D1001,'PR-BOM'!$C$3:$C1001,N966))</f>
        <v/>
      </c>
      <c r="Y966" t="str">
        <f t="shared" si="11"/>
        <v/>
      </c>
      <c r="Z966" t="str">
        <f>IF(X966="","",SUMIFS(#REF!,RM!$C$4:$C991,X966))</f>
        <v/>
      </c>
      <c r="AA966" t="str">
        <f>IF(X966="","",SUMIFS(#REF!,RM!$C$4:$C991,X966))</f>
        <v/>
      </c>
      <c r="AB966" t="str">
        <f>IF(X966="","",SUMIFS(IRegback!$Y$2:$Y1001,IRegback!$X$2:$X1001,X966))</f>
        <v/>
      </c>
      <c r="AC966" t="e">
        <f t="shared" si="12"/>
        <v>#VALUE!</v>
      </c>
      <c r="AD966" t="str">
        <f>IF(X966="","",VLOOKUP($X966,RM!$C$4:$G991,3,FALSE))</f>
        <v/>
      </c>
      <c r="AE966" t="str">
        <f>IF(X966="","",VLOOKUP($X966,RM!$C$4:$G991,4,FALSE))</f>
        <v/>
      </c>
      <c r="AF966" t="str">
        <f>IF(X966="","",VLOOKUP($X966,RM!$C$4:$G991,5,FALSE))</f>
        <v/>
      </c>
      <c r="AL966" t="e">
        <f ca="1">_xludf.IFNA(VLOOKUP(AH966,'S-FG'!$B$3:$B1001,1,FALSE),"")</f>
        <v>#NAME?</v>
      </c>
      <c r="AM966" t="str">
        <f>IF(AI966="","",SUMIFS(#REF!,RM!$C$4:$C991,AI966))</f>
        <v/>
      </c>
    </row>
    <row r="967" spans="5:39">
      <c r="E967" t="str">
        <f>IF(A967="","",SUMIFS('PR-BOM'!$D$3:$D1001,'PR-BOM'!$C$3:$C1001,A967)*C967)</f>
        <v/>
      </c>
      <c r="F967" t="e">
        <f ca="1">_xludf.IFNA(VLOOKUP(B967,'S-FG'!$B$3:$B1001,1,FALSE),"")</f>
        <v>#NAME?</v>
      </c>
      <c r="L967" t="str">
        <f t="shared" si="10"/>
        <v/>
      </c>
      <c r="Q967" t="str">
        <f>IF(N967="","",SUMIFS('PR-BOM'!$D$3:$D1001,'PR-BOM'!$C$3:$C1001,N967))</f>
        <v/>
      </c>
      <c r="Y967" t="str">
        <f t="shared" si="11"/>
        <v/>
      </c>
      <c r="Z967" t="str">
        <f>IF(X967="","",SUMIFS(#REF!,RM!$C$4:$C991,X967))</f>
        <v/>
      </c>
      <c r="AA967" t="str">
        <f>IF(X967="","",SUMIFS(#REF!,RM!$C$4:$C991,X967))</f>
        <v/>
      </c>
      <c r="AB967" t="str">
        <f>IF(X967="","",SUMIFS(IRegback!$Y$2:$Y1001,IRegback!$X$2:$X1001,X967))</f>
        <v/>
      </c>
      <c r="AC967" t="e">
        <f t="shared" si="12"/>
        <v>#VALUE!</v>
      </c>
      <c r="AD967" t="str">
        <f>IF(X967="","",VLOOKUP($X967,RM!$C$4:$G991,3,FALSE))</f>
        <v/>
      </c>
      <c r="AE967" t="str">
        <f>IF(X967="","",VLOOKUP($X967,RM!$C$4:$G991,4,FALSE))</f>
        <v/>
      </c>
      <c r="AF967" t="str">
        <f>IF(X967="","",VLOOKUP($X967,RM!$C$4:$G991,5,FALSE))</f>
        <v/>
      </c>
      <c r="AL967" t="e">
        <f ca="1">_xludf.IFNA(VLOOKUP(AH967,'S-FG'!$B$3:$B1001,1,FALSE),"")</f>
        <v>#NAME?</v>
      </c>
      <c r="AM967" t="str">
        <f>IF(AI967="","",SUMIFS(#REF!,RM!$C$4:$C991,AI967))</f>
        <v/>
      </c>
    </row>
    <row r="968" spans="5:39">
      <c r="E968" t="str">
        <f>IF(A968="","",SUMIFS('PR-BOM'!$D$3:$D1001,'PR-BOM'!$C$3:$C1001,A968)*C968)</f>
        <v/>
      </c>
      <c r="F968" t="e">
        <f ca="1">_xludf.IFNA(VLOOKUP(B968,'S-FG'!$B$3:$B1001,1,FALSE),"")</f>
        <v>#NAME?</v>
      </c>
      <c r="L968" t="str">
        <f t="shared" si="10"/>
        <v/>
      </c>
      <c r="Q968" t="str">
        <f>IF(N968="","",SUMIFS('PR-BOM'!$D$3:$D1001,'PR-BOM'!$C$3:$C1001,N968))</f>
        <v/>
      </c>
      <c r="Y968" t="str">
        <f t="shared" si="11"/>
        <v/>
      </c>
      <c r="Z968" t="str">
        <f>IF(X968="","",SUMIFS(#REF!,RM!$C$4:$C991,X968))</f>
        <v/>
      </c>
      <c r="AA968" t="str">
        <f>IF(X968="","",SUMIFS(#REF!,RM!$C$4:$C991,X968))</f>
        <v/>
      </c>
      <c r="AB968" t="str">
        <f>IF(X968="","",SUMIFS(IRegback!$Y$2:$Y1001,IRegback!$X$2:$X1001,X968))</f>
        <v/>
      </c>
      <c r="AC968" t="e">
        <f t="shared" si="12"/>
        <v>#VALUE!</v>
      </c>
      <c r="AD968" t="str">
        <f>IF(X968="","",VLOOKUP($X968,RM!$C$4:$G991,3,FALSE))</f>
        <v/>
      </c>
      <c r="AE968" t="str">
        <f>IF(X968="","",VLOOKUP($X968,RM!$C$4:$G991,4,FALSE))</f>
        <v/>
      </c>
      <c r="AF968" t="str">
        <f>IF(X968="","",VLOOKUP($X968,RM!$C$4:$G991,5,FALSE))</f>
        <v/>
      </c>
      <c r="AL968" t="e">
        <f ca="1">_xludf.IFNA(VLOOKUP(AH968,'S-FG'!$B$3:$B1001,1,FALSE),"")</f>
        <v>#NAME?</v>
      </c>
      <c r="AM968" t="str">
        <f>IF(AI968="","",SUMIFS(#REF!,RM!$C$4:$C991,AI968))</f>
        <v/>
      </c>
    </row>
    <row r="969" spans="5:39">
      <c r="E969" t="str">
        <f>IF(A969="","",SUMIFS('PR-BOM'!$D$3:$D1001,'PR-BOM'!$C$3:$C1001,A969)*C969)</f>
        <v/>
      </c>
      <c r="F969" t="e">
        <f ca="1">_xludf.IFNA(VLOOKUP(B969,'S-FG'!$B$3:$B1001,1,FALSE),"")</f>
        <v>#NAME?</v>
      </c>
      <c r="L969" t="str">
        <f t="shared" si="10"/>
        <v/>
      </c>
      <c r="Q969" t="str">
        <f>IF(N969="","",SUMIFS('PR-BOM'!$D$3:$D1001,'PR-BOM'!$C$3:$C1001,N969))</f>
        <v/>
      </c>
      <c r="Y969" t="str">
        <f t="shared" si="11"/>
        <v/>
      </c>
      <c r="Z969" t="str">
        <f>IF(X969="","",SUMIFS(#REF!,RM!$C$4:$C991,X969))</f>
        <v/>
      </c>
      <c r="AA969" t="str">
        <f>IF(X969="","",SUMIFS(#REF!,RM!$C$4:$C991,X969))</f>
        <v/>
      </c>
      <c r="AB969" t="str">
        <f>IF(X969="","",SUMIFS(IRegback!$Y$2:$Y1001,IRegback!$X$2:$X1001,X969))</f>
        <v/>
      </c>
      <c r="AC969" t="e">
        <f t="shared" si="12"/>
        <v>#VALUE!</v>
      </c>
      <c r="AD969" t="str">
        <f>IF(X969="","",VLOOKUP($X969,RM!$C$4:$G991,3,FALSE))</f>
        <v/>
      </c>
      <c r="AE969" t="str">
        <f>IF(X969="","",VLOOKUP($X969,RM!$C$4:$G991,4,FALSE))</f>
        <v/>
      </c>
      <c r="AF969" t="str">
        <f>IF(X969="","",VLOOKUP($X969,RM!$C$4:$G991,5,FALSE))</f>
        <v/>
      </c>
      <c r="AL969" t="e">
        <f ca="1">_xludf.IFNA(VLOOKUP(AH969,'S-FG'!$B$3:$B1001,1,FALSE),"")</f>
        <v>#NAME?</v>
      </c>
      <c r="AM969" t="str">
        <f>IF(AI969="","",SUMIFS(#REF!,RM!$C$4:$C991,AI969))</f>
        <v/>
      </c>
    </row>
    <row r="970" spans="5:39">
      <c r="E970" t="str">
        <f>IF(A970="","",SUMIFS('PR-BOM'!$D$3:$D1001,'PR-BOM'!$C$3:$C1001,A970)*C970)</f>
        <v/>
      </c>
      <c r="F970" t="e">
        <f ca="1">_xludf.IFNA(VLOOKUP(B970,'S-FG'!$B$3:$B1001,1,FALSE),"")</f>
        <v>#NAME?</v>
      </c>
      <c r="L970" t="str">
        <f t="shared" si="10"/>
        <v/>
      </c>
      <c r="Q970" t="str">
        <f>IF(N970="","",SUMIFS('PR-BOM'!$D$3:$D1001,'PR-BOM'!$C$3:$C1001,N970))</f>
        <v/>
      </c>
      <c r="Y970" t="str">
        <f t="shared" si="11"/>
        <v/>
      </c>
      <c r="Z970" t="str">
        <f>IF(X970="","",SUMIFS(#REF!,RM!$C$4:$C991,X970))</f>
        <v/>
      </c>
      <c r="AA970" t="str">
        <f>IF(X970="","",SUMIFS(#REF!,RM!$C$4:$C991,X970))</f>
        <v/>
      </c>
      <c r="AB970" t="str">
        <f>IF(X970="","",SUMIFS(IRegback!$Y$2:$Y1001,IRegback!$X$2:$X1001,X970))</f>
        <v/>
      </c>
      <c r="AC970" t="e">
        <f t="shared" si="12"/>
        <v>#VALUE!</v>
      </c>
      <c r="AD970" t="str">
        <f>IF(X970="","",VLOOKUP($X970,RM!$C$4:$G991,3,FALSE))</f>
        <v/>
      </c>
      <c r="AE970" t="str">
        <f>IF(X970="","",VLOOKUP($X970,RM!$C$4:$G991,4,FALSE))</f>
        <v/>
      </c>
      <c r="AF970" t="str">
        <f>IF(X970="","",VLOOKUP($X970,RM!$C$4:$G991,5,FALSE))</f>
        <v/>
      </c>
      <c r="AL970" t="e">
        <f ca="1">_xludf.IFNA(VLOOKUP(AH970,'S-FG'!$B$3:$B1001,1,FALSE),"")</f>
        <v>#NAME?</v>
      </c>
      <c r="AM970" t="str">
        <f>IF(AI970="","",SUMIFS(#REF!,RM!$C$4:$C991,AI970))</f>
        <v/>
      </c>
    </row>
    <row r="971" spans="5:39">
      <c r="E971" t="str">
        <f>IF(A971="","",SUMIFS('PR-BOM'!$D$3:$D1001,'PR-BOM'!$C$3:$C1001,A971)*C971)</f>
        <v/>
      </c>
      <c r="F971" t="e">
        <f ca="1">_xludf.IFNA(VLOOKUP(B971,'S-FG'!$B$3:$B1001,1,FALSE),"")</f>
        <v>#NAME?</v>
      </c>
      <c r="L971" t="str">
        <f t="shared" si="10"/>
        <v/>
      </c>
      <c r="Q971" t="str">
        <f>IF(N971="","",SUMIFS('PR-BOM'!$D$3:$D1001,'PR-BOM'!$C$3:$C1001,N971))</f>
        <v/>
      </c>
      <c r="Y971" t="str">
        <f t="shared" si="11"/>
        <v/>
      </c>
      <c r="Z971" t="str">
        <f>IF(X971="","",SUMIFS(#REF!,RM!$C$4:$C991,X971))</f>
        <v/>
      </c>
      <c r="AA971" t="str">
        <f>IF(X971="","",SUMIFS(#REF!,RM!$C$4:$C991,X971))</f>
        <v/>
      </c>
      <c r="AB971" t="str">
        <f>IF(X971="","",SUMIFS(IRegback!$Y$2:$Y1001,IRegback!$X$2:$X1001,X971))</f>
        <v/>
      </c>
      <c r="AC971" t="e">
        <f t="shared" si="12"/>
        <v>#VALUE!</v>
      </c>
      <c r="AD971" t="str">
        <f>IF(X971="","",VLOOKUP($X971,RM!$C$4:$G991,3,FALSE))</f>
        <v/>
      </c>
      <c r="AE971" t="str">
        <f>IF(X971="","",VLOOKUP($X971,RM!$C$4:$G991,4,FALSE))</f>
        <v/>
      </c>
      <c r="AF971" t="str">
        <f>IF(X971="","",VLOOKUP($X971,RM!$C$4:$G991,5,FALSE))</f>
        <v/>
      </c>
      <c r="AL971" t="e">
        <f ca="1">_xludf.IFNA(VLOOKUP(AH971,'S-FG'!$B$3:$B1001,1,FALSE),"")</f>
        <v>#NAME?</v>
      </c>
      <c r="AM971" t="str">
        <f>IF(AI971="","",SUMIFS(#REF!,RM!$C$4:$C991,AI971))</f>
        <v/>
      </c>
    </row>
    <row r="972" spans="5:39">
      <c r="E972" t="str">
        <f>IF(A972="","",SUMIFS('PR-BOM'!$D$3:$D1001,'PR-BOM'!$C$3:$C1001,A972)*C972)</f>
        <v/>
      </c>
      <c r="F972" t="e">
        <f ca="1">_xludf.IFNA(VLOOKUP(B972,'S-FG'!$B$3:$B1001,1,FALSE),"")</f>
        <v>#NAME?</v>
      </c>
      <c r="L972" t="str">
        <f t="shared" si="10"/>
        <v/>
      </c>
      <c r="Q972" t="str">
        <f>IF(N972="","",SUMIFS('PR-BOM'!$D$3:$D1001,'PR-BOM'!$C$3:$C1001,N972))</f>
        <v/>
      </c>
      <c r="Y972" t="str">
        <f t="shared" si="11"/>
        <v/>
      </c>
      <c r="Z972" t="str">
        <f>IF(X972="","",SUMIFS(#REF!,RM!$C$4:$C991,X972))</f>
        <v/>
      </c>
      <c r="AA972" t="str">
        <f>IF(X972="","",SUMIFS(#REF!,RM!$C$4:$C991,X972))</f>
        <v/>
      </c>
      <c r="AB972" t="str">
        <f>IF(X972="","",SUMIFS(IRegback!$Y$2:$Y1001,IRegback!$X$2:$X1001,X972))</f>
        <v/>
      </c>
      <c r="AC972" t="e">
        <f t="shared" si="12"/>
        <v>#VALUE!</v>
      </c>
      <c r="AD972" t="str">
        <f>IF(X972="","",VLOOKUP($X972,RM!$C$4:$G991,3,FALSE))</f>
        <v/>
      </c>
      <c r="AE972" t="str">
        <f>IF(X972="","",VLOOKUP($X972,RM!$C$4:$G991,4,FALSE))</f>
        <v/>
      </c>
      <c r="AF972" t="str">
        <f>IF(X972="","",VLOOKUP($X972,RM!$C$4:$G991,5,FALSE))</f>
        <v/>
      </c>
      <c r="AL972" t="e">
        <f ca="1">_xludf.IFNA(VLOOKUP(AH972,'S-FG'!$B$3:$B1001,1,FALSE),"")</f>
        <v>#NAME?</v>
      </c>
      <c r="AM972" t="str">
        <f>IF(AI972="","",SUMIFS(#REF!,RM!$C$4:$C991,AI972))</f>
        <v/>
      </c>
    </row>
    <row r="973" spans="5:39">
      <c r="E973" t="str">
        <f>IF(A973="","",SUMIFS('PR-BOM'!$D$3:$D1001,'PR-BOM'!$C$3:$C1001,A973)*C973)</f>
        <v/>
      </c>
      <c r="F973" t="e">
        <f ca="1">_xludf.IFNA(VLOOKUP(B973,'S-FG'!$B$3:$B1001,1,FALSE),"")</f>
        <v>#NAME?</v>
      </c>
      <c r="L973" t="str">
        <f t="shared" si="10"/>
        <v/>
      </c>
      <c r="Q973" t="str">
        <f>IF(N973="","",SUMIFS('PR-BOM'!$D$3:$D1001,'PR-BOM'!$C$3:$C1001,N973))</f>
        <v/>
      </c>
      <c r="Y973" t="str">
        <f t="shared" si="11"/>
        <v/>
      </c>
      <c r="Z973" t="str">
        <f>IF(X973="","",SUMIFS(#REF!,RM!$C$4:$C991,X973))</f>
        <v/>
      </c>
      <c r="AA973" t="str">
        <f>IF(X973="","",SUMIFS(#REF!,RM!$C$4:$C991,X973))</f>
        <v/>
      </c>
      <c r="AB973" t="str">
        <f>IF(X973="","",SUMIFS(IRegback!$Y$2:$Y1001,IRegback!$X$2:$X1001,X973))</f>
        <v/>
      </c>
      <c r="AC973" t="e">
        <f t="shared" si="12"/>
        <v>#VALUE!</v>
      </c>
      <c r="AD973" t="str">
        <f>IF(X973="","",VLOOKUP($X973,RM!$C$4:$G991,3,FALSE))</f>
        <v/>
      </c>
      <c r="AE973" t="str">
        <f>IF(X973="","",VLOOKUP($X973,RM!$C$4:$G991,4,FALSE))</f>
        <v/>
      </c>
      <c r="AF973" t="str">
        <f>IF(X973="","",VLOOKUP($X973,RM!$C$4:$G991,5,FALSE))</f>
        <v/>
      </c>
      <c r="AL973" t="e">
        <f ca="1">_xludf.IFNA(VLOOKUP(AH973,'S-FG'!$B$3:$B1001,1,FALSE),"")</f>
        <v>#NAME?</v>
      </c>
      <c r="AM973" t="str">
        <f>IF(AI973="","",SUMIFS(#REF!,RM!$C$4:$C991,AI973))</f>
        <v/>
      </c>
    </row>
    <row r="974" spans="5:39">
      <c r="E974" t="str">
        <f>IF(A974="","",SUMIFS('PR-BOM'!$D$3:$D1001,'PR-BOM'!$C$3:$C1001,A974)*C974)</f>
        <v/>
      </c>
      <c r="F974" t="e">
        <f ca="1">_xludf.IFNA(VLOOKUP(B974,'S-FG'!$B$3:$B1001,1,FALSE),"")</f>
        <v>#NAME?</v>
      </c>
      <c r="L974" t="str">
        <f t="shared" si="10"/>
        <v/>
      </c>
      <c r="Q974" t="str">
        <f>IF(N974="","",SUMIFS('PR-BOM'!$D$3:$D1001,'PR-BOM'!$C$3:$C1001,N974))</f>
        <v/>
      </c>
      <c r="Y974" t="str">
        <f t="shared" si="11"/>
        <v/>
      </c>
      <c r="Z974" t="str">
        <f>IF(X974="","",SUMIFS(#REF!,RM!$C$4:$C991,X974))</f>
        <v/>
      </c>
      <c r="AA974" t="str">
        <f>IF(X974="","",SUMIFS(#REF!,RM!$C$4:$C991,X974))</f>
        <v/>
      </c>
      <c r="AB974" t="str">
        <f>IF(X974="","",SUMIFS(IRegback!$Y$2:$Y1001,IRegback!$X$2:$X1001,X974))</f>
        <v/>
      </c>
      <c r="AC974" t="e">
        <f t="shared" si="12"/>
        <v>#VALUE!</v>
      </c>
      <c r="AD974" t="str">
        <f>IF(X974="","",VLOOKUP($X974,RM!$C$4:$G991,3,FALSE))</f>
        <v/>
      </c>
      <c r="AE974" t="str">
        <f>IF(X974="","",VLOOKUP($X974,RM!$C$4:$G991,4,FALSE))</f>
        <v/>
      </c>
      <c r="AF974" t="str">
        <f>IF(X974="","",VLOOKUP($X974,RM!$C$4:$G991,5,FALSE))</f>
        <v/>
      </c>
      <c r="AL974" t="e">
        <f ca="1">_xludf.IFNA(VLOOKUP(AH974,'S-FG'!$B$3:$B1001,1,FALSE),"")</f>
        <v>#NAME?</v>
      </c>
      <c r="AM974" t="str">
        <f>IF(AI974="","",SUMIFS(#REF!,RM!$C$4:$C991,AI974))</f>
        <v/>
      </c>
    </row>
    <row r="975" spans="5:39">
      <c r="E975" t="str">
        <f>IF(A975="","",SUMIFS('PR-BOM'!$D$3:$D1001,'PR-BOM'!$C$3:$C1001,A975)*C975)</f>
        <v/>
      </c>
      <c r="F975" t="e">
        <f ca="1">_xludf.IFNA(VLOOKUP(B975,'S-FG'!$B$3:$B1001,1,FALSE),"")</f>
        <v>#NAME?</v>
      </c>
      <c r="L975" t="str">
        <f t="shared" si="10"/>
        <v/>
      </c>
      <c r="Q975" t="str">
        <f>IF(N975="","",SUMIFS('PR-BOM'!$D$3:$D1001,'PR-BOM'!$C$3:$C1001,N975))</f>
        <v/>
      </c>
      <c r="Y975" t="str">
        <f t="shared" si="11"/>
        <v/>
      </c>
      <c r="Z975" t="str">
        <f>IF(X975="","",SUMIFS(#REF!,RM!$C$4:$C991,X975))</f>
        <v/>
      </c>
      <c r="AA975" t="str">
        <f>IF(X975="","",SUMIFS(#REF!,RM!$C$4:$C991,X975))</f>
        <v/>
      </c>
      <c r="AB975" t="str">
        <f>IF(X975="","",SUMIFS(IRegback!$Y$2:$Y1001,IRegback!$X$2:$X1001,X975))</f>
        <v/>
      </c>
      <c r="AC975" t="e">
        <f t="shared" si="12"/>
        <v>#VALUE!</v>
      </c>
      <c r="AD975" t="str">
        <f>IF(X975="","",VLOOKUP($X975,RM!$C$4:$G991,3,FALSE))</f>
        <v/>
      </c>
      <c r="AE975" t="str">
        <f>IF(X975="","",VLOOKUP($X975,RM!$C$4:$G991,4,FALSE))</f>
        <v/>
      </c>
      <c r="AF975" t="str">
        <f>IF(X975="","",VLOOKUP($X975,RM!$C$4:$G991,5,FALSE))</f>
        <v/>
      </c>
      <c r="AL975" t="e">
        <f ca="1">_xludf.IFNA(VLOOKUP(AH975,'S-FG'!$B$3:$B1001,1,FALSE),"")</f>
        <v>#NAME?</v>
      </c>
      <c r="AM975" t="str">
        <f>IF(AI975="","",SUMIFS(#REF!,RM!$C$4:$C991,AI975))</f>
        <v/>
      </c>
    </row>
    <row r="976" spans="5:39">
      <c r="E976" t="str">
        <f>IF(A976="","",SUMIFS('PR-BOM'!$D$3:$D1001,'PR-BOM'!$C$3:$C1001,A976)*C976)</f>
        <v/>
      </c>
      <c r="F976" t="e">
        <f ca="1">_xludf.IFNA(VLOOKUP(B976,'S-FG'!$B$3:$B1001,1,FALSE),"")</f>
        <v>#NAME?</v>
      </c>
      <c r="L976" t="str">
        <f t="shared" si="10"/>
        <v/>
      </c>
      <c r="Q976" t="str">
        <f>IF(N976="","",SUMIFS('PR-BOM'!$D$3:$D1001,'PR-BOM'!$C$3:$C1001,N976))</f>
        <v/>
      </c>
      <c r="Y976" t="str">
        <f t="shared" si="11"/>
        <v/>
      </c>
      <c r="Z976" t="str">
        <f>IF(X976="","",SUMIFS(#REF!,RM!$C$4:$C991,X976))</f>
        <v/>
      </c>
      <c r="AA976" t="str">
        <f>IF(X976="","",SUMIFS(#REF!,RM!$C$4:$C991,X976))</f>
        <v/>
      </c>
      <c r="AB976" t="str">
        <f>IF(X976="","",SUMIFS(IRegback!$Y$2:$Y1001,IRegback!$X$2:$X1001,X976))</f>
        <v/>
      </c>
      <c r="AC976" t="e">
        <f t="shared" si="12"/>
        <v>#VALUE!</v>
      </c>
      <c r="AD976" t="str">
        <f>IF(X976="","",VLOOKUP($X976,RM!$C$4:$G991,3,FALSE))</f>
        <v/>
      </c>
      <c r="AE976" t="str">
        <f>IF(X976="","",VLOOKUP($X976,RM!$C$4:$G991,4,FALSE))</f>
        <v/>
      </c>
      <c r="AF976" t="str">
        <f>IF(X976="","",VLOOKUP($X976,RM!$C$4:$G991,5,FALSE))</f>
        <v/>
      </c>
      <c r="AL976" t="e">
        <f ca="1">_xludf.IFNA(VLOOKUP(AH976,'S-FG'!$B$3:$B1001,1,FALSE),"")</f>
        <v>#NAME?</v>
      </c>
      <c r="AM976" t="str">
        <f>IF(AI976="","",SUMIFS(#REF!,RM!$C$4:$C991,AI976))</f>
        <v/>
      </c>
    </row>
    <row r="977" spans="5:39">
      <c r="E977" t="str">
        <f>IF(A977="","",SUMIFS('PR-BOM'!$D$3:$D1001,'PR-BOM'!$C$3:$C1001,A977)*C977)</f>
        <v/>
      </c>
      <c r="F977" t="e">
        <f ca="1">_xludf.IFNA(VLOOKUP(B977,'S-FG'!$B$3:$B1001,1,FALSE),"")</f>
        <v>#NAME?</v>
      </c>
      <c r="L977" t="str">
        <f t="shared" si="10"/>
        <v/>
      </c>
      <c r="Q977" t="str">
        <f>IF(N977="","",SUMIFS('PR-BOM'!$D$3:$D1001,'PR-BOM'!$C$3:$C1001,N977))</f>
        <v/>
      </c>
      <c r="Y977" t="str">
        <f t="shared" si="11"/>
        <v/>
      </c>
      <c r="Z977" t="str">
        <f>IF(X977="","",SUMIFS(#REF!,RM!$C$4:$C991,X977))</f>
        <v/>
      </c>
      <c r="AA977" t="str">
        <f>IF(X977="","",SUMIFS(#REF!,RM!$C$4:$C991,X977))</f>
        <v/>
      </c>
      <c r="AB977" t="str">
        <f>IF(X977="","",SUMIFS(IRegback!$Y$2:$Y1001,IRegback!$X$2:$X1001,X977))</f>
        <v/>
      </c>
      <c r="AC977" t="e">
        <f t="shared" si="12"/>
        <v>#VALUE!</v>
      </c>
      <c r="AD977" t="str">
        <f>IF(X977="","",VLOOKUP($X977,RM!$C$4:$G991,3,FALSE))</f>
        <v/>
      </c>
      <c r="AE977" t="str">
        <f>IF(X977="","",VLOOKUP($X977,RM!$C$4:$G991,4,FALSE))</f>
        <v/>
      </c>
      <c r="AF977" t="str">
        <f>IF(X977="","",VLOOKUP($X977,RM!$C$4:$G991,5,FALSE))</f>
        <v/>
      </c>
      <c r="AL977" t="e">
        <f ca="1">_xludf.IFNA(VLOOKUP(AH977,'S-FG'!$B$3:$B1001,1,FALSE),"")</f>
        <v>#NAME?</v>
      </c>
      <c r="AM977" t="str">
        <f>IF(AI977="","",SUMIFS(#REF!,RM!$C$4:$C991,AI977))</f>
        <v/>
      </c>
    </row>
    <row r="978" spans="5:39">
      <c r="E978" t="str">
        <f>IF(A978="","",SUMIFS('PR-BOM'!$D$3:$D1001,'PR-BOM'!$C$3:$C1001,A978)*C978)</f>
        <v/>
      </c>
      <c r="F978" t="e">
        <f ca="1">_xludf.IFNA(VLOOKUP(B978,'S-FG'!$B$3:$B1001,1,FALSE),"")</f>
        <v>#NAME?</v>
      </c>
      <c r="L978" t="str">
        <f t="shared" si="10"/>
        <v/>
      </c>
      <c r="Q978" t="str">
        <f>IF(N978="","",SUMIFS('PR-BOM'!$D$3:$D1001,'PR-BOM'!$C$3:$C1001,N978))</f>
        <v/>
      </c>
      <c r="Y978" t="str">
        <f t="shared" si="11"/>
        <v/>
      </c>
      <c r="Z978" t="str">
        <f>IF(X978="","",SUMIFS(#REF!,RM!$C$4:$C991,X978))</f>
        <v/>
      </c>
      <c r="AA978" t="str">
        <f>IF(X978="","",SUMIFS(#REF!,RM!$C$4:$C991,X978))</f>
        <v/>
      </c>
      <c r="AB978" t="str">
        <f>IF(X978="","",SUMIFS(IRegback!$Y$2:$Y1001,IRegback!$X$2:$X1001,X978))</f>
        <v/>
      </c>
      <c r="AC978" t="e">
        <f t="shared" si="12"/>
        <v>#VALUE!</v>
      </c>
      <c r="AD978" t="str">
        <f>IF(X978="","",VLOOKUP($X978,RM!$C$4:$G991,3,FALSE))</f>
        <v/>
      </c>
      <c r="AE978" t="str">
        <f>IF(X978="","",VLOOKUP($X978,RM!$C$4:$G991,4,FALSE))</f>
        <v/>
      </c>
      <c r="AF978" t="str">
        <f>IF(X978="","",VLOOKUP($X978,RM!$C$4:$G991,5,FALSE))</f>
        <v/>
      </c>
      <c r="AL978" t="e">
        <f ca="1">_xludf.IFNA(VLOOKUP(AH978,'S-FG'!$B$3:$B1001,1,FALSE),"")</f>
        <v>#NAME?</v>
      </c>
      <c r="AM978" t="str">
        <f>IF(AI978="","",SUMIFS(#REF!,RM!$C$4:$C991,AI978))</f>
        <v/>
      </c>
    </row>
    <row r="979" spans="5:39">
      <c r="E979" t="str">
        <f>IF(A979="","",SUMIFS('PR-BOM'!$D$3:$D1001,'PR-BOM'!$C$3:$C1001,A979)*C979)</f>
        <v/>
      </c>
      <c r="F979" t="e">
        <f ca="1">_xludf.IFNA(VLOOKUP(B979,'S-FG'!$B$3:$B1001,1,FALSE),"")</f>
        <v>#NAME?</v>
      </c>
      <c r="L979" t="str">
        <f t="shared" si="10"/>
        <v/>
      </c>
      <c r="Q979" t="str">
        <f>IF(N979="","",SUMIFS('PR-BOM'!$D$3:$D1001,'PR-BOM'!$C$3:$C1001,N979))</f>
        <v/>
      </c>
      <c r="Y979" t="str">
        <f t="shared" si="11"/>
        <v/>
      </c>
      <c r="Z979" t="str">
        <f>IF(X979="","",SUMIFS(#REF!,RM!$C$4:$C991,X979))</f>
        <v/>
      </c>
      <c r="AA979" t="str">
        <f>IF(X979="","",SUMIFS(#REF!,RM!$C$4:$C991,X979))</f>
        <v/>
      </c>
      <c r="AB979" t="str">
        <f>IF(X979="","",SUMIFS(IRegback!$Y$2:$Y1001,IRegback!$X$2:$X1001,X979))</f>
        <v/>
      </c>
      <c r="AC979" t="e">
        <f t="shared" si="12"/>
        <v>#VALUE!</v>
      </c>
      <c r="AD979" t="str">
        <f>IF(X979="","",VLOOKUP($X979,RM!$C$4:$G991,3,FALSE))</f>
        <v/>
      </c>
      <c r="AE979" t="str">
        <f>IF(X979="","",VLOOKUP($X979,RM!$C$4:$G991,4,FALSE))</f>
        <v/>
      </c>
      <c r="AF979" t="str">
        <f>IF(X979="","",VLOOKUP($X979,RM!$C$4:$G991,5,FALSE))</f>
        <v/>
      </c>
      <c r="AL979" t="e">
        <f ca="1">_xludf.IFNA(VLOOKUP(AH979,'S-FG'!$B$3:$B1001,1,FALSE),"")</f>
        <v>#NAME?</v>
      </c>
      <c r="AM979" t="str">
        <f>IF(AI979="","",SUMIFS(#REF!,RM!$C$4:$C991,AI979))</f>
        <v/>
      </c>
    </row>
    <row r="980" spans="5:39">
      <c r="E980" t="str">
        <f>IF(A980="","",SUMIFS('PR-BOM'!$D$3:$D1001,'PR-BOM'!$C$3:$C1001,A980)*C980)</f>
        <v/>
      </c>
      <c r="F980" t="e">
        <f ca="1">_xludf.IFNA(VLOOKUP(B980,'S-FG'!$B$3:$B1001,1,FALSE),"")</f>
        <v>#NAME?</v>
      </c>
      <c r="L980" t="str">
        <f t="shared" si="10"/>
        <v/>
      </c>
      <c r="Q980" t="str">
        <f>IF(N980="","",SUMIFS('PR-BOM'!$D$3:$D1001,'PR-BOM'!$C$3:$C1001,N980))</f>
        <v/>
      </c>
      <c r="Y980" t="str">
        <f t="shared" si="11"/>
        <v/>
      </c>
      <c r="Z980" t="str">
        <f>IF(X980="","",SUMIFS(#REF!,RM!$C$4:$C991,X980))</f>
        <v/>
      </c>
      <c r="AA980" t="str">
        <f>IF(X980="","",SUMIFS(#REF!,RM!$C$4:$C991,X980))</f>
        <v/>
      </c>
      <c r="AB980" t="str">
        <f>IF(X980="","",SUMIFS(IRegback!$Y$2:$Y1001,IRegback!$X$2:$X1001,X980))</f>
        <v/>
      </c>
      <c r="AC980" t="e">
        <f t="shared" si="12"/>
        <v>#VALUE!</v>
      </c>
      <c r="AD980" t="str">
        <f>IF(X980="","",VLOOKUP($X980,RM!$C$4:$G991,3,FALSE))</f>
        <v/>
      </c>
      <c r="AE980" t="str">
        <f>IF(X980="","",VLOOKUP($X980,RM!$C$4:$G991,4,FALSE))</f>
        <v/>
      </c>
      <c r="AF980" t="str">
        <f>IF(X980="","",VLOOKUP($X980,RM!$C$4:$G991,5,FALSE))</f>
        <v/>
      </c>
      <c r="AL980" t="e">
        <f ca="1">_xludf.IFNA(VLOOKUP(AH980,'S-FG'!$B$3:$B1001,1,FALSE),"")</f>
        <v>#NAME?</v>
      </c>
      <c r="AM980" t="str">
        <f>IF(AI980="","",SUMIFS(#REF!,RM!$C$4:$C991,AI980))</f>
        <v/>
      </c>
    </row>
    <row r="981" spans="5:39">
      <c r="E981" t="str">
        <f>IF(A981="","",SUMIFS('PR-BOM'!$D$3:$D1001,'PR-BOM'!$C$3:$C1001,A981)*C981)</f>
        <v/>
      </c>
      <c r="F981" t="e">
        <f ca="1">_xludf.IFNA(VLOOKUP(B981,'S-FG'!$B$3:$B1001,1,FALSE),"")</f>
        <v>#NAME?</v>
      </c>
      <c r="L981" t="str">
        <f t="shared" si="10"/>
        <v/>
      </c>
      <c r="Q981" t="str">
        <f>IF(N981="","",SUMIFS('PR-BOM'!$D$3:$D1001,'PR-BOM'!$C$3:$C1001,N981))</f>
        <v/>
      </c>
      <c r="Y981" t="str">
        <f t="shared" si="11"/>
        <v/>
      </c>
      <c r="Z981" t="str">
        <f>IF(X981="","",SUMIFS(#REF!,RM!$C$4:$C991,X981))</f>
        <v/>
      </c>
      <c r="AA981" t="str">
        <f>IF(X981="","",SUMIFS(#REF!,RM!$C$4:$C991,X981))</f>
        <v/>
      </c>
      <c r="AB981" t="str">
        <f>IF(X981="","",SUMIFS(IRegback!$Y$2:$Y1001,IRegback!$X$2:$X1001,X981))</f>
        <v/>
      </c>
      <c r="AC981" t="e">
        <f t="shared" si="12"/>
        <v>#VALUE!</v>
      </c>
      <c r="AD981" t="str">
        <f>IF(X981="","",VLOOKUP($X981,RM!$C$4:$G991,3,FALSE))</f>
        <v/>
      </c>
      <c r="AE981" t="str">
        <f>IF(X981="","",VLOOKUP($X981,RM!$C$4:$G991,4,FALSE))</f>
        <v/>
      </c>
      <c r="AF981" t="str">
        <f>IF(X981="","",VLOOKUP($X981,RM!$C$4:$G991,5,FALSE))</f>
        <v/>
      </c>
      <c r="AL981" t="e">
        <f ca="1">_xludf.IFNA(VLOOKUP(AH981,'S-FG'!$B$3:$B1001,1,FALSE),"")</f>
        <v>#NAME?</v>
      </c>
      <c r="AM981" t="str">
        <f>IF(AI981="","",SUMIFS(#REF!,RM!$C$4:$C991,AI981))</f>
        <v/>
      </c>
    </row>
    <row r="982" spans="5:39">
      <c r="E982" t="str">
        <f>IF(A982="","",SUMIFS('PR-BOM'!$D$3:$D1001,'PR-BOM'!$C$3:$C1001,A982)*C982)</f>
        <v/>
      </c>
      <c r="F982" t="e">
        <f ca="1">_xludf.IFNA(VLOOKUP(B982,'S-FG'!$B$3:$B1001,1,FALSE),"")</f>
        <v>#NAME?</v>
      </c>
      <c r="L982" t="str">
        <f t="shared" si="10"/>
        <v/>
      </c>
      <c r="Q982" t="str">
        <f>IF(N982="","",SUMIFS('PR-BOM'!$D$3:$D1001,'PR-BOM'!$C$3:$C1001,N982))</f>
        <v/>
      </c>
      <c r="Y982" t="str">
        <f t="shared" si="11"/>
        <v/>
      </c>
      <c r="Z982" t="str">
        <f>IF(X982="","",SUMIFS(#REF!,RM!$C$4:$C991,X982))</f>
        <v/>
      </c>
      <c r="AA982" t="str">
        <f>IF(X982="","",SUMIFS(#REF!,RM!$C$4:$C991,X982))</f>
        <v/>
      </c>
      <c r="AB982" t="str">
        <f>IF(X982="","",SUMIFS(IRegback!$Y$2:$Y1001,IRegback!$X$2:$X1001,X982))</f>
        <v/>
      </c>
      <c r="AC982" t="e">
        <f t="shared" si="12"/>
        <v>#VALUE!</v>
      </c>
      <c r="AD982" t="str">
        <f>IF(X982="","",VLOOKUP($X982,RM!$C$4:$G991,3,FALSE))</f>
        <v/>
      </c>
      <c r="AE982" t="str">
        <f>IF(X982="","",VLOOKUP($X982,RM!$C$4:$G991,4,FALSE))</f>
        <v/>
      </c>
      <c r="AF982" t="str">
        <f>IF(X982="","",VLOOKUP($X982,RM!$C$4:$G991,5,FALSE))</f>
        <v/>
      </c>
      <c r="AL982" t="e">
        <f ca="1">_xludf.IFNA(VLOOKUP(AH982,'S-FG'!$B$3:$B1001,1,FALSE),"")</f>
        <v>#NAME?</v>
      </c>
      <c r="AM982" t="str">
        <f>IF(AI982="","",SUMIFS(#REF!,RM!$C$4:$C991,AI982))</f>
        <v/>
      </c>
    </row>
    <row r="983" spans="5:39">
      <c r="E983" t="str">
        <f>IF(A983="","",SUMIFS('PR-BOM'!$D$3:$D1001,'PR-BOM'!$C$3:$C1001,A983)*C983)</f>
        <v/>
      </c>
      <c r="F983" t="e">
        <f ca="1">_xludf.IFNA(VLOOKUP(B983,'S-FG'!$B$3:$B1001,1,FALSE),"")</f>
        <v>#NAME?</v>
      </c>
      <c r="L983" t="str">
        <f t="shared" si="10"/>
        <v/>
      </c>
      <c r="Q983" t="str">
        <f>IF(N983="","",SUMIFS('PR-BOM'!$D$3:$D1001,'PR-BOM'!$C$3:$C1001,N983))</f>
        <v/>
      </c>
      <c r="Y983" t="str">
        <f t="shared" si="11"/>
        <v/>
      </c>
      <c r="Z983" t="str">
        <f>IF(X983="","",SUMIFS(#REF!,RM!$C$4:$C991,X983))</f>
        <v/>
      </c>
      <c r="AA983" t="str">
        <f>IF(X983="","",SUMIFS(#REF!,RM!$C$4:$C991,X983))</f>
        <v/>
      </c>
      <c r="AB983" t="str">
        <f>IF(X983="","",SUMIFS(IRegback!$Y$2:$Y1001,IRegback!$X$2:$X1001,X983))</f>
        <v/>
      </c>
      <c r="AC983" t="e">
        <f t="shared" si="12"/>
        <v>#VALUE!</v>
      </c>
      <c r="AD983" t="str">
        <f>IF(X983="","",VLOOKUP($X983,RM!$C$4:$G991,3,FALSE))</f>
        <v/>
      </c>
      <c r="AE983" t="str">
        <f>IF(X983="","",VLOOKUP($X983,RM!$C$4:$G991,4,FALSE))</f>
        <v/>
      </c>
      <c r="AF983" t="str">
        <f>IF(X983="","",VLOOKUP($X983,RM!$C$4:$G991,5,FALSE))</f>
        <v/>
      </c>
      <c r="AL983" t="e">
        <f ca="1">_xludf.IFNA(VLOOKUP(AH983,'S-FG'!$B$3:$B1001,1,FALSE),"")</f>
        <v>#NAME?</v>
      </c>
      <c r="AM983" t="str">
        <f>IF(AI983="","",SUMIFS(#REF!,RM!$C$4:$C991,AI983))</f>
        <v/>
      </c>
    </row>
    <row r="984" spans="5:39">
      <c r="E984" t="str">
        <f>IF(A984="","",SUMIFS('PR-BOM'!$D$3:$D1001,'PR-BOM'!$C$3:$C1001,A984)*C984)</f>
        <v/>
      </c>
      <c r="F984" t="e">
        <f ca="1">_xludf.IFNA(VLOOKUP(B984,'S-FG'!$B$3:$B1001,1,FALSE),"")</f>
        <v>#NAME?</v>
      </c>
      <c r="L984" t="str">
        <f t="shared" si="10"/>
        <v/>
      </c>
      <c r="Q984" t="str">
        <f>IF(N984="","",SUMIFS('PR-BOM'!$D$3:$D1001,'PR-BOM'!$C$3:$C1001,N984))</f>
        <v/>
      </c>
      <c r="Y984" t="str">
        <f t="shared" si="11"/>
        <v/>
      </c>
      <c r="Z984" t="str">
        <f>IF(X984="","",SUMIFS(#REF!,RM!$C$4:$C991,X984))</f>
        <v/>
      </c>
      <c r="AA984" t="str">
        <f>IF(X984="","",SUMIFS(#REF!,RM!$C$4:$C991,X984))</f>
        <v/>
      </c>
      <c r="AB984" t="str">
        <f>IF(X984="","",SUMIFS(IRegback!$Y$2:$Y1001,IRegback!$X$2:$X1001,X984))</f>
        <v/>
      </c>
      <c r="AC984" t="e">
        <f t="shared" si="12"/>
        <v>#VALUE!</v>
      </c>
      <c r="AD984" t="str">
        <f>IF(X984="","",VLOOKUP($X984,RM!$C$4:$G991,3,FALSE))</f>
        <v/>
      </c>
      <c r="AE984" t="str">
        <f>IF(X984="","",VLOOKUP($X984,RM!$C$4:$G991,4,FALSE))</f>
        <v/>
      </c>
      <c r="AF984" t="str">
        <f>IF(X984="","",VLOOKUP($X984,RM!$C$4:$G991,5,FALSE))</f>
        <v/>
      </c>
      <c r="AL984" t="e">
        <f ca="1">_xludf.IFNA(VLOOKUP(AH984,'S-FG'!$B$3:$B1001,1,FALSE),"")</f>
        <v>#NAME?</v>
      </c>
      <c r="AM984" t="str">
        <f>IF(AI984="","",SUMIFS(#REF!,RM!$C$4:$C991,AI984))</f>
        <v/>
      </c>
    </row>
    <row r="985" spans="5:39">
      <c r="E985" t="str">
        <f>IF(A985="","",SUMIFS('PR-BOM'!$D$3:$D1001,'PR-BOM'!$C$3:$C1001,A985)*C985)</f>
        <v/>
      </c>
      <c r="F985" t="e">
        <f ca="1">_xludf.IFNA(VLOOKUP(B985,'S-FG'!$B$3:$B1001,1,FALSE),"")</f>
        <v>#NAME?</v>
      </c>
      <c r="L985" t="str">
        <f t="shared" si="10"/>
        <v/>
      </c>
      <c r="Q985" t="str">
        <f>IF(N985="","",SUMIFS('PR-BOM'!$D$3:$D1001,'PR-BOM'!$C$3:$C1001,N985))</f>
        <v/>
      </c>
      <c r="Y985" t="str">
        <f t="shared" si="11"/>
        <v/>
      </c>
      <c r="Z985" t="str">
        <f>IF(X985="","",SUMIFS(#REF!,RM!$C$4:$C991,X985))</f>
        <v/>
      </c>
      <c r="AA985" t="str">
        <f>IF(X985="","",SUMIFS(#REF!,RM!$C$4:$C991,X985))</f>
        <v/>
      </c>
      <c r="AB985" t="str">
        <f>IF(X985="","",SUMIFS(IRegback!$Y$2:$Y1001,IRegback!$X$2:$X1001,X985))</f>
        <v/>
      </c>
      <c r="AC985" t="e">
        <f t="shared" si="12"/>
        <v>#VALUE!</v>
      </c>
      <c r="AD985" t="str">
        <f>IF(X985="","",VLOOKUP($X985,RM!$C$4:$G991,3,FALSE))</f>
        <v/>
      </c>
      <c r="AE985" t="str">
        <f>IF(X985="","",VLOOKUP($X985,RM!$C$4:$G991,4,FALSE))</f>
        <v/>
      </c>
      <c r="AF985" t="str">
        <f>IF(X985="","",VLOOKUP($X985,RM!$C$4:$G991,5,FALSE))</f>
        <v/>
      </c>
      <c r="AL985" t="e">
        <f ca="1">_xludf.IFNA(VLOOKUP(AH985,'S-FG'!$B$3:$B1001,1,FALSE),"")</f>
        <v>#NAME?</v>
      </c>
      <c r="AM985" t="str">
        <f>IF(AI985="","",SUMIFS(#REF!,RM!$C$4:$C991,AI985))</f>
        <v/>
      </c>
    </row>
    <row r="986" spans="5:39">
      <c r="E986" t="str">
        <f>IF(A986="","",SUMIFS('PR-BOM'!$D$3:$D1001,'PR-BOM'!$C$3:$C1001,A986)*C986)</f>
        <v/>
      </c>
      <c r="F986" t="e">
        <f ca="1">_xludf.IFNA(VLOOKUP(B986,'S-FG'!$B$3:$B1001,1,FALSE),"")</f>
        <v>#NAME?</v>
      </c>
      <c r="L986" t="str">
        <f t="shared" si="10"/>
        <v/>
      </c>
      <c r="Q986" t="str">
        <f>IF(N986="","",SUMIFS('PR-BOM'!$D$3:$D1001,'PR-BOM'!$C$3:$C1001,N986))</f>
        <v/>
      </c>
      <c r="Y986" t="str">
        <f t="shared" si="11"/>
        <v/>
      </c>
      <c r="Z986" t="str">
        <f>IF(X986="","",SUMIFS(#REF!,RM!$C$4:$C991,X986))</f>
        <v/>
      </c>
      <c r="AA986" t="str">
        <f>IF(X986="","",SUMIFS(#REF!,RM!$C$4:$C991,X986))</f>
        <v/>
      </c>
      <c r="AB986" t="str">
        <f>IF(X986="","",SUMIFS(IRegback!$Y$2:$Y1001,IRegback!$X$2:$X1001,X986))</f>
        <v/>
      </c>
      <c r="AC986" t="e">
        <f t="shared" si="12"/>
        <v>#VALUE!</v>
      </c>
      <c r="AD986" t="str">
        <f>IF(X986="","",VLOOKUP($X986,RM!$C$4:$G991,3,FALSE))</f>
        <v/>
      </c>
      <c r="AE986" t="str">
        <f>IF(X986="","",VLOOKUP($X986,RM!$C$4:$G991,4,FALSE))</f>
        <v/>
      </c>
      <c r="AF986" t="str">
        <f>IF(X986="","",VLOOKUP($X986,RM!$C$4:$G991,5,FALSE))</f>
        <v/>
      </c>
      <c r="AL986" t="e">
        <f ca="1">_xludf.IFNA(VLOOKUP(AH986,'S-FG'!$B$3:$B1001,1,FALSE),"")</f>
        <v>#NAME?</v>
      </c>
      <c r="AM986" t="str">
        <f>IF(AI986="","",SUMIFS(#REF!,RM!$C$4:$C991,AI986))</f>
        <v/>
      </c>
    </row>
    <row r="987" spans="5:39">
      <c r="E987" t="str">
        <f>IF(A987="","",SUMIFS('PR-BOM'!$D$3:$D1001,'PR-BOM'!$C$3:$C1001,A987)*C987)</f>
        <v/>
      </c>
      <c r="F987" t="e">
        <f ca="1">_xludf.IFNA(VLOOKUP(B987,'S-FG'!$B$3:$B1001,1,FALSE),"")</f>
        <v>#NAME?</v>
      </c>
      <c r="L987" t="str">
        <f t="shared" si="10"/>
        <v/>
      </c>
      <c r="Q987" t="str">
        <f>IF(N987="","",SUMIFS('PR-BOM'!$D$3:$D1001,'PR-BOM'!$C$3:$C1001,N987))</f>
        <v/>
      </c>
      <c r="Y987" t="str">
        <f t="shared" si="11"/>
        <v/>
      </c>
      <c r="Z987" t="str">
        <f>IF(X987="","",SUMIFS(#REF!,RM!$C$4:$C991,X987))</f>
        <v/>
      </c>
      <c r="AA987" t="str">
        <f>IF(X987="","",SUMIFS(#REF!,RM!$C$4:$C991,X987))</f>
        <v/>
      </c>
      <c r="AB987" t="str">
        <f>IF(X987="","",SUMIFS(IRegback!$Y$2:$Y1001,IRegback!$X$2:$X1001,X987))</f>
        <v/>
      </c>
      <c r="AC987" t="e">
        <f t="shared" si="12"/>
        <v>#VALUE!</v>
      </c>
      <c r="AD987" t="str">
        <f>IF(X987="","",VLOOKUP($X987,RM!$C$4:$G991,3,FALSE))</f>
        <v/>
      </c>
      <c r="AE987" t="str">
        <f>IF(X987="","",VLOOKUP($X987,RM!$C$4:$G991,4,FALSE))</f>
        <v/>
      </c>
      <c r="AF987" t="str">
        <f>IF(X987="","",VLOOKUP($X987,RM!$C$4:$G991,5,FALSE))</f>
        <v/>
      </c>
      <c r="AL987" t="e">
        <f ca="1">_xludf.IFNA(VLOOKUP(AH987,'S-FG'!$B$3:$B1001,1,FALSE),"")</f>
        <v>#NAME?</v>
      </c>
      <c r="AM987" t="str">
        <f>IF(AI987="","",SUMIFS(#REF!,RM!$C$4:$C991,AI987))</f>
        <v/>
      </c>
    </row>
    <row r="988" spans="5:39">
      <c r="E988" t="str">
        <f>IF(A988="","",SUMIFS('PR-BOM'!$D$3:$D1001,'PR-BOM'!$C$3:$C1001,A988)*C988)</f>
        <v/>
      </c>
      <c r="F988" t="e">
        <f ca="1">_xludf.IFNA(VLOOKUP(B988,'S-FG'!$B$3:$B1001,1,FALSE),"")</f>
        <v>#NAME?</v>
      </c>
      <c r="L988" t="str">
        <f t="shared" si="10"/>
        <v/>
      </c>
      <c r="Q988" t="str">
        <f>IF(N988="","",SUMIFS('PR-BOM'!$D$3:$D1001,'PR-BOM'!$C$3:$C1001,N988))</f>
        <v/>
      </c>
      <c r="Y988" t="str">
        <f t="shared" si="11"/>
        <v/>
      </c>
      <c r="Z988" t="str">
        <f>IF(X988="","",SUMIFS(#REF!,RM!$C$4:$C991,X988))</f>
        <v/>
      </c>
      <c r="AA988" t="str">
        <f>IF(X988="","",SUMIFS(#REF!,RM!$C$4:$C991,X988))</f>
        <v/>
      </c>
      <c r="AB988" t="str">
        <f>IF(X988="","",SUMIFS(IRegback!$Y$2:$Y1001,IRegback!$X$2:$X1001,X988))</f>
        <v/>
      </c>
      <c r="AC988" t="e">
        <f t="shared" si="12"/>
        <v>#VALUE!</v>
      </c>
      <c r="AD988" t="str">
        <f>IF(X988="","",VLOOKUP($X988,RM!$C$4:$G991,3,FALSE))</f>
        <v/>
      </c>
      <c r="AE988" t="str">
        <f>IF(X988="","",VLOOKUP($X988,RM!$C$4:$G991,4,FALSE))</f>
        <v/>
      </c>
      <c r="AF988" t="str">
        <f>IF(X988="","",VLOOKUP($X988,RM!$C$4:$G991,5,FALSE))</f>
        <v/>
      </c>
      <c r="AL988" t="e">
        <f ca="1">_xludf.IFNA(VLOOKUP(AH988,'S-FG'!$B$3:$B1001,1,FALSE),"")</f>
        <v>#NAME?</v>
      </c>
      <c r="AM988" t="str">
        <f>IF(AI988="","",SUMIFS(#REF!,RM!$C$4:$C991,AI988))</f>
        <v/>
      </c>
    </row>
    <row r="989" spans="5:39">
      <c r="E989" t="str">
        <f>IF(A989="","",SUMIFS('PR-BOM'!$D$3:$D1001,'PR-BOM'!$C$3:$C1001,A989)*C989)</f>
        <v/>
      </c>
      <c r="F989" t="e">
        <f ca="1">_xludf.IFNA(VLOOKUP(B989,'S-FG'!$B$3:$B1001,1,FALSE),"")</f>
        <v>#NAME?</v>
      </c>
      <c r="L989" t="str">
        <f t="shared" si="10"/>
        <v/>
      </c>
      <c r="Q989" t="str">
        <f>IF(N989="","",SUMIFS('PR-BOM'!$D$3:$D1001,'PR-BOM'!$C$3:$C1001,N989))</f>
        <v/>
      </c>
      <c r="Y989" t="str">
        <f t="shared" si="11"/>
        <v/>
      </c>
      <c r="Z989" t="str">
        <f>IF(X989="","",SUMIFS(#REF!,RM!$C$4:$C991,X989))</f>
        <v/>
      </c>
      <c r="AA989" t="str">
        <f>IF(X989="","",SUMIFS(#REF!,RM!$C$4:$C991,X989))</f>
        <v/>
      </c>
      <c r="AB989" t="str">
        <f>IF(X989="","",SUMIFS(IRegback!$Y$2:$Y1001,IRegback!$X$2:$X1001,X989))</f>
        <v/>
      </c>
      <c r="AC989" t="e">
        <f t="shared" si="12"/>
        <v>#VALUE!</v>
      </c>
      <c r="AD989" t="str">
        <f>IF(X989="","",VLOOKUP($X989,RM!$C$4:$G991,3,FALSE))</f>
        <v/>
      </c>
      <c r="AE989" t="str">
        <f>IF(X989="","",VLOOKUP($X989,RM!$C$4:$G991,4,FALSE))</f>
        <v/>
      </c>
      <c r="AF989" t="str">
        <f>IF(X989="","",VLOOKUP($X989,RM!$C$4:$G991,5,FALSE))</f>
        <v/>
      </c>
      <c r="AL989" t="e">
        <f ca="1">_xludf.IFNA(VLOOKUP(AH989,'S-FG'!$B$3:$B1001,1,FALSE),"")</f>
        <v>#NAME?</v>
      </c>
      <c r="AM989" t="str">
        <f>IF(AI989="","",SUMIFS(#REF!,RM!$C$4:$C991,AI989))</f>
        <v/>
      </c>
    </row>
    <row r="990" spans="5:39">
      <c r="E990" t="str">
        <f>IF(A990="","",SUMIFS('PR-BOM'!$D$3:$D1001,'PR-BOM'!$C$3:$C1001,A990)*C990)</f>
        <v/>
      </c>
      <c r="F990" t="e">
        <f ca="1">_xludf.IFNA(VLOOKUP(B990,'S-FG'!$B$3:$B1001,1,FALSE),"")</f>
        <v>#NAME?</v>
      </c>
      <c r="L990" t="str">
        <f t="shared" si="10"/>
        <v/>
      </c>
      <c r="Q990" t="str">
        <f>IF(N990="","",SUMIFS('PR-BOM'!$D$3:$D1001,'PR-BOM'!$C$3:$C1001,N990))</f>
        <v/>
      </c>
      <c r="Y990" t="str">
        <f t="shared" si="11"/>
        <v/>
      </c>
      <c r="Z990" t="str">
        <f>IF(X990="","",SUMIFS(#REF!,RM!$C$4:$C991,X990))</f>
        <v/>
      </c>
      <c r="AA990" t="str">
        <f>IF(X990="","",SUMIFS(#REF!,RM!$C$4:$C991,X990))</f>
        <v/>
      </c>
      <c r="AB990" t="str">
        <f>IF(X990="","",SUMIFS(IRegback!$Y$2:$Y1001,IRegback!$X$2:$X1001,X990))</f>
        <v/>
      </c>
      <c r="AC990" t="e">
        <f t="shared" si="12"/>
        <v>#VALUE!</v>
      </c>
      <c r="AD990" t="str">
        <f>IF(X990="","",VLOOKUP($X990,RM!$C$4:$G991,3,FALSE))</f>
        <v/>
      </c>
      <c r="AE990" t="str">
        <f>IF(X990="","",VLOOKUP($X990,RM!$C$4:$G991,4,FALSE))</f>
        <v/>
      </c>
      <c r="AF990" t="str">
        <f>IF(X990="","",VLOOKUP($X990,RM!$C$4:$G991,5,FALSE))</f>
        <v/>
      </c>
      <c r="AL990" t="e">
        <f ca="1">_xludf.IFNA(VLOOKUP(AH990,'S-FG'!$B$3:$B1001,1,FALSE),"")</f>
        <v>#NAME?</v>
      </c>
      <c r="AM990" t="str">
        <f>IF(AI990="","",SUMIFS(#REF!,RM!$C$4:$C991,AI990))</f>
        <v/>
      </c>
    </row>
    <row r="991" spans="5:39">
      <c r="E991" t="str">
        <f>IF(A991="","",SUMIFS('PR-BOM'!$D$3:$D1001,'PR-BOM'!$C$3:$C1001,A991)*C991)</f>
        <v/>
      </c>
      <c r="F991" t="e">
        <f ca="1">_xludf.IFNA(VLOOKUP(B991,'S-FG'!$B$3:$B1001,1,FALSE),"")</f>
        <v>#NAME?</v>
      </c>
      <c r="L991" t="str">
        <f t="shared" si="10"/>
        <v/>
      </c>
      <c r="Q991" t="str">
        <f>IF(N991="","",SUMIFS('PR-BOM'!$D$3:$D1001,'PR-BOM'!$C$3:$C1001,N991))</f>
        <v/>
      </c>
      <c r="Y991" t="str">
        <f t="shared" si="11"/>
        <v/>
      </c>
      <c r="Z991" t="str">
        <f>IF(X991="","",SUMIFS(#REF!,RM!$C$4:$C991,X991))</f>
        <v/>
      </c>
      <c r="AA991" t="str">
        <f>IF(X991="","",SUMIFS(#REF!,RM!$C$4:$C991,X991))</f>
        <v/>
      </c>
      <c r="AB991" t="str">
        <f>IF(X991="","",SUMIFS(IRegback!$Y$2:$Y1001,IRegback!$X$2:$X1001,X991))</f>
        <v/>
      </c>
      <c r="AC991" t="e">
        <f t="shared" si="12"/>
        <v>#VALUE!</v>
      </c>
      <c r="AD991" t="str">
        <f>IF(X991="","",VLOOKUP($X991,RM!$C$4:$G991,3,FALSE))</f>
        <v/>
      </c>
      <c r="AE991" t="str">
        <f>IF(X991="","",VLOOKUP($X991,RM!$C$4:$G991,4,FALSE))</f>
        <v/>
      </c>
      <c r="AF991" t="str">
        <f>IF(X991="","",VLOOKUP($X991,RM!$C$4:$G991,5,FALSE))</f>
        <v/>
      </c>
      <c r="AL991" t="e">
        <f ca="1">_xludf.IFNA(VLOOKUP(AH991,'S-FG'!$B$3:$B1001,1,FALSE),"")</f>
        <v>#NAME?</v>
      </c>
      <c r="AM991" t="str">
        <f>IF(AI991="","",SUMIFS(#REF!,RM!$C$4:$C991,AI991))</f>
        <v/>
      </c>
    </row>
    <row r="992" spans="5:39">
      <c r="E992" t="str">
        <f>IF(A992="","",SUMIFS('PR-BOM'!$D$3:$D1001,'PR-BOM'!$C$3:$C1001,A992)*C992)</f>
        <v/>
      </c>
      <c r="F992" t="e">
        <f ca="1">_xludf.IFNA(VLOOKUP(B992,'S-FG'!$B$3:$B1001,1,FALSE),"")</f>
        <v>#NAME?</v>
      </c>
      <c r="L992" t="str">
        <f t="shared" si="10"/>
        <v/>
      </c>
      <c r="Q992" t="str">
        <f>IF(N992="","",SUMIFS('PR-BOM'!$D$3:$D1001,'PR-BOM'!$C$3:$C1001,N992))</f>
        <v/>
      </c>
      <c r="Y992" t="str">
        <f t="shared" si="11"/>
        <v/>
      </c>
      <c r="Z992" t="str">
        <f>IF(X992="","",SUMIFS(#REF!,RM!$C$4:$C991,X992))</f>
        <v/>
      </c>
      <c r="AA992" t="str">
        <f>IF(X992="","",SUMIFS(#REF!,RM!$C$4:$C991,X992))</f>
        <v/>
      </c>
      <c r="AB992" t="str">
        <f>IF(X992="","",SUMIFS(IRegback!$Y$2:$Y1001,IRegback!$X$2:$X1001,X992))</f>
        <v/>
      </c>
      <c r="AC992" t="e">
        <f t="shared" si="12"/>
        <v>#VALUE!</v>
      </c>
      <c r="AD992" t="str">
        <f>IF(X992="","",VLOOKUP($X992,RM!$C$4:$G991,3,FALSE))</f>
        <v/>
      </c>
      <c r="AE992" t="str">
        <f>IF(X992="","",VLOOKUP($X992,RM!$C$4:$G991,4,FALSE))</f>
        <v/>
      </c>
      <c r="AF992" t="str">
        <f>IF(X992="","",VLOOKUP($X992,RM!$C$4:$G991,5,FALSE))</f>
        <v/>
      </c>
      <c r="AL992" t="e">
        <f ca="1">_xludf.IFNA(VLOOKUP(AH992,'S-FG'!$B$3:$B1001,1,FALSE),"")</f>
        <v>#NAME?</v>
      </c>
      <c r="AM992" t="str">
        <f>IF(AI992="","",SUMIFS(#REF!,RM!$C$4:$C991,AI992))</f>
        <v/>
      </c>
    </row>
    <row r="993" spans="5:39">
      <c r="E993" t="str">
        <f>IF(A993="","",SUMIFS('PR-BOM'!$D$3:$D1001,'PR-BOM'!$C$3:$C1001,A993)*C993)</f>
        <v/>
      </c>
      <c r="F993" t="e">
        <f ca="1">_xludf.IFNA(VLOOKUP(B993,'S-FG'!$B$3:$B1001,1,FALSE),"")</f>
        <v>#NAME?</v>
      </c>
      <c r="L993" t="str">
        <f t="shared" si="10"/>
        <v/>
      </c>
      <c r="Q993" t="str">
        <f>IF(N993="","",SUMIFS('PR-BOM'!$D$3:$D1001,'PR-BOM'!$C$3:$C1001,N993))</f>
        <v/>
      </c>
      <c r="Y993" t="str">
        <f t="shared" si="11"/>
        <v/>
      </c>
      <c r="Z993" t="str">
        <f>IF(X993="","",SUMIFS(#REF!,RM!$C$4:$C991,X993))</f>
        <v/>
      </c>
      <c r="AA993" t="str">
        <f>IF(X993="","",SUMIFS(#REF!,RM!$C$4:$C991,X993))</f>
        <v/>
      </c>
      <c r="AB993" t="str">
        <f>IF(X993="","",SUMIFS(IRegback!$Y$2:$Y1001,IRegback!$X$2:$X1001,X993))</f>
        <v/>
      </c>
      <c r="AC993" t="e">
        <f t="shared" si="12"/>
        <v>#VALUE!</v>
      </c>
      <c r="AD993" t="str">
        <f>IF(X993="","",VLOOKUP($X993,RM!$C$4:$G991,3,FALSE))</f>
        <v/>
      </c>
      <c r="AE993" t="str">
        <f>IF(X993="","",VLOOKUP($X993,RM!$C$4:$G991,4,FALSE))</f>
        <v/>
      </c>
      <c r="AF993" t="str">
        <f>IF(X993="","",VLOOKUP($X993,RM!$C$4:$G991,5,FALSE))</f>
        <v/>
      </c>
      <c r="AL993" t="e">
        <f ca="1">_xludf.IFNA(VLOOKUP(AH993,'S-FG'!$B$3:$B1001,1,FALSE),"")</f>
        <v>#NAME?</v>
      </c>
      <c r="AM993" t="str">
        <f>IF(AI993="","",SUMIFS(#REF!,RM!$C$4:$C991,AI993))</f>
        <v/>
      </c>
    </row>
    <row r="994" spans="5:39">
      <c r="E994" t="str">
        <f>IF(A994="","",SUMIFS('PR-BOM'!$D$3:$D1001,'PR-BOM'!$C$3:$C1001,A994)*C994)</f>
        <v/>
      </c>
      <c r="F994" t="e">
        <f ca="1">_xludf.IFNA(VLOOKUP(B994,'S-FG'!$B$3:$B1001,1,FALSE),"")</f>
        <v>#NAME?</v>
      </c>
      <c r="L994" t="str">
        <f t="shared" si="10"/>
        <v/>
      </c>
      <c r="Q994" t="str">
        <f>IF(N994="","",SUMIFS('PR-BOM'!$D$3:$D1001,'PR-BOM'!$C$3:$C1001,N994))</f>
        <v/>
      </c>
      <c r="Y994" t="str">
        <f t="shared" si="11"/>
        <v/>
      </c>
      <c r="Z994" t="str">
        <f>IF(X994="","",SUMIFS(#REF!,RM!$C$4:$C991,X994))</f>
        <v/>
      </c>
      <c r="AA994" t="str">
        <f>IF(X994="","",SUMIFS(#REF!,RM!$C$4:$C991,X994))</f>
        <v/>
      </c>
      <c r="AB994" t="str">
        <f>IF(X994="","",SUMIFS(IRegback!$Y$2:$Y1001,IRegback!$X$2:$X1001,X994))</f>
        <v/>
      </c>
      <c r="AC994" t="e">
        <f t="shared" si="12"/>
        <v>#VALUE!</v>
      </c>
      <c r="AD994" t="str">
        <f>IF(X994="","",VLOOKUP($X994,RM!$C$4:$G991,3,FALSE))</f>
        <v/>
      </c>
      <c r="AE994" t="str">
        <f>IF(X994="","",VLOOKUP($X994,RM!$C$4:$G991,4,FALSE))</f>
        <v/>
      </c>
      <c r="AF994" t="str">
        <f>IF(X994="","",VLOOKUP($X994,RM!$C$4:$G991,5,FALSE))</f>
        <v/>
      </c>
      <c r="AL994" t="e">
        <f ca="1">_xludf.IFNA(VLOOKUP(AH994,'S-FG'!$B$3:$B1001,1,FALSE),"")</f>
        <v>#NAME?</v>
      </c>
      <c r="AM994" t="str">
        <f>IF(AI994="","",SUMIFS(#REF!,RM!$C$4:$C991,AI994))</f>
        <v/>
      </c>
    </row>
    <row r="995" spans="5:39">
      <c r="E995" t="str">
        <f>IF(A995="","",SUMIFS('PR-BOM'!$D$3:$D1001,'PR-BOM'!$C$3:$C1001,A995)*C995)</f>
        <v/>
      </c>
      <c r="F995" t="e">
        <f ca="1">_xludf.IFNA(VLOOKUP(B995,'S-FG'!$B$3:$B1001,1,FALSE),"")</f>
        <v>#NAME?</v>
      </c>
      <c r="L995" t="str">
        <f t="shared" si="10"/>
        <v/>
      </c>
      <c r="Q995" t="str">
        <f>IF(N995="","",SUMIFS('PR-BOM'!$D$3:$D1001,'PR-BOM'!$C$3:$C1001,N995))</f>
        <v/>
      </c>
      <c r="Y995" t="str">
        <f t="shared" si="11"/>
        <v/>
      </c>
      <c r="Z995" t="str">
        <f>IF(X995="","",SUMIFS(#REF!,RM!$C$4:$C991,X995))</f>
        <v/>
      </c>
      <c r="AA995" t="str">
        <f>IF(X995="","",SUMIFS(#REF!,RM!$C$4:$C991,X995))</f>
        <v/>
      </c>
      <c r="AB995" t="str">
        <f>IF(X995="","",SUMIFS(IRegback!$Y$2:$Y1001,IRegback!$X$2:$X1001,X995))</f>
        <v/>
      </c>
      <c r="AC995" t="e">
        <f t="shared" si="12"/>
        <v>#VALUE!</v>
      </c>
      <c r="AD995" t="str">
        <f>IF(X995="","",VLOOKUP($X995,RM!$C$4:$G991,3,FALSE))</f>
        <v/>
      </c>
      <c r="AE995" t="str">
        <f>IF(X995="","",VLOOKUP($X995,RM!$C$4:$G991,4,FALSE))</f>
        <v/>
      </c>
      <c r="AF995" t="str">
        <f>IF(X995="","",VLOOKUP($X995,RM!$C$4:$G991,5,FALSE))</f>
        <v/>
      </c>
      <c r="AL995" t="e">
        <f ca="1">_xludf.IFNA(VLOOKUP(AH995,'S-FG'!$B$3:$B1001,1,FALSE),"")</f>
        <v>#NAME?</v>
      </c>
      <c r="AM995" t="str">
        <f>IF(AI995="","",SUMIFS(#REF!,RM!$C$4:$C991,AI995))</f>
        <v/>
      </c>
    </row>
    <row r="996" spans="5:39">
      <c r="E996" t="str">
        <f>IF(A996="","",SUMIFS('PR-BOM'!$D$3:$D1001,'PR-BOM'!$C$3:$C1001,A996)*C996)</f>
        <v/>
      </c>
      <c r="F996" t="e">
        <f ca="1">_xludf.IFNA(VLOOKUP(B996,'S-FG'!$B$3:$B1001,1,FALSE),"")</f>
        <v>#NAME?</v>
      </c>
      <c r="L996" t="str">
        <f t="shared" si="10"/>
        <v/>
      </c>
      <c r="Q996" t="str">
        <f>IF(N996="","",SUMIFS('PR-BOM'!$D$3:$D1001,'PR-BOM'!$C$3:$C1001,N996))</f>
        <v/>
      </c>
      <c r="Y996" t="str">
        <f t="shared" si="11"/>
        <v/>
      </c>
      <c r="Z996" t="str">
        <f>IF(X996="","",SUMIFS(#REF!,RM!$C$4:$C991,X996))</f>
        <v/>
      </c>
      <c r="AA996" t="str">
        <f>IF(X996="","",SUMIFS(#REF!,RM!$C$4:$C991,X996))</f>
        <v/>
      </c>
      <c r="AB996" t="str">
        <f>IF(X996="","",SUMIFS(IRegback!$Y$2:$Y1001,IRegback!$X$2:$X1001,X996))</f>
        <v/>
      </c>
      <c r="AC996" t="e">
        <f t="shared" si="12"/>
        <v>#VALUE!</v>
      </c>
      <c r="AD996" t="str">
        <f>IF(X996="","",VLOOKUP($X996,RM!$C$4:$G991,3,FALSE))</f>
        <v/>
      </c>
      <c r="AE996" t="str">
        <f>IF(X996="","",VLOOKUP($X996,RM!$C$4:$G991,4,FALSE))</f>
        <v/>
      </c>
      <c r="AF996" t="str">
        <f>IF(X996="","",VLOOKUP($X996,RM!$C$4:$G991,5,FALSE))</f>
        <v/>
      </c>
      <c r="AL996" t="e">
        <f ca="1">_xludf.IFNA(VLOOKUP(AH996,'S-FG'!$B$3:$B1001,1,FALSE),"")</f>
        <v>#NAME?</v>
      </c>
      <c r="AM996" t="str">
        <f>IF(AI996="","",SUMIFS(#REF!,RM!$C$4:$C991,AI996))</f>
        <v/>
      </c>
    </row>
    <row r="997" spans="5:39">
      <c r="E997" t="str">
        <f>IF(A997="","",SUMIFS('PR-BOM'!$D$3:$D1001,'PR-BOM'!$C$3:$C1001,A997)*C997)</f>
        <v/>
      </c>
      <c r="F997" t="e">
        <f ca="1">_xludf.IFNA(VLOOKUP(B997,'S-FG'!$B$3:$B1001,1,FALSE),"")</f>
        <v>#NAME?</v>
      </c>
      <c r="L997" t="str">
        <f t="shared" si="10"/>
        <v/>
      </c>
      <c r="Q997" t="str">
        <f>IF(N997="","",SUMIFS('PR-BOM'!$D$3:$D1001,'PR-BOM'!$C$3:$C1001,N997))</f>
        <v/>
      </c>
      <c r="Y997" t="str">
        <f t="shared" si="11"/>
        <v/>
      </c>
      <c r="Z997" t="str">
        <f>IF(X997="","",SUMIFS(#REF!,RM!$C$4:$C991,X997))</f>
        <v/>
      </c>
      <c r="AA997" t="str">
        <f>IF(X997="","",SUMIFS(#REF!,RM!$C$4:$C991,X997))</f>
        <v/>
      </c>
      <c r="AB997" t="str">
        <f>IF(X997="","",SUMIFS(IRegback!$Y$2:$Y1001,IRegback!$X$2:$X1001,X997))</f>
        <v/>
      </c>
      <c r="AC997" t="e">
        <f t="shared" si="12"/>
        <v>#VALUE!</v>
      </c>
      <c r="AD997" t="str">
        <f>IF(X997="","",VLOOKUP($X997,RM!$C$4:$G991,3,FALSE))</f>
        <v/>
      </c>
      <c r="AE997" t="str">
        <f>IF(X997="","",VLOOKUP($X997,RM!$C$4:$G991,4,FALSE))</f>
        <v/>
      </c>
      <c r="AF997" t="str">
        <f>IF(X997="","",VLOOKUP($X997,RM!$C$4:$G991,5,FALSE))</f>
        <v/>
      </c>
      <c r="AL997" t="e">
        <f ca="1">_xludf.IFNA(VLOOKUP(AH997,'S-FG'!$B$3:$B1001,1,FALSE),"")</f>
        <v>#NAME?</v>
      </c>
      <c r="AM997" t="str">
        <f>IF(AI997="","",SUMIFS(#REF!,RM!$C$4:$C991,AI997))</f>
        <v/>
      </c>
    </row>
    <row r="998" spans="5:39">
      <c r="E998" t="str">
        <f>IF(A998="","",SUMIFS('PR-BOM'!$D$3:$D1001,'PR-BOM'!$C$3:$C1001,A998)*C998)</f>
        <v/>
      </c>
      <c r="F998" t="e">
        <f ca="1">_xludf.IFNA(VLOOKUP(B998,'S-FG'!$B$3:$B1001,1,FALSE),"")</f>
        <v>#NAME?</v>
      </c>
      <c r="L998" t="str">
        <f t="shared" si="10"/>
        <v/>
      </c>
      <c r="Q998" t="str">
        <f>IF(N998="","",SUMIFS('PR-BOM'!$D$3:$D1001,'PR-BOM'!$C$3:$C1001,N998))</f>
        <v/>
      </c>
      <c r="Y998" t="str">
        <f t="shared" si="11"/>
        <v/>
      </c>
      <c r="Z998" t="str">
        <f>IF(X998="","",SUMIFS(#REF!,RM!$C$4:$C991,X998))</f>
        <v/>
      </c>
      <c r="AA998" t="str">
        <f>IF(X998="","",SUMIFS(#REF!,RM!$C$4:$C991,X998))</f>
        <v/>
      </c>
      <c r="AB998" t="str">
        <f>IF(X998="","",SUMIFS(IRegback!$Y$2:$Y1001,IRegback!$X$2:$X1001,X998))</f>
        <v/>
      </c>
      <c r="AC998" t="e">
        <f t="shared" si="12"/>
        <v>#VALUE!</v>
      </c>
      <c r="AD998" t="str">
        <f>IF(X998="","",VLOOKUP($X998,RM!$C$4:$G991,3,FALSE))</f>
        <v/>
      </c>
      <c r="AE998" t="str">
        <f>IF(X998="","",VLOOKUP($X998,RM!$C$4:$G991,4,FALSE))</f>
        <v/>
      </c>
      <c r="AF998" t="str">
        <f>IF(X998="","",VLOOKUP($X998,RM!$C$4:$G991,5,FALSE))</f>
        <v/>
      </c>
      <c r="AL998" t="e">
        <f ca="1">_xludf.IFNA(VLOOKUP(AH998,'S-FG'!$B$3:$B1001,1,FALSE),"")</f>
        <v>#NAME?</v>
      </c>
      <c r="AM998" t="str">
        <f>IF(AI998="","",SUMIFS(#REF!,RM!$C$4:$C991,AI998))</f>
        <v/>
      </c>
    </row>
    <row r="999" spans="5:39">
      <c r="E999" t="str">
        <f>IF(A999="","",SUMIFS('PR-BOM'!$D$3:$D1001,'PR-BOM'!$C$3:$C1001,A999)*C999)</f>
        <v/>
      </c>
      <c r="F999" t="e">
        <f ca="1">_xludf.IFNA(VLOOKUP(B999,'S-FG'!$B$3:$B1001,1,FALSE),"")</f>
        <v>#NAME?</v>
      </c>
      <c r="L999" t="str">
        <f t="shared" si="10"/>
        <v/>
      </c>
      <c r="Q999" t="str">
        <f>IF(N999="","",SUMIFS('PR-BOM'!$D$3:$D1001,'PR-BOM'!$C$3:$C1001,N999))</f>
        <v/>
      </c>
      <c r="Y999" t="str">
        <f t="shared" si="11"/>
        <v/>
      </c>
      <c r="Z999" t="str">
        <f>IF(X999="","",SUMIFS(#REF!,RM!$C$4:$C991,X999))</f>
        <v/>
      </c>
      <c r="AA999" t="str">
        <f>IF(X999="","",SUMIFS(#REF!,RM!$C$4:$C991,X999))</f>
        <v/>
      </c>
      <c r="AB999" t="str">
        <f>IF(X999="","",SUMIFS(IRegback!$Y$2:$Y1001,IRegback!$X$2:$X1001,X999))</f>
        <v/>
      </c>
      <c r="AC999" t="e">
        <f t="shared" si="12"/>
        <v>#VALUE!</v>
      </c>
      <c r="AD999" t="str">
        <f>IF(X999="","",VLOOKUP($X999,RM!$C$4:$G991,3,FALSE))</f>
        <v/>
      </c>
      <c r="AE999" t="str">
        <f>IF(X999="","",VLOOKUP($X999,RM!$C$4:$G991,4,FALSE))</f>
        <v/>
      </c>
      <c r="AF999" t="str">
        <f>IF(X999="","",VLOOKUP($X999,RM!$C$4:$G991,5,FALSE))</f>
        <v/>
      </c>
      <c r="AL999" t="e">
        <f ca="1">_xludf.IFNA(VLOOKUP(AH999,'S-FG'!$B$3:$B1001,1,FALSE),"")</f>
        <v>#NAME?</v>
      </c>
      <c r="AM999" t="str">
        <f>IF(AI999="","",SUMIFS(#REF!,RM!$C$4:$C991,AI999))</f>
        <v/>
      </c>
    </row>
    <row r="1000" spans="5:39">
      <c r="E1000" t="str">
        <f>IF(A1000="","",SUMIFS('PR-BOM'!$D$3:$D1001,'PR-BOM'!$C$3:$C1001,A1000)*C1000)</f>
        <v/>
      </c>
      <c r="F1000" t="e">
        <f ca="1">_xludf.IFNA(VLOOKUP(B1000,'S-FG'!$B$3:$B1001,1,FALSE),"")</f>
        <v>#NAME?</v>
      </c>
      <c r="L1000" t="str">
        <f t="shared" si="10"/>
        <v/>
      </c>
      <c r="Q1000" t="str">
        <f>IF(N1000="","",SUMIFS('PR-BOM'!$D$3:$D1001,'PR-BOM'!$C$3:$C1001,N1000))</f>
        <v/>
      </c>
      <c r="Y1000" t="str">
        <f t="shared" si="11"/>
        <v/>
      </c>
      <c r="Z1000" t="str">
        <f>IF(X1000="","",SUMIFS(#REF!,RM!$C$4:$C991,X1000))</f>
        <v/>
      </c>
      <c r="AA1000" t="str">
        <f>IF(X1000="","",SUMIFS(#REF!,RM!$C$4:$C991,X1000))</f>
        <v/>
      </c>
      <c r="AB1000" t="str">
        <f>IF(X1000="","",SUMIFS(IRegback!$Y$2:$Y1001,IRegback!$X$2:$X1001,X1000))</f>
        <v/>
      </c>
      <c r="AC1000" t="e">
        <f t="shared" si="12"/>
        <v>#VALUE!</v>
      </c>
      <c r="AD1000" t="str">
        <f>IF(X1000="","",VLOOKUP($X1000,RM!$C$4:$G991,3,FALSE))</f>
        <v/>
      </c>
      <c r="AE1000" t="str">
        <f>IF(X1000="","",VLOOKUP($X1000,RM!$C$4:$G991,4,FALSE))</f>
        <v/>
      </c>
      <c r="AF1000" t="str">
        <f>IF(X1000="","",VLOOKUP($X1000,RM!$C$4:$G991,5,FALSE))</f>
        <v/>
      </c>
      <c r="AL1000" t="e">
        <f ca="1">_xludf.IFNA(VLOOKUP(AH1000,'S-FG'!$B$3:$B1001,1,FALSE),"")</f>
        <v>#NAME?</v>
      </c>
      <c r="AM1000" t="str">
        <f>IF(AI1000="","",SUMIFS(#REF!,RM!$C$4:$C991,AI1000))</f>
        <v/>
      </c>
    </row>
    <row r="1001" spans="5:39">
      <c r="E1001" t="str">
        <f>IF(A1001="","",SUMIFS('PR-BOM'!$D$3:$D1001,'PR-BOM'!$C$3:$C1001,A1001)*C1001)</f>
        <v/>
      </c>
      <c r="F1001" t="e">
        <f ca="1">_xludf.IFNA(VLOOKUP(B1001,'S-FG'!$B$3:$B1001,1,FALSE),"")</f>
        <v>#NAME?</v>
      </c>
      <c r="L1001" t="str">
        <f t="shared" si="10"/>
        <v/>
      </c>
      <c r="Q1001" t="str">
        <f>IF(N1001="","",SUMIFS('PR-BOM'!$D$3:$D1001,'PR-BOM'!$C$3:$C1001,N1001))</f>
        <v/>
      </c>
      <c r="Y1001" t="str">
        <f t="shared" si="11"/>
        <v/>
      </c>
      <c r="Z1001" t="str">
        <f>IF(X1001="","",SUMIFS(#REF!,RM!$C$4:$C991,X1001))</f>
        <v/>
      </c>
      <c r="AA1001" t="str">
        <f>IF(X1001="","",SUMIFS(#REF!,RM!$C$4:$C991,X1001))</f>
        <v/>
      </c>
      <c r="AB1001" t="str">
        <f>IF(X1001="","",SUMIFS(IRegback!$Y$2:$Y1001,IRegback!$X$2:$X1001,X1001))</f>
        <v/>
      </c>
      <c r="AC1001" t="e">
        <f t="shared" si="12"/>
        <v>#VALUE!</v>
      </c>
      <c r="AD1001" t="str">
        <f>IF(X1001="","",VLOOKUP($X1001,RM!$C$4:$G991,3,FALSE))</f>
        <v/>
      </c>
      <c r="AE1001" t="str">
        <f>IF(X1001="","",VLOOKUP($X1001,RM!$C$4:$G991,4,FALSE))</f>
        <v/>
      </c>
      <c r="AF1001" t="str">
        <f>IF(X1001="","",VLOOKUP($X1001,RM!$C$4:$G991,5,FALSE))</f>
        <v/>
      </c>
      <c r="AL1001" t="e">
        <f ca="1">_xludf.IFNA(VLOOKUP(AH1001,'S-FG'!$B$3:$B1001,1,FALSE),"")</f>
        <v>#NAME?</v>
      </c>
      <c r="AM1001" t="str">
        <f>IF(AI1001="","",SUMIFS(#REF!,RM!$C$4:$C991,AI1001))</f>
        <v/>
      </c>
    </row>
  </sheetData>
  <conditionalFormatting sqref="A1:BH1001">
    <cfRule type="expression" dxfId="1" priority="1">
      <formula>_xludf.ISFORMULA(A1)</formula>
    </cfRule>
  </conditionalFormatting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BG1001"/>
  <sheetViews>
    <sheetView workbookViewId="0"/>
  </sheetViews>
  <sheetFormatPr defaultColWidth="14.453125" defaultRowHeight="15" customHeight="1"/>
  <cols>
    <col min="1" max="1" width="28.26953125" customWidth="1"/>
    <col min="2" max="2" width="34.453125" customWidth="1"/>
    <col min="5" max="5" width="20.26953125" customWidth="1"/>
    <col min="6" max="6" width="6.26953125" customWidth="1"/>
    <col min="7" max="7" width="3.81640625" customWidth="1"/>
    <col min="8" max="8" width="37.1796875" customWidth="1"/>
    <col min="9" max="9" width="35" customWidth="1"/>
    <col min="10" max="10" width="8.7265625" customWidth="1"/>
    <col min="11" max="12" width="20.26953125" customWidth="1"/>
    <col min="13" max="13" width="4.7265625" customWidth="1"/>
    <col min="14" max="17" width="35" customWidth="1"/>
    <col min="18" max="18" width="6.54296875" customWidth="1"/>
    <col min="19" max="19" width="35" customWidth="1"/>
    <col min="23" max="23" width="5.7265625" customWidth="1"/>
    <col min="24" max="24" width="35" customWidth="1"/>
    <col min="33" max="33" width="34.453125" customWidth="1"/>
    <col min="34" max="34" width="35" customWidth="1"/>
    <col min="35" max="35" width="5.81640625" customWidth="1"/>
    <col min="36" max="36" width="8.1796875" customWidth="1"/>
    <col min="37" max="37" width="34.453125" customWidth="1"/>
  </cols>
  <sheetData>
    <row r="1" spans="1:59">
      <c r="A1" s="67" t="s">
        <v>2034</v>
      </c>
      <c r="B1" s="67"/>
      <c r="C1" s="67"/>
      <c r="D1" s="67"/>
      <c r="E1" s="67" t="s">
        <v>2038</v>
      </c>
      <c r="F1" s="67" t="s">
        <v>2035</v>
      </c>
      <c r="H1" s="67" t="s">
        <v>1739</v>
      </c>
      <c r="I1" s="67"/>
      <c r="J1" s="67"/>
      <c r="K1" s="67"/>
      <c r="L1" s="67" t="s">
        <v>2038</v>
      </c>
      <c r="N1" s="67" t="s">
        <v>2036</v>
      </c>
      <c r="O1" s="234"/>
      <c r="P1" s="234"/>
      <c r="Q1" s="67" t="s">
        <v>2038</v>
      </c>
      <c r="S1" s="67" t="s">
        <v>2037</v>
      </c>
      <c r="T1" s="67"/>
      <c r="U1" s="67"/>
      <c r="V1" s="67"/>
      <c r="X1" s="67" t="s">
        <v>2037</v>
      </c>
      <c r="Y1" s="67" t="s">
        <v>2039</v>
      </c>
      <c r="Z1" s="67" t="s">
        <v>1716</v>
      </c>
      <c r="AA1" s="67" t="s">
        <v>1717</v>
      </c>
      <c r="AB1" s="67" t="s">
        <v>1719</v>
      </c>
      <c r="AC1" s="67" t="s">
        <v>1</v>
      </c>
      <c r="AD1" s="67" t="s">
        <v>1721</v>
      </c>
      <c r="AE1" s="67" t="s">
        <v>0</v>
      </c>
      <c r="AG1" s="67" t="s">
        <v>2040</v>
      </c>
    </row>
    <row r="2" spans="1:59">
      <c r="A2" t="str">
        <f ca="1">IFERROR(__xludf.DUMMYFUNCTION("IFNA(FILTER('A-BOM'!B3:E1001,match('A-BOM'!B3:B1001,Issue!C3:C1001, 0)),""blank"")"),"Saif Seas Life - DSR")</f>
        <v>Saif Seas Life - DSR</v>
      </c>
      <c r="B2" t="str">
        <f ca="1">IFERROR(__xludf.DUMMYFUNCTION("""COMPUTED_VALUE"""),"Jet Motor Assy")</f>
        <v>Jet Motor Assy</v>
      </c>
      <c r="C2">
        <f ca="1">IFERROR(__xludf.DUMMYFUNCTION("""COMPUTED_VALUE"""),2)</f>
        <v>2</v>
      </c>
      <c r="D2" t="str">
        <f ca="1">IFERROR(__xludf.DUMMYFUNCTION("""COMPUTED_VALUE"""),"Number")</f>
        <v>Number</v>
      </c>
      <c r="E2">
        <f ca="1">IF(A2="","",SUMIFS(Issue!$D$3:$D1001,Issue!$C$3:$C1001,A2)*C2)</f>
        <v>82</v>
      </c>
      <c r="F2" t="e">
        <f ca="1">_xludf.IFNA(VLOOKUP(B2,'S-FG'!$B$3:$B1001,1,FALSE),"")</f>
        <v>#NAME?</v>
      </c>
      <c r="H2" t="str">
        <f ca="1">IFERROR(__xludf.DUMMYFUNCTION("IFNA(FILTER('S-BOM'!$B$3:$E1001, COUNTIF($F$2:$F1001, 'S-BOM'!$B$3:$B1001)),""blank"")"),"Jet Motor Assy")</f>
        <v>Jet Motor Assy</v>
      </c>
      <c r="I2" t="str">
        <f ca="1">IFERROR(__xludf.DUMMYFUNCTION("""COMPUTED_VALUE"""),"Coupling Hood")</f>
        <v>Coupling Hood</v>
      </c>
      <c r="J2">
        <f ca="1">IFERROR(__xludf.DUMMYFUNCTION("""COMPUTED_VALUE"""),1)</f>
        <v>1</v>
      </c>
      <c r="L2">
        <f t="shared" ref="L2:L256" ca="1" si="0">IF(H2="","",SUMIFS($E$2:$E1001,$F$2:$F1001,H2)*J2)</f>
        <v>0</v>
      </c>
      <c r="N2" t="str">
        <f ca="1">IFERROR(__xludf.DUMMYFUNCTION("IFERROR(FILTER(RM!C4:F1001,match(RM!C4:C1001,Issue!C3:C1001, 0)),"""")"),"")</f>
        <v/>
      </c>
      <c r="Q2" t="str">
        <f ca="1">IF(N2="","",SUMIFS(Issue!$D$3:$D1001,Issue!$C$3:$C1001,N2))</f>
        <v/>
      </c>
      <c r="S2" t="str">
        <f ca="1">IFERROR(__xludf.DUMMYFUNCTION("{FILTER($B$2:$B1001,$B$2:$B1001&lt;&gt;"""",$F$2:$F1001=""""); FILTER($I$2:$I1001,$I$2:$I1001&lt;&gt;"""");FILTER($N$2:$N1001,$N$2:$N1001&lt;&gt;"""")}"),"#N/A")</f>
        <v>#N/A</v>
      </c>
      <c r="X2" t="e">
        <f t="array" aca="1" ref="X2:X322" ca="1">_xludf.UNIQUE(S2:S1001)</f>
        <v>#NAME?</v>
      </c>
      <c r="Y2" t="e">
        <f t="shared" ref="Y2:Y256" ca="1" si="1">IF(X2="","",SUMIFS($E$2:$E1001,$B$2:$B1001,X2)+SUMIFS($L$2:$L1001,$I$2:$I1001,X2)+(SUMIFS($Q$2:$Q1001,$N$2:$N1001,X2)))</f>
        <v>#NAME?</v>
      </c>
      <c r="Z2" t="e">
        <f ca="1">IF(X2="","",SUMIFS(#REF!,RM!$C$4:$C991,X2))</f>
        <v>#NAME?</v>
      </c>
      <c r="AA2" t="e">
        <f ca="1">IF(X2="","",SUMIFS(#REF!,RM!$C$4:$C991,X2))</f>
        <v>#NAME?</v>
      </c>
      <c r="AB2" t="e">
        <f t="shared" ref="AB2:AB256" ca="1" si="2">Y2-AA2-Z2</f>
        <v>#NAME?</v>
      </c>
      <c r="AC2" t="e">
        <f ca="1">IF(X2="","",VLOOKUP($X2,RM!$C$4:$G991,3,FALSE))</f>
        <v>#NAME?</v>
      </c>
      <c r="AD2" t="e">
        <f ca="1">IF(X2="","",VLOOKUP($X2,RM!$C$4:$G991,4,FALSE))</f>
        <v>#NAME?</v>
      </c>
      <c r="AE2" t="e">
        <f ca="1">IF(X2="","",VLOOKUP($X2,RM!$C$4:$G991,5,FALSE))</f>
        <v>#NAME?</v>
      </c>
      <c r="AG2" t="str">
        <f ca="1">IFERROR(__xludf.DUMMYFUNCTION("{FILTER($A$2:$D1001,$A$2:$A1001&lt;&gt;"""");FILTER($H$2:$K1001,$H$2:$H1001&lt;&gt;"""")}"),"Saif Seas Life - DSR")</f>
        <v>Saif Seas Life - DSR</v>
      </c>
      <c r="AH2" t="str">
        <f ca="1">IFERROR(__xludf.DUMMYFUNCTION("""COMPUTED_VALUE"""),"Jet Motor Assy")</f>
        <v>Jet Motor Assy</v>
      </c>
      <c r="AI2">
        <f ca="1">IFERROR(__xludf.DUMMYFUNCTION("""COMPUTED_VALUE"""),2)</f>
        <v>2</v>
      </c>
      <c r="AJ2" t="str">
        <f ca="1">IFERROR(__xludf.DUMMYFUNCTION("""COMPUTED_VALUE"""),"Number")</f>
        <v>Number</v>
      </c>
      <c r="AK2" t="e">
        <f ca="1">_xludf.IFNA(VLOOKUP(AG2,'S-FG'!$B$3:$B1001,1,FALSE),"")</f>
        <v>#NAME?</v>
      </c>
      <c r="AL2" t="e">
        <f ca="1">IF(AH2="","",SUMIFS(#REF!,RM!$C$4:$C991,AH2))</f>
        <v>#REF!</v>
      </c>
      <c r="AO2">
        <f ca="1">IF(A2="","",SUMIFS(Issue!$D$3:$D1001,Issue!$C$3:$C1001,A2)*C2)</f>
        <v>82</v>
      </c>
      <c r="AP2">
        <f ca="1">IF(H2="","",SUMIFS($AO$2:$AO1001,$F$2:$F1001,H2)*J2)</f>
        <v>0</v>
      </c>
      <c r="AQ2" t="str">
        <f ca="1">IFERROR(__xludf.DUMMYFUNCTION("IFERROR(FILTER(RM!C4:F1001,match(RM!C4:C1001,Issue!C3:C1001, 0)),"""")"),"")</f>
        <v/>
      </c>
      <c r="AR2" t="str">
        <f ca="1">IF(N2="","",SUMIFS(Issue!$D$3:$D1001,Issue!$C$3:$C1001,N2))</f>
        <v/>
      </c>
      <c r="BG2" t="str">
        <f t="shared" ref="BG2:BG3" ca="1" si="3">IFERROR(IF(ROUNDDOWN(G3/D3,0)&lt;=0,0,ROUNDDOWN(G3/D3,0)),"")</f>
        <v/>
      </c>
    </row>
    <row r="3" spans="1:59">
      <c r="A3" t="str">
        <f ca="1">IFERROR(__xludf.DUMMYFUNCTION("""COMPUTED_VALUE"""),"Saif Seas Life - DSR")</f>
        <v>Saif Seas Life - DSR</v>
      </c>
      <c r="B3" t="str">
        <f ca="1">IFERROR(__xludf.DUMMYFUNCTION("""COMPUTED_VALUE"""),"Power Switch Assy")</f>
        <v>Power Switch Assy</v>
      </c>
      <c r="C3">
        <f ca="1">IFERROR(__xludf.DUMMYFUNCTION("""COMPUTED_VALUE"""),1)</f>
        <v>1</v>
      </c>
      <c r="D3" t="str">
        <f ca="1">IFERROR(__xludf.DUMMYFUNCTION("""COMPUTED_VALUE"""),"Number")</f>
        <v>Number</v>
      </c>
      <c r="E3">
        <f ca="1">IF(A3="","",SUMIFS(Issue!$D$3:$D1001,Issue!$C$3:$C1001,A3)*C3)</f>
        <v>41</v>
      </c>
      <c r="F3" t="e">
        <f ca="1">_xludf.IFNA(VLOOKUP(B3,'S-FG'!$B$3:$B1001,1,FALSE),"")</f>
        <v>#NAME?</v>
      </c>
      <c r="H3" t="str">
        <f ca="1">IFERROR(__xludf.DUMMYFUNCTION("""COMPUTED_VALUE"""),"Jet Motor Assy")</f>
        <v>Jet Motor Assy</v>
      </c>
      <c r="I3" t="str">
        <f ca="1">IFERROR(__xludf.DUMMYFUNCTION("""COMPUTED_VALUE"""),"Battery Clamp")</f>
        <v>Battery Clamp</v>
      </c>
      <c r="J3">
        <f ca="1">IFERROR(__xludf.DUMMYFUNCTION("""COMPUTED_VALUE"""),2)</f>
        <v>2</v>
      </c>
      <c r="K3" t="str">
        <f ca="1">IFERROR(__xludf.DUMMYFUNCTION("""COMPUTED_VALUE"""),"blank")</f>
        <v>blank</v>
      </c>
      <c r="L3">
        <f t="shared" ca="1" si="0"/>
        <v>0</v>
      </c>
      <c r="Q3" t="str">
        <f>IF(N3="","",SUMIFS(Issue!$D$3:$D1001,Issue!$C$3:$C1001,N3))</f>
        <v/>
      </c>
      <c r="S3" t="str">
        <f ca="1">IFERROR(__xludf.DUMMYFUNCTION("""COMPUTED_VALUE"""),"Coupling Hood")</f>
        <v>Coupling Hood</v>
      </c>
      <c r="X3" t="e">
        <f ca="1"/>
        <v>#NAME?</v>
      </c>
      <c r="Y3" t="e">
        <f t="shared" ca="1" si="1"/>
        <v>#NAME?</v>
      </c>
      <c r="Z3" t="e">
        <f ca="1">IF(X3="","",SUMIFS(#REF!,RM!$C$4:$C991,X3))</f>
        <v>#NAME?</v>
      </c>
      <c r="AA3" t="e">
        <f ca="1">IF(X3="","",SUMIFS(#REF!,RM!$C$4:$C991,X3))</f>
        <v>#NAME?</v>
      </c>
      <c r="AB3" t="e">
        <f t="shared" ca="1" si="2"/>
        <v>#NAME?</v>
      </c>
      <c r="AC3" t="e">
        <f ca="1">IF(X3="","",VLOOKUP($X3,RM!$C$4:$G991,3,FALSE))</f>
        <v>#NAME?</v>
      </c>
      <c r="AD3" t="e">
        <f ca="1">IF(X3="","",VLOOKUP($X3,RM!$C$4:$G991,4,FALSE))</f>
        <v>#NAME?</v>
      </c>
      <c r="AE3" t="e">
        <f ca="1">IF(X3="","",VLOOKUP($X3,RM!$C$4:$G991,5,FALSE))</f>
        <v>#NAME?</v>
      </c>
      <c r="AG3" t="str">
        <f ca="1">IFERROR(__xludf.DUMMYFUNCTION("""COMPUTED_VALUE"""),"Saif Seas Life - DSR")</f>
        <v>Saif Seas Life - DSR</v>
      </c>
      <c r="AH3" t="str">
        <f ca="1">IFERROR(__xludf.DUMMYFUNCTION("""COMPUTED_VALUE"""),"Power Switch Assy")</f>
        <v>Power Switch Assy</v>
      </c>
      <c r="AI3">
        <f ca="1">IFERROR(__xludf.DUMMYFUNCTION("""COMPUTED_VALUE"""),1)</f>
        <v>1</v>
      </c>
      <c r="AJ3" t="str">
        <f ca="1">IFERROR(__xludf.DUMMYFUNCTION("""COMPUTED_VALUE"""),"Number")</f>
        <v>Number</v>
      </c>
      <c r="AK3" t="e">
        <f ca="1">_xludf.IFNA(VLOOKUP(AG3,'S-FG'!$B$3:$B1001,1,FALSE),"")</f>
        <v>#NAME?</v>
      </c>
      <c r="AL3" t="e">
        <f ca="1">IF(AH3="","",SUMIFS(#REF!,RM!$C$4:$C991,AH3))</f>
        <v>#REF!</v>
      </c>
      <c r="BG3" t="str">
        <f t="shared" ca="1" si="3"/>
        <v/>
      </c>
    </row>
    <row r="4" spans="1:59">
      <c r="A4" t="str">
        <f ca="1">IFERROR(__xludf.DUMMYFUNCTION("""COMPUTED_VALUE"""),"Saif Seas Life - DSR")</f>
        <v>Saif Seas Life - DSR</v>
      </c>
      <c r="B4" t="str">
        <f ca="1">IFERROR(__xludf.DUMMYFUNCTION("""COMPUTED_VALUE"""),"Charging PM Assy")</f>
        <v>Charging PM Assy</v>
      </c>
      <c r="C4">
        <f ca="1">IFERROR(__xludf.DUMMYFUNCTION("""COMPUTED_VALUE"""),1)</f>
        <v>1</v>
      </c>
      <c r="D4" t="str">
        <f ca="1">IFERROR(__xludf.DUMMYFUNCTION("""COMPUTED_VALUE"""),"Number")</f>
        <v>Number</v>
      </c>
      <c r="E4">
        <f ca="1">IF(A4="","",SUMIFS(Issue!$D$3:$D1001,Issue!$C$3:$C1001,A4)*C4)</f>
        <v>41</v>
      </c>
      <c r="F4" t="e">
        <f ca="1">_xludf.IFNA(VLOOKUP(B4,'S-FG'!$B$3:$B1001,1,FALSE),"")</f>
        <v>#NAME?</v>
      </c>
      <c r="H4" t="str">
        <f ca="1">IFERROR(__xludf.DUMMYFUNCTION("""COMPUTED_VALUE"""),"Jet Motor Assy")</f>
        <v>Jet Motor Assy</v>
      </c>
      <c r="I4" t="str">
        <f ca="1">IFERROR(__xludf.DUMMYFUNCTION("""COMPUTED_VALUE"""),"M4x25 Hex Head")</f>
        <v>M4x25 Hex Head</v>
      </c>
      <c r="J4">
        <f ca="1">IFERROR(__xludf.DUMMYFUNCTION("""COMPUTED_VALUE"""),4)</f>
        <v>4</v>
      </c>
      <c r="K4" t="str">
        <f ca="1">IFERROR(__xludf.DUMMYFUNCTION("""COMPUTED_VALUE"""),"blank")</f>
        <v>blank</v>
      </c>
      <c r="L4">
        <f t="shared" ca="1" si="0"/>
        <v>0</v>
      </c>
      <c r="Q4" t="str">
        <f>IF(N4="","",SUMIFS(Issue!$D$3:$D1001,Issue!$C$3:$C1001,N4))</f>
        <v/>
      </c>
      <c r="S4" t="str">
        <f ca="1">IFERROR(__xludf.DUMMYFUNCTION("""COMPUTED_VALUE"""),"Battery Clamp")</f>
        <v>Battery Clamp</v>
      </c>
      <c r="X4" t="e">
        <f ca="1"/>
        <v>#NAME?</v>
      </c>
      <c r="Y4" t="e">
        <f t="shared" ca="1" si="1"/>
        <v>#NAME?</v>
      </c>
      <c r="Z4" t="e">
        <f ca="1">IF(X4="","",SUMIFS(#REF!,RM!$C$4:$C991,X4))</f>
        <v>#NAME?</v>
      </c>
      <c r="AA4" t="e">
        <f ca="1">IF(X4="","",SUMIFS(#REF!,RM!$C$4:$C991,X4))</f>
        <v>#NAME?</v>
      </c>
      <c r="AB4" t="e">
        <f t="shared" ca="1" si="2"/>
        <v>#NAME?</v>
      </c>
      <c r="AC4" t="e">
        <f ca="1">IF(X4="","",VLOOKUP($X4,RM!$C$4:$G991,3,FALSE))</f>
        <v>#NAME?</v>
      </c>
      <c r="AD4" t="e">
        <f ca="1">IF(X4="","",VLOOKUP($X4,RM!$C$4:$G991,4,FALSE))</f>
        <v>#NAME?</v>
      </c>
      <c r="AE4" t="e">
        <f ca="1">IF(X4="","",VLOOKUP($X4,RM!$C$4:$G991,5,FALSE))</f>
        <v>#NAME?</v>
      </c>
      <c r="AG4" t="str">
        <f ca="1">IFERROR(__xludf.DUMMYFUNCTION("""COMPUTED_VALUE"""),"Saif Seas Life - DSR")</f>
        <v>Saif Seas Life - DSR</v>
      </c>
      <c r="AH4" t="str">
        <f ca="1">IFERROR(__xludf.DUMMYFUNCTION("""COMPUTED_VALUE"""),"Charging PM Assy")</f>
        <v>Charging PM Assy</v>
      </c>
      <c r="AI4">
        <f ca="1">IFERROR(__xludf.DUMMYFUNCTION("""COMPUTED_VALUE"""),1)</f>
        <v>1</v>
      </c>
      <c r="AJ4" t="str">
        <f ca="1">IFERROR(__xludf.DUMMYFUNCTION("""COMPUTED_VALUE"""),"Number")</f>
        <v>Number</v>
      </c>
      <c r="AK4" t="e">
        <f ca="1">_xludf.IFNA(VLOOKUP(AG4,'S-FG'!$B$3:$B1001,1,FALSE),"")</f>
        <v>#NAME?</v>
      </c>
      <c r="AL4" t="e">
        <f ca="1">IF(AH4="","",SUMIFS(#REF!,RM!$C$4:$C991,AH4))</f>
        <v>#REF!</v>
      </c>
    </row>
    <row r="5" spans="1:59">
      <c r="A5" t="str">
        <f ca="1">IFERROR(__xludf.DUMMYFUNCTION("""COMPUTED_VALUE"""),"Saif Seas Life - DSR")</f>
        <v>Saif Seas Life - DSR</v>
      </c>
      <c r="B5" t="str">
        <f ca="1">IFERROR(__xludf.DUMMYFUNCTION("""COMPUTED_VALUE"""),"Charging CM Assy")</f>
        <v>Charging CM Assy</v>
      </c>
      <c r="C5">
        <f ca="1">IFERROR(__xludf.DUMMYFUNCTION("""COMPUTED_VALUE"""),1)</f>
        <v>1</v>
      </c>
      <c r="D5" t="str">
        <f ca="1">IFERROR(__xludf.DUMMYFUNCTION("""COMPUTED_VALUE"""),"Number")</f>
        <v>Number</v>
      </c>
      <c r="E5">
        <f ca="1">IF(A5="","",SUMIFS(Issue!$D$3:$D1001,Issue!$C$3:$C1001,A5)*C5)</f>
        <v>41</v>
      </c>
      <c r="F5" t="e">
        <f ca="1">_xludf.IFNA(VLOOKUP(B5,'S-FG'!$B$3:$B1001,1,FALSE),"")</f>
        <v>#NAME?</v>
      </c>
      <c r="H5" t="str">
        <f ca="1">IFERROR(__xludf.DUMMYFUNCTION("""COMPUTED_VALUE"""),"Jet Motor Assy")</f>
        <v>Jet Motor Assy</v>
      </c>
      <c r="I5" t="str">
        <f ca="1">IFERROR(__xludf.DUMMYFUNCTION("""COMPUTED_VALUE"""),"M4 Square Nut")</f>
        <v>M4 Square Nut</v>
      </c>
      <c r="J5">
        <f ca="1">IFERROR(__xludf.DUMMYFUNCTION("""COMPUTED_VALUE"""),7)</f>
        <v>7</v>
      </c>
      <c r="K5" t="str">
        <f ca="1">IFERROR(__xludf.DUMMYFUNCTION("""COMPUTED_VALUE"""),"blank")</f>
        <v>blank</v>
      </c>
      <c r="L5">
        <f t="shared" ca="1" si="0"/>
        <v>0</v>
      </c>
      <c r="Q5" t="str">
        <f>IF(N5="","",SUMIFS(Issue!$D$3:$D1001,Issue!$C$3:$C1001,N5))</f>
        <v/>
      </c>
      <c r="S5" t="str">
        <f ca="1">IFERROR(__xludf.DUMMYFUNCTION("""COMPUTED_VALUE"""),"M4x25 Hex Head")</f>
        <v>M4x25 Hex Head</v>
      </c>
      <c r="X5" t="e">
        <f ca="1"/>
        <v>#NAME?</v>
      </c>
      <c r="Y5" t="e">
        <f t="shared" ca="1" si="1"/>
        <v>#NAME?</v>
      </c>
      <c r="Z5" t="e">
        <f ca="1">IF(X5="","",SUMIFS(#REF!,RM!$C$4:$C991,X5))</f>
        <v>#NAME?</v>
      </c>
      <c r="AA5" t="e">
        <f ca="1">IF(X5="","",SUMIFS(#REF!,RM!$C$4:$C991,X5))</f>
        <v>#NAME?</v>
      </c>
      <c r="AB5" t="e">
        <f t="shared" ca="1" si="2"/>
        <v>#NAME?</v>
      </c>
      <c r="AC5" t="e">
        <f ca="1">IF(X5="","",VLOOKUP($X5,RM!$C$4:$G991,3,FALSE))</f>
        <v>#NAME?</v>
      </c>
      <c r="AD5" t="e">
        <f ca="1">IF(X5="","",VLOOKUP($X5,RM!$C$4:$G991,4,FALSE))</f>
        <v>#NAME?</v>
      </c>
      <c r="AE5" t="e">
        <f ca="1">IF(X5="","",VLOOKUP($X5,RM!$C$4:$G991,5,FALSE))</f>
        <v>#NAME?</v>
      </c>
      <c r="AG5" t="str">
        <f ca="1">IFERROR(__xludf.DUMMYFUNCTION("""COMPUTED_VALUE"""),"Saif Seas Life - DSR")</f>
        <v>Saif Seas Life - DSR</v>
      </c>
      <c r="AH5" t="str">
        <f ca="1">IFERROR(__xludf.DUMMYFUNCTION("""COMPUTED_VALUE"""),"Charging CM Assy")</f>
        <v>Charging CM Assy</v>
      </c>
      <c r="AI5">
        <f ca="1">IFERROR(__xludf.DUMMYFUNCTION("""COMPUTED_VALUE"""),1)</f>
        <v>1</v>
      </c>
      <c r="AJ5" t="str">
        <f ca="1">IFERROR(__xludf.DUMMYFUNCTION("""COMPUTED_VALUE"""),"Number")</f>
        <v>Number</v>
      </c>
      <c r="AK5" t="e">
        <f ca="1">_xludf.IFNA(VLOOKUP(AG5,'S-FG'!$B$3:$B1001,1,FALSE),"")</f>
        <v>#NAME?</v>
      </c>
      <c r="AL5" t="e">
        <f ca="1">IF(AH5="","",SUMIFS(#REF!,RM!$C$4:$C991,AH5))</f>
        <v>#REF!</v>
      </c>
    </row>
    <row r="6" spans="1:59">
      <c r="A6" t="str">
        <f ca="1">IFERROR(__xludf.DUMMYFUNCTION("""COMPUTED_VALUE"""),"Saif Seas Life - DSR")</f>
        <v>Saif Seas Life - DSR</v>
      </c>
      <c r="B6" t="str">
        <f ca="1">IFERROR(__xludf.DUMMYFUNCTION("""COMPUTED_VALUE"""),"STBD Signal PM Assy")</f>
        <v>STBD Signal PM Assy</v>
      </c>
      <c r="C6">
        <f ca="1">IFERROR(__xludf.DUMMYFUNCTION("""COMPUTED_VALUE"""),1)</f>
        <v>1</v>
      </c>
      <c r="D6" t="str">
        <f ca="1">IFERROR(__xludf.DUMMYFUNCTION("""COMPUTED_VALUE"""),"Number")</f>
        <v>Number</v>
      </c>
      <c r="E6">
        <f ca="1">IF(A6="","",SUMIFS(Issue!$D$3:$D1001,Issue!$C$3:$C1001,A6)*C6)</f>
        <v>41</v>
      </c>
      <c r="F6" t="e">
        <f ca="1">_xludf.IFNA(VLOOKUP(B6,'S-FG'!$B$3:$B1001,1,FALSE),"")</f>
        <v>#NAME?</v>
      </c>
      <c r="H6" t="str">
        <f ca="1">IFERROR(__xludf.DUMMYFUNCTION("""COMPUTED_VALUE"""),"Jet Motor Assy")</f>
        <v>Jet Motor Assy</v>
      </c>
      <c r="I6" t="str">
        <f ca="1">IFERROR(__xludf.DUMMYFUNCTION("""COMPUTED_VALUE"""),"M4 Nyloc")</f>
        <v>M4 Nyloc</v>
      </c>
      <c r="J6">
        <f ca="1">IFERROR(__xludf.DUMMYFUNCTION("""COMPUTED_VALUE"""),16)</f>
        <v>16</v>
      </c>
      <c r="K6" t="str">
        <f ca="1">IFERROR(__xludf.DUMMYFUNCTION("""COMPUTED_VALUE"""),"blank")</f>
        <v>blank</v>
      </c>
      <c r="L6">
        <f t="shared" ca="1" si="0"/>
        <v>0</v>
      </c>
      <c r="Q6" t="str">
        <f>IF(N6="","",SUMIFS(Issue!$D$3:$D1001,Issue!$C$3:$C1001,N6))</f>
        <v/>
      </c>
      <c r="S6" t="str">
        <f ca="1">IFERROR(__xludf.DUMMYFUNCTION("""COMPUTED_VALUE"""),"M4 Square Nut")</f>
        <v>M4 Square Nut</v>
      </c>
      <c r="X6" t="e">
        <f ca="1"/>
        <v>#NAME?</v>
      </c>
      <c r="Y6" t="e">
        <f t="shared" ca="1" si="1"/>
        <v>#NAME?</v>
      </c>
      <c r="Z6" t="e">
        <f ca="1">IF(X6="","",SUMIFS(#REF!,RM!$C$4:$C991,X6))</f>
        <v>#NAME?</v>
      </c>
      <c r="AA6" t="e">
        <f ca="1">IF(X6="","",SUMIFS(#REF!,RM!$C$4:$C991,X6))</f>
        <v>#NAME?</v>
      </c>
      <c r="AB6" t="e">
        <f t="shared" ca="1" si="2"/>
        <v>#NAME?</v>
      </c>
      <c r="AC6" t="e">
        <f ca="1">IF(X6="","",VLOOKUP($X6,RM!$C$4:$G991,3,FALSE))</f>
        <v>#NAME?</v>
      </c>
      <c r="AD6" t="e">
        <f ca="1">IF(X6="","",VLOOKUP($X6,RM!$C$4:$G991,4,FALSE))</f>
        <v>#NAME?</v>
      </c>
      <c r="AE6" t="e">
        <f ca="1">IF(X6="","",VLOOKUP($X6,RM!$C$4:$G991,5,FALSE))</f>
        <v>#NAME?</v>
      </c>
      <c r="AG6" t="str">
        <f ca="1">IFERROR(__xludf.DUMMYFUNCTION("""COMPUTED_VALUE"""),"Saif Seas Life - DSR")</f>
        <v>Saif Seas Life - DSR</v>
      </c>
      <c r="AH6" t="str">
        <f ca="1">IFERROR(__xludf.DUMMYFUNCTION("""COMPUTED_VALUE"""),"STBD Signal PM Assy")</f>
        <v>STBD Signal PM Assy</v>
      </c>
      <c r="AI6">
        <f ca="1">IFERROR(__xludf.DUMMYFUNCTION("""COMPUTED_VALUE"""),1)</f>
        <v>1</v>
      </c>
      <c r="AJ6" t="str">
        <f ca="1">IFERROR(__xludf.DUMMYFUNCTION("""COMPUTED_VALUE"""),"Number")</f>
        <v>Number</v>
      </c>
      <c r="AK6" t="e">
        <f ca="1">_xludf.IFNA(VLOOKUP(AG6,'S-FG'!$B$3:$B1001,1,FALSE),"")</f>
        <v>#NAME?</v>
      </c>
      <c r="AL6" t="e">
        <f ca="1">IF(AH6="","",SUMIFS(#REF!,RM!$C$4:$C991,AH6))</f>
        <v>#REF!</v>
      </c>
    </row>
    <row r="7" spans="1:59">
      <c r="A7" t="str">
        <f ca="1">IFERROR(__xludf.DUMMYFUNCTION("""COMPUTED_VALUE"""),"Saif Seas Life - DSR")</f>
        <v>Saif Seas Life - DSR</v>
      </c>
      <c r="B7" t="str">
        <f ca="1">IFERROR(__xludf.DUMMYFUNCTION("""COMPUTED_VALUE"""),"PORT Signal PM Assy")</f>
        <v>PORT Signal PM Assy</v>
      </c>
      <c r="C7">
        <f ca="1">IFERROR(__xludf.DUMMYFUNCTION("""COMPUTED_VALUE"""),1)</f>
        <v>1</v>
      </c>
      <c r="D7" t="str">
        <f ca="1">IFERROR(__xludf.DUMMYFUNCTION("""COMPUTED_VALUE"""),"Number")</f>
        <v>Number</v>
      </c>
      <c r="E7">
        <f ca="1">IF(A7="","",SUMIFS(Issue!$D$3:$D1001,Issue!$C$3:$C1001,A7)*C7)</f>
        <v>41</v>
      </c>
      <c r="F7" t="e">
        <f ca="1">_xludf.IFNA(VLOOKUP(B7,'S-FG'!$B$3:$B1001,1,FALSE),"")</f>
        <v>#NAME?</v>
      </c>
      <c r="H7" t="str">
        <f ca="1">IFERROR(__xludf.DUMMYFUNCTION("""COMPUTED_VALUE"""),"Jet Motor Assy")</f>
        <v>Jet Motor Assy</v>
      </c>
      <c r="I7" t="str">
        <f ca="1">IFERROR(__xludf.DUMMYFUNCTION("""COMPUTED_VALUE"""),"M4 Spring washer")</f>
        <v>M4 Spring washer</v>
      </c>
      <c r="J7">
        <f ca="1">IFERROR(__xludf.DUMMYFUNCTION("""COMPUTED_VALUE"""),20)</f>
        <v>20</v>
      </c>
      <c r="K7" t="str">
        <f ca="1">IFERROR(__xludf.DUMMYFUNCTION("""COMPUTED_VALUE"""),"blank")</f>
        <v>blank</v>
      </c>
      <c r="L7">
        <f t="shared" ca="1" si="0"/>
        <v>0</v>
      </c>
      <c r="Q7" t="str">
        <f>IF(N7="","",SUMIFS(Issue!$D$3:$D1001,Issue!$C$3:$C1001,N7))</f>
        <v/>
      </c>
      <c r="S7" t="str">
        <f ca="1">IFERROR(__xludf.DUMMYFUNCTION("""COMPUTED_VALUE"""),"M4 Nyloc")</f>
        <v>M4 Nyloc</v>
      </c>
      <c r="X7" t="e">
        <f ca="1"/>
        <v>#NAME?</v>
      </c>
      <c r="Y7" t="e">
        <f t="shared" ca="1" si="1"/>
        <v>#NAME?</v>
      </c>
      <c r="Z7" t="e">
        <f ca="1">IF(X7="","",SUMIFS(#REF!,RM!$C$4:$C991,X7))</f>
        <v>#NAME?</v>
      </c>
      <c r="AA7" t="e">
        <f ca="1">IF(X7="","",SUMIFS(#REF!,RM!$C$4:$C991,X7))</f>
        <v>#NAME?</v>
      </c>
      <c r="AB7" t="e">
        <f t="shared" ca="1" si="2"/>
        <v>#NAME?</v>
      </c>
      <c r="AC7" t="e">
        <f ca="1">IF(X7="","",VLOOKUP($X7,RM!$C$4:$G991,3,FALSE))</f>
        <v>#NAME?</v>
      </c>
      <c r="AD7" t="e">
        <f ca="1">IF(X7="","",VLOOKUP($X7,RM!$C$4:$G991,4,FALSE))</f>
        <v>#NAME?</v>
      </c>
      <c r="AE7" t="e">
        <f ca="1">IF(X7="","",VLOOKUP($X7,RM!$C$4:$G991,5,FALSE))</f>
        <v>#NAME?</v>
      </c>
      <c r="AG7" t="str">
        <f ca="1">IFERROR(__xludf.DUMMYFUNCTION("""COMPUTED_VALUE"""),"Saif Seas Life - DSR")</f>
        <v>Saif Seas Life - DSR</v>
      </c>
      <c r="AH7" t="str">
        <f ca="1">IFERROR(__xludf.DUMMYFUNCTION("""COMPUTED_VALUE"""),"PORT Signal PM Assy")</f>
        <v>PORT Signal PM Assy</v>
      </c>
      <c r="AI7">
        <f ca="1">IFERROR(__xludf.DUMMYFUNCTION("""COMPUTED_VALUE"""),1)</f>
        <v>1</v>
      </c>
      <c r="AJ7" t="str">
        <f ca="1">IFERROR(__xludf.DUMMYFUNCTION("""COMPUTED_VALUE"""),"Number")</f>
        <v>Number</v>
      </c>
      <c r="AK7" t="e">
        <f ca="1">_xludf.IFNA(VLOOKUP(AG7,'S-FG'!$B$3:$B1001,1,FALSE),"")</f>
        <v>#NAME?</v>
      </c>
      <c r="AL7" t="e">
        <f ca="1">IF(AH7="","",SUMIFS(#REF!,RM!$C$4:$C991,AH7))</f>
        <v>#REF!</v>
      </c>
    </row>
    <row r="8" spans="1:59">
      <c r="A8" t="str">
        <f ca="1">IFERROR(__xludf.DUMMYFUNCTION("""COMPUTED_VALUE"""),"Saif Seas Life - DSR")</f>
        <v>Saif Seas Life - DSR</v>
      </c>
      <c r="B8" t="str">
        <f ca="1">IFERROR(__xludf.DUMMYFUNCTION("""COMPUTED_VALUE"""),"PORT Signal CM Assy")</f>
        <v>PORT Signal CM Assy</v>
      </c>
      <c r="C8">
        <f ca="1">IFERROR(__xludf.DUMMYFUNCTION("""COMPUTED_VALUE"""),1)</f>
        <v>1</v>
      </c>
      <c r="D8" t="str">
        <f ca="1">IFERROR(__xludf.DUMMYFUNCTION("""COMPUTED_VALUE"""),"Number")</f>
        <v>Number</v>
      </c>
      <c r="E8">
        <f ca="1">IF(A8="","",SUMIFS(Issue!$D$3:$D1001,Issue!$C$3:$C1001,A8)*C8)</f>
        <v>41</v>
      </c>
      <c r="F8" t="e">
        <f ca="1">_xludf.IFNA(VLOOKUP(B8,'S-FG'!$B$3:$B1001,1,FALSE),"")</f>
        <v>#NAME?</v>
      </c>
      <c r="H8" t="str">
        <f ca="1">IFERROR(__xludf.DUMMYFUNCTION("""COMPUTED_VALUE"""),"Jet Motor Assy")</f>
        <v>Jet Motor Assy</v>
      </c>
      <c r="I8" t="str">
        <f ca="1">IFERROR(__xludf.DUMMYFUNCTION("""COMPUTED_VALUE"""),"M4x12 plain washer")</f>
        <v>M4x12 plain washer</v>
      </c>
      <c r="J8">
        <f ca="1">IFERROR(__xludf.DUMMYFUNCTION("""COMPUTED_VALUE"""),24)</f>
        <v>24</v>
      </c>
      <c r="K8" t="str">
        <f ca="1">IFERROR(__xludf.DUMMYFUNCTION("""COMPUTED_VALUE"""),"blank")</f>
        <v>blank</v>
      </c>
      <c r="L8">
        <f t="shared" ca="1" si="0"/>
        <v>0</v>
      </c>
      <c r="Q8" t="str">
        <f>IF(N8="","",SUMIFS(Issue!$D$3:$D1001,Issue!$C$3:$C1001,N8))</f>
        <v/>
      </c>
      <c r="S8" t="str">
        <f ca="1">IFERROR(__xludf.DUMMYFUNCTION("""COMPUTED_VALUE"""),"M4 Spring washer")</f>
        <v>M4 Spring washer</v>
      </c>
      <c r="X8" t="e">
        <f ca="1"/>
        <v>#NAME?</v>
      </c>
      <c r="Y8" t="e">
        <f t="shared" ca="1" si="1"/>
        <v>#NAME?</v>
      </c>
      <c r="Z8" t="e">
        <f ca="1">IF(X8="","",SUMIFS(#REF!,RM!$C$4:$C991,X8))</f>
        <v>#NAME?</v>
      </c>
      <c r="AA8" t="e">
        <f ca="1">IF(X8="","",SUMIFS(#REF!,RM!$C$4:$C991,X8))</f>
        <v>#NAME?</v>
      </c>
      <c r="AB8" t="e">
        <f t="shared" ca="1" si="2"/>
        <v>#NAME?</v>
      </c>
      <c r="AC8" t="e">
        <f ca="1">IF(X8="","",VLOOKUP($X8,RM!$C$4:$G991,3,FALSE))</f>
        <v>#NAME?</v>
      </c>
      <c r="AD8" t="e">
        <f ca="1">IF(X8="","",VLOOKUP($X8,RM!$C$4:$G991,4,FALSE))</f>
        <v>#NAME?</v>
      </c>
      <c r="AE8" t="e">
        <f ca="1">IF(X8="","",VLOOKUP($X8,RM!$C$4:$G991,5,FALSE))</f>
        <v>#NAME?</v>
      </c>
      <c r="AG8" t="str">
        <f ca="1">IFERROR(__xludf.DUMMYFUNCTION("""COMPUTED_VALUE"""),"Saif Seas Life - DSR")</f>
        <v>Saif Seas Life - DSR</v>
      </c>
      <c r="AH8" t="str">
        <f ca="1">IFERROR(__xludf.DUMMYFUNCTION("""COMPUTED_VALUE"""),"PORT Signal CM Assy")</f>
        <v>PORT Signal CM Assy</v>
      </c>
      <c r="AI8">
        <f ca="1">IFERROR(__xludf.DUMMYFUNCTION("""COMPUTED_VALUE"""),1)</f>
        <v>1</v>
      </c>
      <c r="AJ8" t="str">
        <f ca="1">IFERROR(__xludf.DUMMYFUNCTION("""COMPUTED_VALUE"""),"Number")</f>
        <v>Number</v>
      </c>
      <c r="AK8" t="e">
        <f ca="1">_xludf.IFNA(VLOOKUP(AG8,'S-FG'!$B$3:$B1001,1,FALSE),"")</f>
        <v>#NAME?</v>
      </c>
      <c r="AL8" t="e">
        <f ca="1">IF(AH8="","",SUMIFS(#REF!,RM!$C$4:$C991,AH8))</f>
        <v>#REF!</v>
      </c>
    </row>
    <row r="9" spans="1:59">
      <c r="A9" t="str">
        <f ca="1">IFERROR(__xludf.DUMMYFUNCTION("""COMPUTED_VALUE"""),"Saif Seas Life - DSR")</f>
        <v>Saif Seas Life - DSR</v>
      </c>
      <c r="B9" t="str">
        <f ca="1">IFERROR(__xludf.DUMMYFUNCTION("""COMPUTED_VALUE"""),"A21 MotherBoard Assy")</f>
        <v>A21 MotherBoard Assy</v>
      </c>
      <c r="C9">
        <f ca="1">IFERROR(__xludf.DUMMYFUNCTION("""COMPUTED_VALUE"""),1)</f>
        <v>1</v>
      </c>
      <c r="D9" t="str">
        <f ca="1">IFERROR(__xludf.DUMMYFUNCTION("""COMPUTED_VALUE"""),"Number")</f>
        <v>Number</v>
      </c>
      <c r="E9">
        <f ca="1">IF(A9="","",SUMIFS(Issue!$D$3:$D1001,Issue!$C$3:$C1001,A9)*C9)</f>
        <v>41</v>
      </c>
      <c r="F9" t="e">
        <f ca="1">_xludf.IFNA(VLOOKUP(B9,'S-FG'!$B$3:$B1001,1,FALSE),"")</f>
        <v>#NAME?</v>
      </c>
      <c r="H9" t="str">
        <f ca="1">IFERROR(__xludf.DUMMYFUNCTION("""COMPUTED_VALUE"""),"Jet Motor Assy")</f>
        <v>Jet Motor Assy</v>
      </c>
      <c r="I9" t="str">
        <f ca="1">IFERROR(__xludf.DUMMYFUNCTION("""COMPUTED_VALUE"""),"M4x16 CSK Phillips")</f>
        <v>M4x16 CSK Phillips</v>
      </c>
      <c r="J9">
        <f ca="1">IFERROR(__xludf.DUMMYFUNCTION("""COMPUTED_VALUE"""),4)</f>
        <v>4</v>
      </c>
      <c r="K9" t="str">
        <f ca="1">IFERROR(__xludf.DUMMYFUNCTION("""COMPUTED_VALUE"""),"blank")</f>
        <v>blank</v>
      </c>
      <c r="L9">
        <f t="shared" ca="1" si="0"/>
        <v>0</v>
      </c>
      <c r="Q9" t="str">
        <f>IF(N9="","",SUMIFS(Issue!$D$3:$D1001,Issue!$C$3:$C1001,N9))</f>
        <v/>
      </c>
      <c r="S9" t="str">
        <f ca="1">IFERROR(__xludf.DUMMYFUNCTION("""COMPUTED_VALUE"""),"M4x12 plain washer")</f>
        <v>M4x12 plain washer</v>
      </c>
      <c r="X9" t="e">
        <f ca="1"/>
        <v>#NAME?</v>
      </c>
      <c r="Y9" t="e">
        <f t="shared" ca="1" si="1"/>
        <v>#NAME?</v>
      </c>
      <c r="Z9" t="e">
        <f ca="1">IF(X9="","",SUMIFS(#REF!,RM!$C$4:$C991,X9))</f>
        <v>#NAME?</v>
      </c>
      <c r="AA9" t="e">
        <f ca="1">IF(X9="","",SUMIFS(#REF!,RM!$C$4:$C991,X9))</f>
        <v>#NAME?</v>
      </c>
      <c r="AB9" t="e">
        <f t="shared" ca="1" si="2"/>
        <v>#NAME?</v>
      </c>
      <c r="AC9" t="e">
        <f ca="1">IF(X9="","",VLOOKUP($X9,RM!$C$4:$G991,3,FALSE))</f>
        <v>#NAME?</v>
      </c>
      <c r="AD9" t="e">
        <f ca="1">IF(X9="","",VLOOKUP($X9,RM!$C$4:$G991,4,FALSE))</f>
        <v>#NAME?</v>
      </c>
      <c r="AE9" t="e">
        <f ca="1">IF(X9="","",VLOOKUP($X9,RM!$C$4:$G991,5,FALSE))</f>
        <v>#NAME?</v>
      </c>
      <c r="AG9" t="str">
        <f ca="1">IFERROR(__xludf.DUMMYFUNCTION("""COMPUTED_VALUE"""),"Saif Seas Life - DSR")</f>
        <v>Saif Seas Life - DSR</v>
      </c>
      <c r="AH9" t="str">
        <f ca="1">IFERROR(__xludf.DUMMYFUNCTION("""COMPUTED_VALUE"""),"A21 MotherBoard Assy")</f>
        <v>A21 MotherBoard Assy</v>
      </c>
      <c r="AI9">
        <f ca="1">IFERROR(__xludf.DUMMYFUNCTION("""COMPUTED_VALUE"""),1)</f>
        <v>1</v>
      </c>
      <c r="AJ9" t="str">
        <f ca="1">IFERROR(__xludf.DUMMYFUNCTION("""COMPUTED_VALUE"""),"Number")</f>
        <v>Number</v>
      </c>
      <c r="AK9" t="e">
        <f ca="1">_xludf.IFNA(VLOOKUP(AG9,'S-FG'!$B$3:$B1001,1,FALSE),"")</f>
        <v>#NAME?</v>
      </c>
      <c r="AL9" t="e">
        <f ca="1">IF(AH9="","",SUMIFS(#REF!,RM!$C$4:$C991,AH9))</f>
        <v>#REF!</v>
      </c>
    </row>
    <row r="10" spans="1:59">
      <c r="A10" t="str">
        <f ca="1">IFERROR(__xludf.DUMMYFUNCTION("""COMPUTED_VALUE"""),"Saif Seas Life - DSR")</f>
        <v>Saif Seas Life - DSR</v>
      </c>
      <c r="B10" t="str">
        <f ca="1">IFERROR(__xludf.DUMMYFUNCTION("""COMPUTED_VALUE"""),"Battery Block Assy")</f>
        <v>Battery Block Assy</v>
      </c>
      <c r="C10">
        <f ca="1">IFERROR(__xludf.DUMMYFUNCTION("""COMPUTED_VALUE"""),2)</f>
        <v>2</v>
      </c>
      <c r="D10" t="str">
        <f ca="1">IFERROR(__xludf.DUMMYFUNCTION("""COMPUTED_VALUE"""),"Number")</f>
        <v>Number</v>
      </c>
      <c r="E10">
        <f ca="1">IF(A10="","",SUMIFS(Issue!$D$3:$D1001,Issue!$C$3:$C1001,A10)*C10)</f>
        <v>82</v>
      </c>
      <c r="F10" t="e">
        <f ca="1">_xludf.IFNA(VLOOKUP(B10,'S-FG'!$B$3:$B1001,1,FALSE),"")</f>
        <v>#NAME?</v>
      </c>
      <c r="H10" t="str">
        <f ca="1">IFERROR(__xludf.DUMMYFUNCTION("""COMPUTED_VALUE"""),"Jet Motor Assy")</f>
        <v>Jet Motor Assy</v>
      </c>
      <c r="I10" t="str">
        <f ca="1">IFERROR(__xludf.DUMMYFUNCTION("""COMPUTED_VALUE"""),"M4x10 CSK Phillips ")</f>
        <v xml:space="preserve">M4x10 CSK Phillips </v>
      </c>
      <c r="J10">
        <f ca="1">IFERROR(__xludf.DUMMYFUNCTION("""COMPUTED_VALUE"""),0)</f>
        <v>0</v>
      </c>
      <c r="K10" t="str">
        <f ca="1">IFERROR(__xludf.DUMMYFUNCTION("""COMPUTED_VALUE"""),"blank")</f>
        <v>blank</v>
      </c>
      <c r="L10">
        <f t="shared" ca="1" si="0"/>
        <v>0</v>
      </c>
      <c r="Q10" t="str">
        <f>IF(N10="","",SUMIFS(Issue!$D$3:$D1001,Issue!$C$3:$C1001,N10))</f>
        <v/>
      </c>
      <c r="S10" t="str">
        <f ca="1">IFERROR(__xludf.DUMMYFUNCTION("""COMPUTED_VALUE"""),"M4x16 CSK Phillips")</f>
        <v>M4x16 CSK Phillips</v>
      </c>
      <c r="X10" t="e">
        <f ca="1"/>
        <v>#NAME?</v>
      </c>
      <c r="Y10" t="e">
        <f t="shared" ca="1" si="1"/>
        <v>#NAME?</v>
      </c>
      <c r="Z10" t="e">
        <f ca="1">IF(X10="","",SUMIFS(#REF!,RM!$C$4:$C991,X10))</f>
        <v>#NAME?</v>
      </c>
      <c r="AA10" t="e">
        <f ca="1">IF(X10="","",SUMIFS(#REF!,RM!$C$4:$C991,X10))</f>
        <v>#NAME?</v>
      </c>
      <c r="AB10" t="e">
        <f t="shared" ca="1" si="2"/>
        <v>#NAME?</v>
      </c>
      <c r="AC10" t="e">
        <f ca="1">IF(X10="","",VLOOKUP($X10,RM!$C$4:$G991,3,FALSE))</f>
        <v>#NAME?</v>
      </c>
      <c r="AD10" t="e">
        <f ca="1">IF(X10="","",VLOOKUP($X10,RM!$C$4:$G991,4,FALSE))</f>
        <v>#NAME?</v>
      </c>
      <c r="AE10" t="e">
        <f ca="1">IF(X10="","",VLOOKUP($X10,RM!$C$4:$G991,5,FALSE))</f>
        <v>#NAME?</v>
      </c>
      <c r="AG10" t="str">
        <f ca="1">IFERROR(__xludf.DUMMYFUNCTION("""COMPUTED_VALUE"""),"Saif Seas Life - DSR")</f>
        <v>Saif Seas Life - DSR</v>
      </c>
      <c r="AH10" t="str">
        <f ca="1">IFERROR(__xludf.DUMMYFUNCTION("""COMPUTED_VALUE"""),"Battery Block Assy")</f>
        <v>Battery Block Assy</v>
      </c>
      <c r="AI10">
        <f ca="1">IFERROR(__xludf.DUMMYFUNCTION("""COMPUTED_VALUE"""),2)</f>
        <v>2</v>
      </c>
      <c r="AJ10" t="str">
        <f ca="1">IFERROR(__xludf.DUMMYFUNCTION("""COMPUTED_VALUE"""),"Number")</f>
        <v>Number</v>
      </c>
      <c r="AK10" t="e">
        <f ca="1">_xludf.IFNA(VLOOKUP(AG10,'S-FG'!$B$3:$B1001,1,FALSE),"")</f>
        <v>#NAME?</v>
      </c>
      <c r="AL10" t="e">
        <f ca="1">IF(AH10="","",SUMIFS(#REF!,RM!$C$4:$C991,AH10))</f>
        <v>#REF!</v>
      </c>
    </row>
    <row r="11" spans="1:59">
      <c r="A11" t="str">
        <f ca="1">IFERROR(__xludf.DUMMYFUNCTION("""COMPUTED_VALUE"""),"Saif Seas Life - DSR")</f>
        <v>Saif Seas Life - DSR</v>
      </c>
      <c r="B11" t="str">
        <f ca="1">IFERROR(__xludf.DUMMYFUNCTION("""COMPUTED_VALUE"""),"STBD_ESC Assy")</f>
        <v>STBD_ESC Assy</v>
      </c>
      <c r="C11">
        <f ca="1">IFERROR(__xludf.DUMMYFUNCTION("""COMPUTED_VALUE"""),1)</f>
        <v>1</v>
      </c>
      <c r="D11" t="str">
        <f ca="1">IFERROR(__xludf.DUMMYFUNCTION("""COMPUTED_VALUE"""),"Number")</f>
        <v>Number</v>
      </c>
      <c r="E11">
        <f ca="1">IF(A11="","",SUMIFS(Issue!$D$3:$D1001,Issue!$C$3:$C1001,A11)*C11)</f>
        <v>41</v>
      </c>
      <c r="F11" t="e">
        <f ca="1">_xludf.IFNA(VLOOKUP(B11,'S-FG'!$B$3:$B1001,1,FALSE),"")</f>
        <v>#NAME?</v>
      </c>
      <c r="H11" t="str">
        <f ca="1">IFERROR(__xludf.DUMMYFUNCTION("""COMPUTED_VALUE"""),"Jet Motor Assy")</f>
        <v>Jet Motor Assy</v>
      </c>
      <c r="I11" t="str">
        <f ca="1">IFERROR(__xludf.DUMMYFUNCTION("""COMPUTED_VALUE"""),"M4x20 CSK Phillips")</f>
        <v>M4x20 CSK Phillips</v>
      </c>
      <c r="J11">
        <f ca="1">IFERROR(__xludf.DUMMYFUNCTION("""COMPUTED_VALUE"""),8)</f>
        <v>8</v>
      </c>
      <c r="K11" t="str">
        <f ca="1">IFERROR(__xludf.DUMMYFUNCTION("""COMPUTED_VALUE"""),"blank")</f>
        <v>blank</v>
      </c>
      <c r="L11">
        <f t="shared" ca="1" si="0"/>
        <v>0</v>
      </c>
      <c r="Q11" t="str">
        <f>IF(N11="","",SUMIFS(Issue!$D$3:$D1001,Issue!$C$3:$C1001,N11))</f>
        <v/>
      </c>
      <c r="S11" t="str">
        <f ca="1">IFERROR(__xludf.DUMMYFUNCTION("""COMPUTED_VALUE"""),"M4x10 CSK Phillips ")</f>
        <v xml:space="preserve">M4x10 CSK Phillips </v>
      </c>
      <c r="X11" t="e">
        <f ca="1"/>
        <v>#NAME?</v>
      </c>
      <c r="Y11" t="e">
        <f t="shared" ca="1" si="1"/>
        <v>#NAME?</v>
      </c>
      <c r="Z11" t="e">
        <f ca="1">IF(X11="","",SUMIFS(#REF!,RM!$C$4:$C991,X11))</f>
        <v>#NAME?</v>
      </c>
      <c r="AA11" t="e">
        <f ca="1">IF(X11="","",SUMIFS(#REF!,RM!$C$4:$C991,X11))</f>
        <v>#NAME?</v>
      </c>
      <c r="AB11" t="e">
        <f t="shared" ca="1" si="2"/>
        <v>#NAME?</v>
      </c>
      <c r="AC11" t="e">
        <f ca="1">IF(X11="","",VLOOKUP($X11,RM!$C$4:$G991,3,FALSE))</f>
        <v>#NAME?</v>
      </c>
      <c r="AD11" t="e">
        <f ca="1">IF(X11="","",VLOOKUP($X11,RM!$C$4:$G991,4,FALSE))</f>
        <v>#NAME?</v>
      </c>
      <c r="AE11" t="e">
        <f ca="1">IF(X11="","",VLOOKUP($X11,RM!$C$4:$G991,5,FALSE))</f>
        <v>#NAME?</v>
      </c>
      <c r="AG11" t="str">
        <f ca="1">IFERROR(__xludf.DUMMYFUNCTION("""COMPUTED_VALUE"""),"Saif Seas Life - DSR")</f>
        <v>Saif Seas Life - DSR</v>
      </c>
      <c r="AH11" t="str">
        <f ca="1">IFERROR(__xludf.DUMMYFUNCTION("""COMPUTED_VALUE"""),"STBD_ESC Assy")</f>
        <v>STBD_ESC Assy</v>
      </c>
      <c r="AI11">
        <f ca="1">IFERROR(__xludf.DUMMYFUNCTION("""COMPUTED_VALUE"""),1)</f>
        <v>1</v>
      </c>
      <c r="AJ11" t="str">
        <f ca="1">IFERROR(__xludf.DUMMYFUNCTION("""COMPUTED_VALUE"""),"Number")</f>
        <v>Number</v>
      </c>
      <c r="AK11" t="e">
        <f ca="1">_xludf.IFNA(VLOOKUP(AG11,'S-FG'!$B$3:$B1001,1,FALSE),"")</f>
        <v>#NAME?</v>
      </c>
      <c r="AL11" t="e">
        <f ca="1">IF(AH11="","",SUMIFS(#REF!,RM!$C$4:$C991,AH11))</f>
        <v>#REF!</v>
      </c>
    </row>
    <row r="12" spans="1:59">
      <c r="A12" t="str">
        <f ca="1">IFERROR(__xludf.DUMMYFUNCTION("""COMPUTED_VALUE"""),"Saif Seas Life - DSR")</f>
        <v>Saif Seas Life - DSR</v>
      </c>
      <c r="B12" t="str">
        <f ca="1">IFERROR(__xludf.DUMMYFUNCTION("""COMPUTED_VALUE"""),"PORT_ESC Assy")</f>
        <v>PORT_ESC Assy</v>
      </c>
      <c r="C12">
        <f ca="1">IFERROR(__xludf.DUMMYFUNCTION("""COMPUTED_VALUE"""),1)</f>
        <v>1</v>
      </c>
      <c r="D12" t="str">
        <f ca="1">IFERROR(__xludf.DUMMYFUNCTION("""COMPUTED_VALUE"""),"Number")</f>
        <v>Number</v>
      </c>
      <c r="E12">
        <f ca="1">IF(A12="","",SUMIFS(Issue!$D$3:$D1001,Issue!$C$3:$C1001,A12)*C12)</f>
        <v>41</v>
      </c>
      <c r="F12" t="e">
        <f ca="1">_xludf.IFNA(VLOOKUP(B12,'S-FG'!$B$3:$B1001,1,FALSE),"")</f>
        <v>#NAME?</v>
      </c>
      <c r="H12" t="str">
        <f ca="1">IFERROR(__xludf.DUMMYFUNCTION("""COMPUTED_VALUE"""),"Jet Motor Assy")</f>
        <v>Jet Motor Assy</v>
      </c>
      <c r="I12" t="str">
        <f ca="1">IFERROR(__xludf.DUMMYFUNCTION("""COMPUTED_VALUE"""),"Grub M6x10 SS (Coupling tightening)")</f>
        <v>Grub M6x10 SS (Coupling tightening)</v>
      </c>
      <c r="J12">
        <f ca="1">IFERROR(__xludf.DUMMYFUNCTION("""COMPUTED_VALUE"""),2)</f>
        <v>2</v>
      </c>
      <c r="K12" t="str">
        <f ca="1">IFERROR(__xludf.DUMMYFUNCTION("""COMPUTED_VALUE"""),"blank")</f>
        <v>blank</v>
      </c>
      <c r="L12">
        <f t="shared" ca="1" si="0"/>
        <v>0</v>
      </c>
      <c r="Q12" t="str">
        <f>IF(N12="","",SUMIFS(Issue!$D$3:$D1001,Issue!$C$3:$C1001,N12))</f>
        <v/>
      </c>
      <c r="S12" t="str">
        <f ca="1">IFERROR(__xludf.DUMMYFUNCTION("""COMPUTED_VALUE"""),"M4x20 CSK Phillips")</f>
        <v>M4x20 CSK Phillips</v>
      </c>
      <c r="X12" t="e">
        <f ca="1"/>
        <v>#NAME?</v>
      </c>
      <c r="Y12" t="e">
        <f t="shared" ca="1" si="1"/>
        <v>#NAME?</v>
      </c>
      <c r="Z12" t="e">
        <f ca="1">IF(X12="","",SUMIFS(#REF!,RM!$C$4:$C991,X12))</f>
        <v>#NAME?</v>
      </c>
      <c r="AA12" t="e">
        <f ca="1">IF(X12="","",SUMIFS(#REF!,RM!$C$4:$C991,X12))</f>
        <v>#NAME?</v>
      </c>
      <c r="AB12" t="e">
        <f t="shared" ca="1" si="2"/>
        <v>#NAME?</v>
      </c>
      <c r="AC12" t="e">
        <f ca="1">IF(X12="","",VLOOKUP($X12,RM!$C$4:$G991,3,FALSE))</f>
        <v>#NAME?</v>
      </c>
      <c r="AD12" t="e">
        <f ca="1">IF(X12="","",VLOOKUP($X12,RM!$C$4:$G991,4,FALSE))</f>
        <v>#NAME?</v>
      </c>
      <c r="AE12" t="e">
        <f ca="1">IF(X12="","",VLOOKUP($X12,RM!$C$4:$G991,5,FALSE))</f>
        <v>#NAME?</v>
      </c>
      <c r="AG12" t="str">
        <f ca="1">IFERROR(__xludf.DUMMYFUNCTION("""COMPUTED_VALUE"""),"Saif Seas Life - DSR")</f>
        <v>Saif Seas Life - DSR</v>
      </c>
      <c r="AH12" t="str">
        <f ca="1">IFERROR(__xludf.DUMMYFUNCTION("""COMPUTED_VALUE"""),"PORT_ESC Assy")</f>
        <v>PORT_ESC Assy</v>
      </c>
      <c r="AI12">
        <f ca="1">IFERROR(__xludf.DUMMYFUNCTION("""COMPUTED_VALUE"""),1)</f>
        <v>1</v>
      </c>
      <c r="AJ12" t="str">
        <f ca="1">IFERROR(__xludf.DUMMYFUNCTION("""COMPUTED_VALUE"""),"Number")</f>
        <v>Number</v>
      </c>
      <c r="AK12" t="e">
        <f ca="1">_xludf.IFNA(VLOOKUP(AG12,'S-FG'!$B$3:$B1001,1,FALSE),"")</f>
        <v>#NAME?</v>
      </c>
      <c r="AL12" t="e">
        <f ca="1">IF(AH12="","",SUMIFS(#REF!,RM!$C$4:$C991,AH12))</f>
        <v>#REF!</v>
      </c>
    </row>
    <row r="13" spans="1:59">
      <c r="A13" t="str">
        <f ca="1">IFERROR(__xludf.DUMMYFUNCTION("""COMPUTED_VALUE"""),"Saif Seas Life - DSR")</f>
        <v>Saif Seas Life - DSR</v>
      </c>
      <c r="B13" t="str">
        <f ca="1">IFERROR(__xludf.DUMMYFUNCTION("""COMPUTED_VALUE"""),"STBD Battery Assy")</f>
        <v>STBD Battery Assy</v>
      </c>
      <c r="C13">
        <f ca="1">IFERROR(__xludf.DUMMYFUNCTION("""COMPUTED_VALUE"""),1)</f>
        <v>1</v>
      </c>
      <c r="D13" t="str">
        <f ca="1">IFERROR(__xludf.DUMMYFUNCTION("""COMPUTED_VALUE"""),"Number")</f>
        <v>Number</v>
      </c>
      <c r="E13">
        <f ca="1">IF(A13="","",SUMIFS(Issue!$D$3:$D1001,Issue!$C$3:$C1001,A13)*C13)</f>
        <v>41</v>
      </c>
      <c r="F13" t="e">
        <f ca="1">_xludf.IFNA(VLOOKUP(B13,'S-FG'!$B$3:$B1001,1,FALSE),"")</f>
        <v>#NAME?</v>
      </c>
      <c r="H13" t="str">
        <f ca="1">IFERROR(__xludf.DUMMYFUNCTION("""COMPUTED_VALUE"""),"Jet Motor Assy")</f>
        <v>Jet Motor Assy</v>
      </c>
      <c r="I13" t="str">
        <f ca="1">IFERROR(__xludf.DUMMYFUNCTION("""COMPUTED_VALUE"""),"Rotex14 Coupling")</f>
        <v>Rotex14 Coupling</v>
      </c>
      <c r="J13">
        <f ca="1">IFERROR(__xludf.DUMMYFUNCTION("""COMPUTED_VALUE"""),1)</f>
        <v>1</v>
      </c>
      <c r="K13" t="str">
        <f ca="1">IFERROR(__xludf.DUMMYFUNCTION("""COMPUTED_VALUE"""),"blank")</f>
        <v>blank</v>
      </c>
      <c r="L13">
        <f t="shared" ca="1" si="0"/>
        <v>0</v>
      </c>
      <c r="Q13" t="str">
        <f>IF(N13="","",SUMIFS(Issue!$D$3:$D1001,Issue!$C$3:$C1001,N13))</f>
        <v/>
      </c>
      <c r="S13" t="str">
        <f ca="1">IFERROR(__xludf.DUMMYFUNCTION("""COMPUTED_VALUE"""),"Grub M6x10 SS (Coupling tightening)")</f>
        <v>Grub M6x10 SS (Coupling tightening)</v>
      </c>
      <c r="X13" t="e">
        <f ca="1"/>
        <v>#NAME?</v>
      </c>
      <c r="Y13" t="e">
        <f t="shared" ca="1" si="1"/>
        <v>#NAME?</v>
      </c>
      <c r="Z13" t="e">
        <f ca="1">IF(X13="","",SUMIFS(#REF!,RM!$C$4:$C991,X13))</f>
        <v>#NAME?</v>
      </c>
      <c r="AA13" t="e">
        <f ca="1">IF(X13="","",SUMIFS(#REF!,RM!$C$4:$C991,X13))</f>
        <v>#NAME?</v>
      </c>
      <c r="AB13" t="e">
        <f t="shared" ca="1" si="2"/>
        <v>#NAME?</v>
      </c>
      <c r="AC13" t="e">
        <f ca="1">IF(X13="","",VLOOKUP($X13,RM!$C$4:$G991,3,FALSE))</f>
        <v>#NAME?</v>
      </c>
      <c r="AD13" t="e">
        <f ca="1">IF(X13="","",VLOOKUP($X13,RM!$C$4:$G991,4,FALSE))</f>
        <v>#NAME?</v>
      </c>
      <c r="AE13" t="e">
        <f ca="1">IF(X13="","",VLOOKUP($X13,RM!$C$4:$G991,5,FALSE))</f>
        <v>#NAME?</v>
      </c>
      <c r="AG13" t="str">
        <f ca="1">IFERROR(__xludf.DUMMYFUNCTION("""COMPUTED_VALUE"""),"Saif Seas Life - DSR")</f>
        <v>Saif Seas Life - DSR</v>
      </c>
      <c r="AH13" t="str">
        <f ca="1">IFERROR(__xludf.DUMMYFUNCTION("""COMPUTED_VALUE"""),"STBD Battery Assy")</f>
        <v>STBD Battery Assy</v>
      </c>
      <c r="AI13">
        <f ca="1">IFERROR(__xludf.DUMMYFUNCTION("""COMPUTED_VALUE"""),1)</f>
        <v>1</v>
      </c>
      <c r="AJ13" t="str">
        <f ca="1">IFERROR(__xludf.DUMMYFUNCTION("""COMPUTED_VALUE"""),"Number")</f>
        <v>Number</v>
      </c>
      <c r="AK13" t="e">
        <f ca="1">_xludf.IFNA(VLOOKUP(AG13,'S-FG'!$B$3:$B1001,1,FALSE),"")</f>
        <v>#NAME?</v>
      </c>
      <c r="AL13" t="e">
        <f ca="1">IF(AH13="","",SUMIFS(#REF!,RM!$C$4:$C991,AH13))</f>
        <v>#REF!</v>
      </c>
    </row>
    <row r="14" spans="1:59">
      <c r="A14" t="str">
        <f ca="1">IFERROR(__xludf.DUMMYFUNCTION("""COMPUTED_VALUE"""),"Saif Seas Life - DSR")</f>
        <v>Saif Seas Life - DSR</v>
      </c>
      <c r="B14" t="str">
        <f ca="1">IFERROR(__xludf.DUMMYFUNCTION("""COMPUTED_VALUE"""),"PORT Battery Assy")</f>
        <v>PORT Battery Assy</v>
      </c>
      <c r="C14">
        <f ca="1">IFERROR(__xludf.DUMMYFUNCTION("""COMPUTED_VALUE"""),1)</f>
        <v>1</v>
      </c>
      <c r="D14" t="str">
        <f ca="1">IFERROR(__xludf.DUMMYFUNCTION("""COMPUTED_VALUE"""),"Number")</f>
        <v>Number</v>
      </c>
      <c r="E14">
        <f ca="1">IF(A14="","",SUMIFS(Issue!$D$3:$D1001,Issue!$C$3:$C1001,A14)*C14)</f>
        <v>41</v>
      </c>
      <c r="F14" t="e">
        <f ca="1">_xludf.IFNA(VLOOKUP(B14,'S-FG'!$B$3:$B1001,1,FALSE),"")</f>
        <v>#NAME?</v>
      </c>
      <c r="H14" t="str">
        <f ca="1">IFERROR(__xludf.DUMMYFUNCTION("""COMPUTED_VALUE"""),"Jet Motor Assy")</f>
        <v>Jet Motor Assy</v>
      </c>
      <c r="I14" t="str">
        <f ca="1">IFERROR(__xludf.DUMMYFUNCTION("""COMPUTED_VALUE"""),"Teroson MS930")</f>
        <v>Teroson MS930</v>
      </c>
      <c r="J14">
        <f ca="1">IFERROR(__xludf.DUMMYFUNCTION("""COMPUTED_VALUE"""),15)</f>
        <v>15</v>
      </c>
      <c r="K14" t="str">
        <f ca="1">IFERROR(__xludf.DUMMYFUNCTION("""COMPUTED_VALUE"""),"blank")</f>
        <v>blank</v>
      </c>
      <c r="L14">
        <f t="shared" ca="1" si="0"/>
        <v>0</v>
      </c>
      <c r="Q14" t="str">
        <f>IF(N14="","",SUMIFS(Issue!$D$3:$D1001,Issue!$C$3:$C1001,N14))</f>
        <v/>
      </c>
      <c r="S14" t="str">
        <f ca="1">IFERROR(__xludf.DUMMYFUNCTION("""COMPUTED_VALUE"""),"Rotex14 Coupling")</f>
        <v>Rotex14 Coupling</v>
      </c>
      <c r="X14" t="e">
        <f ca="1"/>
        <v>#NAME?</v>
      </c>
      <c r="Y14" t="e">
        <f t="shared" ca="1" si="1"/>
        <v>#NAME?</v>
      </c>
      <c r="Z14" t="e">
        <f ca="1">IF(X14="","",SUMIFS(#REF!,RM!$C$4:$C991,X14))</f>
        <v>#NAME?</v>
      </c>
      <c r="AA14" t="e">
        <f ca="1">IF(X14="","",SUMIFS(#REF!,RM!$C$4:$C991,X14))</f>
        <v>#NAME?</v>
      </c>
      <c r="AB14" t="e">
        <f t="shared" ca="1" si="2"/>
        <v>#NAME?</v>
      </c>
      <c r="AC14" t="e">
        <f ca="1">IF(X14="","",VLOOKUP($X14,RM!$C$4:$G991,3,FALSE))</f>
        <v>#NAME?</v>
      </c>
      <c r="AD14" t="e">
        <f ca="1">IF(X14="","",VLOOKUP($X14,RM!$C$4:$G991,4,FALSE))</f>
        <v>#NAME?</v>
      </c>
      <c r="AE14" t="e">
        <f ca="1">IF(X14="","",VLOOKUP($X14,RM!$C$4:$G991,5,FALSE))</f>
        <v>#NAME?</v>
      </c>
      <c r="AG14" t="str">
        <f ca="1">IFERROR(__xludf.DUMMYFUNCTION("""COMPUTED_VALUE"""),"Saif Seas Life - DSR")</f>
        <v>Saif Seas Life - DSR</v>
      </c>
      <c r="AH14" t="str">
        <f ca="1">IFERROR(__xludf.DUMMYFUNCTION("""COMPUTED_VALUE"""),"PORT Battery Assy")</f>
        <v>PORT Battery Assy</v>
      </c>
      <c r="AI14">
        <f ca="1">IFERROR(__xludf.DUMMYFUNCTION("""COMPUTED_VALUE"""),1)</f>
        <v>1</v>
      </c>
      <c r="AJ14" t="str">
        <f ca="1">IFERROR(__xludf.DUMMYFUNCTION("""COMPUTED_VALUE"""),"Number")</f>
        <v>Number</v>
      </c>
      <c r="AK14" t="e">
        <f ca="1">_xludf.IFNA(VLOOKUP(AG14,'S-FG'!$B$3:$B1001,1,FALSE),"")</f>
        <v>#NAME?</v>
      </c>
      <c r="AL14" t="e">
        <f ca="1">IF(AH14="","",SUMIFS(#REF!,RM!$C$4:$C991,AH14))</f>
        <v>#REF!</v>
      </c>
    </row>
    <row r="15" spans="1:59">
      <c r="A15" t="str">
        <f ca="1">IFERROR(__xludf.DUMMYFUNCTION("""COMPUTED_VALUE"""),"Saif Seas Life - DSR")</f>
        <v>Saif Seas Life - DSR</v>
      </c>
      <c r="B15" t="str">
        <f ca="1">IFERROR(__xludf.DUMMYFUNCTION("""COMPUTED_VALUE"""),"Charger Box Assy")</f>
        <v>Charger Box Assy</v>
      </c>
      <c r="C15">
        <f ca="1">IFERROR(__xludf.DUMMYFUNCTION("""COMPUTED_VALUE"""),1)</f>
        <v>1</v>
      </c>
      <c r="D15" t="str">
        <f ca="1">IFERROR(__xludf.DUMMYFUNCTION("""COMPUTED_VALUE"""),"Number")</f>
        <v>Number</v>
      </c>
      <c r="E15">
        <f ca="1">IF(A15="","",SUMIFS(Issue!$D$3:$D1001,Issue!$C$3:$C1001,A15)*C15)</f>
        <v>41</v>
      </c>
      <c r="F15" t="e">
        <f ca="1">_xludf.IFNA(VLOOKUP(B15,'S-FG'!$B$3:$B1001,1,FALSE),"")</f>
        <v>#NAME?</v>
      </c>
      <c r="H15" t="str">
        <f ca="1">IFERROR(__xludf.DUMMYFUNCTION("""COMPUTED_VALUE"""),"Jet Motor Assy")</f>
        <v>Jet Motor Assy</v>
      </c>
      <c r="I15" t="str">
        <f ca="1">IFERROR(__xludf.DUMMYFUNCTION("""COMPUTED_VALUE"""),"Nozzle on Jet")</f>
        <v>Nozzle on Jet</v>
      </c>
      <c r="J15">
        <f ca="1">IFERROR(__xludf.DUMMYFUNCTION("""COMPUTED_VALUE"""),1)</f>
        <v>1</v>
      </c>
      <c r="L15">
        <f t="shared" ca="1" si="0"/>
        <v>0</v>
      </c>
      <c r="Q15" t="str">
        <f>IF(N15="","",SUMIFS(Issue!$D$3:$D1001,Issue!$C$3:$C1001,N15))</f>
        <v/>
      </c>
      <c r="S15" t="str">
        <f ca="1">IFERROR(__xludf.DUMMYFUNCTION("""COMPUTED_VALUE"""),"Teroson MS930")</f>
        <v>Teroson MS930</v>
      </c>
      <c r="X15" t="e">
        <f ca="1"/>
        <v>#NAME?</v>
      </c>
      <c r="Y15" t="e">
        <f t="shared" ca="1" si="1"/>
        <v>#NAME?</v>
      </c>
      <c r="Z15" t="e">
        <f ca="1">IF(X15="","",SUMIFS(#REF!,RM!$C$4:$C991,X15))</f>
        <v>#NAME?</v>
      </c>
      <c r="AA15" t="e">
        <f ca="1">IF(X15="","",SUMIFS(#REF!,RM!$C$4:$C991,X15))</f>
        <v>#NAME?</v>
      </c>
      <c r="AB15" t="e">
        <f t="shared" ca="1" si="2"/>
        <v>#NAME?</v>
      </c>
      <c r="AC15" t="e">
        <f ca="1">IF(X15="","",VLOOKUP($X15,RM!$C$4:$G991,3,FALSE))</f>
        <v>#NAME?</v>
      </c>
      <c r="AD15" t="e">
        <f ca="1">IF(X15="","",VLOOKUP($X15,RM!$C$4:$G991,4,FALSE))</f>
        <v>#NAME?</v>
      </c>
      <c r="AE15" t="e">
        <f ca="1">IF(X15="","",VLOOKUP($X15,RM!$C$4:$G991,5,FALSE))</f>
        <v>#NAME?</v>
      </c>
      <c r="AG15" t="str">
        <f ca="1">IFERROR(__xludf.DUMMYFUNCTION("""COMPUTED_VALUE"""),"Saif Seas Life - DSR")</f>
        <v>Saif Seas Life - DSR</v>
      </c>
      <c r="AH15" t="str">
        <f ca="1">IFERROR(__xludf.DUMMYFUNCTION("""COMPUTED_VALUE"""),"Charger Box Assy")</f>
        <v>Charger Box Assy</v>
      </c>
      <c r="AI15">
        <f ca="1">IFERROR(__xludf.DUMMYFUNCTION("""COMPUTED_VALUE"""),1)</f>
        <v>1</v>
      </c>
      <c r="AJ15" t="str">
        <f ca="1">IFERROR(__xludf.DUMMYFUNCTION("""COMPUTED_VALUE"""),"Number")</f>
        <v>Number</v>
      </c>
      <c r="AK15" t="e">
        <f ca="1">_xludf.IFNA(VLOOKUP(AG15,'S-FG'!$B$3:$B1001,1,FALSE),"")</f>
        <v>#NAME?</v>
      </c>
      <c r="AL15" t="e">
        <f ca="1">IF(AH15="","",SUMIFS(#REF!,RM!$C$4:$C991,AH15))</f>
        <v>#REF!</v>
      </c>
    </row>
    <row r="16" spans="1:59">
      <c r="A16" t="str">
        <f ca="1">IFERROR(__xludf.DUMMYFUNCTION("""COMPUTED_VALUE"""),"Saif Seas Life - DSR")</f>
        <v>Saif Seas Life - DSR</v>
      </c>
      <c r="B16" t="str">
        <f ca="1">IFERROR(__xludf.DUMMYFUNCTION("""COMPUTED_VALUE"""),"Electronic Box Assy")</f>
        <v>Electronic Box Assy</v>
      </c>
      <c r="C16">
        <f ca="1">IFERROR(__xludf.DUMMYFUNCTION("""COMPUTED_VALUE"""),1)</f>
        <v>1</v>
      </c>
      <c r="D16" t="str">
        <f ca="1">IFERROR(__xludf.DUMMYFUNCTION("""COMPUTED_VALUE"""),"Number")</f>
        <v>Number</v>
      </c>
      <c r="E16">
        <f ca="1">IF(A16="","",SUMIFS(Issue!$D$3:$D1001,Issue!$C$3:$C1001,A16)*C16)</f>
        <v>41</v>
      </c>
      <c r="F16" t="e">
        <f ca="1">_xludf.IFNA(VLOOKUP(B16,'S-FG'!$B$3:$B1001,1,FALSE),"")</f>
        <v>#NAME?</v>
      </c>
      <c r="H16" t="str">
        <f ca="1">IFERROR(__xludf.DUMMYFUNCTION("""COMPUTED_VALUE"""),"Jet Motor Assy")</f>
        <v>Jet Motor Assy</v>
      </c>
      <c r="I16" t="str">
        <f ca="1">IFERROR(__xludf.DUMMYFUNCTION("""COMPUTED_VALUE"""),"Silicon hose pipe clip 7mm")</f>
        <v>Silicon hose pipe clip 7mm</v>
      </c>
      <c r="J16">
        <f ca="1">IFERROR(__xludf.DUMMYFUNCTION("""COMPUTED_VALUE"""),1)</f>
        <v>1</v>
      </c>
      <c r="K16" t="str">
        <f ca="1">IFERROR(__xludf.DUMMYFUNCTION("""COMPUTED_VALUE"""),"blank")</f>
        <v>blank</v>
      </c>
      <c r="L16">
        <f t="shared" ca="1" si="0"/>
        <v>0</v>
      </c>
      <c r="Q16" t="str">
        <f>IF(N16="","",SUMIFS(Issue!$D$3:$D1001,Issue!$C$3:$C1001,N16))</f>
        <v/>
      </c>
      <c r="S16" t="str">
        <f ca="1">IFERROR(__xludf.DUMMYFUNCTION("""COMPUTED_VALUE"""),"Nozzle on Jet")</f>
        <v>Nozzle on Jet</v>
      </c>
      <c r="X16" t="e">
        <f ca="1"/>
        <v>#NAME?</v>
      </c>
      <c r="Y16" t="e">
        <f t="shared" ca="1" si="1"/>
        <v>#NAME?</v>
      </c>
      <c r="Z16" t="e">
        <f ca="1">IF(X16="","",SUMIFS(#REF!,RM!$C$4:$C991,X16))</f>
        <v>#NAME?</v>
      </c>
      <c r="AA16" t="e">
        <f ca="1">IF(X16="","",SUMIFS(#REF!,RM!$C$4:$C991,X16))</f>
        <v>#NAME?</v>
      </c>
      <c r="AB16" t="e">
        <f t="shared" ca="1" si="2"/>
        <v>#NAME?</v>
      </c>
      <c r="AC16" t="e">
        <f ca="1">IF(X16="","",VLOOKUP($X16,RM!$C$4:$G991,3,FALSE))</f>
        <v>#NAME?</v>
      </c>
      <c r="AD16" t="e">
        <f ca="1">IF(X16="","",VLOOKUP($X16,RM!$C$4:$G991,4,FALSE))</f>
        <v>#NAME?</v>
      </c>
      <c r="AE16" t="e">
        <f ca="1">IF(X16="","",VLOOKUP($X16,RM!$C$4:$G991,5,FALSE))</f>
        <v>#NAME?</v>
      </c>
      <c r="AG16" t="str">
        <f ca="1">IFERROR(__xludf.DUMMYFUNCTION("""COMPUTED_VALUE"""),"Saif Seas Life - DSR")</f>
        <v>Saif Seas Life - DSR</v>
      </c>
      <c r="AH16" t="str">
        <f ca="1">IFERROR(__xludf.DUMMYFUNCTION("""COMPUTED_VALUE"""),"Electronic Box Assy")</f>
        <v>Electronic Box Assy</v>
      </c>
      <c r="AI16">
        <f ca="1">IFERROR(__xludf.DUMMYFUNCTION("""COMPUTED_VALUE"""),1)</f>
        <v>1</v>
      </c>
      <c r="AJ16" t="str">
        <f ca="1">IFERROR(__xludf.DUMMYFUNCTION("""COMPUTED_VALUE"""),"Number")</f>
        <v>Number</v>
      </c>
      <c r="AK16" t="e">
        <f ca="1">_xludf.IFNA(VLOOKUP(AG16,'S-FG'!$B$3:$B1001,1,FALSE),"")</f>
        <v>#NAME?</v>
      </c>
      <c r="AL16" t="e">
        <f ca="1">IF(AH16="","",SUMIFS(#REF!,RM!$C$4:$C991,AH16))</f>
        <v>#REF!</v>
      </c>
    </row>
    <row r="17" spans="1:38">
      <c r="A17" t="str">
        <f ca="1">IFERROR(__xludf.DUMMYFUNCTION("""COMPUTED_VALUE"""),"Saif Seas Life - DSR")</f>
        <v>Saif Seas Life - DSR</v>
      </c>
      <c r="B17" t="str">
        <f ca="1">IFERROR(__xludf.DUMMYFUNCTION("""COMPUTED_VALUE"""),"FL_STBD Elec")</f>
        <v>FL_STBD Elec</v>
      </c>
      <c r="C17">
        <f ca="1">IFERROR(__xludf.DUMMYFUNCTION("""COMPUTED_VALUE"""),1)</f>
        <v>1</v>
      </c>
      <c r="D17" t="str">
        <f ca="1">IFERROR(__xludf.DUMMYFUNCTION("""COMPUTED_VALUE"""),"Number")</f>
        <v>Number</v>
      </c>
      <c r="E17">
        <f ca="1">IF(A17="","",SUMIFS(Issue!$D$3:$D1001,Issue!$C$3:$C1001,A17)*C17)</f>
        <v>41</v>
      </c>
      <c r="F17" t="e">
        <f ca="1">_xludf.IFNA(VLOOKUP(B17,'S-FG'!$B$3:$B1001,1,FALSE),"")</f>
        <v>#NAME?</v>
      </c>
      <c r="H17" t="str">
        <f ca="1">IFERROR(__xludf.DUMMYFUNCTION("""COMPUTED_VALUE"""),"Jet Motor Assy")</f>
        <v>Jet Motor Assy</v>
      </c>
      <c r="I17" t="str">
        <f ca="1">IFERROR(__xludf.DUMMYFUNCTION("""COMPUTED_VALUE"""),"Water Jet pump Jet S52")</f>
        <v>Water Jet pump Jet S52</v>
      </c>
      <c r="J17">
        <f ca="1">IFERROR(__xludf.DUMMYFUNCTION("""COMPUTED_VALUE"""),1)</f>
        <v>1</v>
      </c>
      <c r="K17" t="str">
        <f ca="1">IFERROR(__xludf.DUMMYFUNCTION("""COMPUTED_VALUE"""),"blank")</f>
        <v>blank</v>
      </c>
      <c r="L17">
        <f t="shared" ca="1" si="0"/>
        <v>0</v>
      </c>
      <c r="Q17" t="str">
        <f>IF(N17="","",SUMIFS(Issue!$D$3:$D1001,Issue!$C$3:$C1001,N17))</f>
        <v/>
      </c>
      <c r="S17" t="str">
        <f ca="1">IFERROR(__xludf.DUMMYFUNCTION("""COMPUTED_VALUE"""),"Silicon hose pipe clip 7mm")</f>
        <v>Silicon hose pipe clip 7mm</v>
      </c>
      <c r="X17" t="e">
        <f ca="1"/>
        <v>#NAME?</v>
      </c>
      <c r="Y17" t="e">
        <f t="shared" ca="1" si="1"/>
        <v>#NAME?</v>
      </c>
      <c r="Z17" t="e">
        <f ca="1">IF(X17="","",SUMIFS(#REF!,RM!$C$4:$C991,X17))</f>
        <v>#NAME?</v>
      </c>
      <c r="AA17" t="e">
        <f ca="1">IF(X17="","",SUMIFS(#REF!,RM!$C$4:$C991,X17))</f>
        <v>#NAME?</v>
      </c>
      <c r="AB17" t="e">
        <f t="shared" ca="1" si="2"/>
        <v>#NAME?</v>
      </c>
      <c r="AC17" t="e">
        <f ca="1">IF(X17="","",VLOOKUP($X17,RM!$C$4:$G991,3,FALSE))</f>
        <v>#NAME?</v>
      </c>
      <c r="AD17" t="e">
        <f ca="1">IF(X17="","",VLOOKUP($X17,RM!$C$4:$G991,4,FALSE))</f>
        <v>#NAME?</v>
      </c>
      <c r="AE17" t="e">
        <f ca="1">IF(X17="","",VLOOKUP($X17,RM!$C$4:$G991,5,FALSE))</f>
        <v>#NAME?</v>
      </c>
      <c r="AG17" t="str">
        <f ca="1">IFERROR(__xludf.DUMMYFUNCTION("""COMPUTED_VALUE"""),"Saif Seas Life - DSR")</f>
        <v>Saif Seas Life - DSR</v>
      </c>
      <c r="AH17" t="str">
        <f ca="1">IFERROR(__xludf.DUMMYFUNCTION("""COMPUTED_VALUE"""),"FL_STBD Elec")</f>
        <v>FL_STBD Elec</v>
      </c>
      <c r="AI17">
        <f ca="1">IFERROR(__xludf.DUMMYFUNCTION("""COMPUTED_VALUE"""),1)</f>
        <v>1</v>
      </c>
      <c r="AJ17" t="str">
        <f ca="1">IFERROR(__xludf.DUMMYFUNCTION("""COMPUTED_VALUE"""),"Number")</f>
        <v>Number</v>
      </c>
      <c r="AK17" t="e">
        <f ca="1">_xludf.IFNA(VLOOKUP(AG17,'S-FG'!$B$3:$B1001,1,FALSE),"")</f>
        <v>#NAME?</v>
      </c>
      <c r="AL17" t="e">
        <f ca="1">IF(AH17="","",SUMIFS(#REF!,RM!$C$4:$C991,AH17))</f>
        <v>#REF!</v>
      </c>
    </row>
    <row r="18" spans="1:38">
      <c r="A18" t="str">
        <f ca="1">IFERROR(__xludf.DUMMYFUNCTION("""COMPUTED_VALUE"""),"Saif Seas Life - DSR")</f>
        <v>Saif Seas Life - DSR</v>
      </c>
      <c r="B18" t="str">
        <f ca="1">IFERROR(__xludf.DUMMYFUNCTION("""COMPUTED_VALUE"""),"FL_PORT Elec")</f>
        <v>FL_PORT Elec</v>
      </c>
      <c r="C18">
        <f ca="1">IFERROR(__xludf.DUMMYFUNCTION("""COMPUTED_VALUE"""),1)</f>
        <v>1</v>
      </c>
      <c r="D18" t="str">
        <f ca="1">IFERROR(__xludf.DUMMYFUNCTION("""COMPUTED_VALUE"""),"Number")</f>
        <v>Number</v>
      </c>
      <c r="E18">
        <f ca="1">IF(A18="","",SUMIFS(Issue!$D$3:$D1001,Issue!$C$3:$C1001,A18)*C18)</f>
        <v>41</v>
      </c>
      <c r="F18" t="e">
        <f ca="1">_xludf.IFNA(VLOOKUP(B18,'S-FG'!$B$3:$B1001,1,FALSE),"")</f>
        <v>#NAME?</v>
      </c>
      <c r="H18" t="str">
        <f ca="1">IFERROR(__xludf.DUMMYFUNCTION("""COMPUTED_VALUE"""),"Jet Motor Assy")</f>
        <v>Jet Motor Assy</v>
      </c>
      <c r="I18" t="str">
        <f ca="1">IFERROR(__xludf.DUMMYFUNCTION("""COMPUTED_VALUE"""),"ESC Mounting Plate")</f>
        <v>ESC Mounting Plate</v>
      </c>
      <c r="J18">
        <f ca="1">IFERROR(__xludf.DUMMYFUNCTION("""COMPUTED_VALUE"""),1)</f>
        <v>1</v>
      </c>
      <c r="K18" t="str">
        <f ca="1">IFERROR(__xludf.DUMMYFUNCTION("""COMPUTED_VALUE"""),"blank")</f>
        <v>blank</v>
      </c>
      <c r="L18">
        <f t="shared" ca="1" si="0"/>
        <v>0</v>
      </c>
      <c r="Q18" t="str">
        <f>IF(N18="","",SUMIFS(Issue!$D$3:$D1001,Issue!$C$3:$C1001,N18))</f>
        <v/>
      </c>
      <c r="S18" t="str">
        <f ca="1">IFERROR(__xludf.DUMMYFUNCTION("""COMPUTED_VALUE"""),"Water Jet pump Jet S52")</f>
        <v>Water Jet pump Jet S52</v>
      </c>
      <c r="X18" t="e">
        <f ca="1"/>
        <v>#NAME?</v>
      </c>
      <c r="Y18" t="e">
        <f t="shared" ca="1" si="1"/>
        <v>#NAME?</v>
      </c>
      <c r="Z18" t="e">
        <f ca="1">IF(X18="","",SUMIFS(#REF!,RM!$C$4:$C991,X18))</f>
        <v>#NAME?</v>
      </c>
      <c r="AA18" t="e">
        <f ca="1">IF(X18="","",SUMIFS(#REF!,RM!$C$4:$C991,X18))</f>
        <v>#NAME?</v>
      </c>
      <c r="AB18" t="e">
        <f t="shared" ca="1" si="2"/>
        <v>#NAME?</v>
      </c>
      <c r="AC18" t="e">
        <f ca="1">IF(X18="","",VLOOKUP($X18,RM!$C$4:$G991,3,FALSE))</f>
        <v>#NAME?</v>
      </c>
      <c r="AD18" t="e">
        <f ca="1">IF(X18="","",VLOOKUP($X18,RM!$C$4:$G991,4,FALSE))</f>
        <v>#NAME?</v>
      </c>
      <c r="AE18" t="e">
        <f ca="1">IF(X18="","",VLOOKUP($X18,RM!$C$4:$G991,5,FALSE))</f>
        <v>#NAME?</v>
      </c>
      <c r="AG18" t="str">
        <f ca="1">IFERROR(__xludf.DUMMYFUNCTION("""COMPUTED_VALUE"""),"Saif Seas Life - DSR")</f>
        <v>Saif Seas Life - DSR</v>
      </c>
      <c r="AH18" t="str">
        <f ca="1">IFERROR(__xludf.DUMMYFUNCTION("""COMPUTED_VALUE"""),"FL_PORT Elec")</f>
        <v>FL_PORT Elec</v>
      </c>
      <c r="AI18">
        <f ca="1">IFERROR(__xludf.DUMMYFUNCTION("""COMPUTED_VALUE"""),1)</f>
        <v>1</v>
      </c>
      <c r="AJ18" t="str">
        <f ca="1">IFERROR(__xludf.DUMMYFUNCTION("""COMPUTED_VALUE"""),"Number")</f>
        <v>Number</v>
      </c>
      <c r="AK18" t="e">
        <f ca="1">_xludf.IFNA(VLOOKUP(AG18,'S-FG'!$B$3:$B1001,1,FALSE),"")</f>
        <v>#NAME?</v>
      </c>
      <c r="AL18" t="e">
        <f ca="1">IF(AH18="","",SUMIFS(#REF!,RM!$C$4:$C991,AH18))</f>
        <v>#REF!</v>
      </c>
    </row>
    <row r="19" spans="1:38">
      <c r="A19" t="str">
        <f ca="1">IFERROR(__xludf.DUMMYFUNCTION("""COMPUTED_VALUE"""),"Saif Seas Life - DSR")</f>
        <v>Saif Seas Life - DSR</v>
      </c>
      <c r="B19" t="str">
        <f ca="1">IFERROR(__xludf.DUMMYFUNCTION("""COMPUTED_VALUE"""),"FL_STBD Mech")</f>
        <v>FL_STBD Mech</v>
      </c>
      <c r="C19">
        <f ca="1">IFERROR(__xludf.DUMMYFUNCTION("""COMPUTED_VALUE"""),1)</f>
        <v>1</v>
      </c>
      <c r="D19" t="str">
        <f ca="1">IFERROR(__xludf.DUMMYFUNCTION("""COMPUTED_VALUE"""),"Number")</f>
        <v>Number</v>
      </c>
      <c r="E19">
        <f ca="1">IF(A19="","",SUMIFS(Issue!$D$3:$D1001,Issue!$C$3:$C1001,A19)*C19)</f>
        <v>41</v>
      </c>
      <c r="F19" t="e">
        <f ca="1">_xludf.IFNA(VLOOKUP(B19,'S-FG'!$B$3:$B1001,1,FALSE),"")</f>
        <v>#NAME?</v>
      </c>
      <c r="H19" t="str">
        <f ca="1">IFERROR(__xludf.DUMMYFUNCTION("""COMPUTED_VALUE"""),"Jet Motor Assy")</f>
        <v>Jet Motor Assy</v>
      </c>
      <c r="I19" t="str">
        <f ca="1">IFERROR(__xludf.DUMMYFUNCTION("""COMPUTED_VALUE"""),"Jet S52 Mounting plate")</f>
        <v>Jet S52 Mounting plate</v>
      </c>
      <c r="J19">
        <f ca="1">IFERROR(__xludf.DUMMYFUNCTION("""COMPUTED_VALUE"""),1)</f>
        <v>1</v>
      </c>
      <c r="K19" t="str">
        <f ca="1">IFERROR(__xludf.DUMMYFUNCTION("""COMPUTED_VALUE"""),"blank")</f>
        <v>blank</v>
      </c>
      <c r="L19">
        <f t="shared" ca="1" si="0"/>
        <v>0</v>
      </c>
      <c r="Q19" t="str">
        <f>IF(N19="","",SUMIFS(Issue!$D$3:$D1001,Issue!$C$3:$C1001,N19))</f>
        <v/>
      </c>
      <c r="S19" t="str">
        <f ca="1">IFERROR(__xludf.DUMMYFUNCTION("""COMPUTED_VALUE"""),"ESC Mounting Plate")</f>
        <v>ESC Mounting Plate</v>
      </c>
      <c r="X19" t="e">
        <f ca="1"/>
        <v>#NAME?</v>
      </c>
      <c r="Y19" t="e">
        <f t="shared" ca="1" si="1"/>
        <v>#NAME?</v>
      </c>
      <c r="Z19" t="e">
        <f ca="1">IF(X19="","",SUMIFS(#REF!,RM!$C$4:$C991,X19))</f>
        <v>#NAME?</v>
      </c>
      <c r="AA19" t="e">
        <f ca="1">IF(X19="","",SUMIFS(#REF!,RM!$C$4:$C991,X19))</f>
        <v>#NAME?</v>
      </c>
      <c r="AB19" t="e">
        <f t="shared" ca="1" si="2"/>
        <v>#NAME?</v>
      </c>
      <c r="AC19" t="e">
        <f ca="1">IF(X19="","",VLOOKUP($X19,RM!$C$4:$G991,3,FALSE))</f>
        <v>#NAME?</v>
      </c>
      <c r="AD19" t="e">
        <f ca="1">IF(X19="","",VLOOKUP($X19,RM!$C$4:$G991,4,FALSE))</f>
        <v>#NAME?</v>
      </c>
      <c r="AE19" t="e">
        <f ca="1">IF(X19="","",VLOOKUP($X19,RM!$C$4:$G991,5,FALSE))</f>
        <v>#NAME?</v>
      </c>
      <c r="AG19" t="str">
        <f ca="1">IFERROR(__xludf.DUMMYFUNCTION("""COMPUTED_VALUE"""),"Saif Seas Life - DSR")</f>
        <v>Saif Seas Life - DSR</v>
      </c>
      <c r="AH19" t="str">
        <f ca="1">IFERROR(__xludf.DUMMYFUNCTION("""COMPUTED_VALUE"""),"FL_STBD Mech")</f>
        <v>FL_STBD Mech</v>
      </c>
      <c r="AI19">
        <f ca="1">IFERROR(__xludf.DUMMYFUNCTION("""COMPUTED_VALUE"""),1)</f>
        <v>1</v>
      </c>
      <c r="AJ19" t="str">
        <f ca="1">IFERROR(__xludf.DUMMYFUNCTION("""COMPUTED_VALUE"""),"Number")</f>
        <v>Number</v>
      </c>
      <c r="AK19" t="e">
        <f ca="1">_xludf.IFNA(VLOOKUP(AG19,'S-FG'!$B$3:$B1001,1,FALSE),"")</f>
        <v>#NAME?</v>
      </c>
      <c r="AL19" t="e">
        <f ca="1">IF(AH19="","",SUMIFS(#REF!,RM!$C$4:$C991,AH19))</f>
        <v>#REF!</v>
      </c>
    </row>
    <row r="20" spans="1:38">
      <c r="A20" t="str">
        <f ca="1">IFERROR(__xludf.DUMMYFUNCTION("""COMPUTED_VALUE"""),"Saif Seas Life - DSR")</f>
        <v>Saif Seas Life - DSR</v>
      </c>
      <c r="B20" t="str">
        <f ca="1">IFERROR(__xludf.DUMMYFUNCTION("""COMPUTED_VALUE"""),"FL_PORT Mech")</f>
        <v>FL_PORT Mech</v>
      </c>
      <c r="C20">
        <f ca="1">IFERROR(__xludf.DUMMYFUNCTION("""COMPUTED_VALUE"""),1)</f>
        <v>1</v>
      </c>
      <c r="D20" t="str">
        <f ca="1">IFERROR(__xludf.DUMMYFUNCTION("""COMPUTED_VALUE"""),"Number")</f>
        <v>Number</v>
      </c>
      <c r="E20">
        <f ca="1">IF(A20="","",SUMIFS(Issue!$D$3:$D1001,Issue!$C$3:$C1001,A20)*C20)</f>
        <v>41</v>
      </c>
      <c r="F20" t="e">
        <f ca="1">_xludf.IFNA(VLOOKUP(B20,'S-FG'!$B$3:$B1001,1,FALSE),"")</f>
        <v>#NAME?</v>
      </c>
      <c r="H20" t="str">
        <f ca="1">IFERROR(__xludf.DUMMYFUNCTION("""COMPUTED_VALUE"""),"Jet Motor Assy")</f>
        <v>Jet Motor Assy</v>
      </c>
      <c r="I20" t="str">
        <f ca="1">IFERROR(__xludf.DUMMYFUNCTION("""COMPUTED_VALUE"""),"Motor Mount 5692")</f>
        <v>Motor Mount 5692</v>
      </c>
      <c r="J20">
        <f ca="1">IFERROR(__xludf.DUMMYFUNCTION("""COMPUTED_VALUE"""),2)</f>
        <v>2</v>
      </c>
      <c r="K20" t="str">
        <f ca="1">IFERROR(__xludf.DUMMYFUNCTION("""COMPUTED_VALUE"""),"blank")</f>
        <v>blank</v>
      </c>
      <c r="L20">
        <f t="shared" ca="1" si="0"/>
        <v>0</v>
      </c>
      <c r="Q20" t="str">
        <f>IF(N20="","",SUMIFS(Issue!$D$3:$D1001,Issue!$C$3:$C1001,N20))</f>
        <v/>
      </c>
      <c r="S20" t="str">
        <f ca="1">IFERROR(__xludf.DUMMYFUNCTION("""COMPUTED_VALUE"""),"Jet S52 Mounting plate")</f>
        <v>Jet S52 Mounting plate</v>
      </c>
      <c r="X20" t="e">
        <f ca="1"/>
        <v>#NAME?</v>
      </c>
      <c r="Y20" t="e">
        <f t="shared" ca="1" si="1"/>
        <v>#NAME?</v>
      </c>
      <c r="Z20" t="e">
        <f ca="1">IF(X20="","",SUMIFS(#REF!,RM!$C$4:$C991,X20))</f>
        <v>#NAME?</v>
      </c>
      <c r="AA20" t="e">
        <f ca="1">IF(X20="","",SUMIFS(#REF!,RM!$C$4:$C991,X20))</f>
        <v>#NAME?</v>
      </c>
      <c r="AB20" t="e">
        <f t="shared" ca="1" si="2"/>
        <v>#NAME?</v>
      </c>
      <c r="AC20" t="e">
        <f ca="1">IF(X20="","",VLOOKUP($X20,RM!$C$4:$G991,3,FALSE))</f>
        <v>#NAME?</v>
      </c>
      <c r="AD20" t="e">
        <f ca="1">IF(X20="","",VLOOKUP($X20,RM!$C$4:$G991,4,FALSE))</f>
        <v>#NAME?</v>
      </c>
      <c r="AE20" t="e">
        <f ca="1">IF(X20="","",VLOOKUP($X20,RM!$C$4:$G991,5,FALSE))</f>
        <v>#NAME?</v>
      </c>
      <c r="AG20" t="str">
        <f ca="1">IFERROR(__xludf.DUMMYFUNCTION("""COMPUTED_VALUE"""),"Saif Seas Life - DSR")</f>
        <v>Saif Seas Life - DSR</v>
      </c>
      <c r="AH20" t="str">
        <f ca="1">IFERROR(__xludf.DUMMYFUNCTION("""COMPUTED_VALUE"""),"FL_PORT Mech")</f>
        <v>FL_PORT Mech</v>
      </c>
      <c r="AI20">
        <f ca="1">IFERROR(__xludf.DUMMYFUNCTION("""COMPUTED_VALUE"""),1)</f>
        <v>1</v>
      </c>
      <c r="AJ20" t="str">
        <f ca="1">IFERROR(__xludf.DUMMYFUNCTION("""COMPUTED_VALUE"""),"Number")</f>
        <v>Number</v>
      </c>
      <c r="AK20" t="e">
        <f ca="1">_xludf.IFNA(VLOOKUP(AG20,'S-FG'!$B$3:$B1001,1,FALSE),"")</f>
        <v>#NAME?</v>
      </c>
      <c r="AL20" t="e">
        <f ca="1">IF(AH20="","",SUMIFS(#REF!,RM!$C$4:$C991,AH20))</f>
        <v>#REF!</v>
      </c>
    </row>
    <row r="21" spans="1:38">
      <c r="A21" t="str">
        <f ca="1">IFERROR(__xludf.DUMMYFUNCTION("""COMPUTED_VALUE"""),"Saif Seas Life - DSR")</f>
        <v>Saif Seas Life - DSR</v>
      </c>
      <c r="B21" t="str">
        <f ca="1">IFERROR(__xludf.DUMMYFUNCTION("""COMPUTED_VALUE"""),"STBD Unit Assy")</f>
        <v>STBD Unit Assy</v>
      </c>
      <c r="C21">
        <f ca="1">IFERROR(__xludf.DUMMYFUNCTION("""COMPUTED_VALUE"""),1)</f>
        <v>1</v>
      </c>
      <c r="D21" t="str">
        <f ca="1">IFERROR(__xludf.DUMMYFUNCTION("""COMPUTED_VALUE"""),"Number")</f>
        <v>Number</v>
      </c>
      <c r="E21">
        <f ca="1">IF(A21="","",SUMIFS(Issue!$D$3:$D1001,Issue!$C$3:$C1001,A21)*C21)</f>
        <v>41</v>
      </c>
      <c r="F21" t="e">
        <f ca="1">_xludf.IFNA(VLOOKUP(B21,'S-FG'!$B$3:$B1001,1,FALSE),"")</f>
        <v>#NAME?</v>
      </c>
      <c r="H21" t="str">
        <f ca="1">IFERROR(__xludf.DUMMYFUNCTION("""COMPUTED_VALUE"""),"Jet Motor Assy")</f>
        <v>Jet Motor Assy</v>
      </c>
      <c r="I21" t="str">
        <f ca="1">IFERROR(__xludf.DUMMYFUNCTION("""COMPUTED_VALUE"""),"Motor 5692 495 KV")</f>
        <v>Motor 5692 495 KV</v>
      </c>
      <c r="J21">
        <f ca="1">IFERROR(__xludf.DUMMYFUNCTION("""COMPUTED_VALUE"""),1)</f>
        <v>1</v>
      </c>
      <c r="K21" t="str">
        <f ca="1">IFERROR(__xludf.DUMMYFUNCTION("""COMPUTED_VALUE"""),"blank")</f>
        <v>blank</v>
      </c>
      <c r="L21">
        <f t="shared" ca="1" si="0"/>
        <v>0</v>
      </c>
      <c r="Q21" t="str">
        <f>IF(N21="","",SUMIFS(Issue!$D$3:$D1001,Issue!$C$3:$C1001,N21))</f>
        <v/>
      </c>
      <c r="S21" t="str">
        <f ca="1">IFERROR(__xludf.DUMMYFUNCTION("""COMPUTED_VALUE"""),"Motor Mount 5692")</f>
        <v>Motor Mount 5692</v>
      </c>
      <c r="X21" t="e">
        <f ca="1"/>
        <v>#NAME?</v>
      </c>
      <c r="Y21" t="e">
        <f t="shared" ca="1" si="1"/>
        <v>#NAME?</v>
      </c>
      <c r="Z21" t="e">
        <f ca="1">IF(X21="","",SUMIFS(#REF!,RM!$C$4:$C991,X21))</f>
        <v>#NAME?</v>
      </c>
      <c r="AA21" t="e">
        <f ca="1">IF(X21="","",SUMIFS(#REF!,RM!$C$4:$C991,X21))</f>
        <v>#NAME?</v>
      </c>
      <c r="AB21" t="e">
        <f t="shared" ca="1" si="2"/>
        <v>#NAME?</v>
      </c>
      <c r="AC21" t="e">
        <f ca="1">IF(X21="","",VLOOKUP($X21,RM!$C$4:$G991,3,FALSE))</f>
        <v>#NAME?</v>
      </c>
      <c r="AD21" t="e">
        <f ca="1">IF(X21="","",VLOOKUP($X21,RM!$C$4:$G991,4,FALSE))</f>
        <v>#NAME?</v>
      </c>
      <c r="AE21" t="e">
        <f ca="1">IF(X21="","",VLOOKUP($X21,RM!$C$4:$G991,5,FALSE))</f>
        <v>#NAME?</v>
      </c>
      <c r="AG21" t="str">
        <f ca="1">IFERROR(__xludf.DUMMYFUNCTION("""COMPUTED_VALUE"""),"Saif Seas Life - DSR")</f>
        <v>Saif Seas Life - DSR</v>
      </c>
      <c r="AH21" t="str">
        <f ca="1">IFERROR(__xludf.DUMMYFUNCTION("""COMPUTED_VALUE"""),"STBD Unit Assy")</f>
        <v>STBD Unit Assy</v>
      </c>
      <c r="AI21">
        <f ca="1">IFERROR(__xludf.DUMMYFUNCTION("""COMPUTED_VALUE"""),1)</f>
        <v>1</v>
      </c>
      <c r="AJ21" t="str">
        <f ca="1">IFERROR(__xludf.DUMMYFUNCTION("""COMPUTED_VALUE"""),"Number")</f>
        <v>Number</v>
      </c>
      <c r="AK21" t="e">
        <f ca="1">_xludf.IFNA(VLOOKUP(AG21,'S-FG'!$B$3:$B1001,1,FALSE),"")</f>
        <v>#NAME?</v>
      </c>
      <c r="AL21" t="e">
        <f ca="1">IF(AH21="","",SUMIFS(#REF!,RM!$C$4:$C991,AH21))</f>
        <v>#REF!</v>
      </c>
    </row>
    <row r="22" spans="1:38">
      <c r="A22" t="str">
        <f ca="1">IFERROR(__xludf.DUMMYFUNCTION("""COMPUTED_VALUE"""),"Saif Seas Life - DSR")</f>
        <v>Saif Seas Life - DSR</v>
      </c>
      <c r="B22" t="str">
        <f ca="1">IFERROR(__xludf.DUMMYFUNCTION("""COMPUTED_VALUE"""),"PORT Unit Assy")</f>
        <v>PORT Unit Assy</v>
      </c>
      <c r="C22">
        <f ca="1">IFERROR(__xludf.DUMMYFUNCTION("""COMPUTED_VALUE"""),1)</f>
        <v>1</v>
      </c>
      <c r="D22" t="str">
        <f ca="1">IFERROR(__xludf.DUMMYFUNCTION("""COMPUTED_VALUE"""),"Number")</f>
        <v>Number</v>
      </c>
      <c r="E22">
        <f ca="1">IF(A22="","",SUMIFS(Issue!$D$3:$D1001,Issue!$C$3:$C1001,A22)*C22)</f>
        <v>41</v>
      </c>
      <c r="F22" t="e">
        <f ca="1">_xludf.IFNA(VLOOKUP(B22,'S-FG'!$B$3:$B1001,1,FALSE),"")</f>
        <v>#NAME?</v>
      </c>
      <c r="H22" t="str">
        <f ca="1">IFERROR(__xludf.DUMMYFUNCTION("""COMPUTED_VALUE"""),"Jet Motor Assy")</f>
        <v>Jet Motor Assy</v>
      </c>
      <c r="I22" t="str">
        <f ca="1">IFERROR(__xludf.DUMMYFUNCTION("""COMPUTED_VALUE"""),"Motor Cooling Jacket 56mm x 50mm")</f>
        <v>Motor Cooling Jacket 56mm x 50mm</v>
      </c>
      <c r="J22">
        <f ca="1">IFERROR(__xludf.DUMMYFUNCTION("""COMPUTED_VALUE"""),1)</f>
        <v>1</v>
      </c>
      <c r="K22" t="str">
        <f ca="1">IFERROR(__xludf.DUMMYFUNCTION("""COMPUTED_VALUE"""),"blank")</f>
        <v>blank</v>
      </c>
      <c r="L22">
        <f t="shared" ca="1" si="0"/>
        <v>0</v>
      </c>
      <c r="Q22" t="str">
        <f>IF(N22="","",SUMIFS(Issue!$D$3:$D1001,Issue!$C$3:$C1001,N22))</f>
        <v/>
      </c>
      <c r="S22" t="str">
        <f ca="1">IFERROR(__xludf.DUMMYFUNCTION("""COMPUTED_VALUE"""),"Motor 5692 495 KV")</f>
        <v>Motor 5692 495 KV</v>
      </c>
      <c r="X22" t="e">
        <f ca="1"/>
        <v>#NAME?</v>
      </c>
      <c r="Y22" t="e">
        <f t="shared" ca="1" si="1"/>
        <v>#NAME?</v>
      </c>
      <c r="Z22" t="e">
        <f ca="1">IF(X22="","",SUMIFS(#REF!,RM!$C$4:$C991,X22))</f>
        <v>#NAME?</v>
      </c>
      <c r="AA22" t="e">
        <f ca="1">IF(X22="","",SUMIFS(#REF!,RM!$C$4:$C991,X22))</f>
        <v>#NAME?</v>
      </c>
      <c r="AB22" t="e">
        <f t="shared" ca="1" si="2"/>
        <v>#NAME?</v>
      </c>
      <c r="AC22" t="e">
        <f ca="1">IF(X22="","",VLOOKUP($X22,RM!$C$4:$G991,3,FALSE))</f>
        <v>#NAME?</v>
      </c>
      <c r="AD22" t="e">
        <f ca="1">IF(X22="","",VLOOKUP($X22,RM!$C$4:$G991,4,FALSE))</f>
        <v>#NAME?</v>
      </c>
      <c r="AE22" t="e">
        <f ca="1">IF(X22="","",VLOOKUP($X22,RM!$C$4:$G991,5,FALSE))</f>
        <v>#NAME?</v>
      </c>
      <c r="AG22" t="str">
        <f ca="1">IFERROR(__xludf.DUMMYFUNCTION("""COMPUTED_VALUE"""),"Saif Seas Life - DSR")</f>
        <v>Saif Seas Life - DSR</v>
      </c>
      <c r="AH22" t="str">
        <f ca="1">IFERROR(__xludf.DUMMYFUNCTION("""COMPUTED_VALUE"""),"PORT Unit Assy")</f>
        <v>PORT Unit Assy</v>
      </c>
      <c r="AI22">
        <f ca="1">IFERROR(__xludf.DUMMYFUNCTION("""COMPUTED_VALUE"""),1)</f>
        <v>1</v>
      </c>
      <c r="AJ22" t="str">
        <f ca="1">IFERROR(__xludf.DUMMYFUNCTION("""COMPUTED_VALUE"""),"Number")</f>
        <v>Number</v>
      </c>
      <c r="AK22" t="e">
        <f ca="1">_xludf.IFNA(VLOOKUP(AG22,'S-FG'!$B$3:$B1001,1,FALSE),"")</f>
        <v>#NAME?</v>
      </c>
      <c r="AL22" t="e">
        <f ca="1">IF(AH22="","",SUMIFS(#REF!,RM!$C$4:$C991,AH22))</f>
        <v>#REF!</v>
      </c>
    </row>
    <row r="23" spans="1:38">
      <c r="A23" t="str">
        <f ca="1">IFERROR(__xludf.DUMMYFUNCTION("""COMPUTED_VALUE"""),"Saif Seas Life - DSR")</f>
        <v>Saif Seas Life - DSR</v>
      </c>
      <c r="B23" t="str">
        <f ca="1">IFERROR(__xludf.DUMMYFUNCTION("""COMPUTED_VALUE"""),"Self Rightening Assy")</f>
        <v>Self Rightening Assy</v>
      </c>
      <c r="C23">
        <f ca="1">IFERROR(__xludf.DUMMYFUNCTION("""COMPUTED_VALUE"""),1)</f>
        <v>1</v>
      </c>
      <c r="D23" t="str">
        <f ca="1">IFERROR(__xludf.DUMMYFUNCTION("""COMPUTED_VALUE"""),"Number")</f>
        <v>Number</v>
      </c>
      <c r="E23">
        <f ca="1">IF(A23="","",SUMIFS(Issue!$D$3:$D1001,Issue!$C$3:$C1001,A23)*C23)</f>
        <v>41</v>
      </c>
      <c r="F23" t="e">
        <f ca="1">_xludf.IFNA(VLOOKUP(B23,'S-FG'!$B$3:$B1001,1,FALSE),"")</f>
        <v>#NAME?</v>
      </c>
      <c r="H23" t="str">
        <f ca="1">IFERROR(__xludf.DUMMYFUNCTION("""COMPUTED_VALUE"""),"Jet Motor Assy")</f>
        <v>Jet Motor Assy</v>
      </c>
      <c r="I23" t="str">
        <f ca="1">IFERROR(__xludf.DUMMYFUNCTION("""COMPUTED_VALUE"""),"Silicon Hose 4mm x 8mm")</f>
        <v>Silicon Hose 4mm x 8mm</v>
      </c>
      <c r="J23">
        <f ca="1">IFERROR(__xludf.DUMMYFUNCTION("""COMPUTED_VALUE"""),0.2)</f>
        <v>0.2</v>
      </c>
      <c r="L23">
        <f t="shared" ca="1" si="0"/>
        <v>0</v>
      </c>
      <c r="Q23" t="str">
        <f>IF(N23="","",SUMIFS(Issue!$D$3:$D1001,Issue!$C$3:$C1001,N23))</f>
        <v/>
      </c>
      <c r="S23" t="str">
        <f ca="1">IFERROR(__xludf.DUMMYFUNCTION("""COMPUTED_VALUE"""),"Motor Cooling Jacket 56mm x 50mm")</f>
        <v>Motor Cooling Jacket 56mm x 50mm</v>
      </c>
      <c r="X23" t="e">
        <f ca="1"/>
        <v>#NAME?</v>
      </c>
      <c r="Y23" t="e">
        <f t="shared" ca="1" si="1"/>
        <v>#NAME?</v>
      </c>
      <c r="Z23" t="e">
        <f ca="1">IF(X23="","",SUMIFS(#REF!,RM!$C$4:$C991,X23))</f>
        <v>#NAME?</v>
      </c>
      <c r="AA23" t="e">
        <f ca="1">IF(X23="","",SUMIFS(#REF!,RM!$C$4:$C991,X23))</f>
        <v>#NAME?</v>
      </c>
      <c r="AB23" t="e">
        <f t="shared" ca="1" si="2"/>
        <v>#NAME?</v>
      </c>
      <c r="AC23" t="e">
        <f ca="1">IF(X23="","",VLOOKUP($X23,RM!$C$4:$G991,3,FALSE))</f>
        <v>#NAME?</v>
      </c>
      <c r="AD23" t="e">
        <f ca="1">IF(X23="","",VLOOKUP($X23,RM!$C$4:$G991,4,FALSE))</f>
        <v>#NAME?</v>
      </c>
      <c r="AE23" t="e">
        <f ca="1">IF(X23="","",VLOOKUP($X23,RM!$C$4:$G991,5,FALSE))</f>
        <v>#NAME?</v>
      </c>
      <c r="AG23" t="str">
        <f ca="1">IFERROR(__xludf.DUMMYFUNCTION("""COMPUTED_VALUE"""),"Saif Seas Life - DSR")</f>
        <v>Saif Seas Life - DSR</v>
      </c>
      <c r="AH23" t="str">
        <f ca="1">IFERROR(__xludf.DUMMYFUNCTION("""COMPUTED_VALUE"""),"Self Rightening Assy")</f>
        <v>Self Rightening Assy</v>
      </c>
      <c r="AI23">
        <f ca="1">IFERROR(__xludf.DUMMYFUNCTION("""COMPUTED_VALUE"""),1)</f>
        <v>1</v>
      </c>
      <c r="AJ23" t="str">
        <f ca="1">IFERROR(__xludf.DUMMYFUNCTION("""COMPUTED_VALUE"""),"Number")</f>
        <v>Number</v>
      </c>
      <c r="AK23" t="e">
        <f ca="1">_xludf.IFNA(VLOOKUP(AG23,'S-FG'!$B$3:$B1001,1,FALSE),"")</f>
        <v>#NAME?</v>
      </c>
      <c r="AL23" t="e">
        <f ca="1">IF(AH23="","",SUMIFS(#REF!,RM!$C$4:$C991,AH23))</f>
        <v>#REF!</v>
      </c>
    </row>
    <row r="24" spans="1:38">
      <c r="A24" t="str">
        <f ca="1">IFERROR(__xludf.DUMMYFUNCTION("""COMPUTED_VALUE"""),"Saif Seas Life - DSR")</f>
        <v>Saif Seas Life - DSR</v>
      </c>
      <c r="B24" t="str">
        <f ca="1">IFERROR(__xludf.DUMMYFUNCTION("""COMPUTED_VALUE"""),"IP Remote Assy")</f>
        <v>IP Remote Assy</v>
      </c>
      <c r="C24">
        <f ca="1">IFERROR(__xludf.DUMMYFUNCTION("""COMPUTED_VALUE"""),1)</f>
        <v>1</v>
      </c>
      <c r="D24" t="str">
        <f ca="1">IFERROR(__xludf.DUMMYFUNCTION("""COMPUTED_VALUE"""),"Number")</f>
        <v>Number</v>
      </c>
      <c r="E24">
        <f ca="1">IF(A24="","",SUMIFS(Issue!$D$3:$D1001,Issue!$C$3:$C1001,A24)*C24)</f>
        <v>41</v>
      </c>
      <c r="F24" t="e">
        <f ca="1">_xludf.IFNA(VLOOKUP(B24,'S-FG'!$B$3:$B1001,1,FALSE),"")</f>
        <v>#NAME?</v>
      </c>
      <c r="H24" t="str">
        <f ca="1">IFERROR(__xludf.DUMMYFUNCTION("""COMPUTED_VALUE"""),"Jet Motor Assy")</f>
        <v>Jet Motor Assy</v>
      </c>
      <c r="I24" t="str">
        <f ca="1">IFERROR(__xludf.DUMMYFUNCTION("""COMPUTED_VALUE"""),"Silicon Hose 3mm x 6mm")</f>
        <v>Silicon Hose 3mm x 6mm</v>
      </c>
      <c r="J24">
        <f ca="1">IFERROR(__xludf.DUMMYFUNCTION("""COMPUTED_VALUE"""),0.75)</f>
        <v>0.75</v>
      </c>
      <c r="L24">
        <f t="shared" ca="1" si="0"/>
        <v>0</v>
      </c>
      <c r="Q24" t="str">
        <f>IF(N24="","",SUMIFS(Issue!$D$3:$D1001,Issue!$C$3:$C1001,N24))</f>
        <v/>
      </c>
      <c r="S24" t="str">
        <f ca="1">IFERROR(__xludf.DUMMYFUNCTION("""COMPUTED_VALUE"""),"Silicon Hose 4mm x 8mm")</f>
        <v>Silicon Hose 4mm x 8mm</v>
      </c>
      <c r="X24" t="e">
        <f ca="1"/>
        <v>#NAME?</v>
      </c>
      <c r="Y24" t="e">
        <f t="shared" ca="1" si="1"/>
        <v>#NAME?</v>
      </c>
      <c r="Z24" t="e">
        <f ca="1">IF(X24="","",SUMIFS(#REF!,RM!$C$4:$C991,X24))</f>
        <v>#NAME?</v>
      </c>
      <c r="AA24" t="e">
        <f ca="1">IF(X24="","",SUMIFS(#REF!,RM!$C$4:$C991,X24))</f>
        <v>#NAME?</v>
      </c>
      <c r="AB24" t="e">
        <f t="shared" ca="1" si="2"/>
        <v>#NAME?</v>
      </c>
      <c r="AC24" t="e">
        <f ca="1">IF(X24="","",VLOOKUP($X24,RM!$C$4:$G991,3,FALSE))</f>
        <v>#NAME?</v>
      </c>
      <c r="AD24" t="e">
        <f ca="1">IF(X24="","",VLOOKUP($X24,RM!$C$4:$G991,4,FALSE))</f>
        <v>#NAME?</v>
      </c>
      <c r="AE24" t="e">
        <f ca="1">IF(X24="","",VLOOKUP($X24,RM!$C$4:$G991,5,FALSE))</f>
        <v>#NAME?</v>
      </c>
      <c r="AG24" t="str">
        <f ca="1">IFERROR(__xludf.DUMMYFUNCTION("""COMPUTED_VALUE"""),"Saif Seas Life - DSR")</f>
        <v>Saif Seas Life - DSR</v>
      </c>
      <c r="AH24" t="str">
        <f ca="1">IFERROR(__xludf.DUMMYFUNCTION("""COMPUTED_VALUE"""),"IP Remote Assy")</f>
        <v>IP Remote Assy</v>
      </c>
      <c r="AI24">
        <f ca="1">IFERROR(__xludf.DUMMYFUNCTION("""COMPUTED_VALUE"""),1)</f>
        <v>1</v>
      </c>
      <c r="AJ24" t="str">
        <f ca="1">IFERROR(__xludf.DUMMYFUNCTION("""COMPUTED_VALUE"""),"Number")</f>
        <v>Number</v>
      </c>
      <c r="AK24" t="e">
        <f ca="1">_xludf.IFNA(VLOOKUP(AG24,'S-FG'!$B$3:$B1001,1,FALSE),"")</f>
        <v>#NAME?</v>
      </c>
      <c r="AL24" t="e">
        <f ca="1">IF(AH24="","",SUMIFS(#REF!,RM!$C$4:$C991,AH24))</f>
        <v>#REF!</v>
      </c>
    </row>
    <row r="25" spans="1:38">
      <c r="A25" t="str">
        <f ca="1">IFERROR(__xludf.DUMMYFUNCTION("""COMPUTED_VALUE"""),"Saif Seas Life - DSR")</f>
        <v>Saif Seas Life - DSR</v>
      </c>
      <c r="B25" t="str">
        <f ca="1">IFERROR(__xludf.DUMMYFUNCTION("""COMPUTED_VALUE"""),"IP Remote Charging Cable Assy")</f>
        <v>IP Remote Charging Cable Assy</v>
      </c>
      <c r="C25">
        <f ca="1">IFERROR(__xludf.DUMMYFUNCTION("""COMPUTED_VALUE"""),1)</f>
        <v>1</v>
      </c>
      <c r="D25" t="str">
        <f ca="1">IFERROR(__xludf.DUMMYFUNCTION("""COMPUTED_VALUE"""),"Number")</f>
        <v>Number</v>
      </c>
      <c r="E25">
        <f ca="1">IF(A25="","",SUMIFS(Issue!$D$3:$D1001,Issue!$C$3:$C1001,A25)*C25)</f>
        <v>41</v>
      </c>
      <c r="F25" t="e">
        <f ca="1">_xludf.IFNA(VLOOKUP(B25,'S-FG'!$B$3:$B1001,1,FALSE),"")</f>
        <v>#NAME?</v>
      </c>
      <c r="H25" t="str">
        <f ca="1">IFERROR(__xludf.DUMMYFUNCTION("""COMPUTED_VALUE"""),"Jet Motor Assy")</f>
        <v>Jet Motor Assy</v>
      </c>
      <c r="I25" t="str">
        <f ca="1">IFERROR(__xludf.DUMMYFUNCTION("""COMPUTED_VALUE"""),"Thread locker 242/270/290")</f>
        <v>Thread locker 242/270/290</v>
      </c>
      <c r="J25">
        <f ca="1">IFERROR(__xludf.DUMMYFUNCTION("""COMPUTED_VALUE"""),2)</f>
        <v>2</v>
      </c>
      <c r="K25" t="str">
        <f ca="1">IFERROR(__xludf.DUMMYFUNCTION("""COMPUTED_VALUE"""),"blank")</f>
        <v>blank</v>
      </c>
      <c r="L25">
        <f t="shared" ca="1" si="0"/>
        <v>0</v>
      </c>
      <c r="Q25" t="str">
        <f>IF(N25="","",SUMIFS(Issue!$D$3:$D1001,Issue!$C$3:$C1001,N25))</f>
        <v/>
      </c>
      <c r="S25" t="str">
        <f ca="1">IFERROR(__xludf.DUMMYFUNCTION("""COMPUTED_VALUE"""),"Silicon Hose 3mm x 6mm")</f>
        <v>Silicon Hose 3mm x 6mm</v>
      </c>
      <c r="X25" t="e">
        <f ca="1"/>
        <v>#NAME?</v>
      </c>
      <c r="Y25" t="e">
        <f t="shared" ca="1" si="1"/>
        <v>#NAME?</v>
      </c>
      <c r="Z25" t="e">
        <f ca="1">IF(X25="","",SUMIFS(#REF!,RM!$C$4:$C991,X25))</f>
        <v>#NAME?</v>
      </c>
      <c r="AA25" t="e">
        <f ca="1">IF(X25="","",SUMIFS(#REF!,RM!$C$4:$C991,X25))</f>
        <v>#NAME?</v>
      </c>
      <c r="AB25" t="e">
        <f t="shared" ca="1" si="2"/>
        <v>#NAME?</v>
      </c>
      <c r="AC25" t="e">
        <f ca="1">IF(X25="","",VLOOKUP($X25,RM!$C$4:$G991,3,FALSE))</f>
        <v>#NAME?</v>
      </c>
      <c r="AD25" t="e">
        <f ca="1">IF(X25="","",VLOOKUP($X25,RM!$C$4:$G991,4,FALSE))</f>
        <v>#NAME?</v>
      </c>
      <c r="AE25" t="e">
        <f ca="1">IF(X25="","",VLOOKUP($X25,RM!$C$4:$G991,5,FALSE))</f>
        <v>#NAME?</v>
      </c>
      <c r="AG25" t="str">
        <f ca="1">IFERROR(__xludf.DUMMYFUNCTION("""COMPUTED_VALUE"""),"Saif Seas Life - DSR")</f>
        <v>Saif Seas Life - DSR</v>
      </c>
      <c r="AH25" t="str">
        <f ca="1">IFERROR(__xludf.DUMMYFUNCTION("""COMPUTED_VALUE"""),"IP Remote Charging Cable Assy")</f>
        <v>IP Remote Charging Cable Assy</v>
      </c>
      <c r="AI25">
        <f ca="1">IFERROR(__xludf.DUMMYFUNCTION("""COMPUTED_VALUE"""),1)</f>
        <v>1</v>
      </c>
      <c r="AJ25" t="str">
        <f ca="1">IFERROR(__xludf.DUMMYFUNCTION("""COMPUTED_VALUE"""),"Number")</f>
        <v>Number</v>
      </c>
      <c r="AK25" t="e">
        <f ca="1">_xludf.IFNA(VLOOKUP(AG25,'S-FG'!$B$3:$B1001,1,FALSE),"")</f>
        <v>#NAME?</v>
      </c>
      <c r="AL25" t="e">
        <f ca="1">IF(AH25="","",SUMIFS(#REF!,RM!$C$4:$C991,AH25))</f>
        <v>#REF!</v>
      </c>
    </row>
    <row r="26" spans="1:38">
      <c r="A26" t="str">
        <f ca="1">IFERROR(__xludf.DUMMYFUNCTION("""COMPUTED_VALUE"""),"Saif Seas Life - DSR")</f>
        <v>Saif Seas Life - DSR</v>
      </c>
      <c r="B26" t="str">
        <f ca="1">IFERROR(__xludf.DUMMYFUNCTION("""COMPUTED_VALUE"""),"AMCA Elec Assy")</f>
        <v>AMCA Elec Assy</v>
      </c>
      <c r="C26">
        <f ca="1">IFERROR(__xludf.DUMMYFUNCTION("""COMPUTED_VALUE"""),0)</f>
        <v>0</v>
      </c>
      <c r="D26" t="str">
        <f ca="1">IFERROR(__xludf.DUMMYFUNCTION("""COMPUTED_VALUE"""),"Number")</f>
        <v>Number</v>
      </c>
      <c r="E26">
        <f ca="1">IF(A26="","",SUMIFS(Issue!$D$3:$D1001,Issue!$C$3:$C1001,A26)*C26)</f>
        <v>0</v>
      </c>
      <c r="F26" t="e">
        <f ca="1">_xludf.IFNA(VLOOKUP(B26,'S-FG'!$B$3:$B1001,1,FALSE),"")</f>
        <v>#NAME?</v>
      </c>
      <c r="H26" t="str">
        <f ca="1">IFERROR(__xludf.DUMMYFUNCTION("""COMPUTED_VALUE"""),"Jet Motor Assy")</f>
        <v>Jet Motor Assy</v>
      </c>
      <c r="I26" t="str">
        <f ca="1">IFERROR(__xludf.DUMMYFUNCTION("""COMPUTED_VALUE"""),"Thread locker Activator")</f>
        <v>Thread locker Activator</v>
      </c>
      <c r="J26">
        <f ca="1">IFERROR(__xludf.DUMMYFUNCTION("""COMPUTED_VALUE"""),2)</f>
        <v>2</v>
      </c>
      <c r="K26" t="str">
        <f ca="1">IFERROR(__xludf.DUMMYFUNCTION("""COMPUTED_VALUE"""),"blank")</f>
        <v>blank</v>
      </c>
      <c r="L26">
        <f t="shared" ca="1" si="0"/>
        <v>0</v>
      </c>
      <c r="Q26" t="str">
        <f>IF(N26="","",SUMIFS(Issue!$D$3:$D1001,Issue!$C$3:$C1001,N26))</f>
        <v/>
      </c>
      <c r="S26" t="str">
        <f ca="1">IFERROR(__xludf.DUMMYFUNCTION("""COMPUTED_VALUE"""),"Thread locker 242/270/290")</f>
        <v>Thread locker 242/270/290</v>
      </c>
      <c r="X26" t="e">
        <f ca="1"/>
        <v>#NAME?</v>
      </c>
      <c r="Y26" t="e">
        <f t="shared" ca="1" si="1"/>
        <v>#NAME?</v>
      </c>
      <c r="Z26" t="e">
        <f ca="1">IF(X26="","",SUMIFS(#REF!,RM!$C$4:$C991,X26))</f>
        <v>#NAME?</v>
      </c>
      <c r="AA26" t="e">
        <f ca="1">IF(X26="","",SUMIFS(#REF!,RM!$C$4:$C991,X26))</f>
        <v>#NAME?</v>
      </c>
      <c r="AB26" t="e">
        <f t="shared" ca="1" si="2"/>
        <v>#NAME?</v>
      </c>
      <c r="AC26" t="e">
        <f ca="1">IF(X26="","",VLOOKUP($X26,RM!$C$4:$G991,3,FALSE))</f>
        <v>#NAME?</v>
      </c>
      <c r="AD26" t="e">
        <f ca="1">IF(X26="","",VLOOKUP($X26,RM!$C$4:$G991,4,FALSE))</f>
        <v>#NAME?</v>
      </c>
      <c r="AE26" t="e">
        <f ca="1">IF(X26="","",VLOOKUP($X26,RM!$C$4:$G991,5,FALSE))</f>
        <v>#NAME?</v>
      </c>
      <c r="AG26" t="str">
        <f ca="1">IFERROR(__xludf.DUMMYFUNCTION("""COMPUTED_VALUE"""),"Saif Seas Life - DSR")</f>
        <v>Saif Seas Life - DSR</v>
      </c>
      <c r="AH26" t="str">
        <f ca="1">IFERROR(__xludf.DUMMYFUNCTION("""COMPUTED_VALUE"""),"AMCA Elec Assy")</f>
        <v>AMCA Elec Assy</v>
      </c>
      <c r="AI26">
        <f ca="1">IFERROR(__xludf.DUMMYFUNCTION("""COMPUTED_VALUE"""),0)</f>
        <v>0</v>
      </c>
      <c r="AJ26" t="str">
        <f ca="1">IFERROR(__xludf.DUMMYFUNCTION("""COMPUTED_VALUE"""),"Number")</f>
        <v>Number</v>
      </c>
      <c r="AK26" t="e">
        <f ca="1">_xludf.IFNA(VLOOKUP(AG26,'S-FG'!$B$3:$B1001,1,FALSE),"")</f>
        <v>#NAME?</v>
      </c>
      <c r="AL26" t="e">
        <f ca="1">IF(AH26="","",SUMIFS(#REF!,RM!$C$4:$C991,AH26))</f>
        <v>#REF!</v>
      </c>
    </row>
    <row r="27" spans="1:38">
      <c r="A27" t="str">
        <f ca="1">IFERROR(__xludf.DUMMYFUNCTION("""COMPUTED_VALUE"""),"Saif Seas Life - DSR")</f>
        <v>Saif Seas Life - DSR</v>
      </c>
      <c r="B27" t="str">
        <f ca="1">IFERROR(__xludf.DUMMYFUNCTION("""COMPUTED_VALUE"""),"AMCA Mech Assy")</f>
        <v>AMCA Mech Assy</v>
      </c>
      <c r="C27">
        <f ca="1">IFERROR(__xludf.DUMMYFUNCTION("""COMPUTED_VALUE"""),0)</f>
        <v>0</v>
      </c>
      <c r="D27" t="str">
        <f ca="1">IFERROR(__xludf.DUMMYFUNCTION("""COMPUTED_VALUE"""),"Number")</f>
        <v>Number</v>
      </c>
      <c r="E27">
        <f ca="1">IF(A27="","",SUMIFS(Issue!$D$3:$D1001,Issue!$C$3:$C1001,A27)*C27)</f>
        <v>0</v>
      </c>
      <c r="F27" t="e">
        <f ca="1">_xludf.IFNA(VLOOKUP(B27,'S-FG'!$B$3:$B1001,1,FALSE),"")</f>
        <v>#NAME?</v>
      </c>
      <c r="H27" t="str">
        <f ca="1">IFERROR(__xludf.DUMMYFUNCTION("""COMPUTED_VALUE"""),"STBD_ESC Assy")</f>
        <v>STBD_ESC Assy</v>
      </c>
      <c r="I27" t="str">
        <f ca="1">IFERROR(__xludf.DUMMYFUNCTION("""COMPUTED_VALUE"""),"5.5mm Female Bullet connector")</f>
        <v>5.5mm Female Bullet connector</v>
      </c>
      <c r="J27">
        <f ca="1">IFERROR(__xludf.DUMMYFUNCTION("""COMPUTED_VALUE"""),1)</f>
        <v>1</v>
      </c>
      <c r="K27" t="str">
        <f ca="1">IFERROR(__xludf.DUMMYFUNCTION("""COMPUTED_VALUE"""),"blank")</f>
        <v>blank</v>
      </c>
      <c r="L27">
        <f t="shared" ca="1" si="0"/>
        <v>0</v>
      </c>
      <c r="Q27" t="str">
        <f>IF(N27="","",SUMIFS(Issue!$D$3:$D1001,Issue!$C$3:$C1001,N27))</f>
        <v/>
      </c>
      <c r="S27" t="str">
        <f ca="1">IFERROR(__xludf.DUMMYFUNCTION("""COMPUTED_VALUE"""),"Thread locker Activator")</f>
        <v>Thread locker Activator</v>
      </c>
      <c r="X27" t="e">
        <f ca="1"/>
        <v>#NAME?</v>
      </c>
      <c r="Y27" t="e">
        <f t="shared" ca="1" si="1"/>
        <v>#NAME?</v>
      </c>
      <c r="Z27" t="e">
        <f ca="1">IF(X27="","",SUMIFS(#REF!,RM!$C$4:$C991,X27))</f>
        <v>#NAME?</v>
      </c>
      <c r="AA27" t="e">
        <f ca="1">IF(X27="","",SUMIFS(#REF!,RM!$C$4:$C991,X27))</f>
        <v>#NAME?</v>
      </c>
      <c r="AB27" t="e">
        <f t="shared" ca="1" si="2"/>
        <v>#NAME?</v>
      </c>
      <c r="AC27" t="e">
        <f ca="1">IF(X27="","",VLOOKUP($X27,RM!$C$4:$G991,3,FALSE))</f>
        <v>#NAME?</v>
      </c>
      <c r="AD27" t="e">
        <f ca="1">IF(X27="","",VLOOKUP($X27,RM!$C$4:$G991,4,FALSE))</f>
        <v>#NAME?</v>
      </c>
      <c r="AE27" t="e">
        <f ca="1">IF(X27="","",VLOOKUP($X27,RM!$C$4:$G991,5,FALSE))</f>
        <v>#NAME?</v>
      </c>
      <c r="AG27" t="str">
        <f ca="1">IFERROR(__xludf.DUMMYFUNCTION("""COMPUTED_VALUE"""),"Saif Seas Life - DSR")</f>
        <v>Saif Seas Life - DSR</v>
      </c>
      <c r="AH27" t="str">
        <f ca="1">IFERROR(__xludf.DUMMYFUNCTION("""COMPUTED_VALUE"""),"AMCA Mech Assy")</f>
        <v>AMCA Mech Assy</v>
      </c>
      <c r="AI27">
        <f ca="1">IFERROR(__xludf.DUMMYFUNCTION("""COMPUTED_VALUE"""),0)</f>
        <v>0</v>
      </c>
      <c r="AJ27" t="str">
        <f ca="1">IFERROR(__xludf.DUMMYFUNCTION("""COMPUTED_VALUE"""),"Number")</f>
        <v>Number</v>
      </c>
      <c r="AK27" t="e">
        <f ca="1">_xludf.IFNA(VLOOKUP(AG27,'S-FG'!$B$3:$B1001,1,FALSE),"")</f>
        <v>#NAME?</v>
      </c>
      <c r="AL27" t="e">
        <f ca="1">IF(AH27="","",SUMIFS(#REF!,RM!$C$4:$C991,AH27))</f>
        <v>#REF!</v>
      </c>
    </row>
    <row r="28" spans="1:38">
      <c r="A28" t="str">
        <f ca="1">IFERROR(__xludf.DUMMYFUNCTION("""COMPUTED_VALUE"""),"Saif Seas Life - DSR")</f>
        <v>Saif Seas Life - DSR</v>
      </c>
      <c r="B28" t="str">
        <f ca="1">IFERROR(__xludf.DUMMYFUNCTION("""COMPUTED_VALUE"""),"Final Craft Assy")</f>
        <v>Final Craft Assy</v>
      </c>
      <c r="C28">
        <f ca="1">IFERROR(__xludf.DUMMYFUNCTION("""COMPUTED_VALUE"""),1)</f>
        <v>1</v>
      </c>
      <c r="D28" t="str">
        <f ca="1">IFERROR(__xludf.DUMMYFUNCTION("""COMPUTED_VALUE"""),"Number")</f>
        <v>Number</v>
      </c>
      <c r="E28">
        <f ca="1">IF(A28="","",SUMIFS(Issue!$D$3:$D1001,Issue!$C$3:$C1001,A28)*C28)</f>
        <v>41</v>
      </c>
      <c r="F28" t="e">
        <f ca="1">_xludf.IFNA(VLOOKUP(B28,'S-FG'!$B$3:$B1001,1,FALSE),"")</f>
        <v>#NAME?</v>
      </c>
      <c r="H28" t="str">
        <f ca="1">IFERROR(__xludf.DUMMYFUNCTION("""COMPUTED_VALUE"""),"STBD_ESC Assy")</f>
        <v>STBD_ESC Assy</v>
      </c>
      <c r="I28" t="str">
        <f ca="1">IFERROR(__xludf.DUMMYFUNCTION("""COMPUTED_VALUE"""),"4mm Male Bullet connector")</f>
        <v>4mm Male Bullet connector</v>
      </c>
      <c r="J28">
        <f ca="1">IFERROR(__xludf.DUMMYFUNCTION("""COMPUTED_VALUE"""),2)</f>
        <v>2</v>
      </c>
      <c r="K28" t="str">
        <f ca="1">IFERROR(__xludf.DUMMYFUNCTION("""COMPUTED_VALUE"""),"blank")</f>
        <v>blank</v>
      </c>
      <c r="L28">
        <f t="shared" ca="1" si="0"/>
        <v>0</v>
      </c>
      <c r="Q28" t="str">
        <f>IF(N28="","",SUMIFS(Issue!$D$3:$D1001,Issue!$C$3:$C1001,N28))</f>
        <v/>
      </c>
      <c r="S28" t="str">
        <f ca="1">IFERROR(__xludf.DUMMYFUNCTION("""COMPUTED_VALUE"""),"5.5mm Female Bullet connector")</f>
        <v>5.5mm Female Bullet connector</v>
      </c>
      <c r="X28" t="e">
        <f ca="1"/>
        <v>#NAME?</v>
      </c>
      <c r="Y28" t="e">
        <f t="shared" ca="1" si="1"/>
        <v>#NAME?</v>
      </c>
      <c r="Z28" t="e">
        <f ca="1">IF(X28="","",SUMIFS(#REF!,RM!$C$4:$C991,X28))</f>
        <v>#NAME?</v>
      </c>
      <c r="AA28" t="e">
        <f ca="1">IF(X28="","",SUMIFS(#REF!,RM!$C$4:$C991,X28))</f>
        <v>#NAME?</v>
      </c>
      <c r="AB28" t="e">
        <f t="shared" ca="1" si="2"/>
        <v>#NAME?</v>
      </c>
      <c r="AC28" t="e">
        <f ca="1">IF(X28="","",VLOOKUP($X28,RM!$C$4:$G991,3,FALSE))</f>
        <v>#NAME?</v>
      </c>
      <c r="AD28" t="e">
        <f ca="1">IF(X28="","",VLOOKUP($X28,RM!$C$4:$G991,4,FALSE))</f>
        <v>#NAME?</v>
      </c>
      <c r="AE28" t="e">
        <f ca="1">IF(X28="","",VLOOKUP($X28,RM!$C$4:$G991,5,FALSE))</f>
        <v>#NAME?</v>
      </c>
      <c r="AG28" t="str">
        <f ca="1">IFERROR(__xludf.DUMMYFUNCTION("""COMPUTED_VALUE"""),"Saif Seas Life - DSR")</f>
        <v>Saif Seas Life - DSR</v>
      </c>
      <c r="AH28" t="str">
        <f ca="1">IFERROR(__xludf.DUMMYFUNCTION("""COMPUTED_VALUE"""),"Final Craft Assy")</f>
        <v>Final Craft Assy</v>
      </c>
      <c r="AI28">
        <f ca="1">IFERROR(__xludf.DUMMYFUNCTION("""COMPUTED_VALUE"""),1)</f>
        <v>1</v>
      </c>
      <c r="AJ28" t="str">
        <f ca="1">IFERROR(__xludf.DUMMYFUNCTION("""COMPUTED_VALUE"""),"Number")</f>
        <v>Number</v>
      </c>
      <c r="AK28" t="e">
        <f ca="1">_xludf.IFNA(VLOOKUP(AG28,'S-FG'!$B$3:$B1001,1,FALSE),"")</f>
        <v>#NAME?</v>
      </c>
      <c r="AL28" t="e">
        <f ca="1">IF(AH28="","",SUMIFS(#REF!,RM!$C$4:$C991,AH28))</f>
        <v>#REF!</v>
      </c>
    </row>
    <row r="29" spans="1:38">
      <c r="A29" t="str">
        <f ca="1">IFERROR(__xludf.DUMMYFUNCTION("""COMPUTED_VALUE"""),"Saif Seas Life - DSR")</f>
        <v>Saif Seas Life - DSR</v>
      </c>
      <c r="B29" t="str">
        <f ca="1">IFERROR(__xludf.DUMMYFUNCTION("""COMPUTED_VALUE"""),"STBD Aft Plate Assy")</f>
        <v>STBD Aft Plate Assy</v>
      </c>
      <c r="C29">
        <f ca="1">IFERROR(__xludf.DUMMYFUNCTION("""COMPUTED_VALUE"""),1)</f>
        <v>1</v>
      </c>
      <c r="D29" t="str">
        <f ca="1">IFERROR(__xludf.DUMMYFUNCTION("""COMPUTED_VALUE"""),"Number")</f>
        <v>Number</v>
      </c>
      <c r="E29">
        <f ca="1">IF(A29="","",SUMIFS(Issue!$D$3:$D1001,Issue!$C$3:$C1001,A29)*C29)</f>
        <v>41</v>
      </c>
      <c r="F29" t="e">
        <f ca="1">_xludf.IFNA(VLOOKUP(B29,'S-FG'!$B$3:$B1001,1,FALSE),"")</f>
        <v>#NAME?</v>
      </c>
      <c r="H29" t="str">
        <f ca="1">IFERROR(__xludf.DUMMYFUNCTION("""COMPUTED_VALUE"""),"STBD_ESC Assy")</f>
        <v>STBD_ESC Assy</v>
      </c>
      <c r="I29" t="str">
        <f ca="1">IFERROR(__xludf.DUMMYFUNCTION("""COMPUTED_VALUE"""),"4mm Female Bullet connector")</f>
        <v>4mm Female Bullet connector</v>
      </c>
      <c r="J29">
        <f ca="1">IFERROR(__xludf.DUMMYFUNCTION("""COMPUTED_VALUE"""),1)</f>
        <v>1</v>
      </c>
      <c r="K29" t="str">
        <f ca="1">IFERROR(__xludf.DUMMYFUNCTION("""COMPUTED_VALUE"""),"blank")</f>
        <v>blank</v>
      </c>
      <c r="L29">
        <f t="shared" ca="1" si="0"/>
        <v>0</v>
      </c>
      <c r="Q29" t="str">
        <f>IF(N29="","",SUMIFS(Issue!$D$3:$D1001,Issue!$C$3:$C1001,N29))</f>
        <v/>
      </c>
      <c r="S29" t="str">
        <f ca="1">IFERROR(__xludf.DUMMYFUNCTION("""COMPUTED_VALUE"""),"4mm Male Bullet connector")</f>
        <v>4mm Male Bullet connector</v>
      </c>
      <c r="X29" t="e">
        <f ca="1"/>
        <v>#NAME?</v>
      </c>
      <c r="Y29" t="e">
        <f t="shared" ca="1" si="1"/>
        <v>#NAME?</v>
      </c>
      <c r="Z29" t="e">
        <f ca="1">IF(X29="","",SUMIFS(#REF!,RM!$C$4:$C991,X29))</f>
        <v>#NAME?</v>
      </c>
      <c r="AA29" t="e">
        <f ca="1">IF(X29="","",SUMIFS(#REF!,RM!$C$4:$C991,X29))</f>
        <v>#NAME?</v>
      </c>
      <c r="AB29" t="e">
        <f t="shared" ca="1" si="2"/>
        <v>#NAME?</v>
      </c>
      <c r="AC29" t="e">
        <f ca="1">IF(X29="","",VLOOKUP($X29,RM!$C$4:$G991,3,FALSE))</f>
        <v>#NAME?</v>
      </c>
      <c r="AD29" t="e">
        <f ca="1">IF(X29="","",VLOOKUP($X29,RM!$C$4:$G991,4,FALSE))</f>
        <v>#NAME?</v>
      </c>
      <c r="AE29" t="e">
        <f ca="1">IF(X29="","",VLOOKUP($X29,RM!$C$4:$G991,5,FALSE))</f>
        <v>#NAME?</v>
      </c>
      <c r="AG29" t="str">
        <f ca="1">IFERROR(__xludf.DUMMYFUNCTION("""COMPUTED_VALUE"""),"Saif Seas Life - DSR")</f>
        <v>Saif Seas Life - DSR</v>
      </c>
      <c r="AH29" t="str">
        <f ca="1">IFERROR(__xludf.DUMMYFUNCTION("""COMPUTED_VALUE"""),"STBD Aft Plate Assy")</f>
        <v>STBD Aft Plate Assy</v>
      </c>
      <c r="AI29">
        <f ca="1">IFERROR(__xludf.DUMMYFUNCTION("""COMPUTED_VALUE"""),1)</f>
        <v>1</v>
      </c>
      <c r="AJ29" t="str">
        <f ca="1">IFERROR(__xludf.DUMMYFUNCTION("""COMPUTED_VALUE"""),"Number")</f>
        <v>Number</v>
      </c>
      <c r="AK29" t="e">
        <f ca="1">_xludf.IFNA(VLOOKUP(AG29,'S-FG'!$B$3:$B1001,1,FALSE),"")</f>
        <v>#NAME?</v>
      </c>
      <c r="AL29" t="e">
        <f ca="1">IF(AH29="","",SUMIFS(#REF!,RM!$C$4:$C991,AH29))</f>
        <v>#REF!</v>
      </c>
    </row>
    <row r="30" spans="1:38">
      <c r="A30" t="str">
        <f ca="1">IFERROR(__xludf.DUMMYFUNCTION("""COMPUTED_VALUE"""),"Saif Seas Life - DSR")</f>
        <v>Saif Seas Life - DSR</v>
      </c>
      <c r="B30" t="str">
        <f ca="1">IFERROR(__xludf.DUMMYFUNCTION("""COMPUTED_VALUE"""),"PORT Aft Plate Assy")</f>
        <v>PORT Aft Plate Assy</v>
      </c>
      <c r="C30">
        <f ca="1">IFERROR(__xludf.DUMMYFUNCTION("""COMPUTED_VALUE"""),1)</f>
        <v>1</v>
      </c>
      <c r="D30" t="str">
        <f ca="1">IFERROR(__xludf.DUMMYFUNCTION("""COMPUTED_VALUE"""),"Number")</f>
        <v>Number</v>
      </c>
      <c r="E30">
        <f ca="1">IF(A30="","",SUMIFS(Issue!$D$3:$D1001,Issue!$C$3:$C1001,A30)*C30)</f>
        <v>41</v>
      </c>
      <c r="F30" t="e">
        <f ca="1">_xludf.IFNA(VLOOKUP(B30,'S-FG'!$B$3:$B1001,1,FALSE),"")</f>
        <v>#NAME?</v>
      </c>
      <c r="H30" t="str">
        <f ca="1">IFERROR(__xludf.DUMMYFUNCTION("""COMPUTED_VALUE"""),"STBD_ESC Assy")</f>
        <v>STBD_ESC Assy</v>
      </c>
      <c r="I30" t="str">
        <f ca="1">IFERROR(__xludf.DUMMYFUNCTION("""COMPUTED_VALUE"""),"Black 12AWG")</f>
        <v>Black 12AWG</v>
      </c>
      <c r="J30">
        <f ca="1">IFERROR(__xludf.DUMMYFUNCTION("""COMPUTED_VALUE"""),0.55)</f>
        <v>0.55000000000000004</v>
      </c>
      <c r="K30" t="str">
        <f ca="1">IFERROR(__xludf.DUMMYFUNCTION("""COMPUTED_VALUE"""),"blank")</f>
        <v>blank</v>
      </c>
      <c r="L30">
        <f t="shared" ca="1" si="0"/>
        <v>0</v>
      </c>
      <c r="Q30" t="str">
        <f>IF(N30="","",SUMIFS(Issue!$D$3:$D1001,Issue!$C$3:$C1001,N30))</f>
        <v/>
      </c>
      <c r="S30" t="str">
        <f ca="1">IFERROR(__xludf.DUMMYFUNCTION("""COMPUTED_VALUE"""),"4mm Female Bullet connector")</f>
        <v>4mm Female Bullet connector</v>
      </c>
      <c r="X30" t="e">
        <f ca="1"/>
        <v>#NAME?</v>
      </c>
      <c r="Y30" t="e">
        <f t="shared" ca="1" si="1"/>
        <v>#NAME?</v>
      </c>
      <c r="Z30" t="e">
        <f ca="1">IF(X30="","",SUMIFS(#REF!,RM!$C$4:$C991,X30))</f>
        <v>#NAME?</v>
      </c>
      <c r="AA30" t="e">
        <f ca="1">IF(X30="","",SUMIFS(#REF!,RM!$C$4:$C991,X30))</f>
        <v>#NAME?</v>
      </c>
      <c r="AB30" t="e">
        <f t="shared" ca="1" si="2"/>
        <v>#NAME?</v>
      </c>
      <c r="AC30" t="e">
        <f ca="1">IF(X30="","",VLOOKUP($X30,RM!$C$4:$G991,3,FALSE))</f>
        <v>#NAME?</v>
      </c>
      <c r="AD30" t="e">
        <f ca="1">IF(X30="","",VLOOKUP($X30,RM!$C$4:$G991,4,FALSE))</f>
        <v>#NAME?</v>
      </c>
      <c r="AE30" t="e">
        <f ca="1">IF(X30="","",VLOOKUP($X30,RM!$C$4:$G991,5,FALSE))</f>
        <v>#NAME?</v>
      </c>
      <c r="AG30" t="str">
        <f ca="1">IFERROR(__xludf.DUMMYFUNCTION("""COMPUTED_VALUE"""),"Saif Seas Life - DSR")</f>
        <v>Saif Seas Life - DSR</v>
      </c>
      <c r="AH30" t="str">
        <f ca="1">IFERROR(__xludf.DUMMYFUNCTION("""COMPUTED_VALUE"""),"PORT Aft Plate Assy")</f>
        <v>PORT Aft Plate Assy</v>
      </c>
      <c r="AI30">
        <f ca="1">IFERROR(__xludf.DUMMYFUNCTION("""COMPUTED_VALUE"""),1)</f>
        <v>1</v>
      </c>
      <c r="AJ30" t="str">
        <f ca="1">IFERROR(__xludf.DUMMYFUNCTION("""COMPUTED_VALUE"""),"Number")</f>
        <v>Number</v>
      </c>
      <c r="AK30" t="e">
        <f ca="1">_xludf.IFNA(VLOOKUP(AG30,'S-FG'!$B$3:$B1001,1,FALSE),"")</f>
        <v>#NAME?</v>
      </c>
      <c r="AL30" t="e">
        <f ca="1">IF(AH30="","",SUMIFS(#REF!,RM!$C$4:$C991,AH30))</f>
        <v>#REF!</v>
      </c>
    </row>
    <row r="31" spans="1:38">
      <c r="A31" t="str">
        <f ca="1">IFERROR(__xludf.DUMMYFUNCTION("""COMPUTED_VALUE"""),"Saif Seas Life - DSR")</f>
        <v>Saif Seas Life - DSR</v>
      </c>
      <c r="B31" t="str">
        <f ca="1">IFERROR(__xludf.DUMMYFUNCTION("""COMPUTED_VALUE"""),"Current Sensor Assy")</f>
        <v>Current Sensor Assy</v>
      </c>
      <c r="C31">
        <f ca="1">IFERROR(__xludf.DUMMYFUNCTION("""COMPUTED_VALUE"""),1)</f>
        <v>1</v>
      </c>
      <c r="D31" t="str">
        <f ca="1">IFERROR(__xludf.DUMMYFUNCTION("""COMPUTED_VALUE"""),"Number")</f>
        <v>Number</v>
      </c>
      <c r="E31">
        <f ca="1">IF(A31="","",SUMIFS(Issue!$D$3:$D1001,Issue!$C$3:$C1001,A31)*C31)</f>
        <v>41</v>
      </c>
      <c r="F31" t="e">
        <f ca="1">_xludf.IFNA(VLOOKUP(B31,'S-FG'!$B$3:$B1001,1,FALSE),"")</f>
        <v>#NAME?</v>
      </c>
      <c r="H31" t="str">
        <f ca="1">IFERROR(__xludf.DUMMYFUNCTION("""COMPUTED_VALUE"""),"STBD_ESC Assy")</f>
        <v>STBD_ESC Assy</v>
      </c>
      <c r="I31" t="str">
        <f ca="1">IFERROR(__xludf.DUMMYFUNCTION("""COMPUTED_VALUE"""),"Red 12AWG")</f>
        <v>Red 12AWG</v>
      </c>
      <c r="J31">
        <f ca="1">IFERROR(__xludf.DUMMYFUNCTION("""COMPUTED_VALUE"""),0.55)</f>
        <v>0.55000000000000004</v>
      </c>
      <c r="K31" t="str">
        <f ca="1">IFERROR(__xludf.DUMMYFUNCTION("""COMPUTED_VALUE"""),"blank")</f>
        <v>blank</v>
      </c>
      <c r="L31">
        <f t="shared" ca="1" si="0"/>
        <v>0</v>
      </c>
      <c r="Q31" t="str">
        <f>IF(N31="","",SUMIFS(Issue!$D$3:$D1001,Issue!$C$3:$C1001,N31))</f>
        <v/>
      </c>
      <c r="S31" t="str">
        <f ca="1">IFERROR(__xludf.DUMMYFUNCTION("""COMPUTED_VALUE"""),"Black 12AWG")</f>
        <v>Black 12AWG</v>
      </c>
      <c r="X31" t="e">
        <f ca="1"/>
        <v>#NAME?</v>
      </c>
      <c r="Y31" t="e">
        <f t="shared" ca="1" si="1"/>
        <v>#NAME?</v>
      </c>
      <c r="Z31" t="e">
        <f ca="1">IF(X31="","",SUMIFS(#REF!,RM!$C$4:$C991,X31))</f>
        <v>#NAME?</v>
      </c>
      <c r="AA31" t="e">
        <f ca="1">IF(X31="","",SUMIFS(#REF!,RM!$C$4:$C991,X31))</f>
        <v>#NAME?</v>
      </c>
      <c r="AB31" t="e">
        <f t="shared" ca="1" si="2"/>
        <v>#NAME?</v>
      </c>
      <c r="AC31" t="e">
        <f ca="1">IF(X31="","",VLOOKUP($X31,RM!$C$4:$G991,3,FALSE))</f>
        <v>#NAME?</v>
      </c>
      <c r="AD31" t="e">
        <f ca="1">IF(X31="","",VLOOKUP($X31,RM!$C$4:$G991,4,FALSE))</f>
        <v>#NAME?</v>
      </c>
      <c r="AE31" t="e">
        <f ca="1">IF(X31="","",VLOOKUP($X31,RM!$C$4:$G991,5,FALSE))</f>
        <v>#NAME?</v>
      </c>
      <c r="AG31" t="str">
        <f ca="1">IFERROR(__xludf.DUMMYFUNCTION("""COMPUTED_VALUE"""),"Saif Seas Life - DSR")</f>
        <v>Saif Seas Life - DSR</v>
      </c>
      <c r="AH31" t="str">
        <f ca="1">IFERROR(__xludf.DUMMYFUNCTION("""COMPUTED_VALUE"""),"Current Sensor Assy")</f>
        <v>Current Sensor Assy</v>
      </c>
      <c r="AI31">
        <f ca="1">IFERROR(__xludf.DUMMYFUNCTION("""COMPUTED_VALUE"""),1)</f>
        <v>1</v>
      </c>
      <c r="AJ31" t="str">
        <f ca="1">IFERROR(__xludf.DUMMYFUNCTION("""COMPUTED_VALUE"""),"Number")</f>
        <v>Number</v>
      </c>
      <c r="AK31" t="e">
        <f ca="1">_xludf.IFNA(VLOOKUP(AG31,'S-FG'!$B$3:$B1001,1,FALSE),"")</f>
        <v>#NAME?</v>
      </c>
      <c r="AL31" t="e">
        <f ca="1">IF(AH31="","",SUMIFS(#REF!,RM!$C$4:$C991,AH31))</f>
        <v>#REF!</v>
      </c>
    </row>
    <row r="32" spans="1:38">
      <c r="A32" t="str">
        <f ca="1">IFERROR(__xludf.DUMMYFUNCTION("""COMPUTED_VALUE"""),"Saif Seas Life - DSR")</f>
        <v>Saif Seas Life - DSR</v>
      </c>
      <c r="B32" t="str">
        <f ca="1">IFERROR(__xludf.DUMMYFUNCTION("""COMPUTED_VALUE"""),"RPM Sensor Assy")</f>
        <v>RPM Sensor Assy</v>
      </c>
      <c r="C32">
        <f ca="1">IFERROR(__xludf.DUMMYFUNCTION("""COMPUTED_VALUE"""),1)</f>
        <v>1</v>
      </c>
      <c r="D32" t="str">
        <f ca="1">IFERROR(__xludf.DUMMYFUNCTION("""COMPUTED_VALUE"""),"Number")</f>
        <v>Number</v>
      </c>
      <c r="E32">
        <f ca="1">IF(A32="","",SUMIFS(Issue!$D$3:$D1001,Issue!$C$3:$C1001,A32)*C32)</f>
        <v>41</v>
      </c>
      <c r="F32" t="e">
        <f ca="1">_xludf.IFNA(VLOOKUP(B32,'S-FG'!$B$3:$B1001,1,FALSE),"")</f>
        <v>#NAME?</v>
      </c>
      <c r="H32" t="str">
        <f ca="1">IFERROR(__xludf.DUMMYFUNCTION("""COMPUTED_VALUE"""),"STBD_ESC Assy")</f>
        <v>STBD_ESC Assy</v>
      </c>
      <c r="I32" t="str">
        <f ca="1">IFERROR(__xludf.DUMMYFUNCTION("""COMPUTED_VALUE"""),"Ferrite Core")</f>
        <v>Ferrite Core</v>
      </c>
      <c r="J32">
        <f ca="1">IFERROR(__xludf.DUMMYFUNCTION("""COMPUTED_VALUE"""),1)</f>
        <v>1</v>
      </c>
      <c r="K32" t="str">
        <f ca="1">IFERROR(__xludf.DUMMYFUNCTION("""COMPUTED_VALUE"""),"CF199T1306C")</f>
        <v>CF199T1306C</v>
      </c>
      <c r="L32">
        <f t="shared" ca="1" si="0"/>
        <v>0</v>
      </c>
      <c r="Q32" t="str">
        <f>IF(N32="","",SUMIFS(Issue!$D$3:$D1001,Issue!$C$3:$C1001,N32))</f>
        <v/>
      </c>
      <c r="S32" t="str">
        <f ca="1">IFERROR(__xludf.DUMMYFUNCTION("""COMPUTED_VALUE"""),"Red 12AWG")</f>
        <v>Red 12AWG</v>
      </c>
      <c r="X32" t="e">
        <f ca="1"/>
        <v>#NAME?</v>
      </c>
      <c r="Y32" t="e">
        <f t="shared" ca="1" si="1"/>
        <v>#NAME?</v>
      </c>
      <c r="Z32" t="e">
        <f ca="1">IF(X32="","",SUMIFS(#REF!,RM!$C$4:$C991,X32))</f>
        <v>#NAME?</v>
      </c>
      <c r="AA32" t="e">
        <f ca="1">IF(X32="","",SUMIFS(#REF!,RM!$C$4:$C991,X32))</f>
        <v>#NAME?</v>
      </c>
      <c r="AB32" t="e">
        <f t="shared" ca="1" si="2"/>
        <v>#NAME?</v>
      </c>
      <c r="AC32" t="e">
        <f ca="1">IF(X32="","",VLOOKUP($X32,RM!$C$4:$G991,3,FALSE))</f>
        <v>#NAME?</v>
      </c>
      <c r="AD32" t="e">
        <f ca="1">IF(X32="","",VLOOKUP($X32,RM!$C$4:$G991,4,FALSE))</f>
        <v>#NAME?</v>
      </c>
      <c r="AE32" t="e">
        <f ca="1">IF(X32="","",VLOOKUP($X32,RM!$C$4:$G991,5,FALSE))</f>
        <v>#NAME?</v>
      </c>
      <c r="AG32" t="str">
        <f ca="1">IFERROR(__xludf.DUMMYFUNCTION("""COMPUTED_VALUE"""),"Saif Seas Life - DSR")</f>
        <v>Saif Seas Life - DSR</v>
      </c>
      <c r="AH32" t="str">
        <f ca="1">IFERROR(__xludf.DUMMYFUNCTION("""COMPUTED_VALUE"""),"RPM Sensor Assy")</f>
        <v>RPM Sensor Assy</v>
      </c>
      <c r="AI32">
        <f ca="1">IFERROR(__xludf.DUMMYFUNCTION("""COMPUTED_VALUE"""),1)</f>
        <v>1</v>
      </c>
      <c r="AJ32" t="str">
        <f ca="1">IFERROR(__xludf.DUMMYFUNCTION("""COMPUTED_VALUE"""),"Number")</f>
        <v>Number</v>
      </c>
      <c r="AK32" t="e">
        <f ca="1">_xludf.IFNA(VLOOKUP(AG32,'S-FG'!$B$3:$B1001,1,FALSE),"")</f>
        <v>#NAME?</v>
      </c>
      <c r="AL32" t="e">
        <f ca="1">IF(AH32="","",SUMIFS(#REF!,RM!$C$4:$C991,AH32))</f>
        <v>#REF!</v>
      </c>
    </row>
    <row r="33" spans="1:38">
      <c r="A33" t="str">
        <f ca="1">IFERROR(__xludf.DUMMYFUNCTION("""COMPUTED_VALUE"""),"Saif Seas Life - DSR")</f>
        <v>Saif Seas Life - DSR</v>
      </c>
      <c r="B33" t="str">
        <f ca="1">IFERROR(__xludf.DUMMYFUNCTION("""COMPUTED_VALUE"""),"R9MX Adapter")</f>
        <v>R9MX Adapter</v>
      </c>
      <c r="C33">
        <f ca="1">IFERROR(__xludf.DUMMYFUNCTION("""COMPUTED_VALUE"""),1)</f>
        <v>1</v>
      </c>
      <c r="D33" t="str">
        <f ca="1">IFERROR(__xludf.DUMMYFUNCTION("""COMPUTED_VALUE"""),"Number")</f>
        <v>Number</v>
      </c>
      <c r="E33">
        <f ca="1">IF(A33="","",SUMIFS(Issue!$D$3:$D1001,Issue!$C$3:$C1001,A33)*C33)</f>
        <v>41</v>
      </c>
      <c r="F33" t="e">
        <f ca="1">_xludf.IFNA(VLOOKUP(B33,'S-FG'!$B$3:$B1001,1,FALSE),"")</f>
        <v>#NAME?</v>
      </c>
      <c r="H33" t="str">
        <f ca="1">IFERROR(__xludf.DUMMYFUNCTION("""COMPUTED_VALUE"""),"STBD_ESC Assy")</f>
        <v>STBD_ESC Assy</v>
      </c>
      <c r="I33" t="str">
        <f ca="1">IFERROR(__xludf.DUMMYFUNCTION("""COMPUTED_VALUE"""),"16AWG Lead")</f>
        <v>16AWG Lead</v>
      </c>
      <c r="J33">
        <f ca="1">IFERROR(__xludf.DUMMYFUNCTION("""COMPUTED_VALUE"""),5)</f>
        <v>5</v>
      </c>
      <c r="K33" t="str">
        <f ca="1">IFERROR(__xludf.DUMMYFUNCTION("""COMPUTED_VALUE"""),"blank")</f>
        <v>blank</v>
      </c>
      <c r="L33">
        <f t="shared" ca="1" si="0"/>
        <v>0</v>
      </c>
      <c r="Q33" t="str">
        <f>IF(N33="","",SUMIFS(Issue!$D$3:$D1001,Issue!$C$3:$C1001,N33))</f>
        <v/>
      </c>
      <c r="S33" t="str">
        <f ca="1">IFERROR(__xludf.DUMMYFUNCTION("""COMPUTED_VALUE"""),"Ferrite Core")</f>
        <v>Ferrite Core</v>
      </c>
      <c r="X33" t="e">
        <f ca="1"/>
        <v>#NAME?</v>
      </c>
      <c r="Y33" t="e">
        <f t="shared" ca="1" si="1"/>
        <v>#NAME?</v>
      </c>
      <c r="Z33" t="e">
        <f ca="1">IF(X33="","",SUMIFS(#REF!,RM!$C$4:$C991,X33))</f>
        <v>#NAME?</v>
      </c>
      <c r="AA33" t="e">
        <f ca="1">IF(X33="","",SUMIFS(#REF!,RM!$C$4:$C991,X33))</f>
        <v>#NAME?</v>
      </c>
      <c r="AB33" t="e">
        <f t="shared" ca="1" si="2"/>
        <v>#NAME?</v>
      </c>
      <c r="AC33" t="e">
        <f ca="1">IF(X33="","",VLOOKUP($X33,RM!$C$4:$G991,3,FALSE))</f>
        <v>#NAME?</v>
      </c>
      <c r="AD33" t="e">
        <f ca="1">IF(X33="","",VLOOKUP($X33,RM!$C$4:$G991,4,FALSE))</f>
        <v>#NAME?</v>
      </c>
      <c r="AE33" t="e">
        <f ca="1">IF(X33="","",VLOOKUP($X33,RM!$C$4:$G991,5,FALSE))</f>
        <v>#NAME?</v>
      </c>
      <c r="AG33" t="str">
        <f ca="1">IFERROR(__xludf.DUMMYFUNCTION("""COMPUTED_VALUE"""),"Saif Seas Life - DSR")</f>
        <v>Saif Seas Life - DSR</v>
      </c>
      <c r="AH33" t="str">
        <f ca="1">IFERROR(__xludf.DUMMYFUNCTION("""COMPUTED_VALUE"""),"R9MX Adapter")</f>
        <v>R9MX Adapter</v>
      </c>
      <c r="AI33">
        <f ca="1">IFERROR(__xludf.DUMMYFUNCTION("""COMPUTED_VALUE"""),1)</f>
        <v>1</v>
      </c>
      <c r="AJ33" t="str">
        <f ca="1">IFERROR(__xludf.DUMMYFUNCTION("""COMPUTED_VALUE"""),"Number")</f>
        <v>Number</v>
      </c>
      <c r="AK33" t="e">
        <f ca="1">_xludf.IFNA(VLOOKUP(AG33,'S-FG'!$B$3:$B1001,1,FALSE),"")</f>
        <v>#NAME?</v>
      </c>
      <c r="AL33" t="e">
        <f ca="1">IF(AH33="","",SUMIFS(#REF!,RM!$C$4:$C991,AH33))</f>
        <v>#REF!</v>
      </c>
    </row>
    <row r="34" spans="1:38">
      <c r="A34" t="str">
        <f ca="1">IFERROR(__xludf.DUMMYFUNCTION("""COMPUTED_VALUE"""),"Saif Seas Life - DSR")</f>
        <v>Saif Seas Life - DSR</v>
      </c>
      <c r="B34" t="str">
        <f ca="1">IFERROR(__xludf.DUMMYFUNCTION("""COMPUTED_VALUE"""),"Final Packing")</f>
        <v>Final Packing</v>
      </c>
      <c r="C34">
        <f ca="1">IFERROR(__xludf.DUMMYFUNCTION("""COMPUTED_VALUE"""),1)</f>
        <v>1</v>
      </c>
      <c r="D34" t="str">
        <f ca="1">IFERROR(__xludf.DUMMYFUNCTION("""COMPUTED_VALUE"""),"Number")</f>
        <v>Number</v>
      </c>
      <c r="E34">
        <f ca="1">IF(A34="","",SUMIFS(Issue!$D$3:$D1001,Issue!$C$3:$C1001,A34)*C34)</f>
        <v>41</v>
      </c>
      <c r="F34" t="e">
        <f ca="1">_xludf.IFNA(VLOOKUP(B34,'S-FG'!$B$3:$B1001,1,FALSE),"")</f>
        <v>#NAME?</v>
      </c>
      <c r="H34" t="str">
        <f ca="1">IFERROR(__xludf.DUMMYFUNCTION("""COMPUTED_VALUE"""),"STBD_ESC Assy")</f>
        <v>STBD_ESC Assy</v>
      </c>
      <c r="I34" t="str">
        <f ca="1">IFERROR(__xludf.DUMMYFUNCTION("""COMPUTED_VALUE"""),"Heatshrink Tube 9:3")</f>
        <v>Heatshrink Tube 9:3</v>
      </c>
      <c r="J34">
        <f ca="1">IFERROR(__xludf.DUMMYFUNCTION("""COMPUTED_VALUE"""),0.05)</f>
        <v>0.05</v>
      </c>
      <c r="K34" t="str">
        <f ca="1">IFERROR(__xludf.DUMMYFUNCTION("""COMPUTED_VALUE"""),"blank")</f>
        <v>blank</v>
      </c>
      <c r="L34">
        <f t="shared" ca="1" si="0"/>
        <v>0</v>
      </c>
      <c r="Q34" t="str">
        <f>IF(N34="","",SUMIFS(Issue!$D$3:$D1001,Issue!$C$3:$C1001,N34))</f>
        <v/>
      </c>
      <c r="S34" t="str">
        <f ca="1">IFERROR(__xludf.DUMMYFUNCTION("""COMPUTED_VALUE"""),"16AWG Lead")</f>
        <v>16AWG Lead</v>
      </c>
      <c r="X34" t="e">
        <f ca="1"/>
        <v>#NAME?</v>
      </c>
      <c r="Y34" t="e">
        <f t="shared" ca="1" si="1"/>
        <v>#NAME?</v>
      </c>
      <c r="Z34" t="e">
        <f ca="1">IF(X34="","",SUMIFS(#REF!,RM!$C$4:$C991,X34))</f>
        <v>#NAME?</v>
      </c>
      <c r="AA34" t="e">
        <f ca="1">IF(X34="","",SUMIFS(#REF!,RM!$C$4:$C991,X34))</f>
        <v>#NAME?</v>
      </c>
      <c r="AB34" t="e">
        <f t="shared" ca="1" si="2"/>
        <v>#NAME?</v>
      </c>
      <c r="AC34" t="e">
        <f ca="1">IF(X34="","",VLOOKUP($X34,RM!$C$4:$G991,3,FALSE))</f>
        <v>#NAME?</v>
      </c>
      <c r="AD34" t="e">
        <f ca="1">IF(X34="","",VLOOKUP($X34,RM!$C$4:$G991,4,FALSE))</f>
        <v>#NAME?</v>
      </c>
      <c r="AE34" t="e">
        <f ca="1">IF(X34="","",VLOOKUP($X34,RM!$C$4:$G991,5,FALSE))</f>
        <v>#NAME?</v>
      </c>
      <c r="AG34" t="str">
        <f ca="1">IFERROR(__xludf.DUMMYFUNCTION("""COMPUTED_VALUE"""),"Saif Seas Life - DSR")</f>
        <v>Saif Seas Life - DSR</v>
      </c>
      <c r="AH34" t="str">
        <f ca="1">IFERROR(__xludf.DUMMYFUNCTION("""COMPUTED_VALUE"""),"Final Packing")</f>
        <v>Final Packing</v>
      </c>
      <c r="AI34">
        <f ca="1">IFERROR(__xludf.DUMMYFUNCTION("""COMPUTED_VALUE"""),1)</f>
        <v>1</v>
      </c>
      <c r="AJ34" t="str">
        <f ca="1">IFERROR(__xludf.DUMMYFUNCTION("""COMPUTED_VALUE"""),"Number")</f>
        <v>Number</v>
      </c>
      <c r="AK34" t="e">
        <f ca="1">_xludf.IFNA(VLOOKUP(AG34,'S-FG'!$B$3:$B1001,1,FALSE),"")</f>
        <v>#NAME?</v>
      </c>
      <c r="AL34" t="e">
        <f ca="1">IF(AH34="","",SUMIFS(#REF!,RM!$C$4:$C991,AH34))</f>
        <v>#REF!</v>
      </c>
    </row>
    <row r="35" spans="1:38">
      <c r="A35" t="str">
        <f ca="1">IFERROR(__xludf.DUMMYFUNCTION("""COMPUTED_VALUE"""),"Saif Seas Life - DSR")</f>
        <v>Saif Seas Life - DSR</v>
      </c>
      <c r="B35" t="str">
        <f ca="1">IFERROR(__xludf.DUMMYFUNCTION("""COMPUTED_VALUE"""),"Bottom Block Assy")</f>
        <v>Bottom Block Assy</v>
      </c>
      <c r="C35">
        <f ca="1">IFERROR(__xludf.DUMMYFUNCTION("""COMPUTED_VALUE"""),1)</f>
        <v>1</v>
      </c>
      <c r="D35" t="str">
        <f ca="1">IFERROR(__xludf.DUMMYFUNCTION("""COMPUTED_VALUE"""),"Number")</f>
        <v>Number</v>
      </c>
      <c r="E35">
        <f ca="1">IF(A35="","",SUMIFS(Issue!$D$3:$D1001,Issue!$C$3:$C1001,A35)*C35)</f>
        <v>41</v>
      </c>
      <c r="F35" t="e">
        <f ca="1">_xludf.IFNA(VLOOKUP(B35,'S-FG'!$B$3:$B1001,1,FALSE),"")</f>
        <v>#NAME?</v>
      </c>
      <c r="H35" t="str">
        <f ca="1">IFERROR(__xludf.DUMMYFUNCTION("""COMPUTED_VALUE"""),"STBD_ESC Assy")</f>
        <v>STBD_ESC Assy</v>
      </c>
      <c r="I35" t="str">
        <f ca="1">IFERROR(__xludf.DUMMYFUNCTION("""COMPUTED_VALUE"""),"HeatShrink Tube 4.8/1.2")</f>
        <v>HeatShrink Tube 4.8/1.2</v>
      </c>
      <c r="J35">
        <f ca="1">IFERROR(__xludf.DUMMYFUNCTION("""COMPUTED_VALUE"""),0.05)</f>
        <v>0.05</v>
      </c>
      <c r="K35" t="str">
        <f ca="1">IFERROR(__xludf.DUMMYFUNCTION("""COMPUTED_VALUE"""),"blank")</f>
        <v>blank</v>
      </c>
      <c r="L35">
        <f t="shared" ca="1" si="0"/>
        <v>0</v>
      </c>
      <c r="Q35" t="str">
        <f>IF(N35="","",SUMIFS(Issue!$D$3:$D1001,Issue!$C$3:$C1001,N35))</f>
        <v/>
      </c>
      <c r="S35" t="str">
        <f ca="1">IFERROR(__xludf.DUMMYFUNCTION("""COMPUTED_VALUE"""),"Heatshrink Tube 9:3")</f>
        <v>Heatshrink Tube 9:3</v>
      </c>
      <c r="X35" t="e">
        <f ca="1"/>
        <v>#NAME?</v>
      </c>
      <c r="Y35" t="e">
        <f t="shared" ca="1" si="1"/>
        <v>#NAME?</v>
      </c>
      <c r="Z35" t="e">
        <f ca="1">IF(X35="","",SUMIFS(#REF!,RM!$C$4:$C991,X35))</f>
        <v>#NAME?</v>
      </c>
      <c r="AA35" t="e">
        <f ca="1">IF(X35="","",SUMIFS(#REF!,RM!$C$4:$C991,X35))</f>
        <v>#NAME?</v>
      </c>
      <c r="AB35" t="e">
        <f t="shared" ca="1" si="2"/>
        <v>#NAME?</v>
      </c>
      <c r="AC35" t="e">
        <f ca="1">IF(X35="","",VLOOKUP($X35,RM!$C$4:$G991,3,FALSE))</f>
        <v>#NAME?</v>
      </c>
      <c r="AD35" t="e">
        <f ca="1">IF(X35="","",VLOOKUP($X35,RM!$C$4:$G991,4,FALSE))</f>
        <v>#NAME?</v>
      </c>
      <c r="AE35" t="e">
        <f ca="1">IF(X35="","",VLOOKUP($X35,RM!$C$4:$G991,5,FALSE))</f>
        <v>#NAME?</v>
      </c>
      <c r="AG35" t="str">
        <f ca="1">IFERROR(__xludf.DUMMYFUNCTION("""COMPUTED_VALUE"""),"Saif Seas Life - DSR")</f>
        <v>Saif Seas Life - DSR</v>
      </c>
      <c r="AH35" t="str">
        <f ca="1">IFERROR(__xludf.DUMMYFUNCTION("""COMPUTED_VALUE"""),"Bottom Block Assy")</f>
        <v>Bottom Block Assy</v>
      </c>
      <c r="AI35">
        <f ca="1">IFERROR(__xludf.DUMMYFUNCTION("""COMPUTED_VALUE"""),1)</f>
        <v>1</v>
      </c>
      <c r="AJ35" t="str">
        <f ca="1">IFERROR(__xludf.DUMMYFUNCTION("""COMPUTED_VALUE"""),"Number")</f>
        <v>Number</v>
      </c>
      <c r="AK35" t="e">
        <f ca="1">_xludf.IFNA(VLOOKUP(AG35,'S-FG'!$B$3:$B1001,1,FALSE),"")</f>
        <v>#NAME?</v>
      </c>
      <c r="AL35" t="e">
        <f ca="1">IF(AH35="","",SUMIFS(#REF!,RM!$C$4:$C991,AH35))</f>
        <v>#REF!</v>
      </c>
    </row>
    <row r="36" spans="1:38">
      <c r="E36" t="str">
        <f>IF(A36="","",SUMIFS(Issue!$D$3:$D1001,Issue!$C$3:$C1001,A36)*C36)</f>
        <v/>
      </c>
      <c r="F36" t="e">
        <f ca="1">_xludf.IFNA(VLOOKUP(B36,'S-FG'!$B$3:$B1001,1,FALSE),"")</f>
        <v>#NAME?</v>
      </c>
      <c r="H36" t="str">
        <f ca="1">IFERROR(__xludf.DUMMYFUNCTION("""COMPUTED_VALUE"""),"STBD_ESC Assy")</f>
        <v>STBD_ESC Assy</v>
      </c>
      <c r="I36" t="str">
        <f ca="1">IFERROR(__xludf.DUMMYFUNCTION("""COMPUTED_VALUE"""),"HV130 ESC")</f>
        <v>HV130 ESC</v>
      </c>
      <c r="J36">
        <f ca="1">IFERROR(__xludf.DUMMYFUNCTION("""COMPUTED_VALUE"""),1)</f>
        <v>1</v>
      </c>
      <c r="K36" t="str">
        <f ca="1">IFERROR(__xludf.DUMMYFUNCTION("""COMPUTED_VALUE"""),"blank")</f>
        <v>blank</v>
      </c>
      <c r="L36">
        <f t="shared" ca="1" si="0"/>
        <v>0</v>
      </c>
      <c r="Q36" t="str">
        <f>IF(N36="","",SUMIFS(Issue!$D$3:$D1001,Issue!$C$3:$C1001,N36))</f>
        <v/>
      </c>
      <c r="S36" t="str">
        <f ca="1">IFERROR(__xludf.DUMMYFUNCTION("""COMPUTED_VALUE"""),"HeatShrink Tube 4.8/1.2")</f>
        <v>HeatShrink Tube 4.8/1.2</v>
      </c>
      <c r="X36" t="e">
        <f ca="1"/>
        <v>#NAME?</v>
      </c>
      <c r="Y36" t="e">
        <f t="shared" ca="1" si="1"/>
        <v>#NAME?</v>
      </c>
      <c r="Z36" t="e">
        <f ca="1">IF(X36="","",SUMIFS(#REF!,RM!$C$4:$C991,X36))</f>
        <v>#NAME?</v>
      </c>
      <c r="AA36" t="e">
        <f ca="1">IF(X36="","",SUMIFS(#REF!,RM!$C$4:$C991,X36))</f>
        <v>#NAME?</v>
      </c>
      <c r="AB36" t="e">
        <f t="shared" ca="1" si="2"/>
        <v>#NAME?</v>
      </c>
      <c r="AC36" t="e">
        <f ca="1">IF(X36="","",VLOOKUP($X36,RM!$C$4:$G991,3,FALSE))</f>
        <v>#NAME?</v>
      </c>
      <c r="AD36" t="e">
        <f ca="1">IF(X36="","",VLOOKUP($X36,RM!$C$4:$G991,4,FALSE))</f>
        <v>#NAME?</v>
      </c>
      <c r="AE36" t="e">
        <f ca="1">IF(X36="","",VLOOKUP($X36,RM!$C$4:$G991,5,FALSE))</f>
        <v>#NAME?</v>
      </c>
      <c r="AG36" t="str">
        <f ca="1">IFERROR(__xludf.DUMMYFUNCTION("""COMPUTED_VALUE"""),"Jet Motor Assy")</f>
        <v>Jet Motor Assy</v>
      </c>
      <c r="AH36" t="str">
        <f ca="1">IFERROR(__xludf.DUMMYFUNCTION("""COMPUTED_VALUE"""),"Coupling Hood")</f>
        <v>Coupling Hood</v>
      </c>
      <c r="AI36">
        <f ca="1">IFERROR(__xludf.DUMMYFUNCTION("""COMPUTED_VALUE"""),1)</f>
        <v>1</v>
      </c>
      <c r="AK36" t="e">
        <f ca="1">_xludf.IFNA(VLOOKUP(AG36,'S-FG'!$B$3:$B1001,1,FALSE),"")</f>
        <v>#NAME?</v>
      </c>
      <c r="AL36" t="e">
        <f ca="1">IF(AH36="","",SUMIFS(#REF!,RM!$C$4:$C991,AH36))</f>
        <v>#REF!</v>
      </c>
    </row>
    <row r="37" spans="1:38">
      <c r="E37" t="str">
        <f>IF(A37="","",SUMIFS(Issue!$D$3:$D1001,Issue!$C$3:$C1001,A37)*C37)</f>
        <v/>
      </c>
      <c r="F37" t="e">
        <f ca="1">_xludf.IFNA(VLOOKUP(B37,'S-FG'!$B$3:$B1001,1,FALSE),"")</f>
        <v>#NAME?</v>
      </c>
      <c r="H37" t="str">
        <f ca="1">IFERROR(__xludf.DUMMYFUNCTION("""COMPUTED_VALUE"""),"PORT_ESC Assy")</f>
        <v>PORT_ESC Assy</v>
      </c>
      <c r="I37" t="str">
        <f ca="1">IFERROR(__xludf.DUMMYFUNCTION("""COMPUTED_VALUE"""),"5.5mm Female Bullet connector")</f>
        <v>5.5mm Female Bullet connector</v>
      </c>
      <c r="J37">
        <f ca="1">IFERROR(__xludf.DUMMYFUNCTION("""COMPUTED_VALUE"""),1)</f>
        <v>1</v>
      </c>
      <c r="K37" t="str">
        <f ca="1">IFERROR(__xludf.DUMMYFUNCTION("""COMPUTED_VALUE"""),"blank")</f>
        <v>blank</v>
      </c>
      <c r="L37">
        <f t="shared" ca="1" si="0"/>
        <v>0</v>
      </c>
      <c r="Q37" t="str">
        <f>IF(N37="","",SUMIFS(Issue!$D$3:$D1001,Issue!$C$3:$C1001,N37))</f>
        <v/>
      </c>
      <c r="S37" t="str">
        <f ca="1">IFERROR(__xludf.DUMMYFUNCTION("""COMPUTED_VALUE"""),"HV130 ESC")</f>
        <v>HV130 ESC</v>
      </c>
      <c r="X37" t="e">
        <f ca="1"/>
        <v>#NAME?</v>
      </c>
      <c r="Y37" t="e">
        <f t="shared" ca="1" si="1"/>
        <v>#NAME?</v>
      </c>
      <c r="Z37" t="e">
        <f ca="1">IF(X37="","",SUMIFS(#REF!,RM!$C$4:$C991,X37))</f>
        <v>#NAME?</v>
      </c>
      <c r="AA37" t="e">
        <f ca="1">IF(X37="","",SUMIFS(#REF!,RM!$C$4:$C991,X37))</f>
        <v>#NAME?</v>
      </c>
      <c r="AB37" t="e">
        <f t="shared" ca="1" si="2"/>
        <v>#NAME?</v>
      </c>
      <c r="AC37" t="e">
        <f ca="1">IF(X37="","",VLOOKUP($X37,RM!$C$4:$G991,3,FALSE))</f>
        <v>#NAME?</v>
      </c>
      <c r="AD37" t="e">
        <f ca="1">IF(X37="","",VLOOKUP($X37,RM!$C$4:$G991,4,FALSE))</f>
        <v>#NAME?</v>
      </c>
      <c r="AE37" t="e">
        <f ca="1">IF(X37="","",VLOOKUP($X37,RM!$C$4:$G991,5,FALSE))</f>
        <v>#NAME?</v>
      </c>
      <c r="AG37" t="str">
        <f ca="1">IFERROR(__xludf.DUMMYFUNCTION("""COMPUTED_VALUE"""),"Jet Motor Assy")</f>
        <v>Jet Motor Assy</v>
      </c>
      <c r="AH37" t="str">
        <f ca="1">IFERROR(__xludf.DUMMYFUNCTION("""COMPUTED_VALUE"""),"Battery Clamp")</f>
        <v>Battery Clamp</v>
      </c>
      <c r="AI37">
        <f ca="1">IFERROR(__xludf.DUMMYFUNCTION("""COMPUTED_VALUE"""),2)</f>
        <v>2</v>
      </c>
      <c r="AJ37" t="str">
        <f ca="1">IFERROR(__xludf.DUMMYFUNCTION("""COMPUTED_VALUE"""),"blank")</f>
        <v>blank</v>
      </c>
      <c r="AK37" t="e">
        <f ca="1">_xludf.IFNA(VLOOKUP(AG37,'S-FG'!$B$3:$B1001,1,FALSE),"")</f>
        <v>#NAME?</v>
      </c>
      <c r="AL37" t="e">
        <f ca="1">IF(AH37="","",SUMIFS(#REF!,RM!$C$4:$C991,AH37))</f>
        <v>#REF!</v>
      </c>
    </row>
    <row r="38" spans="1:38">
      <c r="E38" t="str">
        <f>IF(A38="","",SUMIFS(Issue!$D$3:$D1001,Issue!$C$3:$C1001,A38)*C38)</f>
        <v/>
      </c>
      <c r="F38" t="e">
        <f ca="1">_xludf.IFNA(VLOOKUP(B38,'S-FG'!$B$3:$B1001,1,FALSE),"")</f>
        <v>#NAME?</v>
      </c>
      <c r="H38" t="str">
        <f ca="1">IFERROR(__xludf.DUMMYFUNCTION("""COMPUTED_VALUE"""),"PORT_ESC Assy")</f>
        <v>PORT_ESC Assy</v>
      </c>
      <c r="I38" t="str">
        <f ca="1">IFERROR(__xludf.DUMMYFUNCTION("""COMPUTED_VALUE"""),"4mm Male Bullet connector")</f>
        <v>4mm Male Bullet connector</v>
      </c>
      <c r="J38">
        <f ca="1">IFERROR(__xludf.DUMMYFUNCTION("""COMPUTED_VALUE"""),2)</f>
        <v>2</v>
      </c>
      <c r="K38" t="str">
        <f ca="1">IFERROR(__xludf.DUMMYFUNCTION("""COMPUTED_VALUE"""),"blank")</f>
        <v>blank</v>
      </c>
      <c r="L38">
        <f t="shared" ca="1" si="0"/>
        <v>0</v>
      </c>
      <c r="Q38" t="str">
        <f>IF(N38="","",SUMIFS(Issue!$D$3:$D1001,Issue!$C$3:$C1001,N38))</f>
        <v/>
      </c>
      <c r="S38" t="str">
        <f ca="1">IFERROR(__xludf.DUMMYFUNCTION("""COMPUTED_VALUE"""),"5.5mm Female Bullet connector")</f>
        <v>5.5mm Female Bullet connector</v>
      </c>
      <c r="X38" t="e">
        <f ca="1"/>
        <v>#NAME?</v>
      </c>
      <c r="Y38" t="e">
        <f t="shared" ca="1" si="1"/>
        <v>#NAME?</v>
      </c>
      <c r="Z38" t="e">
        <f ca="1">IF(X38="","",SUMIFS(#REF!,RM!$C$4:$C991,X38))</f>
        <v>#NAME?</v>
      </c>
      <c r="AA38" t="e">
        <f ca="1">IF(X38="","",SUMIFS(#REF!,RM!$C$4:$C991,X38))</f>
        <v>#NAME?</v>
      </c>
      <c r="AB38" t="e">
        <f t="shared" ca="1" si="2"/>
        <v>#NAME?</v>
      </c>
      <c r="AC38" t="e">
        <f ca="1">IF(X38="","",VLOOKUP($X38,RM!$C$4:$G991,3,FALSE))</f>
        <v>#NAME?</v>
      </c>
      <c r="AD38" t="e">
        <f ca="1">IF(X38="","",VLOOKUP($X38,RM!$C$4:$G991,4,FALSE))</f>
        <v>#NAME?</v>
      </c>
      <c r="AE38" t="e">
        <f ca="1">IF(X38="","",VLOOKUP($X38,RM!$C$4:$G991,5,FALSE))</f>
        <v>#NAME?</v>
      </c>
      <c r="AG38" t="str">
        <f ca="1">IFERROR(__xludf.DUMMYFUNCTION("""COMPUTED_VALUE"""),"Jet Motor Assy")</f>
        <v>Jet Motor Assy</v>
      </c>
      <c r="AH38" t="str">
        <f ca="1">IFERROR(__xludf.DUMMYFUNCTION("""COMPUTED_VALUE"""),"M4x25 Hex Head")</f>
        <v>M4x25 Hex Head</v>
      </c>
      <c r="AI38">
        <f ca="1">IFERROR(__xludf.DUMMYFUNCTION("""COMPUTED_VALUE"""),4)</f>
        <v>4</v>
      </c>
      <c r="AJ38" t="str">
        <f ca="1">IFERROR(__xludf.DUMMYFUNCTION("""COMPUTED_VALUE"""),"blank")</f>
        <v>blank</v>
      </c>
      <c r="AK38" t="e">
        <f ca="1">_xludf.IFNA(VLOOKUP(AG38,'S-FG'!$B$3:$B1001,1,FALSE),"")</f>
        <v>#NAME?</v>
      </c>
      <c r="AL38" t="e">
        <f ca="1">IF(AH38="","",SUMIFS(#REF!,RM!$C$4:$C991,AH38))</f>
        <v>#REF!</v>
      </c>
    </row>
    <row r="39" spans="1:38">
      <c r="E39" t="str">
        <f>IF(A39="","",SUMIFS(Issue!$D$3:$D1001,Issue!$C$3:$C1001,A39)*C39)</f>
        <v/>
      </c>
      <c r="F39" t="e">
        <f ca="1">_xludf.IFNA(VLOOKUP(B39,'S-FG'!$B$3:$B1001,1,FALSE),"")</f>
        <v>#NAME?</v>
      </c>
      <c r="H39" t="str">
        <f ca="1">IFERROR(__xludf.DUMMYFUNCTION("""COMPUTED_VALUE"""),"PORT_ESC Assy")</f>
        <v>PORT_ESC Assy</v>
      </c>
      <c r="I39" t="str">
        <f ca="1">IFERROR(__xludf.DUMMYFUNCTION("""COMPUTED_VALUE"""),"4mm Female Bullet connector")</f>
        <v>4mm Female Bullet connector</v>
      </c>
      <c r="J39">
        <f ca="1">IFERROR(__xludf.DUMMYFUNCTION("""COMPUTED_VALUE"""),1)</f>
        <v>1</v>
      </c>
      <c r="K39" t="str">
        <f ca="1">IFERROR(__xludf.DUMMYFUNCTION("""COMPUTED_VALUE"""),"blank")</f>
        <v>blank</v>
      </c>
      <c r="L39">
        <f t="shared" ca="1" si="0"/>
        <v>0</v>
      </c>
      <c r="Q39" t="str">
        <f>IF(N39="","",SUMIFS(Issue!$D$3:$D1001,Issue!$C$3:$C1001,N39))</f>
        <v/>
      </c>
      <c r="S39" t="str">
        <f ca="1">IFERROR(__xludf.DUMMYFUNCTION("""COMPUTED_VALUE"""),"4mm Male Bullet connector")</f>
        <v>4mm Male Bullet connector</v>
      </c>
      <c r="X39" t="e">
        <f ca="1"/>
        <v>#NAME?</v>
      </c>
      <c r="Y39" t="e">
        <f t="shared" ca="1" si="1"/>
        <v>#NAME?</v>
      </c>
      <c r="Z39" t="e">
        <f ca="1">IF(X39="","",SUMIFS(#REF!,RM!$C$4:$C991,X39))</f>
        <v>#NAME?</v>
      </c>
      <c r="AA39" t="e">
        <f ca="1">IF(X39="","",SUMIFS(#REF!,RM!$C$4:$C991,X39))</f>
        <v>#NAME?</v>
      </c>
      <c r="AB39" t="e">
        <f t="shared" ca="1" si="2"/>
        <v>#NAME?</v>
      </c>
      <c r="AC39" t="e">
        <f ca="1">IF(X39="","",VLOOKUP($X39,RM!$C$4:$G991,3,FALSE))</f>
        <v>#NAME?</v>
      </c>
      <c r="AD39" t="e">
        <f ca="1">IF(X39="","",VLOOKUP($X39,RM!$C$4:$G991,4,FALSE))</f>
        <v>#NAME?</v>
      </c>
      <c r="AE39" t="e">
        <f ca="1">IF(X39="","",VLOOKUP($X39,RM!$C$4:$G991,5,FALSE))</f>
        <v>#NAME?</v>
      </c>
      <c r="AG39" t="str">
        <f ca="1">IFERROR(__xludf.DUMMYFUNCTION("""COMPUTED_VALUE"""),"Jet Motor Assy")</f>
        <v>Jet Motor Assy</v>
      </c>
      <c r="AH39" t="str">
        <f ca="1">IFERROR(__xludf.DUMMYFUNCTION("""COMPUTED_VALUE"""),"M4 Square Nut")</f>
        <v>M4 Square Nut</v>
      </c>
      <c r="AI39">
        <f ca="1">IFERROR(__xludf.DUMMYFUNCTION("""COMPUTED_VALUE"""),7)</f>
        <v>7</v>
      </c>
      <c r="AJ39" t="str">
        <f ca="1">IFERROR(__xludf.DUMMYFUNCTION("""COMPUTED_VALUE"""),"blank")</f>
        <v>blank</v>
      </c>
      <c r="AK39" t="e">
        <f ca="1">_xludf.IFNA(VLOOKUP(AG39,'S-FG'!$B$3:$B1001,1,FALSE),"")</f>
        <v>#NAME?</v>
      </c>
      <c r="AL39" t="e">
        <f ca="1">IF(AH39="","",SUMIFS(#REF!,RM!$C$4:$C991,AH39))</f>
        <v>#REF!</v>
      </c>
    </row>
    <row r="40" spans="1:38">
      <c r="E40" t="str">
        <f>IF(A40="","",SUMIFS(Issue!$D$3:$D1001,Issue!$C$3:$C1001,A40)*C40)</f>
        <v/>
      </c>
      <c r="F40" t="e">
        <f ca="1">_xludf.IFNA(VLOOKUP(B40,'S-FG'!$B$3:$B1001,1,FALSE),"")</f>
        <v>#NAME?</v>
      </c>
      <c r="H40" t="str">
        <f ca="1">IFERROR(__xludf.DUMMYFUNCTION("""COMPUTED_VALUE"""),"PORT_ESC Assy")</f>
        <v>PORT_ESC Assy</v>
      </c>
      <c r="I40" t="str">
        <f ca="1">IFERROR(__xludf.DUMMYFUNCTION("""COMPUTED_VALUE"""),"Red 12AWG")</f>
        <v>Red 12AWG</v>
      </c>
      <c r="J40">
        <f ca="1">IFERROR(__xludf.DUMMYFUNCTION("""COMPUTED_VALUE"""),0.55)</f>
        <v>0.55000000000000004</v>
      </c>
      <c r="K40" t="str">
        <f ca="1">IFERROR(__xludf.DUMMYFUNCTION("""COMPUTED_VALUE"""),"blank")</f>
        <v>blank</v>
      </c>
      <c r="L40">
        <f t="shared" ca="1" si="0"/>
        <v>0</v>
      </c>
      <c r="Q40" t="str">
        <f>IF(N40="","",SUMIFS(Issue!$D$3:$D1001,Issue!$C$3:$C1001,N40))</f>
        <v/>
      </c>
      <c r="S40" t="str">
        <f ca="1">IFERROR(__xludf.DUMMYFUNCTION("""COMPUTED_VALUE"""),"4mm Female Bullet connector")</f>
        <v>4mm Female Bullet connector</v>
      </c>
      <c r="X40" t="e">
        <f ca="1"/>
        <v>#NAME?</v>
      </c>
      <c r="Y40" t="e">
        <f t="shared" ca="1" si="1"/>
        <v>#NAME?</v>
      </c>
      <c r="Z40" t="e">
        <f ca="1">IF(X40="","",SUMIFS(#REF!,RM!$C$4:$C991,X40))</f>
        <v>#NAME?</v>
      </c>
      <c r="AA40" t="e">
        <f ca="1">IF(X40="","",SUMIFS(#REF!,RM!$C$4:$C991,X40))</f>
        <v>#NAME?</v>
      </c>
      <c r="AB40" t="e">
        <f t="shared" ca="1" si="2"/>
        <v>#NAME?</v>
      </c>
      <c r="AC40" t="e">
        <f ca="1">IF(X40="","",VLOOKUP($X40,RM!$C$4:$G991,3,FALSE))</f>
        <v>#NAME?</v>
      </c>
      <c r="AD40" t="e">
        <f ca="1">IF(X40="","",VLOOKUP($X40,RM!$C$4:$G991,4,FALSE))</f>
        <v>#NAME?</v>
      </c>
      <c r="AE40" t="e">
        <f ca="1">IF(X40="","",VLOOKUP($X40,RM!$C$4:$G991,5,FALSE))</f>
        <v>#NAME?</v>
      </c>
      <c r="AG40" t="str">
        <f ca="1">IFERROR(__xludf.DUMMYFUNCTION("""COMPUTED_VALUE"""),"Jet Motor Assy")</f>
        <v>Jet Motor Assy</v>
      </c>
      <c r="AH40" t="str">
        <f ca="1">IFERROR(__xludf.DUMMYFUNCTION("""COMPUTED_VALUE"""),"M4 Nyloc")</f>
        <v>M4 Nyloc</v>
      </c>
      <c r="AI40">
        <f ca="1">IFERROR(__xludf.DUMMYFUNCTION("""COMPUTED_VALUE"""),16)</f>
        <v>16</v>
      </c>
      <c r="AJ40" t="str">
        <f ca="1">IFERROR(__xludf.DUMMYFUNCTION("""COMPUTED_VALUE"""),"blank")</f>
        <v>blank</v>
      </c>
      <c r="AK40" t="e">
        <f ca="1">_xludf.IFNA(VLOOKUP(AG40,'S-FG'!$B$3:$B1001,1,FALSE),"")</f>
        <v>#NAME?</v>
      </c>
      <c r="AL40" t="e">
        <f ca="1">IF(AH40="","",SUMIFS(#REF!,RM!$C$4:$C991,AH40))</f>
        <v>#REF!</v>
      </c>
    </row>
    <row r="41" spans="1:38">
      <c r="E41" t="str">
        <f>IF(A41="","",SUMIFS(Issue!$D$3:$D1001,Issue!$C$3:$C1001,A41)*C41)</f>
        <v/>
      </c>
      <c r="F41" t="e">
        <f ca="1">_xludf.IFNA(VLOOKUP(B41,'S-FG'!$B$3:$B1001,1,FALSE),"")</f>
        <v>#NAME?</v>
      </c>
      <c r="H41" t="str">
        <f ca="1">IFERROR(__xludf.DUMMYFUNCTION("""COMPUTED_VALUE"""),"PORT_ESC Assy")</f>
        <v>PORT_ESC Assy</v>
      </c>
      <c r="I41" t="str">
        <f ca="1">IFERROR(__xludf.DUMMYFUNCTION("""COMPUTED_VALUE"""),"Ferrite Core")</f>
        <v>Ferrite Core</v>
      </c>
      <c r="J41">
        <f ca="1">IFERROR(__xludf.DUMMYFUNCTION("""COMPUTED_VALUE"""),1)</f>
        <v>1</v>
      </c>
      <c r="K41" t="str">
        <f ca="1">IFERROR(__xludf.DUMMYFUNCTION("""COMPUTED_VALUE"""),"CF199T1306C")</f>
        <v>CF199T1306C</v>
      </c>
      <c r="L41">
        <f t="shared" ca="1" si="0"/>
        <v>0</v>
      </c>
      <c r="Q41" t="str">
        <f>IF(N41="","",SUMIFS(Issue!$D$3:$D1001,Issue!$C$3:$C1001,N41))</f>
        <v/>
      </c>
      <c r="S41" t="str">
        <f ca="1">IFERROR(__xludf.DUMMYFUNCTION("""COMPUTED_VALUE"""),"Red 12AWG")</f>
        <v>Red 12AWG</v>
      </c>
      <c r="X41" t="e">
        <f ca="1"/>
        <v>#NAME?</v>
      </c>
      <c r="Y41" t="e">
        <f t="shared" ca="1" si="1"/>
        <v>#NAME?</v>
      </c>
      <c r="Z41" t="e">
        <f ca="1">IF(X41="","",SUMIFS(#REF!,RM!$C$4:$C991,X41))</f>
        <v>#NAME?</v>
      </c>
      <c r="AA41" t="e">
        <f ca="1">IF(X41="","",SUMIFS(#REF!,RM!$C$4:$C991,X41))</f>
        <v>#NAME?</v>
      </c>
      <c r="AB41" t="e">
        <f t="shared" ca="1" si="2"/>
        <v>#NAME?</v>
      </c>
      <c r="AC41" t="e">
        <f ca="1">IF(X41="","",VLOOKUP($X41,RM!$C$4:$G991,3,FALSE))</f>
        <v>#NAME?</v>
      </c>
      <c r="AD41" t="e">
        <f ca="1">IF(X41="","",VLOOKUP($X41,RM!$C$4:$G991,4,FALSE))</f>
        <v>#NAME?</v>
      </c>
      <c r="AE41" t="e">
        <f ca="1">IF(X41="","",VLOOKUP($X41,RM!$C$4:$G991,5,FALSE))</f>
        <v>#NAME?</v>
      </c>
      <c r="AG41" t="str">
        <f ca="1">IFERROR(__xludf.DUMMYFUNCTION("""COMPUTED_VALUE"""),"Jet Motor Assy")</f>
        <v>Jet Motor Assy</v>
      </c>
      <c r="AH41" t="str">
        <f ca="1">IFERROR(__xludf.DUMMYFUNCTION("""COMPUTED_VALUE"""),"M4 Spring washer")</f>
        <v>M4 Spring washer</v>
      </c>
      <c r="AI41">
        <f ca="1">IFERROR(__xludf.DUMMYFUNCTION("""COMPUTED_VALUE"""),20)</f>
        <v>20</v>
      </c>
      <c r="AJ41" t="str">
        <f ca="1">IFERROR(__xludf.DUMMYFUNCTION("""COMPUTED_VALUE"""),"blank")</f>
        <v>blank</v>
      </c>
      <c r="AK41" t="e">
        <f ca="1">_xludf.IFNA(VLOOKUP(AG41,'S-FG'!$B$3:$B1001,1,FALSE),"")</f>
        <v>#NAME?</v>
      </c>
      <c r="AL41" t="e">
        <f ca="1">IF(AH41="","",SUMIFS(#REF!,RM!$C$4:$C991,AH41))</f>
        <v>#REF!</v>
      </c>
    </row>
    <row r="42" spans="1:38">
      <c r="E42" t="str">
        <f>IF(A42="","",SUMIFS(Issue!$D$3:$D1001,Issue!$C$3:$C1001,A42)*C42)</f>
        <v/>
      </c>
      <c r="F42" t="e">
        <f ca="1">_xludf.IFNA(VLOOKUP(B42,'S-FG'!$B$3:$B1001,1,FALSE),"")</f>
        <v>#NAME?</v>
      </c>
      <c r="H42" t="str">
        <f ca="1">IFERROR(__xludf.DUMMYFUNCTION("""COMPUTED_VALUE"""),"PORT_ESC Assy")</f>
        <v>PORT_ESC Assy</v>
      </c>
      <c r="I42" t="str">
        <f ca="1">IFERROR(__xludf.DUMMYFUNCTION("""COMPUTED_VALUE"""),"16AWG Lead")</f>
        <v>16AWG Lead</v>
      </c>
      <c r="J42">
        <f ca="1">IFERROR(__xludf.DUMMYFUNCTION("""COMPUTED_VALUE"""),5)</f>
        <v>5</v>
      </c>
      <c r="K42" t="str">
        <f ca="1">IFERROR(__xludf.DUMMYFUNCTION("""COMPUTED_VALUE"""),"blank")</f>
        <v>blank</v>
      </c>
      <c r="L42">
        <f t="shared" ca="1" si="0"/>
        <v>0</v>
      </c>
      <c r="Q42" t="str">
        <f>IF(N42="","",SUMIFS(Issue!$D$3:$D1001,Issue!$C$3:$C1001,N42))</f>
        <v/>
      </c>
      <c r="S42" t="str">
        <f ca="1">IFERROR(__xludf.DUMMYFUNCTION("""COMPUTED_VALUE"""),"Ferrite Core")</f>
        <v>Ferrite Core</v>
      </c>
      <c r="X42" t="e">
        <f ca="1"/>
        <v>#NAME?</v>
      </c>
      <c r="Y42" t="e">
        <f t="shared" ca="1" si="1"/>
        <v>#NAME?</v>
      </c>
      <c r="Z42" t="e">
        <f ca="1">IF(X42="","",SUMIFS(#REF!,RM!$C$4:$C991,X42))</f>
        <v>#NAME?</v>
      </c>
      <c r="AA42" t="e">
        <f ca="1">IF(X42="","",SUMIFS(#REF!,RM!$C$4:$C991,X42))</f>
        <v>#NAME?</v>
      </c>
      <c r="AB42" t="e">
        <f t="shared" ca="1" si="2"/>
        <v>#NAME?</v>
      </c>
      <c r="AC42" t="e">
        <f ca="1">IF(X42="","",VLOOKUP($X42,RM!$C$4:$G991,3,FALSE))</f>
        <v>#NAME?</v>
      </c>
      <c r="AD42" t="e">
        <f ca="1">IF(X42="","",VLOOKUP($X42,RM!$C$4:$G991,4,FALSE))</f>
        <v>#NAME?</v>
      </c>
      <c r="AE42" t="e">
        <f ca="1">IF(X42="","",VLOOKUP($X42,RM!$C$4:$G991,5,FALSE))</f>
        <v>#NAME?</v>
      </c>
      <c r="AG42" t="str">
        <f ca="1">IFERROR(__xludf.DUMMYFUNCTION("""COMPUTED_VALUE"""),"Jet Motor Assy")</f>
        <v>Jet Motor Assy</v>
      </c>
      <c r="AH42" t="str">
        <f ca="1">IFERROR(__xludf.DUMMYFUNCTION("""COMPUTED_VALUE"""),"M4x12 plain washer")</f>
        <v>M4x12 plain washer</v>
      </c>
      <c r="AI42">
        <f ca="1">IFERROR(__xludf.DUMMYFUNCTION("""COMPUTED_VALUE"""),24)</f>
        <v>24</v>
      </c>
      <c r="AJ42" t="str">
        <f ca="1">IFERROR(__xludf.DUMMYFUNCTION("""COMPUTED_VALUE"""),"blank")</f>
        <v>blank</v>
      </c>
      <c r="AK42" t="e">
        <f ca="1">_xludf.IFNA(VLOOKUP(AG42,'S-FG'!$B$3:$B1001,1,FALSE),"")</f>
        <v>#NAME?</v>
      </c>
      <c r="AL42" t="e">
        <f ca="1">IF(AH42="","",SUMIFS(#REF!,RM!$C$4:$C991,AH42))</f>
        <v>#REF!</v>
      </c>
    </row>
    <row r="43" spans="1:38">
      <c r="E43" t="str">
        <f>IF(A43="","",SUMIFS(Issue!$D$3:$D1001,Issue!$C$3:$C1001,A43)*C43)</f>
        <v/>
      </c>
      <c r="F43" t="e">
        <f ca="1">_xludf.IFNA(VLOOKUP(B43,'S-FG'!$B$3:$B1001,1,FALSE),"")</f>
        <v>#NAME?</v>
      </c>
      <c r="H43" t="str">
        <f ca="1">IFERROR(__xludf.DUMMYFUNCTION("""COMPUTED_VALUE"""),"PORT_ESC Assy")</f>
        <v>PORT_ESC Assy</v>
      </c>
      <c r="I43" t="str">
        <f ca="1">IFERROR(__xludf.DUMMYFUNCTION("""COMPUTED_VALUE"""),"Heatshrink Tube 9:3")</f>
        <v>Heatshrink Tube 9:3</v>
      </c>
      <c r="J43">
        <f ca="1">IFERROR(__xludf.DUMMYFUNCTION("""COMPUTED_VALUE"""),0.05)</f>
        <v>0.05</v>
      </c>
      <c r="K43" t="str">
        <f ca="1">IFERROR(__xludf.DUMMYFUNCTION("""COMPUTED_VALUE"""),"blank")</f>
        <v>blank</v>
      </c>
      <c r="L43">
        <f t="shared" ca="1" si="0"/>
        <v>0</v>
      </c>
      <c r="Q43" t="str">
        <f>IF(N43="","",SUMIFS(Issue!$D$3:$D1001,Issue!$C$3:$C1001,N43))</f>
        <v/>
      </c>
      <c r="S43" t="str">
        <f ca="1">IFERROR(__xludf.DUMMYFUNCTION("""COMPUTED_VALUE"""),"16AWG Lead")</f>
        <v>16AWG Lead</v>
      </c>
      <c r="X43" t="e">
        <f ca="1"/>
        <v>#NAME?</v>
      </c>
      <c r="Y43" t="e">
        <f t="shared" ca="1" si="1"/>
        <v>#NAME?</v>
      </c>
      <c r="Z43" t="e">
        <f ca="1">IF(X43="","",SUMIFS(#REF!,RM!$C$4:$C991,X43))</f>
        <v>#NAME?</v>
      </c>
      <c r="AA43" t="e">
        <f ca="1">IF(X43="","",SUMIFS(#REF!,RM!$C$4:$C991,X43))</f>
        <v>#NAME?</v>
      </c>
      <c r="AB43" t="e">
        <f t="shared" ca="1" si="2"/>
        <v>#NAME?</v>
      </c>
      <c r="AC43" t="e">
        <f ca="1">IF(X43="","",VLOOKUP($X43,RM!$C$4:$G991,3,FALSE))</f>
        <v>#NAME?</v>
      </c>
      <c r="AD43" t="e">
        <f ca="1">IF(X43="","",VLOOKUP($X43,RM!$C$4:$G991,4,FALSE))</f>
        <v>#NAME?</v>
      </c>
      <c r="AE43" t="e">
        <f ca="1">IF(X43="","",VLOOKUP($X43,RM!$C$4:$G991,5,FALSE))</f>
        <v>#NAME?</v>
      </c>
      <c r="AG43" t="str">
        <f ca="1">IFERROR(__xludf.DUMMYFUNCTION("""COMPUTED_VALUE"""),"Jet Motor Assy")</f>
        <v>Jet Motor Assy</v>
      </c>
      <c r="AH43" t="str">
        <f ca="1">IFERROR(__xludf.DUMMYFUNCTION("""COMPUTED_VALUE"""),"M4x16 CSK Phillips")</f>
        <v>M4x16 CSK Phillips</v>
      </c>
      <c r="AI43">
        <f ca="1">IFERROR(__xludf.DUMMYFUNCTION("""COMPUTED_VALUE"""),4)</f>
        <v>4</v>
      </c>
      <c r="AJ43" t="str">
        <f ca="1">IFERROR(__xludf.DUMMYFUNCTION("""COMPUTED_VALUE"""),"blank")</f>
        <v>blank</v>
      </c>
      <c r="AK43" t="e">
        <f ca="1">_xludf.IFNA(VLOOKUP(AG43,'S-FG'!$B$3:$B1001,1,FALSE),"")</f>
        <v>#NAME?</v>
      </c>
      <c r="AL43" t="e">
        <f ca="1">IF(AH43="","",SUMIFS(#REF!,RM!$C$4:$C991,AH43))</f>
        <v>#REF!</v>
      </c>
    </row>
    <row r="44" spans="1:38">
      <c r="E44" t="str">
        <f>IF(A44="","",SUMIFS(Issue!$D$3:$D1001,Issue!$C$3:$C1001,A44)*C44)</f>
        <v/>
      </c>
      <c r="F44" t="e">
        <f ca="1">_xludf.IFNA(VLOOKUP(B44,'S-FG'!$B$3:$B1001,1,FALSE),"")</f>
        <v>#NAME?</v>
      </c>
      <c r="H44" t="str">
        <f ca="1">IFERROR(__xludf.DUMMYFUNCTION("""COMPUTED_VALUE"""),"PORT_ESC Assy")</f>
        <v>PORT_ESC Assy</v>
      </c>
      <c r="I44" t="str">
        <f ca="1">IFERROR(__xludf.DUMMYFUNCTION("""COMPUTED_VALUE"""),"HeatShrink Tube 4.8/1.2")</f>
        <v>HeatShrink Tube 4.8/1.2</v>
      </c>
      <c r="J44">
        <f ca="1">IFERROR(__xludf.DUMMYFUNCTION("""COMPUTED_VALUE"""),0.05)</f>
        <v>0.05</v>
      </c>
      <c r="K44" t="str">
        <f ca="1">IFERROR(__xludf.DUMMYFUNCTION("""COMPUTED_VALUE"""),"blank")</f>
        <v>blank</v>
      </c>
      <c r="L44">
        <f t="shared" ca="1" si="0"/>
        <v>0</v>
      </c>
      <c r="Q44" t="str">
        <f>IF(N44="","",SUMIFS(Issue!$D$3:$D1001,Issue!$C$3:$C1001,N44))</f>
        <v/>
      </c>
      <c r="S44" t="str">
        <f ca="1">IFERROR(__xludf.DUMMYFUNCTION("""COMPUTED_VALUE"""),"Heatshrink Tube 9:3")</f>
        <v>Heatshrink Tube 9:3</v>
      </c>
      <c r="X44" t="e">
        <f ca="1"/>
        <v>#NAME?</v>
      </c>
      <c r="Y44" t="e">
        <f t="shared" ca="1" si="1"/>
        <v>#NAME?</v>
      </c>
      <c r="Z44" t="e">
        <f ca="1">IF(X44="","",SUMIFS(#REF!,RM!$C$4:$C991,X44))</f>
        <v>#NAME?</v>
      </c>
      <c r="AA44" t="e">
        <f ca="1">IF(X44="","",SUMIFS(#REF!,RM!$C$4:$C991,X44))</f>
        <v>#NAME?</v>
      </c>
      <c r="AB44" t="e">
        <f t="shared" ca="1" si="2"/>
        <v>#NAME?</v>
      </c>
      <c r="AC44" t="e">
        <f ca="1">IF(X44="","",VLOOKUP($X44,RM!$C$4:$G991,3,FALSE))</f>
        <v>#NAME?</v>
      </c>
      <c r="AD44" t="e">
        <f ca="1">IF(X44="","",VLOOKUP($X44,RM!$C$4:$G991,4,FALSE))</f>
        <v>#NAME?</v>
      </c>
      <c r="AE44" t="e">
        <f ca="1">IF(X44="","",VLOOKUP($X44,RM!$C$4:$G991,5,FALSE))</f>
        <v>#NAME?</v>
      </c>
      <c r="AG44" t="str">
        <f ca="1">IFERROR(__xludf.DUMMYFUNCTION("""COMPUTED_VALUE"""),"Jet Motor Assy")</f>
        <v>Jet Motor Assy</v>
      </c>
      <c r="AH44" t="str">
        <f ca="1">IFERROR(__xludf.DUMMYFUNCTION("""COMPUTED_VALUE"""),"M4x10 CSK Phillips ")</f>
        <v xml:space="preserve">M4x10 CSK Phillips </v>
      </c>
      <c r="AI44">
        <f ca="1">IFERROR(__xludf.DUMMYFUNCTION("""COMPUTED_VALUE"""),0)</f>
        <v>0</v>
      </c>
      <c r="AJ44" t="str">
        <f ca="1">IFERROR(__xludf.DUMMYFUNCTION("""COMPUTED_VALUE"""),"blank")</f>
        <v>blank</v>
      </c>
      <c r="AK44" t="e">
        <f ca="1">_xludf.IFNA(VLOOKUP(AG44,'S-FG'!$B$3:$B1001,1,FALSE),"")</f>
        <v>#NAME?</v>
      </c>
      <c r="AL44" t="e">
        <f ca="1">IF(AH44="","",SUMIFS(#REF!,RM!$C$4:$C991,AH44))</f>
        <v>#REF!</v>
      </c>
    </row>
    <row r="45" spans="1:38">
      <c r="E45" t="str">
        <f>IF(A45="","",SUMIFS(Issue!$D$3:$D1001,Issue!$C$3:$C1001,A45)*C45)</f>
        <v/>
      </c>
      <c r="F45" t="e">
        <f ca="1">_xludf.IFNA(VLOOKUP(B45,'S-FG'!$B$3:$B1001,1,FALSE),"")</f>
        <v>#NAME?</v>
      </c>
      <c r="H45" t="str">
        <f ca="1">IFERROR(__xludf.DUMMYFUNCTION("""COMPUTED_VALUE"""),"PORT_ESC Assy")</f>
        <v>PORT_ESC Assy</v>
      </c>
      <c r="I45" t="str">
        <f ca="1">IFERROR(__xludf.DUMMYFUNCTION("""COMPUTED_VALUE"""),"HV130 ESC")</f>
        <v>HV130 ESC</v>
      </c>
      <c r="J45">
        <f ca="1">IFERROR(__xludf.DUMMYFUNCTION("""COMPUTED_VALUE"""),1)</f>
        <v>1</v>
      </c>
      <c r="K45" t="str">
        <f ca="1">IFERROR(__xludf.DUMMYFUNCTION("""COMPUTED_VALUE"""),"blank")</f>
        <v>blank</v>
      </c>
      <c r="L45">
        <f t="shared" ca="1" si="0"/>
        <v>0</v>
      </c>
      <c r="Q45" t="str">
        <f>IF(N45="","",SUMIFS(Issue!$D$3:$D1001,Issue!$C$3:$C1001,N45))</f>
        <v/>
      </c>
      <c r="S45" t="str">
        <f ca="1">IFERROR(__xludf.DUMMYFUNCTION("""COMPUTED_VALUE"""),"HeatShrink Tube 4.8/1.2")</f>
        <v>HeatShrink Tube 4.8/1.2</v>
      </c>
      <c r="X45" t="e">
        <f ca="1"/>
        <v>#NAME?</v>
      </c>
      <c r="Y45" t="e">
        <f t="shared" ca="1" si="1"/>
        <v>#NAME?</v>
      </c>
      <c r="Z45" t="e">
        <f ca="1">IF(X45="","",SUMIFS(#REF!,RM!$C$4:$C991,X45))</f>
        <v>#NAME?</v>
      </c>
      <c r="AA45" t="e">
        <f ca="1">IF(X45="","",SUMIFS(#REF!,RM!$C$4:$C991,X45))</f>
        <v>#NAME?</v>
      </c>
      <c r="AB45" t="e">
        <f t="shared" ca="1" si="2"/>
        <v>#NAME?</v>
      </c>
      <c r="AC45" t="e">
        <f ca="1">IF(X45="","",VLOOKUP($X45,RM!$C$4:$G991,3,FALSE))</f>
        <v>#NAME?</v>
      </c>
      <c r="AD45" t="e">
        <f ca="1">IF(X45="","",VLOOKUP($X45,RM!$C$4:$G991,4,FALSE))</f>
        <v>#NAME?</v>
      </c>
      <c r="AE45" t="e">
        <f ca="1">IF(X45="","",VLOOKUP($X45,RM!$C$4:$G991,5,FALSE))</f>
        <v>#NAME?</v>
      </c>
      <c r="AG45" t="str">
        <f ca="1">IFERROR(__xludf.DUMMYFUNCTION("""COMPUTED_VALUE"""),"Jet Motor Assy")</f>
        <v>Jet Motor Assy</v>
      </c>
      <c r="AH45" t="str">
        <f ca="1">IFERROR(__xludf.DUMMYFUNCTION("""COMPUTED_VALUE"""),"M4x20 CSK Phillips")</f>
        <v>M4x20 CSK Phillips</v>
      </c>
      <c r="AI45">
        <f ca="1">IFERROR(__xludf.DUMMYFUNCTION("""COMPUTED_VALUE"""),8)</f>
        <v>8</v>
      </c>
      <c r="AJ45" t="str">
        <f ca="1">IFERROR(__xludf.DUMMYFUNCTION("""COMPUTED_VALUE"""),"blank")</f>
        <v>blank</v>
      </c>
      <c r="AK45" t="e">
        <f ca="1">_xludf.IFNA(VLOOKUP(AG45,'S-FG'!$B$3:$B1001,1,FALSE),"")</f>
        <v>#NAME?</v>
      </c>
      <c r="AL45" t="e">
        <f ca="1">IF(AH45="","",SUMIFS(#REF!,RM!$C$4:$C991,AH45))</f>
        <v>#REF!</v>
      </c>
    </row>
    <row r="46" spans="1:38">
      <c r="E46" t="str">
        <f>IF(A46="","",SUMIFS(Issue!$D$3:$D1001,Issue!$C$3:$C1001,A46)*C46)</f>
        <v/>
      </c>
      <c r="F46" t="e">
        <f ca="1">_xludf.IFNA(VLOOKUP(B46,'S-FG'!$B$3:$B1001,1,FALSE),"")</f>
        <v>#NAME?</v>
      </c>
      <c r="H46" t="str">
        <f ca="1">IFERROR(__xludf.DUMMYFUNCTION("""COMPUTED_VALUE"""),"STBD Signal PM Assy")</f>
        <v>STBD Signal PM Assy</v>
      </c>
      <c r="I46" t="str">
        <f ca="1">IFERROR(__xludf.DUMMYFUNCTION("""COMPUTED_VALUE"""),"15 pin JST-XH housing")</f>
        <v>15 pin JST-XH housing</v>
      </c>
      <c r="J46">
        <f ca="1">IFERROR(__xludf.DUMMYFUNCTION("""COMPUTED_VALUE"""),1)</f>
        <v>1</v>
      </c>
      <c r="K46" t="str">
        <f ca="1">IFERROR(__xludf.DUMMYFUNCTION("""COMPUTED_VALUE"""),"blank")</f>
        <v>blank</v>
      </c>
      <c r="L46">
        <f t="shared" ca="1" si="0"/>
        <v>0</v>
      </c>
      <c r="Q46" t="str">
        <f>IF(N46="","",SUMIFS(Issue!$D$3:$D1001,Issue!$C$3:$C1001,N46))</f>
        <v/>
      </c>
      <c r="S46" t="str">
        <f ca="1">IFERROR(__xludf.DUMMYFUNCTION("""COMPUTED_VALUE"""),"HV130 ESC")</f>
        <v>HV130 ESC</v>
      </c>
      <c r="X46" t="e">
        <f ca="1"/>
        <v>#NAME?</v>
      </c>
      <c r="Y46" t="e">
        <f t="shared" ca="1" si="1"/>
        <v>#NAME?</v>
      </c>
      <c r="Z46" t="e">
        <f ca="1">IF(X46="","",SUMIFS(#REF!,RM!$C$4:$C991,X46))</f>
        <v>#NAME?</v>
      </c>
      <c r="AA46" t="e">
        <f ca="1">IF(X46="","",SUMIFS(#REF!,RM!$C$4:$C991,X46))</f>
        <v>#NAME?</v>
      </c>
      <c r="AB46" t="e">
        <f t="shared" ca="1" si="2"/>
        <v>#NAME?</v>
      </c>
      <c r="AC46" t="e">
        <f ca="1">IF(X46="","",VLOOKUP($X46,RM!$C$4:$G991,3,FALSE))</f>
        <v>#NAME?</v>
      </c>
      <c r="AD46" t="e">
        <f ca="1">IF(X46="","",VLOOKUP($X46,RM!$C$4:$G991,4,FALSE))</f>
        <v>#NAME?</v>
      </c>
      <c r="AE46" t="e">
        <f ca="1">IF(X46="","",VLOOKUP($X46,RM!$C$4:$G991,5,FALSE))</f>
        <v>#NAME?</v>
      </c>
      <c r="AG46" t="str">
        <f ca="1">IFERROR(__xludf.DUMMYFUNCTION("""COMPUTED_VALUE"""),"Jet Motor Assy")</f>
        <v>Jet Motor Assy</v>
      </c>
      <c r="AH46" t="str">
        <f ca="1">IFERROR(__xludf.DUMMYFUNCTION("""COMPUTED_VALUE"""),"Grub M6x10 SS (Coupling tightening)")</f>
        <v>Grub M6x10 SS (Coupling tightening)</v>
      </c>
      <c r="AI46">
        <f ca="1">IFERROR(__xludf.DUMMYFUNCTION("""COMPUTED_VALUE"""),2)</f>
        <v>2</v>
      </c>
      <c r="AJ46" t="str">
        <f ca="1">IFERROR(__xludf.DUMMYFUNCTION("""COMPUTED_VALUE"""),"blank")</f>
        <v>blank</v>
      </c>
      <c r="AK46" t="e">
        <f ca="1">_xludf.IFNA(VLOOKUP(AG46,'S-FG'!$B$3:$B1001,1,FALSE),"")</f>
        <v>#NAME?</v>
      </c>
      <c r="AL46" t="e">
        <f ca="1">IF(AH46="","",SUMIFS(#REF!,RM!$C$4:$C991,AH46))</f>
        <v>#REF!</v>
      </c>
    </row>
    <row r="47" spans="1:38">
      <c r="E47" t="str">
        <f>IF(A47="","",SUMIFS(Issue!$D$3:$D1001,Issue!$C$3:$C1001,A47)*C47)</f>
        <v/>
      </c>
      <c r="F47" t="e">
        <f ca="1">_xludf.IFNA(VLOOKUP(B47,'S-FG'!$B$3:$B1001,1,FALSE),"")</f>
        <v>#NAME?</v>
      </c>
      <c r="H47" t="str">
        <f ca="1">IFERROR(__xludf.DUMMYFUNCTION("""COMPUTED_VALUE"""),"STBD Signal PM Assy")</f>
        <v>STBD Signal PM Assy</v>
      </c>
      <c r="I47" t="str">
        <f ca="1">IFERROR(__xludf.DUMMYFUNCTION("""COMPUTED_VALUE"""),"10cm one sided JST crimped Black")</f>
        <v>10cm one sided JST crimped Black</v>
      </c>
      <c r="J47">
        <f ca="1">IFERROR(__xludf.DUMMYFUNCTION("""COMPUTED_VALUE"""),1)</f>
        <v>1</v>
      </c>
      <c r="K47" t="str">
        <f ca="1">IFERROR(__xludf.DUMMYFUNCTION("""COMPUTED_VALUE"""),"blank")</f>
        <v>blank</v>
      </c>
      <c r="L47">
        <f t="shared" ca="1" si="0"/>
        <v>0</v>
      </c>
      <c r="Q47" t="str">
        <f>IF(N47="","",SUMIFS(Issue!$D$3:$D1001,Issue!$C$3:$C1001,N47))</f>
        <v/>
      </c>
      <c r="S47" t="str">
        <f ca="1">IFERROR(__xludf.DUMMYFUNCTION("""COMPUTED_VALUE"""),"15 pin JST-XH housing")</f>
        <v>15 pin JST-XH housing</v>
      </c>
      <c r="X47" t="e">
        <f ca="1"/>
        <v>#NAME?</v>
      </c>
      <c r="Y47" t="e">
        <f t="shared" ca="1" si="1"/>
        <v>#NAME?</v>
      </c>
      <c r="Z47" t="e">
        <f ca="1">IF(X47="","",SUMIFS(#REF!,RM!$C$4:$C991,X47))</f>
        <v>#NAME?</v>
      </c>
      <c r="AA47" t="e">
        <f ca="1">IF(X47="","",SUMIFS(#REF!,RM!$C$4:$C991,X47))</f>
        <v>#NAME?</v>
      </c>
      <c r="AB47" t="e">
        <f t="shared" ca="1" si="2"/>
        <v>#NAME?</v>
      </c>
      <c r="AC47" t="e">
        <f ca="1">IF(X47="","",VLOOKUP($X47,RM!$C$4:$G991,3,FALSE))</f>
        <v>#NAME?</v>
      </c>
      <c r="AD47" t="e">
        <f ca="1">IF(X47="","",VLOOKUP($X47,RM!$C$4:$G991,4,FALSE))</f>
        <v>#NAME?</v>
      </c>
      <c r="AE47" t="e">
        <f ca="1">IF(X47="","",VLOOKUP($X47,RM!$C$4:$G991,5,FALSE))</f>
        <v>#NAME?</v>
      </c>
      <c r="AG47" t="str">
        <f ca="1">IFERROR(__xludf.DUMMYFUNCTION("""COMPUTED_VALUE"""),"Jet Motor Assy")</f>
        <v>Jet Motor Assy</v>
      </c>
      <c r="AH47" t="str">
        <f ca="1">IFERROR(__xludf.DUMMYFUNCTION("""COMPUTED_VALUE"""),"Rotex14 Coupling")</f>
        <v>Rotex14 Coupling</v>
      </c>
      <c r="AI47">
        <f ca="1">IFERROR(__xludf.DUMMYFUNCTION("""COMPUTED_VALUE"""),1)</f>
        <v>1</v>
      </c>
      <c r="AJ47" t="str">
        <f ca="1">IFERROR(__xludf.DUMMYFUNCTION("""COMPUTED_VALUE"""),"blank")</f>
        <v>blank</v>
      </c>
      <c r="AK47" t="e">
        <f ca="1">_xludf.IFNA(VLOOKUP(AG47,'S-FG'!$B$3:$B1001,1,FALSE),"")</f>
        <v>#NAME?</v>
      </c>
      <c r="AL47" t="e">
        <f ca="1">IF(AH47="","",SUMIFS(#REF!,RM!$C$4:$C991,AH47))</f>
        <v>#REF!</v>
      </c>
    </row>
    <row r="48" spans="1:38">
      <c r="E48" t="str">
        <f>IF(A48="","",SUMIFS(Issue!$D$3:$D1001,Issue!$C$3:$C1001,A48)*C48)</f>
        <v/>
      </c>
      <c r="F48" t="e">
        <f ca="1">_xludf.IFNA(VLOOKUP(B48,'S-FG'!$B$3:$B1001,1,FALSE),"")</f>
        <v>#NAME?</v>
      </c>
      <c r="H48" t="str">
        <f ca="1">IFERROR(__xludf.DUMMYFUNCTION("""COMPUTED_VALUE"""),"STBD Signal PM Assy")</f>
        <v>STBD Signal PM Assy</v>
      </c>
      <c r="I48" t="str">
        <f ca="1">IFERROR(__xludf.DUMMYFUNCTION("""COMPUTED_VALUE"""),"10cm one sided JST crimped Green")</f>
        <v>10cm one sided JST crimped Green</v>
      </c>
      <c r="J48">
        <f ca="1">IFERROR(__xludf.DUMMYFUNCTION("""COMPUTED_VALUE"""),1)</f>
        <v>1</v>
      </c>
      <c r="K48" t="str">
        <f ca="1">IFERROR(__xludf.DUMMYFUNCTION("""COMPUTED_VALUE"""),"blank")</f>
        <v>blank</v>
      </c>
      <c r="L48">
        <f t="shared" ca="1" si="0"/>
        <v>0</v>
      </c>
      <c r="Q48" t="str">
        <f>IF(N48="","",SUMIFS(Issue!$D$3:$D1001,Issue!$C$3:$C1001,N48))</f>
        <v/>
      </c>
      <c r="S48" t="str">
        <f ca="1">IFERROR(__xludf.DUMMYFUNCTION("""COMPUTED_VALUE"""),"10cm one sided JST crimped Black")</f>
        <v>10cm one sided JST crimped Black</v>
      </c>
      <c r="X48" t="e">
        <f ca="1"/>
        <v>#NAME?</v>
      </c>
      <c r="Y48" t="e">
        <f t="shared" ca="1" si="1"/>
        <v>#NAME?</v>
      </c>
      <c r="Z48" t="e">
        <f ca="1">IF(X48="","",SUMIFS(#REF!,RM!$C$4:$C991,X48))</f>
        <v>#NAME?</v>
      </c>
      <c r="AA48" t="e">
        <f ca="1">IF(X48="","",SUMIFS(#REF!,RM!$C$4:$C991,X48))</f>
        <v>#NAME?</v>
      </c>
      <c r="AB48" t="e">
        <f t="shared" ca="1" si="2"/>
        <v>#NAME?</v>
      </c>
      <c r="AC48" t="e">
        <f ca="1">IF(X48="","",VLOOKUP($X48,RM!$C$4:$G991,3,FALSE))</f>
        <v>#NAME?</v>
      </c>
      <c r="AD48" t="e">
        <f ca="1">IF(X48="","",VLOOKUP($X48,RM!$C$4:$G991,4,FALSE))</f>
        <v>#NAME?</v>
      </c>
      <c r="AE48" t="e">
        <f ca="1">IF(X48="","",VLOOKUP($X48,RM!$C$4:$G991,5,FALSE))</f>
        <v>#NAME?</v>
      </c>
      <c r="AG48" t="str">
        <f ca="1">IFERROR(__xludf.DUMMYFUNCTION("""COMPUTED_VALUE"""),"Jet Motor Assy")</f>
        <v>Jet Motor Assy</v>
      </c>
      <c r="AH48" t="str">
        <f ca="1">IFERROR(__xludf.DUMMYFUNCTION("""COMPUTED_VALUE"""),"Teroson MS930")</f>
        <v>Teroson MS930</v>
      </c>
      <c r="AI48">
        <f ca="1">IFERROR(__xludf.DUMMYFUNCTION("""COMPUTED_VALUE"""),15)</f>
        <v>15</v>
      </c>
      <c r="AJ48" t="str">
        <f ca="1">IFERROR(__xludf.DUMMYFUNCTION("""COMPUTED_VALUE"""),"blank")</f>
        <v>blank</v>
      </c>
      <c r="AK48" t="e">
        <f ca="1">_xludf.IFNA(VLOOKUP(AG48,'S-FG'!$B$3:$B1001,1,FALSE),"")</f>
        <v>#NAME?</v>
      </c>
      <c r="AL48" t="e">
        <f ca="1">IF(AH48="","",SUMIFS(#REF!,RM!$C$4:$C991,AH48))</f>
        <v>#REF!</v>
      </c>
    </row>
    <row r="49" spans="5:38">
      <c r="E49" t="str">
        <f>IF(A49="","",SUMIFS(Issue!$D$3:$D1001,Issue!$C$3:$C1001,A49)*C49)</f>
        <v/>
      </c>
      <c r="F49" t="e">
        <f ca="1">_xludf.IFNA(VLOOKUP(B49,'S-FG'!$B$3:$B1001,1,FALSE),"")</f>
        <v>#NAME?</v>
      </c>
      <c r="H49" t="str">
        <f ca="1">IFERROR(__xludf.DUMMYFUNCTION("""COMPUTED_VALUE"""),"STBD Signal PM Assy")</f>
        <v>STBD Signal PM Assy</v>
      </c>
      <c r="I49" t="str">
        <f ca="1">IFERROR(__xludf.DUMMYFUNCTION("""COMPUTED_VALUE"""),"10cm one sided JST crimped Voilet")</f>
        <v>10cm one sided JST crimped Voilet</v>
      </c>
      <c r="J49">
        <f ca="1">IFERROR(__xludf.DUMMYFUNCTION("""COMPUTED_VALUE"""),1)</f>
        <v>1</v>
      </c>
      <c r="K49" t="str">
        <f ca="1">IFERROR(__xludf.DUMMYFUNCTION("""COMPUTED_VALUE"""),"blank")</f>
        <v>blank</v>
      </c>
      <c r="L49">
        <f t="shared" ca="1" si="0"/>
        <v>0</v>
      </c>
      <c r="Q49" t="str">
        <f>IF(N49="","",SUMIFS(Issue!$D$3:$D1001,Issue!$C$3:$C1001,N49))</f>
        <v/>
      </c>
      <c r="S49" t="str">
        <f ca="1">IFERROR(__xludf.DUMMYFUNCTION("""COMPUTED_VALUE"""),"10cm one sided JST crimped Green")</f>
        <v>10cm one sided JST crimped Green</v>
      </c>
      <c r="X49" t="e">
        <f ca="1"/>
        <v>#NAME?</v>
      </c>
      <c r="Y49" t="e">
        <f t="shared" ca="1" si="1"/>
        <v>#NAME?</v>
      </c>
      <c r="Z49" t="e">
        <f ca="1">IF(X49="","",SUMIFS(#REF!,RM!$C$4:$C991,X49))</f>
        <v>#NAME?</v>
      </c>
      <c r="AA49" t="e">
        <f ca="1">IF(X49="","",SUMIFS(#REF!,RM!$C$4:$C991,X49))</f>
        <v>#NAME?</v>
      </c>
      <c r="AB49" t="e">
        <f t="shared" ca="1" si="2"/>
        <v>#NAME?</v>
      </c>
      <c r="AC49" t="e">
        <f ca="1">IF(X49="","",VLOOKUP($X49,RM!$C$4:$G991,3,FALSE))</f>
        <v>#NAME?</v>
      </c>
      <c r="AD49" t="e">
        <f ca="1">IF(X49="","",VLOOKUP($X49,RM!$C$4:$G991,4,FALSE))</f>
        <v>#NAME?</v>
      </c>
      <c r="AE49" t="e">
        <f ca="1">IF(X49="","",VLOOKUP($X49,RM!$C$4:$G991,5,FALSE))</f>
        <v>#NAME?</v>
      </c>
      <c r="AG49" t="str">
        <f ca="1">IFERROR(__xludf.DUMMYFUNCTION("""COMPUTED_VALUE"""),"Jet Motor Assy")</f>
        <v>Jet Motor Assy</v>
      </c>
      <c r="AH49" t="str">
        <f ca="1">IFERROR(__xludf.DUMMYFUNCTION("""COMPUTED_VALUE"""),"Nozzle on Jet")</f>
        <v>Nozzle on Jet</v>
      </c>
      <c r="AI49">
        <f ca="1">IFERROR(__xludf.DUMMYFUNCTION("""COMPUTED_VALUE"""),1)</f>
        <v>1</v>
      </c>
      <c r="AK49" t="e">
        <f ca="1">_xludf.IFNA(VLOOKUP(AG49,'S-FG'!$B$3:$B1001,1,FALSE),"")</f>
        <v>#NAME?</v>
      </c>
      <c r="AL49" t="e">
        <f ca="1">IF(AH49="","",SUMIFS(#REF!,RM!$C$4:$C991,AH49))</f>
        <v>#REF!</v>
      </c>
    </row>
    <row r="50" spans="5:38">
      <c r="E50" t="str">
        <f>IF(A50="","",SUMIFS(Issue!$D$3:$D1001,Issue!$C$3:$C1001,A50)*C50)</f>
        <v/>
      </c>
      <c r="F50" t="e">
        <f ca="1">_xludf.IFNA(VLOOKUP(B50,'S-FG'!$B$3:$B1001,1,FALSE),"")</f>
        <v>#NAME?</v>
      </c>
      <c r="H50" t="str">
        <f ca="1">IFERROR(__xludf.DUMMYFUNCTION("""COMPUTED_VALUE"""),"STBD Signal PM Assy")</f>
        <v>STBD Signal PM Assy</v>
      </c>
      <c r="I50" t="str">
        <f ca="1">IFERROR(__xludf.DUMMYFUNCTION("""COMPUTED_VALUE"""),"10cm one sided JST crimped Yellow")</f>
        <v>10cm one sided JST crimped Yellow</v>
      </c>
      <c r="J50">
        <f ca="1">IFERROR(__xludf.DUMMYFUNCTION("""COMPUTED_VALUE"""),1)</f>
        <v>1</v>
      </c>
      <c r="K50" t="str">
        <f ca="1">IFERROR(__xludf.DUMMYFUNCTION("""COMPUTED_VALUE"""),"blank")</f>
        <v>blank</v>
      </c>
      <c r="L50">
        <f t="shared" ca="1" si="0"/>
        <v>0</v>
      </c>
      <c r="Q50" t="str">
        <f>IF(N50="","",SUMIFS(Issue!$D$3:$D1001,Issue!$C$3:$C1001,N50))</f>
        <v/>
      </c>
      <c r="S50" t="str">
        <f ca="1">IFERROR(__xludf.DUMMYFUNCTION("""COMPUTED_VALUE"""),"10cm one sided JST crimped Voilet")</f>
        <v>10cm one sided JST crimped Voilet</v>
      </c>
      <c r="X50" t="e">
        <f ca="1"/>
        <v>#NAME?</v>
      </c>
      <c r="Y50" t="e">
        <f t="shared" ca="1" si="1"/>
        <v>#NAME?</v>
      </c>
      <c r="Z50" t="e">
        <f ca="1">IF(X50="","",SUMIFS(#REF!,RM!$C$4:$C991,X50))</f>
        <v>#NAME?</v>
      </c>
      <c r="AA50" t="e">
        <f ca="1">IF(X50="","",SUMIFS(#REF!,RM!$C$4:$C991,X50))</f>
        <v>#NAME?</v>
      </c>
      <c r="AB50" t="e">
        <f t="shared" ca="1" si="2"/>
        <v>#NAME?</v>
      </c>
      <c r="AC50" t="e">
        <f ca="1">IF(X50="","",VLOOKUP($X50,RM!$C$4:$G991,3,FALSE))</f>
        <v>#NAME?</v>
      </c>
      <c r="AD50" t="e">
        <f ca="1">IF(X50="","",VLOOKUP($X50,RM!$C$4:$G991,4,FALSE))</f>
        <v>#NAME?</v>
      </c>
      <c r="AE50" t="e">
        <f ca="1">IF(X50="","",VLOOKUP($X50,RM!$C$4:$G991,5,FALSE))</f>
        <v>#NAME?</v>
      </c>
      <c r="AG50" t="str">
        <f ca="1">IFERROR(__xludf.DUMMYFUNCTION("""COMPUTED_VALUE"""),"Jet Motor Assy")</f>
        <v>Jet Motor Assy</v>
      </c>
      <c r="AH50" t="str">
        <f ca="1">IFERROR(__xludf.DUMMYFUNCTION("""COMPUTED_VALUE"""),"Silicon hose pipe clip 7mm")</f>
        <v>Silicon hose pipe clip 7mm</v>
      </c>
      <c r="AI50">
        <f ca="1">IFERROR(__xludf.DUMMYFUNCTION("""COMPUTED_VALUE"""),1)</f>
        <v>1</v>
      </c>
      <c r="AJ50" t="str">
        <f ca="1">IFERROR(__xludf.DUMMYFUNCTION("""COMPUTED_VALUE"""),"blank")</f>
        <v>blank</v>
      </c>
      <c r="AK50" t="e">
        <f ca="1">_xludf.IFNA(VLOOKUP(AG50,'S-FG'!$B$3:$B1001,1,FALSE),"")</f>
        <v>#NAME?</v>
      </c>
      <c r="AL50" t="e">
        <f ca="1">IF(AH50="","",SUMIFS(#REF!,RM!$C$4:$C991,AH50))</f>
        <v>#REF!</v>
      </c>
    </row>
    <row r="51" spans="5:38">
      <c r="E51" t="str">
        <f>IF(A51="","",SUMIFS(Issue!$D$3:$D1001,Issue!$C$3:$C1001,A51)*C51)</f>
        <v/>
      </c>
      <c r="F51" t="e">
        <f ca="1">_xludf.IFNA(VLOOKUP(B51,'S-FG'!$B$3:$B1001,1,FALSE),"")</f>
        <v>#NAME?</v>
      </c>
      <c r="H51" t="str">
        <f ca="1">IFERROR(__xludf.DUMMYFUNCTION("""COMPUTED_VALUE"""),"STBD Signal PM Assy")</f>
        <v>STBD Signal PM Assy</v>
      </c>
      <c r="I51" t="str">
        <f ca="1">IFERROR(__xludf.DUMMYFUNCTION("""COMPUTED_VALUE"""),"10cm one sided JST crimped Sky Blue")</f>
        <v>10cm one sided JST crimped Sky Blue</v>
      </c>
      <c r="J51">
        <f ca="1">IFERROR(__xludf.DUMMYFUNCTION("""COMPUTED_VALUE"""),1)</f>
        <v>1</v>
      </c>
      <c r="K51" t="str">
        <f ca="1">IFERROR(__xludf.DUMMYFUNCTION("""COMPUTED_VALUE"""),"blank")</f>
        <v>blank</v>
      </c>
      <c r="L51">
        <f t="shared" ca="1" si="0"/>
        <v>0</v>
      </c>
      <c r="Q51" t="str">
        <f>IF(N51="","",SUMIFS(Issue!$D$3:$D1001,Issue!$C$3:$C1001,N51))</f>
        <v/>
      </c>
      <c r="S51" t="str">
        <f ca="1">IFERROR(__xludf.DUMMYFUNCTION("""COMPUTED_VALUE"""),"10cm one sided JST crimped Yellow")</f>
        <v>10cm one sided JST crimped Yellow</v>
      </c>
      <c r="X51" t="e">
        <f ca="1"/>
        <v>#NAME?</v>
      </c>
      <c r="Y51" t="e">
        <f t="shared" ca="1" si="1"/>
        <v>#NAME?</v>
      </c>
      <c r="Z51" t="e">
        <f ca="1">IF(X51="","",SUMIFS(#REF!,RM!$C$4:$C991,X51))</f>
        <v>#NAME?</v>
      </c>
      <c r="AA51" t="e">
        <f ca="1">IF(X51="","",SUMIFS(#REF!,RM!$C$4:$C991,X51))</f>
        <v>#NAME?</v>
      </c>
      <c r="AB51" t="e">
        <f t="shared" ca="1" si="2"/>
        <v>#NAME?</v>
      </c>
      <c r="AC51" t="e">
        <f ca="1">IF(X51="","",VLOOKUP($X51,RM!$C$4:$G991,3,FALSE))</f>
        <v>#NAME?</v>
      </c>
      <c r="AD51" t="e">
        <f ca="1">IF(X51="","",VLOOKUP($X51,RM!$C$4:$G991,4,FALSE))</f>
        <v>#NAME?</v>
      </c>
      <c r="AE51" t="e">
        <f ca="1">IF(X51="","",VLOOKUP($X51,RM!$C$4:$G991,5,FALSE))</f>
        <v>#NAME?</v>
      </c>
      <c r="AG51" t="str">
        <f ca="1">IFERROR(__xludf.DUMMYFUNCTION("""COMPUTED_VALUE"""),"Jet Motor Assy")</f>
        <v>Jet Motor Assy</v>
      </c>
      <c r="AH51" t="str">
        <f ca="1">IFERROR(__xludf.DUMMYFUNCTION("""COMPUTED_VALUE"""),"Water Jet pump Jet S52")</f>
        <v>Water Jet pump Jet S52</v>
      </c>
      <c r="AI51">
        <f ca="1">IFERROR(__xludf.DUMMYFUNCTION("""COMPUTED_VALUE"""),1)</f>
        <v>1</v>
      </c>
      <c r="AJ51" t="str">
        <f ca="1">IFERROR(__xludf.DUMMYFUNCTION("""COMPUTED_VALUE"""),"blank")</f>
        <v>blank</v>
      </c>
      <c r="AK51" t="e">
        <f ca="1">_xludf.IFNA(VLOOKUP(AG51,'S-FG'!$B$3:$B1001,1,FALSE),"")</f>
        <v>#NAME?</v>
      </c>
      <c r="AL51" t="e">
        <f ca="1">IF(AH51="","",SUMIFS(#REF!,RM!$C$4:$C991,AH51))</f>
        <v>#REF!</v>
      </c>
    </row>
    <row r="52" spans="5:38">
      <c r="E52" t="str">
        <f>IF(A52="","",SUMIFS(Issue!$D$3:$D1001,Issue!$C$3:$C1001,A52)*C52)</f>
        <v/>
      </c>
      <c r="F52" t="e">
        <f ca="1">_xludf.IFNA(VLOOKUP(B52,'S-FG'!$B$3:$B1001,1,FALSE),"")</f>
        <v>#NAME?</v>
      </c>
      <c r="H52" t="str">
        <f ca="1">IFERROR(__xludf.DUMMYFUNCTION("""COMPUTED_VALUE"""),"STBD Signal PM Assy")</f>
        <v>STBD Signal PM Assy</v>
      </c>
      <c r="I52" t="str">
        <f ca="1">IFERROR(__xludf.DUMMYFUNCTION("""COMPUTED_VALUE"""),"10cm one sided JST crimped Pink")</f>
        <v>10cm one sided JST crimped Pink</v>
      </c>
      <c r="J52">
        <f ca="1">IFERROR(__xludf.DUMMYFUNCTION("""COMPUTED_VALUE"""),1)</f>
        <v>1</v>
      </c>
      <c r="K52" t="str">
        <f ca="1">IFERROR(__xludf.DUMMYFUNCTION("""COMPUTED_VALUE"""),"blank")</f>
        <v>blank</v>
      </c>
      <c r="L52">
        <f t="shared" ca="1" si="0"/>
        <v>0</v>
      </c>
      <c r="Q52" t="str">
        <f>IF(N52="","",SUMIFS(Issue!$D$3:$D1001,Issue!$C$3:$C1001,N52))</f>
        <v/>
      </c>
      <c r="S52" t="str">
        <f ca="1">IFERROR(__xludf.DUMMYFUNCTION("""COMPUTED_VALUE"""),"10cm one sided JST crimped Sky Blue")</f>
        <v>10cm one sided JST crimped Sky Blue</v>
      </c>
      <c r="X52" t="e">
        <f ca="1"/>
        <v>#NAME?</v>
      </c>
      <c r="Y52" t="e">
        <f t="shared" ca="1" si="1"/>
        <v>#NAME?</v>
      </c>
      <c r="Z52" t="e">
        <f ca="1">IF(X52="","",SUMIFS(#REF!,RM!$C$4:$C991,X52))</f>
        <v>#NAME?</v>
      </c>
      <c r="AA52" t="e">
        <f ca="1">IF(X52="","",SUMIFS(#REF!,RM!$C$4:$C991,X52))</f>
        <v>#NAME?</v>
      </c>
      <c r="AB52" t="e">
        <f t="shared" ca="1" si="2"/>
        <v>#NAME?</v>
      </c>
      <c r="AC52" t="e">
        <f ca="1">IF(X52="","",VLOOKUP($X52,RM!$C$4:$G991,3,FALSE))</f>
        <v>#NAME?</v>
      </c>
      <c r="AD52" t="e">
        <f ca="1">IF(X52="","",VLOOKUP($X52,RM!$C$4:$G991,4,FALSE))</f>
        <v>#NAME?</v>
      </c>
      <c r="AE52" t="e">
        <f ca="1">IF(X52="","",VLOOKUP($X52,RM!$C$4:$G991,5,FALSE))</f>
        <v>#NAME?</v>
      </c>
      <c r="AG52" t="str">
        <f ca="1">IFERROR(__xludf.DUMMYFUNCTION("""COMPUTED_VALUE"""),"Jet Motor Assy")</f>
        <v>Jet Motor Assy</v>
      </c>
      <c r="AH52" t="str">
        <f ca="1">IFERROR(__xludf.DUMMYFUNCTION("""COMPUTED_VALUE"""),"ESC Mounting Plate")</f>
        <v>ESC Mounting Plate</v>
      </c>
      <c r="AI52">
        <f ca="1">IFERROR(__xludf.DUMMYFUNCTION("""COMPUTED_VALUE"""),1)</f>
        <v>1</v>
      </c>
      <c r="AJ52" t="str">
        <f ca="1">IFERROR(__xludf.DUMMYFUNCTION("""COMPUTED_VALUE"""),"blank")</f>
        <v>blank</v>
      </c>
      <c r="AK52" t="e">
        <f ca="1">_xludf.IFNA(VLOOKUP(AG52,'S-FG'!$B$3:$B1001,1,FALSE),"")</f>
        <v>#NAME?</v>
      </c>
      <c r="AL52" t="e">
        <f ca="1">IF(AH52="","",SUMIFS(#REF!,RM!$C$4:$C991,AH52))</f>
        <v>#REF!</v>
      </c>
    </row>
    <row r="53" spans="5:38">
      <c r="E53" t="str">
        <f>IF(A53="","",SUMIFS(Issue!$D$3:$D1001,Issue!$C$3:$C1001,A53)*C53)</f>
        <v/>
      </c>
      <c r="F53" t="e">
        <f ca="1">_xludf.IFNA(VLOOKUP(B53,'S-FG'!$B$3:$B1001,1,FALSE),"")</f>
        <v>#NAME?</v>
      </c>
      <c r="H53" t="str">
        <f ca="1">IFERROR(__xludf.DUMMYFUNCTION("""COMPUTED_VALUE"""),"STBD Signal PM Assy")</f>
        <v>STBD Signal PM Assy</v>
      </c>
      <c r="I53" t="str">
        <f ca="1">IFERROR(__xludf.DUMMYFUNCTION("""COMPUTED_VALUE"""),"10cm one sided JST crimped Orange")</f>
        <v>10cm one sided JST crimped Orange</v>
      </c>
      <c r="J53">
        <f ca="1">IFERROR(__xludf.DUMMYFUNCTION("""COMPUTED_VALUE"""),1)</f>
        <v>1</v>
      </c>
      <c r="K53" t="str">
        <f ca="1">IFERROR(__xludf.DUMMYFUNCTION("""COMPUTED_VALUE"""),"blank")</f>
        <v>blank</v>
      </c>
      <c r="L53">
        <f t="shared" ca="1" si="0"/>
        <v>0</v>
      </c>
      <c r="Q53" t="str">
        <f>IF(N53="","",SUMIFS(Issue!$D$3:$D1001,Issue!$C$3:$C1001,N53))</f>
        <v/>
      </c>
      <c r="S53" t="str">
        <f ca="1">IFERROR(__xludf.DUMMYFUNCTION("""COMPUTED_VALUE"""),"10cm one sided JST crimped Pink")</f>
        <v>10cm one sided JST crimped Pink</v>
      </c>
      <c r="X53" t="e">
        <f ca="1"/>
        <v>#NAME?</v>
      </c>
      <c r="Y53" t="e">
        <f t="shared" ca="1" si="1"/>
        <v>#NAME?</v>
      </c>
      <c r="Z53" t="e">
        <f ca="1">IF(X53="","",SUMIFS(#REF!,RM!$C$4:$C991,X53))</f>
        <v>#NAME?</v>
      </c>
      <c r="AA53" t="e">
        <f ca="1">IF(X53="","",SUMIFS(#REF!,RM!$C$4:$C991,X53))</f>
        <v>#NAME?</v>
      </c>
      <c r="AB53" t="e">
        <f t="shared" ca="1" si="2"/>
        <v>#NAME?</v>
      </c>
      <c r="AC53" t="e">
        <f ca="1">IF(X53="","",VLOOKUP($X53,RM!$C$4:$G991,3,FALSE))</f>
        <v>#NAME?</v>
      </c>
      <c r="AD53" t="e">
        <f ca="1">IF(X53="","",VLOOKUP($X53,RM!$C$4:$G991,4,FALSE))</f>
        <v>#NAME?</v>
      </c>
      <c r="AE53" t="e">
        <f ca="1">IF(X53="","",VLOOKUP($X53,RM!$C$4:$G991,5,FALSE))</f>
        <v>#NAME?</v>
      </c>
      <c r="AG53" t="str">
        <f ca="1">IFERROR(__xludf.DUMMYFUNCTION("""COMPUTED_VALUE"""),"Jet Motor Assy")</f>
        <v>Jet Motor Assy</v>
      </c>
      <c r="AH53" t="str">
        <f ca="1">IFERROR(__xludf.DUMMYFUNCTION("""COMPUTED_VALUE"""),"Jet S52 Mounting plate")</f>
        <v>Jet S52 Mounting plate</v>
      </c>
      <c r="AI53">
        <f ca="1">IFERROR(__xludf.DUMMYFUNCTION("""COMPUTED_VALUE"""),1)</f>
        <v>1</v>
      </c>
      <c r="AJ53" t="str">
        <f ca="1">IFERROR(__xludf.DUMMYFUNCTION("""COMPUTED_VALUE"""),"blank")</f>
        <v>blank</v>
      </c>
      <c r="AK53" t="e">
        <f ca="1">_xludf.IFNA(VLOOKUP(AG53,'S-FG'!$B$3:$B1001,1,FALSE),"")</f>
        <v>#NAME?</v>
      </c>
      <c r="AL53" t="e">
        <f ca="1">IF(AH53="","",SUMIFS(#REF!,RM!$C$4:$C991,AH53))</f>
        <v>#REF!</v>
      </c>
    </row>
    <row r="54" spans="5:38">
      <c r="E54" t="str">
        <f>IF(A54="","",SUMIFS(Issue!$D$3:$D1001,Issue!$C$3:$C1001,A54)*C54)</f>
        <v/>
      </c>
      <c r="F54" t="e">
        <f ca="1">_xludf.IFNA(VLOOKUP(B54,'S-FG'!$B$3:$B1001,1,FALSE),"")</f>
        <v>#NAME?</v>
      </c>
      <c r="H54" t="str">
        <f ca="1">IFERROR(__xludf.DUMMYFUNCTION("""COMPUTED_VALUE"""),"STBD Signal PM Assy")</f>
        <v>STBD Signal PM Assy</v>
      </c>
      <c r="I54" t="str">
        <f ca="1">IFERROR(__xludf.DUMMYFUNCTION("""COMPUTED_VALUE"""),"10cm one sided JST crimped Dark Blue")</f>
        <v>10cm one sided JST crimped Dark Blue</v>
      </c>
      <c r="J54">
        <f ca="1">IFERROR(__xludf.DUMMYFUNCTION("""COMPUTED_VALUE"""),1)</f>
        <v>1</v>
      </c>
      <c r="K54" t="str">
        <f ca="1">IFERROR(__xludf.DUMMYFUNCTION("""COMPUTED_VALUE"""),"blank")</f>
        <v>blank</v>
      </c>
      <c r="L54">
        <f t="shared" ca="1" si="0"/>
        <v>0</v>
      </c>
      <c r="Q54" t="str">
        <f>IF(N54="","",SUMIFS(Issue!$D$3:$D1001,Issue!$C$3:$C1001,N54))</f>
        <v/>
      </c>
      <c r="S54" t="str">
        <f ca="1">IFERROR(__xludf.DUMMYFUNCTION("""COMPUTED_VALUE"""),"10cm one sided JST crimped Orange")</f>
        <v>10cm one sided JST crimped Orange</v>
      </c>
      <c r="X54" t="e">
        <f ca="1"/>
        <v>#NAME?</v>
      </c>
      <c r="Y54" t="e">
        <f t="shared" ca="1" si="1"/>
        <v>#NAME?</v>
      </c>
      <c r="Z54" t="e">
        <f ca="1">IF(X54="","",SUMIFS(#REF!,RM!$C$4:$C991,X54))</f>
        <v>#NAME?</v>
      </c>
      <c r="AA54" t="e">
        <f ca="1">IF(X54="","",SUMIFS(#REF!,RM!$C$4:$C991,X54))</f>
        <v>#NAME?</v>
      </c>
      <c r="AB54" t="e">
        <f t="shared" ca="1" si="2"/>
        <v>#NAME?</v>
      </c>
      <c r="AC54" t="e">
        <f ca="1">IF(X54="","",VLOOKUP($X54,RM!$C$4:$G991,3,FALSE))</f>
        <v>#NAME?</v>
      </c>
      <c r="AD54" t="e">
        <f ca="1">IF(X54="","",VLOOKUP($X54,RM!$C$4:$G991,4,FALSE))</f>
        <v>#NAME?</v>
      </c>
      <c r="AE54" t="e">
        <f ca="1">IF(X54="","",VLOOKUP($X54,RM!$C$4:$G991,5,FALSE))</f>
        <v>#NAME?</v>
      </c>
      <c r="AG54" t="str">
        <f ca="1">IFERROR(__xludf.DUMMYFUNCTION("""COMPUTED_VALUE"""),"Jet Motor Assy")</f>
        <v>Jet Motor Assy</v>
      </c>
      <c r="AH54" t="str">
        <f ca="1">IFERROR(__xludf.DUMMYFUNCTION("""COMPUTED_VALUE"""),"Motor Mount 5692")</f>
        <v>Motor Mount 5692</v>
      </c>
      <c r="AI54">
        <f ca="1">IFERROR(__xludf.DUMMYFUNCTION("""COMPUTED_VALUE"""),2)</f>
        <v>2</v>
      </c>
      <c r="AJ54" t="str">
        <f ca="1">IFERROR(__xludf.DUMMYFUNCTION("""COMPUTED_VALUE"""),"blank")</f>
        <v>blank</v>
      </c>
      <c r="AK54" t="e">
        <f ca="1">_xludf.IFNA(VLOOKUP(AG54,'S-FG'!$B$3:$B1001,1,FALSE),"")</f>
        <v>#NAME?</v>
      </c>
      <c r="AL54" t="e">
        <f ca="1">IF(AH54="","",SUMIFS(#REF!,RM!$C$4:$C991,AH54))</f>
        <v>#REF!</v>
      </c>
    </row>
    <row r="55" spans="5:38">
      <c r="E55" t="str">
        <f>IF(A55="","",SUMIFS(Issue!$D$3:$D1001,Issue!$C$3:$C1001,A55)*C55)</f>
        <v/>
      </c>
      <c r="F55" t="e">
        <f ca="1">_xludf.IFNA(VLOOKUP(B55,'S-FG'!$B$3:$B1001,1,FALSE),"")</f>
        <v>#NAME?</v>
      </c>
      <c r="H55" t="str">
        <f ca="1">IFERROR(__xludf.DUMMYFUNCTION("""COMPUTED_VALUE"""),"STBD Signal PM Assy")</f>
        <v>STBD Signal PM Assy</v>
      </c>
      <c r="I55" t="str">
        <f ca="1">IFERROR(__xludf.DUMMYFUNCTION("""COMPUTED_VALUE"""),"10cm one sided JST crimped Light Brown")</f>
        <v>10cm one sided JST crimped Light Brown</v>
      </c>
      <c r="J55">
        <f ca="1">IFERROR(__xludf.DUMMYFUNCTION("""COMPUTED_VALUE"""),1)</f>
        <v>1</v>
      </c>
      <c r="K55" t="str">
        <f ca="1">IFERROR(__xludf.DUMMYFUNCTION("""COMPUTED_VALUE"""),"blank")</f>
        <v>blank</v>
      </c>
      <c r="L55">
        <f t="shared" ca="1" si="0"/>
        <v>0</v>
      </c>
      <c r="Q55" t="str">
        <f>IF(N55="","",SUMIFS(Issue!$D$3:$D1001,Issue!$C$3:$C1001,N55))</f>
        <v/>
      </c>
      <c r="S55" t="str">
        <f ca="1">IFERROR(__xludf.DUMMYFUNCTION("""COMPUTED_VALUE"""),"10cm one sided JST crimped Dark Blue")</f>
        <v>10cm one sided JST crimped Dark Blue</v>
      </c>
      <c r="X55" t="e">
        <f ca="1"/>
        <v>#NAME?</v>
      </c>
      <c r="Y55" t="e">
        <f t="shared" ca="1" si="1"/>
        <v>#NAME?</v>
      </c>
      <c r="Z55" t="e">
        <f ca="1">IF(X55="","",SUMIFS(#REF!,RM!$C$4:$C991,X55))</f>
        <v>#NAME?</v>
      </c>
      <c r="AA55" t="e">
        <f ca="1">IF(X55="","",SUMIFS(#REF!,RM!$C$4:$C991,X55))</f>
        <v>#NAME?</v>
      </c>
      <c r="AB55" t="e">
        <f t="shared" ca="1" si="2"/>
        <v>#NAME?</v>
      </c>
      <c r="AC55" t="e">
        <f ca="1">IF(X55="","",VLOOKUP($X55,RM!$C$4:$G991,3,FALSE))</f>
        <v>#NAME?</v>
      </c>
      <c r="AD55" t="e">
        <f ca="1">IF(X55="","",VLOOKUP($X55,RM!$C$4:$G991,4,FALSE))</f>
        <v>#NAME?</v>
      </c>
      <c r="AE55" t="e">
        <f ca="1">IF(X55="","",VLOOKUP($X55,RM!$C$4:$G991,5,FALSE))</f>
        <v>#NAME?</v>
      </c>
      <c r="AG55" t="str">
        <f ca="1">IFERROR(__xludf.DUMMYFUNCTION("""COMPUTED_VALUE"""),"Jet Motor Assy")</f>
        <v>Jet Motor Assy</v>
      </c>
      <c r="AH55" t="str">
        <f ca="1">IFERROR(__xludf.DUMMYFUNCTION("""COMPUTED_VALUE"""),"Motor 5692 495 KV")</f>
        <v>Motor 5692 495 KV</v>
      </c>
      <c r="AI55">
        <f ca="1">IFERROR(__xludf.DUMMYFUNCTION("""COMPUTED_VALUE"""),1)</f>
        <v>1</v>
      </c>
      <c r="AJ55" t="str">
        <f ca="1">IFERROR(__xludf.DUMMYFUNCTION("""COMPUTED_VALUE"""),"blank")</f>
        <v>blank</v>
      </c>
      <c r="AK55" t="e">
        <f ca="1">_xludf.IFNA(VLOOKUP(AG55,'S-FG'!$B$3:$B1001,1,FALSE),"")</f>
        <v>#NAME?</v>
      </c>
      <c r="AL55" t="e">
        <f ca="1">IF(AH55="","",SUMIFS(#REF!,RM!$C$4:$C991,AH55))</f>
        <v>#REF!</v>
      </c>
    </row>
    <row r="56" spans="5:38">
      <c r="E56" t="str">
        <f>IF(A56="","",SUMIFS(Issue!$D$3:$D1001,Issue!$C$3:$C1001,A56)*C56)</f>
        <v/>
      </c>
      <c r="F56" t="e">
        <f ca="1">_xludf.IFNA(VLOOKUP(B56,'S-FG'!$B$3:$B1001,1,FALSE),"")</f>
        <v>#NAME?</v>
      </c>
      <c r="H56" t="str">
        <f ca="1">IFERROR(__xludf.DUMMYFUNCTION("""COMPUTED_VALUE"""),"STBD Signal PM Assy")</f>
        <v>STBD Signal PM Assy</v>
      </c>
      <c r="I56" t="str">
        <f ca="1">IFERROR(__xludf.DUMMYFUNCTION("""COMPUTED_VALUE"""),"10cm one sided JST crimped Dark Brown")</f>
        <v>10cm one sided JST crimped Dark Brown</v>
      </c>
      <c r="J56">
        <f ca="1">IFERROR(__xludf.DUMMYFUNCTION("""COMPUTED_VALUE"""),1)</f>
        <v>1</v>
      </c>
      <c r="K56" t="str">
        <f ca="1">IFERROR(__xludf.DUMMYFUNCTION("""COMPUTED_VALUE"""),"blank")</f>
        <v>blank</v>
      </c>
      <c r="L56">
        <f t="shared" ca="1" si="0"/>
        <v>0</v>
      </c>
      <c r="Q56" t="str">
        <f>IF(N56="","",SUMIFS(Issue!$D$3:$D1001,Issue!$C$3:$C1001,N56))</f>
        <v/>
      </c>
      <c r="S56" t="str">
        <f ca="1">IFERROR(__xludf.DUMMYFUNCTION("""COMPUTED_VALUE"""),"10cm one sided JST crimped Light Brown")</f>
        <v>10cm one sided JST crimped Light Brown</v>
      </c>
      <c r="X56" t="e">
        <f ca="1"/>
        <v>#NAME?</v>
      </c>
      <c r="Y56" t="e">
        <f t="shared" ca="1" si="1"/>
        <v>#NAME?</v>
      </c>
      <c r="Z56" t="e">
        <f ca="1">IF(X56="","",SUMIFS(#REF!,RM!$C$4:$C991,X56))</f>
        <v>#NAME?</v>
      </c>
      <c r="AA56" t="e">
        <f ca="1">IF(X56="","",SUMIFS(#REF!,RM!$C$4:$C991,X56))</f>
        <v>#NAME?</v>
      </c>
      <c r="AB56" t="e">
        <f t="shared" ca="1" si="2"/>
        <v>#NAME?</v>
      </c>
      <c r="AC56" t="e">
        <f ca="1">IF(X56="","",VLOOKUP($X56,RM!$C$4:$G991,3,FALSE))</f>
        <v>#NAME?</v>
      </c>
      <c r="AD56" t="e">
        <f ca="1">IF(X56="","",VLOOKUP($X56,RM!$C$4:$G991,4,FALSE))</f>
        <v>#NAME?</v>
      </c>
      <c r="AE56" t="e">
        <f ca="1">IF(X56="","",VLOOKUP($X56,RM!$C$4:$G991,5,FALSE))</f>
        <v>#NAME?</v>
      </c>
      <c r="AG56" t="str">
        <f ca="1">IFERROR(__xludf.DUMMYFUNCTION("""COMPUTED_VALUE"""),"Jet Motor Assy")</f>
        <v>Jet Motor Assy</v>
      </c>
      <c r="AH56" t="str">
        <f ca="1">IFERROR(__xludf.DUMMYFUNCTION("""COMPUTED_VALUE"""),"Motor Cooling Jacket 56mm x 50mm")</f>
        <v>Motor Cooling Jacket 56mm x 50mm</v>
      </c>
      <c r="AI56">
        <f ca="1">IFERROR(__xludf.DUMMYFUNCTION("""COMPUTED_VALUE"""),1)</f>
        <v>1</v>
      </c>
      <c r="AJ56" t="str">
        <f ca="1">IFERROR(__xludf.DUMMYFUNCTION("""COMPUTED_VALUE"""),"blank")</f>
        <v>blank</v>
      </c>
      <c r="AK56" t="e">
        <f ca="1">_xludf.IFNA(VLOOKUP(AG56,'S-FG'!$B$3:$B1001,1,FALSE),"")</f>
        <v>#NAME?</v>
      </c>
      <c r="AL56" t="e">
        <f ca="1">IF(AH56="","",SUMIFS(#REF!,RM!$C$4:$C991,AH56))</f>
        <v>#REF!</v>
      </c>
    </row>
    <row r="57" spans="5:38">
      <c r="E57" t="str">
        <f>IF(A57="","",SUMIFS(Issue!$D$3:$D1001,Issue!$C$3:$C1001,A57)*C57)</f>
        <v/>
      </c>
      <c r="F57" t="e">
        <f ca="1">_xludf.IFNA(VLOOKUP(B57,'S-FG'!$B$3:$B1001,1,FALSE),"")</f>
        <v>#NAME?</v>
      </c>
      <c r="H57" t="str">
        <f ca="1">IFERROR(__xludf.DUMMYFUNCTION("""COMPUTED_VALUE"""),"STBD Signal PM Assy")</f>
        <v>STBD Signal PM Assy</v>
      </c>
      <c r="I57" t="str">
        <f ca="1">IFERROR(__xludf.DUMMYFUNCTION("""COMPUTED_VALUE"""),"10cm one sided JST crimped White with Red strip")</f>
        <v>10cm one sided JST crimped White with Red strip</v>
      </c>
      <c r="J57">
        <f ca="1">IFERROR(__xludf.DUMMYFUNCTION("""COMPUTED_VALUE"""),1)</f>
        <v>1</v>
      </c>
      <c r="K57" t="str">
        <f ca="1">IFERROR(__xludf.DUMMYFUNCTION("""COMPUTED_VALUE"""),"blank")</f>
        <v>blank</v>
      </c>
      <c r="L57">
        <f t="shared" ca="1" si="0"/>
        <v>0</v>
      </c>
      <c r="Q57" t="str">
        <f>IF(N57="","",SUMIFS(Issue!$D$3:$D1001,Issue!$C$3:$C1001,N57))</f>
        <v/>
      </c>
      <c r="S57" t="str">
        <f ca="1">IFERROR(__xludf.DUMMYFUNCTION("""COMPUTED_VALUE"""),"10cm one sided JST crimped Dark Brown")</f>
        <v>10cm one sided JST crimped Dark Brown</v>
      </c>
      <c r="X57" t="e">
        <f ca="1"/>
        <v>#NAME?</v>
      </c>
      <c r="Y57" t="e">
        <f t="shared" ca="1" si="1"/>
        <v>#NAME?</v>
      </c>
      <c r="Z57" t="e">
        <f ca="1">IF(X57="","",SUMIFS(#REF!,RM!$C$4:$C991,X57))</f>
        <v>#NAME?</v>
      </c>
      <c r="AA57" t="e">
        <f ca="1">IF(X57="","",SUMIFS(#REF!,RM!$C$4:$C991,X57))</f>
        <v>#NAME?</v>
      </c>
      <c r="AB57" t="e">
        <f t="shared" ca="1" si="2"/>
        <v>#NAME?</v>
      </c>
      <c r="AC57" t="e">
        <f ca="1">IF(X57="","",VLOOKUP($X57,RM!$C$4:$G991,3,FALSE))</f>
        <v>#NAME?</v>
      </c>
      <c r="AD57" t="e">
        <f ca="1">IF(X57="","",VLOOKUP($X57,RM!$C$4:$G991,4,FALSE))</f>
        <v>#NAME?</v>
      </c>
      <c r="AE57" t="e">
        <f ca="1">IF(X57="","",VLOOKUP($X57,RM!$C$4:$G991,5,FALSE))</f>
        <v>#NAME?</v>
      </c>
      <c r="AG57" t="str">
        <f ca="1">IFERROR(__xludf.DUMMYFUNCTION("""COMPUTED_VALUE"""),"Jet Motor Assy")</f>
        <v>Jet Motor Assy</v>
      </c>
      <c r="AH57" t="str">
        <f ca="1">IFERROR(__xludf.DUMMYFUNCTION("""COMPUTED_VALUE"""),"Silicon Hose 4mm x 8mm")</f>
        <v>Silicon Hose 4mm x 8mm</v>
      </c>
      <c r="AI57">
        <f ca="1">IFERROR(__xludf.DUMMYFUNCTION("""COMPUTED_VALUE"""),0.2)</f>
        <v>0.2</v>
      </c>
      <c r="AK57" t="e">
        <f ca="1">_xludf.IFNA(VLOOKUP(AG57,'S-FG'!$B$3:$B1001,1,FALSE),"")</f>
        <v>#NAME?</v>
      </c>
      <c r="AL57" t="e">
        <f ca="1">IF(AH57="","",SUMIFS(#REF!,RM!$C$4:$C991,AH57))</f>
        <v>#REF!</v>
      </c>
    </row>
    <row r="58" spans="5:38">
      <c r="E58" t="str">
        <f>IF(A58="","",SUMIFS(Issue!$D$3:$D1001,Issue!$C$3:$C1001,A58)*C58)</f>
        <v/>
      </c>
      <c r="F58" t="e">
        <f ca="1">_xludf.IFNA(VLOOKUP(B58,'S-FG'!$B$3:$B1001,1,FALSE),"")</f>
        <v>#NAME?</v>
      </c>
      <c r="H58" t="str">
        <f ca="1">IFERROR(__xludf.DUMMYFUNCTION("""COMPUTED_VALUE"""),"STBD Signal PM Assy")</f>
        <v>STBD Signal PM Assy</v>
      </c>
      <c r="I58" t="str">
        <f ca="1">IFERROR(__xludf.DUMMYFUNCTION("""COMPUTED_VALUE"""),"10cm one sided JST crimped White with black strip")</f>
        <v>10cm one sided JST crimped White with black strip</v>
      </c>
      <c r="J58">
        <f ca="1">IFERROR(__xludf.DUMMYFUNCTION("""COMPUTED_VALUE"""),1)</f>
        <v>1</v>
      </c>
      <c r="K58" t="str">
        <f ca="1">IFERROR(__xludf.DUMMYFUNCTION("""COMPUTED_VALUE"""),"blank")</f>
        <v>blank</v>
      </c>
      <c r="L58">
        <f t="shared" ca="1" si="0"/>
        <v>0</v>
      </c>
      <c r="Q58" t="str">
        <f>IF(N58="","",SUMIFS(Issue!$D$3:$D1001,Issue!$C$3:$C1001,N58))</f>
        <v/>
      </c>
      <c r="S58" t="str">
        <f ca="1">IFERROR(__xludf.DUMMYFUNCTION("""COMPUTED_VALUE"""),"10cm one sided JST crimped White with Red strip")</f>
        <v>10cm one sided JST crimped White with Red strip</v>
      </c>
      <c r="X58" t="e">
        <f ca="1"/>
        <v>#NAME?</v>
      </c>
      <c r="Y58" t="e">
        <f t="shared" ca="1" si="1"/>
        <v>#NAME?</v>
      </c>
      <c r="Z58" t="e">
        <f ca="1">IF(X58="","",SUMIFS(#REF!,RM!$C$4:$C991,X58))</f>
        <v>#NAME?</v>
      </c>
      <c r="AA58" t="e">
        <f ca="1">IF(X58="","",SUMIFS(#REF!,RM!$C$4:$C991,X58))</f>
        <v>#NAME?</v>
      </c>
      <c r="AB58" t="e">
        <f t="shared" ca="1" si="2"/>
        <v>#NAME?</v>
      </c>
      <c r="AC58" t="e">
        <f ca="1">IF(X58="","",VLOOKUP($X58,RM!$C$4:$G991,3,FALSE))</f>
        <v>#NAME?</v>
      </c>
      <c r="AD58" t="e">
        <f ca="1">IF(X58="","",VLOOKUP($X58,RM!$C$4:$G991,4,FALSE))</f>
        <v>#NAME?</v>
      </c>
      <c r="AE58" t="e">
        <f ca="1">IF(X58="","",VLOOKUP($X58,RM!$C$4:$G991,5,FALSE))</f>
        <v>#NAME?</v>
      </c>
      <c r="AG58" t="str">
        <f ca="1">IFERROR(__xludf.DUMMYFUNCTION("""COMPUTED_VALUE"""),"Jet Motor Assy")</f>
        <v>Jet Motor Assy</v>
      </c>
      <c r="AH58" t="str">
        <f ca="1">IFERROR(__xludf.DUMMYFUNCTION("""COMPUTED_VALUE"""),"Silicon Hose 3mm x 6mm")</f>
        <v>Silicon Hose 3mm x 6mm</v>
      </c>
      <c r="AI58">
        <f ca="1">IFERROR(__xludf.DUMMYFUNCTION("""COMPUTED_VALUE"""),0.75)</f>
        <v>0.75</v>
      </c>
      <c r="AK58" t="e">
        <f ca="1">_xludf.IFNA(VLOOKUP(AG58,'S-FG'!$B$3:$B1001,1,FALSE),"")</f>
        <v>#NAME?</v>
      </c>
      <c r="AL58" t="e">
        <f ca="1">IF(AH58="","",SUMIFS(#REF!,RM!$C$4:$C991,AH58))</f>
        <v>#REF!</v>
      </c>
    </row>
    <row r="59" spans="5:38">
      <c r="E59" t="str">
        <f>IF(A59="","",SUMIFS(Issue!$D$3:$D1001,Issue!$C$3:$C1001,A59)*C59)</f>
        <v/>
      </c>
      <c r="F59" t="e">
        <f ca="1">_xludf.IFNA(VLOOKUP(B59,'S-FG'!$B$3:$B1001,1,FALSE),"")</f>
        <v>#NAME?</v>
      </c>
      <c r="H59" t="str">
        <f ca="1">IFERROR(__xludf.DUMMYFUNCTION("""COMPUTED_VALUE"""),"STBD Signal PM Assy")</f>
        <v>STBD Signal PM Assy</v>
      </c>
      <c r="I59" t="str">
        <f ca="1">IFERROR(__xludf.DUMMYFUNCTION("""COMPUTED_VALUE"""),"10cm one sided JST crimped White")</f>
        <v>10cm one sided JST crimped White</v>
      </c>
      <c r="J59">
        <f ca="1">IFERROR(__xludf.DUMMYFUNCTION("""COMPUTED_VALUE"""),1)</f>
        <v>1</v>
      </c>
      <c r="K59" t="str">
        <f ca="1">IFERROR(__xludf.DUMMYFUNCTION("""COMPUTED_VALUE"""),"blank")</f>
        <v>blank</v>
      </c>
      <c r="L59">
        <f t="shared" ca="1" si="0"/>
        <v>0</v>
      </c>
      <c r="Q59" t="str">
        <f>IF(N59="","",SUMIFS(Issue!$D$3:$D1001,Issue!$C$3:$C1001,N59))</f>
        <v/>
      </c>
      <c r="S59" t="str">
        <f ca="1">IFERROR(__xludf.DUMMYFUNCTION("""COMPUTED_VALUE"""),"10cm one sided JST crimped White with black strip")</f>
        <v>10cm one sided JST crimped White with black strip</v>
      </c>
      <c r="X59" t="e">
        <f ca="1"/>
        <v>#NAME?</v>
      </c>
      <c r="Y59" t="e">
        <f t="shared" ca="1" si="1"/>
        <v>#NAME?</v>
      </c>
      <c r="Z59" t="e">
        <f ca="1">IF(X59="","",SUMIFS(#REF!,RM!$C$4:$C991,X59))</f>
        <v>#NAME?</v>
      </c>
      <c r="AA59" t="e">
        <f ca="1">IF(X59="","",SUMIFS(#REF!,RM!$C$4:$C991,X59))</f>
        <v>#NAME?</v>
      </c>
      <c r="AB59" t="e">
        <f t="shared" ca="1" si="2"/>
        <v>#NAME?</v>
      </c>
      <c r="AC59" t="e">
        <f ca="1">IF(X59="","",VLOOKUP($X59,RM!$C$4:$G991,3,FALSE))</f>
        <v>#NAME?</v>
      </c>
      <c r="AD59" t="e">
        <f ca="1">IF(X59="","",VLOOKUP($X59,RM!$C$4:$G991,4,FALSE))</f>
        <v>#NAME?</v>
      </c>
      <c r="AE59" t="e">
        <f ca="1">IF(X59="","",VLOOKUP($X59,RM!$C$4:$G991,5,FALSE))</f>
        <v>#NAME?</v>
      </c>
      <c r="AG59" t="str">
        <f ca="1">IFERROR(__xludf.DUMMYFUNCTION("""COMPUTED_VALUE"""),"Jet Motor Assy")</f>
        <v>Jet Motor Assy</v>
      </c>
      <c r="AH59" t="str">
        <f ca="1">IFERROR(__xludf.DUMMYFUNCTION("""COMPUTED_VALUE"""),"Thread locker 242/270/290")</f>
        <v>Thread locker 242/270/290</v>
      </c>
      <c r="AI59">
        <f ca="1">IFERROR(__xludf.DUMMYFUNCTION("""COMPUTED_VALUE"""),2)</f>
        <v>2</v>
      </c>
      <c r="AJ59" t="str">
        <f ca="1">IFERROR(__xludf.DUMMYFUNCTION("""COMPUTED_VALUE"""),"blank")</f>
        <v>blank</v>
      </c>
      <c r="AK59" t="e">
        <f ca="1">_xludf.IFNA(VLOOKUP(AG59,'S-FG'!$B$3:$B1001,1,FALSE),"")</f>
        <v>#NAME?</v>
      </c>
      <c r="AL59" t="e">
        <f ca="1">IF(AH59="","",SUMIFS(#REF!,RM!$C$4:$C991,AH59))</f>
        <v>#REF!</v>
      </c>
    </row>
    <row r="60" spans="5:38">
      <c r="E60" t="str">
        <f>IF(A60="","",SUMIFS(Issue!$D$3:$D1001,Issue!$C$3:$C1001,A60)*C60)</f>
        <v/>
      </c>
      <c r="F60" t="e">
        <f ca="1">_xludf.IFNA(VLOOKUP(B60,'S-FG'!$B$3:$B1001,1,FALSE),"")</f>
        <v>#NAME?</v>
      </c>
      <c r="H60" t="str">
        <f ca="1">IFERROR(__xludf.DUMMYFUNCTION("""COMPUTED_VALUE"""),"STBD Signal PM Assy")</f>
        <v>STBD Signal PM Assy</v>
      </c>
      <c r="I60" t="str">
        <f ca="1">IFERROR(__xludf.DUMMYFUNCTION("""COMPUTED_VALUE"""),"10cm one sided JST crimped Red")</f>
        <v>10cm one sided JST crimped Red</v>
      </c>
      <c r="J60">
        <f ca="1">IFERROR(__xludf.DUMMYFUNCTION("""COMPUTED_VALUE"""),1)</f>
        <v>1</v>
      </c>
      <c r="K60" t="str">
        <f ca="1">IFERROR(__xludf.DUMMYFUNCTION("""COMPUTED_VALUE"""),"blank")</f>
        <v>blank</v>
      </c>
      <c r="L60">
        <f t="shared" ca="1" si="0"/>
        <v>0</v>
      </c>
      <c r="Q60" t="str">
        <f>IF(N60="","",SUMIFS(Issue!$D$3:$D1001,Issue!$C$3:$C1001,N60))</f>
        <v/>
      </c>
      <c r="S60" t="str">
        <f ca="1">IFERROR(__xludf.DUMMYFUNCTION("""COMPUTED_VALUE"""),"10cm one sided JST crimped White")</f>
        <v>10cm one sided JST crimped White</v>
      </c>
      <c r="X60" t="e">
        <f ca="1"/>
        <v>#NAME?</v>
      </c>
      <c r="Y60" t="e">
        <f t="shared" ca="1" si="1"/>
        <v>#NAME?</v>
      </c>
      <c r="Z60" t="e">
        <f ca="1">IF(X60="","",SUMIFS(#REF!,RM!$C$4:$C991,X60))</f>
        <v>#NAME?</v>
      </c>
      <c r="AA60" t="e">
        <f ca="1">IF(X60="","",SUMIFS(#REF!,RM!$C$4:$C991,X60))</f>
        <v>#NAME?</v>
      </c>
      <c r="AB60" t="e">
        <f t="shared" ca="1" si="2"/>
        <v>#NAME?</v>
      </c>
      <c r="AC60" t="e">
        <f ca="1">IF(X60="","",VLOOKUP($X60,RM!$C$4:$G991,3,FALSE))</f>
        <v>#NAME?</v>
      </c>
      <c r="AD60" t="e">
        <f ca="1">IF(X60="","",VLOOKUP($X60,RM!$C$4:$G991,4,FALSE))</f>
        <v>#NAME?</v>
      </c>
      <c r="AE60" t="e">
        <f ca="1">IF(X60="","",VLOOKUP($X60,RM!$C$4:$G991,5,FALSE))</f>
        <v>#NAME?</v>
      </c>
      <c r="AG60" t="str">
        <f ca="1">IFERROR(__xludf.DUMMYFUNCTION("""COMPUTED_VALUE"""),"Jet Motor Assy")</f>
        <v>Jet Motor Assy</v>
      </c>
      <c r="AH60" t="str">
        <f ca="1">IFERROR(__xludf.DUMMYFUNCTION("""COMPUTED_VALUE"""),"Thread locker Activator")</f>
        <v>Thread locker Activator</v>
      </c>
      <c r="AI60">
        <f ca="1">IFERROR(__xludf.DUMMYFUNCTION("""COMPUTED_VALUE"""),2)</f>
        <v>2</v>
      </c>
      <c r="AJ60" t="str">
        <f ca="1">IFERROR(__xludf.DUMMYFUNCTION("""COMPUTED_VALUE"""),"blank")</f>
        <v>blank</v>
      </c>
      <c r="AK60" t="e">
        <f ca="1">_xludf.IFNA(VLOOKUP(AG60,'S-FG'!$B$3:$B1001,1,FALSE),"")</f>
        <v>#NAME?</v>
      </c>
      <c r="AL60" t="e">
        <f ca="1">IF(AH60="","",SUMIFS(#REF!,RM!$C$4:$C991,AH60))</f>
        <v>#REF!</v>
      </c>
    </row>
    <row r="61" spans="5:38">
      <c r="E61" t="str">
        <f>IF(A61="","",SUMIFS(Issue!$D$3:$D1001,Issue!$C$3:$C1001,A61)*C61)</f>
        <v/>
      </c>
      <c r="F61" t="e">
        <f ca="1">_xludf.IFNA(VLOOKUP(B61,'S-FG'!$B$3:$B1001,1,FALSE),"")</f>
        <v>#NAME?</v>
      </c>
      <c r="H61" t="str">
        <f ca="1">IFERROR(__xludf.DUMMYFUNCTION("""COMPUTED_VALUE"""),"STBD Signal PM Assy")</f>
        <v>STBD Signal PM Assy</v>
      </c>
      <c r="I61" t="str">
        <f ca="1">IFERROR(__xludf.DUMMYFUNCTION("""COMPUTED_VALUE"""),"SY21-15 pin panel mount")</f>
        <v>SY21-15 pin panel mount</v>
      </c>
      <c r="J61">
        <f ca="1">IFERROR(__xludf.DUMMYFUNCTION("""COMPUTED_VALUE"""),1)</f>
        <v>1</v>
      </c>
      <c r="K61" t="str">
        <f ca="1">IFERROR(__xludf.DUMMYFUNCTION("""COMPUTED_VALUE"""),"blank")</f>
        <v>blank</v>
      </c>
      <c r="L61">
        <f t="shared" ca="1" si="0"/>
        <v>0</v>
      </c>
      <c r="Q61" t="str">
        <f>IF(N61="","",SUMIFS(Issue!$D$3:$D1001,Issue!$C$3:$C1001,N61))</f>
        <v/>
      </c>
      <c r="S61" t="str">
        <f ca="1">IFERROR(__xludf.DUMMYFUNCTION("""COMPUTED_VALUE"""),"10cm one sided JST crimped Red")</f>
        <v>10cm one sided JST crimped Red</v>
      </c>
      <c r="X61" t="e">
        <f ca="1"/>
        <v>#NAME?</v>
      </c>
      <c r="Y61" t="e">
        <f t="shared" ca="1" si="1"/>
        <v>#NAME?</v>
      </c>
      <c r="Z61" t="e">
        <f ca="1">IF(X61="","",SUMIFS(#REF!,RM!$C$4:$C991,X61))</f>
        <v>#NAME?</v>
      </c>
      <c r="AA61" t="e">
        <f ca="1">IF(X61="","",SUMIFS(#REF!,RM!$C$4:$C991,X61))</f>
        <v>#NAME?</v>
      </c>
      <c r="AB61" t="e">
        <f t="shared" ca="1" si="2"/>
        <v>#NAME?</v>
      </c>
      <c r="AC61" t="e">
        <f ca="1">IF(X61="","",VLOOKUP($X61,RM!$C$4:$G991,3,FALSE))</f>
        <v>#NAME?</v>
      </c>
      <c r="AD61" t="e">
        <f ca="1">IF(X61="","",VLOOKUP($X61,RM!$C$4:$G991,4,FALSE))</f>
        <v>#NAME?</v>
      </c>
      <c r="AE61" t="e">
        <f ca="1">IF(X61="","",VLOOKUP($X61,RM!$C$4:$G991,5,FALSE))</f>
        <v>#NAME?</v>
      </c>
      <c r="AG61" t="str">
        <f ca="1">IFERROR(__xludf.DUMMYFUNCTION("""COMPUTED_VALUE"""),"STBD_ESC Assy")</f>
        <v>STBD_ESC Assy</v>
      </c>
      <c r="AH61" t="str">
        <f ca="1">IFERROR(__xludf.DUMMYFUNCTION("""COMPUTED_VALUE"""),"5.5mm Female Bullet connector")</f>
        <v>5.5mm Female Bullet connector</v>
      </c>
      <c r="AI61">
        <f ca="1">IFERROR(__xludf.DUMMYFUNCTION("""COMPUTED_VALUE"""),1)</f>
        <v>1</v>
      </c>
      <c r="AJ61" t="str">
        <f ca="1">IFERROR(__xludf.DUMMYFUNCTION("""COMPUTED_VALUE"""),"blank")</f>
        <v>blank</v>
      </c>
      <c r="AK61" t="e">
        <f ca="1">_xludf.IFNA(VLOOKUP(AG61,'S-FG'!$B$3:$B1001,1,FALSE),"")</f>
        <v>#NAME?</v>
      </c>
      <c r="AL61" t="e">
        <f ca="1">IF(AH61="","",SUMIFS(#REF!,RM!$C$4:$C991,AH61))</f>
        <v>#REF!</v>
      </c>
    </row>
    <row r="62" spans="5:38">
      <c r="E62" t="str">
        <f>IF(A62="","",SUMIFS(Issue!$D$3:$D1001,Issue!$C$3:$C1001,A62)*C62)</f>
        <v/>
      </c>
      <c r="F62" t="e">
        <f ca="1">_xludf.IFNA(VLOOKUP(B62,'S-FG'!$B$3:$B1001,1,FALSE),"")</f>
        <v>#NAME?</v>
      </c>
      <c r="H62" t="str">
        <f ca="1">IFERROR(__xludf.DUMMYFUNCTION("""COMPUTED_VALUE"""),"STBD Signal PM Assy")</f>
        <v>STBD Signal PM Assy</v>
      </c>
      <c r="I62" t="str">
        <f ca="1">IFERROR(__xludf.DUMMYFUNCTION("""COMPUTED_VALUE"""),"HeatShrink Tube 1.5mm/1.6mm")</f>
        <v>HeatShrink Tube 1.5mm/1.6mm</v>
      </c>
      <c r="J62">
        <f ca="1">IFERROR(__xludf.DUMMYFUNCTION("""COMPUTED_VALUE"""),0.15)</f>
        <v>0.15</v>
      </c>
      <c r="L62">
        <f t="shared" ca="1" si="0"/>
        <v>0</v>
      </c>
      <c r="Q62" t="str">
        <f>IF(N62="","",SUMIFS(Issue!$D$3:$D1001,Issue!$C$3:$C1001,N62))</f>
        <v/>
      </c>
      <c r="S62" t="str">
        <f ca="1">IFERROR(__xludf.DUMMYFUNCTION("""COMPUTED_VALUE"""),"SY21-15 pin panel mount")</f>
        <v>SY21-15 pin panel mount</v>
      </c>
      <c r="X62" t="e">
        <f ca="1"/>
        <v>#NAME?</v>
      </c>
      <c r="Y62" t="e">
        <f t="shared" ca="1" si="1"/>
        <v>#NAME?</v>
      </c>
      <c r="Z62" t="e">
        <f ca="1">IF(X62="","",SUMIFS(#REF!,RM!$C$4:$C991,X62))</f>
        <v>#NAME?</v>
      </c>
      <c r="AA62" t="e">
        <f ca="1">IF(X62="","",SUMIFS(#REF!,RM!$C$4:$C991,X62))</f>
        <v>#NAME?</v>
      </c>
      <c r="AB62" t="e">
        <f t="shared" ca="1" si="2"/>
        <v>#NAME?</v>
      </c>
      <c r="AC62" t="e">
        <f ca="1">IF(X62="","",VLOOKUP($X62,RM!$C$4:$G991,3,FALSE))</f>
        <v>#NAME?</v>
      </c>
      <c r="AD62" t="e">
        <f ca="1">IF(X62="","",VLOOKUP($X62,RM!$C$4:$G991,4,FALSE))</f>
        <v>#NAME?</v>
      </c>
      <c r="AE62" t="e">
        <f ca="1">IF(X62="","",VLOOKUP($X62,RM!$C$4:$G991,5,FALSE))</f>
        <v>#NAME?</v>
      </c>
      <c r="AG62" t="str">
        <f ca="1">IFERROR(__xludf.DUMMYFUNCTION("""COMPUTED_VALUE"""),"STBD_ESC Assy")</f>
        <v>STBD_ESC Assy</v>
      </c>
      <c r="AH62" t="str">
        <f ca="1">IFERROR(__xludf.DUMMYFUNCTION("""COMPUTED_VALUE"""),"4mm Male Bullet connector")</f>
        <v>4mm Male Bullet connector</v>
      </c>
      <c r="AI62">
        <f ca="1">IFERROR(__xludf.DUMMYFUNCTION("""COMPUTED_VALUE"""),2)</f>
        <v>2</v>
      </c>
      <c r="AJ62" t="str">
        <f ca="1">IFERROR(__xludf.DUMMYFUNCTION("""COMPUTED_VALUE"""),"blank")</f>
        <v>blank</v>
      </c>
      <c r="AK62" t="e">
        <f ca="1">_xludf.IFNA(VLOOKUP(AG62,'S-FG'!$B$3:$B1001,1,FALSE),"")</f>
        <v>#NAME?</v>
      </c>
      <c r="AL62" t="e">
        <f ca="1">IF(AH62="","",SUMIFS(#REF!,RM!$C$4:$C991,AH62))</f>
        <v>#REF!</v>
      </c>
    </row>
    <row r="63" spans="5:38">
      <c r="E63" t="str">
        <f>IF(A63="","",SUMIFS(Issue!$D$3:$D1001,Issue!$C$3:$C1001,A63)*C63)</f>
        <v/>
      </c>
      <c r="F63" t="e">
        <f ca="1">_xludf.IFNA(VLOOKUP(B63,'S-FG'!$B$3:$B1001,1,FALSE),"")</f>
        <v>#NAME?</v>
      </c>
      <c r="H63" t="str">
        <f ca="1">IFERROR(__xludf.DUMMYFUNCTION("""COMPUTED_VALUE"""),"STBD Signal PM Assy")</f>
        <v>STBD Signal PM Assy</v>
      </c>
      <c r="I63" t="str">
        <f ca="1">IFERROR(__xludf.DUMMYFUNCTION("""COMPUTED_VALUE"""),"Teroson MS930")</f>
        <v>Teroson MS930</v>
      </c>
      <c r="J63">
        <f ca="1">IFERROR(__xludf.DUMMYFUNCTION("""COMPUTED_VALUE"""),2)</f>
        <v>2</v>
      </c>
      <c r="K63" t="str">
        <f ca="1">IFERROR(__xludf.DUMMYFUNCTION("""COMPUTED_VALUE"""),"blank")</f>
        <v>blank</v>
      </c>
      <c r="L63">
        <f t="shared" ca="1" si="0"/>
        <v>0</v>
      </c>
      <c r="Q63" t="str">
        <f>IF(N63="","",SUMIFS(Issue!$D$3:$D1001,Issue!$C$3:$C1001,N63))</f>
        <v/>
      </c>
      <c r="S63" t="str">
        <f ca="1">IFERROR(__xludf.DUMMYFUNCTION("""COMPUTED_VALUE"""),"HeatShrink Tube 1.5mm/1.6mm")</f>
        <v>HeatShrink Tube 1.5mm/1.6mm</v>
      </c>
      <c r="X63" t="e">
        <f ca="1"/>
        <v>#NAME?</v>
      </c>
      <c r="Y63" t="e">
        <f t="shared" ca="1" si="1"/>
        <v>#NAME?</v>
      </c>
      <c r="Z63" t="e">
        <f ca="1">IF(X63="","",SUMIFS(#REF!,RM!$C$4:$C991,X63))</f>
        <v>#NAME?</v>
      </c>
      <c r="AA63" t="e">
        <f ca="1">IF(X63="","",SUMIFS(#REF!,RM!$C$4:$C991,X63))</f>
        <v>#NAME?</v>
      </c>
      <c r="AB63" t="e">
        <f t="shared" ca="1" si="2"/>
        <v>#NAME?</v>
      </c>
      <c r="AC63" t="e">
        <f ca="1">IF(X63="","",VLOOKUP($X63,RM!$C$4:$G991,3,FALSE))</f>
        <v>#NAME?</v>
      </c>
      <c r="AD63" t="e">
        <f ca="1">IF(X63="","",VLOOKUP($X63,RM!$C$4:$G991,4,FALSE))</f>
        <v>#NAME?</v>
      </c>
      <c r="AE63" t="e">
        <f ca="1">IF(X63="","",VLOOKUP($X63,RM!$C$4:$G991,5,FALSE))</f>
        <v>#NAME?</v>
      </c>
      <c r="AG63" t="str">
        <f ca="1">IFERROR(__xludf.DUMMYFUNCTION("""COMPUTED_VALUE"""),"STBD_ESC Assy")</f>
        <v>STBD_ESC Assy</v>
      </c>
      <c r="AH63" t="str">
        <f ca="1">IFERROR(__xludf.DUMMYFUNCTION("""COMPUTED_VALUE"""),"4mm Female Bullet connector")</f>
        <v>4mm Female Bullet connector</v>
      </c>
      <c r="AI63">
        <f ca="1">IFERROR(__xludf.DUMMYFUNCTION("""COMPUTED_VALUE"""),1)</f>
        <v>1</v>
      </c>
      <c r="AJ63" t="str">
        <f ca="1">IFERROR(__xludf.DUMMYFUNCTION("""COMPUTED_VALUE"""),"blank")</f>
        <v>blank</v>
      </c>
      <c r="AK63" t="e">
        <f ca="1">_xludf.IFNA(VLOOKUP(AG63,'S-FG'!$B$3:$B1001,1,FALSE),"")</f>
        <v>#NAME?</v>
      </c>
      <c r="AL63" t="e">
        <f ca="1">IF(AH63="","",SUMIFS(#REF!,RM!$C$4:$C991,AH63))</f>
        <v>#REF!</v>
      </c>
    </row>
    <row r="64" spans="5:38">
      <c r="E64" t="str">
        <f>IF(A64="","",SUMIFS(Issue!$D$3:$D1001,Issue!$C$3:$C1001,A64)*C64)</f>
        <v/>
      </c>
      <c r="F64" t="e">
        <f ca="1">_xludf.IFNA(VLOOKUP(B64,'S-FG'!$B$3:$B1001,1,FALSE),"")</f>
        <v>#NAME?</v>
      </c>
      <c r="H64" t="str">
        <f ca="1">IFERROR(__xludf.DUMMYFUNCTION("""COMPUTED_VALUE"""),"STBD Signal PM Assy")</f>
        <v>STBD Signal PM Assy</v>
      </c>
      <c r="I64" t="str">
        <f ca="1">IFERROR(__xludf.DUMMYFUNCTION("""COMPUTED_VALUE"""),"Silicon RTV 734 Potting compound")</f>
        <v>Silicon RTV 734 Potting compound</v>
      </c>
      <c r="J64">
        <f ca="1">IFERROR(__xludf.DUMMYFUNCTION("""COMPUTED_VALUE"""),5)</f>
        <v>5</v>
      </c>
      <c r="K64" t="str">
        <f ca="1">IFERROR(__xludf.DUMMYFUNCTION("""COMPUTED_VALUE"""),"blank")</f>
        <v>blank</v>
      </c>
      <c r="L64">
        <f t="shared" ca="1" si="0"/>
        <v>0</v>
      </c>
      <c r="Q64" t="str">
        <f>IF(N64="","",SUMIFS(Issue!$D$3:$D1001,Issue!$C$3:$C1001,N64))</f>
        <v/>
      </c>
      <c r="S64" t="str">
        <f ca="1">IFERROR(__xludf.DUMMYFUNCTION("""COMPUTED_VALUE"""),"Teroson MS930")</f>
        <v>Teroson MS930</v>
      </c>
      <c r="X64" t="e">
        <f ca="1"/>
        <v>#NAME?</v>
      </c>
      <c r="Y64" t="e">
        <f t="shared" ca="1" si="1"/>
        <v>#NAME?</v>
      </c>
      <c r="Z64" t="e">
        <f ca="1">IF(X64="","",SUMIFS(#REF!,RM!$C$4:$C991,X64))</f>
        <v>#NAME?</v>
      </c>
      <c r="AA64" t="e">
        <f ca="1">IF(X64="","",SUMIFS(#REF!,RM!$C$4:$C991,X64))</f>
        <v>#NAME?</v>
      </c>
      <c r="AB64" t="e">
        <f t="shared" ca="1" si="2"/>
        <v>#NAME?</v>
      </c>
      <c r="AC64" t="e">
        <f ca="1">IF(X64="","",VLOOKUP($X64,RM!$C$4:$G991,3,FALSE))</f>
        <v>#NAME?</v>
      </c>
      <c r="AD64" t="e">
        <f ca="1">IF(X64="","",VLOOKUP($X64,RM!$C$4:$G991,4,FALSE))</f>
        <v>#NAME?</v>
      </c>
      <c r="AE64" t="e">
        <f ca="1">IF(X64="","",VLOOKUP($X64,RM!$C$4:$G991,5,FALSE))</f>
        <v>#NAME?</v>
      </c>
      <c r="AG64" t="str">
        <f ca="1">IFERROR(__xludf.DUMMYFUNCTION("""COMPUTED_VALUE"""),"STBD_ESC Assy")</f>
        <v>STBD_ESC Assy</v>
      </c>
      <c r="AH64" t="str">
        <f ca="1">IFERROR(__xludf.DUMMYFUNCTION("""COMPUTED_VALUE"""),"Black 12AWG")</f>
        <v>Black 12AWG</v>
      </c>
      <c r="AI64">
        <f ca="1">IFERROR(__xludf.DUMMYFUNCTION("""COMPUTED_VALUE"""),0.55)</f>
        <v>0.55000000000000004</v>
      </c>
      <c r="AJ64" t="str">
        <f ca="1">IFERROR(__xludf.DUMMYFUNCTION("""COMPUTED_VALUE"""),"blank")</f>
        <v>blank</v>
      </c>
      <c r="AK64" t="e">
        <f ca="1">_xludf.IFNA(VLOOKUP(AG64,'S-FG'!$B$3:$B1001,1,FALSE),"")</f>
        <v>#NAME?</v>
      </c>
      <c r="AL64" t="e">
        <f ca="1">IF(AH64="","",SUMIFS(#REF!,RM!$C$4:$C991,AH64))</f>
        <v>#REF!</v>
      </c>
    </row>
    <row r="65" spans="5:38">
      <c r="E65" t="str">
        <f>IF(A65="","",SUMIFS(Issue!$D$3:$D1001,Issue!$C$3:$C1001,A65)*C65)</f>
        <v/>
      </c>
      <c r="F65" t="e">
        <f ca="1">_xludf.IFNA(VLOOKUP(B65,'S-FG'!$B$3:$B1001,1,FALSE),"")</f>
        <v>#NAME?</v>
      </c>
      <c r="H65" t="str">
        <f ca="1">IFERROR(__xludf.DUMMYFUNCTION("""COMPUTED_VALUE"""),"STBD Signal PM Assy")</f>
        <v>STBD Signal PM Assy</v>
      </c>
      <c r="I65" t="str">
        <f ca="1">IFERROR(__xludf.DUMMYFUNCTION("""COMPUTED_VALUE"""),"Lead wire 22AWG")</f>
        <v>Lead wire 22AWG</v>
      </c>
      <c r="J65">
        <f ca="1">IFERROR(__xludf.DUMMYFUNCTION("""COMPUTED_VALUE"""),5)</f>
        <v>5</v>
      </c>
      <c r="L65">
        <f t="shared" ca="1" si="0"/>
        <v>0</v>
      </c>
      <c r="Q65" t="str">
        <f>IF(N65="","",SUMIFS(Issue!$D$3:$D1001,Issue!$C$3:$C1001,N65))</f>
        <v/>
      </c>
      <c r="S65" t="str">
        <f ca="1">IFERROR(__xludf.DUMMYFUNCTION("""COMPUTED_VALUE"""),"Silicon RTV 734 Potting compound")</f>
        <v>Silicon RTV 734 Potting compound</v>
      </c>
      <c r="X65" t="e">
        <f ca="1"/>
        <v>#NAME?</v>
      </c>
      <c r="Y65" t="e">
        <f t="shared" ca="1" si="1"/>
        <v>#NAME?</v>
      </c>
      <c r="Z65" t="e">
        <f ca="1">IF(X65="","",SUMIFS(#REF!,RM!$C$4:$C991,X65))</f>
        <v>#NAME?</v>
      </c>
      <c r="AA65" t="e">
        <f ca="1">IF(X65="","",SUMIFS(#REF!,RM!$C$4:$C991,X65))</f>
        <v>#NAME?</v>
      </c>
      <c r="AB65" t="e">
        <f t="shared" ca="1" si="2"/>
        <v>#NAME?</v>
      </c>
      <c r="AC65" t="e">
        <f ca="1">IF(X65="","",VLOOKUP($X65,RM!$C$4:$G991,3,FALSE))</f>
        <v>#NAME?</v>
      </c>
      <c r="AD65" t="e">
        <f ca="1">IF(X65="","",VLOOKUP($X65,RM!$C$4:$G991,4,FALSE))</f>
        <v>#NAME?</v>
      </c>
      <c r="AE65" t="e">
        <f ca="1">IF(X65="","",VLOOKUP($X65,RM!$C$4:$G991,5,FALSE))</f>
        <v>#NAME?</v>
      </c>
      <c r="AG65" t="str">
        <f ca="1">IFERROR(__xludf.DUMMYFUNCTION("""COMPUTED_VALUE"""),"STBD_ESC Assy")</f>
        <v>STBD_ESC Assy</v>
      </c>
      <c r="AH65" t="str">
        <f ca="1">IFERROR(__xludf.DUMMYFUNCTION("""COMPUTED_VALUE"""),"Red 12AWG")</f>
        <v>Red 12AWG</v>
      </c>
      <c r="AI65">
        <f ca="1">IFERROR(__xludf.DUMMYFUNCTION("""COMPUTED_VALUE"""),0.55)</f>
        <v>0.55000000000000004</v>
      </c>
      <c r="AJ65" t="str">
        <f ca="1">IFERROR(__xludf.DUMMYFUNCTION("""COMPUTED_VALUE"""),"blank")</f>
        <v>blank</v>
      </c>
      <c r="AK65" t="e">
        <f ca="1">_xludf.IFNA(VLOOKUP(AG65,'S-FG'!$B$3:$B1001,1,FALSE),"")</f>
        <v>#NAME?</v>
      </c>
      <c r="AL65" t="e">
        <f ca="1">IF(AH65="","",SUMIFS(#REF!,RM!$C$4:$C991,AH65))</f>
        <v>#REF!</v>
      </c>
    </row>
    <row r="66" spans="5:38">
      <c r="E66" t="str">
        <f>IF(A66="","",SUMIFS(Issue!$D$3:$D1001,Issue!$C$3:$C1001,A66)*C66)</f>
        <v/>
      </c>
      <c r="F66" t="e">
        <f ca="1">_xludf.IFNA(VLOOKUP(B66,'S-FG'!$B$3:$B1001,1,FALSE),"")</f>
        <v>#NAME?</v>
      </c>
      <c r="H66" t="str">
        <f ca="1">IFERROR(__xludf.DUMMYFUNCTION("""COMPUTED_VALUE"""),"PORT Signal PM Assy")</f>
        <v>PORT Signal PM Assy</v>
      </c>
      <c r="I66" t="str">
        <f ca="1">IFERROR(__xludf.DUMMYFUNCTION("""COMPUTED_VALUE"""),"15 pin JST-XH housing")</f>
        <v>15 pin JST-XH housing</v>
      </c>
      <c r="J66">
        <f ca="1">IFERROR(__xludf.DUMMYFUNCTION("""COMPUTED_VALUE"""),1)</f>
        <v>1</v>
      </c>
      <c r="K66" t="str">
        <f ca="1">IFERROR(__xludf.DUMMYFUNCTION("""COMPUTED_VALUE"""),"blank")</f>
        <v>blank</v>
      </c>
      <c r="L66">
        <f t="shared" ca="1" si="0"/>
        <v>0</v>
      </c>
      <c r="Q66" t="str">
        <f>IF(N66="","",SUMIFS(Issue!$D$3:$D1001,Issue!$C$3:$C1001,N66))</f>
        <v/>
      </c>
      <c r="S66" t="str">
        <f ca="1">IFERROR(__xludf.DUMMYFUNCTION("""COMPUTED_VALUE"""),"Lead wire 22AWG")</f>
        <v>Lead wire 22AWG</v>
      </c>
      <c r="X66" t="e">
        <f ca="1"/>
        <v>#NAME?</v>
      </c>
      <c r="Y66" t="e">
        <f t="shared" ca="1" si="1"/>
        <v>#NAME?</v>
      </c>
      <c r="Z66" t="e">
        <f ca="1">IF(X66="","",SUMIFS(#REF!,RM!$C$4:$C991,X66))</f>
        <v>#NAME?</v>
      </c>
      <c r="AA66" t="e">
        <f ca="1">IF(X66="","",SUMIFS(#REF!,RM!$C$4:$C991,X66))</f>
        <v>#NAME?</v>
      </c>
      <c r="AB66" t="e">
        <f t="shared" ca="1" si="2"/>
        <v>#NAME?</v>
      </c>
      <c r="AC66" t="e">
        <f ca="1">IF(X66="","",VLOOKUP($X66,RM!$C$4:$G991,3,FALSE))</f>
        <v>#NAME?</v>
      </c>
      <c r="AD66" t="e">
        <f ca="1">IF(X66="","",VLOOKUP($X66,RM!$C$4:$G991,4,FALSE))</f>
        <v>#NAME?</v>
      </c>
      <c r="AE66" t="e">
        <f ca="1">IF(X66="","",VLOOKUP($X66,RM!$C$4:$G991,5,FALSE))</f>
        <v>#NAME?</v>
      </c>
      <c r="AG66" t="str">
        <f ca="1">IFERROR(__xludf.DUMMYFUNCTION("""COMPUTED_VALUE"""),"STBD_ESC Assy")</f>
        <v>STBD_ESC Assy</v>
      </c>
      <c r="AH66" t="str">
        <f ca="1">IFERROR(__xludf.DUMMYFUNCTION("""COMPUTED_VALUE"""),"Ferrite Core")</f>
        <v>Ferrite Core</v>
      </c>
      <c r="AI66">
        <f ca="1">IFERROR(__xludf.DUMMYFUNCTION("""COMPUTED_VALUE"""),1)</f>
        <v>1</v>
      </c>
      <c r="AJ66" t="str">
        <f ca="1">IFERROR(__xludf.DUMMYFUNCTION("""COMPUTED_VALUE"""),"CF199T1306C")</f>
        <v>CF199T1306C</v>
      </c>
      <c r="AK66" t="e">
        <f ca="1">_xludf.IFNA(VLOOKUP(AG66,'S-FG'!$B$3:$B1001,1,FALSE),"")</f>
        <v>#NAME?</v>
      </c>
      <c r="AL66" t="e">
        <f ca="1">IF(AH66="","",SUMIFS(#REF!,RM!$C$4:$C991,AH66))</f>
        <v>#REF!</v>
      </c>
    </row>
    <row r="67" spans="5:38">
      <c r="E67" t="str">
        <f>IF(A67="","",SUMIFS(Issue!$D$3:$D1001,Issue!$C$3:$C1001,A67)*C67)</f>
        <v/>
      </c>
      <c r="F67" t="e">
        <f ca="1">_xludf.IFNA(VLOOKUP(B67,'S-FG'!$B$3:$B1001,1,FALSE),"")</f>
        <v>#NAME?</v>
      </c>
      <c r="H67" t="str">
        <f ca="1">IFERROR(__xludf.DUMMYFUNCTION("""COMPUTED_VALUE"""),"PORT Signal PM Assy")</f>
        <v>PORT Signal PM Assy</v>
      </c>
      <c r="I67" t="str">
        <f ca="1">IFERROR(__xludf.DUMMYFUNCTION("""COMPUTED_VALUE"""),"10cm one sided JST crimped Black")</f>
        <v>10cm one sided JST crimped Black</v>
      </c>
      <c r="J67">
        <f ca="1">IFERROR(__xludf.DUMMYFUNCTION("""COMPUTED_VALUE"""),1)</f>
        <v>1</v>
      </c>
      <c r="K67" t="str">
        <f ca="1">IFERROR(__xludf.DUMMYFUNCTION("""COMPUTED_VALUE"""),"blank")</f>
        <v>blank</v>
      </c>
      <c r="L67">
        <f t="shared" ca="1" si="0"/>
        <v>0</v>
      </c>
      <c r="Q67" t="str">
        <f>IF(N67="","",SUMIFS(Issue!$D$3:$D1001,Issue!$C$3:$C1001,N67))</f>
        <v/>
      </c>
      <c r="S67" t="str">
        <f ca="1">IFERROR(__xludf.DUMMYFUNCTION("""COMPUTED_VALUE"""),"15 pin JST-XH housing")</f>
        <v>15 pin JST-XH housing</v>
      </c>
      <c r="X67" t="e">
        <f ca="1"/>
        <v>#NAME?</v>
      </c>
      <c r="Y67" t="e">
        <f t="shared" ca="1" si="1"/>
        <v>#NAME?</v>
      </c>
      <c r="Z67" t="e">
        <f ca="1">IF(X67="","",SUMIFS(#REF!,RM!$C$4:$C991,X67))</f>
        <v>#NAME?</v>
      </c>
      <c r="AA67" t="e">
        <f ca="1">IF(X67="","",SUMIFS(#REF!,RM!$C$4:$C991,X67))</f>
        <v>#NAME?</v>
      </c>
      <c r="AB67" t="e">
        <f t="shared" ca="1" si="2"/>
        <v>#NAME?</v>
      </c>
      <c r="AC67" t="e">
        <f ca="1">IF(X67="","",VLOOKUP($X67,RM!$C$4:$G991,3,FALSE))</f>
        <v>#NAME?</v>
      </c>
      <c r="AD67" t="e">
        <f ca="1">IF(X67="","",VLOOKUP($X67,RM!$C$4:$G991,4,FALSE))</f>
        <v>#NAME?</v>
      </c>
      <c r="AE67" t="e">
        <f ca="1">IF(X67="","",VLOOKUP($X67,RM!$C$4:$G991,5,FALSE))</f>
        <v>#NAME?</v>
      </c>
      <c r="AG67" t="str">
        <f ca="1">IFERROR(__xludf.DUMMYFUNCTION("""COMPUTED_VALUE"""),"STBD_ESC Assy")</f>
        <v>STBD_ESC Assy</v>
      </c>
      <c r="AH67" t="str">
        <f ca="1">IFERROR(__xludf.DUMMYFUNCTION("""COMPUTED_VALUE"""),"16AWG Lead")</f>
        <v>16AWG Lead</v>
      </c>
      <c r="AI67">
        <f ca="1">IFERROR(__xludf.DUMMYFUNCTION("""COMPUTED_VALUE"""),5)</f>
        <v>5</v>
      </c>
      <c r="AJ67" t="str">
        <f ca="1">IFERROR(__xludf.DUMMYFUNCTION("""COMPUTED_VALUE"""),"blank")</f>
        <v>blank</v>
      </c>
      <c r="AK67" t="e">
        <f ca="1">_xludf.IFNA(VLOOKUP(AG67,'S-FG'!$B$3:$B1001,1,FALSE),"")</f>
        <v>#NAME?</v>
      </c>
      <c r="AL67" t="e">
        <f ca="1">IF(AH67="","",SUMIFS(#REF!,RM!$C$4:$C991,AH67))</f>
        <v>#REF!</v>
      </c>
    </row>
    <row r="68" spans="5:38">
      <c r="E68" t="str">
        <f>IF(A68="","",SUMIFS(Issue!$D$3:$D1001,Issue!$C$3:$C1001,A68)*C68)</f>
        <v/>
      </c>
      <c r="F68" t="e">
        <f ca="1">_xludf.IFNA(VLOOKUP(B68,'S-FG'!$B$3:$B1001,1,FALSE),"")</f>
        <v>#NAME?</v>
      </c>
      <c r="H68" t="str">
        <f ca="1">IFERROR(__xludf.DUMMYFUNCTION("""COMPUTED_VALUE"""),"PORT Signal PM Assy")</f>
        <v>PORT Signal PM Assy</v>
      </c>
      <c r="I68" t="str">
        <f ca="1">IFERROR(__xludf.DUMMYFUNCTION("""COMPUTED_VALUE"""),"10cm one sided JST crimped Green")</f>
        <v>10cm one sided JST crimped Green</v>
      </c>
      <c r="J68">
        <f ca="1">IFERROR(__xludf.DUMMYFUNCTION("""COMPUTED_VALUE"""),1)</f>
        <v>1</v>
      </c>
      <c r="K68" t="str">
        <f ca="1">IFERROR(__xludf.DUMMYFUNCTION("""COMPUTED_VALUE"""),"blank")</f>
        <v>blank</v>
      </c>
      <c r="L68">
        <f t="shared" ca="1" si="0"/>
        <v>0</v>
      </c>
      <c r="Q68" t="str">
        <f>IF(N68="","",SUMIFS(Issue!$D$3:$D1001,Issue!$C$3:$C1001,N68))</f>
        <v/>
      </c>
      <c r="S68" t="str">
        <f ca="1">IFERROR(__xludf.DUMMYFUNCTION("""COMPUTED_VALUE"""),"10cm one sided JST crimped Black")</f>
        <v>10cm one sided JST crimped Black</v>
      </c>
      <c r="X68" t="e">
        <f ca="1"/>
        <v>#NAME?</v>
      </c>
      <c r="Y68" t="e">
        <f t="shared" ca="1" si="1"/>
        <v>#NAME?</v>
      </c>
      <c r="Z68" t="e">
        <f ca="1">IF(X68="","",SUMIFS(#REF!,RM!$C$4:$C991,X68))</f>
        <v>#NAME?</v>
      </c>
      <c r="AA68" t="e">
        <f ca="1">IF(X68="","",SUMIFS(#REF!,RM!$C$4:$C991,X68))</f>
        <v>#NAME?</v>
      </c>
      <c r="AB68" t="e">
        <f t="shared" ca="1" si="2"/>
        <v>#NAME?</v>
      </c>
      <c r="AC68" t="e">
        <f ca="1">IF(X68="","",VLOOKUP($X68,RM!$C$4:$G991,3,FALSE))</f>
        <v>#NAME?</v>
      </c>
      <c r="AD68" t="e">
        <f ca="1">IF(X68="","",VLOOKUP($X68,RM!$C$4:$G991,4,FALSE))</f>
        <v>#NAME?</v>
      </c>
      <c r="AE68" t="e">
        <f ca="1">IF(X68="","",VLOOKUP($X68,RM!$C$4:$G991,5,FALSE))</f>
        <v>#NAME?</v>
      </c>
      <c r="AG68" t="str">
        <f ca="1">IFERROR(__xludf.DUMMYFUNCTION("""COMPUTED_VALUE"""),"STBD_ESC Assy")</f>
        <v>STBD_ESC Assy</v>
      </c>
      <c r="AH68" t="str">
        <f ca="1">IFERROR(__xludf.DUMMYFUNCTION("""COMPUTED_VALUE"""),"Heatshrink Tube 9:3")</f>
        <v>Heatshrink Tube 9:3</v>
      </c>
      <c r="AI68">
        <f ca="1">IFERROR(__xludf.DUMMYFUNCTION("""COMPUTED_VALUE"""),0.05)</f>
        <v>0.05</v>
      </c>
      <c r="AJ68" t="str">
        <f ca="1">IFERROR(__xludf.DUMMYFUNCTION("""COMPUTED_VALUE"""),"blank")</f>
        <v>blank</v>
      </c>
      <c r="AK68" t="e">
        <f ca="1">_xludf.IFNA(VLOOKUP(AG68,'S-FG'!$B$3:$B1001,1,FALSE),"")</f>
        <v>#NAME?</v>
      </c>
      <c r="AL68" t="e">
        <f ca="1">IF(AH68="","",SUMIFS(#REF!,RM!$C$4:$C991,AH68))</f>
        <v>#REF!</v>
      </c>
    </row>
    <row r="69" spans="5:38">
      <c r="E69" t="str">
        <f>IF(A69="","",SUMIFS(Issue!$D$3:$D1001,Issue!$C$3:$C1001,A69)*C69)</f>
        <v/>
      </c>
      <c r="F69" t="e">
        <f ca="1">_xludf.IFNA(VLOOKUP(B69,'S-FG'!$B$3:$B1001,1,FALSE),"")</f>
        <v>#NAME?</v>
      </c>
      <c r="H69" t="str">
        <f ca="1">IFERROR(__xludf.DUMMYFUNCTION("""COMPUTED_VALUE"""),"PORT Signal PM Assy")</f>
        <v>PORT Signal PM Assy</v>
      </c>
      <c r="I69" t="str">
        <f ca="1">IFERROR(__xludf.DUMMYFUNCTION("""COMPUTED_VALUE"""),"10cm one sided JST crimped Voilet")</f>
        <v>10cm one sided JST crimped Voilet</v>
      </c>
      <c r="J69">
        <f ca="1">IFERROR(__xludf.DUMMYFUNCTION("""COMPUTED_VALUE"""),1)</f>
        <v>1</v>
      </c>
      <c r="K69" t="str">
        <f ca="1">IFERROR(__xludf.DUMMYFUNCTION("""COMPUTED_VALUE"""),"blank")</f>
        <v>blank</v>
      </c>
      <c r="L69">
        <f t="shared" ca="1" si="0"/>
        <v>0</v>
      </c>
      <c r="Q69" t="str">
        <f>IF(N69="","",SUMIFS(Issue!$D$3:$D1001,Issue!$C$3:$C1001,N69))</f>
        <v/>
      </c>
      <c r="S69" t="str">
        <f ca="1">IFERROR(__xludf.DUMMYFUNCTION("""COMPUTED_VALUE"""),"10cm one sided JST crimped Green")</f>
        <v>10cm one sided JST crimped Green</v>
      </c>
      <c r="X69" t="e">
        <f ca="1"/>
        <v>#NAME?</v>
      </c>
      <c r="Y69" t="e">
        <f t="shared" ca="1" si="1"/>
        <v>#NAME?</v>
      </c>
      <c r="Z69" t="e">
        <f ca="1">IF(X69="","",SUMIFS(#REF!,RM!$C$4:$C991,X69))</f>
        <v>#NAME?</v>
      </c>
      <c r="AA69" t="e">
        <f ca="1">IF(X69="","",SUMIFS(#REF!,RM!$C$4:$C991,X69))</f>
        <v>#NAME?</v>
      </c>
      <c r="AB69" t="e">
        <f t="shared" ca="1" si="2"/>
        <v>#NAME?</v>
      </c>
      <c r="AC69" t="e">
        <f ca="1">IF(X69="","",VLOOKUP($X69,RM!$C$4:$G991,3,FALSE))</f>
        <v>#NAME?</v>
      </c>
      <c r="AD69" t="e">
        <f ca="1">IF(X69="","",VLOOKUP($X69,RM!$C$4:$G991,4,FALSE))</f>
        <v>#NAME?</v>
      </c>
      <c r="AE69" t="e">
        <f ca="1">IF(X69="","",VLOOKUP($X69,RM!$C$4:$G991,5,FALSE))</f>
        <v>#NAME?</v>
      </c>
      <c r="AG69" t="str">
        <f ca="1">IFERROR(__xludf.DUMMYFUNCTION("""COMPUTED_VALUE"""),"STBD_ESC Assy")</f>
        <v>STBD_ESC Assy</v>
      </c>
      <c r="AH69" t="str">
        <f ca="1">IFERROR(__xludf.DUMMYFUNCTION("""COMPUTED_VALUE"""),"HeatShrink Tube 4.8/1.2")</f>
        <v>HeatShrink Tube 4.8/1.2</v>
      </c>
      <c r="AI69">
        <f ca="1">IFERROR(__xludf.DUMMYFUNCTION("""COMPUTED_VALUE"""),0.05)</f>
        <v>0.05</v>
      </c>
      <c r="AJ69" t="str">
        <f ca="1">IFERROR(__xludf.DUMMYFUNCTION("""COMPUTED_VALUE"""),"blank")</f>
        <v>blank</v>
      </c>
      <c r="AK69" t="e">
        <f ca="1">_xludf.IFNA(VLOOKUP(AG69,'S-FG'!$B$3:$B1001,1,FALSE),"")</f>
        <v>#NAME?</v>
      </c>
      <c r="AL69" t="e">
        <f ca="1">IF(AH69="","",SUMIFS(#REF!,RM!$C$4:$C991,AH69))</f>
        <v>#REF!</v>
      </c>
    </row>
    <row r="70" spans="5:38">
      <c r="E70" t="str">
        <f>IF(A70="","",SUMIFS(Issue!$D$3:$D1001,Issue!$C$3:$C1001,A70)*C70)</f>
        <v/>
      </c>
      <c r="F70" t="e">
        <f ca="1">_xludf.IFNA(VLOOKUP(B70,'S-FG'!$B$3:$B1001,1,FALSE),"")</f>
        <v>#NAME?</v>
      </c>
      <c r="H70" t="str">
        <f ca="1">IFERROR(__xludf.DUMMYFUNCTION("""COMPUTED_VALUE"""),"PORT Signal PM Assy")</f>
        <v>PORT Signal PM Assy</v>
      </c>
      <c r="I70" t="str">
        <f ca="1">IFERROR(__xludf.DUMMYFUNCTION("""COMPUTED_VALUE"""),"10cm one sided JST crimped Yellow")</f>
        <v>10cm one sided JST crimped Yellow</v>
      </c>
      <c r="J70">
        <f ca="1">IFERROR(__xludf.DUMMYFUNCTION("""COMPUTED_VALUE"""),1)</f>
        <v>1</v>
      </c>
      <c r="K70" t="str">
        <f ca="1">IFERROR(__xludf.DUMMYFUNCTION("""COMPUTED_VALUE"""),"blank")</f>
        <v>blank</v>
      </c>
      <c r="L70">
        <f t="shared" ca="1" si="0"/>
        <v>0</v>
      </c>
      <c r="Q70" t="str">
        <f>IF(N70="","",SUMIFS(Issue!$D$3:$D1001,Issue!$C$3:$C1001,N70))</f>
        <v/>
      </c>
      <c r="S70" t="str">
        <f ca="1">IFERROR(__xludf.DUMMYFUNCTION("""COMPUTED_VALUE"""),"10cm one sided JST crimped Voilet")</f>
        <v>10cm one sided JST crimped Voilet</v>
      </c>
      <c r="X70" t="e">
        <f ca="1"/>
        <v>#NAME?</v>
      </c>
      <c r="Y70" t="e">
        <f t="shared" ca="1" si="1"/>
        <v>#NAME?</v>
      </c>
      <c r="Z70" t="e">
        <f ca="1">IF(X70="","",SUMIFS(#REF!,RM!$C$4:$C991,X70))</f>
        <v>#NAME?</v>
      </c>
      <c r="AA70" t="e">
        <f ca="1">IF(X70="","",SUMIFS(#REF!,RM!$C$4:$C991,X70))</f>
        <v>#NAME?</v>
      </c>
      <c r="AB70" t="e">
        <f t="shared" ca="1" si="2"/>
        <v>#NAME?</v>
      </c>
      <c r="AC70" t="e">
        <f ca="1">IF(X70="","",VLOOKUP($X70,RM!$C$4:$G991,3,FALSE))</f>
        <v>#NAME?</v>
      </c>
      <c r="AD70" t="e">
        <f ca="1">IF(X70="","",VLOOKUP($X70,RM!$C$4:$G991,4,FALSE))</f>
        <v>#NAME?</v>
      </c>
      <c r="AE70" t="e">
        <f ca="1">IF(X70="","",VLOOKUP($X70,RM!$C$4:$G991,5,FALSE))</f>
        <v>#NAME?</v>
      </c>
      <c r="AG70" t="str">
        <f ca="1">IFERROR(__xludf.DUMMYFUNCTION("""COMPUTED_VALUE"""),"STBD_ESC Assy")</f>
        <v>STBD_ESC Assy</v>
      </c>
      <c r="AH70" t="str">
        <f ca="1">IFERROR(__xludf.DUMMYFUNCTION("""COMPUTED_VALUE"""),"HV130 ESC")</f>
        <v>HV130 ESC</v>
      </c>
      <c r="AI70">
        <f ca="1">IFERROR(__xludf.DUMMYFUNCTION("""COMPUTED_VALUE"""),1)</f>
        <v>1</v>
      </c>
      <c r="AJ70" t="str">
        <f ca="1">IFERROR(__xludf.DUMMYFUNCTION("""COMPUTED_VALUE"""),"blank")</f>
        <v>blank</v>
      </c>
      <c r="AK70" t="e">
        <f ca="1">_xludf.IFNA(VLOOKUP(AG70,'S-FG'!$B$3:$B1001,1,FALSE),"")</f>
        <v>#NAME?</v>
      </c>
      <c r="AL70" t="e">
        <f ca="1">IF(AH70="","",SUMIFS(#REF!,RM!$C$4:$C991,AH70))</f>
        <v>#REF!</v>
      </c>
    </row>
    <row r="71" spans="5:38">
      <c r="E71" t="str">
        <f>IF(A71="","",SUMIFS(Issue!$D$3:$D1001,Issue!$C$3:$C1001,A71)*C71)</f>
        <v/>
      </c>
      <c r="F71" t="e">
        <f ca="1">_xludf.IFNA(VLOOKUP(B71,'S-FG'!$B$3:$B1001,1,FALSE),"")</f>
        <v>#NAME?</v>
      </c>
      <c r="H71" t="str">
        <f ca="1">IFERROR(__xludf.DUMMYFUNCTION("""COMPUTED_VALUE"""),"PORT Signal PM Assy")</f>
        <v>PORT Signal PM Assy</v>
      </c>
      <c r="I71" t="str">
        <f ca="1">IFERROR(__xludf.DUMMYFUNCTION("""COMPUTED_VALUE"""),"10cm one sided JST crimped Sky Blue")</f>
        <v>10cm one sided JST crimped Sky Blue</v>
      </c>
      <c r="J71">
        <f ca="1">IFERROR(__xludf.DUMMYFUNCTION("""COMPUTED_VALUE"""),1)</f>
        <v>1</v>
      </c>
      <c r="K71" t="str">
        <f ca="1">IFERROR(__xludf.DUMMYFUNCTION("""COMPUTED_VALUE"""),"blank")</f>
        <v>blank</v>
      </c>
      <c r="L71">
        <f t="shared" ca="1" si="0"/>
        <v>0</v>
      </c>
      <c r="Q71" t="str">
        <f>IF(N71="","",SUMIFS(Issue!$D$3:$D1001,Issue!$C$3:$C1001,N71))</f>
        <v/>
      </c>
      <c r="S71" t="str">
        <f ca="1">IFERROR(__xludf.DUMMYFUNCTION("""COMPUTED_VALUE"""),"10cm one sided JST crimped Yellow")</f>
        <v>10cm one sided JST crimped Yellow</v>
      </c>
      <c r="X71" t="e">
        <f ca="1"/>
        <v>#NAME?</v>
      </c>
      <c r="Y71" t="e">
        <f t="shared" ca="1" si="1"/>
        <v>#NAME?</v>
      </c>
      <c r="Z71" t="e">
        <f ca="1">IF(X71="","",SUMIFS(#REF!,RM!$C$4:$C991,X71))</f>
        <v>#NAME?</v>
      </c>
      <c r="AA71" t="e">
        <f ca="1">IF(X71="","",SUMIFS(#REF!,RM!$C$4:$C991,X71))</f>
        <v>#NAME?</v>
      </c>
      <c r="AB71" t="e">
        <f t="shared" ca="1" si="2"/>
        <v>#NAME?</v>
      </c>
      <c r="AC71" t="e">
        <f ca="1">IF(X71="","",VLOOKUP($X71,RM!$C$4:$G991,3,FALSE))</f>
        <v>#NAME?</v>
      </c>
      <c r="AD71" t="e">
        <f ca="1">IF(X71="","",VLOOKUP($X71,RM!$C$4:$G991,4,FALSE))</f>
        <v>#NAME?</v>
      </c>
      <c r="AE71" t="e">
        <f ca="1">IF(X71="","",VLOOKUP($X71,RM!$C$4:$G991,5,FALSE))</f>
        <v>#NAME?</v>
      </c>
      <c r="AG71" t="str">
        <f ca="1">IFERROR(__xludf.DUMMYFUNCTION("""COMPUTED_VALUE"""),"PORT_ESC Assy")</f>
        <v>PORT_ESC Assy</v>
      </c>
      <c r="AH71" t="str">
        <f ca="1">IFERROR(__xludf.DUMMYFUNCTION("""COMPUTED_VALUE"""),"5.5mm Female Bullet connector")</f>
        <v>5.5mm Female Bullet connector</v>
      </c>
      <c r="AI71">
        <f ca="1">IFERROR(__xludf.DUMMYFUNCTION("""COMPUTED_VALUE"""),1)</f>
        <v>1</v>
      </c>
      <c r="AJ71" t="str">
        <f ca="1">IFERROR(__xludf.DUMMYFUNCTION("""COMPUTED_VALUE"""),"blank")</f>
        <v>blank</v>
      </c>
      <c r="AK71" t="e">
        <f ca="1">_xludf.IFNA(VLOOKUP(AG71,'S-FG'!$B$3:$B1001,1,FALSE),"")</f>
        <v>#NAME?</v>
      </c>
      <c r="AL71" t="e">
        <f ca="1">IF(AH71="","",SUMIFS(#REF!,RM!$C$4:$C991,AH71))</f>
        <v>#REF!</v>
      </c>
    </row>
    <row r="72" spans="5:38">
      <c r="E72" t="str">
        <f>IF(A72="","",SUMIFS(Issue!$D$3:$D1001,Issue!$C$3:$C1001,A72)*C72)</f>
        <v/>
      </c>
      <c r="F72" t="e">
        <f ca="1">_xludf.IFNA(VLOOKUP(B72,'S-FG'!$B$3:$B1001,1,FALSE),"")</f>
        <v>#NAME?</v>
      </c>
      <c r="H72" t="str">
        <f ca="1">IFERROR(__xludf.DUMMYFUNCTION("""COMPUTED_VALUE"""),"PORT Signal PM Assy")</f>
        <v>PORT Signal PM Assy</v>
      </c>
      <c r="I72" t="str">
        <f ca="1">IFERROR(__xludf.DUMMYFUNCTION("""COMPUTED_VALUE"""),"10cm one sided JST crimped Pink")</f>
        <v>10cm one sided JST crimped Pink</v>
      </c>
      <c r="J72">
        <f ca="1">IFERROR(__xludf.DUMMYFUNCTION("""COMPUTED_VALUE"""),1)</f>
        <v>1</v>
      </c>
      <c r="K72" t="str">
        <f ca="1">IFERROR(__xludf.DUMMYFUNCTION("""COMPUTED_VALUE"""),"blank")</f>
        <v>blank</v>
      </c>
      <c r="L72">
        <f t="shared" ca="1" si="0"/>
        <v>0</v>
      </c>
      <c r="Q72" t="str">
        <f>IF(N72="","",SUMIFS(Issue!$D$3:$D1001,Issue!$C$3:$C1001,N72))</f>
        <v/>
      </c>
      <c r="S72" t="str">
        <f ca="1">IFERROR(__xludf.DUMMYFUNCTION("""COMPUTED_VALUE"""),"10cm one sided JST crimped Sky Blue")</f>
        <v>10cm one sided JST crimped Sky Blue</v>
      </c>
      <c r="X72" t="e">
        <f ca="1"/>
        <v>#NAME?</v>
      </c>
      <c r="Y72" t="e">
        <f t="shared" ca="1" si="1"/>
        <v>#NAME?</v>
      </c>
      <c r="Z72" t="e">
        <f ca="1">IF(X72="","",SUMIFS(#REF!,RM!$C$4:$C991,X72))</f>
        <v>#NAME?</v>
      </c>
      <c r="AA72" t="e">
        <f ca="1">IF(X72="","",SUMIFS(#REF!,RM!$C$4:$C991,X72))</f>
        <v>#NAME?</v>
      </c>
      <c r="AB72" t="e">
        <f t="shared" ca="1" si="2"/>
        <v>#NAME?</v>
      </c>
      <c r="AC72" t="e">
        <f ca="1">IF(X72="","",VLOOKUP($X72,RM!$C$4:$G991,3,FALSE))</f>
        <v>#NAME?</v>
      </c>
      <c r="AD72" t="e">
        <f ca="1">IF(X72="","",VLOOKUP($X72,RM!$C$4:$G991,4,FALSE))</f>
        <v>#NAME?</v>
      </c>
      <c r="AE72" t="e">
        <f ca="1">IF(X72="","",VLOOKUP($X72,RM!$C$4:$G991,5,FALSE))</f>
        <v>#NAME?</v>
      </c>
      <c r="AG72" t="str">
        <f ca="1">IFERROR(__xludf.DUMMYFUNCTION("""COMPUTED_VALUE"""),"PORT_ESC Assy")</f>
        <v>PORT_ESC Assy</v>
      </c>
      <c r="AH72" t="str">
        <f ca="1">IFERROR(__xludf.DUMMYFUNCTION("""COMPUTED_VALUE"""),"4mm Male Bullet connector")</f>
        <v>4mm Male Bullet connector</v>
      </c>
      <c r="AI72">
        <f ca="1">IFERROR(__xludf.DUMMYFUNCTION("""COMPUTED_VALUE"""),2)</f>
        <v>2</v>
      </c>
      <c r="AJ72" t="str">
        <f ca="1">IFERROR(__xludf.DUMMYFUNCTION("""COMPUTED_VALUE"""),"blank")</f>
        <v>blank</v>
      </c>
      <c r="AK72" t="e">
        <f ca="1">_xludf.IFNA(VLOOKUP(AG72,'S-FG'!$B$3:$B1001,1,FALSE),"")</f>
        <v>#NAME?</v>
      </c>
      <c r="AL72" t="e">
        <f ca="1">IF(AH72="","",SUMIFS(#REF!,RM!$C$4:$C991,AH72))</f>
        <v>#REF!</v>
      </c>
    </row>
    <row r="73" spans="5:38">
      <c r="E73" t="str">
        <f>IF(A73="","",SUMIFS(Issue!$D$3:$D1001,Issue!$C$3:$C1001,A73)*C73)</f>
        <v/>
      </c>
      <c r="F73" t="e">
        <f ca="1">_xludf.IFNA(VLOOKUP(B73,'S-FG'!$B$3:$B1001,1,FALSE),"")</f>
        <v>#NAME?</v>
      </c>
      <c r="H73" t="str">
        <f ca="1">IFERROR(__xludf.DUMMYFUNCTION("""COMPUTED_VALUE"""),"PORT Signal PM Assy")</f>
        <v>PORT Signal PM Assy</v>
      </c>
      <c r="I73" t="str">
        <f ca="1">IFERROR(__xludf.DUMMYFUNCTION("""COMPUTED_VALUE"""),"10cm one sided JST crimped Orange")</f>
        <v>10cm one sided JST crimped Orange</v>
      </c>
      <c r="J73">
        <f ca="1">IFERROR(__xludf.DUMMYFUNCTION("""COMPUTED_VALUE"""),1)</f>
        <v>1</v>
      </c>
      <c r="K73" t="str">
        <f ca="1">IFERROR(__xludf.DUMMYFUNCTION("""COMPUTED_VALUE"""),"blank")</f>
        <v>blank</v>
      </c>
      <c r="L73">
        <f t="shared" ca="1" si="0"/>
        <v>0</v>
      </c>
      <c r="Q73" t="str">
        <f>IF(N73="","",SUMIFS(Issue!$D$3:$D1001,Issue!$C$3:$C1001,N73))</f>
        <v/>
      </c>
      <c r="S73" t="str">
        <f ca="1">IFERROR(__xludf.DUMMYFUNCTION("""COMPUTED_VALUE"""),"10cm one sided JST crimped Pink")</f>
        <v>10cm one sided JST crimped Pink</v>
      </c>
      <c r="X73" t="e">
        <f ca="1"/>
        <v>#NAME?</v>
      </c>
      <c r="Y73" t="e">
        <f t="shared" ca="1" si="1"/>
        <v>#NAME?</v>
      </c>
      <c r="Z73" t="e">
        <f ca="1">IF(X73="","",SUMIFS(#REF!,RM!$C$4:$C991,X73))</f>
        <v>#NAME?</v>
      </c>
      <c r="AA73" t="e">
        <f ca="1">IF(X73="","",SUMIFS(#REF!,RM!$C$4:$C991,X73))</f>
        <v>#NAME?</v>
      </c>
      <c r="AB73" t="e">
        <f t="shared" ca="1" si="2"/>
        <v>#NAME?</v>
      </c>
      <c r="AC73" t="e">
        <f ca="1">IF(X73="","",VLOOKUP($X73,RM!$C$4:$G991,3,FALSE))</f>
        <v>#NAME?</v>
      </c>
      <c r="AD73" t="e">
        <f ca="1">IF(X73="","",VLOOKUP($X73,RM!$C$4:$G991,4,FALSE))</f>
        <v>#NAME?</v>
      </c>
      <c r="AE73" t="e">
        <f ca="1">IF(X73="","",VLOOKUP($X73,RM!$C$4:$G991,5,FALSE))</f>
        <v>#NAME?</v>
      </c>
      <c r="AG73" t="str">
        <f ca="1">IFERROR(__xludf.DUMMYFUNCTION("""COMPUTED_VALUE"""),"PORT_ESC Assy")</f>
        <v>PORT_ESC Assy</v>
      </c>
      <c r="AH73" t="str">
        <f ca="1">IFERROR(__xludf.DUMMYFUNCTION("""COMPUTED_VALUE"""),"4mm Female Bullet connector")</f>
        <v>4mm Female Bullet connector</v>
      </c>
      <c r="AI73">
        <f ca="1">IFERROR(__xludf.DUMMYFUNCTION("""COMPUTED_VALUE"""),1)</f>
        <v>1</v>
      </c>
      <c r="AJ73" t="str">
        <f ca="1">IFERROR(__xludf.DUMMYFUNCTION("""COMPUTED_VALUE"""),"blank")</f>
        <v>blank</v>
      </c>
      <c r="AK73" t="e">
        <f ca="1">_xludf.IFNA(VLOOKUP(AG73,'S-FG'!$B$3:$B1001,1,FALSE),"")</f>
        <v>#NAME?</v>
      </c>
      <c r="AL73" t="e">
        <f ca="1">IF(AH73="","",SUMIFS(#REF!,RM!$C$4:$C991,AH73))</f>
        <v>#REF!</v>
      </c>
    </row>
    <row r="74" spans="5:38">
      <c r="E74" t="str">
        <f>IF(A74="","",SUMIFS(Issue!$D$3:$D1001,Issue!$C$3:$C1001,A74)*C74)</f>
        <v/>
      </c>
      <c r="F74" t="e">
        <f ca="1">_xludf.IFNA(VLOOKUP(B74,'S-FG'!$B$3:$B1001,1,FALSE),"")</f>
        <v>#NAME?</v>
      </c>
      <c r="H74" t="str">
        <f ca="1">IFERROR(__xludf.DUMMYFUNCTION("""COMPUTED_VALUE"""),"PORT Signal PM Assy")</f>
        <v>PORT Signal PM Assy</v>
      </c>
      <c r="I74" t="str">
        <f ca="1">IFERROR(__xludf.DUMMYFUNCTION("""COMPUTED_VALUE"""),"10cm one sided JST crimped Dark Blue")</f>
        <v>10cm one sided JST crimped Dark Blue</v>
      </c>
      <c r="J74">
        <f ca="1">IFERROR(__xludf.DUMMYFUNCTION("""COMPUTED_VALUE"""),1)</f>
        <v>1</v>
      </c>
      <c r="K74" t="str">
        <f ca="1">IFERROR(__xludf.DUMMYFUNCTION("""COMPUTED_VALUE"""),"blank")</f>
        <v>blank</v>
      </c>
      <c r="L74">
        <f t="shared" ca="1" si="0"/>
        <v>0</v>
      </c>
      <c r="Q74" t="str">
        <f>IF(N74="","",SUMIFS(Issue!$D$3:$D1001,Issue!$C$3:$C1001,N74))</f>
        <v/>
      </c>
      <c r="S74" t="str">
        <f ca="1">IFERROR(__xludf.DUMMYFUNCTION("""COMPUTED_VALUE"""),"10cm one sided JST crimped Orange")</f>
        <v>10cm one sided JST crimped Orange</v>
      </c>
      <c r="X74" t="e">
        <f ca="1"/>
        <v>#NAME?</v>
      </c>
      <c r="Y74" t="e">
        <f t="shared" ca="1" si="1"/>
        <v>#NAME?</v>
      </c>
      <c r="Z74" t="e">
        <f ca="1">IF(X74="","",SUMIFS(#REF!,RM!$C$4:$C991,X74))</f>
        <v>#NAME?</v>
      </c>
      <c r="AA74" t="e">
        <f ca="1">IF(X74="","",SUMIFS(#REF!,RM!$C$4:$C991,X74))</f>
        <v>#NAME?</v>
      </c>
      <c r="AB74" t="e">
        <f t="shared" ca="1" si="2"/>
        <v>#NAME?</v>
      </c>
      <c r="AC74" t="e">
        <f ca="1">IF(X74="","",VLOOKUP($X74,RM!$C$4:$G991,3,FALSE))</f>
        <v>#NAME?</v>
      </c>
      <c r="AD74" t="e">
        <f ca="1">IF(X74="","",VLOOKUP($X74,RM!$C$4:$G991,4,FALSE))</f>
        <v>#NAME?</v>
      </c>
      <c r="AE74" t="e">
        <f ca="1">IF(X74="","",VLOOKUP($X74,RM!$C$4:$G991,5,FALSE))</f>
        <v>#NAME?</v>
      </c>
      <c r="AG74" t="str">
        <f ca="1">IFERROR(__xludf.DUMMYFUNCTION("""COMPUTED_VALUE"""),"PORT_ESC Assy")</f>
        <v>PORT_ESC Assy</v>
      </c>
      <c r="AH74" t="str">
        <f ca="1">IFERROR(__xludf.DUMMYFUNCTION("""COMPUTED_VALUE"""),"Red 12AWG")</f>
        <v>Red 12AWG</v>
      </c>
      <c r="AI74">
        <f ca="1">IFERROR(__xludf.DUMMYFUNCTION("""COMPUTED_VALUE"""),0.55)</f>
        <v>0.55000000000000004</v>
      </c>
      <c r="AJ74" t="str">
        <f ca="1">IFERROR(__xludf.DUMMYFUNCTION("""COMPUTED_VALUE"""),"blank")</f>
        <v>blank</v>
      </c>
      <c r="AK74" t="e">
        <f ca="1">_xludf.IFNA(VLOOKUP(AG74,'S-FG'!$B$3:$B1001,1,FALSE),"")</f>
        <v>#NAME?</v>
      </c>
      <c r="AL74" t="e">
        <f ca="1">IF(AH74="","",SUMIFS(#REF!,RM!$C$4:$C991,AH74))</f>
        <v>#REF!</v>
      </c>
    </row>
    <row r="75" spans="5:38">
      <c r="E75" t="str">
        <f>IF(A75="","",SUMIFS(Issue!$D$3:$D1001,Issue!$C$3:$C1001,A75)*C75)</f>
        <v/>
      </c>
      <c r="F75" t="e">
        <f ca="1">_xludf.IFNA(VLOOKUP(B75,'S-FG'!$B$3:$B1001,1,FALSE),"")</f>
        <v>#NAME?</v>
      </c>
      <c r="H75" t="str">
        <f ca="1">IFERROR(__xludf.DUMMYFUNCTION("""COMPUTED_VALUE"""),"PORT Signal PM Assy")</f>
        <v>PORT Signal PM Assy</v>
      </c>
      <c r="I75" t="str">
        <f ca="1">IFERROR(__xludf.DUMMYFUNCTION("""COMPUTED_VALUE"""),"10cm one sided JST crimped Light Brown")</f>
        <v>10cm one sided JST crimped Light Brown</v>
      </c>
      <c r="J75">
        <f ca="1">IFERROR(__xludf.DUMMYFUNCTION("""COMPUTED_VALUE"""),1)</f>
        <v>1</v>
      </c>
      <c r="K75" t="str">
        <f ca="1">IFERROR(__xludf.DUMMYFUNCTION("""COMPUTED_VALUE"""),"blank")</f>
        <v>blank</v>
      </c>
      <c r="L75">
        <f t="shared" ca="1" si="0"/>
        <v>0</v>
      </c>
      <c r="Q75" t="str">
        <f>IF(N75="","",SUMIFS(Issue!$D$3:$D1001,Issue!$C$3:$C1001,N75))</f>
        <v/>
      </c>
      <c r="S75" t="str">
        <f ca="1">IFERROR(__xludf.DUMMYFUNCTION("""COMPUTED_VALUE"""),"10cm one sided JST crimped Dark Blue")</f>
        <v>10cm one sided JST crimped Dark Blue</v>
      </c>
      <c r="X75" t="e">
        <f ca="1"/>
        <v>#NAME?</v>
      </c>
      <c r="Y75" t="e">
        <f t="shared" ca="1" si="1"/>
        <v>#NAME?</v>
      </c>
      <c r="Z75" t="e">
        <f ca="1">IF(X75="","",SUMIFS(#REF!,RM!$C$4:$C991,X75))</f>
        <v>#NAME?</v>
      </c>
      <c r="AA75" t="e">
        <f ca="1">IF(X75="","",SUMIFS(#REF!,RM!$C$4:$C991,X75))</f>
        <v>#NAME?</v>
      </c>
      <c r="AB75" t="e">
        <f t="shared" ca="1" si="2"/>
        <v>#NAME?</v>
      </c>
      <c r="AC75" t="e">
        <f ca="1">IF(X75="","",VLOOKUP($X75,RM!$C$4:$G991,3,FALSE))</f>
        <v>#NAME?</v>
      </c>
      <c r="AD75" t="e">
        <f ca="1">IF(X75="","",VLOOKUP($X75,RM!$C$4:$G991,4,FALSE))</f>
        <v>#NAME?</v>
      </c>
      <c r="AE75" t="e">
        <f ca="1">IF(X75="","",VLOOKUP($X75,RM!$C$4:$G991,5,FALSE))</f>
        <v>#NAME?</v>
      </c>
      <c r="AG75" t="str">
        <f ca="1">IFERROR(__xludf.DUMMYFUNCTION("""COMPUTED_VALUE"""),"PORT_ESC Assy")</f>
        <v>PORT_ESC Assy</v>
      </c>
      <c r="AH75" t="str">
        <f ca="1">IFERROR(__xludf.DUMMYFUNCTION("""COMPUTED_VALUE"""),"Ferrite Core")</f>
        <v>Ferrite Core</v>
      </c>
      <c r="AI75">
        <f ca="1">IFERROR(__xludf.DUMMYFUNCTION("""COMPUTED_VALUE"""),1)</f>
        <v>1</v>
      </c>
      <c r="AJ75" t="str">
        <f ca="1">IFERROR(__xludf.DUMMYFUNCTION("""COMPUTED_VALUE"""),"CF199T1306C")</f>
        <v>CF199T1306C</v>
      </c>
      <c r="AK75" t="e">
        <f ca="1">_xludf.IFNA(VLOOKUP(AG75,'S-FG'!$B$3:$B1001,1,FALSE),"")</f>
        <v>#NAME?</v>
      </c>
      <c r="AL75" t="e">
        <f ca="1">IF(AH75="","",SUMIFS(#REF!,RM!$C$4:$C991,AH75))</f>
        <v>#REF!</v>
      </c>
    </row>
    <row r="76" spans="5:38">
      <c r="E76" t="str">
        <f>IF(A76="","",SUMIFS(Issue!$D$3:$D1001,Issue!$C$3:$C1001,A76)*C76)</f>
        <v/>
      </c>
      <c r="F76" t="e">
        <f ca="1">_xludf.IFNA(VLOOKUP(B76,'S-FG'!$B$3:$B1001,1,FALSE),"")</f>
        <v>#NAME?</v>
      </c>
      <c r="H76" t="str">
        <f ca="1">IFERROR(__xludf.DUMMYFUNCTION("""COMPUTED_VALUE"""),"PORT Signal PM Assy")</f>
        <v>PORT Signal PM Assy</v>
      </c>
      <c r="I76" t="str">
        <f ca="1">IFERROR(__xludf.DUMMYFUNCTION("""COMPUTED_VALUE"""),"10cm one sided JST crimped Dark Brown")</f>
        <v>10cm one sided JST crimped Dark Brown</v>
      </c>
      <c r="J76">
        <f ca="1">IFERROR(__xludf.DUMMYFUNCTION("""COMPUTED_VALUE"""),1)</f>
        <v>1</v>
      </c>
      <c r="K76" t="str">
        <f ca="1">IFERROR(__xludf.DUMMYFUNCTION("""COMPUTED_VALUE"""),"blank")</f>
        <v>blank</v>
      </c>
      <c r="L76">
        <f t="shared" ca="1" si="0"/>
        <v>0</v>
      </c>
      <c r="Q76" t="str">
        <f>IF(N76="","",SUMIFS(Issue!$D$3:$D1001,Issue!$C$3:$C1001,N76))</f>
        <v/>
      </c>
      <c r="S76" t="str">
        <f ca="1">IFERROR(__xludf.DUMMYFUNCTION("""COMPUTED_VALUE"""),"10cm one sided JST crimped Light Brown")</f>
        <v>10cm one sided JST crimped Light Brown</v>
      </c>
      <c r="X76" t="e">
        <f ca="1"/>
        <v>#NAME?</v>
      </c>
      <c r="Y76" t="e">
        <f t="shared" ca="1" si="1"/>
        <v>#NAME?</v>
      </c>
      <c r="Z76" t="e">
        <f ca="1">IF(X76="","",SUMIFS(#REF!,RM!$C$4:$C991,X76))</f>
        <v>#NAME?</v>
      </c>
      <c r="AA76" t="e">
        <f ca="1">IF(X76="","",SUMIFS(#REF!,RM!$C$4:$C991,X76))</f>
        <v>#NAME?</v>
      </c>
      <c r="AB76" t="e">
        <f t="shared" ca="1" si="2"/>
        <v>#NAME?</v>
      </c>
      <c r="AC76" t="e">
        <f ca="1">IF(X76="","",VLOOKUP($X76,RM!$C$4:$G991,3,FALSE))</f>
        <v>#NAME?</v>
      </c>
      <c r="AD76" t="e">
        <f ca="1">IF(X76="","",VLOOKUP($X76,RM!$C$4:$G991,4,FALSE))</f>
        <v>#NAME?</v>
      </c>
      <c r="AE76" t="e">
        <f ca="1">IF(X76="","",VLOOKUP($X76,RM!$C$4:$G991,5,FALSE))</f>
        <v>#NAME?</v>
      </c>
      <c r="AG76" t="str">
        <f ca="1">IFERROR(__xludf.DUMMYFUNCTION("""COMPUTED_VALUE"""),"PORT_ESC Assy")</f>
        <v>PORT_ESC Assy</v>
      </c>
      <c r="AH76" t="str">
        <f ca="1">IFERROR(__xludf.DUMMYFUNCTION("""COMPUTED_VALUE"""),"16AWG Lead")</f>
        <v>16AWG Lead</v>
      </c>
      <c r="AI76">
        <f ca="1">IFERROR(__xludf.DUMMYFUNCTION("""COMPUTED_VALUE"""),5)</f>
        <v>5</v>
      </c>
      <c r="AJ76" t="str">
        <f ca="1">IFERROR(__xludf.DUMMYFUNCTION("""COMPUTED_VALUE"""),"blank")</f>
        <v>blank</v>
      </c>
      <c r="AK76" t="e">
        <f ca="1">_xludf.IFNA(VLOOKUP(AG76,'S-FG'!$B$3:$B1001,1,FALSE),"")</f>
        <v>#NAME?</v>
      </c>
      <c r="AL76" t="e">
        <f ca="1">IF(AH76="","",SUMIFS(#REF!,RM!$C$4:$C991,AH76))</f>
        <v>#REF!</v>
      </c>
    </row>
    <row r="77" spans="5:38">
      <c r="E77" t="str">
        <f>IF(A77="","",SUMIFS(Issue!$D$3:$D1001,Issue!$C$3:$C1001,A77)*C77)</f>
        <v/>
      </c>
      <c r="F77" t="e">
        <f ca="1">_xludf.IFNA(VLOOKUP(B77,'S-FG'!$B$3:$B1001,1,FALSE),"")</f>
        <v>#NAME?</v>
      </c>
      <c r="H77" t="str">
        <f ca="1">IFERROR(__xludf.DUMMYFUNCTION("""COMPUTED_VALUE"""),"PORT Signal PM Assy")</f>
        <v>PORT Signal PM Assy</v>
      </c>
      <c r="I77" t="str">
        <f ca="1">IFERROR(__xludf.DUMMYFUNCTION("""COMPUTED_VALUE"""),"10cm one sided JST crimped White with Red strip")</f>
        <v>10cm one sided JST crimped White with Red strip</v>
      </c>
      <c r="J77">
        <f ca="1">IFERROR(__xludf.DUMMYFUNCTION("""COMPUTED_VALUE"""),1)</f>
        <v>1</v>
      </c>
      <c r="K77" t="str">
        <f ca="1">IFERROR(__xludf.DUMMYFUNCTION("""COMPUTED_VALUE"""),"blank")</f>
        <v>blank</v>
      </c>
      <c r="L77">
        <f t="shared" ca="1" si="0"/>
        <v>0</v>
      </c>
      <c r="Q77" t="str">
        <f>IF(N77="","",SUMIFS(Issue!$D$3:$D1001,Issue!$C$3:$C1001,N77))</f>
        <v/>
      </c>
      <c r="S77" t="str">
        <f ca="1">IFERROR(__xludf.DUMMYFUNCTION("""COMPUTED_VALUE"""),"10cm one sided JST crimped Dark Brown")</f>
        <v>10cm one sided JST crimped Dark Brown</v>
      </c>
      <c r="X77" t="e">
        <f ca="1"/>
        <v>#NAME?</v>
      </c>
      <c r="Y77" t="e">
        <f t="shared" ca="1" si="1"/>
        <v>#NAME?</v>
      </c>
      <c r="Z77" t="e">
        <f ca="1">IF(X77="","",SUMIFS(#REF!,RM!$C$4:$C991,X77))</f>
        <v>#NAME?</v>
      </c>
      <c r="AA77" t="e">
        <f ca="1">IF(X77="","",SUMIFS(#REF!,RM!$C$4:$C991,X77))</f>
        <v>#NAME?</v>
      </c>
      <c r="AB77" t="e">
        <f t="shared" ca="1" si="2"/>
        <v>#NAME?</v>
      </c>
      <c r="AC77" t="e">
        <f ca="1">IF(X77="","",VLOOKUP($X77,RM!$C$4:$G991,3,FALSE))</f>
        <v>#NAME?</v>
      </c>
      <c r="AD77" t="e">
        <f ca="1">IF(X77="","",VLOOKUP($X77,RM!$C$4:$G991,4,FALSE))</f>
        <v>#NAME?</v>
      </c>
      <c r="AE77" t="e">
        <f ca="1">IF(X77="","",VLOOKUP($X77,RM!$C$4:$G991,5,FALSE))</f>
        <v>#NAME?</v>
      </c>
      <c r="AG77" t="str">
        <f ca="1">IFERROR(__xludf.DUMMYFUNCTION("""COMPUTED_VALUE"""),"PORT_ESC Assy")</f>
        <v>PORT_ESC Assy</v>
      </c>
      <c r="AH77" t="str">
        <f ca="1">IFERROR(__xludf.DUMMYFUNCTION("""COMPUTED_VALUE"""),"Heatshrink Tube 9:3")</f>
        <v>Heatshrink Tube 9:3</v>
      </c>
      <c r="AI77">
        <f ca="1">IFERROR(__xludf.DUMMYFUNCTION("""COMPUTED_VALUE"""),0.05)</f>
        <v>0.05</v>
      </c>
      <c r="AJ77" t="str">
        <f ca="1">IFERROR(__xludf.DUMMYFUNCTION("""COMPUTED_VALUE"""),"blank")</f>
        <v>blank</v>
      </c>
      <c r="AK77" t="e">
        <f ca="1">_xludf.IFNA(VLOOKUP(AG77,'S-FG'!$B$3:$B1001,1,FALSE),"")</f>
        <v>#NAME?</v>
      </c>
      <c r="AL77" t="e">
        <f ca="1">IF(AH77="","",SUMIFS(#REF!,RM!$C$4:$C991,AH77))</f>
        <v>#REF!</v>
      </c>
    </row>
    <row r="78" spans="5:38">
      <c r="E78" t="str">
        <f>IF(A78="","",SUMIFS(Issue!$D$3:$D1001,Issue!$C$3:$C1001,A78)*C78)</f>
        <v/>
      </c>
      <c r="F78" t="e">
        <f ca="1">_xludf.IFNA(VLOOKUP(B78,'S-FG'!$B$3:$B1001,1,FALSE),"")</f>
        <v>#NAME?</v>
      </c>
      <c r="H78" t="str">
        <f ca="1">IFERROR(__xludf.DUMMYFUNCTION("""COMPUTED_VALUE"""),"PORT Signal PM Assy")</f>
        <v>PORT Signal PM Assy</v>
      </c>
      <c r="I78" t="str">
        <f ca="1">IFERROR(__xludf.DUMMYFUNCTION("""COMPUTED_VALUE"""),"10cm one sided JST crimped White with black strip")</f>
        <v>10cm one sided JST crimped White with black strip</v>
      </c>
      <c r="J78">
        <f ca="1">IFERROR(__xludf.DUMMYFUNCTION("""COMPUTED_VALUE"""),1)</f>
        <v>1</v>
      </c>
      <c r="K78" t="str">
        <f ca="1">IFERROR(__xludf.DUMMYFUNCTION("""COMPUTED_VALUE"""),"blank")</f>
        <v>blank</v>
      </c>
      <c r="L78">
        <f t="shared" ca="1" si="0"/>
        <v>0</v>
      </c>
      <c r="Q78" t="str">
        <f>IF(N78="","",SUMIFS(Issue!$D$3:$D1001,Issue!$C$3:$C1001,N78))</f>
        <v/>
      </c>
      <c r="S78" t="str">
        <f ca="1">IFERROR(__xludf.DUMMYFUNCTION("""COMPUTED_VALUE"""),"10cm one sided JST crimped White with Red strip")</f>
        <v>10cm one sided JST crimped White with Red strip</v>
      </c>
      <c r="X78" t="e">
        <f ca="1"/>
        <v>#NAME?</v>
      </c>
      <c r="Y78" t="e">
        <f t="shared" ca="1" si="1"/>
        <v>#NAME?</v>
      </c>
      <c r="Z78" t="e">
        <f ca="1">IF(X78="","",SUMIFS(#REF!,RM!$C$4:$C991,X78))</f>
        <v>#NAME?</v>
      </c>
      <c r="AA78" t="e">
        <f ca="1">IF(X78="","",SUMIFS(#REF!,RM!$C$4:$C991,X78))</f>
        <v>#NAME?</v>
      </c>
      <c r="AB78" t="e">
        <f t="shared" ca="1" si="2"/>
        <v>#NAME?</v>
      </c>
      <c r="AC78" t="e">
        <f ca="1">IF(X78="","",VLOOKUP($X78,RM!$C$4:$G991,3,FALSE))</f>
        <v>#NAME?</v>
      </c>
      <c r="AD78" t="e">
        <f ca="1">IF(X78="","",VLOOKUP($X78,RM!$C$4:$G991,4,FALSE))</f>
        <v>#NAME?</v>
      </c>
      <c r="AE78" t="e">
        <f ca="1">IF(X78="","",VLOOKUP($X78,RM!$C$4:$G991,5,FALSE))</f>
        <v>#NAME?</v>
      </c>
      <c r="AG78" t="str">
        <f ca="1">IFERROR(__xludf.DUMMYFUNCTION("""COMPUTED_VALUE"""),"PORT_ESC Assy")</f>
        <v>PORT_ESC Assy</v>
      </c>
      <c r="AH78" t="str">
        <f ca="1">IFERROR(__xludf.DUMMYFUNCTION("""COMPUTED_VALUE"""),"HeatShrink Tube 4.8/1.2")</f>
        <v>HeatShrink Tube 4.8/1.2</v>
      </c>
      <c r="AI78">
        <f ca="1">IFERROR(__xludf.DUMMYFUNCTION("""COMPUTED_VALUE"""),0.05)</f>
        <v>0.05</v>
      </c>
      <c r="AJ78" t="str">
        <f ca="1">IFERROR(__xludf.DUMMYFUNCTION("""COMPUTED_VALUE"""),"blank")</f>
        <v>blank</v>
      </c>
      <c r="AK78" t="e">
        <f ca="1">_xludf.IFNA(VLOOKUP(AG78,'S-FG'!$B$3:$B1001,1,FALSE),"")</f>
        <v>#NAME?</v>
      </c>
      <c r="AL78" t="e">
        <f ca="1">IF(AH78="","",SUMIFS(#REF!,RM!$C$4:$C991,AH78))</f>
        <v>#REF!</v>
      </c>
    </row>
    <row r="79" spans="5:38">
      <c r="E79" t="str">
        <f>IF(A79="","",SUMIFS(Issue!$D$3:$D1001,Issue!$C$3:$C1001,A79)*C79)</f>
        <v/>
      </c>
      <c r="F79" t="e">
        <f ca="1">_xludf.IFNA(VLOOKUP(B79,'S-FG'!$B$3:$B1001,1,FALSE),"")</f>
        <v>#NAME?</v>
      </c>
      <c r="H79" t="str">
        <f ca="1">IFERROR(__xludf.DUMMYFUNCTION("""COMPUTED_VALUE"""),"PORT Signal PM Assy")</f>
        <v>PORT Signal PM Assy</v>
      </c>
      <c r="I79" t="str">
        <f ca="1">IFERROR(__xludf.DUMMYFUNCTION("""COMPUTED_VALUE"""),"10cm one sided JST crimped White")</f>
        <v>10cm one sided JST crimped White</v>
      </c>
      <c r="J79">
        <f ca="1">IFERROR(__xludf.DUMMYFUNCTION("""COMPUTED_VALUE"""),1)</f>
        <v>1</v>
      </c>
      <c r="K79" t="str">
        <f ca="1">IFERROR(__xludf.DUMMYFUNCTION("""COMPUTED_VALUE"""),"blank")</f>
        <v>blank</v>
      </c>
      <c r="L79">
        <f t="shared" ca="1" si="0"/>
        <v>0</v>
      </c>
      <c r="Q79" t="str">
        <f>IF(N79="","",SUMIFS(Issue!$D$3:$D1001,Issue!$C$3:$C1001,N79))</f>
        <v/>
      </c>
      <c r="S79" t="str">
        <f ca="1">IFERROR(__xludf.DUMMYFUNCTION("""COMPUTED_VALUE"""),"10cm one sided JST crimped White with black strip")</f>
        <v>10cm one sided JST crimped White with black strip</v>
      </c>
      <c r="X79" t="e">
        <f ca="1"/>
        <v>#NAME?</v>
      </c>
      <c r="Y79" t="e">
        <f t="shared" ca="1" si="1"/>
        <v>#NAME?</v>
      </c>
      <c r="Z79" t="e">
        <f ca="1">IF(X79="","",SUMIFS(#REF!,RM!$C$4:$C991,X79))</f>
        <v>#NAME?</v>
      </c>
      <c r="AA79" t="e">
        <f ca="1">IF(X79="","",SUMIFS(#REF!,RM!$C$4:$C991,X79))</f>
        <v>#NAME?</v>
      </c>
      <c r="AB79" t="e">
        <f t="shared" ca="1" si="2"/>
        <v>#NAME?</v>
      </c>
      <c r="AC79" t="e">
        <f ca="1">IF(X79="","",VLOOKUP($X79,RM!$C$4:$G991,3,FALSE))</f>
        <v>#NAME?</v>
      </c>
      <c r="AD79" t="e">
        <f ca="1">IF(X79="","",VLOOKUP($X79,RM!$C$4:$G991,4,FALSE))</f>
        <v>#NAME?</v>
      </c>
      <c r="AE79" t="e">
        <f ca="1">IF(X79="","",VLOOKUP($X79,RM!$C$4:$G991,5,FALSE))</f>
        <v>#NAME?</v>
      </c>
      <c r="AG79" t="str">
        <f ca="1">IFERROR(__xludf.DUMMYFUNCTION("""COMPUTED_VALUE"""),"PORT_ESC Assy")</f>
        <v>PORT_ESC Assy</v>
      </c>
      <c r="AH79" t="str">
        <f ca="1">IFERROR(__xludf.DUMMYFUNCTION("""COMPUTED_VALUE"""),"HV130 ESC")</f>
        <v>HV130 ESC</v>
      </c>
      <c r="AI79">
        <f ca="1">IFERROR(__xludf.DUMMYFUNCTION("""COMPUTED_VALUE"""),1)</f>
        <v>1</v>
      </c>
      <c r="AJ79" t="str">
        <f ca="1">IFERROR(__xludf.DUMMYFUNCTION("""COMPUTED_VALUE"""),"blank")</f>
        <v>blank</v>
      </c>
      <c r="AK79" t="e">
        <f ca="1">_xludf.IFNA(VLOOKUP(AG79,'S-FG'!$B$3:$B1001,1,FALSE),"")</f>
        <v>#NAME?</v>
      </c>
      <c r="AL79" t="e">
        <f ca="1">IF(AH79="","",SUMIFS(#REF!,RM!$C$4:$C991,AH79))</f>
        <v>#REF!</v>
      </c>
    </row>
    <row r="80" spans="5:38">
      <c r="E80" t="str">
        <f>IF(A80="","",SUMIFS(Issue!$D$3:$D1001,Issue!$C$3:$C1001,A80)*C80)</f>
        <v/>
      </c>
      <c r="F80" t="e">
        <f ca="1">_xludf.IFNA(VLOOKUP(B80,'S-FG'!$B$3:$B1001,1,FALSE),"")</f>
        <v>#NAME?</v>
      </c>
      <c r="H80" t="str">
        <f ca="1">IFERROR(__xludf.DUMMYFUNCTION("""COMPUTED_VALUE"""),"PORT Signal PM Assy")</f>
        <v>PORT Signal PM Assy</v>
      </c>
      <c r="I80" t="str">
        <f ca="1">IFERROR(__xludf.DUMMYFUNCTION("""COMPUTED_VALUE"""),"10cm one sided JST crimped Dark Parrot Green")</f>
        <v>10cm one sided JST crimped Dark Parrot Green</v>
      </c>
      <c r="J80">
        <f ca="1">IFERROR(__xludf.DUMMYFUNCTION("""COMPUTED_VALUE"""),1)</f>
        <v>1</v>
      </c>
      <c r="K80" t="str">
        <f ca="1">IFERROR(__xludf.DUMMYFUNCTION("""COMPUTED_VALUE"""),"blank")</f>
        <v>blank</v>
      </c>
      <c r="L80">
        <f t="shared" ca="1" si="0"/>
        <v>0</v>
      </c>
      <c r="Q80" t="str">
        <f>IF(N80="","",SUMIFS(Issue!$D$3:$D1001,Issue!$C$3:$C1001,N80))</f>
        <v/>
      </c>
      <c r="S80" t="str">
        <f ca="1">IFERROR(__xludf.DUMMYFUNCTION("""COMPUTED_VALUE"""),"10cm one sided JST crimped White")</f>
        <v>10cm one sided JST crimped White</v>
      </c>
      <c r="X80" t="e">
        <f ca="1"/>
        <v>#NAME?</v>
      </c>
      <c r="Y80" t="e">
        <f t="shared" ca="1" si="1"/>
        <v>#NAME?</v>
      </c>
      <c r="Z80" t="e">
        <f ca="1">IF(X80="","",SUMIFS(#REF!,RM!$C$4:$C991,X80))</f>
        <v>#NAME?</v>
      </c>
      <c r="AA80" t="e">
        <f ca="1">IF(X80="","",SUMIFS(#REF!,RM!$C$4:$C991,X80))</f>
        <v>#NAME?</v>
      </c>
      <c r="AB80" t="e">
        <f t="shared" ca="1" si="2"/>
        <v>#NAME?</v>
      </c>
      <c r="AC80" t="e">
        <f ca="1">IF(X80="","",VLOOKUP($X80,RM!$C$4:$G991,3,FALSE))</f>
        <v>#NAME?</v>
      </c>
      <c r="AD80" t="e">
        <f ca="1">IF(X80="","",VLOOKUP($X80,RM!$C$4:$G991,4,FALSE))</f>
        <v>#NAME?</v>
      </c>
      <c r="AE80" t="e">
        <f ca="1">IF(X80="","",VLOOKUP($X80,RM!$C$4:$G991,5,FALSE))</f>
        <v>#NAME?</v>
      </c>
      <c r="AG80" t="str">
        <f ca="1">IFERROR(__xludf.DUMMYFUNCTION("""COMPUTED_VALUE"""),"STBD Signal PM Assy")</f>
        <v>STBD Signal PM Assy</v>
      </c>
      <c r="AH80" t="str">
        <f ca="1">IFERROR(__xludf.DUMMYFUNCTION("""COMPUTED_VALUE"""),"15 pin JST-XH housing")</f>
        <v>15 pin JST-XH housing</v>
      </c>
      <c r="AI80">
        <f ca="1">IFERROR(__xludf.DUMMYFUNCTION("""COMPUTED_VALUE"""),1)</f>
        <v>1</v>
      </c>
      <c r="AJ80" t="str">
        <f ca="1">IFERROR(__xludf.DUMMYFUNCTION("""COMPUTED_VALUE"""),"blank")</f>
        <v>blank</v>
      </c>
      <c r="AK80" t="e">
        <f ca="1">_xludf.IFNA(VLOOKUP(AG80,'S-FG'!$B$3:$B1001,1,FALSE),"")</f>
        <v>#NAME?</v>
      </c>
      <c r="AL80" t="e">
        <f ca="1">IF(AH80="","",SUMIFS(#REF!,RM!$C$4:$C991,AH80))</f>
        <v>#REF!</v>
      </c>
    </row>
    <row r="81" spans="5:38">
      <c r="E81" t="str">
        <f>IF(A81="","",SUMIFS(Issue!$D$3:$D1001,Issue!$C$3:$C1001,A81)*C81)</f>
        <v/>
      </c>
      <c r="F81" t="e">
        <f ca="1">_xludf.IFNA(VLOOKUP(B81,'S-FG'!$B$3:$B1001,1,FALSE),"")</f>
        <v>#NAME?</v>
      </c>
      <c r="H81" t="str">
        <f ca="1">IFERROR(__xludf.DUMMYFUNCTION("""COMPUTED_VALUE"""),"PORT Signal PM Assy")</f>
        <v>PORT Signal PM Assy</v>
      </c>
      <c r="I81" t="str">
        <f ca="1">IFERROR(__xludf.DUMMYFUNCTION("""COMPUTED_VALUE"""),"SY21-15 pin panel mount")</f>
        <v>SY21-15 pin panel mount</v>
      </c>
      <c r="J81">
        <f ca="1">IFERROR(__xludf.DUMMYFUNCTION("""COMPUTED_VALUE"""),1)</f>
        <v>1</v>
      </c>
      <c r="K81" t="str">
        <f ca="1">IFERROR(__xludf.DUMMYFUNCTION("""COMPUTED_VALUE"""),"blank")</f>
        <v>blank</v>
      </c>
      <c r="L81">
        <f t="shared" ca="1" si="0"/>
        <v>0</v>
      </c>
      <c r="Q81" t="str">
        <f>IF(N81="","",SUMIFS(Issue!$D$3:$D1001,Issue!$C$3:$C1001,N81))</f>
        <v/>
      </c>
      <c r="S81" t="str">
        <f ca="1">IFERROR(__xludf.DUMMYFUNCTION("""COMPUTED_VALUE"""),"10cm one sided JST crimped Dark Parrot Green")</f>
        <v>10cm one sided JST crimped Dark Parrot Green</v>
      </c>
      <c r="X81" t="e">
        <f ca="1"/>
        <v>#NAME?</v>
      </c>
      <c r="Y81" t="e">
        <f t="shared" ca="1" si="1"/>
        <v>#NAME?</v>
      </c>
      <c r="Z81" t="e">
        <f ca="1">IF(X81="","",SUMIFS(#REF!,RM!$C$4:$C991,X81))</f>
        <v>#NAME?</v>
      </c>
      <c r="AA81" t="e">
        <f ca="1">IF(X81="","",SUMIFS(#REF!,RM!$C$4:$C991,X81))</f>
        <v>#NAME?</v>
      </c>
      <c r="AB81" t="e">
        <f t="shared" ca="1" si="2"/>
        <v>#NAME?</v>
      </c>
      <c r="AC81" t="e">
        <f ca="1">IF(X81="","",VLOOKUP($X81,RM!$C$4:$G991,3,FALSE))</f>
        <v>#NAME?</v>
      </c>
      <c r="AD81" t="e">
        <f ca="1">IF(X81="","",VLOOKUP($X81,RM!$C$4:$G991,4,FALSE))</f>
        <v>#NAME?</v>
      </c>
      <c r="AE81" t="e">
        <f ca="1">IF(X81="","",VLOOKUP($X81,RM!$C$4:$G991,5,FALSE))</f>
        <v>#NAME?</v>
      </c>
      <c r="AG81" t="str">
        <f ca="1">IFERROR(__xludf.DUMMYFUNCTION("""COMPUTED_VALUE"""),"STBD Signal PM Assy")</f>
        <v>STBD Signal PM Assy</v>
      </c>
      <c r="AH81" t="str">
        <f ca="1">IFERROR(__xludf.DUMMYFUNCTION("""COMPUTED_VALUE"""),"10cm one sided JST crimped Black")</f>
        <v>10cm one sided JST crimped Black</v>
      </c>
      <c r="AI81">
        <f ca="1">IFERROR(__xludf.DUMMYFUNCTION("""COMPUTED_VALUE"""),1)</f>
        <v>1</v>
      </c>
      <c r="AJ81" t="str">
        <f ca="1">IFERROR(__xludf.DUMMYFUNCTION("""COMPUTED_VALUE"""),"blank")</f>
        <v>blank</v>
      </c>
      <c r="AK81" t="e">
        <f ca="1">_xludf.IFNA(VLOOKUP(AG81,'S-FG'!$B$3:$B1001,1,FALSE),"")</f>
        <v>#NAME?</v>
      </c>
      <c r="AL81" t="e">
        <f ca="1">IF(AH81="","",SUMIFS(#REF!,RM!$C$4:$C991,AH81))</f>
        <v>#REF!</v>
      </c>
    </row>
    <row r="82" spans="5:38">
      <c r="E82" t="str">
        <f>IF(A82="","",SUMIFS(Issue!$D$3:$D1001,Issue!$C$3:$C1001,A82)*C82)</f>
        <v/>
      </c>
      <c r="F82" t="e">
        <f ca="1">_xludf.IFNA(VLOOKUP(B82,'S-FG'!$B$3:$B1001,1,FALSE),"")</f>
        <v>#NAME?</v>
      </c>
      <c r="H82" t="str">
        <f ca="1">IFERROR(__xludf.DUMMYFUNCTION("""COMPUTED_VALUE"""),"PORT Signal PM Assy")</f>
        <v>PORT Signal PM Assy</v>
      </c>
      <c r="I82" t="str">
        <f ca="1">IFERROR(__xludf.DUMMYFUNCTION("""COMPUTED_VALUE"""),"HeatShrink Tube 1.5mm/1.6mm")</f>
        <v>HeatShrink Tube 1.5mm/1.6mm</v>
      </c>
      <c r="J82">
        <f ca="1">IFERROR(__xludf.DUMMYFUNCTION("""COMPUTED_VALUE"""),0.15)</f>
        <v>0.15</v>
      </c>
      <c r="L82">
        <f t="shared" ca="1" si="0"/>
        <v>0</v>
      </c>
      <c r="Q82" t="str">
        <f>IF(N82="","",SUMIFS(Issue!$D$3:$D1001,Issue!$C$3:$C1001,N82))</f>
        <v/>
      </c>
      <c r="S82" t="str">
        <f ca="1">IFERROR(__xludf.DUMMYFUNCTION("""COMPUTED_VALUE"""),"SY21-15 pin panel mount")</f>
        <v>SY21-15 pin panel mount</v>
      </c>
      <c r="X82" t="e">
        <f ca="1"/>
        <v>#NAME?</v>
      </c>
      <c r="Y82" t="e">
        <f t="shared" ca="1" si="1"/>
        <v>#NAME?</v>
      </c>
      <c r="Z82" t="e">
        <f ca="1">IF(X82="","",SUMIFS(#REF!,RM!$C$4:$C991,X82))</f>
        <v>#NAME?</v>
      </c>
      <c r="AA82" t="e">
        <f ca="1">IF(X82="","",SUMIFS(#REF!,RM!$C$4:$C991,X82))</f>
        <v>#NAME?</v>
      </c>
      <c r="AB82" t="e">
        <f t="shared" ca="1" si="2"/>
        <v>#NAME?</v>
      </c>
      <c r="AC82" t="e">
        <f ca="1">IF(X82="","",VLOOKUP($X82,RM!$C$4:$G991,3,FALSE))</f>
        <v>#NAME?</v>
      </c>
      <c r="AD82" t="e">
        <f ca="1">IF(X82="","",VLOOKUP($X82,RM!$C$4:$G991,4,FALSE))</f>
        <v>#NAME?</v>
      </c>
      <c r="AE82" t="e">
        <f ca="1">IF(X82="","",VLOOKUP($X82,RM!$C$4:$G991,5,FALSE))</f>
        <v>#NAME?</v>
      </c>
      <c r="AG82" t="str">
        <f ca="1">IFERROR(__xludf.DUMMYFUNCTION("""COMPUTED_VALUE"""),"STBD Signal PM Assy")</f>
        <v>STBD Signal PM Assy</v>
      </c>
      <c r="AH82" t="str">
        <f ca="1">IFERROR(__xludf.DUMMYFUNCTION("""COMPUTED_VALUE"""),"10cm one sided JST crimped Green")</f>
        <v>10cm one sided JST crimped Green</v>
      </c>
      <c r="AI82">
        <f ca="1">IFERROR(__xludf.DUMMYFUNCTION("""COMPUTED_VALUE"""),1)</f>
        <v>1</v>
      </c>
      <c r="AJ82" t="str">
        <f ca="1">IFERROR(__xludf.DUMMYFUNCTION("""COMPUTED_VALUE"""),"blank")</f>
        <v>blank</v>
      </c>
      <c r="AK82" t="e">
        <f ca="1">_xludf.IFNA(VLOOKUP(AG82,'S-FG'!$B$3:$B1001,1,FALSE),"")</f>
        <v>#NAME?</v>
      </c>
      <c r="AL82" t="e">
        <f ca="1">IF(AH82="","",SUMIFS(#REF!,RM!$C$4:$C991,AH82))</f>
        <v>#REF!</v>
      </c>
    </row>
    <row r="83" spans="5:38">
      <c r="E83" t="str">
        <f>IF(A83="","",SUMIFS(Issue!$D$3:$D1001,Issue!$C$3:$C1001,A83)*C83)</f>
        <v/>
      </c>
      <c r="F83" t="e">
        <f ca="1">_xludf.IFNA(VLOOKUP(B83,'S-FG'!$B$3:$B1001,1,FALSE),"")</f>
        <v>#NAME?</v>
      </c>
      <c r="H83" t="str">
        <f ca="1">IFERROR(__xludf.DUMMYFUNCTION("""COMPUTED_VALUE"""),"PORT Signal PM Assy")</f>
        <v>PORT Signal PM Assy</v>
      </c>
      <c r="I83" t="str">
        <f ca="1">IFERROR(__xludf.DUMMYFUNCTION("""COMPUTED_VALUE"""),"Teroson MS930")</f>
        <v>Teroson MS930</v>
      </c>
      <c r="J83">
        <f ca="1">IFERROR(__xludf.DUMMYFUNCTION("""COMPUTED_VALUE"""),2)</f>
        <v>2</v>
      </c>
      <c r="K83" t="str">
        <f ca="1">IFERROR(__xludf.DUMMYFUNCTION("""COMPUTED_VALUE"""),"blank")</f>
        <v>blank</v>
      </c>
      <c r="L83">
        <f t="shared" ca="1" si="0"/>
        <v>0</v>
      </c>
      <c r="Q83" t="str">
        <f>IF(N83="","",SUMIFS(Issue!$D$3:$D1001,Issue!$C$3:$C1001,N83))</f>
        <v/>
      </c>
      <c r="S83" t="str">
        <f ca="1">IFERROR(__xludf.DUMMYFUNCTION("""COMPUTED_VALUE"""),"HeatShrink Tube 1.5mm/1.6mm")</f>
        <v>HeatShrink Tube 1.5mm/1.6mm</v>
      </c>
      <c r="X83" t="e">
        <f ca="1"/>
        <v>#NAME?</v>
      </c>
      <c r="Y83" t="e">
        <f t="shared" ca="1" si="1"/>
        <v>#NAME?</v>
      </c>
      <c r="Z83" t="e">
        <f ca="1">IF(X83="","",SUMIFS(#REF!,RM!$C$4:$C991,X83))</f>
        <v>#NAME?</v>
      </c>
      <c r="AA83" t="e">
        <f ca="1">IF(X83="","",SUMIFS(#REF!,RM!$C$4:$C991,X83))</f>
        <v>#NAME?</v>
      </c>
      <c r="AB83" t="e">
        <f t="shared" ca="1" si="2"/>
        <v>#NAME?</v>
      </c>
      <c r="AC83" t="e">
        <f ca="1">IF(X83="","",VLOOKUP($X83,RM!$C$4:$G991,3,FALSE))</f>
        <v>#NAME?</v>
      </c>
      <c r="AD83" t="e">
        <f ca="1">IF(X83="","",VLOOKUP($X83,RM!$C$4:$G991,4,FALSE))</f>
        <v>#NAME?</v>
      </c>
      <c r="AE83" t="e">
        <f ca="1">IF(X83="","",VLOOKUP($X83,RM!$C$4:$G991,5,FALSE))</f>
        <v>#NAME?</v>
      </c>
      <c r="AG83" t="str">
        <f ca="1">IFERROR(__xludf.DUMMYFUNCTION("""COMPUTED_VALUE"""),"STBD Signal PM Assy")</f>
        <v>STBD Signal PM Assy</v>
      </c>
      <c r="AH83" t="str">
        <f ca="1">IFERROR(__xludf.DUMMYFUNCTION("""COMPUTED_VALUE"""),"10cm one sided JST crimped Voilet")</f>
        <v>10cm one sided JST crimped Voilet</v>
      </c>
      <c r="AI83">
        <f ca="1">IFERROR(__xludf.DUMMYFUNCTION("""COMPUTED_VALUE"""),1)</f>
        <v>1</v>
      </c>
      <c r="AJ83" t="str">
        <f ca="1">IFERROR(__xludf.DUMMYFUNCTION("""COMPUTED_VALUE"""),"blank")</f>
        <v>blank</v>
      </c>
      <c r="AK83" t="e">
        <f ca="1">_xludf.IFNA(VLOOKUP(AG83,'S-FG'!$B$3:$B1001,1,FALSE),"")</f>
        <v>#NAME?</v>
      </c>
      <c r="AL83" t="e">
        <f ca="1">IF(AH83="","",SUMIFS(#REF!,RM!$C$4:$C991,AH83))</f>
        <v>#REF!</v>
      </c>
    </row>
    <row r="84" spans="5:38">
      <c r="E84" t="str">
        <f>IF(A84="","",SUMIFS(Issue!$D$3:$D1001,Issue!$C$3:$C1001,A84)*C84)</f>
        <v/>
      </c>
      <c r="F84" t="e">
        <f ca="1">_xludf.IFNA(VLOOKUP(B84,'S-FG'!$B$3:$B1001,1,FALSE),"")</f>
        <v>#NAME?</v>
      </c>
      <c r="H84" t="str">
        <f ca="1">IFERROR(__xludf.DUMMYFUNCTION("""COMPUTED_VALUE"""),"PORT Signal PM Assy")</f>
        <v>PORT Signal PM Assy</v>
      </c>
      <c r="I84" t="str">
        <f ca="1">IFERROR(__xludf.DUMMYFUNCTION("""COMPUTED_VALUE"""),"Silicon RTV 734 Potting compound")</f>
        <v>Silicon RTV 734 Potting compound</v>
      </c>
      <c r="J84">
        <f ca="1">IFERROR(__xludf.DUMMYFUNCTION("""COMPUTED_VALUE"""),5)</f>
        <v>5</v>
      </c>
      <c r="K84" t="str">
        <f ca="1">IFERROR(__xludf.DUMMYFUNCTION("""COMPUTED_VALUE"""),"blank")</f>
        <v>blank</v>
      </c>
      <c r="L84">
        <f t="shared" ca="1" si="0"/>
        <v>0</v>
      </c>
      <c r="Q84" t="str">
        <f>IF(N84="","",SUMIFS(Issue!$D$3:$D1001,Issue!$C$3:$C1001,N84))</f>
        <v/>
      </c>
      <c r="S84" t="str">
        <f ca="1">IFERROR(__xludf.DUMMYFUNCTION("""COMPUTED_VALUE"""),"Teroson MS930")</f>
        <v>Teroson MS930</v>
      </c>
      <c r="X84" t="e">
        <f ca="1"/>
        <v>#NAME?</v>
      </c>
      <c r="Y84" t="e">
        <f t="shared" ca="1" si="1"/>
        <v>#NAME?</v>
      </c>
      <c r="Z84" t="e">
        <f ca="1">IF(X84="","",SUMIFS(#REF!,RM!$C$4:$C991,X84))</f>
        <v>#NAME?</v>
      </c>
      <c r="AA84" t="e">
        <f ca="1">IF(X84="","",SUMIFS(#REF!,RM!$C$4:$C991,X84))</f>
        <v>#NAME?</v>
      </c>
      <c r="AB84" t="e">
        <f t="shared" ca="1" si="2"/>
        <v>#NAME?</v>
      </c>
      <c r="AC84" t="e">
        <f ca="1">IF(X84="","",VLOOKUP($X84,RM!$C$4:$G991,3,FALSE))</f>
        <v>#NAME?</v>
      </c>
      <c r="AD84" t="e">
        <f ca="1">IF(X84="","",VLOOKUP($X84,RM!$C$4:$G991,4,FALSE))</f>
        <v>#NAME?</v>
      </c>
      <c r="AE84" t="e">
        <f ca="1">IF(X84="","",VLOOKUP($X84,RM!$C$4:$G991,5,FALSE))</f>
        <v>#NAME?</v>
      </c>
      <c r="AG84" t="str">
        <f ca="1">IFERROR(__xludf.DUMMYFUNCTION("""COMPUTED_VALUE"""),"STBD Signal PM Assy")</f>
        <v>STBD Signal PM Assy</v>
      </c>
      <c r="AH84" t="str">
        <f ca="1">IFERROR(__xludf.DUMMYFUNCTION("""COMPUTED_VALUE"""),"10cm one sided JST crimped Yellow")</f>
        <v>10cm one sided JST crimped Yellow</v>
      </c>
      <c r="AI84">
        <f ca="1">IFERROR(__xludf.DUMMYFUNCTION("""COMPUTED_VALUE"""),1)</f>
        <v>1</v>
      </c>
      <c r="AJ84" t="str">
        <f ca="1">IFERROR(__xludf.DUMMYFUNCTION("""COMPUTED_VALUE"""),"blank")</f>
        <v>blank</v>
      </c>
      <c r="AK84" t="e">
        <f ca="1">_xludf.IFNA(VLOOKUP(AG84,'S-FG'!$B$3:$B1001,1,FALSE),"")</f>
        <v>#NAME?</v>
      </c>
      <c r="AL84" t="e">
        <f ca="1">IF(AH84="","",SUMIFS(#REF!,RM!$C$4:$C991,AH84))</f>
        <v>#REF!</v>
      </c>
    </row>
    <row r="85" spans="5:38">
      <c r="E85" t="str">
        <f>IF(A85="","",SUMIFS(Issue!$D$3:$D1001,Issue!$C$3:$C1001,A85)*C85)</f>
        <v/>
      </c>
      <c r="F85" t="e">
        <f ca="1">_xludf.IFNA(VLOOKUP(B85,'S-FG'!$B$3:$B1001,1,FALSE),"")</f>
        <v>#NAME?</v>
      </c>
      <c r="H85" t="str">
        <f ca="1">IFERROR(__xludf.DUMMYFUNCTION("""COMPUTED_VALUE"""),"PORT Signal PM Assy")</f>
        <v>PORT Signal PM Assy</v>
      </c>
      <c r="I85" t="str">
        <f ca="1">IFERROR(__xludf.DUMMYFUNCTION("""COMPUTED_VALUE"""),"Lead wire 22AWG")</f>
        <v>Lead wire 22AWG</v>
      </c>
      <c r="J85">
        <f ca="1">IFERROR(__xludf.DUMMYFUNCTION("""COMPUTED_VALUE"""),5)</f>
        <v>5</v>
      </c>
      <c r="L85">
        <f t="shared" ca="1" si="0"/>
        <v>0</v>
      </c>
      <c r="Q85" t="str">
        <f>IF(N85="","",SUMIFS(Issue!$D$3:$D1001,Issue!$C$3:$C1001,N85))</f>
        <v/>
      </c>
      <c r="S85" t="str">
        <f ca="1">IFERROR(__xludf.DUMMYFUNCTION("""COMPUTED_VALUE"""),"Silicon RTV 734 Potting compound")</f>
        <v>Silicon RTV 734 Potting compound</v>
      </c>
      <c r="X85" t="e">
        <f ca="1"/>
        <v>#NAME?</v>
      </c>
      <c r="Y85" t="e">
        <f t="shared" ca="1" si="1"/>
        <v>#NAME?</v>
      </c>
      <c r="Z85" t="e">
        <f ca="1">IF(X85="","",SUMIFS(#REF!,RM!$C$4:$C991,X85))</f>
        <v>#NAME?</v>
      </c>
      <c r="AA85" t="e">
        <f ca="1">IF(X85="","",SUMIFS(#REF!,RM!$C$4:$C991,X85))</f>
        <v>#NAME?</v>
      </c>
      <c r="AB85" t="e">
        <f t="shared" ca="1" si="2"/>
        <v>#NAME?</v>
      </c>
      <c r="AC85" t="e">
        <f ca="1">IF(X85="","",VLOOKUP($X85,RM!$C$4:$G991,3,FALSE))</f>
        <v>#NAME?</v>
      </c>
      <c r="AD85" t="e">
        <f ca="1">IF(X85="","",VLOOKUP($X85,RM!$C$4:$G991,4,FALSE))</f>
        <v>#NAME?</v>
      </c>
      <c r="AE85" t="e">
        <f ca="1">IF(X85="","",VLOOKUP($X85,RM!$C$4:$G991,5,FALSE))</f>
        <v>#NAME?</v>
      </c>
      <c r="AG85" t="str">
        <f ca="1">IFERROR(__xludf.DUMMYFUNCTION("""COMPUTED_VALUE"""),"STBD Signal PM Assy")</f>
        <v>STBD Signal PM Assy</v>
      </c>
      <c r="AH85" t="str">
        <f ca="1">IFERROR(__xludf.DUMMYFUNCTION("""COMPUTED_VALUE"""),"10cm one sided JST crimped Sky Blue")</f>
        <v>10cm one sided JST crimped Sky Blue</v>
      </c>
      <c r="AI85">
        <f ca="1">IFERROR(__xludf.DUMMYFUNCTION("""COMPUTED_VALUE"""),1)</f>
        <v>1</v>
      </c>
      <c r="AJ85" t="str">
        <f ca="1">IFERROR(__xludf.DUMMYFUNCTION("""COMPUTED_VALUE"""),"blank")</f>
        <v>blank</v>
      </c>
      <c r="AK85" t="e">
        <f ca="1">_xludf.IFNA(VLOOKUP(AG85,'S-FG'!$B$3:$B1001,1,FALSE),"")</f>
        <v>#NAME?</v>
      </c>
      <c r="AL85" t="e">
        <f ca="1">IF(AH85="","",SUMIFS(#REF!,RM!$C$4:$C991,AH85))</f>
        <v>#REF!</v>
      </c>
    </row>
    <row r="86" spans="5:38">
      <c r="E86" t="str">
        <f>IF(A86="","",SUMIFS(Issue!$D$3:$D1001,Issue!$C$3:$C1001,A86)*C86)</f>
        <v/>
      </c>
      <c r="F86" t="e">
        <f ca="1">_xludf.IFNA(VLOOKUP(B86,'S-FG'!$B$3:$B1001,1,FALSE),"")</f>
        <v>#NAME?</v>
      </c>
      <c r="H86" t="str">
        <f ca="1">IFERROR(__xludf.DUMMYFUNCTION("""COMPUTED_VALUE"""),"PORT Signal CM Assy")</f>
        <v>PORT Signal CM Assy</v>
      </c>
      <c r="I86" t="str">
        <f ca="1">IFERROR(__xludf.DUMMYFUNCTION("""COMPUTED_VALUE"""),"2mm male bullet connector")</f>
        <v>2mm male bullet connector</v>
      </c>
      <c r="J86">
        <f ca="1">IFERROR(__xludf.DUMMYFUNCTION("""COMPUTED_VALUE"""),0)</f>
        <v>0</v>
      </c>
      <c r="K86" t="str">
        <f ca="1">IFERROR(__xludf.DUMMYFUNCTION("""COMPUTED_VALUE"""),"blank")</f>
        <v>blank</v>
      </c>
      <c r="L86">
        <f t="shared" ca="1" si="0"/>
        <v>0</v>
      </c>
      <c r="Q86" t="str">
        <f>IF(N86="","",SUMIFS(Issue!$D$3:$D1001,Issue!$C$3:$C1001,N86))</f>
        <v/>
      </c>
      <c r="S86" t="str">
        <f ca="1">IFERROR(__xludf.DUMMYFUNCTION("""COMPUTED_VALUE"""),"Lead wire 22AWG")</f>
        <v>Lead wire 22AWG</v>
      </c>
      <c r="X86" t="e">
        <f ca="1"/>
        <v>#NAME?</v>
      </c>
      <c r="Y86" t="e">
        <f t="shared" ca="1" si="1"/>
        <v>#NAME?</v>
      </c>
      <c r="Z86" t="e">
        <f ca="1">IF(X86="","",SUMIFS(#REF!,RM!$C$4:$C991,X86))</f>
        <v>#NAME?</v>
      </c>
      <c r="AA86" t="e">
        <f ca="1">IF(X86="","",SUMIFS(#REF!,RM!$C$4:$C991,X86))</f>
        <v>#NAME?</v>
      </c>
      <c r="AB86" t="e">
        <f t="shared" ca="1" si="2"/>
        <v>#NAME?</v>
      </c>
      <c r="AC86" t="e">
        <f ca="1">IF(X86="","",VLOOKUP($X86,RM!$C$4:$G991,3,FALSE))</f>
        <v>#NAME?</v>
      </c>
      <c r="AD86" t="e">
        <f ca="1">IF(X86="","",VLOOKUP($X86,RM!$C$4:$G991,4,FALSE))</f>
        <v>#NAME?</v>
      </c>
      <c r="AE86" t="e">
        <f ca="1">IF(X86="","",VLOOKUP($X86,RM!$C$4:$G991,5,FALSE))</f>
        <v>#NAME?</v>
      </c>
      <c r="AG86" t="str">
        <f ca="1">IFERROR(__xludf.DUMMYFUNCTION("""COMPUTED_VALUE"""),"STBD Signal PM Assy")</f>
        <v>STBD Signal PM Assy</v>
      </c>
      <c r="AH86" t="str">
        <f ca="1">IFERROR(__xludf.DUMMYFUNCTION("""COMPUTED_VALUE"""),"10cm one sided JST crimped Pink")</f>
        <v>10cm one sided JST crimped Pink</v>
      </c>
      <c r="AI86">
        <f ca="1">IFERROR(__xludf.DUMMYFUNCTION("""COMPUTED_VALUE"""),1)</f>
        <v>1</v>
      </c>
      <c r="AJ86" t="str">
        <f ca="1">IFERROR(__xludf.DUMMYFUNCTION("""COMPUTED_VALUE"""),"blank")</f>
        <v>blank</v>
      </c>
      <c r="AK86" t="e">
        <f ca="1">_xludf.IFNA(VLOOKUP(AG86,'S-FG'!$B$3:$B1001,1,FALSE),"")</f>
        <v>#NAME?</v>
      </c>
      <c r="AL86" t="e">
        <f ca="1">IF(AH86="","",SUMIFS(#REF!,RM!$C$4:$C991,AH86))</f>
        <v>#REF!</v>
      </c>
    </row>
    <row r="87" spans="5:38">
      <c r="E87" t="str">
        <f>IF(A87="","",SUMIFS(Issue!$D$3:$D1001,Issue!$C$3:$C1001,A87)*C87)</f>
        <v/>
      </c>
      <c r="F87" t="e">
        <f ca="1">_xludf.IFNA(VLOOKUP(B87,'S-FG'!$B$3:$B1001,1,FALSE),"")</f>
        <v>#NAME?</v>
      </c>
      <c r="H87" t="str">
        <f ca="1">IFERROR(__xludf.DUMMYFUNCTION("""COMPUTED_VALUE"""),"PORT Signal CM Assy")</f>
        <v>PORT Signal CM Assy</v>
      </c>
      <c r="I87" t="str">
        <f ca="1">IFERROR(__xludf.DUMMYFUNCTION("""COMPUTED_VALUE"""),"2mm Female Bullet connector")</f>
        <v>2mm Female Bullet connector</v>
      </c>
      <c r="J87">
        <f ca="1">IFERROR(__xludf.DUMMYFUNCTION("""COMPUTED_VALUE"""),0)</f>
        <v>0</v>
      </c>
      <c r="K87" t="str">
        <f ca="1">IFERROR(__xludf.DUMMYFUNCTION("""COMPUTED_VALUE"""),"blank")</f>
        <v>blank</v>
      </c>
      <c r="L87">
        <f t="shared" ca="1" si="0"/>
        <v>0</v>
      </c>
      <c r="Q87" t="str">
        <f>IF(N87="","",SUMIFS(Issue!$D$3:$D1001,Issue!$C$3:$C1001,N87))</f>
        <v/>
      </c>
      <c r="S87" t="str">
        <f ca="1">IFERROR(__xludf.DUMMYFUNCTION("""COMPUTED_VALUE"""),"2mm male bullet connector")</f>
        <v>2mm male bullet connector</v>
      </c>
      <c r="X87" t="e">
        <f ca="1"/>
        <v>#NAME?</v>
      </c>
      <c r="Y87" t="e">
        <f t="shared" ca="1" si="1"/>
        <v>#NAME?</v>
      </c>
      <c r="Z87" t="e">
        <f ca="1">IF(X87="","",SUMIFS(#REF!,RM!$C$4:$C991,X87))</f>
        <v>#NAME?</v>
      </c>
      <c r="AA87" t="e">
        <f ca="1">IF(X87="","",SUMIFS(#REF!,RM!$C$4:$C991,X87))</f>
        <v>#NAME?</v>
      </c>
      <c r="AB87" t="e">
        <f t="shared" ca="1" si="2"/>
        <v>#NAME?</v>
      </c>
      <c r="AC87" t="e">
        <f ca="1">IF(X87="","",VLOOKUP($X87,RM!$C$4:$G991,3,FALSE))</f>
        <v>#NAME?</v>
      </c>
      <c r="AD87" t="e">
        <f ca="1">IF(X87="","",VLOOKUP($X87,RM!$C$4:$G991,4,FALSE))</f>
        <v>#NAME?</v>
      </c>
      <c r="AE87" t="e">
        <f ca="1">IF(X87="","",VLOOKUP($X87,RM!$C$4:$G991,5,FALSE))</f>
        <v>#NAME?</v>
      </c>
      <c r="AG87" t="str">
        <f ca="1">IFERROR(__xludf.DUMMYFUNCTION("""COMPUTED_VALUE"""),"STBD Signal PM Assy")</f>
        <v>STBD Signal PM Assy</v>
      </c>
      <c r="AH87" t="str">
        <f ca="1">IFERROR(__xludf.DUMMYFUNCTION("""COMPUTED_VALUE"""),"10cm one sided JST crimped Orange")</f>
        <v>10cm one sided JST crimped Orange</v>
      </c>
      <c r="AI87">
        <f ca="1">IFERROR(__xludf.DUMMYFUNCTION("""COMPUTED_VALUE"""),1)</f>
        <v>1</v>
      </c>
      <c r="AJ87" t="str">
        <f ca="1">IFERROR(__xludf.DUMMYFUNCTION("""COMPUTED_VALUE"""),"blank")</f>
        <v>blank</v>
      </c>
      <c r="AK87" t="e">
        <f ca="1">_xludf.IFNA(VLOOKUP(AG87,'S-FG'!$B$3:$B1001,1,FALSE),"")</f>
        <v>#NAME?</v>
      </c>
      <c r="AL87" t="e">
        <f ca="1">IF(AH87="","",SUMIFS(#REF!,RM!$C$4:$C991,AH87))</f>
        <v>#REF!</v>
      </c>
    </row>
    <row r="88" spans="5:38">
      <c r="E88" t="str">
        <f>IF(A88="","",SUMIFS(Issue!$D$3:$D1001,Issue!$C$3:$C1001,A88)*C88)</f>
        <v/>
      </c>
      <c r="F88" t="e">
        <f ca="1">_xludf.IFNA(VLOOKUP(B88,'S-FG'!$B$3:$B1001,1,FALSE),"")</f>
        <v>#NAME?</v>
      </c>
      <c r="H88" t="str">
        <f ca="1">IFERROR(__xludf.DUMMYFUNCTION("""COMPUTED_VALUE"""),"PORT Signal CM Assy")</f>
        <v>PORT Signal CM Assy</v>
      </c>
      <c r="I88" t="str">
        <f ca="1">IFERROR(__xludf.DUMMYFUNCTION("""COMPUTED_VALUE"""),"Lead wire 22AWG")</f>
        <v>Lead wire 22AWG</v>
      </c>
      <c r="J88">
        <f ca="1">IFERROR(__xludf.DUMMYFUNCTION("""COMPUTED_VALUE"""),5)</f>
        <v>5</v>
      </c>
      <c r="L88">
        <f t="shared" ca="1" si="0"/>
        <v>0</v>
      </c>
      <c r="Q88" t="str">
        <f>IF(N88="","",SUMIFS(Issue!$D$3:$D1001,Issue!$C$3:$C1001,N88))</f>
        <v/>
      </c>
      <c r="S88" t="str">
        <f ca="1">IFERROR(__xludf.DUMMYFUNCTION("""COMPUTED_VALUE"""),"2mm Female Bullet connector")</f>
        <v>2mm Female Bullet connector</v>
      </c>
      <c r="X88" t="e">
        <f ca="1"/>
        <v>#NAME?</v>
      </c>
      <c r="Y88" t="e">
        <f t="shared" ca="1" si="1"/>
        <v>#NAME?</v>
      </c>
      <c r="Z88" t="e">
        <f ca="1">IF(X88="","",SUMIFS(#REF!,RM!$C$4:$C991,X88))</f>
        <v>#NAME?</v>
      </c>
      <c r="AA88" t="e">
        <f ca="1">IF(X88="","",SUMIFS(#REF!,RM!$C$4:$C991,X88))</f>
        <v>#NAME?</v>
      </c>
      <c r="AB88" t="e">
        <f t="shared" ca="1" si="2"/>
        <v>#NAME?</v>
      </c>
      <c r="AC88" t="e">
        <f ca="1">IF(X88="","",VLOOKUP($X88,RM!$C$4:$G991,3,FALSE))</f>
        <v>#NAME?</v>
      </c>
      <c r="AD88" t="e">
        <f ca="1">IF(X88="","",VLOOKUP($X88,RM!$C$4:$G991,4,FALSE))</f>
        <v>#NAME?</v>
      </c>
      <c r="AE88" t="e">
        <f ca="1">IF(X88="","",VLOOKUP($X88,RM!$C$4:$G991,5,FALSE))</f>
        <v>#NAME?</v>
      </c>
      <c r="AG88" t="str">
        <f ca="1">IFERROR(__xludf.DUMMYFUNCTION("""COMPUTED_VALUE"""),"STBD Signal PM Assy")</f>
        <v>STBD Signal PM Assy</v>
      </c>
      <c r="AH88" t="str">
        <f ca="1">IFERROR(__xludf.DUMMYFUNCTION("""COMPUTED_VALUE"""),"10cm one sided JST crimped Dark Blue")</f>
        <v>10cm one sided JST crimped Dark Blue</v>
      </c>
      <c r="AI88">
        <f ca="1">IFERROR(__xludf.DUMMYFUNCTION("""COMPUTED_VALUE"""),1)</f>
        <v>1</v>
      </c>
      <c r="AJ88" t="str">
        <f ca="1">IFERROR(__xludf.DUMMYFUNCTION("""COMPUTED_VALUE"""),"blank")</f>
        <v>blank</v>
      </c>
      <c r="AK88" t="e">
        <f ca="1">_xludf.IFNA(VLOOKUP(AG88,'S-FG'!$B$3:$B1001,1,FALSE),"")</f>
        <v>#NAME?</v>
      </c>
      <c r="AL88" t="e">
        <f ca="1">IF(AH88="","",SUMIFS(#REF!,RM!$C$4:$C991,AH88))</f>
        <v>#REF!</v>
      </c>
    </row>
    <row r="89" spans="5:38">
      <c r="E89" t="str">
        <f>IF(A89="","",SUMIFS(Issue!$D$3:$D1001,Issue!$C$3:$C1001,A89)*C89)</f>
        <v/>
      </c>
      <c r="F89" t="e">
        <f ca="1">_xludf.IFNA(VLOOKUP(B89,'S-FG'!$B$3:$B1001,1,FALSE),"")</f>
        <v>#NAME?</v>
      </c>
      <c r="H89" t="str">
        <f ca="1">IFERROR(__xludf.DUMMYFUNCTION("""COMPUTED_VALUE"""),"PORT Signal CM Assy")</f>
        <v>PORT Signal CM Assy</v>
      </c>
      <c r="I89" t="str">
        <f ca="1">IFERROR(__xludf.DUMMYFUNCTION("""COMPUTED_VALUE"""),"Soldering flux")</f>
        <v>Soldering flux</v>
      </c>
      <c r="J89">
        <f ca="1">IFERROR(__xludf.DUMMYFUNCTION("""COMPUTED_VALUE"""),2)</f>
        <v>2</v>
      </c>
      <c r="L89">
        <f t="shared" ca="1" si="0"/>
        <v>0</v>
      </c>
      <c r="Q89" t="str">
        <f>IF(N89="","",SUMIFS(Issue!$D$3:$D1001,Issue!$C$3:$C1001,N89))</f>
        <v/>
      </c>
      <c r="S89" t="str">
        <f ca="1">IFERROR(__xludf.DUMMYFUNCTION("""COMPUTED_VALUE"""),"Lead wire 22AWG")</f>
        <v>Lead wire 22AWG</v>
      </c>
      <c r="X89" t="e">
        <f ca="1"/>
        <v>#NAME?</v>
      </c>
      <c r="Y89" t="e">
        <f t="shared" ca="1" si="1"/>
        <v>#NAME?</v>
      </c>
      <c r="Z89" t="e">
        <f ca="1">IF(X89="","",SUMIFS(#REF!,RM!$C$4:$C991,X89))</f>
        <v>#NAME?</v>
      </c>
      <c r="AA89" t="e">
        <f ca="1">IF(X89="","",SUMIFS(#REF!,RM!$C$4:$C991,X89))</f>
        <v>#NAME?</v>
      </c>
      <c r="AB89" t="e">
        <f t="shared" ca="1" si="2"/>
        <v>#NAME?</v>
      </c>
      <c r="AC89" t="e">
        <f ca="1">IF(X89="","",VLOOKUP($X89,RM!$C$4:$G991,3,FALSE))</f>
        <v>#NAME?</v>
      </c>
      <c r="AD89" t="e">
        <f ca="1">IF(X89="","",VLOOKUP($X89,RM!$C$4:$G991,4,FALSE))</f>
        <v>#NAME?</v>
      </c>
      <c r="AE89" t="e">
        <f ca="1">IF(X89="","",VLOOKUP($X89,RM!$C$4:$G991,5,FALSE))</f>
        <v>#NAME?</v>
      </c>
      <c r="AG89" t="str">
        <f ca="1">IFERROR(__xludf.DUMMYFUNCTION("""COMPUTED_VALUE"""),"STBD Signal PM Assy")</f>
        <v>STBD Signal PM Assy</v>
      </c>
      <c r="AH89" t="str">
        <f ca="1">IFERROR(__xludf.DUMMYFUNCTION("""COMPUTED_VALUE"""),"10cm one sided JST crimped Light Brown")</f>
        <v>10cm one sided JST crimped Light Brown</v>
      </c>
      <c r="AI89">
        <f ca="1">IFERROR(__xludf.DUMMYFUNCTION("""COMPUTED_VALUE"""),1)</f>
        <v>1</v>
      </c>
      <c r="AJ89" t="str">
        <f ca="1">IFERROR(__xludf.DUMMYFUNCTION("""COMPUTED_VALUE"""),"blank")</f>
        <v>blank</v>
      </c>
      <c r="AK89" t="e">
        <f ca="1">_xludf.IFNA(VLOOKUP(AG89,'S-FG'!$B$3:$B1001,1,FALSE),"")</f>
        <v>#NAME?</v>
      </c>
      <c r="AL89" t="e">
        <f ca="1">IF(AH89="","",SUMIFS(#REF!,RM!$C$4:$C991,AH89))</f>
        <v>#REF!</v>
      </c>
    </row>
    <row r="90" spans="5:38">
      <c r="E90" t="str">
        <f>IF(A90="","",SUMIFS(Issue!$D$3:$D1001,Issue!$C$3:$C1001,A90)*C90)</f>
        <v/>
      </c>
      <c r="F90" t="e">
        <f ca="1">_xludf.IFNA(VLOOKUP(B90,'S-FG'!$B$3:$B1001,1,FALSE),"")</f>
        <v>#NAME?</v>
      </c>
      <c r="H90" t="str">
        <f ca="1">IFERROR(__xludf.DUMMYFUNCTION("""COMPUTED_VALUE"""),"PORT Signal CM Assy")</f>
        <v>PORT Signal CM Assy</v>
      </c>
      <c r="I90" t="str">
        <f ca="1">IFERROR(__xludf.DUMMYFUNCTION("""COMPUTED_VALUE"""),"LM61 Temperature Sensor")</f>
        <v>LM61 Temperature Sensor</v>
      </c>
      <c r="J90">
        <f ca="1">IFERROR(__xludf.DUMMYFUNCTION("""COMPUTED_VALUE"""),1)</f>
        <v>1</v>
      </c>
      <c r="K90" t="str">
        <f ca="1">IFERROR(__xludf.DUMMYFUNCTION("""COMPUTED_VALUE"""),"LM61BIZ/NOPB")</f>
        <v>LM61BIZ/NOPB</v>
      </c>
      <c r="L90">
        <f t="shared" ca="1" si="0"/>
        <v>0</v>
      </c>
      <c r="Q90" t="str">
        <f>IF(N90="","",SUMIFS(Issue!$D$3:$D1001,Issue!$C$3:$C1001,N90))</f>
        <v/>
      </c>
      <c r="S90" t="str">
        <f ca="1">IFERROR(__xludf.DUMMYFUNCTION("""COMPUTED_VALUE"""),"Soldering flux")</f>
        <v>Soldering flux</v>
      </c>
      <c r="X90" t="e">
        <f ca="1"/>
        <v>#NAME?</v>
      </c>
      <c r="Y90" t="e">
        <f t="shared" ca="1" si="1"/>
        <v>#NAME?</v>
      </c>
      <c r="Z90" t="e">
        <f ca="1">IF(X90="","",SUMIFS(#REF!,RM!$C$4:$C991,X90))</f>
        <v>#NAME?</v>
      </c>
      <c r="AA90" t="e">
        <f ca="1">IF(X90="","",SUMIFS(#REF!,RM!$C$4:$C991,X90))</f>
        <v>#NAME?</v>
      </c>
      <c r="AB90" t="e">
        <f t="shared" ca="1" si="2"/>
        <v>#NAME?</v>
      </c>
      <c r="AC90" t="e">
        <f ca="1">IF(X90="","",VLOOKUP($X90,RM!$C$4:$G991,3,FALSE))</f>
        <v>#NAME?</v>
      </c>
      <c r="AD90" t="e">
        <f ca="1">IF(X90="","",VLOOKUP($X90,RM!$C$4:$G991,4,FALSE))</f>
        <v>#NAME?</v>
      </c>
      <c r="AE90" t="e">
        <f ca="1">IF(X90="","",VLOOKUP($X90,RM!$C$4:$G991,5,FALSE))</f>
        <v>#NAME?</v>
      </c>
      <c r="AG90" t="str">
        <f ca="1">IFERROR(__xludf.DUMMYFUNCTION("""COMPUTED_VALUE"""),"STBD Signal PM Assy")</f>
        <v>STBD Signal PM Assy</v>
      </c>
      <c r="AH90" t="str">
        <f ca="1">IFERROR(__xludf.DUMMYFUNCTION("""COMPUTED_VALUE"""),"10cm one sided JST crimped Dark Brown")</f>
        <v>10cm one sided JST crimped Dark Brown</v>
      </c>
      <c r="AI90">
        <f ca="1">IFERROR(__xludf.DUMMYFUNCTION("""COMPUTED_VALUE"""),1)</f>
        <v>1</v>
      </c>
      <c r="AJ90" t="str">
        <f ca="1">IFERROR(__xludf.DUMMYFUNCTION("""COMPUTED_VALUE"""),"blank")</f>
        <v>blank</v>
      </c>
      <c r="AK90" t="e">
        <f ca="1">_xludf.IFNA(VLOOKUP(AG90,'S-FG'!$B$3:$B1001,1,FALSE),"")</f>
        <v>#NAME?</v>
      </c>
      <c r="AL90" t="e">
        <f ca="1">IF(AH90="","",SUMIFS(#REF!,RM!$C$4:$C991,AH90))</f>
        <v>#REF!</v>
      </c>
    </row>
    <row r="91" spans="5:38">
      <c r="E91" t="str">
        <f>IF(A91="","",SUMIFS(Issue!$D$3:$D1001,Issue!$C$3:$C1001,A91)*C91)</f>
        <v/>
      </c>
      <c r="F91" t="e">
        <f ca="1">_xludf.IFNA(VLOOKUP(B91,'S-FG'!$B$3:$B1001,1,FALSE),"")</f>
        <v>#NAME?</v>
      </c>
      <c r="H91" t="str">
        <f ca="1">IFERROR(__xludf.DUMMYFUNCTION("""COMPUTED_VALUE"""),"PORT Signal CM Assy")</f>
        <v>PORT Signal CM Assy</v>
      </c>
      <c r="I91" t="str">
        <f ca="1">IFERROR(__xludf.DUMMYFUNCTION("""COMPUTED_VALUE"""),"20Core Wire 14/38")</f>
        <v>20Core Wire 14/38</v>
      </c>
      <c r="J91">
        <f ca="1">IFERROR(__xludf.DUMMYFUNCTION("""COMPUTED_VALUE"""),0.85)</f>
        <v>0.85</v>
      </c>
      <c r="K91" t="str">
        <f ca="1">IFERROR(__xludf.DUMMYFUNCTION("""COMPUTED_VALUE"""),"blank")</f>
        <v>blank</v>
      </c>
      <c r="L91">
        <f t="shared" ca="1" si="0"/>
        <v>0</v>
      </c>
      <c r="Q91" t="str">
        <f>IF(N91="","",SUMIFS(Issue!$D$3:$D1001,Issue!$C$3:$C1001,N91))</f>
        <v/>
      </c>
      <c r="S91" t="str">
        <f ca="1">IFERROR(__xludf.DUMMYFUNCTION("""COMPUTED_VALUE"""),"LM61 Temperature Sensor")</f>
        <v>LM61 Temperature Sensor</v>
      </c>
      <c r="X91" t="e">
        <f ca="1"/>
        <v>#NAME?</v>
      </c>
      <c r="Y91" t="e">
        <f t="shared" ca="1" si="1"/>
        <v>#NAME?</v>
      </c>
      <c r="Z91" t="e">
        <f ca="1">IF(X91="","",SUMIFS(#REF!,RM!$C$4:$C991,X91))</f>
        <v>#NAME?</v>
      </c>
      <c r="AA91" t="e">
        <f ca="1">IF(X91="","",SUMIFS(#REF!,RM!$C$4:$C991,X91))</f>
        <v>#NAME?</v>
      </c>
      <c r="AB91" t="e">
        <f t="shared" ca="1" si="2"/>
        <v>#NAME?</v>
      </c>
      <c r="AC91" t="e">
        <f ca="1">IF(X91="","",VLOOKUP($X91,RM!$C$4:$G991,3,FALSE))</f>
        <v>#NAME?</v>
      </c>
      <c r="AD91" t="e">
        <f ca="1">IF(X91="","",VLOOKUP($X91,RM!$C$4:$G991,4,FALSE))</f>
        <v>#NAME?</v>
      </c>
      <c r="AE91" t="e">
        <f ca="1">IF(X91="","",VLOOKUP($X91,RM!$C$4:$G991,5,FALSE))</f>
        <v>#NAME?</v>
      </c>
      <c r="AG91" t="str">
        <f ca="1">IFERROR(__xludf.DUMMYFUNCTION("""COMPUTED_VALUE"""),"STBD Signal PM Assy")</f>
        <v>STBD Signal PM Assy</v>
      </c>
      <c r="AH91" t="str">
        <f ca="1">IFERROR(__xludf.DUMMYFUNCTION("""COMPUTED_VALUE"""),"10cm one sided JST crimped White with Red strip")</f>
        <v>10cm one sided JST crimped White with Red strip</v>
      </c>
      <c r="AI91">
        <f ca="1">IFERROR(__xludf.DUMMYFUNCTION("""COMPUTED_VALUE"""),1)</f>
        <v>1</v>
      </c>
      <c r="AJ91" t="str">
        <f ca="1">IFERROR(__xludf.DUMMYFUNCTION("""COMPUTED_VALUE"""),"blank")</f>
        <v>blank</v>
      </c>
      <c r="AK91" t="e">
        <f ca="1">_xludf.IFNA(VLOOKUP(AG91,'S-FG'!$B$3:$B1001,1,FALSE),"")</f>
        <v>#NAME?</v>
      </c>
      <c r="AL91" t="e">
        <f ca="1">IF(AH91="","",SUMIFS(#REF!,RM!$C$4:$C991,AH91))</f>
        <v>#REF!</v>
      </c>
    </row>
    <row r="92" spans="5:38">
      <c r="E92" t="str">
        <f>IF(A92="","",SUMIFS(Issue!$D$3:$D1001,Issue!$C$3:$C1001,A92)*C92)</f>
        <v/>
      </c>
      <c r="F92" t="e">
        <f ca="1">_xludf.IFNA(VLOOKUP(B92,'S-FG'!$B$3:$B1001,1,FALSE),"")</f>
        <v>#NAME?</v>
      </c>
      <c r="H92" t="str">
        <f ca="1">IFERROR(__xludf.DUMMYFUNCTION("""COMPUTED_VALUE"""),"PORT Signal CM Assy")</f>
        <v>PORT Signal CM Assy</v>
      </c>
      <c r="I92" t="str">
        <f ca="1">IFERROR(__xludf.DUMMYFUNCTION("""COMPUTED_VALUE"""),"Black 14/38 Wire")</f>
        <v>Black 14/38 Wire</v>
      </c>
      <c r="J92">
        <f ca="1">IFERROR(__xludf.DUMMYFUNCTION("""COMPUTED_VALUE"""),0.15)</f>
        <v>0.15</v>
      </c>
      <c r="L92">
        <f t="shared" ca="1" si="0"/>
        <v>0</v>
      </c>
      <c r="Q92" t="str">
        <f>IF(N92="","",SUMIFS(Issue!$D$3:$D1001,Issue!$C$3:$C1001,N92))</f>
        <v/>
      </c>
      <c r="S92" t="str">
        <f ca="1">IFERROR(__xludf.DUMMYFUNCTION("""COMPUTED_VALUE"""),"20Core Wire 14/38")</f>
        <v>20Core Wire 14/38</v>
      </c>
      <c r="X92" t="e">
        <f ca="1"/>
        <v>#NAME?</v>
      </c>
      <c r="Y92" t="e">
        <f t="shared" ca="1" si="1"/>
        <v>#NAME?</v>
      </c>
      <c r="Z92" t="e">
        <f ca="1">IF(X92="","",SUMIFS(#REF!,RM!$C$4:$C991,X92))</f>
        <v>#NAME?</v>
      </c>
      <c r="AA92" t="e">
        <f ca="1">IF(X92="","",SUMIFS(#REF!,RM!$C$4:$C991,X92))</f>
        <v>#NAME?</v>
      </c>
      <c r="AB92" t="e">
        <f t="shared" ca="1" si="2"/>
        <v>#NAME?</v>
      </c>
      <c r="AC92" t="e">
        <f ca="1">IF(X92="","",VLOOKUP($X92,RM!$C$4:$G991,3,FALSE))</f>
        <v>#NAME?</v>
      </c>
      <c r="AD92" t="e">
        <f ca="1">IF(X92="","",VLOOKUP($X92,RM!$C$4:$G991,4,FALSE))</f>
        <v>#NAME?</v>
      </c>
      <c r="AE92" t="e">
        <f ca="1">IF(X92="","",VLOOKUP($X92,RM!$C$4:$G991,5,FALSE))</f>
        <v>#NAME?</v>
      </c>
      <c r="AG92" t="str">
        <f ca="1">IFERROR(__xludf.DUMMYFUNCTION("""COMPUTED_VALUE"""),"STBD Signal PM Assy")</f>
        <v>STBD Signal PM Assy</v>
      </c>
      <c r="AH92" t="str">
        <f ca="1">IFERROR(__xludf.DUMMYFUNCTION("""COMPUTED_VALUE"""),"10cm one sided JST crimped White with black strip")</f>
        <v>10cm one sided JST crimped White with black strip</v>
      </c>
      <c r="AI92">
        <f ca="1">IFERROR(__xludf.DUMMYFUNCTION("""COMPUTED_VALUE"""),1)</f>
        <v>1</v>
      </c>
      <c r="AJ92" t="str">
        <f ca="1">IFERROR(__xludf.DUMMYFUNCTION("""COMPUTED_VALUE"""),"blank")</f>
        <v>blank</v>
      </c>
      <c r="AK92" t="e">
        <f ca="1">_xludf.IFNA(VLOOKUP(AG92,'S-FG'!$B$3:$B1001,1,FALSE),"")</f>
        <v>#NAME?</v>
      </c>
      <c r="AL92" t="e">
        <f ca="1">IF(AH92="","",SUMIFS(#REF!,RM!$C$4:$C991,AH92))</f>
        <v>#REF!</v>
      </c>
    </row>
    <row r="93" spans="5:38">
      <c r="E93" t="str">
        <f>IF(A93="","",SUMIFS(Issue!$D$3:$D1001,Issue!$C$3:$C1001,A93)*C93)</f>
        <v/>
      </c>
      <c r="F93" t="e">
        <f ca="1">_xludf.IFNA(VLOOKUP(B93,'S-FG'!$B$3:$B1001,1,FALSE),"")</f>
        <v>#NAME?</v>
      </c>
      <c r="H93" t="str">
        <f ca="1">IFERROR(__xludf.DUMMYFUNCTION("""COMPUTED_VALUE"""),"PORT Signal CM Assy")</f>
        <v>PORT Signal CM Assy</v>
      </c>
      <c r="I93" t="str">
        <f ca="1">IFERROR(__xludf.DUMMYFUNCTION("""COMPUTED_VALUE"""),"SY21-15 pin Cable Mount")</f>
        <v>SY21-15 pin Cable Mount</v>
      </c>
      <c r="J93">
        <f ca="1">IFERROR(__xludf.DUMMYFUNCTION("""COMPUTED_VALUE"""),1)</f>
        <v>1</v>
      </c>
      <c r="K93" t="str">
        <f ca="1">IFERROR(__xludf.DUMMYFUNCTION("""COMPUTED_VALUE"""),"blank")</f>
        <v>blank</v>
      </c>
      <c r="L93">
        <f t="shared" ca="1" si="0"/>
        <v>0</v>
      </c>
      <c r="Q93" t="str">
        <f>IF(N93="","",SUMIFS(Issue!$D$3:$D1001,Issue!$C$3:$C1001,N93))</f>
        <v/>
      </c>
      <c r="S93" t="str">
        <f ca="1">IFERROR(__xludf.DUMMYFUNCTION("""COMPUTED_VALUE"""),"Black 14/38 Wire")</f>
        <v>Black 14/38 Wire</v>
      </c>
      <c r="X93" t="e">
        <f ca="1"/>
        <v>#NAME?</v>
      </c>
      <c r="Y93" t="e">
        <f t="shared" ca="1" si="1"/>
        <v>#NAME?</v>
      </c>
      <c r="Z93" t="e">
        <f ca="1">IF(X93="","",SUMIFS(#REF!,RM!$C$4:$C991,X93))</f>
        <v>#NAME?</v>
      </c>
      <c r="AA93" t="e">
        <f ca="1">IF(X93="","",SUMIFS(#REF!,RM!$C$4:$C991,X93))</f>
        <v>#NAME?</v>
      </c>
      <c r="AB93" t="e">
        <f t="shared" ca="1" si="2"/>
        <v>#NAME?</v>
      </c>
      <c r="AC93" t="e">
        <f ca="1">IF(X93="","",VLOOKUP($X93,RM!$C$4:$G991,3,FALSE))</f>
        <v>#NAME?</v>
      </c>
      <c r="AD93" t="e">
        <f ca="1">IF(X93="","",VLOOKUP($X93,RM!$C$4:$G991,4,FALSE))</f>
        <v>#NAME?</v>
      </c>
      <c r="AE93" t="e">
        <f ca="1">IF(X93="","",VLOOKUP($X93,RM!$C$4:$G991,5,FALSE))</f>
        <v>#NAME?</v>
      </c>
      <c r="AG93" t="str">
        <f ca="1">IFERROR(__xludf.DUMMYFUNCTION("""COMPUTED_VALUE"""),"STBD Signal PM Assy")</f>
        <v>STBD Signal PM Assy</v>
      </c>
      <c r="AH93" t="str">
        <f ca="1">IFERROR(__xludf.DUMMYFUNCTION("""COMPUTED_VALUE"""),"10cm one sided JST crimped White")</f>
        <v>10cm one sided JST crimped White</v>
      </c>
      <c r="AI93">
        <f ca="1">IFERROR(__xludf.DUMMYFUNCTION("""COMPUTED_VALUE"""),1)</f>
        <v>1</v>
      </c>
      <c r="AJ93" t="str">
        <f ca="1">IFERROR(__xludf.DUMMYFUNCTION("""COMPUTED_VALUE"""),"blank")</f>
        <v>blank</v>
      </c>
      <c r="AK93" t="e">
        <f ca="1">_xludf.IFNA(VLOOKUP(AG93,'S-FG'!$B$3:$B1001,1,FALSE),"")</f>
        <v>#NAME?</v>
      </c>
      <c r="AL93" t="e">
        <f ca="1">IF(AH93="","",SUMIFS(#REF!,RM!$C$4:$C991,AH93))</f>
        <v>#REF!</v>
      </c>
    </row>
    <row r="94" spans="5:38">
      <c r="E94" t="str">
        <f>IF(A94="","",SUMIFS(Issue!$D$3:$D1001,Issue!$C$3:$C1001,A94)*C94)</f>
        <v/>
      </c>
      <c r="F94" t="e">
        <f ca="1">_xludf.IFNA(VLOOKUP(B94,'S-FG'!$B$3:$B1001,1,FALSE),"")</f>
        <v>#NAME?</v>
      </c>
      <c r="H94" t="str">
        <f ca="1">IFERROR(__xludf.DUMMYFUNCTION("""COMPUTED_VALUE"""),"PORT Signal CM Assy")</f>
        <v>PORT Signal CM Assy</v>
      </c>
      <c r="I94" t="str">
        <f ca="1">IFERROR(__xludf.DUMMYFUNCTION("""COMPUTED_VALUE"""),"BlueRobotics Leak")</f>
        <v>BlueRobotics Leak</v>
      </c>
      <c r="J94">
        <f ca="1">IFERROR(__xludf.DUMMYFUNCTION("""COMPUTED_VALUE"""),1)</f>
        <v>1</v>
      </c>
      <c r="K94" t="str">
        <f ca="1">IFERROR(__xludf.DUMMYFUNCTION("""COMPUTED_VALUE"""),"blank")</f>
        <v>blank</v>
      </c>
      <c r="L94">
        <f t="shared" ca="1" si="0"/>
        <v>0</v>
      </c>
      <c r="Q94" t="str">
        <f>IF(N94="","",SUMIFS(Issue!$D$3:$D1001,Issue!$C$3:$C1001,N94))</f>
        <v/>
      </c>
      <c r="S94" t="str">
        <f ca="1">IFERROR(__xludf.DUMMYFUNCTION("""COMPUTED_VALUE"""),"SY21-15 pin Cable Mount")</f>
        <v>SY21-15 pin Cable Mount</v>
      </c>
      <c r="X94" t="e">
        <f ca="1"/>
        <v>#NAME?</v>
      </c>
      <c r="Y94" t="e">
        <f t="shared" ca="1" si="1"/>
        <v>#NAME?</v>
      </c>
      <c r="Z94" t="e">
        <f ca="1">IF(X94="","",SUMIFS(#REF!,RM!$C$4:$C991,X94))</f>
        <v>#NAME?</v>
      </c>
      <c r="AA94" t="e">
        <f ca="1">IF(X94="","",SUMIFS(#REF!,RM!$C$4:$C991,X94))</f>
        <v>#NAME?</v>
      </c>
      <c r="AB94" t="e">
        <f t="shared" ca="1" si="2"/>
        <v>#NAME?</v>
      </c>
      <c r="AC94" t="e">
        <f ca="1">IF(X94="","",VLOOKUP($X94,RM!$C$4:$G991,3,FALSE))</f>
        <v>#NAME?</v>
      </c>
      <c r="AD94" t="e">
        <f ca="1">IF(X94="","",VLOOKUP($X94,RM!$C$4:$G991,4,FALSE))</f>
        <v>#NAME?</v>
      </c>
      <c r="AE94" t="e">
        <f ca="1">IF(X94="","",VLOOKUP($X94,RM!$C$4:$G991,5,FALSE))</f>
        <v>#NAME?</v>
      </c>
      <c r="AG94" t="str">
        <f ca="1">IFERROR(__xludf.DUMMYFUNCTION("""COMPUTED_VALUE"""),"STBD Signal PM Assy")</f>
        <v>STBD Signal PM Assy</v>
      </c>
      <c r="AH94" t="str">
        <f ca="1">IFERROR(__xludf.DUMMYFUNCTION("""COMPUTED_VALUE"""),"10cm one sided JST crimped Red")</f>
        <v>10cm one sided JST crimped Red</v>
      </c>
      <c r="AI94">
        <f ca="1">IFERROR(__xludf.DUMMYFUNCTION("""COMPUTED_VALUE"""),1)</f>
        <v>1</v>
      </c>
      <c r="AJ94" t="str">
        <f ca="1">IFERROR(__xludf.DUMMYFUNCTION("""COMPUTED_VALUE"""),"blank")</f>
        <v>blank</v>
      </c>
      <c r="AK94" t="e">
        <f ca="1">_xludf.IFNA(VLOOKUP(AG94,'S-FG'!$B$3:$B1001,1,FALSE),"")</f>
        <v>#NAME?</v>
      </c>
      <c r="AL94" t="e">
        <f ca="1">IF(AH94="","",SUMIFS(#REF!,RM!$C$4:$C991,AH94))</f>
        <v>#REF!</v>
      </c>
    </row>
    <row r="95" spans="5:38">
      <c r="E95" t="str">
        <f>IF(A95="","",SUMIFS(Issue!$D$3:$D1001,Issue!$C$3:$C1001,A95)*C95)</f>
        <v/>
      </c>
      <c r="F95" t="e">
        <f ca="1">_xludf.IFNA(VLOOKUP(B95,'S-FG'!$B$3:$B1001,1,FALSE),"")</f>
        <v>#NAME?</v>
      </c>
      <c r="H95" t="str">
        <f ca="1">IFERROR(__xludf.DUMMYFUNCTION("""COMPUTED_VALUE"""),"PORT Signal CM Assy")</f>
        <v>PORT Signal CM Assy</v>
      </c>
      <c r="I95" t="str">
        <f ca="1">IFERROR(__xludf.DUMMYFUNCTION("""COMPUTED_VALUE"""),"HeatShrink Tube 4:1")</f>
        <v>HeatShrink Tube 4:1</v>
      </c>
      <c r="J95">
        <f ca="1">IFERROR(__xludf.DUMMYFUNCTION("""COMPUTED_VALUE"""),0.05)</f>
        <v>0.05</v>
      </c>
      <c r="K95" t="str">
        <f ca="1">IFERROR(__xludf.DUMMYFUNCTION("""COMPUTED_VALUE"""),"blank")</f>
        <v>blank</v>
      </c>
      <c r="L95">
        <f t="shared" ca="1" si="0"/>
        <v>0</v>
      </c>
      <c r="Q95" t="str">
        <f>IF(N95="","",SUMIFS(Issue!$D$3:$D1001,Issue!$C$3:$C1001,N95))</f>
        <v/>
      </c>
      <c r="S95" t="str">
        <f ca="1">IFERROR(__xludf.DUMMYFUNCTION("""COMPUTED_VALUE"""),"BlueRobotics Leak")</f>
        <v>BlueRobotics Leak</v>
      </c>
      <c r="X95" t="e">
        <f ca="1"/>
        <v>#NAME?</v>
      </c>
      <c r="Y95" t="e">
        <f t="shared" ca="1" si="1"/>
        <v>#NAME?</v>
      </c>
      <c r="Z95" t="e">
        <f ca="1">IF(X95="","",SUMIFS(#REF!,RM!$C$4:$C991,X95))</f>
        <v>#NAME?</v>
      </c>
      <c r="AA95" t="e">
        <f ca="1">IF(X95="","",SUMIFS(#REF!,RM!$C$4:$C991,X95))</f>
        <v>#NAME?</v>
      </c>
      <c r="AB95" t="e">
        <f t="shared" ca="1" si="2"/>
        <v>#NAME?</v>
      </c>
      <c r="AC95" t="e">
        <f ca="1">IF(X95="","",VLOOKUP($X95,RM!$C$4:$G991,3,FALSE))</f>
        <v>#NAME?</v>
      </c>
      <c r="AD95" t="e">
        <f ca="1">IF(X95="","",VLOOKUP($X95,RM!$C$4:$G991,4,FALSE))</f>
        <v>#NAME?</v>
      </c>
      <c r="AE95" t="e">
        <f ca="1">IF(X95="","",VLOOKUP($X95,RM!$C$4:$G991,5,FALSE))</f>
        <v>#NAME?</v>
      </c>
      <c r="AG95" t="str">
        <f ca="1">IFERROR(__xludf.DUMMYFUNCTION("""COMPUTED_VALUE"""),"STBD Signal PM Assy")</f>
        <v>STBD Signal PM Assy</v>
      </c>
      <c r="AH95" t="str">
        <f ca="1">IFERROR(__xludf.DUMMYFUNCTION("""COMPUTED_VALUE"""),"SY21-15 pin panel mount")</f>
        <v>SY21-15 pin panel mount</v>
      </c>
      <c r="AI95">
        <f ca="1">IFERROR(__xludf.DUMMYFUNCTION("""COMPUTED_VALUE"""),1)</f>
        <v>1</v>
      </c>
      <c r="AJ95" t="str">
        <f ca="1">IFERROR(__xludf.DUMMYFUNCTION("""COMPUTED_VALUE"""),"blank")</f>
        <v>blank</v>
      </c>
      <c r="AK95" t="e">
        <f ca="1">_xludf.IFNA(VLOOKUP(AG95,'S-FG'!$B$3:$B1001,1,FALSE),"")</f>
        <v>#NAME?</v>
      </c>
      <c r="AL95" t="e">
        <f ca="1">IF(AH95="","",SUMIFS(#REF!,RM!$C$4:$C991,AH95))</f>
        <v>#REF!</v>
      </c>
    </row>
    <row r="96" spans="5:38">
      <c r="E96" t="str">
        <f>IF(A96="","",SUMIFS(Issue!$D$3:$D1001,Issue!$C$3:$C1001,A96)*C96)</f>
        <v/>
      </c>
      <c r="F96" t="e">
        <f ca="1">_xludf.IFNA(VLOOKUP(B96,'S-FG'!$B$3:$B1001,1,FALSE),"")</f>
        <v>#NAME?</v>
      </c>
      <c r="H96" t="str">
        <f ca="1">IFERROR(__xludf.DUMMYFUNCTION("""COMPUTED_VALUE"""),"PORT Signal CM Assy")</f>
        <v>PORT Signal CM Assy</v>
      </c>
      <c r="I96" t="str">
        <f ca="1">IFERROR(__xludf.DUMMYFUNCTION("""COMPUTED_VALUE"""),"HeatShrink Tube 12:3")</f>
        <v>HeatShrink Tube 12:3</v>
      </c>
      <c r="J96">
        <f ca="1">IFERROR(__xludf.DUMMYFUNCTION("""COMPUTED_VALUE"""),0.1)</f>
        <v>0.1</v>
      </c>
      <c r="K96" t="str">
        <f ca="1">IFERROR(__xludf.DUMMYFUNCTION("""COMPUTED_VALUE"""),"blank")</f>
        <v>blank</v>
      </c>
      <c r="L96">
        <f t="shared" ca="1" si="0"/>
        <v>0</v>
      </c>
      <c r="Q96" t="str">
        <f>IF(N96="","",SUMIFS(Issue!$D$3:$D1001,Issue!$C$3:$C1001,N96))</f>
        <v/>
      </c>
      <c r="S96" t="str">
        <f ca="1">IFERROR(__xludf.DUMMYFUNCTION("""COMPUTED_VALUE"""),"HeatShrink Tube 4:1")</f>
        <v>HeatShrink Tube 4:1</v>
      </c>
      <c r="X96" t="e">
        <f ca="1"/>
        <v>#NAME?</v>
      </c>
      <c r="Y96" t="e">
        <f t="shared" ca="1" si="1"/>
        <v>#NAME?</v>
      </c>
      <c r="Z96" t="e">
        <f ca="1">IF(X96="","",SUMIFS(#REF!,RM!$C$4:$C991,X96))</f>
        <v>#NAME?</v>
      </c>
      <c r="AA96" t="e">
        <f ca="1">IF(X96="","",SUMIFS(#REF!,RM!$C$4:$C991,X96))</f>
        <v>#NAME?</v>
      </c>
      <c r="AB96" t="e">
        <f t="shared" ca="1" si="2"/>
        <v>#NAME?</v>
      </c>
      <c r="AC96" t="e">
        <f ca="1">IF(X96="","",VLOOKUP($X96,RM!$C$4:$G991,3,FALSE))</f>
        <v>#NAME?</v>
      </c>
      <c r="AD96" t="e">
        <f ca="1">IF(X96="","",VLOOKUP($X96,RM!$C$4:$G991,4,FALSE))</f>
        <v>#NAME?</v>
      </c>
      <c r="AE96" t="e">
        <f ca="1">IF(X96="","",VLOOKUP($X96,RM!$C$4:$G991,5,FALSE))</f>
        <v>#NAME?</v>
      </c>
      <c r="AG96" t="str">
        <f ca="1">IFERROR(__xludf.DUMMYFUNCTION("""COMPUTED_VALUE"""),"STBD Signal PM Assy")</f>
        <v>STBD Signal PM Assy</v>
      </c>
      <c r="AH96" t="str">
        <f ca="1">IFERROR(__xludf.DUMMYFUNCTION("""COMPUTED_VALUE"""),"HeatShrink Tube 1.5mm/1.6mm")</f>
        <v>HeatShrink Tube 1.5mm/1.6mm</v>
      </c>
      <c r="AI96">
        <f ca="1">IFERROR(__xludf.DUMMYFUNCTION("""COMPUTED_VALUE"""),0.15)</f>
        <v>0.15</v>
      </c>
      <c r="AK96" t="e">
        <f ca="1">_xludf.IFNA(VLOOKUP(AG96,'S-FG'!$B$3:$B1001,1,FALSE),"")</f>
        <v>#NAME?</v>
      </c>
      <c r="AL96" t="e">
        <f ca="1">IF(AH96="","",SUMIFS(#REF!,RM!$C$4:$C991,AH96))</f>
        <v>#REF!</v>
      </c>
    </row>
    <row r="97" spans="5:38">
      <c r="E97" t="str">
        <f>IF(A97="","",SUMIFS(Issue!$D$3:$D1001,Issue!$C$3:$C1001,A97)*C97)</f>
        <v/>
      </c>
      <c r="F97" t="e">
        <f ca="1">_xludf.IFNA(VLOOKUP(B97,'S-FG'!$B$3:$B1001,1,FALSE),"")</f>
        <v>#NAME?</v>
      </c>
      <c r="H97" t="str">
        <f ca="1">IFERROR(__xludf.DUMMYFUNCTION("""COMPUTED_VALUE"""),"PORT Signal CM Assy")</f>
        <v>PORT Signal CM Assy</v>
      </c>
      <c r="I97" t="str">
        <f ca="1">IFERROR(__xludf.DUMMYFUNCTION("""COMPUTED_VALUE"""),"HeatShrink Tube 1.5mm/1.6mm")</f>
        <v>HeatShrink Tube 1.5mm/1.6mm</v>
      </c>
      <c r="J97">
        <f ca="1">IFERROR(__xludf.DUMMYFUNCTION("""COMPUTED_VALUE"""),0.15)</f>
        <v>0.15</v>
      </c>
      <c r="L97">
        <f t="shared" ca="1" si="0"/>
        <v>0</v>
      </c>
      <c r="Q97" t="str">
        <f>IF(N97="","",SUMIFS(Issue!$D$3:$D1001,Issue!$C$3:$C1001,N97))</f>
        <v/>
      </c>
      <c r="S97" t="str">
        <f ca="1">IFERROR(__xludf.DUMMYFUNCTION("""COMPUTED_VALUE"""),"HeatShrink Tube 12:3")</f>
        <v>HeatShrink Tube 12:3</v>
      </c>
      <c r="X97" t="e">
        <f ca="1"/>
        <v>#NAME?</v>
      </c>
      <c r="Y97" t="e">
        <f t="shared" ca="1" si="1"/>
        <v>#NAME?</v>
      </c>
      <c r="Z97" t="e">
        <f ca="1">IF(X97="","",SUMIFS(#REF!,RM!$C$4:$C991,X97))</f>
        <v>#NAME?</v>
      </c>
      <c r="AA97" t="e">
        <f ca="1">IF(X97="","",SUMIFS(#REF!,RM!$C$4:$C991,X97))</f>
        <v>#NAME?</v>
      </c>
      <c r="AB97" t="e">
        <f t="shared" ca="1" si="2"/>
        <v>#NAME?</v>
      </c>
      <c r="AC97" t="e">
        <f ca="1">IF(X97="","",VLOOKUP($X97,RM!$C$4:$G991,3,FALSE))</f>
        <v>#NAME?</v>
      </c>
      <c r="AD97" t="e">
        <f ca="1">IF(X97="","",VLOOKUP($X97,RM!$C$4:$G991,4,FALSE))</f>
        <v>#NAME?</v>
      </c>
      <c r="AE97" t="e">
        <f ca="1">IF(X97="","",VLOOKUP($X97,RM!$C$4:$G991,5,FALSE))</f>
        <v>#NAME?</v>
      </c>
      <c r="AG97" t="str">
        <f ca="1">IFERROR(__xludf.DUMMYFUNCTION("""COMPUTED_VALUE"""),"STBD Signal PM Assy")</f>
        <v>STBD Signal PM Assy</v>
      </c>
      <c r="AH97" t="str">
        <f ca="1">IFERROR(__xludf.DUMMYFUNCTION("""COMPUTED_VALUE"""),"Teroson MS930")</f>
        <v>Teroson MS930</v>
      </c>
      <c r="AI97">
        <f ca="1">IFERROR(__xludf.DUMMYFUNCTION("""COMPUTED_VALUE"""),2)</f>
        <v>2</v>
      </c>
      <c r="AJ97" t="str">
        <f ca="1">IFERROR(__xludf.DUMMYFUNCTION("""COMPUTED_VALUE"""),"blank")</f>
        <v>blank</v>
      </c>
      <c r="AK97" t="e">
        <f ca="1">_xludf.IFNA(VLOOKUP(AG97,'S-FG'!$B$3:$B1001,1,FALSE),"")</f>
        <v>#NAME?</v>
      </c>
      <c r="AL97" t="e">
        <f ca="1">IF(AH97="","",SUMIFS(#REF!,RM!$C$4:$C991,AH97))</f>
        <v>#REF!</v>
      </c>
    </row>
    <row r="98" spans="5:38">
      <c r="E98" t="str">
        <f>IF(A98="","",SUMIFS(Issue!$D$3:$D1001,Issue!$C$3:$C1001,A98)*C98)</f>
        <v/>
      </c>
      <c r="F98" t="e">
        <f ca="1">_xludf.IFNA(VLOOKUP(B98,'S-FG'!$B$3:$B1001,1,FALSE),"")</f>
        <v>#NAME?</v>
      </c>
      <c r="H98" t="str">
        <f ca="1">IFERROR(__xludf.DUMMYFUNCTION("""COMPUTED_VALUE"""),"PORT Signal CM Assy")</f>
        <v>PORT Signal CM Assy</v>
      </c>
      <c r="I98" t="str">
        <f ca="1">IFERROR(__xludf.DUMMYFUNCTION("""COMPUTED_VALUE"""),"1uF 0805 PANASONIC")</f>
        <v>1uF 0805 PANASONIC</v>
      </c>
      <c r="J98">
        <f ca="1">IFERROR(__xludf.DUMMYFUNCTION("""COMPUTED_VALUE"""),1)</f>
        <v>1</v>
      </c>
      <c r="K98" t="str">
        <f ca="1">IFERROR(__xludf.DUMMYFUNCTION("""COMPUTED_VALUE"""),"GCM21BR71E105KA56L")</f>
        <v>GCM21BR71E105KA56L</v>
      </c>
      <c r="L98">
        <f t="shared" ca="1" si="0"/>
        <v>0</v>
      </c>
      <c r="Q98" t="str">
        <f>IF(N98="","",SUMIFS(Issue!$D$3:$D1001,Issue!$C$3:$C1001,N98))</f>
        <v/>
      </c>
      <c r="S98" t="str">
        <f ca="1">IFERROR(__xludf.DUMMYFUNCTION("""COMPUTED_VALUE"""),"HeatShrink Tube 1.5mm/1.6mm")</f>
        <v>HeatShrink Tube 1.5mm/1.6mm</v>
      </c>
      <c r="X98" t="e">
        <f ca="1"/>
        <v>#NAME?</v>
      </c>
      <c r="Y98" t="e">
        <f t="shared" ca="1" si="1"/>
        <v>#NAME?</v>
      </c>
      <c r="Z98" t="e">
        <f ca="1">IF(X98="","",SUMIFS(#REF!,RM!$C$4:$C991,X98))</f>
        <v>#NAME?</v>
      </c>
      <c r="AA98" t="e">
        <f ca="1">IF(X98="","",SUMIFS(#REF!,RM!$C$4:$C991,X98))</f>
        <v>#NAME?</v>
      </c>
      <c r="AB98" t="e">
        <f t="shared" ca="1" si="2"/>
        <v>#NAME?</v>
      </c>
      <c r="AC98" t="e">
        <f ca="1">IF(X98="","",VLOOKUP($X98,RM!$C$4:$G991,3,FALSE))</f>
        <v>#NAME?</v>
      </c>
      <c r="AD98" t="e">
        <f ca="1">IF(X98="","",VLOOKUP($X98,RM!$C$4:$G991,4,FALSE))</f>
        <v>#NAME?</v>
      </c>
      <c r="AE98" t="e">
        <f ca="1">IF(X98="","",VLOOKUP($X98,RM!$C$4:$G991,5,FALSE))</f>
        <v>#NAME?</v>
      </c>
      <c r="AG98" t="str">
        <f ca="1">IFERROR(__xludf.DUMMYFUNCTION("""COMPUTED_VALUE"""),"STBD Signal PM Assy")</f>
        <v>STBD Signal PM Assy</v>
      </c>
      <c r="AH98" t="str">
        <f ca="1">IFERROR(__xludf.DUMMYFUNCTION("""COMPUTED_VALUE"""),"Silicon RTV 734 Potting compound")</f>
        <v>Silicon RTV 734 Potting compound</v>
      </c>
      <c r="AI98">
        <f ca="1">IFERROR(__xludf.DUMMYFUNCTION("""COMPUTED_VALUE"""),5)</f>
        <v>5</v>
      </c>
      <c r="AJ98" t="str">
        <f ca="1">IFERROR(__xludf.DUMMYFUNCTION("""COMPUTED_VALUE"""),"blank")</f>
        <v>blank</v>
      </c>
      <c r="AK98" t="e">
        <f ca="1">_xludf.IFNA(VLOOKUP(AG98,'S-FG'!$B$3:$B1001,1,FALSE),"")</f>
        <v>#NAME?</v>
      </c>
      <c r="AL98" t="e">
        <f ca="1">IF(AH98="","",SUMIFS(#REF!,RM!$C$4:$C991,AH98))</f>
        <v>#REF!</v>
      </c>
    </row>
    <row r="99" spans="5:38">
      <c r="E99" t="str">
        <f>IF(A99="","",SUMIFS(Issue!$D$3:$D1001,Issue!$C$3:$C1001,A99)*C99)</f>
        <v/>
      </c>
      <c r="F99" t="e">
        <f ca="1">_xludf.IFNA(VLOOKUP(B99,'S-FG'!$B$3:$B1001,1,FALSE),"")</f>
        <v>#NAME?</v>
      </c>
      <c r="H99" t="str">
        <f ca="1">IFERROR(__xludf.DUMMYFUNCTION("""COMPUTED_VALUE"""),"PORT Signal CM Assy")</f>
        <v>PORT Signal CM Assy</v>
      </c>
      <c r="I99" t="str">
        <f ca="1">IFERROR(__xludf.DUMMYFUNCTION("""COMPUTED_VALUE"""),"HeatShrink Tube 3:1")</f>
        <v>HeatShrink Tube 3:1</v>
      </c>
      <c r="J99">
        <f ca="1">IFERROR(__xludf.DUMMYFUNCTION("""COMPUTED_VALUE"""),0.1)</f>
        <v>0.1</v>
      </c>
      <c r="K99" t="str">
        <f ca="1">IFERROR(__xludf.DUMMYFUNCTION("""COMPUTED_VALUE"""),"blank")</f>
        <v>blank</v>
      </c>
      <c r="L99">
        <f t="shared" ca="1" si="0"/>
        <v>0</v>
      </c>
      <c r="Q99" t="str">
        <f>IF(N99="","",SUMIFS(Issue!$D$3:$D1001,Issue!$C$3:$C1001,N99))</f>
        <v/>
      </c>
      <c r="S99" t="str">
        <f ca="1">IFERROR(__xludf.DUMMYFUNCTION("""COMPUTED_VALUE"""),"1uF 0805 PANASONIC")</f>
        <v>1uF 0805 PANASONIC</v>
      </c>
      <c r="X99" t="e">
        <f ca="1"/>
        <v>#NAME?</v>
      </c>
      <c r="Y99" t="e">
        <f t="shared" ca="1" si="1"/>
        <v>#NAME?</v>
      </c>
      <c r="Z99" t="e">
        <f ca="1">IF(X99="","",SUMIFS(#REF!,RM!$C$4:$C991,X99))</f>
        <v>#NAME?</v>
      </c>
      <c r="AA99" t="e">
        <f ca="1">IF(X99="","",SUMIFS(#REF!,RM!$C$4:$C991,X99))</f>
        <v>#NAME?</v>
      </c>
      <c r="AB99" t="e">
        <f t="shared" ca="1" si="2"/>
        <v>#NAME?</v>
      </c>
      <c r="AC99" t="e">
        <f ca="1">IF(X99="","",VLOOKUP($X99,RM!$C$4:$G991,3,FALSE))</f>
        <v>#NAME?</v>
      </c>
      <c r="AD99" t="e">
        <f ca="1">IF(X99="","",VLOOKUP($X99,RM!$C$4:$G991,4,FALSE))</f>
        <v>#NAME?</v>
      </c>
      <c r="AE99" t="e">
        <f ca="1">IF(X99="","",VLOOKUP($X99,RM!$C$4:$G991,5,FALSE))</f>
        <v>#NAME?</v>
      </c>
      <c r="AG99" t="str">
        <f ca="1">IFERROR(__xludf.DUMMYFUNCTION("""COMPUTED_VALUE"""),"STBD Signal PM Assy")</f>
        <v>STBD Signal PM Assy</v>
      </c>
      <c r="AH99" t="str">
        <f ca="1">IFERROR(__xludf.DUMMYFUNCTION("""COMPUTED_VALUE"""),"Lead wire 22AWG")</f>
        <v>Lead wire 22AWG</v>
      </c>
      <c r="AI99">
        <f ca="1">IFERROR(__xludf.DUMMYFUNCTION("""COMPUTED_VALUE"""),5)</f>
        <v>5</v>
      </c>
      <c r="AK99" t="e">
        <f ca="1">_xludf.IFNA(VLOOKUP(AG99,'S-FG'!$B$3:$B1001,1,FALSE),"")</f>
        <v>#NAME?</v>
      </c>
      <c r="AL99" t="e">
        <f ca="1">IF(AH99="","",SUMIFS(#REF!,RM!$C$4:$C991,AH99))</f>
        <v>#REF!</v>
      </c>
    </row>
    <row r="100" spans="5:38">
      <c r="E100" t="str">
        <f>IF(A100="","",SUMIFS(Issue!$D$3:$D1001,Issue!$C$3:$C1001,A100)*C100)</f>
        <v/>
      </c>
      <c r="F100" t="e">
        <f ca="1">_xludf.IFNA(VLOOKUP(B100,'S-FG'!$B$3:$B1001,1,FALSE),"")</f>
        <v>#NAME?</v>
      </c>
      <c r="H100" t="str">
        <f ca="1">IFERROR(__xludf.DUMMYFUNCTION("""COMPUTED_VALUE"""),"PORT Signal CM Assy")</f>
        <v>PORT Signal CM Assy</v>
      </c>
      <c r="I100" t="str">
        <f ca="1">IFERROR(__xludf.DUMMYFUNCTION("""COMPUTED_VALUE"""),"Silicon RTV 734 Potting compound")</f>
        <v>Silicon RTV 734 Potting compound</v>
      </c>
      <c r="J100">
        <f ca="1">IFERROR(__xludf.DUMMYFUNCTION("""COMPUTED_VALUE"""),10)</f>
        <v>10</v>
      </c>
      <c r="K100" t="str">
        <f ca="1">IFERROR(__xludf.DUMMYFUNCTION("""COMPUTED_VALUE"""),"blank")</f>
        <v>blank</v>
      </c>
      <c r="L100">
        <f t="shared" ca="1" si="0"/>
        <v>0</v>
      </c>
      <c r="Q100" t="str">
        <f>IF(N100="","",SUMIFS(Issue!$D$3:$D1001,Issue!$C$3:$C1001,N100))</f>
        <v/>
      </c>
      <c r="S100" t="str">
        <f ca="1">IFERROR(__xludf.DUMMYFUNCTION("""COMPUTED_VALUE"""),"HeatShrink Tube 3:1")</f>
        <v>HeatShrink Tube 3:1</v>
      </c>
      <c r="X100" t="e">
        <f ca="1"/>
        <v>#NAME?</v>
      </c>
      <c r="Y100" t="e">
        <f t="shared" ca="1" si="1"/>
        <v>#NAME?</v>
      </c>
      <c r="Z100" t="e">
        <f ca="1">IF(X100="","",SUMIFS(#REF!,RM!$C$4:$C991,X100))</f>
        <v>#NAME?</v>
      </c>
      <c r="AA100" t="e">
        <f ca="1">IF(X100="","",SUMIFS(#REF!,RM!$C$4:$C991,X100))</f>
        <v>#NAME?</v>
      </c>
      <c r="AB100" t="e">
        <f t="shared" ca="1" si="2"/>
        <v>#NAME?</v>
      </c>
      <c r="AC100" t="e">
        <f ca="1">IF(X100="","",VLOOKUP($X100,RM!$C$4:$G991,3,FALSE))</f>
        <v>#NAME?</v>
      </c>
      <c r="AD100" t="e">
        <f ca="1">IF(X100="","",VLOOKUP($X100,RM!$C$4:$G991,4,FALSE))</f>
        <v>#NAME?</v>
      </c>
      <c r="AE100" t="e">
        <f ca="1">IF(X100="","",VLOOKUP($X100,RM!$C$4:$G991,5,FALSE))</f>
        <v>#NAME?</v>
      </c>
      <c r="AG100" t="str">
        <f ca="1">IFERROR(__xludf.DUMMYFUNCTION("""COMPUTED_VALUE"""),"PORT Signal PM Assy")</f>
        <v>PORT Signal PM Assy</v>
      </c>
      <c r="AH100" t="str">
        <f ca="1">IFERROR(__xludf.DUMMYFUNCTION("""COMPUTED_VALUE"""),"15 pin JST-XH housing")</f>
        <v>15 pin JST-XH housing</v>
      </c>
      <c r="AI100">
        <f ca="1">IFERROR(__xludf.DUMMYFUNCTION("""COMPUTED_VALUE"""),1)</f>
        <v>1</v>
      </c>
      <c r="AJ100" t="str">
        <f ca="1">IFERROR(__xludf.DUMMYFUNCTION("""COMPUTED_VALUE"""),"blank")</f>
        <v>blank</v>
      </c>
      <c r="AK100" t="e">
        <f ca="1">_xludf.IFNA(VLOOKUP(AG100,'S-FG'!$B$3:$B1001,1,FALSE),"")</f>
        <v>#NAME?</v>
      </c>
      <c r="AL100" t="e">
        <f ca="1">IF(AH100="","",SUMIFS(#REF!,RM!$C$4:$C991,AH100))</f>
        <v>#REF!</v>
      </c>
    </row>
    <row r="101" spans="5:38">
      <c r="E101" t="str">
        <f>IF(A101="","",SUMIFS(Issue!$D$3:$D1001,Issue!$C$3:$C1001,A101)*C101)</f>
        <v/>
      </c>
      <c r="F101" t="e">
        <f ca="1">_xludf.IFNA(VLOOKUP(B101,'S-FG'!$B$3:$B1001,1,FALSE),"")</f>
        <v>#NAME?</v>
      </c>
      <c r="H101" t="str">
        <f ca="1">IFERROR(__xludf.DUMMYFUNCTION("""COMPUTED_VALUE"""),"Charging PM Assy")</f>
        <v>Charging PM Assy</v>
      </c>
      <c r="I101" t="str">
        <f ca="1">IFERROR(__xludf.DUMMYFUNCTION("""COMPUTED_VALUE"""),"2mm male bullet connector")</f>
        <v>2mm male bullet connector</v>
      </c>
      <c r="J101">
        <f ca="1">IFERROR(__xludf.DUMMYFUNCTION("""COMPUTED_VALUE"""),1)</f>
        <v>1</v>
      </c>
      <c r="K101" t="str">
        <f ca="1">IFERROR(__xludf.DUMMYFUNCTION("""COMPUTED_VALUE"""),"blank")</f>
        <v>blank</v>
      </c>
      <c r="L101">
        <f t="shared" ca="1" si="0"/>
        <v>0</v>
      </c>
      <c r="Q101" t="str">
        <f>IF(N101="","",SUMIFS(Issue!$D$3:$D1001,Issue!$C$3:$C1001,N101))</f>
        <v/>
      </c>
      <c r="S101" t="str">
        <f ca="1">IFERROR(__xludf.DUMMYFUNCTION("""COMPUTED_VALUE"""),"Silicon RTV 734 Potting compound")</f>
        <v>Silicon RTV 734 Potting compound</v>
      </c>
      <c r="X101" t="e">
        <f ca="1"/>
        <v>#NAME?</v>
      </c>
      <c r="Y101" t="e">
        <f t="shared" ca="1" si="1"/>
        <v>#NAME?</v>
      </c>
      <c r="Z101" t="e">
        <f ca="1">IF(X101="","",SUMIFS(#REF!,RM!$C$4:$C991,X101))</f>
        <v>#NAME?</v>
      </c>
      <c r="AA101" t="e">
        <f ca="1">IF(X101="","",SUMIFS(#REF!,RM!$C$4:$C991,X101))</f>
        <v>#NAME?</v>
      </c>
      <c r="AB101" t="e">
        <f t="shared" ca="1" si="2"/>
        <v>#NAME?</v>
      </c>
      <c r="AC101" t="e">
        <f ca="1">IF(X101="","",VLOOKUP($X101,RM!$C$4:$G991,3,FALSE))</f>
        <v>#NAME?</v>
      </c>
      <c r="AD101" t="e">
        <f ca="1">IF(X101="","",VLOOKUP($X101,RM!$C$4:$G991,4,FALSE))</f>
        <v>#NAME?</v>
      </c>
      <c r="AE101" t="e">
        <f ca="1">IF(X101="","",VLOOKUP($X101,RM!$C$4:$G991,5,FALSE))</f>
        <v>#NAME?</v>
      </c>
      <c r="AG101" t="str">
        <f ca="1">IFERROR(__xludf.DUMMYFUNCTION("""COMPUTED_VALUE"""),"PORT Signal PM Assy")</f>
        <v>PORT Signal PM Assy</v>
      </c>
      <c r="AH101" t="str">
        <f ca="1">IFERROR(__xludf.DUMMYFUNCTION("""COMPUTED_VALUE"""),"10cm one sided JST crimped Black")</f>
        <v>10cm one sided JST crimped Black</v>
      </c>
      <c r="AI101">
        <f ca="1">IFERROR(__xludf.DUMMYFUNCTION("""COMPUTED_VALUE"""),1)</f>
        <v>1</v>
      </c>
      <c r="AJ101" t="str">
        <f ca="1">IFERROR(__xludf.DUMMYFUNCTION("""COMPUTED_VALUE"""),"blank")</f>
        <v>blank</v>
      </c>
      <c r="AK101" t="e">
        <f ca="1">_xludf.IFNA(VLOOKUP(AG101,'S-FG'!$B$3:$B1001,1,FALSE),"")</f>
        <v>#NAME?</v>
      </c>
      <c r="AL101" t="e">
        <f ca="1">IF(AH101="","",SUMIFS(#REF!,RM!$C$4:$C991,AH101))</f>
        <v>#REF!</v>
      </c>
    </row>
    <row r="102" spans="5:38">
      <c r="E102" t="str">
        <f>IF(A102="","",SUMIFS(Issue!$D$3:$D1001,Issue!$C$3:$C1001,A102)*C102)</f>
        <v/>
      </c>
      <c r="F102" t="e">
        <f ca="1">_xludf.IFNA(VLOOKUP(B102,'S-FG'!$B$3:$B1001,1,FALSE),"")</f>
        <v>#NAME?</v>
      </c>
      <c r="H102" t="str">
        <f ca="1">IFERROR(__xludf.DUMMYFUNCTION("""COMPUTED_VALUE"""),"Charging PM Assy")</f>
        <v>Charging PM Assy</v>
      </c>
      <c r="I102" t="str">
        <f ca="1">IFERROR(__xludf.DUMMYFUNCTION("""COMPUTED_VALUE"""),"Black 18 AWG")</f>
        <v>Black 18 AWG</v>
      </c>
      <c r="J102">
        <f ca="1">IFERROR(__xludf.DUMMYFUNCTION("""COMPUTED_VALUE"""),0.35)</f>
        <v>0.35</v>
      </c>
      <c r="K102" t="str">
        <f ca="1">IFERROR(__xludf.DUMMYFUNCTION("""COMPUTED_VALUE"""),"blank")</f>
        <v>blank</v>
      </c>
      <c r="L102">
        <f t="shared" ca="1" si="0"/>
        <v>0</v>
      </c>
      <c r="Q102" t="str">
        <f>IF(N102="","",SUMIFS(Issue!$D$3:$D1001,Issue!$C$3:$C1001,N102))</f>
        <v/>
      </c>
      <c r="S102" t="str">
        <f ca="1">IFERROR(__xludf.DUMMYFUNCTION("""COMPUTED_VALUE"""),"2mm male bullet connector")</f>
        <v>2mm male bullet connector</v>
      </c>
      <c r="X102" t="e">
        <f ca="1"/>
        <v>#NAME?</v>
      </c>
      <c r="Y102" t="e">
        <f t="shared" ca="1" si="1"/>
        <v>#NAME?</v>
      </c>
      <c r="Z102" t="e">
        <f ca="1">IF(X102="","",SUMIFS(#REF!,RM!$C$4:$C991,X102))</f>
        <v>#NAME?</v>
      </c>
      <c r="AA102" t="e">
        <f ca="1">IF(X102="","",SUMIFS(#REF!,RM!$C$4:$C991,X102))</f>
        <v>#NAME?</v>
      </c>
      <c r="AB102" t="e">
        <f t="shared" ca="1" si="2"/>
        <v>#NAME?</v>
      </c>
      <c r="AC102" t="e">
        <f ca="1">IF(X102="","",VLOOKUP($X102,RM!$C$4:$G991,3,FALSE))</f>
        <v>#NAME?</v>
      </c>
      <c r="AD102" t="e">
        <f ca="1">IF(X102="","",VLOOKUP($X102,RM!$C$4:$G991,4,FALSE))</f>
        <v>#NAME?</v>
      </c>
      <c r="AE102" t="e">
        <f ca="1">IF(X102="","",VLOOKUP($X102,RM!$C$4:$G991,5,FALSE))</f>
        <v>#NAME?</v>
      </c>
      <c r="AG102" t="str">
        <f ca="1">IFERROR(__xludf.DUMMYFUNCTION("""COMPUTED_VALUE"""),"PORT Signal PM Assy")</f>
        <v>PORT Signal PM Assy</v>
      </c>
      <c r="AH102" t="str">
        <f ca="1">IFERROR(__xludf.DUMMYFUNCTION("""COMPUTED_VALUE"""),"10cm one sided JST crimped Green")</f>
        <v>10cm one sided JST crimped Green</v>
      </c>
      <c r="AI102">
        <f ca="1">IFERROR(__xludf.DUMMYFUNCTION("""COMPUTED_VALUE"""),1)</f>
        <v>1</v>
      </c>
      <c r="AJ102" t="str">
        <f ca="1">IFERROR(__xludf.DUMMYFUNCTION("""COMPUTED_VALUE"""),"blank")</f>
        <v>blank</v>
      </c>
      <c r="AK102" t="e">
        <f ca="1">_xludf.IFNA(VLOOKUP(AG102,'S-FG'!$B$3:$B1001,1,FALSE),"")</f>
        <v>#NAME?</v>
      </c>
      <c r="AL102" t="e">
        <f ca="1">IF(AH102="","",SUMIFS(#REF!,RM!$C$4:$C991,AH102))</f>
        <v>#REF!</v>
      </c>
    </row>
    <row r="103" spans="5:38">
      <c r="E103" t="str">
        <f>IF(A103="","",SUMIFS(Issue!$D$3:$D1001,Issue!$C$3:$C1001,A103)*C103)</f>
        <v/>
      </c>
      <c r="F103" t="e">
        <f ca="1">_xludf.IFNA(VLOOKUP(B103,'S-FG'!$B$3:$B1001,1,FALSE),"")</f>
        <v>#NAME?</v>
      </c>
      <c r="H103" t="str">
        <f ca="1">IFERROR(__xludf.DUMMYFUNCTION("""COMPUTED_VALUE"""),"Charging PM Assy")</f>
        <v>Charging PM Assy</v>
      </c>
      <c r="I103" t="str">
        <f ca="1">IFERROR(__xludf.DUMMYFUNCTION("""COMPUTED_VALUE"""),"Black 20 AWG")</f>
        <v>Black 20 AWG</v>
      </c>
      <c r="J103">
        <f ca="1">IFERROR(__xludf.DUMMYFUNCTION("""COMPUTED_VALUE"""),0.3)</f>
        <v>0.3</v>
      </c>
      <c r="K103" t="str">
        <f ca="1">IFERROR(__xludf.DUMMYFUNCTION("""COMPUTED_VALUE"""),"blank")</f>
        <v>blank</v>
      </c>
      <c r="L103">
        <f t="shared" ca="1" si="0"/>
        <v>0</v>
      </c>
      <c r="Q103" t="str">
        <f>IF(N103="","",SUMIFS(Issue!$D$3:$D1001,Issue!$C$3:$C1001,N103))</f>
        <v/>
      </c>
      <c r="S103" t="str">
        <f ca="1">IFERROR(__xludf.DUMMYFUNCTION("""COMPUTED_VALUE"""),"Black 18 AWG")</f>
        <v>Black 18 AWG</v>
      </c>
      <c r="X103" t="e">
        <f ca="1"/>
        <v>#NAME?</v>
      </c>
      <c r="Y103" t="e">
        <f t="shared" ca="1" si="1"/>
        <v>#NAME?</v>
      </c>
      <c r="Z103" t="e">
        <f ca="1">IF(X103="","",SUMIFS(#REF!,RM!$C$4:$C991,X103))</f>
        <v>#NAME?</v>
      </c>
      <c r="AA103" t="e">
        <f ca="1">IF(X103="","",SUMIFS(#REF!,RM!$C$4:$C991,X103))</f>
        <v>#NAME?</v>
      </c>
      <c r="AB103" t="e">
        <f t="shared" ca="1" si="2"/>
        <v>#NAME?</v>
      </c>
      <c r="AC103" t="e">
        <f ca="1">IF(X103="","",VLOOKUP($X103,RM!$C$4:$G991,3,FALSE))</f>
        <v>#NAME?</v>
      </c>
      <c r="AD103" t="e">
        <f ca="1">IF(X103="","",VLOOKUP($X103,RM!$C$4:$G991,4,FALSE))</f>
        <v>#NAME?</v>
      </c>
      <c r="AE103" t="e">
        <f ca="1">IF(X103="","",VLOOKUP($X103,RM!$C$4:$G991,5,FALSE))</f>
        <v>#NAME?</v>
      </c>
      <c r="AG103" t="str">
        <f ca="1">IFERROR(__xludf.DUMMYFUNCTION("""COMPUTED_VALUE"""),"PORT Signal PM Assy")</f>
        <v>PORT Signal PM Assy</v>
      </c>
      <c r="AH103" t="str">
        <f ca="1">IFERROR(__xludf.DUMMYFUNCTION("""COMPUTED_VALUE"""),"10cm one sided JST crimped Voilet")</f>
        <v>10cm one sided JST crimped Voilet</v>
      </c>
      <c r="AI103">
        <f ca="1">IFERROR(__xludf.DUMMYFUNCTION("""COMPUTED_VALUE"""),1)</f>
        <v>1</v>
      </c>
      <c r="AJ103" t="str">
        <f ca="1">IFERROR(__xludf.DUMMYFUNCTION("""COMPUTED_VALUE"""),"blank")</f>
        <v>blank</v>
      </c>
      <c r="AK103" t="e">
        <f ca="1">_xludf.IFNA(VLOOKUP(AG103,'S-FG'!$B$3:$B1001,1,FALSE),"")</f>
        <v>#NAME?</v>
      </c>
      <c r="AL103" t="e">
        <f ca="1">IF(AH103="","",SUMIFS(#REF!,RM!$C$4:$C991,AH103))</f>
        <v>#REF!</v>
      </c>
    </row>
    <row r="104" spans="5:38">
      <c r="E104" t="str">
        <f>IF(A104="","",SUMIFS(Issue!$D$3:$D1001,Issue!$C$3:$C1001,A104)*C104)</f>
        <v/>
      </c>
      <c r="F104" t="e">
        <f ca="1">_xludf.IFNA(VLOOKUP(B104,'S-FG'!$B$3:$B1001,1,FALSE),"")</f>
        <v>#NAME?</v>
      </c>
      <c r="H104" t="str">
        <f ca="1">IFERROR(__xludf.DUMMYFUNCTION("""COMPUTED_VALUE"""),"Charging PM Assy")</f>
        <v>Charging PM Assy</v>
      </c>
      <c r="I104" t="str">
        <f ca="1">IFERROR(__xludf.DUMMYFUNCTION("""COMPUTED_VALUE"""),"Red 20 AWG")</f>
        <v>Red 20 AWG</v>
      </c>
      <c r="J104">
        <f ca="1">IFERROR(__xludf.DUMMYFUNCTION("""COMPUTED_VALUE"""),0.3)</f>
        <v>0.3</v>
      </c>
      <c r="K104" t="str">
        <f ca="1">IFERROR(__xludf.DUMMYFUNCTION("""COMPUTED_VALUE"""),"blank")</f>
        <v>blank</v>
      </c>
      <c r="L104">
        <f t="shared" ca="1" si="0"/>
        <v>0</v>
      </c>
      <c r="Q104" t="str">
        <f>IF(N104="","",SUMIFS(Issue!$D$3:$D1001,Issue!$C$3:$C1001,N104))</f>
        <v/>
      </c>
      <c r="S104" t="str">
        <f ca="1">IFERROR(__xludf.DUMMYFUNCTION("""COMPUTED_VALUE"""),"Black 20 AWG")</f>
        <v>Black 20 AWG</v>
      </c>
      <c r="X104" t="e">
        <f ca="1"/>
        <v>#NAME?</v>
      </c>
      <c r="Y104" t="e">
        <f t="shared" ca="1" si="1"/>
        <v>#NAME?</v>
      </c>
      <c r="Z104" t="e">
        <f ca="1">IF(X104="","",SUMIFS(#REF!,RM!$C$4:$C991,X104))</f>
        <v>#NAME?</v>
      </c>
      <c r="AA104" t="e">
        <f ca="1">IF(X104="","",SUMIFS(#REF!,RM!$C$4:$C991,X104))</f>
        <v>#NAME?</v>
      </c>
      <c r="AB104" t="e">
        <f t="shared" ca="1" si="2"/>
        <v>#NAME?</v>
      </c>
      <c r="AC104" t="e">
        <f ca="1">IF(X104="","",VLOOKUP($X104,RM!$C$4:$G991,3,FALSE))</f>
        <v>#NAME?</v>
      </c>
      <c r="AD104" t="e">
        <f ca="1">IF(X104="","",VLOOKUP($X104,RM!$C$4:$G991,4,FALSE))</f>
        <v>#NAME?</v>
      </c>
      <c r="AE104" t="e">
        <f ca="1">IF(X104="","",VLOOKUP($X104,RM!$C$4:$G991,5,FALSE))</f>
        <v>#NAME?</v>
      </c>
      <c r="AG104" t="str">
        <f ca="1">IFERROR(__xludf.DUMMYFUNCTION("""COMPUTED_VALUE"""),"PORT Signal PM Assy")</f>
        <v>PORT Signal PM Assy</v>
      </c>
      <c r="AH104" t="str">
        <f ca="1">IFERROR(__xludf.DUMMYFUNCTION("""COMPUTED_VALUE"""),"10cm one sided JST crimped Yellow")</f>
        <v>10cm one sided JST crimped Yellow</v>
      </c>
      <c r="AI104">
        <f ca="1">IFERROR(__xludf.DUMMYFUNCTION("""COMPUTED_VALUE"""),1)</f>
        <v>1</v>
      </c>
      <c r="AJ104" t="str">
        <f ca="1">IFERROR(__xludf.DUMMYFUNCTION("""COMPUTED_VALUE"""),"blank")</f>
        <v>blank</v>
      </c>
      <c r="AK104" t="e">
        <f ca="1">_xludf.IFNA(VLOOKUP(AG104,'S-FG'!$B$3:$B1001,1,FALSE),"")</f>
        <v>#NAME?</v>
      </c>
      <c r="AL104" t="e">
        <f ca="1">IF(AH104="","",SUMIFS(#REF!,RM!$C$4:$C991,AH104))</f>
        <v>#REF!</v>
      </c>
    </row>
    <row r="105" spans="5:38">
      <c r="E105" t="str">
        <f>IF(A105="","",SUMIFS(Issue!$D$3:$D1001,Issue!$C$3:$C1001,A105)*C105)</f>
        <v/>
      </c>
      <c r="F105" t="e">
        <f ca="1">_xludf.IFNA(VLOOKUP(B105,'S-FG'!$B$3:$B1001,1,FALSE),"")</f>
        <v>#NAME?</v>
      </c>
      <c r="H105" t="str">
        <f ca="1">IFERROR(__xludf.DUMMYFUNCTION("""COMPUTED_VALUE"""),"Charging PM Assy")</f>
        <v>Charging PM Assy</v>
      </c>
      <c r="I105" t="str">
        <f ca="1">IFERROR(__xludf.DUMMYFUNCTION("""COMPUTED_VALUE"""),"13 pin JST-XH housing")</f>
        <v>13 pin JST-XH housing</v>
      </c>
      <c r="J105">
        <f ca="1">IFERROR(__xludf.DUMMYFUNCTION("""COMPUTED_VALUE"""),1)</f>
        <v>1</v>
      </c>
      <c r="K105" t="str">
        <f ca="1">IFERROR(__xludf.DUMMYFUNCTION("""COMPUTED_VALUE"""),"blank")</f>
        <v>blank</v>
      </c>
      <c r="L105">
        <f t="shared" ca="1" si="0"/>
        <v>0</v>
      </c>
      <c r="Q105" t="str">
        <f>IF(N105="","",SUMIFS(Issue!$D$3:$D1001,Issue!$C$3:$C1001,N105))</f>
        <v/>
      </c>
      <c r="S105" t="str">
        <f ca="1">IFERROR(__xludf.DUMMYFUNCTION("""COMPUTED_VALUE"""),"Red 20 AWG")</f>
        <v>Red 20 AWG</v>
      </c>
      <c r="X105" t="e">
        <f ca="1"/>
        <v>#NAME?</v>
      </c>
      <c r="Y105" t="e">
        <f t="shared" ca="1" si="1"/>
        <v>#NAME?</v>
      </c>
      <c r="Z105" t="e">
        <f ca="1">IF(X105="","",SUMIFS(#REF!,RM!$C$4:$C991,X105))</f>
        <v>#NAME?</v>
      </c>
      <c r="AA105" t="e">
        <f ca="1">IF(X105="","",SUMIFS(#REF!,RM!$C$4:$C991,X105))</f>
        <v>#NAME?</v>
      </c>
      <c r="AB105" t="e">
        <f t="shared" ca="1" si="2"/>
        <v>#NAME?</v>
      </c>
      <c r="AC105" t="e">
        <f ca="1">IF(X105="","",VLOOKUP($X105,RM!$C$4:$G991,3,FALSE))</f>
        <v>#NAME?</v>
      </c>
      <c r="AD105" t="e">
        <f ca="1">IF(X105="","",VLOOKUP($X105,RM!$C$4:$G991,4,FALSE))</f>
        <v>#NAME?</v>
      </c>
      <c r="AE105" t="e">
        <f ca="1">IF(X105="","",VLOOKUP($X105,RM!$C$4:$G991,5,FALSE))</f>
        <v>#NAME?</v>
      </c>
      <c r="AG105" t="str">
        <f ca="1">IFERROR(__xludf.DUMMYFUNCTION("""COMPUTED_VALUE"""),"PORT Signal PM Assy")</f>
        <v>PORT Signal PM Assy</v>
      </c>
      <c r="AH105" t="str">
        <f ca="1">IFERROR(__xludf.DUMMYFUNCTION("""COMPUTED_VALUE"""),"10cm one sided JST crimped Sky Blue")</f>
        <v>10cm one sided JST crimped Sky Blue</v>
      </c>
      <c r="AI105">
        <f ca="1">IFERROR(__xludf.DUMMYFUNCTION("""COMPUTED_VALUE"""),1)</f>
        <v>1</v>
      </c>
      <c r="AJ105" t="str">
        <f ca="1">IFERROR(__xludf.DUMMYFUNCTION("""COMPUTED_VALUE"""),"blank")</f>
        <v>blank</v>
      </c>
      <c r="AK105" t="e">
        <f ca="1">_xludf.IFNA(VLOOKUP(AG105,'S-FG'!$B$3:$B1001,1,FALSE),"")</f>
        <v>#NAME?</v>
      </c>
      <c r="AL105" t="e">
        <f ca="1">IF(AH105="","",SUMIFS(#REF!,RM!$C$4:$C991,AH105))</f>
        <v>#REF!</v>
      </c>
    </row>
    <row r="106" spans="5:38">
      <c r="E106" t="str">
        <f>IF(A106="","",SUMIFS(Issue!$D$3:$D1001,Issue!$C$3:$C1001,A106)*C106)</f>
        <v/>
      </c>
      <c r="F106" t="e">
        <f ca="1">_xludf.IFNA(VLOOKUP(B106,'S-FG'!$B$3:$B1001,1,FALSE),"")</f>
        <v>#NAME?</v>
      </c>
      <c r="H106" t="str">
        <f ca="1">IFERROR(__xludf.DUMMYFUNCTION("""COMPUTED_VALUE"""),"Charging PM Assy")</f>
        <v>Charging PM Assy</v>
      </c>
      <c r="I106" t="str">
        <f ca="1">IFERROR(__xludf.DUMMYFUNCTION("""COMPUTED_VALUE"""),"10cm one sided JST crimped Green")</f>
        <v>10cm one sided JST crimped Green</v>
      </c>
      <c r="J106">
        <f ca="1">IFERROR(__xludf.DUMMYFUNCTION("""COMPUTED_VALUE"""),1)</f>
        <v>1</v>
      </c>
      <c r="K106" t="str">
        <f ca="1">IFERROR(__xludf.DUMMYFUNCTION("""COMPUTED_VALUE"""),"blank")</f>
        <v>blank</v>
      </c>
      <c r="L106">
        <f t="shared" ca="1" si="0"/>
        <v>0</v>
      </c>
      <c r="Q106" t="str">
        <f>IF(N106="","",SUMIFS(Issue!$D$3:$D1001,Issue!$C$3:$C1001,N106))</f>
        <v/>
      </c>
      <c r="S106" t="str">
        <f ca="1">IFERROR(__xludf.DUMMYFUNCTION("""COMPUTED_VALUE"""),"13 pin JST-XH housing")</f>
        <v>13 pin JST-XH housing</v>
      </c>
      <c r="X106" t="e">
        <f ca="1"/>
        <v>#NAME?</v>
      </c>
      <c r="Y106" t="e">
        <f t="shared" ca="1" si="1"/>
        <v>#NAME?</v>
      </c>
      <c r="Z106" t="e">
        <f ca="1">IF(X106="","",SUMIFS(#REF!,RM!$C$4:$C991,X106))</f>
        <v>#NAME?</v>
      </c>
      <c r="AA106" t="e">
        <f ca="1">IF(X106="","",SUMIFS(#REF!,RM!$C$4:$C991,X106))</f>
        <v>#NAME?</v>
      </c>
      <c r="AB106" t="e">
        <f t="shared" ca="1" si="2"/>
        <v>#NAME?</v>
      </c>
      <c r="AC106" t="e">
        <f ca="1">IF(X106="","",VLOOKUP($X106,RM!$C$4:$G991,3,FALSE))</f>
        <v>#NAME?</v>
      </c>
      <c r="AD106" t="e">
        <f ca="1">IF(X106="","",VLOOKUP($X106,RM!$C$4:$G991,4,FALSE))</f>
        <v>#NAME?</v>
      </c>
      <c r="AE106" t="e">
        <f ca="1">IF(X106="","",VLOOKUP($X106,RM!$C$4:$G991,5,FALSE))</f>
        <v>#NAME?</v>
      </c>
      <c r="AG106" t="str">
        <f ca="1">IFERROR(__xludf.DUMMYFUNCTION("""COMPUTED_VALUE"""),"PORT Signal PM Assy")</f>
        <v>PORT Signal PM Assy</v>
      </c>
      <c r="AH106" t="str">
        <f ca="1">IFERROR(__xludf.DUMMYFUNCTION("""COMPUTED_VALUE"""),"10cm one sided JST crimped Pink")</f>
        <v>10cm one sided JST crimped Pink</v>
      </c>
      <c r="AI106">
        <f ca="1">IFERROR(__xludf.DUMMYFUNCTION("""COMPUTED_VALUE"""),1)</f>
        <v>1</v>
      </c>
      <c r="AJ106" t="str">
        <f ca="1">IFERROR(__xludf.DUMMYFUNCTION("""COMPUTED_VALUE"""),"blank")</f>
        <v>blank</v>
      </c>
      <c r="AK106" t="e">
        <f ca="1">_xludf.IFNA(VLOOKUP(AG106,'S-FG'!$B$3:$B1001,1,FALSE),"")</f>
        <v>#NAME?</v>
      </c>
      <c r="AL106" t="e">
        <f ca="1">IF(AH106="","",SUMIFS(#REF!,RM!$C$4:$C991,AH106))</f>
        <v>#REF!</v>
      </c>
    </row>
    <row r="107" spans="5:38">
      <c r="E107" t="str">
        <f>IF(A107="","",SUMIFS(Issue!$D$3:$D1001,Issue!$C$3:$C1001,A107)*C107)</f>
        <v/>
      </c>
      <c r="F107" t="e">
        <f ca="1">_xludf.IFNA(VLOOKUP(B107,'S-FG'!$B$3:$B1001,1,FALSE),"")</f>
        <v>#NAME?</v>
      </c>
      <c r="H107" t="str">
        <f ca="1">IFERROR(__xludf.DUMMYFUNCTION("""COMPUTED_VALUE"""),"Charging PM Assy")</f>
        <v>Charging PM Assy</v>
      </c>
      <c r="I107" t="str">
        <f ca="1">IFERROR(__xludf.DUMMYFUNCTION("""COMPUTED_VALUE"""),"10cm one sided JST crimped Voilet")</f>
        <v>10cm one sided JST crimped Voilet</v>
      </c>
      <c r="J107">
        <f ca="1">IFERROR(__xludf.DUMMYFUNCTION("""COMPUTED_VALUE"""),1)</f>
        <v>1</v>
      </c>
      <c r="K107" t="str">
        <f ca="1">IFERROR(__xludf.DUMMYFUNCTION("""COMPUTED_VALUE"""),"blank")</f>
        <v>blank</v>
      </c>
      <c r="L107">
        <f t="shared" ca="1" si="0"/>
        <v>0</v>
      </c>
      <c r="Q107" t="str">
        <f>IF(N107="","",SUMIFS(Issue!$D$3:$D1001,Issue!$C$3:$C1001,N107))</f>
        <v/>
      </c>
      <c r="S107" t="str">
        <f ca="1">IFERROR(__xludf.DUMMYFUNCTION("""COMPUTED_VALUE"""),"10cm one sided JST crimped Green")</f>
        <v>10cm one sided JST crimped Green</v>
      </c>
      <c r="X107" t="e">
        <f ca="1"/>
        <v>#NAME?</v>
      </c>
      <c r="Y107" t="e">
        <f t="shared" ca="1" si="1"/>
        <v>#NAME?</v>
      </c>
      <c r="Z107" t="e">
        <f ca="1">IF(X107="","",SUMIFS(#REF!,RM!$C$4:$C991,X107))</f>
        <v>#NAME?</v>
      </c>
      <c r="AA107" t="e">
        <f ca="1">IF(X107="","",SUMIFS(#REF!,RM!$C$4:$C991,X107))</f>
        <v>#NAME?</v>
      </c>
      <c r="AB107" t="e">
        <f t="shared" ca="1" si="2"/>
        <v>#NAME?</v>
      </c>
      <c r="AC107" t="e">
        <f ca="1">IF(X107="","",VLOOKUP($X107,RM!$C$4:$G991,3,FALSE))</f>
        <v>#NAME?</v>
      </c>
      <c r="AD107" t="e">
        <f ca="1">IF(X107="","",VLOOKUP($X107,RM!$C$4:$G991,4,FALSE))</f>
        <v>#NAME?</v>
      </c>
      <c r="AE107" t="e">
        <f ca="1">IF(X107="","",VLOOKUP($X107,RM!$C$4:$G991,5,FALSE))</f>
        <v>#NAME?</v>
      </c>
      <c r="AG107" t="str">
        <f ca="1">IFERROR(__xludf.DUMMYFUNCTION("""COMPUTED_VALUE"""),"PORT Signal PM Assy")</f>
        <v>PORT Signal PM Assy</v>
      </c>
      <c r="AH107" t="str">
        <f ca="1">IFERROR(__xludf.DUMMYFUNCTION("""COMPUTED_VALUE"""),"10cm one sided JST crimped Orange")</f>
        <v>10cm one sided JST crimped Orange</v>
      </c>
      <c r="AI107">
        <f ca="1">IFERROR(__xludf.DUMMYFUNCTION("""COMPUTED_VALUE"""),1)</f>
        <v>1</v>
      </c>
      <c r="AJ107" t="str">
        <f ca="1">IFERROR(__xludf.DUMMYFUNCTION("""COMPUTED_VALUE"""),"blank")</f>
        <v>blank</v>
      </c>
      <c r="AK107" t="e">
        <f ca="1">_xludf.IFNA(VLOOKUP(AG107,'S-FG'!$B$3:$B1001,1,FALSE),"")</f>
        <v>#NAME?</v>
      </c>
      <c r="AL107" t="e">
        <f ca="1">IF(AH107="","",SUMIFS(#REF!,RM!$C$4:$C991,AH107))</f>
        <v>#REF!</v>
      </c>
    </row>
    <row r="108" spans="5:38">
      <c r="E108" t="str">
        <f>IF(A108="","",SUMIFS(Issue!$D$3:$D1001,Issue!$C$3:$C1001,A108)*C108)</f>
        <v/>
      </c>
      <c r="F108" t="e">
        <f ca="1">_xludf.IFNA(VLOOKUP(B108,'S-FG'!$B$3:$B1001,1,FALSE),"")</f>
        <v>#NAME?</v>
      </c>
      <c r="H108" t="str">
        <f ca="1">IFERROR(__xludf.DUMMYFUNCTION("""COMPUTED_VALUE"""),"Charging PM Assy")</f>
        <v>Charging PM Assy</v>
      </c>
      <c r="I108" t="str">
        <f ca="1">IFERROR(__xludf.DUMMYFUNCTION("""COMPUTED_VALUE"""),"10cm one sided JST crimped Yellow")</f>
        <v>10cm one sided JST crimped Yellow</v>
      </c>
      <c r="J108">
        <f ca="1">IFERROR(__xludf.DUMMYFUNCTION("""COMPUTED_VALUE"""),1)</f>
        <v>1</v>
      </c>
      <c r="K108" t="str">
        <f ca="1">IFERROR(__xludf.DUMMYFUNCTION("""COMPUTED_VALUE"""),"blank")</f>
        <v>blank</v>
      </c>
      <c r="L108">
        <f t="shared" ca="1" si="0"/>
        <v>0</v>
      </c>
      <c r="Q108" t="str">
        <f>IF(N108="","",SUMIFS(Issue!$D$3:$D1001,Issue!$C$3:$C1001,N108))</f>
        <v/>
      </c>
      <c r="S108" t="str">
        <f ca="1">IFERROR(__xludf.DUMMYFUNCTION("""COMPUTED_VALUE"""),"10cm one sided JST crimped Voilet")</f>
        <v>10cm one sided JST crimped Voilet</v>
      </c>
      <c r="X108" t="e">
        <f ca="1"/>
        <v>#NAME?</v>
      </c>
      <c r="Y108" t="e">
        <f t="shared" ca="1" si="1"/>
        <v>#NAME?</v>
      </c>
      <c r="Z108" t="e">
        <f ca="1">IF(X108="","",SUMIFS(#REF!,RM!$C$4:$C991,X108))</f>
        <v>#NAME?</v>
      </c>
      <c r="AA108" t="e">
        <f ca="1">IF(X108="","",SUMIFS(#REF!,RM!$C$4:$C991,X108))</f>
        <v>#NAME?</v>
      </c>
      <c r="AB108" t="e">
        <f t="shared" ca="1" si="2"/>
        <v>#NAME?</v>
      </c>
      <c r="AC108" t="e">
        <f ca="1">IF(X108="","",VLOOKUP($X108,RM!$C$4:$G991,3,FALSE))</f>
        <v>#NAME?</v>
      </c>
      <c r="AD108" t="e">
        <f ca="1">IF(X108="","",VLOOKUP($X108,RM!$C$4:$G991,4,FALSE))</f>
        <v>#NAME?</v>
      </c>
      <c r="AE108" t="e">
        <f ca="1">IF(X108="","",VLOOKUP($X108,RM!$C$4:$G991,5,FALSE))</f>
        <v>#NAME?</v>
      </c>
      <c r="AG108" t="str">
        <f ca="1">IFERROR(__xludf.DUMMYFUNCTION("""COMPUTED_VALUE"""),"PORT Signal PM Assy")</f>
        <v>PORT Signal PM Assy</v>
      </c>
      <c r="AH108" t="str">
        <f ca="1">IFERROR(__xludf.DUMMYFUNCTION("""COMPUTED_VALUE"""),"10cm one sided JST crimped Dark Blue")</f>
        <v>10cm one sided JST crimped Dark Blue</v>
      </c>
      <c r="AI108">
        <f ca="1">IFERROR(__xludf.DUMMYFUNCTION("""COMPUTED_VALUE"""),1)</f>
        <v>1</v>
      </c>
      <c r="AJ108" t="str">
        <f ca="1">IFERROR(__xludf.DUMMYFUNCTION("""COMPUTED_VALUE"""),"blank")</f>
        <v>blank</v>
      </c>
      <c r="AK108" t="e">
        <f ca="1">_xludf.IFNA(VLOOKUP(AG108,'S-FG'!$B$3:$B1001,1,FALSE),"")</f>
        <v>#NAME?</v>
      </c>
      <c r="AL108" t="e">
        <f ca="1">IF(AH108="","",SUMIFS(#REF!,RM!$C$4:$C991,AH108))</f>
        <v>#REF!</v>
      </c>
    </row>
    <row r="109" spans="5:38">
      <c r="E109" t="str">
        <f>IF(A109="","",SUMIFS(Issue!$D$3:$D1001,Issue!$C$3:$C1001,A109)*C109)</f>
        <v/>
      </c>
      <c r="F109" t="e">
        <f ca="1">_xludf.IFNA(VLOOKUP(B109,'S-FG'!$B$3:$B1001,1,FALSE),"")</f>
        <v>#NAME?</v>
      </c>
      <c r="H109" t="str">
        <f ca="1">IFERROR(__xludf.DUMMYFUNCTION("""COMPUTED_VALUE"""),"Charging PM Assy")</f>
        <v>Charging PM Assy</v>
      </c>
      <c r="I109" t="str">
        <f ca="1">IFERROR(__xludf.DUMMYFUNCTION("""COMPUTED_VALUE"""),"10cm one sided JST crimped Sky Blue")</f>
        <v>10cm one sided JST crimped Sky Blue</v>
      </c>
      <c r="J109">
        <f ca="1">IFERROR(__xludf.DUMMYFUNCTION("""COMPUTED_VALUE"""),1)</f>
        <v>1</v>
      </c>
      <c r="K109" t="str">
        <f ca="1">IFERROR(__xludf.DUMMYFUNCTION("""COMPUTED_VALUE"""),"blank")</f>
        <v>blank</v>
      </c>
      <c r="L109">
        <f t="shared" ca="1" si="0"/>
        <v>0</v>
      </c>
      <c r="Q109" t="str">
        <f>IF(N109="","",SUMIFS(Issue!$D$3:$D1001,Issue!$C$3:$C1001,N109))</f>
        <v/>
      </c>
      <c r="S109" t="str">
        <f ca="1">IFERROR(__xludf.DUMMYFUNCTION("""COMPUTED_VALUE"""),"10cm one sided JST crimped Yellow")</f>
        <v>10cm one sided JST crimped Yellow</v>
      </c>
      <c r="X109" t="e">
        <f ca="1"/>
        <v>#NAME?</v>
      </c>
      <c r="Y109" t="e">
        <f t="shared" ca="1" si="1"/>
        <v>#NAME?</v>
      </c>
      <c r="Z109" t="e">
        <f ca="1">IF(X109="","",SUMIFS(#REF!,RM!$C$4:$C991,X109))</f>
        <v>#NAME?</v>
      </c>
      <c r="AA109" t="e">
        <f ca="1">IF(X109="","",SUMIFS(#REF!,RM!$C$4:$C991,X109))</f>
        <v>#NAME?</v>
      </c>
      <c r="AB109" t="e">
        <f t="shared" ca="1" si="2"/>
        <v>#NAME?</v>
      </c>
      <c r="AC109" t="e">
        <f ca="1">IF(X109="","",VLOOKUP($X109,RM!$C$4:$G991,3,FALSE))</f>
        <v>#NAME?</v>
      </c>
      <c r="AD109" t="e">
        <f ca="1">IF(X109="","",VLOOKUP($X109,RM!$C$4:$G991,4,FALSE))</f>
        <v>#NAME?</v>
      </c>
      <c r="AE109" t="e">
        <f ca="1">IF(X109="","",VLOOKUP($X109,RM!$C$4:$G991,5,FALSE))</f>
        <v>#NAME?</v>
      </c>
      <c r="AG109" t="str">
        <f ca="1">IFERROR(__xludf.DUMMYFUNCTION("""COMPUTED_VALUE"""),"PORT Signal PM Assy")</f>
        <v>PORT Signal PM Assy</v>
      </c>
      <c r="AH109" t="str">
        <f ca="1">IFERROR(__xludf.DUMMYFUNCTION("""COMPUTED_VALUE"""),"10cm one sided JST crimped Light Brown")</f>
        <v>10cm one sided JST crimped Light Brown</v>
      </c>
      <c r="AI109">
        <f ca="1">IFERROR(__xludf.DUMMYFUNCTION("""COMPUTED_VALUE"""),1)</f>
        <v>1</v>
      </c>
      <c r="AJ109" t="str">
        <f ca="1">IFERROR(__xludf.DUMMYFUNCTION("""COMPUTED_VALUE"""),"blank")</f>
        <v>blank</v>
      </c>
      <c r="AK109" t="e">
        <f ca="1">_xludf.IFNA(VLOOKUP(AG109,'S-FG'!$B$3:$B1001,1,FALSE),"")</f>
        <v>#NAME?</v>
      </c>
      <c r="AL109" t="e">
        <f ca="1">IF(AH109="","",SUMIFS(#REF!,RM!$C$4:$C991,AH109))</f>
        <v>#REF!</v>
      </c>
    </row>
    <row r="110" spans="5:38">
      <c r="E110" t="str">
        <f>IF(A110="","",SUMIFS(Issue!$D$3:$D1001,Issue!$C$3:$C1001,A110)*C110)</f>
        <v/>
      </c>
      <c r="F110" t="e">
        <f ca="1">_xludf.IFNA(VLOOKUP(B110,'S-FG'!$B$3:$B1001,1,FALSE),"")</f>
        <v>#NAME?</v>
      </c>
      <c r="H110" t="str">
        <f ca="1">IFERROR(__xludf.DUMMYFUNCTION("""COMPUTED_VALUE"""),"Charging PM Assy")</f>
        <v>Charging PM Assy</v>
      </c>
      <c r="I110" t="str">
        <f ca="1">IFERROR(__xludf.DUMMYFUNCTION("""COMPUTED_VALUE"""),"10cm one sided JST crimped Pink")</f>
        <v>10cm one sided JST crimped Pink</v>
      </c>
      <c r="J110">
        <f ca="1">IFERROR(__xludf.DUMMYFUNCTION("""COMPUTED_VALUE"""),1)</f>
        <v>1</v>
      </c>
      <c r="K110" t="str">
        <f ca="1">IFERROR(__xludf.DUMMYFUNCTION("""COMPUTED_VALUE"""),"blank")</f>
        <v>blank</v>
      </c>
      <c r="L110">
        <f t="shared" ca="1" si="0"/>
        <v>0</v>
      </c>
      <c r="Q110" t="str">
        <f>IF(N110="","",SUMIFS(Issue!$D$3:$D1001,Issue!$C$3:$C1001,N110))</f>
        <v/>
      </c>
      <c r="S110" t="str">
        <f ca="1">IFERROR(__xludf.DUMMYFUNCTION("""COMPUTED_VALUE"""),"10cm one sided JST crimped Sky Blue")</f>
        <v>10cm one sided JST crimped Sky Blue</v>
      </c>
      <c r="X110" t="e">
        <f ca="1"/>
        <v>#NAME?</v>
      </c>
      <c r="Y110" t="e">
        <f t="shared" ca="1" si="1"/>
        <v>#NAME?</v>
      </c>
      <c r="Z110" t="e">
        <f ca="1">IF(X110="","",SUMIFS(#REF!,RM!$C$4:$C991,X110))</f>
        <v>#NAME?</v>
      </c>
      <c r="AA110" t="e">
        <f ca="1">IF(X110="","",SUMIFS(#REF!,RM!$C$4:$C991,X110))</f>
        <v>#NAME?</v>
      </c>
      <c r="AB110" t="e">
        <f t="shared" ca="1" si="2"/>
        <v>#NAME?</v>
      </c>
      <c r="AC110" t="e">
        <f ca="1">IF(X110="","",VLOOKUP($X110,RM!$C$4:$G991,3,FALSE))</f>
        <v>#NAME?</v>
      </c>
      <c r="AD110" t="e">
        <f ca="1">IF(X110="","",VLOOKUP($X110,RM!$C$4:$G991,4,FALSE))</f>
        <v>#NAME?</v>
      </c>
      <c r="AE110" t="e">
        <f ca="1">IF(X110="","",VLOOKUP($X110,RM!$C$4:$G991,5,FALSE))</f>
        <v>#NAME?</v>
      </c>
      <c r="AG110" t="str">
        <f ca="1">IFERROR(__xludf.DUMMYFUNCTION("""COMPUTED_VALUE"""),"PORT Signal PM Assy")</f>
        <v>PORT Signal PM Assy</v>
      </c>
      <c r="AH110" t="str">
        <f ca="1">IFERROR(__xludf.DUMMYFUNCTION("""COMPUTED_VALUE"""),"10cm one sided JST crimped Dark Brown")</f>
        <v>10cm one sided JST crimped Dark Brown</v>
      </c>
      <c r="AI110">
        <f ca="1">IFERROR(__xludf.DUMMYFUNCTION("""COMPUTED_VALUE"""),1)</f>
        <v>1</v>
      </c>
      <c r="AJ110" t="str">
        <f ca="1">IFERROR(__xludf.DUMMYFUNCTION("""COMPUTED_VALUE"""),"blank")</f>
        <v>blank</v>
      </c>
      <c r="AK110" t="e">
        <f ca="1">_xludf.IFNA(VLOOKUP(AG110,'S-FG'!$B$3:$B1001,1,FALSE),"")</f>
        <v>#NAME?</v>
      </c>
      <c r="AL110" t="e">
        <f ca="1">IF(AH110="","",SUMIFS(#REF!,RM!$C$4:$C991,AH110))</f>
        <v>#REF!</v>
      </c>
    </row>
    <row r="111" spans="5:38">
      <c r="E111" t="str">
        <f>IF(A111="","",SUMIFS(Issue!$D$3:$D1001,Issue!$C$3:$C1001,A111)*C111)</f>
        <v/>
      </c>
      <c r="F111" t="e">
        <f ca="1">_xludf.IFNA(VLOOKUP(B111,'S-FG'!$B$3:$B1001,1,FALSE),"")</f>
        <v>#NAME?</v>
      </c>
      <c r="H111" t="str">
        <f ca="1">IFERROR(__xludf.DUMMYFUNCTION("""COMPUTED_VALUE"""),"Charging PM Assy")</f>
        <v>Charging PM Assy</v>
      </c>
      <c r="I111" t="str">
        <f ca="1">IFERROR(__xludf.DUMMYFUNCTION("""COMPUTED_VALUE"""),"10cm one sided JST crimped Orange")</f>
        <v>10cm one sided JST crimped Orange</v>
      </c>
      <c r="J111">
        <f ca="1">IFERROR(__xludf.DUMMYFUNCTION("""COMPUTED_VALUE"""),1)</f>
        <v>1</v>
      </c>
      <c r="K111" t="str">
        <f ca="1">IFERROR(__xludf.DUMMYFUNCTION("""COMPUTED_VALUE"""),"blank")</f>
        <v>blank</v>
      </c>
      <c r="L111">
        <f t="shared" ca="1" si="0"/>
        <v>0</v>
      </c>
      <c r="Q111" t="str">
        <f>IF(N111="","",SUMIFS(Issue!$D$3:$D1001,Issue!$C$3:$C1001,N111))</f>
        <v/>
      </c>
      <c r="S111" t="str">
        <f ca="1">IFERROR(__xludf.DUMMYFUNCTION("""COMPUTED_VALUE"""),"10cm one sided JST crimped Pink")</f>
        <v>10cm one sided JST crimped Pink</v>
      </c>
      <c r="X111" t="e">
        <f ca="1"/>
        <v>#NAME?</v>
      </c>
      <c r="Y111" t="e">
        <f t="shared" ca="1" si="1"/>
        <v>#NAME?</v>
      </c>
      <c r="Z111" t="e">
        <f ca="1">IF(X111="","",SUMIFS(#REF!,RM!$C$4:$C991,X111))</f>
        <v>#NAME?</v>
      </c>
      <c r="AA111" t="e">
        <f ca="1">IF(X111="","",SUMIFS(#REF!,RM!$C$4:$C991,X111))</f>
        <v>#NAME?</v>
      </c>
      <c r="AB111" t="e">
        <f t="shared" ca="1" si="2"/>
        <v>#NAME?</v>
      </c>
      <c r="AC111" t="e">
        <f ca="1">IF(X111="","",VLOOKUP($X111,RM!$C$4:$G991,3,FALSE))</f>
        <v>#NAME?</v>
      </c>
      <c r="AD111" t="e">
        <f ca="1">IF(X111="","",VLOOKUP($X111,RM!$C$4:$G991,4,FALSE))</f>
        <v>#NAME?</v>
      </c>
      <c r="AE111" t="e">
        <f ca="1">IF(X111="","",VLOOKUP($X111,RM!$C$4:$G991,5,FALSE))</f>
        <v>#NAME?</v>
      </c>
      <c r="AG111" t="str">
        <f ca="1">IFERROR(__xludf.DUMMYFUNCTION("""COMPUTED_VALUE"""),"PORT Signal PM Assy")</f>
        <v>PORT Signal PM Assy</v>
      </c>
      <c r="AH111" t="str">
        <f ca="1">IFERROR(__xludf.DUMMYFUNCTION("""COMPUTED_VALUE"""),"10cm one sided JST crimped White with Red strip")</f>
        <v>10cm one sided JST crimped White with Red strip</v>
      </c>
      <c r="AI111">
        <f ca="1">IFERROR(__xludf.DUMMYFUNCTION("""COMPUTED_VALUE"""),1)</f>
        <v>1</v>
      </c>
      <c r="AJ111" t="str">
        <f ca="1">IFERROR(__xludf.DUMMYFUNCTION("""COMPUTED_VALUE"""),"blank")</f>
        <v>blank</v>
      </c>
      <c r="AK111" t="e">
        <f ca="1">_xludf.IFNA(VLOOKUP(AG111,'S-FG'!$B$3:$B1001,1,FALSE),"")</f>
        <v>#NAME?</v>
      </c>
      <c r="AL111" t="e">
        <f ca="1">IF(AH111="","",SUMIFS(#REF!,RM!$C$4:$C991,AH111))</f>
        <v>#REF!</v>
      </c>
    </row>
    <row r="112" spans="5:38">
      <c r="E112" t="str">
        <f>IF(A112="","",SUMIFS(Issue!$D$3:$D1001,Issue!$C$3:$C1001,A112)*C112)</f>
        <v/>
      </c>
      <c r="F112" t="e">
        <f ca="1">_xludf.IFNA(VLOOKUP(B112,'S-FG'!$B$3:$B1001,1,FALSE),"")</f>
        <v>#NAME?</v>
      </c>
      <c r="H112" t="str">
        <f ca="1">IFERROR(__xludf.DUMMYFUNCTION("""COMPUTED_VALUE"""),"Charging PM Assy")</f>
        <v>Charging PM Assy</v>
      </c>
      <c r="I112" t="str">
        <f ca="1">IFERROR(__xludf.DUMMYFUNCTION("""COMPUTED_VALUE"""),"10cm one sided JST crimped Dark Blue")</f>
        <v>10cm one sided JST crimped Dark Blue</v>
      </c>
      <c r="J112">
        <f ca="1">IFERROR(__xludf.DUMMYFUNCTION("""COMPUTED_VALUE"""),1)</f>
        <v>1</v>
      </c>
      <c r="K112" t="str">
        <f ca="1">IFERROR(__xludf.DUMMYFUNCTION("""COMPUTED_VALUE"""),"blank")</f>
        <v>blank</v>
      </c>
      <c r="L112">
        <f t="shared" ca="1" si="0"/>
        <v>0</v>
      </c>
      <c r="Q112" t="str">
        <f>IF(N112="","",SUMIFS(Issue!$D$3:$D1001,Issue!$C$3:$C1001,N112))</f>
        <v/>
      </c>
      <c r="S112" t="str">
        <f ca="1">IFERROR(__xludf.DUMMYFUNCTION("""COMPUTED_VALUE"""),"10cm one sided JST crimped Orange")</f>
        <v>10cm one sided JST crimped Orange</v>
      </c>
      <c r="X112" t="e">
        <f ca="1"/>
        <v>#NAME?</v>
      </c>
      <c r="Y112" t="e">
        <f t="shared" ca="1" si="1"/>
        <v>#NAME?</v>
      </c>
      <c r="Z112" t="e">
        <f ca="1">IF(X112="","",SUMIFS(#REF!,RM!$C$4:$C991,X112))</f>
        <v>#NAME?</v>
      </c>
      <c r="AA112" t="e">
        <f ca="1">IF(X112="","",SUMIFS(#REF!,RM!$C$4:$C991,X112))</f>
        <v>#NAME?</v>
      </c>
      <c r="AB112" t="e">
        <f t="shared" ca="1" si="2"/>
        <v>#NAME?</v>
      </c>
      <c r="AC112" t="e">
        <f ca="1">IF(X112="","",VLOOKUP($X112,RM!$C$4:$G991,3,FALSE))</f>
        <v>#NAME?</v>
      </c>
      <c r="AD112" t="e">
        <f ca="1">IF(X112="","",VLOOKUP($X112,RM!$C$4:$G991,4,FALSE))</f>
        <v>#NAME?</v>
      </c>
      <c r="AE112" t="e">
        <f ca="1">IF(X112="","",VLOOKUP($X112,RM!$C$4:$G991,5,FALSE))</f>
        <v>#NAME?</v>
      </c>
      <c r="AG112" t="str">
        <f ca="1">IFERROR(__xludf.DUMMYFUNCTION("""COMPUTED_VALUE"""),"PORT Signal PM Assy")</f>
        <v>PORT Signal PM Assy</v>
      </c>
      <c r="AH112" t="str">
        <f ca="1">IFERROR(__xludf.DUMMYFUNCTION("""COMPUTED_VALUE"""),"10cm one sided JST crimped White with black strip")</f>
        <v>10cm one sided JST crimped White with black strip</v>
      </c>
      <c r="AI112">
        <f ca="1">IFERROR(__xludf.DUMMYFUNCTION("""COMPUTED_VALUE"""),1)</f>
        <v>1</v>
      </c>
      <c r="AJ112" t="str">
        <f ca="1">IFERROR(__xludf.DUMMYFUNCTION("""COMPUTED_VALUE"""),"blank")</f>
        <v>blank</v>
      </c>
      <c r="AK112" t="e">
        <f ca="1">_xludf.IFNA(VLOOKUP(AG112,'S-FG'!$B$3:$B1001,1,FALSE),"")</f>
        <v>#NAME?</v>
      </c>
      <c r="AL112" t="e">
        <f ca="1">IF(AH112="","",SUMIFS(#REF!,RM!$C$4:$C991,AH112))</f>
        <v>#REF!</v>
      </c>
    </row>
    <row r="113" spans="5:38">
      <c r="E113" t="str">
        <f>IF(A113="","",SUMIFS(Issue!$D$3:$D1001,Issue!$C$3:$C1001,A113)*C113)</f>
        <v/>
      </c>
      <c r="F113" t="e">
        <f ca="1">_xludf.IFNA(VLOOKUP(B113,'S-FG'!$B$3:$B1001,1,FALSE),"")</f>
        <v>#NAME?</v>
      </c>
      <c r="H113" t="str">
        <f ca="1">IFERROR(__xludf.DUMMYFUNCTION("""COMPUTED_VALUE"""),"Charging PM Assy")</f>
        <v>Charging PM Assy</v>
      </c>
      <c r="I113" t="str">
        <f ca="1">IFERROR(__xludf.DUMMYFUNCTION("""COMPUTED_VALUE"""),"10cm one sided JST crimped Light Brown")</f>
        <v>10cm one sided JST crimped Light Brown</v>
      </c>
      <c r="J113">
        <f ca="1">IFERROR(__xludf.DUMMYFUNCTION("""COMPUTED_VALUE"""),1)</f>
        <v>1</v>
      </c>
      <c r="K113" t="str">
        <f ca="1">IFERROR(__xludf.DUMMYFUNCTION("""COMPUTED_VALUE"""),"blank")</f>
        <v>blank</v>
      </c>
      <c r="L113">
        <f t="shared" ca="1" si="0"/>
        <v>0</v>
      </c>
      <c r="Q113" t="str">
        <f>IF(N113="","",SUMIFS(Issue!$D$3:$D1001,Issue!$C$3:$C1001,N113))</f>
        <v/>
      </c>
      <c r="S113" t="str">
        <f ca="1">IFERROR(__xludf.DUMMYFUNCTION("""COMPUTED_VALUE"""),"10cm one sided JST crimped Dark Blue")</f>
        <v>10cm one sided JST crimped Dark Blue</v>
      </c>
      <c r="X113" t="e">
        <f ca="1"/>
        <v>#NAME?</v>
      </c>
      <c r="Y113" t="e">
        <f t="shared" ca="1" si="1"/>
        <v>#NAME?</v>
      </c>
      <c r="Z113" t="e">
        <f ca="1">IF(X113="","",SUMIFS(#REF!,RM!$C$4:$C991,X113))</f>
        <v>#NAME?</v>
      </c>
      <c r="AA113" t="e">
        <f ca="1">IF(X113="","",SUMIFS(#REF!,RM!$C$4:$C991,X113))</f>
        <v>#NAME?</v>
      </c>
      <c r="AB113" t="e">
        <f t="shared" ca="1" si="2"/>
        <v>#NAME?</v>
      </c>
      <c r="AC113" t="e">
        <f ca="1">IF(X113="","",VLOOKUP($X113,RM!$C$4:$G991,3,FALSE))</f>
        <v>#NAME?</v>
      </c>
      <c r="AD113" t="e">
        <f ca="1">IF(X113="","",VLOOKUP($X113,RM!$C$4:$G991,4,FALSE))</f>
        <v>#NAME?</v>
      </c>
      <c r="AE113" t="e">
        <f ca="1">IF(X113="","",VLOOKUP($X113,RM!$C$4:$G991,5,FALSE))</f>
        <v>#NAME?</v>
      </c>
      <c r="AG113" t="str">
        <f ca="1">IFERROR(__xludf.DUMMYFUNCTION("""COMPUTED_VALUE"""),"PORT Signal PM Assy")</f>
        <v>PORT Signal PM Assy</v>
      </c>
      <c r="AH113" t="str">
        <f ca="1">IFERROR(__xludf.DUMMYFUNCTION("""COMPUTED_VALUE"""),"10cm one sided JST crimped White")</f>
        <v>10cm one sided JST crimped White</v>
      </c>
      <c r="AI113">
        <f ca="1">IFERROR(__xludf.DUMMYFUNCTION("""COMPUTED_VALUE"""),1)</f>
        <v>1</v>
      </c>
      <c r="AJ113" t="str">
        <f ca="1">IFERROR(__xludf.DUMMYFUNCTION("""COMPUTED_VALUE"""),"blank")</f>
        <v>blank</v>
      </c>
      <c r="AK113" t="e">
        <f ca="1">_xludf.IFNA(VLOOKUP(AG113,'S-FG'!$B$3:$B1001,1,FALSE),"")</f>
        <v>#NAME?</v>
      </c>
      <c r="AL113" t="e">
        <f ca="1">IF(AH113="","",SUMIFS(#REF!,RM!$C$4:$C991,AH113))</f>
        <v>#REF!</v>
      </c>
    </row>
    <row r="114" spans="5:38">
      <c r="E114" t="str">
        <f>IF(A114="","",SUMIFS(Issue!$D$3:$D1001,Issue!$C$3:$C1001,A114)*C114)</f>
        <v/>
      </c>
      <c r="F114" t="e">
        <f ca="1">_xludf.IFNA(VLOOKUP(B114,'S-FG'!$B$3:$B1001,1,FALSE),"")</f>
        <v>#NAME?</v>
      </c>
      <c r="H114" t="str">
        <f ca="1">IFERROR(__xludf.DUMMYFUNCTION("""COMPUTED_VALUE"""),"Charging PM Assy")</f>
        <v>Charging PM Assy</v>
      </c>
      <c r="I114" t="str">
        <f ca="1">IFERROR(__xludf.DUMMYFUNCTION("""COMPUTED_VALUE"""),"10cm one sided JST crimped Dark Brown")</f>
        <v>10cm one sided JST crimped Dark Brown</v>
      </c>
      <c r="J114">
        <f ca="1">IFERROR(__xludf.DUMMYFUNCTION("""COMPUTED_VALUE"""),1)</f>
        <v>1</v>
      </c>
      <c r="K114" t="str">
        <f ca="1">IFERROR(__xludf.DUMMYFUNCTION("""COMPUTED_VALUE"""),"blank")</f>
        <v>blank</v>
      </c>
      <c r="L114">
        <f t="shared" ca="1" si="0"/>
        <v>0</v>
      </c>
      <c r="Q114" t="str">
        <f>IF(N114="","",SUMIFS(Issue!$D$3:$D1001,Issue!$C$3:$C1001,N114))</f>
        <v/>
      </c>
      <c r="S114" t="str">
        <f ca="1">IFERROR(__xludf.DUMMYFUNCTION("""COMPUTED_VALUE"""),"10cm one sided JST crimped Light Brown")</f>
        <v>10cm one sided JST crimped Light Brown</v>
      </c>
      <c r="X114" t="e">
        <f ca="1"/>
        <v>#NAME?</v>
      </c>
      <c r="Y114" t="e">
        <f t="shared" ca="1" si="1"/>
        <v>#NAME?</v>
      </c>
      <c r="Z114" t="e">
        <f ca="1">IF(X114="","",SUMIFS(#REF!,RM!$C$4:$C991,X114))</f>
        <v>#NAME?</v>
      </c>
      <c r="AA114" t="e">
        <f ca="1">IF(X114="","",SUMIFS(#REF!,RM!$C$4:$C991,X114))</f>
        <v>#NAME?</v>
      </c>
      <c r="AB114" t="e">
        <f t="shared" ca="1" si="2"/>
        <v>#NAME?</v>
      </c>
      <c r="AC114" t="e">
        <f ca="1">IF(X114="","",VLOOKUP($X114,RM!$C$4:$G991,3,FALSE))</f>
        <v>#NAME?</v>
      </c>
      <c r="AD114" t="e">
        <f ca="1">IF(X114="","",VLOOKUP($X114,RM!$C$4:$G991,4,FALSE))</f>
        <v>#NAME?</v>
      </c>
      <c r="AE114" t="e">
        <f ca="1">IF(X114="","",VLOOKUP($X114,RM!$C$4:$G991,5,FALSE))</f>
        <v>#NAME?</v>
      </c>
      <c r="AG114" t="str">
        <f ca="1">IFERROR(__xludf.DUMMYFUNCTION("""COMPUTED_VALUE"""),"PORT Signal PM Assy")</f>
        <v>PORT Signal PM Assy</v>
      </c>
      <c r="AH114" t="str">
        <f ca="1">IFERROR(__xludf.DUMMYFUNCTION("""COMPUTED_VALUE"""),"10cm one sided JST crimped Dark Parrot Green")</f>
        <v>10cm one sided JST crimped Dark Parrot Green</v>
      </c>
      <c r="AI114">
        <f ca="1">IFERROR(__xludf.DUMMYFUNCTION("""COMPUTED_VALUE"""),1)</f>
        <v>1</v>
      </c>
      <c r="AJ114" t="str">
        <f ca="1">IFERROR(__xludf.DUMMYFUNCTION("""COMPUTED_VALUE"""),"blank")</f>
        <v>blank</v>
      </c>
      <c r="AK114" t="e">
        <f ca="1">_xludf.IFNA(VLOOKUP(AG114,'S-FG'!$B$3:$B1001,1,FALSE),"")</f>
        <v>#NAME?</v>
      </c>
      <c r="AL114" t="e">
        <f ca="1">IF(AH114="","",SUMIFS(#REF!,RM!$C$4:$C991,AH114))</f>
        <v>#REF!</v>
      </c>
    </row>
    <row r="115" spans="5:38">
      <c r="E115" t="str">
        <f>IF(A115="","",SUMIFS(Issue!$D$3:$D1001,Issue!$C$3:$C1001,A115)*C115)</f>
        <v/>
      </c>
      <c r="F115" t="e">
        <f ca="1">_xludf.IFNA(VLOOKUP(B115,'S-FG'!$B$3:$B1001,1,FALSE),"")</f>
        <v>#NAME?</v>
      </c>
      <c r="H115" t="str">
        <f ca="1">IFERROR(__xludf.DUMMYFUNCTION("""COMPUTED_VALUE"""),"Charging PM Assy")</f>
        <v>Charging PM Assy</v>
      </c>
      <c r="I115" t="str">
        <f ca="1">IFERROR(__xludf.DUMMYFUNCTION("""COMPUTED_VALUE"""),"10cm one sided JST crimped White with Red strip")</f>
        <v>10cm one sided JST crimped White with Red strip</v>
      </c>
      <c r="J115">
        <f ca="1">IFERROR(__xludf.DUMMYFUNCTION("""COMPUTED_VALUE"""),1)</f>
        <v>1</v>
      </c>
      <c r="K115" t="str">
        <f ca="1">IFERROR(__xludf.DUMMYFUNCTION("""COMPUTED_VALUE"""),"blank")</f>
        <v>blank</v>
      </c>
      <c r="L115">
        <f t="shared" ca="1" si="0"/>
        <v>0</v>
      </c>
      <c r="Q115" t="str">
        <f>IF(N115="","",SUMIFS(Issue!$D$3:$D1001,Issue!$C$3:$C1001,N115))</f>
        <v/>
      </c>
      <c r="S115" t="str">
        <f ca="1">IFERROR(__xludf.DUMMYFUNCTION("""COMPUTED_VALUE"""),"10cm one sided JST crimped Dark Brown")</f>
        <v>10cm one sided JST crimped Dark Brown</v>
      </c>
      <c r="X115" t="e">
        <f ca="1"/>
        <v>#NAME?</v>
      </c>
      <c r="Y115" t="e">
        <f t="shared" ca="1" si="1"/>
        <v>#NAME?</v>
      </c>
      <c r="Z115" t="e">
        <f ca="1">IF(X115="","",SUMIFS(#REF!,RM!$C$4:$C991,X115))</f>
        <v>#NAME?</v>
      </c>
      <c r="AA115" t="e">
        <f ca="1">IF(X115="","",SUMIFS(#REF!,RM!$C$4:$C991,X115))</f>
        <v>#NAME?</v>
      </c>
      <c r="AB115" t="e">
        <f t="shared" ca="1" si="2"/>
        <v>#NAME?</v>
      </c>
      <c r="AC115" t="e">
        <f ca="1">IF(X115="","",VLOOKUP($X115,RM!$C$4:$G991,3,FALSE))</f>
        <v>#NAME?</v>
      </c>
      <c r="AD115" t="e">
        <f ca="1">IF(X115="","",VLOOKUP($X115,RM!$C$4:$G991,4,FALSE))</f>
        <v>#NAME?</v>
      </c>
      <c r="AE115" t="e">
        <f ca="1">IF(X115="","",VLOOKUP($X115,RM!$C$4:$G991,5,FALSE))</f>
        <v>#NAME?</v>
      </c>
      <c r="AG115" t="str">
        <f ca="1">IFERROR(__xludf.DUMMYFUNCTION("""COMPUTED_VALUE"""),"PORT Signal PM Assy")</f>
        <v>PORT Signal PM Assy</v>
      </c>
      <c r="AH115" t="str">
        <f ca="1">IFERROR(__xludf.DUMMYFUNCTION("""COMPUTED_VALUE"""),"SY21-15 pin panel mount")</f>
        <v>SY21-15 pin panel mount</v>
      </c>
      <c r="AI115">
        <f ca="1">IFERROR(__xludf.DUMMYFUNCTION("""COMPUTED_VALUE"""),1)</f>
        <v>1</v>
      </c>
      <c r="AJ115" t="str">
        <f ca="1">IFERROR(__xludf.DUMMYFUNCTION("""COMPUTED_VALUE"""),"blank")</f>
        <v>blank</v>
      </c>
      <c r="AK115" t="e">
        <f ca="1">_xludf.IFNA(VLOOKUP(AG115,'S-FG'!$B$3:$B1001,1,FALSE),"")</f>
        <v>#NAME?</v>
      </c>
      <c r="AL115" t="e">
        <f ca="1">IF(AH115="","",SUMIFS(#REF!,RM!$C$4:$C991,AH115))</f>
        <v>#REF!</v>
      </c>
    </row>
    <row r="116" spans="5:38">
      <c r="E116" t="str">
        <f>IF(A116="","",SUMIFS(Issue!$D$3:$D1001,Issue!$C$3:$C1001,A116)*C116)</f>
        <v/>
      </c>
      <c r="F116" t="e">
        <f ca="1">_xludf.IFNA(VLOOKUP(B116,'S-FG'!$B$3:$B1001,1,FALSE),"")</f>
        <v>#NAME?</v>
      </c>
      <c r="H116" t="str">
        <f ca="1">IFERROR(__xludf.DUMMYFUNCTION("""COMPUTED_VALUE"""),"Charging PM Assy")</f>
        <v>Charging PM Assy</v>
      </c>
      <c r="I116" t="str">
        <f ca="1">IFERROR(__xludf.DUMMYFUNCTION("""COMPUTED_VALUE"""),"10cm one sided JST crimped White with black strip")</f>
        <v>10cm one sided JST crimped White with black strip</v>
      </c>
      <c r="J116">
        <f ca="1">IFERROR(__xludf.DUMMYFUNCTION("""COMPUTED_VALUE"""),1)</f>
        <v>1</v>
      </c>
      <c r="K116" t="str">
        <f ca="1">IFERROR(__xludf.DUMMYFUNCTION("""COMPUTED_VALUE"""),"blank")</f>
        <v>blank</v>
      </c>
      <c r="L116">
        <f t="shared" ca="1" si="0"/>
        <v>0</v>
      </c>
      <c r="Q116" t="str">
        <f>IF(N116="","",SUMIFS(Issue!$D$3:$D1001,Issue!$C$3:$C1001,N116))</f>
        <v/>
      </c>
      <c r="S116" t="str">
        <f ca="1">IFERROR(__xludf.DUMMYFUNCTION("""COMPUTED_VALUE"""),"10cm one sided JST crimped White with Red strip")</f>
        <v>10cm one sided JST crimped White with Red strip</v>
      </c>
      <c r="X116" t="e">
        <f ca="1"/>
        <v>#NAME?</v>
      </c>
      <c r="Y116" t="e">
        <f t="shared" ca="1" si="1"/>
        <v>#NAME?</v>
      </c>
      <c r="Z116" t="e">
        <f ca="1">IF(X116="","",SUMIFS(#REF!,RM!$C$4:$C991,X116))</f>
        <v>#NAME?</v>
      </c>
      <c r="AA116" t="e">
        <f ca="1">IF(X116="","",SUMIFS(#REF!,RM!$C$4:$C991,X116))</f>
        <v>#NAME?</v>
      </c>
      <c r="AB116" t="e">
        <f t="shared" ca="1" si="2"/>
        <v>#NAME?</v>
      </c>
      <c r="AC116" t="e">
        <f ca="1">IF(X116="","",VLOOKUP($X116,RM!$C$4:$G991,3,FALSE))</f>
        <v>#NAME?</v>
      </c>
      <c r="AD116" t="e">
        <f ca="1">IF(X116="","",VLOOKUP($X116,RM!$C$4:$G991,4,FALSE))</f>
        <v>#NAME?</v>
      </c>
      <c r="AE116" t="e">
        <f ca="1">IF(X116="","",VLOOKUP($X116,RM!$C$4:$G991,5,FALSE))</f>
        <v>#NAME?</v>
      </c>
      <c r="AG116" t="str">
        <f ca="1">IFERROR(__xludf.DUMMYFUNCTION("""COMPUTED_VALUE"""),"PORT Signal PM Assy")</f>
        <v>PORT Signal PM Assy</v>
      </c>
      <c r="AH116" t="str">
        <f ca="1">IFERROR(__xludf.DUMMYFUNCTION("""COMPUTED_VALUE"""),"HeatShrink Tube 1.5mm/1.6mm")</f>
        <v>HeatShrink Tube 1.5mm/1.6mm</v>
      </c>
      <c r="AI116">
        <f ca="1">IFERROR(__xludf.DUMMYFUNCTION("""COMPUTED_VALUE"""),0.15)</f>
        <v>0.15</v>
      </c>
      <c r="AK116" t="e">
        <f ca="1">_xludf.IFNA(VLOOKUP(AG116,'S-FG'!$B$3:$B1001,1,FALSE),"")</f>
        <v>#NAME?</v>
      </c>
      <c r="AL116" t="e">
        <f ca="1">IF(AH116="","",SUMIFS(#REF!,RM!$C$4:$C991,AH116))</f>
        <v>#REF!</v>
      </c>
    </row>
    <row r="117" spans="5:38">
      <c r="E117" t="str">
        <f>IF(A117="","",SUMIFS(Issue!$D$3:$D1001,Issue!$C$3:$C1001,A117)*C117)</f>
        <v/>
      </c>
      <c r="F117" t="e">
        <f ca="1">_xludf.IFNA(VLOOKUP(B117,'S-FG'!$B$3:$B1001,1,FALSE),"")</f>
        <v>#NAME?</v>
      </c>
      <c r="H117" t="str">
        <f ca="1">IFERROR(__xludf.DUMMYFUNCTION("""COMPUTED_VALUE"""),"Charging PM Assy")</f>
        <v>Charging PM Assy</v>
      </c>
      <c r="I117" t="str">
        <f ca="1">IFERROR(__xludf.DUMMYFUNCTION("""COMPUTED_VALUE"""),"10cm one sided JST crimped White")</f>
        <v>10cm one sided JST crimped White</v>
      </c>
      <c r="J117">
        <f ca="1">IFERROR(__xludf.DUMMYFUNCTION("""COMPUTED_VALUE"""),1)</f>
        <v>1</v>
      </c>
      <c r="K117" t="str">
        <f ca="1">IFERROR(__xludf.DUMMYFUNCTION("""COMPUTED_VALUE"""),"blank")</f>
        <v>blank</v>
      </c>
      <c r="L117">
        <f t="shared" ca="1" si="0"/>
        <v>0</v>
      </c>
      <c r="Q117" t="str">
        <f>IF(N117="","",SUMIFS(Issue!$D$3:$D1001,Issue!$C$3:$C1001,N117))</f>
        <v/>
      </c>
      <c r="S117" t="str">
        <f ca="1">IFERROR(__xludf.DUMMYFUNCTION("""COMPUTED_VALUE"""),"10cm one sided JST crimped White with black strip")</f>
        <v>10cm one sided JST crimped White with black strip</v>
      </c>
      <c r="X117" t="e">
        <f ca="1"/>
        <v>#NAME?</v>
      </c>
      <c r="Y117" t="e">
        <f t="shared" ca="1" si="1"/>
        <v>#NAME?</v>
      </c>
      <c r="Z117" t="e">
        <f ca="1">IF(X117="","",SUMIFS(#REF!,RM!$C$4:$C991,X117))</f>
        <v>#NAME?</v>
      </c>
      <c r="AA117" t="e">
        <f ca="1">IF(X117="","",SUMIFS(#REF!,RM!$C$4:$C991,X117))</f>
        <v>#NAME?</v>
      </c>
      <c r="AB117" t="e">
        <f t="shared" ca="1" si="2"/>
        <v>#NAME?</v>
      </c>
      <c r="AC117" t="e">
        <f ca="1">IF(X117="","",VLOOKUP($X117,RM!$C$4:$G991,3,FALSE))</f>
        <v>#NAME?</v>
      </c>
      <c r="AD117" t="e">
        <f ca="1">IF(X117="","",VLOOKUP($X117,RM!$C$4:$G991,4,FALSE))</f>
        <v>#NAME?</v>
      </c>
      <c r="AE117" t="e">
        <f ca="1">IF(X117="","",VLOOKUP($X117,RM!$C$4:$G991,5,FALSE))</f>
        <v>#NAME?</v>
      </c>
      <c r="AG117" t="str">
        <f ca="1">IFERROR(__xludf.DUMMYFUNCTION("""COMPUTED_VALUE"""),"PORT Signal PM Assy")</f>
        <v>PORT Signal PM Assy</v>
      </c>
      <c r="AH117" t="str">
        <f ca="1">IFERROR(__xludf.DUMMYFUNCTION("""COMPUTED_VALUE"""),"Teroson MS930")</f>
        <v>Teroson MS930</v>
      </c>
      <c r="AI117">
        <f ca="1">IFERROR(__xludf.DUMMYFUNCTION("""COMPUTED_VALUE"""),2)</f>
        <v>2</v>
      </c>
      <c r="AJ117" t="str">
        <f ca="1">IFERROR(__xludf.DUMMYFUNCTION("""COMPUTED_VALUE"""),"blank")</f>
        <v>blank</v>
      </c>
      <c r="AK117" t="e">
        <f ca="1">_xludf.IFNA(VLOOKUP(AG117,'S-FG'!$B$3:$B1001,1,FALSE),"")</f>
        <v>#NAME?</v>
      </c>
      <c r="AL117" t="e">
        <f ca="1">IF(AH117="","",SUMIFS(#REF!,RM!$C$4:$C991,AH117))</f>
        <v>#REF!</v>
      </c>
    </row>
    <row r="118" spans="5:38">
      <c r="E118" t="str">
        <f>IF(A118="","",SUMIFS(Issue!$D$3:$D1001,Issue!$C$3:$C1001,A118)*C118)</f>
        <v/>
      </c>
      <c r="F118" t="e">
        <f ca="1">_xludf.IFNA(VLOOKUP(B118,'S-FG'!$B$3:$B1001,1,FALSE),"")</f>
        <v>#NAME?</v>
      </c>
      <c r="H118" t="str">
        <f ca="1">IFERROR(__xludf.DUMMYFUNCTION("""COMPUTED_VALUE"""),"Charging PM Assy")</f>
        <v>Charging PM Assy</v>
      </c>
      <c r="I118" t="str">
        <f ca="1">IFERROR(__xludf.DUMMYFUNCTION("""COMPUTED_VALUE"""),"10cm one sided JST crimped Light Grey")</f>
        <v>10cm one sided JST crimped Light Grey</v>
      </c>
      <c r="J118">
        <f ca="1">IFERROR(__xludf.DUMMYFUNCTION("""COMPUTED_VALUE"""),1)</f>
        <v>1</v>
      </c>
      <c r="K118" t="str">
        <f ca="1">IFERROR(__xludf.DUMMYFUNCTION("""COMPUTED_VALUE"""),"blank")</f>
        <v>blank</v>
      </c>
      <c r="L118">
        <f t="shared" ca="1" si="0"/>
        <v>0</v>
      </c>
      <c r="Q118" t="str">
        <f>IF(N118="","",SUMIFS(Issue!$D$3:$D1001,Issue!$C$3:$C1001,N118))</f>
        <v/>
      </c>
      <c r="S118" t="str">
        <f ca="1">IFERROR(__xludf.DUMMYFUNCTION("""COMPUTED_VALUE"""),"10cm one sided JST crimped White")</f>
        <v>10cm one sided JST crimped White</v>
      </c>
      <c r="X118" t="e">
        <f ca="1"/>
        <v>#NAME?</v>
      </c>
      <c r="Y118" t="e">
        <f t="shared" ca="1" si="1"/>
        <v>#NAME?</v>
      </c>
      <c r="Z118" t="e">
        <f ca="1">IF(X118="","",SUMIFS(#REF!,RM!$C$4:$C991,X118))</f>
        <v>#NAME?</v>
      </c>
      <c r="AA118" t="e">
        <f ca="1">IF(X118="","",SUMIFS(#REF!,RM!$C$4:$C991,X118))</f>
        <v>#NAME?</v>
      </c>
      <c r="AB118" t="e">
        <f t="shared" ca="1" si="2"/>
        <v>#NAME?</v>
      </c>
      <c r="AC118" t="e">
        <f ca="1">IF(X118="","",VLOOKUP($X118,RM!$C$4:$G991,3,FALSE))</f>
        <v>#NAME?</v>
      </c>
      <c r="AD118" t="e">
        <f ca="1">IF(X118="","",VLOOKUP($X118,RM!$C$4:$G991,4,FALSE))</f>
        <v>#NAME?</v>
      </c>
      <c r="AE118" t="e">
        <f ca="1">IF(X118="","",VLOOKUP($X118,RM!$C$4:$G991,5,FALSE))</f>
        <v>#NAME?</v>
      </c>
      <c r="AG118" t="str">
        <f ca="1">IFERROR(__xludf.DUMMYFUNCTION("""COMPUTED_VALUE"""),"PORT Signal PM Assy")</f>
        <v>PORT Signal PM Assy</v>
      </c>
      <c r="AH118" t="str">
        <f ca="1">IFERROR(__xludf.DUMMYFUNCTION("""COMPUTED_VALUE"""),"Silicon RTV 734 Potting compound")</f>
        <v>Silicon RTV 734 Potting compound</v>
      </c>
      <c r="AI118">
        <f ca="1">IFERROR(__xludf.DUMMYFUNCTION("""COMPUTED_VALUE"""),5)</f>
        <v>5</v>
      </c>
      <c r="AJ118" t="str">
        <f ca="1">IFERROR(__xludf.DUMMYFUNCTION("""COMPUTED_VALUE"""),"blank")</f>
        <v>blank</v>
      </c>
      <c r="AK118" t="e">
        <f ca="1">_xludf.IFNA(VLOOKUP(AG118,'S-FG'!$B$3:$B1001,1,FALSE),"")</f>
        <v>#NAME?</v>
      </c>
      <c r="AL118" t="e">
        <f ca="1">IF(AH118="","",SUMIFS(#REF!,RM!$C$4:$C991,AH118))</f>
        <v>#REF!</v>
      </c>
    </row>
    <row r="119" spans="5:38">
      <c r="E119" t="str">
        <f>IF(A119="","",SUMIFS(Issue!$D$3:$D1001,Issue!$C$3:$C1001,A119)*C119)</f>
        <v/>
      </c>
      <c r="F119" t="e">
        <f ca="1">_xludf.IFNA(VLOOKUP(B119,'S-FG'!$B$3:$B1001,1,FALSE),"")</f>
        <v>#NAME?</v>
      </c>
      <c r="H119" t="str">
        <f ca="1">IFERROR(__xludf.DUMMYFUNCTION("""COMPUTED_VALUE"""),"Charging PM Assy")</f>
        <v>Charging PM Assy</v>
      </c>
      <c r="I119" t="str">
        <f ca="1">IFERROR(__xludf.DUMMYFUNCTION("""COMPUTED_VALUE"""),"WY-28 Metal connector PM")</f>
        <v>WY-28 Metal connector PM</v>
      </c>
      <c r="J119">
        <f ca="1">IFERROR(__xludf.DUMMYFUNCTION("""COMPUTED_VALUE"""),1)</f>
        <v>1</v>
      </c>
      <c r="K119" t="str">
        <f ca="1">IFERROR(__xludf.DUMMYFUNCTION("""COMPUTED_VALUE"""),"blank")</f>
        <v>blank</v>
      </c>
      <c r="L119">
        <f t="shared" ca="1" si="0"/>
        <v>0</v>
      </c>
      <c r="Q119" t="str">
        <f>IF(N119="","",SUMIFS(Issue!$D$3:$D1001,Issue!$C$3:$C1001,N119))</f>
        <v/>
      </c>
      <c r="S119" t="str">
        <f ca="1">IFERROR(__xludf.DUMMYFUNCTION("""COMPUTED_VALUE"""),"10cm one sided JST crimped Light Grey")</f>
        <v>10cm one sided JST crimped Light Grey</v>
      </c>
      <c r="X119" t="e">
        <f ca="1"/>
        <v>#NAME?</v>
      </c>
      <c r="Y119" t="e">
        <f t="shared" ca="1" si="1"/>
        <v>#NAME?</v>
      </c>
      <c r="Z119" t="e">
        <f ca="1">IF(X119="","",SUMIFS(#REF!,RM!$C$4:$C991,X119))</f>
        <v>#NAME?</v>
      </c>
      <c r="AA119" t="e">
        <f ca="1">IF(X119="","",SUMIFS(#REF!,RM!$C$4:$C991,X119))</f>
        <v>#NAME?</v>
      </c>
      <c r="AB119" t="e">
        <f t="shared" ca="1" si="2"/>
        <v>#NAME?</v>
      </c>
      <c r="AC119" t="e">
        <f ca="1">IF(X119="","",VLOOKUP($X119,RM!$C$4:$G991,3,FALSE))</f>
        <v>#NAME?</v>
      </c>
      <c r="AD119" t="e">
        <f ca="1">IF(X119="","",VLOOKUP($X119,RM!$C$4:$G991,4,FALSE))</f>
        <v>#NAME?</v>
      </c>
      <c r="AE119" t="e">
        <f ca="1">IF(X119="","",VLOOKUP($X119,RM!$C$4:$G991,5,FALSE))</f>
        <v>#NAME?</v>
      </c>
      <c r="AG119" t="str">
        <f ca="1">IFERROR(__xludf.DUMMYFUNCTION("""COMPUTED_VALUE"""),"PORT Signal PM Assy")</f>
        <v>PORT Signal PM Assy</v>
      </c>
      <c r="AH119" t="str">
        <f ca="1">IFERROR(__xludf.DUMMYFUNCTION("""COMPUTED_VALUE"""),"Lead wire 22AWG")</f>
        <v>Lead wire 22AWG</v>
      </c>
      <c r="AI119">
        <f ca="1">IFERROR(__xludf.DUMMYFUNCTION("""COMPUTED_VALUE"""),5)</f>
        <v>5</v>
      </c>
      <c r="AK119" t="e">
        <f ca="1">_xludf.IFNA(VLOOKUP(AG119,'S-FG'!$B$3:$B1001,1,FALSE),"")</f>
        <v>#NAME?</v>
      </c>
      <c r="AL119" t="e">
        <f ca="1">IF(AH119="","",SUMIFS(#REF!,RM!$C$4:$C991,AH119))</f>
        <v>#REF!</v>
      </c>
    </row>
    <row r="120" spans="5:38">
      <c r="E120" t="str">
        <f>IF(A120="","",SUMIFS(Issue!$D$3:$D1001,Issue!$C$3:$C1001,A120)*C120)</f>
        <v/>
      </c>
      <c r="F120" t="e">
        <f ca="1">_xludf.IFNA(VLOOKUP(B120,'S-FG'!$B$3:$B1001,1,FALSE),"")</f>
        <v>#NAME?</v>
      </c>
      <c r="H120" t="str">
        <f ca="1">IFERROR(__xludf.DUMMYFUNCTION("""COMPUTED_VALUE"""),"Charging PM Assy")</f>
        <v>Charging PM Assy</v>
      </c>
      <c r="I120" t="str">
        <f ca="1">IFERROR(__xludf.DUMMYFUNCTION("""COMPUTED_VALUE"""),"Heatshrink Tube 6.4:1.6")</f>
        <v>Heatshrink Tube 6.4:1.6</v>
      </c>
      <c r="J120">
        <f ca="1">IFERROR(__xludf.DUMMYFUNCTION("""COMPUTED_VALUE"""),0.05)</f>
        <v>0.05</v>
      </c>
      <c r="K120" t="str">
        <f ca="1">IFERROR(__xludf.DUMMYFUNCTION("""COMPUTED_VALUE"""),"blank")</f>
        <v>blank</v>
      </c>
      <c r="L120">
        <f t="shared" ca="1" si="0"/>
        <v>0</v>
      </c>
      <c r="Q120" t="str">
        <f>IF(N120="","",SUMIFS(Issue!$D$3:$D1001,Issue!$C$3:$C1001,N120))</f>
        <v/>
      </c>
      <c r="S120" t="str">
        <f ca="1">IFERROR(__xludf.DUMMYFUNCTION("""COMPUTED_VALUE"""),"WY-28 Metal connector PM")</f>
        <v>WY-28 Metal connector PM</v>
      </c>
      <c r="X120" t="e">
        <f ca="1"/>
        <v>#NAME?</v>
      </c>
      <c r="Y120" t="e">
        <f t="shared" ca="1" si="1"/>
        <v>#NAME?</v>
      </c>
      <c r="Z120" t="e">
        <f ca="1">IF(X120="","",SUMIFS(#REF!,RM!$C$4:$C991,X120))</f>
        <v>#NAME?</v>
      </c>
      <c r="AA120" t="e">
        <f ca="1">IF(X120="","",SUMIFS(#REF!,RM!$C$4:$C991,X120))</f>
        <v>#NAME?</v>
      </c>
      <c r="AB120" t="e">
        <f t="shared" ca="1" si="2"/>
        <v>#NAME?</v>
      </c>
      <c r="AC120" t="e">
        <f ca="1">IF(X120="","",VLOOKUP($X120,RM!$C$4:$G991,3,FALSE))</f>
        <v>#NAME?</v>
      </c>
      <c r="AD120" t="e">
        <f ca="1">IF(X120="","",VLOOKUP($X120,RM!$C$4:$G991,4,FALSE))</f>
        <v>#NAME?</v>
      </c>
      <c r="AE120" t="e">
        <f ca="1">IF(X120="","",VLOOKUP($X120,RM!$C$4:$G991,5,FALSE))</f>
        <v>#NAME?</v>
      </c>
      <c r="AG120" t="str">
        <f ca="1">IFERROR(__xludf.DUMMYFUNCTION("""COMPUTED_VALUE"""),"PORT Signal CM Assy")</f>
        <v>PORT Signal CM Assy</v>
      </c>
      <c r="AH120" t="str">
        <f ca="1">IFERROR(__xludf.DUMMYFUNCTION("""COMPUTED_VALUE"""),"2mm male bullet connector")</f>
        <v>2mm male bullet connector</v>
      </c>
      <c r="AI120">
        <f ca="1">IFERROR(__xludf.DUMMYFUNCTION("""COMPUTED_VALUE"""),0)</f>
        <v>0</v>
      </c>
      <c r="AJ120" t="str">
        <f ca="1">IFERROR(__xludf.DUMMYFUNCTION("""COMPUTED_VALUE"""),"blank")</f>
        <v>blank</v>
      </c>
      <c r="AK120" t="e">
        <f ca="1">_xludf.IFNA(VLOOKUP(AG120,'S-FG'!$B$3:$B1001,1,FALSE),"")</f>
        <v>#NAME?</v>
      </c>
      <c r="AL120" t="e">
        <f ca="1">IF(AH120="","",SUMIFS(#REF!,RM!$C$4:$C991,AH120))</f>
        <v>#REF!</v>
      </c>
    </row>
    <row r="121" spans="5:38">
      <c r="E121" t="str">
        <f>IF(A121="","",SUMIFS(Issue!$D$3:$D1001,Issue!$C$3:$C1001,A121)*C121)</f>
        <v/>
      </c>
      <c r="F121" t="e">
        <f ca="1">_xludf.IFNA(VLOOKUP(B121,'S-FG'!$B$3:$B1001,1,FALSE),"")</f>
        <v>#NAME?</v>
      </c>
      <c r="H121" t="str">
        <f ca="1">IFERROR(__xludf.DUMMYFUNCTION("""COMPUTED_VALUE"""),"Charging PM Assy")</f>
        <v>Charging PM Assy</v>
      </c>
      <c r="I121" t="str">
        <f ca="1">IFERROR(__xludf.DUMMYFUNCTION("""COMPUTED_VALUE"""),"HeatShrink Tube 4:1")</f>
        <v>HeatShrink Tube 4:1</v>
      </c>
      <c r="J121">
        <f ca="1">IFERROR(__xludf.DUMMYFUNCTION("""COMPUTED_VALUE"""),0.06)</f>
        <v>0.06</v>
      </c>
      <c r="K121" t="str">
        <f ca="1">IFERROR(__xludf.DUMMYFUNCTION("""COMPUTED_VALUE"""),"blank")</f>
        <v>blank</v>
      </c>
      <c r="L121">
        <f t="shared" ca="1" si="0"/>
        <v>0</v>
      </c>
      <c r="Q121" t="str">
        <f>IF(N121="","",SUMIFS(Issue!$D$3:$D1001,Issue!$C$3:$C1001,N121))</f>
        <v/>
      </c>
      <c r="S121" t="str">
        <f ca="1">IFERROR(__xludf.DUMMYFUNCTION("""COMPUTED_VALUE"""),"Heatshrink Tube 6.4:1.6")</f>
        <v>Heatshrink Tube 6.4:1.6</v>
      </c>
      <c r="X121" t="e">
        <f ca="1"/>
        <v>#NAME?</v>
      </c>
      <c r="Y121" t="e">
        <f t="shared" ca="1" si="1"/>
        <v>#NAME?</v>
      </c>
      <c r="Z121" t="e">
        <f ca="1">IF(X121="","",SUMIFS(#REF!,RM!$C$4:$C991,X121))</f>
        <v>#NAME?</v>
      </c>
      <c r="AA121" t="e">
        <f ca="1">IF(X121="","",SUMIFS(#REF!,RM!$C$4:$C991,X121))</f>
        <v>#NAME?</v>
      </c>
      <c r="AB121" t="e">
        <f t="shared" ca="1" si="2"/>
        <v>#NAME?</v>
      </c>
      <c r="AC121" t="e">
        <f ca="1">IF(X121="","",VLOOKUP($X121,RM!$C$4:$G991,3,FALSE))</f>
        <v>#NAME?</v>
      </c>
      <c r="AD121" t="e">
        <f ca="1">IF(X121="","",VLOOKUP($X121,RM!$C$4:$G991,4,FALSE))</f>
        <v>#NAME?</v>
      </c>
      <c r="AE121" t="e">
        <f ca="1">IF(X121="","",VLOOKUP($X121,RM!$C$4:$G991,5,FALSE))</f>
        <v>#NAME?</v>
      </c>
      <c r="AG121" t="str">
        <f ca="1">IFERROR(__xludf.DUMMYFUNCTION("""COMPUTED_VALUE"""),"PORT Signal CM Assy")</f>
        <v>PORT Signal CM Assy</v>
      </c>
      <c r="AH121" t="str">
        <f ca="1">IFERROR(__xludf.DUMMYFUNCTION("""COMPUTED_VALUE"""),"2mm Female Bullet connector")</f>
        <v>2mm Female Bullet connector</v>
      </c>
      <c r="AI121">
        <f ca="1">IFERROR(__xludf.DUMMYFUNCTION("""COMPUTED_VALUE"""),0)</f>
        <v>0</v>
      </c>
      <c r="AJ121" t="str">
        <f ca="1">IFERROR(__xludf.DUMMYFUNCTION("""COMPUTED_VALUE"""),"blank")</f>
        <v>blank</v>
      </c>
      <c r="AK121" t="e">
        <f ca="1">_xludf.IFNA(VLOOKUP(AG121,'S-FG'!$B$3:$B1001,1,FALSE),"")</f>
        <v>#NAME?</v>
      </c>
      <c r="AL121" t="e">
        <f ca="1">IF(AH121="","",SUMIFS(#REF!,RM!$C$4:$C991,AH121))</f>
        <v>#REF!</v>
      </c>
    </row>
    <row r="122" spans="5:38">
      <c r="E122" t="str">
        <f>IF(A122="","",SUMIFS(Issue!$D$3:$D1001,Issue!$C$3:$C1001,A122)*C122)</f>
        <v/>
      </c>
      <c r="F122" t="e">
        <f ca="1">_xludf.IFNA(VLOOKUP(B122,'S-FG'!$B$3:$B1001,1,FALSE),"")</f>
        <v>#NAME?</v>
      </c>
      <c r="H122" t="str">
        <f ca="1">IFERROR(__xludf.DUMMYFUNCTION("""COMPUTED_VALUE"""),"Charging PM Assy")</f>
        <v>Charging PM Assy</v>
      </c>
      <c r="I122" t="str">
        <f ca="1">IFERROR(__xludf.DUMMYFUNCTION("""COMPUTED_VALUE"""),"HeatShrink Tube 1.5mm/1.6mm")</f>
        <v>HeatShrink Tube 1.5mm/1.6mm</v>
      </c>
      <c r="J122">
        <f ca="1">IFERROR(__xludf.DUMMYFUNCTION("""COMPUTED_VALUE"""),0.2)</f>
        <v>0.2</v>
      </c>
      <c r="L122">
        <f t="shared" ca="1" si="0"/>
        <v>0</v>
      </c>
      <c r="Q122" t="str">
        <f>IF(N122="","",SUMIFS(Issue!$D$3:$D1001,Issue!$C$3:$C1001,N122))</f>
        <v/>
      </c>
      <c r="S122" t="str">
        <f ca="1">IFERROR(__xludf.DUMMYFUNCTION("""COMPUTED_VALUE"""),"HeatShrink Tube 4:1")</f>
        <v>HeatShrink Tube 4:1</v>
      </c>
      <c r="X122" t="e">
        <f ca="1"/>
        <v>#NAME?</v>
      </c>
      <c r="Y122" t="e">
        <f t="shared" ca="1" si="1"/>
        <v>#NAME?</v>
      </c>
      <c r="Z122" t="e">
        <f ca="1">IF(X122="","",SUMIFS(#REF!,RM!$C$4:$C991,X122))</f>
        <v>#NAME?</v>
      </c>
      <c r="AA122" t="e">
        <f ca="1">IF(X122="","",SUMIFS(#REF!,RM!$C$4:$C991,X122))</f>
        <v>#NAME?</v>
      </c>
      <c r="AB122" t="e">
        <f t="shared" ca="1" si="2"/>
        <v>#NAME?</v>
      </c>
      <c r="AC122" t="e">
        <f ca="1">IF(X122="","",VLOOKUP($X122,RM!$C$4:$G991,3,FALSE))</f>
        <v>#NAME?</v>
      </c>
      <c r="AD122" t="e">
        <f ca="1">IF(X122="","",VLOOKUP($X122,RM!$C$4:$G991,4,FALSE))</f>
        <v>#NAME?</v>
      </c>
      <c r="AE122" t="e">
        <f ca="1">IF(X122="","",VLOOKUP($X122,RM!$C$4:$G991,5,FALSE))</f>
        <v>#NAME?</v>
      </c>
      <c r="AG122" t="str">
        <f ca="1">IFERROR(__xludf.DUMMYFUNCTION("""COMPUTED_VALUE"""),"PORT Signal CM Assy")</f>
        <v>PORT Signal CM Assy</v>
      </c>
      <c r="AH122" t="str">
        <f ca="1">IFERROR(__xludf.DUMMYFUNCTION("""COMPUTED_VALUE"""),"Lead wire 22AWG")</f>
        <v>Lead wire 22AWG</v>
      </c>
      <c r="AI122">
        <f ca="1">IFERROR(__xludf.DUMMYFUNCTION("""COMPUTED_VALUE"""),5)</f>
        <v>5</v>
      </c>
      <c r="AK122" t="e">
        <f ca="1">_xludf.IFNA(VLOOKUP(AG122,'S-FG'!$B$3:$B1001,1,FALSE),"")</f>
        <v>#NAME?</v>
      </c>
      <c r="AL122" t="e">
        <f ca="1">IF(AH122="","",SUMIFS(#REF!,RM!$C$4:$C991,AH122))</f>
        <v>#REF!</v>
      </c>
    </row>
    <row r="123" spans="5:38">
      <c r="E123" t="str">
        <f>IF(A123="","",SUMIFS(Issue!$D$3:$D1001,Issue!$C$3:$C1001,A123)*C123)</f>
        <v/>
      </c>
      <c r="F123" t="e">
        <f ca="1">_xludf.IFNA(VLOOKUP(B123,'S-FG'!$B$3:$B1001,1,FALSE),"")</f>
        <v>#NAME?</v>
      </c>
      <c r="H123" t="str">
        <f ca="1">IFERROR(__xludf.DUMMYFUNCTION("""COMPUTED_VALUE"""),"Charging PM Assy")</f>
        <v>Charging PM Assy</v>
      </c>
      <c r="I123" t="str">
        <f ca="1">IFERROR(__xludf.DUMMYFUNCTION("""COMPUTED_VALUE"""),"Teroson MS930")</f>
        <v>Teroson MS930</v>
      </c>
      <c r="J123">
        <f ca="1">IFERROR(__xludf.DUMMYFUNCTION("""COMPUTED_VALUE"""),2)</f>
        <v>2</v>
      </c>
      <c r="K123" t="str">
        <f ca="1">IFERROR(__xludf.DUMMYFUNCTION("""COMPUTED_VALUE"""),"blank")</f>
        <v>blank</v>
      </c>
      <c r="L123">
        <f t="shared" ca="1" si="0"/>
        <v>0</v>
      </c>
      <c r="Q123" t="str">
        <f>IF(N123="","",SUMIFS(Issue!$D$3:$D1001,Issue!$C$3:$C1001,N123))</f>
        <v/>
      </c>
      <c r="S123" t="str">
        <f ca="1">IFERROR(__xludf.DUMMYFUNCTION("""COMPUTED_VALUE"""),"HeatShrink Tube 1.5mm/1.6mm")</f>
        <v>HeatShrink Tube 1.5mm/1.6mm</v>
      </c>
      <c r="X123" t="e">
        <f ca="1"/>
        <v>#NAME?</v>
      </c>
      <c r="Y123" t="e">
        <f t="shared" ca="1" si="1"/>
        <v>#NAME?</v>
      </c>
      <c r="Z123" t="e">
        <f ca="1">IF(X123="","",SUMIFS(#REF!,RM!$C$4:$C991,X123))</f>
        <v>#NAME?</v>
      </c>
      <c r="AA123" t="e">
        <f ca="1">IF(X123="","",SUMIFS(#REF!,RM!$C$4:$C991,X123))</f>
        <v>#NAME?</v>
      </c>
      <c r="AB123" t="e">
        <f t="shared" ca="1" si="2"/>
        <v>#NAME?</v>
      </c>
      <c r="AC123" t="e">
        <f ca="1">IF(X123="","",VLOOKUP($X123,RM!$C$4:$G991,3,FALSE))</f>
        <v>#NAME?</v>
      </c>
      <c r="AD123" t="e">
        <f ca="1">IF(X123="","",VLOOKUP($X123,RM!$C$4:$G991,4,FALSE))</f>
        <v>#NAME?</v>
      </c>
      <c r="AE123" t="e">
        <f ca="1">IF(X123="","",VLOOKUP($X123,RM!$C$4:$G991,5,FALSE))</f>
        <v>#NAME?</v>
      </c>
      <c r="AG123" t="str">
        <f ca="1">IFERROR(__xludf.DUMMYFUNCTION("""COMPUTED_VALUE"""),"PORT Signal CM Assy")</f>
        <v>PORT Signal CM Assy</v>
      </c>
      <c r="AH123" t="str">
        <f ca="1">IFERROR(__xludf.DUMMYFUNCTION("""COMPUTED_VALUE"""),"Soldering flux")</f>
        <v>Soldering flux</v>
      </c>
      <c r="AI123">
        <f ca="1">IFERROR(__xludf.DUMMYFUNCTION("""COMPUTED_VALUE"""),2)</f>
        <v>2</v>
      </c>
      <c r="AK123" t="e">
        <f ca="1">_xludf.IFNA(VLOOKUP(AG123,'S-FG'!$B$3:$B1001,1,FALSE),"")</f>
        <v>#NAME?</v>
      </c>
      <c r="AL123" t="e">
        <f ca="1">IF(AH123="","",SUMIFS(#REF!,RM!$C$4:$C991,AH123))</f>
        <v>#REF!</v>
      </c>
    </row>
    <row r="124" spans="5:38">
      <c r="E124" t="str">
        <f>IF(A124="","",SUMIFS(Issue!$D$3:$D1001,Issue!$C$3:$C1001,A124)*C124)</f>
        <v/>
      </c>
      <c r="F124" t="e">
        <f ca="1">_xludf.IFNA(VLOOKUP(B124,'S-FG'!$B$3:$B1001,1,FALSE),"")</f>
        <v>#NAME?</v>
      </c>
      <c r="H124" t="str">
        <f ca="1">IFERROR(__xludf.DUMMYFUNCTION("""COMPUTED_VALUE"""),"Charging PM Assy")</f>
        <v>Charging PM Assy</v>
      </c>
      <c r="I124" t="str">
        <f ca="1">IFERROR(__xludf.DUMMYFUNCTION("""COMPUTED_VALUE"""),"Silicon RTV 734 Potting compound")</f>
        <v>Silicon RTV 734 Potting compound</v>
      </c>
      <c r="J124">
        <f ca="1">IFERROR(__xludf.DUMMYFUNCTION("""COMPUTED_VALUE"""),10)</f>
        <v>10</v>
      </c>
      <c r="K124" t="str">
        <f ca="1">IFERROR(__xludf.DUMMYFUNCTION("""COMPUTED_VALUE"""),"blank")</f>
        <v>blank</v>
      </c>
      <c r="L124">
        <f t="shared" ca="1" si="0"/>
        <v>0</v>
      </c>
      <c r="Q124" t="str">
        <f>IF(N124="","",SUMIFS(Issue!$D$3:$D1001,Issue!$C$3:$C1001,N124))</f>
        <v/>
      </c>
      <c r="S124" t="str">
        <f ca="1">IFERROR(__xludf.DUMMYFUNCTION("""COMPUTED_VALUE"""),"Teroson MS930")</f>
        <v>Teroson MS930</v>
      </c>
      <c r="X124" t="e">
        <f ca="1"/>
        <v>#NAME?</v>
      </c>
      <c r="Y124" t="e">
        <f t="shared" ca="1" si="1"/>
        <v>#NAME?</v>
      </c>
      <c r="Z124" t="e">
        <f ca="1">IF(X124="","",SUMIFS(#REF!,RM!$C$4:$C991,X124))</f>
        <v>#NAME?</v>
      </c>
      <c r="AA124" t="e">
        <f ca="1">IF(X124="","",SUMIFS(#REF!,RM!$C$4:$C991,X124))</f>
        <v>#NAME?</v>
      </c>
      <c r="AB124" t="e">
        <f t="shared" ca="1" si="2"/>
        <v>#NAME?</v>
      </c>
      <c r="AC124" t="e">
        <f ca="1">IF(X124="","",VLOOKUP($X124,RM!$C$4:$G991,3,FALSE))</f>
        <v>#NAME?</v>
      </c>
      <c r="AD124" t="e">
        <f ca="1">IF(X124="","",VLOOKUP($X124,RM!$C$4:$G991,4,FALSE))</f>
        <v>#NAME?</v>
      </c>
      <c r="AE124" t="e">
        <f ca="1">IF(X124="","",VLOOKUP($X124,RM!$C$4:$G991,5,FALSE))</f>
        <v>#NAME?</v>
      </c>
      <c r="AG124" t="str">
        <f ca="1">IFERROR(__xludf.DUMMYFUNCTION("""COMPUTED_VALUE"""),"PORT Signal CM Assy")</f>
        <v>PORT Signal CM Assy</v>
      </c>
      <c r="AH124" t="str">
        <f ca="1">IFERROR(__xludf.DUMMYFUNCTION("""COMPUTED_VALUE"""),"LM61 Temperature Sensor")</f>
        <v>LM61 Temperature Sensor</v>
      </c>
      <c r="AI124">
        <f ca="1">IFERROR(__xludf.DUMMYFUNCTION("""COMPUTED_VALUE"""),1)</f>
        <v>1</v>
      </c>
      <c r="AJ124" t="str">
        <f ca="1">IFERROR(__xludf.DUMMYFUNCTION("""COMPUTED_VALUE"""),"LM61BIZ/NOPB")</f>
        <v>LM61BIZ/NOPB</v>
      </c>
      <c r="AK124" t="e">
        <f ca="1">_xludf.IFNA(VLOOKUP(AG124,'S-FG'!$B$3:$B1001,1,FALSE),"")</f>
        <v>#NAME?</v>
      </c>
      <c r="AL124" t="e">
        <f ca="1">IF(AH124="","",SUMIFS(#REF!,RM!$C$4:$C991,AH124))</f>
        <v>#REF!</v>
      </c>
    </row>
    <row r="125" spans="5:38">
      <c r="E125" t="str">
        <f>IF(A125="","",SUMIFS(Issue!$D$3:$D1001,Issue!$C$3:$C1001,A125)*C125)</f>
        <v/>
      </c>
      <c r="F125" t="e">
        <f ca="1">_xludf.IFNA(VLOOKUP(B125,'S-FG'!$B$3:$B1001,1,FALSE),"")</f>
        <v>#NAME?</v>
      </c>
      <c r="H125" t="str">
        <f ca="1">IFERROR(__xludf.DUMMYFUNCTION("""COMPUTED_VALUE"""),"Charger Box Assy")</f>
        <v>Charger Box Assy</v>
      </c>
      <c r="I125" t="str">
        <f ca="1">IFERROR(__xludf.DUMMYFUNCTION("""COMPUTED_VALUE"""),"24v AC/DC module")</f>
        <v>24v AC/DC module</v>
      </c>
      <c r="J125">
        <f ca="1">IFERROR(__xludf.DUMMYFUNCTION("""COMPUTED_VALUE"""),1)</f>
        <v>1</v>
      </c>
      <c r="K125" t="str">
        <f ca="1">IFERROR(__xludf.DUMMYFUNCTION("""COMPUTED_VALUE"""),"blank")</f>
        <v>blank</v>
      </c>
      <c r="L125">
        <f t="shared" ca="1" si="0"/>
        <v>0</v>
      </c>
      <c r="Q125" t="str">
        <f>IF(N125="","",SUMIFS(Issue!$D$3:$D1001,Issue!$C$3:$C1001,N125))</f>
        <v/>
      </c>
      <c r="S125" t="str">
        <f ca="1">IFERROR(__xludf.DUMMYFUNCTION("""COMPUTED_VALUE"""),"Silicon RTV 734 Potting compound")</f>
        <v>Silicon RTV 734 Potting compound</v>
      </c>
      <c r="X125" t="e">
        <f ca="1"/>
        <v>#NAME?</v>
      </c>
      <c r="Y125" t="e">
        <f t="shared" ca="1" si="1"/>
        <v>#NAME?</v>
      </c>
      <c r="Z125" t="e">
        <f ca="1">IF(X125="","",SUMIFS(#REF!,RM!$C$4:$C991,X125))</f>
        <v>#NAME?</v>
      </c>
      <c r="AA125" t="e">
        <f ca="1">IF(X125="","",SUMIFS(#REF!,RM!$C$4:$C991,X125))</f>
        <v>#NAME?</v>
      </c>
      <c r="AB125" t="e">
        <f t="shared" ca="1" si="2"/>
        <v>#NAME?</v>
      </c>
      <c r="AC125" t="e">
        <f ca="1">IF(X125="","",VLOOKUP($X125,RM!$C$4:$G991,3,FALSE))</f>
        <v>#NAME?</v>
      </c>
      <c r="AD125" t="e">
        <f ca="1">IF(X125="","",VLOOKUP($X125,RM!$C$4:$G991,4,FALSE))</f>
        <v>#NAME?</v>
      </c>
      <c r="AE125" t="e">
        <f ca="1">IF(X125="","",VLOOKUP($X125,RM!$C$4:$G991,5,FALSE))</f>
        <v>#NAME?</v>
      </c>
      <c r="AG125" t="str">
        <f ca="1">IFERROR(__xludf.DUMMYFUNCTION("""COMPUTED_VALUE"""),"PORT Signal CM Assy")</f>
        <v>PORT Signal CM Assy</v>
      </c>
      <c r="AH125" t="str">
        <f ca="1">IFERROR(__xludf.DUMMYFUNCTION("""COMPUTED_VALUE"""),"20Core Wire 14/38")</f>
        <v>20Core Wire 14/38</v>
      </c>
      <c r="AI125">
        <f ca="1">IFERROR(__xludf.DUMMYFUNCTION("""COMPUTED_VALUE"""),0.85)</f>
        <v>0.85</v>
      </c>
      <c r="AJ125" t="str">
        <f ca="1">IFERROR(__xludf.DUMMYFUNCTION("""COMPUTED_VALUE"""),"blank")</f>
        <v>blank</v>
      </c>
      <c r="AK125" t="e">
        <f ca="1">_xludf.IFNA(VLOOKUP(AG125,'S-FG'!$B$3:$B1001,1,FALSE),"")</f>
        <v>#NAME?</v>
      </c>
      <c r="AL125" t="e">
        <f ca="1">IF(AH125="","",SUMIFS(#REF!,RM!$C$4:$C991,AH125))</f>
        <v>#REF!</v>
      </c>
    </row>
    <row r="126" spans="5:38">
      <c r="E126" t="str">
        <f>IF(A126="","",SUMIFS(Issue!$D$3:$D1001,Issue!$C$3:$C1001,A126)*C126)</f>
        <v/>
      </c>
      <c r="F126" t="e">
        <f ca="1">_xludf.IFNA(VLOOKUP(B126,'S-FG'!$B$3:$B1001,1,FALSE),"")</f>
        <v>#NAME?</v>
      </c>
      <c r="H126" t="str">
        <f ca="1">IFERROR(__xludf.DUMMYFUNCTION("""COMPUTED_VALUE"""),"Charger Box Assy")</f>
        <v>Charger Box Assy</v>
      </c>
      <c r="I126" t="str">
        <f ca="1">IFERROR(__xludf.DUMMYFUNCTION("""COMPUTED_VALUE"""),"Lead wire 22AWG")</f>
        <v>Lead wire 22AWG</v>
      </c>
      <c r="J126">
        <f ca="1">IFERROR(__xludf.DUMMYFUNCTION("""COMPUTED_VALUE"""),10)</f>
        <v>10</v>
      </c>
      <c r="L126">
        <f t="shared" ca="1" si="0"/>
        <v>0</v>
      </c>
      <c r="Q126" t="str">
        <f>IF(N126="","",SUMIFS(Issue!$D$3:$D1001,Issue!$C$3:$C1001,N126))</f>
        <v/>
      </c>
      <c r="S126" t="str">
        <f ca="1">IFERROR(__xludf.DUMMYFUNCTION("""COMPUTED_VALUE"""),"24v AC/DC module")</f>
        <v>24v AC/DC module</v>
      </c>
      <c r="X126" t="e">
        <f ca="1"/>
        <v>#NAME?</v>
      </c>
      <c r="Y126" t="e">
        <f t="shared" ca="1" si="1"/>
        <v>#NAME?</v>
      </c>
      <c r="Z126" t="e">
        <f ca="1">IF(X126="","",SUMIFS(#REF!,RM!$C$4:$C991,X126))</f>
        <v>#NAME?</v>
      </c>
      <c r="AA126" t="e">
        <f ca="1">IF(X126="","",SUMIFS(#REF!,RM!$C$4:$C991,X126))</f>
        <v>#NAME?</v>
      </c>
      <c r="AB126" t="e">
        <f t="shared" ca="1" si="2"/>
        <v>#NAME?</v>
      </c>
      <c r="AC126" t="e">
        <f ca="1">IF(X126="","",VLOOKUP($X126,RM!$C$4:$G991,3,FALSE))</f>
        <v>#NAME?</v>
      </c>
      <c r="AD126" t="e">
        <f ca="1">IF(X126="","",VLOOKUP($X126,RM!$C$4:$G991,4,FALSE))</f>
        <v>#NAME?</v>
      </c>
      <c r="AE126" t="e">
        <f ca="1">IF(X126="","",VLOOKUP($X126,RM!$C$4:$G991,5,FALSE))</f>
        <v>#NAME?</v>
      </c>
      <c r="AG126" t="str">
        <f ca="1">IFERROR(__xludf.DUMMYFUNCTION("""COMPUTED_VALUE"""),"PORT Signal CM Assy")</f>
        <v>PORT Signal CM Assy</v>
      </c>
      <c r="AH126" t="str">
        <f ca="1">IFERROR(__xludf.DUMMYFUNCTION("""COMPUTED_VALUE"""),"Black 14/38 Wire")</f>
        <v>Black 14/38 Wire</v>
      </c>
      <c r="AI126">
        <f ca="1">IFERROR(__xludf.DUMMYFUNCTION("""COMPUTED_VALUE"""),0.15)</f>
        <v>0.15</v>
      </c>
      <c r="AK126" t="e">
        <f ca="1">_xludf.IFNA(VLOOKUP(AG126,'S-FG'!$B$3:$B1001,1,FALSE),"")</f>
        <v>#NAME?</v>
      </c>
      <c r="AL126" t="e">
        <f ca="1">IF(AH126="","",SUMIFS(#REF!,RM!$C$4:$C991,AH126))</f>
        <v>#REF!</v>
      </c>
    </row>
    <row r="127" spans="5:38">
      <c r="E127" t="str">
        <f>IF(A127="","",SUMIFS(Issue!$D$3:$D1001,Issue!$C$3:$C1001,A127)*C127)</f>
        <v/>
      </c>
      <c r="F127" t="e">
        <f ca="1">_xludf.IFNA(VLOOKUP(B127,'S-FG'!$B$3:$B1001,1,FALSE),"")</f>
        <v>#NAME?</v>
      </c>
      <c r="H127" t="str">
        <f ca="1">IFERROR(__xludf.DUMMYFUNCTION("""COMPUTED_VALUE"""),"Charger Box Assy")</f>
        <v>Charger Box Assy</v>
      </c>
      <c r="I127" t="str">
        <f ca="1">IFERROR(__xludf.DUMMYFUNCTION("""COMPUTED_VALUE"""),"Soldering flux")</f>
        <v>Soldering flux</v>
      </c>
      <c r="J127">
        <f ca="1">IFERROR(__xludf.DUMMYFUNCTION("""COMPUTED_VALUE"""),1)</f>
        <v>1</v>
      </c>
      <c r="L127">
        <f t="shared" ca="1" si="0"/>
        <v>0</v>
      </c>
      <c r="Q127" t="str">
        <f>IF(N127="","",SUMIFS(Issue!$D$3:$D1001,Issue!$C$3:$C1001,N127))</f>
        <v/>
      </c>
      <c r="S127" t="str">
        <f ca="1">IFERROR(__xludf.DUMMYFUNCTION("""COMPUTED_VALUE"""),"Lead wire 22AWG")</f>
        <v>Lead wire 22AWG</v>
      </c>
      <c r="X127" t="e">
        <f ca="1"/>
        <v>#NAME?</v>
      </c>
      <c r="Y127" t="e">
        <f t="shared" ca="1" si="1"/>
        <v>#NAME?</v>
      </c>
      <c r="Z127" t="e">
        <f ca="1">IF(X127="","",SUMIFS(#REF!,RM!$C$4:$C991,X127))</f>
        <v>#NAME?</v>
      </c>
      <c r="AA127" t="e">
        <f ca="1">IF(X127="","",SUMIFS(#REF!,RM!$C$4:$C991,X127))</f>
        <v>#NAME?</v>
      </c>
      <c r="AB127" t="e">
        <f t="shared" ca="1" si="2"/>
        <v>#NAME?</v>
      </c>
      <c r="AC127" t="e">
        <f ca="1">IF(X127="","",VLOOKUP($X127,RM!$C$4:$G991,3,FALSE))</f>
        <v>#NAME?</v>
      </c>
      <c r="AD127" t="e">
        <f ca="1">IF(X127="","",VLOOKUP($X127,RM!$C$4:$G991,4,FALSE))</f>
        <v>#NAME?</v>
      </c>
      <c r="AE127" t="e">
        <f ca="1">IF(X127="","",VLOOKUP($X127,RM!$C$4:$G991,5,FALSE))</f>
        <v>#NAME?</v>
      </c>
      <c r="AG127" t="str">
        <f ca="1">IFERROR(__xludf.DUMMYFUNCTION("""COMPUTED_VALUE"""),"PORT Signal CM Assy")</f>
        <v>PORT Signal CM Assy</v>
      </c>
      <c r="AH127" t="str">
        <f ca="1">IFERROR(__xludf.DUMMYFUNCTION("""COMPUTED_VALUE"""),"SY21-15 pin Cable Mount")</f>
        <v>SY21-15 pin Cable Mount</v>
      </c>
      <c r="AI127">
        <f ca="1">IFERROR(__xludf.DUMMYFUNCTION("""COMPUTED_VALUE"""),1)</f>
        <v>1</v>
      </c>
      <c r="AJ127" t="str">
        <f ca="1">IFERROR(__xludf.DUMMYFUNCTION("""COMPUTED_VALUE"""),"blank")</f>
        <v>blank</v>
      </c>
      <c r="AK127" t="e">
        <f ca="1">_xludf.IFNA(VLOOKUP(AG127,'S-FG'!$B$3:$B1001,1,FALSE),"")</f>
        <v>#NAME?</v>
      </c>
      <c r="AL127" t="e">
        <f ca="1">IF(AH127="","",SUMIFS(#REF!,RM!$C$4:$C991,AH127))</f>
        <v>#REF!</v>
      </c>
    </row>
    <row r="128" spans="5:38">
      <c r="E128" t="str">
        <f>IF(A128="","",SUMIFS(Issue!$D$3:$D1001,Issue!$C$3:$C1001,A128)*C128)</f>
        <v/>
      </c>
      <c r="F128" t="e">
        <f ca="1">_xludf.IFNA(VLOOKUP(B128,'S-FG'!$B$3:$B1001,1,FALSE),"")</f>
        <v>#NAME?</v>
      </c>
      <c r="H128" t="str">
        <f ca="1">IFERROR(__xludf.DUMMYFUNCTION("""COMPUTED_VALUE"""),"Charger Box Assy")</f>
        <v>Charger Box Assy</v>
      </c>
      <c r="I128" t="str">
        <f ca="1">IFERROR(__xludf.DUMMYFUNCTION("""COMPUTED_VALUE"""),"3 pin 3 yrd power cord")</f>
        <v>3 pin 3 yrd power cord</v>
      </c>
      <c r="J128">
        <f ca="1">IFERROR(__xludf.DUMMYFUNCTION("""COMPUTED_VALUE"""),1)</f>
        <v>1</v>
      </c>
      <c r="L128">
        <f t="shared" ca="1" si="0"/>
        <v>0</v>
      </c>
      <c r="Q128" t="str">
        <f>IF(N128="","",SUMIFS(Issue!$D$3:$D1001,Issue!$C$3:$C1001,N128))</f>
        <v/>
      </c>
      <c r="S128" t="str">
        <f ca="1">IFERROR(__xludf.DUMMYFUNCTION("""COMPUTED_VALUE"""),"Soldering flux")</f>
        <v>Soldering flux</v>
      </c>
      <c r="X128" t="e">
        <f ca="1"/>
        <v>#NAME?</v>
      </c>
      <c r="Y128" t="e">
        <f t="shared" ca="1" si="1"/>
        <v>#NAME?</v>
      </c>
      <c r="Z128" t="e">
        <f ca="1">IF(X128="","",SUMIFS(#REF!,RM!$C$4:$C991,X128))</f>
        <v>#NAME?</v>
      </c>
      <c r="AA128" t="e">
        <f ca="1">IF(X128="","",SUMIFS(#REF!,RM!$C$4:$C991,X128))</f>
        <v>#NAME?</v>
      </c>
      <c r="AB128" t="e">
        <f t="shared" ca="1" si="2"/>
        <v>#NAME?</v>
      </c>
      <c r="AC128" t="e">
        <f ca="1">IF(X128="","",VLOOKUP($X128,RM!$C$4:$G991,3,FALSE))</f>
        <v>#NAME?</v>
      </c>
      <c r="AD128" t="e">
        <f ca="1">IF(X128="","",VLOOKUP($X128,RM!$C$4:$G991,4,FALSE))</f>
        <v>#NAME?</v>
      </c>
      <c r="AE128" t="e">
        <f ca="1">IF(X128="","",VLOOKUP($X128,RM!$C$4:$G991,5,FALSE))</f>
        <v>#NAME?</v>
      </c>
      <c r="AG128" t="str">
        <f ca="1">IFERROR(__xludf.DUMMYFUNCTION("""COMPUTED_VALUE"""),"PORT Signal CM Assy")</f>
        <v>PORT Signal CM Assy</v>
      </c>
      <c r="AH128" t="str">
        <f ca="1">IFERROR(__xludf.DUMMYFUNCTION("""COMPUTED_VALUE"""),"BlueRobotics Leak")</f>
        <v>BlueRobotics Leak</v>
      </c>
      <c r="AI128">
        <f ca="1">IFERROR(__xludf.DUMMYFUNCTION("""COMPUTED_VALUE"""),1)</f>
        <v>1</v>
      </c>
      <c r="AJ128" t="str">
        <f ca="1">IFERROR(__xludf.DUMMYFUNCTION("""COMPUTED_VALUE"""),"blank")</f>
        <v>blank</v>
      </c>
      <c r="AK128" t="e">
        <f ca="1">_xludf.IFNA(VLOOKUP(AG128,'S-FG'!$B$3:$B1001,1,FALSE),"")</f>
        <v>#NAME?</v>
      </c>
      <c r="AL128" t="e">
        <f ca="1">IF(AH128="","",SUMIFS(#REF!,RM!$C$4:$C991,AH128))</f>
        <v>#REF!</v>
      </c>
    </row>
    <row r="129" spans="5:38">
      <c r="E129" t="str">
        <f>IF(A129="","",SUMIFS(Issue!$D$3:$D1001,Issue!$C$3:$C1001,A129)*C129)</f>
        <v/>
      </c>
      <c r="F129" t="e">
        <f ca="1">_xludf.IFNA(VLOOKUP(B129,'S-FG'!$B$3:$B1001,1,FALSE),"")</f>
        <v>#NAME?</v>
      </c>
      <c r="H129" t="str">
        <f ca="1">IFERROR(__xludf.DUMMYFUNCTION("""COMPUTED_VALUE"""),"Charger Box Assy")</f>
        <v>Charger Box Assy</v>
      </c>
      <c r="I129" t="str">
        <f ca="1">IFERROR(__xludf.DUMMYFUNCTION("""COMPUTED_VALUE"""),"25cm Black Microfit one side crimped wires")</f>
        <v>25cm Black Microfit one side crimped wires</v>
      </c>
      <c r="J129">
        <f ca="1">IFERROR(__xludf.DUMMYFUNCTION("""COMPUTED_VALUE"""),1)</f>
        <v>1</v>
      </c>
      <c r="K129" t="str">
        <f ca="1">IFERROR(__xludf.DUMMYFUNCTION("""COMPUTED_VALUE"""),"blank")</f>
        <v>blank</v>
      </c>
      <c r="L129">
        <f t="shared" ca="1" si="0"/>
        <v>0</v>
      </c>
      <c r="Q129" t="str">
        <f>IF(N129="","",SUMIFS(Issue!$D$3:$D1001,Issue!$C$3:$C1001,N129))</f>
        <v/>
      </c>
      <c r="S129" t="str">
        <f ca="1">IFERROR(__xludf.DUMMYFUNCTION("""COMPUTED_VALUE"""),"3 pin 3 yrd power cord")</f>
        <v>3 pin 3 yrd power cord</v>
      </c>
      <c r="X129" t="e">
        <f ca="1"/>
        <v>#NAME?</v>
      </c>
      <c r="Y129" t="e">
        <f t="shared" ca="1" si="1"/>
        <v>#NAME?</v>
      </c>
      <c r="Z129" t="e">
        <f ca="1">IF(X129="","",SUMIFS(#REF!,RM!$C$4:$C991,X129))</f>
        <v>#NAME?</v>
      </c>
      <c r="AA129" t="e">
        <f ca="1">IF(X129="","",SUMIFS(#REF!,RM!$C$4:$C991,X129))</f>
        <v>#NAME?</v>
      </c>
      <c r="AB129" t="e">
        <f t="shared" ca="1" si="2"/>
        <v>#NAME?</v>
      </c>
      <c r="AC129" t="e">
        <f ca="1">IF(X129="","",VLOOKUP($X129,RM!$C$4:$G991,3,FALSE))</f>
        <v>#NAME?</v>
      </c>
      <c r="AD129" t="e">
        <f ca="1">IF(X129="","",VLOOKUP($X129,RM!$C$4:$G991,4,FALSE))</f>
        <v>#NAME?</v>
      </c>
      <c r="AE129" t="e">
        <f ca="1">IF(X129="","",VLOOKUP($X129,RM!$C$4:$G991,5,FALSE))</f>
        <v>#NAME?</v>
      </c>
      <c r="AG129" t="str">
        <f ca="1">IFERROR(__xludf.DUMMYFUNCTION("""COMPUTED_VALUE"""),"PORT Signal CM Assy")</f>
        <v>PORT Signal CM Assy</v>
      </c>
      <c r="AH129" t="str">
        <f ca="1">IFERROR(__xludf.DUMMYFUNCTION("""COMPUTED_VALUE"""),"HeatShrink Tube 4:1")</f>
        <v>HeatShrink Tube 4:1</v>
      </c>
      <c r="AI129">
        <f ca="1">IFERROR(__xludf.DUMMYFUNCTION("""COMPUTED_VALUE"""),0.05)</f>
        <v>0.05</v>
      </c>
      <c r="AJ129" t="str">
        <f ca="1">IFERROR(__xludf.DUMMYFUNCTION("""COMPUTED_VALUE"""),"blank")</f>
        <v>blank</v>
      </c>
      <c r="AK129" t="e">
        <f ca="1">_xludf.IFNA(VLOOKUP(AG129,'S-FG'!$B$3:$B1001,1,FALSE),"")</f>
        <v>#NAME?</v>
      </c>
      <c r="AL129" t="e">
        <f ca="1">IF(AH129="","",SUMIFS(#REF!,RM!$C$4:$C991,AH129))</f>
        <v>#REF!</v>
      </c>
    </row>
    <row r="130" spans="5:38">
      <c r="E130" t="str">
        <f>IF(A130="","",SUMIFS(Issue!$D$3:$D1001,Issue!$C$3:$C1001,A130)*C130)</f>
        <v/>
      </c>
      <c r="F130" t="e">
        <f ca="1">_xludf.IFNA(VLOOKUP(B130,'S-FG'!$B$3:$B1001,1,FALSE),"")</f>
        <v>#NAME?</v>
      </c>
      <c r="H130" t="str">
        <f ca="1">IFERROR(__xludf.DUMMYFUNCTION("""COMPUTED_VALUE"""),"Charger Box Assy")</f>
        <v>Charger Box Assy</v>
      </c>
      <c r="I130" t="str">
        <f ca="1">IFERROR(__xludf.DUMMYFUNCTION("""COMPUTED_VALUE"""),"25cm Green Microfit one side crimped wires")</f>
        <v>25cm Green Microfit one side crimped wires</v>
      </c>
      <c r="J130">
        <f ca="1">IFERROR(__xludf.DUMMYFUNCTION("""COMPUTED_VALUE"""),1)</f>
        <v>1</v>
      </c>
      <c r="K130" t="str">
        <f ca="1">IFERROR(__xludf.DUMMYFUNCTION("""COMPUTED_VALUE"""),"blank")</f>
        <v>blank</v>
      </c>
      <c r="L130">
        <f t="shared" ca="1" si="0"/>
        <v>0</v>
      </c>
      <c r="Q130" t="str">
        <f>IF(N130="","",SUMIFS(Issue!$D$3:$D1001,Issue!$C$3:$C1001,N130))</f>
        <v/>
      </c>
      <c r="S130" t="str">
        <f ca="1">IFERROR(__xludf.DUMMYFUNCTION("""COMPUTED_VALUE"""),"25cm Black Microfit one side crimped wires")</f>
        <v>25cm Black Microfit one side crimped wires</v>
      </c>
      <c r="X130" t="e">
        <f ca="1"/>
        <v>#NAME?</v>
      </c>
      <c r="Y130" t="e">
        <f t="shared" ca="1" si="1"/>
        <v>#NAME?</v>
      </c>
      <c r="Z130" t="e">
        <f ca="1">IF(X130="","",SUMIFS(#REF!,RM!$C$4:$C991,X130))</f>
        <v>#NAME?</v>
      </c>
      <c r="AA130" t="e">
        <f ca="1">IF(X130="","",SUMIFS(#REF!,RM!$C$4:$C991,X130))</f>
        <v>#NAME?</v>
      </c>
      <c r="AB130" t="e">
        <f t="shared" ca="1" si="2"/>
        <v>#NAME?</v>
      </c>
      <c r="AC130" t="e">
        <f ca="1">IF(X130="","",VLOOKUP($X130,RM!$C$4:$G991,3,FALSE))</f>
        <v>#NAME?</v>
      </c>
      <c r="AD130" t="e">
        <f ca="1">IF(X130="","",VLOOKUP($X130,RM!$C$4:$G991,4,FALSE))</f>
        <v>#NAME?</v>
      </c>
      <c r="AE130" t="e">
        <f ca="1">IF(X130="","",VLOOKUP($X130,RM!$C$4:$G991,5,FALSE))</f>
        <v>#NAME?</v>
      </c>
      <c r="AG130" t="str">
        <f ca="1">IFERROR(__xludf.DUMMYFUNCTION("""COMPUTED_VALUE"""),"PORT Signal CM Assy")</f>
        <v>PORT Signal CM Assy</v>
      </c>
      <c r="AH130" t="str">
        <f ca="1">IFERROR(__xludf.DUMMYFUNCTION("""COMPUTED_VALUE"""),"HeatShrink Tube 12:3")</f>
        <v>HeatShrink Tube 12:3</v>
      </c>
      <c r="AI130">
        <f ca="1">IFERROR(__xludf.DUMMYFUNCTION("""COMPUTED_VALUE"""),0.1)</f>
        <v>0.1</v>
      </c>
      <c r="AJ130" t="str">
        <f ca="1">IFERROR(__xludf.DUMMYFUNCTION("""COMPUTED_VALUE"""),"blank")</f>
        <v>blank</v>
      </c>
      <c r="AK130" t="e">
        <f ca="1">_xludf.IFNA(VLOOKUP(AG130,'S-FG'!$B$3:$B1001,1,FALSE),"")</f>
        <v>#NAME?</v>
      </c>
      <c r="AL130" t="e">
        <f ca="1">IF(AH130="","",SUMIFS(#REF!,RM!$C$4:$C991,AH130))</f>
        <v>#REF!</v>
      </c>
    </row>
    <row r="131" spans="5:38">
      <c r="E131" t="str">
        <f>IF(A131="","",SUMIFS(Issue!$D$3:$D1001,Issue!$C$3:$C1001,A131)*C131)</f>
        <v/>
      </c>
      <c r="F131" t="e">
        <f ca="1">_xludf.IFNA(VLOOKUP(B131,'S-FG'!$B$3:$B1001,1,FALSE),"")</f>
        <v>#NAME?</v>
      </c>
      <c r="H131" t="str">
        <f ca="1">IFERROR(__xludf.DUMMYFUNCTION("""COMPUTED_VALUE"""),"Charger Box Assy")</f>
        <v>Charger Box Assy</v>
      </c>
      <c r="I131" t="str">
        <f ca="1">IFERROR(__xludf.DUMMYFUNCTION("""COMPUTED_VALUE"""),"25cm Violet Microfit one side crimped wires")</f>
        <v>25cm Violet Microfit one side crimped wires</v>
      </c>
      <c r="J131">
        <f ca="1">IFERROR(__xludf.DUMMYFUNCTION("""COMPUTED_VALUE"""),1)</f>
        <v>1</v>
      </c>
      <c r="K131" t="str">
        <f ca="1">IFERROR(__xludf.DUMMYFUNCTION("""COMPUTED_VALUE"""),"blank")</f>
        <v>blank</v>
      </c>
      <c r="L131">
        <f t="shared" ca="1" si="0"/>
        <v>0</v>
      </c>
      <c r="Q131" t="str">
        <f>IF(N131="","",SUMIFS(Issue!$D$3:$D1001,Issue!$C$3:$C1001,N131))</f>
        <v/>
      </c>
      <c r="S131" t="str">
        <f ca="1">IFERROR(__xludf.DUMMYFUNCTION("""COMPUTED_VALUE"""),"25cm Green Microfit one side crimped wires")</f>
        <v>25cm Green Microfit one side crimped wires</v>
      </c>
      <c r="X131" t="e">
        <f ca="1"/>
        <v>#NAME?</v>
      </c>
      <c r="Y131" t="e">
        <f t="shared" ca="1" si="1"/>
        <v>#NAME?</v>
      </c>
      <c r="Z131" t="e">
        <f ca="1">IF(X131="","",SUMIFS(#REF!,RM!$C$4:$C991,X131))</f>
        <v>#NAME?</v>
      </c>
      <c r="AA131" t="e">
        <f ca="1">IF(X131="","",SUMIFS(#REF!,RM!$C$4:$C991,X131))</f>
        <v>#NAME?</v>
      </c>
      <c r="AB131" t="e">
        <f t="shared" ca="1" si="2"/>
        <v>#NAME?</v>
      </c>
      <c r="AC131" t="e">
        <f ca="1">IF(X131="","",VLOOKUP($X131,RM!$C$4:$G991,3,FALSE))</f>
        <v>#NAME?</v>
      </c>
      <c r="AD131" t="e">
        <f ca="1">IF(X131="","",VLOOKUP($X131,RM!$C$4:$G991,4,FALSE))</f>
        <v>#NAME?</v>
      </c>
      <c r="AE131" t="e">
        <f ca="1">IF(X131="","",VLOOKUP($X131,RM!$C$4:$G991,5,FALSE))</f>
        <v>#NAME?</v>
      </c>
      <c r="AG131" t="str">
        <f ca="1">IFERROR(__xludf.DUMMYFUNCTION("""COMPUTED_VALUE"""),"PORT Signal CM Assy")</f>
        <v>PORT Signal CM Assy</v>
      </c>
      <c r="AH131" t="str">
        <f ca="1">IFERROR(__xludf.DUMMYFUNCTION("""COMPUTED_VALUE"""),"HeatShrink Tube 1.5mm/1.6mm")</f>
        <v>HeatShrink Tube 1.5mm/1.6mm</v>
      </c>
      <c r="AI131">
        <f ca="1">IFERROR(__xludf.DUMMYFUNCTION("""COMPUTED_VALUE"""),0.15)</f>
        <v>0.15</v>
      </c>
      <c r="AK131" t="e">
        <f ca="1">_xludf.IFNA(VLOOKUP(AG131,'S-FG'!$B$3:$B1001,1,FALSE),"")</f>
        <v>#NAME?</v>
      </c>
      <c r="AL131" t="e">
        <f ca="1">IF(AH131="","",SUMIFS(#REF!,RM!$C$4:$C991,AH131))</f>
        <v>#REF!</v>
      </c>
    </row>
    <row r="132" spans="5:38">
      <c r="E132" t="str">
        <f>IF(A132="","",SUMIFS(Issue!$D$3:$D1001,Issue!$C$3:$C1001,A132)*C132)</f>
        <v/>
      </c>
      <c r="F132" t="e">
        <f ca="1">_xludf.IFNA(VLOOKUP(B132,'S-FG'!$B$3:$B1001,1,FALSE),"")</f>
        <v>#NAME?</v>
      </c>
      <c r="H132" t="str">
        <f ca="1">IFERROR(__xludf.DUMMYFUNCTION("""COMPUTED_VALUE"""),"Charger Box Assy")</f>
        <v>Charger Box Assy</v>
      </c>
      <c r="I132" t="str">
        <f ca="1">IFERROR(__xludf.DUMMYFUNCTION("""COMPUTED_VALUE"""),"25cm Yellow Microfit one side crimped wires")</f>
        <v>25cm Yellow Microfit one side crimped wires</v>
      </c>
      <c r="J132">
        <f ca="1">IFERROR(__xludf.DUMMYFUNCTION("""COMPUTED_VALUE"""),1)</f>
        <v>1</v>
      </c>
      <c r="K132" t="str">
        <f ca="1">IFERROR(__xludf.DUMMYFUNCTION("""COMPUTED_VALUE"""),"blank")</f>
        <v>blank</v>
      </c>
      <c r="L132">
        <f t="shared" ca="1" si="0"/>
        <v>0</v>
      </c>
      <c r="Q132" t="str">
        <f>IF(N132="","",SUMIFS(Issue!$D$3:$D1001,Issue!$C$3:$C1001,N132))</f>
        <v/>
      </c>
      <c r="S132" t="str">
        <f ca="1">IFERROR(__xludf.DUMMYFUNCTION("""COMPUTED_VALUE"""),"25cm Violet Microfit one side crimped wires")</f>
        <v>25cm Violet Microfit one side crimped wires</v>
      </c>
      <c r="X132" t="e">
        <f ca="1"/>
        <v>#NAME?</v>
      </c>
      <c r="Y132" t="e">
        <f t="shared" ca="1" si="1"/>
        <v>#NAME?</v>
      </c>
      <c r="Z132" t="e">
        <f ca="1">IF(X132="","",SUMIFS(#REF!,RM!$C$4:$C991,X132))</f>
        <v>#NAME?</v>
      </c>
      <c r="AA132" t="e">
        <f ca="1">IF(X132="","",SUMIFS(#REF!,RM!$C$4:$C991,X132))</f>
        <v>#NAME?</v>
      </c>
      <c r="AB132" t="e">
        <f t="shared" ca="1" si="2"/>
        <v>#NAME?</v>
      </c>
      <c r="AC132" t="e">
        <f ca="1">IF(X132="","",VLOOKUP($X132,RM!$C$4:$G991,3,FALSE))</f>
        <v>#NAME?</v>
      </c>
      <c r="AD132" t="e">
        <f ca="1">IF(X132="","",VLOOKUP($X132,RM!$C$4:$G991,4,FALSE))</f>
        <v>#NAME?</v>
      </c>
      <c r="AE132" t="e">
        <f ca="1">IF(X132="","",VLOOKUP($X132,RM!$C$4:$G991,5,FALSE))</f>
        <v>#NAME?</v>
      </c>
      <c r="AG132" t="str">
        <f ca="1">IFERROR(__xludf.DUMMYFUNCTION("""COMPUTED_VALUE"""),"PORT Signal CM Assy")</f>
        <v>PORT Signal CM Assy</v>
      </c>
      <c r="AH132" t="str">
        <f ca="1">IFERROR(__xludf.DUMMYFUNCTION("""COMPUTED_VALUE"""),"1uF 0805 PANASONIC")</f>
        <v>1uF 0805 PANASONIC</v>
      </c>
      <c r="AI132">
        <f ca="1">IFERROR(__xludf.DUMMYFUNCTION("""COMPUTED_VALUE"""),1)</f>
        <v>1</v>
      </c>
      <c r="AJ132" t="str">
        <f ca="1">IFERROR(__xludf.DUMMYFUNCTION("""COMPUTED_VALUE"""),"GCM21BR71E105KA56L")</f>
        <v>GCM21BR71E105KA56L</v>
      </c>
      <c r="AK132" t="e">
        <f ca="1">_xludf.IFNA(VLOOKUP(AG132,'S-FG'!$B$3:$B1001,1,FALSE),"")</f>
        <v>#NAME?</v>
      </c>
      <c r="AL132" t="e">
        <f ca="1">IF(AH132="","",SUMIFS(#REF!,RM!$C$4:$C991,AH132))</f>
        <v>#REF!</v>
      </c>
    </row>
    <row r="133" spans="5:38">
      <c r="E133" t="str">
        <f>IF(A133="","",SUMIFS(Issue!$D$3:$D1001,Issue!$C$3:$C1001,A133)*C133)</f>
        <v/>
      </c>
      <c r="F133" t="e">
        <f ca="1">_xludf.IFNA(VLOOKUP(B133,'S-FG'!$B$3:$B1001,1,FALSE),"")</f>
        <v>#NAME?</v>
      </c>
      <c r="H133" t="str">
        <f ca="1">IFERROR(__xludf.DUMMYFUNCTION("""COMPUTED_VALUE"""),"Charger Box Assy")</f>
        <v>Charger Box Assy</v>
      </c>
      <c r="I133" t="str">
        <f ca="1">IFERROR(__xludf.DUMMYFUNCTION("""COMPUTED_VALUE"""),"25cm Blue Microfit one side crimped wires")</f>
        <v>25cm Blue Microfit one side crimped wires</v>
      </c>
      <c r="J133">
        <f ca="1">IFERROR(__xludf.DUMMYFUNCTION("""COMPUTED_VALUE"""),1)</f>
        <v>1</v>
      </c>
      <c r="K133" t="str">
        <f ca="1">IFERROR(__xludf.DUMMYFUNCTION("""COMPUTED_VALUE"""),"blank")</f>
        <v>blank</v>
      </c>
      <c r="L133">
        <f t="shared" ca="1" si="0"/>
        <v>0</v>
      </c>
      <c r="Q133" t="str">
        <f>IF(N133="","",SUMIFS(Issue!$D$3:$D1001,Issue!$C$3:$C1001,N133))</f>
        <v/>
      </c>
      <c r="S133" t="str">
        <f ca="1">IFERROR(__xludf.DUMMYFUNCTION("""COMPUTED_VALUE"""),"25cm Yellow Microfit one side crimped wires")</f>
        <v>25cm Yellow Microfit one side crimped wires</v>
      </c>
      <c r="X133" t="e">
        <f ca="1"/>
        <v>#NAME?</v>
      </c>
      <c r="Y133" t="e">
        <f t="shared" ca="1" si="1"/>
        <v>#NAME?</v>
      </c>
      <c r="Z133" t="e">
        <f ca="1">IF(X133="","",SUMIFS(#REF!,RM!$C$4:$C991,X133))</f>
        <v>#NAME?</v>
      </c>
      <c r="AA133" t="e">
        <f ca="1">IF(X133="","",SUMIFS(#REF!,RM!$C$4:$C991,X133))</f>
        <v>#NAME?</v>
      </c>
      <c r="AB133" t="e">
        <f t="shared" ca="1" si="2"/>
        <v>#NAME?</v>
      </c>
      <c r="AC133" t="e">
        <f ca="1">IF(X133="","",VLOOKUP($X133,RM!$C$4:$G991,3,FALSE))</f>
        <v>#NAME?</v>
      </c>
      <c r="AD133" t="e">
        <f ca="1">IF(X133="","",VLOOKUP($X133,RM!$C$4:$G991,4,FALSE))</f>
        <v>#NAME?</v>
      </c>
      <c r="AE133" t="e">
        <f ca="1">IF(X133="","",VLOOKUP($X133,RM!$C$4:$G991,5,FALSE))</f>
        <v>#NAME?</v>
      </c>
      <c r="AG133" t="str">
        <f ca="1">IFERROR(__xludf.DUMMYFUNCTION("""COMPUTED_VALUE"""),"PORT Signal CM Assy")</f>
        <v>PORT Signal CM Assy</v>
      </c>
      <c r="AH133" t="str">
        <f ca="1">IFERROR(__xludf.DUMMYFUNCTION("""COMPUTED_VALUE"""),"HeatShrink Tube 3:1")</f>
        <v>HeatShrink Tube 3:1</v>
      </c>
      <c r="AI133">
        <f ca="1">IFERROR(__xludf.DUMMYFUNCTION("""COMPUTED_VALUE"""),0.1)</f>
        <v>0.1</v>
      </c>
      <c r="AJ133" t="str">
        <f ca="1">IFERROR(__xludf.DUMMYFUNCTION("""COMPUTED_VALUE"""),"blank")</f>
        <v>blank</v>
      </c>
      <c r="AK133" t="e">
        <f ca="1">_xludf.IFNA(VLOOKUP(AG133,'S-FG'!$B$3:$B1001,1,FALSE),"")</f>
        <v>#NAME?</v>
      </c>
      <c r="AL133" t="e">
        <f ca="1">IF(AH133="","",SUMIFS(#REF!,RM!$C$4:$C991,AH133))</f>
        <v>#REF!</v>
      </c>
    </row>
    <row r="134" spans="5:38">
      <c r="E134" t="str">
        <f>IF(A134="","",SUMIFS(Issue!$D$3:$D1001,Issue!$C$3:$C1001,A134)*C134)</f>
        <v/>
      </c>
      <c r="F134" t="e">
        <f ca="1">_xludf.IFNA(VLOOKUP(B134,'S-FG'!$B$3:$B1001,1,FALSE),"")</f>
        <v>#NAME?</v>
      </c>
      <c r="H134" t="str">
        <f ca="1">IFERROR(__xludf.DUMMYFUNCTION("""COMPUTED_VALUE"""),"Charger Box Assy")</f>
        <v>Charger Box Assy</v>
      </c>
      <c r="I134" t="str">
        <f ca="1">IFERROR(__xludf.DUMMYFUNCTION("""COMPUTED_VALUE"""),"25cm Pink Microfit one side crimped wires")</f>
        <v>25cm Pink Microfit one side crimped wires</v>
      </c>
      <c r="J134">
        <f ca="1">IFERROR(__xludf.DUMMYFUNCTION("""COMPUTED_VALUE"""),1)</f>
        <v>1</v>
      </c>
      <c r="K134" t="str">
        <f ca="1">IFERROR(__xludf.DUMMYFUNCTION("""COMPUTED_VALUE"""),"blank")</f>
        <v>blank</v>
      </c>
      <c r="L134">
        <f t="shared" ca="1" si="0"/>
        <v>0</v>
      </c>
      <c r="Q134" t="str">
        <f>IF(N134="","",SUMIFS(Issue!$D$3:$D1001,Issue!$C$3:$C1001,N134))</f>
        <v/>
      </c>
      <c r="S134" t="str">
        <f ca="1">IFERROR(__xludf.DUMMYFUNCTION("""COMPUTED_VALUE"""),"25cm Blue Microfit one side crimped wires")</f>
        <v>25cm Blue Microfit one side crimped wires</v>
      </c>
      <c r="X134" t="e">
        <f ca="1"/>
        <v>#NAME?</v>
      </c>
      <c r="Y134" t="e">
        <f t="shared" ca="1" si="1"/>
        <v>#NAME?</v>
      </c>
      <c r="Z134" t="e">
        <f ca="1">IF(X134="","",SUMIFS(#REF!,RM!$C$4:$C991,X134))</f>
        <v>#NAME?</v>
      </c>
      <c r="AA134" t="e">
        <f ca="1">IF(X134="","",SUMIFS(#REF!,RM!$C$4:$C991,X134))</f>
        <v>#NAME?</v>
      </c>
      <c r="AB134" t="e">
        <f t="shared" ca="1" si="2"/>
        <v>#NAME?</v>
      </c>
      <c r="AC134" t="e">
        <f ca="1">IF(X134="","",VLOOKUP($X134,RM!$C$4:$G991,3,FALSE))</f>
        <v>#NAME?</v>
      </c>
      <c r="AD134" t="e">
        <f ca="1">IF(X134="","",VLOOKUP($X134,RM!$C$4:$G991,4,FALSE))</f>
        <v>#NAME?</v>
      </c>
      <c r="AE134" t="e">
        <f ca="1">IF(X134="","",VLOOKUP($X134,RM!$C$4:$G991,5,FALSE))</f>
        <v>#NAME?</v>
      </c>
      <c r="AG134" t="str">
        <f ca="1">IFERROR(__xludf.DUMMYFUNCTION("""COMPUTED_VALUE"""),"PORT Signal CM Assy")</f>
        <v>PORT Signal CM Assy</v>
      </c>
      <c r="AH134" t="str">
        <f ca="1">IFERROR(__xludf.DUMMYFUNCTION("""COMPUTED_VALUE"""),"Silicon RTV 734 Potting compound")</f>
        <v>Silicon RTV 734 Potting compound</v>
      </c>
      <c r="AI134">
        <f ca="1">IFERROR(__xludf.DUMMYFUNCTION("""COMPUTED_VALUE"""),10)</f>
        <v>10</v>
      </c>
      <c r="AJ134" t="str">
        <f ca="1">IFERROR(__xludf.DUMMYFUNCTION("""COMPUTED_VALUE"""),"blank")</f>
        <v>blank</v>
      </c>
      <c r="AK134" t="e">
        <f ca="1">_xludf.IFNA(VLOOKUP(AG134,'S-FG'!$B$3:$B1001,1,FALSE),"")</f>
        <v>#NAME?</v>
      </c>
      <c r="AL134" t="e">
        <f ca="1">IF(AH134="","",SUMIFS(#REF!,RM!$C$4:$C991,AH134))</f>
        <v>#REF!</v>
      </c>
    </row>
    <row r="135" spans="5:38">
      <c r="E135" t="str">
        <f>IF(A135="","",SUMIFS(Issue!$D$3:$D1001,Issue!$C$3:$C1001,A135)*C135)</f>
        <v/>
      </c>
      <c r="F135" t="e">
        <f ca="1">_xludf.IFNA(VLOOKUP(B135,'S-FG'!$B$3:$B1001,1,FALSE),"")</f>
        <v>#NAME?</v>
      </c>
      <c r="H135" t="str">
        <f ca="1">IFERROR(__xludf.DUMMYFUNCTION("""COMPUTED_VALUE"""),"Charger Box Assy")</f>
        <v>Charger Box Assy</v>
      </c>
      <c r="I135" t="str">
        <f ca="1">IFERROR(__xludf.DUMMYFUNCTION("""COMPUTED_VALUE"""),"25cm L.Brown Microfit one side crimped wires")</f>
        <v>25cm L.Brown Microfit one side crimped wires</v>
      </c>
      <c r="J135">
        <f ca="1">IFERROR(__xludf.DUMMYFUNCTION("""COMPUTED_VALUE"""),1)</f>
        <v>1</v>
      </c>
      <c r="K135" t="str">
        <f ca="1">IFERROR(__xludf.DUMMYFUNCTION("""COMPUTED_VALUE"""),"blank")</f>
        <v>blank</v>
      </c>
      <c r="L135">
        <f t="shared" ca="1" si="0"/>
        <v>0</v>
      </c>
      <c r="Q135" t="str">
        <f>IF(N135="","",SUMIFS(Issue!$D$3:$D1001,Issue!$C$3:$C1001,N135))</f>
        <v/>
      </c>
      <c r="S135" t="str">
        <f ca="1">IFERROR(__xludf.DUMMYFUNCTION("""COMPUTED_VALUE"""),"25cm Pink Microfit one side crimped wires")</f>
        <v>25cm Pink Microfit one side crimped wires</v>
      </c>
      <c r="X135" t="e">
        <f ca="1"/>
        <v>#NAME?</v>
      </c>
      <c r="Y135" t="e">
        <f t="shared" ca="1" si="1"/>
        <v>#NAME?</v>
      </c>
      <c r="Z135" t="e">
        <f ca="1">IF(X135="","",SUMIFS(#REF!,RM!$C$4:$C991,X135))</f>
        <v>#NAME?</v>
      </c>
      <c r="AA135" t="e">
        <f ca="1">IF(X135="","",SUMIFS(#REF!,RM!$C$4:$C991,X135))</f>
        <v>#NAME?</v>
      </c>
      <c r="AB135" t="e">
        <f t="shared" ca="1" si="2"/>
        <v>#NAME?</v>
      </c>
      <c r="AC135" t="e">
        <f ca="1">IF(X135="","",VLOOKUP($X135,RM!$C$4:$G991,3,FALSE))</f>
        <v>#NAME?</v>
      </c>
      <c r="AD135" t="e">
        <f ca="1">IF(X135="","",VLOOKUP($X135,RM!$C$4:$G991,4,FALSE))</f>
        <v>#NAME?</v>
      </c>
      <c r="AE135" t="e">
        <f ca="1">IF(X135="","",VLOOKUP($X135,RM!$C$4:$G991,5,FALSE))</f>
        <v>#NAME?</v>
      </c>
      <c r="AG135" t="str">
        <f ca="1">IFERROR(__xludf.DUMMYFUNCTION("""COMPUTED_VALUE"""),"Charging PM Assy")</f>
        <v>Charging PM Assy</v>
      </c>
      <c r="AH135" t="str">
        <f ca="1">IFERROR(__xludf.DUMMYFUNCTION("""COMPUTED_VALUE"""),"2mm male bullet connector")</f>
        <v>2mm male bullet connector</v>
      </c>
      <c r="AI135">
        <f ca="1">IFERROR(__xludf.DUMMYFUNCTION("""COMPUTED_VALUE"""),1)</f>
        <v>1</v>
      </c>
      <c r="AJ135" t="str">
        <f ca="1">IFERROR(__xludf.DUMMYFUNCTION("""COMPUTED_VALUE"""),"blank")</f>
        <v>blank</v>
      </c>
      <c r="AK135" t="e">
        <f ca="1">_xludf.IFNA(VLOOKUP(AG135,'S-FG'!$B$3:$B1001,1,FALSE),"")</f>
        <v>#NAME?</v>
      </c>
      <c r="AL135" t="e">
        <f ca="1">IF(AH135="","",SUMIFS(#REF!,RM!$C$4:$C991,AH135))</f>
        <v>#REF!</v>
      </c>
    </row>
    <row r="136" spans="5:38">
      <c r="E136" t="str">
        <f>IF(A136="","",SUMIFS(Issue!$D$3:$D1001,Issue!$C$3:$C1001,A136)*C136)</f>
        <v/>
      </c>
      <c r="F136" t="e">
        <f ca="1">_xludf.IFNA(VLOOKUP(B136,'S-FG'!$B$3:$B1001,1,FALSE),"")</f>
        <v>#NAME?</v>
      </c>
      <c r="H136" t="str">
        <f ca="1">IFERROR(__xludf.DUMMYFUNCTION("""COMPUTED_VALUE"""),"Charger Box Assy")</f>
        <v>Charger Box Assy</v>
      </c>
      <c r="I136" t="str">
        <f ca="1">IFERROR(__xludf.DUMMYFUNCTION("""COMPUTED_VALUE"""),"25cm D.Brown Microfit one side crimped wires")</f>
        <v>25cm D.Brown Microfit one side crimped wires</v>
      </c>
      <c r="J136">
        <f ca="1">IFERROR(__xludf.DUMMYFUNCTION("""COMPUTED_VALUE"""),1)</f>
        <v>1</v>
      </c>
      <c r="K136" t="str">
        <f ca="1">IFERROR(__xludf.DUMMYFUNCTION("""COMPUTED_VALUE"""),"blank")</f>
        <v>blank</v>
      </c>
      <c r="L136">
        <f t="shared" ca="1" si="0"/>
        <v>0</v>
      </c>
      <c r="Q136" t="str">
        <f>IF(N136="","",SUMIFS(Issue!$D$3:$D1001,Issue!$C$3:$C1001,N136))</f>
        <v/>
      </c>
      <c r="S136" t="str">
        <f ca="1">IFERROR(__xludf.DUMMYFUNCTION("""COMPUTED_VALUE"""),"25cm L.Brown Microfit one side crimped wires")</f>
        <v>25cm L.Brown Microfit one side crimped wires</v>
      </c>
      <c r="X136" t="e">
        <f ca="1"/>
        <v>#NAME?</v>
      </c>
      <c r="Y136" t="e">
        <f t="shared" ca="1" si="1"/>
        <v>#NAME?</v>
      </c>
      <c r="Z136" t="e">
        <f ca="1">IF(X136="","",SUMIFS(#REF!,RM!$C$4:$C991,X136))</f>
        <v>#NAME?</v>
      </c>
      <c r="AA136" t="e">
        <f ca="1">IF(X136="","",SUMIFS(#REF!,RM!$C$4:$C991,X136))</f>
        <v>#NAME?</v>
      </c>
      <c r="AB136" t="e">
        <f t="shared" ca="1" si="2"/>
        <v>#NAME?</v>
      </c>
      <c r="AC136" t="e">
        <f ca="1">IF(X136="","",VLOOKUP($X136,RM!$C$4:$G991,3,FALSE))</f>
        <v>#NAME?</v>
      </c>
      <c r="AD136" t="e">
        <f ca="1">IF(X136="","",VLOOKUP($X136,RM!$C$4:$G991,4,FALSE))</f>
        <v>#NAME?</v>
      </c>
      <c r="AE136" t="e">
        <f ca="1">IF(X136="","",VLOOKUP($X136,RM!$C$4:$G991,5,FALSE))</f>
        <v>#NAME?</v>
      </c>
      <c r="AG136" t="str">
        <f ca="1">IFERROR(__xludf.DUMMYFUNCTION("""COMPUTED_VALUE"""),"Charging PM Assy")</f>
        <v>Charging PM Assy</v>
      </c>
      <c r="AH136" t="str">
        <f ca="1">IFERROR(__xludf.DUMMYFUNCTION("""COMPUTED_VALUE"""),"Black 18 AWG")</f>
        <v>Black 18 AWG</v>
      </c>
      <c r="AI136">
        <f ca="1">IFERROR(__xludf.DUMMYFUNCTION("""COMPUTED_VALUE"""),0.35)</f>
        <v>0.35</v>
      </c>
      <c r="AJ136" t="str">
        <f ca="1">IFERROR(__xludf.DUMMYFUNCTION("""COMPUTED_VALUE"""),"blank")</f>
        <v>blank</v>
      </c>
      <c r="AK136" t="e">
        <f ca="1">_xludf.IFNA(VLOOKUP(AG136,'S-FG'!$B$3:$B1001,1,FALSE),"")</f>
        <v>#NAME?</v>
      </c>
      <c r="AL136" t="e">
        <f ca="1">IF(AH136="","",SUMIFS(#REF!,RM!$C$4:$C991,AH136))</f>
        <v>#REF!</v>
      </c>
    </row>
    <row r="137" spans="5:38">
      <c r="E137" t="str">
        <f>IF(A137="","",SUMIFS(Issue!$D$3:$D1001,Issue!$C$3:$C1001,A137)*C137)</f>
        <v/>
      </c>
      <c r="F137" t="e">
        <f ca="1">_xludf.IFNA(VLOOKUP(B137,'S-FG'!$B$3:$B1001,1,FALSE),"")</f>
        <v>#NAME?</v>
      </c>
      <c r="H137" t="str">
        <f ca="1">IFERROR(__xludf.DUMMYFUNCTION("""COMPUTED_VALUE"""),"Charger Box Assy")</f>
        <v>Charger Box Assy</v>
      </c>
      <c r="I137" t="str">
        <f ca="1">IFERROR(__xludf.DUMMYFUNCTION("""COMPUTED_VALUE"""),"25cm White Microfit one side crimped wires")</f>
        <v>25cm White Microfit one side crimped wires</v>
      </c>
      <c r="J137">
        <f ca="1">IFERROR(__xludf.DUMMYFUNCTION("""COMPUTED_VALUE"""),1)</f>
        <v>1</v>
      </c>
      <c r="K137" t="str">
        <f ca="1">IFERROR(__xludf.DUMMYFUNCTION("""COMPUTED_VALUE"""),"blank")</f>
        <v>blank</v>
      </c>
      <c r="L137">
        <f t="shared" ca="1" si="0"/>
        <v>0</v>
      </c>
      <c r="Q137" t="str">
        <f>IF(N137="","",SUMIFS(Issue!$D$3:$D1001,Issue!$C$3:$C1001,N137))</f>
        <v/>
      </c>
      <c r="S137" t="str">
        <f ca="1">IFERROR(__xludf.DUMMYFUNCTION("""COMPUTED_VALUE"""),"25cm D.Brown Microfit one side crimped wires")</f>
        <v>25cm D.Brown Microfit one side crimped wires</v>
      </c>
      <c r="X137" t="e">
        <f ca="1"/>
        <v>#NAME?</v>
      </c>
      <c r="Y137" t="e">
        <f t="shared" ca="1" si="1"/>
        <v>#NAME?</v>
      </c>
      <c r="Z137" t="e">
        <f ca="1">IF(X137="","",SUMIFS(#REF!,RM!$C$4:$C991,X137))</f>
        <v>#NAME?</v>
      </c>
      <c r="AA137" t="e">
        <f ca="1">IF(X137="","",SUMIFS(#REF!,RM!$C$4:$C991,X137))</f>
        <v>#NAME?</v>
      </c>
      <c r="AB137" t="e">
        <f t="shared" ca="1" si="2"/>
        <v>#NAME?</v>
      </c>
      <c r="AC137" t="e">
        <f ca="1">IF(X137="","",VLOOKUP($X137,RM!$C$4:$G991,3,FALSE))</f>
        <v>#NAME?</v>
      </c>
      <c r="AD137" t="e">
        <f ca="1">IF(X137="","",VLOOKUP($X137,RM!$C$4:$G991,4,FALSE))</f>
        <v>#NAME?</v>
      </c>
      <c r="AE137" t="e">
        <f ca="1">IF(X137="","",VLOOKUP($X137,RM!$C$4:$G991,5,FALSE))</f>
        <v>#NAME?</v>
      </c>
      <c r="AG137" t="str">
        <f ca="1">IFERROR(__xludf.DUMMYFUNCTION("""COMPUTED_VALUE"""),"Charging PM Assy")</f>
        <v>Charging PM Assy</v>
      </c>
      <c r="AH137" t="str">
        <f ca="1">IFERROR(__xludf.DUMMYFUNCTION("""COMPUTED_VALUE"""),"Black 20 AWG")</f>
        <v>Black 20 AWG</v>
      </c>
      <c r="AI137">
        <f ca="1">IFERROR(__xludf.DUMMYFUNCTION("""COMPUTED_VALUE"""),0.3)</f>
        <v>0.3</v>
      </c>
      <c r="AJ137" t="str">
        <f ca="1">IFERROR(__xludf.DUMMYFUNCTION("""COMPUTED_VALUE"""),"blank")</f>
        <v>blank</v>
      </c>
      <c r="AK137" t="e">
        <f ca="1">_xludf.IFNA(VLOOKUP(AG137,'S-FG'!$B$3:$B1001,1,FALSE),"")</f>
        <v>#NAME?</v>
      </c>
      <c r="AL137" t="e">
        <f ca="1">IF(AH137="","",SUMIFS(#REF!,RM!$C$4:$C991,AH137))</f>
        <v>#REF!</v>
      </c>
    </row>
    <row r="138" spans="5:38">
      <c r="E138" t="str">
        <f>IF(A138="","",SUMIFS(Issue!$D$3:$D1001,Issue!$C$3:$C1001,A138)*C138)</f>
        <v/>
      </c>
      <c r="F138" t="e">
        <f ca="1">_xludf.IFNA(VLOOKUP(B138,'S-FG'!$B$3:$B1001,1,FALSE),"")</f>
        <v>#NAME?</v>
      </c>
      <c r="H138" t="str">
        <f ca="1">IFERROR(__xludf.DUMMYFUNCTION("""COMPUTED_VALUE"""),"Charger Box Assy")</f>
        <v>Charger Box Assy</v>
      </c>
      <c r="I138" t="str">
        <f ca="1">IFERROR(__xludf.DUMMYFUNCTION("""COMPUTED_VALUE"""),"25cm White-Red Microfit one side crimped wires")</f>
        <v>25cm White-Red Microfit one side crimped wires</v>
      </c>
      <c r="J138">
        <f ca="1">IFERROR(__xludf.DUMMYFUNCTION("""COMPUTED_VALUE"""),1)</f>
        <v>1</v>
      </c>
      <c r="K138" t="str">
        <f ca="1">IFERROR(__xludf.DUMMYFUNCTION("""COMPUTED_VALUE"""),"blank")</f>
        <v>blank</v>
      </c>
      <c r="L138">
        <f t="shared" ca="1" si="0"/>
        <v>0</v>
      </c>
      <c r="Q138" t="str">
        <f>IF(N138="","",SUMIFS(Issue!$D$3:$D1001,Issue!$C$3:$C1001,N138))</f>
        <v/>
      </c>
      <c r="S138" t="str">
        <f ca="1">IFERROR(__xludf.DUMMYFUNCTION("""COMPUTED_VALUE"""),"25cm White Microfit one side crimped wires")</f>
        <v>25cm White Microfit one side crimped wires</v>
      </c>
      <c r="X138" t="e">
        <f ca="1"/>
        <v>#NAME?</v>
      </c>
      <c r="Y138" t="e">
        <f t="shared" ca="1" si="1"/>
        <v>#NAME?</v>
      </c>
      <c r="Z138" t="e">
        <f ca="1">IF(X138="","",SUMIFS(#REF!,RM!$C$4:$C991,X138))</f>
        <v>#NAME?</v>
      </c>
      <c r="AA138" t="e">
        <f ca="1">IF(X138="","",SUMIFS(#REF!,RM!$C$4:$C991,X138))</f>
        <v>#NAME?</v>
      </c>
      <c r="AB138" t="e">
        <f t="shared" ca="1" si="2"/>
        <v>#NAME?</v>
      </c>
      <c r="AC138" t="e">
        <f ca="1">IF(X138="","",VLOOKUP($X138,RM!$C$4:$G991,3,FALSE))</f>
        <v>#NAME?</v>
      </c>
      <c r="AD138" t="e">
        <f ca="1">IF(X138="","",VLOOKUP($X138,RM!$C$4:$G991,4,FALSE))</f>
        <v>#NAME?</v>
      </c>
      <c r="AE138" t="e">
        <f ca="1">IF(X138="","",VLOOKUP($X138,RM!$C$4:$G991,5,FALSE))</f>
        <v>#NAME?</v>
      </c>
      <c r="AG138" t="str">
        <f ca="1">IFERROR(__xludf.DUMMYFUNCTION("""COMPUTED_VALUE"""),"Charging PM Assy")</f>
        <v>Charging PM Assy</v>
      </c>
      <c r="AH138" t="str">
        <f ca="1">IFERROR(__xludf.DUMMYFUNCTION("""COMPUTED_VALUE"""),"Red 20 AWG")</f>
        <v>Red 20 AWG</v>
      </c>
      <c r="AI138">
        <f ca="1">IFERROR(__xludf.DUMMYFUNCTION("""COMPUTED_VALUE"""),0.3)</f>
        <v>0.3</v>
      </c>
      <c r="AJ138" t="str">
        <f ca="1">IFERROR(__xludf.DUMMYFUNCTION("""COMPUTED_VALUE"""),"blank")</f>
        <v>blank</v>
      </c>
      <c r="AK138" t="e">
        <f ca="1">_xludf.IFNA(VLOOKUP(AG138,'S-FG'!$B$3:$B1001,1,FALSE),"")</f>
        <v>#NAME?</v>
      </c>
      <c r="AL138" t="e">
        <f ca="1">IF(AH138="","",SUMIFS(#REF!,RM!$C$4:$C991,AH138))</f>
        <v>#REF!</v>
      </c>
    </row>
    <row r="139" spans="5:38">
      <c r="E139" t="str">
        <f>IF(A139="","",SUMIFS(Issue!$D$3:$D1001,Issue!$C$3:$C1001,A139)*C139)</f>
        <v/>
      </c>
      <c r="F139" t="e">
        <f ca="1">_xludf.IFNA(VLOOKUP(B139,'S-FG'!$B$3:$B1001,1,FALSE),"")</f>
        <v>#NAME?</v>
      </c>
      <c r="H139" t="str">
        <f ca="1">IFERROR(__xludf.DUMMYFUNCTION("""COMPUTED_VALUE"""),"Charger Box Assy")</f>
        <v>Charger Box Assy</v>
      </c>
      <c r="I139" t="str">
        <f ca="1">IFERROR(__xludf.DUMMYFUNCTION("""COMPUTED_VALUE"""),"25cm Red Microfit one side crimped wires")</f>
        <v>25cm Red Microfit one side crimped wires</v>
      </c>
      <c r="J139">
        <f ca="1">IFERROR(__xludf.DUMMYFUNCTION("""COMPUTED_VALUE"""),1)</f>
        <v>1</v>
      </c>
      <c r="K139" t="str">
        <f ca="1">IFERROR(__xludf.DUMMYFUNCTION("""COMPUTED_VALUE"""),"blank")</f>
        <v>blank</v>
      </c>
      <c r="L139">
        <f t="shared" ca="1" si="0"/>
        <v>0</v>
      </c>
      <c r="Q139" t="str">
        <f>IF(N139="","",SUMIFS(Issue!$D$3:$D1001,Issue!$C$3:$C1001,N139))</f>
        <v/>
      </c>
      <c r="S139" t="str">
        <f ca="1">IFERROR(__xludf.DUMMYFUNCTION("""COMPUTED_VALUE"""),"25cm White-Red Microfit one side crimped wires")</f>
        <v>25cm White-Red Microfit one side crimped wires</v>
      </c>
      <c r="X139" t="e">
        <f ca="1"/>
        <v>#NAME?</v>
      </c>
      <c r="Y139" t="e">
        <f t="shared" ca="1" si="1"/>
        <v>#NAME?</v>
      </c>
      <c r="Z139" t="e">
        <f ca="1">IF(X139="","",SUMIFS(#REF!,RM!$C$4:$C991,X139))</f>
        <v>#NAME?</v>
      </c>
      <c r="AA139" t="e">
        <f ca="1">IF(X139="","",SUMIFS(#REF!,RM!$C$4:$C991,X139))</f>
        <v>#NAME?</v>
      </c>
      <c r="AB139" t="e">
        <f t="shared" ca="1" si="2"/>
        <v>#NAME?</v>
      </c>
      <c r="AC139" t="e">
        <f ca="1">IF(X139="","",VLOOKUP($X139,RM!$C$4:$G991,3,FALSE))</f>
        <v>#NAME?</v>
      </c>
      <c r="AD139" t="e">
        <f ca="1">IF(X139="","",VLOOKUP($X139,RM!$C$4:$G991,4,FALSE))</f>
        <v>#NAME?</v>
      </c>
      <c r="AE139" t="e">
        <f ca="1">IF(X139="","",VLOOKUP($X139,RM!$C$4:$G991,5,FALSE))</f>
        <v>#NAME?</v>
      </c>
      <c r="AG139" t="str">
        <f ca="1">IFERROR(__xludf.DUMMYFUNCTION("""COMPUTED_VALUE"""),"Charging PM Assy")</f>
        <v>Charging PM Assy</v>
      </c>
      <c r="AH139" t="str">
        <f ca="1">IFERROR(__xludf.DUMMYFUNCTION("""COMPUTED_VALUE"""),"13 pin JST-XH housing")</f>
        <v>13 pin JST-XH housing</v>
      </c>
      <c r="AI139">
        <f ca="1">IFERROR(__xludf.DUMMYFUNCTION("""COMPUTED_VALUE"""),1)</f>
        <v>1</v>
      </c>
      <c r="AJ139" t="str">
        <f ca="1">IFERROR(__xludf.DUMMYFUNCTION("""COMPUTED_VALUE"""),"blank")</f>
        <v>blank</v>
      </c>
      <c r="AK139" t="e">
        <f ca="1">_xludf.IFNA(VLOOKUP(AG139,'S-FG'!$B$3:$B1001,1,FALSE),"")</f>
        <v>#NAME?</v>
      </c>
      <c r="AL139" t="e">
        <f ca="1">IF(AH139="","",SUMIFS(#REF!,RM!$C$4:$C991,AH139))</f>
        <v>#REF!</v>
      </c>
    </row>
    <row r="140" spans="5:38">
      <c r="E140" t="str">
        <f>IF(A140="","",SUMIFS(Issue!$D$3:$D1001,Issue!$C$3:$C1001,A140)*C140)</f>
        <v/>
      </c>
      <c r="F140" t="e">
        <f ca="1">_xludf.IFNA(VLOOKUP(B140,'S-FG'!$B$3:$B1001,1,FALSE),"")</f>
        <v>#NAME?</v>
      </c>
      <c r="H140" t="str">
        <f ca="1">IFERROR(__xludf.DUMMYFUNCTION("""COMPUTED_VALUE"""),"Charger Box Assy")</f>
        <v>Charger Box Assy</v>
      </c>
      <c r="I140" t="str">
        <f ca="1">IFERROR(__xludf.DUMMYFUNCTION("""COMPUTED_VALUE"""),"25cm Dark Blue Microfit one side crimped wires")</f>
        <v>25cm Dark Blue Microfit one side crimped wires</v>
      </c>
      <c r="J140">
        <f ca="1">IFERROR(__xludf.DUMMYFUNCTION("""COMPUTED_VALUE"""),1)</f>
        <v>1</v>
      </c>
      <c r="K140" t="str">
        <f ca="1">IFERROR(__xludf.DUMMYFUNCTION("""COMPUTED_VALUE"""),"blank")</f>
        <v>blank</v>
      </c>
      <c r="L140">
        <f t="shared" ca="1" si="0"/>
        <v>0</v>
      </c>
      <c r="Q140" t="str">
        <f>IF(N140="","",SUMIFS(Issue!$D$3:$D1001,Issue!$C$3:$C1001,N140))</f>
        <v/>
      </c>
      <c r="S140" t="str">
        <f ca="1">IFERROR(__xludf.DUMMYFUNCTION("""COMPUTED_VALUE"""),"25cm Red Microfit one side crimped wires")</f>
        <v>25cm Red Microfit one side crimped wires</v>
      </c>
      <c r="X140" t="e">
        <f ca="1"/>
        <v>#NAME?</v>
      </c>
      <c r="Y140" t="e">
        <f t="shared" ca="1" si="1"/>
        <v>#NAME?</v>
      </c>
      <c r="Z140" t="e">
        <f ca="1">IF(X140="","",SUMIFS(#REF!,RM!$C$4:$C991,X140))</f>
        <v>#NAME?</v>
      </c>
      <c r="AA140" t="e">
        <f ca="1">IF(X140="","",SUMIFS(#REF!,RM!$C$4:$C991,X140))</f>
        <v>#NAME?</v>
      </c>
      <c r="AB140" t="e">
        <f t="shared" ca="1" si="2"/>
        <v>#NAME?</v>
      </c>
      <c r="AC140" t="e">
        <f ca="1">IF(X140="","",VLOOKUP($X140,RM!$C$4:$G991,3,FALSE))</f>
        <v>#NAME?</v>
      </c>
      <c r="AD140" t="e">
        <f ca="1">IF(X140="","",VLOOKUP($X140,RM!$C$4:$G991,4,FALSE))</f>
        <v>#NAME?</v>
      </c>
      <c r="AE140" t="e">
        <f ca="1">IF(X140="","",VLOOKUP($X140,RM!$C$4:$G991,5,FALSE))</f>
        <v>#NAME?</v>
      </c>
      <c r="AG140" t="str">
        <f ca="1">IFERROR(__xludf.DUMMYFUNCTION("""COMPUTED_VALUE"""),"Charging PM Assy")</f>
        <v>Charging PM Assy</v>
      </c>
      <c r="AH140" t="str">
        <f ca="1">IFERROR(__xludf.DUMMYFUNCTION("""COMPUTED_VALUE"""),"10cm one sided JST crimped Green")</f>
        <v>10cm one sided JST crimped Green</v>
      </c>
      <c r="AI140">
        <f ca="1">IFERROR(__xludf.DUMMYFUNCTION("""COMPUTED_VALUE"""),1)</f>
        <v>1</v>
      </c>
      <c r="AJ140" t="str">
        <f ca="1">IFERROR(__xludf.DUMMYFUNCTION("""COMPUTED_VALUE"""),"blank")</f>
        <v>blank</v>
      </c>
      <c r="AK140" t="e">
        <f ca="1">_xludf.IFNA(VLOOKUP(AG140,'S-FG'!$B$3:$B1001,1,FALSE),"")</f>
        <v>#NAME?</v>
      </c>
      <c r="AL140" t="e">
        <f ca="1">IF(AH140="","",SUMIFS(#REF!,RM!$C$4:$C991,AH140))</f>
        <v>#REF!</v>
      </c>
    </row>
    <row r="141" spans="5:38">
      <c r="E141" t="str">
        <f>IF(A141="","",SUMIFS(Issue!$D$3:$D1001,Issue!$C$3:$C1001,A141)*C141)</f>
        <v/>
      </c>
      <c r="F141" t="e">
        <f ca="1">_xludf.IFNA(VLOOKUP(B141,'S-FG'!$B$3:$B1001,1,FALSE),"")</f>
        <v>#NAME?</v>
      </c>
      <c r="H141" t="str">
        <f ca="1">IFERROR(__xludf.DUMMYFUNCTION("""COMPUTED_VALUE"""),"Charger Box Assy")</f>
        <v>Charger Box Assy</v>
      </c>
      <c r="I141" t="str">
        <f ca="1">IFERROR(__xludf.DUMMYFUNCTION("""COMPUTED_VALUE"""),"25cm Orange Microfit one side crimped wires")</f>
        <v>25cm Orange Microfit one side crimped wires</v>
      </c>
      <c r="J141">
        <f ca="1">IFERROR(__xludf.DUMMYFUNCTION("""COMPUTED_VALUE"""),1)</f>
        <v>1</v>
      </c>
      <c r="K141" t="str">
        <f ca="1">IFERROR(__xludf.DUMMYFUNCTION("""COMPUTED_VALUE"""),"blank")</f>
        <v>blank</v>
      </c>
      <c r="L141">
        <f t="shared" ca="1" si="0"/>
        <v>0</v>
      </c>
      <c r="Q141" t="str">
        <f>IF(N141="","",SUMIFS(Issue!$D$3:$D1001,Issue!$C$3:$C1001,N141))</f>
        <v/>
      </c>
      <c r="S141" t="str">
        <f ca="1">IFERROR(__xludf.DUMMYFUNCTION("""COMPUTED_VALUE"""),"25cm Dark Blue Microfit one side crimped wires")</f>
        <v>25cm Dark Blue Microfit one side crimped wires</v>
      </c>
      <c r="X141" t="e">
        <f ca="1"/>
        <v>#NAME?</v>
      </c>
      <c r="Y141" t="e">
        <f t="shared" ca="1" si="1"/>
        <v>#NAME?</v>
      </c>
      <c r="Z141" t="e">
        <f ca="1">IF(X141="","",SUMIFS(#REF!,RM!$C$4:$C991,X141))</f>
        <v>#NAME?</v>
      </c>
      <c r="AA141" t="e">
        <f ca="1">IF(X141="","",SUMIFS(#REF!,RM!$C$4:$C991,X141))</f>
        <v>#NAME?</v>
      </c>
      <c r="AB141" t="e">
        <f t="shared" ca="1" si="2"/>
        <v>#NAME?</v>
      </c>
      <c r="AC141" t="e">
        <f ca="1">IF(X141="","",VLOOKUP($X141,RM!$C$4:$G991,3,FALSE))</f>
        <v>#NAME?</v>
      </c>
      <c r="AD141" t="e">
        <f ca="1">IF(X141="","",VLOOKUP($X141,RM!$C$4:$G991,4,FALSE))</f>
        <v>#NAME?</v>
      </c>
      <c r="AE141" t="e">
        <f ca="1">IF(X141="","",VLOOKUP($X141,RM!$C$4:$G991,5,FALSE))</f>
        <v>#NAME?</v>
      </c>
      <c r="AG141" t="str">
        <f ca="1">IFERROR(__xludf.DUMMYFUNCTION("""COMPUTED_VALUE"""),"Charging PM Assy")</f>
        <v>Charging PM Assy</v>
      </c>
      <c r="AH141" t="str">
        <f ca="1">IFERROR(__xludf.DUMMYFUNCTION("""COMPUTED_VALUE"""),"10cm one sided JST crimped Voilet")</f>
        <v>10cm one sided JST crimped Voilet</v>
      </c>
      <c r="AI141">
        <f ca="1">IFERROR(__xludf.DUMMYFUNCTION("""COMPUTED_VALUE"""),1)</f>
        <v>1</v>
      </c>
      <c r="AJ141" t="str">
        <f ca="1">IFERROR(__xludf.DUMMYFUNCTION("""COMPUTED_VALUE"""),"blank")</f>
        <v>blank</v>
      </c>
      <c r="AK141" t="e">
        <f ca="1">_xludf.IFNA(VLOOKUP(AG141,'S-FG'!$B$3:$B1001,1,FALSE),"")</f>
        <v>#NAME?</v>
      </c>
      <c r="AL141" t="e">
        <f ca="1">IF(AH141="","",SUMIFS(#REF!,RM!$C$4:$C991,AH141))</f>
        <v>#REF!</v>
      </c>
    </row>
    <row r="142" spans="5:38">
      <c r="E142" t="str">
        <f>IF(A142="","",SUMIFS(Issue!$D$3:$D1001,Issue!$C$3:$C1001,A142)*C142)</f>
        <v/>
      </c>
      <c r="F142" t="e">
        <f ca="1">_xludf.IFNA(VLOOKUP(B142,'S-FG'!$B$3:$B1001,1,FALSE),"")</f>
        <v>#NAME?</v>
      </c>
      <c r="H142" t="str">
        <f ca="1">IFERROR(__xludf.DUMMYFUNCTION("""COMPUTED_VALUE"""),"Charger Box Assy")</f>
        <v>Charger Box Assy</v>
      </c>
      <c r="I142" t="str">
        <f ca="1">IFERROR(__xludf.DUMMYFUNCTION("""COMPUTED_VALUE"""),"18pin Microfit housing")</f>
        <v>18pin Microfit housing</v>
      </c>
      <c r="J142">
        <f ca="1">IFERROR(__xludf.DUMMYFUNCTION("""COMPUTED_VALUE"""),1)</f>
        <v>1</v>
      </c>
      <c r="K142" t="str">
        <f ca="1">IFERROR(__xludf.DUMMYFUNCTION("""COMPUTED_VALUE"""),"blank")</f>
        <v>blank</v>
      </c>
      <c r="L142">
        <f t="shared" ca="1" si="0"/>
        <v>0</v>
      </c>
      <c r="Q142" t="str">
        <f>IF(N142="","",SUMIFS(Issue!$D$3:$D1001,Issue!$C$3:$C1001,N142))</f>
        <v/>
      </c>
      <c r="S142" t="str">
        <f ca="1">IFERROR(__xludf.DUMMYFUNCTION("""COMPUTED_VALUE"""),"25cm Orange Microfit one side crimped wires")</f>
        <v>25cm Orange Microfit one side crimped wires</v>
      </c>
      <c r="X142" t="e">
        <f ca="1"/>
        <v>#NAME?</v>
      </c>
      <c r="Y142" t="e">
        <f t="shared" ca="1" si="1"/>
        <v>#NAME?</v>
      </c>
      <c r="Z142" t="e">
        <f ca="1">IF(X142="","",SUMIFS(#REF!,RM!$C$4:$C991,X142))</f>
        <v>#NAME?</v>
      </c>
      <c r="AA142" t="e">
        <f ca="1">IF(X142="","",SUMIFS(#REF!,RM!$C$4:$C991,X142))</f>
        <v>#NAME?</v>
      </c>
      <c r="AB142" t="e">
        <f t="shared" ca="1" si="2"/>
        <v>#NAME?</v>
      </c>
      <c r="AC142" t="e">
        <f ca="1">IF(X142="","",VLOOKUP($X142,RM!$C$4:$G991,3,FALSE))</f>
        <v>#NAME?</v>
      </c>
      <c r="AD142" t="e">
        <f ca="1">IF(X142="","",VLOOKUP($X142,RM!$C$4:$G991,4,FALSE))</f>
        <v>#NAME?</v>
      </c>
      <c r="AE142" t="e">
        <f ca="1">IF(X142="","",VLOOKUP($X142,RM!$C$4:$G991,5,FALSE))</f>
        <v>#NAME?</v>
      </c>
      <c r="AG142" t="str">
        <f ca="1">IFERROR(__xludf.DUMMYFUNCTION("""COMPUTED_VALUE"""),"Charging PM Assy")</f>
        <v>Charging PM Assy</v>
      </c>
      <c r="AH142" t="str">
        <f ca="1">IFERROR(__xludf.DUMMYFUNCTION("""COMPUTED_VALUE"""),"10cm one sided JST crimped Yellow")</f>
        <v>10cm one sided JST crimped Yellow</v>
      </c>
      <c r="AI142">
        <f ca="1">IFERROR(__xludf.DUMMYFUNCTION("""COMPUTED_VALUE"""),1)</f>
        <v>1</v>
      </c>
      <c r="AJ142" t="str">
        <f ca="1">IFERROR(__xludf.DUMMYFUNCTION("""COMPUTED_VALUE"""),"blank")</f>
        <v>blank</v>
      </c>
      <c r="AK142" t="e">
        <f ca="1">_xludf.IFNA(VLOOKUP(AG142,'S-FG'!$B$3:$B1001,1,FALSE),"")</f>
        <v>#NAME?</v>
      </c>
      <c r="AL142" t="e">
        <f ca="1">IF(AH142="","",SUMIFS(#REF!,RM!$C$4:$C991,AH142))</f>
        <v>#REF!</v>
      </c>
    </row>
    <row r="143" spans="5:38">
      <c r="E143" t="str">
        <f>IF(A143="","",SUMIFS(Issue!$D$3:$D1001,Issue!$C$3:$C1001,A143)*C143)</f>
        <v/>
      </c>
      <c r="F143" t="e">
        <f ca="1">_xludf.IFNA(VLOOKUP(B143,'S-FG'!$B$3:$B1001,1,FALSE),"")</f>
        <v>#NAME?</v>
      </c>
      <c r="H143" t="str">
        <f ca="1">IFERROR(__xludf.DUMMYFUNCTION("""COMPUTED_VALUE"""),"Charger Box Assy")</f>
        <v>Charger Box Assy</v>
      </c>
      <c r="I143" t="str">
        <f ca="1">IFERROR(__xludf.DUMMYFUNCTION("""COMPUTED_VALUE"""),"12S Lipo Charger")</f>
        <v>12S Lipo Charger</v>
      </c>
      <c r="J143">
        <f ca="1">IFERROR(__xludf.DUMMYFUNCTION("""COMPUTED_VALUE"""),1)</f>
        <v>1</v>
      </c>
      <c r="K143" t="str">
        <f ca="1">IFERROR(__xludf.DUMMYFUNCTION("""COMPUTED_VALUE"""),"blank")</f>
        <v>blank</v>
      </c>
      <c r="L143">
        <f t="shared" ca="1" si="0"/>
        <v>0</v>
      </c>
      <c r="Q143" t="str">
        <f>IF(N143="","",SUMIFS(Issue!$D$3:$D1001,Issue!$C$3:$C1001,N143))</f>
        <v/>
      </c>
      <c r="S143" t="str">
        <f ca="1">IFERROR(__xludf.DUMMYFUNCTION("""COMPUTED_VALUE"""),"18pin Microfit housing")</f>
        <v>18pin Microfit housing</v>
      </c>
      <c r="X143" t="e">
        <f ca="1"/>
        <v>#NAME?</v>
      </c>
      <c r="Y143" t="e">
        <f t="shared" ca="1" si="1"/>
        <v>#NAME?</v>
      </c>
      <c r="Z143" t="e">
        <f ca="1">IF(X143="","",SUMIFS(#REF!,RM!$C$4:$C991,X143))</f>
        <v>#NAME?</v>
      </c>
      <c r="AA143" t="e">
        <f ca="1">IF(X143="","",SUMIFS(#REF!,RM!$C$4:$C991,X143))</f>
        <v>#NAME?</v>
      </c>
      <c r="AB143" t="e">
        <f t="shared" ca="1" si="2"/>
        <v>#NAME?</v>
      </c>
      <c r="AC143" t="e">
        <f ca="1">IF(X143="","",VLOOKUP($X143,RM!$C$4:$G991,3,FALSE))</f>
        <v>#NAME?</v>
      </c>
      <c r="AD143" t="e">
        <f ca="1">IF(X143="","",VLOOKUP($X143,RM!$C$4:$G991,4,FALSE))</f>
        <v>#NAME?</v>
      </c>
      <c r="AE143" t="e">
        <f ca="1">IF(X143="","",VLOOKUP($X143,RM!$C$4:$G991,5,FALSE))</f>
        <v>#NAME?</v>
      </c>
      <c r="AG143" t="str">
        <f ca="1">IFERROR(__xludf.DUMMYFUNCTION("""COMPUTED_VALUE"""),"Charging PM Assy")</f>
        <v>Charging PM Assy</v>
      </c>
      <c r="AH143" t="str">
        <f ca="1">IFERROR(__xludf.DUMMYFUNCTION("""COMPUTED_VALUE"""),"10cm one sided JST crimped Sky Blue")</f>
        <v>10cm one sided JST crimped Sky Blue</v>
      </c>
      <c r="AI143">
        <f ca="1">IFERROR(__xludf.DUMMYFUNCTION("""COMPUTED_VALUE"""),1)</f>
        <v>1</v>
      </c>
      <c r="AJ143" t="str">
        <f ca="1">IFERROR(__xludf.DUMMYFUNCTION("""COMPUTED_VALUE"""),"blank")</f>
        <v>blank</v>
      </c>
      <c r="AK143" t="e">
        <f ca="1">_xludf.IFNA(VLOOKUP(AG143,'S-FG'!$B$3:$B1001,1,FALSE),"")</f>
        <v>#NAME?</v>
      </c>
      <c r="AL143" t="e">
        <f ca="1">IF(AH143="","",SUMIFS(#REF!,RM!$C$4:$C991,AH143))</f>
        <v>#REF!</v>
      </c>
    </row>
    <row r="144" spans="5:38">
      <c r="E144" t="str">
        <f>IF(A144="","",SUMIFS(Issue!$D$3:$D1001,Issue!$C$3:$C1001,A144)*C144)</f>
        <v/>
      </c>
      <c r="F144" t="e">
        <f ca="1">_xludf.IFNA(VLOOKUP(B144,'S-FG'!$B$3:$B1001,1,FALSE),"")</f>
        <v>#NAME?</v>
      </c>
      <c r="H144" t="str">
        <f ca="1">IFERROR(__xludf.DUMMYFUNCTION("""COMPUTED_VALUE"""),"Charger Box Assy")</f>
        <v>Charger Box Assy</v>
      </c>
      <c r="I144" t="str">
        <f ca="1">IFERROR(__xludf.DUMMYFUNCTION("""COMPUTED_VALUE"""),"130x80x60 enclosure box")</f>
        <v>130x80x60 enclosure box</v>
      </c>
      <c r="J144">
        <f ca="1">IFERROR(__xludf.DUMMYFUNCTION("""COMPUTED_VALUE"""),1)</f>
        <v>1</v>
      </c>
      <c r="L144">
        <f t="shared" ca="1" si="0"/>
        <v>0</v>
      </c>
      <c r="Q144" t="str">
        <f>IF(N144="","",SUMIFS(Issue!$D$3:$D1001,Issue!$C$3:$C1001,N144))</f>
        <v/>
      </c>
      <c r="S144" t="str">
        <f ca="1">IFERROR(__xludf.DUMMYFUNCTION("""COMPUTED_VALUE"""),"12S Lipo Charger")</f>
        <v>12S Lipo Charger</v>
      </c>
      <c r="X144" t="e">
        <f ca="1"/>
        <v>#NAME?</v>
      </c>
      <c r="Y144" t="e">
        <f t="shared" ca="1" si="1"/>
        <v>#NAME?</v>
      </c>
      <c r="Z144" t="e">
        <f ca="1">IF(X144="","",SUMIFS(#REF!,RM!$C$4:$C991,X144))</f>
        <v>#NAME?</v>
      </c>
      <c r="AA144" t="e">
        <f ca="1">IF(X144="","",SUMIFS(#REF!,RM!$C$4:$C991,X144))</f>
        <v>#NAME?</v>
      </c>
      <c r="AB144" t="e">
        <f t="shared" ca="1" si="2"/>
        <v>#NAME?</v>
      </c>
      <c r="AC144" t="e">
        <f ca="1">IF(X144="","",VLOOKUP($X144,RM!$C$4:$G991,3,FALSE))</f>
        <v>#NAME?</v>
      </c>
      <c r="AD144" t="e">
        <f ca="1">IF(X144="","",VLOOKUP($X144,RM!$C$4:$G991,4,FALSE))</f>
        <v>#NAME?</v>
      </c>
      <c r="AE144" t="e">
        <f ca="1">IF(X144="","",VLOOKUP($X144,RM!$C$4:$G991,5,FALSE))</f>
        <v>#NAME?</v>
      </c>
      <c r="AG144" t="str">
        <f ca="1">IFERROR(__xludf.DUMMYFUNCTION("""COMPUTED_VALUE"""),"Charging PM Assy")</f>
        <v>Charging PM Assy</v>
      </c>
      <c r="AH144" t="str">
        <f ca="1">IFERROR(__xludf.DUMMYFUNCTION("""COMPUTED_VALUE"""),"10cm one sided JST crimped Pink")</f>
        <v>10cm one sided JST crimped Pink</v>
      </c>
      <c r="AI144">
        <f ca="1">IFERROR(__xludf.DUMMYFUNCTION("""COMPUTED_VALUE"""),1)</f>
        <v>1</v>
      </c>
      <c r="AJ144" t="str">
        <f ca="1">IFERROR(__xludf.DUMMYFUNCTION("""COMPUTED_VALUE"""),"blank")</f>
        <v>blank</v>
      </c>
      <c r="AK144" t="e">
        <f ca="1">_xludf.IFNA(VLOOKUP(AG144,'S-FG'!$B$3:$B1001,1,FALSE),"")</f>
        <v>#NAME?</v>
      </c>
      <c r="AL144" t="e">
        <f ca="1">IF(AH144="","",SUMIFS(#REF!,RM!$C$4:$C991,AH144))</f>
        <v>#REF!</v>
      </c>
    </row>
    <row r="145" spans="5:38">
      <c r="E145" t="str">
        <f>IF(A145="","",SUMIFS(Issue!$D$3:$D1001,Issue!$C$3:$C1001,A145)*C145)</f>
        <v/>
      </c>
      <c r="F145" t="e">
        <f ca="1">_xludf.IFNA(VLOOKUP(B145,'S-FG'!$B$3:$B1001,1,FALSE),"")</f>
        <v>#NAME?</v>
      </c>
      <c r="H145" t="str">
        <f ca="1">IFERROR(__xludf.DUMMYFUNCTION("""COMPUTED_VALUE"""),"Charger Box Assy")</f>
        <v>Charger Box Assy</v>
      </c>
      <c r="I145" t="str">
        <f ca="1">IFERROR(__xludf.DUMMYFUNCTION("""COMPUTED_VALUE"""),"PG-7 Cable Gland")</f>
        <v>PG-7 Cable Gland</v>
      </c>
      <c r="J145">
        <f ca="1">IFERROR(__xludf.DUMMYFUNCTION("""COMPUTED_VALUE"""),2)</f>
        <v>2</v>
      </c>
      <c r="K145" t="str">
        <f ca="1">IFERROR(__xludf.DUMMYFUNCTION("""COMPUTED_VALUE"""),"blank")</f>
        <v>blank</v>
      </c>
      <c r="L145">
        <f t="shared" ca="1" si="0"/>
        <v>0</v>
      </c>
      <c r="Q145" t="str">
        <f>IF(N145="","",SUMIFS(Issue!$D$3:$D1001,Issue!$C$3:$C1001,N145))</f>
        <v/>
      </c>
      <c r="S145" t="str">
        <f ca="1">IFERROR(__xludf.DUMMYFUNCTION("""COMPUTED_VALUE"""),"130x80x60 enclosure box")</f>
        <v>130x80x60 enclosure box</v>
      </c>
      <c r="X145" t="e">
        <f ca="1"/>
        <v>#NAME?</v>
      </c>
      <c r="Y145" t="e">
        <f t="shared" ca="1" si="1"/>
        <v>#NAME?</v>
      </c>
      <c r="Z145" t="e">
        <f ca="1">IF(X145="","",SUMIFS(#REF!,RM!$C$4:$C991,X145))</f>
        <v>#NAME?</v>
      </c>
      <c r="AA145" t="e">
        <f ca="1">IF(X145="","",SUMIFS(#REF!,RM!$C$4:$C991,X145))</f>
        <v>#NAME?</v>
      </c>
      <c r="AB145" t="e">
        <f t="shared" ca="1" si="2"/>
        <v>#NAME?</v>
      </c>
      <c r="AC145" t="e">
        <f ca="1">IF(X145="","",VLOOKUP($X145,RM!$C$4:$G991,3,FALSE))</f>
        <v>#NAME?</v>
      </c>
      <c r="AD145" t="e">
        <f ca="1">IF(X145="","",VLOOKUP($X145,RM!$C$4:$G991,4,FALSE))</f>
        <v>#NAME?</v>
      </c>
      <c r="AE145" t="e">
        <f ca="1">IF(X145="","",VLOOKUP($X145,RM!$C$4:$G991,5,FALSE))</f>
        <v>#NAME?</v>
      </c>
      <c r="AG145" t="str">
        <f ca="1">IFERROR(__xludf.DUMMYFUNCTION("""COMPUTED_VALUE"""),"Charging PM Assy")</f>
        <v>Charging PM Assy</v>
      </c>
      <c r="AH145" t="str">
        <f ca="1">IFERROR(__xludf.DUMMYFUNCTION("""COMPUTED_VALUE"""),"10cm one sided JST crimped Orange")</f>
        <v>10cm one sided JST crimped Orange</v>
      </c>
      <c r="AI145">
        <f ca="1">IFERROR(__xludf.DUMMYFUNCTION("""COMPUTED_VALUE"""),1)</f>
        <v>1</v>
      </c>
      <c r="AJ145" t="str">
        <f ca="1">IFERROR(__xludf.DUMMYFUNCTION("""COMPUTED_VALUE"""),"blank")</f>
        <v>blank</v>
      </c>
      <c r="AK145" t="e">
        <f ca="1">_xludf.IFNA(VLOOKUP(AG145,'S-FG'!$B$3:$B1001,1,FALSE),"")</f>
        <v>#NAME?</v>
      </c>
      <c r="AL145" t="e">
        <f ca="1">IF(AH145="","",SUMIFS(#REF!,RM!$C$4:$C991,AH145))</f>
        <v>#REF!</v>
      </c>
    </row>
    <row r="146" spans="5:38">
      <c r="E146" t="str">
        <f>IF(A146="","",SUMIFS(Issue!$D$3:$D1001,Issue!$C$3:$C1001,A146)*C146)</f>
        <v/>
      </c>
      <c r="F146" t="e">
        <f ca="1">_xludf.IFNA(VLOOKUP(B146,'S-FG'!$B$3:$B1001,1,FALSE),"")</f>
        <v>#NAME?</v>
      </c>
      <c r="H146" t="str">
        <f ca="1">IFERROR(__xludf.DUMMYFUNCTION("""COMPUTED_VALUE"""),"Charger Box Assy")</f>
        <v>Charger Box Assy</v>
      </c>
      <c r="I146" t="str">
        <f ca="1">IFERROR(__xludf.DUMMYFUNCTION("""COMPUTED_VALUE"""),"PG-11 Cable Gland")</f>
        <v>PG-11 Cable Gland</v>
      </c>
      <c r="J146">
        <f ca="1">IFERROR(__xludf.DUMMYFUNCTION("""COMPUTED_VALUE"""),2)</f>
        <v>2</v>
      </c>
      <c r="K146" t="str">
        <f ca="1">IFERROR(__xludf.DUMMYFUNCTION("""COMPUTED_VALUE"""),"blank")</f>
        <v>blank</v>
      </c>
      <c r="L146">
        <f t="shared" ca="1" si="0"/>
        <v>0</v>
      </c>
      <c r="Q146" t="str">
        <f>IF(N146="","",SUMIFS(Issue!$D$3:$D1001,Issue!$C$3:$C1001,N146))</f>
        <v/>
      </c>
      <c r="S146" t="str">
        <f ca="1">IFERROR(__xludf.DUMMYFUNCTION("""COMPUTED_VALUE"""),"PG-7 Cable Gland")</f>
        <v>PG-7 Cable Gland</v>
      </c>
      <c r="X146" t="e">
        <f ca="1"/>
        <v>#NAME?</v>
      </c>
      <c r="Y146" t="e">
        <f t="shared" ca="1" si="1"/>
        <v>#NAME?</v>
      </c>
      <c r="Z146" t="e">
        <f ca="1">IF(X146="","",SUMIFS(#REF!,RM!$C$4:$C991,X146))</f>
        <v>#NAME?</v>
      </c>
      <c r="AA146" t="e">
        <f ca="1">IF(X146="","",SUMIFS(#REF!,RM!$C$4:$C991,X146))</f>
        <v>#NAME?</v>
      </c>
      <c r="AB146" t="e">
        <f t="shared" ca="1" si="2"/>
        <v>#NAME?</v>
      </c>
      <c r="AC146" t="e">
        <f ca="1">IF(X146="","",VLOOKUP($X146,RM!$C$4:$G991,3,FALSE))</f>
        <v>#NAME?</v>
      </c>
      <c r="AD146" t="e">
        <f ca="1">IF(X146="","",VLOOKUP($X146,RM!$C$4:$G991,4,FALSE))</f>
        <v>#NAME?</v>
      </c>
      <c r="AE146" t="e">
        <f ca="1">IF(X146="","",VLOOKUP($X146,RM!$C$4:$G991,5,FALSE))</f>
        <v>#NAME?</v>
      </c>
      <c r="AG146" t="str">
        <f ca="1">IFERROR(__xludf.DUMMYFUNCTION("""COMPUTED_VALUE"""),"Charging PM Assy")</f>
        <v>Charging PM Assy</v>
      </c>
      <c r="AH146" t="str">
        <f ca="1">IFERROR(__xludf.DUMMYFUNCTION("""COMPUTED_VALUE"""),"10cm one sided JST crimped Dark Blue")</f>
        <v>10cm one sided JST crimped Dark Blue</v>
      </c>
      <c r="AI146">
        <f ca="1">IFERROR(__xludf.DUMMYFUNCTION("""COMPUTED_VALUE"""),1)</f>
        <v>1</v>
      </c>
      <c r="AJ146" t="str">
        <f ca="1">IFERROR(__xludf.DUMMYFUNCTION("""COMPUTED_VALUE"""),"blank")</f>
        <v>blank</v>
      </c>
      <c r="AK146" t="e">
        <f ca="1">_xludf.IFNA(VLOOKUP(AG146,'S-FG'!$B$3:$B1001,1,FALSE),"")</f>
        <v>#NAME?</v>
      </c>
      <c r="AL146" t="e">
        <f ca="1">IF(AH146="","",SUMIFS(#REF!,RM!$C$4:$C991,AH146))</f>
        <v>#REF!</v>
      </c>
    </row>
    <row r="147" spans="5:38">
      <c r="E147" t="str">
        <f>IF(A147="","",SUMIFS(Issue!$D$3:$D1001,Issue!$C$3:$C1001,A147)*C147)</f>
        <v/>
      </c>
      <c r="F147" t="e">
        <f ca="1">_xludf.IFNA(VLOOKUP(B147,'S-FG'!$B$3:$B1001,1,FALSE),"")</f>
        <v>#NAME?</v>
      </c>
      <c r="H147" t="str">
        <f ca="1">IFERROR(__xludf.DUMMYFUNCTION("""COMPUTED_VALUE"""),"Charger Box Assy")</f>
        <v>Charger Box Assy</v>
      </c>
      <c r="I147" t="str">
        <f ca="1">IFERROR(__xludf.DUMMYFUNCTION("""COMPUTED_VALUE"""),"Teroson MS930")</f>
        <v>Teroson MS930</v>
      </c>
      <c r="J147">
        <f ca="1">IFERROR(__xludf.DUMMYFUNCTION("""COMPUTED_VALUE"""),10)</f>
        <v>10</v>
      </c>
      <c r="K147" t="str">
        <f ca="1">IFERROR(__xludf.DUMMYFUNCTION("""COMPUTED_VALUE"""),"blank")</f>
        <v>blank</v>
      </c>
      <c r="L147">
        <f t="shared" ca="1" si="0"/>
        <v>0</v>
      </c>
      <c r="Q147" t="str">
        <f>IF(N147="","",SUMIFS(Issue!$D$3:$D1001,Issue!$C$3:$C1001,N147))</f>
        <v/>
      </c>
      <c r="S147" t="str">
        <f ca="1">IFERROR(__xludf.DUMMYFUNCTION("""COMPUTED_VALUE"""),"PG-11 Cable Gland")</f>
        <v>PG-11 Cable Gland</v>
      </c>
      <c r="X147" t="e">
        <f ca="1"/>
        <v>#NAME?</v>
      </c>
      <c r="Y147" t="e">
        <f t="shared" ca="1" si="1"/>
        <v>#NAME?</v>
      </c>
      <c r="Z147" t="e">
        <f ca="1">IF(X147="","",SUMIFS(#REF!,RM!$C$4:$C991,X147))</f>
        <v>#NAME?</v>
      </c>
      <c r="AA147" t="e">
        <f ca="1">IF(X147="","",SUMIFS(#REF!,RM!$C$4:$C991,X147))</f>
        <v>#NAME?</v>
      </c>
      <c r="AB147" t="e">
        <f t="shared" ca="1" si="2"/>
        <v>#NAME?</v>
      </c>
      <c r="AC147" t="e">
        <f ca="1">IF(X147="","",VLOOKUP($X147,RM!$C$4:$G991,3,FALSE))</f>
        <v>#NAME?</v>
      </c>
      <c r="AD147" t="e">
        <f ca="1">IF(X147="","",VLOOKUP($X147,RM!$C$4:$G991,4,FALSE))</f>
        <v>#NAME?</v>
      </c>
      <c r="AE147" t="e">
        <f ca="1">IF(X147="","",VLOOKUP($X147,RM!$C$4:$G991,5,FALSE))</f>
        <v>#NAME?</v>
      </c>
      <c r="AG147" t="str">
        <f ca="1">IFERROR(__xludf.DUMMYFUNCTION("""COMPUTED_VALUE"""),"Charging PM Assy")</f>
        <v>Charging PM Assy</v>
      </c>
      <c r="AH147" t="str">
        <f ca="1">IFERROR(__xludf.DUMMYFUNCTION("""COMPUTED_VALUE"""),"10cm one sided JST crimped Light Brown")</f>
        <v>10cm one sided JST crimped Light Brown</v>
      </c>
      <c r="AI147">
        <f ca="1">IFERROR(__xludf.DUMMYFUNCTION("""COMPUTED_VALUE"""),1)</f>
        <v>1</v>
      </c>
      <c r="AJ147" t="str">
        <f ca="1">IFERROR(__xludf.DUMMYFUNCTION("""COMPUTED_VALUE"""),"blank")</f>
        <v>blank</v>
      </c>
      <c r="AK147" t="e">
        <f ca="1">_xludf.IFNA(VLOOKUP(AG147,'S-FG'!$B$3:$B1001,1,FALSE),"")</f>
        <v>#NAME?</v>
      </c>
      <c r="AL147" t="e">
        <f ca="1">IF(AH147="","",SUMIFS(#REF!,RM!$C$4:$C991,AH147))</f>
        <v>#REF!</v>
      </c>
    </row>
    <row r="148" spans="5:38">
      <c r="E148" t="str">
        <f>IF(A148="","",SUMIFS(Issue!$D$3:$D1001,Issue!$C$3:$C1001,A148)*C148)</f>
        <v/>
      </c>
      <c r="F148" t="e">
        <f ca="1">_xludf.IFNA(VLOOKUP(B148,'S-FG'!$B$3:$B1001,1,FALSE),"")</f>
        <v>#NAME?</v>
      </c>
      <c r="H148" t="str">
        <f ca="1">IFERROR(__xludf.DUMMYFUNCTION("""COMPUTED_VALUE"""),"Charger Box Assy")</f>
        <v>Charger Box Assy</v>
      </c>
      <c r="I148" t="str">
        <f ca="1">IFERROR(__xludf.DUMMYFUNCTION("""COMPUTED_VALUE"""),"Red 18 AWG")</f>
        <v>Red 18 AWG</v>
      </c>
      <c r="J148">
        <f ca="1">IFERROR(__xludf.DUMMYFUNCTION("""COMPUTED_VALUE"""),0.25)</f>
        <v>0.25</v>
      </c>
      <c r="K148" t="str">
        <f ca="1">IFERROR(__xludf.DUMMYFUNCTION("""COMPUTED_VALUE"""),"blank")</f>
        <v>blank</v>
      </c>
      <c r="L148">
        <f t="shared" ca="1" si="0"/>
        <v>0</v>
      </c>
      <c r="Q148" t="str">
        <f>IF(N148="","",SUMIFS(Issue!$D$3:$D1001,Issue!$C$3:$C1001,N148))</f>
        <v/>
      </c>
      <c r="S148" t="str">
        <f ca="1">IFERROR(__xludf.DUMMYFUNCTION("""COMPUTED_VALUE"""),"Teroson MS930")</f>
        <v>Teroson MS930</v>
      </c>
      <c r="X148" t="e">
        <f ca="1"/>
        <v>#NAME?</v>
      </c>
      <c r="Y148" t="e">
        <f t="shared" ca="1" si="1"/>
        <v>#NAME?</v>
      </c>
      <c r="Z148" t="e">
        <f ca="1">IF(X148="","",SUMIFS(#REF!,RM!$C$4:$C991,X148))</f>
        <v>#NAME?</v>
      </c>
      <c r="AA148" t="e">
        <f ca="1">IF(X148="","",SUMIFS(#REF!,RM!$C$4:$C991,X148))</f>
        <v>#NAME?</v>
      </c>
      <c r="AB148" t="e">
        <f t="shared" ca="1" si="2"/>
        <v>#NAME?</v>
      </c>
      <c r="AC148" t="e">
        <f ca="1">IF(X148="","",VLOOKUP($X148,RM!$C$4:$G991,3,FALSE))</f>
        <v>#NAME?</v>
      </c>
      <c r="AD148" t="e">
        <f ca="1">IF(X148="","",VLOOKUP($X148,RM!$C$4:$G991,4,FALSE))</f>
        <v>#NAME?</v>
      </c>
      <c r="AE148" t="e">
        <f ca="1">IF(X148="","",VLOOKUP($X148,RM!$C$4:$G991,5,FALSE))</f>
        <v>#NAME?</v>
      </c>
      <c r="AG148" t="str">
        <f ca="1">IFERROR(__xludf.DUMMYFUNCTION("""COMPUTED_VALUE"""),"Charging PM Assy")</f>
        <v>Charging PM Assy</v>
      </c>
      <c r="AH148" t="str">
        <f ca="1">IFERROR(__xludf.DUMMYFUNCTION("""COMPUTED_VALUE"""),"10cm one sided JST crimped Dark Brown")</f>
        <v>10cm one sided JST crimped Dark Brown</v>
      </c>
      <c r="AI148">
        <f ca="1">IFERROR(__xludf.DUMMYFUNCTION("""COMPUTED_VALUE"""),1)</f>
        <v>1</v>
      </c>
      <c r="AJ148" t="str">
        <f ca="1">IFERROR(__xludf.DUMMYFUNCTION("""COMPUTED_VALUE"""),"blank")</f>
        <v>blank</v>
      </c>
      <c r="AK148" t="e">
        <f ca="1">_xludf.IFNA(VLOOKUP(AG148,'S-FG'!$B$3:$B1001,1,FALSE),"")</f>
        <v>#NAME?</v>
      </c>
      <c r="AL148" t="e">
        <f ca="1">IF(AH148="","",SUMIFS(#REF!,RM!$C$4:$C991,AH148))</f>
        <v>#REF!</v>
      </c>
    </row>
    <row r="149" spans="5:38">
      <c r="E149" t="str">
        <f>IF(A149="","",SUMIFS(Issue!$D$3:$D1001,Issue!$C$3:$C1001,A149)*C149)</f>
        <v/>
      </c>
      <c r="F149" t="e">
        <f ca="1">_xludf.IFNA(VLOOKUP(B149,'S-FG'!$B$3:$B1001,1,FALSE),"")</f>
        <v>#NAME?</v>
      </c>
      <c r="H149" t="str">
        <f ca="1">IFERROR(__xludf.DUMMYFUNCTION("""COMPUTED_VALUE"""),"Charger Box Assy")</f>
        <v>Charger Box Assy</v>
      </c>
      <c r="I149" t="str">
        <f ca="1">IFERROR(__xludf.DUMMYFUNCTION("""COMPUTED_VALUE"""),"Black 18 AWG")</f>
        <v>Black 18 AWG</v>
      </c>
      <c r="J149">
        <f ca="1">IFERROR(__xludf.DUMMYFUNCTION("""COMPUTED_VALUE"""),0.25)</f>
        <v>0.25</v>
      </c>
      <c r="K149" t="str">
        <f ca="1">IFERROR(__xludf.DUMMYFUNCTION("""COMPUTED_VALUE"""),"blank")</f>
        <v>blank</v>
      </c>
      <c r="L149">
        <f t="shared" ca="1" si="0"/>
        <v>0</v>
      </c>
      <c r="Q149" t="str">
        <f>IF(N149="","",SUMIFS(Issue!$D$3:$D1001,Issue!$C$3:$C1001,N149))</f>
        <v/>
      </c>
      <c r="S149" t="str">
        <f ca="1">IFERROR(__xludf.DUMMYFUNCTION("""COMPUTED_VALUE"""),"Red 18 AWG")</f>
        <v>Red 18 AWG</v>
      </c>
      <c r="X149" t="e">
        <f ca="1"/>
        <v>#NAME?</v>
      </c>
      <c r="Y149" t="e">
        <f t="shared" ca="1" si="1"/>
        <v>#NAME?</v>
      </c>
      <c r="Z149" t="e">
        <f ca="1">IF(X149="","",SUMIFS(#REF!,RM!$C$4:$C991,X149))</f>
        <v>#NAME?</v>
      </c>
      <c r="AA149" t="e">
        <f ca="1">IF(X149="","",SUMIFS(#REF!,RM!$C$4:$C991,X149))</f>
        <v>#NAME?</v>
      </c>
      <c r="AB149" t="e">
        <f t="shared" ca="1" si="2"/>
        <v>#NAME?</v>
      </c>
      <c r="AC149" t="e">
        <f ca="1">IF(X149="","",VLOOKUP($X149,RM!$C$4:$G991,3,FALSE))</f>
        <v>#NAME?</v>
      </c>
      <c r="AD149" t="e">
        <f ca="1">IF(X149="","",VLOOKUP($X149,RM!$C$4:$G991,4,FALSE))</f>
        <v>#NAME?</v>
      </c>
      <c r="AE149" t="e">
        <f ca="1">IF(X149="","",VLOOKUP($X149,RM!$C$4:$G991,5,FALSE))</f>
        <v>#NAME?</v>
      </c>
      <c r="AG149" t="str">
        <f ca="1">IFERROR(__xludf.DUMMYFUNCTION("""COMPUTED_VALUE"""),"Charging PM Assy")</f>
        <v>Charging PM Assy</v>
      </c>
      <c r="AH149" t="str">
        <f ca="1">IFERROR(__xludf.DUMMYFUNCTION("""COMPUTED_VALUE"""),"10cm one sided JST crimped White with Red strip")</f>
        <v>10cm one sided JST crimped White with Red strip</v>
      </c>
      <c r="AI149">
        <f ca="1">IFERROR(__xludf.DUMMYFUNCTION("""COMPUTED_VALUE"""),1)</f>
        <v>1</v>
      </c>
      <c r="AJ149" t="str">
        <f ca="1">IFERROR(__xludf.DUMMYFUNCTION("""COMPUTED_VALUE"""),"blank")</f>
        <v>blank</v>
      </c>
      <c r="AK149" t="e">
        <f ca="1">_xludf.IFNA(VLOOKUP(AG149,'S-FG'!$B$3:$B1001,1,FALSE),"")</f>
        <v>#NAME?</v>
      </c>
      <c r="AL149" t="e">
        <f ca="1">IF(AH149="","",SUMIFS(#REF!,RM!$C$4:$C991,AH149))</f>
        <v>#REF!</v>
      </c>
    </row>
    <row r="150" spans="5:38">
      <c r="E150" t="str">
        <f>IF(A150="","",SUMIFS(Issue!$D$3:$D1001,Issue!$C$3:$C1001,A150)*C150)</f>
        <v/>
      </c>
      <c r="F150" t="e">
        <f ca="1">_xludf.IFNA(VLOOKUP(B150,'S-FG'!$B$3:$B1001,1,FALSE),"")</f>
        <v>#NAME?</v>
      </c>
      <c r="H150" t="str">
        <f ca="1">IFERROR(__xludf.DUMMYFUNCTION("""COMPUTED_VALUE"""),"Charging CM Assy")</f>
        <v>Charging CM Assy</v>
      </c>
      <c r="I150" t="str">
        <f ca="1">IFERROR(__xludf.DUMMYFUNCTION("""COMPUTED_VALUE"""),"Lead wire 22AWG")</f>
        <v>Lead wire 22AWG</v>
      </c>
      <c r="J150">
        <f ca="1">IFERROR(__xludf.DUMMYFUNCTION("""COMPUTED_VALUE"""),10)</f>
        <v>10</v>
      </c>
      <c r="L150">
        <f t="shared" ca="1" si="0"/>
        <v>0</v>
      </c>
      <c r="Q150" t="str">
        <f>IF(N150="","",SUMIFS(Issue!$D$3:$D1001,Issue!$C$3:$C1001,N150))</f>
        <v/>
      </c>
      <c r="S150" t="str">
        <f ca="1">IFERROR(__xludf.DUMMYFUNCTION("""COMPUTED_VALUE"""),"Black 18 AWG")</f>
        <v>Black 18 AWG</v>
      </c>
      <c r="X150" t="e">
        <f ca="1"/>
        <v>#NAME?</v>
      </c>
      <c r="Y150" t="e">
        <f t="shared" ca="1" si="1"/>
        <v>#NAME?</v>
      </c>
      <c r="Z150" t="e">
        <f ca="1">IF(X150="","",SUMIFS(#REF!,RM!$C$4:$C991,X150))</f>
        <v>#NAME?</v>
      </c>
      <c r="AA150" t="e">
        <f ca="1">IF(X150="","",SUMIFS(#REF!,RM!$C$4:$C991,X150))</f>
        <v>#NAME?</v>
      </c>
      <c r="AB150" t="e">
        <f t="shared" ca="1" si="2"/>
        <v>#NAME?</v>
      </c>
      <c r="AC150" t="e">
        <f ca="1">IF(X150="","",VLOOKUP($X150,RM!$C$4:$G991,3,FALSE))</f>
        <v>#NAME?</v>
      </c>
      <c r="AD150" t="e">
        <f ca="1">IF(X150="","",VLOOKUP($X150,RM!$C$4:$G991,4,FALSE))</f>
        <v>#NAME?</v>
      </c>
      <c r="AE150" t="e">
        <f ca="1">IF(X150="","",VLOOKUP($X150,RM!$C$4:$G991,5,FALSE))</f>
        <v>#NAME?</v>
      </c>
      <c r="AG150" t="str">
        <f ca="1">IFERROR(__xludf.DUMMYFUNCTION("""COMPUTED_VALUE"""),"Charging PM Assy")</f>
        <v>Charging PM Assy</v>
      </c>
      <c r="AH150" t="str">
        <f ca="1">IFERROR(__xludf.DUMMYFUNCTION("""COMPUTED_VALUE"""),"10cm one sided JST crimped White with black strip")</f>
        <v>10cm one sided JST crimped White with black strip</v>
      </c>
      <c r="AI150">
        <f ca="1">IFERROR(__xludf.DUMMYFUNCTION("""COMPUTED_VALUE"""),1)</f>
        <v>1</v>
      </c>
      <c r="AJ150" t="str">
        <f ca="1">IFERROR(__xludf.DUMMYFUNCTION("""COMPUTED_VALUE"""),"blank")</f>
        <v>blank</v>
      </c>
      <c r="AK150" t="e">
        <f ca="1">_xludf.IFNA(VLOOKUP(AG150,'S-FG'!$B$3:$B1001,1,FALSE),"")</f>
        <v>#NAME?</v>
      </c>
      <c r="AL150" t="e">
        <f ca="1">IF(AH150="","",SUMIFS(#REF!,RM!$C$4:$C991,AH150))</f>
        <v>#REF!</v>
      </c>
    </row>
    <row r="151" spans="5:38">
      <c r="E151" t="str">
        <f>IF(A151="","",SUMIFS(Issue!$D$3:$D1001,Issue!$C$3:$C1001,A151)*C151)</f>
        <v/>
      </c>
      <c r="F151" t="e">
        <f ca="1">_xludf.IFNA(VLOOKUP(B151,'S-FG'!$B$3:$B1001,1,FALSE),"")</f>
        <v>#NAME?</v>
      </c>
      <c r="H151" t="str">
        <f ca="1">IFERROR(__xludf.DUMMYFUNCTION("""COMPUTED_VALUE"""),"Charging CM Assy")</f>
        <v>Charging CM Assy</v>
      </c>
      <c r="I151" t="str">
        <f ca="1">IFERROR(__xludf.DUMMYFUNCTION("""COMPUTED_VALUE"""),"Soldering flux")</f>
        <v>Soldering flux</v>
      </c>
      <c r="J151">
        <f ca="1">IFERROR(__xludf.DUMMYFUNCTION("""COMPUTED_VALUE"""),1)</f>
        <v>1</v>
      </c>
      <c r="L151">
        <f t="shared" ca="1" si="0"/>
        <v>0</v>
      </c>
      <c r="Q151" t="str">
        <f>IF(N151="","",SUMIFS(Issue!$D$3:$D1001,Issue!$C$3:$C1001,N151))</f>
        <v/>
      </c>
      <c r="S151" t="str">
        <f ca="1">IFERROR(__xludf.DUMMYFUNCTION("""COMPUTED_VALUE"""),"Lead wire 22AWG")</f>
        <v>Lead wire 22AWG</v>
      </c>
      <c r="X151" t="e">
        <f ca="1"/>
        <v>#NAME?</v>
      </c>
      <c r="Y151" t="e">
        <f t="shared" ca="1" si="1"/>
        <v>#NAME?</v>
      </c>
      <c r="Z151" t="e">
        <f ca="1">IF(X151="","",SUMIFS(#REF!,RM!$C$4:$C991,X151))</f>
        <v>#NAME?</v>
      </c>
      <c r="AA151" t="e">
        <f ca="1">IF(X151="","",SUMIFS(#REF!,RM!$C$4:$C991,X151))</f>
        <v>#NAME?</v>
      </c>
      <c r="AB151" t="e">
        <f t="shared" ca="1" si="2"/>
        <v>#NAME?</v>
      </c>
      <c r="AC151" t="e">
        <f ca="1">IF(X151="","",VLOOKUP($X151,RM!$C$4:$G991,3,FALSE))</f>
        <v>#NAME?</v>
      </c>
      <c r="AD151" t="e">
        <f ca="1">IF(X151="","",VLOOKUP($X151,RM!$C$4:$G991,4,FALSE))</f>
        <v>#NAME?</v>
      </c>
      <c r="AE151" t="e">
        <f ca="1">IF(X151="","",VLOOKUP($X151,RM!$C$4:$G991,5,FALSE))</f>
        <v>#NAME?</v>
      </c>
      <c r="AG151" t="str">
        <f ca="1">IFERROR(__xludf.DUMMYFUNCTION("""COMPUTED_VALUE"""),"Charging PM Assy")</f>
        <v>Charging PM Assy</v>
      </c>
      <c r="AH151" t="str">
        <f ca="1">IFERROR(__xludf.DUMMYFUNCTION("""COMPUTED_VALUE"""),"10cm one sided JST crimped White")</f>
        <v>10cm one sided JST crimped White</v>
      </c>
      <c r="AI151">
        <f ca="1">IFERROR(__xludf.DUMMYFUNCTION("""COMPUTED_VALUE"""),1)</f>
        <v>1</v>
      </c>
      <c r="AJ151" t="str">
        <f ca="1">IFERROR(__xludf.DUMMYFUNCTION("""COMPUTED_VALUE"""),"blank")</f>
        <v>blank</v>
      </c>
      <c r="AK151" t="e">
        <f ca="1">_xludf.IFNA(VLOOKUP(AG151,'S-FG'!$B$3:$B1001,1,FALSE),"")</f>
        <v>#NAME?</v>
      </c>
      <c r="AL151" t="e">
        <f ca="1">IF(AH151="","",SUMIFS(#REF!,RM!$C$4:$C991,AH151))</f>
        <v>#REF!</v>
      </c>
    </row>
    <row r="152" spans="5:38">
      <c r="E152" t="str">
        <f>IF(A152="","",SUMIFS(Issue!$D$3:$D1001,Issue!$C$3:$C1001,A152)*C152)</f>
        <v/>
      </c>
      <c r="F152" t="e">
        <f ca="1">_xludf.IFNA(VLOOKUP(B152,'S-FG'!$B$3:$B1001,1,FALSE),"")</f>
        <v>#NAME?</v>
      </c>
      <c r="H152" t="str">
        <f ca="1">IFERROR(__xludf.DUMMYFUNCTION("""COMPUTED_VALUE"""),"Charging CM Assy")</f>
        <v>Charging CM Assy</v>
      </c>
      <c r="I152" t="str">
        <f ca="1">IFERROR(__xludf.DUMMYFUNCTION("""COMPUTED_VALUE"""),"20Core Wire 14/38")</f>
        <v>20Core Wire 14/38</v>
      </c>
      <c r="J152">
        <f ca="1">IFERROR(__xludf.DUMMYFUNCTION("""COMPUTED_VALUE"""),1.5)</f>
        <v>1.5</v>
      </c>
      <c r="K152" t="str">
        <f ca="1">IFERROR(__xludf.DUMMYFUNCTION("""COMPUTED_VALUE"""),"blank")</f>
        <v>blank</v>
      </c>
      <c r="L152">
        <f t="shared" ca="1" si="0"/>
        <v>0</v>
      </c>
      <c r="Q152" t="str">
        <f>IF(N152="","",SUMIFS(Issue!$D$3:$D1001,Issue!$C$3:$C1001,N152))</f>
        <v/>
      </c>
      <c r="S152" t="str">
        <f ca="1">IFERROR(__xludf.DUMMYFUNCTION("""COMPUTED_VALUE"""),"Soldering flux")</f>
        <v>Soldering flux</v>
      </c>
      <c r="X152" t="e">
        <f ca="1"/>
        <v>#NAME?</v>
      </c>
      <c r="Y152" t="e">
        <f t="shared" ca="1" si="1"/>
        <v>#NAME?</v>
      </c>
      <c r="Z152" t="e">
        <f ca="1">IF(X152="","",SUMIFS(#REF!,RM!$C$4:$C991,X152))</f>
        <v>#NAME?</v>
      </c>
      <c r="AA152" t="e">
        <f ca="1">IF(X152="","",SUMIFS(#REF!,RM!$C$4:$C991,X152))</f>
        <v>#NAME?</v>
      </c>
      <c r="AB152" t="e">
        <f t="shared" ca="1" si="2"/>
        <v>#NAME?</v>
      </c>
      <c r="AC152" t="e">
        <f ca="1">IF(X152="","",VLOOKUP($X152,RM!$C$4:$G991,3,FALSE))</f>
        <v>#NAME?</v>
      </c>
      <c r="AD152" t="e">
        <f ca="1">IF(X152="","",VLOOKUP($X152,RM!$C$4:$G991,4,FALSE))</f>
        <v>#NAME?</v>
      </c>
      <c r="AE152" t="e">
        <f ca="1">IF(X152="","",VLOOKUP($X152,RM!$C$4:$G991,5,FALSE))</f>
        <v>#NAME?</v>
      </c>
      <c r="AG152" t="str">
        <f ca="1">IFERROR(__xludf.DUMMYFUNCTION("""COMPUTED_VALUE"""),"Charging PM Assy")</f>
        <v>Charging PM Assy</v>
      </c>
      <c r="AH152" t="str">
        <f ca="1">IFERROR(__xludf.DUMMYFUNCTION("""COMPUTED_VALUE"""),"10cm one sided JST crimped Light Grey")</f>
        <v>10cm one sided JST crimped Light Grey</v>
      </c>
      <c r="AI152">
        <f ca="1">IFERROR(__xludf.DUMMYFUNCTION("""COMPUTED_VALUE"""),1)</f>
        <v>1</v>
      </c>
      <c r="AJ152" t="str">
        <f ca="1">IFERROR(__xludf.DUMMYFUNCTION("""COMPUTED_VALUE"""),"blank")</f>
        <v>blank</v>
      </c>
      <c r="AK152" t="e">
        <f ca="1">_xludf.IFNA(VLOOKUP(AG152,'S-FG'!$B$3:$B1001,1,FALSE),"")</f>
        <v>#NAME?</v>
      </c>
      <c r="AL152" t="e">
        <f ca="1">IF(AH152="","",SUMIFS(#REF!,RM!$C$4:$C991,AH152))</f>
        <v>#REF!</v>
      </c>
    </row>
    <row r="153" spans="5:38">
      <c r="E153" t="str">
        <f>IF(A153="","",SUMIFS(Issue!$D$3:$D1001,Issue!$C$3:$C1001,A153)*C153)</f>
        <v/>
      </c>
      <c r="F153" t="e">
        <f ca="1">_xludf.IFNA(VLOOKUP(B153,'S-FG'!$B$3:$B1001,1,FALSE),"")</f>
        <v>#NAME?</v>
      </c>
      <c r="H153" t="str">
        <f ca="1">IFERROR(__xludf.DUMMYFUNCTION("""COMPUTED_VALUE"""),"Charging CM Assy")</f>
        <v>Charging CM Assy</v>
      </c>
      <c r="I153" t="str">
        <f ca="1">IFERROR(__xludf.DUMMYFUNCTION("""COMPUTED_VALUE"""),"WY-28 Metal connector CM")</f>
        <v>WY-28 Metal connector CM</v>
      </c>
      <c r="J153">
        <f ca="1">IFERROR(__xludf.DUMMYFUNCTION("""COMPUTED_VALUE"""),1)</f>
        <v>1</v>
      </c>
      <c r="K153" t="str">
        <f ca="1">IFERROR(__xludf.DUMMYFUNCTION("""COMPUTED_VALUE"""),"blank")</f>
        <v>blank</v>
      </c>
      <c r="L153">
        <f t="shared" ca="1" si="0"/>
        <v>0</v>
      </c>
      <c r="Q153" t="str">
        <f>IF(N153="","",SUMIFS(Issue!$D$3:$D1001,Issue!$C$3:$C1001,N153))</f>
        <v/>
      </c>
      <c r="S153" t="str">
        <f ca="1">IFERROR(__xludf.DUMMYFUNCTION("""COMPUTED_VALUE"""),"20Core Wire 14/38")</f>
        <v>20Core Wire 14/38</v>
      </c>
      <c r="X153" t="e">
        <f ca="1"/>
        <v>#NAME?</v>
      </c>
      <c r="Y153" t="e">
        <f t="shared" ca="1" si="1"/>
        <v>#NAME?</v>
      </c>
      <c r="Z153" t="e">
        <f ca="1">IF(X153="","",SUMIFS(#REF!,RM!$C$4:$C991,X153))</f>
        <v>#NAME?</v>
      </c>
      <c r="AA153" t="e">
        <f ca="1">IF(X153="","",SUMIFS(#REF!,RM!$C$4:$C991,X153))</f>
        <v>#NAME?</v>
      </c>
      <c r="AB153" t="e">
        <f t="shared" ca="1" si="2"/>
        <v>#NAME?</v>
      </c>
      <c r="AC153" t="e">
        <f ca="1">IF(X153="","",VLOOKUP($X153,RM!$C$4:$G991,3,FALSE))</f>
        <v>#NAME?</v>
      </c>
      <c r="AD153" t="e">
        <f ca="1">IF(X153="","",VLOOKUP($X153,RM!$C$4:$G991,4,FALSE))</f>
        <v>#NAME?</v>
      </c>
      <c r="AE153" t="e">
        <f ca="1">IF(X153="","",VLOOKUP($X153,RM!$C$4:$G991,5,FALSE))</f>
        <v>#NAME?</v>
      </c>
      <c r="AG153" t="str">
        <f ca="1">IFERROR(__xludf.DUMMYFUNCTION("""COMPUTED_VALUE"""),"Charging PM Assy")</f>
        <v>Charging PM Assy</v>
      </c>
      <c r="AH153" t="str">
        <f ca="1">IFERROR(__xludf.DUMMYFUNCTION("""COMPUTED_VALUE"""),"WY-28 Metal connector PM")</f>
        <v>WY-28 Metal connector PM</v>
      </c>
      <c r="AI153">
        <f ca="1">IFERROR(__xludf.DUMMYFUNCTION("""COMPUTED_VALUE"""),1)</f>
        <v>1</v>
      </c>
      <c r="AJ153" t="str">
        <f ca="1">IFERROR(__xludf.DUMMYFUNCTION("""COMPUTED_VALUE"""),"blank")</f>
        <v>blank</v>
      </c>
      <c r="AK153" t="e">
        <f ca="1">_xludf.IFNA(VLOOKUP(AG153,'S-FG'!$B$3:$B1001,1,FALSE),"")</f>
        <v>#NAME?</v>
      </c>
      <c r="AL153" t="e">
        <f ca="1">IF(AH153="","",SUMIFS(#REF!,RM!$C$4:$C991,AH153))</f>
        <v>#REF!</v>
      </c>
    </row>
    <row r="154" spans="5:38">
      <c r="E154" t="str">
        <f>IF(A154="","",SUMIFS(Issue!$D$3:$D1001,Issue!$C$3:$C1001,A154)*C154)</f>
        <v/>
      </c>
      <c r="F154" t="e">
        <f ca="1">_xludf.IFNA(VLOOKUP(B154,'S-FG'!$B$3:$B1001,1,FALSE),"")</f>
        <v>#NAME?</v>
      </c>
      <c r="H154" t="str">
        <f ca="1">IFERROR(__xludf.DUMMYFUNCTION("""COMPUTED_VALUE"""),"RPM Sensor Assy")</f>
        <v>RPM Sensor Assy</v>
      </c>
      <c r="I154" t="str">
        <f ca="1">IFERROR(__xludf.DUMMYFUNCTION("""COMPUTED_VALUE"""),"PWB of RPM Sensor")</f>
        <v>PWB of RPM Sensor</v>
      </c>
      <c r="J154">
        <f ca="1">IFERROR(__xludf.DUMMYFUNCTION("""COMPUTED_VALUE"""),1)</f>
        <v>1</v>
      </c>
      <c r="K154" t="str">
        <f ca="1">IFERROR(__xludf.DUMMYFUNCTION("""COMPUTED_VALUE"""),"blank")</f>
        <v>blank</v>
      </c>
      <c r="L154">
        <f t="shared" ca="1" si="0"/>
        <v>0</v>
      </c>
      <c r="Q154" t="str">
        <f>IF(N154="","",SUMIFS(Issue!$D$3:$D1001,Issue!$C$3:$C1001,N154))</f>
        <v/>
      </c>
      <c r="S154" t="str">
        <f ca="1">IFERROR(__xludf.DUMMYFUNCTION("""COMPUTED_VALUE"""),"WY-28 Metal connector CM")</f>
        <v>WY-28 Metal connector CM</v>
      </c>
      <c r="X154" t="e">
        <f ca="1"/>
        <v>#NAME?</v>
      </c>
      <c r="Y154" t="e">
        <f t="shared" ca="1" si="1"/>
        <v>#NAME?</v>
      </c>
      <c r="Z154" t="e">
        <f ca="1">IF(X154="","",SUMIFS(#REF!,RM!$C$4:$C991,X154))</f>
        <v>#NAME?</v>
      </c>
      <c r="AA154" t="e">
        <f ca="1">IF(X154="","",SUMIFS(#REF!,RM!$C$4:$C991,X154))</f>
        <v>#NAME?</v>
      </c>
      <c r="AB154" t="e">
        <f t="shared" ca="1" si="2"/>
        <v>#NAME?</v>
      </c>
      <c r="AC154" t="e">
        <f ca="1">IF(X154="","",VLOOKUP($X154,RM!$C$4:$G991,3,FALSE))</f>
        <v>#NAME?</v>
      </c>
      <c r="AD154" t="e">
        <f ca="1">IF(X154="","",VLOOKUP($X154,RM!$C$4:$G991,4,FALSE))</f>
        <v>#NAME?</v>
      </c>
      <c r="AE154" t="e">
        <f ca="1">IF(X154="","",VLOOKUP($X154,RM!$C$4:$G991,5,FALSE))</f>
        <v>#NAME?</v>
      </c>
      <c r="AG154" t="str">
        <f ca="1">IFERROR(__xludf.DUMMYFUNCTION("""COMPUTED_VALUE"""),"Charging PM Assy")</f>
        <v>Charging PM Assy</v>
      </c>
      <c r="AH154" t="str">
        <f ca="1">IFERROR(__xludf.DUMMYFUNCTION("""COMPUTED_VALUE"""),"Heatshrink Tube 6.4:1.6")</f>
        <v>Heatshrink Tube 6.4:1.6</v>
      </c>
      <c r="AI154">
        <f ca="1">IFERROR(__xludf.DUMMYFUNCTION("""COMPUTED_VALUE"""),0.05)</f>
        <v>0.05</v>
      </c>
      <c r="AJ154" t="str">
        <f ca="1">IFERROR(__xludf.DUMMYFUNCTION("""COMPUTED_VALUE"""),"blank")</f>
        <v>blank</v>
      </c>
      <c r="AK154" t="e">
        <f ca="1">_xludf.IFNA(VLOOKUP(AG154,'S-FG'!$B$3:$B1001,1,FALSE),"")</f>
        <v>#NAME?</v>
      </c>
      <c r="AL154" t="e">
        <f ca="1">IF(AH154="","",SUMIFS(#REF!,RM!$C$4:$C991,AH154))</f>
        <v>#REF!</v>
      </c>
    </row>
    <row r="155" spans="5:38">
      <c r="E155" t="str">
        <f>IF(A155="","",SUMIFS(Issue!$D$3:$D1001,Issue!$C$3:$C1001,A155)*C155)</f>
        <v/>
      </c>
      <c r="F155" t="e">
        <f ca="1">_xludf.IFNA(VLOOKUP(B155,'S-FG'!$B$3:$B1001,1,FALSE),"")</f>
        <v>#NAME?</v>
      </c>
      <c r="H155" t="str">
        <f ca="1">IFERROR(__xludf.DUMMYFUNCTION("""COMPUTED_VALUE"""),"RPM Sensor Assy")</f>
        <v>RPM Sensor Assy</v>
      </c>
      <c r="I155" t="str">
        <f ca="1">IFERROR(__xludf.DUMMYFUNCTION("""COMPUTED_VALUE"""),"LM358D SMD")</f>
        <v>LM358D SMD</v>
      </c>
      <c r="J155">
        <f ca="1">IFERROR(__xludf.DUMMYFUNCTION("""COMPUTED_VALUE"""),1)</f>
        <v>1</v>
      </c>
      <c r="K155" t="str">
        <f ca="1">IFERROR(__xludf.DUMMYFUNCTION("""COMPUTED_VALUE"""),"blank")</f>
        <v>blank</v>
      </c>
      <c r="L155">
        <f t="shared" ca="1" si="0"/>
        <v>0</v>
      </c>
      <c r="Q155" t="str">
        <f>IF(N155="","",SUMIFS(Issue!$D$3:$D1001,Issue!$C$3:$C1001,N155))</f>
        <v/>
      </c>
      <c r="S155" t="str">
        <f ca="1">IFERROR(__xludf.DUMMYFUNCTION("""COMPUTED_VALUE"""),"PWB of RPM Sensor")</f>
        <v>PWB of RPM Sensor</v>
      </c>
      <c r="X155" t="e">
        <f ca="1"/>
        <v>#NAME?</v>
      </c>
      <c r="Y155" t="e">
        <f t="shared" ca="1" si="1"/>
        <v>#NAME?</v>
      </c>
      <c r="Z155" t="e">
        <f ca="1">IF(X155="","",SUMIFS(#REF!,RM!$C$4:$C991,X155))</f>
        <v>#NAME?</v>
      </c>
      <c r="AA155" t="e">
        <f ca="1">IF(X155="","",SUMIFS(#REF!,RM!$C$4:$C991,X155))</f>
        <v>#NAME?</v>
      </c>
      <c r="AB155" t="e">
        <f t="shared" ca="1" si="2"/>
        <v>#NAME?</v>
      </c>
      <c r="AC155" t="e">
        <f ca="1">IF(X155="","",VLOOKUP($X155,RM!$C$4:$G991,3,FALSE))</f>
        <v>#NAME?</v>
      </c>
      <c r="AD155" t="e">
        <f ca="1">IF(X155="","",VLOOKUP($X155,RM!$C$4:$G991,4,FALSE))</f>
        <v>#NAME?</v>
      </c>
      <c r="AE155" t="e">
        <f ca="1">IF(X155="","",VLOOKUP($X155,RM!$C$4:$G991,5,FALSE))</f>
        <v>#NAME?</v>
      </c>
      <c r="AG155" t="str">
        <f ca="1">IFERROR(__xludf.DUMMYFUNCTION("""COMPUTED_VALUE"""),"Charging PM Assy")</f>
        <v>Charging PM Assy</v>
      </c>
      <c r="AH155" t="str">
        <f ca="1">IFERROR(__xludf.DUMMYFUNCTION("""COMPUTED_VALUE"""),"HeatShrink Tube 4:1")</f>
        <v>HeatShrink Tube 4:1</v>
      </c>
      <c r="AI155">
        <f ca="1">IFERROR(__xludf.DUMMYFUNCTION("""COMPUTED_VALUE"""),0.06)</f>
        <v>0.06</v>
      </c>
      <c r="AJ155" t="str">
        <f ca="1">IFERROR(__xludf.DUMMYFUNCTION("""COMPUTED_VALUE"""),"blank")</f>
        <v>blank</v>
      </c>
      <c r="AK155" t="e">
        <f ca="1">_xludf.IFNA(VLOOKUP(AG155,'S-FG'!$B$3:$B1001,1,FALSE),"")</f>
        <v>#NAME?</v>
      </c>
      <c r="AL155" t="e">
        <f ca="1">IF(AH155="","",SUMIFS(#REF!,RM!$C$4:$C991,AH155))</f>
        <v>#REF!</v>
      </c>
    </row>
    <row r="156" spans="5:38">
      <c r="E156" t="str">
        <f>IF(A156="","",SUMIFS(Issue!$D$3:$D1001,Issue!$C$3:$C1001,A156)*C156)</f>
        <v/>
      </c>
      <c r="F156" t="e">
        <f ca="1">_xludf.IFNA(VLOOKUP(B156,'S-FG'!$B$3:$B1001,1,FALSE),"")</f>
        <v>#NAME?</v>
      </c>
      <c r="H156" t="str">
        <f ca="1">IFERROR(__xludf.DUMMYFUNCTION("""COMPUTED_VALUE"""),"RPM Sensor Assy")</f>
        <v>RPM Sensor Assy</v>
      </c>
      <c r="I156" t="str">
        <f ca="1">IFERROR(__xludf.DUMMYFUNCTION("""COMPUTED_VALUE"""),"47k 0805")</f>
        <v>47k 0805</v>
      </c>
      <c r="J156">
        <f ca="1">IFERROR(__xludf.DUMMYFUNCTION("""COMPUTED_VALUE"""),8)</f>
        <v>8</v>
      </c>
      <c r="K156" t="str">
        <f ca="1">IFERROR(__xludf.DUMMYFUNCTION("""COMPUTED_VALUE"""),"blank")</f>
        <v>blank</v>
      </c>
      <c r="L156">
        <f t="shared" ca="1" si="0"/>
        <v>0</v>
      </c>
      <c r="Q156" t="str">
        <f>IF(N156="","",SUMIFS(Issue!$D$3:$D1001,Issue!$C$3:$C1001,N156))</f>
        <v/>
      </c>
      <c r="S156" t="str">
        <f ca="1">IFERROR(__xludf.DUMMYFUNCTION("""COMPUTED_VALUE"""),"LM358D SMD")</f>
        <v>LM358D SMD</v>
      </c>
      <c r="X156" t="e">
        <f ca="1"/>
        <v>#NAME?</v>
      </c>
      <c r="Y156" t="e">
        <f t="shared" ca="1" si="1"/>
        <v>#NAME?</v>
      </c>
      <c r="Z156" t="e">
        <f ca="1">IF(X156="","",SUMIFS(#REF!,RM!$C$4:$C991,X156))</f>
        <v>#NAME?</v>
      </c>
      <c r="AA156" t="e">
        <f ca="1">IF(X156="","",SUMIFS(#REF!,RM!$C$4:$C991,X156))</f>
        <v>#NAME?</v>
      </c>
      <c r="AB156" t="e">
        <f t="shared" ca="1" si="2"/>
        <v>#NAME?</v>
      </c>
      <c r="AC156" t="e">
        <f ca="1">IF(X156="","",VLOOKUP($X156,RM!$C$4:$G991,3,FALSE))</f>
        <v>#NAME?</v>
      </c>
      <c r="AD156" t="e">
        <f ca="1">IF(X156="","",VLOOKUP($X156,RM!$C$4:$G991,4,FALSE))</f>
        <v>#NAME?</v>
      </c>
      <c r="AE156" t="e">
        <f ca="1">IF(X156="","",VLOOKUP($X156,RM!$C$4:$G991,5,FALSE))</f>
        <v>#NAME?</v>
      </c>
      <c r="AG156" t="str">
        <f ca="1">IFERROR(__xludf.DUMMYFUNCTION("""COMPUTED_VALUE"""),"Charging PM Assy")</f>
        <v>Charging PM Assy</v>
      </c>
      <c r="AH156" t="str">
        <f ca="1">IFERROR(__xludf.DUMMYFUNCTION("""COMPUTED_VALUE"""),"HeatShrink Tube 1.5mm/1.6mm")</f>
        <v>HeatShrink Tube 1.5mm/1.6mm</v>
      </c>
      <c r="AI156">
        <f ca="1">IFERROR(__xludf.DUMMYFUNCTION("""COMPUTED_VALUE"""),0.2)</f>
        <v>0.2</v>
      </c>
      <c r="AK156" t="e">
        <f ca="1">_xludf.IFNA(VLOOKUP(AG156,'S-FG'!$B$3:$B1001,1,FALSE),"")</f>
        <v>#NAME?</v>
      </c>
      <c r="AL156" t="e">
        <f ca="1">IF(AH156="","",SUMIFS(#REF!,RM!$C$4:$C991,AH156))</f>
        <v>#REF!</v>
      </c>
    </row>
    <row r="157" spans="5:38">
      <c r="E157" t="str">
        <f>IF(A157="","",SUMIFS(Issue!$D$3:$D1001,Issue!$C$3:$C1001,A157)*C157)</f>
        <v/>
      </c>
      <c r="F157" t="e">
        <f ca="1">_xludf.IFNA(VLOOKUP(B157,'S-FG'!$B$3:$B1001,1,FALSE),"")</f>
        <v>#NAME?</v>
      </c>
      <c r="H157" t="str">
        <f ca="1">IFERROR(__xludf.DUMMYFUNCTION("""COMPUTED_VALUE"""),"RPM Sensor Assy")</f>
        <v>RPM Sensor Assy</v>
      </c>
      <c r="I157" t="str">
        <f ca="1">IFERROR(__xludf.DUMMYFUNCTION("""COMPUTED_VALUE"""),"470k 0805 Com grade")</f>
        <v>470k 0805 Com grade</v>
      </c>
      <c r="J157">
        <f ca="1">IFERROR(__xludf.DUMMYFUNCTION("""COMPUTED_VALUE"""),4)</f>
        <v>4</v>
      </c>
      <c r="K157" t="str">
        <f ca="1">IFERROR(__xludf.DUMMYFUNCTION("""COMPUTED_VALUE"""),"blank")</f>
        <v>blank</v>
      </c>
      <c r="L157">
        <f t="shared" ca="1" si="0"/>
        <v>0</v>
      </c>
      <c r="Q157" t="str">
        <f>IF(N157="","",SUMIFS(Issue!$D$3:$D1001,Issue!$C$3:$C1001,N157))</f>
        <v/>
      </c>
      <c r="S157" t="str">
        <f ca="1">IFERROR(__xludf.DUMMYFUNCTION("""COMPUTED_VALUE"""),"47k 0805")</f>
        <v>47k 0805</v>
      </c>
      <c r="X157" t="e">
        <f ca="1"/>
        <v>#NAME?</v>
      </c>
      <c r="Y157" t="e">
        <f t="shared" ca="1" si="1"/>
        <v>#NAME?</v>
      </c>
      <c r="Z157" t="e">
        <f ca="1">IF(X157="","",SUMIFS(#REF!,RM!$C$4:$C991,X157))</f>
        <v>#NAME?</v>
      </c>
      <c r="AA157" t="e">
        <f ca="1">IF(X157="","",SUMIFS(#REF!,RM!$C$4:$C991,X157))</f>
        <v>#NAME?</v>
      </c>
      <c r="AB157" t="e">
        <f t="shared" ca="1" si="2"/>
        <v>#NAME?</v>
      </c>
      <c r="AC157" t="e">
        <f ca="1">IF(X157="","",VLOOKUP($X157,RM!$C$4:$G991,3,FALSE))</f>
        <v>#NAME?</v>
      </c>
      <c r="AD157" t="e">
        <f ca="1">IF(X157="","",VLOOKUP($X157,RM!$C$4:$G991,4,FALSE))</f>
        <v>#NAME?</v>
      </c>
      <c r="AE157" t="e">
        <f ca="1">IF(X157="","",VLOOKUP($X157,RM!$C$4:$G991,5,FALSE))</f>
        <v>#NAME?</v>
      </c>
      <c r="AG157" t="str">
        <f ca="1">IFERROR(__xludf.DUMMYFUNCTION("""COMPUTED_VALUE"""),"Charging PM Assy")</f>
        <v>Charging PM Assy</v>
      </c>
      <c r="AH157" t="str">
        <f ca="1">IFERROR(__xludf.DUMMYFUNCTION("""COMPUTED_VALUE"""),"Teroson MS930")</f>
        <v>Teroson MS930</v>
      </c>
      <c r="AI157">
        <f ca="1">IFERROR(__xludf.DUMMYFUNCTION("""COMPUTED_VALUE"""),2)</f>
        <v>2</v>
      </c>
      <c r="AJ157" t="str">
        <f ca="1">IFERROR(__xludf.DUMMYFUNCTION("""COMPUTED_VALUE"""),"blank")</f>
        <v>blank</v>
      </c>
      <c r="AK157" t="e">
        <f ca="1">_xludf.IFNA(VLOOKUP(AG157,'S-FG'!$B$3:$B1001,1,FALSE),"")</f>
        <v>#NAME?</v>
      </c>
      <c r="AL157" t="e">
        <f ca="1">IF(AH157="","",SUMIFS(#REF!,RM!$C$4:$C991,AH157))</f>
        <v>#REF!</v>
      </c>
    </row>
    <row r="158" spans="5:38">
      <c r="E158" t="str">
        <f>IF(A158="","",SUMIFS(Issue!$D$3:$D1001,Issue!$C$3:$C1001,A158)*C158)</f>
        <v/>
      </c>
      <c r="F158" t="e">
        <f ca="1">_xludf.IFNA(VLOOKUP(B158,'S-FG'!$B$3:$B1001,1,FALSE),"")</f>
        <v>#NAME?</v>
      </c>
      <c r="H158" t="str">
        <f ca="1">IFERROR(__xludf.DUMMYFUNCTION("""COMPUTED_VALUE"""),"RPM Sensor Assy")</f>
        <v>RPM Sensor Assy</v>
      </c>
      <c r="I158" t="str">
        <f ca="1">IFERROR(__xludf.DUMMYFUNCTION("""COMPUTED_VALUE"""),"0.1uF 0805")</f>
        <v>0.1uF 0805</v>
      </c>
      <c r="J158">
        <f ca="1">IFERROR(__xludf.DUMMYFUNCTION("""COMPUTED_VALUE"""),2)</f>
        <v>2</v>
      </c>
      <c r="K158" t="str">
        <f ca="1">IFERROR(__xludf.DUMMYFUNCTION("""COMPUTED_VALUE"""),"blank")</f>
        <v>blank</v>
      </c>
      <c r="L158">
        <f t="shared" ca="1" si="0"/>
        <v>0</v>
      </c>
      <c r="Q158" t="str">
        <f>IF(N158="","",SUMIFS(Issue!$D$3:$D1001,Issue!$C$3:$C1001,N158))</f>
        <v/>
      </c>
      <c r="S158" t="str">
        <f ca="1">IFERROR(__xludf.DUMMYFUNCTION("""COMPUTED_VALUE"""),"470k 0805 Com grade")</f>
        <v>470k 0805 Com grade</v>
      </c>
      <c r="X158" t="e">
        <f ca="1"/>
        <v>#NAME?</v>
      </c>
      <c r="Y158" t="e">
        <f t="shared" ca="1" si="1"/>
        <v>#NAME?</v>
      </c>
      <c r="Z158" t="e">
        <f ca="1">IF(X158="","",SUMIFS(#REF!,RM!$C$4:$C991,X158))</f>
        <v>#NAME?</v>
      </c>
      <c r="AA158" t="e">
        <f ca="1">IF(X158="","",SUMIFS(#REF!,RM!$C$4:$C991,X158))</f>
        <v>#NAME?</v>
      </c>
      <c r="AB158" t="e">
        <f t="shared" ca="1" si="2"/>
        <v>#NAME?</v>
      </c>
      <c r="AC158" t="e">
        <f ca="1">IF(X158="","",VLOOKUP($X158,RM!$C$4:$G991,3,FALSE))</f>
        <v>#NAME?</v>
      </c>
      <c r="AD158" t="e">
        <f ca="1">IF(X158="","",VLOOKUP($X158,RM!$C$4:$G991,4,FALSE))</f>
        <v>#NAME?</v>
      </c>
      <c r="AE158" t="e">
        <f ca="1">IF(X158="","",VLOOKUP($X158,RM!$C$4:$G991,5,FALSE))</f>
        <v>#NAME?</v>
      </c>
      <c r="AG158" t="str">
        <f ca="1">IFERROR(__xludf.DUMMYFUNCTION("""COMPUTED_VALUE"""),"Charging PM Assy")</f>
        <v>Charging PM Assy</v>
      </c>
      <c r="AH158" t="str">
        <f ca="1">IFERROR(__xludf.DUMMYFUNCTION("""COMPUTED_VALUE"""),"Silicon RTV 734 Potting compound")</f>
        <v>Silicon RTV 734 Potting compound</v>
      </c>
      <c r="AI158">
        <f ca="1">IFERROR(__xludf.DUMMYFUNCTION("""COMPUTED_VALUE"""),10)</f>
        <v>10</v>
      </c>
      <c r="AJ158" t="str">
        <f ca="1">IFERROR(__xludf.DUMMYFUNCTION("""COMPUTED_VALUE"""),"blank")</f>
        <v>blank</v>
      </c>
      <c r="AK158" t="e">
        <f ca="1">_xludf.IFNA(VLOOKUP(AG158,'S-FG'!$B$3:$B1001,1,FALSE),"")</f>
        <v>#NAME?</v>
      </c>
      <c r="AL158" t="e">
        <f ca="1">IF(AH158="","",SUMIFS(#REF!,RM!$C$4:$C991,AH158))</f>
        <v>#REF!</v>
      </c>
    </row>
    <row r="159" spans="5:38">
      <c r="E159" t="str">
        <f>IF(A159="","",SUMIFS(Issue!$D$3:$D1001,Issue!$C$3:$C1001,A159)*C159)</f>
        <v/>
      </c>
      <c r="F159" t="e">
        <f ca="1">_xludf.IFNA(VLOOKUP(B159,'S-FG'!$B$3:$B1001,1,FALSE),"")</f>
        <v>#NAME?</v>
      </c>
      <c r="H159" t="str">
        <f ca="1">IFERROR(__xludf.DUMMYFUNCTION("""COMPUTED_VALUE"""),"RPM Sensor Assy")</f>
        <v>RPM Sensor Assy</v>
      </c>
      <c r="I159" t="str">
        <f ca="1">IFERROR(__xludf.DUMMYFUNCTION("""COMPUTED_VALUE"""),"0.01uF 0805")</f>
        <v>0.01uF 0805</v>
      </c>
      <c r="J159">
        <f ca="1">IFERROR(__xludf.DUMMYFUNCTION("""COMPUTED_VALUE"""),2)</f>
        <v>2</v>
      </c>
      <c r="K159" t="str">
        <f ca="1">IFERROR(__xludf.DUMMYFUNCTION("""COMPUTED_VALUE"""),"blank")</f>
        <v>blank</v>
      </c>
      <c r="L159">
        <f t="shared" ca="1" si="0"/>
        <v>0</v>
      </c>
      <c r="Q159" t="str">
        <f>IF(N159="","",SUMIFS(Issue!$D$3:$D1001,Issue!$C$3:$C1001,N159))</f>
        <v/>
      </c>
      <c r="S159" t="str">
        <f ca="1">IFERROR(__xludf.DUMMYFUNCTION("""COMPUTED_VALUE"""),"0.1uF 0805")</f>
        <v>0.1uF 0805</v>
      </c>
      <c r="X159" t="e">
        <f ca="1"/>
        <v>#NAME?</v>
      </c>
      <c r="Y159" t="e">
        <f t="shared" ca="1" si="1"/>
        <v>#NAME?</v>
      </c>
      <c r="Z159" t="e">
        <f ca="1">IF(X159="","",SUMIFS(#REF!,RM!$C$4:$C991,X159))</f>
        <v>#NAME?</v>
      </c>
      <c r="AA159" t="e">
        <f ca="1">IF(X159="","",SUMIFS(#REF!,RM!$C$4:$C991,X159))</f>
        <v>#NAME?</v>
      </c>
      <c r="AB159" t="e">
        <f t="shared" ca="1" si="2"/>
        <v>#NAME?</v>
      </c>
      <c r="AC159" t="e">
        <f ca="1">IF(X159="","",VLOOKUP($X159,RM!$C$4:$G991,3,FALSE))</f>
        <v>#NAME?</v>
      </c>
      <c r="AD159" t="e">
        <f ca="1">IF(X159="","",VLOOKUP($X159,RM!$C$4:$G991,4,FALSE))</f>
        <v>#NAME?</v>
      </c>
      <c r="AE159" t="e">
        <f ca="1">IF(X159="","",VLOOKUP($X159,RM!$C$4:$G991,5,FALSE))</f>
        <v>#NAME?</v>
      </c>
      <c r="AG159" t="str">
        <f ca="1">IFERROR(__xludf.DUMMYFUNCTION("""COMPUTED_VALUE"""),"Charger Box Assy")</f>
        <v>Charger Box Assy</v>
      </c>
      <c r="AH159" t="str">
        <f ca="1">IFERROR(__xludf.DUMMYFUNCTION("""COMPUTED_VALUE"""),"24v AC/DC module")</f>
        <v>24v AC/DC module</v>
      </c>
      <c r="AI159">
        <f ca="1">IFERROR(__xludf.DUMMYFUNCTION("""COMPUTED_VALUE"""),1)</f>
        <v>1</v>
      </c>
      <c r="AJ159" t="str">
        <f ca="1">IFERROR(__xludf.DUMMYFUNCTION("""COMPUTED_VALUE"""),"blank")</f>
        <v>blank</v>
      </c>
      <c r="AK159" t="e">
        <f ca="1">_xludf.IFNA(VLOOKUP(AG159,'S-FG'!$B$3:$B1001,1,FALSE),"")</f>
        <v>#NAME?</v>
      </c>
      <c r="AL159" t="e">
        <f ca="1">IF(AH159="","",SUMIFS(#REF!,RM!$C$4:$C991,AH159))</f>
        <v>#REF!</v>
      </c>
    </row>
    <row r="160" spans="5:38">
      <c r="E160" t="str">
        <f>IF(A160="","",SUMIFS(Issue!$D$3:$D1001,Issue!$C$3:$C1001,A160)*C160)</f>
        <v/>
      </c>
      <c r="F160" t="e">
        <f ca="1">_xludf.IFNA(VLOOKUP(B160,'S-FG'!$B$3:$B1001,1,FALSE),"")</f>
        <v>#NAME?</v>
      </c>
      <c r="H160" t="str">
        <f ca="1">IFERROR(__xludf.DUMMYFUNCTION("""COMPUTED_VALUE"""),"RPM Sensor Assy")</f>
        <v>RPM Sensor Assy</v>
      </c>
      <c r="I160" t="str">
        <f ca="1">IFERROR(__xludf.DUMMYFUNCTION("""COMPUTED_VALUE"""),"LED 0805 SMD")</f>
        <v>LED 0805 SMD</v>
      </c>
      <c r="J160">
        <f ca="1">IFERROR(__xludf.DUMMYFUNCTION("""COMPUTED_VALUE"""),1)</f>
        <v>1</v>
      </c>
      <c r="K160" t="str">
        <f ca="1">IFERROR(__xludf.DUMMYFUNCTION("""COMPUTED_VALUE"""),"KPTD-2012LVSURCK")</f>
        <v>KPTD-2012LVSURCK</v>
      </c>
      <c r="L160">
        <f t="shared" ca="1" si="0"/>
        <v>0</v>
      </c>
      <c r="Q160" t="str">
        <f>IF(N160="","",SUMIFS(Issue!$D$3:$D1001,Issue!$C$3:$C1001,N160))</f>
        <v/>
      </c>
      <c r="S160" t="str">
        <f ca="1">IFERROR(__xludf.DUMMYFUNCTION("""COMPUTED_VALUE"""),"0.01uF 0805")</f>
        <v>0.01uF 0805</v>
      </c>
      <c r="X160" t="e">
        <f ca="1"/>
        <v>#NAME?</v>
      </c>
      <c r="Y160" t="e">
        <f t="shared" ca="1" si="1"/>
        <v>#NAME?</v>
      </c>
      <c r="Z160" t="e">
        <f ca="1">IF(X160="","",SUMIFS(#REF!,RM!$C$4:$C991,X160))</f>
        <v>#NAME?</v>
      </c>
      <c r="AA160" t="e">
        <f ca="1">IF(X160="","",SUMIFS(#REF!,RM!$C$4:$C991,X160))</f>
        <v>#NAME?</v>
      </c>
      <c r="AB160" t="e">
        <f t="shared" ca="1" si="2"/>
        <v>#NAME?</v>
      </c>
      <c r="AC160" t="e">
        <f ca="1">IF(X160="","",VLOOKUP($X160,RM!$C$4:$G991,3,FALSE))</f>
        <v>#NAME?</v>
      </c>
      <c r="AD160" t="e">
        <f ca="1">IF(X160="","",VLOOKUP($X160,RM!$C$4:$G991,4,FALSE))</f>
        <v>#NAME?</v>
      </c>
      <c r="AE160" t="e">
        <f ca="1">IF(X160="","",VLOOKUP($X160,RM!$C$4:$G991,5,FALSE))</f>
        <v>#NAME?</v>
      </c>
      <c r="AG160" t="str">
        <f ca="1">IFERROR(__xludf.DUMMYFUNCTION("""COMPUTED_VALUE"""),"Charger Box Assy")</f>
        <v>Charger Box Assy</v>
      </c>
      <c r="AH160" t="str">
        <f ca="1">IFERROR(__xludf.DUMMYFUNCTION("""COMPUTED_VALUE"""),"Lead wire 22AWG")</f>
        <v>Lead wire 22AWG</v>
      </c>
      <c r="AI160">
        <f ca="1">IFERROR(__xludf.DUMMYFUNCTION("""COMPUTED_VALUE"""),10)</f>
        <v>10</v>
      </c>
      <c r="AK160" t="e">
        <f ca="1">_xludf.IFNA(VLOOKUP(AG160,'S-FG'!$B$3:$B1001,1,FALSE),"")</f>
        <v>#NAME?</v>
      </c>
      <c r="AL160" t="e">
        <f ca="1">IF(AH160="","",SUMIFS(#REF!,RM!$C$4:$C991,AH160))</f>
        <v>#REF!</v>
      </c>
    </row>
    <row r="161" spans="5:38">
      <c r="E161" t="str">
        <f>IF(A161="","",SUMIFS(Issue!$D$3:$D1001,Issue!$C$3:$C1001,A161)*C161)</f>
        <v/>
      </c>
      <c r="F161" t="e">
        <f ca="1">_xludf.IFNA(VLOOKUP(B161,'S-FG'!$B$3:$B1001,1,FALSE),"")</f>
        <v>#NAME?</v>
      </c>
      <c r="H161" t="str">
        <f ca="1">IFERROR(__xludf.DUMMYFUNCTION("""COMPUTED_VALUE"""),"RPM Sensor Assy")</f>
        <v>RPM Sensor Assy</v>
      </c>
      <c r="I161" t="str">
        <f ca="1">IFERROR(__xludf.DUMMYFUNCTION("""COMPUTED_VALUE"""),"1N4148 SMD")</f>
        <v>1N4148 SMD</v>
      </c>
      <c r="J161">
        <f ca="1">IFERROR(__xludf.DUMMYFUNCTION("""COMPUTED_VALUE"""),4)</f>
        <v>4</v>
      </c>
      <c r="K161" t="str">
        <f ca="1">IFERROR(__xludf.DUMMYFUNCTION("""COMPUTED_VALUE"""),"1N4148W-7-F")</f>
        <v>1N4148W-7-F</v>
      </c>
      <c r="L161">
        <f t="shared" ca="1" si="0"/>
        <v>0</v>
      </c>
      <c r="Q161" t="str">
        <f>IF(N161="","",SUMIFS(Issue!$D$3:$D1001,Issue!$C$3:$C1001,N161))</f>
        <v/>
      </c>
      <c r="S161" t="str">
        <f ca="1">IFERROR(__xludf.DUMMYFUNCTION("""COMPUTED_VALUE"""),"LED 0805 SMD")</f>
        <v>LED 0805 SMD</v>
      </c>
      <c r="X161" t="e">
        <f ca="1"/>
        <v>#NAME?</v>
      </c>
      <c r="Y161" t="e">
        <f t="shared" ca="1" si="1"/>
        <v>#NAME?</v>
      </c>
      <c r="Z161" t="e">
        <f ca="1">IF(X161="","",SUMIFS(#REF!,RM!$C$4:$C991,X161))</f>
        <v>#NAME?</v>
      </c>
      <c r="AA161" t="e">
        <f ca="1">IF(X161="","",SUMIFS(#REF!,RM!$C$4:$C991,X161))</f>
        <v>#NAME?</v>
      </c>
      <c r="AB161" t="e">
        <f t="shared" ca="1" si="2"/>
        <v>#NAME?</v>
      </c>
      <c r="AC161" t="e">
        <f ca="1">IF(X161="","",VLOOKUP($X161,RM!$C$4:$G991,3,FALSE))</f>
        <v>#NAME?</v>
      </c>
      <c r="AD161" t="e">
        <f ca="1">IF(X161="","",VLOOKUP($X161,RM!$C$4:$G991,4,FALSE))</f>
        <v>#NAME?</v>
      </c>
      <c r="AE161" t="e">
        <f ca="1">IF(X161="","",VLOOKUP($X161,RM!$C$4:$G991,5,FALSE))</f>
        <v>#NAME?</v>
      </c>
      <c r="AG161" t="str">
        <f ca="1">IFERROR(__xludf.DUMMYFUNCTION("""COMPUTED_VALUE"""),"Charger Box Assy")</f>
        <v>Charger Box Assy</v>
      </c>
      <c r="AH161" t="str">
        <f ca="1">IFERROR(__xludf.DUMMYFUNCTION("""COMPUTED_VALUE"""),"Soldering flux")</f>
        <v>Soldering flux</v>
      </c>
      <c r="AI161">
        <f ca="1">IFERROR(__xludf.DUMMYFUNCTION("""COMPUTED_VALUE"""),1)</f>
        <v>1</v>
      </c>
      <c r="AK161" t="e">
        <f ca="1">_xludf.IFNA(VLOOKUP(AG161,'S-FG'!$B$3:$B1001,1,FALSE),"")</f>
        <v>#NAME?</v>
      </c>
      <c r="AL161" t="e">
        <f ca="1">IF(AH161="","",SUMIFS(#REF!,RM!$C$4:$C991,AH161))</f>
        <v>#REF!</v>
      </c>
    </row>
    <row r="162" spans="5:38">
      <c r="E162" t="str">
        <f>IF(A162="","",SUMIFS(Issue!$D$3:$D1001,Issue!$C$3:$C1001,A162)*C162)</f>
        <v/>
      </c>
      <c r="F162" t="e">
        <f ca="1">_xludf.IFNA(VLOOKUP(B162,'S-FG'!$B$3:$B1001,1,FALSE),"")</f>
        <v>#NAME?</v>
      </c>
      <c r="H162" t="str">
        <f ca="1">IFERROR(__xludf.DUMMYFUNCTION("""COMPUTED_VALUE"""),"RPM Sensor Assy")</f>
        <v>RPM Sensor Assy</v>
      </c>
      <c r="I162" t="str">
        <f ca="1">IFERROR(__xludf.DUMMYFUNCTION("""COMPUTED_VALUE"""),"2 pin JST-XH male side entry")</f>
        <v>2 pin JST-XH male side entry</v>
      </c>
      <c r="J162">
        <f ca="1">IFERROR(__xludf.DUMMYFUNCTION("""COMPUTED_VALUE"""),2)</f>
        <v>2</v>
      </c>
      <c r="L162">
        <f t="shared" ca="1" si="0"/>
        <v>0</v>
      </c>
      <c r="Q162" t="str">
        <f>IF(N162="","",SUMIFS(Issue!$D$3:$D1001,Issue!$C$3:$C1001,N162))</f>
        <v/>
      </c>
      <c r="S162" t="str">
        <f ca="1">IFERROR(__xludf.DUMMYFUNCTION("""COMPUTED_VALUE"""),"1N4148 SMD")</f>
        <v>1N4148 SMD</v>
      </c>
      <c r="X162" t="e">
        <f ca="1"/>
        <v>#NAME?</v>
      </c>
      <c r="Y162" t="e">
        <f t="shared" ca="1" si="1"/>
        <v>#NAME?</v>
      </c>
      <c r="Z162" t="e">
        <f ca="1">IF(X162="","",SUMIFS(#REF!,RM!$C$4:$C991,X162))</f>
        <v>#NAME?</v>
      </c>
      <c r="AA162" t="e">
        <f ca="1">IF(X162="","",SUMIFS(#REF!,RM!$C$4:$C991,X162))</f>
        <v>#NAME?</v>
      </c>
      <c r="AB162" t="e">
        <f t="shared" ca="1" si="2"/>
        <v>#NAME?</v>
      </c>
      <c r="AC162" t="e">
        <f ca="1">IF(X162="","",VLOOKUP($X162,RM!$C$4:$G991,3,FALSE))</f>
        <v>#NAME?</v>
      </c>
      <c r="AD162" t="e">
        <f ca="1">IF(X162="","",VLOOKUP($X162,RM!$C$4:$G991,4,FALSE))</f>
        <v>#NAME?</v>
      </c>
      <c r="AE162" t="e">
        <f ca="1">IF(X162="","",VLOOKUP($X162,RM!$C$4:$G991,5,FALSE))</f>
        <v>#NAME?</v>
      </c>
      <c r="AG162" t="str">
        <f ca="1">IFERROR(__xludf.DUMMYFUNCTION("""COMPUTED_VALUE"""),"Charger Box Assy")</f>
        <v>Charger Box Assy</v>
      </c>
      <c r="AH162" t="str">
        <f ca="1">IFERROR(__xludf.DUMMYFUNCTION("""COMPUTED_VALUE"""),"3 pin 3 yrd power cord")</f>
        <v>3 pin 3 yrd power cord</v>
      </c>
      <c r="AI162">
        <f ca="1">IFERROR(__xludf.DUMMYFUNCTION("""COMPUTED_VALUE"""),1)</f>
        <v>1</v>
      </c>
      <c r="AK162" t="e">
        <f ca="1">_xludf.IFNA(VLOOKUP(AG162,'S-FG'!$B$3:$B1001,1,FALSE),"")</f>
        <v>#NAME?</v>
      </c>
      <c r="AL162" t="e">
        <f ca="1">IF(AH162="","",SUMIFS(#REF!,RM!$C$4:$C991,AH162))</f>
        <v>#REF!</v>
      </c>
    </row>
    <row r="163" spans="5:38">
      <c r="E163" t="str">
        <f>IF(A163="","",SUMIFS(Issue!$D$3:$D1001,Issue!$C$3:$C1001,A163)*C163)</f>
        <v/>
      </c>
      <c r="F163" t="e">
        <f ca="1">_xludf.IFNA(VLOOKUP(B163,'S-FG'!$B$3:$B1001,1,FALSE),"")</f>
        <v>#NAME?</v>
      </c>
      <c r="H163" t="str">
        <f ca="1">IFERROR(__xludf.DUMMYFUNCTION("""COMPUTED_VALUE"""),"Current Sensor Assy")</f>
        <v>Current Sensor Assy</v>
      </c>
      <c r="I163" t="str">
        <f ca="1">IFERROR(__xludf.DUMMYFUNCTION("""COMPUTED_VALUE"""),"PWB of Current Sensor")</f>
        <v>PWB of Current Sensor</v>
      </c>
      <c r="J163">
        <f ca="1">IFERROR(__xludf.DUMMYFUNCTION("""COMPUTED_VALUE"""),1)</f>
        <v>1</v>
      </c>
      <c r="K163" t="str">
        <f ca="1">IFERROR(__xludf.DUMMYFUNCTION("""COMPUTED_VALUE"""),"blank")</f>
        <v>blank</v>
      </c>
      <c r="L163">
        <f t="shared" ca="1" si="0"/>
        <v>0</v>
      </c>
      <c r="Q163" t="str">
        <f>IF(N163="","",SUMIFS(Issue!$D$3:$D1001,Issue!$C$3:$C1001,N163))</f>
        <v/>
      </c>
      <c r="S163" t="str">
        <f ca="1">IFERROR(__xludf.DUMMYFUNCTION("""COMPUTED_VALUE"""),"2 pin JST-XH male side entry")</f>
        <v>2 pin JST-XH male side entry</v>
      </c>
      <c r="X163" t="e">
        <f ca="1"/>
        <v>#NAME?</v>
      </c>
      <c r="Y163" t="e">
        <f t="shared" ca="1" si="1"/>
        <v>#NAME?</v>
      </c>
      <c r="Z163" t="e">
        <f ca="1">IF(X163="","",SUMIFS(#REF!,RM!$C$4:$C991,X163))</f>
        <v>#NAME?</v>
      </c>
      <c r="AA163" t="e">
        <f ca="1">IF(X163="","",SUMIFS(#REF!,RM!$C$4:$C991,X163))</f>
        <v>#NAME?</v>
      </c>
      <c r="AB163" t="e">
        <f t="shared" ca="1" si="2"/>
        <v>#NAME?</v>
      </c>
      <c r="AC163" t="e">
        <f ca="1">IF(X163="","",VLOOKUP($X163,RM!$C$4:$G991,3,FALSE))</f>
        <v>#NAME?</v>
      </c>
      <c r="AD163" t="e">
        <f ca="1">IF(X163="","",VLOOKUP($X163,RM!$C$4:$G991,4,FALSE))</f>
        <v>#NAME?</v>
      </c>
      <c r="AE163" t="e">
        <f ca="1">IF(X163="","",VLOOKUP($X163,RM!$C$4:$G991,5,FALSE))</f>
        <v>#NAME?</v>
      </c>
      <c r="AG163" t="str">
        <f ca="1">IFERROR(__xludf.DUMMYFUNCTION("""COMPUTED_VALUE"""),"Charger Box Assy")</f>
        <v>Charger Box Assy</v>
      </c>
      <c r="AH163" t="str">
        <f ca="1">IFERROR(__xludf.DUMMYFUNCTION("""COMPUTED_VALUE"""),"25cm Black Microfit one side crimped wires")</f>
        <v>25cm Black Microfit one side crimped wires</v>
      </c>
      <c r="AI163">
        <f ca="1">IFERROR(__xludf.DUMMYFUNCTION("""COMPUTED_VALUE"""),1)</f>
        <v>1</v>
      </c>
      <c r="AJ163" t="str">
        <f ca="1">IFERROR(__xludf.DUMMYFUNCTION("""COMPUTED_VALUE"""),"blank")</f>
        <v>blank</v>
      </c>
      <c r="AK163" t="e">
        <f ca="1">_xludf.IFNA(VLOOKUP(AG163,'S-FG'!$B$3:$B1001,1,FALSE),"")</f>
        <v>#NAME?</v>
      </c>
      <c r="AL163" t="e">
        <f ca="1">IF(AH163="","",SUMIFS(#REF!,RM!$C$4:$C991,AH163))</f>
        <v>#REF!</v>
      </c>
    </row>
    <row r="164" spans="5:38">
      <c r="E164" t="str">
        <f>IF(A164="","",SUMIFS(Issue!$D$3:$D1001,Issue!$C$3:$C1001,A164)*C164)</f>
        <v/>
      </c>
      <c r="F164" t="e">
        <f ca="1">_xludf.IFNA(VLOOKUP(B164,'S-FG'!$B$3:$B1001,1,FALSE),"")</f>
        <v>#NAME?</v>
      </c>
      <c r="H164" t="str">
        <f ca="1">IFERROR(__xludf.DUMMYFUNCTION("""COMPUTED_VALUE"""),"Current Sensor Assy")</f>
        <v>Current Sensor Assy</v>
      </c>
      <c r="I164" t="str">
        <f ca="1">IFERROR(__xludf.DUMMYFUNCTION("""COMPUTED_VALUE"""),"WCS1700 current Sensor")</f>
        <v>WCS1700 current Sensor</v>
      </c>
      <c r="J164">
        <f ca="1">IFERROR(__xludf.DUMMYFUNCTION("""COMPUTED_VALUE"""),2)</f>
        <v>2</v>
      </c>
      <c r="K164" t="str">
        <f ca="1">IFERROR(__xludf.DUMMYFUNCTION("""COMPUTED_VALUE"""),"blank")</f>
        <v>blank</v>
      </c>
      <c r="L164">
        <f t="shared" ca="1" si="0"/>
        <v>0</v>
      </c>
      <c r="Q164" t="str">
        <f>IF(N164="","",SUMIFS(Issue!$D$3:$D1001,Issue!$C$3:$C1001,N164))</f>
        <v/>
      </c>
      <c r="S164" t="str">
        <f ca="1">IFERROR(__xludf.DUMMYFUNCTION("""COMPUTED_VALUE"""),"PWB of Current Sensor")</f>
        <v>PWB of Current Sensor</v>
      </c>
      <c r="X164" t="e">
        <f ca="1"/>
        <v>#NAME?</v>
      </c>
      <c r="Y164" t="e">
        <f t="shared" ca="1" si="1"/>
        <v>#NAME?</v>
      </c>
      <c r="Z164" t="e">
        <f ca="1">IF(X164="","",SUMIFS(#REF!,RM!$C$4:$C991,X164))</f>
        <v>#NAME?</v>
      </c>
      <c r="AA164" t="e">
        <f ca="1">IF(X164="","",SUMIFS(#REF!,RM!$C$4:$C991,X164))</f>
        <v>#NAME?</v>
      </c>
      <c r="AB164" t="e">
        <f t="shared" ca="1" si="2"/>
        <v>#NAME?</v>
      </c>
      <c r="AC164" t="e">
        <f ca="1">IF(X164="","",VLOOKUP($X164,RM!$C$4:$G991,3,FALSE))</f>
        <v>#NAME?</v>
      </c>
      <c r="AD164" t="e">
        <f ca="1">IF(X164="","",VLOOKUP($X164,RM!$C$4:$G991,4,FALSE))</f>
        <v>#NAME?</v>
      </c>
      <c r="AE164" t="e">
        <f ca="1">IF(X164="","",VLOOKUP($X164,RM!$C$4:$G991,5,FALSE))</f>
        <v>#NAME?</v>
      </c>
      <c r="AG164" t="str">
        <f ca="1">IFERROR(__xludf.DUMMYFUNCTION("""COMPUTED_VALUE"""),"Charger Box Assy")</f>
        <v>Charger Box Assy</v>
      </c>
      <c r="AH164" t="str">
        <f ca="1">IFERROR(__xludf.DUMMYFUNCTION("""COMPUTED_VALUE"""),"25cm Green Microfit one side crimped wires")</f>
        <v>25cm Green Microfit one side crimped wires</v>
      </c>
      <c r="AI164">
        <f ca="1">IFERROR(__xludf.DUMMYFUNCTION("""COMPUTED_VALUE"""),1)</f>
        <v>1</v>
      </c>
      <c r="AJ164" t="str">
        <f ca="1">IFERROR(__xludf.DUMMYFUNCTION("""COMPUTED_VALUE"""),"blank")</f>
        <v>blank</v>
      </c>
      <c r="AK164" t="e">
        <f ca="1">_xludf.IFNA(VLOOKUP(AG164,'S-FG'!$B$3:$B1001,1,FALSE),"")</f>
        <v>#NAME?</v>
      </c>
      <c r="AL164" t="e">
        <f ca="1">IF(AH164="","",SUMIFS(#REF!,RM!$C$4:$C991,AH164))</f>
        <v>#REF!</v>
      </c>
    </row>
    <row r="165" spans="5:38">
      <c r="E165" t="str">
        <f>IF(A165="","",SUMIFS(Issue!$D$3:$D1001,Issue!$C$3:$C1001,A165)*C165)</f>
        <v/>
      </c>
      <c r="F165" t="e">
        <f ca="1">_xludf.IFNA(VLOOKUP(B165,'S-FG'!$B$3:$B1001,1,FALSE),"")</f>
        <v>#NAME?</v>
      </c>
      <c r="H165" t="str">
        <f ca="1">IFERROR(__xludf.DUMMYFUNCTION("""COMPUTED_VALUE"""),"Current Sensor Assy")</f>
        <v>Current Sensor Assy</v>
      </c>
      <c r="I165" t="str">
        <f ca="1">IFERROR(__xludf.DUMMYFUNCTION("""COMPUTED_VALUE"""),"0.1uF 0805")</f>
        <v>0.1uF 0805</v>
      </c>
      <c r="J165">
        <f ca="1">IFERROR(__xludf.DUMMYFUNCTION("""COMPUTED_VALUE"""),2)</f>
        <v>2</v>
      </c>
      <c r="K165" t="str">
        <f ca="1">IFERROR(__xludf.DUMMYFUNCTION("""COMPUTED_VALUE"""),"blank")</f>
        <v>blank</v>
      </c>
      <c r="L165">
        <f t="shared" ca="1" si="0"/>
        <v>0</v>
      </c>
      <c r="Q165" t="str">
        <f>IF(N165="","",SUMIFS(Issue!$D$3:$D1001,Issue!$C$3:$C1001,N165))</f>
        <v/>
      </c>
      <c r="S165" t="str">
        <f ca="1">IFERROR(__xludf.DUMMYFUNCTION("""COMPUTED_VALUE"""),"WCS1700 current Sensor")</f>
        <v>WCS1700 current Sensor</v>
      </c>
      <c r="X165" t="e">
        <f ca="1"/>
        <v>#NAME?</v>
      </c>
      <c r="Y165" t="e">
        <f t="shared" ca="1" si="1"/>
        <v>#NAME?</v>
      </c>
      <c r="Z165" t="e">
        <f ca="1">IF(X165="","",SUMIFS(#REF!,RM!$C$4:$C991,X165))</f>
        <v>#NAME?</v>
      </c>
      <c r="AA165" t="e">
        <f ca="1">IF(X165="","",SUMIFS(#REF!,RM!$C$4:$C991,X165))</f>
        <v>#NAME?</v>
      </c>
      <c r="AB165" t="e">
        <f t="shared" ca="1" si="2"/>
        <v>#NAME?</v>
      </c>
      <c r="AC165" t="e">
        <f ca="1">IF(X165="","",VLOOKUP($X165,RM!$C$4:$G991,3,FALSE))</f>
        <v>#NAME?</v>
      </c>
      <c r="AD165" t="e">
        <f ca="1">IF(X165="","",VLOOKUP($X165,RM!$C$4:$G991,4,FALSE))</f>
        <v>#NAME?</v>
      </c>
      <c r="AE165" t="e">
        <f ca="1">IF(X165="","",VLOOKUP($X165,RM!$C$4:$G991,5,FALSE))</f>
        <v>#NAME?</v>
      </c>
      <c r="AG165" t="str">
        <f ca="1">IFERROR(__xludf.DUMMYFUNCTION("""COMPUTED_VALUE"""),"Charger Box Assy")</f>
        <v>Charger Box Assy</v>
      </c>
      <c r="AH165" t="str">
        <f ca="1">IFERROR(__xludf.DUMMYFUNCTION("""COMPUTED_VALUE"""),"25cm Violet Microfit one side crimped wires")</f>
        <v>25cm Violet Microfit one side crimped wires</v>
      </c>
      <c r="AI165">
        <f ca="1">IFERROR(__xludf.DUMMYFUNCTION("""COMPUTED_VALUE"""),1)</f>
        <v>1</v>
      </c>
      <c r="AJ165" t="str">
        <f ca="1">IFERROR(__xludf.DUMMYFUNCTION("""COMPUTED_VALUE"""),"blank")</f>
        <v>blank</v>
      </c>
      <c r="AK165" t="e">
        <f ca="1">_xludf.IFNA(VLOOKUP(AG165,'S-FG'!$B$3:$B1001,1,FALSE),"")</f>
        <v>#NAME?</v>
      </c>
      <c r="AL165" t="e">
        <f ca="1">IF(AH165="","",SUMIFS(#REF!,RM!$C$4:$C991,AH165))</f>
        <v>#REF!</v>
      </c>
    </row>
    <row r="166" spans="5:38">
      <c r="E166" t="str">
        <f>IF(A166="","",SUMIFS(Issue!$D$3:$D1001,Issue!$C$3:$C1001,A166)*C166)</f>
        <v/>
      </c>
      <c r="F166" t="e">
        <f ca="1">_xludf.IFNA(VLOOKUP(B166,'S-FG'!$B$3:$B1001,1,FALSE),"")</f>
        <v>#NAME?</v>
      </c>
      <c r="H166" t="str">
        <f ca="1">IFERROR(__xludf.DUMMYFUNCTION("""COMPUTED_VALUE"""),"Current Sensor Assy")</f>
        <v>Current Sensor Assy</v>
      </c>
      <c r="I166" t="str">
        <f ca="1">IFERROR(__xludf.DUMMYFUNCTION("""COMPUTED_VALUE"""),"4 pin JST-XH male side entry")</f>
        <v>4 pin JST-XH male side entry</v>
      </c>
      <c r="J166">
        <f ca="1">IFERROR(__xludf.DUMMYFUNCTION("""COMPUTED_VALUE"""),1)</f>
        <v>1</v>
      </c>
      <c r="L166">
        <f t="shared" ca="1" si="0"/>
        <v>0</v>
      </c>
      <c r="Q166" t="str">
        <f>IF(N166="","",SUMIFS(Issue!$D$3:$D1001,Issue!$C$3:$C1001,N166))</f>
        <v/>
      </c>
      <c r="S166" t="str">
        <f ca="1">IFERROR(__xludf.DUMMYFUNCTION("""COMPUTED_VALUE"""),"0.1uF 0805")</f>
        <v>0.1uF 0805</v>
      </c>
      <c r="X166" t="e">
        <f ca="1"/>
        <v>#NAME?</v>
      </c>
      <c r="Y166" t="e">
        <f t="shared" ca="1" si="1"/>
        <v>#NAME?</v>
      </c>
      <c r="Z166" t="e">
        <f ca="1">IF(X166="","",SUMIFS(#REF!,RM!$C$4:$C991,X166))</f>
        <v>#NAME?</v>
      </c>
      <c r="AA166" t="e">
        <f ca="1">IF(X166="","",SUMIFS(#REF!,RM!$C$4:$C991,X166))</f>
        <v>#NAME?</v>
      </c>
      <c r="AB166" t="e">
        <f t="shared" ca="1" si="2"/>
        <v>#NAME?</v>
      </c>
      <c r="AC166" t="e">
        <f ca="1">IF(X166="","",VLOOKUP($X166,RM!$C$4:$G991,3,FALSE))</f>
        <v>#NAME?</v>
      </c>
      <c r="AD166" t="e">
        <f ca="1">IF(X166="","",VLOOKUP($X166,RM!$C$4:$G991,4,FALSE))</f>
        <v>#NAME?</v>
      </c>
      <c r="AE166" t="e">
        <f ca="1">IF(X166="","",VLOOKUP($X166,RM!$C$4:$G991,5,FALSE))</f>
        <v>#NAME?</v>
      </c>
      <c r="AG166" t="str">
        <f ca="1">IFERROR(__xludf.DUMMYFUNCTION("""COMPUTED_VALUE"""),"Charger Box Assy")</f>
        <v>Charger Box Assy</v>
      </c>
      <c r="AH166" t="str">
        <f ca="1">IFERROR(__xludf.DUMMYFUNCTION("""COMPUTED_VALUE"""),"25cm Yellow Microfit one side crimped wires")</f>
        <v>25cm Yellow Microfit one side crimped wires</v>
      </c>
      <c r="AI166">
        <f ca="1">IFERROR(__xludf.DUMMYFUNCTION("""COMPUTED_VALUE"""),1)</f>
        <v>1</v>
      </c>
      <c r="AJ166" t="str">
        <f ca="1">IFERROR(__xludf.DUMMYFUNCTION("""COMPUTED_VALUE"""),"blank")</f>
        <v>blank</v>
      </c>
      <c r="AK166" t="e">
        <f ca="1">_xludf.IFNA(VLOOKUP(AG166,'S-FG'!$B$3:$B1001,1,FALSE),"")</f>
        <v>#NAME?</v>
      </c>
      <c r="AL166" t="e">
        <f ca="1">IF(AH166="","",SUMIFS(#REF!,RM!$C$4:$C991,AH166))</f>
        <v>#REF!</v>
      </c>
    </row>
    <row r="167" spans="5:38">
      <c r="E167" t="str">
        <f>IF(A167="","",SUMIFS(Issue!$D$3:$D1001,Issue!$C$3:$C1001,A167)*C167)</f>
        <v/>
      </c>
      <c r="F167" t="e">
        <f ca="1">_xludf.IFNA(VLOOKUP(B167,'S-FG'!$B$3:$B1001,1,FALSE),"")</f>
        <v>#NAME?</v>
      </c>
      <c r="H167" t="str">
        <f ca="1">IFERROR(__xludf.DUMMYFUNCTION("""COMPUTED_VALUE"""),"A21 MotherBoard Assy")</f>
        <v>A21 MotherBoard Assy</v>
      </c>
      <c r="I167" t="str">
        <f ca="1">IFERROR(__xludf.DUMMYFUNCTION("""COMPUTED_VALUE"""),"Receiver Module R9MM/R9MX/R9")</f>
        <v>Receiver Module R9MM/R9MX/R9</v>
      </c>
      <c r="J167">
        <f ca="1">IFERROR(__xludf.DUMMYFUNCTION("""COMPUTED_VALUE"""),1)</f>
        <v>1</v>
      </c>
      <c r="K167" t="str">
        <f ca="1">IFERROR(__xludf.DUMMYFUNCTION("""COMPUTED_VALUE"""),"blank")</f>
        <v>blank</v>
      </c>
      <c r="L167">
        <f t="shared" ca="1" si="0"/>
        <v>0</v>
      </c>
      <c r="Q167" t="str">
        <f>IF(N167="","",SUMIFS(Issue!$D$3:$D1001,Issue!$C$3:$C1001,N167))</f>
        <v/>
      </c>
      <c r="S167" t="str">
        <f ca="1">IFERROR(__xludf.DUMMYFUNCTION("""COMPUTED_VALUE"""),"4 pin JST-XH male side entry")</f>
        <v>4 pin JST-XH male side entry</v>
      </c>
      <c r="X167" t="e">
        <f ca="1"/>
        <v>#NAME?</v>
      </c>
      <c r="Y167" t="e">
        <f t="shared" ca="1" si="1"/>
        <v>#NAME?</v>
      </c>
      <c r="Z167" t="e">
        <f ca="1">IF(X167="","",SUMIFS(#REF!,RM!$C$4:$C991,X167))</f>
        <v>#NAME?</v>
      </c>
      <c r="AA167" t="e">
        <f ca="1">IF(X167="","",SUMIFS(#REF!,RM!$C$4:$C991,X167))</f>
        <v>#NAME?</v>
      </c>
      <c r="AB167" t="e">
        <f t="shared" ca="1" si="2"/>
        <v>#NAME?</v>
      </c>
      <c r="AC167" t="e">
        <f ca="1">IF(X167="","",VLOOKUP($X167,RM!$C$4:$G991,3,FALSE))</f>
        <v>#NAME?</v>
      </c>
      <c r="AD167" t="e">
        <f ca="1">IF(X167="","",VLOOKUP($X167,RM!$C$4:$G991,4,FALSE))</f>
        <v>#NAME?</v>
      </c>
      <c r="AE167" t="e">
        <f ca="1">IF(X167="","",VLOOKUP($X167,RM!$C$4:$G991,5,FALSE))</f>
        <v>#NAME?</v>
      </c>
      <c r="AG167" t="str">
        <f ca="1">IFERROR(__xludf.DUMMYFUNCTION("""COMPUTED_VALUE"""),"Charger Box Assy")</f>
        <v>Charger Box Assy</v>
      </c>
      <c r="AH167" t="str">
        <f ca="1">IFERROR(__xludf.DUMMYFUNCTION("""COMPUTED_VALUE"""),"25cm Blue Microfit one side crimped wires")</f>
        <v>25cm Blue Microfit one side crimped wires</v>
      </c>
      <c r="AI167">
        <f ca="1">IFERROR(__xludf.DUMMYFUNCTION("""COMPUTED_VALUE"""),1)</f>
        <v>1</v>
      </c>
      <c r="AJ167" t="str">
        <f ca="1">IFERROR(__xludf.DUMMYFUNCTION("""COMPUTED_VALUE"""),"blank")</f>
        <v>blank</v>
      </c>
      <c r="AK167" t="e">
        <f ca="1">_xludf.IFNA(VLOOKUP(AG167,'S-FG'!$B$3:$B1001,1,FALSE),"")</f>
        <v>#NAME?</v>
      </c>
      <c r="AL167" t="e">
        <f ca="1">IF(AH167="","",SUMIFS(#REF!,RM!$C$4:$C991,AH167))</f>
        <v>#REF!</v>
      </c>
    </row>
    <row r="168" spans="5:38">
      <c r="E168" t="str">
        <f>IF(A168="","",SUMIFS(Issue!$D$3:$D1001,Issue!$C$3:$C1001,A168)*C168)</f>
        <v/>
      </c>
      <c r="F168" t="e">
        <f ca="1">_xludf.IFNA(VLOOKUP(B168,'S-FG'!$B$3:$B1001,1,FALSE),"")</f>
        <v>#NAME?</v>
      </c>
      <c r="H168" t="str">
        <f ca="1">IFERROR(__xludf.DUMMYFUNCTION("""COMPUTED_VALUE"""),"A21 MotherBoard Assy")</f>
        <v>A21 MotherBoard Assy</v>
      </c>
      <c r="I168" t="str">
        <f ca="1">IFERROR(__xludf.DUMMYFUNCTION("""COMPUTED_VALUE"""),"Free Wheel Diode SMD M7")</f>
        <v>Free Wheel Diode SMD M7</v>
      </c>
      <c r="J168">
        <f ca="1">IFERROR(__xludf.DUMMYFUNCTION("""COMPUTED_VALUE"""),7)</f>
        <v>7</v>
      </c>
      <c r="K168" t="str">
        <f ca="1">IFERROR(__xludf.DUMMYFUNCTION("""COMPUTED_VALUE"""),"Robu-597541")</f>
        <v>Robu-597541</v>
      </c>
      <c r="L168">
        <f t="shared" ca="1" si="0"/>
        <v>0</v>
      </c>
      <c r="Q168" t="str">
        <f>IF(N168="","",SUMIFS(Issue!$D$3:$D1001,Issue!$C$3:$C1001,N168))</f>
        <v/>
      </c>
      <c r="S168" t="str">
        <f ca="1">IFERROR(__xludf.DUMMYFUNCTION("""COMPUTED_VALUE"""),"Receiver Module R9MM/R9MX/R9")</f>
        <v>Receiver Module R9MM/R9MX/R9</v>
      </c>
      <c r="X168" t="e">
        <f ca="1"/>
        <v>#NAME?</v>
      </c>
      <c r="Y168" t="e">
        <f t="shared" ca="1" si="1"/>
        <v>#NAME?</v>
      </c>
      <c r="Z168" t="e">
        <f ca="1">IF(X168="","",SUMIFS(#REF!,RM!$C$4:$C991,X168))</f>
        <v>#NAME?</v>
      </c>
      <c r="AA168" t="e">
        <f ca="1">IF(X168="","",SUMIFS(#REF!,RM!$C$4:$C991,X168))</f>
        <v>#NAME?</v>
      </c>
      <c r="AB168" t="e">
        <f t="shared" ca="1" si="2"/>
        <v>#NAME?</v>
      </c>
      <c r="AC168" t="e">
        <f ca="1">IF(X168="","",VLOOKUP($X168,RM!$C$4:$G991,3,FALSE))</f>
        <v>#NAME?</v>
      </c>
      <c r="AD168" t="e">
        <f ca="1">IF(X168="","",VLOOKUP($X168,RM!$C$4:$G991,4,FALSE))</f>
        <v>#NAME?</v>
      </c>
      <c r="AE168" t="e">
        <f ca="1">IF(X168="","",VLOOKUP($X168,RM!$C$4:$G991,5,FALSE))</f>
        <v>#NAME?</v>
      </c>
      <c r="AG168" t="str">
        <f ca="1">IFERROR(__xludf.DUMMYFUNCTION("""COMPUTED_VALUE"""),"Charger Box Assy")</f>
        <v>Charger Box Assy</v>
      </c>
      <c r="AH168" t="str">
        <f ca="1">IFERROR(__xludf.DUMMYFUNCTION("""COMPUTED_VALUE"""),"25cm Pink Microfit one side crimped wires")</f>
        <v>25cm Pink Microfit one side crimped wires</v>
      </c>
      <c r="AI168">
        <f ca="1">IFERROR(__xludf.DUMMYFUNCTION("""COMPUTED_VALUE"""),1)</f>
        <v>1</v>
      </c>
      <c r="AJ168" t="str">
        <f ca="1">IFERROR(__xludf.DUMMYFUNCTION("""COMPUTED_VALUE"""),"blank")</f>
        <v>blank</v>
      </c>
      <c r="AK168" t="e">
        <f ca="1">_xludf.IFNA(VLOOKUP(AG168,'S-FG'!$B$3:$B1001,1,FALSE),"")</f>
        <v>#NAME?</v>
      </c>
      <c r="AL168" t="e">
        <f ca="1">IF(AH168="","",SUMIFS(#REF!,RM!$C$4:$C991,AH168))</f>
        <v>#REF!</v>
      </c>
    </row>
    <row r="169" spans="5:38">
      <c r="E169" t="str">
        <f>IF(A169="","",SUMIFS(Issue!$D$3:$D1001,Issue!$C$3:$C1001,A169)*C169)</f>
        <v/>
      </c>
      <c r="F169" t="e">
        <f ca="1">_xludf.IFNA(VLOOKUP(B169,'S-FG'!$B$3:$B1001,1,FALSE),"")</f>
        <v>#NAME?</v>
      </c>
      <c r="H169" t="str">
        <f ca="1">IFERROR(__xludf.DUMMYFUNCTION("""COMPUTED_VALUE"""),"A21 MotherBoard Assy")</f>
        <v>A21 MotherBoard Assy</v>
      </c>
      <c r="I169" t="str">
        <f ca="1">IFERROR(__xludf.DUMMYFUNCTION("""COMPUTED_VALUE"""),"LM1117 5.0v")</f>
        <v>LM1117 5.0v</v>
      </c>
      <c r="J169">
        <f ca="1">IFERROR(__xludf.DUMMYFUNCTION("""COMPUTED_VALUE"""),3)</f>
        <v>3</v>
      </c>
      <c r="K169" t="str">
        <f ca="1">IFERROR(__xludf.DUMMYFUNCTION("""COMPUTED_VALUE"""),"blank")</f>
        <v>blank</v>
      </c>
      <c r="L169">
        <f t="shared" ca="1" si="0"/>
        <v>0</v>
      </c>
      <c r="Q169" t="str">
        <f>IF(N169="","",SUMIFS(Issue!$D$3:$D1001,Issue!$C$3:$C1001,N169))</f>
        <v/>
      </c>
      <c r="S169" t="str">
        <f ca="1">IFERROR(__xludf.DUMMYFUNCTION("""COMPUTED_VALUE"""),"Free Wheel Diode SMD M7")</f>
        <v>Free Wheel Diode SMD M7</v>
      </c>
      <c r="X169" t="e">
        <f ca="1"/>
        <v>#NAME?</v>
      </c>
      <c r="Y169" t="e">
        <f t="shared" ca="1" si="1"/>
        <v>#NAME?</v>
      </c>
      <c r="Z169" t="e">
        <f ca="1">IF(X169="","",SUMIFS(#REF!,RM!$C$4:$C991,X169))</f>
        <v>#NAME?</v>
      </c>
      <c r="AA169" t="e">
        <f ca="1">IF(X169="","",SUMIFS(#REF!,RM!$C$4:$C991,X169))</f>
        <v>#NAME?</v>
      </c>
      <c r="AB169" t="e">
        <f t="shared" ca="1" si="2"/>
        <v>#NAME?</v>
      </c>
      <c r="AC169" t="e">
        <f ca="1">IF(X169="","",VLOOKUP($X169,RM!$C$4:$G991,3,FALSE))</f>
        <v>#NAME?</v>
      </c>
      <c r="AD169" t="e">
        <f ca="1">IF(X169="","",VLOOKUP($X169,RM!$C$4:$G991,4,FALSE))</f>
        <v>#NAME?</v>
      </c>
      <c r="AE169" t="e">
        <f ca="1">IF(X169="","",VLOOKUP($X169,RM!$C$4:$G991,5,FALSE))</f>
        <v>#NAME?</v>
      </c>
      <c r="AG169" t="str">
        <f ca="1">IFERROR(__xludf.DUMMYFUNCTION("""COMPUTED_VALUE"""),"Charger Box Assy")</f>
        <v>Charger Box Assy</v>
      </c>
      <c r="AH169" t="str">
        <f ca="1">IFERROR(__xludf.DUMMYFUNCTION("""COMPUTED_VALUE"""),"25cm L.Brown Microfit one side crimped wires")</f>
        <v>25cm L.Brown Microfit one side crimped wires</v>
      </c>
      <c r="AI169">
        <f ca="1">IFERROR(__xludf.DUMMYFUNCTION("""COMPUTED_VALUE"""),1)</f>
        <v>1</v>
      </c>
      <c r="AJ169" t="str">
        <f ca="1">IFERROR(__xludf.DUMMYFUNCTION("""COMPUTED_VALUE"""),"blank")</f>
        <v>blank</v>
      </c>
      <c r="AK169" t="e">
        <f ca="1">_xludf.IFNA(VLOOKUP(AG169,'S-FG'!$B$3:$B1001,1,FALSE),"")</f>
        <v>#NAME?</v>
      </c>
      <c r="AL169" t="e">
        <f ca="1">IF(AH169="","",SUMIFS(#REF!,RM!$C$4:$C991,AH169))</f>
        <v>#REF!</v>
      </c>
    </row>
    <row r="170" spans="5:38">
      <c r="E170" t="str">
        <f>IF(A170="","",SUMIFS(Issue!$D$3:$D1001,Issue!$C$3:$C1001,A170)*C170)</f>
        <v/>
      </c>
      <c r="F170" t="e">
        <f ca="1">_xludf.IFNA(VLOOKUP(B170,'S-FG'!$B$3:$B1001,1,FALSE),"")</f>
        <v>#NAME?</v>
      </c>
      <c r="H170" t="str">
        <f ca="1">IFERROR(__xludf.DUMMYFUNCTION("""COMPUTED_VALUE"""),"A21 MotherBoard Assy")</f>
        <v>A21 MotherBoard Assy</v>
      </c>
      <c r="I170" t="str">
        <f ca="1">IFERROR(__xludf.DUMMYFUNCTION("""COMPUTED_VALUE"""),"LM1117 3.3v")</f>
        <v>LM1117 3.3v</v>
      </c>
      <c r="J170">
        <f ca="1">IFERROR(__xludf.DUMMYFUNCTION("""COMPUTED_VALUE"""),1)</f>
        <v>1</v>
      </c>
      <c r="K170" t="str">
        <f ca="1">IFERROR(__xludf.DUMMYFUNCTION("""COMPUTED_VALUE"""),"blank")</f>
        <v>blank</v>
      </c>
      <c r="L170">
        <f t="shared" ca="1" si="0"/>
        <v>0</v>
      </c>
      <c r="Q170" t="str">
        <f>IF(N170="","",SUMIFS(Issue!$D$3:$D1001,Issue!$C$3:$C1001,N170))</f>
        <v/>
      </c>
      <c r="S170" t="str">
        <f ca="1">IFERROR(__xludf.DUMMYFUNCTION("""COMPUTED_VALUE"""),"LM1117 5.0v")</f>
        <v>LM1117 5.0v</v>
      </c>
      <c r="X170" t="e">
        <f ca="1"/>
        <v>#NAME?</v>
      </c>
      <c r="Y170" t="e">
        <f t="shared" ca="1" si="1"/>
        <v>#NAME?</v>
      </c>
      <c r="Z170" t="e">
        <f ca="1">IF(X170="","",SUMIFS(#REF!,RM!$C$4:$C991,X170))</f>
        <v>#NAME?</v>
      </c>
      <c r="AA170" t="e">
        <f ca="1">IF(X170="","",SUMIFS(#REF!,RM!$C$4:$C991,X170))</f>
        <v>#NAME?</v>
      </c>
      <c r="AB170" t="e">
        <f t="shared" ca="1" si="2"/>
        <v>#NAME?</v>
      </c>
      <c r="AC170" t="e">
        <f ca="1">IF(X170="","",VLOOKUP($X170,RM!$C$4:$G991,3,FALSE))</f>
        <v>#NAME?</v>
      </c>
      <c r="AD170" t="e">
        <f ca="1">IF(X170="","",VLOOKUP($X170,RM!$C$4:$G991,4,FALSE))</f>
        <v>#NAME?</v>
      </c>
      <c r="AE170" t="e">
        <f ca="1">IF(X170="","",VLOOKUP($X170,RM!$C$4:$G991,5,FALSE))</f>
        <v>#NAME?</v>
      </c>
      <c r="AG170" t="str">
        <f ca="1">IFERROR(__xludf.DUMMYFUNCTION("""COMPUTED_VALUE"""),"Charger Box Assy")</f>
        <v>Charger Box Assy</v>
      </c>
      <c r="AH170" t="str">
        <f ca="1">IFERROR(__xludf.DUMMYFUNCTION("""COMPUTED_VALUE"""),"25cm D.Brown Microfit one side crimped wires")</f>
        <v>25cm D.Brown Microfit one side crimped wires</v>
      </c>
      <c r="AI170">
        <f ca="1">IFERROR(__xludf.DUMMYFUNCTION("""COMPUTED_VALUE"""),1)</f>
        <v>1</v>
      </c>
      <c r="AJ170" t="str">
        <f ca="1">IFERROR(__xludf.DUMMYFUNCTION("""COMPUTED_VALUE"""),"blank")</f>
        <v>blank</v>
      </c>
      <c r="AK170" t="e">
        <f ca="1">_xludf.IFNA(VLOOKUP(AG170,'S-FG'!$B$3:$B1001,1,FALSE),"")</f>
        <v>#NAME?</v>
      </c>
      <c r="AL170" t="e">
        <f ca="1">IF(AH170="","",SUMIFS(#REF!,RM!$C$4:$C991,AH170))</f>
        <v>#REF!</v>
      </c>
    </row>
    <row r="171" spans="5:38">
      <c r="E171" t="str">
        <f>IF(A171="","",SUMIFS(Issue!$D$3:$D1001,Issue!$C$3:$C1001,A171)*C171)</f>
        <v/>
      </c>
      <c r="F171" t="e">
        <f ca="1">_xludf.IFNA(VLOOKUP(B171,'S-FG'!$B$3:$B1001,1,FALSE),"")</f>
        <v>#NAME?</v>
      </c>
      <c r="H171" t="str">
        <f ca="1">IFERROR(__xludf.DUMMYFUNCTION("""COMPUTED_VALUE"""),"A21 MotherBoard Assy")</f>
        <v>A21 MotherBoard Assy</v>
      </c>
      <c r="I171" t="str">
        <f ca="1">IFERROR(__xludf.DUMMYFUNCTION("""COMPUTED_VALUE"""),"NEO-6M GPS")</f>
        <v>NEO-6M GPS</v>
      </c>
      <c r="J171">
        <f ca="1">IFERROR(__xludf.DUMMYFUNCTION("""COMPUTED_VALUE"""),1)</f>
        <v>1</v>
      </c>
      <c r="K171" t="str">
        <f ca="1">IFERROR(__xludf.DUMMYFUNCTION("""COMPUTED_VALUE"""),"blank")</f>
        <v>blank</v>
      </c>
      <c r="L171">
        <f t="shared" ca="1" si="0"/>
        <v>0</v>
      </c>
      <c r="Q171" t="str">
        <f>IF(N171="","",SUMIFS(Issue!$D$3:$D1001,Issue!$C$3:$C1001,N171))</f>
        <v/>
      </c>
      <c r="S171" t="str">
        <f ca="1">IFERROR(__xludf.DUMMYFUNCTION("""COMPUTED_VALUE"""),"LM1117 3.3v")</f>
        <v>LM1117 3.3v</v>
      </c>
      <c r="X171" t="e">
        <f ca="1"/>
        <v>#NAME?</v>
      </c>
      <c r="Y171" t="e">
        <f t="shared" ca="1" si="1"/>
        <v>#NAME?</v>
      </c>
      <c r="Z171" t="e">
        <f ca="1">IF(X171="","",SUMIFS(#REF!,RM!$C$4:$C991,X171))</f>
        <v>#NAME?</v>
      </c>
      <c r="AA171" t="e">
        <f ca="1">IF(X171="","",SUMIFS(#REF!,RM!$C$4:$C991,X171))</f>
        <v>#NAME?</v>
      </c>
      <c r="AB171" t="e">
        <f t="shared" ca="1" si="2"/>
        <v>#NAME?</v>
      </c>
      <c r="AC171" t="e">
        <f ca="1">IF(X171="","",VLOOKUP($X171,RM!$C$4:$G991,3,FALSE))</f>
        <v>#NAME?</v>
      </c>
      <c r="AD171" t="e">
        <f ca="1">IF(X171="","",VLOOKUP($X171,RM!$C$4:$G991,4,FALSE))</f>
        <v>#NAME?</v>
      </c>
      <c r="AE171" t="e">
        <f ca="1">IF(X171="","",VLOOKUP($X171,RM!$C$4:$G991,5,FALSE))</f>
        <v>#NAME?</v>
      </c>
      <c r="AG171" t="str">
        <f ca="1">IFERROR(__xludf.DUMMYFUNCTION("""COMPUTED_VALUE"""),"Charger Box Assy")</f>
        <v>Charger Box Assy</v>
      </c>
      <c r="AH171" t="str">
        <f ca="1">IFERROR(__xludf.DUMMYFUNCTION("""COMPUTED_VALUE"""),"25cm White Microfit one side crimped wires")</f>
        <v>25cm White Microfit one side crimped wires</v>
      </c>
      <c r="AI171">
        <f ca="1">IFERROR(__xludf.DUMMYFUNCTION("""COMPUTED_VALUE"""),1)</f>
        <v>1</v>
      </c>
      <c r="AJ171" t="str">
        <f ca="1">IFERROR(__xludf.DUMMYFUNCTION("""COMPUTED_VALUE"""),"blank")</f>
        <v>blank</v>
      </c>
      <c r="AK171" t="e">
        <f ca="1">_xludf.IFNA(VLOOKUP(AG171,'S-FG'!$B$3:$B1001,1,FALSE),"")</f>
        <v>#NAME?</v>
      </c>
      <c r="AL171" t="e">
        <f ca="1">IF(AH171="","",SUMIFS(#REF!,RM!$C$4:$C991,AH171))</f>
        <v>#REF!</v>
      </c>
    </row>
    <row r="172" spans="5:38">
      <c r="E172" t="str">
        <f>IF(A172="","",SUMIFS(Issue!$D$3:$D1001,Issue!$C$3:$C1001,A172)*C172)</f>
        <v/>
      </c>
      <c r="F172" t="e">
        <f ca="1">_xludf.IFNA(VLOOKUP(B172,'S-FG'!$B$3:$B1001,1,FALSE),"")</f>
        <v>#NAME?</v>
      </c>
      <c r="H172" t="str">
        <f ca="1">IFERROR(__xludf.DUMMYFUNCTION("""COMPUTED_VALUE"""),"A21 MotherBoard Assy")</f>
        <v>A21 MotherBoard Assy</v>
      </c>
      <c r="I172" t="str">
        <f ca="1">IFERROR(__xludf.DUMMYFUNCTION("""COMPUTED_VALUE"""),"4mm Male Bullet connector")</f>
        <v>4mm Male Bullet connector</v>
      </c>
      <c r="J172">
        <f ca="1">IFERROR(__xludf.DUMMYFUNCTION("""COMPUTED_VALUE"""),2)</f>
        <v>2</v>
      </c>
      <c r="K172" t="str">
        <f ca="1">IFERROR(__xludf.DUMMYFUNCTION("""COMPUTED_VALUE"""),"blank")</f>
        <v>blank</v>
      </c>
      <c r="L172">
        <f t="shared" ca="1" si="0"/>
        <v>0</v>
      </c>
      <c r="Q172" t="str">
        <f>IF(N172="","",SUMIFS(Issue!$D$3:$D1001,Issue!$C$3:$C1001,N172))</f>
        <v/>
      </c>
      <c r="S172" t="str">
        <f ca="1">IFERROR(__xludf.DUMMYFUNCTION("""COMPUTED_VALUE"""),"NEO-6M GPS")</f>
        <v>NEO-6M GPS</v>
      </c>
      <c r="X172" t="e">
        <f ca="1"/>
        <v>#NAME?</v>
      </c>
      <c r="Y172" t="e">
        <f t="shared" ca="1" si="1"/>
        <v>#NAME?</v>
      </c>
      <c r="Z172" t="e">
        <f ca="1">IF(X172="","",SUMIFS(#REF!,RM!$C$4:$C991,X172))</f>
        <v>#NAME?</v>
      </c>
      <c r="AA172" t="e">
        <f ca="1">IF(X172="","",SUMIFS(#REF!,RM!$C$4:$C991,X172))</f>
        <v>#NAME?</v>
      </c>
      <c r="AB172" t="e">
        <f t="shared" ca="1" si="2"/>
        <v>#NAME?</v>
      </c>
      <c r="AC172" t="e">
        <f ca="1">IF(X172="","",VLOOKUP($X172,RM!$C$4:$G991,3,FALSE))</f>
        <v>#NAME?</v>
      </c>
      <c r="AD172" t="e">
        <f ca="1">IF(X172="","",VLOOKUP($X172,RM!$C$4:$G991,4,FALSE))</f>
        <v>#NAME?</v>
      </c>
      <c r="AE172" t="e">
        <f ca="1">IF(X172="","",VLOOKUP($X172,RM!$C$4:$G991,5,FALSE))</f>
        <v>#NAME?</v>
      </c>
      <c r="AG172" t="str">
        <f ca="1">IFERROR(__xludf.DUMMYFUNCTION("""COMPUTED_VALUE"""),"Charger Box Assy")</f>
        <v>Charger Box Assy</v>
      </c>
      <c r="AH172" t="str">
        <f ca="1">IFERROR(__xludf.DUMMYFUNCTION("""COMPUTED_VALUE"""),"25cm White-Red Microfit one side crimped wires")</f>
        <v>25cm White-Red Microfit one side crimped wires</v>
      </c>
      <c r="AI172">
        <f ca="1">IFERROR(__xludf.DUMMYFUNCTION("""COMPUTED_VALUE"""),1)</f>
        <v>1</v>
      </c>
      <c r="AJ172" t="str">
        <f ca="1">IFERROR(__xludf.DUMMYFUNCTION("""COMPUTED_VALUE"""),"blank")</f>
        <v>blank</v>
      </c>
      <c r="AK172" t="e">
        <f ca="1">_xludf.IFNA(VLOOKUP(AG172,'S-FG'!$B$3:$B1001,1,FALSE),"")</f>
        <v>#NAME?</v>
      </c>
      <c r="AL172" t="e">
        <f ca="1">IF(AH172="","",SUMIFS(#REF!,RM!$C$4:$C991,AH172))</f>
        <v>#REF!</v>
      </c>
    </row>
    <row r="173" spans="5:38">
      <c r="E173" t="str">
        <f>IF(A173="","",SUMIFS(Issue!$D$3:$D1001,Issue!$C$3:$C1001,A173)*C173)</f>
        <v/>
      </c>
      <c r="F173" t="e">
        <f ca="1">_xludf.IFNA(VLOOKUP(B173,'S-FG'!$B$3:$B1001,1,FALSE),"")</f>
        <v>#NAME?</v>
      </c>
      <c r="H173" t="str">
        <f ca="1">IFERROR(__xludf.DUMMYFUNCTION("""COMPUTED_VALUE"""),"A21 MotherBoard Assy")</f>
        <v>A21 MotherBoard Assy</v>
      </c>
      <c r="I173" t="str">
        <f ca="1">IFERROR(__xludf.DUMMYFUNCTION("""COMPUTED_VALUE"""),"4mm Female Bullet connector")</f>
        <v>4mm Female Bullet connector</v>
      </c>
      <c r="J173">
        <f ca="1">IFERROR(__xludf.DUMMYFUNCTION("""COMPUTED_VALUE"""),4)</f>
        <v>4</v>
      </c>
      <c r="K173" t="str">
        <f ca="1">IFERROR(__xludf.DUMMYFUNCTION("""COMPUTED_VALUE"""),"blank")</f>
        <v>blank</v>
      </c>
      <c r="L173">
        <f t="shared" ca="1" si="0"/>
        <v>0</v>
      </c>
      <c r="Q173" t="str">
        <f>IF(N173="","",SUMIFS(Issue!$D$3:$D1001,Issue!$C$3:$C1001,N173))</f>
        <v/>
      </c>
      <c r="S173" t="str">
        <f ca="1">IFERROR(__xludf.DUMMYFUNCTION("""COMPUTED_VALUE"""),"4mm Male Bullet connector")</f>
        <v>4mm Male Bullet connector</v>
      </c>
      <c r="X173" t="e">
        <f ca="1"/>
        <v>#NAME?</v>
      </c>
      <c r="Y173" t="e">
        <f t="shared" ca="1" si="1"/>
        <v>#NAME?</v>
      </c>
      <c r="Z173" t="e">
        <f ca="1">IF(X173="","",SUMIFS(#REF!,RM!$C$4:$C991,X173))</f>
        <v>#NAME?</v>
      </c>
      <c r="AA173" t="e">
        <f ca="1">IF(X173="","",SUMIFS(#REF!,RM!$C$4:$C991,X173))</f>
        <v>#NAME?</v>
      </c>
      <c r="AB173" t="e">
        <f t="shared" ca="1" si="2"/>
        <v>#NAME?</v>
      </c>
      <c r="AC173" t="e">
        <f ca="1">IF(X173="","",VLOOKUP($X173,RM!$C$4:$G991,3,FALSE))</f>
        <v>#NAME?</v>
      </c>
      <c r="AD173" t="e">
        <f ca="1">IF(X173="","",VLOOKUP($X173,RM!$C$4:$G991,4,FALSE))</f>
        <v>#NAME?</v>
      </c>
      <c r="AE173" t="e">
        <f ca="1">IF(X173="","",VLOOKUP($X173,RM!$C$4:$G991,5,FALSE))</f>
        <v>#NAME?</v>
      </c>
      <c r="AG173" t="str">
        <f ca="1">IFERROR(__xludf.DUMMYFUNCTION("""COMPUTED_VALUE"""),"Charger Box Assy")</f>
        <v>Charger Box Assy</v>
      </c>
      <c r="AH173" t="str">
        <f ca="1">IFERROR(__xludf.DUMMYFUNCTION("""COMPUTED_VALUE"""),"25cm Red Microfit one side crimped wires")</f>
        <v>25cm Red Microfit one side crimped wires</v>
      </c>
      <c r="AI173">
        <f ca="1">IFERROR(__xludf.DUMMYFUNCTION("""COMPUTED_VALUE"""),1)</f>
        <v>1</v>
      </c>
      <c r="AJ173" t="str">
        <f ca="1">IFERROR(__xludf.DUMMYFUNCTION("""COMPUTED_VALUE"""),"blank")</f>
        <v>blank</v>
      </c>
      <c r="AK173" t="e">
        <f ca="1">_xludf.IFNA(VLOOKUP(AG173,'S-FG'!$B$3:$B1001,1,FALSE),"")</f>
        <v>#NAME?</v>
      </c>
      <c r="AL173" t="e">
        <f ca="1">IF(AH173="","",SUMIFS(#REF!,RM!$C$4:$C991,AH173))</f>
        <v>#REF!</v>
      </c>
    </row>
    <row r="174" spans="5:38">
      <c r="E174" t="str">
        <f>IF(A174="","",SUMIFS(Issue!$D$3:$D1001,Issue!$C$3:$C1001,A174)*C174)</f>
        <v/>
      </c>
      <c r="F174" t="e">
        <f ca="1">_xludf.IFNA(VLOOKUP(B174,'S-FG'!$B$3:$B1001,1,FALSE),"")</f>
        <v>#NAME?</v>
      </c>
      <c r="H174" t="str">
        <f ca="1">IFERROR(__xludf.DUMMYFUNCTION("""COMPUTED_VALUE"""),"A21 MotherBoard Assy")</f>
        <v>A21 MotherBoard Assy</v>
      </c>
      <c r="I174" t="str">
        <f ca="1">IFERROR(__xludf.DUMMYFUNCTION("""COMPUTED_VALUE"""),"2mm male bullet connector")</f>
        <v>2mm male bullet connector</v>
      </c>
      <c r="J174">
        <f ca="1">IFERROR(__xludf.DUMMYFUNCTION("""COMPUTED_VALUE"""),0)</f>
        <v>0</v>
      </c>
      <c r="K174" t="str">
        <f ca="1">IFERROR(__xludf.DUMMYFUNCTION("""COMPUTED_VALUE"""),"blank")</f>
        <v>blank</v>
      </c>
      <c r="L174">
        <f t="shared" ca="1" si="0"/>
        <v>0</v>
      </c>
      <c r="Q174" t="str">
        <f>IF(N174="","",SUMIFS(Issue!$D$3:$D1001,Issue!$C$3:$C1001,N174))</f>
        <v/>
      </c>
      <c r="S174" t="str">
        <f ca="1">IFERROR(__xludf.DUMMYFUNCTION("""COMPUTED_VALUE"""),"4mm Female Bullet connector")</f>
        <v>4mm Female Bullet connector</v>
      </c>
      <c r="X174" t="e">
        <f ca="1"/>
        <v>#NAME?</v>
      </c>
      <c r="Y174" t="e">
        <f t="shared" ca="1" si="1"/>
        <v>#NAME?</v>
      </c>
      <c r="Z174" t="e">
        <f ca="1">IF(X174="","",SUMIFS(#REF!,RM!$C$4:$C991,X174))</f>
        <v>#NAME?</v>
      </c>
      <c r="AA174" t="e">
        <f ca="1">IF(X174="","",SUMIFS(#REF!,RM!$C$4:$C991,X174))</f>
        <v>#NAME?</v>
      </c>
      <c r="AB174" t="e">
        <f t="shared" ca="1" si="2"/>
        <v>#NAME?</v>
      </c>
      <c r="AC174" t="e">
        <f ca="1">IF(X174="","",VLOOKUP($X174,RM!$C$4:$G991,3,FALSE))</f>
        <v>#NAME?</v>
      </c>
      <c r="AD174" t="e">
        <f ca="1">IF(X174="","",VLOOKUP($X174,RM!$C$4:$G991,4,FALSE))</f>
        <v>#NAME?</v>
      </c>
      <c r="AE174" t="e">
        <f ca="1">IF(X174="","",VLOOKUP($X174,RM!$C$4:$G991,5,FALSE))</f>
        <v>#NAME?</v>
      </c>
      <c r="AG174" t="str">
        <f ca="1">IFERROR(__xludf.DUMMYFUNCTION("""COMPUTED_VALUE"""),"Charger Box Assy")</f>
        <v>Charger Box Assy</v>
      </c>
      <c r="AH174" t="str">
        <f ca="1">IFERROR(__xludf.DUMMYFUNCTION("""COMPUTED_VALUE"""),"25cm Dark Blue Microfit one side crimped wires")</f>
        <v>25cm Dark Blue Microfit one side crimped wires</v>
      </c>
      <c r="AI174">
        <f ca="1">IFERROR(__xludf.DUMMYFUNCTION("""COMPUTED_VALUE"""),1)</f>
        <v>1</v>
      </c>
      <c r="AJ174" t="str">
        <f ca="1">IFERROR(__xludf.DUMMYFUNCTION("""COMPUTED_VALUE"""),"blank")</f>
        <v>blank</v>
      </c>
      <c r="AK174" t="e">
        <f ca="1">_xludf.IFNA(VLOOKUP(AG174,'S-FG'!$B$3:$B1001,1,FALSE),"")</f>
        <v>#NAME?</v>
      </c>
      <c r="AL174" t="e">
        <f ca="1">IF(AH174="","",SUMIFS(#REF!,RM!$C$4:$C991,AH174))</f>
        <v>#REF!</v>
      </c>
    </row>
    <row r="175" spans="5:38">
      <c r="E175" t="str">
        <f>IF(A175="","",SUMIFS(Issue!$D$3:$D1001,Issue!$C$3:$C1001,A175)*C175)</f>
        <v/>
      </c>
      <c r="F175" t="e">
        <f ca="1">_xludf.IFNA(VLOOKUP(B175,'S-FG'!$B$3:$B1001,1,FALSE),"")</f>
        <v>#NAME?</v>
      </c>
      <c r="H175" t="str">
        <f ca="1">IFERROR(__xludf.DUMMYFUNCTION("""COMPUTED_VALUE"""),"A21 MotherBoard Assy")</f>
        <v>A21 MotherBoard Assy</v>
      </c>
      <c r="I175" t="str">
        <f ca="1">IFERROR(__xludf.DUMMYFUNCTION("""COMPUTED_VALUE"""),"2mm Female Bullet connector")</f>
        <v>2mm Female Bullet connector</v>
      </c>
      <c r="J175">
        <f ca="1">IFERROR(__xludf.DUMMYFUNCTION("""COMPUTED_VALUE"""),0)</f>
        <v>0</v>
      </c>
      <c r="K175" t="str">
        <f ca="1">IFERROR(__xludf.DUMMYFUNCTION("""COMPUTED_VALUE"""),"blank")</f>
        <v>blank</v>
      </c>
      <c r="L175">
        <f t="shared" ca="1" si="0"/>
        <v>0</v>
      </c>
      <c r="Q175" t="str">
        <f>IF(N175="","",SUMIFS(Issue!$D$3:$D1001,Issue!$C$3:$C1001,N175))</f>
        <v/>
      </c>
      <c r="S175" t="str">
        <f ca="1">IFERROR(__xludf.DUMMYFUNCTION("""COMPUTED_VALUE"""),"2mm male bullet connector")</f>
        <v>2mm male bullet connector</v>
      </c>
      <c r="X175" t="e">
        <f ca="1"/>
        <v>#NAME?</v>
      </c>
      <c r="Y175" t="e">
        <f t="shared" ca="1" si="1"/>
        <v>#NAME?</v>
      </c>
      <c r="Z175" t="e">
        <f ca="1">IF(X175="","",SUMIFS(#REF!,RM!$C$4:$C991,X175))</f>
        <v>#NAME?</v>
      </c>
      <c r="AA175" t="e">
        <f ca="1">IF(X175="","",SUMIFS(#REF!,RM!$C$4:$C991,X175))</f>
        <v>#NAME?</v>
      </c>
      <c r="AB175" t="e">
        <f t="shared" ca="1" si="2"/>
        <v>#NAME?</v>
      </c>
      <c r="AC175" t="e">
        <f ca="1">IF(X175="","",VLOOKUP($X175,RM!$C$4:$G991,3,FALSE))</f>
        <v>#NAME?</v>
      </c>
      <c r="AD175" t="e">
        <f ca="1">IF(X175="","",VLOOKUP($X175,RM!$C$4:$G991,4,FALSE))</f>
        <v>#NAME?</v>
      </c>
      <c r="AE175" t="e">
        <f ca="1">IF(X175="","",VLOOKUP($X175,RM!$C$4:$G991,5,FALSE))</f>
        <v>#NAME?</v>
      </c>
      <c r="AG175" t="str">
        <f ca="1">IFERROR(__xludf.DUMMYFUNCTION("""COMPUTED_VALUE"""),"Charger Box Assy")</f>
        <v>Charger Box Assy</v>
      </c>
      <c r="AH175" t="str">
        <f ca="1">IFERROR(__xludf.DUMMYFUNCTION("""COMPUTED_VALUE"""),"25cm Orange Microfit one side crimped wires")</f>
        <v>25cm Orange Microfit one side crimped wires</v>
      </c>
      <c r="AI175">
        <f ca="1">IFERROR(__xludf.DUMMYFUNCTION("""COMPUTED_VALUE"""),1)</f>
        <v>1</v>
      </c>
      <c r="AJ175" t="str">
        <f ca="1">IFERROR(__xludf.DUMMYFUNCTION("""COMPUTED_VALUE"""),"blank")</f>
        <v>blank</v>
      </c>
      <c r="AK175" t="e">
        <f ca="1">_xludf.IFNA(VLOOKUP(AG175,'S-FG'!$B$3:$B1001,1,FALSE),"")</f>
        <v>#NAME?</v>
      </c>
      <c r="AL175" t="e">
        <f ca="1">IF(AH175="","",SUMIFS(#REF!,RM!$C$4:$C991,AH175))</f>
        <v>#REF!</v>
      </c>
    </row>
    <row r="176" spans="5:38">
      <c r="E176" t="str">
        <f>IF(A176="","",SUMIFS(Issue!$D$3:$D1001,Issue!$C$3:$C1001,A176)*C176)</f>
        <v/>
      </c>
      <c r="F176" t="e">
        <f ca="1">_xludf.IFNA(VLOOKUP(B176,'S-FG'!$B$3:$B1001,1,FALSE),"")</f>
        <v>#NAME?</v>
      </c>
      <c r="H176" t="str">
        <f ca="1">IFERROR(__xludf.DUMMYFUNCTION("""COMPUTED_VALUE"""),"A21 MotherBoard Assy")</f>
        <v>A21 MotherBoard Assy</v>
      </c>
      <c r="I176" t="str">
        <f ca="1">IFERROR(__xludf.DUMMYFUNCTION("""COMPUTED_VALUE"""),"6mm male bullet connector")</f>
        <v>6mm male bullet connector</v>
      </c>
      <c r="J176">
        <f ca="1">IFERROR(__xludf.DUMMYFUNCTION("""COMPUTED_VALUE"""),2)</f>
        <v>2</v>
      </c>
      <c r="K176" t="str">
        <f ca="1">IFERROR(__xludf.DUMMYFUNCTION("""COMPUTED_VALUE"""),"blank")</f>
        <v>blank</v>
      </c>
      <c r="L176">
        <f t="shared" ca="1" si="0"/>
        <v>0</v>
      </c>
      <c r="Q176" t="str">
        <f>IF(N176="","",SUMIFS(Issue!$D$3:$D1001,Issue!$C$3:$C1001,N176))</f>
        <v/>
      </c>
      <c r="S176" t="str">
        <f ca="1">IFERROR(__xludf.DUMMYFUNCTION("""COMPUTED_VALUE"""),"2mm Female Bullet connector")</f>
        <v>2mm Female Bullet connector</v>
      </c>
      <c r="X176" t="e">
        <f ca="1"/>
        <v>#NAME?</v>
      </c>
      <c r="Y176" t="e">
        <f t="shared" ca="1" si="1"/>
        <v>#NAME?</v>
      </c>
      <c r="Z176" t="e">
        <f ca="1">IF(X176="","",SUMIFS(#REF!,RM!$C$4:$C991,X176))</f>
        <v>#NAME?</v>
      </c>
      <c r="AA176" t="e">
        <f ca="1">IF(X176="","",SUMIFS(#REF!,RM!$C$4:$C991,X176))</f>
        <v>#NAME?</v>
      </c>
      <c r="AB176" t="e">
        <f t="shared" ca="1" si="2"/>
        <v>#NAME?</v>
      </c>
      <c r="AC176" t="e">
        <f ca="1">IF(X176="","",VLOOKUP($X176,RM!$C$4:$G991,3,FALSE))</f>
        <v>#NAME?</v>
      </c>
      <c r="AD176" t="e">
        <f ca="1">IF(X176="","",VLOOKUP($X176,RM!$C$4:$G991,4,FALSE))</f>
        <v>#NAME?</v>
      </c>
      <c r="AE176" t="e">
        <f ca="1">IF(X176="","",VLOOKUP($X176,RM!$C$4:$G991,5,FALSE))</f>
        <v>#NAME?</v>
      </c>
      <c r="AG176" t="str">
        <f ca="1">IFERROR(__xludf.DUMMYFUNCTION("""COMPUTED_VALUE"""),"Charger Box Assy")</f>
        <v>Charger Box Assy</v>
      </c>
      <c r="AH176" t="str">
        <f ca="1">IFERROR(__xludf.DUMMYFUNCTION("""COMPUTED_VALUE"""),"18pin Microfit housing")</f>
        <v>18pin Microfit housing</v>
      </c>
      <c r="AI176">
        <f ca="1">IFERROR(__xludf.DUMMYFUNCTION("""COMPUTED_VALUE"""),1)</f>
        <v>1</v>
      </c>
      <c r="AJ176" t="str">
        <f ca="1">IFERROR(__xludf.DUMMYFUNCTION("""COMPUTED_VALUE"""),"blank")</f>
        <v>blank</v>
      </c>
      <c r="AK176" t="e">
        <f ca="1">_xludf.IFNA(VLOOKUP(AG176,'S-FG'!$B$3:$B1001,1,FALSE),"")</f>
        <v>#NAME?</v>
      </c>
      <c r="AL176" t="e">
        <f ca="1">IF(AH176="","",SUMIFS(#REF!,RM!$C$4:$C991,AH176))</f>
        <v>#REF!</v>
      </c>
    </row>
    <row r="177" spans="5:38">
      <c r="E177" t="str">
        <f>IF(A177="","",SUMIFS(Issue!$D$3:$D1001,Issue!$C$3:$C1001,A177)*C177)</f>
        <v/>
      </c>
      <c r="F177" t="e">
        <f ca="1">_xludf.IFNA(VLOOKUP(B177,'S-FG'!$B$3:$B1001,1,FALSE),"")</f>
        <v>#NAME?</v>
      </c>
      <c r="H177" t="str">
        <f ca="1">IFERROR(__xludf.DUMMYFUNCTION("""COMPUTED_VALUE"""),"A21 MotherBoard Assy")</f>
        <v>A21 MotherBoard Assy</v>
      </c>
      <c r="I177" t="str">
        <f ca="1">IFERROR(__xludf.DUMMYFUNCTION("""COMPUTED_VALUE"""),"6mm female bullet connector")</f>
        <v>6mm female bullet connector</v>
      </c>
      <c r="J177">
        <f ca="1">IFERROR(__xludf.DUMMYFUNCTION("""COMPUTED_VALUE"""),1)</f>
        <v>1</v>
      </c>
      <c r="K177" t="str">
        <f ca="1">IFERROR(__xludf.DUMMYFUNCTION("""COMPUTED_VALUE"""),"blank")</f>
        <v>blank</v>
      </c>
      <c r="L177">
        <f t="shared" ca="1" si="0"/>
        <v>0</v>
      </c>
      <c r="Q177" t="str">
        <f>IF(N177="","",SUMIFS(Issue!$D$3:$D1001,Issue!$C$3:$C1001,N177))</f>
        <v/>
      </c>
      <c r="S177" t="str">
        <f ca="1">IFERROR(__xludf.DUMMYFUNCTION("""COMPUTED_VALUE"""),"6mm male bullet connector")</f>
        <v>6mm male bullet connector</v>
      </c>
      <c r="X177" t="e">
        <f ca="1"/>
        <v>#NAME?</v>
      </c>
      <c r="Y177" t="e">
        <f t="shared" ca="1" si="1"/>
        <v>#NAME?</v>
      </c>
      <c r="Z177" t="e">
        <f ca="1">IF(X177="","",SUMIFS(#REF!,RM!$C$4:$C991,X177))</f>
        <v>#NAME?</v>
      </c>
      <c r="AA177" t="e">
        <f ca="1">IF(X177="","",SUMIFS(#REF!,RM!$C$4:$C991,X177))</f>
        <v>#NAME?</v>
      </c>
      <c r="AB177" t="e">
        <f t="shared" ca="1" si="2"/>
        <v>#NAME?</v>
      </c>
      <c r="AC177" t="e">
        <f ca="1">IF(X177="","",VLOOKUP($X177,RM!$C$4:$G991,3,FALSE))</f>
        <v>#NAME?</v>
      </c>
      <c r="AD177" t="e">
        <f ca="1">IF(X177="","",VLOOKUP($X177,RM!$C$4:$G991,4,FALSE))</f>
        <v>#NAME?</v>
      </c>
      <c r="AE177" t="e">
        <f ca="1">IF(X177="","",VLOOKUP($X177,RM!$C$4:$G991,5,FALSE))</f>
        <v>#NAME?</v>
      </c>
      <c r="AG177" t="str">
        <f ca="1">IFERROR(__xludf.DUMMYFUNCTION("""COMPUTED_VALUE"""),"Charger Box Assy")</f>
        <v>Charger Box Assy</v>
      </c>
      <c r="AH177" t="str">
        <f ca="1">IFERROR(__xludf.DUMMYFUNCTION("""COMPUTED_VALUE"""),"12S Lipo Charger")</f>
        <v>12S Lipo Charger</v>
      </c>
      <c r="AI177">
        <f ca="1">IFERROR(__xludf.DUMMYFUNCTION("""COMPUTED_VALUE"""),1)</f>
        <v>1</v>
      </c>
      <c r="AJ177" t="str">
        <f ca="1">IFERROR(__xludf.DUMMYFUNCTION("""COMPUTED_VALUE"""),"blank")</f>
        <v>blank</v>
      </c>
      <c r="AK177" t="e">
        <f ca="1">_xludf.IFNA(VLOOKUP(AG177,'S-FG'!$B$3:$B1001,1,FALSE),"")</f>
        <v>#NAME?</v>
      </c>
      <c r="AL177" t="e">
        <f ca="1">IF(AH177="","",SUMIFS(#REF!,RM!$C$4:$C991,AH177))</f>
        <v>#REF!</v>
      </c>
    </row>
    <row r="178" spans="5:38">
      <c r="E178" t="str">
        <f>IF(A178="","",SUMIFS(Issue!$D$3:$D1001,Issue!$C$3:$C1001,A178)*C178)</f>
        <v/>
      </c>
      <c r="F178" t="e">
        <f ca="1">_xludf.IFNA(VLOOKUP(B178,'S-FG'!$B$3:$B1001,1,FALSE),"")</f>
        <v>#NAME?</v>
      </c>
      <c r="H178" t="str">
        <f ca="1">IFERROR(__xludf.DUMMYFUNCTION("""COMPUTED_VALUE"""),"A21 MotherBoard Assy")</f>
        <v>A21 MotherBoard Assy</v>
      </c>
      <c r="I178" t="str">
        <f ca="1">IFERROR(__xludf.DUMMYFUNCTION("""COMPUTED_VALUE"""),"Red 8AWG")</f>
        <v>Red 8AWG</v>
      </c>
      <c r="J178">
        <f ca="1">IFERROR(__xludf.DUMMYFUNCTION("""COMPUTED_VALUE"""),0.25)</f>
        <v>0.25</v>
      </c>
      <c r="K178" t="str">
        <f ca="1">IFERROR(__xludf.DUMMYFUNCTION("""COMPUTED_VALUE"""),"blank")</f>
        <v>blank</v>
      </c>
      <c r="L178">
        <f t="shared" ca="1" si="0"/>
        <v>0</v>
      </c>
      <c r="Q178" t="str">
        <f>IF(N178="","",SUMIFS(Issue!$D$3:$D1001,Issue!$C$3:$C1001,N178))</f>
        <v/>
      </c>
      <c r="S178" t="str">
        <f ca="1">IFERROR(__xludf.DUMMYFUNCTION("""COMPUTED_VALUE"""),"6mm female bullet connector")</f>
        <v>6mm female bullet connector</v>
      </c>
      <c r="X178" t="e">
        <f ca="1"/>
        <v>#NAME?</v>
      </c>
      <c r="Y178" t="e">
        <f t="shared" ca="1" si="1"/>
        <v>#NAME?</v>
      </c>
      <c r="Z178" t="e">
        <f ca="1">IF(X178="","",SUMIFS(#REF!,RM!$C$4:$C991,X178))</f>
        <v>#NAME?</v>
      </c>
      <c r="AA178" t="e">
        <f ca="1">IF(X178="","",SUMIFS(#REF!,RM!$C$4:$C991,X178))</f>
        <v>#NAME?</v>
      </c>
      <c r="AB178" t="e">
        <f t="shared" ca="1" si="2"/>
        <v>#NAME?</v>
      </c>
      <c r="AC178" t="e">
        <f ca="1">IF(X178="","",VLOOKUP($X178,RM!$C$4:$G991,3,FALSE))</f>
        <v>#NAME?</v>
      </c>
      <c r="AD178" t="e">
        <f ca="1">IF(X178="","",VLOOKUP($X178,RM!$C$4:$G991,4,FALSE))</f>
        <v>#NAME?</v>
      </c>
      <c r="AE178" t="e">
        <f ca="1">IF(X178="","",VLOOKUP($X178,RM!$C$4:$G991,5,FALSE))</f>
        <v>#NAME?</v>
      </c>
      <c r="AG178" t="str">
        <f ca="1">IFERROR(__xludf.DUMMYFUNCTION("""COMPUTED_VALUE"""),"Charger Box Assy")</f>
        <v>Charger Box Assy</v>
      </c>
      <c r="AH178" t="str">
        <f ca="1">IFERROR(__xludf.DUMMYFUNCTION("""COMPUTED_VALUE"""),"130x80x60 enclosure box")</f>
        <v>130x80x60 enclosure box</v>
      </c>
      <c r="AI178">
        <f ca="1">IFERROR(__xludf.DUMMYFUNCTION("""COMPUTED_VALUE"""),1)</f>
        <v>1</v>
      </c>
      <c r="AK178" t="e">
        <f ca="1">_xludf.IFNA(VLOOKUP(AG178,'S-FG'!$B$3:$B1001,1,FALSE),"")</f>
        <v>#NAME?</v>
      </c>
      <c r="AL178" t="e">
        <f ca="1">IF(AH178="","",SUMIFS(#REF!,RM!$C$4:$C991,AH178))</f>
        <v>#REF!</v>
      </c>
    </row>
    <row r="179" spans="5:38">
      <c r="E179" t="str">
        <f>IF(A179="","",SUMIFS(Issue!$D$3:$D1001,Issue!$C$3:$C1001,A179)*C179)</f>
        <v/>
      </c>
      <c r="F179" t="e">
        <f ca="1">_xludf.IFNA(VLOOKUP(B179,'S-FG'!$B$3:$B1001,1,FALSE),"")</f>
        <v>#NAME?</v>
      </c>
      <c r="H179" t="str">
        <f ca="1">IFERROR(__xludf.DUMMYFUNCTION("""COMPUTED_VALUE"""),"A21 MotherBoard Assy")</f>
        <v>A21 MotherBoard Assy</v>
      </c>
      <c r="I179" t="str">
        <f ca="1">IFERROR(__xludf.DUMMYFUNCTION("""COMPUTED_VALUE"""),"Red 12AWG")</f>
        <v>Red 12AWG</v>
      </c>
      <c r="J179">
        <f ca="1">IFERROR(__xludf.DUMMYFUNCTION("""COMPUTED_VALUE"""),0.5)</f>
        <v>0.5</v>
      </c>
      <c r="K179" t="str">
        <f ca="1">IFERROR(__xludf.DUMMYFUNCTION("""COMPUTED_VALUE"""),"blank")</f>
        <v>blank</v>
      </c>
      <c r="L179">
        <f t="shared" ca="1" si="0"/>
        <v>0</v>
      </c>
      <c r="Q179" t="str">
        <f>IF(N179="","",SUMIFS(Issue!$D$3:$D1001,Issue!$C$3:$C1001,N179))</f>
        <v/>
      </c>
      <c r="S179" t="str">
        <f ca="1">IFERROR(__xludf.DUMMYFUNCTION("""COMPUTED_VALUE"""),"Red 8AWG")</f>
        <v>Red 8AWG</v>
      </c>
      <c r="X179" t="e">
        <f ca="1"/>
        <v>#NAME?</v>
      </c>
      <c r="Y179" t="e">
        <f t="shared" ca="1" si="1"/>
        <v>#NAME?</v>
      </c>
      <c r="Z179" t="e">
        <f ca="1">IF(X179="","",SUMIFS(#REF!,RM!$C$4:$C991,X179))</f>
        <v>#NAME?</v>
      </c>
      <c r="AA179" t="e">
        <f ca="1">IF(X179="","",SUMIFS(#REF!,RM!$C$4:$C991,X179))</f>
        <v>#NAME?</v>
      </c>
      <c r="AB179" t="e">
        <f t="shared" ca="1" si="2"/>
        <v>#NAME?</v>
      </c>
      <c r="AC179" t="e">
        <f ca="1">IF(X179="","",VLOOKUP($X179,RM!$C$4:$G991,3,FALSE))</f>
        <v>#NAME?</v>
      </c>
      <c r="AD179" t="e">
        <f ca="1">IF(X179="","",VLOOKUP($X179,RM!$C$4:$G991,4,FALSE))</f>
        <v>#NAME?</v>
      </c>
      <c r="AE179" t="e">
        <f ca="1">IF(X179="","",VLOOKUP($X179,RM!$C$4:$G991,5,FALSE))</f>
        <v>#NAME?</v>
      </c>
      <c r="AG179" t="str">
        <f ca="1">IFERROR(__xludf.DUMMYFUNCTION("""COMPUTED_VALUE"""),"Charger Box Assy")</f>
        <v>Charger Box Assy</v>
      </c>
      <c r="AH179" t="str">
        <f ca="1">IFERROR(__xludf.DUMMYFUNCTION("""COMPUTED_VALUE"""),"PG-7 Cable Gland")</f>
        <v>PG-7 Cable Gland</v>
      </c>
      <c r="AI179">
        <f ca="1">IFERROR(__xludf.DUMMYFUNCTION("""COMPUTED_VALUE"""),2)</f>
        <v>2</v>
      </c>
      <c r="AJ179" t="str">
        <f ca="1">IFERROR(__xludf.DUMMYFUNCTION("""COMPUTED_VALUE"""),"blank")</f>
        <v>blank</v>
      </c>
      <c r="AK179" t="e">
        <f ca="1">_xludf.IFNA(VLOOKUP(AG179,'S-FG'!$B$3:$B1001,1,FALSE),"")</f>
        <v>#NAME?</v>
      </c>
      <c r="AL179" t="e">
        <f ca="1">IF(AH179="","",SUMIFS(#REF!,RM!$C$4:$C991,AH179))</f>
        <v>#REF!</v>
      </c>
    </row>
    <row r="180" spans="5:38">
      <c r="E180" t="str">
        <f>IF(A180="","",SUMIFS(Issue!$D$3:$D1001,Issue!$C$3:$C1001,A180)*C180)</f>
        <v/>
      </c>
      <c r="F180" t="e">
        <f ca="1">_xludf.IFNA(VLOOKUP(B180,'S-FG'!$B$3:$B1001,1,FALSE),"")</f>
        <v>#NAME?</v>
      </c>
      <c r="H180" t="str">
        <f ca="1">IFERROR(__xludf.DUMMYFUNCTION("""COMPUTED_VALUE"""),"A21 MotherBoard Assy")</f>
        <v>A21 MotherBoard Assy</v>
      </c>
      <c r="I180" t="str">
        <f ca="1">IFERROR(__xludf.DUMMYFUNCTION("""COMPUTED_VALUE"""),"Red 18 AWG")</f>
        <v>Red 18 AWG</v>
      </c>
      <c r="J180">
        <f ca="1">IFERROR(__xludf.DUMMYFUNCTION("""COMPUTED_VALUE"""),0.3)</f>
        <v>0.3</v>
      </c>
      <c r="K180" t="str">
        <f ca="1">IFERROR(__xludf.DUMMYFUNCTION("""COMPUTED_VALUE"""),"blank")</f>
        <v>blank</v>
      </c>
      <c r="L180">
        <f t="shared" ca="1" si="0"/>
        <v>0</v>
      </c>
      <c r="Q180" t="str">
        <f>IF(N180="","",SUMIFS(Issue!$D$3:$D1001,Issue!$C$3:$C1001,N180))</f>
        <v/>
      </c>
      <c r="S180" t="str">
        <f ca="1">IFERROR(__xludf.DUMMYFUNCTION("""COMPUTED_VALUE"""),"Red 12AWG")</f>
        <v>Red 12AWG</v>
      </c>
      <c r="X180" t="e">
        <f ca="1"/>
        <v>#NAME?</v>
      </c>
      <c r="Y180" t="e">
        <f t="shared" ca="1" si="1"/>
        <v>#NAME?</v>
      </c>
      <c r="Z180" t="e">
        <f ca="1">IF(X180="","",SUMIFS(#REF!,RM!$C$4:$C991,X180))</f>
        <v>#NAME?</v>
      </c>
      <c r="AA180" t="e">
        <f ca="1">IF(X180="","",SUMIFS(#REF!,RM!$C$4:$C991,X180))</f>
        <v>#NAME?</v>
      </c>
      <c r="AB180" t="e">
        <f t="shared" ca="1" si="2"/>
        <v>#NAME?</v>
      </c>
      <c r="AC180" t="e">
        <f ca="1">IF(X180="","",VLOOKUP($X180,RM!$C$4:$G991,3,FALSE))</f>
        <v>#NAME?</v>
      </c>
      <c r="AD180" t="e">
        <f ca="1">IF(X180="","",VLOOKUP($X180,RM!$C$4:$G991,4,FALSE))</f>
        <v>#NAME?</v>
      </c>
      <c r="AE180" t="e">
        <f ca="1">IF(X180="","",VLOOKUP($X180,RM!$C$4:$G991,5,FALSE))</f>
        <v>#NAME?</v>
      </c>
      <c r="AG180" t="str">
        <f ca="1">IFERROR(__xludf.DUMMYFUNCTION("""COMPUTED_VALUE"""),"Charger Box Assy")</f>
        <v>Charger Box Assy</v>
      </c>
      <c r="AH180" t="str">
        <f ca="1">IFERROR(__xludf.DUMMYFUNCTION("""COMPUTED_VALUE"""),"PG-11 Cable Gland")</f>
        <v>PG-11 Cable Gland</v>
      </c>
      <c r="AI180">
        <f ca="1">IFERROR(__xludf.DUMMYFUNCTION("""COMPUTED_VALUE"""),2)</f>
        <v>2</v>
      </c>
      <c r="AJ180" t="str">
        <f ca="1">IFERROR(__xludf.DUMMYFUNCTION("""COMPUTED_VALUE"""),"blank")</f>
        <v>blank</v>
      </c>
      <c r="AK180" t="e">
        <f ca="1">_xludf.IFNA(VLOOKUP(AG180,'S-FG'!$B$3:$B1001,1,FALSE),"")</f>
        <v>#NAME?</v>
      </c>
      <c r="AL180" t="e">
        <f ca="1">IF(AH180="","",SUMIFS(#REF!,RM!$C$4:$C991,AH180))</f>
        <v>#REF!</v>
      </c>
    </row>
    <row r="181" spans="5:38">
      <c r="E181" t="str">
        <f>IF(A181="","",SUMIFS(Issue!$D$3:$D1001,Issue!$C$3:$C1001,A181)*C181)</f>
        <v/>
      </c>
      <c r="F181" t="e">
        <f ca="1">_xludf.IFNA(VLOOKUP(B181,'S-FG'!$B$3:$B1001,1,FALSE),"")</f>
        <v>#NAME?</v>
      </c>
      <c r="H181" t="str">
        <f ca="1">IFERROR(__xludf.DUMMYFUNCTION("""COMPUTED_VALUE"""),"A21 MotherBoard Assy")</f>
        <v>A21 MotherBoard Assy</v>
      </c>
      <c r="I181" t="str">
        <f ca="1">IFERROR(__xludf.DUMMYFUNCTION("""COMPUTED_VALUE"""),"Buck converter XL7015 50v")</f>
        <v>Buck converter XL7015 50v</v>
      </c>
      <c r="J181">
        <f ca="1">IFERROR(__xludf.DUMMYFUNCTION("""COMPUTED_VALUE"""),2)</f>
        <v>2</v>
      </c>
      <c r="K181" t="str">
        <f ca="1">IFERROR(__xludf.DUMMYFUNCTION("""COMPUTED_VALUE"""),"blank")</f>
        <v>blank</v>
      </c>
      <c r="L181">
        <f t="shared" ca="1" si="0"/>
        <v>0</v>
      </c>
      <c r="Q181" t="str">
        <f>IF(N181="","",SUMIFS(Issue!$D$3:$D1001,Issue!$C$3:$C1001,N181))</f>
        <v/>
      </c>
      <c r="S181" t="str">
        <f ca="1">IFERROR(__xludf.DUMMYFUNCTION("""COMPUTED_VALUE"""),"Red 18 AWG")</f>
        <v>Red 18 AWG</v>
      </c>
      <c r="X181" t="e">
        <f ca="1"/>
        <v>#NAME?</v>
      </c>
      <c r="Y181" t="e">
        <f t="shared" ca="1" si="1"/>
        <v>#NAME?</v>
      </c>
      <c r="Z181" t="e">
        <f ca="1">IF(X181="","",SUMIFS(#REF!,RM!$C$4:$C991,X181))</f>
        <v>#NAME?</v>
      </c>
      <c r="AA181" t="e">
        <f ca="1">IF(X181="","",SUMIFS(#REF!,RM!$C$4:$C991,X181))</f>
        <v>#NAME?</v>
      </c>
      <c r="AB181" t="e">
        <f t="shared" ca="1" si="2"/>
        <v>#NAME?</v>
      </c>
      <c r="AC181" t="e">
        <f ca="1">IF(X181="","",VLOOKUP($X181,RM!$C$4:$G991,3,FALSE))</f>
        <v>#NAME?</v>
      </c>
      <c r="AD181" t="e">
        <f ca="1">IF(X181="","",VLOOKUP($X181,RM!$C$4:$G991,4,FALSE))</f>
        <v>#NAME?</v>
      </c>
      <c r="AE181" t="e">
        <f ca="1">IF(X181="","",VLOOKUP($X181,RM!$C$4:$G991,5,FALSE))</f>
        <v>#NAME?</v>
      </c>
      <c r="AG181" t="str">
        <f ca="1">IFERROR(__xludf.DUMMYFUNCTION("""COMPUTED_VALUE"""),"Charger Box Assy")</f>
        <v>Charger Box Assy</v>
      </c>
      <c r="AH181" t="str">
        <f ca="1">IFERROR(__xludf.DUMMYFUNCTION("""COMPUTED_VALUE"""),"Teroson MS930")</f>
        <v>Teroson MS930</v>
      </c>
      <c r="AI181">
        <f ca="1">IFERROR(__xludf.DUMMYFUNCTION("""COMPUTED_VALUE"""),10)</f>
        <v>10</v>
      </c>
      <c r="AJ181" t="str">
        <f ca="1">IFERROR(__xludf.DUMMYFUNCTION("""COMPUTED_VALUE"""),"blank")</f>
        <v>blank</v>
      </c>
      <c r="AK181" t="e">
        <f ca="1">_xludf.IFNA(VLOOKUP(AG181,'S-FG'!$B$3:$B1001,1,FALSE),"")</f>
        <v>#NAME?</v>
      </c>
      <c r="AL181" t="e">
        <f ca="1">IF(AH181="","",SUMIFS(#REF!,RM!$C$4:$C991,AH181))</f>
        <v>#REF!</v>
      </c>
    </row>
    <row r="182" spans="5:38">
      <c r="E182" t="str">
        <f>IF(A182="","",SUMIFS(Issue!$D$3:$D1001,Issue!$C$3:$C1001,A182)*C182)</f>
        <v/>
      </c>
      <c r="F182" t="e">
        <f ca="1">_xludf.IFNA(VLOOKUP(B182,'S-FG'!$B$3:$B1001,1,FALSE),"")</f>
        <v>#NAME?</v>
      </c>
      <c r="H182" t="str">
        <f ca="1">IFERROR(__xludf.DUMMYFUNCTION("""COMPUTED_VALUE"""),"A21 MotherBoard Assy")</f>
        <v>A21 MotherBoard Assy</v>
      </c>
      <c r="I182" t="str">
        <f ca="1">IFERROR(__xludf.DUMMYFUNCTION("""COMPUTED_VALUE"""),"LM2596HW for PC")</f>
        <v>LM2596HW for PC</v>
      </c>
      <c r="J182">
        <f ca="1">IFERROR(__xludf.DUMMYFUNCTION("""COMPUTED_VALUE"""),1)</f>
        <v>1</v>
      </c>
      <c r="K182" t="str">
        <f ca="1">IFERROR(__xludf.DUMMYFUNCTION("""COMPUTED_VALUE"""),"blank")</f>
        <v>blank</v>
      </c>
      <c r="L182">
        <f t="shared" ca="1" si="0"/>
        <v>0</v>
      </c>
      <c r="Q182" t="str">
        <f>IF(N182="","",SUMIFS(Issue!$D$3:$D1001,Issue!$C$3:$C1001,N182))</f>
        <v/>
      </c>
      <c r="S182" t="str">
        <f ca="1">IFERROR(__xludf.DUMMYFUNCTION("""COMPUTED_VALUE"""),"Buck converter XL7015 50v")</f>
        <v>Buck converter XL7015 50v</v>
      </c>
      <c r="X182" t="e">
        <f ca="1"/>
        <v>#NAME?</v>
      </c>
      <c r="Y182" t="e">
        <f t="shared" ca="1" si="1"/>
        <v>#NAME?</v>
      </c>
      <c r="Z182" t="e">
        <f ca="1">IF(X182="","",SUMIFS(#REF!,RM!$C$4:$C991,X182))</f>
        <v>#NAME?</v>
      </c>
      <c r="AA182" t="e">
        <f ca="1">IF(X182="","",SUMIFS(#REF!,RM!$C$4:$C991,X182))</f>
        <v>#NAME?</v>
      </c>
      <c r="AB182" t="e">
        <f t="shared" ca="1" si="2"/>
        <v>#NAME?</v>
      </c>
      <c r="AC182" t="e">
        <f ca="1">IF(X182="","",VLOOKUP($X182,RM!$C$4:$G991,3,FALSE))</f>
        <v>#NAME?</v>
      </c>
      <c r="AD182" t="e">
        <f ca="1">IF(X182="","",VLOOKUP($X182,RM!$C$4:$G991,4,FALSE))</f>
        <v>#NAME?</v>
      </c>
      <c r="AE182" t="e">
        <f ca="1">IF(X182="","",VLOOKUP($X182,RM!$C$4:$G991,5,FALSE))</f>
        <v>#NAME?</v>
      </c>
      <c r="AG182" t="str">
        <f ca="1">IFERROR(__xludf.DUMMYFUNCTION("""COMPUTED_VALUE"""),"Charger Box Assy")</f>
        <v>Charger Box Assy</v>
      </c>
      <c r="AH182" t="str">
        <f ca="1">IFERROR(__xludf.DUMMYFUNCTION("""COMPUTED_VALUE"""),"Red 18 AWG")</f>
        <v>Red 18 AWG</v>
      </c>
      <c r="AI182">
        <f ca="1">IFERROR(__xludf.DUMMYFUNCTION("""COMPUTED_VALUE"""),0.25)</f>
        <v>0.25</v>
      </c>
      <c r="AJ182" t="str">
        <f ca="1">IFERROR(__xludf.DUMMYFUNCTION("""COMPUTED_VALUE"""),"blank")</f>
        <v>blank</v>
      </c>
      <c r="AK182" t="e">
        <f ca="1">_xludf.IFNA(VLOOKUP(AG182,'S-FG'!$B$3:$B1001,1,FALSE),"")</f>
        <v>#NAME?</v>
      </c>
      <c r="AL182" t="e">
        <f ca="1">IF(AH182="","",SUMIFS(#REF!,RM!$C$4:$C991,AH182))</f>
        <v>#REF!</v>
      </c>
    </row>
    <row r="183" spans="5:38">
      <c r="E183" t="str">
        <f>IF(A183="","",SUMIFS(Issue!$D$3:$D1001,Issue!$C$3:$C1001,A183)*C183)</f>
        <v/>
      </c>
      <c r="F183" t="e">
        <f ca="1">_xludf.IFNA(VLOOKUP(B183,'S-FG'!$B$3:$B1001,1,FALSE),"")</f>
        <v>#NAME?</v>
      </c>
      <c r="H183" t="str">
        <f ca="1">IFERROR(__xludf.DUMMYFUNCTION("""COMPUTED_VALUE"""),"A21 MotherBoard Assy")</f>
        <v>A21 MotherBoard Assy</v>
      </c>
      <c r="I183" t="str">
        <f ca="1">IFERROR(__xludf.DUMMYFUNCTION("""COMPUTED_VALUE"""),"PWB of Motherboard")</f>
        <v>PWB of Motherboard</v>
      </c>
      <c r="J183">
        <f ca="1">IFERROR(__xludf.DUMMYFUNCTION("""COMPUTED_VALUE"""),1)</f>
        <v>1</v>
      </c>
      <c r="K183" t="str">
        <f ca="1">IFERROR(__xludf.DUMMYFUNCTION("""COMPUTED_VALUE"""),"blank")</f>
        <v>blank</v>
      </c>
      <c r="L183">
        <f t="shared" ca="1" si="0"/>
        <v>0</v>
      </c>
      <c r="Q183" t="str">
        <f>IF(N183="","",SUMIFS(Issue!$D$3:$D1001,Issue!$C$3:$C1001,N183))</f>
        <v/>
      </c>
      <c r="S183" t="str">
        <f ca="1">IFERROR(__xludf.DUMMYFUNCTION("""COMPUTED_VALUE"""),"LM2596HW for PC")</f>
        <v>LM2596HW for PC</v>
      </c>
      <c r="X183" t="e">
        <f ca="1"/>
        <v>#NAME?</v>
      </c>
      <c r="Y183" t="e">
        <f t="shared" ca="1" si="1"/>
        <v>#NAME?</v>
      </c>
      <c r="Z183" t="e">
        <f ca="1">IF(X183="","",SUMIFS(#REF!,RM!$C$4:$C991,X183))</f>
        <v>#NAME?</v>
      </c>
      <c r="AA183" t="e">
        <f ca="1">IF(X183="","",SUMIFS(#REF!,RM!$C$4:$C991,X183))</f>
        <v>#NAME?</v>
      </c>
      <c r="AB183" t="e">
        <f t="shared" ca="1" si="2"/>
        <v>#NAME?</v>
      </c>
      <c r="AC183" t="e">
        <f ca="1">IF(X183="","",VLOOKUP($X183,RM!$C$4:$G991,3,FALSE))</f>
        <v>#NAME?</v>
      </c>
      <c r="AD183" t="e">
        <f ca="1">IF(X183="","",VLOOKUP($X183,RM!$C$4:$G991,4,FALSE))</f>
        <v>#NAME?</v>
      </c>
      <c r="AE183" t="e">
        <f ca="1">IF(X183="","",VLOOKUP($X183,RM!$C$4:$G991,5,FALSE))</f>
        <v>#NAME?</v>
      </c>
      <c r="AG183" t="str">
        <f ca="1">IFERROR(__xludf.DUMMYFUNCTION("""COMPUTED_VALUE"""),"Charger Box Assy")</f>
        <v>Charger Box Assy</v>
      </c>
      <c r="AH183" t="str">
        <f ca="1">IFERROR(__xludf.DUMMYFUNCTION("""COMPUTED_VALUE"""),"Black 18 AWG")</f>
        <v>Black 18 AWG</v>
      </c>
      <c r="AI183">
        <f ca="1">IFERROR(__xludf.DUMMYFUNCTION("""COMPUTED_VALUE"""),0.25)</f>
        <v>0.25</v>
      </c>
      <c r="AJ183" t="str">
        <f ca="1">IFERROR(__xludf.DUMMYFUNCTION("""COMPUTED_VALUE"""),"blank")</f>
        <v>blank</v>
      </c>
      <c r="AK183" t="e">
        <f ca="1">_xludf.IFNA(VLOOKUP(AG183,'S-FG'!$B$3:$B1001,1,FALSE),"")</f>
        <v>#NAME?</v>
      </c>
      <c r="AL183" t="e">
        <f ca="1">IF(AH183="","",SUMIFS(#REF!,RM!$C$4:$C991,AH183))</f>
        <v>#REF!</v>
      </c>
    </row>
    <row r="184" spans="5:38">
      <c r="E184" t="str">
        <f>IF(A184="","",SUMIFS(Issue!$D$3:$D1001,Issue!$C$3:$C1001,A184)*C184)</f>
        <v/>
      </c>
      <c r="F184" t="e">
        <f ca="1">_xludf.IFNA(VLOOKUP(B184,'S-FG'!$B$3:$B1001,1,FALSE),"")</f>
        <v>#NAME?</v>
      </c>
      <c r="H184" t="str">
        <f ca="1">IFERROR(__xludf.DUMMYFUNCTION("""COMPUTED_VALUE"""),"A21 MotherBoard Assy")</f>
        <v>A21 MotherBoard Assy</v>
      </c>
      <c r="I184" t="str">
        <f ca="1">IFERROR(__xludf.DUMMYFUNCTION("""COMPUTED_VALUE"""),"Lead paste")</f>
        <v>Lead paste</v>
      </c>
      <c r="J184">
        <f ca="1">IFERROR(__xludf.DUMMYFUNCTION("""COMPUTED_VALUE"""),10)</f>
        <v>10</v>
      </c>
      <c r="L184">
        <f t="shared" ca="1" si="0"/>
        <v>0</v>
      </c>
      <c r="Q184" t="str">
        <f>IF(N184="","",SUMIFS(Issue!$D$3:$D1001,Issue!$C$3:$C1001,N184))</f>
        <v/>
      </c>
      <c r="S184" t="str">
        <f ca="1">IFERROR(__xludf.DUMMYFUNCTION("""COMPUTED_VALUE"""),"PWB of Motherboard")</f>
        <v>PWB of Motherboard</v>
      </c>
      <c r="X184" t="e">
        <f ca="1"/>
        <v>#NAME?</v>
      </c>
      <c r="Y184" t="e">
        <f t="shared" ca="1" si="1"/>
        <v>#NAME?</v>
      </c>
      <c r="Z184" t="e">
        <f ca="1">IF(X184="","",SUMIFS(#REF!,RM!$C$4:$C991,X184))</f>
        <v>#NAME?</v>
      </c>
      <c r="AA184" t="e">
        <f ca="1">IF(X184="","",SUMIFS(#REF!,RM!$C$4:$C991,X184))</f>
        <v>#NAME?</v>
      </c>
      <c r="AB184" t="e">
        <f t="shared" ca="1" si="2"/>
        <v>#NAME?</v>
      </c>
      <c r="AC184" t="e">
        <f ca="1">IF(X184="","",VLOOKUP($X184,RM!$C$4:$G991,3,FALSE))</f>
        <v>#NAME?</v>
      </c>
      <c r="AD184" t="e">
        <f ca="1">IF(X184="","",VLOOKUP($X184,RM!$C$4:$G991,4,FALSE))</f>
        <v>#NAME?</v>
      </c>
      <c r="AE184" t="e">
        <f ca="1">IF(X184="","",VLOOKUP($X184,RM!$C$4:$G991,5,FALSE))</f>
        <v>#NAME?</v>
      </c>
      <c r="AG184" t="str">
        <f ca="1">IFERROR(__xludf.DUMMYFUNCTION("""COMPUTED_VALUE"""),"Charging CM Assy")</f>
        <v>Charging CM Assy</v>
      </c>
      <c r="AH184" t="str">
        <f ca="1">IFERROR(__xludf.DUMMYFUNCTION("""COMPUTED_VALUE"""),"Lead wire 22AWG")</f>
        <v>Lead wire 22AWG</v>
      </c>
      <c r="AI184">
        <f ca="1">IFERROR(__xludf.DUMMYFUNCTION("""COMPUTED_VALUE"""),10)</f>
        <v>10</v>
      </c>
      <c r="AK184" t="e">
        <f ca="1">_xludf.IFNA(VLOOKUP(AG184,'S-FG'!$B$3:$B1001,1,FALSE),"")</f>
        <v>#NAME?</v>
      </c>
      <c r="AL184" t="e">
        <f ca="1">IF(AH184="","",SUMIFS(#REF!,RM!$C$4:$C991,AH184))</f>
        <v>#REF!</v>
      </c>
    </row>
    <row r="185" spans="5:38">
      <c r="E185" t="str">
        <f>IF(A185="","",SUMIFS(Issue!$D$3:$D1001,Issue!$C$3:$C1001,A185)*C185)</f>
        <v/>
      </c>
      <c r="F185" t="e">
        <f ca="1">_xludf.IFNA(VLOOKUP(B185,'S-FG'!$B$3:$B1001,1,FALSE),"")</f>
        <v>#NAME?</v>
      </c>
      <c r="H185" t="str">
        <f ca="1">IFERROR(__xludf.DUMMYFUNCTION("""COMPUTED_VALUE"""),"A21 MotherBoard Assy")</f>
        <v>A21 MotherBoard Assy</v>
      </c>
      <c r="I185" t="str">
        <f ca="1">IFERROR(__xludf.DUMMYFUNCTION("""COMPUTED_VALUE"""),"Lead wire 22AWG")</f>
        <v>Lead wire 22AWG</v>
      </c>
      <c r="J185">
        <f ca="1">IFERROR(__xludf.DUMMYFUNCTION("""COMPUTED_VALUE"""),10)</f>
        <v>10</v>
      </c>
      <c r="L185">
        <f t="shared" ca="1" si="0"/>
        <v>0</v>
      </c>
      <c r="Q185" t="str">
        <f>IF(N185="","",SUMIFS(Issue!$D$3:$D1001,Issue!$C$3:$C1001,N185))</f>
        <v/>
      </c>
      <c r="S185" t="str">
        <f ca="1">IFERROR(__xludf.DUMMYFUNCTION("""COMPUTED_VALUE"""),"Lead paste")</f>
        <v>Lead paste</v>
      </c>
      <c r="X185" t="e">
        <f ca="1"/>
        <v>#NAME?</v>
      </c>
      <c r="Y185" t="e">
        <f t="shared" ca="1" si="1"/>
        <v>#NAME?</v>
      </c>
      <c r="Z185" t="e">
        <f ca="1">IF(X185="","",SUMIFS(#REF!,RM!$C$4:$C991,X185))</f>
        <v>#NAME?</v>
      </c>
      <c r="AA185" t="e">
        <f ca="1">IF(X185="","",SUMIFS(#REF!,RM!$C$4:$C991,X185))</f>
        <v>#NAME?</v>
      </c>
      <c r="AB185" t="e">
        <f t="shared" ca="1" si="2"/>
        <v>#NAME?</v>
      </c>
      <c r="AC185" t="e">
        <f ca="1">IF(X185="","",VLOOKUP($X185,RM!$C$4:$G991,3,FALSE))</f>
        <v>#NAME?</v>
      </c>
      <c r="AD185" t="e">
        <f ca="1">IF(X185="","",VLOOKUP($X185,RM!$C$4:$G991,4,FALSE))</f>
        <v>#NAME?</v>
      </c>
      <c r="AE185" t="e">
        <f ca="1">IF(X185="","",VLOOKUP($X185,RM!$C$4:$G991,5,FALSE))</f>
        <v>#NAME?</v>
      </c>
      <c r="AG185" t="str">
        <f ca="1">IFERROR(__xludf.DUMMYFUNCTION("""COMPUTED_VALUE"""),"Charging CM Assy")</f>
        <v>Charging CM Assy</v>
      </c>
      <c r="AH185" t="str">
        <f ca="1">IFERROR(__xludf.DUMMYFUNCTION("""COMPUTED_VALUE"""),"Soldering flux")</f>
        <v>Soldering flux</v>
      </c>
      <c r="AI185">
        <f ca="1">IFERROR(__xludf.DUMMYFUNCTION("""COMPUTED_VALUE"""),1)</f>
        <v>1</v>
      </c>
      <c r="AK185" t="e">
        <f ca="1">_xludf.IFNA(VLOOKUP(AG185,'S-FG'!$B$3:$B1001,1,FALSE),"")</f>
        <v>#NAME?</v>
      </c>
      <c r="AL185" t="e">
        <f ca="1">IF(AH185="","",SUMIFS(#REF!,RM!$C$4:$C991,AH185))</f>
        <v>#REF!</v>
      </c>
    </row>
    <row r="186" spans="5:38">
      <c r="E186" t="str">
        <f>IF(A186="","",SUMIFS(Issue!$D$3:$D1001,Issue!$C$3:$C1001,A186)*C186)</f>
        <v/>
      </c>
      <c r="F186" t="e">
        <f ca="1">_xludf.IFNA(VLOOKUP(B186,'S-FG'!$B$3:$B1001,1,FALSE),"")</f>
        <v>#NAME?</v>
      </c>
      <c r="H186" t="str">
        <f ca="1">IFERROR(__xludf.DUMMYFUNCTION("""COMPUTED_VALUE"""),"A21 MotherBoard Assy")</f>
        <v>A21 MotherBoard Assy</v>
      </c>
      <c r="I186" t="str">
        <f ca="1">IFERROR(__xludf.DUMMYFUNCTION("""COMPUTED_VALUE"""),"LED 0805 SMD")</f>
        <v>LED 0805 SMD</v>
      </c>
      <c r="J186">
        <f ca="1">IFERROR(__xludf.DUMMYFUNCTION("""COMPUTED_VALUE"""),1)</f>
        <v>1</v>
      </c>
      <c r="K186" t="str">
        <f ca="1">IFERROR(__xludf.DUMMYFUNCTION("""COMPUTED_VALUE"""),"KPTD-2012LVSURCK")</f>
        <v>KPTD-2012LVSURCK</v>
      </c>
      <c r="L186">
        <f t="shared" ca="1" si="0"/>
        <v>0</v>
      </c>
      <c r="Q186" t="str">
        <f>IF(N186="","",SUMIFS(Issue!$D$3:$D1001,Issue!$C$3:$C1001,N186))</f>
        <v/>
      </c>
      <c r="S186" t="str">
        <f ca="1">IFERROR(__xludf.DUMMYFUNCTION("""COMPUTED_VALUE"""),"Lead wire 22AWG")</f>
        <v>Lead wire 22AWG</v>
      </c>
      <c r="X186" t="e">
        <f ca="1"/>
        <v>#NAME?</v>
      </c>
      <c r="Y186" t="e">
        <f t="shared" ca="1" si="1"/>
        <v>#NAME?</v>
      </c>
      <c r="Z186" t="e">
        <f ca="1">IF(X186="","",SUMIFS(#REF!,RM!$C$4:$C991,X186))</f>
        <v>#NAME?</v>
      </c>
      <c r="AA186" t="e">
        <f ca="1">IF(X186="","",SUMIFS(#REF!,RM!$C$4:$C991,X186))</f>
        <v>#NAME?</v>
      </c>
      <c r="AB186" t="e">
        <f t="shared" ca="1" si="2"/>
        <v>#NAME?</v>
      </c>
      <c r="AC186" t="e">
        <f ca="1">IF(X186="","",VLOOKUP($X186,RM!$C$4:$G991,3,FALSE))</f>
        <v>#NAME?</v>
      </c>
      <c r="AD186" t="e">
        <f ca="1">IF(X186="","",VLOOKUP($X186,RM!$C$4:$G991,4,FALSE))</f>
        <v>#NAME?</v>
      </c>
      <c r="AE186" t="e">
        <f ca="1">IF(X186="","",VLOOKUP($X186,RM!$C$4:$G991,5,FALSE))</f>
        <v>#NAME?</v>
      </c>
      <c r="AG186" t="str">
        <f ca="1">IFERROR(__xludf.DUMMYFUNCTION("""COMPUTED_VALUE"""),"Charging CM Assy")</f>
        <v>Charging CM Assy</v>
      </c>
      <c r="AH186" t="str">
        <f ca="1">IFERROR(__xludf.DUMMYFUNCTION("""COMPUTED_VALUE"""),"20Core Wire 14/38")</f>
        <v>20Core Wire 14/38</v>
      </c>
      <c r="AI186">
        <f ca="1">IFERROR(__xludf.DUMMYFUNCTION("""COMPUTED_VALUE"""),1.5)</f>
        <v>1.5</v>
      </c>
      <c r="AJ186" t="str">
        <f ca="1">IFERROR(__xludf.DUMMYFUNCTION("""COMPUTED_VALUE"""),"blank")</f>
        <v>blank</v>
      </c>
      <c r="AK186" t="e">
        <f ca="1">_xludf.IFNA(VLOOKUP(AG186,'S-FG'!$B$3:$B1001,1,FALSE),"")</f>
        <v>#NAME?</v>
      </c>
      <c r="AL186" t="e">
        <f ca="1">IF(AH186="","",SUMIFS(#REF!,RM!$C$4:$C991,AH186))</f>
        <v>#REF!</v>
      </c>
    </row>
    <row r="187" spans="5:38">
      <c r="E187" t="str">
        <f>IF(A187="","",SUMIFS(Issue!$D$3:$D1001,Issue!$C$3:$C1001,A187)*C187)</f>
        <v/>
      </c>
      <c r="F187" t="e">
        <f ca="1">_xludf.IFNA(VLOOKUP(B187,'S-FG'!$B$3:$B1001,1,FALSE),"")</f>
        <v>#NAME?</v>
      </c>
      <c r="H187" t="str">
        <f ca="1">IFERROR(__xludf.DUMMYFUNCTION("""COMPUTED_VALUE"""),"A21 MotherBoard Assy")</f>
        <v>A21 MotherBoard Assy</v>
      </c>
      <c r="I187" t="str">
        <f ca="1">IFERROR(__xludf.DUMMYFUNCTION("""COMPUTED_VALUE"""),"18pF 0805 capacitor")</f>
        <v>18pF 0805 capacitor</v>
      </c>
      <c r="J187">
        <f ca="1">IFERROR(__xludf.DUMMYFUNCTION("""COMPUTED_VALUE"""),4)</f>
        <v>4</v>
      </c>
      <c r="K187" t="str">
        <f ca="1">IFERROR(__xludf.DUMMYFUNCTION("""COMPUTED_VALUE"""),"MC0805N180J500CT")</f>
        <v>MC0805N180J500CT</v>
      </c>
      <c r="L187">
        <f t="shared" ca="1" si="0"/>
        <v>0</v>
      </c>
      <c r="Q187" t="str">
        <f>IF(N187="","",SUMIFS(Issue!$D$3:$D1001,Issue!$C$3:$C1001,N187))</f>
        <v/>
      </c>
      <c r="S187" t="str">
        <f ca="1">IFERROR(__xludf.DUMMYFUNCTION("""COMPUTED_VALUE"""),"LED 0805 SMD")</f>
        <v>LED 0805 SMD</v>
      </c>
      <c r="X187" t="e">
        <f ca="1"/>
        <v>#NAME?</v>
      </c>
      <c r="Y187" t="e">
        <f t="shared" ca="1" si="1"/>
        <v>#NAME?</v>
      </c>
      <c r="Z187" t="e">
        <f ca="1">IF(X187="","",SUMIFS(#REF!,RM!$C$4:$C991,X187))</f>
        <v>#NAME?</v>
      </c>
      <c r="AA187" t="e">
        <f ca="1">IF(X187="","",SUMIFS(#REF!,RM!$C$4:$C991,X187))</f>
        <v>#NAME?</v>
      </c>
      <c r="AB187" t="e">
        <f t="shared" ca="1" si="2"/>
        <v>#NAME?</v>
      </c>
      <c r="AC187" t="e">
        <f ca="1">IF(X187="","",VLOOKUP($X187,RM!$C$4:$G991,3,FALSE))</f>
        <v>#NAME?</v>
      </c>
      <c r="AD187" t="e">
        <f ca="1">IF(X187="","",VLOOKUP($X187,RM!$C$4:$G991,4,FALSE))</f>
        <v>#NAME?</v>
      </c>
      <c r="AE187" t="e">
        <f ca="1">IF(X187="","",VLOOKUP($X187,RM!$C$4:$G991,5,FALSE))</f>
        <v>#NAME?</v>
      </c>
      <c r="AG187" t="str">
        <f ca="1">IFERROR(__xludf.DUMMYFUNCTION("""COMPUTED_VALUE"""),"Charging CM Assy")</f>
        <v>Charging CM Assy</v>
      </c>
      <c r="AH187" t="str">
        <f ca="1">IFERROR(__xludf.DUMMYFUNCTION("""COMPUTED_VALUE"""),"WY-28 Metal connector CM")</f>
        <v>WY-28 Metal connector CM</v>
      </c>
      <c r="AI187">
        <f ca="1">IFERROR(__xludf.DUMMYFUNCTION("""COMPUTED_VALUE"""),1)</f>
        <v>1</v>
      </c>
      <c r="AJ187" t="str">
        <f ca="1">IFERROR(__xludf.DUMMYFUNCTION("""COMPUTED_VALUE"""),"blank")</f>
        <v>blank</v>
      </c>
      <c r="AK187" t="e">
        <f ca="1">_xludf.IFNA(VLOOKUP(AG187,'S-FG'!$B$3:$B1001,1,FALSE),"")</f>
        <v>#NAME?</v>
      </c>
      <c r="AL187" t="e">
        <f ca="1">IF(AH187="","",SUMIFS(#REF!,RM!$C$4:$C991,AH187))</f>
        <v>#REF!</v>
      </c>
    </row>
    <row r="188" spans="5:38">
      <c r="E188" t="str">
        <f>IF(A188="","",SUMIFS(Issue!$D$3:$D1001,Issue!$C$3:$C1001,A188)*C188)</f>
        <v/>
      </c>
      <c r="F188" t="e">
        <f ca="1">_xludf.IFNA(VLOOKUP(B188,'S-FG'!$B$3:$B1001,1,FALSE),"")</f>
        <v>#NAME?</v>
      </c>
      <c r="H188" t="str">
        <f ca="1">IFERROR(__xludf.DUMMYFUNCTION("""COMPUTED_VALUE"""),"A21 MotherBoard Assy")</f>
        <v>A21 MotherBoard Assy</v>
      </c>
      <c r="I188" t="str">
        <f ca="1">IFERROR(__xludf.DUMMYFUNCTION("""COMPUTED_VALUE"""),"10uF 10v Tantalum Capacitor Case A")</f>
        <v>10uF 10v Tantalum Capacitor Case A</v>
      </c>
      <c r="J188">
        <f ca="1">IFERROR(__xludf.DUMMYFUNCTION("""COMPUTED_VALUE"""),3)</f>
        <v>3</v>
      </c>
      <c r="K188" t="str">
        <f ca="1">IFERROR(__xludf.DUMMYFUNCTION("""COMPUTED_VALUE"""),"T491A106K010AT")</f>
        <v>T491A106K010AT</v>
      </c>
      <c r="L188">
        <f t="shared" ca="1" si="0"/>
        <v>0</v>
      </c>
      <c r="Q188" t="str">
        <f>IF(N188="","",SUMIFS(Issue!$D$3:$D1001,Issue!$C$3:$C1001,N188))</f>
        <v/>
      </c>
      <c r="S188" t="str">
        <f ca="1">IFERROR(__xludf.DUMMYFUNCTION("""COMPUTED_VALUE"""),"18pF 0805 capacitor")</f>
        <v>18pF 0805 capacitor</v>
      </c>
      <c r="X188" t="e">
        <f ca="1"/>
        <v>#NAME?</v>
      </c>
      <c r="Y188" t="e">
        <f t="shared" ca="1" si="1"/>
        <v>#NAME?</v>
      </c>
      <c r="Z188" t="e">
        <f ca="1">IF(X188="","",SUMIFS(#REF!,RM!$C$4:$C991,X188))</f>
        <v>#NAME?</v>
      </c>
      <c r="AA188" t="e">
        <f ca="1">IF(X188="","",SUMIFS(#REF!,RM!$C$4:$C991,X188))</f>
        <v>#NAME?</v>
      </c>
      <c r="AB188" t="e">
        <f t="shared" ca="1" si="2"/>
        <v>#NAME?</v>
      </c>
      <c r="AC188" t="e">
        <f ca="1">IF(X188="","",VLOOKUP($X188,RM!$C$4:$G991,3,FALSE))</f>
        <v>#NAME?</v>
      </c>
      <c r="AD188" t="e">
        <f ca="1">IF(X188="","",VLOOKUP($X188,RM!$C$4:$G991,4,FALSE))</f>
        <v>#NAME?</v>
      </c>
      <c r="AE188" t="e">
        <f ca="1">IF(X188="","",VLOOKUP($X188,RM!$C$4:$G991,5,FALSE))</f>
        <v>#NAME?</v>
      </c>
      <c r="AG188" t="str">
        <f ca="1">IFERROR(__xludf.DUMMYFUNCTION("""COMPUTED_VALUE"""),"RPM Sensor Assy")</f>
        <v>RPM Sensor Assy</v>
      </c>
      <c r="AH188" t="str">
        <f ca="1">IFERROR(__xludf.DUMMYFUNCTION("""COMPUTED_VALUE"""),"PWB of RPM Sensor")</f>
        <v>PWB of RPM Sensor</v>
      </c>
      <c r="AI188">
        <f ca="1">IFERROR(__xludf.DUMMYFUNCTION("""COMPUTED_VALUE"""),1)</f>
        <v>1</v>
      </c>
      <c r="AJ188" t="str">
        <f ca="1">IFERROR(__xludf.DUMMYFUNCTION("""COMPUTED_VALUE"""),"blank")</f>
        <v>blank</v>
      </c>
      <c r="AK188" t="e">
        <f ca="1">_xludf.IFNA(VLOOKUP(AG188,'S-FG'!$B$3:$B1001,1,FALSE),"")</f>
        <v>#NAME?</v>
      </c>
      <c r="AL188" t="e">
        <f ca="1">IF(AH188="","",SUMIFS(#REF!,RM!$C$4:$C991,AH188))</f>
        <v>#REF!</v>
      </c>
    </row>
    <row r="189" spans="5:38">
      <c r="E189" t="str">
        <f>IF(A189="","",SUMIFS(Issue!$D$3:$D1001,Issue!$C$3:$C1001,A189)*C189)</f>
        <v/>
      </c>
      <c r="F189" t="e">
        <f ca="1">_xludf.IFNA(VLOOKUP(B189,'S-FG'!$B$3:$B1001,1,FALSE),"")</f>
        <v>#NAME?</v>
      </c>
      <c r="H189" t="str">
        <f ca="1">IFERROR(__xludf.DUMMYFUNCTION("""COMPUTED_VALUE"""),"A21 MotherBoard Assy")</f>
        <v>A21 MotherBoard Assy</v>
      </c>
      <c r="I189" t="str">
        <f ca="1">IFERROR(__xludf.DUMMYFUNCTION("""COMPUTED_VALUE"""),"SPST relay 5A-12v ANTI_S &amp; KILL")</f>
        <v>SPST relay 5A-12v ANTI_S &amp; KILL</v>
      </c>
      <c r="J189">
        <f ca="1">IFERROR(__xludf.DUMMYFUNCTION("""COMPUTED_VALUE"""),2)</f>
        <v>2</v>
      </c>
      <c r="K189" t="str">
        <f ca="1">IFERROR(__xludf.DUMMYFUNCTION("""COMPUTED_VALUE"""),"blank")</f>
        <v>blank</v>
      </c>
      <c r="L189">
        <f t="shared" ca="1" si="0"/>
        <v>0</v>
      </c>
      <c r="Q189" t="str">
        <f>IF(N189="","",SUMIFS(Issue!$D$3:$D1001,Issue!$C$3:$C1001,N189))</f>
        <v/>
      </c>
      <c r="S189" t="str">
        <f ca="1">IFERROR(__xludf.DUMMYFUNCTION("""COMPUTED_VALUE"""),"10uF 10v Tantalum Capacitor Case A")</f>
        <v>10uF 10v Tantalum Capacitor Case A</v>
      </c>
      <c r="X189" t="e">
        <f ca="1"/>
        <v>#NAME?</v>
      </c>
      <c r="Y189" t="e">
        <f t="shared" ca="1" si="1"/>
        <v>#NAME?</v>
      </c>
      <c r="Z189" t="e">
        <f ca="1">IF(X189="","",SUMIFS(#REF!,RM!$C$4:$C991,X189))</f>
        <v>#NAME?</v>
      </c>
      <c r="AA189" t="e">
        <f ca="1">IF(X189="","",SUMIFS(#REF!,RM!$C$4:$C991,X189))</f>
        <v>#NAME?</v>
      </c>
      <c r="AB189" t="e">
        <f t="shared" ca="1" si="2"/>
        <v>#NAME?</v>
      </c>
      <c r="AC189" t="e">
        <f ca="1">IF(X189="","",VLOOKUP($X189,RM!$C$4:$G991,3,FALSE))</f>
        <v>#NAME?</v>
      </c>
      <c r="AD189" t="e">
        <f ca="1">IF(X189="","",VLOOKUP($X189,RM!$C$4:$G991,4,FALSE))</f>
        <v>#NAME?</v>
      </c>
      <c r="AE189" t="e">
        <f ca="1">IF(X189="","",VLOOKUP($X189,RM!$C$4:$G991,5,FALSE))</f>
        <v>#NAME?</v>
      </c>
      <c r="AG189" t="str">
        <f ca="1">IFERROR(__xludf.DUMMYFUNCTION("""COMPUTED_VALUE"""),"RPM Sensor Assy")</f>
        <v>RPM Sensor Assy</v>
      </c>
      <c r="AH189" t="str">
        <f ca="1">IFERROR(__xludf.DUMMYFUNCTION("""COMPUTED_VALUE"""),"LM358D SMD")</f>
        <v>LM358D SMD</v>
      </c>
      <c r="AI189">
        <f ca="1">IFERROR(__xludf.DUMMYFUNCTION("""COMPUTED_VALUE"""),1)</f>
        <v>1</v>
      </c>
      <c r="AJ189" t="str">
        <f ca="1">IFERROR(__xludf.DUMMYFUNCTION("""COMPUTED_VALUE"""),"blank")</f>
        <v>blank</v>
      </c>
      <c r="AK189" t="e">
        <f ca="1">_xludf.IFNA(VLOOKUP(AG189,'S-FG'!$B$3:$B1001,1,FALSE),"")</f>
        <v>#NAME?</v>
      </c>
      <c r="AL189" t="e">
        <f ca="1">IF(AH189="","",SUMIFS(#REF!,RM!$C$4:$C991,AH189))</f>
        <v>#REF!</v>
      </c>
    </row>
    <row r="190" spans="5:38">
      <c r="E190" t="str">
        <f>IF(A190="","",SUMIFS(Issue!$D$3:$D1001,Issue!$C$3:$C1001,A190)*C190)</f>
        <v/>
      </c>
      <c r="F190" t="e">
        <f ca="1">_xludf.IFNA(VLOOKUP(B190,'S-FG'!$B$3:$B1001,1,FALSE),"")</f>
        <v>#NAME?</v>
      </c>
      <c r="H190" t="str">
        <f ca="1">IFERROR(__xludf.DUMMYFUNCTION("""COMPUTED_VALUE"""),"A21 MotherBoard Assy")</f>
        <v>A21 MotherBoard Assy</v>
      </c>
      <c r="I190" t="str">
        <f ca="1">IFERROR(__xludf.DUMMYFUNCTION("""COMPUTED_VALUE"""),"Balancing 1A DPDT 24v Relay")</f>
        <v>Balancing 1A DPDT 24v Relay</v>
      </c>
      <c r="J190">
        <f ca="1">IFERROR(__xludf.DUMMYFUNCTION("""COMPUTED_VALUE"""),5)</f>
        <v>5</v>
      </c>
      <c r="K190" t="str">
        <f ca="1">IFERROR(__xludf.DUMMYFUNCTION("""COMPUTED_VALUE"""),"blank")</f>
        <v>blank</v>
      </c>
      <c r="L190">
        <f t="shared" ca="1" si="0"/>
        <v>0</v>
      </c>
      <c r="Q190" t="str">
        <f>IF(N190="","",SUMIFS(Issue!$D$3:$D1001,Issue!$C$3:$C1001,N190))</f>
        <v/>
      </c>
      <c r="S190" t="str">
        <f ca="1">IFERROR(__xludf.DUMMYFUNCTION("""COMPUTED_VALUE"""),"SPST relay 5A-12v ANTI_S &amp; KILL")</f>
        <v>SPST relay 5A-12v ANTI_S &amp; KILL</v>
      </c>
      <c r="X190" t="e">
        <f ca="1"/>
        <v>#NAME?</v>
      </c>
      <c r="Y190" t="e">
        <f t="shared" ca="1" si="1"/>
        <v>#NAME?</v>
      </c>
      <c r="Z190" t="e">
        <f ca="1">IF(X190="","",SUMIFS(#REF!,RM!$C$4:$C991,X190))</f>
        <v>#NAME?</v>
      </c>
      <c r="AA190" t="e">
        <f ca="1">IF(X190="","",SUMIFS(#REF!,RM!$C$4:$C991,X190))</f>
        <v>#NAME?</v>
      </c>
      <c r="AB190" t="e">
        <f t="shared" ca="1" si="2"/>
        <v>#NAME?</v>
      </c>
      <c r="AC190" t="e">
        <f ca="1">IF(X190="","",VLOOKUP($X190,RM!$C$4:$G991,3,FALSE))</f>
        <v>#NAME?</v>
      </c>
      <c r="AD190" t="e">
        <f ca="1">IF(X190="","",VLOOKUP($X190,RM!$C$4:$G991,4,FALSE))</f>
        <v>#NAME?</v>
      </c>
      <c r="AE190" t="e">
        <f ca="1">IF(X190="","",VLOOKUP($X190,RM!$C$4:$G991,5,FALSE))</f>
        <v>#NAME?</v>
      </c>
      <c r="AG190" t="str">
        <f ca="1">IFERROR(__xludf.DUMMYFUNCTION("""COMPUTED_VALUE"""),"RPM Sensor Assy")</f>
        <v>RPM Sensor Assy</v>
      </c>
      <c r="AH190" t="str">
        <f ca="1">IFERROR(__xludf.DUMMYFUNCTION("""COMPUTED_VALUE"""),"47k 0805")</f>
        <v>47k 0805</v>
      </c>
      <c r="AI190">
        <f ca="1">IFERROR(__xludf.DUMMYFUNCTION("""COMPUTED_VALUE"""),8)</f>
        <v>8</v>
      </c>
      <c r="AJ190" t="str">
        <f ca="1">IFERROR(__xludf.DUMMYFUNCTION("""COMPUTED_VALUE"""),"blank")</f>
        <v>blank</v>
      </c>
      <c r="AK190" t="e">
        <f ca="1">_xludf.IFNA(VLOOKUP(AG190,'S-FG'!$B$3:$B1001,1,FALSE),"")</f>
        <v>#NAME?</v>
      </c>
      <c r="AL190" t="e">
        <f ca="1">IF(AH190="","",SUMIFS(#REF!,RM!$C$4:$C991,AH190))</f>
        <v>#REF!</v>
      </c>
    </row>
    <row r="191" spans="5:38">
      <c r="E191" t="str">
        <f>IF(A191="","",SUMIFS(Issue!$D$3:$D1001,Issue!$C$3:$C1001,A191)*C191)</f>
        <v/>
      </c>
      <c r="F191" t="e">
        <f ca="1">_xludf.IFNA(VLOOKUP(B191,'S-FG'!$B$3:$B1001,1,FALSE),"")</f>
        <v>#NAME?</v>
      </c>
      <c r="H191" t="str">
        <f ca="1">IFERROR(__xludf.DUMMYFUNCTION("""COMPUTED_VALUE"""),"A21 MotherBoard Assy")</f>
        <v>A21 MotherBoard Assy</v>
      </c>
      <c r="I191" t="str">
        <f ca="1">IFERROR(__xludf.DUMMYFUNCTION("""COMPUTED_VALUE"""),"Balancing relay 5A/2A 24v SPST")</f>
        <v>Balancing relay 5A/2A 24v SPST</v>
      </c>
      <c r="J191">
        <f ca="1">IFERROR(__xludf.DUMMYFUNCTION("""COMPUTED_VALUE"""),1)</f>
        <v>1</v>
      </c>
      <c r="K191" t="str">
        <f ca="1">IFERROR(__xludf.DUMMYFUNCTION("""COMPUTED_VALUE"""),"blank")</f>
        <v>blank</v>
      </c>
      <c r="L191">
        <f t="shared" ca="1" si="0"/>
        <v>0</v>
      </c>
      <c r="Q191" t="str">
        <f>IF(N191="","",SUMIFS(Issue!$D$3:$D1001,Issue!$C$3:$C1001,N191))</f>
        <v/>
      </c>
      <c r="S191" t="str">
        <f ca="1">IFERROR(__xludf.DUMMYFUNCTION("""COMPUTED_VALUE"""),"Balancing 1A DPDT 24v Relay")</f>
        <v>Balancing 1A DPDT 24v Relay</v>
      </c>
      <c r="X191" t="e">
        <f ca="1"/>
        <v>#NAME?</v>
      </c>
      <c r="Y191" t="e">
        <f t="shared" ca="1" si="1"/>
        <v>#NAME?</v>
      </c>
      <c r="Z191" t="e">
        <f ca="1">IF(X191="","",SUMIFS(#REF!,RM!$C$4:$C991,X191))</f>
        <v>#NAME?</v>
      </c>
      <c r="AA191" t="e">
        <f ca="1">IF(X191="","",SUMIFS(#REF!,RM!$C$4:$C991,X191))</f>
        <v>#NAME?</v>
      </c>
      <c r="AB191" t="e">
        <f t="shared" ca="1" si="2"/>
        <v>#NAME?</v>
      </c>
      <c r="AC191" t="e">
        <f ca="1">IF(X191="","",VLOOKUP($X191,RM!$C$4:$G991,3,FALSE))</f>
        <v>#NAME?</v>
      </c>
      <c r="AD191" t="e">
        <f ca="1">IF(X191="","",VLOOKUP($X191,RM!$C$4:$G991,4,FALSE))</f>
        <v>#NAME?</v>
      </c>
      <c r="AE191" t="e">
        <f ca="1">IF(X191="","",VLOOKUP($X191,RM!$C$4:$G991,5,FALSE))</f>
        <v>#NAME?</v>
      </c>
      <c r="AG191" t="str">
        <f ca="1">IFERROR(__xludf.DUMMYFUNCTION("""COMPUTED_VALUE"""),"RPM Sensor Assy")</f>
        <v>RPM Sensor Assy</v>
      </c>
      <c r="AH191" t="str">
        <f ca="1">IFERROR(__xludf.DUMMYFUNCTION("""COMPUTED_VALUE"""),"470k 0805 Com grade")</f>
        <v>470k 0805 Com grade</v>
      </c>
      <c r="AI191">
        <f ca="1">IFERROR(__xludf.DUMMYFUNCTION("""COMPUTED_VALUE"""),4)</f>
        <v>4</v>
      </c>
      <c r="AJ191" t="str">
        <f ca="1">IFERROR(__xludf.DUMMYFUNCTION("""COMPUTED_VALUE"""),"blank")</f>
        <v>blank</v>
      </c>
      <c r="AK191" t="e">
        <f ca="1">_xludf.IFNA(VLOOKUP(AG191,'S-FG'!$B$3:$B1001,1,FALSE),"")</f>
        <v>#NAME?</v>
      </c>
      <c r="AL191" t="e">
        <f ca="1">IF(AH191="","",SUMIFS(#REF!,RM!$C$4:$C991,AH191))</f>
        <v>#REF!</v>
      </c>
    </row>
    <row r="192" spans="5:38">
      <c r="E192" t="str">
        <f>IF(A192="","",SUMIFS(Issue!$D$3:$D1001,Issue!$C$3:$C1001,A192)*C192)</f>
        <v/>
      </c>
      <c r="F192" t="e">
        <f ca="1">_xludf.IFNA(VLOOKUP(B192,'S-FG'!$B$3:$B1001,1,FALSE),"")</f>
        <v>#NAME?</v>
      </c>
      <c r="H192" t="str">
        <f ca="1">IFERROR(__xludf.DUMMYFUNCTION("""COMPUTED_VALUE"""),"A21 MotherBoard Assy")</f>
        <v>A21 MotherBoard Assy</v>
      </c>
      <c r="I192" t="str">
        <f ca="1">IFERROR(__xludf.DUMMYFUNCTION("""COMPUTED_VALUE"""),"BlueTooth Module")</f>
        <v>BlueTooth Module</v>
      </c>
      <c r="J192">
        <f ca="1">IFERROR(__xludf.DUMMYFUNCTION("""COMPUTED_VALUE"""),1)</f>
        <v>1</v>
      </c>
      <c r="K192" t="str">
        <f ca="1">IFERROR(__xludf.DUMMYFUNCTION("""COMPUTED_VALUE"""),"HC-05")</f>
        <v>HC-05</v>
      </c>
      <c r="L192">
        <f t="shared" ca="1" si="0"/>
        <v>0</v>
      </c>
      <c r="Q192" t="str">
        <f>IF(N192="","",SUMIFS(Issue!$D$3:$D1001,Issue!$C$3:$C1001,N192))</f>
        <v/>
      </c>
      <c r="S192" t="str">
        <f ca="1">IFERROR(__xludf.DUMMYFUNCTION("""COMPUTED_VALUE"""),"Balancing relay 5A/2A 24v SPST")</f>
        <v>Balancing relay 5A/2A 24v SPST</v>
      </c>
      <c r="X192" t="e">
        <f ca="1"/>
        <v>#NAME?</v>
      </c>
      <c r="Y192" t="e">
        <f t="shared" ca="1" si="1"/>
        <v>#NAME?</v>
      </c>
      <c r="Z192" t="e">
        <f ca="1">IF(X192="","",SUMIFS(#REF!,RM!$C$4:$C991,X192))</f>
        <v>#NAME?</v>
      </c>
      <c r="AA192" t="e">
        <f ca="1">IF(X192="","",SUMIFS(#REF!,RM!$C$4:$C991,X192))</f>
        <v>#NAME?</v>
      </c>
      <c r="AB192" t="e">
        <f t="shared" ca="1" si="2"/>
        <v>#NAME?</v>
      </c>
      <c r="AC192" t="e">
        <f ca="1">IF(X192="","",VLOOKUP($X192,RM!$C$4:$G991,3,FALSE))</f>
        <v>#NAME?</v>
      </c>
      <c r="AD192" t="e">
        <f ca="1">IF(X192="","",VLOOKUP($X192,RM!$C$4:$G991,4,FALSE))</f>
        <v>#NAME?</v>
      </c>
      <c r="AE192" t="e">
        <f ca="1">IF(X192="","",VLOOKUP($X192,RM!$C$4:$G991,5,FALSE))</f>
        <v>#NAME?</v>
      </c>
      <c r="AG192" t="str">
        <f ca="1">IFERROR(__xludf.DUMMYFUNCTION("""COMPUTED_VALUE"""),"RPM Sensor Assy")</f>
        <v>RPM Sensor Assy</v>
      </c>
      <c r="AH192" t="str">
        <f ca="1">IFERROR(__xludf.DUMMYFUNCTION("""COMPUTED_VALUE"""),"0.1uF 0805")</f>
        <v>0.1uF 0805</v>
      </c>
      <c r="AI192">
        <f ca="1">IFERROR(__xludf.DUMMYFUNCTION("""COMPUTED_VALUE"""),2)</f>
        <v>2</v>
      </c>
      <c r="AJ192" t="str">
        <f ca="1">IFERROR(__xludf.DUMMYFUNCTION("""COMPUTED_VALUE"""),"blank")</f>
        <v>blank</v>
      </c>
      <c r="AK192" t="e">
        <f ca="1">_xludf.IFNA(VLOOKUP(AG192,'S-FG'!$B$3:$B1001,1,FALSE),"")</f>
        <v>#NAME?</v>
      </c>
      <c r="AL192" t="e">
        <f ca="1">IF(AH192="","",SUMIFS(#REF!,RM!$C$4:$C991,AH192))</f>
        <v>#REF!</v>
      </c>
    </row>
    <row r="193" spans="5:38">
      <c r="E193" t="str">
        <f>IF(A193="","",SUMIFS(Issue!$D$3:$D1001,Issue!$C$3:$C1001,A193)*C193)</f>
        <v/>
      </c>
      <c r="F193" t="e">
        <f ca="1">_xludf.IFNA(VLOOKUP(B193,'S-FG'!$B$3:$B1001,1,FALSE),"")</f>
        <v>#NAME?</v>
      </c>
      <c r="H193" t="str">
        <f ca="1">IFERROR(__xludf.DUMMYFUNCTION("""COMPUTED_VALUE"""),"A21 MotherBoard Assy")</f>
        <v>A21 MotherBoard Assy</v>
      </c>
      <c r="I193" t="str">
        <f ca="1">IFERROR(__xludf.DUMMYFUNCTION("""COMPUTED_VALUE"""),"24AWG Soldering Wire")</f>
        <v>24AWG Soldering Wire</v>
      </c>
      <c r="J193">
        <f ca="1">IFERROR(__xludf.DUMMYFUNCTION("""COMPUTED_VALUE"""),10)</f>
        <v>10</v>
      </c>
      <c r="K193" t="str">
        <f ca="1">IFERROR(__xludf.DUMMYFUNCTION("""COMPUTED_VALUE"""),"blank")</f>
        <v>blank</v>
      </c>
      <c r="L193">
        <f t="shared" ca="1" si="0"/>
        <v>0</v>
      </c>
      <c r="Q193" t="str">
        <f>IF(N193="","",SUMIFS(Issue!$D$3:$D1001,Issue!$C$3:$C1001,N193))</f>
        <v/>
      </c>
      <c r="S193" t="str">
        <f ca="1">IFERROR(__xludf.DUMMYFUNCTION("""COMPUTED_VALUE"""),"BlueTooth Module")</f>
        <v>BlueTooth Module</v>
      </c>
      <c r="X193" t="e">
        <f ca="1"/>
        <v>#NAME?</v>
      </c>
      <c r="Y193" t="e">
        <f t="shared" ca="1" si="1"/>
        <v>#NAME?</v>
      </c>
      <c r="Z193" t="e">
        <f ca="1">IF(X193="","",SUMIFS(#REF!,RM!$C$4:$C991,X193))</f>
        <v>#NAME?</v>
      </c>
      <c r="AA193" t="e">
        <f ca="1">IF(X193="","",SUMIFS(#REF!,RM!$C$4:$C991,X193))</f>
        <v>#NAME?</v>
      </c>
      <c r="AB193" t="e">
        <f t="shared" ca="1" si="2"/>
        <v>#NAME?</v>
      </c>
      <c r="AC193" t="e">
        <f ca="1">IF(X193="","",VLOOKUP($X193,RM!$C$4:$G991,3,FALSE))</f>
        <v>#NAME?</v>
      </c>
      <c r="AD193" t="e">
        <f ca="1">IF(X193="","",VLOOKUP($X193,RM!$C$4:$G991,4,FALSE))</f>
        <v>#NAME?</v>
      </c>
      <c r="AE193" t="e">
        <f ca="1">IF(X193="","",VLOOKUP($X193,RM!$C$4:$G991,5,FALSE))</f>
        <v>#NAME?</v>
      </c>
      <c r="AG193" t="str">
        <f ca="1">IFERROR(__xludf.DUMMYFUNCTION("""COMPUTED_VALUE"""),"RPM Sensor Assy")</f>
        <v>RPM Sensor Assy</v>
      </c>
      <c r="AH193" t="str">
        <f ca="1">IFERROR(__xludf.DUMMYFUNCTION("""COMPUTED_VALUE"""),"0.01uF 0805")</f>
        <v>0.01uF 0805</v>
      </c>
      <c r="AI193">
        <f ca="1">IFERROR(__xludf.DUMMYFUNCTION("""COMPUTED_VALUE"""),2)</f>
        <v>2</v>
      </c>
      <c r="AJ193" t="str">
        <f ca="1">IFERROR(__xludf.DUMMYFUNCTION("""COMPUTED_VALUE"""),"blank")</f>
        <v>blank</v>
      </c>
      <c r="AK193" t="e">
        <f ca="1">_xludf.IFNA(VLOOKUP(AG193,'S-FG'!$B$3:$B1001,1,FALSE),"")</f>
        <v>#NAME?</v>
      </c>
      <c r="AL193" t="e">
        <f ca="1">IF(AH193="","",SUMIFS(#REF!,RM!$C$4:$C991,AH193))</f>
        <v>#REF!</v>
      </c>
    </row>
    <row r="194" spans="5:38">
      <c r="E194" t="str">
        <f>IF(A194="","",SUMIFS(Issue!$D$3:$D1001,Issue!$C$3:$C1001,A194)*C194)</f>
        <v/>
      </c>
      <c r="F194" t="e">
        <f ca="1">_xludf.IFNA(VLOOKUP(B194,'S-FG'!$B$3:$B1001,1,FALSE),"")</f>
        <v>#NAME?</v>
      </c>
      <c r="H194" t="str">
        <f ca="1">IFERROR(__xludf.DUMMYFUNCTION("""COMPUTED_VALUE"""),"A21 MotherBoard Assy")</f>
        <v>A21 MotherBoard Assy</v>
      </c>
      <c r="I194" t="str">
        <f ca="1">IFERROR(__xludf.DUMMYFUNCTION("""COMPUTED_VALUE"""),"12E 2W Resistor THT")</f>
        <v>12E 2W Resistor THT</v>
      </c>
      <c r="J194">
        <f ca="1">IFERROR(__xludf.DUMMYFUNCTION("""COMPUTED_VALUE"""),1)</f>
        <v>1</v>
      </c>
      <c r="K194" t="str">
        <f ca="1">IFERROR(__xludf.DUMMYFUNCTION("""COMPUTED_VALUE"""),"blank")</f>
        <v>blank</v>
      </c>
      <c r="L194">
        <f t="shared" ca="1" si="0"/>
        <v>0</v>
      </c>
      <c r="Q194" t="str">
        <f>IF(N194="","",SUMIFS(Issue!$D$3:$D1001,Issue!$C$3:$C1001,N194))</f>
        <v/>
      </c>
      <c r="S194" t="str">
        <f ca="1">IFERROR(__xludf.DUMMYFUNCTION("""COMPUTED_VALUE"""),"24AWG Soldering Wire")</f>
        <v>24AWG Soldering Wire</v>
      </c>
      <c r="X194" t="e">
        <f ca="1"/>
        <v>#NAME?</v>
      </c>
      <c r="Y194" t="e">
        <f t="shared" ca="1" si="1"/>
        <v>#NAME?</v>
      </c>
      <c r="Z194" t="e">
        <f ca="1">IF(X194="","",SUMIFS(#REF!,RM!$C$4:$C991,X194))</f>
        <v>#NAME?</v>
      </c>
      <c r="AA194" t="e">
        <f ca="1">IF(X194="","",SUMIFS(#REF!,RM!$C$4:$C991,X194))</f>
        <v>#NAME?</v>
      </c>
      <c r="AB194" t="e">
        <f t="shared" ca="1" si="2"/>
        <v>#NAME?</v>
      </c>
      <c r="AC194" t="e">
        <f ca="1">IF(X194="","",VLOOKUP($X194,RM!$C$4:$G991,3,FALSE))</f>
        <v>#NAME?</v>
      </c>
      <c r="AD194" t="e">
        <f ca="1">IF(X194="","",VLOOKUP($X194,RM!$C$4:$G991,4,FALSE))</f>
        <v>#NAME?</v>
      </c>
      <c r="AE194" t="e">
        <f ca="1">IF(X194="","",VLOOKUP($X194,RM!$C$4:$G991,5,FALSE))</f>
        <v>#NAME?</v>
      </c>
      <c r="AG194" t="str">
        <f ca="1">IFERROR(__xludf.DUMMYFUNCTION("""COMPUTED_VALUE"""),"RPM Sensor Assy")</f>
        <v>RPM Sensor Assy</v>
      </c>
      <c r="AH194" t="str">
        <f ca="1">IFERROR(__xludf.DUMMYFUNCTION("""COMPUTED_VALUE"""),"LED 0805 SMD")</f>
        <v>LED 0805 SMD</v>
      </c>
      <c r="AI194">
        <f ca="1">IFERROR(__xludf.DUMMYFUNCTION("""COMPUTED_VALUE"""),1)</f>
        <v>1</v>
      </c>
      <c r="AJ194" t="str">
        <f ca="1">IFERROR(__xludf.DUMMYFUNCTION("""COMPUTED_VALUE"""),"KPTD-2012LVSURCK")</f>
        <v>KPTD-2012LVSURCK</v>
      </c>
      <c r="AK194" t="e">
        <f ca="1">_xludf.IFNA(VLOOKUP(AG194,'S-FG'!$B$3:$B1001,1,FALSE),"")</f>
        <v>#NAME?</v>
      </c>
      <c r="AL194" t="e">
        <f ca="1">IF(AH194="","",SUMIFS(#REF!,RM!$C$4:$C991,AH194))</f>
        <v>#REF!</v>
      </c>
    </row>
    <row r="195" spans="5:38">
      <c r="E195" t="str">
        <f>IF(A195="","",SUMIFS(Issue!$D$3:$D1001,Issue!$C$3:$C1001,A195)*C195)</f>
        <v/>
      </c>
      <c r="F195" t="e">
        <f ca="1">_xludf.IFNA(VLOOKUP(B195,'S-FG'!$B$3:$B1001,1,FALSE),"")</f>
        <v>#NAME?</v>
      </c>
      <c r="H195" t="str">
        <f ca="1">IFERROR(__xludf.DUMMYFUNCTION("""COMPUTED_VALUE"""),"A21 MotherBoard Assy")</f>
        <v>A21 MotherBoard Assy</v>
      </c>
      <c r="I195" t="str">
        <f ca="1">IFERROR(__xludf.DUMMYFUNCTION("""COMPUTED_VALUE"""),"1k 0805 Resistor")</f>
        <v>1k 0805 Resistor</v>
      </c>
      <c r="J195">
        <f ca="1">IFERROR(__xludf.DUMMYFUNCTION("""COMPUTED_VALUE"""),1)</f>
        <v>1</v>
      </c>
      <c r="K195" t="str">
        <f ca="1">IFERROR(__xludf.DUMMYFUNCTION("""COMPUTED_VALUE"""),"ERA6AEB102V (to be modified)")</f>
        <v>ERA6AEB102V (to be modified)</v>
      </c>
      <c r="L195">
        <f t="shared" ca="1" si="0"/>
        <v>0</v>
      </c>
      <c r="Q195" t="str">
        <f>IF(N195="","",SUMIFS(Issue!$D$3:$D1001,Issue!$C$3:$C1001,N195))</f>
        <v/>
      </c>
      <c r="S195" t="str">
        <f ca="1">IFERROR(__xludf.DUMMYFUNCTION("""COMPUTED_VALUE"""),"12E 2W Resistor THT")</f>
        <v>12E 2W Resistor THT</v>
      </c>
      <c r="X195" t="e">
        <f ca="1"/>
        <v>#NAME?</v>
      </c>
      <c r="Y195" t="e">
        <f t="shared" ca="1" si="1"/>
        <v>#NAME?</v>
      </c>
      <c r="Z195" t="e">
        <f ca="1">IF(X195="","",SUMIFS(#REF!,RM!$C$4:$C991,X195))</f>
        <v>#NAME?</v>
      </c>
      <c r="AA195" t="e">
        <f ca="1">IF(X195="","",SUMIFS(#REF!,RM!$C$4:$C991,X195))</f>
        <v>#NAME?</v>
      </c>
      <c r="AB195" t="e">
        <f t="shared" ca="1" si="2"/>
        <v>#NAME?</v>
      </c>
      <c r="AC195" t="e">
        <f ca="1">IF(X195="","",VLOOKUP($X195,RM!$C$4:$G991,3,FALSE))</f>
        <v>#NAME?</v>
      </c>
      <c r="AD195" t="e">
        <f ca="1">IF(X195="","",VLOOKUP($X195,RM!$C$4:$G991,4,FALSE))</f>
        <v>#NAME?</v>
      </c>
      <c r="AE195" t="e">
        <f ca="1">IF(X195="","",VLOOKUP($X195,RM!$C$4:$G991,5,FALSE))</f>
        <v>#NAME?</v>
      </c>
      <c r="AG195" t="str">
        <f ca="1">IFERROR(__xludf.DUMMYFUNCTION("""COMPUTED_VALUE"""),"RPM Sensor Assy")</f>
        <v>RPM Sensor Assy</v>
      </c>
      <c r="AH195" t="str">
        <f ca="1">IFERROR(__xludf.DUMMYFUNCTION("""COMPUTED_VALUE"""),"1N4148 SMD")</f>
        <v>1N4148 SMD</v>
      </c>
      <c r="AI195">
        <f ca="1">IFERROR(__xludf.DUMMYFUNCTION("""COMPUTED_VALUE"""),4)</f>
        <v>4</v>
      </c>
      <c r="AJ195" t="str">
        <f ca="1">IFERROR(__xludf.DUMMYFUNCTION("""COMPUTED_VALUE"""),"1N4148W-7-F")</f>
        <v>1N4148W-7-F</v>
      </c>
      <c r="AK195" t="e">
        <f ca="1">_xludf.IFNA(VLOOKUP(AG195,'S-FG'!$B$3:$B1001,1,FALSE),"")</f>
        <v>#NAME?</v>
      </c>
      <c r="AL195" t="e">
        <f ca="1">IF(AH195="","",SUMIFS(#REF!,RM!$C$4:$C991,AH195))</f>
        <v>#REF!</v>
      </c>
    </row>
    <row r="196" spans="5:38">
      <c r="E196" t="str">
        <f>IF(A196="","",SUMIFS(Issue!$D$3:$D1001,Issue!$C$3:$C1001,A196)*C196)</f>
        <v/>
      </c>
      <c r="F196" t="e">
        <f ca="1">_xludf.IFNA(VLOOKUP(B196,'S-FG'!$B$3:$B1001,1,FALSE),"")</f>
        <v>#NAME?</v>
      </c>
      <c r="H196" t="str">
        <f ca="1">IFERROR(__xludf.DUMMYFUNCTION("""COMPUTED_VALUE"""),"A21 MotherBoard Assy")</f>
        <v>A21 MotherBoard Assy</v>
      </c>
      <c r="I196" t="str">
        <f ca="1">IFERROR(__xludf.DUMMYFUNCTION("""COMPUTED_VALUE"""),"51k 0805 resistor")</f>
        <v>51k 0805 resistor</v>
      </c>
      <c r="J196">
        <f ca="1">IFERROR(__xludf.DUMMYFUNCTION("""COMPUTED_VALUE"""),2)</f>
        <v>2</v>
      </c>
      <c r="K196" t="str">
        <f ca="1">IFERROR(__xludf.DUMMYFUNCTION("""COMPUTED_VALUE"""),"blank")</f>
        <v>blank</v>
      </c>
      <c r="L196">
        <f t="shared" ca="1" si="0"/>
        <v>0</v>
      </c>
      <c r="Q196" t="str">
        <f>IF(N196="","",SUMIFS(Issue!$D$3:$D1001,Issue!$C$3:$C1001,N196))</f>
        <v/>
      </c>
      <c r="S196" t="str">
        <f ca="1">IFERROR(__xludf.DUMMYFUNCTION("""COMPUTED_VALUE"""),"1k 0805 Resistor")</f>
        <v>1k 0805 Resistor</v>
      </c>
      <c r="X196" t="e">
        <f ca="1"/>
        <v>#NAME?</v>
      </c>
      <c r="Y196" t="e">
        <f t="shared" ca="1" si="1"/>
        <v>#NAME?</v>
      </c>
      <c r="Z196" t="e">
        <f ca="1">IF(X196="","",SUMIFS(#REF!,RM!$C$4:$C991,X196))</f>
        <v>#NAME?</v>
      </c>
      <c r="AA196" t="e">
        <f ca="1">IF(X196="","",SUMIFS(#REF!,RM!$C$4:$C991,X196))</f>
        <v>#NAME?</v>
      </c>
      <c r="AB196" t="e">
        <f t="shared" ca="1" si="2"/>
        <v>#NAME?</v>
      </c>
      <c r="AC196" t="e">
        <f ca="1">IF(X196="","",VLOOKUP($X196,RM!$C$4:$G991,3,FALSE))</f>
        <v>#NAME?</v>
      </c>
      <c r="AD196" t="e">
        <f ca="1">IF(X196="","",VLOOKUP($X196,RM!$C$4:$G991,4,FALSE))</f>
        <v>#NAME?</v>
      </c>
      <c r="AE196" t="e">
        <f ca="1">IF(X196="","",VLOOKUP($X196,RM!$C$4:$G991,5,FALSE))</f>
        <v>#NAME?</v>
      </c>
      <c r="AG196" t="str">
        <f ca="1">IFERROR(__xludf.DUMMYFUNCTION("""COMPUTED_VALUE"""),"RPM Sensor Assy")</f>
        <v>RPM Sensor Assy</v>
      </c>
      <c r="AH196" t="str">
        <f ca="1">IFERROR(__xludf.DUMMYFUNCTION("""COMPUTED_VALUE"""),"2 pin JST-XH male side entry")</f>
        <v>2 pin JST-XH male side entry</v>
      </c>
      <c r="AI196">
        <f ca="1">IFERROR(__xludf.DUMMYFUNCTION("""COMPUTED_VALUE"""),2)</f>
        <v>2</v>
      </c>
      <c r="AK196" t="e">
        <f ca="1">_xludf.IFNA(VLOOKUP(AG196,'S-FG'!$B$3:$B1001,1,FALSE),"")</f>
        <v>#NAME?</v>
      </c>
      <c r="AL196" t="e">
        <f ca="1">IF(AH196="","",SUMIFS(#REF!,RM!$C$4:$C991,AH196))</f>
        <v>#REF!</v>
      </c>
    </row>
    <row r="197" spans="5:38">
      <c r="E197" t="str">
        <f>IF(A197="","",SUMIFS(Issue!$D$3:$D1001,Issue!$C$3:$C1001,A197)*C197)</f>
        <v/>
      </c>
      <c r="F197" t="e">
        <f ca="1">_xludf.IFNA(VLOOKUP(B197,'S-FG'!$B$3:$B1001,1,FALSE),"")</f>
        <v>#NAME?</v>
      </c>
      <c r="H197" t="str">
        <f ca="1">IFERROR(__xludf.DUMMYFUNCTION("""COMPUTED_VALUE"""),"A21 MotherBoard Assy")</f>
        <v>A21 MotherBoard Assy</v>
      </c>
      <c r="I197" t="str">
        <f ca="1">IFERROR(__xludf.DUMMYFUNCTION("""COMPUTED_VALUE"""),"10k 0805 resistor")</f>
        <v>10k 0805 resistor</v>
      </c>
      <c r="J197">
        <f ca="1">IFERROR(__xludf.DUMMYFUNCTION("""COMPUTED_VALUE"""),1)</f>
        <v>1</v>
      </c>
      <c r="K197" t="str">
        <f ca="1">IFERROR(__xludf.DUMMYFUNCTION("""COMPUTED_VALUE"""),"ERA6AEB103V (to be modified)")</f>
        <v>ERA6AEB103V (to be modified)</v>
      </c>
      <c r="L197">
        <f t="shared" ca="1" si="0"/>
        <v>0</v>
      </c>
      <c r="Q197" t="str">
        <f>IF(N197="","",SUMIFS(Issue!$D$3:$D1001,Issue!$C$3:$C1001,N197))</f>
        <v/>
      </c>
      <c r="S197" t="str">
        <f ca="1">IFERROR(__xludf.DUMMYFUNCTION("""COMPUTED_VALUE"""),"51k 0805 resistor")</f>
        <v>51k 0805 resistor</v>
      </c>
      <c r="X197" t="e">
        <f ca="1"/>
        <v>#NAME?</v>
      </c>
      <c r="Y197" t="e">
        <f t="shared" ca="1" si="1"/>
        <v>#NAME?</v>
      </c>
      <c r="Z197" t="e">
        <f ca="1">IF(X197="","",SUMIFS(#REF!,RM!$C$4:$C991,X197))</f>
        <v>#NAME?</v>
      </c>
      <c r="AA197" t="e">
        <f ca="1">IF(X197="","",SUMIFS(#REF!,RM!$C$4:$C991,X197))</f>
        <v>#NAME?</v>
      </c>
      <c r="AB197" t="e">
        <f t="shared" ca="1" si="2"/>
        <v>#NAME?</v>
      </c>
      <c r="AC197" t="e">
        <f ca="1">IF(X197="","",VLOOKUP($X197,RM!$C$4:$G991,3,FALSE))</f>
        <v>#NAME?</v>
      </c>
      <c r="AD197" t="e">
        <f ca="1">IF(X197="","",VLOOKUP($X197,RM!$C$4:$G991,4,FALSE))</f>
        <v>#NAME?</v>
      </c>
      <c r="AE197" t="e">
        <f ca="1">IF(X197="","",VLOOKUP($X197,RM!$C$4:$G991,5,FALSE))</f>
        <v>#NAME?</v>
      </c>
      <c r="AG197" t="str">
        <f ca="1">IFERROR(__xludf.DUMMYFUNCTION("""COMPUTED_VALUE"""),"Current Sensor Assy")</f>
        <v>Current Sensor Assy</v>
      </c>
      <c r="AH197" t="str">
        <f ca="1">IFERROR(__xludf.DUMMYFUNCTION("""COMPUTED_VALUE"""),"PWB of Current Sensor")</f>
        <v>PWB of Current Sensor</v>
      </c>
      <c r="AI197">
        <f ca="1">IFERROR(__xludf.DUMMYFUNCTION("""COMPUTED_VALUE"""),1)</f>
        <v>1</v>
      </c>
      <c r="AJ197" t="str">
        <f ca="1">IFERROR(__xludf.DUMMYFUNCTION("""COMPUTED_VALUE"""),"blank")</f>
        <v>blank</v>
      </c>
      <c r="AK197" t="e">
        <f ca="1">_xludf.IFNA(VLOOKUP(AG197,'S-FG'!$B$3:$B1001,1,FALSE),"")</f>
        <v>#NAME?</v>
      </c>
      <c r="AL197" t="e">
        <f ca="1">IF(AH197="","",SUMIFS(#REF!,RM!$C$4:$C991,AH197))</f>
        <v>#REF!</v>
      </c>
    </row>
    <row r="198" spans="5:38">
      <c r="E198" t="str">
        <f>IF(A198="","",SUMIFS(Issue!$D$3:$D1001,Issue!$C$3:$C1001,A198)*C198)</f>
        <v/>
      </c>
      <c r="F198" t="e">
        <f ca="1">_xludf.IFNA(VLOOKUP(B198,'S-FG'!$B$3:$B1001,1,FALSE),"")</f>
        <v>#NAME?</v>
      </c>
      <c r="H198" t="str">
        <f ca="1">IFERROR(__xludf.DUMMYFUNCTION("""COMPUTED_VALUE"""),"A21 MotherBoard Assy")</f>
        <v>A21 MotherBoard Assy</v>
      </c>
      <c r="I198" t="str">
        <f ca="1">IFERROR(__xludf.DUMMYFUNCTION("""COMPUTED_VALUE"""),"330E 0805 Resistor")</f>
        <v>330E 0805 Resistor</v>
      </c>
      <c r="J198">
        <f ca="1">IFERROR(__xludf.DUMMYFUNCTION("""COMPUTED_VALUE"""),12)</f>
        <v>12</v>
      </c>
      <c r="K198" t="str">
        <f ca="1">IFERROR(__xludf.DUMMYFUNCTION("""COMPUTED_VALUE"""),"MCWR08X3300FTL (to be modified)")</f>
        <v>MCWR08X3300FTL (to be modified)</v>
      </c>
      <c r="L198">
        <f t="shared" ca="1" si="0"/>
        <v>0</v>
      </c>
      <c r="Q198" t="str">
        <f>IF(N198="","",SUMIFS(Issue!$D$3:$D1001,Issue!$C$3:$C1001,N198))</f>
        <v/>
      </c>
      <c r="S198" t="str">
        <f ca="1">IFERROR(__xludf.DUMMYFUNCTION("""COMPUTED_VALUE"""),"10k 0805 resistor")</f>
        <v>10k 0805 resistor</v>
      </c>
      <c r="X198" t="e">
        <f ca="1"/>
        <v>#NAME?</v>
      </c>
      <c r="Y198" t="e">
        <f t="shared" ca="1" si="1"/>
        <v>#NAME?</v>
      </c>
      <c r="Z198" t="e">
        <f ca="1">IF(X198="","",SUMIFS(#REF!,RM!$C$4:$C991,X198))</f>
        <v>#NAME?</v>
      </c>
      <c r="AA198" t="e">
        <f ca="1">IF(X198="","",SUMIFS(#REF!,RM!$C$4:$C991,X198))</f>
        <v>#NAME?</v>
      </c>
      <c r="AB198" t="e">
        <f t="shared" ca="1" si="2"/>
        <v>#NAME?</v>
      </c>
      <c r="AC198" t="e">
        <f ca="1">IF(X198="","",VLOOKUP($X198,RM!$C$4:$G991,3,FALSE))</f>
        <v>#NAME?</v>
      </c>
      <c r="AD198" t="e">
        <f ca="1">IF(X198="","",VLOOKUP($X198,RM!$C$4:$G991,4,FALSE))</f>
        <v>#NAME?</v>
      </c>
      <c r="AE198" t="e">
        <f ca="1">IF(X198="","",VLOOKUP($X198,RM!$C$4:$G991,5,FALSE))</f>
        <v>#NAME?</v>
      </c>
      <c r="AG198" t="str">
        <f ca="1">IFERROR(__xludf.DUMMYFUNCTION("""COMPUTED_VALUE"""),"Current Sensor Assy")</f>
        <v>Current Sensor Assy</v>
      </c>
      <c r="AH198" t="str">
        <f ca="1">IFERROR(__xludf.DUMMYFUNCTION("""COMPUTED_VALUE"""),"WCS1700 current Sensor")</f>
        <v>WCS1700 current Sensor</v>
      </c>
      <c r="AI198">
        <f ca="1">IFERROR(__xludf.DUMMYFUNCTION("""COMPUTED_VALUE"""),2)</f>
        <v>2</v>
      </c>
      <c r="AJ198" t="str">
        <f ca="1">IFERROR(__xludf.DUMMYFUNCTION("""COMPUTED_VALUE"""),"blank")</f>
        <v>blank</v>
      </c>
      <c r="AK198" t="e">
        <f ca="1">_xludf.IFNA(VLOOKUP(AG198,'S-FG'!$B$3:$B1001,1,FALSE),"")</f>
        <v>#NAME?</v>
      </c>
      <c r="AL198" t="e">
        <f ca="1">IF(AH198="","",SUMIFS(#REF!,RM!$C$4:$C991,AH198))</f>
        <v>#REF!</v>
      </c>
    </row>
    <row r="199" spans="5:38">
      <c r="E199" t="str">
        <f>IF(A199="","",SUMIFS(Issue!$D$3:$D1001,Issue!$C$3:$C1001,A199)*C199)</f>
        <v/>
      </c>
      <c r="F199" t="e">
        <f ca="1">_xludf.IFNA(VLOOKUP(B199,'S-FG'!$B$3:$B1001,1,FALSE),"")</f>
        <v>#NAME?</v>
      </c>
      <c r="H199" t="str">
        <f ca="1">IFERROR(__xludf.DUMMYFUNCTION("""COMPUTED_VALUE"""),"A21 MotherBoard Assy")</f>
        <v>A21 MotherBoard Assy</v>
      </c>
      <c r="I199" t="str">
        <f ca="1">IFERROR(__xludf.DUMMYFUNCTION("""COMPUTED_VALUE"""),"Female Bergstrip 40x1 2.54mm")</f>
        <v>Female Bergstrip 40x1 2.54mm</v>
      </c>
      <c r="J199">
        <f ca="1">IFERROR(__xludf.DUMMYFUNCTION("""COMPUTED_VALUE"""),1)</f>
        <v>1</v>
      </c>
      <c r="L199">
        <f t="shared" ca="1" si="0"/>
        <v>0</v>
      </c>
      <c r="Q199" t="str">
        <f>IF(N199="","",SUMIFS(Issue!$D$3:$D1001,Issue!$C$3:$C1001,N199))</f>
        <v/>
      </c>
      <c r="S199" t="str">
        <f ca="1">IFERROR(__xludf.DUMMYFUNCTION("""COMPUTED_VALUE"""),"330E 0805 Resistor")</f>
        <v>330E 0805 Resistor</v>
      </c>
      <c r="X199" t="e">
        <f ca="1"/>
        <v>#NAME?</v>
      </c>
      <c r="Y199" t="e">
        <f t="shared" ca="1" si="1"/>
        <v>#NAME?</v>
      </c>
      <c r="Z199" t="e">
        <f ca="1">IF(X199="","",SUMIFS(#REF!,RM!$C$4:$C991,X199))</f>
        <v>#NAME?</v>
      </c>
      <c r="AA199" t="e">
        <f ca="1">IF(X199="","",SUMIFS(#REF!,RM!$C$4:$C991,X199))</f>
        <v>#NAME?</v>
      </c>
      <c r="AB199" t="e">
        <f t="shared" ca="1" si="2"/>
        <v>#NAME?</v>
      </c>
      <c r="AC199" t="e">
        <f ca="1">IF(X199="","",VLOOKUP($X199,RM!$C$4:$G991,3,FALSE))</f>
        <v>#NAME?</v>
      </c>
      <c r="AD199" t="e">
        <f ca="1">IF(X199="","",VLOOKUP($X199,RM!$C$4:$G991,4,FALSE))</f>
        <v>#NAME?</v>
      </c>
      <c r="AE199" t="e">
        <f ca="1">IF(X199="","",VLOOKUP($X199,RM!$C$4:$G991,5,FALSE))</f>
        <v>#NAME?</v>
      </c>
      <c r="AG199" t="str">
        <f ca="1">IFERROR(__xludf.DUMMYFUNCTION("""COMPUTED_VALUE"""),"Current Sensor Assy")</f>
        <v>Current Sensor Assy</v>
      </c>
      <c r="AH199" t="str">
        <f ca="1">IFERROR(__xludf.DUMMYFUNCTION("""COMPUTED_VALUE"""),"0.1uF 0805")</f>
        <v>0.1uF 0805</v>
      </c>
      <c r="AI199">
        <f ca="1">IFERROR(__xludf.DUMMYFUNCTION("""COMPUTED_VALUE"""),2)</f>
        <v>2</v>
      </c>
      <c r="AJ199" t="str">
        <f ca="1">IFERROR(__xludf.DUMMYFUNCTION("""COMPUTED_VALUE"""),"blank")</f>
        <v>blank</v>
      </c>
      <c r="AK199" t="e">
        <f ca="1">_xludf.IFNA(VLOOKUP(AG199,'S-FG'!$B$3:$B1001,1,FALSE),"")</f>
        <v>#NAME?</v>
      </c>
      <c r="AL199" t="e">
        <f ca="1">IF(AH199="","",SUMIFS(#REF!,RM!$C$4:$C991,AH199))</f>
        <v>#REF!</v>
      </c>
    </row>
    <row r="200" spans="5:38">
      <c r="E200" t="str">
        <f>IF(A200="","",SUMIFS(Issue!$D$3:$D1001,Issue!$C$3:$C1001,A200)*C200)</f>
        <v/>
      </c>
      <c r="F200" t="e">
        <f ca="1">_xludf.IFNA(VLOOKUP(B200,'S-FG'!$B$3:$B1001,1,FALSE),"")</f>
        <v>#NAME?</v>
      </c>
      <c r="H200" t="str">
        <f ca="1">IFERROR(__xludf.DUMMYFUNCTION("""COMPUTED_VALUE"""),"A21 MotherBoard Assy")</f>
        <v>A21 MotherBoard Assy</v>
      </c>
      <c r="I200" t="str">
        <f ca="1">IFERROR(__xludf.DUMMYFUNCTION("""COMPUTED_VALUE"""),"Male Bergstrip 40x1 2.54mm")</f>
        <v>Male Bergstrip 40x1 2.54mm</v>
      </c>
      <c r="J200">
        <f ca="1">IFERROR(__xludf.DUMMYFUNCTION("""COMPUTED_VALUE"""),1)</f>
        <v>1</v>
      </c>
      <c r="L200">
        <f t="shared" ca="1" si="0"/>
        <v>0</v>
      </c>
      <c r="Q200" t="str">
        <f>IF(N200="","",SUMIFS(Issue!$D$3:$D1001,Issue!$C$3:$C1001,N200))</f>
        <v/>
      </c>
      <c r="S200" t="str">
        <f ca="1">IFERROR(__xludf.DUMMYFUNCTION("""COMPUTED_VALUE"""),"Female Bergstrip 40x1 2.54mm")</f>
        <v>Female Bergstrip 40x1 2.54mm</v>
      </c>
      <c r="X200" t="e">
        <f ca="1"/>
        <v>#NAME?</v>
      </c>
      <c r="Y200" t="e">
        <f t="shared" ca="1" si="1"/>
        <v>#NAME?</v>
      </c>
      <c r="Z200" t="e">
        <f ca="1">IF(X200="","",SUMIFS(#REF!,RM!$C$4:$C991,X200))</f>
        <v>#NAME?</v>
      </c>
      <c r="AA200" t="e">
        <f ca="1">IF(X200="","",SUMIFS(#REF!,RM!$C$4:$C991,X200))</f>
        <v>#NAME?</v>
      </c>
      <c r="AB200" t="e">
        <f t="shared" ca="1" si="2"/>
        <v>#NAME?</v>
      </c>
      <c r="AC200" t="e">
        <f ca="1">IF(X200="","",VLOOKUP($X200,RM!$C$4:$G991,3,FALSE))</f>
        <v>#NAME?</v>
      </c>
      <c r="AD200" t="e">
        <f ca="1">IF(X200="","",VLOOKUP($X200,RM!$C$4:$G991,4,FALSE))</f>
        <v>#NAME?</v>
      </c>
      <c r="AE200" t="e">
        <f ca="1">IF(X200="","",VLOOKUP($X200,RM!$C$4:$G991,5,FALSE))</f>
        <v>#NAME?</v>
      </c>
      <c r="AG200" t="str">
        <f ca="1">IFERROR(__xludf.DUMMYFUNCTION("""COMPUTED_VALUE"""),"Current Sensor Assy")</f>
        <v>Current Sensor Assy</v>
      </c>
      <c r="AH200" t="str">
        <f ca="1">IFERROR(__xludf.DUMMYFUNCTION("""COMPUTED_VALUE"""),"4 pin JST-XH male side entry")</f>
        <v>4 pin JST-XH male side entry</v>
      </c>
      <c r="AI200">
        <f ca="1">IFERROR(__xludf.DUMMYFUNCTION("""COMPUTED_VALUE"""),1)</f>
        <v>1</v>
      </c>
      <c r="AK200" t="e">
        <f ca="1">_xludf.IFNA(VLOOKUP(AG200,'S-FG'!$B$3:$B1001,1,FALSE),"")</f>
        <v>#NAME?</v>
      </c>
      <c r="AL200" t="e">
        <f ca="1">IF(AH200="","",SUMIFS(#REF!,RM!$C$4:$C991,AH200))</f>
        <v>#REF!</v>
      </c>
    </row>
    <row r="201" spans="5:38">
      <c r="E201" t="str">
        <f>IF(A201="","",SUMIFS(Issue!$D$3:$D1001,Issue!$C$3:$C1001,A201)*C201)</f>
        <v/>
      </c>
      <c r="F201" t="e">
        <f ca="1">_xludf.IFNA(VLOOKUP(B201,'S-FG'!$B$3:$B1001,1,FALSE),"")</f>
        <v>#NAME?</v>
      </c>
      <c r="H201" t="str">
        <f ca="1">IFERROR(__xludf.DUMMYFUNCTION("""COMPUTED_VALUE"""),"A21 MotherBoard Assy")</f>
        <v>A21 MotherBoard Assy</v>
      </c>
      <c r="I201" t="str">
        <f ca="1">IFERROR(__xludf.DUMMYFUNCTION("""COMPUTED_VALUE"""),"Conformal Coating")</f>
        <v>Conformal Coating</v>
      </c>
      <c r="J201">
        <f ca="1">IFERROR(__xludf.DUMMYFUNCTION("""COMPUTED_VALUE"""),20)</f>
        <v>20</v>
      </c>
      <c r="L201">
        <f t="shared" ca="1" si="0"/>
        <v>0</v>
      </c>
      <c r="Q201" t="str">
        <f>IF(N201="","",SUMIFS(Issue!$D$3:$D1001,Issue!$C$3:$C1001,N201))</f>
        <v/>
      </c>
      <c r="S201" t="str">
        <f ca="1">IFERROR(__xludf.DUMMYFUNCTION("""COMPUTED_VALUE"""),"Male Bergstrip 40x1 2.54mm")</f>
        <v>Male Bergstrip 40x1 2.54mm</v>
      </c>
      <c r="X201" t="e">
        <f ca="1"/>
        <v>#NAME?</v>
      </c>
      <c r="Y201" t="e">
        <f t="shared" ca="1" si="1"/>
        <v>#NAME?</v>
      </c>
      <c r="Z201" t="e">
        <f ca="1">IF(X201="","",SUMIFS(#REF!,RM!$C$4:$C991,X201))</f>
        <v>#NAME?</v>
      </c>
      <c r="AA201" t="e">
        <f ca="1">IF(X201="","",SUMIFS(#REF!,RM!$C$4:$C991,X201))</f>
        <v>#NAME?</v>
      </c>
      <c r="AB201" t="e">
        <f t="shared" ca="1" si="2"/>
        <v>#NAME?</v>
      </c>
      <c r="AC201" t="e">
        <f ca="1">IF(X201="","",VLOOKUP($X201,RM!$C$4:$G991,3,FALSE))</f>
        <v>#NAME?</v>
      </c>
      <c r="AD201" t="e">
        <f ca="1">IF(X201="","",VLOOKUP($X201,RM!$C$4:$G991,4,FALSE))</f>
        <v>#NAME?</v>
      </c>
      <c r="AE201" t="e">
        <f ca="1">IF(X201="","",VLOOKUP($X201,RM!$C$4:$G991,5,FALSE))</f>
        <v>#NAME?</v>
      </c>
      <c r="AG201" t="str">
        <f ca="1">IFERROR(__xludf.DUMMYFUNCTION("""COMPUTED_VALUE"""),"A21 MotherBoard Assy")</f>
        <v>A21 MotherBoard Assy</v>
      </c>
      <c r="AH201" t="str">
        <f ca="1">IFERROR(__xludf.DUMMYFUNCTION("""COMPUTED_VALUE"""),"Receiver Module R9MM/R9MX/R9")</f>
        <v>Receiver Module R9MM/R9MX/R9</v>
      </c>
      <c r="AI201">
        <f ca="1">IFERROR(__xludf.DUMMYFUNCTION("""COMPUTED_VALUE"""),1)</f>
        <v>1</v>
      </c>
      <c r="AJ201" t="str">
        <f ca="1">IFERROR(__xludf.DUMMYFUNCTION("""COMPUTED_VALUE"""),"blank")</f>
        <v>blank</v>
      </c>
      <c r="AK201" t="e">
        <f ca="1">_xludf.IFNA(VLOOKUP(AG201,'S-FG'!$B$3:$B1001,1,FALSE),"")</f>
        <v>#NAME?</v>
      </c>
      <c r="AL201" t="e">
        <f ca="1">IF(AH201="","",SUMIFS(#REF!,RM!$C$4:$C991,AH201))</f>
        <v>#REF!</v>
      </c>
    </row>
    <row r="202" spans="5:38">
      <c r="E202" t="str">
        <f>IF(A202="","",SUMIFS(Issue!$D$3:$D1001,Issue!$C$3:$C1001,A202)*C202)</f>
        <v/>
      </c>
      <c r="F202" t="e">
        <f ca="1">_xludf.IFNA(VLOOKUP(B202,'S-FG'!$B$3:$B1001,1,FALSE),"")</f>
        <v>#NAME?</v>
      </c>
      <c r="H202" t="str">
        <f ca="1">IFERROR(__xludf.DUMMYFUNCTION("""COMPUTED_VALUE"""),"A21 MotherBoard Assy")</f>
        <v>A21 MotherBoard Assy</v>
      </c>
      <c r="I202" t="str">
        <f ca="1">IFERROR(__xludf.DUMMYFUNCTION("""COMPUTED_VALUE"""),"Soldering flux")</f>
        <v>Soldering flux</v>
      </c>
      <c r="J202">
        <f ca="1">IFERROR(__xludf.DUMMYFUNCTION("""COMPUTED_VALUE"""),5)</f>
        <v>5</v>
      </c>
      <c r="L202">
        <f t="shared" ca="1" si="0"/>
        <v>0</v>
      </c>
      <c r="Q202" t="str">
        <f>IF(N202="","",SUMIFS(Issue!$D$3:$D1001,Issue!$C$3:$C1001,N202))</f>
        <v/>
      </c>
      <c r="S202" t="str">
        <f ca="1">IFERROR(__xludf.DUMMYFUNCTION("""COMPUTED_VALUE"""),"Conformal Coating")</f>
        <v>Conformal Coating</v>
      </c>
      <c r="X202" t="e">
        <f ca="1"/>
        <v>#NAME?</v>
      </c>
      <c r="Y202" t="e">
        <f t="shared" ca="1" si="1"/>
        <v>#NAME?</v>
      </c>
      <c r="Z202" t="e">
        <f ca="1">IF(X202="","",SUMIFS(#REF!,RM!$C$4:$C991,X202))</f>
        <v>#NAME?</v>
      </c>
      <c r="AA202" t="e">
        <f ca="1">IF(X202="","",SUMIFS(#REF!,RM!$C$4:$C991,X202))</f>
        <v>#NAME?</v>
      </c>
      <c r="AB202" t="e">
        <f t="shared" ca="1" si="2"/>
        <v>#NAME?</v>
      </c>
      <c r="AC202" t="e">
        <f ca="1">IF(X202="","",VLOOKUP($X202,RM!$C$4:$G991,3,FALSE))</f>
        <v>#NAME?</v>
      </c>
      <c r="AD202" t="e">
        <f ca="1">IF(X202="","",VLOOKUP($X202,RM!$C$4:$G991,4,FALSE))</f>
        <v>#NAME?</v>
      </c>
      <c r="AE202" t="e">
        <f ca="1">IF(X202="","",VLOOKUP($X202,RM!$C$4:$G991,5,FALSE))</f>
        <v>#NAME?</v>
      </c>
      <c r="AG202" t="str">
        <f ca="1">IFERROR(__xludf.DUMMYFUNCTION("""COMPUTED_VALUE"""),"A21 MotherBoard Assy")</f>
        <v>A21 MotherBoard Assy</v>
      </c>
      <c r="AH202" t="str">
        <f ca="1">IFERROR(__xludf.DUMMYFUNCTION("""COMPUTED_VALUE"""),"Free Wheel Diode SMD M7")</f>
        <v>Free Wheel Diode SMD M7</v>
      </c>
      <c r="AI202">
        <f ca="1">IFERROR(__xludf.DUMMYFUNCTION("""COMPUTED_VALUE"""),7)</f>
        <v>7</v>
      </c>
      <c r="AJ202" t="str">
        <f ca="1">IFERROR(__xludf.DUMMYFUNCTION("""COMPUTED_VALUE"""),"Robu-597541")</f>
        <v>Robu-597541</v>
      </c>
      <c r="AK202" t="e">
        <f ca="1">_xludf.IFNA(VLOOKUP(AG202,'S-FG'!$B$3:$B1001,1,FALSE),"")</f>
        <v>#NAME?</v>
      </c>
      <c r="AL202" t="e">
        <f ca="1">IF(AH202="","",SUMIFS(#REF!,RM!$C$4:$C991,AH202))</f>
        <v>#REF!</v>
      </c>
    </row>
    <row r="203" spans="5:38">
      <c r="E203" t="str">
        <f>IF(A203="","",SUMIFS(Issue!$D$3:$D1001,Issue!$C$3:$C1001,A203)*C203)</f>
        <v/>
      </c>
      <c r="F203" t="e">
        <f ca="1">_xludf.IFNA(VLOOKUP(B203,'S-FG'!$B$3:$B1001,1,FALSE),"")</f>
        <v>#NAME?</v>
      </c>
      <c r="H203" t="str">
        <f ca="1">IFERROR(__xludf.DUMMYFUNCTION("""COMPUTED_VALUE"""),"A21 MotherBoard Assy")</f>
        <v>A21 MotherBoard Assy</v>
      </c>
      <c r="I203" t="str">
        <f ca="1">IFERROR(__xludf.DUMMYFUNCTION("""COMPUTED_VALUE"""),"2 pin JST-XH male top entry")</f>
        <v>2 pin JST-XH male top entry</v>
      </c>
      <c r="J203">
        <f ca="1">IFERROR(__xludf.DUMMYFUNCTION("""COMPUTED_VALUE"""),3)</f>
        <v>3</v>
      </c>
      <c r="K203" t="str">
        <f ca="1">IFERROR(__xludf.DUMMYFUNCTION("""COMPUTED_VALUE"""),"blank")</f>
        <v>blank</v>
      </c>
      <c r="L203">
        <f t="shared" ca="1" si="0"/>
        <v>0</v>
      </c>
      <c r="Q203" t="str">
        <f>IF(N203="","",SUMIFS(Issue!$D$3:$D1001,Issue!$C$3:$C1001,N203))</f>
        <v/>
      </c>
      <c r="S203" t="str">
        <f ca="1">IFERROR(__xludf.DUMMYFUNCTION("""COMPUTED_VALUE"""),"Soldering flux")</f>
        <v>Soldering flux</v>
      </c>
      <c r="X203" t="e">
        <f ca="1"/>
        <v>#NAME?</v>
      </c>
      <c r="Y203" t="e">
        <f t="shared" ca="1" si="1"/>
        <v>#NAME?</v>
      </c>
      <c r="Z203" t="e">
        <f ca="1">IF(X203="","",SUMIFS(#REF!,RM!$C$4:$C991,X203))</f>
        <v>#NAME?</v>
      </c>
      <c r="AA203" t="e">
        <f ca="1">IF(X203="","",SUMIFS(#REF!,RM!$C$4:$C991,X203))</f>
        <v>#NAME?</v>
      </c>
      <c r="AB203" t="e">
        <f t="shared" ca="1" si="2"/>
        <v>#NAME?</v>
      </c>
      <c r="AC203" t="e">
        <f ca="1">IF(X203="","",VLOOKUP($X203,RM!$C$4:$G991,3,FALSE))</f>
        <v>#NAME?</v>
      </c>
      <c r="AD203" t="e">
        <f ca="1">IF(X203="","",VLOOKUP($X203,RM!$C$4:$G991,4,FALSE))</f>
        <v>#NAME?</v>
      </c>
      <c r="AE203" t="e">
        <f ca="1">IF(X203="","",VLOOKUP($X203,RM!$C$4:$G991,5,FALSE))</f>
        <v>#NAME?</v>
      </c>
      <c r="AG203" t="str">
        <f ca="1">IFERROR(__xludf.DUMMYFUNCTION("""COMPUTED_VALUE"""),"A21 MotherBoard Assy")</f>
        <v>A21 MotherBoard Assy</v>
      </c>
      <c r="AH203" t="str">
        <f ca="1">IFERROR(__xludf.DUMMYFUNCTION("""COMPUTED_VALUE"""),"LM1117 5.0v")</f>
        <v>LM1117 5.0v</v>
      </c>
      <c r="AI203">
        <f ca="1">IFERROR(__xludf.DUMMYFUNCTION("""COMPUTED_VALUE"""),3)</f>
        <v>3</v>
      </c>
      <c r="AJ203" t="str">
        <f ca="1">IFERROR(__xludf.DUMMYFUNCTION("""COMPUTED_VALUE"""),"blank")</f>
        <v>blank</v>
      </c>
      <c r="AK203" t="e">
        <f ca="1">_xludf.IFNA(VLOOKUP(AG203,'S-FG'!$B$3:$B1001,1,FALSE),"")</f>
        <v>#NAME?</v>
      </c>
      <c r="AL203" t="e">
        <f ca="1">IF(AH203="","",SUMIFS(#REF!,RM!$C$4:$C991,AH203))</f>
        <v>#REF!</v>
      </c>
    </row>
    <row r="204" spans="5:38">
      <c r="E204" t="str">
        <f>IF(A204="","",SUMIFS(Issue!$D$3:$D1001,Issue!$C$3:$C1001,A204)*C204)</f>
        <v/>
      </c>
      <c r="F204" t="e">
        <f ca="1">_xludf.IFNA(VLOOKUP(B204,'S-FG'!$B$3:$B1001,1,FALSE),"")</f>
        <v>#NAME?</v>
      </c>
      <c r="H204" t="str">
        <f ca="1">IFERROR(__xludf.DUMMYFUNCTION("""COMPUTED_VALUE"""),"A21 MotherBoard Assy")</f>
        <v>A21 MotherBoard Assy</v>
      </c>
      <c r="I204" t="str">
        <f ca="1">IFERROR(__xludf.DUMMYFUNCTION("""COMPUTED_VALUE"""),"2 pin JST-XH male top entry RED")</f>
        <v>2 pin JST-XH male top entry RED</v>
      </c>
      <c r="J204">
        <f ca="1">IFERROR(__xludf.DUMMYFUNCTION("""COMPUTED_VALUE"""),1)</f>
        <v>1</v>
      </c>
      <c r="L204">
        <f t="shared" ca="1" si="0"/>
        <v>0</v>
      </c>
      <c r="Q204" t="str">
        <f>IF(N204="","",SUMIFS(Issue!$D$3:$D1001,Issue!$C$3:$C1001,N204))</f>
        <v/>
      </c>
      <c r="S204" t="str">
        <f ca="1">IFERROR(__xludf.DUMMYFUNCTION("""COMPUTED_VALUE"""),"2 pin JST-XH male top entry")</f>
        <v>2 pin JST-XH male top entry</v>
      </c>
      <c r="X204" t="e">
        <f ca="1"/>
        <v>#NAME?</v>
      </c>
      <c r="Y204" t="e">
        <f t="shared" ca="1" si="1"/>
        <v>#NAME?</v>
      </c>
      <c r="Z204" t="e">
        <f ca="1">IF(X204="","",SUMIFS(#REF!,RM!$C$4:$C991,X204))</f>
        <v>#NAME?</v>
      </c>
      <c r="AA204" t="e">
        <f ca="1">IF(X204="","",SUMIFS(#REF!,RM!$C$4:$C991,X204))</f>
        <v>#NAME?</v>
      </c>
      <c r="AB204" t="e">
        <f t="shared" ca="1" si="2"/>
        <v>#NAME?</v>
      </c>
      <c r="AC204" t="e">
        <f ca="1">IF(X204="","",VLOOKUP($X204,RM!$C$4:$G991,3,FALSE))</f>
        <v>#NAME?</v>
      </c>
      <c r="AD204" t="e">
        <f ca="1">IF(X204="","",VLOOKUP($X204,RM!$C$4:$G991,4,FALSE))</f>
        <v>#NAME?</v>
      </c>
      <c r="AE204" t="e">
        <f ca="1">IF(X204="","",VLOOKUP($X204,RM!$C$4:$G991,5,FALSE))</f>
        <v>#NAME?</v>
      </c>
      <c r="AG204" t="str">
        <f ca="1">IFERROR(__xludf.DUMMYFUNCTION("""COMPUTED_VALUE"""),"A21 MotherBoard Assy")</f>
        <v>A21 MotherBoard Assy</v>
      </c>
      <c r="AH204" t="str">
        <f ca="1">IFERROR(__xludf.DUMMYFUNCTION("""COMPUTED_VALUE"""),"LM1117 3.3v")</f>
        <v>LM1117 3.3v</v>
      </c>
      <c r="AI204">
        <f ca="1">IFERROR(__xludf.DUMMYFUNCTION("""COMPUTED_VALUE"""),1)</f>
        <v>1</v>
      </c>
      <c r="AJ204" t="str">
        <f ca="1">IFERROR(__xludf.DUMMYFUNCTION("""COMPUTED_VALUE"""),"blank")</f>
        <v>blank</v>
      </c>
      <c r="AK204" t="e">
        <f ca="1">_xludf.IFNA(VLOOKUP(AG204,'S-FG'!$B$3:$B1001,1,FALSE),"")</f>
        <v>#NAME?</v>
      </c>
      <c r="AL204" t="e">
        <f ca="1">IF(AH204="","",SUMIFS(#REF!,RM!$C$4:$C991,AH204))</f>
        <v>#REF!</v>
      </c>
    </row>
    <row r="205" spans="5:38">
      <c r="E205" t="str">
        <f>IF(A205="","",SUMIFS(Issue!$D$3:$D1001,Issue!$C$3:$C1001,A205)*C205)</f>
        <v/>
      </c>
      <c r="F205" t="e">
        <f ca="1">_xludf.IFNA(VLOOKUP(B205,'S-FG'!$B$3:$B1001,1,FALSE),"")</f>
        <v>#NAME?</v>
      </c>
      <c r="H205" t="str">
        <f ca="1">IFERROR(__xludf.DUMMYFUNCTION("""COMPUTED_VALUE"""),"A21 MotherBoard Assy")</f>
        <v>A21 MotherBoard Assy</v>
      </c>
      <c r="I205" t="str">
        <f ca="1">IFERROR(__xludf.DUMMYFUNCTION("""COMPUTED_VALUE"""),"13 pin JST-XH male top entry")</f>
        <v>13 pin JST-XH male top entry</v>
      </c>
      <c r="J205">
        <f ca="1">IFERROR(__xludf.DUMMYFUNCTION("""COMPUTED_VALUE"""),1)</f>
        <v>1</v>
      </c>
      <c r="K205" t="str">
        <f ca="1">IFERROR(__xludf.DUMMYFUNCTION("""COMPUTED_VALUE"""),"blank")</f>
        <v>blank</v>
      </c>
      <c r="L205">
        <f t="shared" ca="1" si="0"/>
        <v>0</v>
      </c>
      <c r="Q205" t="str">
        <f>IF(N205="","",SUMIFS(Issue!$D$3:$D1001,Issue!$C$3:$C1001,N205))</f>
        <v/>
      </c>
      <c r="S205" t="str">
        <f ca="1">IFERROR(__xludf.DUMMYFUNCTION("""COMPUTED_VALUE"""),"2 pin JST-XH male top entry RED")</f>
        <v>2 pin JST-XH male top entry RED</v>
      </c>
      <c r="X205" t="e">
        <f ca="1"/>
        <v>#NAME?</v>
      </c>
      <c r="Y205" t="e">
        <f t="shared" ca="1" si="1"/>
        <v>#NAME?</v>
      </c>
      <c r="Z205" t="e">
        <f ca="1">IF(X205="","",SUMIFS(#REF!,RM!$C$4:$C991,X205))</f>
        <v>#NAME?</v>
      </c>
      <c r="AA205" t="e">
        <f ca="1">IF(X205="","",SUMIFS(#REF!,RM!$C$4:$C991,X205))</f>
        <v>#NAME?</v>
      </c>
      <c r="AB205" t="e">
        <f t="shared" ca="1" si="2"/>
        <v>#NAME?</v>
      </c>
      <c r="AC205" t="e">
        <f ca="1">IF(X205="","",VLOOKUP($X205,RM!$C$4:$G991,3,FALSE))</f>
        <v>#NAME?</v>
      </c>
      <c r="AD205" t="e">
        <f ca="1">IF(X205="","",VLOOKUP($X205,RM!$C$4:$G991,4,FALSE))</f>
        <v>#NAME?</v>
      </c>
      <c r="AE205" t="e">
        <f ca="1">IF(X205="","",VLOOKUP($X205,RM!$C$4:$G991,5,FALSE))</f>
        <v>#NAME?</v>
      </c>
      <c r="AG205" t="str">
        <f ca="1">IFERROR(__xludf.DUMMYFUNCTION("""COMPUTED_VALUE"""),"A21 MotherBoard Assy")</f>
        <v>A21 MotherBoard Assy</v>
      </c>
      <c r="AH205" t="str">
        <f ca="1">IFERROR(__xludf.DUMMYFUNCTION("""COMPUTED_VALUE"""),"NEO-6M GPS")</f>
        <v>NEO-6M GPS</v>
      </c>
      <c r="AI205">
        <f ca="1">IFERROR(__xludf.DUMMYFUNCTION("""COMPUTED_VALUE"""),1)</f>
        <v>1</v>
      </c>
      <c r="AJ205" t="str">
        <f ca="1">IFERROR(__xludf.DUMMYFUNCTION("""COMPUTED_VALUE"""),"blank")</f>
        <v>blank</v>
      </c>
      <c r="AK205" t="e">
        <f ca="1">_xludf.IFNA(VLOOKUP(AG205,'S-FG'!$B$3:$B1001,1,FALSE),"")</f>
        <v>#NAME?</v>
      </c>
      <c r="AL205" t="e">
        <f ca="1">IF(AH205="","",SUMIFS(#REF!,RM!$C$4:$C991,AH205))</f>
        <v>#REF!</v>
      </c>
    </row>
    <row r="206" spans="5:38">
      <c r="E206" t="str">
        <f>IF(A206="","",SUMIFS(Issue!$D$3:$D1001,Issue!$C$3:$C1001,A206)*C206)</f>
        <v/>
      </c>
      <c r="F206" t="e">
        <f ca="1">_xludf.IFNA(VLOOKUP(B206,'S-FG'!$B$3:$B1001,1,FALSE),"")</f>
        <v>#NAME?</v>
      </c>
      <c r="H206" t="str">
        <f ca="1">IFERROR(__xludf.DUMMYFUNCTION("""COMPUTED_VALUE"""),"A21 MotherBoard Assy")</f>
        <v>A21 MotherBoard Assy</v>
      </c>
      <c r="I206" t="str">
        <f ca="1">IFERROR(__xludf.DUMMYFUNCTION("""COMPUTED_VALUE"""),"15 pin JST-XH male top entry")</f>
        <v>15 pin JST-XH male top entry</v>
      </c>
      <c r="J206">
        <f ca="1">IFERROR(__xludf.DUMMYFUNCTION("""COMPUTED_VALUE"""),2)</f>
        <v>2</v>
      </c>
      <c r="K206" t="str">
        <f ca="1">IFERROR(__xludf.DUMMYFUNCTION("""COMPUTED_VALUE"""),"blank")</f>
        <v>blank</v>
      </c>
      <c r="L206">
        <f t="shared" ca="1" si="0"/>
        <v>0</v>
      </c>
      <c r="Q206" t="str">
        <f>IF(N206="","",SUMIFS(Issue!$D$3:$D1001,Issue!$C$3:$C1001,N206))</f>
        <v/>
      </c>
      <c r="S206" t="str">
        <f ca="1">IFERROR(__xludf.DUMMYFUNCTION("""COMPUTED_VALUE"""),"13 pin JST-XH male top entry")</f>
        <v>13 pin JST-XH male top entry</v>
      </c>
      <c r="X206" t="e">
        <f ca="1"/>
        <v>#NAME?</v>
      </c>
      <c r="Y206" t="e">
        <f t="shared" ca="1" si="1"/>
        <v>#NAME?</v>
      </c>
      <c r="Z206" t="e">
        <f ca="1">IF(X206="","",SUMIFS(#REF!,RM!$C$4:$C991,X206))</f>
        <v>#NAME?</v>
      </c>
      <c r="AA206" t="e">
        <f ca="1">IF(X206="","",SUMIFS(#REF!,RM!$C$4:$C991,X206))</f>
        <v>#NAME?</v>
      </c>
      <c r="AB206" t="e">
        <f t="shared" ca="1" si="2"/>
        <v>#NAME?</v>
      </c>
      <c r="AC206" t="e">
        <f ca="1">IF(X206="","",VLOOKUP($X206,RM!$C$4:$G991,3,FALSE))</f>
        <v>#NAME?</v>
      </c>
      <c r="AD206" t="e">
        <f ca="1">IF(X206="","",VLOOKUP($X206,RM!$C$4:$G991,4,FALSE))</f>
        <v>#NAME?</v>
      </c>
      <c r="AE206" t="e">
        <f ca="1">IF(X206="","",VLOOKUP($X206,RM!$C$4:$G991,5,FALSE))</f>
        <v>#NAME?</v>
      </c>
      <c r="AG206" t="str">
        <f ca="1">IFERROR(__xludf.DUMMYFUNCTION("""COMPUTED_VALUE"""),"A21 MotherBoard Assy")</f>
        <v>A21 MotherBoard Assy</v>
      </c>
      <c r="AH206" t="str">
        <f ca="1">IFERROR(__xludf.DUMMYFUNCTION("""COMPUTED_VALUE"""),"4mm Male Bullet connector")</f>
        <v>4mm Male Bullet connector</v>
      </c>
      <c r="AI206">
        <f ca="1">IFERROR(__xludf.DUMMYFUNCTION("""COMPUTED_VALUE"""),2)</f>
        <v>2</v>
      </c>
      <c r="AJ206" t="str">
        <f ca="1">IFERROR(__xludf.DUMMYFUNCTION("""COMPUTED_VALUE"""),"blank")</f>
        <v>blank</v>
      </c>
      <c r="AK206" t="e">
        <f ca="1">_xludf.IFNA(VLOOKUP(AG206,'S-FG'!$B$3:$B1001,1,FALSE),"")</f>
        <v>#NAME?</v>
      </c>
      <c r="AL206" t="e">
        <f ca="1">IF(AH206="","",SUMIFS(#REF!,RM!$C$4:$C991,AH206))</f>
        <v>#REF!</v>
      </c>
    </row>
    <row r="207" spans="5:38">
      <c r="E207" t="str">
        <f>IF(A207="","",SUMIFS(Issue!$D$3:$D1001,Issue!$C$3:$C1001,A207)*C207)</f>
        <v/>
      </c>
      <c r="F207" t="e">
        <f ca="1">_xludf.IFNA(VLOOKUP(B207,'S-FG'!$B$3:$B1001,1,FALSE),"")</f>
        <v>#NAME?</v>
      </c>
      <c r="H207" t="str">
        <f ca="1">IFERROR(__xludf.DUMMYFUNCTION("""COMPUTED_VALUE"""),"A21 MotherBoard Assy")</f>
        <v>A21 MotherBoard Assy</v>
      </c>
      <c r="I207" t="str">
        <f ca="1">IFERROR(__xludf.DUMMYFUNCTION("""COMPUTED_VALUE"""),"JST-XH Crimping pins")</f>
        <v>JST-XH Crimping pins</v>
      </c>
      <c r="J207">
        <f ca="1">IFERROR(__xludf.DUMMYFUNCTION("""COMPUTED_VALUE"""),10)</f>
        <v>10</v>
      </c>
      <c r="L207">
        <f t="shared" ca="1" si="0"/>
        <v>0</v>
      </c>
      <c r="Q207" t="str">
        <f>IF(N207="","",SUMIFS(Issue!$D$3:$D1001,Issue!$C$3:$C1001,N207))</f>
        <v/>
      </c>
      <c r="S207" t="str">
        <f ca="1">IFERROR(__xludf.DUMMYFUNCTION("""COMPUTED_VALUE"""),"15 pin JST-XH male top entry")</f>
        <v>15 pin JST-XH male top entry</v>
      </c>
      <c r="X207" t="e">
        <f ca="1"/>
        <v>#NAME?</v>
      </c>
      <c r="Y207" t="e">
        <f t="shared" ca="1" si="1"/>
        <v>#NAME?</v>
      </c>
      <c r="Z207" t="e">
        <f ca="1">IF(X207="","",SUMIFS(#REF!,RM!$C$4:$C991,X207))</f>
        <v>#NAME?</v>
      </c>
      <c r="AA207" t="e">
        <f ca="1">IF(X207="","",SUMIFS(#REF!,RM!$C$4:$C991,X207))</f>
        <v>#NAME?</v>
      </c>
      <c r="AB207" t="e">
        <f t="shared" ca="1" si="2"/>
        <v>#NAME?</v>
      </c>
      <c r="AC207" t="e">
        <f ca="1">IF(X207="","",VLOOKUP($X207,RM!$C$4:$G991,3,FALSE))</f>
        <v>#NAME?</v>
      </c>
      <c r="AD207" t="e">
        <f ca="1">IF(X207="","",VLOOKUP($X207,RM!$C$4:$G991,4,FALSE))</f>
        <v>#NAME?</v>
      </c>
      <c r="AE207" t="e">
        <f ca="1">IF(X207="","",VLOOKUP($X207,RM!$C$4:$G991,5,FALSE))</f>
        <v>#NAME?</v>
      </c>
      <c r="AG207" t="str">
        <f ca="1">IFERROR(__xludf.DUMMYFUNCTION("""COMPUTED_VALUE"""),"A21 MotherBoard Assy")</f>
        <v>A21 MotherBoard Assy</v>
      </c>
      <c r="AH207" t="str">
        <f ca="1">IFERROR(__xludf.DUMMYFUNCTION("""COMPUTED_VALUE"""),"4mm Female Bullet connector")</f>
        <v>4mm Female Bullet connector</v>
      </c>
      <c r="AI207">
        <f ca="1">IFERROR(__xludf.DUMMYFUNCTION("""COMPUTED_VALUE"""),4)</f>
        <v>4</v>
      </c>
      <c r="AJ207" t="str">
        <f ca="1">IFERROR(__xludf.DUMMYFUNCTION("""COMPUTED_VALUE"""),"blank")</f>
        <v>blank</v>
      </c>
      <c r="AK207" t="e">
        <f ca="1">_xludf.IFNA(VLOOKUP(AG207,'S-FG'!$B$3:$B1001,1,FALSE),"")</f>
        <v>#NAME?</v>
      </c>
      <c r="AL207" t="e">
        <f ca="1">IF(AH207="","",SUMIFS(#REF!,RM!$C$4:$C991,AH207))</f>
        <v>#REF!</v>
      </c>
    </row>
    <row r="208" spans="5:38">
      <c r="E208" t="str">
        <f>IF(A208="","",SUMIFS(Issue!$D$3:$D1001,Issue!$C$3:$C1001,A208)*C208)</f>
        <v/>
      </c>
      <c r="F208" t="e">
        <f ca="1">_xludf.IFNA(VLOOKUP(B208,'S-FG'!$B$3:$B1001,1,FALSE),"")</f>
        <v>#NAME?</v>
      </c>
      <c r="H208" t="str">
        <f ca="1">IFERROR(__xludf.DUMMYFUNCTION("""COMPUTED_VALUE"""),"A21 MotherBoard Assy")</f>
        <v>A21 MotherBoard Assy</v>
      </c>
      <c r="I208" t="str">
        <f ca="1">IFERROR(__xludf.DUMMYFUNCTION("""COMPUTED_VALUE"""),"Fuse 500mA")</f>
        <v>Fuse 500mA</v>
      </c>
      <c r="J208">
        <f ca="1">IFERROR(__xludf.DUMMYFUNCTION("""COMPUTED_VALUE"""),1)</f>
        <v>1</v>
      </c>
      <c r="L208">
        <f t="shared" ca="1" si="0"/>
        <v>0</v>
      </c>
      <c r="Q208" t="str">
        <f>IF(N208="","",SUMIFS(Issue!$D$3:$D1001,Issue!$C$3:$C1001,N208))</f>
        <v/>
      </c>
      <c r="S208" t="str">
        <f ca="1">IFERROR(__xludf.DUMMYFUNCTION("""COMPUTED_VALUE"""),"JST-XH Crimping pins")</f>
        <v>JST-XH Crimping pins</v>
      </c>
      <c r="X208" t="e">
        <f ca="1"/>
        <v>#NAME?</v>
      </c>
      <c r="Y208" t="e">
        <f t="shared" ca="1" si="1"/>
        <v>#NAME?</v>
      </c>
      <c r="Z208" t="e">
        <f ca="1">IF(X208="","",SUMIFS(#REF!,RM!$C$4:$C991,X208))</f>
        <v>#NAME?</v>
      </c>
      <c r="AA208" t="e">
        <f ca="1">IF(X208="","",SUMIFS(#REF!,RM!$C$4:$C991,X208))</f>
        <v>#NAME?</v>
      </c>
      <c r="AB208" t="e">
        <f t="shared" ca="1" si="2"/>
        <v>#NAME?</v>
      </c>
      <c r="AC208" t="e">
        <f ca="1">IF(X208="","",VLOOKUP($X208,RM!$C$4:$G991,3,FALSE))</f>
        <v>#NAME?</v>
      </c>
      <c r="AD208" t="e">
        <f ca="1">IF(X208="","",VLOOKUP($X208,RM!$C$4:$G991,4,FALSE))</f>
        <v>#NAME?</v>
      </c>
      <c r="AE208" t="e">
        <f ca="1">IF(X208="","",VLOOKUP($X208,RM!$C$4:$G991,5,FALSE))</f>
        <v>#NAME?</v>
      </c>
      <c r="AG208" t="str">
        <f ca="1">IFERROR(__xludf.DUMMYFUNCTION("""COMPUTED_VALUE"""),"A21 MotherBoard Assy")</f>
        <v>A21 MotherBoard Assy</v>
      </c>
      <c r="AH208" t="str">
        <f ca="1">IFERROR(__xludf.DUMMYFUNCTION("""COMPUTED_VALUE"""),"2mm male bullet connector")</f>
        <v>2mm male bullet connector</v>
      </c>
      <c r="AI208">
        <f ca="1">IFERROR(__xludf.DUMMYFUNCTION("""COMPUTED_VALUE"""),0)</f>
        <v>0</v>
      </c>
      <c r="AJ208" t="str">
        <f ca="1">IFERROR(__xludf.DUMMYFUNCTION("""COMPUTED_VALUE"""),"blank")</f>
        <v>blank</v>
      </c>
      <c r="AK208" t="e">
        <f ca="1">_xludf.IFNA(VLOOKUP(AG208,'S-FG'!$B$3:$B1001,1,FALSE),"")</f>
        <v>#NAME?</v>
      </c>
      <c r="AL208" t="e">
        <f ca="1">IF(AH208="","",SUMIFS(#REF!,RM!$C$4:$C991,AH208))</f>
        <v>#REF!</v>
      </c>
    </row>
    <row r="209" spans="5:38">
      <c r="E209" t="str">
        <f>IF(A209="","",SUMIFS(Issue!$D$3:$D1001,Issue!$C$3:$C1001,A209)*C209)</f>
        <v/>
      </c>
      <c r="F209" t="e">
        <f ca="1">_xludf.IFNA(VLOOKUP(B209,'S-FG'!$B$3:$B1001,1,FALSE),"")</f>
        <v>#NAME?</v>
      </c>
      <c r="H209" t="str">
        <f ca="1">IFERROR(__xludf.DUMMYFUNCTION("""COMPUTED_VALUE"""),"A21 MotherBoard Assy")</f>
        <v>A21 MotherBoard Assy</v>
      </c>
      <c r="I209" t="str">
        <f ca="1">IFERROR(__xludf.DUMMYFUNCTION("""COMPUTED_VALUE"""),"MCP3208")</f>
        <v>MCP3208</v>
      </c>
      <c r="J209">
        <f ca="1">IFERROR(__xludf.DUMMYFUNCTION("""COMPUTED_VALUE"""),2)</f>
        <v>2</v>
      </c>
      <c r="K209" t="str">
        <f ca="1">IFERROR(__xludf.DUMMYFUNCTION("""COMPUTED_VALUE"""),"blank")</f>
        <v>blank</v>
      </c>
      <c r="L209">
        <f t="shared" ca="1" si="0"/>
        <v>0</v>
      </c>
      <c r="Q209" t="str">
        <f>IF(N209="","",SUMIFS(Issue!$D$3:$D1001,Issue!$C$3:$C1001,N209))</f>
        <v/>
      </c>
      <c r="S209" t="str">
        <f ca="1">IFERROR(__xludf.DUMMYFUNCTION("""COMPUTED_VALUE"""),"Fuse 500mA")</f>
        <v>Fuse 500mA</v>
      </c>
      <c r="X209" t="e">
        <f ca="1"/>
        <v>#NAME?</v>
      </c>
      <c r="Y209" t="e">
        <f t="shared" ca="1" si="1"/>
        <v>#NAME?</v>
      </c>
      <c r="Z209" t="e">
        <f ca="1">IF(X209="","",SUMIFS(#REF!,RM!$C$4:$C991,X209))</f>
        <v>#NAME?</v>
      </c>
      <c r="AA209" t="e">
        <f ca="1">IF(X209="","",SUMIFS(#REF!,RM!$C$4:$C991,X209))</f>
        <v>#NAME?</v>
      </c>
      <c r="AB209" t="e">
        <f t="shared" ca="1" si="2"/>
        <v>#NAME?</v>
      </c>
      <c r="AC209" t="e">
        <f ca="1">IF(X209="","",VLOOKUP($X209,RM!$C$4:$G991,3,FALSE))</f>
        <v>#NAME?</v>
      </c>
      <c r="AD209" t="e">
        <f ca="1">IF(X209="","",VLOOKUP($X209,RM!$C$4:$G991,4,FALSE))</f>
        <v>#NAME?</v>
      </c>
      <c r="AE209" t="e">
        <f ca="1">IF(X209="","",VLOOKUP($X209,RM!$C$4:$G991,5,FALSE))</f>
        <v>#NAME?</v>
      </c>
      <c r="AG209" t="str">
        <f ca="1">IFERROR(__xludf.DUMMYFUNCTION("""COMPUTED_VALUE"""),"A21 MotherBoard Assy")</f>
        <v>A21 MotherBoard Assy</v>
      </c>
      <c r="AH209" t="str">
        <f ca="1">IFERROR(__xludf.DUMMYFUNCTION("""COMPUTED_VALUE"""),"2mm Female Bullet connector")</f>
        <v>2mm Female Bullet connector</v>
      </c>
      <c r="AI209">
        <f ca="1">IFERROR(__xludf.DUMMYFUNCTION("""COMPUTED_VALUE"""),0)</f>
        <v>0</v>
      </c>
      <c r="AJ209" t="str">
        <f ca="1">IFERROR(__xludf.DUMMYFUNCTION("""COMPUTED_VALUE"""),"blank")</f>
        <v>blank</v>
      </c>
      <c r="AK209" t="e">
        <f ca="1">_xludf.IFNA(VLOOKUP(AG209,'S-FG'!$B$3:$B1001,1,FALSE),"")</f>
        <v>#NAME?</v>
      </c>
      <c r="AL209" t="e">
        <f ca="1">IF(AH209="","",SUMIFS(#REF!,RM!$C$4:$C991,AH209))</f>
        <v>#REF!</v>
      </c>
    </row>
    <row r="210" spans="5:38">
      <c r="E210" t="str">
        <f>IF(A210="","",SUMIFS(Issue!$D$3:$D1001,Issue!$C$3:$C1001,A210)*C210)</f>
        <v/>
      </c>
      <c r="F210" t="e">
        <f ca="1">_xludf.IFNA(VLOOKUP(B210,'S-FG'!$B$3:$B1001,1,FALSE),"")</f>
        <v>#NAME?</v>
      </c>
      <c r="H210" t="str">
        <f ca="1">IFERROR(__xludf.DUMMYFUNCTION("""COMPUTED_VALUE"""),"A21 MotherBoard Assy")</f>
        <v>A21 MotherBoard Assy</v>
      </c>
      <c r="I210" t="str">
        <f ca="1">IFERROR(__xludf.DUMMYFUNCTION("""COMPUTED_VALUE"""),"23A 24v Power relay")</f>
        <v>23A 24v Power relay</v>
      </c>
      <c r="J210">
        <f ca="1">IFERROR(__xludf.DUMMYFUNCTION("""COMPUTED_VALUE"""),1)</f>
        <v>1</v>
      </c>
      <c r="K210" t="str">
        <f ca="1">IFERROR(__xludf.DUMMYFUNCTION("""COMPUTED_VALUE"""),"blank")</f>
        <v>blank</v>
      </c>
      <c r="L210">
        <f t="shared" ca="1" si="0"/>
        <v>0</v>
      </c>
      <c r="Q210" t="str">
        <f>IF(N210="","",SUMIFS(Issue!$D$3:$D1001,Issue!$C$3:$C1001,N210))</f>
        <v/>
      </c>
      <c r="S210" t="str">
        <f ca="1">IFERROR(__xludf.DUMMYFUNCTION("""COMPUTED_VALUE"""),"MCP3208")</f>
        <v>MCP3208</v>
      </c>
      <c r="X210" t="e">
        <f ca="1"/>
        <v>#NAME?</v>
      </c>
      <c r="Y210" t="e">
        <f t="shared" ca="1" si="1"/>
        <v>#NAME?</v>
      </c>
      <c r="Z210" t="e">
        <f ca="1">IF(X210="","",SUMIFS(#REF!,RM!$C$4:$C991,X210))</f>
        <v>#NAME?</v>
      </c>
      <c r="AA210" t="e">
        <f ca="1">IF(X210="","",SUMIFS(#REF!,RM!$C$4:$C991,X210))</f>
        <v>#NAME?</v>
      </c>
      <c r="AB210" t="e">
        <f t="shared" ca="1" si="2"/>
        <v>#NAME?</v>
      </c>
      <c r="AC210" t="e">
        <f ca="1">IF(X210="","",VLOOKUP($X210,RM!$C$4:$G991,3,FALSE))</f>
        <v>#NAME?</v>
      </c>
      <c r="AD210" t="e">
        <f ca="1">IF(X210="","",VLOOKUP($X210,RM!$C$4:$G991,4,FALSE))</f>
        <v>#NAME?</v>
      </c>
      <c r="AE210" t="e">
        <f ca="1">IF(X210="","",VLOOKUP($X210,RM!$C$4:$G991,5,FALSE))</f>
        <v>#NAME?</v>
      </c>
      <c r="AG210" t="str">
        <f ca="1">IFERROR(__xludf.DUMMYFUNCTION("""COMPUTED_VALUE"""),"A21 MotherBoard Assy")</f>
        <v>A21 MotherBoard Assy</v>
      </c>
      <c r="AH210" t="str">
        <f ca="1">IFERROR(__xludf.DUMMYFUNCTION("""COMPUTED_VALUE"""),"6mm male bullet connector")</f>
        <v>6mm male bullet connector</v>
      </c>
      <c r="AI210">
        <f ca="1">IFERROR(__xludf.DUMMYFUNCTION("""COMPUTED_VALUE"""),2)</f>
        <v>2</v>
      </c>
      <c r="AJ210" t="str">
        <f ca="1">IFERROR(__xludf.DUMMYFUNCTION("""COMPUTED_VALUE"""),"blank")</f>
        <v>blank</v>
      </c>
      <c r="AK210" t="e">
        <f ca="1">_xludf.IFNA(VLOOKUP(AG210,'S-FG'!$B$3:$B1001,1,FALSE),"")</f>
        <v>#NAME?</v>
      </c>
      <c r="AL210" t="e">
        <f ca="1">IF(AH210="","",SUMIFS(#REF!,RM!$C$4:$C991,AH210))</f>
        <v>#REF!</v>
      </c>
    </row>
    <row r="211" spans="5:38">
      <c r="E211" t="str">
        <f>IF(A211="","",SUMIFS(Issue!$D$3:$D1001,Issue!$C$3:$C1001,A211)*C211)</f>
        <v/>
      </c>
      <c r="F211" t="e">
        <f ca="1">_xludf.IFNA(VLOOKUP(B211,'S-FG'!$B$3:$B1001,1,FALSE),"")</f>
        <v>#NAME?</v>
      </c>
      <c r="H211" t="str">
        <f ca="1">IFERROR(__xludf.DUMMYFUNCTION("""COMPUTED_VALUE"""),"A21 MotherBoard Assy")</f>
        <v>A21 MotherBoard Assy</v>
      </c>
      <c r="I211" t="str">
        <f ca="1">IFERROR(__xludf.DUMMYFUNCTION("""COMPUTED_VALUE"""),"470k 0805 PANASONIC")</f>
        <v>470k 0805 PANASONIC</v>
      </c>
      <c r="J211">
        <f ca="1">IFERROR(__xludf.DUMMYFUNCTION("""COMPUTED_VALUE"""),12)</f>
        <v>12</v>
      </c>
      <c r="K211" t="str">
        <f ca="1">IFERROR(__xludf.DUMMYFUNCTION("""COMPUTED_VALUE"""),"ERJUP6F4703V")</f>
        <v>ERJUP6F4703V</v>
      </c>
      <c r="L211">
        <f t="shared" ca="1" si="0"/>
        <v>0</v>
      </c>
      <c r="Q211" t="str">
        <f>IF(N211="","",SUMIFS(Issue!$D$3:$D1001,Issue!$C$3:$C1001,N211))</f>
        <v/>
      </c>
      <c r="S211" t="str">
        <f ca="1">IFERROR(__xludf.DUMMYFUNCTION("""COMPUTED_VALUE"""),"23A 24v Power relay")</f>
        <v>23A 24v Power relay</v>
      </c>
      <c r="X211" t="e">
        <f ca="1"/>
        <v>#NAME?</v>
      </c>
      <c r="Y211" t="e">
        <f t="shared" ca="1" si="1"/>
        <v>#NAME?</v>
      </c>
      <c r="Z211" t="e">
        <f ca="1">IF(X211="","",SUMIFS(#REF!,RM!$C$4:$C991,X211))</f>
        <v>#NAME?</v>
      </c>
      <c r="AA211" t="e">
        <f ca="1">IF(X211="","",SUMIFS(#REF!,RM!$C$4:$C991,X211))</f>
        <v>#NAME?</v>
      </c>
      <c r="AB211" t="e">
        <f t="shared" ca="1" si="2"/>
        <v>#NAME?</v>
      </c>
      <c r="AC211" t="e">
        <f ca="1">IF(X211="","",VLOOKUP($X211,RM!$C$4:$G991,3,FALSE))</f>
        <v>#NAME?</v>
      </c>
      <c r="AD211" t="e">
        <f ca="1">IF(X211="","",VLOOKUP($X211,RM!$C$4:$G991,4,FALSE))</f>
        <v>#NAME?</v>
      </c>
      <c r="AE211" t="e">
        <f ca="1">IF(X211="","",VLOOKUP($X211,RM!$C$4:$G991,5,FALSE))</f>
        <v>#NAME?</v>
      </c>
      <c r="AG211" t="str">
        <f ca="1">IFERROR(__xludf.DUMMYFUNCTION("""COMPUTED_VALUE"""),"A21 MotherBoard Assy")</f>
        <v>A21 MotherBoard Assy</v>
      </c>
      <c r="AH211" t="str">
        <f ca="1">IFERROR(__xludf.DUMMYFUNCTION("""COMPUTED_VALUE"""),"6mm female bullet connector")</f>
        <v>6mm female bullet connector</v>
      </c>
      <c r="AI211">
        <f ca="1">IFERROR(__xludf.DUMMYFUNCTION("""COMPUTED_VALUE"""),1)</f>
        <v>1</v>
      </c>
      <c r="AJ211" t="str">
        <f ca="1">IFERROR(__xludf.DUMMYFUNCTION("""COMPUTED_VALUE"""),"blank")</f>
        <v>blank</v>
      </c>
      <c r="AK211" t="e">
        <f ca="1">_xludf.IFNA(VLOOKUP(AG211,'S-FG'!$B$3:$B1001,1,FALSE),"")</f>
        <v>#NAME?</v>
      </c>
      <c r="AL211" t="e">
        <f ca="1">IF(AH211="","",SUMIFS(#REF!,RM!$C$4:$C991,AH211))</f>
        <v>#REF!</v>
      </c>
    </row>
    <row r="212" spans="5:38">
      <c r="E212" t="str">
        <f>IF(A212="","",SUMIFS(Issue!$D$3:$D1001,Issue!$C$3:$C1001,A212)*C212)</f>
        <v/>
      </c>
      <c r="F212" t="e">
        <f ca="1">_xludf.IFNA(VLOOKUP(B212,'S-FG'!$B$3:$B1001,1,FALSE),"")</f>
        <v>#NAME?</v>
      </c>
      <c r="H212" t="str">
        <f ca="1">IFERROR(__xludf.DUMMYFUNCTION("""COMPUTED_VALUE"""),"A21 MotherBoard Assy")</f>
        <v>A21 MotherBoard Assy</v>
      </c>
      <c r="I212" t="str">
        <f ca="1">IFERROR(__xludf.DUMMYFUNCTION("""COMPUTED_VALUE"""),"20k 0805 resistor PANASONIC")</f>
        <v>20k 0805 resistor PANASONIC</v>
      </c>
      <c r="J212">
        <f ca="1">IFERROR(__xludf.DUMMYFUNCTION("""COMPUTED_VALUE"""),12)</f>
        <v>12</v>
      </c>
      <c r="K212" t="str">
        <f ca="1">IFERROR(__xludf.DUMMYFUNCTION("""COMPUTED_VALUE"""),"blank")</f>
        <v>blank</v>
      </c>
      <c r="L212">
        <f t="shared" ca="1" si="0"/>
        <v>0</v>
      </c>
      <c r="Q212" t="str">
        <f>IF(N212="","",SUMIFS(Issue!$D$3:$D1001,Issue!$C$3:$C1001,N212))</f>
        <v/>
      </c>
      <c r="S212" t="str">
        <f ca="1">IFERROR(__xludf.DUMMYFUNCTION("""COMPUTED_VALUE"""),"470k 0805 PANASONIC")</f>
        <v>470k 0805 PANASONIC</v>
      </c>
      <c r="X212" t="e">
        <f ca="1"/>
        <v>#NAME?</v>
      </c>
      <c r="Y212" t="e">
        <f t="shared" ca="1" si="1"/>
        <v>#NAME?</v>
      </c>
      <c r="Z212" t="e">
        <f ca="1">IF(X212="","",SUMIFS(#REF!,RM!$C$4:$C991,X212))</f>
        <v>#NAME?</v>
      </c>
      <c r="AA212" t="e">
        <f ca="1">IF(X212="","",SUMIFS(#REF!,RM!$C$4:$C991,X212))</f>
        <v>#NAME?</v>
      </c>
      <c r="AB212" t="e">
        <f t="shared" ca="1" si="2"/>
        <v>#NAME?</v>
      </c>
      <c r="AC212" t="e">
        <f ca="1">IF(X212="","",VLOOKUP($X212,RM!$C$4:$G991,3,FALSE))</f>
        <v>#NAME?</v>
      </c>
      <c r="AD212" t="e">
        <f ca="1">IF(X212="","",VLOOKUP($X212,RM!$C$4:$G991,4,FALSE))</f>
        <v>#NAME?</v>
      </c>
      <c r="AE212" t="e">
        <f ca="1">IF(X212="","",VLOOKUP($X212,RM!$C$4:$G991,5,FALSE))</f>
        <v>#NAME?</v>
      </c>
      <c r="AG212" t="str">
        <f ca="1">IFERROR(__xludf.DUMMYFUNCTION("""COMPUTED_VALUE"""),"A21 MotherBoard Assy")</f>
        <v>A21 MotherBoard Assy</v>
      </c>
      <c r="AH212" t="str">
        <f ca="1">IFERROR(__xludf.DUMMYFUNCTION("""COMPUTED_VALUE"""),"Red 8AWG")</f>
        <v>Red 8AWG</v>
      </c>
      <c r="AI212">
        <f ca="1">IFERROR(__xludf.DUMMYFUNCTION("""COMPUTED_VALUE"""),0.25)</f>
        <v>0.25</v>
      </c>
      <c r="AJ212" t="str">
        <f ca="1">IFERROR(__xludf.DUMMYFUNCTION("""COMPUTED_VALUE"""),"blank")</f>
        <v>blank</v>
      </c>
      <c r="AK212" t="e">
        <f ca="1">_xludf.IFNA(VLOOKUP(AG212,'S-FG'!$B$3:$B1001,1,FALSE),"")</f>
        <v>#NAME?</v>
      </c>
      <c r="AL212" t="e">
        <f ca="1">IF(AH212="","",SUMIFS(#REF!,RM!$C$4:$C991,AH212))</f>
        <v>#REF!</v>
      </c>
    </row>
    <row r="213" spans="5:38">
      <c r="E213" t="str">
        <f>IF(A213="","",SUMIFS(Issue!$D$3:$D1001,Issue!$C$3:$C1001,A213)*C213)</f>
        <v/>
      </c>
      <c r="F213" t="e">
        <f ca="1">_xludf.IFNA(VLOOKUP(B213,'S-FG'!$B$3:$B1001,1,FALSE),"")</f>
        <v>#NAME?</v>
      </c>
      <c r="H213" t="str">
        <f ca="1">IFERROR(__xludf.DUMMYFUNCTION("""COMPUTED_VALUE"""),"A21 MotherBoard Assy")</f>
        <v>A21 MotherBoard Assy</v>
      </c>
      <c r="I213" t="str">
        <f ca="1">IFERROR(__xludf.DUMMYFUNCTION("""COMPUTED_VALUE"""),"1uF 0805 PANASONIC")</f>
        <v>1uF 0805 PANASONIC</v>
      </c>
      <c r="J213">
        <f ca="1">IFERROR(__xludf.DUMMYFUNCTION("""COMPUTED_VALUE"""),12)</f>
        <v>12</v>
      </c>
      <c r="K213" t="str">
        <f ca="1">IFERROR(__xludf.DUMMYFUNCTION("""COMPUTED_VALUE"""),"GCM21BR71E105KA56L")</f>
        <v>GCM21BR71E105KA56L</v>
      </c>
      <c r="L213">
        <f t="shared" ca="1" si="0"/>
        <v>0</v>
      </c>
      <c r="Q213" t="str">
        <f>IF(N213="","",SUMIFS(Issue!$D$3:$D1001,Issue!$C$3:$C1001,N213))</f>
        <v/>
      </c>
      <c r="S213" t="str">
        <f ca="1">IFERROR(__xludf.DUMMYFUNCTION("""COMPUTED_VALUE"""),"20k 0805 resistor PANASONIC")</f>
        <v>20k 0805 resistor PANASONIC</v>
      </c>
      <c r="X213" t="e">
        <f ca="1"/>
        <v>#NAME?</v>
      </c>
      <c r="Y213" t="e">
        <f t="shared" ca="1" si="1"/>
        <v>#NAME?</v>
      </c>
      <c r="Z213" t="e">
        <f ca="1">IF(X213="","",SUMIFS(#REF!,RM!$C$4:$C991,X213))</f>
        <v>#NAME?</v>
      </c>
      <c r="AA213" t="e">
        <f ca="1">IF(X213="","",SUMIFS(#REF!,RM!$C$4:$C991,X213))</f>
        <v>#NAME?</v>
      </c>
      <c r="AB213" t="e">
        <f t="shared" ca="1" si="2"/>
        <v>#NAME?</v>
      </c>
      <c r="AC213" t="e">
        <f ca="1">IF(X213="","",VLOOKUP($X213,RM!$C$4:$G991,3,FALSE))</f>
        <v>#NAME?</v>
      </c>
      <c r="AD213" t="e">
        <f ca="1">IF(X213="","",VLOOKUP($X213,RM!$C$4:$G991,4,FALSE))</f>
        <v>#NAME?</v>
      </c>
      <c r="AE213" t="e">
        <f ca="1">IF(X213="","",VLOOKUP($X213,RM!$C$4:$G991,5,FALSE))</f>
        <v>#NAME?</v>
      </c>
      <c r="AG213" t="str">
        <f ca="1">IFERROR(__xludf.DUMMYFUNCTION("""COMPUTED_VALUE"""),"A21 MotherBoard Assy")</f>
        <v>A21 MotherBoard Assy</v>
      </c>
      <c r="AH213" t="str">
        <f ca="1">IFERROR(__xludf.DUMMYFUNCTION("""COMPUTED_VALUE"""),"Red 12AWG")</f>
        <v>Red 12AWG</v>
      </c>
      <c r="AI213">
        <f ca="1">IFERROR(__xludf.DUMMYFUNCTION("""COMPUTED_VALUE"""),0.5)</f>
        <v>0.5</v>
      </c>
      <c r="AJ213" t="str">
        <f ca="1">IFERROR(__xludf.DUMMYFUNCTION("""COMPUTED_VALUE"""),"blank")</f>
        <v>blank</v>
      </c>
      <c r="AK213" t="e">
        <f ca="1">_xludf.IFNA(VLOOKUP(AG213,'S-FG'!$B$3:$B1001,1,FALSE),"")</f>
        <v>#NAME?</v>
      </c>
      <c r="AL213" t="e">
        <f ca="1">IF(AH213="","",SUMIFS(#REF!,RM!$C$4:$C991,AH213))</f>
        <v>#REF!</v>
      </c>
    </row>
    <row r="214" spans="5:38">
      <c r="E214" t="str">
        <f>IF(A214="","",SUMIFS(Issue!$D$3:$D1001,Issue!$C$3:$C1001,A214)*C214)</f>
        <v/>
      </c>
      <c r="F214" t="e">
        <f ca="1">_xludf.IFNA(VLOOKUP(B214,'S-FG'!$B$3:$B1001,1,FALSE),"")</f>
        <v>#NAME?</v>
      </c>
      <c r="H214" t="str">
        <f ca="1">IFERROR(__xludf.DUMMYFUNCTION("""COMPUTED_VALUE"""),"A21 MotherBoard Assy")</f>
        <v>A21 MotherBoard Assy</v>
      </c>
      <c r="I214" t="str">
        <f ca="1">IFERROR(__xludf.DUMMYFUNCTION("""COMPUTED_VALUE"""),"16MHz Crystal Oscillator")</f>
        <v>16MHz Crystal Oscillator</v>
      </c>
      <c r="J214">
        <f ca="1">IFERROR(__xludf.DUMMYFUNCTION("""COMPUTED_VALUE"""),2)</f>
        <v>2</v>
      </c>
      <c r="K214" t="str">
        <f ca="1">IFERROR(__xludf.DUMMYFUNCTION("""COMPUTED_VALUE"""),"ABM3-16.000MHZ-B2-T")</f>
        <v>ABM3-16.000MHZ-B2-T</v>
      </c>
      <c r="L214">
        <f t="shared" ca="1" si="0"/>
        <v>0</v>
      </c>
      <c r="Q214" t="str">
        <f>IF(N214="","",SUMIFS(Issue!$D$3:$D1001,Issue!$C$3:$C1001,N214))</f>
        <v/>
      </c>
      <c r="S214" t="str">
        <f ca="1">IFERROR(__xludf.DUMMYFUNCTION("""COMPUTED_VALUE"""),"1uF 0805 PANASONIC")</f>
        <v>1uF 0805 PANASONIC</v>
      </c>
      <c r="X214" t="e">
        <f ca="1"/>
        <v>#NAME?</v>
      </c>
      <c r="Y214" t="e">
        <f t="shared" ca="1" si="1"/>
        <v>#NAME?</v>
      </c>
      <c r="Z214" t="e">
        <f ca="1">IF(X214="","",SUMIFS(#REF!,RM!$C$4:$C991,X214))</f>
        <v>#NAME?</v>
      </c>
      <c r="AA214" t="e">
        <f ca="1">IF(X214="","",SUMIFS(#REF!,RM!$C$4:$C991,X214))</f>
        <v>#NAME?</v>
      </c>
      <c r="AB214" t="e">
        <f t="shared" ca="1" si="2"/>
        <v>#NAME?</v>
      </c>
      <c r="AC214" t="e">
        <f ca="1">IF(X214="","",VLOOKUP($X214,RM!$C$4:$G991,3,FALSE))</f>
        <v>#NAME?</v>
      </c>
      <c r="AD214" t="e">
        <f ca="1">IF(X214="","",VLOOKUP($X214,RM!$C$4:$G991,4,FALSE))</f>
        <v>#NAME?</v>
      </c>
      <c r="AE214" t="e">
        <f ca="1">IF(X214="","",VLOOKUP($X214,RM!$C$4:$G991,5,FALSE))</f>
        <v>#NAME?</v>
      </c>
      <c r="AG214" t="str">
        <f ca="1">IFERROR(__xludf.DUMMYFUNCTION("""COMPUTED_VALUE"""),"A21 MotherBoard Assy")</f>
        <v>A21 MotherBoard Assy</v>
      </c>
      <c r="AH214" t="str">
        <f ca="1">IFERROR(__xludf.DUMMYFUNCTION("""COMPUTED_VALUE"""),"Red 18 AWG")</f>
        <v>Red 18 AWG</v>
      </c>
      <c r="AI214">
        <f ca="1">IFERROR(__xludf.DUMMYFUNCTION("""COMPUTED_VALUE"""),0.3)</f>
        <v>0.3</v>
      </c>
      <c r="AJ214" t="str">
        <f ca="1">IFERROR(__xludf.DUMMYFUNCTION("""COMPUTED_VALUE"""),"blank")</f>
        <v>blank</v>
      </c>
      <c r="AK214" t="e">
        <f ca="1">_xludf.IFNA(VLOOKUP(AG214,'S-FG'!$B$3:$B1001,1,FALSE),"")</f>
        <v>#NAME?</v>
      </c>
      <c r="AL214" t="e">
        <f ca="1">IF(AH214="","",SUMIFS(#REF!,RM!$C$4:$C991,AH214))</f>
        <v>#REF!</v>
      </c>
    </row>
    <row r="215" spans="5:38">
      <c r="E215" t="str">
        <f>IF(A215="","",SUMIFS(Issue!$D$3:$D1001,Issue!$C$3:$C1001,A215)*C215)</f>
        <v/>
      </c>
      <c r="F215" t="e">
        <f ca="1">_xludf.IFNA(VLOOKUP(B215,'S-FG'!$B$3:$B1001,1,FALSE),"")</f>
        <v>#NAME?</v>
      </c>
      <c r="H215" t="str">
        <f ca="1">IFERROR(__xludf.DUMMYFUNCTION("""COMPUTED_VALUE"""),"A21 MotherBoard Assy")</f>
        <v>A21 MotherBoard Assy</v>
      </c>
      <c r="I215" t="str">
        <f ca="1">IFERROR(__xludf.DUMMYFUNCTION("""COMPUTED_VALUE"""),"ULN2004 SMD")</f>
        <v>ULN2004 SMD</v>
      </c>
      <c r="J215">
        <f ca="1">IFERROR(__xludf.DUMMYFUNCTION("""COMPUTED_VALUE"""),1)</f>
        <v>1</v>
      </c>
      <c r="K215" t="str">
        <f ca="1">IFERROR(__xludf.DUMMYFUNCTION("""COMPUTED_VALUE"""),"blank")</f>
        <v>blank</v>
      </c>
      <c r="L215">
        <f t="shared" ca="1" si="0"/>
        <v>0</v>
      </c>
      <c r="Q215" t="str">
        <f>IF(N215="","",SUMIFS(Issue!$D$3:$D1001,Issue!$C$3:$C1001,N215))</f>
        <v/>
      </c>
      <c r="S215" t="str">
        <f ca="1">IFERROR(__xludf.DUMMYFUNCTION("""COMPUTED_VALUE"""),"16MHz Crystal Oscillator")</f>
        <v>16MHz Crystal Oscillator</v>
      </c>
      <c r="X215" t="e">
        <f ca="1"/>
        <v>#NAME?</v>
      </c>
      <c r="Y215" t="e">
        <f t="shared" ca="1" si="1"/>
        <v>#NAME?</v>
      </c>
      <c r="Z215" t="e">
        <f ca="1">IF(X215="","",SUMIFS(#REF!,RM!$C$4:$C991,X215))</f>
        <v>#NAME?</v>
      </c>
      <c r="AA215" t="e">
        <f ca="1">IF(X215="","",SUMIFS(#REF!,RM!$C$4:$C991,X215))</f>
        <v>#NAME?</v>
      </c>
      <c r="AB215" t="e">
        <f t="shared" ca="1" si="2"/>
        <v>#NAME?</v>
      </c>
      <c r="AC215" t="e">
        <f ca="1">IF(X215="","",VLOOKUP($X215,RM!$C$4:$G991,3,FALSE))</f>
        <v>#NAME?</v>
      </c>
      <c r="AD215" t="e">
        <f ca="1">IF(X215="","",VLOOKUP($X215,RM!$C$4:$G991,4,FALSE))</f>
        <v>#NAME?</v>
      </c>
      <c r="AE215" t="e">
        <f ca="1">IF(X215="","",VLOOKUP($X215,RM!$C$4:$G991,5,FALSE))</f>
        <v>#NAME?</v>
      </c>
      <c r="AG215" t="str">
        <f ca="1">IFERROR(__xludf.DUMMYFUNCTION("""COMPUTED_VALUE"""),"A21 MotherBoard Assy")</f>
        <v>A21 MotherBoard Assy</v>
      </c>
      <c r="AH215" t="str">
        <f ca="1">IFERROR(__xludf.DUMMYFUNCTION("""COMPUTED_VALUE"""),"Buck converter XL7015 50v")</f>
        <v>Buck converter XL7015 50v</v>
      </c>
      <c r="AI215">
        <f ca="1">IFERROR(__xludf.DUMMYFUNCTION("""COMPUTED_VALUE"""),2)</f>
        <v>2</v>
      </c>
      <c r="AJ215" t="str">
        <f ca="1">IFERROR(__xludf.DUMMYFUNCTION("""COMPUTED_VALUE"""),"blank")</f>
        <v>blank</v>
      </c>
      <c r="AK215" t="e">
        <f ca="1">_xludf.IFNA(VLOOKUP(AG215,'S-FG'!$B$3:$B1001,1,FALSE),"")</f>
        <v>#NAME?</v>
      </c>
      <c r="AL215" t="e">
        <f ca="1">IF(AH215="","",SUMIFS(#REF!,RM!$C$4:$C991,AH215))</f>
        <v>#REF!</v>
      </c>
    </row>
    <row r="216" spans="5:38">
      <c r="E216" t="str">
        <f>IF(A216="","",SUMIFS(Issue!$D$3:$D1001,Issue!$C$3:$C1001,A216)*C216)</f>
        <v/>
      </c>
      <c r="F216" t="e">
        <f ca="1">_xludf.IFNA(VLOOKUP(B216,'S-FG'!$B$3:$B1001,1,FALSE),"")</f>
        <v>#NAME?</v>
      </c>
      <c r="H216" t="str">
        <f ca="1">IFERROR(__xludf.DUMMYFUNCTION("""COMPUTED_VALUE"""),"A21 MotherBoard Assy")</f>
        <v>A21 MotherBoard Assy</v>
      </c>
      <c r="I216" t="str">
        <f ca="1">IFERROR(__xludf.DUMMYFUNCTION("""COMPUTED_VALUE"""),"SSR AQW282SX")</f>
        <v>SSR AQW282SX</v>
      </c>
      <c r="J216">
        <f ca="1">IFERROR(__xludf.DUMMYFUNCTION("""COMPUTED_VALUE"""),6)</f>
        <v>6</v>
      </c>
      <c r="K216" t="str">
        <f ca="1">IFERROR(__xludf.DUMMYFUNCTION("""COMPUTED_VALUE"""),"AQW282SX")</f>
        <v>AQW282SX</v>
      </c>
      <c r="L216">
        <f t="shared" ca="1" si="0"/>
        <v>0</v>
      </c>
      <c r="Q216" t="str">
        <f>IF(N216="","",SUMIFS(Issue!$D$3:$D1001,Issue!$C$3:$C1001,N216))</f>
        <v/>
      </c>
      <c r="S216" t="str">
        <f ca="1">IFERROR(__xludf.DUMMYFUNCTION("""COMPUTED_VALUE"""),"ULN2004 SMD")</f>
        <v>ULN2004 SMD</v>
      </c>
      <c r="X216" t="e">
        <f ca="1"/>
        <v>#NAME?</v>
      </c>
      <c r="Y216" t="e">
        <f t="shared" ca="1" si="1"/>
        <v>#NAME?</v>
      </c>
      <c r="Z216" t="e">
        <f ca="1">IF(X216="","",SUMIFS(#REF!,RM!$C$4:$C991,X216))</f>
        <v>#NAME?</v>
      </c>
      <c r="AA216" t="e">
        <f ca="1">IF(X216="","",SUMIFS(#REF!,RM!$C$4:$C991,X216))</f>
        <v>#NAME?</v>
      </c>
      <c r="AB216" t="e">
        <f t="shared" ca="1" si="2"/>
        <v>#NAME?</v>
      </c>
      <c r="AC216" t="e">
        <f ca="1">IF(X216="","",VLOOKUP($X216,RM!$C$4:$G991,3,FALSE))</f>
        <v>#NAME?</v>
      </c>
      <c r="AD216" t="e">
        <f ca="1">IF(X216="","",VLOOKUP($X216,RM!$C$4:$G991,4,FALSE))</f>
        <v>#NAME?</v>
      </c>
      <c r="AE216" t="e">
        <f ca="1">IF(X216="","",VLOOKUP($X216,RM!$C$4:$G991,5,FALSE))</f>
        <v>#NAME?</v>
      </c>
      <c r="AG216" t="str">
        <f ca="1">IFERROR(__xludf.DUMMYFUNCTION("""COMPUTED_VALUE"""),"A21 MotherBoard Assy")</f>
        <v>A21 MotherBoard Assy</v>
      </c>
      <c r="AH216" t="str">
        <f ca="1">IFERROR(__xludf.DUMMYFUNCTION("""COMPUTED_VALUE"""),"LM2596HW for PC")</f>
        <v>LM2596HW for PC</v>
      </c>
      <c r="AI216">
        <f ca="1">IFERROR(__xludf.DUMMYFUNCTION("""COMPUTED_VALUE"""),1)</f>
        <v>1</v>
      </c>
      <c r="AJ216" t="str">
        <f ca="1">IFERROR(__xludf.DUMMYFUNCTION("""COMPUTED_VALUE"""),"blank")</f>
        <v>blank</v>
      </c>
      <c r="AK216" t="e">
        <f ca="1">_xludf.IFNA(VLOOKUP(AG216,'S-FG'!$B$3:$B1001,1,FALSE),"")</f>
        <v>#NAME?</v>
      </c>
      <c r="AL216" t="e">
        <f ca="1">IF(AH216="","",SUMIFS(#REF!,RM!$C$4:$C991,AH216))</f>
        <v>#REF!</v>
      </c>
    </row>
    <row r="217" spans="5:38">
      <c r="E217" t="str">
        <f>IF(A217="","",SUMIFS(Issue!$D$3:$D1001,Issue!$C$3:$C1001,A217)*C217)</f>
        <v/>
      </c>
      <c r="F217" t="e">
        <f ca="1">_xludf.IFNA(VLOOKUP(B217,'S-FG'!$B$3:$B1001,1,FALSE),"")</f>
        <v>#NAME?</v>
      </c>
      <c r="H217" t="str">
        <f ca="1">IFERROR(__xludf.DUMMYFUNCTION("""COMPUTED_VALUE"""),"A21 MotherBoard Assy")</f>
        <v>A21 MotherBoard Assy</v>
      </c>
      <c r="I217" t="str">
        <f ca="1">IFERROR(__xludf.DUMMYFUNCTION("""COMPUTED_VALUE"""),"Atmega328P-AU")</f>
        <v>Atmega328P-AU</v>
      </c>
      <c r="J217">
        <f ca="1">IFERROR(__xludf.DUMMYFUNCTION("""COMPUTED_VALUE"""),2)</f>
        <v>2</v>
      </c>
      <c r="K217" t="str">
        <f ca="1">IFERROR(__xludf.DUMMYFUNCTION("""COMPUTED_VALUE"""),"blank")</f>
        <v>blank</v>
      </c>
      <c r="L217">
        <f t="shared" ca="1" si="0"/>
        <v>0</v>
      </c>
      <c r="Q217" t="str">
        <f>IF(N217="","",SUMIFS(Issue!$D$3:$D1001,Issue!$C$3:$C1001,N217))</f>
        <v/>
      </c>
      <c r="S217" t="str">
        <f ca="1">IFERROR(__xludf.DUMMYFUNCTION("""COMPUTED_VALUE"""),"SSR AQW282SX")</f>
        <v>SSR AQW282SX</v>
      </c>
      <c r="X217" t="e">
        <f ca="1"/>
        <v>#NAME?</v>
      </c>
      <c r="Y217" t="e">
        <f t="shared" ca="1" si="1"/>
        <v>#NAME?</v>
      </c>
      <c r="Z217" t="e">
        <f ca="1">IF(X217="","",SUMIFS(#REF!,RM!$C$4:$C991,X217))</f>
        <v>#NAME?</v>
      </c>
      <c r="AA217" t="e">
        <f ca="1">IF(X217="","",SUMIFS(#REF!,RM!$C$4:$C991,X217))</f>
        <v>#NAME?</v>
      </c>
      <c r="AB217" t="e">
        <f t="shared" ca="1" si="2"/>
        <v>#NAME?</v>
      </c>
      <c r="AC217" t="e">
        <f ca="1">IF(X217="","",VLOOKUP($X217,RM!$C$4:$G991,3,FALSE))</f>
        <v>#NAME?</v>
      </c>
      <c r="AD217" t="e">
        <f ca="1">IF(X217="","",VLOOKUP($X217,RM!$C$4:$G991,4,FALSE))</f>
        <v>#NAME?</v>
      </c>
      <c r="AE217" t="e">
        <f ca="1">IF(X217="","",VLOOKUP($X217,RM!$C$4:$G991,5,FALSE))</f>
        <v>#NAME?</v>
      </c>
      <c r="AG217" t="str">
        <f ca="1">IFERROR(__xludf.DUMMYFUNCTION("""COMPUTED_VALUE"""),"A21 MotherBoard Assy")</f>
        <v>A21 MotherBoard Assy</v>
      </c>
      <c r="AH217" t="str">
        <f ca="1">IFERROR(__xludf.DUMMYFUNCTION("""COMPUTED_VALUE"""),"PWB of Motherboard")</f>
        <v>PWB of Motherboard</v>
      </c>
      <c r="AI217">
        <f ca="1">IFERROR(__xludf.DUMMYFUNCTION("""COMPUTED_VALUE"""),1)</f>
        <v>1</v>
      </c>
      <c r="AJ217" t="str">
        <f ca="1">IFERROR(__xludf.DUMMYFUNCTION("""COMPUTED_VALUE"""),"blank")</f>
        <v>blank</v>
      </c>
      <c r="AK217" t="e">
        <f ca="1">_xludf.IFNA(VLOOKUP(AG217,'S-FG'!$B$3:$B1001,1,FALSE),"")</f>
        <v>#NAME?</v>
      </c>
      <c r="AL217" t="e">
        <f ca="1">IF(AH217="","",SUMIFS(#REF!,RM!$C$4:$C991,AH217))</f>
        <v>#REF!</v>
      </c>
    </row>
    <row r="218" spans="5:38">
      <c r="E218" t="str">
        <f>IF(A218="","",SUMIFS(Issue!$D$3:$D1001,Issue!$C$3:$C1001,A218)*C218)</f>
        <v/>
      </c>
      <c r="F218" t="e">
        <f ca="1">_xludf.IFNA(VLOOKUP(B218,'S-FG'!$B$3:$B1001,1,FALSE),"")</f>
        <v>#NAME?</v>
      </c>
      <c r="H218" t="str">
        <f ca="1">IFERROR(__xludf.DUMMYFUNCTION("""COMPUTED_VALUE"""),"A21 MotherBoard Assy")</f>
        <v>A21 MotherBoard Assy</v>
      </c>
      <c r="I218" t="str">
        <f ca="1">IFERROR(__xludf.DUMMYFUNCTION("""COMPUTED_VALUE"""),"Power Relay 120A 12v")</f>
        <v>Power Relay 120A 12v</v>
      </c>
      <c r="J218">
        <f ca="1">IFERROR(__xludf.DUMMYFUNCTION("""COMPUTED_VALUE"""),1)</f>
        <v>1</v>
      </c>
      <c r="K218" t="str">
        <f ca="1">IFERROR(__xludf.DUMMYFUNCTION("""COMPUTED_VALUE"""),"blank")</f>
        <v>blank</v>
      </c>
      <c r="L218">
        <f t="shared" ca="1" si="0"/>
        <v>0</v>
      </c>
      <c r="Q218" t="str">
        <f>IF(N218="","",SUMIFS(Issue!$D$3:$D1001,Issue!$C$3:$C1001,N218))</f>
        <v/>
      </c>
      <c r="S218" t="str">
        <f ca="1">IFERROR(__xludf.DUMMYFUNCTION("""COMPUTED_VALUE"""),"Atmega328P-AU")</f>
        <v>Atmega328P-AU</v>
      </c>
      <c r="X218" t="e">
        <f ca="1"/>
        <v>#NAME?</v>
      </c>
      <c r="Y218" t="e">
        <f t="shared" ca="1" si="1"/>
        <v>#NAME?</v>
      </c>
      <c r="Z218" t="e">
        <f ca="1">IF(X218="","",SUMIFS(#REF!,RM!$C$4:$C991,X218))</f>
        <v>#NAME?</v>
      </c>
      <c r="AA218" t="e">
        <f ca="1">IF(X218="","",SUMIFS(#REF!,RM!$C$4:$C991,X218))</f>
        <v>#NAME?</v>
      </c>
      <c r="AB218" t="e">
        <f t="shared" ca="1" si="2"/>
        <v>#NAME?</v>
      </c>
      <c r="AC218" t="e">
        <f ca="1">IF(X218="","",VLOOKUP($X218,RM!$C$4:$G991,3,FALSE))</f>
        <v>#NAME?</v>
      </c>
      <c r="AD218" t="e">
        <f ca="1">IF(X218="","",VLOOKUP($X218,RM!$C$4:$G991,4,FALSE))</f>
        <v>#NAME?</v>
      </c>
      <c r="AE218" t="e">
        <f ca="1">IF(X218="","",VLOOKUP($X218,RM!$C$4:$G991,5,FALSE))</f>
        <v>#NAME?</v>
      </c>
      <c r="AG218" t="str">
        <f ca="1">IFERROR(__xludf.DUMMYFUNCTION("""COMPUTED_VALUE"""),"A21 MotherBoard Assy")</f>
        <v>A21 MotherBoard Assy</v>
      </c>
      <c r="AH218" t="str">
        <f ca="1">IFERROR(__xludf.DUMMYFUNCTION("""COMPUTED_VALUE"""),"Lead paste")</f>
        <v>Lead paste</v>
      </c>
      <c r="AI218">
        <f ca="1">IFERROR(__xludf.DUMMYFUNCTION("""COMPUTED_VALUE"""),10)</f>
        <v>10</v>
      </c>
      <c r="AK218" t="e">
        <f ca="1">_xludf.IFNA(VLOOKUP(AG218,'S-FG'!$B$3:$B1001,1,FALSE),"")</f>
        <v>#NAME?</v>
      </c>
      <c r="AL218" t="e">
        <f ca="1">IF(AH218="","",SUMIFS(#REF!,RM!$C$4:$C991,AH218))</f>
        <v>#REF!</v>
      </c>
    </row>
    <row r="219" spans="5:38">
      <c r="E219" t="str">
        <f>IF(A219="","",SUMIFS(Issue!$D$3:$D1001,Issue!$C$3:$C1001,A219)*C219)</f>
        <v/>
      </c>
      <c r="F219" t="e">
        <f ca="1">_xludf.IFNA(VLOOKUP(B219,'S-FG'!$B$3:$B1001,1,FALSE),"")</f>
        <v>#NAME?</v>
      </c>
      <c r="H219" t="str">
        <f ca="1">IFERROR(__xludf.DUMMYFUNCTION("""COMPUTED_VALUE"""),"A21 MotherBoard Assy")</f>
        <v>A21 MotherBoard Assy</v>
      </c>
      <c r="I219" t="str">
        <f ca="1">IFERROR(__xludf.DUMMYFUNCTION("""COMPUTED_VALUE"""),"Heatshrink Tube 6.4:1.6")</f>
        <v>Heatshrink Tube 6.4:1.6</v>
      </c>
      <c r="J219">
        <f ca="1">IFERROR(__xludf.DUMMYFUNCTION("""COMPUTED_VALUE"""),0.2)</f>
        <v>0.2</v>
      </c>
      <c r="K219" t="str">
        <f ca="1">IFERROR(__xludf.DUMMYFUNCTION("""COMPUTED_VALUE"""),"blank")</f>
        <v>blank</v>
      </c>
      <c r="L219">
        <f t="shared" ca="1" si="0"/>
        <v>0</v>
      </c>
      <c r="Q219" t="str">
        <f>IF(N219="","",SUMIFS(Issue!$D$3:$D1001,Issue!$C$3:$C1001,N219))</f>
        <v/>
      </c>
      <c r="S219" t="str">
        <f ca="1">IFERROR(__xludf.DUMMYFUNCTION("""COMPUTED_VALUE"""),"Power Relay 120A 12v")</f>
        <v>Power Relay 120A 12v</v>
      </c>
      <c r="X219" t="e">
        <f ca="1"/>
        <v>#NAME?</v>
      </c>
      <c r="Y219" t="e">
        <f t="shared" ca="1" si="1"/>
        <v>#NAME?</v>
      </c>
      <c r="Z219" t="e">
        <f ca="1">IF(X219="","",SUMIFS(#REF!,RM!$C$4:$C991,X219))</f>
        <v>#NAME?</v>
      </c>
      <c r="AA219" t="e">
        <f ca="1">IF(X219="","",SUMIFS(#REF!,RM!$C$4:$C991,X219))</f>
        <v>#NAME?</v>
      </c>
      <c r="AB219" t="e">
        <f t="shared" ca="1" si="2"/>
        <v>#NAME?</v>
      </c>
      <c r="AC219" t="e">
        <f ca="1">IF(X219="","",VLOOKUP($X219,RM!$C$4:$G991,3,FALSE))</f>
        <v>#NAME?</v>
      </c>
      <c r="AD219" t="e">
        <f ca="1">IF(X219="","",VLOOKUP($X219,RM!$C$4:$G991,4,FALSE))</f>
        <v>#NAME?</v>
      </c>
      <c r="AE219" t="e">
        <f ca="1">IF(X219="","",VLOOKUP($X219,RM!$C$4:$G991,5,FALSE))</f>
        <v>#NAME?</v>
      </c>
      <c r="AG219" t="str">
        <f ca="1">IFERROR(__xludf.DUMMYFUNCTION("""COMPUTED_VALUE"""),"A21 MotherBoard Assy")</f>
        <v>A21 MotherBoard Assy</v>
      </c>
      <c r="AH219" t="str">
        <f ca="1">IFERROR(__xludf.DUMMYFUNCTION("""COMPUTED_VALUE"""),"Lead wire 22AWG")</f>
        <v>Lead wire 22AWG</v>
      </c>
      <c r="AI219">
        <f ca="1">IFERROR(__xludf.DUMMYFUNCTION("""COMPUTED_VALUE"""),10)</f>
        <v>10</v>
      </c>
      <c r="AK219" t="e">
        <f ca="1">_xludf.IFNA(VLOOKUP(AG219,'S-FG'!$B$3:$B1001,1,FALSE),"")</f>
        <v>#NAME?</v>
      </c>
      <c r="AL219" t="e">
        <f ca="1">IF(AH219="","",SUMIFS(#REF!,RM!$C$4:$C991,AH219))</f>
        <v>#REF!</v>
      </c>
    </row>
    <row r="220" spans="5:38">
      <c r="E220" t="str">
        <f>IF(A220="","",SUMIFS(Issue!$D$3:$D1001,Issue!$C$3:$C1001,A220)*C220)</f>
        <v/>
      </c>
      <c r="F220" t="e">
        <f ca="1">_xludf.IFNA(VLOOKUP(B220,'S-FG'!$B$3:$B1001,1,FALSE),"")</f>
        <v>#NAME?</v>
      </c>
      <c r="H220" t="str">
        <f ca="1">IFERROR(__xludf.DUMMYFUNCTION("""COMPUTED_VALUE"""),"A21 MotherBoard Assy")</f>
        <v>A21 MotherBoard Assy</v>
      </c>
      <c r="I220" t="str">
        <f ca="1">IFERROR(__xludf.DUMMYFUNCTION("""COMPUTED_VALUE"""),"Heatshrink Tube 9:3")</f>
        <v>Heatshrink Tube 9:3</v>
      </c>
      <c r="J220">
        <f ca="1">IFERROR(__xludf.DUMMYFUNCTION("""COMPUTED_VALUE"""),0.1)</f>
        <v>0.1</v>
      </c>
      <c r="K220" t="str">
        <f ca="1">IFERROR(__xludf.DUMMYFUNCTION("""COMPUTED_VALUE"""),"blank")</f>
        <v>blank</v>
      </c>
      <c r="L220">
        <f t="shared" ca="1" si="0"/>
        <v>0</v>
      </c>
      <c r="Q220" t="str">
        <f>IF(N220="","",SUMIFS(Issue!$D$3:$D1001,Issue!$C$3:$C1001,N220))</f>
        <v/>
      </c>
      <c r="S220" t="str">
        <f ca="1">IFERROR(__xludf.DUMMYFUNCTION("""COMPUTED_VALUE"""),"Heatshrink Tube 6.4:1.6")</f>
        <v>Heatshrink Tube 6.4:1.6</v>
      </c>
      <c r="X220" t="e">
        <f ca="1"/>
        <v>#NAME?</v>
      </c>
      <c r="Y220" t="e">
        <f t="shared" ca="1" si="1"/>
        <v>#NAME?</v>
      </c>
      <c r="Z220" t="e">
        <f ca="1">IF(X220="","",SUMIFS(#REF!,RM!$C$4:$C991,X220))</f>
        <v>#NAME?</v>
      </c>
      <c r="AA220" t="e">
        <f ca="1">IF(X220="","",SUMIFS(#REF!,RM!$C$4:$C991,X220))</f>
        <v>#NAME?</v>
      </c>
      <c r="AB220" t="e">
        <f t="shared" ca="1" si="2"/>
        <v>#NAME?</v>
      </c>
      <c r="AC220" t="e">
        <f ca="1">IF(X220="","",VLOOKUP($X220,RM!$C$4:$G991,3,FALSE))</f>
        <v>#NAME?</v>
      </c>
      <c r="AD220" t="e">
        <f ca="1">IF(X220="","",VLOOKUP($X220,RM!$C$4:$G991,4,FALSE))</f>
        <v>#NAME?</v>
      </c>
      <c r="AE220" t="e">
        <f ca="1">IF(X220="","",VLOOKUP($X220,RM!$C$4:$G991,5,FALSE))</f>
        <v>#NAME?</v>
      </c>
      <c r="AG220" t="str">
        <f ca="1">IFERROR(__xludf.DUMMYFUNCTION("""COMPUTED_VALUE"""),"A21 MotherBoard Assy")</f>
        <v>A21 MotherBoard Assy</v>
      </c>
      <c r="AH220" t="str">
        <f ca="1">IFERROR(__xludf.DUMMYFUNCTION("""COMPUTED_VALUE"""),"LED 0805 SMD")</f>
        <v>LED 0805 SMD</v>
      </c>
      <c r="AI220">
        <f ca="1">IFERROR(__xludf.DUMMYFUNCTION("""COMPUTED_VALUE"""),1)</f>
        <v>1</v>
      </c>
      <c r="AJ220" t="str">
        <f ca="1">IFERROR(__xludf.DUMMYFUNCTION("""COMPUTED_VALUE"""),"KPTD-2012LVSURCK")</f>
        <v>KPTD-2012LVSURCK</v>
      </c>
      <c r="AK220" t="e">
        <f ca="1">_xludf.IFNA(VLOOKUP(AG220,'S-FG'!$B$3:$B1001,1,FALSE),"")</f>
        <v>#NAME?</v>
      </c>
      <c r="AL220" t="e">
        <f ca="1">IF(AH220="","",SUMIFS(#REF!,RM!$C$4:$C991,AH220))</f>
        <v>#REF!</v>
      </c>
    </row>
    <row r="221" spans="5:38">
      <c r="E221" t="str">
        <f>IF(A221="","",SUMIFS(Issue!$D$3:$D1001,Issue!$C$3:$C1001,A221)*C221)</f>
        <v/>
      </c>
      <c r="F221" t="e">
        <f ca="1">_xludf.IFNA(VLOOKUP(B221,'S-FG'!$B$3:$B1001,1,FALSE),"")</f>
        <v>#NAME?</v>
      </c>
      <c r="H221" t="str">
        <f ca="1">IFERROR(__xludf.DUMMYFUNCTION("""COMPUTED_VALUE"""),"A21 MotherBoard Assy")</f>
        <v>A21 MotherBoard Assy</v>
      </c>
      <c r="I221" t="str">
        <f ca="1">IFERROR(__xludf.DUMMYFUNCTION("""COMPUTED_VALUE"""),"Current Sensor Assy")</f>
        <v>Current Sensor Assy</v>
      </c>
      <c r="J221">
        <f ca="1">IFERROR(__xludf.DUMMYFUNCTION("""COMPUTED_VALUE"""),0)</f>
        <v>0</v>
      </c>
      <c r="K221">
        <f ca="1">IFERROR(__xludf.DUMMYFUNCTION("""COMPUTED_VALUE"""),15)</f>
        <v>15</v>
      </c>
      <c r="L221">
        <f t="shared" ca="1" si="0"/>
        <v>0</v>
      </c>
      <c r="Q221" t="str">
        <f>IF(N221="","",SUMIFS(Issue!$D$3:$D1001,Issue!$C$3:$C1001,N221))</f>
        <v/>
      </c>
      <c r="S221" t="str">
        <f ca="1">IFERROR(__xludf.DUMMYFUNCTION("""COMPUTED_VALUE"""),"Heatshrink Tube 9:3")</f>
        <v>Heatshrink Tube 9:3</v>
      </c>
      <c r="X221" t="e">
        <f ca="1"/>
        <v>#NAME?</v>
      </c>
      <c r="Y221" t="e">
        <f t="shared" ca="1" si="1"/>
        <v>#NAME?</v>
      </c>
      <c r="Z221" t="e">
        <f ca="1">IF(X221="","",SUMIFS(#REF!,RM!$C$4:$C991,X221))</f>
        <v>#NAME?</v>
      </c>
      <c r="AA221" t="e">
        <f ca="1">IF(X221="","",SUMIFS(#REF!,RM!$C$4:$C991,X221))</f>
        <v>#NAME?</v>
      </c>
      <c r="AB221" t="e">
        <f t="shared" ca="1" si="2"/>
        <v>#NAME?</v>
      </c>
      <c r="AC221" t="e">
        <f ca="1">IF(X221="","",VLOOKUP($X221,RM!$C$4:$G991,3,FALSE))</f>
        <v>#NAME?</v>
      </c>
      <c r="AD221" t="e">
        <f ca="1">IF(X221="","",VLOOKUP($X221,RM!$C$4:$G991,4,FALSE))</f>
        <v>#NAME?</v>
      </c>
      <c r="AE221" t="e">
        <f ca="1">IF(X221="","",VLOOKUP($X221,RM!$C$4:$G991,5,FALSE))</f>
        <v>#NAME?</v>
      </c>
      <c r="AG221" t="str">
        <f ca="1">IFERROR(__xludf.DUMMYFUNCTION("""COMPUTED_VALUE"""),"A21 MotherBoard Assy")</f>
        <v>A21 MotherBoard Assy</v>
      </c>
      <c r="AH221" t="str">
        <f ca="1">IFERROR(__xludf.DUMMYFUNCTION("""COMPUTED_VALUE"""),"18pF 0805 capacitor")</f>
        <v>18pF 0805 capacitor</v>
      </c>
      <c r="AI221">
        <f ca="1">IFERROR(__xludf.DUMMYFUNCTION("""COMPUTED_VALUE"""),4)</f>
        <v>4</v>
      </c>
      <c r="AJ221" t="str">
        <f ca="1">IFERROR(__xludf.DUMMYFUNCTION("""COMPUTED_VALUE"""),"MC0805N180J500CT")</f>
        <v>MC0805N180J500CT</v>
      </c>
      <c r="AK221" t="e">
        <f ca="1">_xludf.IFNA(VLOOKUP(AG221,'S-FG'!$B$3:$B1001,1,FALSE),"")</f>
        <v>#NAME?</v>
      </c>
      <c r="AL221" t="e">
        <f ca="1">IF(AH221="","",SUMIFS(#REF!,RM!$C$4:$C991,AH221))</f>
        <v>#REF!</v>
      </c>
    </row>
    <row r="222" spans="5:38">
      <c r="E222" t="str">
        <f>IF(A222="","",SUMIFS(Issue!$D$3:$D1001,Issue!$C$3:$C1001,A222)*C222)</f>
        <v/>
      </c>
      <c r="F222" t="e">
        <f ca="1">_xludf.IFNA(VLOOKUP(B222,'S-FG'!$B$3:$B1001,1,FALSE),"")</f>
        <v>#NAME?</v>
      </c>
      <c r="H222" t="str">
        <f ca="1">IFERROR(__xludf.DUMMYFUNCTION("""COMPUTED_VALUE"""),"A21 MotherBoard Assy")</f>
        <v>A21 MotherBoard Assy</v>
      </c>
      <c r="I222" t="str">
        <f ca="1">IFERROR(__xludf.DUMMYFUNCTION("""COMPUTED_VALUE"""),"RPM Sensor Assy")</f>
        <v>RPM Sensor Assy</v>
      </c>
      <c r="J222">
        <f ca="1">IFERROR(__xludf.DUMMYFUNCTION("""COMPUTED_VALUE"""),0)</f>
        <v>0</v>
      </c>
      <c r="K222" t="str">
        <f ca="1">IFERROR(__xludf.DUMMYFUNCTION("""COMPUTED_VALUE"""),"blank")</f>
        <v>blank</v>
      </c>
      <c r="L222">
        <f t="shared" ca="1" si="0"/>
        <v>0</v>
      </c>
      <c r="Q222" t="str">
        <f>IF(N222="","",SUMIFS(Issue!$D$3:$D1001,Issue!$C$3:$C1001,N222))</f>
        <v/>
      </c>
      <c r="S222" t="str">
        <f ca="1">IFERROR(__xludf.DUMMYFUNCTION("""COMPUTED_VALUE"""),"Current Sensor Assy")</f>
        <v>Current Sensor Assy</v>
      </c>
      <c r="X222" t="e">
        <f ca="1"/>
        <v>#NAME?</v>
      </c>
      <c r="Y222" t="e">
        <f t="shared" ca="1" si="1"/>
        <v>#NAME?</v>
      </c>
      <c r="Z222" t="e">
        <f ca="1">IF(X222="","",SUMIFS(#REF!,RM!$C$4:$C991,X222))</f>
        <v>#NAME?</v>
      </c>
      <c r="AA222" t="e">
        <f ca="1">IF(X222="","",SUMIFS(#REF!,RM!$C$4:$C991,X222))</f>
        <v>#NAME?</v>
      </c>
      <c r="AB222" t="e">
        <f t="shared" ca="1" si="2"/>
        <v>#NAME?</v>
      </c>
      <c r="AC222" t="e">
        <f ca="1">IF(X222="","",VLOOKUP($X222,RM!$C$4:$G991,3,FALSE))</f>
        <v>#NAME?</v>
      </c>
      <c r="AD222" t="e">
        <f ca="1">IF(X222="","",VLOOKUP($X222,RM!$C$4:$G991,4,FALSE))</f>
        <v>#NAME?</v>
      </c>
      <c r="AE222" t="e">
        <f ca="1">IF(X222="","",VLOOKUP($X222,RM!$C$4:$G991,5,FALSE))</f>
        <v>#NAME?</v>
      </c>
      <c r="AG222" t="str">
        <f ca="1">IFERROR(__xludf.DUMMYFUNCTION("""COMPUTED_VALUE"""),"A21 MotherBoard Assy")</f>
        <v>A21 MotherBoard Assy</v>
      </c>
      <c r="AH222" t="str">
        <f ca="1">IFERROR(__xludf.DUMMYFUNCTION("""COMPUTED_VALUE"""),"10uF 10v Tantalum Capacitor Case A")</f>
        <v>10uF 10v Tantalum Capacitor Case A</v>
      </c>
      <c r="AI222">
        <f ca="1">IFERROR(__xludf.DUMMYFUNCTION("""COMPUTED_VALUE"""),3)</f>
        <v>3</v>
      </c>
      <c r="AJ222" t="str">
        <f ca="1">IFERROR(__xludf.DUMMYFUNCTION("""COMPUTED_VALUE"""),"T491A106K010AT")</f>
        <v>T491A106K010AT</v>
      </c>
      <c r="AK222" t="e">
        <f ca="1">_xludf.IFNA(VLOOKUP(AG222,'S-FG'!$B$3:$B1001,1,FALSE),"")</f>
        <v>#NAME?</v>
      </c>
      <c r="AL222" t="e">
        <f ca="1">IF(AH222="","",SUMIFS(#REF!,RM!$C$4:$C991,AH222))</f>
        <v>#REF!</v>
      </c>
    </row>
    <row r="223" spans="5:38">
      <c r="E223" t="str">
        <f>IF(A223="","",SUMIFS(Issue!$D$3:$D1001,Issue!$C$3:$C1001,A223)*C223)</f>
        <v/>
      </c>
      <c r="F223" t="e">
        <f ca="1">_xludf.IFNA(VLOOKUP(B223,'S-FG'!$B$3:$B1001,1,FALSE),"")</f>
        <v>#NAME?</v>
      </c>
      <c r="H223" t="str">
        <f ca="1">IFERROR(__xludf.DUMMYFUNCTION("""COMPUTED_VALUE"""),"A21 MotherBoard Assy")</f>
        <v>A21 MotherBoard Assy</v>
      </c>
      <c r="I223" t="str">
        <f ca="1">IFERROR(__xludf.DUMMYFUNCTION("""COMPUTED_VALUE"""),"Tactile switch ")</f>
        <v xml:space="preserve">Tactile switch </v>
      </c>
      <c r="J223">
        <f ca="1">IFERROR(__xludf.DUMMYFUNCTION("""COMPUTED_VALUE"""),1)</f>
        <v>1</v>
      </c>
      <c r="K223" t="str">
        <f ca="1">IFERROR(__xludf.DUMMYFUNCTION("""COMPUTED_VALUE"""),"blank")</f>
        <v>blank</v>
      </c>
      <c r="L223">
        <f t="shared" ca="1" si="0"/>
        <v>0</v>
      </c>
      <c r="Q223" t="str">
        <f>IF(N223="","",SUMIFS(Issue!$D$3:$D1001,Issue!$C$3:$C1001,N223))</f>
        <v/>
      </c>
      <c r="S223" t="str">
        <f ca="1">IFERROR(__xludf.DUMMYFUNCTION("""COMPUTED_VALUE"""),"RPM Sensor Assy")</f>
        <v>RPM Sensor Assy</v>
      </c>
      <c r="X223" t="e">
        <f ca="1"/>
        <v>#NAME?</v>
      </c>
      <c r="Y223" t="e">
        <f t="shared" ca="1" si="1"/>
        <v>#NAME?</v>
      </c>
      <c r="Z223" t="e">
        <f ca="1">IF(X223="","",SUMIFS(#REF!,RM!$C$4:$C991,X223))</f>
        <v>#NAME?</v>
      </c>
      <c r="AA223" t="e">
        <f ca="1">IF(X223="","",SUMIFS(#REF!,RM!$C$4:$C991,X223))</f>
        <v>#NAME?</v>
      </c>
      <c r="AB223" t="e">
        <f t="shared" ca="1" si="2"/>
        <v>#NAME?</v>
      </c>
      <c r="AC223" t="e">
        <f ca="1">IF(X223="","",VLOOKUP($X223,RM!$C$4:$G991,3,FALSE))</f>
        <v>#NAME?</v>
      </c>
      <c r="AD223" t="e">
        <f ca="1">IF(X223="","",VLOOKUP($X223,RM!$C$4:$G991,4,FALSE))</f>
        <v>#NAME?</v>
      </c>
      <c r="AE223" t="e">
        <f ca="1">IF(X223="","",VLOOKUP($X223,RM!$C$4:$G991,5,FALSE))</f>
        <v>#NAME?</v>
      </c>
      <c r="AG223" t="str">
        <f ca="1">IFERROR(__xludf.DUMMYFUNCTION("""COMPUTED_VALUE"""),"A21 MotherBoard Assy")</f>
        <v>A21 MotherBoard Assy</v>
      </c>
      <c r="AH223" t="str">
        <f ca="1">IFERROR(__xludf.DUMMYFUNCTION("""COMPUTED_VALUE"""),"SPST relay 5A-12v ANTI_S &amp; KILL")</f>
        <v>SPST relay 5A-12v ANTI_S &amp; KILL</v>
      </c>
      <c r="AI223">
        <f ca="1">IFERROR(__xludf.DUMMYFUNCTION("""COMPUTED_VALUE"""),2)</f>
        <v>2</v>
      </c>
      <c r="AJ223" t="str">
        <f ca="1">IFERROR(__xludf.DUMMYFUNCTION("""COMPUTED_VALUE"""),"blank")</f>
        <v>blank</v>
      </c>
      <c r="AK223" t="e">
        <f ca="1">_xludf.IFNA(VLOOKUP(AG223,'S-FG'!$B$3:$B1001,1,FALSE),"")</f>
        <v>#NAME?</v>
      </c>
      <c r="AL223" t="e">
        <f ca="1">IF(AH223="","",SUMIFS(#REF!,RM!$C$4:$C991,AH223))</f>
        <v>#REF!</v>
      </c>
    </row>
    <row r="224" spans="5:38">
      <c r="E224" t="str">
        <f>IF(A224="","",SUMIFS(Issue!$D$3:$D1001,Issue!$C$3:$C1001,A224)*C224)</f>
        <v/>
      </c>
      <c r="F224" t="e">
        <f ca="1">_xludf.IFNA(VLOOKUP(B224,'S-FG'!$B$3:$B1001,1,FALSE),"")</f>
        <v>#NAME?</v>
      </c>
      <c r="H224" t="str">
        <f ca="1">IFERROR(__xludf.DUMMYFUNCTION("""COMPUTED_VALUE"""),"Electronic Box Assy")</f>
        <v>Electronic Box Assy</v>
      </c>
      <c r="I224" t="str">
        <f ca="1">IFERROR(__xludf.DUMMYFUNCTION("""COMPUTED_VALUE"""),"Ipex4 to SMA converter extension")</f>
        <v>Ipex4 to SMA converter extension</v>
      </c>
      <c r="J224">
        <f ca="1">IFERROR(__xludf.DUMMYFUNCTION("""COMPUTED_VALUE"""),1)</f>
        <v>1</v>
      </c>
      <c r="K224" t="str">
        <f ca="1">IFERROR(__xludf.DUMMYFUNCTION("""COMPUTED_VALUE"""),"blank")</f>
        <v>blank</v>
      </c>
      <c r="L224">
        <f t="shared" ca="1" si="0"/>
        <v>0</v>
      </c>
      <c r="Q224" t="str">
        <f>IF(N224="","",SUMIFS(Issue!$D$3:$D1001,Issue!$C$3:$C1001,N224))</f>
        <v/>
      </c>
      <c r="S224" t="str">
        <f ca="1">IFERROR(__xludf.DUMMYFUNCTION("""COMPUTED_VALUE"""),"Tactile switch ")</f>
        <v xml:space="preserve">Tactile switch </v>
      </c>
      <c r="X224" t="e">
        <f ca="1"/>
        <v>#NAME?</v>
      </c>
      <c r="Y224" t="e">
        <f t="shared" ca="1" si="1"/>
        <v>#NAME?</v>
      </c>
      <c r="Z224" t="e">
        <f ca="1">IF(X224="","",SUMIFS(#REF!,RM!$C$4:$C991,X224))</f>
        <v>#NAME?</v>
      </c>
      <c r="AA224" t="e">
        <f ca="1">IF(X224="","",SUMIFS(#REF!,RM!$C$4:$C991,X224))</f>
        <v>#NAME?</v>
      </c>
      <c r="AB224" t="e">
        <f t="shared" ca="1" si="2"/>
        <v>#NAME?</v>
      </c>
      <c r="AC224" t="e">
        <f ca="1">IF(X224="","",VLOOKUP($X224,RM!$C$4:$G991,3,FALSE))</f>
        <v>#NAME?</v>
      </c>
      <c r="AD224" t="e">
        <f ca="1">IF(X224="","",VLOOKUP($X224,RM!$C$4:$G991,4,FALSE))</f>
        <v>#NAME?</v>
      </c>
      <c r="AE224" t="e">
        <f ca="1">IF(X224="","",VLOOKUP($X224,RM!$C$4:$G991,5,FALSE))</f>
        <v>#NAME?</v>
      </c>
      <c r="AG224" t="str">
        <f ca="1">IFERROR(__xludf.DUMMYFUNCTION("""COMPUTED_VALUE"""),"A21 MotherBoard Assy")</f>
        <v>A21 MotherBoard Assy</v>
      </c>
      <c r="AH224" t="str">
        <f ca="1">IFERROR(__xludf.DUMMYFUNCTION("""COMPUTED_VALUE"""),"Balancing 1A DPDT 24v Relay")</f>
        <v>Balancing 1A DPDT 24v Relay</v>
      </c>
      <c r="AI224">
        <f ca="1">IFERROR(__xludf.DUMMYFUNCTION("""COMPUTED_VALUE"""),5)</f>
        <v>5</v>
      </c>
      <c r="AJ224" t="str">
        <f ca="1">IFERROR(__xludf.DUMMYFUNCTION("""COMPUTED_VALUE"""),"blank")</f>
        <v>blank</v>
      </c>
      <c r="AK224" t="e">
        <f ca="1">_xludf.IFNA(VLOOKUP(AG224,'S-FG'!$B$3:$B1001,1,FALSE),"")</f>
        <v>#NAME?</v>
      </c>
      <c r="AL224" t="e">
        <f ca="1">IF(AH224="","",SUMIFS(#REF!,RM!$C$4:$C991,AH224))</f>
        <v>#REF!</v>
      </c>
    </row>
    <row r="225" spans="5:38">
      <c r="E225" t="str">
        <f>IF(A225="","",SUMIFS(Issue!$D$3:$D1001,Issue!$C$3:$C1001,A225)*C225)</f>
        <v/>
      </c>
      <c r="F225" t="e">
        <f ca="1">_xludf.IFNA(VLOOKUP(B225,'S-FG'!$B$3:$B1001,1,FALSE),"")</f>
        <v>#NAME?</v>
      </c>
      <c r="H225" t="str">
        <f ca="1">IFERROR(__xludf.DUMMYFUNCTION("""COMPUTED_VALUE"""),"Electronic Box Assy")</f>
        <v>Electronic Box Assy</v>
      </c>
      <c r="I225" t="str">
        <f ca="1">IFERROR(__xludf.DUMMYFUNCTION("""COMPUTED_VALUE"""),"Electronic Box Top Lid")</f>
        <v>Electronic Box Top Lid</v>
      </c>
      <c r="J225">
        <f ca="1">IFERROR(__xludf.DUMMYFUNCTION("""COMPUTED_VALUE"""),1)</f>
        <v>1</v>
      </c>
      <c r="L225">
        <f t="shared" ca="1" si="0"/>
        <v>0</v>
      </c>
      <c r="Q225" t="str">
        <f>IF(N225="","",SUMIFS(Issue!$D$3:$D1001,Issue!$C$3:$C1001,N225))</f>
        <v/>
      </c>
      <c r="S225" t="str">
        <f ca="1">IFERROR(__xludf.DUMMYFUNCTION("""COMPUTED_VALUE"""),"Ipex4 to SMA converter extension")</f>
        <v>Ipex4 to SMA converter extension</v>
      </c>
      <c r="X225" t="e">
        <f ca="1"/>
        <v>#NAME?</v>
      </c>
      <c r="Y225" t="e">
        <f t="shared" ca="1" si="1"/>
        <v>#NAME?</v>
      </c>
      <c r="Z225" t="e">
        <f ca="1">IF(X225="","",SUMIFS(#REF!,RM!$C$4:$C991,X225))</f>
        <v>#NAME?</v>
      </c>
      <c r="AA225" t="e">
        <f ca="1">IF(X225="","",SUMIFS(#REF!,RM!$C$4:$C991,X225))</f>
        <v>#NAME?</v>
      </c>
      <c r="AB225" t="e">
        <f t="shared" ca="1" si="2"/>
        <v>#NAME?</v>
      </c>
      <c r="AC225" t="e">
        <f ca="1">IF(X225="","",VLOOKUP($X225,RM!$C$4:$G991,3,FALSE))</f>
        <v>#NAME?</v>
      </c>
      <c r="AD225" t="e">
        <f ca="1">IF(X225="","",VLOOKUP($X225,RM!$C$4:$G991,4,FALSE))</f>
        <v>#NAME?</v>
      </c>
      <c r="AE225" t="e">
        <f ca="1">IF(X225="","",VLOOKUP($X225,RM!$C$4:$G991,5,FALSE))</f>
        <v>#NAME?</v>
      </c>
      <c r="AG225" t="str">
        <f ca="1">IFERROR(__xludf.DUMMYFUNCTION("""COMPUTED_VALUE"""),"A21 MotherBoard Assy")</f>
        <v>A21 MotherBoard Assy</v>
      </c>
      <c r="AH225" t="str">
        <f ca="1">IFERROR(__xludf.DUMMYFUNCTION("""COMPUTED_VALUE"""),"Balancing relay 5A/2A 24v SPST")</f>
        <v>Balancing relay 5A/2A 24v SPST</v>
      </c>
      <c r="AI225">
        <f ca="1">IFERROR(__xludf.DUMMYFUNCTION("""COMPUTED_VALUE"""),1)</f>
        <v>1</v>
      </c>
      <c r="AJ225" t="str">
        <f ca="1">IFERROR(__xludf.DUMMYFUNCTION("""COMPUTED_VALUE"""),"blank")</f>
        <v>blank</v>
      </c>
      <c r="AK225" t="e">
        <f ca="1">_xludf.IFNA(VLOOKUP(AG225,'S-FG'!$B$3:$B1001,1,FALSE),"")</f>
        <v>#NAME?</v>
      </c>
      <c r="AL225" t="e">
        <f ca="1">IF(AH225="","",SUMIFS(#REF!,RM!$C$4:$C991,AH225))</f>
        <v>#REF!</v>
      </c>
    </row>
    <row r="226" spans="5:38">
      <c r="E226" t="str">
        <f>IF(A226="","",SUMIFS(Issue!$D$3:$D1001,Issue!$C$3:$C1001,A226)*C226)</f>
        <v/>
      </c>
      <c r="F226" t="e">
        <f ca="1">_xludf.IFNA(VLOOKUP(B226,'S-FG'!$B$3:$B1001,1,FALSE),"")</f>
        <v>#NAME?</v>
      </c>
      <c r="H226" t="str">
        <f ca="1">IFERROR(__xludf.DUMMYFUNCTION("""COMPUTED_VALUE"""),"Electronic Box Assy")</f>
        <v>Electronic Box Assy</v>
      </c>
      <c r="I226" t="str">
        <f ca="1">IFERROR(__xludf.DUMMYFUNCTION("""COMPUTED_VALUE"""),"BlueRobotics Leak")</f>
        <v>BlueRobotics Leak</v>
      </c>
      <c r="J226">
        <f ca="1">IFERROR(__xludf.DUMMYFUNCTION("""COMPUTED_VALUE"""),1)</f>
        <v>1</v>
      </c>
      <c r="K226" t="str">
        <f ca="1">IFERROR(__xludf.DUMMYFUNCTION("""COMPUTED_VALUE"""),"blank")</f>
        <v>blank</v>
      </c>
      <c r="L226">
        <f t="shared" ca="1" si="0"/>
        <v>0</v>
      </c>
      <c r="Q226" t="str">
        <f>IF(N226="","",SUMIFS(Issue!$D$3:$D1001,Issue!$C$3:$C1001,N226))</f>
        <v/>
      </c>
      <c r="S226" t="str">
        <f ca="1">IFERROR(__xludf.DUMMYFUNCTION("""COMPUTED_VALUE"""),"Electronic Box Top Lid")</f>
        <v>Electronic Box Top Lid</v>
      </c>
      <c r="X226" t="e">
        <f ca="1"/>
        <v>#NAME?</v>
      </c>
      <c r="Y226" t="e">
        <f t="shared" ca="1" si="1"/>
        <v>#NAME?</v>
      </c>
      <c r="Z226" t="e">
        <f ca="1">IF(X226="","",SUMIFS(#REF!,RM!$C$4:$C991,X226))</f>
        <v>#NAME?</v>
      </c>
      <c r="AA226" t="e">
        <f ca="1">IF(X226="","",SUMIFS(#REF!,RM!$C$4:$C991,X226))</f>
        <v>#NAME?</v>
      </c>
      <c r="AB226" t="e">
        <f t="shared" ca="1" si="2"/>
        <v>#NAME?</v>
      </c>
      <c r="AC226" t="e">
        <f ca="1">IF(X226="","",VLOOKUP($X226,RM!$C$4:$G991,3,FALSE))</f>
        <v>#NAME?</v>
      </c>
      <c r="AD226" t="e">
        <f ca="1">IF(X226="","",VLOOKUP($X226,RM!$C$4:$G991,4,FALSE))</f>
        <v>#NAME?</v>
      </c>
      <c r="AE226" t="e">
        <f ca="1">IF(X226="","",VLOOKUP($X226,RM!$C$4:$G991,5,FALSE))</f>
        <v>#NAME?</v>
      </c>
      <c r="AG226" t="str">
        <f ca="1">IFERROR(__xludf.DUMMYFUNCTION("""COMPUTED_VALUE"""),"A21 MotherBoard Assy")</f>
        <v>A21 MotherBoard Assy</v>
      </c>
      <c r="AH226" t="str">
        <f ca="1">IFERROR(__xludf.DUMMYFUNCTION("""COMPUTED_VALUE"""),"BlueTooth Module")</f>
        <v>BlueTooth Module</v>
      </c>
      <c r="AI226">
        <f ca="1">IFERROR(__xludf.DUMMYFUNCTION("""COMPUTED_VALUE"""),1)</f>
        <v>1</v>
      </c>
      <c r="AJ226" t="str">
        <f ca="1">IFERROR(__xludf.DUMMYFUNCTION("""COMPUTED_VALUE"""),"HC-05")</f>
        <v>HC-05</v>
      </c>
      <c r="AK226" t="e">
        <f ca="1">_xludf.IFNA(VLOOKUP(AG226,'S-FG'!$B$3:$B1001,1,FALSE),"")</f>
        <v>#NAME?</v>
      </c>
      <c r="AL226" t="e">
        <f ca="1">IF(AH226="","",SUMIFS(#REF!,RM!$C$4:$C991,AH226))</f>
        <v>#REF!</v>
      </c>
    </row>
    <row r="227" spans="5:38">
      <c r="E227" t="str">
        <f>IF(A227="","",SUMIFS(Issue!$D$3:$D1001,Issue!$C$3:$C1001,A227)*C227)</f>
        <v/>
      </c>
      <c r="F227" t="e">
        <f ca="1">_xludf.IFNA(VLOOKUP(B227,'S-FG'!$B$3:$B1001,1,FALSE),"")</f>
        <v>#NAME?</v>
      </c>
      <c r="H227" t="str">
        <f ca="1">IFERROR(__xludf.DUMMYFUNCTION("""COMPUTED_VALUE"""),"Electronic Box Assy")</f>
        <v>Electronic Box Assy</v>
      </c>
      <c r="I227" t="str">
        <f ca="1">IFERROR(__xludf.DUMMYFUNCTION("""COMPUTED_VALUE"""),"BlueRobotics Indicator")</f>
        <v>BlueRobotics Indicator</v>
      </c>
      <c r="J227">
        <f ca="1">IFERROR(__xludf.DUMMYFUNCTION("""COMPUTED_VALUE"""),1)</f>
        <v>1</v>
      </c>
      <c r="K227" t="str">
        <f ca="1">IFERROR(__xludf.DUMMYFUNCTION("""COMPUTED_VALUE"""),"blank")</f>
        <v>blank</v>
      </c>
      <c r="L227">
        <f t="shared" ca="1" si="0"/>
        <v>0</v>
      </c>
      <c r="Q227" t="str">
        <f>IF(N227="","",SUMIFS(Issue!$D$3:$D1001,Issue!$C$3:$C1001,N227))</f>
        <v/>
      </c>
      <c r="S227" t="str">
        <f ca="1">IFERROR(__xludf.DUMMYFUNCTION("""COMPUTED_VALUE"""),"BlueRobotics Leak")</f>
        <v>BlueRobotics Leak</v>
      </c>
      <c r="X227" t="e">
        <f ca="1"/>
        <v>#NAME?</v>
      </c>
      <c r="Y227" t="e">
        <f t="shared" ca="1" si="1"/>
        <v>#NAME?</v>
      </c>
      <c r="Z227" t="e">
        <f ca="1">IF(X227="","",SUMIFS(#REF!,RM!$C$4:$C991,X227))</f>
        <v>#NAME?</v>
      </c>
      <c r="AA227" t="e">
        <f ca="1">IF(X227="","",SUMIFS(#REF!,RM!$C$4:$C991,X227))</f>
        <v>#NAME?</v>
      </c>
      <c r="AB227" t="e">
        <f t="shared" ca="1" si="2"/>
        <v>#NAME?</v>
      </c>
      <c r="AC227" t="e">
        <f ca="1">IF(X227="","",VLOOKUP($X227,RM!$C$4:$G991,3,FALSE))</f>
        <v>#NAME?</v>
      </c>
      <c r="AD227" t="e">
        <f ca="1">IF(X227="","",VLOOKUP($X227,RM!$C$4:$G991,4,FALSE))</f>
        <v>#NAME?</v>
      </c>
      <c r="AE227" t="e">
        <f ca="1">IF(X227="","",VLOOKUP($X227,RM!$C$4:$G991,5,FALSE))</f>
        <v>#NAME?</v>
      </c>
      <c r="AG227" t="str">
        <f ca="1">IFERROR(__xludf.DUMMYFUNCTION("""COMPUTED_VALUE"""),"A21 MotherBoard Assy")</f>
        <v>A21 MotherBoard Assy</v>
      </c>
      <c r="AH227" t="str">
        <f ca="1">IFERROR(__xludf.DUMMYFUNCTION("""COMPUTED_VALUE"""),"24AWG Soldering Wire")</f>
        <v>24AWG Soldering Wire</v>
      </c>
      <c r="AI227">
        <f ca="1">IFERROR(__xludf.DUMMYFUNCTION("""COMPUTED_VALUE"""),10)</f>
        <v>10</v>
      </c>
      <c r="AJ227" t="str">
        <f ca="1">IFERROR(__xludf.DUMMYFUNCTION("""COMPUTED_VALUE"""),"blank")</f>
        <v>blank</v>
      </c>
      <c r="AK227" t="e">
        <f ca="1">_xludf.IFNA(VLOOKUP(AG227,'S-FG'!$B$3:$B1001,1,FALSE),"")</f>
        <v>#NAME?</v>
      </c>
      <c r="AL227" t="e">
        <f ca="1">IF(AH227="","",SUMIFS(#REF!,RM!$C$4:$C991,AH227))</f>
        <v>#REF!</v>
      </c>
    </row>
    <row r="228" spans="5:38">
      <c r="E228" t="str">
        <f>IF(A228="","",SUMIFS(Issue!$D$3:$D1001,Issue!$C$3:$C1001,A228)*C228)</f>
        <v/>
      </c>
      <c r="F228" t="e">
        <f ca="1">_xludf.IFNA(VLOOKUP(B228,'S-FG'!$B$3:$B1001,1,FALSE),"")</f>
        <v>#NAME?</v>
      </c>
      <c r="H228" t="str">
        <f ca="1">IFERROR(__xludf.DUMMYFUNCTION("""COMPUTED_VALUE"""),"Electronic Box Assy")</f>
        <v>Electronic Box Assy</v>
      </c>
      <c r="I228" t="str">
        <f ca="1">IFERROR(__xludf.DUMMYFUNCTION("""COMPUTED_VALUE"""),"M4x6 PCB mount screw Magnetic")</f>
        <v>M4x6 PCB mount screw Magnetic</v>
      </c>
      <c r="J228">
        <f ca="1">IFERROR(__xludf.DUMMYFUNCTION("""COMPUTED_VALUE"""),5)</f>
        <v>5</v>
      </c>
      <c r="K228" t="str">
        <f ca="1">IFERROR(__xludf.DUMMYFUNCTION("""COMPUTED_VALUE"""),"blank")</f>
        <v>blank</v>
      </c>
      <c r="L228">
        <f t="shared" ca="1" si="0"/>
        <v>0</v>
      </c>
      <c r="Q228" t="str">
        <f>IF(N228="","",SUMIFS(Issue!$D$3:$D1001,Issue!$C$3:$C1001,N228))</f>
        <v/>
      </c>
      <c r="S228" t="str">
        <f ca="1">IFERROR(__xludf.DUMMYFUNCTION("""COMPUTED_VALUE"""),"BlueRobotics Indicator")</f>
        <v>BlueRobotics Indicator</v>
      </c>
      <c r="X228" t="e">
        <f ca="1"/>
        <v>#NAME?</v>
      </c>
      <c r="Y228" t="e">
        <f t="shared" ca="1" si="1"/>
        <v>#NAME?</v>
      </c>
      <c r="Z228" t="e">
        <f ca="1">IF(X228="","",SUMIFS(#REF!,RM!$C$4:$C991,X228))</f>
        <v>#NAME?</v>
      </c>
      <c r="AA228" t="e">
        <f ca="1">IF(X228="","",SUMIFS(#REF!,RM!$C$4:$C991,X228))</f>
        <v>#NAME?</v>
      </c>
      <c r="AB228" t="e">
        <f t="shared" ca="1" si="2"/>
        <v>#NAME?</v>
      </c>
      <c r="AC228" t="e">
        <f ca="1">IF(X228="","",VLOOKUP($X228,RM!$C$4:$G991,3,FALSE))</f>
        <v>#NAME?</v>
      </c>
      <c r="AD228" t="e">
        <f ca="1">IF(X228="","",VLOOKUP($X228,RM!$C$4:$G991,4,FALSE))</f>
        <v>#NAME?</v>
      </c>
      <c r="AE228" t="e">
        <f ca="1">IF(X228="","",VLOOKUP($X228,RM!$C$4:$G991,5,FALSE))</f>
        <v>#NAME?</v>
      </c>
      <c r="AG228" t="str">
        <f ca="1">IFERROR(__xludf.DUMMYFUNCTION("""COMPUTED_VALUE"""),"A21 MotherBoard Assy")</f>
        <v>A21 MotherBoard Assy</v>
      </c>
      <c r="AH228" t="str">
        <f ca="1">IFERROR(__xludf.DUMMYFUNCTION("""COMPUTED_VALUE"""),"12E 2W Resistor THT")</f>
        <v>12E 2W Resistor THT</v>
      </c>
      <c r="AI228">
        <f ca="1">IFERROR(__xludf.DUMMYFUNCTION("""COMPUTED_VALUE"""),1)</f>
        <v>1</v>
      </c>
      <c r="AJ228" t="str">
        <f ca="1">IFERROR(__xludf.DUMMYFUNCTION("""COMPUTED_VALUE"""),"blank")</f>
        <v>blank</v>
      </c>
      <c r="AK228" t="e">
        <f ca="1">_xludf.IFNA(VLOOKUP(AG228,'S-FG'!$B$3:$B1001,1,FALSE),"")</f>
        <v>#NAME?</v>
      </c>
      <c r="AL228" t="e">
        <f ca="1">IF(AH228="","",SUMIFS(#REF!,RM!$C$4:$C991,AH228))</f>
        <v>#REF!</v>
      </c>
    </row>
    <row r="229" spans="5:38">
      <c r="E229" t="str">
        <f>IF(A229="","",SUMIFS(Issue!$D$3:$D1001,Issue!$C$3:$C1001,A229)*C229)</f>
        <v/>
      </c>
      <c r="F229" t="e">
        <f ca="1">_xludf.IFNA(VLOOKUP(B229,'S-FG'!$B$3:$B1001,1,FALSE),"")</f>
        <v>#NAME?</v>
      </c>
      <c r="H229" t="str">
        <f ca="1">IFERROR(__xludf.DUMMYFUNCTION("""COMPUTED_VALUE"""),"Electronic Box Assy")</f>
        <v>Electronic Box Assy</v>
      </c>
      <c r="I229" t="str">
        <f ca="1">IFERROR(__xludf.DUMMYFUNCTION("""COMPUTED_VALUE"""),"PG-7 Cable Gland")</f>
        <v>PG-7 Cable Gland</v>
      </c>
      <c r="J229">
        <f ca="1">IFERROR(__xludf.DUMMYFUNCTION("""COMPUTED_VALUE"""),3)</f>
        <v>3</v>
      </c>
      <c r="K229" t="str">
        <f ca="1">IFERROR(__xludf.DUMMYFUNCTION("""COMPUTED_VALUE"""),"blank")</f>
        <v>blank</v>
      </c>
      <c r="L229">
        <f t="shared" ca="1" si="0"/>
        <v>0</v>
      </c>
      <c r="Q229" t="str">
        <f>IF(N229="","",SUMIFS(Issue!$D$3:$D1001,Issue!$C$3:$C1001,N229))</f>
        <v/>
      </c>
      <c r="S229" t="str">
        <f ca="1">IFERROR(__xludf.DUMMYFUNCTION("""COMPUTED_VALUE"""),"M4x6 PCB mount screw Magnetic")</f>
        <v>M4x6 PCB mount screw Magnetic</v>
      </c>
      <c r="X229" t="e">
        <f ca="1"/>
        <v>#NAME?</v>
      </c>
      <c r="Y229" t="e">
        <f t="shared" ca="1" si="1"/>
        <v>#NAME?</v>
      </c>
      <c r="Z229" t="e">
        <f ca="1">IF(X229="","",SUMIFS(#REF!,RM!$C$4:$C991,X229))</f>
        <v>#NAME?</v>
      </c>
      <c r="AA229" t="e">
        <f ca="1">IF(X229="","",SUMIFS(#REF!,RM!$C$4:$C991,X229))</f>
        <v>#NAME?</v>
      </c>
      <c r="AB229" t="e">
        <f t="shared" ca="1" si="2"/>
        <v>#NAME?</v>
      </c>
      <c r="AC229" t="e">
        <f ca="1">IF(X229="","",VLOOKUP($X229,RM!$C$4:$G991,3,FALSE))</f>
        <v>#NAME?</v>
      </c>
      <c r="AD229" t="e">
        <f ca="1">IF(X229="","",VLOOKUP($X229,RM!$C$4:$G991,4,FALSE))</f>
        <v>#NAME?</v>
      </c>
      <c r="AE229" t="e">
        <f ca="1">IF(X229="","",VLOOKUP($X229,RM!$C$4:$G991,5,FALSE))</f>
        <v>#NAME?</v>
      </c>
      <c r="AG229" t="str">
        <f ca="1">IFERROR(__xludf.DUMMYFUNCTION("""COMPUTED_VALUE"""),"A21 MotherBoard Assy")</f>
        <v>A21 MotherBoard Assy</v>
      </c>
      <c r="AH229" t="str">
        <f ca="1">IFERROR(__xludf.DUMMYFUNCTION("""COMPUTED_VALUE"""),"1k 0805 Resistor")</f>
        <v>1k 0805 Resistor</v>
      </c>
      <c r="AI229">
        <f ca="1">IFERROR(__xludf.DUMMYFUNCTION("""COMPUTED_VALUE"""),1)</f>
        <v>1</v>
      </c>
      <c r="AJ229" t="str">
        <f ca="1">IFERROR(__xludf.DUMMYFUNCTION("""COMPUTED_VALUE"""),"ERA6AEB102V (to be modified)")</f>
        <v>ERA6AEB102V (to be modified)</v>
      </c>
      <c r="AK229" t="e">
        <f ca="1">_xludf.IFNA(VLOOKUP(AG229,'S-FG'!$B$3:$B1001,1,FALSE),"")</f>
        <v>#NAME?</v>
      </c>
      <c r="AL229" t="e">
        <f ca="1">IF(AH229="","",SUMIFS(#REF!,RM!$C$4:$C991,AH229))</f>
        <v>#REF!</v>
      </c>
    </row>
    <row r="230" spans="5:38">
      <c r="E230" t="str">
        <f>IF(A230="","",SUMIFS(Issue!$D$3:$D1001,Issue!$C$3:$C1001,A230)*C230)</f>
        <v/>
      </c>
      <c r="F230" t="e">
        <f ca="1">_xludf.IFNA(VLOOKUP(B230,'S-FG'!$B$3:$B1001,1,FALSE),"")</f>
        <v>#NAME?</v>
      </c>
      <c r="H230" t="str">
        <f ca="1">IFERROR(__xludf.DUMMYFUNCTION("""COMPUTED_VALUE"""),"Electronic Box Assy")</f>
        <v>Electronic Box Assy</v>
      </c>
      <c r="I230" t="str">
        <f ca="1">IFERROR(__xludf.DUMMYFUNCTION("""COMPUTED_VALUE"""),"Electronic Box")</f>
        <v>Electronic Box</v>
      </c>
      <c r="J230">
        <f ca="1">IFERROR(__xludf.DUMMYFUNCTION("""COMPUTED_VALUE"""),1)</f>
        <v>1</v>
      </c>
      <c r="K230" t="str">
        <f ca="1">IFERROR(__xludf.DUMMYFUNCTION("""COMPUTED_VALUE"""),"blank")</f>
        <v>blank</v>
      </c>
      <c r="L230">
        <f t="shared" ca="1" si="0"/>
        <v>0</v>
      </c>
      <c r="Q230" t="str">
        <f>IF(N230="","",SUMIFS(Issue!$D$3:$D1001,Issue!$C$3:$C1001,N230))</f>
        <v/>
      </c>
      <c r="S230" t="str">
        <f ca="1">IFERROR(__xludf.DUMMYFUNCTION("""COMPUTED_VALUE"""),"PG-7 Cable Gland")</f>
        <v>PG-7 Cable Gland</v>
      </c>
      <c r="X230" t="e">
        <f ca="1"/>
        <v>#NAME?</v>
      </c>
      <c r="Y230" t="e">
        <f t="shared" ca="1" si="1"/>
        <v>#NAME?</v>
      </c>
      <c r="Z230" t="e">
        <f ca="1">IF(X230="","",SUMIFS(#REF!,RM!$C$4:$C991,X230))</f>
        <v>#NAME?</v>
      </c>
      <c r="AA230" t="e">
        <f ca="1">IF(X230="","",SUMIFS(#REF!,RM!$C$4:$C991,X230))</f>
        <v>#NAME?</v>
      </c>
      <c r="AB230" t="e">
        <f t="shared" ca="1" si="2"/>
        <v>#NAME?</v>
      </c>
      <c r="AC230" t="e">
        <f ca="1">IF(X230="","",VLOOKUP($X230,RM!$C$4:$G991,3,FALSE))</f>
        <v>#NAME?</v>
      </c>
      <c r="AD230" t="e">
        <f ca="1">IF(X230="","",VLOOKUP($X230,RM!$C$4:$G991,4,FALSE))</f>
        <v>#NAME?</v>
      </c>
      <c r="AE230" t="e">
        <f ca="1">IF(X230="","",VLOOKUP($X230,RM!$C$4:$G991,5,FALSE))</f>
        <v>#NAME?</v>
      </c>
      <c r="AG230" t="str">
        <f ca="1">IFERROR(__xludf.DUMMYFUNCTION("""COMPUTED_VALUE"""),"A21 MotherBoard Assy")</f>
        <v>A21 MotherBoard Assy</v>
      </c>
      <c r="AH230" t="str">
        <f ca="1">IFERROR(__xludf.DUMMYFUNCTION("""COMPUTED_VALUE"""),"51k 0805 resistor")</f>
        <v>51k 0805 resistor</v>
      </c>
      <c r="AI230">
        <f ca="1">IFERROR(__xludf.DUMMYFUNCTION("""COMPUTED_VALUE"""),2)</f>
        <v>2</v>
      </c>
      <c r="AJ230" t="str">
        <f ca="1">IFERROR(__xludf.DUMMYFUNCTION("""COMPUTED_VALUE"""),"blank")</f>
        <v>blank</v>
      </c>
      <c r="AK230" t="e">
        <f ca="1">_xludf.IFNA(VLOOKUP(AG230,'S-FG'!$B$3:$B1001,1,FALSE),"")</f>
        <v>#NAME?</v>
      </c>
      <c r="AL230" t="e">
        <f ca="1">IF(AH230="","",SUMIFS(#REF!,RM!$C$4:$C991,AH230))</f>
        <v>#REF!</v>
      </c>
    </row>
    <row r="231" spans="5:38">
      <c r="E231" t="str">
        <f>IF(A231="","",SUMIFS(Issue!$D$3:$D1001,Issue!$C$3:$C1001,A231)*C231)</f>
        <v/>
      </c>
      <c r="F231" t="e">
        <f ca="1">_xludf.IFNA(VLOOKUP(B231,'S-FG'!$B$3:$B1001,1,FALSE),"")</f>
        <v>#NAME?</v>
      </c>
      <c r="H231" t="str">
        <f ca="1">IFERROR(__xludf.DUMMYFUNCTION("""COMPUTED_VALUE"""),"Electronic Box Assy")</f>
        <v>Electronic Box Assy</v>
      </c>
      <c r="I231" t="str">
        <f ca="1">IFERROR(__xludf.DUMMYFUNCTION("""COMPUTED_VALUE"""),"IM Front Lid")</f>
        <v>IM Front Lid</v>
      </c>
      <c r="J231">
        <f ca="1">IFERROR(__xludf.DUMMYFUNCTION("""COMPUTED_VALUE"""),1)</f>
        <v>1</v>
      </c>
      <c r="K231" t="str">
        <f ca="1">IFERROR(__xludf.DUMMYFUNCTION("""COMPUTED_VALUE"""),"blank")</f>
        <v>blank</v>
      </c>
      <c r="L231">
        <f t="shared" ca="1" si="0"/>
        <v>0</v>
      </c>
      <c r="Q231" t="str">
        <f>IF(N231="","",SUMIFS(Issue!$D$3:$D1001,Issue!$C$3:$C1001,N231))</f>
        <v/>
      </c>
      <c r="S231" t="str">
        <f ca="1">IFERROR(__xludf.DUMMYFUNCTION("""COMPUTED_VALUE"""),"Electronic Box")</f>
        <v>Electronic Box</v>
      </c>
      <c r="X231" t="e">
        <f ca="1"/>
        <v>#NAME?</v>
      </c>
      <c r="Y231" t="e">
        <f t="shared" ca="1" si="1"/>
        <v>#NAME?</v>
      </c>
      <c r="Z231" t="e">
        <f ca="1">IF(X231="","",SUMIFS(#REF!,RM!$C$4:$C991,X231))</f>
        <v>#NAME?</v>
      </c>
      <c r="AA231" t="e">
        <f ca="1">IF(X231="","",SUMIFS(#REF!,RM!$C$4:$C991,X231))</f>
        <v>#NAME?</v>
      </c>
      <c r="AB231" t="e">
        <f t="shared" ca="1" si="2"/>
        <v>#NAME?</v>
      </c>
      <c r="AC231" t="e">
        <f ca="1">IF(X231="","",VLOOKUP($X231,RM!$C$4:$G991,3,FALSE))</f>
        <v>#NAME?</v>
      </c>
      <c r="AD231" t="e">
        <f ca="1">IF(X231="","",VLOOKUP($X231,RM!$C$4:$G991,4,FALSE))</f>
        <v>#NAME?</v>
      </c>
      <c r="AE231" t="e">
        <f ca="1">IF(X231="","",VLOOKUP($X231,RM!$C$4:$G991,5,FALSE))</f>
        <v>#NAME?</v>
      </c>
      <c r="AG231" t="str">
        <f ca="1">IFERROR(__xludf.DUMMYFUNCTION("""COMPUTED_VALUE"""),"A21 MotherBoard Assy")</f>
        <v>A21 MotherBoard Assy</v>
      </c>
      <c r="AH231" t="str">
        <f ca="1">IFERROR(__xludf.DUMMYFUNCTION("""COMPUTED_VALUE"""),"10k 0805 resistor")</f>
        <v>10k 0805 resistor</v>
      </c>
      <c r="AI231">
        <f ca="1">IFERROR(__xludf.DUMMYFUNCTION("""COMPUTED_VALUE"""),1)</f>
        <v>1</v>
      </c>
      <c r="AJ231" t="str">
        <f ca="1">IFERROR(__xludf.DUMMYFUNCTION("""COMPUTED_VALUE"""),"ERA6AEB103V (to be modified)")</f>
        <v>ERA6AEB103V (to be modified)</v>
      </c>
      <c r="AK231" t="e">
        <f ca="1">_xludf.IFNA(VLOOKUP(AG231,'S-FG'!$B$3:$B1001,1,FALSE),"")</f>
        <v>#NAME?</v>
      </c>
      <c r="AL231" t="e">
        <f ca="1">IF(AH231="","",SUMIFS(#REF!,RM!$C$4:$C991,AH231))</f>
        <v>#REF!</v>
      </c>
    </row>
    <row r="232" spans="5:38">
      <c r="E232" t="str">
        <f>IF(A232="","",SUMIFS(Issue!$D$3:$D1001,Issue!$C$3:$C1001,A232)*C232)</f>
        <v/>
      </c>
      <c r="F232" t="e">
        <f ca="1">_xludf.IFNA(VLOOKUP(B232,'S-FG'!$B$3:$B1001,1,FALSE),"")</f>
        <v>#NAME?</v>
      </c>
      <c r="H232" t="str">
        <f ca="1">IFERROR(__xludf.DUMMYFUNCTION("""COMPUTED_VALUE"""),"Electronic Box Assy")</f>
        <v>Electronic Box Assy</v>
      </c>
      <c r="I232" t="str">
        <f ca="1">IFERROR(__xludf.DUMMYFUNCTION("""COMPUTED_VALUE"""),"Teroson MS930")</f>
        <v>Teroson MS930</v>
      </c>
      <c r="J232">
        <f ca="1">IFERROR(__xludf.DUMMYFUNCTION("""COMPUTED_VALUE"""),10)</f>
        <v>10</v>
      </c>
      <c r="K232" t="str">
        <f ca="1">IFERROR(__xludf.DUMMYFUNCTION("""COMPUTED_VALUE"""),"blank")</f>
        <v>blank</v>
      </c>
      <c r="L232">
        <f t="shared" ca="1" si="0"/>
        <v>0</v>
      </c>
      <c r="Q232" t="str">
        <f>IF(N232="","",SUMIFS(Issue!$D$3:$D1001,Issue!$C$3:$C1001,N232))</f>
        <v/>
      </c>
      <c r="S232" t="str">
        <f ca="1">IFERROR(__xludf.DUMMYFUNCTION("""COMPUTED_VALUE"""),"IM Front Lid")</f>
        <v>IM Front Lid</v>
      </c>
      <c r="X232" t="e">
        <f ca="1"/>
        <v>#NAME?</v>
      </c>
      <c r="Y232" t="e">
        <f t="shared" ca="1" si="1"/>
        <v>#NAME?</v>
      </c>
      <c r="Z232" t="e">
        <f ca="1">IF(X232="","",SUMIFS(#REF!,RM!$C$4:$C991,X232))</f>
        <v>#NAME?</v>
      </c>
      <c r="AA232" t="e">
        <f ca="1">IF(X232="","",SUMIFS(#REF!,RM!$C$4:$C991,X232))</f>
        <v>#NAME?</v>
      </c>
      <c r="AB232" t="e">
        <f t="shared" ca="1" si="2"/>
        <v>#NAME?</v>
      </c>
      <c r="AC232" t="e">
        <f ca="1">IF(X232="","",VLOOKUP($X232,RM!$C$4:$G991,3,FALSE))</f>
        <v>#NAME?</v>
      </c>
      <c r="AD232" t="e">
        <f ca="1">IF(X232="","",VLOOKUP($X232,RM!$C$4:$G991,4,FALSE))</f>
        <v>#NAME?</v>
      </c>
      <c r="AE232" t="e">
        <f ca="1">IF(X232="","",VLOOKUP($X232,RM!$C$4:$G991,5,FALSE))</f>
        <v>#NAME?</v>
      </c>
      <c r="AG232" t="str">
        <f ca="1">IFERROR(__xludf.DUMMYFUNCTION("""COMPUTED_VALUE"""),"A21 MotherBoard Assy")</f>
        <v>A21 MotherBoard Assy</v>
      </c>
      <c r="AH232" t="str">
        <f ca="1">IFERROR(__xludf.DUMMYFUNCTION("""COMPUTED_VALUE"""),"330E 0805 Resistor")</f>
        <v>330E 0805 Resistor</v>
      </c>
      <c r="AI232">
        <f ca="1">IFERROR(__xludf.DUMMYFUNCTION("""COMPUTED_VALUE"""),12)</f>
        <v>12</v>
      </c>
      <c r="AJ232" t="str">
        <f ca="1">IFERROR(__xludf.DUMMYFUNCTION("""COMPUTED_VALUE"""),"MCWR08X3300FTL (to be modified)")</f>
        <v>MCWR08X3300FTL (to be modified)</v>
      </c>
      <c r="AK232" t="e">
        <f ca="1">_xludf.IFNA(VLOOKUP(AG232,'S-FG'!$B$3:$B1001,1,FALSE),"")</f>
        <v>#NAME?</v>
      </c>
      <c r="AL232" t="e">
        <f ca="1">IF(AH232="","",SUMIFS(#REF!,RM!$C$4:$C991,AH232))</f>
        <v>#REF!</v>
      </c>
    </row>
    <row r="233" spans="5:38">
      <c r="E233" t="str">
        <f>IF(A233="","",SUMIFS(Issue!$D$3:$D1001,Issue!$C$3:$C1001,A233)*C233)</f>
        <v/>
      </c>
      <c r="F233" t="e">
        <f ca="1">_xludf.IFNA(VLOOKUP(B233,'S-FG'!$B$3:$B1001,1,FALSE),"")</f>
        <v>#NAME?</v>
      </c>
      <c r="H233" t="str">
        <f ca="1">IFERROR(__xludf.DUMMYFUNCTION("""COMPUTED_VALUE"""),"Electronic Box Assy")</f>
        <v>Electronic Box Assy</v>
      </c>
      <c r="I233" t="str">
        <f ca="1">IFERROR(__xludf.DUMMYFUNCTION("""COMPUTED_VALUE"""),"Silicon RTV 732")</f>
        <v>Silicon RTV 732</v>
      </c>
      <c r="J233">
        <f ca="1">IFERROR(__xludf.DUMMYFUNCTION("""COMPUTED_VALUE"""),20)</f>
        <v>20</v>
      </c>
      <c r="K233" t="str">
        <f ca="1">IFERROR(__xludf.DUMMYFUNCTION("""COMPUTED_VALUE"""),"blank")</f>
        <v>blank</v>
      </c>
      <c r="L233">
        <f t="shared" ca="1" si="0"/>
        <v>0</v>
      </c>
      <c r="Q233" t="str">
        <f>IF(N233="","",SUMIFS(Issue!$D$3:$D1001,Issue!$C$3:$C1001,N233))</f>
        <v/>
      </c>
      <c r="S233" t="str">
        <f ca="1">IFERROR(__xludf.DUMMYFUNCTION("""COMPUTED_VALUE"""),"Teroson MS930")</f>
        <v>Teroson MS930</v>
      </c>
      <c r="X233" t="e">
        <f ca="1"/>
        <v>#NAME?</v>
      </c>
      <c r="Y233" t="e">
        <f t="shared" ca="1" si="1"/>
        <v>#NAME?</v>
      </c>
      <c r="Z233" t="e">
        <f ca="1">IF(X233="","",SUMIFS(#REF!,RM!$C$4:$C991,X233))</f>
        <v>#NAME?</v>
      </c>
      <c r="AA233" t="e">
        <f ca="1">IF(X233="","",SUMIFS(#REF!,RM!$C$4:$C991,X233))</f>
        <v>#NAME?</v>
      </c>
      <c r="AB233" t="e">
        <f t="shared" ca="1" si="2"/>
        <v>#NAME?</v>
      </c>
      <c r="AC233" t="e">
        <f ca="1">IF(X233="","",VLOOKUP($X233,RM!$C$4:$G991,3,FALSE))</f>
        <v>#NAME?</v>
      </c>
      <c r="AD233" t="e">
        <f ca="1">IF(X233="","",VLOOKUP($X233,RM!$C$4:$G991,4,FALSE))</f>
        <v>#NAME?</v>
      </c>
      <c r="AE233" t="e">
        <f ca="1">IF(X233="","",VLOOKUP($X233,RM!$C$4:$G991,5,FALSE))</f>
        <v>#NAME?</v>
      </c>
      <c r="AG233" t="str">
        <f ca="1">IFERROR(__xludf.DUMMYFUNCTION("""COMPUTED_VALUE"""),"A21 MotherBoard Assy")</f>
        <v>A21 MotherBoard Assy</v>
      </c>
      <c r="AH233" t="str">
        <f ca="1">IFERROR(__xludf.DUMMYFUNCTION("""COMPUTED_VALUE"""),"Female Bergstrip 40x1 2.54mm")</f>
        <v>Female Bergstrip 40x1 2.54mm</v>
      </c>
      <c r="AI233">
        <f ca="1">IFERROR(__xludf.DUMMYFUNCTION("""COMPUTED_VALUE"""),1)</f>
        <v>1</v>
      </c>
      <c r="AK233" t="e">
        <f ca="1">_xludf.IFNA(VLOOKUP(AG233,'S-FG'!$B$3:$B1001,1,FALSE),"")</f>
        <v>#NAME?</v>
      </c>
      <c r="AL233" t="e">
        <f ca="1">IF(AH233="","",SUMIFS(#REF!,RM!$C$4:$C991,AH233))</f>
        <v>#REF!</v>
      </c>
    </row>
    <row r="234" spans="5:38">
      <c r="E234" t="str">
        <f>IF(A234="","",SUMIFS(Issue!$D$3:$D1001,Issue!$C$3:$C1001,A234)*C234)</f>
        <v/>
      </c>
      <c r="F234" t="e">
        <f ca="1">_xludf.IFNA(VLOOKUP(B234,'S-FG'!$B$3:$B1001,1,FALSE),"")</f>
        <v>#NAME?</v>
      </c>
      <c r="H234" t="str">
        <f ca="1">IFERROR(__xludf.DUMMYFUNCTION("""COMPUTED_VALUE"""),"Electronic Box Assy")</f>
        <v>Electronic Box Assy</v>
      </c>
      <c r="I234" t="str">
        <f ca="1">IFERROR(__xludf.DUMMYFUNCTION("""COMPUTED_VALUE"""),"Power Switch Assy")</f>
        <v>Power Switch Assy</v>
      </c>
      <c r="J234">
        <f ca="1">IFERROR(__xludf.DUMMYFUNCTION("""COMPUTED_VALUE"""),0)</f>
        <v>0</v>
      </c>
      <c r="K234" t="str">
        <f ca="1">IFERROR(__xludf.DUMMYFUNCTION("""COMPUTED_VALUE"""),"blank")</f>
        <v>blank</v>
      </c>
      <c r="L234">
        <f t="shared" ca="1" si="0"/>
        <v>0</v>
      </c>
      <c r="Q234" t="str">
        <f>IF(N234="","",SUMIFS(Issue!$D$3:$D1001,Issue!$C$3:$C1001,N234))</f>
        <v/>
      </c>
      <c r="S234" t="str">
        <f ca="1">IFERROR(__xludf.DUMMYFUNCTION("""COMPUTED_VALUE"""),"Silicon RTV 732")</f>
        <v>Silicon RTV 732</v>
      </c>
      <c r="X234" t="e">
        <f ca="1"/>
        <v>#NAME?</v>
      </c>
      <c r="Y234" t="e">
        <f t="shared" ca="1" si="1"/>
        <v>#NAME?</v>
      </c>
      <c r="Z234" t="e">
        <f ca="1">IF(X234="","",SUMIFS(#REF!,RM!$C$4:$C991,X234))</f>
        <v>#NAME?</v>
      </c>
      <c r="AA234" t="e">
        <f ca="1">IF(X234="","",SUMIFS(#REF!,RM!$C$4:$C991,X234))</f>
        <v>#NAME?</v>
      </c>
      <c r="AB234" t="e">
        <f t="shared" ca="1" si="2"/>
        <v>#NAME?</v>
      </c>
      <c r="AC234" t="e">
        <f ca="1">IF(X234="","",VLOOKUP($X234,RM!$C$4:$G991,3,FALSE))</f>
        <v>#NAME?</v>
      </c>
      <c r="AD234" t="e">
        <f ca="1">IF(X234="","",VLOOKUP($X234,RM!$C$4:$G991,4,FALSE))</f>
        <v>#NAME?</v>
      </c>
      <c r="AE234" t="e">
        <f ca="1">IF(X234="","",VLOOKUP($X234,RM!$C$4:$G991,5,FALSE))</f>
        <v>#NAME?</v>
      </c>
      <c r="AG234" t="str">
        <f ca="1">IFERROR(__xludf.DUMMYFUNCTION("""COMPUTED_VALUE"""),"A21 MotherBoard Assy")</f>
        <v>A21 MotherBoard Assy</v>
      </c>
      <c r="AH234" t="str">
        <f ca="1">IFERROR(__xludf.DUMMYFUNCTION("""COMPUTED_VALUE"""),"Male Bergstrip 40x1 2.54mm")</f>
        <v>Male Bergstrip 40x1 2.54mm</v>
      </c>
      <c r="AI234">
        <f ca="1">IFERROR(__xludf.DUMMYFUNCTION("""COMPUTED_VALUE"""),1)</f>
        <v>1</v>
      </c>
      <c r="AK234" t="e">
        <f ca="1">_xludf.IFNA(VLOOKUP(AG234,'S-FG'!$B$3:$B1001,1,FALSE),"")</f>
        <v>#NAME?</v>
      </c>
      <c r="AL234" t="e">
        <f ca="1">IF(AH234="","",SUMIFS(#REF!,RM!$C$4:$C991,AH234))</f>
        <v>#REF!</v>
      </c>
    </row>
    <row r="235" spans="5:38">
      <c r="E235" t="str">
        <f>IF(A235="","",SUMIFS(Issue!$D$3:$D1001,Issue!$C$3:$C1001,A235)*C235)</f>
        <v/>
      </c>
      <c r="F235" t="e">
        <f ca="1">_xludf.IFNA(VLOOKUP(B235,'S-FG'!$B$3:$B1001,1,FALSE),"")</f>
        <v>#NAME?</v>
      </c>
      <c r="H235" t="str">
        <f ca="1">IFERROR(__xludf.DUMMYFUNCTION("""COMPUTED_VALUE"""),"Electronic Box Assy")</f>
        <v>Electronic Box Assy</v>
      </c>
      <c r="I235" t="str">
        <f ca="1">IFERROR(__xludf.DUMMYFUNCTION("""COMPUTED_VALUE"""),"M4x20 CSK Phillips")</f>
        <v>M4x20 CSK Phillips</v>
      </c>
      <c r="J235">
        <f ca="1">IFERROR(__xludf.DUMMYFUNCTION("""COMPUTED_VALUE"""),4)</f>
        <v>4</v>
      </c>
      <c r="K235" t="str">
        <f ca="1">IFERROR(__xludf.DUMMYFUNCTION("""COMPUTED_VALUE"""),"blank")</f>
        <v>blank</v>
      </c>
      <c r="L235">
        <f t="shared" ca="1" si="0"/>
        <v>0</v>
      </c>
      <c r="Q235" t="str">
        <f>IF(N235="","",SUMIFS(Issue!$D$3:$D1001,Issue!$C$3:$C1001,N235))</f>
        <v/>
      </c>
      <c r="S235" t="str">
        <f ca="1">IFERROR(__xludf.DUMMYFUNCTION("""COMPUTED_VALUE"""),"Power Switch Assy")</f>
        <v>Power Switch Assy</v>
      </c>
      <c r="X235" t="e">
        <f ca="1"/>
        <v>#NAME?</v>
      </c>
      <c r="Y235" t="e">
        <f t="shared" ca="1" si="1"/>
        <v>#NAME?</v>
      </c>
      <c r="Z235" t="e">
        <f ca="1">IF(X235="","",SUMIFS(#REF!,RM!$C$4:$C991,X235))</f>
        <v>#NAME?</v>
      </c>
      <c r="AA235" t="e">
        <f ca="1">IF(X235="","",SUMIFS(#REF!,RM!$C$4:$C991,X235))</f>
        <v>#NAME?</v>
      </c>
      <c r="AB235" t="e">
        <f t="shared" ca="1" si="2"/>
        <v>#NAME?</v>
      </c>
      <c r="AC235" t="e">
        <f ca="1">IF(X235="","",VLOOKUP($X235,RM!$C$4:$G991,3,FALSE))</f>
        <v>#NAME?</v>
      </c>
      <c r="AD235" t="e">
        <f ca="1">IF(X235="","",VLOOKUP($X235,RM!$C$4:$G991,4,FALSE))</f>
        <v>#NAME?</v>
      </c>
      <c r="AE235" t="e">
        <f ca="1">IF(X235="","",VLOOKUP($X235,RM!$C$4:$G991,5,FALSE))</f>
        <v>#NAME?</v>
      </c>
      <c r="AG235" t="str">
        <f ca="1">IFERROR(__xludf.DUMMYFUNCTION("""COMPUTED_VALUE"""),"A21 MotherBoard Assy")</f>
        <v>A21 MotherBoard Assy</v>
      </c>
      <c r="AH235" t="str">
        <f ca="1">IFERROR(__xludf.DUMMYFUNCTION("""COMPUTED_VALUE"""),"Conformal Coating")</f>
        <v>Conformal Coating</v>
      </c>
      <c r="AI235">
        <f ca="1">IFERROR(__xludf.DUMMYFUNCTION("""COMPUTED_VALUE"""),20)</f>
        <v>20</v>
      </c>
      <c r="AK235" t="e">
        <f ca="1">_xludf.IFNA(VLOOKUP(AG235,'S-FG'!$B$3:$B1001,1,FALSE),"")</f>
        <v>#NAME?</v>
      </c>
      <c r="AL235" t="e">
        <f ca="1">IF(AH235="","",SUMIFS(#REF!,RM!$C$4:$C991,AH235))</f>
        <v>#REF!</v>
      </c>
    </row>
    <row r="236" spans="5:38">
      <c r="E236" t="str">
        <f>IF(A236="","",SUMIFS(Issue!$D$3:$D1001,Issue!$C$3:$C1001,A236)*C236)</f>
        <v/>
      </c>
      <c r="F236" t="e">
        <f ca="1">_xludf.IFNA(VLOOKUP(B236,'S-FG'!$B$3:$B1001,1,FALSE),"")</f>
        <v>#NAME?</v>
      </c>
      <c r="H236" t="str">
        <f ca="1">IFERROR(__xludf.DUMMYFUNCTION("""COMPUTED_VALUE"""),"Electronic Box Assy")</f>
        <v>Electronic Box Assy</v>
      </c>
      <c r="I236" t="str">
        <f ca="1">IFERROR(__xludf.DUMMYFUNCTION("""COMPUTED_VALUE"""),"STBD Signal PM Assy")</f>
        <v>STBD Signal PM Assy</v>
      </c>
      <c r="J236">
        <f ca="1">IFERROR(__xludf.DUMMYFUNCTION("""COMPUTED_VALUE"""),0)</f>
        <v>0</v>
      </c>
      <c r="K236" t="str">
        <f ca="1">IFERROR(__xludf.DUMMYFUNCTION("""COMPUTED_VALUE"""),"blank")</f>
        <v>blank</v>
      </c>
      <c r="L236">
        <f t="shared" ca="1" si="0"/>
        <v>0</v>
      </c>
      <c r="Q236" t="str">
        <f>IF(N236="","",SUMIFS(Issue!$D$3:$D1001,Issue!$C$3:$C1001,N236))</f>
        <v/>
      </c>
      <c r="S236" t="str">
        <f ca="1">IFERROR(__xludf.DUMMYFUNCTION("""COMPUTED_VALUE"""),"M4x20 CSK Phillips")</f>
        <v>M4x20 CSK Phillips</v>
      </c>
      <c r="X236" t="e">
        <f ca="1"/>
        <v>#NAME?</v>
      </c>
      <c r="Y236" t="e">
        <f t="shared" ca="1" si="1"/>
        <v>#NAME?</v>
      </c>
      <c r="Z236" t="e">
        <f ca="1">IF(X236="","",SUMIFS(#REF!,RM!$C$4:$C991,X236))</f>
        <v>#NAME?</v>
      </c>
      <c r="AA236" t="e">
        <f ca="1">IF(X236="","",SUMIFS(#REF!,RM!$C$4:$C991,X236))</f>
        <v>#NAME?</v>
      </c>
      <c r="AB236" t="e">
        <f t="shared" ca="1" si="2"/>
        <v>#NAME?</v>
      </c>
      <c r="AC236" t="e">
        <f ca="1">IF(X236="","",VLOOKUP($X236,RM!$C$4:$G991,3,FALSE))</f>
        <v>#NAME?</v>
      </c>
      <c r="AD236" t="e">
        <f ca="1">IF(X236="","",VLOOKUP($X236,RM!$C$4:$G991,4,FALSE))</f>
        <v>#NAME?</v>
      </c>
      <c r="AE236" t="e">
        <f ca="1">IF(X236="","",VLOOKUP($X236,RM!$C$4:$G991,5,FALSE))</f>
        <v>#NAME?</v>
      </c>
      <c r="AG236" t="str">
        <f ca="1">IFERROR(__xludf.DUMMYFUNCTION("""COMPUTED_VALUE"""),"A21 MotherBoard Assy")</f>
        <v>A21 MotherBoard Assy</v>
      </c>
      <c r="AH236" t="str">
        <f ca="1">IFERROR(__xludf.DUMMYFUNCTION("""COMPUTED_VALUE"""),"Soldering flux")</f>
        <v>Soldering flux</v>
      </c>
      <c r="AI236">
        <f ca="1">IFERROR(__xludf.DUMMYFUNCTION("""COMPUTED_VALUE"""),5)</f>
        <v>5</v>
      </c>
      <c r="AK236" t="e">
        <f ca="1">_xludf.IFNA(VLOOKUP(AG236,'S-FG'!$B$3:$B1001,1,FALSE),"")</f>
        <v>#NAME?</v>
      </c>
      <c r="AL236" t="e">
        <f ca="1">IF(AH236="","",SUMIFS(#REF!,RM!$C$4:$C991,AH236))</f>
        <v>#REF!</v>
      </c>
    </row>
    <row r="237" spans="5:38">
      <c r="E237" t="str">
        <f>IF(A237="","",SUMIFS(Issue!$D$3:$D1001,Issue!$C$3:$C1001,A237)*C237)</f>
        <v/>
      </c>
      <c r="F237" t="e">
        <f ca="1">_xludf.IFNA(VLOOKUP(B237,'S-FG'!$B$3:$B1001,1,FALSE),"")</f>
        <v>#NAME?</v>
      </c>
      <c r="H237" t="str">
        <f ca="1">IFERROR(__xludf.DUMMYFUNCTION("""COMPUTED_VALUE"""),"Electronic Box Assy")</f>
        <v>Electronic Box Assy</v>
      </c>
      <c r="I237" t="str">
        <f ca="1">IFERROR(__xludf.DUMMYFUNCTION("""COMPUTED_VALUE"""),"PORT Signal PM Assy")</f>
        <v>PORT Signal PM Assy</v>
      </c>
      <c r="J237">
        <f ca="1">IFERROR(__xludf.DUMMYFUNCTION("""COMPUTED_VALUE"""),0)</f>
        <v>0</v>
      </c>
      <c r="K237" t="str">
        <f ca="1">IFERROR(__xludf.DUMMYFUNCTION("""COMPUTED_VALUE"""),"blank")</f>
        <v>blank</v>
      </c>
      <c r="L237">
        <f t="shared" ca="1" si="0"/>
        <v>0</v>
      </c>
      <c r="Q237" t="str">
        <f>IF(N237="","",SUMIFS(Issue!$D$3:$D1001,Issue!$C$3:$C1001,N237))</f>
        <v/>
      </c>
      <c r="S237" t="str">
        <f ca="1">IFERROR(__xludf.DUMMYFUNCTION("""COMPUTED_VALUE"""),"STBD Signal PM Assy")</f>
        <v>STBD Signal PM Assy</v>
      </c>
      <c r="X237" t="e">
        <f ca="1"/>
        <v>#NAME?</v>
      </c>
      <c r="Y237" t="e">
        <f t="shared" ca="1" si="1"/>
        <v>#NAME?</v>
      </c>
      <c r="Z237" t="e">
        <f ca="1">IF(X237="","",SUMIFS(#REF!,RM!$C$4:$C991,X237))</f>
        <v>#NAME?</v>
      </c>
      <c r="AA237" t="e">
        <f ca="1">IF(X237="","",SUMIFS(#REF!,RM!$C$4:$C991,X237))</f>
        <v>#NAME?</v>
      </c>
      <c r="AB237" t="e">
        <f t="shared" ca="1" si="2"/>
        <v>#NAME?</v>
      </c>
      <c r="AC237" t="e">
        <f ca="1">IF(X237="","",VLOOKUP($X237,RM!$C$4:$G991,3,FALSE))</f>
        <v>#NAME?</v>
      </c>
      <c r="AD237" t="e">
        <f ca="1">IF(X237="","",VLOOKUP($X237,RM!$C$4:$G991,4,FALSE))</f>
        <v>#NAME?</v>
      </c>
      <c r="AE237" t="e">
        <f ca="1">IF(X237="","",VLOOKUP($X237,RM!$C$4:$G991,5,FALSE))</f>
        <v>#NAME?</v>
      </c>
      <c r="AG237" t="str">
        <f ca="1">IFERROR(__xludf.DUMMYFUNCTION("""COMPUTED_VALUE"""),"A21 MotherBoard Assy")</f>
        <v>A21 MotherBoard Assy</v>
      </c>
      <c r="AH237" t="str">
        <f ca="1">IFERROR(__xludf.DUMMYFUNCTION("""COMPUTED_VALUE"""),"2 pin JST-XH male top entry")</f>
        <v>2 pin JST-XH male top entry</v>
      </c>
      <c r="AI237">
        <f ca="1">IFERROR(__xludf.DUMMYFUNCTION("""COMPUTED_VALUE"""),3)</f>
        <v>3</v>
      </c>
      <c r="AJ237" t="str">
        <f ca="1">IFERROR(__xludf.DUMMYFUNCTION("""COMPUTED_VALUE"""),"blank")</f>
        <v>blank</v>
      </c>
      <c r="AK237" t="e">
        <f ca="1">_xludf.IFNA(VLOOKUP(AG237,'S-FG'!$B$3:$B1001,1,FALSE),"")</f>
        <v>#NAME?</v>
      </c>
      <c r="AL237" t="e">
        <f ca="1">IF(AH237="","",SUMIFS(#REF!,RM!$C$4:$C991,AH237))</f>
        <v>#REF!</v>
      </c>
    </row>
    <row r="238" spans="5:38">
      <c r="E238" t="str">
        <f>IF(A238="","",SUMIFS(Issue!$D$3:$D1001,Issue!$C$3:$C1001,A238)*C238)</f>
        <v/>
      </c>
      <c r="F238" t="e">
        <f ca="1">_xludf.IFNA(VLOOKUP(B238,'S-FG'!$B$3:$B1001,1,FALSE),"")</f>
        <v>#NAME?</v>
      </c>
      <c r="H238" t="str">
        <f ca="1">IFERROR(__xludf.DUMMYFUNCTION("""COMPUTED_VALUE"""),"Electronic Box Assy")</f>
        <v>Electronic Box Assy</v>
      </c>
      <c r="I238" t="str">
        <f ca="1">IFERROR(__xludf.DUMMYFUNCTION("""COMPUTED_VALUE"""),"Current Sensor Assy")</f>
        <v>Current Sensor Assy</v>
      </c>
      <c r="J238">
        <f ca="1">IFERROR(__xludf.DUMMYFUNCTION("""COMPUTED_VALUE"""),0)</f>
        <v>0</v>
      </c>
      <c r="K238">
        <f ca="1">IFERROR(__xludf.DUMMYFUNCTION("""COMPUTED_VALUE"""),15)</f>
        <v>15</v>
      </c>
      <c r="L238">
        <f t="shared" ca="1" si="0"/>
        <v>0</v>
      </c>
      <c r="Q238" t="str">
        <f>IF(N238="","",SUMIFS(Issue!$D$3:$D1001,Issue!$C$3:$C1001,N238))</f>
        <v/>
      </c>
      <c r="S238" t="str">
        <f ca="1">IFERROR(__xludf.DUMMYFUNCTION("""COMPUTED_VALUE"""),"PORT Signal PM Assy")</f>
        <v>PORT Signal PM Assy</v>
      </c>
      <c r="X238" t="e">
        <f ca="1"/>
        <v>#NAME?</v>
      </c>
      <c r="Y238" t="e">
        <f t="shared" ca="1" si="1"/>
        <v>#NAME?</v>
      </c>
      <c r="Z238" t="e">
        <f ca="1">IF(X238="","",SUMIFS(#REF!,RM!$C$4:$C991,X238))</f>
        <v>#NAME?</v>
      </c>
      <c r="AA238" t="e">
        <f ca="1">IF(X238="","",SUMIFS(#REF!,RM!$C$4:$C991,X238))</f>
        <v>#NAME?</v>
      </c>
      <c r="AB238" t="e">
        <f t="shared" ca="1" si="2"/>
        <v>#NAME?</v>
      </c>
      <c r="AC238" t="e">
        <f ca="1">IF(X238="","",VLOOKUP($X238,RM!$C$4:$G991,3,FALSE))</f>
        <v>#NAME?</v>
      </c>
      <c r="AD238" t="e">
        <f ca="1">IF(X238="","",VLOOKUP($X238,RM!$C$4:$G991,4,FALSE))</f>
        <v>#NAME?</v>
      </c>
      <c r="AE238" t="e">
        <f ca="1">IF(X238="","",VLOOKUP($X238,RM!$C$4:$G991,5,FALSE))</f>
        <v>#NAME?</v>
      </c>
      <c r="AG238" t="str">
        <f ca="1">IFERROR(__xludf.DUMMYFUNCTION("""COMPUTED_VALUE"""),"A21 MotherBoard Assy")</f>
        <v>A21 MotherBoard Assy</v>
      </c>
      <c r="AH238" t="str">
        <f ca="1">IFERROR(__xludf.DUMMYFUNCTION("""COMPUTED_VALUE"""),"2 pin JST-XH male top entry RED")</f>
        <v>2 pin JST-XH male top entry RED</v>
      </c>
      <c r="AI238">
        <f ca="1">IFERROR(__xludf.DUMMYFUNCTION("""COMPUTED_VALUE"""),1)</f>
        <v>1</v>
      </c>
      <c r="AK238" t="e">
        <f ca="1">_xludf.IFNA(VLOOKUP(AG238,'S-FG'!$B$3:$B1001,1,FALSE),"")</f>
        <v>#NAME?</v>
      </c>
      <c r="AL238" t="e">
        <f ca="1">IF(AH238="","",SUMIFS(#REF!,RM!$C$4:$C991,AH238))</f>
        <v>#REF!</v>
      </c>
    </row>
    <row r="239" spans="5:38">
      <c r="E239" t="str">
        <f>IF(A239="","",SUMIFS(Issue!$D$3:$D1001,Issue!$C$3:$C1001,A239)*C239)</f>
        <v/>
      </c>
      <c r="F239" t="e">
        <f ca="1">_xludf.IFNA(VLOOKUP(B239,'S-FG'!$B$3:$B1001,1,FALSE),"")</f>
        <v>#NAME?</v>
      </c>
      <c r="H239" t="str">
        <f ca="1">IFERROR(__xludf.DUMMYFUNCTION("""COMPUTED_VALUE"""),"Electronic Box Assy")</f>
        <v>Electronic Box Assy</v>
      </c>
      <c r="I239" t="str">
        <f ca="1">IFERROR(__xludf.DUMMYFUNCTION("""COMPUTED_VALUE"""),"A21 MotherBoard Assy")</f>
        <v>A21 MotherBoard Assy</v>
      </c>
      <c r="J239">
        <f ca="1">IFERROR(__xludf.DUMMYFUNCTION("""COMPUTED_VALUE"""),0)</f>
        <v>0</v>
      </c>
      <c r="K239" t="str">
        <f ca="1">IFERROR(__xludf.DUMMYFUNCTION("""COMPUTED_VALUE"""),"blank")</f>
        <v>blank</v>
      </c>
      <c r="L239">
        <f t="shared" ca="1" si="0"/>
        <v>0</v>
      </c>
      <c r="Q239" t="str">
        <f>IF(N239="","",SUMIFS(Issue!$D$3:$D1001,Issue!$C$3:$C1001,N239))</f>
        <v/>
      </c>
      <c r="S239" t="str">
        <f ca="1">IFERROR(__xludf.DUMMYFUNCTION("""COMPUTED_VALUE"""),"Current Sensor Assy")</f>
        <v>Current Sensor Assy</v>
      </c>
      <c r="X239" t="e">
        <f ca="1"/>
        <v>#NAME?</v>
      </c>
      <c r="Y239" t="e">
        <f t="shared" ca="1" si="1"/>
        <v>#NAME?</v>
      </c>
      <c r="Z239" t="e">
        <f ca="1">IF(X239="","",SUMIFS(#REF!,RM!$C$4:$C991,X239))</f>
        <v>#NAME?</v>
      </c>
      <c r="AA239" t="e">
        <f ca="1">IF(X239="","",SUMIFS(#REF!,RM!$C$4:$C991,X239))</f>
        <v>#NAME?</v>
      </c>
      <c r="AB239" t="e">
        <f t="shared" ca="1" si="2"/>
        <v>#NAME?</v>
      </c>
      <c r="AC239" t="e">
        <f ca="1">IF(X239="","",VLOOKUP($X239,RM!$C$4:$G991,3,FALSE))</f>
        <v>#NAME?</v>
      </c>
      <c r="AD239" t="e">
        <f ca="1">IF(X239="","",VLOOKUP($X239,RM!$C$4:$G991,4,FALSE))</f>
        <v>#NAME?</v>
      </c>
      <c r="AE239" t="e">
        <f ca="1">IF(X239="","",VLOOKUP($X239,RM!$C$4:$G991,5,FALSE))</f>
        <v>#NAME?</v>
      </c>
      <c r="AG239" t="str">
        <f ca="1">IFERROR(__xludf.DUMMYFUNCTION("""COMPUTED_VALUE"""),"A21 MotherBoard Assy")</f>
        <v>A21 MotherBoard Assy</v>
      </c>
      <c r="AH239" t="str">
        <f ca="1">IFERROR(__xludf.DUMMYFUNCTION("""COMPUTED_VALUE"""),"13 pin JST-XH male top entry")</f>
        <v>13 pin JST-XH male top entry</v>
      </c>
      <c r="AI239">
        <f ca="1">IFERROR(__xludf.DUMMYFUNCTION("""COMPUTED_VALUE"""),1)</f>
        <v>1</v>
      </c>
      <c r="AJ239" t="str">
        <f ca="1">IFERROR(__xludf.DUMMYFUNCTION("""COMPUTED_VALUE"""),"blank")</f>
        <v>blank</v>
      </c>
      <c r="AK239" t="e">
        <f ca="1">_xludf.IFNA(VLOOKUP(AG239,'S-FG'!$B$3:$B1001,1,FALSE),"")</f>
        <v>#NAME?</v>
      </c>
      <c r="AL239" t="e">
        <f ca="1">IF(AH239="","",SUMIFS(#REF!,RM!$C$4:$C991,AH239))</f>
        <v>#REF!</v>
      </c>
    </row>
    <row r="240" spans="5:38">
      <c r="E240" t="str">
        <f>IF(A240="","",SUMIFS(Issue!$D$3:$D1001,Issue!$C$3:$C1001,A240)*C240)</f>
        <v/>
      </c>
      <c r="F240" t="e">
        <f ca="1">_xludf.IFNA(VLOOKUP(B240,'S-FG'!$B$3:$B1001,1,FALSE),"")</f>
        <v>#NAME?</v>
      </c>
      <c r="H240" t="str">
        <f ca="1">IFERROR(__xludf.DUMMYFUNCTION("""COMPUTED_VALUE"""),"FL_STBD Elec")</f>
        <v>FL_STBD Elec</v>
      </c>
      <c r="I240" t="str">
        <f ca="1">IFERROR(__xludf.DUMMYFUNCTION("""COMPUTED_VALUE"""),"2mm male bullet connector")</f>
        <v>2mm male bullet connector</v>
      </c>
      <c r="J240">
        <f ca="1">IFERROR(__xludf.DUMMYFUNCTION("""COMPUTED_VALUE"""),2)</f>
        <v>2</v>
      </c>
      <c r="K240" t="str">
        <f ca="1">IFERROR(__xludf.DUMMYFUNCTION("""COMPUTED_VALUE"""),"blank")</f>
        <v>blank</v>
      </c>
      <c r="L240">
        <f t="shared" ca="1" si="0"/>
        <v>0</v>
      </c>
      <c r="Q240" t="str">
        <f>IF(N240="","",SUMIFS(Issue!$D$3:$D1001,Issue!$C$3:$C1001,N240))</f>
        <v/>
      </c>
      <c r="S240" t="str">
        <f ca="1">IFERROR(__xludf.DUMMYFUNCTION("""COMPUTED_VALUE"""),"A21 MotherBoard Assy")</f>
        <v>A21 MotherBoard Assy</v>
      </c>
      <c r="X240" t="e">
        <f ca="1"/>
        <v>#NAME?</v>
      </c>
      <c r="Y240" t="e">
        <f t="shared" ca="1" si="1"/>
        <v>#NAME?</v>
      </c>
      <c r="Z240" t="e">
        <f ca="1">IF(X240="","",SUMIFS(#REF!,RM!$C$4:$C991,X240))</f>
        <v>#NAME?</v>
      </c>
      <c r="AA240" t="e">
        <f ca="1">IF(X240="","",SUMIFS(#REF!,RM!$C$4:$C991,X240))</f>
        <v>#NAME?</v>
      </c>
      <c r="AB240" t="e">
        <f t="shared" ca="1" si="2"/>
        <v>#NAME?</v>
      </c>
      <c r="AC240" t="e">
        <f ca="1">IF(X240="","",VLOOKUP($X240,RM!$C$4:$G991,3,FALSE))</f>
        <v>#NAME?</v>
      </c>
      <c r="AD240" t="e">
        <f ca="1">IF(X240="","",VLOOKUP($X240,RM!$C$4:$G991,4,FALSE))</f>
        <v>#NAME?</v>
      </c>
      <c r="AE240" t="e">
        <f ca="1">IF(X240="","",VLOOKUP($X240,RM!$C$4:$G991,5,FALSE))</f>
        <v>#NAME?</v>
      </c>
      <c r="AG240" t="str">
        <f ca="1">IFERROR(__xludf.DUMMYFUNCTION("""COMPUTED_VALUE"""),"A21 MotherBoard Assy")</f>
        <v>A21 MotherBoard Assy</v>
      </c>
      <c r="AH240" t="str">
        <f ca="1">IFERROR(__xludf.DUMMYFUNCTION("""COMPUTED_VALUE"""),"15 pin JST-XH male top entry")</f>
        <v>15 pin JST-XH male top entry</v>
      </c>
      <c r="AI240">
        <f ca="1">IFERROR(__xludf.DUMMYFUNCTION("""COMPUTED_VALUE"""),2)</f>
        <v>2</v>
      </c>
      <c r="AJ240" t="str">
        <f ca="1">IFERROR(__xludf.DUMMYFUNCTION("""COMPUTED_VALUE"""),"blank")</f>
        <v>blank</v>
      </c>
      <c r="AK240" t="e">
        <f ca="1">_xludf.IFNA(VLOOKUP(AG240,'S-FG'!$B$3:$B1001,1,FALSE),"")</f>
        <v>#NAME?</v>
      </c>
      <c r="AL240" t="e">
        <f ca="1">IF(AH240="","",SUMIFS(#REF!,RM!$C$4:$C991,AH240))</f>
        <v>#REF!</v>
      </c>
    </row>
    <row r="241" spans="5:38">
      <c r="E241" t="str">
        <f>IF(A241="","",SUMIFS(Issue!$D$3:$D1001,Issue!$C$3:$C1001,A241)*C241)</f>
        <v/>
      </c>
      <c r="F241" t="e">
        <f ca="1">_xludf.IFNA(VLOOKUP(B241,'S-FG'!$B$3:$B1001,1,FALSE),"")</f>
        <v>#NAME?</v>
      </c>
      <c r="H241" t="str">
        <f ca="1">IFERROR(__xludf.DUMMYFUNCTION("""COMPUTED_VALUE"""),"FL_STBD Elec")</f>
        <v>FL_STBD Elec</v>
      </c>
      <c r="I241" t="str">
        <f ca="1">IFERROR(__xludf.DUMMYFUNCTION("""COMPUTED_VALUE"""),"PWB of STBD flash light")</f>
        <v>PWB of STBD flash light</v>
      </c>
      <c r="J241">
        <f ca="1">IFERROR(__xludf.DUMMYFUNCTION("""COMPUTED_VALUE"""),1)</f>
        <v>1</v>
      </c>
      <c r="K241" t="str">
        <f ca="1">IFERROR(__xludf.DUMMYFUNCTION("""COMPUTED_VALUE"""),"blank")</f>
        <v>blank</v>
      </c>
      <c r="L241">
        <f t="shared" ca="1" si="0"/>
        <v>0</v>
      </c>
      <c r="Q241" t="str">
        <f>IF(N241="","",SUMIFS(Issue!$D$3:$D1001,Issue!$C$3:$C1001,N241))</f>
        <v/>
      </c>
      <c r="S241" t="str">
        <f ca="1">IFERROR(__xludf.DUMMYFUNCTION("""COMPUTED_VALUE"""),"2mm male bullet connector")</f>
        <v>2mm male bullet connector</v>
      </c>
      <c r="X241" t="e">
        <f ca="1"/>
        <v>#NAME?</v>
      </c>
      <c r="Y241" t="e">
        <f t="shared" ca="1" si="1"/>
        <v>#NAME?</v>
      </c>
      <c r="Z241" t="e">
        <f ca="1">IF(X241="","",SUMIFS(#REF!,RM!$C$4:$C991,X241))</f>
        <v>#NAME?</v>
      </c>
      <c r="AA241" t="e">
        <f ca="1">IF(X241="","",SUMIFS(#REF!,RM!$C$4:$C991,X241))</f>
        <v>#NAME?</v>
      </c>
      <c r="AB241" t="e">
        <f t="shared" ca="1" si="2"/>
        <v>#NAME?</v>
      </c>
      <c r="AC241" t="e">
        <f ca="1">IF(X241="","",VLOOKUP($X241,RM!$C$4:$G991,3,FALSE))</f>
        <v>#NAME?</v>
      </c>
      <c r="AD241" t="e">
        <f ca="1">IF(X241="","",VLOOKUP($X241,RM!$C$4:$G991,4,FALSE))</f>
        <v>#NAME?</v>
      </c>
      <c r="AE241" t="e">
        <f ca="1">IF(X241="","",VLOOKUP($X241,RM!$C$4:$G991,5,FALSE))</f>
        <v>#NAME?</v>
      </c>
      <c r="AG241" t="str">
        <f ca="1">IFERROR(__xludf.DUMMYFUNCTION("""COMPUTED_VALUE"""),"A21 MotherBoard Assy")</f>
        <v>A21 MotherBoard Assy</v>
      </c>
      <c r="AH241" t="str">
        <f ca="1">IFERROR(__xludf.DUMMYFUNCTION("""COMPUTED_VALUE"""),"JST-XH Crimping pins")</f>
        <v>JST-XH Crimping pins</v>
      </c>
      <c r="AI241">
        <f ca="1">IFERROR(__xludf.DUMMYFUNCTION("""COMPUTED_VALUE"""),10)</f>
        <v>10</v>
      </c>
      <c r="AK241" t="e">
        <f ca="1">_xludf.IFNA(VLOOKUP(AG241,'S-FG'!$B$3:$B1001,1,FALSE),"")</f>
        <v>#NAME?</v>
      </c>
      <c r="AL241" t="e">
        <f ca="1">IF(AH241="","",SUMIFS(#REF!,RM!$C$4:$C991,AH241))</f>
        <v>#REF!</v>
      </c>
    </row>
    <row r="242" spans="5:38">
      <c r="E242" t="str">
        <f>IF(A242="","",SUMIFS(Issue!$D$3:$D1001,Issue!$C$3:$C1001,A242)*C242)</f>
        <v/>
      </c>
      <c r="F242" t="e">
        <f ca="1">_xludf.IFNA(VLOOKUP(B242,'S-FG'!$B$3:$B1001,1,FALSE),"")</f>
        <v>#NAME?</v>
      </c>
      <c r="H242" t="str">
        <f ca="1">IFERROR(__xludf.DUMMYFUNCTION("""COMPUTED_VALUE"""),"FL_STBD Elec")</f>
        <v>FL_STBD Elec</v>
      </c>
      <c r="I242" t="str">
        <f ca="1">IFERROR(__xludf.DUMMYFUNCTION("""COMPUTED_VALUE"""),"Red 14/38 wire")</f>
        <v>Red 14/38 wire</v>
      </c>
      <c r="J242">
        <f ca="1">IFERROR(__xludf.DUMMYFUNCTION("""COMPUTED_VALUE"""),0.55)</f>
        <v>0.55000000000000004</v>
      </c>
      <c r="L242">
        <f t="shared" ca="1" si="0"/>
        <v>0</v>
      </c>
      <c r="Q242" t="str">
        <f>IF(N242="","",SUMIFS(Issue!$D$3:$D1001,Issue!$C$3:$C1001,N242))</f>
        <v/>
      </c>
      <c r="S242" t="str">
        <f ca="1">IFERROR(__xludf.DUMMYFUNCTION("""COMPUTED_VALUE"""),"PWB of STBD flash light")</f>
        <v>PWB of STBD flash light</v>
      </c>
      <c r="X242" t="e">
        <f ca="1"/>
        <v>#NAME?</v>
      </c>
      <c r="Y242" t="e">
        <f t="shared" ca="1" si="1"/>
        <v>#NAME?</v>
      </c>
      <c r="Z242" t="e">
        <f ca="1">IF(X242="","",SUMIFS(#REF!,RM!$C$4:$C991,X242))</f>
        <v>#NAME?</v>
      </c>
      <c r="AA242" t="e">
        <f ca="1">IF(X242="","",SUMIFS(#REF!,RM!$C$4:$C991,X242))</f>
        <v>#NAME?</v>
      </c>
      <c r="AB242" t="e">
        <f t="shared" ca="1" si="2"/>
        <v>#NAME?</v>
      </c>
      <c r="AC242" t="e">
        <f ca="1">IF(X242="","",VLOOKUP($X242,RM!$C$4:$G991,3,FALSE))</f>
        <v>#NAME?</v>
      </c>
      <c r="AD242" t="e">
        <f ca="1">IF(X242="","",VLOOKUP($X242,RM!$C$4:$G991,4,FALSE))</f>
        <v>#NAME?</v>
      </c>
      <c r="AE242" t="e">
        <f ca="1">IF(X242="","",VLOOKUP($X242,RM!$C$4:$G991,5,FALSE))</f>
        <v>#NAME?</v>
      </c>
      <c r="AG242" t="str">
        <f ca="1">IFERROR(__xludf.DUMMYFUNCTION("""COMPUTED_VALUE"""),"A21 MotherBoard Assy")</f>
        <v>A21 MotherBoard Assy</v>
      </c>
      <c r="AH242" t="str">
        <f ca="1">IFERROR(__xludf.DUMMYFUNCTION("""COMPUTED_VALUE"""),"Fuse 500mA")</f>
        <v>Fuse 500mA</v>
      </c>
      <c r="AI242">
        <f ca="1">IFERROR(__xludf.DUMMYFUNCTION("""COMPUTED_VALUE"""),1)</f>
        <v>1</v>
      </c>
      <c r="AK242" t="e">
        <f ca="1">_xludf.IFNA(VLOOKUP(AG242,'S-FG'!$B$3:$B1001,1,FALSE),"")</f>
        <v>#NAME?</v>
      </c>
      <c r="AL242" t="e">
        <f ca="1">IF(AH242="","",SUMIFS(#REF!,RM!$C$4:$C991,AH242))</f>
        <v>#REF!</v>
      </c>
    </row>
    <row r="243" spans="5:38">
      <c r="E243" t="str">
        <f>IF(A243="","",SUMIFS(Issue!$D$3:$D1001,Issue!$C$3:$C1001,A243)*C243)</f>
        <v/>
      </c>
      <c r="F243" t="e">
        <f ca="1">_xludf.IFNA(VLOOKUP(B243,'S-FG'!$B$3:$B1001,1,FALSE),"")</f>
        <v>#NAME?</v>
      </c>
      <c r="H243" t="str">
        <f ca="1">IFERROR(__xludf.DUMMYFUNCTION("""COMPUTED_VALUE"""),"FL_STBD Elec")</f>
        <v>FL_STBD Elec</v>
      </c>
      <c r="I243" t="str">
        <f ca="1">IFERROR(__xludf.DUMMYFUNCTION("""COMPUTED_VALUE"""),"Black 14/38 Wire")</f>
        <v>Black 14/38 Wire</v>
      </c>
      <c r="J243">
        <f ca="1">IFERROR(__xludf.DUMMYFUNCTION("""COMPUTED_VALUE"""),0.35)</f>
        <v>0.35</v>
      </c>
      <c r="L243">
        <f t="shared" ca="1" si="0"/>
        <v>0</v>
      </c>
      <c r="Q243" t="str">
        <f>IF(N243="","",SUMIFS(Issue!$D$3:$D1001,Issue!$C$3:$C1001,N243))</f>
        <v/>
      </c>
      <c r="S243" t="str">
        <f ca="1">IFERROR(__xludf.DUMMYFUNCTION("""COMPUTED_VALUE"""),"Red 14/38 wire")</f>
        <v>Red 14/38 wire</v>
      </c>
      <c r="X243" t="e">
        <f ca="1"/>
        <v>#NAME?</v>
      </c>
      <c r="Y243" t="e">
        <f t="shared" ca="1" si="1"/>
        <v>#NAME?</v>
      </c>
      <c r="Z243" t="e">
        <f ca="1">IF(X243="","",SUMIFS(#REF!,RM!$C$4:$C991,X243))</f>
        <v>#NAME?</v>
      </c>
      <c r="AA243" t="e">
        <f ca="1">IF(X243="","",SUMIFS(#REF!,RM!$C$4:$C991,X243))</f>
        <v>#NAME?</v>
      </c>
      <c r="AB243" t="e">
        <f t="shared" ca="1" si="2"/>
        <v>#NAME?</v>
      </c>
      <c r="AC243" t="e">
        <f ca="1">IF(X243="","",VLOOKUP($X243,RM!$C$4:$G991,3,FALSE))</f>
        <v>#NAME?</v>
      </c>
      <c r="AD243" t="e">
        <f ca="1">IF(X243="","",VLOOKUP($X243,RM!$C$4:$G991,4,FALSE))</f>
        <v>#NAME?</v>
      </c>
      <c r="AE243" t="e">
        <f ca="1">IF(X243="","",VLOOKUP($X243,RM!$C$4:$G991,5,FALSE))</f>
        <v>#NAME?</v>
      </c>
      <c r="AG243" t="str">
        <f ca="1">IFERROR(__xludf.DUMMYFUNCTION("""COMPUTED_VALUE"""),"A21 MotherBoard Assy")</f>
        <v>A21 MotherBoard Assy</v>
      </c>
      <c r="AH243" t="str">
        <f ca="1">IFERROR(__xludf.DUMMYFUNCTION("""COMPUTED_VALUE"""),"MCP3208")</f>
        <v>MCP3208</v>
      </c>
      <c r="AI243">
        <f ca="1">IFERROR(__xludf.DUMMYFUNCTION("""COMPUTED_VALUE"""),2)</f>
        <v>2</v>
      </c>
      <c r="AJ243" t="str">
        <f ca="1">IFERROR(__xludf.DUMMYFUNCTION("""COMPUTED_VALUE"""),"blank")</f>
        <v>blank</v>
      </c>
      <c r="AK243" t="e">
        <f ca="1">_xludf.IFNA(VLOOKUP(AG243,'S-FG'!$B$3:$B1001,1,FALSE),"")</f>
        <v>#NAME?</v>
      </c>
      <c r="AL243" t="e">
        <f ca="1">IF(AH243="","",SUMIFS(#REF!,RM!$C$4:$C991,AH243))</f>
        <v>#REF!</v>
      </c>
    </row>
    <row r="244" spans="5:38">
      <c r="E244" t="str">
        <f>IF(A244="","",SUMIFS(Issue!$D$3:$D1001,Issue!$C$3:$C1001,A244)*C244)</f>
        <v/>
      </c>
      <c r="F244" t="e">
        <f ca="1">_xludf.IFNA(VLOOKUP(B244,'S-FG'!$B$3:$B1001,1,FALSE),"")</f>
        <v>#NAME?</v>
      </c>
      <c r="H244" t="str">
        <f ca="1">IFERROR(__xludf.DUMMYFUNCTION("""COMPUTED_VALUE"""),"FL_STBD Elec")</f>
        <v>FL_STBD Elec</v>
      </c>
      <c r="I244" t="str">
        <f ca="1">IFERROR(__xludf.DUMMYFUNCTION("""COMPUTED_VALUE"""),"Green 2835 SMD LED 1W")</f>
        <v>Green 2835 SMD LED 1W</v>
      </c>
      <c r="J244">
        <f ca="1">IFERROR(__xludf.DUMMYFUNCTION("""COMPUTED_VALUE"""),4)</f>
        <v>4</v>
      </c>
      <c r="K244" t="str">
        <f ca="1">IFERROR(__xludf.DUMMYFUNCTION("""COMPUTED_VALUE"""),"blank")</f>
        <v>blank</v>
      </c>
      <c r="L244">
        <f t="shared" ca="1" si="0"/>
        <v>0</v>
      </c>
      <c r="Q244" t="str">
        <f>IF(N244="","",SUMIFS(Issue!$D$3:$D1001,Issue!$C$3:$C1001,N244))</f>
        <v/>
      </c>
      <c r="S244" t="str">
        <f ca="1">IFERROR(__xludf.DUMMYFUNCTION("""COMPUTED_VALUE"""),"Black 14/38 Wire")</f>
        <v>Black 14/38 Wire</v>
      </c>
      <c r="X244" t="e">
        <f ca="1"/>
        <v>#NAME?</v>
      </c>
      <c r="Y244" t="e">
        <f t="shared" ca="1" si="1"/>
        <v>#NAME?</v>
      </c>
      <c r="Z244" t="e">
        <f ca="1">IF(X244="","",SUMIFS(#REF!,RM!$C$4:$C991,X244))</f>
        <v>#NAME?</v>
      </c>
      <c r="AA244" t="e">
        <f ca="1">IF(X244="","",SUMIFS(#REF!,RM!$C$4:$C991,X244))</f>
        <v>#NAME?</v>
      </c>
      <c r="AB244" t="e">
        <f t="shared" ca="1" si="2"/>
        <v>#NAME?</v>
      </c>
      <c r="AC244" t="e">
        <f ca="1">IF(X244="","",VLOOKUP($X244,RM!$C$4:$G991,3,FALSE))</f>
        <v>#NAME?</v>
      </c>
      <c r="AD244" t="e">
        <f ca="1">IF(X244="","",VLOOKUP($X244,RM!$C$4:$G991,4,FALSE))</f>
        <v>#NAME?</v>
      </c>
      <c r="AE244" t="e">
        <f ca="1">IF(X244="","",VLOOKUP($X244,RM!$C$4:$G991,5,FALSE))</f>
        <v>#NAME?</v>
      </c>
      <c r="AG244" t="str">
        <f ca="1">IFERROR(__xludf.DUMMYFUNCTION("""COMPUTED_VALUE"""),"A21 MotherBoard Assy")</f>
        <v>A21 MotherBoard Assy</v>
      </c>
      <c r="AH244" t="str">
        <f ca="1">IFERROR(__xludf.DUMMYFUNCTION("""COMPUTED_VALUE"""),"23A 24v Power relay")</f>
        <v>23A 24v Power relay</v>
      </c>
      <c r="AI244">
        <f ca="1">IFERROR(__xludf.DUMMYFUNCTION("""COMPUTED_VALUE"""),1)</f>
        <v>1</v>
      </c>
      <c r="AJ244" t="str">
        <f ca="1">IFERROR(__xludf.DUMMYFUNCTION("""COMPUTED_VALUE"""),"blank")</f>
        <v>blank</v>
      </c>
      <c r="AK244" t="e">
        <f ca="1">_xludf.IFNA(VLOOKUP(AG244,'S-FG'!$B$3:$B1001,1,FALSE),"")</f>
        <v>#NAME?</v>
      </c>
      <c r="AL244" t="e">
        <f ca="1">IF(AH244="","",SUMIFS(#REF!,RM!$C$4:$C991,AH244))</f>
        <v>#REF!</v>
      </c>
    </row>
    <row r="245" spans="5:38">
      <c r="E245" t="str">
        <f>IF(A245="","",SUMIFS(Issue!$D$3:$D1001,Issue!$C$3:$C1001,A245)*C245)</f>
        <v/>
      </c>
      <c r="F245" t="e">
        <f ca="1">_xludf.IFNA(VLOOKUP(B245,'S-FG'!$B$3:$B1001,1,FALSE),"")</f>
        <v>#NAME?</v>
      </c>
      <c r="H245" t="str">
        <f ca="1">IFERROR(__xludf.DUMMYFUNCTION("""COMPUTED_VALUE"""),"FL_PORT Elec")</f>
        <v>FL_PORT Elec</v>
      </c>
      <c r="I245" t="str">
        <f ca="1">IFERROR(__xludf.DUMMYFUNCTION("""COMPUTED_VALUE"""),"2mm male bullet connector")</f>
        <v>2mm male bullet connector</v>
      </c>
      <c r="J245">
        <f ca="1">IFERROR(__xludf.DUMMYFUNCTION("""COMPUTED_VALUE"""),1)</f>
        <v>1</v>
      </c>
      <c r="K245" t="str">
        <f ca="1">IFERROR(__xludf.DUMMYFUNCTION("""COMPUTED_VALUE"""),"blank")</f>
        <v>blank</v>
      </c>
      <c r="L245">
        <f t="shared" ca="1" si="0"/>
        <v>0</v>
      </c>
      <c r="Q245" t="str">
        <f>IF(N245="","",SUMIFS(Issue!$D$3:$D1001,Issue!$C$3:$C1001,N245))</f>
        <v/>
      </c>
      <c r="S245" t="str">
        <f ca="1">IFERROR(__xludf.DUMMYFUNCTION("""COMPUTED_VALUE"""),"Green 2835 SMD LED 1W")</f>
        <v>Green 2835 SMD LED 1W</v>
      </c>
      <c r="X245" t="e">
        <f ca="1"/>
        <v>#NAME?</v>
      </c>
      <c r="Y245" t="e">
        <f t="shared" ca="1" si="1"/>
        <v>#NAME?</v>
      </c>
      <c r="Z245" t="e">
        <f ca="1">IF(X245="","",SUMIFS(#REF!,RM!$C$4:$C991,X245))</f>
        <v>#NAME?</v>
      </c>
      <c r="AA245" t="e">
        <f ca="1">IF(X245="","",SUMIFS(#REF!,RM!$C$4:$C991,X245))</f>
        <v>#NAME?</v>
      </c>
      <c r="AB245" t="e">
        <f t="shared" ca="1" si="2"/>
        <v>#NAME?</v>
      </c>
      <c r="AC245" t="e">
        <f ca="1">IF(X245="","",VLOOKUP($X245,RM!$C$4:$G991,3,FALSE))</f>
        <v>#NAME?</v>
      </c>
      <c r="AD245" t="e">
        <f ca="1">IF(X245="","",VLOOKUP($X245,RM!$C$4:$G991,4,FALSE))</f>
        <v>#NAME?</v>
      </c>
      <c r="AE245" t="e">
        <f ca="1">IF(X245="","",VLOOKUP($X245,RM!$C$4:$G991,5,FALSE))</f>
        <v>#NAME?</v>
      </c>
      <c r="AG245" t="str">
        <f ca="1">IFERROR(__xludf.DUMMYFUNCTION("""COMPUTED_VALUE"""),"A21 MotherBoard Assy")</f>
        <v>A21 MotherBoard Assy</v>
      </c>
      <c r="AH245" t="str">
        <f ca="1">IFERROR(__xludf.DUMMYFUNCTION("""COMPUTED_VALUE"""),"470k 0805 PANASONIC")</f>
        <v>470k 0805 PANASONIC</v>
      </c>
      <c r="AI245">
        <f ca="1">IFERROR(__xludf.DUMMYFUNCTION("""COMPUTED_VALUE"""),12)</f>
        <v>12</v>
      </c>
      <c r="AJ245" t="str">
        <f ca="1">IFERROR(__xludf.DUMMYFUNCTION("""COMPUTED_VALUE"""),"ERJUP6F4703V")</f>
        <v>ERJUP6F4703V</v>
      </c>
      <c r="AK245" t="e">
        <f ca="1">_xludf.IFNA(VLOOKUP(AG245,'S-FG'!$B$3:$B1001,1,FALSE),"")</f>
        <v>#NAME?</v>
      </c>
      <c r="AL245" t="e">
        <f ca="1">IF(AH245="","",SUMIFS(#REF!,RM!$C$4:$C991,AH245))</f>
        <v>#REF!</v>
      </c>
    </row>
    <row r="246" spans="5:38">
      <c r="E246" t="str">
        <f>IF(A246="","",SUMIFS(Issue!$D$3:$D1001,Issue!$C$3:$C1001,A246)*C246)</f>
        <v/>
      </c>
      <c r="F246" t="e">
        <f ca="1">_xludf.IFNA(VLOOKUP(B246,'S-FG'!$B$3:$B1001,1,FALSE),"")</f>
        <v>#NAME?</v>
      </c>
      <c r="H246" t="str">
        <f ca="1">IFERROR(__xludf.DUMMYFUNCTION("""COMPUTED_VALUE"""),"FL_PORT Elec")</f>
        <v>FL_PORT Elec</v>
      </c>
      <c r="I246" t="str">
        <f ca="1">IFERROR(__xludf.DUMMYFUNCTION("""COMPUTED_VALUE"""),"2mm Female Bullet connector")</f>
        <v>2mm Female Bullet connector</v>
      </c>
      <c r="J246">
        <f ca="1">IFERROR(__xludf.DUMMYFUNCTION("""COMPUTED_VALUE"""),1)</f>
        <v>1</v>
      </c>
      <c r="K246" t="str">
        <f ca="1">IFERROR(__xludf.DUMMYFUNCTION("""COMPUTED_VALUE"""),"blank")</f>
        <v>blank</v>
      </c>
      <c r="L246">
        <f t="shared" ca="1" si="0"/>
        <v>0</v>
      </c>
      <c r="Q246" t="str">
        <f>IF(N246="","",SUMIFS(Issue!$D$3:$D1001,Issue!$C$3:$C1001,N246))</f>
        <v/>
      </c>
      <c r="S246" t="str">
        <f ca="1">IFERROR(__xludf.DUMMYFUNCTION("""COMPUTED_VALUE"""),"2mm male bullet connector")</f>
        <v>2mm male bullet connector</v>
      </c>
      <c r="X246" t="e">
        <f ca="1"/>
        <v>#NAME?</v>
      </c>
      <c r="Y246" t="e">
        <f t="shared" ca="1" si="1"/>
        <v>#NAME?</v>
      </c>
      <c r="Z246" t="e">
        <f ca="1">IF(X246="","",SUMIFS(#REF!,RM!$C$4:$C991,X246))</f>
        <v>#NAME?</v>
      </c>
      <c r="AA246" t="e">
        <f ca="1">IF(X246="","",SUMIFS(#REF!,RM!$C$4:$C991,X246))</f>
        <v>#NAME?</v>
      </c>
      <c r="AB246" t="e">
        <f t="shared" ca="1" si="2"/>
        <v>#NAME?</v>
      </c>
      <c r="AC246" t="e">
        <f ca="1">IF(X246="","",VLOOKUP($X246,RM!$C$4:$G991,3,FALSE))</f>
        <v>#NAME?</v>
      </c>
      <c r="AD246" t="e">
        <f ca="1">IF(X246="","",VLOOKUP($X246,RM!$C$4:$G991,4,FALSE))</f>
        <v>#NAME?</v>
      </c>
      <c r="AE246" t="e">
        <f ca="1">IF(X246="","",VLOOKUP($X246,RM!$C$4:$G991,5,FALSE))</f>
        <v>#NAME?</v>
      </c>
      <c r="AG246" t="str">
        <f ca="1">IFERROR(__xludf.DUMMYFUNCTION("""COMPUTED_VALUE"""),"A21 MotherBoard Assy")</f>
        <v>A21 MotherBoard Assy</v>
      </c>
      <c r="AH246" t="str">
        <f ca="1">IFERROR(__xludf.DUMMYFUNCTION("""COMPUTED_VALUE"""),"20k 0805 resistor PANASONIC")</f>
        <v>20k 0805 resistor PANASONIC</v>
      </c>
      <c r="AI246">
        <f ca="1">IFERROR(__xludf.DUMMYFUNCTION("""COMPUTED_VALUE"""),12)</f>
        <v>12</v>
      </c>
      <c r="AJ246" t="str">
        <f ca="1">IFERROR(__xludf.DUMMYFUNCTION("""COMPUTED_VALUE"""),"blank")</f>
        <v>blank</v>
      </c>
      <c r="AK246" t="e">
        <f ca="1">_xludf.IFNA(VLOOKUP(AG246,'S-FG'!$B$3:$B1001,1,FALSE),"")</f>
        <v>#NAME?</v>
      </c>
      <c r="AL246" t="e">
        <f ca="1">IF(AH246="","",SUMIFS(#REF!,RM!$C$4:$C991,AH246))</f>
        <v>#REF!</v>
      </c>
    </row>
    <row r="247" spans="5:38">
      <c r="E247" t="str">
        <f>IF(A247="","",SUMIFS(Issue!$D$3:$D1001,Issue!$C$3:$C1001,A247)*C247)</f>
        <v/>
      </c>
      <c r="F247" t="e">
        <f ca="1">_xludf.IFNA(VLOOKUP(B247,'S-FG'!$B$3:$B1001,1,FALSE),"")</f>
        <v>#NAME?</v>
      </c>
      <c r="H247" t="str">
        <f ca="1">IFERROR(__xludf.DUMMYFUNCTION("""COMPUTED_VALUE"""),"FL_PORT Elec")</f>
        <v>FL_PORT Elec</v>
      </c>
      <c r="I247" t="str">
        <f ca="1">IFERROR(__xludf.DUMMYFUNCTION("""COMPUTED_VALUE"""),"PWB of PORT flash light")</f>
        <v>PWB of PORT flash light</v>
      </c>
      <c r="J247">
        <f ca="1">IFERROR(__xludf.DUMMYFUNCTION("""COMPUTED_VALUE"""),1)</f>
        <v>1</v>
      </c>
      <c r="K247" t="str">
        <f ca="1">IFERROR(__xludf.DUMMYFUNCTION("""COMPUTED_VALUE"""),"blank")</f>
        <v>blank</v>
      </c>
      <c r="L247">
        <f t="shared" ca="1" si="0"/>
        <v>0</v>
      </c>
      <c r="Q247" t="str">
        <f>IF(N247="","",SUMIFS(Issue!$D$3:$D1001,Issue!$C$3:$C1001,N247))</f>
        <v/>
      </c>
      <c r="S247" t="str">
        <f ca="1">IFERROR(__xludf.DUMMYFUNCTION("""COMPUTED_VALUE"""),"2mm Female Bullet connector")</f>
        <v>2mm Female Bullet connector</v>
      </c>
      <c r="X247" t="e">
        <f ca="1"/>
        <v>#NAME?</v>
      </c>
      <c r="Y247" t="e">
        <f t="shared" ca="1" si="1"/>
        <v>#NAME?</v>
      </c>
      <c r="Z247" t="e">
        <f ca="1">IF(X247="","",SUMIFS(#REF!,RM!$C$4:$C991,X247))</f>
        <v>#NAME?</v>
      </c>
      <c r="AA247" t="e">
        <f ca="1">IF(X247="","",SUMIFS(#REF!,RM!$C$4:$C991,X247))</f>
        <v>#NAME?</v>
      </c>
      <c r="AB247" t="e">
        <f t="shared" ca="1" si="2"/>
        <v>#NAME?</v>
      </c>
      <c r="AC247" t="e">
        <f ca="1">IF(X247="","",VLOOKUP($X247,RM!$C$4:$G991,3,FALSE))</f>
        <v>#NAME?</v>
      </c>
      <c r="AD247" t="e">
        <f ca="1">IF(X247="","",VLOOKUP($X247,RM!$C$4:$G991,4,FALSE))</f>
        <v>#NAME?</v>
      </c>
      <c r="AE247" t="e">
        <f ca="1">IF(X247="","",VLOOKUP($X247,RM!$C$4:$G991,5,FALSE))</f>
        <v>#NAME?</v>
      </c>
      <c r="AG247" t="str">
        <f ca="1">IFERROR(__xludf.DUMMYFUNCTION("""COMPUTED_VALUE"""),"A21 MotherBoard Assy")</f>
        <v>A21 MotherBoard Assy</v>
      </c>
      <c r="AH247" t="str">
        <f ca="1">IFERROR(__xludf.DUMMYFUNCTION("""COMPUTED_VALUE"""),"1uF 0805 PANASONIC")</f>
        <v>1uF 0805 PANASONIC</v>
      </c>
      <c r="AI247">
        <f ca="1">IFERROR(__xludf.DUMMYFUNCTION("""COMPUTED_VALUE"""),12)</f>
        <v>12</v>
      </c>
      <c r="AJ247" t="str">
        <f ca="1">IFERROR(__xludf.DUMMYFUNCTION("""COMPUTED_VALUE"""),"GCM21BR71E105KA56L")</f>
        <v>GCM21BR71E105KA56L</v>
      </c>
      <c r="AK247" t="e">
        <f ca="1">_xludf.IFNA(VLOOKUP(AG247,'S-FG'!$B$3:$B1001,1,FALSE),"")</f>
        <v>#NAME?</v>
      </c>
      <c r="AL247" t="e">
        <f ca="1">IF(AH247="","",SUMIFS(#REF!,RM!$C$4:$C991,AH247))</f>
        <v>#REF!</v>
      </c>
    </row>
    <row r="248" spans="5:38">
      <c r="E248" t="str">
        <f>IF(A248="","",SUMIFS(Issue!$D$3:$D1001,Issue!$C$3:$C1001,A248)*C248)</f>
        <v/>
      </c>
      <c r="F248" t="e">
        <f ca="1">_xludf.IFNA(VLOOKUP(B248,'S-FG'!$B$3:$B1001,1,FALSE),"")</f>
        <v>#NAME?</v>
      </c>
      <c r="H248" t="str">
        <f ca="1">IFERROR(__xludf.DUMMYFUNCTION("""COMPUTED_VALUE"""),"FL_PORT Elec")</f>
        <v>FL_PORT Elec</v>
      </c>
      <c r="I248" t="str">
        <f ca="1">IFERROR(__xludf.DUMMYFUNCTION("""COMPUTED_VALUE"""),"Red 14/38 wire")</f>
        <v>Red 14/38 wire</v>
      </c>
      <c r="J248">
        <f ca="1">IFERROR(__xludf.DUMMYFUNCTION("""COMPUTED_VALUE"""),0.35)</f>
        <v>0.35</v>
      </c>
      <c r="L248">
        <f t="shared" ca="1" si="0"/>
        <v>0</v>
      </c>
      <c r="Q248" t="str">
        <f>IF(N248="","",SUMIFS(Issue!$D$3:$D1001,Issue!$C$3:$C1001,N248))</f>
        <v/>
      </c>
      <c r="S248" t="str">
        <f ca="1">IFERROR(__xludf.DUMMYFUNCTION("""COMPUTED_VALUE"""),"PWB of PORT flash light")</f>
        <v>PWB of PORT flash light</v>
      </c>
      <c r="X248" t="e">
        <f ca="1"/>
        <v>#NAME?</v>
      </c>
      <c r="Y248" t="e">
        <f t="shared" ca="1" si="1"/>
        <v>#NAME?</v>
      </c>
      <c r="Z248" t="e">
        <f ca="1">IF(X248="","",SUMIFS(#REF!,RM!$C$4:$C991,X248))</f>
        <v>#NAME?</v>
      </c>
      <c r="AA248" t="e">
        <f ca="1">IF(X248="","",SUMIFS(#REF!,RM!$C$4:$C991,X248))</f>
        <v>#NAME?</v>
      </c>
      <c r="AB248" t="e">
        <f t="shared" ca="1" si="2"/>
        <v>#NAME?</v>
      </c>
      <c r="AC248" t="e">
        <f ca="1">IF(X248="","",VLOOKUP($X248,RM!$C$4:$G991,3,FALSE))</f>
        <v>#NAME?</v>
      </c>
      <c r="AD248" t="e">
        <f ca="1">IF(X248="","",VLOOKUP($X248,RM!$C$4:$G991,4,FALSE))</f>
        <v>#NAME?</v>
      </c>
      <c r="AE248" t="e">
        <f ca="1">IF(X248="","",VLOOKUP($X248,RM!$C$4:$G991,5,FALSE))</f>
        <v>#NAME?</v>
      </c>
      <c r="AG248" t="str">
        <f ca="1">IFERROR(__xludf.DUMMYFUNCTION("""COMPUTED_VALUE"""),"A21 MotherBoard Assy")</f>
        <v>A21 MotherBoard Assy</v>
      </c>
      <c r="AH248" t="str">
        <f ca="1">IFERROR(__xludf.DUMMYFUNCTION("""COMPUTED_VALUE"""),"16MHz Crystal Oscillator")</f>
        <v>16MHz Crystal Oscillator</v>
      </c>
      <c r="AI248">
        <f ca="1">IFERROR(__xludf.DUMMYFUNCTION("""COMPUTED_VALUE"""),2)</f>
        <v>2</v>
      </c>
      <c r="AJ248" t="str">
        <f ca="1">IFERROR(__xludf.DUMMYFUNCTION("""COMPUTED_VALUE"""),"ABM3-16.000MHZ-B2-T")</f>
        <v>ABM3-16.000MHZ-B2-T</v>
      </c>
      <c r="AK248" t="e">
        <f ca="1">_xludf.IFNA(VLOOKUP(AG248,'S-FG'!$B$3:$B1001,1,FALSE),"")</f>
        <v>#NAME?</v>
      </c>
      <c r="AL248" t="e">
        <f ca="1">IF(AH248="","",SUMIFS(#REF!,RM!$C$4:$C991,AH248))</f>
        <v>#REF!</v>
      </c>
    </row>
    <row r="249" spans="5:38">
      <c r="E249" t="str">
        <f>IF(A249="","",SUMIFS(Issue!$D$3:$D1001,Issue!$C$3:$C1001,A249)*C249)</f>
        <v/>
      </c>
      <c r="F249" t="e">
        <f ca="1">_xludf.IFNA(VLOOKUP(B249,'S-FG'!$B$3:$B1001,1,FALSE),"")</f>
        <v>#NAME?</v>
      </c>
      <c r="H249" t="str">
        <f ca="1">IFERROR(__xludf.DUMMYFUNCTION("""COMPUTED_VALUE"""),"FL_PORT Elec")</f>
        <v>FL_PORT Elec</v>
      </c>
      <c r="I249" t="str">
        <f ca="1">IFERROR(__xludf.DUMMYFUNCTION("""COMPUTED_VALUE"""),"Black 14/38 Wire")</f>
        <v>Black 14/38 Wire</v>
      </c>
      <c r="J249">
        <f ca="1">IFERROR(__xludf.DUMMYFUNCTION("""COMPUTED_VALUE"""),0.55)</f>
        <v>0.55000000000000004</v>
      </c>
      <c r="L249">
        <f t="shared" ca="1" si="0"/>
        <v>0</v>
      </c>
      <c r="Q249" t="str">
        <f>IF(N249="","",SUMIFS(Issue!$D$3:$D1001,Issue!$C$3:$C1001,N249))</f>
        <v/>
      </c>
      <c r="S249" t="str">
        <f ca="1">IFERROR(__xludf.DUMMYFUNCTION("""COMPUTED_VALUE"""),"Red 14/38 wire")</f>
        <v>Red 14/38 wire</v>
      </c>
      <c r="X249" t="e">
        <f ca="1"/>
        <v>#NAME?</v>
      </c>
      <c r="Y249" t="e">
        <f t="shared" ca="1" si="1"/>
        <v>#NAME?</v>
      </c>
      <c r="Z249" t="e">
        <f ca="1">IF(X249="","",SUMIFS(#REF!,RM!$C$4:$C991,X249))</f>
        <v>#NAME?</v>
      </c>
      <c r="AA249" t="e">
        <f ca="1">IF(X249="","",SUMIFS(#REF!,RM!$C$4:$C991,X249))</f>
        <v>#NAME?</v>
      </c>
      <c r="AB249" t="e">
        <f t="shared" ca="1" si="2"/>
        <v>#NAME?</v>
      </c>
      <c r="AC249" t="e">
        <f ca="1">IF(X249="","",VLOOKUP($X249,RM!$C$4:$G991,3,FALSE))</f>
        <v>#NAME?</v>
      </c>
      <c r="AD249" t="e">
        <f ca="1">IF(X249="","",VLOOKUP($X249,RM!$C$4:$G991,4,FALSE))</f>
        <v>#NAME?</v>
      </c>
      <c r="AE249" t="e">
        <f ca="1">IF(X249="","",VLOOKUP($X249,RM!$C$4:$G991,5,FALSE))</f>
        <v>#NAME?</v>
      </c>
      <c r="AG249" t="str">
        <f ca="1">IFERROR(__xludf.DUMMYFUNCTION("""COMPUTED_VALUE"""),"A21 MotherBoard Assy")</f>
        <v>A21 MotherBoard Assy</v>
      </c>
      <c r="AH249" t="str">
        <f ca="1">IFERROR(__xludf.DUMMYFUNCTION("""COMPUTED_VALUE"""),"ULN2004 SMD")</f>
        <v>ULN2004 SMD</v>
      </c>
      <c r="AI249">
        <f ca="1">IFERROR(__xludf.DUMMYFUNCTION("""COMPUTED_VALUE"""),1)</f>
        <v>1</v>
      </c>
      <c r="AJ249" t="str">
        <f ca="1">IFERROR(__xludf.DUMMYFUNCTION("""COMPUTED_VALUE"""),"blank")</f>
        <v>blank</v>
      </c>
      <c r="AK249" t="e">
        <f ca="1">_xludf.IFNA(VLOOKUP(AG249,'S-FG'!$B$3:$B1001,1,FALSE),"")</f>
        <v>#NAME?</v>
      </c>
      <c r="AL249" t="e">
        <f ca="1">IF(AH249="","",SUMIFS(#REF!,RM!$C$4:$C991,AH249))</f>
        <v>#REF!</v>
      </c>
    </row>
    <row r="250" spans="5:38">
      <c r="E250" t="str">
        <f>IF(A250="","",SUMIFS(Issue!$D$3:$D1001,Issue!$C$3:$C1001,A250)*C250)</f>
        <v/>
      </c>
      <c r="F250" t="e">
        <f ca="1">_xludf.IFNA(VLOOKUP(B250,'S-FG'!$B$3:$B1001,1,FALSE),"")</f>
        <v>#NAME?</v>
      </c>
      <c r="H250" t="str">
        <f ca="1">IFERROR(__xludf.DUMMYFUNCTION("""COMPUTED_VALUE"""),"FL_PORT Elec")</f>
        <v>FL_PORT Elec</v>
      </c>
      <c r="I250" t="str">
        <f ca="1">IFERROR(__xludf.DUMMYFUNCTION("""COMPUTED_VALUE"""),"Red 2835 SMD LED 1W")</f>
        <v>Red 2835 SMD LED 1W</v>
      </c>
      <c r="J250">
        <f ca="1">IFERROR(__xludf.DUMMYFUNCTION("""COMPUTED_VALUE"""),6)</f>
        <v>6</v>
      </c>
      <c r="K250" t="str">
        <f ca="1">IFERROR(__xludf.DUMMYFUNCTION("""COMPUTED_VALUE"""),"blank")</f>
        <v>blank</v>
      </c>
      <c r="L250">
        <f t="shared" ca="1" si="0"/>
        <v>0</v>
      </c>
      <c r="Q250" t="str">
        <f>IF(N250="","",SUMIFS(Issue!$D$3:$D1001,Issue!$C$3:$C1001,N250))</f>
        <v/>
      </c>
      <c r="S250" t="str">
        <f ca="1">IFERROR(__xludf.DUMMYFUNCTION("""COMPUTED_VALUE"""),"Black 14/38 Wire")</f>
        <v>Black 14/38 Wire</v>
      </c>
      <c r="X250" t="e">
        <f ca="1"/>
        <v>#NAME?</v>
      </c>
      <c r="Y250" t="e">
        <f t="shared" ca="1" si="1"/>
        <v>#NAME?</v>
      </c>
      <c r="Z250" t="e">
        <f ca="1">IF(X250="","",SUMIFS(#REF!,RM!$C$4:$C991,X250))</f>
        <v>#NAME?</v>
      </c>
      <c r="AA250" t="e">
        <f ca="1">IF(X250="","",SUMIFS(#REF!,RM!$C$4:$C991,X250))</f>
        <v>#NAME?</v>
      </c>
      <c r="AB250" t="e">
        <f t="shared" ca="1" si="2"/>
        <v>#NAME?</v>
      </c>
      <c r="AC250" t="e">
        <f ca="1">IF(X250="","",VLOOKUP($X250,RM!$C$4:$G991,3,FALSE))</f>
        <v>#NAME?</v>
      </c>
      <c r="AD250" t="e">
        <f ca="1">IF(X250="","",VLOOKUP($X250,RM!$C$4:$G991,4,FALSE))</f>
        <v>#NAME?</v>
      </c>
      <c r="AE250" t="e">
        <f ca="1">IF(X250="","",VLOOKUP($X250,RM!$C$4:$G991,5,FALSE))</f>
        <v>#NAME?</v>
      </c>
      <c r="AG250" t="str">
        <f ca="1">IFERROR(__xludf.DUMMYFUNCTION("""COMPUTED_VALUE"""),"A21 MotherBoard Assy")</f>
        <v>A21 MotherBoard Assy</v>
      </c>
      <c r="AH250" t="str">
        <f ca="1">IFERROR(__xludf.DUMMYFUNCTION("""COMPUTED_VALUE"""),"SSR AQW282SX")</f>
        <v>SSR AQW282SX</v>
      </c>
      <c r="AI250">
        <f ca="1">IFERROR(__xludf.DUMMYFUNCTION("""COMPUTED_VALUE"""),6)</f>
        <v>6</v>
      </c>
      <c r="AJ250" t="str">
        <f ca="1">IFERROR(__xludf.DUMMYFUNCTION("""COMPUTED_VALUE"""),"AQW282SX")</f>
        <v>AQW282SX</v>
      </c>
      <c r="AK250" t="e">
        <f ca="1">_xludf.IFNA(VLOOKUP(AG250,'S-FG'!$B$3:$B1001,1,FALSE),"")</f>
        <v>#NAME?</v>
      </c>
      <c r="AL250" t="e">
        <f ca="1">IF(AH250="","",SUMIFS(#REF!,RM!$C$4:$C991,AH250))</f>
        <v>#REF!</v>
      </c>
    </row>
    <row r="251" spans="5:38">
      <c r="E251" t="str">
        <f>IF(A251="","",SUMIFS(Issue!$D$3:$D1001,Issue!$C$3:$C1001,A251)*C251)</f>
        <v/>
      </c>
      <c r="F251" t="e">
        <f ca="1">_xludf.IFNA(VLOOKUP(B251,'S-FG'!$B$3:$B1001,1,FALSE),"")</f>
        <v>#NAME?</v>
      </c>
      <c r="H251" t="str">
        <f ca="1">IFERROR(__xludf.DUMMYFUNCTION("""COMPUTED_VALUE"""),"FL_STBD Mech")</f>
        <v>FL_STBD Mech</v>
      </c>
      <c r="I251" t="str">
        <f ca="1">IFERROR(__xludf.DUMMYFUNCTION("""COMPUTED_VALUE"""),"M3x8 Button Head")</f>
        <v>M3x8 Button Head</v>
      </c>
      <c r="J251">
        <f ca="1">IFERROR(__xludf.DUMMYFUNCTION("""COMPUTED_VALUE"""),6)</f>
        <v>6</v>
      </c>
      <c r="K251" t="str">
        <f ca="1">IFERROR(__xludf.DUMMYFUNCTION("""COMPUTED_VALUE"""),"blank")</f>
        <v>blank</v>
      </c>
      <c r="L251">
        <f t="shared" ca="1" si="0"/>
        <v>0</v>
      </c>
      <c r="Q251" t="str">
        <f>IF(N251="","",SUMIFS(Issue!$D$3:$D1001,Issue!$C$3:$C1001,N251))</f>
        <v/>
      </c>
      <c r="S251" t="str">
        <f ca="1">IFERROR(__xludf.DUMMYFUNCTION("""COMPUTED_VALUE"""),"Red 2835 SMD LED 1W")</f>
        <v>Red 2835 SMD LED 1W</v>
      </c>
      <c r="X251" t="e">
        <f ca="1"/>
        <v>#NAME?</v>
      </c>
      <c r="Y251" t="e">
        <f t="shared" ca="1" si="1"/>
        <v>#NAME?</v>
      </c>
      <c r="Z251" t="e">
        <f ca="1">IF(X251="","",SUMIFS(#REF!,RM!$C$4:$C991,X251))</f>
        <v>#NAME?</v>
      </c>
      <c r="AA251" t="e">
        <f ca="1">IF(X251="","",SUMIFS(#REF!,RM!$C$4:$C991,X251))</f>
        <v>#NAME?</v>
      </c>
      <c r="AB251" t="e">
        <f t="shared" ca="1" si="2"/>
        <v>#NAME?</v>
      </c>
      <c r="AC251" t="e">
        <f ca="1">IF(X251="","",VLOOKUP($X251,RM!$C$4:$G991,3,FALSE))</f>
        <v>#NAME?</v>
      </c>
      <c r="AD251" t="e">
        <f ca="1">IF(X251="","",VLOOKUP($X251,RM!$C$4:$G991,4,FALSE))</f>
        <v>#NAME?</v>
      </c>
      <c r="AE251" t="e">
        <f ca="1">IF(X251="","",VLOOKUP($X251,RM!$C$4:$G991,5,FALSE))</f>
        <v>#NAME?</v>
      </c>
      <c r="AG251" t="str">
        <f ca="1">IFERROR(__xludf.DUMMYFUNCTION("""COMPUTED_VALUE"""),"A21 MotherBoard Assy")</f>
        <v>A21 MotherBoard Assy</v>
      </c>
      <c r="AH251" t="str">
        <f ca="1">IFERROR(__xludf.DUMMYFUNCTION("""COMPUTED_VALUE"""),"Atmega328P-AU")</f>
        <v>Atmega328P-AU</v>
      </c>
      <c r="AI251">
        <f ca="1">IFERROR(__xludf.DUMMYFUNCTION("""COMPUTED_VALUE"""),2)</f>
        <v>2</v>
      </c>
      <c r="AJ251" t="str">
        <f ca="1">IFERROR(__xludf.DUMMYFUNCTION("""COMPUTED_VALUE"""),"blank")</f>
        <v>blank</v>
      </c>
      <c r="AK251" t="e">
        <f ca="1">_xludf.IFNA(VLOOKUP(AG251,'S-FG'!$B$3:$B1001,1,FALSE),"")</f>
        <v>#NAME?</v>
      </c>
      <c r="AL251" t="e">
        <f ca="1">IF(AH251="","",SUMIFS(#REF!,RM!$C$4:$C991,AH251))</f>
        <v>#REF!</v>
      </c>
    </row>
    <row r="252" spans="5:38">
      <c r="E252" t="str">
        <f>IF(A252="","",SUMIFS(Issue!$D$3:$D1001,Issue!$C$3:$C1001,A252)*C252)</f>
        <v/>
      </c>
      <c r="F252" t="e">
        <f ca="1">_xludf.IFNA(VLOOKUP(B252,'S-FG'!$B$3:$B1001,1,FALSE),"")</f>
        <v>#NAME?</v>
      </c>
      <c r="H252" t="str">
        <f ca="1">IFERROR(__xludf.DUMMYFUNCTION("""COMPUTED_VALUE"""),"FL_STBD Mech")</f>
        <v>FL_STBD Mech</v>
      </c>
      <c r="I252" t="str">
        <f ca="1">IFERROR(__xludf.DUMMYFUNCTION("""COMPUTED_VALUE"""),"Flashing Light glass")</f>
        <v>Flashing Light glass</v>
      </c>
      <c r="J252">
        <f ca="1">IFERROR(__xludf.DUMMYFUNCTION("""COMPUTED_VALUE"""),1)</f>
        <v>1</v>
      </c>
      <c r="K252" t="str">
        <f ca="1">IFERROR(__xludf.DUMMYFUNCTION("""COMPUTED_VALUE"""),"blank")</f>
        <v>blank</v>
      </c>
      <c r="L252">
        <f t="shared" ca="1" si="0"/>
        <v>0</v>
      </c>
      <c r="Q252" t="str">
        <f>IF(N252="","",SUMIFS(Issue!$D$3:$D1001,Issue!$C$3:$C1001,N252))</f>
        <v/>
      </c>
      <c r="S252" t="str">
        <f ca="1">IFERROR(__xludf.DUMMYFUNCTION("""COMPUTED_VALUE"""),"M3x8 Button Head")</f>
        <v>M3x8 Button Head</v>
      </c>
      <c r="X252" t="e">
        <f ca="1"/>
        <v>#NAME?</v>
      </c>
      <c r="Y252" t="e">
        <f t="shared" ca="1" si="1"/>
        <v>#NAME?</v>
      </c>
      <c r="Z252" t="e">
        <f ca="1">IF(X252="","",SUMIFS(#REF!,RM!$C$4:$C991,X252))</f>
        <v>#NAME?</v>
      </c>
      <c r="AA252" t="e">
        <f ca="1">IF(X252="","",SUMIFS(#REF!,RM!$C$4:$C991,X252))</f>
        <v>#NAME?</v>
      </c>
      <c r="AB252" t="e">
        <f t="shared" ca="1" si="2"/>
        <v>#NAME?</v>
      </c>
      <c r="AC252" t="e">
        <f ca="1">IF(X252="","",VLOOKUP($X252,RM!$C$4:$G991,3,FALSE))</f>
        <v>#NAME?</v>
      </c>
      <c r="AD252" t="e">
        <f ca="1">IF(X252="","",VLOOKUP($X252,RM!$C$4:$G991,4,FALSE))</f>
        <v>#NAME?</v>
      </c>
      <c r="AE252" t="e">
        <f ca="1">IF(X252="","",VLOOKUP($X252,RM!$C$4:$G991,5,FALSE))</f>
        <v>#NAME?</v>
      </c>
      <c r="AG252" t="str">
        <f ca="1">IFERROR(__xludf.DUMMYFUNCTION("""COMPUTED_VALUE"""),"A21 MotherBoard Assy")</f>
        <v>A21 MotherBoard Assy</v>
      </c>
      <c r="AH252" t="str">
        <f ca="1">IFERROR(__xludf.DUMMYFUNCTION("""COMPUTED_VALUE"""),"Power Relay 120A 12v")</f>
        <v>Power Relay 120A 12v</v>
      </c>
      <c r="AI252">
        <f ca="1">IFERROR(__xludf.DUMMYFUNCTION("""COMPUTED_VALUE"""),1)</f>
        <v>1</v>
      </c>
      <c r="AJ252" t="str">
        <f ca="1">IFERROR(__xludf.DUMMYFUNCTION("""COMPUTED_VALUE"""),"blank")</f>
        <v>blank</v>
      </c>
      <c r="AK252" t="e">
        <f ca="1">_xludf.IFNA(VLOOKUP(AG252,'S-FG'!$B$3:$B1001,1,FALSE),"")</f>
        <v>#NAME?</v>
      </c>
      <c r="AL252" t="e">
        <f ca="1">IF(AH252="","",SUMIFS(#REF!,RM!$C$4:$C991,AH252))</f>
        <v>#REF!</v>
      </c>
    </row>
    <row r="253" spans="5:38">
      <c r="E253" t="str">
        <f>IF(A253="","",SUMIFS(Issue!$D$3:$D1001,Issue!$C$3:$C1001,A253)*C253)</f>
        <v/>
      </c>
      <c r="F253" t="e">
        <f ca="1">_xludf.IFNA(VLOOKUP(B253,'S-FG'!$B$3:$B1001,1,FALSE),"")</f>
        <v>#NAME?</v>
      </c>
      <c r="H253" t="str">
        <f ca="1">IFERROR(__xludf.DUMMYFUNCTION("""COMPUTED_VALUE"""),"FL_STBD Mech")</f>
        <v>FL_STBD Mech</v>
      </c>
      <c r="I253" t="str">
        <f ca="1">IFERROR(__xludf.DUMMYFUNCTION("""COMPUTED_VALUE"""),"Flashing Light bottom plate")</f>
        <v>Flashing Light bottom plate</v>
      </c>
      <c r="J253">
        <f ca="1">IFERROR(__xludf.DUMMYFUNCTION("""COMPUTED_VALUE"""),1)</f>
        <v>1</v>
      </c>
      <c r="K253" t="str">
        <f ca="1">IFERROR(__xludf.DUMMYFUNCTION("""COMPUTED_VALUE"""),"blank")</f>
        <v>blank</v>
      </c>
      <c r="L253">
        <f t="shared" ca="1" si="0"/>
        <v>0</v>
      </c>
      <c r="Q253" t="str">
        <f>IF(N253="","",SUMIFS(Issue!$D$3:$D1001,Issue!$C$3:$C1001,N253))</f>
        <v/>
      </c>
      <c r="S253" t="str">
        <f ca="1">IFERROR(__xludf.DUMMYFUNCTION("""COMPUTED_VALUE"""),"Flashing Light glass")</f>
        <v>Flashing Light glass</v>
      </c>
      <c r="X253" t="e">
        <f ca="1"/>
        <v>#NAME?</v>
      </c>
      <c r="Y253" t="e">
        <f t="shared" ca="1" si="1"/>
        <v>#NAME?</v>
      </c>
      <c r="Z253" t="e">
        <f ca="1">IF(X253="","",SUMIFS(#REF!,RM!$C$4:$C991,X253))</f>
        <v>#NAME?</v>
      </c>
      <c r="AA253" t="e">
        <f ca="1">IF(X253="","",SUMIFS(#REF!,RM!$C$4:$C991,X253))</f>
        <v>#NAME?</v>
      </c>
      <c r="AB253" t="e">
        <f t="shared" ca="1" si="2"/>
        <v>#NAME?</v>
      </c>
      <c r="AC253" t="e">
        <f ca="1">IF(X253="","",VLOOKUP($X253,RM!$C$4:$G991,3,FALSE))</f>
        <v>#NAME?</v>
      </c>
      <c r="AD253" t="e">
        <f ca="1">IF(X253="","",VLOOKUP($X253,RM!$C$4:$G991,4,FALSE))</f>
        <v>#NAME?</v>
      </c>
      <c r="AE253" t="e">
        <f ca="1">IF(X253="","",VLOOKUP($X253,RM!$C$4:$G991,5,FALSE))</f>
        <v>#NAME?</v>
      </c>
      <c r="AG253" t="str">
        <f ca="1">IFERROR(__xludf.DUMMYFUNCTION("""COMPUTED_VALUE"""),"A21 MotherBoard Assy")</f>
        <v>A21 MotherBoard Assy</v>
      </c>
      <c r="AH253" t="str">
        <f ca="1">IFERROR(__xludf.DUMMYFUNCTION("""COMPUTED_VALUE"""),"Heatshrink Tube 6.4:1.6")</f>
        <v>Heatshrink Tube 6.4:1.6</v>
      </c>
      <c r="AI253">
        <f ca="1">IFERROR(__xludf.DUMMYFUNCTION("""COMPUTED_VALUE"""),0.2)</f>
        <v>0.2</v>
      </c>
      <c r="AJ253" t="str">
        <f ca="1">IFERROR(__xludf.DUMMYFUNCTION("""COMPUTED_VALUE"""),"blank")</f>
        <v>blank</v>
      </c>
      <c r="AK253" t="e">
        <f ca="1">_xludf.IFNA(VLOOKUP(AG253,'S-FG'!$B$3:$B1001,1,FALSE),"")</f>
        <v>#NAME?</v>
      </c>
      <c r="AL253" t="e">
        <f ca="1">IF(AH253="","",SUMIFS(#REF!,RM!$C$4:$C991,AH253))</f>
        <v>#REF!</v>
      </c>
    </row>
    <row r="254" spans="5:38">
      <c r="E254" t="str">
        <f>IF(A254="","",SUMIFS(Issue!$D$3:$D1001,Issue!$C$3:$C1001,A254)*C254)</f>
        <v/>
      </c>
      <c r="F254" t="e">
        <f ca="1">_xludf.IFNA(VLOOKUP(B254,'S-FG'!$B$3:$B1001,1,FALSE),"")</f>
        <v>#NAME?</v>
      </c>
      <c r="H254" t="str">
        <f ca="1">IFERROR(__xludf.DUMMYFUNCTION("""COMPUTED_VALUE"""),"FL_STBD Mech")</f>
        <v>FL_STBD Mech</v>
      </c>
      <c r="I254" t="str">
        <f ca="1">IFERROR(__xludf.DUMMYFUNCTION("""COMPUTED_VALUE"""),"Heatsink paste")</f>
        <v>Heatsink paste</v>
      </c>
      <c r="J254">
        <f ca="1">IFERROR(__xludf.DUMMYFUNCTION("""COMPUTED_VALUE"""),5)</f>
        <v>5</v>
      </c>
      <c r="K254" t="str">
        <f ca="1">IFERROR(__xludf.DUMMYFUNCTION("""COMPUTED_VALUE"""),"blank")</f>
        <v>blank</v>
      </c>
      <c r="L254">
        <f t="shared" ca="1" si="0"/>
        <v>0</v>
      </c>
      <c r="Q254" t="str">
        <f>IF(N254="","",SUMIFS(Issue!$D$3:$D1001,Issue!$C$3:$C1001,N254))</f>
        <v/>
      </c>
      <c r="S254" t="str">
        <f ca="1">IFERROR(__xludf.DUMMYFUNCTION("""COMPUTED_VALUE"""),"Flashing Light bottom plate")</f>
        <v>Flashing Light bottom plate</v>
      </c>
      <c r="X254" t="e">
        <f ca="1"/>
        <v>#NAME?</v>
      </c>
      <c r="Y254" t="e">
        <f t="shared" ca="1" si="1"/>
        <v>#NAME?</v>
      </c>
      <c r="Z254" t="e">
        <f ca="1">IF(X254="","",SUMIFS(#REF!,RM!$C$4:$C991,X254))</f>
        <v>#NAME?</v>
      </c>
      <c r="AA254" t="e">
        <f ca="1">IF(X254="","",SUMIFS(#REF!,RM!$C$4:$C991,X254))</f>
        <v>#NAME?</v>
      </c>
      <c r="AB254" t="e">
        <f t="shared" ca="1" si="2"/>
        <v>#NAME?</v>
      </c>
      <c r="AC254" t="e">
        <f ca="1">IF(X254="","",VLOOKUP($X254,RM!$C$4:$G991,3,FALSE))</f>
        <v>#NAME?</v>
      </c>
      <c r="AD254" t="e">
        <f ca="1">IF(X254="","",VLOOKUP($X254,RM!$C$4:$G991,4,FALSE))</f>
        <v>#NAME?</v>
      </c>
      <c r="AE254" t="e">
        <f ca="1">IF(X254="","",VLOOKUP($X254,RM!$C$4:$G991,5,FALSE))</f>
        <v>#NAME?</v>
      </c>
      <c r="AG254" t="str">
        <f ca="1">IFERROR(__xludf.DUMMYFUNCTION("""COMPUTED_VALUE"""),"A21 MotherBoard Assy")</f>
        <v>A21 MotherBoard Assy</v>
      </c>
      <c r="AH254" t="str">
        <f ca="1">IFERROR(__xludf.DUMMYFUNCTION("""COMPUTED_VALUE"""),"Heatshrink Tube 9:3")</f>
        <v>Heatshrink Tube 9:3</v>
      </c>
      <c r="AI254">
        <f ca="1">IFERROR(__xludf.DUMMYFUNCTION("""COMPUTED_VALUE"""),0.1)</f>
        <v>0.1</v>
      </c>
      <c r="AJ254" t="str">
        <f ca="1">IFERROR(__xludf.DUMMYFUNCTION("""COMPUTED_VALUE"""),"blank")</f>
        <v>blank</v>
      </c>
      <c r="AK254" t="e">
        <f ca="1">_xludf.IFNA(VLOOKUP(AG254,'S-FG'!$B$3:$B1001,1,FALSE),"")</f>
        <v>#NAME?</v>
      </c>
      <c r="AL254" t="e">
        <f ca="1">IF(AH254="","",SUMIFS(#REF!,RM!$C$4:$C991,AH254))</f>
        <v>#REF!</v>
      </c>
    </row>
    <row r="255" spans="5:38">
      <c r="E255" t="str">
        <f>IF(A255="","",SUMIFS(Issue!$D$3:$D1001,Issue!$C$3:$C1001,A255)*C255)</f>
        <v/>
      </c>
      <c r="F255" t="e">
        <f ca="1">_xludf.IFNA(VLOOKUP(B255,'S-FG'!$B$3:$B1001,1,FALSE),"")</f>
        <v>#NAME?</v>
      </c>
      <c r="H255" t="str">
        <f ca="1">IFERROR(__xludf.DUMMYFUNCTION("""COMPUTED_VALUE"""),"FL_STBD Mech")</f>
        <v>FL_STBD Mech</v>
      </c>
      <c r="I255" t="str">
        <f ca="1">IFERROR(__xludf.DUMMYFUNCTION("""COMPUTED_VALUE"""),"M3x6 Allen Head")</f>
        <v>M3x6 Allen Head</v>
      </c>
      <c r="J255">
        <f ca="1">IFERROR(__xludf.DUMMYFUNCTION("""COMPUTED_VALUE"""),2)</f>
        <v>2</v>
      </c>
      <c r="L255">
        <f t="shared" ca="1" si="0"/>
        <v>0</v>
      </c>
      <c r="Q255" t="str">
        <f>IF(N255="","",SUMIFS(Issue!$D$3:$D1001,Issue!$C$3:$C1001,N255))</f>
        <v/>
      </c>
      <c r="S255" t="str">
        <f ca="1">IFERROR(__xludf.DUMMYFUNCTION("""COMPUTED_VALUE"""),"Heatsink paste")</f>
        <v>Heatsink paste</v>
      </c>
      <c r="X255" t="e">
        <f ca="1"/>
        <v>#NAME?</v>
      </c>
      <c r="Y255" t="e">
        <f t="shared" ca="1" si="1"/>
        <v>#NAME?</v>
      </c>
      <c r="Z255" t="e">
        <f ca="1">IF(X255="","",SUMIFS(#REF!,RM!$C$4:$C991,X255))</f>
        <v>#NAME?</v>
      </c>
      <c r="AA255" t="e">
        <f ca="1">IF(X255="","",SUMIFS(#REF!,RM!$C$4:$C991,X255))</f>
        <v>#NAME?</v>
      </c>
      <c r="AB255" t="e">
        <f t="shared" ca="1" si="2"/>
        <v>#NAME?</v>
      </c>
      <c r="AC255" t="e">
        <f ca="1">IF(X255="","",VLOOKUP($X255,RM!$C$4:$G991,3,FALSE))</f>
        <v>#NAME?</v>
      </c>
      <c r="AD255" t="e">
        <f ca="1">IF(X255="","",VLOOKUP($X255,RM!$C$4:$G991,4,FALSE))</f>
        <v>#NAME?</v>
      </c>
      <c r="AE255" t="e">
        <f ca="1">IF(X255="","",VLOOKUP($X255,RM!$C$4:$G991,5,FALSE))</f>
        <v>#NAME?</v>
      </c>
      <c r="AG255" t="str">
        <f ca="1">IFERROR(__xludf.DUMMYFUNCTION("""COMPUTED_VALUE"""),"A21 MotherBoard Assy")</f>
        <v>A21 MotherBoard Assy</v>
      </c>
      <c r="AH255" t="str">
        <f ca="1">IFERROR(__xludf.DUMMYFUNCTION("""COMPUTED_VALUE"""),"Current Sensor Assy")</f>
        <v>Current Sensor Assy</v>
      </c>
      <c r="AI255">
        <f ca="1">IFERROR(__xludf.DUMMYFUNCTION("""COMPUTED_VALUE"""),0)</f>
        <v>0</v>
      </c>
      <c r="AJ255">
        <f ca="1">IFERROR(__xludf.DUMMYFUNCTION("""COMPUTED_VALUE"""),15)</f>
        <v>15</v>
      </c>
      <c r="AK255" t="e">
        <f ca="1">_xludf.IFNA(VLOOKUP(AG255,'S-FG'!$B$3:$B1001,1,FALSE),"")</f>
        <v>#NAME?</v>
      </c>
      <c r="AL255" t="e">
        <f ca="1">IF(AH255="","",SUMIFS(#REF!,RM!$C$4:$C991,AH255))</f>
        <v>#REF!</v>
      </c>
    </row>
    <row r="256" spans="5:38">
      <c r="E256" t="str">
        <f>IF(A256="","",SUMIFS(Issue!$D$3:$D1001,Issue!$C$3:$C1001,A256)*C256)</f>
        <v/>
      </c>
      <c r="F256" t="e">
        <f ca="1">_xludf.IFNA(VLOOKUP(B256,'S-FG'!$B$3:$B1001,1,FALSE),"")</f>
        <v>#NAME?</v>
      </c>
      <c r="H256" t="str">
        <f ca="1">IFERROR(__xludf.DUMMYFUNCTION("""COMPUTED_VALUE"""),"FL_STBD Mech")</f>
        <v>FL_STBD Mech</v>
      </c>
      <c r="I256" t="str">
        <f ca="1">IFERROR(__xludf.DUMMYFUNCTION("""COMPUTED_VALUE"""),"M4x12 Allen Head")</f>
        <v>M4x12 Allen Head</v>
      </c>
      <c r="J256">
        <f ca="1">IFERROR(__xludf.DUMMYFUNCTION("""COMPUTED_VALUE"""),2)</f>
        <v>2</v>
      </c>
      <c r="K256" t="str">
        <f ca="1">IFERROR(__xludf.DUMMYFUNCTION("""COMPUTED_VALUE"""),"blank")</f>
        <v>blank</v>
      </c>
      <c r="L256">
        <f t="shared" ca="1" si="0"/>
        <v>0</v>
      </c>
      <c r="Q256" t="str">
        <f>IF(N256="","",SUMIFS(Issue!$D$3:$D1001,Issue!$C$3:$C1001,N256))</f>
        <v/>
      </c>
      <c r="S256" t="str">
        <f ca="1">IFERROR(__xludf.DUMMYFUNCTION("""COMPUTED_VALUE"""),"M3x6 Allen Head")</f>
        <v>M3x6 Allen Head</v>
      </c>
      <c r="X256" t="e">
        <f ca="1"/>
        <v>#NAME?</v>
      </c>
      <c r="Y256" t="e">
        <f t="shared" ca="1" si="1"/>
        <v>#NAME?</v>
      </c>
      <c r="Z256" t="e">
        <f ca="1">IF(X256="","",SUMIFS(#REF!,RM!$C$4:$C991,X256))</f>
        <v>#NAME?</v>
      </c>
      <c r="AA256" t="e">
        <f ca="1">IF(X256="","",SUMIFS(#REF!,RM!$C$4:$C991,X256))</f>
        <v>#NAME?</v>
      </c>
      <c r="AB256" t="e">
        <f t="shared" ca="1" si="2"/>
        <v>#NAME?</v>
      </c>
      <c r="AC256" t="e">
        <f ca="1">IF(X256="","",VLOOKUP($X256,RM!$C$4:$G991,3,FALSE))</f>
        <v>#NAME?</v>
      </c>
      <c r="AD256" t="e">
        <f ca="1">IF(X256="","",VLOOKUP($X256,RM!$C$4:$G991,4,FALSE))</f>
        <v>#NAME?</v>
      </c>
      <c r="AE256" t="e">
        <f ca="1">IF(X256="","",VLOOKUP($X256,RM!$C$4:$G991,5,FALSE))</f>
        <v>#NAME?</v>
      </c>
      <c r="AG256" t="str">
        <f ca="1">IFERROR(__xludf.DUMMYFUNCTION("""COMPUTED_VALUE"""),"A21 MotherBoard Assy")</f>
        <v>A21 MotherBoard Assy</v>
      </c>
      <c r="AH256" t="str">
        <f ca="1">IFERROR(__xludf.DUMMYFUNCTION("""COMPUTED_VALUE"""),"RPM Sensor Assy")</f>
        <v>RPM Sensor Assy</v>
      </c>
      <c r="AI256">
        <f ca="1">IFERROR(__xludf.DUMMYFUNCTION("""COMPUTED_VALUE"""),0)</f>
        <v>0</v>
      </c>
      <c r="AJ256" t="str">
        <f ca="1">IFERROR(__xludf.DUMMYFUNCTION("""COMPUTED_VALUE"""),"blank")</f>
        <v>blank</v>
      </c>
      <c r="AK256" t="e">
        <f ca="1">_xludf.IFNA(VLOOKUP(AG256,'S-FG'!$B$3:$B1001,1,FALSE),"")</f>
        <v>#NAME?</v>
      </c>
      <c r="AL256" t="e">
        <f ca="1">IF(AH256="","",SUMIFS(#REF!,RM!$C$4:$C991,AH256))</f>
        <v>#REF!</v>
      </c>
    </row>
    <row r="257" spans="5:38">
      <c r="E257" t="str">
        <f>IF(A257="","",SUMIFS(Issue!$D$3:$D1001,Issue!$C$3:$C1001,A257)*C257)</f>
        <v/>
      </c>
      <c r="F257" t="e">
        <f ca="1">_xludf.IFNA(VLOOKUP(B257,'S-FG'!$B$3:$B1001,1,FALSE),"")</f>
        <v>#NAME?</v>
      </c>
      <c r="H257" t="str">
        <f ca="1">IFERROR(__xludf.DUMMYFUNCTION("""COMPUTED_VALUE"""),"FL_STBD Mech")</f>
        <v>FL_STBD Mech</v>
      </c>
      <c r="I257" t="str">
        <f ca="1">IFERROR(__xludf.DUMMYFUNCTION("""COMPUTED_VALUE"""),"Teroson MS930")</f>
        <v>Teroson MS930</v>
      </c>
      <c r="J257">
        <f ca="1">IFERROR(__xludf.DUMMYFUNCTION("""COMPUTED_VALUE"""),5)</f>
        <v>5</v>
      </c>
      <c r="K257" t="str">
        <f ca="1">IFERROR(__xludf.DUMMYFUNCTION("""COMPUTED_VALUE"""),"blank")</f>
        <v>blank</v>
      </c>
      <c r="L257">
        <f t="shared" ref="L257:L511" ca="1" si="4">IF(H257="","",SUMIFS($E$2:$E1256,$F$2:$F1256,H257)*J257)</f>
        <v>0</v>
      </c>
      <c r="Q257" t="str">
        <f>IF(N257="","",SUMIFS(Issue!$D$3:$D1001,Issue!$C$3:$C1001,N257))</f>
        <v/>
      </c>
      <c r="S257" t="str">
        <f ca="1">IFERROR(__xludf.DUMMYFUNCTION("""COMPUTED_VALUE"""),"M4x12 Allen Head")</f>
        <v>M4x12 Allen Head</v>
      </c>
      <c r="X257" t="e">
        <f ca="1"/>
        <v>#NAME?</v>
      </c>
      <c r="Y257" t="e">
        <f t="shared" ref="Y257:Y511" ca="1" si="5">IF(X257="","",SUMIFS($E$2:$E1256,$B$2:$B1256,X257)+SUMIFS($L$2:$L1256,$I$2:$I1256,X257)+(SUMIFS($Q$2:$Q1256,$N$2:$N1256,X257)))</f>
        <v>#NAME?</v>
      </c>
      <c r="Z257" t="e">
        <f ca="1">IF(X257="","",SUMIFS(#REF!,RM!$C$4:$C991,X257))</f>
        <v>#NAME?</v>
      </c>
      <c r="AA257" t="e">
        <f ca="1">IF(X257="","",SUMIFS(#REF!,RM!$C$4:$C991,X257))</f>
        <v>#NAME?</v>
      </c>
      <c r="AB257" t="e">
        <f t="shared" ref="AB257:AB511" ca="1" si="6">Y257-AA257-Z257</f>
        <v>#NAME?</v>
      </c>
      <c r="AC257" t="e">
        <f ca="1">IF(X257="","",VLOOKUP($X257,RM!$C$4:$G991,3,FALSE))</f>
        <v>#NAME?</v>
      </c>
      <c r="AD257" t="e">
        <f ca="1">IF(X257="","",VLOOKUP($X257,RM!$C$4:$G991,4,FALSE))</f>
        <v>#NAME?</v>
      </c>
      <c r="AE257" t="e">
        <f ca="1">IF(X257="","",VLOOKUP($X257,RM!$C$4:$G991,5,FALSE))</f>
        <v>#NAME?</v>
      </c>
      <c r="AG257" t="str">
        <f ca="1">IFERROR(__xludf.DUMMYFUNCTION("""COMPUTED_VALUE"""),"A21 MotherBoard Assy")</f>
        <v>A21 MotherBoard Assy</v>
      </c>
      <c r="AH257" t="str">
        <f ca="1">IFERROR(__xludf.DUMMYFUNCTION("""COMPUTED_VALUE"""),"Tactile switch ")</f>
        <v xml:space="preserve">Tactile switch </v>
      </c>
      <c r="AI257">
        <f ca="1">IFERROR(__xludf.DUMMYFUNCTION("""COMPUTED_VALUE"""),1)</f>
        <v>1</v>
      </c>
      <c r="AJ257" t="str">
        <f ca="1">IFERROR(__xludf.DUMMYFUNCTION("""COMPUTED_VALUE"""),"blank")</f>
        <v>blank</v>
      </c>
      <c r="AK257" t="e">
        <f ca="1">_xludf.IFNA(VLOOKUP(AG257,'S-FG'!$B$3:$B1001,1,FALSE),"")</f>
        <v>#NAME?</v>
      </c>
      <c r="AL257" t="e">
        <f ca="1">IF(AH257="","",SUMIFS(#REF!,RM!$C$4:$C991,AH257))</f>
        <v>#REF!</v>
      </c>
    </row>
    <row r="258" spans="5:38">
      <c r="E258" t="str">
        <f>IF(A258="","",SUMIFS(Issue!$D$3:$D1001,Issue!$C$3:$C1001,A258)*C258)</f>
        <v/>
      </c>
      <c r="F258" t="e">
        <f ca="1">_xludf.IFNA(VLOOKUP(B258,'S-FG'!$B$3:$B1001,1,FALSE),"")</f>
        <v>#NAME?</v>
      </c>
      <c r="H258" t="str">
        <f ca="1">IFERROR(__xludf.DUMMYFUNCTION("""COMPUTED_VALUE"""),"FL_PORT Mech")</f>
        <v>FL_PORT Mech</v>
      </c>
      <c r="I258" t="str">
        <f ca="1">IFERROR(__xludf.DUMMYFUNCTION("""COMPUTED_VALUE"""),"M3x8 Button Head")</f>
        <v>M3x8 Button Head</v>
      </c>
      <c r="J258">
        <f ca="1">IFERROR(__xludf.DUMMYFUNCTION("""COMPUTED_VALUE"""),6)</f>
        <v>6</v>
      </c>
      <c r="K258" t="str">
        <f ca="1">IFERROR(__xludf.DUMMYFUNCTION("""COMPUTED_VALUE"""),"blank")</f>
        <v>blank</v>
      </c>
      <c r="L258">
        <f t="shared" ca="1" si="4"/>
        <v>0</v>
      </c>
      <c r="Q258" t="str">
        <f>IF(N258="","",SUMIFS(Issue!$D$3:$D1001,Issue!$C$3:$C1001,N258))</f>
        <v/>
      </c>
      <c r="S258" t="str">
        <f ca="1">IFERROR(__xludf.DUMMYFUNCTION("""COMPUTED_VALUE"""),"Teroson MS930")</f>
        <v>Teroson MS930</v>
      </c>
      <c r="X258" t="e">
        <f ca="1"/>
        <v>#NAME?</v>
      </c>
      <c r="Y258" t="e">
        <f t="shared" ca="1" si="5"/>
        <v>#NAME?</v>
      </c>
      <c r="Z258" t="e">
        <f ca="1">IF(X258="","",SUMIFS(#REF!,RM!$C$4:$C991,X258))</f>
        <v>#NAME?</v>
      </c>
      <c r="AA258" t="e">
        <f ca="1">IF(X258="","",SUMIFS(#REF!,RM!$C$4:$C991,X258))</f>
        <v>#NAME?</v>
      </c>
      <c r="AB258" t="e">
        <f t="shared" ca="1" si="6"/>
        <v>#NAME?</v>
      </c>
      <c r="AC258" t="e">
        <f ca="1">IF(X258="","",VLOOKUP($X258,RM!$C$4:$G991,3,FALSE))</f>
        <v>#NAME?</v>
      </c>
      <c r="AD258" t="e">
        <f ca="1">IF(X258="","",VLOOKUP($X258,RM!$C$4:$G991,4,FALSE))</f>
        <v>#NAME?</v>
      </c>
      <c r="AE258" t="e">
        <f ca="1">IF(X258="","",VLOOKUP($X258,RM!$C$4:$G991,5,FALSE))</f>
        <v>#NAME?</v>
      </c>
      <c r="AG258" t="str">
        <f ca="1">IFERROR(__xludf.DUMMYFUNCTION("""COMPUTED_VALUE"""),"Electronic Box Assy")</f>
        <v>Electronic Box Assy</v>
      </c>
      <c r="AH258" t="str">
        <f ca="1">IFERROR(__xludf.DUMMYFUNCTION("""COMPUTED_VALUE"""),"Ipex4 to SMA converter extension")</f>
        <v>Ipex4 to SMA converter extension</v>
      </c>
      <c r="AI258">
        <f ca="1">IFERROR(__xludf.DUMMYFUNCTION("""COMPUTED_VALUE"""),1)</f>
        <v>1</v>
      </c>
      <c r="AJ258" t="str">
        <f ca="1">IFERROR(__xludf.DUMMYFUNCTION("""COMPUTED_VALUE"""),"blank")</f>
        <v>blank</v>
      </c>
      <c r="AK258" t="e">
        <f ca="1">_xludf.IFNA(VLOOKUP(AG258,'S-FG'!$B$3:$B1001,1,FALSE),"")</f>
        <v>#NAME?</v>
      </c>
      <c r="AL258" t="e">
        <f ca="1">IF(AH258="","",SUMIFS(#REF!,RM!$C$4:$C991,AH258))</f>
        <v>#REF!</v>
      </c>
    </row>
    <row r="259" spans="5:38">
      <c r="E259" t="str">
        <f>IF(A259="","",SUMIFS(Issue!$D$3:$D1001,Issue!$C$3:$C1001,A259)*C259)</f>
        <v/>
      </c>
      <c r="F259" t="e">
        <f ca="1">_xludf.IFNA(VLOOKUP(B259,'S-FG'!$B$3:$B1001,1,FALSE),"")</f>
        <v>#NAME?</v>
      </c>
      <c r="H259" t="str">
        <f ca="1">IFERROR(__xludf.DUMMYFUNCTION("""COMPUTED_VALUE"""),"FL_PORT Mech")</f>
        <v>FL_PORT Mech</v>
      </c>
      <c r="I259" t="str">
        <f ca="1">IFERROR(__xludf.DUMMYFUNCTION("""COMPUTED_VALUE"""),"Flashing Light glass")</f>
        <v>Flashing Light glass</v>
      </c>
      <c r="J259">
        <f ca="1">IFERROR(__xludf.DUMMYFUNCTION("""COMPUTED_VALUE"""),1)</f>
        <v>1</v>
      </c>
      <c r="K259" t="str">
        <f ca="1">IFERROR(__xludf.DUMMYFUNCTION("""COMPUTED_VALUE"""),"blank")</f>
        <v>blank</v>
      </c>
      <c r="L259">
        <f t="shared" ca="1" si="4"/>
        <v>0</v>
      </c>
      <c r="Q259" t="str">
        <f>IF(N259="","",SUMIFS(Issue!$D$3:$D1001,Issue!$C$3:$C1001,N259))</f>
        <v/>
      </c>
      <c r="S259" t="str">
        <f ca="1">IFERROR(__xludf.DUMMYFUNCTION("""COMPUTED_VALUE"""),"M3x8 Button Head")</f>
        <v>M3x8 Button Head</v>
      </c>
      <c r="X259" t="e">
        <f ca="1"/>
        <v>#NAME?</v>
      </c>
      <c r="Y259" t="e">
        <f t="shared" ca="1" si="5"/>
        <v>#NAME?</v>
      </c>
      <c r="Z259" t="e">
        <f ca="1">IF(X259="","",SUMIFS(#REF!,RM!$C$4:$C991,X259))</f>
        <v>#NAME?</v>
      </c>
      <c r="AA259" t="e">
        <f ca="1">IF(X259="","",SUMIFS(#REF!,RM!$C$4:$C991,X259))</f>
        <v>#NAME?</v>
      </c>
      <c r="AB259" t="e">
        <f t="shared" ca="1" si="6"/>
        <v>#NAME?</v>
      </c>
      <c r="AC259" t="e">
        <f ca="1">IF(X259="","",VLOOKUP($X259,RM!$C$4:$G991,3,FALSE))</f>
        <v>#NAME?</v>
      </c>
      <c r="AD259" t="e">
        <f ca="1">IF(X259="","",VLOOKUP($X259,RM!$C$4:$G991,4,FALSE))</f>
        <v>#NAME?</v>
      </c>
      <c r="AE259" t="e">
        <f ca="1">IF(X259="","",VLOOKUP($X259,RM!$C$4:$G991,5,FALSE))</f>
        <v>#NAME?</v>
      </c>
      <c r="AG259" t="str">
        <f ca="1">IFERROR(__xludf.DUMMYFUNCTION("""COMPUTED_VALUE"""),"Electronic Box Assy")</f>
        <v>Electronic Box Assy</v>
      </c>
      <c r="AH259" t="str">
        <f ca="1">IFERROR(__xludf.DUMMYFUNCTION("""COMPUTED_VALUE"""),"Electronic Box Top Lid")</f>
        <v>Electronic Box Top Lid</v>
      </c>
      <c r="AI259">
        <f ca="1">IFERROR(__xludf.DUMMYFUNCTION("""COMPUTED_VALUE"""),1)</f>
        <v>1</v>
      </c>
      <c r="AK259" t="e">
        <f ca="1">_xludf.IFNA(VLOOKUP(AG259,'S-FG'!$B$3:$B1001,1,FALSE),"")</f>
        <v>#NAME?</v>
      </c>
      <c r="AL259" t="e">
        <f ca="1">IF(AH259="","",SUMIFS(#REF!,RM!$C$4:$C991,AH259))</f>
        <v>#REF!</v>
      </c>
    </row>
    <row r="260" spans="5:38">
      <c r="E260" t="str">
        <f>IF(A260="","",SUMIFS(Issue!$D$3:$D1001,Issue!$C$3:$C1001,A260)*C260)</f>
        <v/>
      </c>
      <c r="F260" t="e">
        <f ca="1">_xludf.IFNA(VLOOKUP(B260,'S-FG'!$B$3:$B1001,1,FALSE),"")</f>
        <v>#NAME?</v>
      </c>
      <c r="H260" t="str">
        <f ca="1">IFERROR(__xludf.DUMMYFUNCTION("""COMPUTED_VALUE"""),"FL_PORT Mech")</f>
        <v>FL_PORT Mech</v>
      </c>
      <c r="I260" t="str">
        <f ca="1">IFERROR(__xludf.DUMMYFUNCTION("""COMPUTED_VALUE"""),"Flashing Light bottom plate")</f>
        <v>Flashing Light bottom plate</v>
      </c>
      <c r="J260">
        <f ca="1">IFERROR(__xludf.DUMMYFUNCTION("""COMPUTED_VALUE"""),1)</f>
        <v>1</v>
      </c>
      <c r="K260" t="str">
        <f ca="1">IFERROR(__xludf.DUMMYFUNCTION("""COMPUTED_VALUE"""),"blank")</f>
        <v>blank</v>
      </c>
      <c r="L260">
        <f t="shared" ca="1" si="4"/>
        <v>0</v>
      </c>
      <c r="Q260" t="str">
        <f>IF(N260="","",SUMIFS(Issue!$D$3:$D1001,Issue!$C$3:$C1001,N260))</f>
        <v/>
      </c>
      <c r="S260" t="str">
        <f ca="1">IFERROR(__xludf.DUMMYFUNCTION("""COMPUTED_VALUE"""),"Flashing Light glass")</f>
        <v>Flashing Light glass</v>
      </c>
      <c r="X260" t="e">
        <f ca="1"/>
        <v>#NAME?</v>
      </c>
      <c r="Y260" t="e">
        <f t="shared" ca="1" si="5"/>
        <v>#NAME?</v>
      </c>
      <c r="Z260" t="e">
        <f ca="1">IF(X260="","",SUMIFS(#REF!,RM!$C$4:$C991,X260))</f>
        <v>#NAME?</v>
      </c>
      <c r="AA260" t="e">
        <f ca="1">IF(X260="","",SUMIFS(#REF!,RM!$C$4:$C991,X260))</f>
        <v>#NAME?</v>
      </c>
      <c r="AB260" t="e">
        <f t="shared" ca="1" si="6"/>
        <v>#NAME?</v>
      </c>
      <c r="AC260" t="e">
        <f ca="1">IF(X260="","",VLOOKUP($X260,RM!$C$4:$G991,3,FALSE))</f>
        <v>#NAME?</v>
      </c>
      <c r="AD260" t="e">
        <f ca="1">IF(X260="","",VLOOKUP($X260,RM!$C$4:$G991,4,FALSE))</f>
        <v>#NAME?</v>
      </c>
      <c r="AE260" t="e">
        <f ca="1">IF(X260="","",VLOOKUP($X260,RM!$C$4:$G991,5,FALSE))</f>
        <v>#NAME?</v>
      </c>
      <c r="AG260" t="str">
        <f ca="1">IFERROR(__xludf.DUMMYFUNCTION("""COMPUTED_VALUE"""),"Electronic Box Assy")</f>
        <v>Electronic Box Assy</v>
      </c>
      <c r="AH260" t="str">
        <f ca="1">IFERROR(__xludf.DUMMYFUNCTION("""COMPUTED_VALUE"""),"BlueRobotics Leak")</f>
        <v>BlueRobotics Leak</v>
      </c>
      <c r="AI260">
        <f ca="1">IFERROR(__xludf.DUMMYFUNCTION("""COMPUTED_VALUE"""),1)</f>
        <v>1</v>
      </c>
      <c r="AJ260" t="str">
        <f ca="1">IFERROR(__xludf.DUMMYFUNCTION("""COMPUTED_VALUE"""),"blank")</f>
        <v>blank</v>
      </c>
      <c r="AK260" t="e">
        <f ca="1">_xludf.IFNA(VLOOKUP(AG260,'S-FG'!$B$3:$B1001,1,FALSE),"")</f>
        <v>#NAME?</v>
      </c>
      <c r="AL260" t="e">
        <f ca="1">IF(AH260="","",SUMIFS(#REF!,RM!$C$4:$C991,AH260))</f>
        <v>#REF!</v>
      </c>
    </row>
    <row r="261" spans="5:38">
      <c r="E261" t="str">
        <f>IF(A261="","",SUMIFS(Issue!$D$3:$D1001,Issue!$C$3:$C1001,A261)*C261)</f>
        <v/>
      </c>
      <c r="F261" t="e">
        <f ca="1">_xludf.IFNA(VLOOKUP(B261,'S-FG'!$B$3:$B1001,1,FALSE),"")</f>
        <v>#NAME?</v>
      </c>
      <c r="H261" t="str">
        <f ca="1">IFERROR(__xludf.DUMMYFUNCTION("""COMPUTED_VALUE"""),"FL_PORT Mech")</f>
        <v>FL_PORT Mech</v>
      </c>
      <c r="I261" t="str">
        <f ca="1">IFERROR(__xludf.DUMMYFUNCTION("""COMPUTED_VALUE"""),"Heatsink paste")</f>
        <v>Heatsink paste</v>
      </c>
      <c r="J261">
        <f ca="1">IFERROR(__xludf.DUMMYFUNCTION("""COMPUTED_VALUE"""),5)</f>
        <v>5</v>
      </c>
      <c r="K261" t="str">
        <f ca="1">IFERROR(__xludf.DUMMYFUNCTION("""COMPUTED_VALUE"""),"blank")</f>
        <v>blank</v>
      </c>
      <c r="L261">
        <f t="shared" ca="1" si="4"/>
        <v>0</v>
      </c>
      <c r="Q261" t="str">
        <f>IF(N261="","",SUMIFS(Issue!$D$3:$D1001,Issue!$C$3:$C1001,N261))</f>
        <v/>
      </c>
      <c r="S261" t="str">
        <f ca="1">IFERROR(__xludf.DUMMYFUNCTION("""COMPUTED_VALUE"""),"Flashing Light bottom plate")</f>
        <v>Flashing Light bottom plate</v>
      </c>
      <c r="X261" t="e">
        <f ca="1"/>
        <v>#NAME?</v>
      </c>
      <c r="Y261" t="e">
        <f t="shared" ca="1" si="5"/>
        <v>#NAME?</v>
      </c>
      <c r="Z261" t="e">
        <f ca="1">IF(X261="","",SUMIFS(#REF!,RM!$C$4:$C991,X261))</f>
        <v>#NAME?</v>
      </c>
      <c r="AA261" t="e">
        <f ca="1">IF(X261="","",SUMIFS(#REF!,RM!$C$4:$C991,X261))</f>
        <v>#NAME?</v>
      </c>
      <c r="AB261" t="e">
        <f t="shared" ca="1" si="6"/>
        <v>#NAME?</v>
      </c>
      <c r="AC261" t="e">
        <f ca="1">IF(X261="","",VLOOKUP($X261,RM!$C$4:$G991,3,FALSE))</f>
        <v>#NAME?</v>
      </c>
      <c r="AD261" t="e">
        <f ca="1">IF(X261="","",VLOOKUP($X261,RM!$C$4:$G991,4,FALSE))</f>
        <v>#NAME?</v>
      </c>
      <c r="AE261" t="e">
        <f ca="1">IF(X261="","",VLOOKUP($X261,RM!$C$4:$G991,5,FALSE))</f>
        <v>#NAME?</v>
      </c>
      <c r="AG261" t="str">
        <f ca="1">IFERROR(__xludf.DUMMYFUNCTION("""COMPUTED_VALUE"""),"Electronic Box Assy")</f>
        <v>Electronic Box Assy</v>
      </c>
      <c r="AH261" t="str">
        <f ca="1">IFERROR(__xludf.DUMMYFUNCTION("""COMPUTED_VALUE"""),"BlueRobotics Indicator")</f>
        <v>BlueRobotics Indicator</v>
      </c>
      <c r="AI261">
        <f ca="1">IFERROR(__xludf.DUMMYFUNCTION("""COMPUTED_VALUE"""),1)</f>
        <v>1</v>
      </c>
      <c r="AJ261" t="str">
        <f ca="1">IFERROR(__xludf.DUMMYFUNCTION("""COMPUTED_VALUE"""),"blank")</f>
        <v>blank</v>
      </c>
      <c r="AK261" t="e">
        <f ca="1">_xludf.IFNA(VLOOKUP(AG261,'S-FG'!$B$3:$B1001,1,FALSE),"")</f>
        <v>#NAME?</v>
      </c>
      <c r="AL261" t="e">
        <f ca="1">IF(AH261="","",SUMIFS(#REF!,RM!$C$4:$C991,AH261))</f>
        <v>#REF!</v>
      </c>
    </row>
    <row r="262" spans="5:38">
      <c r="E262" t="str">
        <f>IF(A262="","",SUMIFS(Issue!$D$3:$D1001,Issue!$C$3:$C1001,A262)*C262)</f>
        <v/>
      </c>
      <c r="F262" t="e">
        <f ca="1">_xludf.IFNA(VLOOKUP(B262,'S-FG'!$B$3:$B1001,1,FALSE),"")</f>
        <v>#NAME?</v>
      </c>
      <c r="H262" t="str">
        <f ca="1">IFERROR(__xludf.DUMMYFUNCTION("""COMPUTED_VALUE"""),"FL_PORT Mech")</f>
        <v>FL_PORT Mech</v>
      </c>
      <c r="I262" t="str">
        <f ca="1">IFERROR(__xludf.DUMMYFUNCTION("""COMPUTED_VALUE"""),"M3x6 Allen Head")</f>
        <v>M3x6 Allen Head</v>
      </c>
      <c r="J262">
        <f ca="1">IFERROR(__xludf.DUMMYFUNCTION("""COMPUTED_VALUE"""),2)</f>
        <v>2</v>
      </c>
      <c r="L262">
        <f t="shared" ca="1" si="4"/>
        <v>0</v>
      </c>
      <c r="Q262" t="str">
        <f>IF(N262="","",SUMIFS(Issue!$D$3:$D1001,Issue!$C$3:$C1001,N262))</f>
        <v/>
      </c>
      <c r="S262" t="str">
        <f ca="1">IFERROR(__xludf.DUMMYFUNCTION("""COMPUTED_VALUE"""),"Heatsink paste")</f>
        <v>Heatsink paste</v>
      </c>
      <c r="X262" t="e">
        <f ca="1"/>
        <v>#NAME?</v>
      </c>
      <c r="Y262" t="e">
        <f t="shared" ca="1" si="5"/>
        <v>#NAME?</v>
      </c>
      <c r="Z262" t="e">
        <f ca="1">IF(X262="","",SUMIFS(#REF!,RM!$C$4:$C991,X262))</f>
        <v>#NAME?</v>
      </c>
      <c r="AA262" t="e">
        <f ca="1">IF(X262="","",SUMIFS(#REF!,RM!$C$4:$C991,X262))</f>
        <v>#NAME?</v>
      </c>
      <c r="AB262" t="e">
        <f t="shared" ca="1" si="6"/>
        <v>#NAME?</v>
      </c>
      <c r="AC262" t="e">
        <f ca="1">IF(X262="","",VLOOKUP($X262,RM!$C$4:$G991,3,FALSE))</f>
        <v>#NAME?</v>
      </c>
      <c r="AD262" t="e">
        <f ca="1">IF(X262="","",VLOOKUP($X262,RM!$C$4:$G991,4,FALSE))</f>
        <v>#NAME?</v>
      </c>
      <c r="AE262" t="e">
        <f ca="1">IF(X262="","",VLOOKUP($X262,RM!$C$4:$G991,5,FALSE))</f>
        <v>#NAME?</v>
      </c>
      <c r="AG262" t="str">
        <f ca="1">IFERROR(__xludf.DUMMYFUNCTION("""COMPUTED_VALUE"""),"Electronic Box Assy")</f>
        <v>Electronic Box Assy</v>
      </c>
      <c r="AH262" t="str">
        <f ca="1">IFERROR(__xludf.DUMMYFUNCTION("""COMPUTED_VALUE"""),"M4x6 PCB mount screw Magnetic")</f>
        <v>M4x6 PCB mount screw Magnetic</v>
      </c>
      <c r="AI262">
        <f ca="1">IFERROR(__xludf.DUMMYFUNCTION("""COMPUTED_VALUE"""),5)</f>
        <v>5</v>
      </c>
      <c r="AJ262" t="str">
        <f ca="1">IFERROR(__xludf.DUMMYFUNCTION("""COMPUTED_VALUE"""),"blank")</f>
        <v>blank</v>
      </c>
      <c r="AK262" t="e">
        <f ca="1">_xludf.IFNA(VLOOKUP(AG262,'S-FG'!$B$3:$B1001,1,FALSE),"")</f>
        <v>#NAME?</v>
      </c>
      <c r="AL262" t="e">
        <f ca="1">IF(AH262="","",SUMIFS(#REF!,RM!$C$4:$C991,AH262))</f>
        <v>#REF!</v>
      </c>
    </row>
    <row r="263" spans="5:38">
      <c r="E263" t="str">
        <f>IF(A263="","",SUMIFS(Issue!$D$3:$D1001,Issue!$C$3:$C1001,A263)*C263)</f>
        <v/>
      </c>
      <c r="F263" t="e">
        <f ca="1">_xludf.IFNA(VLOOKUP(B263,'S-FG'!$B$3:$B1001,1,FALSE),"")</f>
        <v>#NAME?</v>
      </c>
      <c r="H263" t="str">
        <f ca="1">IFERROR(__xludf.DUMMYFUNCTION("""COMPUTED_VALUE"""),"FL_PORT Mech")</f>
        <v>FL_PORT Mech</v>
      </c>
      <c r="I263" t="str">
        <f ca="1">IFERROR(__xludf.DUMMYFUNCTION("""COMPUTED_VALUE"""),"M4x12 Allen Head")</f>
        <v>M4x12 Allen Head</v>
      </c>
      <c r="J263">
        <f ca="1">IFERROR(__xludf.DUMMYFUNCTION("""COMPUTED_VALUE"""),2)</f>
        <v>2</v>
      </c>
      <c r="K263" t="str">
        <f ca="1">IFERROR(__xludf.DUMMYFUNCTION("""COMPUTED_VALUE"""),"blank")</f>
        <v>blank</v>
      </c>
      <c r="L263">
        <f t="shared" ca="1" si="4"/>
        <v>0</v>
      </c>
      <c r="Q263" t="str">
        <f>IF(N263="","",SUMIFS(Issue!$D$3:$D1001,Issue!$C$3:$C1001,N263))</f>
        <v/>
      </c>
      <c r="S263" t="str">
        <f ca="1">IFERROR(__xludf.DUMMYFUNCTION("""COMPUTED_VALUE"""),"M3x6 Allen Head")</f>
        <v>M3x6 Allen Head</v>
      </c>
      <c r="X263" t="e">
        <f ca="1"/>
        <v>#NAME?</v>
      </c>
      <c r="Y263" t="e">
        <f t="shared" ca="1" si="5"/>
        <v>#NAME?</v>
      </c>
      <c r="Z263" t="e">
        <f ca="1">IF(X263="","",SUMIFS(#REF!,RM!$C$4:$C991,X263))</f>
        <v>#NAME?</v>
      </c>
      <c r="AA263" t="e">
        <f ca="1">IF(X263="","",SUMIFS(#REF!,RM!$C$4:$C991,X263))</f>
        <v>#NAME?</v>
      </c>
      <c r="AB263" t="e">
        <f t="shared" ca="1" si="6"/>
        <v>#NAME?</v>
      </c>
      <c r="AC263" t="e">
        <f ca="1">IF(X263="","",VLOOKUP($X263,RM!$C$4:$G991,3,FALSE))</f>
        <v>#NAME?</v>
      </c>
      <c r="AD263" t="e">
        <f ca="1">IF(X263="","",VLOOKUP($X263,RM!$C$4:$G991,4,FALSE))</f>
        <v>#NAME?</v>
      </c>
      <c r="AE263" t="e">
        <f ca="1">IF(X263="","",VLOOKUP($X263,RM!$C$4:$G991,5,FALSE))</f>
        <v>#NAME?</v>
      </c>
      <c r="AG263" t="str">
        <f ca="1">IFERROR(__xludf.DUMMYFUNCTION("""COMPUTED_VALUE"""),"Electronic Box Assy")</f>
        <v>Electronic Box Assy</v>
      </c>
      <c r="AH263" t="str">
        <f ca="1">IFERROR(__xludf.DUMMYFUNCTION("""COMPUTED_VALUE"""),"PG-7 Cable Gland")</f>
        <v>PG-7 Cable Gland</v>
      </c>
      <c r="AI263">
        <f ca="1">IFERROR(__xludf.DUMMYFUNCTION("""COMPUTED_VALUE"""),3)</f>
        <v>3</v>
      </c>
      <c r="AJ263" t="str">
        <f ca="1">IFERROR(__xludf.DUMMYFUNCTION("""COMPUTED_VALUE"""),"blank")</f>
        <v>blank</v>
      </c>
      <c r="AK263" t="e">
        <f ca="1">_xludf.IFNA(VLOOKUP(AG263,'S-FG'!$B$3:$B1001,1,FALSE),"")</f>
        <v>#NAME?</v>
      </c>
      <c r="AL263" t="e">
        <f ca="1">IF(AH263="","",SUMIFS(#REF!,RM!$C$4:$C991,AH263))</f>
        <v>#REF!</v>
      </c>
    </row>
    <row r="264" spans="5:38">
      <c r="E264" t="str">
        <f>IF(A264="","",SUMIFS(Issue!$D$3:$D1001,Issue!$C$3:$C1001,A264)*C264)</f>
        <v/>
      </c>
      <c r="F264" t="e">
        <f ca="1">_xludf.IFNA(VLOOKUP(B264,'S-FG'!$B$3:$B1001,1,FALSE),"")</f>
        <v>#NAME?</v>
      </c>
      <c r="H264" t="str">
        <f ca="1">IFERROR(__xludf.DUMMYFUNCTION("""COMPUTED_VALUE"""),"FL_PORT Mech")</f>
        <v>FL_PORT Mech</v>
      </c>
      <c r="I264" t="str">
        <f ca="1">IFERROR(__xludf.DUMMYFUNCTION("""COMPUTED_VALUE"""),"Teroson MS930")</f>
        <v>Teroson MS930</v>
      </c>
      <c r="J264">
        <f ca="1">IFERROR(__xludf.DUMMYFUNCTION("""COMPUTED_VALUE"""),5)</f>
        <v>5</v>
      </c>
      <c r="K264" t="str">
        <f ca="1">IFERROR(__xludf.DUMMYFUNCTION("""COMPUTED_VALUE"""),"blank")</f>
        <v>blank</v>
      </c>
      <c r="L264">
        <f t="shared" ca="1" si="4"/>
        <v>0</v>
      </c>
      <c r="Q264" t="str">
        <f>IF(N264="","",SUMIFS(Issue!$D$3:$D1001,Issue!$C$3:$C1001,N264))</f>
        <v/>
      </c>
      <c r="S264" t="str">
        <f ca="1">IFERROR(__xludf.DUMMYFUNCTION("""COMPUTED_VALUE"""),"M4x12 Allen Head")</f>
        <v>M4x12 Allen Head</v>
      </c>
      <c r="X264" t="e">
        <f ca="1"/>
        <v>#NAME?</v>
      </c>
      <c r="Y264" t="e">
        <f t="shared" ca="1" si="5"/>
        <v>#NAME?</v>
      </c>
      <c r="Z264" t="e">
        <f ca="1">IF(X264="","",SUMIFS(#REF!,RM!$C$4:$C991,X264))</f>
        <v>#NAME?</v>
      </c>
      <c r="AA264" t="e">
        <f ca="1">IF(X264="","",SUMIFS(#REF!,RM!$C$4:$C991,X264))</f>
        <v>#NAME?</v>
      </c>
      <c r="AB264" t="e">
        <f t="shared" ca="1" si="6"/>
        <v>#NAME?</v>
      </c>
      <c r="AC264" t="e">
        <f ca="1">IF(X264="","",VLOOKUP($X264,RM!$C$4:$G991,3,FALSE))</f>
        <v>#NAME?</v>
      </c>
      <c r="AD264" t="e">
        <f ca="1">IF(X264="","",VLOOKUP($X264,RM!$C$4:$G991,4,FALSE))</f>
        <v>#NAME?</v>
      </c>
      <c r="AE264" t="e">
        <f ca="1">IF(X264="","",VLOOKUP($X264,RM!$C$4:$G991,5,FALSE))</f>
        <v>#NAME?</v>
      </c>
      <c r="AG264" t="str">
        <f ca="1">IFERROR(__xludf.DUMMYFUNCTION("""COMPUTED_VALUE"""),"Electronic Box Assy")</f>
        <v>Electronic Box Assy</v>
      </c>
      <c r="AH264" t="str">
        <f ca="1">IFERROR(__xludf.DUMMYFUNCTION("""COMPUTED_VALUE"""),"Electronic Box")</f>
        <v>Electronic Box</v>
      </c>
      <c r="AI264">
        <f ca="1">IFERROR(__xludf.DUMMYFUNCTION("""COMPUTED_VALUE"""),1)</f>
        <v>1</v>
      </c>
      <c r="AJ264" t="str">
        <f ca="1">IFERROR(__xludf.DUMMYFUNCTION("""COMPUTED_VALUE"""),"blank")</f>
        <v>blank</v>
      </c>
      <c r="AK264" t="e">
        <f ca="1">_xludf.IFNA(VLOOKUP(AG264,'S-FG'!$B$3:$B1001,1,FALSE),"")</f>
        <v>#NAME?</v>
      </c>
      <c r="AL264" t="e">
        <f ca="1">IF(AH264="","",SUMIFS(#REF!,RM!$C$4:$C991,AH264))</f>
        <v>#REF!</v>
      </c>
    </row>
    <row r="265" spans="5:38">
      <c r="E265" t="str">
        <f>IF(A265="","",SUMIFS(Issue!$D$3:$D1001,Issue!$C$3:$C1001,A265)*C265)</f>
        <v/>
      </c>
      <c r="F265" t="e">
        <f ca="1">_xludf.IFNA(VLOOKUP(B265,'S-FG'!$B$3:$B1001,1,FALSE),"")</f>
        <v>#NAME?</v>
      </c>
      <c r="H265" t="str">
        <f ca="1">IFERROR(__xludf.DUMMYFUNCTION("""COMPUTED_VALUE"""),"Battery Block Assy")</f>
        <v>Battery Block Assy</v>
      </c>
      <c r="I265" t="str">
        <f ca="1">IFERROR(__xludf.DUMMYFUNCTION("""COMPUTED_VALUE"""),"Li-In 21700 Cells Molicel P42A/ Samsung-40T")</f>
        <v>Li-In 21700 Cells Molicel P42A/ Samsung-40T</v>
      </c>
      <c r="J265">
        <f ca="1">IFERROR(__xludf.DUMMYFUNCTION("""COMPUTED_VALUE"""),18)</f>
        <v>18</v>
      </c>
      <c r="K265" t="str">
        <f ca="1">IFERROR(__xludf.DUMMYFUNCTION("""COMPUTED_VALUE"""),"blank")</f>
        <v>blank</v>
      </c>
      <c r="L265">
        <f t="shared" ca="1" si="4"/>
        <v>0</v>
      </c>
      <c r="Q265" t="str">
        <f>IF(N265="","",SUMIFS(Issue!$D$3:$D1001,Issue!$C$3:$C1001,N265))</f>
        <v/>
      </c>
      <c r="S265" t="str">
        <f ca="1">IFERROR(__xludf.DUMMYFUNCTION("""COMPUTED_VALUE"""),"Teroson MS930")</f>
        <v>Teroson MS930</v>
      </c>
      <c r="X265" t="e">
        <f ca="1"/>
        <v>#NAME?</v>
      </c>
      <c r="Y265" t="e">
        <f t="shared" ca="1" si="5"/>
        <v>#NAME?</v>
      </c>
      <c r="Z265" t="e">
        <f ca="1">IF(X265="","",SUMIFS(#REF!,RM!$C$4:$C991,X265))</f>
        <v>#NAME?</v>
      </c>
      <c r="AA265" t="e">
        <f ca="1">IF(X265="","",SUMIFS(#REF!,RM!$C$4:$C991,X265))</f>
        <v>#NAME?</v>
      </c>
      <c r="AB265" t="e">
        <f t="shared" ca="1" si="6"/>
        <v>#NAME?</v>
      </c>
      <c r="AC265" t="e">
        <f ca="1">IF(X265="","",VLOOKUP($X265,RM!$C$4:$G991,3,FALSE))</f>
        <v>#NAME?</v>
      </c>
      <c r="AD265" t="e">
        <f ca="1">IF(X265="","",VLOOKUP($X265,RM!$C$4:$G991,4,FALSE))</f>
        <v>#NAME?</v>
      </c>
      <c r="AE265" t="e">
        <f ca="1">IF(X265="","",VLOOKUP($X265,RM!$C$4:$G991,5,FALSE))</f>
        <v>#NAME?</v>
      </c>
      <c r="AG265" t="str">
        <f ca="1">IFERROR(__xludf.DUMMYFUNCTION("""COMPUTED_VALUE"""),"Electronic Box Assy")</f>
        <v>Electronic Box Assy</v>
      </c>
      <c r="AH265" t="str">
        <f ca="1">IFERROR(__xludf.DUMMYFUNCTION("""COMPUTED_VALUE"""),"IM Front Lid")</f>
        <v>IM Front Lid</v>
      </c>
      <c r="AI265">
        <f ca="1">IFERROR(__xludf.DUMMYFUNCTION("""COMPUTED_VALUE"""),1)</f>
        <v>1</v>
      </c>
      <c r="AJ265" t="str">
        <f ca="1">IFERROR(__xludf.DUMMYFUNCTION("""COMPUTED_VALUE"""),"blank")</f>
        <v>blank</v>
      </c>
      <c r="AK265" t="e">
        <f ca="1">_xludf.IFNA(VLOOKUP(AG265,'S-FG'!$B$3:$B1001,1,FALSE),"")</f>
        <v>#NAME?</v>
      </c>
      <c r="AL265" t="e">
        <f ca="1">IF(AH265="","",SUMIFS(#REF!,RM!$C$4:$C991,AH265))</f>
        <v>#REF!</v>
      </c>
    </row>
    <row r="266" spans="5:38">
      <c r="E266" t="str">
        <f>IF(A266="","",SUMIFS(Issue!$D$3:$D1001,Issue!$C$3:$C1001,A266)*C266)</f>
        <v/>
      </c>
      <c r="F266" t="e">
        <f ca="1">_xludf.IFNA(VLOOKUP(B266,'S-FG'!$B$3:$B1001,1,FALSE),"")</f>
        <v>#NAME?</v>
      </c>
      <c r="H266" t="str">
        <f ca="1">IFERROR(__xludf.DUMMYFUNCTION("""COMPUTED_VALUE"""),"Battery Block Assy")</f>
        <v>Battery Block Assy</v>
      </c>
      <c r="I266" t="str">
        <f ca="1">IFERROR(__xludf.DUMMYFUNCTION("""COMPUTED_VALUE"""),"Soldering flux")</f>
        <v>Soldering flux</v>
      </c>
      <c r="J266">
        <f ca="1">IFERROR(__xludf.DUMMYFUNCTION("""COMPUTED_VALUE"""),5)</f>
        <v>5</v>
      </c>
      <c r="L266">
        <f t="shared" ca="1" si="4"/>
        <v>0</v>
      </c>
      <c r="Q266" t="str">
        <f>IF(N266="","",SUMIFS(Issue!$D$3:$D1001,Issue!$C$3:$C1001,N266))</f>
        <v/>
      </c>
      <c r="S266" t="str">
        <f ca="1">IFERROR(__xludf.DUMMYFUNCTION("""COMPUTED_VALUE"""),"Li-In 21700 Cells Molicel P42A/ Samsung-40T")</f>
        <v>Li-In 21700 Cells Molicel P42A/ Samsung-40T</v>
      </c>
      <c r="X266" t="e">
        <f ca="1"/>
        <v>#NAME?</v>
      </c>
      <c r="Y266" t="e">
        <f t="shared" ca="1" si="5"/>
        <v>#NAME?</v>
      </c>
      <c r="Z266" t="e">
        <f ca="1">IF(X266="","",SUMIFS(#REF!,RM!$C$4:$C991,X266))</f>
        <v>#NAME?</v>
      </c>
      <c r="AA266" t="e">
        <f ca="1">IF(X266="","",SUMIFS(#REF!,RM!$C$4:$C991,X266))</f>
        <v>#NAME?</v>
      </c>
      <c r="AB266" t="e">
        <f t="shared" ca="1" si="6"/>
        <v>#NAME?</v>
      </c>
      <c r="AC266" t="e">
        <f ca="1">IF(X266="","",VLOOKUP($X266,RM!$C$4:$G991,3,FALSE))</f>
        <v>#NAME?</v>
      </c>
      <c r="AD266" t="e">
        <f ca="1">IF(X266="","",VLOOKUP($X266,RM!$C$4:$G991,4,FALSE))</f>
        <v>#NAME?</v>
      </c>
      <c r="AE266" t="e">
        <f ca="1">IF(X266="","",VLOOKUP($X266,RM!$C$4:$G991,5,FALSE))</f>
        <v>#NAME?</v>
      </c>
      <c r="AG266" t="str">
        <f ca="1">IFERROR(__xludf.DUMMYFUNCTION("""COMPUTED_VALUE"""),"Electronic Box Assy")</f>
        <v>Electronic Box Assy</v>
      </c>
      <c r="AH266" t="str">
        <f ca="1">IFERROR(__xludf.DUMMYFUNCTION("""COMPUTED_VALUE"""),"Teroson MS930")</f>
        <v>Teroson MS930</v>
      </c>
      <c r="AI266">
        <f ca="1">IFERROR(__xludf.DUMMYFUNCTION("""COMPUTED_VALUE"""),10)</f>
        <v>10</v>
      </c>
      <c r="AJ266" t="str">
        <f ca="1">IFERROR(__xludf.DUMMYFUNCTION("""COMPUTED_VALUE"""),"blank")</f>
        <v>blank</v>
      </c>
      <c r="AK266" t="e">
        <f ca="1">_xludf.IFNA(VLOOKUP(AG266,'S-FG'!$B$3:$B1001,1,FALSE),"")</f>
        <v>#NAME?</v>
      </c>
      <c r="AL266" t="e">
        <f ca="1">IF(AH266="","",SUMIFS(#REF!,RM!$C$4:$C991,AH266))</f>
        <v>#REF!</v>
      </c>
    </row>
    <row r="267" spans="5:38">
      <c r="E267" t="str">
        <f>IF(A267="","",SUMIFS(Issue!$D$3:$D1001,Issue!$C$3:$C1001,A267)*C267)</f>
        <v/>
      </c>
      <c r="F267" t="e">
        <f ca="1">_xludf.IFNA(VLOOKUP(B267,'S-FG'!$B$3:$B1001,1,FALSE),"")</f>
        <v>#NAME?</v>
      </c>
      <c r="H267" t="str">
        <f ca="1">IFERROR(__xludf.DUMMYFUNCTION("""COMPUTED_VALUE"""),"Battery Block Assy")</f>
        <v>Battery Block Assy</v>
      </c>
      <c r="I267" t="str">
        <f ca="1">IFERROR(__xludf.DUMMYFUNCTION("""COMPUTED_VALUE"""),"Copper Strips 3x2 cells")</f>
        <v>Copper Strips 3x2 cells</v>
      </c>
      <c r="J267">
        <f ca="1">IFERROR(__xludf.DUMMYFUNCTION("""COMPUTED_VALUE"""),5)</f>
        <v>5</v>
      </c>
      <c r="L267">
        <f t="shared" ca="1" si="4"/>
        <v>0</v>
      </c>
      <c r="Q267" t="str">
        <f>IF(N267="","",SUMIFS(Issue!$D$3:$D1001,Issue!$C$3:$C1001,N267))</f>
        <v/>
      </c>
      <c r="S267" t="str">
        <f ca="1">IFERROR(__xludf.DUMMYFUNCTION("""COMPUTED_VALUE"""),"Soldering flux")</f>
        <v>Soldering flux</v>
      </c>
      <c r="X267" t="e">
        <f ca="1"/>
        <v>#NAME?</v>
      </c>
      <c r="Y267" t="e">
        <f t="shared" ca="1" si="5"/>
        <v>#NAME?</v>
      </c>
      <c r="Z267" t="e">
        <f ca="1">IF(X267="","",SUMIFS(#REF!,RM!$C$4:$C991,X267))</f>
        <v>#NAME?</v>
      </c>
      <c r="AA267" t="e">
        <f ca="1">IF(X267="","",SUMIFS(#REF!,RM!$C$4:$C991,X267))</f>
        <v>#NAME?</v>
      </c>
      <c r="AB267" t="e">
        <f t="shared" ca="1" si="6"/>
        <v>#NAME?</v>
      </c>
      <c r="AC267" t="e">
        <f ca="1">IF(X267="","",VLOOKUP($X267,RM!$C$4:$G991,3,FALSE))</f>
        <v>#NAME?</v>
      </c>
      <c r="AD267" t="e">
        <f ca="1">IF(X267="","",VLOOKUP($X267,RM!$C$4:$G991,4,FALSE))</f>
        <v>#NAME?</v>
      </c>
      <c r="AE267" t="e">
        <f ca="1">IF(X267="","",VLOOKUP($X267,RM!$C$4:$G991,5,FALSE))</f>
        <v>#NAME?</v>
      </c>
      <c r="AG267" t="str">
        <f ca="1">IFERROR(__xludf.DUMMYFUNCTION("""COMPUTED_VALUE"""),"Electronic Box Assy")</f>
        <v>Electronic Box Assy</v>
      </c>
      <c r="AH267" t="str">
        <f ca="1">IFERROR(__xludf.DUMMYFUNCTION("""COMPUTED_VALUE"""),"Silicon RTV 732")</f>
        <v>Silicon RTV 732</v>
      </c>
      <c r="AI267">
        <f ca="1">IFERROR(__xludf.DUMMYFUNCTION("""COMPUTED_VALUE"""),20)</f>
        <v>20</v>
      </c>
      <c r="AJ267" t="str">
        <f ca="1">IFERROR(__xludf.DUMMYFUNCTION("""COMPUTED_VALUE"""),"blank")</f>
        <v>blank</v>
      </c>
      <c r="AK267" t="e">
        <f ca="1">_xludf.IFNA(VLOOKUP(AG267,'S-FG'!$B$3:$B1001,1,FALSE),"")</f>
        <v>#NAME?</v>
      </c>
      <c r="AL267" t="e">
        <f ca="1">IF(AH267="","",SUMIFS(#REF!,RM!$C$4:$C991,AH267))</f>
        <v>#REF!</v>
      </c>
    </row>
    <row r="268" spans="5:38">
      <c r="E268" t="str">
        <f>IF(A268="","",SUMIFS(Issue!$D$3:$D1001,Issue!$C$3:$C1001,A268)*C268)</f>
        <v/>
      </c>
      <c r="F268" t="e">
        <f ca="1">_xludf.IFNA(VLOOKUP(B268,'S-FG'!$B$3:$B1001,1,FALSE),"")</f>
        <v>#NAME?</v>
      </c>
      <c r="H268" t="str">
        <f ca="1">IFERROR(__xludf.DUMMYFUNCTION("""COMPUTED_VALUE"""),"Battery Block Assy")</f>
        <v>Battery Block Assy</v>
      </c>
      <c r="I268" t="str">
        <f ca="1">IFERROR(__xludf.DUMMYFUNCTION("""COMPUTED_VALUE"""),"70mm Paper Separator")</f>
        <v>70mm Paper Separator</v>
      </c>
      <c r="J268">
        <f ca="1">IFERROR(__xludf.DUMMYFUNCTION("""COMPUTED_VALUE"""),2.5)</f>
        <v>2.5</v>
      </c>
      <c r="K268" t="str">
        <f ca="1">IFERROR(__xludf.DUMMYFUNCTION("""COMPUTED_VALUE"""),"blank")</f>
        <v>blank</v>
      </c>
      <c r="L268">
        <f t="shared" ca="1" si="4"/>
        <v>0</v>
      </c>
      <c r="Q268" t="str">
        <f>IF(N268="","",SUMIFS(Issue!$D$3:$D1001,Issue!$C$3:$C1001,N268))</f>
        <v/>
      </c>
      <c r="S268" t="str">
        <f ca="1">IFERROR(__xludf.DUMMYFUNCTION("""COMPUTED_VALUE"""),"Copper Strips 3x2 cells")</f>
        <v>Copper Strips 3x2 cells</v>
      </c>
      <c r="X268" t="e">
        <f ca="1"/>
        <v>#NAME?</v>
      </c>
      <c r="Y268" t="e">
        <f t="shared" ca="1" si="5"/>
        <v>#NAME?</v>
      </c>
      <c r="Z268" t="e">
        <f ca="1">IF(X268="","",SUMIFS(#REF!,RM!$C$4:$C991,X268))</f>
        <v>#NAME?</v>
      </c>
      <c r="AA268" t="e">
        <f ca="1">IF(X268="","",SUMIFS(#REF!,RM!$C$4:$C991,X268))</f>
        <v>#NAME?</v>
      </c>
      <c r="AB268" t="e">
        <f t="shared" ca="1" si="6"/>
        <v>#NAME?</v>
      </c>
      <c r="AC268" t="e">
        <f ca="1">IF(X268="","",VLOOKUP($X268,RM!$C$4:$G991,3,FALSE))</f>
        <v>#NAME?</v>
      </c>
      <c r="AD268" t="e">
        <f ca="1">IF(X268="","",VLOOKUP($X268,RM!$C$4:$G991,4,FALSE))</f>
        <v>#NAME?</v>
      </c>
      <c r="AE268" t="e">
        <f ca="1">IF(X268="","",VLOOKUP($X268,RM!$C$4:$G991,5,FALSE))</f>
        <v>#NAME?</v>
      </c>
      <c r="AG268" t="str">
        <f ca="1">IFERROR(__xludf.DUMMYFUNCTION("""COMPUTED_VALUE"""),"Electronic Box Assy")</f>
        <v>Electronic Box Assy</v>
      </c>
      <c r="AH268" t="str">
        <f ca="1">IFERROR(__xludf.DUMMYFUNCTION("""COMPUTED_VALUE"""),"Power Switch Assy")</f>
        <v>Power Switch Assy</v>
      </c>
      <c r="AI268">
        <f ca="1">IFERROR(__xludf.DUMMYFUNCTION("""COMPUTED_VALUE"""),0)</f>
        <v>0</v>
      </c>
      <c r="AJ268" t="str">
        <f ca="1">IFERROR(__xludf.DUMMYFUNCTION("""COMPUTED_VALUE"""),"blank")</f>
        <v>blank</v>
      </c>
      <c r="AK268" t="e">
        <f ca="1">_xludf.IFNA(VLOOKUP(AG268,'S-FG'!$B$3:$B1001,1,FALSE),"")</f>
        <v>#NAME?</v>
      </c>
      <c r="AL268" t="e">
        <f ca="1">IF(AH268="","",SUMIFS(#REF!,RM!$C$4:$C991,AH268))</f>
        <v>#REF!</v>
      </c>
    </row>
    <row r="269" spans="5:38">
      <c r="E269" t="str">
        <f>IF(A269="","",SUMIFS(Issue!$D$3:$D1001,Issue!$C$3:$C1001,A269)*C269)</f>
        <v/>
      </c>
      <c r="F269" t="e">
        <f ca="1">_xludf.IFNA(VLOOKUP(B269,'S-FG'!$B$3:$B1001,1,FALSE),"")</f>
        <v>#NAME?</v>
      </c>
      <c r="H269" t="str">
        <f ca="1">IFERROR(__xludf.DUMMYFUNCTION("""COMPUTED_VALUE"""),"Battery Block Assy")</f>
        <v>Battery Block Assy</v>
      </c>
      <c r="I269" t="str">
        <f ca="1">IFERROR(__xludf.DUMMYFUNCTION("""COMPUTED_VALUE"""),"Barley paper for 21700 cylindrical cell")</f>
        <v>Barley paper for 21700 cylindrical cell</v>
      </c>
      <c r="J269">
        <f ca="1">IFERROR(__xludf.DUMMYFUNCTION("""COMPUTED_VALUE"""),18)</f>
        <v>18</v>
      </c>
      <c r="K269" t="str">
        <f ca="1">IFERROR(__xludf.DUMMYFUNCTION("""COMPUTED_VALUE"""),"blank")</f>
        <v>blank</v>
      </c>
      <c r="L269">
        <f t="shared" ca="1" si="4"/>
        <v>0</v>
      </c>
      <c r="Q269" t="str">
        <f>IF(N269="","",SUMIFS(Issue!$D$3:$D1001,Issue!$C$3:$C1001,N269))</f>
        <v/>
      </c>
      <c r="S269" t="str">
        <f ca="1">IFERROR(__xludf.DUMMYFUNCTION("""COMPUTED_VALUE"""),"70mm Paper Separator")</f>
        <v>70mm Paper Separator</v>
      </c>
      <c r="X269" t="e">
        <f ca="1"/>
        <v>#NAME?</v>
      </c>
      <c r="Y269" t="e">
        <f t="shared" ca="1" si="5"/>
        <v>#NAME?</v>
      </c>
      <c r="Z269" t="e">
        <f ca="1">IF(X269="","",SUMIFS(#REF!,RM!$C$4:$C991,X269))</f>
        <v>#NAME?</v>
      </c>
      <c r="AA269" t="e">
        <f ca="1">IF(X269="","",SUMIFS(#REF!,RM!$C$4:$C991,X269))</f>
        <v>#NAME?</v>
      </c>
      <c r="AB269" t="e">
        <f t="shared" ca="1" si="6"/>
        <v>#NAME?</v>
      </c>
      <c r="AC269" t="e">
        <f ca="1">IF(X269="","",VLOOKUP($X269,RM!$C$4:$G991,3,FALSE))</f>
        <v>#NAME?</v>
      </c>
      <c r="AD269" t="e">
        <f ca="1">IF(X269="","",VLOOKUP($X269,RM!$C$4:$G991,4,FALSE))</f>
        <v>#NAME?</v>
      </c>
      <c r="AE269" t="e">
        <f ca="1">IF(X269="","",VLOOKUP($X269,RM!$C$4:$G991,5,FALSE))</f>
        <v>#NAME?</v>
      </c>
      <c r="AG269" t="str">
        <f ca="1">IFERROR(__xludf.DUMMYFUNCTION("""COMPUTED_VALUE"""),"Electronic Box Assy")</f>
        <v>Electronic Box Assy</v>
      </c>
      <c r="AH269" t="str">
        <f ca="1">IFERROR(__xludf.DUMMYFUNCTION("""COMPUTED_VALUE"""),"M4x20 CSK Phillips")</f>
        <v>M4x20 CSK Phillips</v>
      </c>
      <c r="AI269">
        <f ca="1">IFERROR(__xludf.DUMMYFUNCTION("""COMPUTED_VALUE"""),4)</f>
        <v>4</v>
      </c>
      <c r="AJ269" t="str">
        <f ca="1">IFERROR(__xludf.DUMMYFUNCTION("""COMPUTED_VALUE"""),"blank")</f>
        <v>blank</v>
      </c>
      <c r="AK269" t="e">
        <f ca="1">_xludf.IFNA(VLOOKUP(AG269,'S-FG'!$B$3:$B1001,1,FALSE),"")</f>
        <v>#NAME?</v>
      </c>
      <c r="AL269" t="e">
        <f ca="1">IF(AH269="","",SUMIFS(#REF!,RM!$C$4:$C991,AH269))</f>
        <v>#REF!</v>
      </c>
    </row>
    <row r="270" spans="5:38">
      <c r="E270" t="str">
        <f>IF(A270="","",SUMIFS(Issue!$D$3:$D1001,Issue!$C$3:$C1001,A270)*C270)</f>
        <v/>
      </c>
      <c r="F270" t="e">
        <f ca="1">_xludf.IFNA(VLOOKUP(B270,'S-FG'!$B$3:$B1001,1,FALSE),"")</f>
        <v>#NAME?</v>
      </c>
      <c r="H270" t="str">
        <f ca="1">IFERROR(__xludf.DUMMYFUNCTION("""COMPUTED_VALUE"""),"Battery Block Assy")</f>
        <v>Battery Block Assy</v>
      </c>
      <c r="I270" t="str">
        <f ca="1">IFERROR(__xludf.DUMMYFUNCTION("""COMPUTED_VALUE"""),"1"" Masking Tape")</f>
        <v>1" Masking Tape</v>
      </c>
      <c r="J270">
        <f ca="1">IFERROR(__xludf.DUMMYFUNCTION("""COMPUTED_VALUE"""),0.5)</f>
        <v>0.5</v>
      </c>
      <c r="L270">
        <f t="shared" ca="1" si="4"/>
        <v>0</v>
      </c>
      <c r="Q270" t="str">
        <f>IF(N270="","",SUMIFS(Issue!$D$3:$D1001,Issue!$C$3:$C1001,N270))</f>
        <v/>
      </c>
      <c r="S270" t="str">
        <f ca="1">IFERROR(__xludf.DUMMYFUNCTION("""COMPUTED_VALUE"""),"Barley paper for 21700 cylindrical cell")</f>
        <v>Barley paper for 21700 cylindrical cell</v>
      </c>
      <c r="X270" t="e">
        <f ca="1"/>
        <v>#NAME?</v>
      </c>
      <c r="Y270" t="e">
        <f t="shared" ca="1" si="5"/>
        <v>#NAME?</v>
      </c>
      <c r="Z270" t="e">
        <f ca="1">IF(X270="","",SUMIFS(#REF!,RM!$C$4:$C991,X270))</f>
        <v>#NAME?</v>
      </c>
      <c r="AA270" t="e">
        <f ca="1">IF(X270="","",SUMIFS(#REF!,RM!$C$4:$C991,X270))</f>
        <v>#NAME?</v>
      </c>
      <c r="AB270" t="e">
        <f t="shared" ca="1" si="6"/>
        <v>#NAME?</v>
      </c>
      <c r="AC270" t="e">
        <f ca="1">IF(X270="","",VLOOKUP($X270,RM!$C$4:$G991,3,FALSE))</f>
        <v>#NAME?</v>
      </c>
      <c r="AD270" t="e">
        <f ca="1">IF(X270="","",VLOOKUP($X270,RM!$C$4:$G991,4,FALSE))</f>
        <v>#NAME?</v>
      </c>
      <c r="AE270" t="e">
        <f ca="1">IF(X270="","",VLOOKUP($X270,RM!$C$4:$G991,5,FALSE))</f>
        <v>#NAME?</v>
      </c>
      <c r="AG270" t="str">
        <f ca="1">IFERROR(__xludf.DUMMYFUNCTION("""COMPUTED_VALUE"""),"Electronic Box Assy")</f>
        <v>Electronic Box Assy</v>
      </c>
      <c r="AH270" t="str">
        <f ca="1">IFERROR(__xludf.DUMMYFUNCTION("""COMPUTED_VALUE"""),"STBD Signal PM Assy")</f>
        <v>STBD Signal PM Assy</v>
      </c>
      <c r="AI270">
        <f ca="1">IFERROR(__xludf.DUMMYFUNCTION("""COMPUTED_VALUE"""),0)</f>
        <v>0</v>
      </c>
      <c r="AJ270" t="str">
        <f ca="1">IFERROR(__xludf.DUMMYFUNCTION("""COMPUTED_VALUE"""),"blank")</f>
        <v>blank</v>
      </c>
      <c r="AK270" t="e">
        <f ca="1">_xludf.IFNA(VLOOKUP(AG270,'S-FG'!$B$3:$B1001,1,FALSE),"")</f>
        <v>#NAME?</v>
      </c>
      <c r="AL270" t="e">
        <f ca="1">IF(AH270="","",SUMIFS(#REF!,RM!$C$4:$C991,AH270))</f>
        <v>#REF!</v>
      </c>
    </row>
    <row r="271" spans="5:38">
      <c r="E271" t="str">
        <f>IF(A271="","",SUMIFS(Issue!$D$3:$D1001,Issue!$C$3:$C1001,A271)*C271)</f>
        <v/>
      </c>
      <c r="F271" t="e">
        <f ca="1">_xludf.IFNA(VLOOKUP(B271,'S-FG'!$B$3:$B1001,1,FALSE),"")</f>
        <v>#NAME?</v>
      </c>
      <c r="H271" t="str">
        <f ca="1">IFERROR(__xludf.DUMMYFUNCTION("""COMPUTED_VALUE"""),"STBD Battery Assy")</f>
        <v>STBD Battery Assy</v>
      </c>
      <c r="I271" t="str">
        <f ca="1">IFERROR(__xludf.DUMMYFUNCTION("""COMPUTED_VALUE"""),"6mm female bullet connector")</f>
        <v>6mm female bullet connector</v>
      </c>
      <c r="J271">
        <f ca="1">IFERROR(__xludf.DUMMYFUNCTION("""COMPUTED_VALUE"""),1)</f>
        <v>1</v>
      </c>
      <c r="K271" t="str">
        <f ca="1">IFERROR(__xludf.DUMMYFUNCTION("""COMPUTED_VALUE"""),"blank")</f>
        <v>blank</v>
      </c>
      <c r="L271">
        <f t="shared" ca="1" si="4"/>
        <v>0</v>
      </c>
      <c r="Q271" t="str">
        <f>IF(N271="","",SUMIFS(Issue!$D$3:$D1001,Issue!$C$3:$C1001,N271))</f>
        <v/>
      </c>
      <c r="S271" t="str">
        <f ca="1">IFERROR(__xludf.DUMMYFUNCTION("""COMPUTED_VALUE"""),"1"" Masking Tape")</f>
        <v>1" Masking Tape</v>
      </c>
      <c r="X271" t="e">
        <f ca="1"/>
        <v>#NAME?</v>
      </c>
      <c r="Y271" t="e">
        <f t="shared" ca="1" si="5"/>
        <v>#NAME?</v>
      </c>
      <c r="Z271" t="e">
        <f ca="1">IF(X271="","",SUMIFS(#REF!,RM!$C$4:$C991,X271))</f>
        <v>#NAME?</v>
      </c>
      <c r="AA271" t="e">
        <f ca="1">IF(X271="","",SUMIFS(#REF!,RM!$C$4:$C991,X271))</f>
        <v>#NAME?</v>
      </c>
      <c r="AB271" t="e">
        <f t="shared" ca="1" si="6"/>
        <v>#NAME?</v>
      </c>
      <c r="AC271" t="e">
        <f ca="1">IF(X271="","",VLOOKUP($X271,RM!$C$4:$G991,3,FALSE))</f>
        <v>#NAME?</v>
      </c>
      <c r="AD271" t="e">
        <f ca="1">IF(X271="","",VLOOKUP($X271,RM!$C$4:$G991,4,FALSE))</f>
        <v>#NAME?</v>
      </c>
      <c r="AE271" t="e">
        <f ca="1">IF(X271="","",VLOOKUP($X271,RM!$C$4:$G991,5,FALSE))</f>
        <v>#NAME?</v>
      </c>
      <c r="AG271" t="str">
        <f ca="1">IFERROR(__xludf.DUMMYFUNCTION("""COMPUTED_VALUE"""),"Electronic Box Assy")</f>
        <v>Electronic Box Assy</v>
      </c>
      <c r="AH271" t="str">
        <f ca="1">IFERROR(__xludf.DUMMYFUNCTION("""COMPUTED_VALUE"""),"PORT Signal PM Assy")</f>
        <v>PORT Signal PM Assy</v>
      </c>
      <c r="AI271">
        <f ca="1">IFERROR(__xludf.DUMMYFUNCTION("""COMPUTED_VALUE"""),0)</f>
        <v>0</v>
      </c>
      <c r="AJ271" t="str">
        <f ca="1">IFERROR(__xludf.DUMMYFUNCTION("""COMPUTED_VALUE"""),"blank")</f>
        <v>blank</v>
      </c>
      <c r="AK271" t="e">
        <f ca="1">_xludf.IFNA(VLOOKUP(AG271,'S-FG'!$B$3:$B1001,1,FALSE),"")</f>
        <v>#NAME?</v>
      </c>
      <c r="AL271" t="e">
        <f ca="1">IF(AH271="","",SUMIFS(#REF!,RM!$C$4:$C991,AH271))</f>
        <v>#REF!</v>
      </c>
    </row>
    <row r="272" spans="5:38">
      <c r="E272" t="str">
        <f>IF(A272="","",SUMIFS(Issue!$D$3:$D1001,Issue!$C$3:$C1001,A272)*C272)</f>
        <v/>
      </c>
      <c r="F272" t="e">
        <f ca="1">_xludf.IFNA(VLOOKUP(B272,'S-FG'!$B$3:$B1001,1,FALSE),"")</f>
        <v>#NAME?</v>
      </c>
      <c r="H272" t="str">
        <f ca="1">IFERROR(__xludf.DUMMYFUNCTION("""COMPUTED_VALUE"""),"STBD Battery Assy")</f>
        <v>STBD Battery Assy</v>
      </c>
      <c r="I272" t="str">
        <f ca="1">IFERROR(__xludf.DUMMYFUNCTION("""COMPUTED_VALUE"""),"8mm male bullet connector")</f>
        <v>8mm male bullet connector</v>
      </c>
      <c r="J272">
        <f ca="1">IFERROR(__xludf.DUMMYFUNCTION("""COMPUTED_VALUE"""),1)</f>
        <v>1</v>
      </c>
      <c r="K272" t="str">
        <f ca="1">IFERROR(__xludf.DUMMYFUNCTION("""COMPUTED_VALUE"""),"blank")</f>
        <v>blank</v>
      </c>
      <c r="L272">
        <f t="shared" ca="1" si="4"/>
        <v>0</v>
      </c>
      <c r="Q272" t="str">
        <f>IF(N272="","",SUMIFS(Issue!$D$3:$D1001,Issue!$C$3:$C1001,N272))</f>
        <v/>
      </c>
      <c r="S272" t="str">
        <f ca="1">IFERROR(__xludf.DUMMYFUNCTION("""COMPUTED_VALUE"""),"6mm female bullet connector")</f>
        <v>6mm female bullet connector</v>
      </c>
      <c r="X272" t="e">
        <f ca="1"/>
        <v>#NAME?</v>
      </c>
      <c r="Y272" t="e">
        <f t="shared" ca="1" si="5"/>
        <v>#NAME?</v>
      </c>
      <c r="Z272" t="e">
        <f ca="1">IF(X272="","",SUMIFS(#REF!,RM!$C$4:$C991,X272))</f>
        <v>#NAME?</v>
      </c>
      <c r="AA272" t="e">
        <f ca="1">IF(X272="","",SUMIFS(#REF!,RM!$C$4:$C991,X272))</f>
        <v>#NAME?</v>
      </c>
      <c r="AB272" t="e">
        <f t="shared" ca="1" si="6"/>
        <v>#NAME?</v>
      </c>
      <c r="AC272" t="e">
        <f ca="1">IF(X272="","",VLOOKUP($X272,RM!$C$4:$G991,3,FALSE))</f>
        <v>#NAME?</v>
      </c>
      <c r="AD272" t="e">
        <f ca="1">IF(X272="","",VLOOKUP($X272,RM!$C$4:$G991,4,FALSE))</f>
        <v>#NAME?</v>
      </c>
      <c r="AE272" t="e">
        <f ca="1">IF(X272="","",VLOOKUP($X272,RM!$C$4:$G991,5,FALSE))</f>
        <v>#NAME?</v>
      </c>
      <c r="AG272" t="str">
        <f ca="1">IFERROR(__xludf.DUMMYFUNCTION("""COMPUTED_VALUE"""),"Electronic Box Assy")</f>
        <v>Electronic Box Assy</v>
      </c>
      <c r="AH272" t="str">
        <f ca="1">IFERROR(__xludf.DUMMYFUNCTION("""COMPUTED_VALUE"""),"Current Sensor Assy")</f>
        <v>Current Sensor Assy</v>
      </c>
      <c r="AI272">
        <f ca="1">IFERROR(__xludf.DUMMYFUNCTION("""COMPUTED_VALUE"""),0)</f>
        <v>0</v>
      </c>
      <c r="AJ272">
        <f ca="1">IFERROR(__xludf.DUMMYFUNCTION("""COMPUTED_VALUE"""),15)</f>
        <v>15</v>
      </c>
      <c r="AK272" t="e">
        <f ca="1">_xludf.IFNA(VLOOKUP(AG272,'S-FG'!$B$3:$B1001,1,FALSE),"")</f>
        <v>#NAME?</v>
      </c>
      <c r="AL272" t="e">
        <f ca="1">IF(AH272="","",SUMIFS(#REF!,RM!$C$4:$C991,AH272))</f>
        <v>#REF!</v>
      </c>
    </row>
    <row r="273" spans="5:38">
      <c r="E273" t="str">
        <f>IF(A273="","",SUMIFS(Issue!$D$3:$D1001,Issue!$C$3:$C1001,A273)*C273)</f>
        <v/>
      </c>
      <c r="F273" t="e">
        <f ca="1">_xludf.IFNA(VLOOKUP(B273,'S-FG'!$B$3:$B1001,1,FALSE),"")</f>
        <v>#NAME?</v>
      </c>
      <c r="H273" t="str">
        <f ca="1">IFERROR(__xludf.DUMMYFUNCTION("""COMPUTED_VALUE"""),"STBD Battery Assy")</f>
        <v>STBD Battery Assy</v>
      </c>
      <c r="I273" t="str">
        <f ca="1">IFERROR(__xludf.DUMMYFUNCTION("""COMPUTED_VALUE"""),"Black 8AWG")</f>
        <v>Black 8AWG</v>
      </c>
      <c r="J273">
        <f ca="1">IFERROR(__xludf.DUMMYFUNCTION("""COMPUTED_VALUE"""),0.65)</f>
        <v>0.65</v>
      </c>
      <c r="K273" t="str">
        <f ca="1">IFERROR(__xludf.DUMMYFUNCTION("""COMPUTED_VALUE"""),"blank")</f>
        <v>blank</v>
      </c>
      <c r="L273">
        <f t="shared" ca="1" si="4"/>
        <v>0</v>
      </c>
      <c r="Q273" t="str">
        <f>IF(N273="","",SUMIFS(Issue!$D$3:$D1001,Issue!$C$3:$C1001,N273))</f>
        <v/>
      </c>
      <c r="S273" t="str">
        <f ca="1">IFERROR(__xludf.DUMMYFUNCTION("""COMPUTED_VALUE"""),"8mm male bullet connector")</f>
        <v>8mm male bullet connector</v>
      </c>
      <c r="X273" t="e">
        <f ca="1"/>
        <v>#NAME?</v>
      </c>
      <c r="Y273" t="e">
        <f t="shared" ca="1" si="5"/>
        <v>#NAME?</v>
      </c>
      <c r="Z273" t="e">
        <f ca="1">IF(X273="","",SUMIFS(#REF!,RM!$C$4:$C991,X273))</f>
        <v>#NAME?</v>
      </c>
      <c r="AA273" t="e">
        <f ca="1">IF(X273="","",SUMIFS(#REF!,RM!$C$4:$C991,X273))</f>
        <v>#NAME?</v>
      </c>
      <c r="AB273" t="e">
        <f t="shared" ca="1" si="6"/>
        <v>#NAME?</v>
      </c>
      <c r="AC273" t="e">
        <f ca="1">IF(X273="","",VLOOKUP($X273,RM!$C$4:$G991,3,FALSE))</f>
        <v>#NAME?</v>
      </c>
      <c r="AD273" t="e">
        <f ca="1">IF(X273="","",VLOOKUP($X273,RM!$C$4:$G991,4,FALSE))</f>
        <v>#NAME?</v>
      </c>
      <c r="AE273" t="e">
        <f ca="1">IF(X273="","",VLOOKUP($X273,RM!$C$4:$G991,5,FALSE))</f>
        <v>#NAME?</v>
      </c>
      <c r="AG273" t="str">
        <f ca="1">IFERROR(__xludf.DUMMYFUNCTION("""COMPUTED_VALUE"""),"Electronic Box Assy")</f>
        <v>Electronic Box Assy</v>
      </c>
      <c r="AH273" t="str">
        <f ca="1">IFERROR(__xludf.DUMMYFUNCTION("""COMPUTED_VALUE"""),"A21 MotherBoard Assy")</f>
        <v>A21 MotherBoard Assy</v>
      </c>
      <c r="AI273">
        <f ca="1">IFERROR(__xludf.DUMMYFUNCTION("""COMPUTED_VALUE"""),0)</f>
        <v>0</v>
      </c>
      <c r="AJ273" t="str">
        <f ca="1">IFERROR(__xludf.DUMMYFUNCTION("""COMPUTED_VALUE"""),"blank")</f>
        <v>blank</v>
      </c>
      <c r="AK273" t="e">
        <f ca="1">_xludf.IFNA(VLOOKUP(AG273,'S-FG'!$B$3:$B1001,1,FALSE),"")</f>
        <v>#NAME?</v>
      </c>
      <c r="AL273" t="e">
        <f ca="1">IF(AH273="","",SUMIFS(#REF!,RM!$C$4:$C991,AH273))</f>
        <v>#REF!</v>
      </c>
    </row>
    <row r="274" spans="5:38">
      <c r="E274" t="str">
        <f>IF(A274="","",SUMIFS(Issue!$D$3:$D1001,Issue!$C$3:$C1001,A274)*C274)</f>
        <v/>
      </c>
      <c r="F274" t="e">
        <f ca="1">_xludf.IFNA(VLOOKUP(B274,'S-FG'!$B$3:$B1001,1,FALSE),"")</f>
        <v>#NAME?</v>
      </c>
      <c r="H274" t="str">
        <f ca="1">IFERROR(__xludf.DUMMYFUNCTION("""COMPUTED_VALUE"""),"STBD Battery Assy")</f>
        <v>STBD Battery Assy</v>
      </c>
      <c r="I274" t="str">
        <f ca="1">IFERROR(__xludf.DUMMYFUNCTION("""COMPUTED_VALUE"""),"Red 8AWG")</f>
        <v>Red 8AWG</v>
      </c>
      <c r="J274">
        <f ca="1">IFERROR(__xludf.DUMMYFUNCTION("""COMPUTED_VALUE"""),0.65)</f>
        <v>0.65</v>
      </c>
      <c r="K274" t="str">
        <f ca="1">IFERROR(__xludf.DUMMYFUNCTION("""COMPUTED_VALUE"""),"blank")</f>
        <v>blank</v>
      </c>
      <c r="L274">
        <f t="shared" ca="1" si="4"/>
        <v>0</v>
      </c>
      <c r="Q274" t="str">
        <f>IF(N274="","",SUMIFS(Issue!$D$3:$D1001,Issue!$C$3:$C1001,N274))</f>
        <v/>
      </c>
      <c r="S274" t="str">
        <f ca="1">IFERROR(__xludf.DUMMYFUNCTION("""COMPUTED_VALUE"""),"Black 8AWG")</f>
        <v>Black 8AWG</v>
      </c>
      <c r="X274" t="e">
        <f ca="1"/>
        <v>#NAME?</v>
      </c>
      <c r="Y274" t="e">
        <f t="shared" ca="1" si="5"/>
        <v>#NAME?</v>
      </c>
      <c r="Z274" t="e">
        <f ca="1">IF(X274="","",SUMIFS(#REF!,RM!$C$4:$C991,X274))</f>
        <v>#NAME?</v>
      </c>
      <c r="AA274" t="e">
        <f ca="1">IF(X274="","",SUMIFS(#REF!,RM!$C$4:$C991,X274))</f>
        <v>#NAME?</v>
      </c>
      <c r="AB274" t="e">
        <f t="shared" ca="1" si="6"/>
        <v>#NAME?</v>
      </c>
      <c r="AC274" t="e">
        <f ca="1">IF(X274="","",VLOOKUP($X274,RM!$C$4:$G991,3,FALSE))</f>
        <v>#NAME?</v>
      </c>
      <c r="AD274" t="e">
        <f ca="1">IF(X274="","",VLOOKUP($X274,RM!$C$4:$G991,4,FALSE))</f>
        <v>#NAME?</v>
      </c>
      <c r="AE274" t="e">
        <f ca="1">IF(X274="","",VLOOKUP($X274,RM!$C$4:$G991,5,FALSE))</f>
        <v>#NAME?</v>
      </c>
      <c r="AG274" t="str">
        <f ca="1">IFERROR(__xludf.DUMMYFUNCTION("""COMPUTED_VALUE"""),"FL_STBD Elec")</f>
        <v>FL_STBD Elec</v>
      </c>
      <c r="AH274" t="str">
        <f ca="1">IFERROR(__xludf.DUMMYFUNCTION("""COMPUTED_VALUE"""),"2mm male bullet connector")</f>
        <v>2mm male bullet connector</v>
      </c>
      <c r="AI274">
        <f ca="1">IFERROR(__xludf.DUMMYFUNCTION("""COMPUTED_VALUE"""),2)</f>
        <v>2</v>
      </c>
      <c r="AJ274" t="str">
        <f ca="1">IFERROR(__xludf.DUMMYFUNCTION("""COMPUTED_VALUE"""),"blank")</f>
        <v>blank</v>
      </c>
      <c r="AK274" t="e">
        <f ca="1">_xludf.IFNA(VLOOKUP(AG274,'S-FG'!$B$3:$B1001,1,FALSE),"")</f>
        <v>#NAME?</v>
      </c>
      <c r="AL274" t="e">
        <f ca="1">IF(AH274="","",SUMIFS(#REF!,RM!$C$4:$C991,AH274))</f>
        <v>#REF!</v>
      </c>
    </row>
    <row r="275" spans="5:38">
      <c r="E275" t="str">
        <f>IF(A275="","",SUMIFS(Issue!$D$3:$D1001,Issue!$C$3:$C1001,A275)*C275)</f>
        <v/>
      </c>
      <c r="F275" t="e">
        <f ca="1">_xludf.IFNA(VLOOKUP(B275,'S-FG'!$B$3:$B1001,1,FALSE),"")</f>
        <v>#NAME?</v>
      </c>
      <c r="H275" t="str">
        <f ca="1">IFERROR(__xludf.DUMMYFUNCTION("""COMPUTED_VALUE"""),"STBD Battery Assy")</f>
        <v>STBD Battery Assy</v>
      </c>
      <c r="I275" t="str">
        <f ca="1">IFERROR(__xludf.DUMMYFUNCTION("""COMPUTED_VALUE"""),"Soldering flux")</f>
        <v>Soldering flux</v>
      </c>
      <c r="J275">
        <f ca="1">IFERROR(__xludf.DUMMYFUNCTION("""COMPUTED_VALUE"""),5)</f>
        <v>5</v>
      </c>
      <c r="L275">
        <f t="shared" ca="1" si="4"/>
        <v>0</v>
      </c>
      <c r="Q275" t="str">
        <f>IF(N275="","",SUMIFS(Issue!$D$3:$D1001,Issue!$C$3:$C1001,N275))</f>
        <v/>
      </c>
      <c r="S275" t="str">
        <f ca="1">IFERROR(__xludf.DUMMYFUNCTION("""COMPUTED_VALUE"""),"Red 8AWG")</f>
        <v>Red 8AWG</v>
      </c>
      <c r="X275" t="e">
        <f ca="1"/>
        <v>#NAME?</v>
      </c>
      <c r="Y275" t="e">
        <f t="shared" ca="1" si="5"/>
        <v>#NAME?</v>
      </c>
      <c r="Z275" t="e">
        <f ca="1">IF(X275="","",SUMIFS(#REF!,RM!$C$4:$C991,X275))</f>
        <v>#NAME?</v>
      </c>
      <c r="AA275" t="e">
        <f ca="1">IF(X275="","",SUMIFS(#REF!,RM!$C$4:$C991,X275))</f>
        <v>#NAME?</v>
      </c>
      <c r="AB275" t="e">
        <f t="shared" ca="1" si="6"/>
        <v>#NAME?</v>
      </c>
      <c r="AC275" t="e">
        <f ca="1">IF(X275="","",VLOOKUP($X275,RM!$C$4:$G991,3,FALSE))</f>
        <v>#NAME?</v>
      </c>
      <c r="AD275" t="e">
        <f ca="1">IF(X275="","",VLOOKUP($X275,RM!$C$4:$G991,4,FALSE))</f>
        <v>#NAME?</v>
      </c>
      <c r="AE275" t="e">
        <f ca="1">IF(X275="","",VLOOKUP($X275,RM!$C$4:$G991,5,FALSE))</f>
        <v>#NAME?</v>
      </c>
      <c r="AG275" t="str">
        <f ca="1">IFERROR(__xludf.DUMMYFUNCTION("""COMPUTED_VALUE"""),"FL_STBD Elec")</f>
        <v>FL_STBD Elec</v>
      </c>
      <c r="AH275" t="str">
        <f ca="1">IFERROR(__xludf.DUMMYFUNCTION("""COMPUTED_VALUE"""),"PWB of STBD flash light")</f>
        <v>PWB of STBD flash light</v>
      </c>
      <c r="AI275">
        <f ca="1">IFERROR(__xludf.DUMMYFUNCTION("""COMPUTED_VALUE"""),1)</f>
        <v>1</v>
      </c>
      <c r="AJ275" t="str">
        <f ca="1">IFERROR(__xludf.DUMMYFUNCTION("""COMPUTED_VALUE"""),"blank")</f>
        <v>blank</v>
      </c>
      <c r="AK275" t="e">
        <f ca="1">_xludf.IFNA(VLOOKUP(AG275,'S-FG'!$B$3:$B1001,1,FALSE),"")</f>
        <v>#NAME?</v>
      </c>
      <c r="AL275" t="e">
        <f ca="1">IF(AH275="","",SUMIFS(#REF!,RM!$C$4:$C991,AH275))</f>
        <v>#REF!</v>
      </c>
    </row>
    <row r="276" spans="5:38">
      <c r="E276" t="str">
        <f>IF(A276="","",SUMIFS(Issue!$D$3:$D1001,Issue!$C$3:$C1001,A276)*C276)</f>
        <v/>
      </c>
      <c r="F276" t="e">
        <f ca="1">_xludf.IFNA(VLOOKUP(B276,'S-FG'!$B$3:$B1001,1,FALSE),"")</f>
        <v>#NAME?</v>
      </c>
      <c r="H276" t="str">
        <f ca="1">IFERROR(__xludf.DUMMYFUNCTION("""COMPUTED_VALUE"""),"STBD Battery Assy")</f>
        <v>STBD Battery Assy</v>
      </c>
      <c r="I276" t="str">
        <f ca="1">IFERROR(__xludf.DUMMYFUNCTION("""COMPUTED_VALUE"""),"2mm FRP 60x70mm")</f>
        <v>2mm FRP 60x70mm</v>
      </c>
      <c r="J276">
        <f ca="1">IFERROR(__xludf.DUMMYFUNCTION("""COMPUTED_VALUE"""),1)</f>
        <v>1</v>
      </c>
      <c r="K276" t="str">
        <f ca="1">IFERROR(__xludf.DUMMYFUNCTION("""COMPUTED_VALUE"""),"blank")</f>
        <v>blank</v>
      </c>
      <c r="L276">
        <f t="shared" ca="1" si="4"/>
        <v>0</v>
      </c>
      <c r="Q276" t="str">
        <f>IF(N276="","",SUMIFS(Issue!$D$3:$D1001,Issue!$C$3:$C1001,N276))</f>
        <v/>
      </c>
      <c r="S276" t="str">
        <f ca="1">IFERROR(__xludf.DUMMYFUNCTION("""COMPUTED_VALUE"""),"Soldering flux")</f>
        <v>Soldering flux</v>
      </c>
      <c r="X276" t="e">
        <f ca="1"/>
        <v>#NAME?</v>
      </c>
      <c r="Y276" t="e">
        <f t="shared" ca="1" si="5"/>
        <v>#NAME?</v>
      </c>
      <c r="Z276" t="e">
        <f ca="1">IF(X276="","",SUMIFS(#REF!,RM!$C$4:$C991,X276))</f>
        <v>#NAME?</v>
      </c>
      <c r="AA276" t="e">
        <f ca="1">IF(X276="","",SUMIFS(#REF!,RM!$C$4:$C991,X276))</f>
        <v>#NAME?</v>
      </c>
      <c r="AB276" t="e">
        <f t="shared" ca="1" si="6"/>
        <v>#NAME?</v>
      </c>
      <c r="AC276" t="e">
        <f ca="1">IF(X276="","",VLOOKUP($X276,RM!$C$4:$G991,3,FALSE))</f>
        <v>#NAME?</v>
      </c>
      <c r="AD276" t="e">
        <f ca="1">IF(X276="","",VLOOKUP($X276,RM!$C$4:$G991,4,FALSE))</f>
        <v>#NAME?</v>
      </c>
      <c r="AE276" t="e">
        <f ca="1">IF(X276="","",VLOOKUP($X276,RM!$C$4:$G991,5,FALSE))</f>
        <v>#NAME?</v>
      </c>
      <c r="AG276" t="str">
        <f ca="1">IFERROR(__xludf.DUMMYFUNCTION("""COMPUTED_VALUE"""),"FL_STBD Elec")</f>
        <v>FL_STBD Elec</v>
      </c>
      <c r="AH276" t="str">
        <f ca="1">IFERROR(__xludf.DUMMYFUNCTION("""COMPUTED_VALUE"""),"Red 14/38 wire")</f>
        <v>Red 14/38 wire</v>
      </c>
      <c r="AI276">
        <f ca="1">IFERROR(__xludf.DUMMYFUNCTION("""COMPUTED_VALUE"""),0.55)</f>
        <v>0.55000000000000004</v>
      </c>
      <c r="AK276" t="e">
        <f ca="1">_xludf.IFNA(VLOOKUP(AG276,'S-FG'!$B$3:$B1001,1,FALSE),"")</f>
        <v>#NAME?</v>
      </c>
      <c r="AL276" t="e">
        <f ca="1">IF(AH276="","",SUMIFS(#REF!,RM!$C$4:$C991,AH276))</f>
        <v>#REF!</v>
      </c>
    </row>
    <row r="277" spans="5:38">
      <c r="E277" t="str">
        <f>IF(A277="","",SUMIFS(Issue!$D$3:$D1001,Issue!$C$3:$C1001,A277)*C277)</f>
        <v/>
      </c>
      <c r="F277" t="e">
        <f ca="1">_xludf.IFNA(VLOOKUP(B277,'S-FG'!$B$3:$B1001,1,FALSE),"")</f>
        <v>#NAME?</v>
      </c>
      <c r="H277" t="str">
        <f ca="1">IFERROR(__xludf.DUMMYFUNCTION("""COMPUTED_VALUE"""),"STBD Battery Assy")</f>
        <v>STBD Battery Assy</v>
      </c>
      <c r="I277" t="str">
        <f ca="1">IFERROR(__xludf.DUMMYFUNCTION("""COMPUTED_VALUE"""),"2mm FRP 60x70mm with 18 mm hole")</f>
        <v>2mm FRP 60x70mm with 18 mm hole</v>
      </c>
      <c r="J277">
        <f ca="1">IFERROR(__xludf.DUMMYFUNCTION("""COMPUTED_VALUE"""),1)</f>
        <v>1</v>
      </c>
      <c r="L277">
        <f t="shared" ca="1" si="4"/>
        <v>0</v>
      </c>
      <c r="Q277" t="str">
        <f>IF(N277="","",SUMIFS(Issue!$D$3:$D1001,Issue!$C$3:$C1001,N277))</f>
        <v/>
      </c>
      <c r="S277" t="str">
        <f ca="1">IFERROR(__xludf.DUMMYFUNCTION("""COMPUTED_VALUE"""),"2mm FRP 60x70mm")</f>
        <v>2mm FRP 60x70mm</v>
      </c>
      <c r="X277" t="e">
        <f ca="1"/>
        <v>#NAME?</v>
      </c>
      <c r="Y277" t="e">
        <f t="shared" ca="1" si="5"/>
        <v>#NAME?</v>
      </c>
      <c r="Z277" t="e">
        <f ca="1">IF(X277="","",SUMIFS(#REF!,RM!$C$4:$C991,X277))</f>
        <v>#NAME?</v>
      </c>
      <c r="AA277" t="e">
        <f ca="1">IF(X277="","",SUMIFS(#REF!,RM!$C$4:$C991,X277))</f>
        <v>#NAME?</v>
      </c>
      <c r="AB277" t="e">
        <f t="shared" ca="1" si="6"/>
        <v>#NAME?</v>
      </c>
      <c r="AC277" t="e">
        <f ca="1">IF(X277="","",VLOOKUP($X277,RM!$C$4:$G991,3,FALSE))</f>
        <v>#NAME?</v>
      </c>
      <c r="AD277" t="e">
        <f ca="1">IF(X277="","",VLOOKUP($X277,RM!$C$4:$G991,4,FALSE))</f>
        <v>#NAME?</v>
      </c>
      <c r="AE277" t="e">
        <f ca="1">IF(X277="","",VLOOKUP($X277,RM!$C$4:$G991,5,FALSE))</f>
        <v>#NAME?</v>
      </c>
      <c r="AG277" t="str">
        <f ca="1">IFERROR(__xludf.DUMMYFUNCTION("""COMPUTED_VALUE"""),"FL_STBD Elec")</f>
        <v>FL_STBD Elec</v>
      </c>
      <c r="AH277" t="str">
        <f ca="1">IFERROR(__xludf.DUMMYFUNCTION("""COMPUTED_VALUE"""),"Black 14/38 Wire")</f>
        <v>Black 14/38 Wire</v>
      </c>
      <c r="AI277">
        <f ca="1">IFERROR(__xludf.DUMMYFUNCTION("""COMPUTED_VALUE"""),0.35)</f>
        <v>0.35</v>
      </c>
      <c r="AK277" t="e">
        <f ca="1">_xludf.IFNA(VLOOKUP(AG277,'S-FG'!$B$3:$B1001,1,FALSE),"")</f>
        <v>#NAME?</v>
      </c>
      <c r="AL277" t="e">
        <f ca="1">IF(AH277="","",SUMIFS(#REF!,RM!$C$4:$C991,AH277))</f>
        <v>#REF!</v>
      </c>
    </row>
    <row r="278" spans="5:38">
      <c r="E278" t="str">
        <f>IF(A278="","",SUMIFS(Issue!$D$3:$D1001,Issue!$C$3:$C1001,A278)*C278)</f>
        <v/>
      </c>
      <c r="F278" t="e">
        <f ca="1">_xludf.IFNA(VLOOKUP(B278,'S-FG'!$B$3:$B1001,1,FALSE),"")</f>
        <v>#NAME?</v>
      </c>
      <c r="H278" t="str">
        <f ca="1">IFERROR(__xludf.DUMMYFUNCTION("""COMPUTED_VALUE"""),"STBD Battery Assy")</f>
        <v>STBD Battery Assy</v>
      </c>
      <c r="I278" t="str">
        <f ca="1">IFERROR(__xludf.DUMMYFUNCTION("""COMPUTED_VALUE"""),"70mm Paper Separator")</f>
        <v>70mm Paper Separator</v>
      </c>
      <c r="J278">
        <f ca="1">IFERROR(__xludf.DUMMYFUNCTION("""COMPUTED_VALUE"""),0.5)</f>
        <v>0.5</v>
      </c>
      <c r="K278" t="str">
        <f ca="1">IFERROR(__xludf.DUMMYFUNCTION("""COMPUTED_VALUE"""),"blank")</f>
        <v>blank</v>
      </c>
      <c r="L278">
        <f t="shared" ca="1" si="4"/>
        <v>0</v>
      </c>
      <c r="Q278" t="str">
        <f>IF(N278="","",SUMIFS(Issue!$D$3:$D1001,Issue!$C$3:$C1001,N278))</f>
        <v/>
      </c>
      <c r="S278" t="str">
        <f ca="1">IFERROR(__xludf.DUMMYFUNCTION("""COMPUTED_VALUE"""),"2mm FRP 60x70mm with 18 mm hole")</f>
        <v>2mm FRP 60x70mm with 18 mm hole</v>
      </c>
      <c r="X278" t="e">
        <f ca="1"/>
        <v>#NAME?</v>
      </c>
      <c r="Y278" t="e">
        <f t="shared" ca="1" si="5"/>
        <v>#NAME?</v>
      </c>
      <c r="Z278" t="e">
        <f ca="1">IF(X278="","",SUMIFS(#REF!,RM!$C$4:$C991,X278))</f>
        <v>#NAME?</v>
      </c>
      <c r="AA278" t="e">
        <f ca="1">IF(X278="","",SUMIFS(#REF!,RM!$C$4:$C991,X278))</f>
        <v>#NAME?</v>
      </c>
      <c r="AB278" t="e">
        <f t="shared" ca="1" si="6"/>
        <v>#NAME?</v>
      </c>
      <c r="AC278" t="e">
        <f ca="1">IF(X278="","",VLOOKUP($X278,RM!$C$4:$G991,3,FALSE))</f>
        <v>#NAME?</v>
      </c>
      <c r="AD278" t="e">
        <f ca="1">IF(X278="","",VLOOKUP($X278,RM!$C$4:$G991,4,FALSE))</f>
        <v>#NAME?</v>
      </c>
      <c r="AE278" t="e">
        <f ca="1">IF(X278="","",VLOOKUP($X278,RM!$C$4:$G991,5,FALSE))</f>
        <v>#NAME?</v>
      </c>
      <c r="AG278" t="str">
        <f ca="1">IFERROR(__xludf.DUMMYFUNCTION("""COMPUTED_VALUE"""),"FL_STBD Elec")</f>
        <v>FL_STBD Elec</v>
      </c>
      <c r="AH278" t="str">
        <f ca="1">IFERROR(__xludf.DUMMYFUNCTION("""COMPUTED_VALUE"""),"Green 2835 SMD LED 1W")</f>
        <v>Green 2835 SMD LED 1W</v>
      </c>
      <c r="AI278">
        <f ca="1">IFERROR(__xludf.DUMMYFUNCTION("""COMPUTED_VALUE"""),4)</f>
        <v>4</v>
      </c>
      <c r="AJ278" t="str">
        <f ca="1">IFERROR(__xludf.DUMMYFUNCTION("""COMPUTED_VALUE"""),"blank")</f>
        <v>blank</v>
      </c>
      <c r="AK278" t="e">
        <f ca="1">_xludf.IFNA(VLOOKUP(AG278,'S-FG'!$B$3:$B1001,1,FALSE),"")</f>
        <v>#NAME?</v>
      </c>
      <c r="AL278" t="e">
        <f ca="1">IF(AH278="","",SUMIFS(#REF!,RM!$C$4:$C991,AH278))</f>
        <v>#REF!</v>
      </c>
    </row>
    <row r="279" spans="5:38">
      <c r="E279" t="str">
        <f>IF(A279="","",SUMIFS(Issue!$D$3:$D1001,Issue!$C$3:$C1001,A279)*C279)</f>
        <v/>
      </c>
      <c r="F279" t="e">
        <f ca="1">_xludf.IFNA(VLOOKUP(B279,'S-FG'!$B$3:$B1001,1,FALSE),"")</f>
        <v>#NAME?</v>
      </c>
      <c r="H279" t="str">
        <f ca="1">IFERROR(__xludf.DUMMYFUNCTION("""COMPUTED_VALUE"""),"STBD Battery Assy")</f>
        <v>STBD Battery Assy</v>
      </c>
      <c r="I279" t="str">
        <f ca="1">IFERROR(__xludf.DUMMYFUNCTION("""COMPUTED_VALUE"""),"16AWG Lead")</f>
        <v>16AWG Lead</v>
      </c>
      <c r="J279">
        <f ca="1">IFERROR(__xludf.DUMMYFUNCTION("""COMPUTED_VALUE"""),30)</f>
        <v>30</v>
      </c>
      <c r="K279" t="str">
        <f ca="1">IFERROR(__xludf.DUMMYFUNCTION("""COMPUTED_VALUE"""),"blank")</f>
        <v>blank</v>
      </c>
      <c r="L279">
        <f t="shared" ca="1" si="4"/>
        <v>0</v>
      </c>
      <c r="Q279" t="str">
        <f>IF(N279="","",SUMIFS(Issue!$D$3:$D1001,Issue!$C$3:$C1001,N279))</f>
        <v/>
      </c>
      <c r="S279" t="str">
        <f ca="1">IFERROR(__xludf.DUMMYFUNCTION("""COMPUTED_VALUE"""),"70mm Paper Separator")</f>
        <v>70mm Paper Separator</v>
      </c>
      <c r="X279" t="e">
        <f ca="1"/>
        <v>#NAME?</v>
      </c>
      <c r="Y279" t="e">
        <f t="shared" ca="1" si="5"/>
        <v>#NAME?</v>
      </c>
      <c r="Z279" t="e">
        <f ca="1">IF(X279="","",SUMIFS(#REF!,RM!$C$4:$C991,X279))</f>
        <v>#NAME?</v>
      </c>
      <c r="AA279" t="e">
        <f ca="1">IF(X279="","",SUMIFS(#REF!,RM!$C$4:$C991,X279))</f>
        <v>#NAME?</v>
      </c>
      <c r="AB279" t="e">
        <f t="shared" ca="1" si="6"/>
        <v>#NAME?</v>
      </c>
      <c r="AC279" t="e">
        <f ca="1">IF(X279="","",VLOOKUP($X279,RM!$C$4:$G991,3,FALSE))</f>
        <v>#NAME?</v>
      </c>
      <c r="AD279" t="e">
        <f ca="1">IF(X279="","",VLOOKUP($X279,RM!$C$4:$G991,4,FALSE))</f>
        <v>#NAME?</v>
      </c>
      <c r="AE279" t="e">
        <f ca="1">IF(X279="","",VLOOKUP($X279,RM!$C$4:$G991,5,FALSE))</f>
        <v>#NAME?</v>
      </c>
      <c r="AG279" t="str">
        <f ca="1">IFERROR(__xludf.DUMMYFUNCTION("""COMPUTED_VALUE"""),"FL_PORT Elec")</f>
        <v>FL_PORT Elec</v>
      </c>
      <c r="AH279" t="str">
        <f ca="1">IFERROR(__xludf.DUMMYFUNCTION("""COMPUTED_VALUE"""),"2mm male bullet connector")</f>
        <v>2mm male bullet connector</v>
      </c>
      <c r="AI279">
        <f ca="1">IFERROR(__xludf.DUMMYFUNCTION("""COMPUTED_VALUE"""),1)</f>
        <v>1</v>
      </c>
      <c r="AJ279" t="str">
        <f ca="1">IFERROR(__xludf.DUMMYFUNCTION("""COMPUTED_VALUE"""),"blank")</f>
        <v>blank</v>
      </c>
      <c r="AK279" t="e">
        <f ca="1">_xludf.IFNA(VLOOKUP(AG279,'S-FG'!$B$3:$B1001,1,FALSE),"")</f>
        <v>#NAME?</v>
      </c>
      <c r="AL279" t="e">
        <f ca="1">IF(AH279="","",SUMIFS(#REF!,RM!$C$4:$C991,AH279))</f>
        <v>#REF!</v>
      </c>
    </row>
    <row r="280" spans="5:38">
      <c r="E280" t="str">
        <f>IF(A280="","",SUMIFS(Issue!$D$3:$D1001,Issue!$C$3:$C1001,A280)*C280)</f>
        <v/>
      </c>
      <c r="F280" t="e">
        <f ca="1">_xludf.IFNA(VLOOKUP(B280,'S-FG'!$B$3:$B1001,1,FALSE),"")</f>
        <v>#NAME?</v>
      </c>
      <c r="H280" t="str">
        <f ca="1">IFERROR(__xludf.DUMMYFUNCTION("""COMPUTED_VALUE"""),"STBD Battery Assy")</f>
        <v>STBD Battery Assy</v>
      </c>
      <c r="I280" t="str">
        <f ca="1">IFERROR(__xludf.DUMMYFUNCTION("""COMPUTED_VALUE"""),"HeatShrink Tube 12:3")</f>
        <v>HeatShrink Tube 12:3</v>
      </c>
      <c r="J280">
        <f ca="1">IFERROR(__xludf.DUMMYFUNCTION("""COMPUTED_VALUE"""),0.06)</f>
        <v>0.06</v>
      </c>
      <c r="K280" t="str">
        <f ca="1">IFERROR(__xludf.DUMMYFUNCTION("""COMPUTED_VALUE"""),"blank")</f>
        <v>blank</v>
      </c>
      <c r="L280">
        <f t="shared" ca="1" si="4"/>
        <v>0</v>
      </c>
      <c r="Q280" t="str">
        <f>IF(N280="","",SUMIFS(Issue!$D$3:$D1001,Issue!$C$3:$C1001,N280))</f>
        <v/>
      </c>
      <c r="S280" t="str">
        <f ca="1">IFERROR(__xludf.DUMMYFUNCTION("""COMPUTED_VALUE"""),"16AWG Lead")</f>
        <v>16AWG Lead</v>
      </c>
      <c r="X280" t="e">
        <f ca="1"/>
        <v>#NAME?</v>
      </c>
      <c r="Y280" t="e">
        <f t="shared" ca="1" si="5"/>
        <v>#NAME?</v>
      </c>
      <c r="Z280" t="e">
        <f ca="1">IF(X280="","",SUMIFS(#REF!,RM!$C$4:$C991,X280))</f>
        <v>#NAME?</v>
      </c>
      <c r="AA280" t="e">
        <f ca="1">IF(X280="","",SUMIFS(#REF!,RM!$C$4:$C991,X280))</f>
        <v>#NAME?</v>
      </c>
      <c r="AB280" t="e">
        <f t="shared" ca="1" si="6"/>
        <v>#NAME?</v>
      </c>
      <c r="AC280" t="e">
        <f ca="1">IF(X280="","",VLOOKUP($X280,RM!$C$4:$G991,3,FALSE))</f>
        <v>#NAME?</v>
      </c>
      <c r="AD280" t="e">
        <f ca="1">IF(X280="","",VLOOKUP($X280,RM!$C$4:$G991,4,FALSE))</f>
        <v>#NAME?</v>
      </c>
      <c r="AE280" t="e">
        <f ca="1">IF(X280="","",VLOOKUP($X280,RM!$C$4:$G991,5,FALSE))</f>
        <v>#NAME?</v>
      </c>
      <c r="AG280" t="str">
        <f ca="1">IFERROR(__xludf.DUMMYFUNCTION("""COMPUTED_VALUE"""),"FL_PORT Elec")</f>
        <v>FL_PORT Elec</v>
      </c>
      <c r="AH280" t="str">
        <f ca="1">IFERROR(__xludf.DUMMYFUNCTION("""COMPUTED_VALUE"""),"2mm Female Bullet connector")</f>
        <v>2mm Female Bullet connector</v>
      </c>
      <c r="AI280">
        <f ca="1">IFERROR(__xludf.DUMMYFUNCTION("""COMPUTED_VALUE"""),1)</f>
        <v>1</v>
      </c>
      <c r="AJ280" t="str">
        <f ca="1">IFERROR(__xludf.DUMMYFUNCTION("""COMPUTED_VALUE"""),"blank")</f>
        <v>blank</v>
      </c>
      <c r="AK280" t="e">
        <f ca="1">_xludf.IFNA(VLOOKUP(AG280,'S-FG'!$B$3:$B1001,1,FALSE),"")</f>
        <v>#NAME?</v>
      </c>
      <c r="AL280" t="e">
        <f ca="1">IF(AH280="","",SUMIFS(#REF!,RM!$C$4:$C991,AH280))</f>
        <v>#REF!</v>
      </c>
    </row>
    <row r="281" spans="5:38">
      <c r="E281" t="str">
        <f>IF(A281="","",SUMIFS(Issue!$D$3:$D1001,Issue!$C$3:$C1001,A281)*C281)</f>
        <v/>
      </c>
      <c r="F281" t="e">
        <f ca="1">_xludf.IFNA(VLOOKUP(B281,'S-FG'!$B$3:$B1001,1,FALSE),"")</f>
        <v>#NAME?</v>
      </c>
      <c r="H281" t="str">
        <f ca="1">IFERROR(__xludf.DUMMYFUNCTION("""COMPUTED_VALUE"""),"STBD Battery Assy")</f>
        <v>STBD Battery Assy</v>
      </c>
      <c r="I281" t="str">
        <f ca="1">IFERROR(__xludf.DUMMYFUNCTION("""COMPUTED_VALUE"""),"STBD Signal CM Assy")</f>
        <v>STBD Signal CM Assy</v>
      </c>
      <c r="J281">
        <f ca="1">IFERROR(__xludf.DUMMYFUNCTION("""COMPUTED_VALUE"""),1)</f>
        <v>1</v>
      </c>
      <c r="K281" t="str">
        <f ca="1">IFERROR(__xludf.DUMMYFUNCTION("""COMPUTED_VALUE"""),"blank")</f>
        <v>blank</v>
      </c>
      <c r="L281">
        <f t="shared" ca="1" si="4"/>
        <v>0</v>
      </c>
      <c r="Q281" t="str">
        <f>IF(N281="","",SUMIFS(Issue!$D$3:$D1001,Issue!$C$3:$C1001,N281))</f>
        <v/>
      </c>
      <c r="S281" t="str">
        <f ca="1">IFERROR(__xludf.DUMMYFUNCTION("""COMPUTED_VALUE"""),"HeatShrink Tube 12:3")</f>
        <v>HeatShrink Tube 12:3</v>
      </c>
      <c r="X281" t="e">
        <f ca="1"/>
        <v>#NAME?</v>
      </c>
      <c r="Y281" t="e">
        <f t="shared" ca="1" si="5"/>
        <v>#NAME?</v>
      </c>
      <c r="Z281" t="e">
        <f ca="1">IF(X281="","",SUMIFS(#REF!,RM!$C$4:$C991,X281))</f>
        <v>#NAME?</v>
      </c>
      <c r="AA281" t="e">
        <f ca="1">IF(X281="","",SUMIFS(#REF!,RM!$C$4:$C991,X281))</f>
        <v>#NAME?</v>
      </c>
      <c r="AB281" t="e">
        <f t="shared" ca="1" si="6"/>
        <v>#NAME?</v>
      </c>
      <c r="AC281" t="e">
        <f ca="1">IF(X281="","",VLOOKUP($X281,RM!$C$4:$G991,3,FALSE))</f>
        <v>#NAME?</v>
      </c>
      <c r="AD281" t="e">
        <f ca="1">IF(X281="","",VLOOKUP($X281,RM!$C$4:$G991,4,FALSE))</f>
        <v>#NAME?</v>
      </c>
      <c r="AE281" t="e">
        <f ca="1">IF(X281="","",VLOOKUP($X281,RM!$C$4:$G991,5,FALSE))</f>
        <v>#NAME?</v>
      </c>
      <c r="AG281" t="str">
        <f ca="1">IFERROR(__xludf.DUMMYFUNCTION("""COMPUTED_VALUE"""),"FL_PORT Elec")</f>
        <v>FL_PORT Elec</v>
      </c>
      <c r="AH281" t="str">
        <f ca="1">IFERROR(__xludf.DUMMYFUNCTION("""COMPUTED_VALUE"""),"PWB of PORT flash light")</f>
        <v>PWB of PORT flash light</v>
      </c>
      <c r="AI281">
        <f ca="1">IFERROR(__xludf.DUMMYFUNCTION("""COMPUTED_VALUE"""),1)</f>
        <v>1</v>
      </c>
      <c r="AJ281" t="str">
        <f ca="1">IFERROR(__xludf.DUMMYFUNCTION("""COMPUTED_VALUE"""),"blank")</f>
        <v>blank</v>
      </c>
      <c r="AK281" t="e">
        <f ca="1">_xludf.IFNA(VLOOKUP(AG281,'S-FG'!$B$3:$B1001,1,FALSE),"")</f>
        <v>#NAME?</v>
      </c>
      <c r="AL281" t="e">
        <f ca="1">IF(AH281="","",SUMIFS(#REF!,RM!$C$4:$C991,AH281))</f>
        <v>#REF!</v>
      </c>
    </row>
    <row r="282" spans="5:38">
      <c r="E282" t="str">
        <f>IF(A282="","",SUMIFS(Issue!$D$3:$D1001,Issue!$C$3:$C1001,A282)*C282)</f>
        <v/>
      </c>
      <c r="F282" t="e">
        <f ca="1">_xludf.IFNA(VLOOKUP(B282,'S-FG'!$B$3:$B1001,1,FALSE),"")</f>
        <v>#NAME?</v>
      </c>
      <c r="H282" t="str">
        <f ca="1">IFERROR(__xludf.DUMMYFUNCTION("""COMPUTED_VALUE"""),"STBD Battery Assy")</f>
        <v>STBD Battery Assy</v>
      </c>
      <c r="I282" t="str">
        <f ca="1">IFERROR(__xludf.DUMMYFUNCTION("""COMPUTED_VALUE"""),"Battery Block Assy")</f>
        <v>Battery Block Assy</v>
      </c>
      <c r="J282">
        <f ca="1">IFERROR(__xludf.DUMMYFUNCTION("""COMPUTED_VALUE"""),0)</f>
        <v>0</v>
      </c>
      <c r="K282" t="str">
        <f ca="1">IFERROR(__xludf.DUMMYFUNCTION("""COMPUTED_VALUE"""),"blank")</f>
        <v>blank</v>
      </c>
      <c r="L282">
        <f t="shared" ca="1" si="4"/>
        <v>0</v>
      </c>
      <c r="Q282" t="str">
        <f>IF(N282="","",SUMIFS(Issue!$D$3:$D1001,Issue!$C$3:$C1001,N282))</f>
        <v/>
      </c>
      <c r="S282" t="str">
        <f ca="1">IFERROR(__xludf.DUMMYFUNCTION("""COMPUTED_VALUE"""),"STBD Signal CM Assy")</f>
        <v>STBD Signal CM Assy</v>
      </c>
      <c r="X282" t="e">
        <f ca="1"/>
        <v>#NAME?</v>
      </c>
      <c r="Y282" t="e">
        <f t="shared" ca="1" si="5"/>
        <v>#NAME?</v>
      </c>
      <c r="Z282" t="e">
        <f ca="1">IF(X282="","",SUMIFS(#REF!,RM!$C$4:$C991,X282))</f>
        <v>#NAME?</v>
      </c>
      <c r="AA282" t="e">
        <f ca="1">IF(X282="","",SUMIFS(#REF!,RM!$C$4:$C991,X282))</f>
        <v>#NAME?</v>
      </c>
      <c r="AB282" t="e">
        <f t="shared" ca="1" si="6"/>
        <v>#NAME?</v>
      </c>
      <c r="AC282" t="e">
        <f ca="1">IF(X282="","",VLOOKUP($X282,RM!$C$4:$G991,3,FALSE))</f>
        <v>#NAME?</v>
      </c>
      <c r="AD282" t="e">
        <f ca="1">IF(X282="","",VLOOKUP($X282,RM!$C$4:$G991,4,FALSE))</f>
        <v>#NAME?</v>
      </c>
      <c r="AE282" t="e">
        <f ca="1">IF(X282="","",VLOOKUP($X282,RM!$C$4:$G991,5,FALSE))</f>
        <v>#NAME?</v>
      </c>
      <c r="AG282" t="str">
        <f ca="1">IFERROR(__xludf.DUMMYFUNCTION("""COMPUTED_VALUE"""),"FL_PORT Elec")</f>
        <v>FL_PORT Elec</v>
      </c>
      <c r="AH282" t="str">
        <f ca="1">IFERROR(__xludf.DUMMYFUNCTION("""COMPUTED_VALUE"""),"Red 14/38 wire")</f>
        <v>Red 14/38 wire</v>
      </c>
      <c r="AI282">
        <f ca="1">IFERROR(__xludf.DUMMYFUNCTION("""COMPUTED_VALUE"""),0.35)</f>
        <v>0.35</v>
      </c>
      <c r="AK282" t="e">
        <f ca="1">_xludf.IFNA(VLOOKUP(AG282,'S-FG'!$B$3:$B1001,1,FALSE),"")</f>
        <v>#NAME?</v>
      </c>
      <c r="AL282" t="e">
        <f ca="1">IF(AH282="","",SUMIFS(#REF!,RM!$C$4:$C991,AH282))</f>
        <v>#REF!</v>
      </c>
    </row>
    <row r="283" spans="5:38">
      <c r="E283" t="str">
        <f>IF(A283="","",SUMIFS(Issue!$D$3:$D1001,Issue!$C$3:$C1001,A283)*C283)</f>
        <v/>
      </c>
      <c r="F283" t="e">
        <f ca="1">_xludf.IFNA(VLOOKUP(B283,'S-FG'!$B$3:$B1001,1,FALSE),"")</f>
        <v>#NAME?</v>
      </c>
      <c r="H283" t="str">
        <f ca="1">IFERROR(__xludf.DUMMYFUNCTION("""COMPUTED_VALUE"""),"STBD Battery Assy")</f>
        <v>STBD Battery Assy</v>
      </c>
      <c r="I283" t="str">
        <f ca="1">IFERROR(__xludf.DUMMYFUNCTION("""COMPUTED_VALUE"""),"HeatShrink Tube 100mm")</f>
        <v>HeatShrink Tube 100mm</v>
      </c>
      <c r="J283">
        <f ca="1">IFERROR(__xludf.DUMMYFUNCTION("""COMPUTED_VALUE"""),0.17)</f>
        <v>0.17</v>
      </c>
      <c r="K283" t="str">
        <f ca="1">IFERROR(__xludf.DUMMYFUNCTION("""COMPUTED_VALUE"""),"blank")</f>
        <v>blank</v>
      </c>
      <c r="L283">
        <f t="shared" ca="1" si="4"/>
        <v>0</v>
      </c>
      <c r="Q283" t="str">
        <f>IF(N283="","",SUMIFS(Issue!$D$3:$D1001,Issue!$C$3:$C1001,N283))</f>
        <v/>
      </c>
      <c r="S283" t="str">
        <f ca="1">IFERROR(__xludf.DUMMYFUNCTION("""COMPUTED_VALUE"""),"Battery Block Assy")</f>
        <v>Battery Block Assy</v>
      </c>
      <c r="X283" t="e">
        <f ca="1"/>
        <v>#NAME?</v>
      </c>
      <c r="Y283" t="e">
        <f t="shared" ca="1" si="5"/>
        <v>#NAME?</v>
      </c>
      <c r="Z283" t="e">
        <f ca="1">IF(X283="","",SUMIFS(#REF!,RM!$C$4:$C991,X283))</f>
        <v>#NAME?</v>
      </c>
      <c r="AA283" t="e">
        <f ca="1">IF(X283="","",SUMIFS(#REF!,RM!$C$4:$C991,X283))</f>
        <v>#NAME?</v>
      </c>
      <c r="AB283" t="e">
        <f t="shared" ca="1" si="6"/>
        <v>#NAME?</v>
      </c>
      <c r="AC283" t="e">
        <f ca="1">IF(X283="","",VLOOKUP($X283,RM!$C$4:$G991,3,FALSE))</f>
        <v>#NAME?</v>
      </c>
      <c r="AD283" t="e">
        <f ca="1">IF(X283="","",VLOOKUP($X283,RM!$C$4:$G991,4,FALSE))</f>
        <v>#NAME?</v>
      </c>
      <c r="AE283" t="e">
        <f ca="1">IF(X283="","",VLOOKUP($X283,RM!$C$4:$G991,5,FALSE))</f>
        <v>#NAME?</v>
      </c>
      <c r="AG283" t="str">
        <f ca="1">IFERROR(__xludf.DUMMYFUNCTION("""COMPUTED_VALUE"""),"FL_PORT Elec")</f>
        <v>FL_PORT Elec</v>
      </c>
      <c r="AH283" t="str">
        <f ca="1">IFERROR(__xludf.DUMMYFUNCTION("""COMPUTED_VALUE"""),"Black 14/38 Wire")</f>
        <v>Black 14/38 Wire</v>
      </c>
      <c r="AI283">
        <f ca="1">IFERROR(__xludf.DUMMYFUNCTION("""COMPUTED_VALUE"""),0.55)</f>
        <v>0.55000000000000004</v>
      </c>
      <c r="AK283" t="e">
        <f ca="1">_xludf.IFNA(VLOOKUP(AG283,'S-FG'!$B$3:$B1001,1,FALSE),"")</f>
        <v>#NAME?</v>
      </c>
      <c r="AL283" t="e">
        <f ca="1">IF(AH283="","",SUMIFS(#REF!,RM!$C$4:$C991,AH283))</f>
        <v>#REF!</v>
      </c>
    </row>
    <row r="284" spans="5:38">
      <c r="E284" t="str">
        <f>IF(A284="","",SUMIFS(Issue!$D$3:$D1001,Issue!$C$3:$C1001,A284)*C284)</f>
        <v/>
      </c>
      <c r="F284" t="e">
        <f ca="1">_xludf.IFNA(VLOOKUP(B284,'S-FG'!$B$3:$B1001,1,FALSE),"")</f>
        <v>#NAME?</v>
      </c>
      <c r="H284" t="str">
        <f ca="1">IFERROR(__xludf.DUMMYFUNCTION("""COMPUTED_VALUE"""),"STBD Battery Assy")</f>
        <v>STBD Battery Assy</v>
      </c>
      <c r="I284" t="str">
        <f ca="1">IFERROR(__xludf.DUMMYFUNCTION("""COMPUTED_VALUE"""),"Teroson MS930")</f>
        <v>Teroson MS930</v>
      </c>
      <c r="J284">
        <f ca="1">IFERROR(__xludf.DUMMYFUNCTION("""COMPUTED_VALUE"""),20)</f>
        <v>20</v>
      </c>
      <c r="K284" t="str">
        <f ca="1">IFERROR(__xludf.DUMMYFUNCTION("""COMPUTED_VALUE"""),"blank")</f>
        <v>blank</v>
      </c>
      <c r="L284">
        <f t="shared" ca="1" si="4"/>
        <v>0</v>
      </c>
      <c r="Q284" t="str">
        <f>IF(N284="","",SUMIFS(Issue!$D$3:$D1001,Issue!$C$3:$C1001,N284))</f>
        <v/>
      </c>
      <c r="S284" t="str">
        <f ca="1">IFERROR(__xludf.DUMMYFUNCTION("""COMPUTED_VALUE"""),"HeatShrink Tube 100mm")</f>
        <v>HeatShrink Tube 100mm</v>
      </c>
      <c r="X284" t="e">
        <f ca="1"/>
        <v>#NAME?</v>
      </c>
      <c r="Y284" t="e">
        <f t="shared" ca="1" si="5"/>
        <v>#NAME?</v>
      </c>
      <c r="Z284" t="e">
        <f ca="1">IF(X284="","",SUMIFS(#REF!,RM!$C$4:$C991,X284))</f>
        <v>#NAME?</v>
      </c>
      <c r="AA284" t="e">
        <f ca="1">IF(X284="","",SUMIFS(#REF!,RM!$C$4:$C991,X284))</f>
        <v>#NAME?</v>
      </c>
      <c r="AB284" t="e">
        <f t="shared" ca="1" si="6"/>
        <v>#NAME?</v>
      </c>
      <c r="AC284" t="e">
        <f ca="1">IF(X284="","",VLOOKUP($X284,RM!$C$4:$G991,3,FALSE))</f>
        <v>#NAME?</v>
      </c>
      <c r="AD284" t="e">
        <f ca="1">IF(X284="","",VLOOKUP($X284,RM!$C$4:$G991,4,FALSE))</f>
        <v>#NAME?</v>
      </c>
      <c r="AE284" t="e">
        <f ca="1">IF(X284="","",VLOOKUP($X284,RM!$C$4:$G991,5,FALSE))</f>
        <v>#NAME?</v>
      </c>
      <c r="AG284" t="str">
        <f ca="1">IFERROR(__xludf.DUMMYFUNCTION("""COMPUTED_VALUE"""),"FL_PORT Elec")</f>
        <v>FL_PORT Elec</v>
      </c>
      <c r="AH284" t="str">
        <f ca="1">IFERROR(__xludf.DUMMYFUNCTION("""COMPUTED_VALUE"""),"Red 2835 SMD LED 1W")</f>
        <v>Red 2835 SMD LED 1W</v>
      </c>
      <c r="AI284">
        <f ca="1">IFERROR(__xludf.DUMMYFUNCTION("""COMPUTED_VALUE"""),6)</f>
        <v>6</v>
      </c>
      <c r="AJ284" t="str">
        <f ca="1">IFERROR(__xludf.DUMMYFUNCTION("""COMPUTED_VALUE"""),"blank")</f>
        <v>blank</v>
      </c>
      <c r="AK284" t="e">
        <f ca="1">_xludf.IFNA(VLOOKUP(AG284,'S-FG'!$B$3:$B1001,1,FALSE),"")</f>
        <v>#NAME?</v>
      </c>
      <c r="AL284" t="e">
        <f ca="1">IF(AH284="","",SUMIFS(#REF!,RM!$C$4:$C991,AH284))</f>
        <v>#REF!</v>
      </c>
    </row>
    <row r="285" spans="5:38">
      <c r="E285" t="str">
        <f>IF(A285="","",SUMIFS(Issue!$D$3:$D1001,Issue!$C$3:$C1001,A285)*C285)</f>
        <v/>
      </c>
      <c r="F285" t="e">
        <f ca="1">_xludf.IFNA(VLOOKUP(B285,'S-FG'!$B$3:$B1001,1,FALSE),"")</f>
        <v>#NAME?</v>
      </c>
      <c r="H285" t="str">
        <f ca="1">IFERROR(__xludf.DUMMYFUNCTION("""COMPUTED_VALUE"""),"PORT Battery Assy")</f>
        <v>PORT Battery Assy</v>
      </c>
      <c r="I285" t="str">
        <f ca="1">IFERROR(__xludf.DUMMYFUNCTION("""COMPUTED_VALUE"""),"4mm Female Bullet connector")</f>
        <v>4mm Female Bullet connector</v>
      </c>
      <c r="J285">
        <f ca="1">IFERROR(__xludf.DUMMYFUNCTION("""COMPUTED_VALUE"""),2)</f>
        <v>2</v>
      </c>
      <c r="K285" t="str">
        <f ca="1">IFERROR(__xludf.DUMMYFUNCTION("""COMPUTED_VALUE"""),"blank")</f>
        <v>blank</v>
      </c>
      <c r="L285">
        <f t="shared" ca="1" si="4"/>
        <v>0</v>
      </c>
      <c r="Q285" t="str">
        <f>IF(N285="","",SUMIFS(Issue!$D$3:$D1001,Issue!$C$3:$C1001,N285))</f>
        <v/>
      </c>
      <c r="S285" t="str">
        <f ca="1">IFERROR(__xludf.DUMMYFUNCTION("""COMPUTED_VALUE"""),"Teroson MS930")</f>
        <v>Teroson MS930</v>
      </c>
      <c r="X285" t="e">
        <f ca="1"/>
        <v>#NAME?</v>
      </c>
      <c r="Y285" t="e">
        <f t="shared" ca="1" si="5"/>
        <v>#NAME?</v>
      </c>
      <c r="Z285" t="e">
        <f ca="1">IF(X285="","",SUMIFS(#REF!,RM!$C$4:$C991,X285))</f>
        <v>#NAME?</v>
      </c>
      <c r="AA285" t="e">
        <f ca="1">IF(X285="","",SUMIFS(#REF!,RM!$C$4:$C991,X285))</f>
        <v>#NAME?</v>
      </c>
      <c r="AB285" t="e">
        <f t="shared" ca="1" si="6"/>
        <v>#NAME?</v>
      </c>
      <c r="AC285" t="e">
        <f ca="1">IF(X285="","",VLOOKUP($X285,RM!$C$4:$G991,3,FALSE))</f>
        <v>#NAME?</v>
      </c>
      <c r="AD285" t="e">
        <f ca="1">IF(X285="","",VLOOKUP($X285,RM!$C$4:$G991,4,FALSE))</f>
        <v>#NAME?</v>
      </c>
      <c r="AE285" t="e">
        <f ca="1">IF(X285="","",VLOOKUP($X285,RM!$C$4:$G991,5,FALSE))</f>
        <v>#NAME?</v>
      </c>
      <c r="AG285" t="str">
        <f ca="1">IFERROR(__xludf.DUMMYFUNCTION("""COMPUTED_VALUE"""),"FL_STBD Mech")</f>
        <v>FL_STBD Mech</v>
      </c>
      <c r="AH285" t="str">
        <f ca="1">IFERROR(__xludf.DUMMYFUNCTION("""COMPUTED_VALUE"""),"M3x8 Button Head")</f>
        <v>M3x8 Button Head</v>
      </c>
      <c r="AI285">
        <f ca="1">IFERROR(__xludf.DUMMYFUNCTION("""COMPUTED_VALUE"""),6)</f>
        <v>6</v>
      </c>
      <c r="AJ285" t="str">
        <f ca="1">IFERROR(__xludf.DUMMYFUNCTION("""COMPUTED_VALUE"""),"blank")</f>
        <v>blank</v>
      </c>
      <c r="AK285" t="e">
        <f ca="1">_xludf.IFNA(VLOOKUP(AG285,'S-FG'!$B$3:$B1001,1,FALSE),"")</f>
        <v>#NAME?</v>
      </c>
      <c r="AL285" t="e">
        <f ca="1">IF(AH285="","",SUMIFS(#REF!,RM!$C$4:$C991,AH285))</f>
        <v>#REF!</v>
      </c>
    </row>
    <row r="286" spans="5:38">
      <c r="E286" t="str">
        <f>IF(A286="","",SUMIFS(Issue!$D$3:$D1001,Issue!$C$3:$C1001,A286)*C286)</f>
        <v/>
      </c>
      <c r="F286" t="e">
        <f ca="1">_xludf.IFNA(VLOOKUP(B286,'S-FG'!$B$3:$B1001,1,FALSE),"")</f>
        <v>#NAME?</v>
      </c>
      <c r="H286" t="str">
        <f ca="1">IFERROR(__xludf.DUMMYFUNCTION("""COMPUTED_VALUE"""),"PORT Battery Assy")</f>
        <v>PORT Battery Assy</v>
      </c>
      <c r="I286" t="str">
        <f ca="1">IFERROR(__xludf.DUMMYFUNCTION("""COMPUTED_VALUE"""),"2mm Female Bullet connector")</f>
        <v>2mm Female Bullet connector</v>
      </c>
      <c r="J286">
        <f ca="1">IFERROR(__xludf.DUMMYFUNCTION("""COMPUTED_VALUE"""),1)</f>
        <v>1</v>
      </c>
      <c r="K286" t="str">
        <f ca="1">IFERROR(__xludf.DUMMYFUNCTION("""COMPUTED_VALUE"""),"blank")</f>
        <v>blank</v>
      </c>
      <c r="L286">
        <f t="shared" ca="1" si="4"/>
        <v>0</v>
      </c>
      <c r="Q286" t="str">
        <f>IF(N286="","",SUMIFS(Issue!$D$3:$D1001,Issue!$C$3:$C1001,N286))</f>
        <v/>
      </c>
      <c r="S286" t="str">
        <f ca="1">IFERROR(__xludf.DUMMYFUNCTION("""COMPUTED_VALUE"""),"4mm Female Bullet connector")</f>
        <v>4mm Female Bullet connector</v>
      </c>
      <c r="X286" t="e">
        <f ca="1"/>
        <v>#NAME?</v>
      </c>
      <c r="Y286" t="e">
        <f t="shared" ca="1" si="5"/>
        <v>#NAME?</v>
      </c>
      <c r="Z286" t="e">
        <f ca="1">IF(X286="","",SUMIFS(#REF!,RM!$C$4:$C991,X286))</f>
        <v>#NAME?</v>
      </c>
      <c r="AA286" t="e">
        <f ca="1">IF(X286="","",SUMIFS(#REF!,RM!$C$4:$C991,X286))</f>
        <v>#NAME?</v>
      </c>
      <c r="AB286" t="e">
        <f t="shared" ca="1" si="6"/>
        <v>#NAME?</v>
      </c>
      <c r="AC286" t="e">
        <f ca="1">IF(X286="","",VLOOKUP($X286,RM!$C$4:$G991,3,FALSE))</f>
        <v>#NAME?</v>
      </c>
      <c r="AD286" t="e">
        <f ca="1">IF(X286="","",VLOOKUP($X286,RM!$C$4:$G991,4,FALSE))</f>
        <v>#NAME?</v>
      </c>
      <c r="AE286" t="e">
        <f ca="1">IF(X286="","",VLOOKUP($X286,RM!$C$4:$G991,5,FALSE))</f>
        <v>#NAME?</v>
      </c>
      <c r="AG286" t="str">
        <f ca="1">IFERROR(__xludf.DUMMYFUNCTION("""COMPUTED_VALUE"""),"FL_STBD Mech")</f>
        <v>FL_STBD Mech</v>
      </c>
      <c r="AH286" t="str">
        <f ca="1">IFERROR(__xludf.DUMMYFUNCTION("""COMPUTED_VALUE"""),"Flashing Light glass")</f>
        <v>Flashing Light glass</v>
      </c>
      <c r="AI286">
        <f ca="1">IFERROR(__xludf.DUMMYFUNCTION("""COMPUTED_VALUE"""),1)</f>
        <v>1</v>
      </c>
      <c r="AJ286" t="str">
        <f ca="1">IFERROR(__xludf.DUMMYFUNCTION("""COMPUTED_VALUE"""),"blank")</f>
        <v>blank</v>
      </c>
      <c r="AK286" t="e">
        <f ca="1">_xludf.IFNA(VLOOKUP(AG286,'S-FG'!$B$3:$B1001,1,FALSE),"")</f>
        <v>#NAME?</v>
      </c>
      <c r="AL286" t="e">
        <f ca="1">IF(AH286="","",SUMIFS(#REF!,RM!$C$4:$C991,AH286))</f>
        <v>#REF!</v>
      </c>
    </row>
    <row r="287" spans="5:38">
      <c r="E287" t="str">
        <f>IF(A287="","",SUMIFS(Issue!$D$3:$D1001,Issue!$C$3:$C1001,A287)*C287)</f>
        <v/>
      </c>
      <c r="F287" t="e">
        <f ca="1">_xludf.IFNA(VLOOKUP(B287,'S-FG'!$B$3:$B1001,1,FALSE),"")</f>
        <v>#NAME?</v>
      </c>
      <c r="H287" t="str">
        <f ca="1">IFERROR(__xludf.DUMMYFUNCTION("""COMPUTED_VALUE"""),"PORT Battery Assy")</f>
        <v>PORT Battery Assy</v>
      </c>
      <c r="I287" t="str">
        <f ca="1">IFERROR(__xludf.DUMMYFUNCTION("""COMPUTED_VALUE"""),"8mm female bullet connector")</f>
        <v>8mm female bullet connector</v>
      </c>
      <c r="J287">
        <f ca="1">IFERROR(__xludf.DUMMYFUNCTION("""COMPUTED_VALUE"""),1)</f>
        <v>1</v>
      </c>
      <c r="K287" t="str">
        <f ca="1">IFERROR(__xludf.DUMMYFUNCTION("""COMPUTED_VALUE"""),"blank")</f>
        <v>blank</v>
      </c>
      <c r="L287">
        <f t="shared" ca="1" si="4"/>
        <v>0</v>
      </c>
      <c r="Q287" t="str">
        <f>IF(N287="","",SUMIFS(Issue!$D$3:$D1001,Issue!$C$3:$C1001,N287))</f>
        <v/>
      </c>
      <c r="S287" t="str">
        <f ca="1">IFERROR(__xludf.DUMMYFUNCTION("""COMPUTED_VALUE"""),"2mm Female Bullet connector")</f>
        <v>2mm Female Bullet connector</v>
      </c>
      <c r="X287" t="e">
        <f ca="1"/>
        <v>#NAME?</v>
      </c>
      <c r="Y287" t="e">
        <f t="shared" ca="1" si="5"/>
        <v>#NAME?</v>
      </c>
      <c r="Z287" t="e">
        <f ca="1">IF(X287="","",SUMIFS(#REF!,RM!$C$4:$C991,X287))</f>
        <v>#NAME?</v>
      </c>
      <c r="AA287" t="e">
        <f ca="1">IF(X287="","",SUMIFS(#REF!,RM!$C$4:$C991,X287))</f>
        <v>#NAME?</v>
      </c>
      <c r="AB287" t="e">
        <f t="shared" ca="1" si="6"/>
        <v>#NAME?</v>
      </c>
      <c r="AC287" t="e">
        <f ca="1">IF(X287="","",VLOOKUP($X287,RM!$C$4:$G991,3,FALSE))</f>
        <v>#NAME?</v>
      </c>
      <c r="AD287" t="e">
        <f ca="1">IF(X287="","",VLOOKUP($X287,RM!$C$4:$G991,4,FALSE))</f>
        <v>#NAME?</v>
      </c>
      <c r="AE287" t="e">
        <f ca="1">IF(X287="","",VLOOKUP($X287,RM!$C$4:$G991,5,FALSE))</f>
        <v>#NAME?</v>
      </c>
      <c r="AG287" t="str">
        <f ca="1">IFERROR(__xludf.DUMMYFUNCTION("""COMPUTED_VALUE"""),"FL_STBD Mech")</f>
        <v>FL_STBD Mech</v>
      </c>
      <c r="AH287" t="str">
        <f ca="1">IFERROR(__xludf.DUMMYFUNCTION("""COMPUTED_VALUE"""),"Flashing Light bottom plate")</f>
        <v>Flashing Light bottom plate</v>
      </c>
      <c r="AI287">
        <f ca="1">IFERROR(__xludf.DUMMYFUNCTION("""COMPUTED_VALUE"""),1)</f>
        <v>1</v>
      </c>
      <c r="AJ287" t="str">
        <f ca="1">IFERROR(__xludf.DUMMYFUNCTION("""COMPUTED_VALUE"""),"blank")</f>
        <v>blank</v>
      </c>
      <c r="AK287" t="e">
        <f ca="1">_xludf.IFNA(VLOOKUP(AG287,'S-FG'!$B$3:$B1001,1,FALSE),"")</f>
        <v>#NAME?</v>
      </c>
      <c r="AL287" t="e">
        <f ca="1">IF(AH287="","",SUMIFS(#REF!,RM!$C$4:$C991,AH287))</f>
        <v>#REF!</v>
      </c>
    </row>
    <row r="288" spans="5:38">
      <c r="E288" t="str">
        <f>IF(A288="","",SUMIFS(Issue!$D$3:$D1001,Issue!$C$3:$C1001,A288)*C288)</f>
        <v/>
      </c>
      <c r="F288" t="e">
        <f ca="1">_xludf.IFNA(VLOOKUP(B288,'S-FG'!$B$3:$B1001,1,FALSE),"")</f>
        <v>#NAME?</v>
      </c>
      <c r="H288" t="str">
        <f ca="1">IFERROR(__xludf.DUMMYFUNCTION("""COMPUTED_VALUE"""),"PORT Battery Assy")</f>
        <v>PORT Battery Assy</v>
      </c>
      <c r="I288" t="str">
        <f ca="1">IFERROR(__xludf.DUMMYFUNCTION("""COMPUTED_VALUE"""),"Red 8AWG")</f>
        <v>Red 8AWG</v>
      </c>
      <c r="J288">
        <f ca="1">IFERROR(__xludf.DUMMYFUNCTION("""COMPUTED_VALUE"""),0.65)</f>
        <v>0.65</v>
      </c>
      <c r="K288" t="str">
        <f ca="1">IFERROR(__xludf.DUMMYFUNCTION("""COMPUTED_VALUE"""),"blank")</f>
        <v>blank</v>
      </c>
      <c r="L288">
        <f t="shared" ca="1" si="4"/>
        <v>0</v>
      </c>
      <c r="Q288" t="str">
        <f>IF(N288="","",SUMIFS(Issue!$D$3:$D1001,Issue!$C$3:$C1001,N288))</f>
        <v/>
      </c>
      <c r="S288" t="str">
        <f ca="1">IFERROR(__xludf.DUMMYFUNCTION("""COMPUTED_VALUE"""),"8mm female bullet connector")</f>
        <v>8mm female bullet connector</v>
      </c>
      <c r="X288" t="e">
        <f ca="1"/>
        <v>#NAME?</v>
      </c>
      <c r="Y288" t="e">
        <f t="shared" ca="1" si="5"/>
        <v>#NAME?</v>
      </c>
      <c r="Z288" t="e">
        <f ca="1">IF(X288="","",SUMIFS(#REF!,RM!$C$4:$C991,X288))</f>
        <v>#NAME?</v>
      </c>
      <c r="AA288" t="e">
        <f ca="1">IF(X288="","",SUMIFS(#REF!,RM!$C$4:$C991,X288))</f>
        <v>#NAME?</v>
      </c>
      <c r="AB288" t="e">
        <f t="shared" ca="1" si="6"/>
        <v>#NAME?</v>
      </c>
      <c r="AC288" t="e">
        <f ca="1">IF(X288="","",VLOOKUP($X288,RM!$C$4:$G991,3,FALSE))</f>
        <v>#NAME?</v>
      </c>
      <c r="AD288" t="e">
        <f ca="1">IF(X288="","",VLOOKUP($X288,RM!$C$4:$G991,4,FALSE))</f>
        <v>#NAME?</v>
      </c>
      <c r="AE288" t="e">
        <f ca="1">IF(X288="","",VLOOKUP($X288,RM!$C$4:$G991,5,FALSE))</f>
        <v>#NAME?</v>
      </c>
      <c r="AG288" t="str">
        <f ca="1">IFERROR(__xludf.DUMMYFUNCTION("""COMPUTED_VALUE"""),"FL_STBD Mech")</f>
        <v>FL_STBD Mech</v>
      </c>
      <c r="AH288" t="str">
        <f ca="1">IFERROR(__xludf.DUMMYFUNCTION("""COMPUTED_VALUE"""),"Heatsink paste")</f>
        <v>Heatsink paste</v>
      </c>
      <c r="AI288">
        <f ca="1">IFERROR(__xludf.DUMMYFUNCTION("""COMPUTED_VALUE"""),5)</f>
        <v>5</v>
      </c>
      <c r="AJ288" t="str">
        <f ca="1">IFERROR(__xludf.DUMMYFUNCTION("""COMPUTED_VALUE"""),"blank")</f>
        <v>blank</v>
      </c>
      <c r="AK288" t="e">
        <f ca="1">_xludf.IFNA(VLOOKUP(AG288,'S-FG'!$B$3:$B1001,1,FALSE),"")</f>
        <v>#NAME?</v>
      </c>
      <c r="AL288" t="e">
        <f ca="1">IF(AH288="","",SUMIFS(#REF!,RM!$C$4:$C991,AH288))</f>
        <v>#REF!</v>
      </c>
    </row>
    <row r="289" spans="5:38">
      <c r="E289" t="str">
        <f>IF(A289="","",SUMIFS(Issue!$D$3:$D1001,Issue!$C$3:$C1001,A289)*C289)</f>
        <v/>
      </c>
      <c r="F289" t="e">
        <f ca="1">_xludf.IFNA(VLOOKUP(B289,'S-FG'!$B$3:$B1001,1,FALSE),"")</f>
        <v>#NAME?</v>
      </c>
      <c r="H289" t="str">
        <f ca="1">IFERROR(__xludf.DUMMYFUNCTION("""COMPUTED_VALUE"""),"PORT Battery Assy")</f>
        <v>PORT Battery Assy</v>
      </c>
      <c r="I289" t="str">
        <f ca="1">IFERROR(__xludf.DUMMYFUNCTION("""COMPUTED_VALUE"""),"Black 12AWG")</f>
        <v>Black 12AWG</v>
      </c>
      <c r="J289">
        <f ca="1">IFERROR(__xludf.DUMMYFUNCTION("""COMPUTED_VALUE"""),0.8)</f>
        <v>0.8</v>
      </c>
      <c r="K289" t="str">
        <f ca="1">IFERROR(__xludf.DUMMYFUNCTION("""COMPUTED_VALUE"""),"blank")</f>
        <v>blank</v>
      </c>
      <c r="L289">
        <f t="shared" ca="1" si="4"/>
        <v>0</v>
      </c>
      <c r="Q289" t="str">
        <f>IF(N289="","",SUMIFS(Issue!$D$3:$D1001,Issue!$C$3:$C1001,N289))</f>
        <v/>
      </c>
      <c r="S289" t="str">
        <f ca="1">IFERROR(__xludf.DUMMYFUNCTION("""COMPUTED_VALUE"""),"Red 8AWG")</f>
        <v>Red 8AWG</v>
      </c>
      <c r="X289" t="e">
        <f ca="1"/>
        <v>#NAME?</v>
      </c>
      <c r="Y289" t="e">
        <f t="shared" ca="1" si="5"/>
        <v>#NAME?</v>
      </c>
      <c r="Z289" t="e">
        <f ca="1">IF(X289="","",SUMIFS(#REF!,RM!$C$4:$C991,X289))</f>
        <v>#NAME?</v>
      </c>
      <c r="AA289" t="e">
        <f ca="1">IF(X289="","",SUMIFS(#REF!,RM!$C$4:$C991,X289))</f>
        <v>#NAME?</v>
      </c>
      <c r="AB289" t="e">
        <f t="shared" ca="1" si="6"/>
        <v>#NAME?</v>
      </c>
      <c r="AC289" t="e">
        <f ca="1">IF(X289="","",VLOOKUP($X289,RM!$C$4:$G991,3,FALSE))</f>
        <v>#NAME?</v>
      </c>
      <c r="AD289" t="e">
        <f ca="1">IF(X289="","",VLOOKUP($X289,RM!$C$4:$G991,4,FALSE))</f>
        <v>#NAME?</v>
      </c>
      <c r="AE289" t="e">
        <f ca="1">IF(X289="","",VLOOKUP($X289,RM!$C$4:$G991,5,FALSE))</f>
        <v>#NAME?</v>
      </c>
      <c r="AG289" t="str">
        <f ca="1">IFERROR(__xludf.DUMMYFUNCTION("""COMPUTED_VALUE"""),"FL_STBD Mech")</f>
        <v>FL_STBD Mech</v>
      </c>
      <c r="AH289" t="str">
        <f ca="1">IFERROR(__xludf.DUMMYFUNCTION("""COMPUTED_VALUE"""),"M3x6 Allen Head")</f>
        <v>M3x6 Allen Head</v>
      </c>
      <c r="AI289">
        <f ca="1">IFERROR(__xludf.DUMMYFUNCTION("""COMPUTED_VALUE"""),2)</f>
        <v>2</v>
      </c>
      <c r="AK289" t="e">
        <f ca="1">_xludf.IFNA(VLOOKUP(AG289,'S-FG'!$B$3:$B1001,1,FALSE),"")</f>
        <v>#NAME?</v>
      </c>
      <c r="AL289" t="e">
        <f ca="1">IF(AH289="","",SUMIFS(#REF!,RM!$C$4:$C991,AH289))</f>
        <v>#REF!</v>
      </c>
    </row>
    <row r="290" spans="5:38">
      <c r="E290" t="str">
        <f>IF(A290="","",SUMIFS(Issue!$D$3:$D1001,Issue!$C$3:$C1001,A290)*C290)</f>
        <v/>
      </c>
      <c r="F290" t="e">
        <f ca="1">_xludf.IFNA(VLOOKUP(B290,'S-FG'!$B$3:$B1001,1,FALSE),"")</f>
        <v>#NAME?</v>
      </c>
      <c r="H290" t="str">
        <f ca="1">IFERROR(__xludf.DUMMYFUNCTION("""COMPUTED_VALUE"""),"PORT Battery Assy")</f>
        <v>PORT Battery Assy</v>
      </c>
      <c r="I290" t="str">
        <f ca="1">IFERROR(__xludf.DUMMYFUNCTION("""COMPUTED_VALUE"""),"Black 18 AWG")</f>
        <v>Black 18 AWG</v>
      </c>
      <c r="J290">
        <f ca="1">IFERROR(__xludf.DUMMYFUNCTION("""COMPUTED_VALUE"""),0.55)</f>
        <v>0.55000000000000004</v>
      </c>
      <c r="K290" t="str">
        <f ca="1">IFERROR(__xludf.DUMMYFUNCTION("""COMPUTED_VALUE"""),"blank")</f>
        <v>blank</v>
      </c>
      <c r="L290">
        <f t="shared" ca="1" si="4"/>
        <v>0</v>
      </c>
      <c r="Q290" t="str">
        <f>IF(N290="","",SUMIFS(Issue!$D$3:$D1001,Issue!$C$3:$C1001,N290))</f>
        <v/>
      </c>
      <c r="S290" t="str">
        <f ca="1">IFERROR(__xludf.DUMMYFUNCTION("""COMPUTED_VALUE"""),"Black 12AWG")</f>
        <v>Black 12AWG</v>
      </c>
      <c r="X290" t="e">
        <f ca="1"/>
        <v>#NAME?</v>
      </c>
      <c r="Y290" t="e">
        <f t="shared" ca="1" si="5"/>
        <v>#NAME?</v>
      </c>
      <c r="Z290" t="e">
        <f ca="1">IF(X290="","",SUMIFS(#REF!,RM!$C$4:$C991,X290))</f>
        <v>#NAME?</v>
      </c>
      <c r="AA290" t="e">
        <f ca="1">IF(X290="","",SUMIFS(#REF!,RM!$C$4:$C991,X290))</f>
        <v>#NAME?</v>
      </c>
      <c r="AB290" t="e">
        <f t="shared" ca="1" si="6"/>
        <v>#NAME?</v>
      </c>
      <c r="AC290" t="e">
        <f ca="1">IF(X290="","",VLOOKUP($X290,RM!$C$4:$G991,3,FALSE))</f>
        <v>#NAME?</v>
      </c>
      <c r="AD290" t="e">
        <f ca="1">IF(X290="","",VLOOKUP($X290,RM!$C$4:$G991,4,FALSE))</f>
        <v>#NAME?</v>
      </c>
      <c r="AE290" t="e">
        <f ca="1">IF(X290="","",VLOOKUP($X290,RM!$C$4:$G991,5,FALSE))</f>
        <v>#NAME?</v>
      </c>
      <c r="AG290" t="str">
        <f ca="1">IFERROR(__xludf.DUMMYFUNCTION("""COMPUTED_VALUE"""),"FL_STBD Mech")</f>
        <v>FL_STBD Mech</v>
      </c>
      <c r="AH290" t="str">
        <f ca="1">IFERROR(__xludf.DUMMYFUNCTION("""COMPUTED_VALUE"""),"M4x12 Allen Head")</f>
        <v>M4x12 Allen Head</v>
      </c>
      <c r="AI290">
        <f ca="1">IFERROR(__xludf.DUMMYFUNCTION("""COMPUTED_VALUE"""),2)</f>
        <v>2</v>
      </c>
      <c r="AJ290" t="str">
        <f ca="1">IFERROR(__xludf.DUMMYFUNCTION("""COMPUTED_VALUE"""),"blank")</f>
        <v>blank</v>
      </c>
      <c r="AK290" t="e">
        <f ca="1">_xludf.IFNA(VLOOKUP(AG290,'S-FG'!$B$3:$B1001,1,FALSE),"")</f>
        <v>#NAME?</v>
      </c>
      <c r="AL290" t="e">
        <f ca="1">IF(AH290="","",SUMIFS(#REF!,RM!$C$4:$C991,AH290))</f>
        <v>#REF!</v>
      </c>
    </row>
    <row r="291" spans="5:38">
      <c r="E291" t="str">
        <f>IF(A291="","",SUMIFS(Issue!$D$3:$D1001,Issue!$C$3:$C1001,A291)*C291)</f>
        <v/>
      </c>
      <c r="F291" t="e">
        <f ca="1">_xludf.IFNA(VLOOKUP(B291,'S-FG'!$B$3:$B1001,1,FALSE),"")</f>
        <v>#NAME?</v>
      </c>
      <c r="H291" t="str">
        <f ca="1">IFERROR(__xludf.DUMMYFUNCTION("""COMPUTED_VALUE"""),"PORT Battery Assy")</f>
        <v>PORT Battery Assy</v>
      </c>
      <c r="I291" t="str">
        <f ca="1">IFERROR(__xludf.DUMMYFUNCTION("""COMPUTED_VALUE"""),"Soldering flux")</f>
        <v>Soldering flux</v>
      </c>
      <c r="J291">
        <f ca="1">IFERROR(__xludf.DUMMYFUNCTION("""COMPUTED_VALUE"""),5)</f>
        <v>5</v>
      </c>
      <c r="L291">
        <f t="shared" ca="1" si="4"/>
        <v>0</v>
      </c>
      <c r="Q291" t="str">
        <f>IF(N291="","",SUMIFS(Issue!$D$3:$D1001,Issue!$C$3:$C1001,N291))</f>
        <v/>
      </c>
      <c r="S291" t="str">
        <f ca="1">IFERROR(__xludf.DUMMYFUNCTION("""COMPUTED_VALUE"""),"Black 18 AWG")</f>
        <v>Black 18 AWG</v>
      </c>
      <c r="X291" t="e">
        <f ca="1"/>
        <v>#NAME?</v>
      </c>
      <c r="Y291" t="e">
        <f t="shared" ca="1" si="5"/>
        <v>#NAME?</v>
      </c>
      <c r="Z291" t="e">
        <f ca="1">IF(X291="","",SUMIFS(#REF!,RM!$C$4:$C991,X291))</f>
        <v>#NAME?</v>
      </c>
      <c r="AA291" t="e">
        <f ca="1">IF(X291="","",SUMIFS(#REF!,RM!$C$4:$C991,X291))</f>
        <v>#NAME?</v>
      </c>
      <c r="AB291" t="e">
        <f t="shared" ca="1" si="6"/>
        <v>#NAME?</v>
      </c>
      <c r="AC291" t="e">
        <f ca="1">IF(X291="","",VLOOKUP($X291,RM!$C$4:$G991,3,FALSE))</f>
        <v>#NAME?</v>
      </c>
      <c r="AD291" t="e">
        <f ca="1">IF(X291="","",VLOOKUP($X291,RM!$C$4:$G991,4,FALSE))</f>
        <v>#NAME?</v>
      </c>
      <c r="AE291" t="e">
        <f ca="1">IF(X291="","",VLOOKUP($X291,RM!$C$4:$G991,5,FALSE))</f>
        <v>#NAME?</v>
      </c>
      <c r="AG291" t="str">
        <f ca="1">IFERROR(__xludf.DUMMYFUNCTION("""COMPUTED_VALUE"""),"FL_STBD Mech")</f>
        <v>FL_STBD Mech</v>
      </c>
      <c r="AH291" t="str">
        <f ca="1">IFERROR(__xludf.DUMMYFUNCTION("""COMPUTED_VALUE"""),"Teroson MS930")</f>
        <v>Teroson MS930</v>
      </c>
      <c r="AI291">
        <f ca="1">IFERROR(__xludf.DUMMYFUNCTION("""COMPUTED_VALUE"""),5)</f>
        <v>5</v>
      </c>
      <c r="AJ291" t="str">
        <f ca="1">IFERROR(__xludf.DUMMYFUNCTION("""COMPUTED_VALUE"""),"blank")</f>
        <v>blank</v>
      </c>
      <c r="AK291" t="e">
        <f ca="1">_xludf.IFNA(VLOOKUP(AG291,'S-FG'!$B$3:$B1001,1,FALSE),"")</f>
        <v>#NAME?</v>
      </c>
      <c r="AL291" t="e">
        <f ca="1">IF(AH291="","",SUMIFS(#REF!,RM!$C$4:$C991,AH291))</f>
        <v>#REF!</v>
      </c>
    </row>
    <row r="292" spans="5:38">
      <c r="E292" t="str">
        <f>IF(A292="","",SUMIFS(Issue!$D$3:$D1001,Issue!$C$3:$C1001,A292)*C292)</f>
        <v/>
      </c>
      <c r="F292" t="e">
        <f ca="1">_xludf.IFNA(VLOOKUP(B292,'S-FG'!$B$3:$B1001,1,FALSE),"")</f>
        <v>#NAME?</v>
      </c>
      <c r="H292" t="str">
        <f ca="1">IFERROR(__xludf.DUMMYFUNCTION("""COMPUTED_VALUE"""),"PORT Battery Assy")</f>
        <v>PORT Battery Assy</v>
      </c>
      <c r="I292" t="str">
        <f ca="1">IFERROR(__xludf.DUMMYFUNCTION("""COMPUTED_VALUE"""),"2mm FRP 60x70mm")</f>
        <v>2mm FRP 60x70mm</v>
      </c>
      <c r="J292">
        <f ca="1">IFERROR(__xludf.DUMMYFUNCTION("""COMPUTED_VALUE"""),1)</f>
        <v>1</v>
      </c>
      <c r="K292" t="str">
        <f ca="1">IFERROR(__xludf.DUMMYFUNCTION("""COMPUTED_VALUE"""),"blank")</f>
        <v>blank</v>
      </c>
      <c r="L292">
        <f t="shared" ca="1" si="4"/>
        <v>0</v>
      </c>
      <c r="Q292" t="str">
        <f>IF(N292="","",SUMIFS(Issue!$D$3:$D1001,Issue!$C$3:$C1001,N292))</f>
        <v/>
      </c>
      <c r="S292" t="str">
        <f ca="1">IFERROR(__xludf.DUMMYFUNCTION("""COMPUTED_VALUE"""),"Soldering flux")</f>
        <v>Soldering flux</v>
      </c>
      <c r="X292" t="e">
        <f ca="1"/>
        <v>#NAME?</v>
      </c>
      <c r="Y292" t="e">
        <f t="shared" ca="1" si="5"/>
        <v>#NAME?</v>
      </c>
      <c r="Z292" t="e">
        <f ca="1">IF(X292="","",SUMIFS(#REF!,RM!$C$4:$C991,X292))</f>
        <v>#NAME?</v>
      </c>
      <c r="AA292" t="e">
        <f ca="1">IF(X292="","",SUMIFS(#REF!,RM!$C$4:$C991,X292))</f>
        <v>#NAME?</v>
      </c>
      <c r="AB292" t="e">
        <f t="shared" ca="1" si="6"/>
        <v>#NAME?</v>
      </c>
      <c r="AC292" t="e">
        <f ca="1">IF(X292="","",VLOOKUP($X292,RM!$C$4:$G991,3,FALSE))</f>
        <v>#NAME?</v>
      </c>
      <c r="AD292" t="e">
        <f ca="1">IF(X292="","",VLOOKUP($X292,RM!$C$4:$G991,4,FALSE))</f>
        <v>#NAME?</v>
      </c>
      <c r="AE292" t="e">
        <f ca="1">IF(X292="","",VLOOKUP($X292,RM!$C$4:$G991,5,FALSE))</f>
        <v>#NAME?</v>
      </c>
      <c r="AG292" t="str">
        <f ca="1">IFERROR(__xludf.DUMMYFUNCTION("""COMPUTED_VALUE"""),"FL_PORT Mech")</f>
        <v>FL_PORT Mech</v>
      </c>
      <c r="AH292" t="str">
        <f ca="1">IFERROR(__xludf.DUMMYFUNCTION("""COMPUTED_VALUE"""),"M3x8 Button Head")</f>
        <v>M3x8 Button Head</v>
      </c>
      <c r="AI292">
        <f ca="1">IFERROR(__xludf.DUMMYFUNCTION("""COMPUTED_VALUE"""),6)</f>
        <v>6</v>
      </c>
      <c r="AJ292" t="str">
        <f ca="1">IFERROR(__xludf.DUMMYFUNCTION("""COMPUTED_VALUE"""),"blank")</f>
        <v>blank</v>
      </c>
      <c r="AK292" t="e">
        <f ca="1">_xludf.IFNA(VLOOKUP(AG292,'S-FG'!$B$3:$B1001,1,FALSE),"")</f>
        <v>#NAME?</v>
      </c>
      <c r="AL292" t="e">
        <f ca="1">IF(AH292="","",SUMIFS(#REF!,RM!$C$4:$C991,AH292))</f>
        <v>#REF!</v>
      </c>
    </row>
    <row r="293" spans="5:38">
      <c r="E293" t="str">
        <f>IF(A293="","",SUMIFS(Issue!$D$3:$D1001,Issue!$C$3:$C1001,A293)*C293)</f>
        <v/>
      </c>
      <c r="F293" t="e">
        <f ca="1">_xludf.IFNA(VLOOKUP(B293,'S-FG'!$B$3:$B1001,1,FALSE),"")</f>
        <v>#NAME?</v>
      </c>
      <c r="H293" t="str">
        <f ca="1">IFERROR(__xludf.DUMMYFUNCTION("""COMPUTED_VALUE"""),"PORT Battery Assy")</f>
        <v>PORT Battery Assy</v>
      </c>
      <c r="I293" t="str">
        <f ca="1">IFERROR(__xludf.DUMMYFUNCTION("""COMPUTED_VALUE"""),"2mm FRP 60x70mm with 18 mm hole")</f>
        <v>2mm FRP 60x70mm with 18 mm hole</v>
      </c>
      <c r="J293">
        <f ca="1">IFERROR(__xludf.DUMMYFUNCTION("""COMPUTED_VALUE"""),1)</f>
        <v>1</v>
      </c>
      <c r="L293">
        <f t="shared" ca="1" si="4"/>
        <v>0</v>
      </c>
      <c r="Q293" t="str">
        <f>IF(N293="","",SUMIFS(Issue!$D$3:$D1001,Issue!$C$3:$C1001,N293))</f>
        <v/>
      </c>
      <c r="S293" t="str">
        <f ca="1">IFERROR(__xludf.DUMMYFUNCTION("""COMPUTED_VALUE"""),"2mm FRP 60x70mm")</f>
        <v>2mm FRP 60x70mm</v>
      </c>
      <c r="X293" t="e">
        <f ca="1"/>
        <v>#NAME?</v>
      </c>
      <c r="Y293" t="e">
        <f t="shared" ca="1" si="5"/>
        <v>#NAME?</v>
      </c>
      <c r="Z293" t="e">
        <f ca="1">IF(X293="","",SUMIFS(#REF!,RM!$C$4:$C991,X293))</f>
        <v>#NAME?</v>
      </c>
      <c r="AA293" t="e">
        <f ca="1">IF(X293="","",SUMIFS(#REF!,RM!$C$4:$C991,X293))</f>
        <v>#NAME?</v>
      </c>
      <c r="AB293" t="e">
        <f t="shared" ca="1" si="6"/>
        <v>#NAME?</v>
      </c>
      <c r="AC293" t="e">
        <f ca="1">IF(X293="","",VLOOKUP($X293,RM!$C$4:$G991,3,FALSE))</f>
        <v>#NAME?</v>
      </c>
      <c r="AD293" t="e">
        <f ca="1">IF(X293="","",VLOOKUP($X293,RM!$C$4:$G991,4,FALSE))</f>
        <v>#NAME?</v>
      </c>
      <c r="AE293" t="e">
        <f ca="1">IF(X293="","",VLOOKUP($X293,RM!$C$4:$G991,5,FALSE))</f>
        <v>#NAME?</v>
      </c>
      <c r="AG293" t="str">
        <f ca="1">IFERROR(__xludf.DUMMYFUNCTION("""COMPUTED_VALUE"""),"FL_PORT Mech")</f>
        <v>FL_PORT Mech</v>
      </c>
      <c r="AH293" t="str">
        <f ca="1">IFERROR(__xludf.DUMMYFUNCTION("""COMPUTED_VALUE"""),"Flashing Light glass")</f>
        <v>Flashing Light glass</v>
      </c>
      <c r="AI293">
        <f ca="1">IFERROR(__xludf.DUMMYFUNCTION("""COMPUTED_VALUE"""),1)</f>
        <v>1</v>
      </c>
      <c r="AJ293" t="str">
        <f ca="1">IFERROR(__xludf.DUMMYFUNCTION("""COMPUTED_VALUE"""),"blank")</f>
        <v>blank</v>
      </c>
      <c r="AK293" t="e">
        <f ca="1">_xludf.IFNA(VLOOKUP(AG293,'S-FG'!$B$3:$B1001,1,FALSE),"")</f>
        <v>#NAME?</v>
      </c>
      <c r="AL293" t="e">
        <f ca="1">IF(AH293="","",SUMIFS(#REF!,RM!$C$4:$C991,AH293))</f>
        <v>#REF!</v>
      </c>
    </row>
    <row r="294" spans="5:38">
      <c r="E294" t="str">
        <f>IF(A294="","",SUMIFS(Issue!$D$3:$D1001,Issue!$C$3:$C1001,A294)*C294)</f>
        <v/>
      </c>
      <c r="F294" t="e">
        <f ca="1">_xludf.IFNA(VLOOKUP(B294,'S-FG'!$B$3:$B1001,1,FALSE),"")</f>
        <v>#NAME?</v>
      </c>
      <c r="H294" t="str">
        <f ca="1">IFERROR(__xludf.DUMMYFUNCTION("""COMPUTED_VALUE"""),"PORT Battery Assy")</f>
        <v>PORT Battery Assy</v>
      </c>
      <c r="I294" t="str">
        <f ca="1">IFERROR(__xludf.DUMMYFUNCTION("""COMPUTED_VALUE"""),"70mm Paper Separator")</f>
        <v>70mm Paper Separator</v>
      </c>
      <c r="J294">
        <f ca="1">IFERROR(__xludf.DUMMYFUNCTION("""COMPUTED_VALUE"""),0.5)</f>
        <v>0.5</v>
      </c>
      <c r="K294" t="str">
        <f ca="1">IFERROR(__xludf.DUMMYFUNCTION("""COMPUTED_VALUE"""),"blank")</f>
        <v>blank</v>
      </c>
      <c r="L294">
        <f t="shared" ca="1" si="4"/>
        <v>0</v>
      </c>
      <c r="Q294" t="str">
        <f>IF(N294="","",SUMIFS(Issue!$D$3:$D1001,Issue!$C$3:$C1001,N294))</f>
        <v/>
      </c>
      <c r="S294" t="str">
        <f ca="1">IFERROR(__xludf.DUMMYFUNCTION("""COMPUTED_VALUE"""),"2mm FRP 60x70mm with 18 mm hole")</f>
        <v>2mm FRP 60x70mm with 18 mm hole</v>
      </c>
      <c r="X294" t="e">
        <f ca="1"/>
        <v>#NAME?</v>
      </c>
      <c r="Y294" t="e">
        <f t="shared" ca="1" si="5"/>
        <v>#NAME?</v>
      </c>
      <c r="Z294" t="e">
        <f ca="1">IF(X294="","",SUMIFS(#REF!,RM!$C$4:$C991,X294))</f>
        <v>#NAME?</v>
      </c>
      <c r="AA294" t="e">
        <f ca="1">IF(X294="","",SUMIFS(#REF!,RM!$C$4:$C991,X294))</f>
        <v>#NAME?</v>
      </c>
      <c r="AB294" t="e">
        <f t="shared" ca="1" si="6"/>
        <v>#NAME?</v>
      </c>
      <c r="AC294" t="e">
        <f ca="1">IF(X294="","",VLOOKUP($X294,RM!$C$4:$G991,3,FALSE))</f>
        <v>#NAME?</v>
      </c>
      <c r="AD294" t="e">
        <f ca="1">IF(X294="","",VLOOKUP($X294,RM!$C$4:$G991,4,FALSE))</f>
        <v>#NAME?</v>
      </c>
      <c r="AE294" t="e">
        <f ca="1">IF(X294="","",VLOOKUP($X294,RM!$C$4:$G991,5,FALSE))</f>
        <v>#NAME?</v>
      </c>
      <c r="AG294" t="str">
        <f ca="1">IFERROR(__xludf.DUMMYFUNCTION("""COMPUTED_VALUE"""),"FL_PORT Mech")</f>
        <v>FL_PORT Mech</v>
      </c>
      <c r="AH294" t="str">
        <f ca="1">IFERROR(__xludf.DUMMYFUNCTION("""COMPUTED_VALUE"""),"Flashing Light bottom plate")</f>
        <v>Flashing Light bottom plate</v>
      </c>
      <c r="AI294">
        <f ca="1">IFERROR(__xludf.DUMMYFUNCTION("""COMPUTED_VALUE"""),1)</f>
        <v>1</v>
      </c>
      <c r="AJ294" t="str">
        <f ca="1">IFERROR(__xludf.DUMMYFUNCTION("""COMPUTED_VALUE"""),"blank")</f>
        <v>blank</v>
      </c>
      <c r="AK294" t="e">
        <f ca="1">_xludf.IFNA(VLOOKUP(AG294,'S-FG'!$B$3:$B1001,1,FALSE),"")</f>
        <v>#NAME?</v>
      </c>
      <c r="AL294" t="e">
        <f ca="1">IF(AH294="","",SUMIFS(#REF!,RM!$C$4:$C991,AH294))</f>
        <v>#REF!</v>
      </c>
    </row>
    <row r="295" spans="5:38">
      <c r="E295" t="str">
        <f>IF(A295="","",SUMIFS(Issue!$D$3:$D1001,Issue!$C$3:$C1001,A295)*C295)</f>
        <v/>
      </c>
      <c r="F295" t="e">
        <f ca="1">_xludf.IFNA(VLOOKUP(B295,'S-FG'!$B$3:$B1001,1,FALSE),"")</f>
        <v>#NAME?</v>
      </c>
      <c r="H295" t="str">
        <f ca="1">IFERROR(__xludf.DUMMYFUNCTION("""COMPUTED_VALUE"""),"PORT Battery Assy")</f>
        <v>PORT Battery Assy</v>
      </c>
      <c r="I295" t="str">
        <f ca="1">IFERROR(__xludf.DUMMYFUNCTION("""COMPUTED_VALUE"""),"16AWG Lead")</f>
        <v>16AWG Lead</v>
      </c>
      <c r="J295">
        <f ca="1">IFERROR(__xludf.DUMMYFUNCTION("""COMPUTED_VALUE"""),30)</f>
        <v>30</v>
      </c>
      <c r="K295" t="str">
        <f ca="1">IFERROR(__xludf.DUMMYFUNCTION("""COMPUTED_VALUE"""),"blank")</f>
        <v>blank</v>
      </c>
      <c r="L295">
        <f t="shared" ca="1" si="4"/>
        <v>0</v>
      </c>
      <c r="Q295" t="str">
        <f>IF(N295="","",SUMIFS(Issue!$D$3:$D1001,Issue!$C$3:$C1001,N295))</f>
        <v/>
      </c>
      <c r="S295" t="str">
        <f ca="1">IFERROR(__xludf.DUMMYFUNCTION("""COMPUTED_VALUE"""),"70mm Paper Separator")</f>
        <v>70mm Paper Separator</v>
      </c>
      <c r="X295" t="e">
        <f ca="1"/>
        <v>#NAME?</v>
      </c>
      <c r="Y295" t="e">
        <f t="shared" ca="1" si="5"/>
        <v>#NAME?</v>
      </c>
      <c r="Z295" t="e">
        <f ca="1">IF(X295="","",SUMIFS(#REF!,RM!$C$4:$C991,X295))</f>
        <v>#NAME?</v>
      </c>
      <c r="AA295" t="e">
        <f ca="1">IF(X295="","",SUMIFS(#REF!,RM!$C$4:$C991,X295))</f>
        <v>#NAME?</v>
      </c>
      <c r="AB295" t="e">
        <f t="shared" ca="1" si="6"/>
        <v>#NAME?</v>
      </c>
      <c r="AC295" t="e">
        <f ca="1">IF(X295="","",VLOOKUP($X295,RM!$C$4:$G991,3,FALSE))</f>
        <v>#NAME?</v>
      </c>
      <c r="AD295" t="e">
        <f ca="1">IF(X295="","",VLOOKUP($X295,RM!$C$4:$G991,4,FALSE))</f>
        <v>#NAME?</v>
      </c>
      <c r="AE295" t="e">
        <f ca="1">IF(X295="","",VLOOKUP($X295,RM!$C$4:$G991,5,FALSE))</f>
        <v>#NAME?</v>
      </c>
      <c r="AG295" t="str">
        <f ca="1">IFERROR(__xludf.DUMMYFUNCTION("""COMPUTED_VALUE"""),"FL_PORT Mech")</f>
        <v>FL_PORT Mech</v>
      </c>
      <c r="AH295" t="str">
        <f ca="1">IFERROR(__xludf.DUMMYFUNCTION("""COMPUTED_VALUE"""),"Heatsink paste")</f>
        <v>Heatsink paste</v>
      </c>
      <c r="AI295">
        <f ca="1">IFERROR(__xludf.DUMMYFUNCTION("""COMPUTED_VALUE"""),5)</f>
        <v>5</v>
      </c>
      <c r="AJ295" t="str">
        <f ca="1">IFERROR(__xludf.DUMMYFUNCTION("""COMPUTED_VALUE"""),"blank")</f>
        <v>blank</v>
      </c>
      <c r="AK295" t="e">
        <f ca="1">_xludf.IFNA(VLOOKUP(AG295,'S-FG'!$B$3:$B1001,1,FALSE),"")</f>
        <v>#NAME?</v>
      </c>
      <c r="AL295" t="e">
        <f ca="1">IF(AH295="","",SUMIFS(#REF!,RM!$C$4:$C991,AH295))</f>
        <v>#REF!</v>
      </c>
    </row>
    <row r="296" spans="5:38">
      <c r="E296" t="str">
        <f>IF(A296="","",SUMIFS(Issue!$D$3:$D1001,Issue!$C$3:$C1001,A296)*C296)</f>
        <v/>
      </c>
      <c r="F296" t="e">
        <f ca="1">_xludf.IFNA(VLOOKUP(B296,'S-FG'!$B$3:$B1001,1,FALSE),"")</f>
        <v>#NAME?</v>
      </c>
      <c r="H296" t="str">
        <f ca="1">IFERROR(__xludf.DUMMYFUNCTION("""COMPUTED_VALUE"""),"PORT Battery Assy")</f>
        <v>PORT Battery Assy</v>
      </c>
      <c r="I296" t="str">
        <f ca="1">IFERROR(__xludf.DUMMYFUNCTION("""COMPUTED_VALUE"""),"HeatShrink Tube 12:3")</f>
        <v>HeatShrink Tube 12:3</v>
      </c>
      <c r="J296">
        <f ca="1">IFERROR(__xludf.DUMMYFUNCTION("""COMPUTED_VALUE"""),0.03)</f>
        <v>0.03</v>
      </c>
      <c r="K296" t="str">
        <f ca="1">IFERROR(__xludf.DUMMYFUNCTION("""COMPUTED_VALUE"""),"blank")</f>
        <v>blank</v>
      </c>
      <c r="L296">
        <f t="shared" ca="1" si="4"/>
        <v>0</v>
      </c>
      <c r="Q296" t="str">
        <f>IF(N296="","",SUMIFS(Issue!$D$3:$D1001,Issue!$C$3:$C1001,N296))</f>
        <v/>
      </c>
      <c r="S296" t="str">
        <f ca="1">IFERROR(__xludf.DUMMYFUNCTION("""COMPUTED_VALUE"""),"16AWG Lead")</f>
        <v>16AWG Lead</v>
      </c>
      <c r="X296" t="e">
        <f ca="1"/>
        <v>#NAME?</v>
      </c>
      <c r="Y296" t="e">
        <f t="shared" ca="1" si="5"/>
        <v>#NAME?</v>
      </c>
      <c r="Z296" t="e">
        <f ca="1">IF(X296="","",SUMIFS(#REF!,RM!$C$4:$C991,X296))</f>
        <v>#NAME?</v>
      </c>
      <c r="AA296" t="e">
        <f ca="1">IF(X296="","",SUMIFS(#REF!,RM!$C$4:$C991,X296))</f>
        <v>#NAME?</v>
      </c>
      <c r="AB296" t="e">
        <f t="shared" ca="1" si="6"/>
        <v>#NAME?</v>
      </c>
      <c r="AC296" t="e">
        <f ca="1">IF(X296="","",VLOOKUP($X296,RM!$C$4:$G991,3,FALSE))</f>
        <v>#NAME?</v>
      </c>
      <c r="AD296" t="e">
        <f ca="1">IF(X296="","",VLOOKUP($X296,RM!$C$4:$G991,4,FALSE))</f>
        <v>#NAME?</v>
      </c>
      <c r="AE296" t="e">
        <f ca="1">IF(X296="","",VLOOKUP($X296,RM!$C$4:$G991,5,FALSE))</f>
        <v>#NAME?</v>
      </c>
      <c r="AG296" t="str">
        <f ca="1">IFERROR(__xludf.DUMMYFUNCTION("""COMPUTED_VALUE"""),"FL_PORT Mech")</f>
        <v>FL_PORT Mech</v>
      </c>
      <c r="AH296" t="str">
        <f ca="1">IFERROR(__xludf.DUMMYFUNCTION("""COMPUTED_VALUE"""),"M3x6 Allen Head")</f>
        <v>M3x6 Allen Head</v>
      </c>
      <c r="AI296">
        <f ca="1">IFERROR(__xludf.DUMMYFUNCTION("""COMPUTED_VALUE"""),2)</f>
        <v>2</v>
      </c>
      <c r="AK296" t="e">
        <f ca="1">_xludf.IFNA(VLOOKUP(AG296,'S-FG'!$B$3:$B1001,1,FALSE),"")</f>
        <v>#NAME?</v>
      </c>
      <c r="AL296" t="e">
        <f ca="1">IF(AH296="","",SUMIFS(#REF!,RM!$C$4:$C991,AH296))</f>
        <v>#REF!</v>
      </c>
    </row>
    <row r="297" spans="5:38">
      <c r="E297" t="str">
        <f>IF(A297="","",SUMIFS(Issue!$D$3:$D1001,Issue!$C$3:$C1001,A297)*C297)</f>
        <v/>
      </c>
      <c r="F297" t="e">
        <f ca="1">_xludf.IFNA(VLOOKUP(B297,'S-FG'!$B$3:$B1001,1,FALSE),"")</f>
        <v>#NAME?</v>
      </c>
      <c r="H297" t="str">
        <f ca="1">IFERROR(__xludf.DUMMYFUNCTION("""COMPUTED_VALUE"""),"PORT Battery Assy")</f>
        <v>PORT Battery Assy</v>
      </c>
      <c r="I297" t="str">
        <f ca="1">IFERROR(__xludf.DUMMYFUNCTION("""COMPUTED_VALUE"""),"PORT Signal CM Assy")</f>
        <v>PORT Signal CM Assy</v>
      </c>
      <c r="J297">
        <f ca="1">IFERROR(__xludf.DUMMYFUNCTION("""COMPUTED_VALUE"""),0)</f>
        <v>0</v>
      </c>
      <c r="K297" t="str">
        <f ca="1">IFERROR(__xludf.DUMMYFUNCTION("""COMPUTED_VALUE"""),"blank")</f>
        <v>blank</v>
      </c>
      <c r="L297">
        <f t="shared" ca="1" si="4"/>
        <v>0</v>
      </c>
      <c r="Q297" t="str">
        <f>IF(N297="","",SUMIFS(Issue!$D$3:$D1001,Issue!$C$3:$C1001,N297))</f>
        <v/>
      </c>
      <c r="S297" t="str">
        <f ca="1">IFERROR(__xludf.DUMMYFUNCTION("""COMPUTED_VALUE"""),"HeatShrink Tube 12:3")</f>
        <v>HeatShrink Tube 12:3</v>
      </c>
      <c r="X297" t="e">
        <f ca="1"/>
        <v>#NAME?</v>
      </c>
      <c r="Y297" t="e">
        <f t="shared" ca="1" si="5"/>
        <v>#NAME?</v>
      </c>
      <c r="Z297" t="e">
        <f ca="1">IF(X297="","",SUMIFS(#REF!,RM!$C$4:$C991,X297))</f>
        <v>#NAME?</v>
      </c>
      <c r="AA297" t="e">
        <f ca="1">IF(X297="","",SUMIFS(#REF!,RM!$C$4:$C991,X297))</f>
        <v>#NAME?</v>
      </c>
      <c r="AB297" t="e">
        <f t="shared" ca="1" si="6"/>
        <v>#NAME?</v>
      </c>
      <c r="AC297" t="e">
        <f ca="1">IF(X297="","",VLOOKUP($X297,RM!$C$4:$G991,3,FALSE))</f>
        <v>#NAME?</v>
      </c>
      <c r="AD297" t="e">
        <f ca="1">IF(X297="","",VLOOKUP($X297,RM!$C$4:$G991,4,FALSE))</f>
        <v>#NAME?</v>
      </c>
      <c r="AE297" t="e">
        <f ca="1">IF(X297="","",VLOOKUP($X297,RM!$C$4:$G991,5,FALSE))</f>
        <v>#NAME?</v>
      </c>
      <c r="AG297" t="str">
        <f ca="1">IFERROR(__xludf.DUMMYFUNCTION("""COMPUTED_VALUE"""),"FL_PORT Mech")</f>
        <v>FL_PORT Mech</v>
      </c>
      <c r="AH297" t="str">
        <f ca="1">IFERROR(__xludf.DUMMYFUNCTION("""COMPUTED_VALUE"""),"M4x12 Allen Head")</f>
        <v>M4x12 Allen Head</v>
      </c>
      <c r="AI297">
        <f ca="1">IFERROR(__xludf.DUMMYFUNCTION("""COMPUTED_VALUE"""),2)</f>
        <v>2</v>
      </c>
      <c r="AJ297" t="str">
        <f ca="1">IFERROR(__xludf.DUMMYFUNCTION("""COMPUTED_VALUE"""),"blank")</f>
        <v>blank</v>
      </c>
      <c r="AK297" t="e">
        <f ca="1">_xludf.IFNA(VLOOKUP(AG297,'S-FG'!$B$3:$B1001,1,FALSE),"")</f>
        <v>#NAME?</v>
      </c>
      <c r="AL297" t="e">
        <f ca="1">IF(AH297="","",SUMIFS(#REF!,RM!$C$4:$C991,AH297))</f>
        <v>#REF!</v>
      </c>
    </row>
    <row r="298" spans="5:38">
      <c r="E298" t="str">
        <f>IF(A298="","",SUMIFS(Issue!$D$3:$D1001,Issue!$C$3:$C1001,A298)*C298)</f>
        <v/>
      </c>
      <c r="F298" t="e">
        <f ca="1">_xludf.IFNA(VLOOKUP(B298,'S-FG'!$B$3:$B1001,1,FALSE),"")</f>
        <v>#NAME?</v>
      </c>
      <c r="H298" t="str">
        <f ca="1">IFERROR(__xludf.DUMMYFUNCTION("""COMPUTED_VALUE"""),"PORT Battery Assy")</f>
        <v>PORT Battery Assy</v>
      </c>
      <c r="I298" t="str">
        <f ca="1">IFERROR(__xludf.DUMMYFUNCTION("""COMPUTED_VALUE"""),"Battery Block Assy")</f>
        <v>Battery Block Assy</v>
      </c>
      <c r="J298">
        <f ca="1">IFERROR(__xludf.DUMMYFUNCTION("""COMPUTED_VALUE"""),0)</f>
        <v>0</v>
      </c>
      <c r="K298" t="str">
        <f ca="1">IFERROR(__xludf.DUMMYFUNCTION("""COMPUTED_VALUE"""),"blank")</f>
        <v>blank</v>
      </c>
      <c r="L298">
        <f t="shared" ca="1" si="4"/>
        <v>0</v>
      </c>
      <c r="Q298" t="str">
        <f>IF(N298="","",SUMIFS(Issue!$D$3:$D1001,Issue!$C$3:$C1001,N298))</f>
        <v/>
      </c>
      <c r="S298" t="str">
        <f ca="1">IFERROR(__xludf.DUMMYFUNCTION("""COMPUTED_VALUE"""),"PORT Signal CM Assy")</f>
        <v>PORT Signal CM Assy</v>
      </c>
      <c r="X298" t="e">
        <f ca="1"/>
        <v>#NAME?</v>
      </c>
      <c r="Y298" t="e">
        <f t="shared" ca="1" si="5"/>
        <v>#NAME?</v>
      </c>
      <c r="Z298" t="e">
        <f ca="1">IF(X298="","",SUMIFS(#REF!,RM!$C$4:$C991,X298))</f>
        <v>#NAME?</v>
      </c>
      <c r="AA298" t="e">
        <f ca="1">IF(X298="","",SUMIFS(#REF!,RM!$C$4:$C991,X298))</f>
        <v>#NAME?</v>
      </c>
      <c r="AB298" t="e">
        <f t="shared" ca="1" si="6"/>
        <v>#NAME?</v>
      </c>
      <c r="AC298" t="e">
        <f ca="1">IF(X298="","",VLOOKUP($X298,RM!$C$4:$G991,3,FALSE))</f>
        <v>#NAME?</v>
      </c>
      <c r="AD298" t="e">
        <f ca="1">IF(X298="","",VLOOKUP($X298,RM!$C$4:$G991,4,FALSE))</f>
        <v>#NAME?</v>
      </c>
      <c r="AE298" t="e">
        <f ca="1">IF(X298="","",VLOOKUP($X298,RM!$C$4:$G991,5,FALSE))</f>
        <v>#NAME?</v>
      </c>
      <c r="AG298" t="str">
        <f ca="1">IFERROR(__xludf.DUMMYFUNCTION("""COMPUTED_VALUE"""),"FL_PORT Mech")</f>
        <v>FL_PORT Mech</v>
      </c>
      <c r="AH298" t="str">
        <f ca="1">IFERROR(__xludf.DUMMYFUNCTION("""COMPUTED_VALUE"""),"Teroson MS930")</f>
        <v>Teroson MS930</v>
      </c>
      <c r="AI298">
        <f ca="1">IFERROR(__xludf.DUMMYFUNCTION("""COMPUTED_VALUE"""),5)</f>
        <v>5</v>
      </c>
      <c r="AJ298" t="str">
        <f ca="1">IFERROR(__xludf.DUMMYFUNCTION("""COMPUTED_VALUE"""),"blank")</f>
        <v>blank</v>
      </c>
      <c r="AK298" t="e">
        <f ca="1">_xludf.IFNA(VLOOKUP(AG298,'S-FG'!$B$3:$B1001,1,FALSE),"")</f>
        <v>#NAME?</v>
      </c>
      <c r="AL298" t="e">
        <f ca="1">IF(AH298="","",SUMIFS(#REF!,RM!$C$4:$C991,AH298))</f>
        <v>#REF!</v>
      </c>
    </row>
    <row r="299" spans="5:38">
      <c r="E299" t="str">
        <f>IF(A299="","",SUMIFS(Issue!$D$3:$D1001,Issue!$C$3:$C1001,A299)*C299)</f>
        <v/>
      </c>
      <c r="F299" t="e">
        <f ca="1">_xludf.IFNA(VLOOKUP(B299,'S-FG'!$B$3:$B1001,1,FALSE),"")</f>
        <v>#NAME?</v>
      </c>
      <c r="H299" t="str">
        <f ca="1">IFERROR(__xludf.DUMMYFUNCTION("""COMPUTED_VALUE"""),"PORT Battery Assy")</f>
        <v>PORT Battery Assy</v>
      </c>
      <c r="I299" t="str">
        <f ca="1">IFERROR(__xludf.DUMMYFUNCTION("""COMPUTED_VALUE"""),"HeatShrink Tube 100mm")</f>
        <v>HeatShrink Tube 100mm</v>
      </c>
      <c r="J299">
        <f ca="1">IFERROR(__xludf.DUMMYFUNCTION("""COMPUTED_VALUE"""),0.17)</f>
        <v>0.17</v>
      </c>
      <c r="K299" t="str">
        <f ca="1">IFERROR(__xludf.DUMMYFUNCTION("""COMPUTED_VALUE"""),"blank")</f>
        <v>blank</v>
      </c>
      <c r="L299">
        <f t="shared" ca="1" si="4"/>
        <v>0</v>
      </c>
      <c r="Q299" t="str">
        <f>IF(N299="","",SUMIFS(Issue!$D$3:$D1001,Issue!$C$3:$C1001,N299))</f>
        <v/>
      </c>
      <c r="S299" t="str">
        <f ca="1">IFERROR(__xludf.DUMMYFUNCTION("""COMPUTED_VALUE"""),"Battery Block Assy")</f>
        <v>Battery Block Assy</v>
      </c>
      <c r="X299" t="e">
        <f ca="1"/>
        <v>#NAME?</v>
      </c>
      <c r="Y299" t="e">
        <f t="shared" ca="1" si="5"/>
        <v>#NAME?</v>
      </c>
      <c r="Z299" t="e">
        <f ca="1">IF(X299="","",SUMIFS(#REF!,RM!$C$4:$C991,X299))</f>
        <v>#NAME?</v>
      </c>
      <c r="AA299" t="e">
        <f ca="1">IF(X299="","",SUMIFS(#REF!,RM!$C$4:$C991,X299))</f>
        <v>#NAME?</v>
      </c>
      <c r="AB299" t="e">
        <f t="shared" ca="1" si="6"/>
        <v>#NAME?</v>
      </c>
      <c r="AC299" t="e">
        <f ca="1">IF(X299="","",VLOOKUP($X299,RM!$C$4:$G991,3,FALSE))</f>
        <v>#NAME?</v>
      </c>
      <c r="AD299" t="e">
        <f ca="1">IF(X299="","",VLOOKUP($X299,RM!$C$4:$G991,4,FALSE))</f>
        <v>#NAME?</v>
      </c>
      <c r="AE299" t="e">
        <f ca="1">IF(X299="","",VLOOKUP($X299,RM!$C$4:$G991,5,FALSE))</f>
        <v>#NAME?</v>
      </c>
      <c r="AG299" t="str">
        <f ca="1">IFERROR(__xludf.DUMMYFUNCTION("""COMPUTED_VALUE"""),"Battery Block Assy")</f>
        <v>Battery Block Assy</v>
      </c>
      <c r="AH299" t="str">
        <f ca="1">IFERROR(__xludf.DUMMYFUNCTION("""COMPUTED_VALUE"""),"Li-In 21700 Cells Molicel P42A/ Samsung-40T")</f>
        <v>Li-In 21700 Cells Molicel P42A/ Samsung-40T</v>
      </c>
      <c r="AI299">
        <f ca="1">IFERROR(__xludf.DUMMYFUNCTION("""COMPUTED_VALUE"""),18)</f>
        <v>18</v>
      </c>
      <c r="AJ299" t="str">
        <f ca="1">IFERROR(__xludf.DUMMYFUNCTION("""COMPUTED_VALUE"""),"blank")</f>
        <v>blank</v>
      </c>
      <c r="AK299" t="e">
        <f ca="1">_xludf.IFNA(VLOOKUP(AG299,'S-FG'!$B$3:$B1001,1,FALSE),"")</f>
        <v>#NAME?</v>
      </c>
      <c r="AL299" t="e">
        <f ca="1">IF(AH299="","",SUMIFS(#REF!,RM!$C$4:$C991,AH299))</f>
        <v>#REF!</v>
      </c>
    </row>
    <row r="300" spans="5:38">
      <c r="E300" t="str">
        <f>IF(A300="","",SUMIFS(Issue!$D$3:$D1001,Issue!$C$3:$C1001,A300)*C300)</f>
        <v/>
      </c>
      <c r="F300" t="e">
        <f ca="1">_xludf.IFNA(VLOOKUP(B300,'S-FG'!$B$3:$B1001,1,FALSE),"")</f>
        <v>#NAME?</v>
      </c>
      <c r="H300" t="str">
        <f ca="1">IFERROR(__xludf.DUMMYFUNCTION("""COMPUTED_VALUE"""),"PORT Battery Assy")</f>
        <v>PORT Battery Assy</v>
      </c>
      <c r="I300" t="str">
        <f ca="1">IFERROR(__xludf.DUMMYFUNCTION("""COMPUTED_VALUE"""),"Teroson MS930")</f>
        <v>Teroson MS930</v>
      </c>
      <c r="J300">
        <f ca="1">IFERROR(__xludf.DUMMYFUNCTION("""COMPUTED_VALUE"""),20)</f>
        <v>20</v>
      </c>
      <c r="K300" t="str">
        <f ca="1">IFERROR(__xludf.DUMMYFUNCTION("""COMPUTED_VALUE"""),"blank")</f>
        <v>blank</v>
      </c>
      <c r="L300">
        <f t="shared" ca="1" si="4"/>
        <v>0</v>
      </c>
      <c r="Q300" t="str">
        <f>IF(N300="","",SUMIFS(Issue!$D$3:$D1001,Issue!$C$3:$C1001,N300))</f>
        <v/>
      </c>
      <c r="S300" t="str">
        <f ca="1">IFERROR(__xludf.DUMMYFUNCTION("""COMPUTED_VALUE"""),"HeatShrink Tube 100mm")</f>
        <v>HeatShrink Tube 100mm</v>
      </c>
      <c r="X300" t="e">
        <f ca="1"/>
        <v>#NAME?</v>
      </c>
      <c r="Y300" t="e">
        <f t="shared" ca="1" si="5"/>
        <v>#NAME?</v>
      </c>
      <c r="Z300" t="e">
        <f ca="1">IF(X300="","",SUMIFS(#REF!,RM!$C$4:$C991,X300))</f>
        <v>#NAME?</v>
      </c>
      <c r="AA300" t="e">
        <f ca="1">IF(X300="","",SUMIFS(#REF!,RM!$C$4:$C991,X300))</f>
        <v>#NAME?</v>
      </c>
      <c r="AB300" t="e">
        <f t="shared" ca="1" si="6"/>
        <v>#NAME?</v>
      </c>
      <c r="AC300" t="e">
        <f ca="1">IF(X300="","",VLOOKUP($X300,RM!$C$4:$G991,3,FALSE))</f>
        <v>#NAME?</v>
      </c>
      <c r="AD300" t="e">
        <f ca="1">IF(X300="","",VLOOKUP($X300,RM!$C$4:$G991,4,FALSE))</f>
        <v>#NAME?</v>
      </c>
      <c r="AE300" t="e">
        <f ca="1">IF(X300="","",VLOOKUP($X300,RM!$C$4:$G991,5,FALSE))</f>
        <v>#NAME?</v>
      </c>
      <c r="AG300" t="str">
        <f ca="1">IFERROR(__xludf.DUMMYFUNCTION("""COMPUTED_VALUE"""),"Battery Block Assy")</f>
        <v>Battery Block Assy</v>
      </c>
      <c r="AH300" t="str">
        <f ca="1">IFERROR(__xludf.DUMMYFUNCTION("""COMPUTED_VALUE"""),"Soldering flux")</f>
        <v>Soldering flux</v>
      </c>
      <c r="AI300">
        <f ca="1">IFERROR(__xludf.DUMMYFUNCTION("""COMPUTED_VALUE"""),5)</f>
        <v>5</v>
      </c>
      <c r="AK300" t="e">
        <f ca="1">_xludf.IFNA(VLOOKUP(AG300,'S-FG'!$B$3:$B1001,1,FALSE),"")</f>
        <v>#NAME?</v>
      </c>
      <c r="AL300" t="e">
        <f ca="1">IF(AH300="","",SUMIFS(#REF!,RM!$C$4:$C991,AH300))</f>
        <v>#REF!</v>
      </c>
    </row>
    <row r="301" spans="5:38">
      <c r="E301" t="str">
        <f>IF(A301="","",SUMIFS(Issue!$D$3:$D1001,Issue!$C$3:$C1001,A301)*C301)</f>
        <v/>
      </c>
      <c r="F301" t="e">
        <f ca="1">_xludf.IFNA(VLOOKUP(B301,'S-FG'!$B$3:$B1001,1,FALSE),"")</f>
        <v>#NAME?</v>
      </c>
      <c r="H301" t="str">
        <f ca="1">IFERROR(__xludf.DUMMYFUNCTION("""COMPUTED_VALUE"""),"STBD Unit Assy")</f>
        <v>STBD Unit Assy</v>
      </c>
      <c r="I301" t="str">
        <f ca="1">IFERROR(__xludf.DUMMYFUNCTION("""COMPUTED_VALUE"""),"ESC Mounting Clamp")</f>
        <v>ESC Mounting Clamp</v>
      </c>
      <c r="J301">
        <f ca="1">IFERROR(__xludf.DUMMYFUNCTION("""COMPUTED_VALUE"""),1)</f>
        <v>1</v>
      </c>
      <c r="K301" t="str">
        <f ca="1">IFERROR(__xludf.DUMMYFUNCTION("""COMPUTED_VALUE"""),"blank")</f>
        <v>blank</v>
      </c>
      <c r="L301">
        <f t="shared" ca="1" si="4"/>
        <v>0</v>
      </c>
      <c r="Q301" t="str">
        <f>IF(N301="","",SUMIFS(Issue!$D$3:$D1001,Issue!$C$3:$C1001,N301))</f>
        <v/>
      </c>
      <c r="S301" t="str">
        <f ca="1">IFERROR(__xludf.DUMMYFUNCTION("""COMPUTED_VALUE"""),"Teroson MS930")</f>
        <v>Teroson MS930</v>
      </c>
      <c r="X301" t="e">
        <f ca="1"/>
        <v>#NAME?</v>
      </c>
      <c r="Y301" t="e">
        <f t="shared" ca="1" si="5"/>
        <v>#NAME?</v>
      </c>
      <c r="Z301" t="e">
        <f ca="1">IF(X301="","",SUMIFS(#REF!,RM!$C$4:$C991,X301))</f>
        <v>#NAME?</v>
      </c>
      <c r="AA301" t="e">
        <f ca="1">IF(X301="","",SUMIFS(#REF!,RM!$C$4:$C991,X301))</f>
        <v>#NAME?</v>
      </c>
      <c r="AB301" t="e">
        <f t="shared" ca="1" si="6"/>
        <v>#NAME?</v>
      </c>
      <c r="AC301" t="e">
        <f ca="1">IF(X301="","",VLOOKUP($X301,RM!$C$4:$G991,3,FALSE))</f>
        <v>#NAME?</v>
      </c>
      <c r="AD301" t="e">
        <f ca="1">IF(X301="","",VLOOKUP($X301,RM!$C$4:$G991,4,FALSE))</f>
        <v>#NAME?</v>
      </c>
      <c r="AE301" t="e">
        <f ca="1">IF(X301="","",VLOOKUP($X301,RM!$C$4:$G991,5,FALSE))</f>
        <v>#NAME?</v>
      </c>
      <c r="AG301" t="str">
        <f ca="1">IFERROR(__xludf.DUMMYFUNCTION("""COMPUTED_VALUE"""),"Battery Block Assy")</f>
        <v>Battery Block Assy</v>
      </c>
      <c r="AH301" t="str">
        <f ca="1">IFERROR(__xludf.DUMMYFUNCTION("""COMPUTED_VALUE"""),"Copper Strips 3x2 cells")</f>
        <v>Copper Strips 3x2 cells</v>
      </c>
      <c r="AI301">
        <f ca="1">IFERROR(__xludf.DUMMYFUNCTION("""COMPUTED_VALUE"""),5)</f>
        <v>5</v>
      </c>
      <c r="AK301" t="e">
        <f ca="1">_xludf.IFNA(VLOOKUP(AG301,'S-FG'!$B$3:$B1001,1,FALSE),"")</f>
        <v>#NAME?</v>
      </c>
      <c r="AL301" t="e">
        <f ca="1">IF(AH301="","",SUMIFS(#REF!,RM!$C$4:$C991,AH301))</f>
        <v>#REF!</v>
      </c>
    </row>
    <row r="302" spans="5:38">
      <c r="E302" t="str">
        <f>IF(A302="","",SUMIFS(Issue!$D$3:$D1001,Issue!$C$3:$C1001,A302)*C302)</f>
        <v/>
      </c>
      <c r="F302" t="e">
        <f ca="1">_xludf.IFNA(VLOOKUP(B302,'S-FG'!$B$3:$B1001,1,FALSE),"")</f>
        <v>#NAME?</v>
      </c>
      <c r="H302" t="str">
        <f ca="1">IFERROR(__xludf.DUMMYFUNCTION("""COMPUTED_VALUE"""),"STBD Unit Assy")</f>
        <v>STBD Unit Assy</v>
      </c>
      <c r="I302" t="str">
        <f ca="1">IFERROR(__xludf.DUMMYFUNCTION("""COMPUTED_VALUE"""),"M4 Nyloc")</f>
        <v>M4 Nyloc</v>
      </c>
      <c r="J302">
        <f ca="1">IFERROR(__xludf.DUMMYFUNCTION("""COMPUTED_VALUE"""),4)</f>
        <v>4</v>
      </c>
      <c r="K302" t="str">
        <f ca="1">IFERROR(__xludf.DUMMYFUNCTION("""COMPUTED_VALUE"""),"blank")</f>
        <v>blank</v>
      </c>
      <c r="L302">
        <f t="shared" ca="1" si="4"/>
        <v>0</v>
      </c>
      <c r="Q302" t="str">
        <f>IF(N302="","",SUMIFS(Issue!$D$3:$D1001,Issue!$C$3:$C1001,N302))</f>
        <v/>
      </c>
      <c r="S302" t="str">
        <f ca="1">IFERROR(__xludf.DUMMYFUNCTION("""COMPUTED_VALUE"""),"ESC Mounting Clamp")</f>
        <v>ESC Mounting Clamp</v>
      </c>
      <c r="X302" t="e">
        <f ca="1"/>
        <v>#NAME?</v>
      </c>
      <c r="Y302" t="e">
        <f t="shared" ca="1" si="5"/>
        <v>#NAME?</v>
      </c>
      <c r="Z302" t="e">
        <f ca="1">IF(X302="","",SUMIFS(#REF!,RM!$C$4:$C991,X302))</f>
        <v>#NAME?</v>
      </c>
      <c r="AA302" t="e">
        <f ca="1">IF(X302="","",SUMIFS(#REF!,RM!$C$4:$C991,X302))</f>
        <v>#NAME?</v>
      </c>
      <c r="AB302" t="e">
        <f t="shared" ca="1" si="6"/>
        <v>#NAME?</v>
      </c>
      <c r="AC302" t="e">
        <f ca="1">IF(X302="","",VLOOKUP($X302,RM!$C$4:$G991,3,FALSE))</f>
        <v>#NAME?</v>
      </c>
      <c r="AD302" t="e">
        <f ca="1">IF(X302="","",VLOOKUP($X302,RM!$C$4:$G991,4,FALSE))</f>
        <v>#NAME?</v>
      </c>
      <c r="AE302" t="e">
        <f ca="1">IF(X302="","",VLOOKUP($X302,RM!$C$4:$G991,5,FALSE))</f>
        <v>#NAME?</v>
      </c>
      <c r="AG302" t="str">
        <f ca="1">IFERROR(__xludf.DUMMYFUNCTION("""COMPUTED_VALUE"""),"Battery Block Assy")</f>
        <v>Battery Block Assy</v>
      </c>
      <c r="AH302" t="str">
        <f ca="1">IFERROR(__xludf.DUMMYFUNCTION("""COMPUTED_VALUE"""),"70mm Paper Separator")</f>
        <v>70mm Paper Separator</v>
      </c>
      <c r="AI302">
        <f ca="1">IFERROR(__xludf.DUMMYFUNCTION("""COMPUTED_VALUE"""),2.5)</f>
        <v>2.5</v>
      </c>
      <c r="AJ302" t="str">
        <f ca="1">IFERROR(__xludf.DUMMYFUNCTION("""COMPUTED_VALUE"""),"blank")</f>
        <v>blank</v>
      </c>
      <c r="AK302" t="e">
        <f ca="1">_xludf.IFNA(VLOOKUP(AG302,'S-FG'!$B$3:$B1001,1,FALSE),"")</f>
        <v>#NAME?</v>
      </c>
      <c r="AL302" t="e">
        <f ca="1">IF(AH302="","",SUMIFS(#REF!,RM!$C$4:$C991,AH302))</f>
        <v>#REF!</v>
      </c>
    </row>
    <row r="303" spans="5:38">
      <c r="E303" t="str">
        <f>IF(A303="","",SUMIFS(Issue!$D$3:$D1001,Issue!$C$3:$C1001,A303)*C303)</f>
        <v/>
      </c>
      <c r="F303" t="e">
        <f ca="1">_xludf.IFNA(VLOOKUP(B303,'S-FG'!$B$3:$B1001,1,FALSE),"")</f>
        <v>#NAME?</v>
      </c>
      <c r="H303" t="str">
        <f ca="1">IFERROR(__xludf.DUMMYFUNCTION("""COMPUTED_VALUE"""),"STBD Unit Assy")</f>
        <v>STBD Unit Assy</v>
      </c>
      <c r="I303" t="str">
        <f ca="1">IFERROR(__xludf.DUMMYFUNCTION("""COMPUTED_VALUE"""),"M4 Spring washer")</f>
        <v>M4 Spring washer</v>
      </c>
      <c r="J303">
        <f ca="1">IFERROR(__xludf.DUMMYFUNCTION("""COMPUTED_VALUE"""),4)</f>
        <v>4</v>
      </c>
      <c r="K303" t="str">
        <f ca="1">IFERROR(__xludf.DUMMYFUNCTION("""COMPUTED_VALUE"""),"blank")</f>
        <v>blank</v>
      </c>
      <c r="L303">
        <f t="shared" ca="1" si="4"/>
        <v>0</v>
      </c>
      <c r="Q303" t="str">
        <f>IF(N303="","",SUMIFS(Issue!$D$3:$D1001,Issue!$C$3:$C1001,N303))</f>
        <v/>
      </c>
      <c r="S303" t="str">
        <f ca="1">IFERROR(__xludf.DUMMYFUNCTION("""COMPUTED_VALUE"""),"M4 Nyloc")</f>
        <v>M4 Nyloc</v>
      </c>
      <c r="X303" t="e">
        <f ca="1"/>
        <v>#NAME?</v>
      </c>
      <c r="Y303" t="e">
        <f t="shared" ca="1" si="5"/>
        <v>#NAME?</v>
      </c>
      <c r="Z303" t="e">
        <f ca="1">IF(X303="","",SUMIFS(#REF!,RM!$C$4:$C991,X303))</f>
        <v>#NAME?</v>
      </c>
      <c r="AA303" t="e">
        <f ca="1">IF(X303="","",SUMIFS(#REF!,RM!$C$4:$C991,X303))</f>
        <v>#NAME?</v>
      </c>
      <c r="AB303" t="e">
        <f t="shared" ca="1" si="6"/>
        <v>#NAME?</v>
      </c>
      <c r="AC303" t="e">
        <f ca="1">IF(X303="","",VLOOKUP($X303,RM!$C$4:$G991,3,FALSE))</f>
        <v>#NAME?</v>
      </c>
      <c r="AD303" t="e">
        <f ca="1">IF(X303="","",VLOOKUP($X303,RM!$C$4:$G991,4,FALSE))</f>
        <v>#NAME?</v>
      </c>
      <c r="AE303" t="e">
        <f ca="1">IF(X303="","",VLOOKUP($X303,RM!$C$4:$G991,5,FALSE))</f>
        <v>#NAME?</v>
      </c>
      <c r="AG303" t="str">
        <f ca="1">IFERROR(__xludf.DUMMYFUNCTION("""COMPUTED_VALUE"""),"Battery Block Assy")</f>
        <v>Battery Block Assy</v>
      </c>
      <c r="AH303" t="str">
        <f ca="1">IFERROR(__xludf.DUMMYFUNCTION("""COMPUTED_VALUE"""),"Barley paper for 21700 cylindrical cell")</f>
        <v>Barley paper for 21700 cylindrical cell</v>
      </c>
      <c r="AI303">
        <f ca="1">IFERROR(__xludf.DUMMYFUNCTION("""COMPUTED_VALUE"""),18)</f>
        <v>18</v>
      </c>
      <c r="AJ303" t="str">
        <f ca="1">IFERROR(__xludf.DUMMYFUNCTION("""COMPUTED_VALUE"""),"blank")</f>
        <v>blank</v>
      </c>
      <c r="AK303" t="e">
        <f ca="1">_xludf.IFNA(VLOOKUP(AG303,'S-FG'!$B$3:$B1001,1,FALSE),"")</f>
        <v>#NAME?</v>
      </c>
      <c r="AL303" t="e">
        <f ca="1">IF(AH303="","",SUMIFS(#REF!,RM!$C$4:$C991,AH303))</f>
        <v>#REF!</v>
      </c>
    </row>
    <row r="304" spans="5:38">
      <c r="E304" t="str">
        <f>IF(A304="","",SUMIFS(Issue!$D$3:$D1001,Issue!$C$3:$C1001,A304)*C304)</f>
        <v/>
      </c>
      <c r="F304" t="e">
        <f ca="1">_xludf.IFNA(VLOOKUP(B304,'S-FG'!$B$3:$B1001,1,FALSE),"")</f>
        <v>#NAME?</v>
      </c>
      <c r="H304" t="str">
        <f ca="1">IFERROR(__xludf.DUMMYFUNCTION("""COMPUTED_VALUE"""),"STBD Unit Assy")</f>
        <v>STBD Unit Assy</v>
      </c>
      <c r="I304" t="str">
        <f ca="1">IFERROR(__xludf.DUMMYFUNCTION("""COMPUTED_VALUE"""),"M4x12 plain washer")</f>
        <v>M4x12 plain washer</v>
      </c>
      <c r="J304">
        <f ca="1">IFERROR(__xludf.DUMMYFUNCTION("""COMPUTED_VALUE"""),4)</f>
        <v>4</v>
      </c>
      <c r="K304" t="str">
        <f ca="1">IFERROR(__xludf.DUMMYFUNCTION("""COMPUTED_VALUE"""),"blank")</f>
        <v>blank</v>
      </c>
      <c r="L304">
        <f t="shared" ca="1" si="4"/>
        <v>0</v>
      </c>
      <c r="Q304" t="str">
        <f>IF(N304="","",SUMIFS(Issue!$D$3:$D1001,Issue!$C$3:$C1001,N304))</f>
        <v/>
      </c>
      <c r="S304" t="str">
        <f ca="1">IFERROR(__xludf.DUMMYFUNCTION("""COMPUTED_VALUE"""),"M4 Spring washer")</f>
        <v>M4 Spring washer</v>
      </c>
      <c r="X304" t="e">
        <f ca="1"/>
        <v>#NAME?</v>
      </c>
      <c r="Y304" t="e">
        <f t="shared" ca="1" si="5"/>
        <v>#NAME?</v>
      </c>
      <c r="Z304" t="e">
        <f ca="1">IF(X304="","",SUMIFS(#REF!,RM!$C$4:$C991,X304))</f>
        <v>#NAME?</v>
      </c>
      <c r="AA304" t="e">
        <f ca="1">IF(X304="","",SUMIFS(#REF!,RM!$C$4:$C991,X304))</f>
        <v>#NAME?</v>
      </c>
      <c r="AB304" t="e">
        <f t="shared" ca="1" si="6"/>
        <v>#NAME?</v>
      </c>
      <c r="AC304" t="e">
        <f ca="1">IF(X304="","",VLOOKUP($X304,RM!$C$4:$G991,3,FALSE))</f>
        <v>#NAME?</v>
      </c>
      <c r="AD304" t="e">
        <f ca="1">IF(X304="","",VLOOKUP($X304,RM!$C$4:$G991,4,FALSE))</f>
        <v>#NAME?</v>
      </c>
      <c r="AE304" t="e">
        <f ca="1">IF(X304="","",VLOOKUP($X304,RM!$C$4:$G991,5,FALSE))</f>
        <v>#NAME?</v>
      </c>
      <c r="AG304" t="str">
        <f ca="1">IFERROR(__xludf.DUMMYFUNCTION("""COMPUTED_VALUE"""),"Battery Block Assy")</f>
        <v>Battery Block Assy</v>
      </c>
      <c r="AH304" t="str">
        <f ca="1">IFERROR(__xludf.DUMMYFUNCTION("""COMPUTED_VALUE"""),"1"" Masking Tape")</f>
        <v>1" Masking Tape</v>
      </c>
      <c r="AI304">
        <f ca="1">IFERROR(__xludf.DUMMYFUNCTION("""COMPUTED_VALUE"""),0.5)</f>
        <v>0.5</v>
      </c>
      <c r="AK304" t="e">
        <f ca="1">_xludf.IFNA(VLOOKUP(AG304,'S-FG'!$B$3:$B1001,1,FALSE),"")</f>
        <v>#NAME?</v>
      </c>
      <c r="AL304" t="e">
        <f ca="1">IF(AH304="","",SUMIFS(#REF!,RM!$C$4:$C991,AH304))</f>
        <v>#REF!</v>
      </c>
    </row>
    <row r="305" spans="5:38">
      <c r="E305" t="str">
        <f>IF(A305="","",SUMIFS(Issue!$D$3:$D1001,Issue!$C$3:$C1001,A305)*C305)</f>
        <v/>
      </c>
      <c r="F305" t="e">
        <f ca="1">_xludf.IFNA(VLOOKUP(B305,'S-FG'!$B$3:$B1001,1,FALSE),"")</f>
        <v>#NAME?</v>
      </c>
      <c r="H305" t="str">
        <f ca="1">IFERROR(__xludf.DUMMYFUNCTION("""COMPUTED_VALUE"""),"STBD Unit Assy")</f>
        <v>STBD Unit Assy</v>
      </c>
      <c r="I305" t="str">
        <f ca="1">IFERROR(__xludf.DUMMYFUNCTION("""COMPUTED_VALUE"""),"3mm Silicon Rubber Gaskets (35mmx10mm)")</f>
        <v>3mm Silicon Rubber Gaskets (35mmx10mm)</v>
      </c>
      <c r="J305">
        <f ca="1">IFERROR(__xludf.DUMMYFUNCTION("""COMPUTED_VALUE"""),1)</f>
        <v>1</v>
      </c>
      <c r="K305" t="str">
        <f ca="1">IFERROR(__xludf.DUMMYFUNCTION("""COMPUTED_VALUE"""),"blank")</f>
        <v>blank</v>
      </c>
      <c r="L305">
        <f t="shared" ca="1" si="4"/>
        <v>0</v>
      </c>
      <c r="Q305" t="str">
        <f>IF(N305="","",SUMIFS(Issue!$D$3:$D1001,Issue!$C$3:$C1001,N305))</f>
        <v/>
      </c>
      <c r="S305" t="str">
        <f ca="1">IFERROR(__xludf.DUMMYFUNCTION("""COMPUTED_VALUE"""),"M4x12 plain washer")</f>
        <v>M4x12 plain washer</v>
      </c>
      <c r="X305" t="e">
        <f ca="1"/>
        <v>#NAME?</v>
      </c>
      <c r="Y305" t="e">
        <f t="shared" ca="1" si="5"/>
        <v>#NAME?</v>
      </c>
      <c r="Z305" t="e">
        <f ca="1">IF(X305="","",SUMIFS(#REF!,RM!$C$4:$C991,X305))</f>
        <v>#NAME?</v>
      </c>
      <c r="AA305" t="e">
        <f ca="1">IF(X305="","",SUMIFS(#REF!,RM!$C$4:$C991,X305))</f>
        <v>#NAME?</v>
      </c>
      <c r="AB305" t="e">
        <f t="shared" ca="1" si="6"/>
        <v>#NAME?</v>
      </c>
      <c r="AC305" t="e">
        <f ca="1">IF(X305="","",VLOOKUP($X305,RM!$C$4:$G991,3,FALSE))</f>
        <v>#NAME?</v>
      </c>
      <c r="AD305" t="e">
        <f ca="1">IF(X305="","",VLOOKUP($X305,RM!$C$4:$G991,4,FALSE))</f>
        <v>#NAME?</v>
      </c>
      <c r="AE305" t="e">
        <f ca="1">IF(X305="","",VLOOKUP($X305,RM!$C$4:$G991,5,FALSE))</f>
        <v>#NAME?</v>
      </c>
      <c r="AG305" t="str">
        <f ca="1">IFERROR(__xludf.DUMMYFUNCTION("""COMPUTED_VALUE"""),"STBD Battery Assy")</f>
        <v>STBD Battery Assy</v>
      </c>
      <c r="AH305" t="str">
        <f ca="1">IFERROR(__xludf.DUMMYFUNCTION("""COMPUTED_VALUE"""),"6mm female bullet connector")</f>
        <v>6mm female bullet connector</v>
      </c>
      <c r="AI305">
        <f ca="1">IFERROR(__xludf.DUMMYFUNCTION("""COMPUTED_VALUE"""),1)</f>
        <v>1</v>
      </c>
      <c r="AJ305" t="str">
        <f ca="1">IFERROR(__xludf.DUMMYFUNCTION("""COMPUTED_VALUE"""),"blank")</f>
        <v>blank</v>
      </c>
      <c r="AK305" t="e">
        <f ca="1">_xludf.IFNA(VLOOKUP(AG305,'S-FG'!$B$3:$B1001,1,FALSE),"")</f>
        <v>#NAME?</v>
      </c>
      <c r="AL305" t="e">
        <f ca="1">IF(AH305="","",SUMIFS(#REF!,RM!$C$4:$C991,AH305))</f>
        <v>#REF!</v>
      </c>
    </row>
    <row r="306" spans="5:38">
      <c r="E306" t="str">
        <f>IF(A306="","",SUMIFS(Issue!$D$3:$D1001,Issue!$C$3:$C1001,A306)*C306)</f>
        <v/>
      </c>
      <c r="F306" t="e">
        <f ca="1">_xludf.IFNA(VLOOKUP(B306,'S-FG'!$B$3:$B1001,1,FALSE),"")</f>
        <v>#NAME?</v>
      </c>
      <c r="H306" t="str">
        <f ca="1">IFERROR(__xludf.DUMMYFUNCTION("""COMPUTED_VALUE"""),"STBD Unit Assy")</f>
        <v>STBD Unit Assy</v>
      </c>
      <c r="I306" t="str">
        <f ca="1">IFERROR(__xludf.DUMMYFUNCTION("""COMPUTED_VALUE"""),"Jet Motor Assy")</f>
        <v>Jet Motor Assy</v>
      </c>
      <c r="J306">
        <f ca="1">IFERROR(__xludf.DUMMYFUNCTION("""COMPUTED_VALUE"""),0)</f>
        <v>0</v>
      </c>
      <c r="K306" t="str">
        <f ca="1">IFERROR(__xludf.DUMMYFUNCTION("""COMPUTED_VALUE"""),"blank")</f>
        <v>blank</v>
      </c>
      <c r="L306">
        <f t="shared" ca="1" si="4"/>
        <v>0</v>
      </c>
      <c r="Q306" t="str">
        <f>IF(N306="","",SUMIFS(Issue!$D$3:$D1001,Issue!$C$3:$C1001,N306))</f>
        <v/>
      </c>
      <c r="S306" t="str">
        <f ca="1">IFERROR(__xludf.DUMMYFUNCTION("""COMPUTED_VALUE"""),"3mm Silicon Rubber Gaskets (35mmx10mm)")</f>
        <v>3mm Silicon Rubber Gaskets (35mmx10mm)</v>
      </c>
      <c r="X306" t="e">
        <f ca="1"/>
        <v>#NAME?</v>
      </c>
      <c r="Y306" t="e">
        <f t="shared" ca="1" si="5"/>
        <v>#NAME?</v>
      </c>
      <c r="Z306" t="e">
        <f ca="1">IF(X306="","",SUMIFS(#REF!,RM!$C$4:$C991,X306))</f>
        <v>#NAME?</v>
      </c>
      <c r="AA306" t="e">
        <f ca="1">IF(X306="","",SUMIFS(#REF!,RM!$C$4:$C991,X306))</f>
        <v>#NAME?</v>
      </c>
      <c r="AB306" t="e">
        <f t="shared" ca="1" si="6"/>
        <v>#NAME?</v>
      </c>
      <c r="AC306" t="e">
        <f ca="1">IF(X306="","",VLOOKUP($X306,RM!$C$4:$G991,3,FALSE))</f>
        <v>#NAME?</v>
      </c>
      <c r="AD306" t="e">
        <f ca="1">IF(X306="","",VLOOKUP($X306,RM!$C$4:$G991,4,FALSE))</f>
        <v>#NAME?</v>
      </c>
      <c r="AE306" t="e">
        <f ca="1">IF(X306="","",VLOOKUP($X306,RM!$C$4:$G991,5,FALSE))</f>
        <v>#NAME?</v>
      </c>
      <c r="AG306" t="str">
        <f ca="1">IFERROR(__xludf.DUMMYFUNCTION("""COMPUTED_VALUE"""),"STBD Battery Assy")</f>
        <v>STBD Battery Assy</v>
      </c>
      <c r="AH306" t="str">
        <f ca="1">IFERROR(__xludf.DUMMYFUNCTION("""COMPUTED_VALUE"""),"8mm male bullet connector")</f>
        <v>8mm male bullet connector</v>
      </c>
      <c r="AI306">
        <f ca="1">IFERROR(__xludf.DUMMYFUNCTION("""COMPUTED_VALUE"""),1)</f>
        <v>1</v>
      </c>
      <c r="AJ306" t="str">
        <f ca="1">IFERROR(__xludf.DUMMYFUNCTION("""COMPUTED_VALUE"""),"blank")</f>
        <v>blank</v>
      </c>
      <c r="AK306" t="e">
        <f ca="1">_xludf.IFNA(VLOOKUP(AG306,'S-FG'!$B$3:$B1001,1,FALSE),"")</f>
        <v>#NAME?</v>
      </c>
      <c r="AL306" t="e">
        <f ca="1">IF(AH306="","",SUMIFS(#REF!,RM!$C$4:$C991,AH306))</f>
        <v>#REF!</v>
      </c>
    </row>
    <row r="307" spans="5:38">
      <c r="E307" t="str">
        <f>IF(A307="","",SUMIFS(Issue!$D$3:$D1001,Issue!$C$3:$C1001,A307)*C307)</f>
        <v/>
      </c>
      <c r="F307" t="e">
        <f ca="1">_xludf.IFNA(VLOOKUP(B307,'S-FG'!$B$3:$B1001,1,FALSE),"")</f>
        <v>#NAME?</v>
      </c>
      <c r="H307" t="str">
        <f ca="1">IFERROR(__xludf.DUMMYFUNCTION("""COMPUTED_VALUE"""),"STBD Unit Assy")</f>
        <v>STBD Unit Assy</v>
      </c>
      <c r="I307" t="str">
        <f ca="1">IFERROR(__xludf.DUMMYFUNCTION("""COMPUTED_VALUE"""),"STBD_ESC Assy")</f>
        <v>STBD_ESC Assy</v>
      </c>
      <c r="J307">
        <f ca="1">IFERROR(__xludf.DUMMYFUNCTION("""COMPUTED_VALUE"""),0)</f>
        <v>0</v>
      </c>
      <c r="K307" t="str">
        <f ca="1">IFERROR(__xludf.DUMMYFUNCTION("""COMPUTED_VALUE"""),"blank")</f>
        <v>blank</v>
      </c>
      <c r="L307">
        <f t="shared" ca="1" si="4"/>
        <v>0</v>
      </c>
      <c r="Q307" t="str">
        <f>IF(N307="","",SUMIFS(Issue!$D$3:$D1001,Issue!$C$3:$C1001,N307))</f>
        <v/>
      </c>
      <c r="S307" t="str">
        <f ca="1">IFERROR(__xludf.DUMMYFUNCTION("""COMPUTED_VALUE"""),"Jet Motor Assy")</f>
        <v>Jet Motor Assy</v>
      </c>
      <c r="X307" t="e">
        <f ca="1"/>
        <v>#NAME?</v>
      </c>
      <c r="Y307" t="e">
        <f t="shared" ca="1" si="5"/>
        <v>#NAME?</v>
      </c>
      <c r="Z307" t="e">
        <f ca="1">IF(X307="","",SUMIFS(#REF!,RM!$C$4:$C991,X307))</f>
        <v>#NAME?</v>
      </c>
      <c r="AA307" t="e">
        <f ca="1">IF(X307="","",SUMIFS(#REF!,RM!$C$4:$C991,X307))</f>
        <v>#NAME?</v>
      </c>
      <c r="AB307" t="e">
        <f t="shared" ca="1" si="6"/>
        <v>#NAME?</v>
      </c>
      <c r="AC307" t="e">
        <f ca="1">IF(X307="","",VLOOKUP($X307,RM!$C$4:$G991,3,FALSE))</f>
        <v>#NAME?</v>
      </c>
      <c r="AD307" t="e">
        <f ca="1">IF(X307="","",VLOOKUP($X307,RM!$C$4:$G991,4,FALSE))</f>
        <v>#NAME?</v>
      </c>
      <c r="AE307" t="e">
        <f ca="1">IF(X307="","",VLOOKUP($X307,RM!$C$4:$G991,5,FALSE))</f>
        <v>#NAME?</v>
      </c>
      <c r="AG307" t="str">
        <f ca="1">IFERROR(__xludf.DUMMYFUNCTION("""COMPUTED_VALUE"""),"STBD Battery Assy")</f>
        <v>STBD Battery Assy</v>
      </c>
      <c r="AH307" t="str">
        <f ca="1">IFERROR(__xludf.DUMMYFUNCTION("""COMPUTED_VALUE"""),"Black 8AWG")</f>
        <v>Black 8AWG</v>
      </c>
      <c r="AI307">
        <f ca="1">IFERROR(__xludf.DUMMYFUNCTION("""COMPUTED_VALUE"""),0.65)</f>
        <v>0.65</v>
      </c>
      <c r="AJ307" t="str">
        <f ca="1">IFERROR(__xludf.DUMMYFUNCTION("""COMPUTED_VALUE"""),"blank")</f>
        <v>blank</v>
      </c>
      <c r="AK307" t="e">
        <f ca="1">_xludf.IFNA(VLOOKUP(AG307,'S-FG'!$B$3:$B1001,1,FALSE),"")</f>
        <v>#NAME?</v>
      </c>
      <c r="AL307" t="e">
        <f ca="1">IF(AH307="","",SUMIFS(#REF!,RM!$C$4:$C991,AH307))</f>
        <v>#REF!</v>
      </c>
    </row>
    <row r="308" spans="5:38">
      <c r="E308" t="str">
        <f>IF(A308="","",SUMIFS(Issue!$D$3:$D1001,Issue!$C$3:$C1001,A308)*C308)</f>
        <v/>
      </c>
      <c r="F308" t="e">
        <f ca="1">_xludf.IFNA(VLOOKUP(B308,'S-FG'!$B$3:$B1001,1,FALSE),"")</f>
        <v>#NAME?</v>
      </c>
      <c r="H308" t="str">
        <f ca="1">IFERROR(__xludf.DUMMYFUNCTION("""COMPUTED_VALUE"""),"STBD Unit Assy")</f>
        <v>STBD Unit Assy</v>
      </c>
      <c r="I308" t="str">
        <f ca="1">IFERROR(__xludf.DUMMYFUNCTION("""COMPUTED_VALUE"""),"STBD Battery Assy")</f>
        <v>STBD Battery Assy</v>
      </c>
      <c r="J308">
        <f ca="1">IFERROR(__xludf.DUMMYFUNCTION("""COMPUTED_VALUE"""),0)</f>
        <v>0</v>
      </c>
      <c r="K308" t="str">
        <f ca="1">IFERROR(__xludf.DUMMYFUNCTION("""COMPUTED_VALUE"""),"blank")</f>
        <v>blank</v>
      </c>
      <c r="L308">
        <f t="shared" ca="1" si="4"/>
        <v>0</v>
      </c>
      <c r="Q308" t="str">
        <f>IF(N308="","",SUMIFS(Issue!$D$3:$D1001,Issue!$C$3:$C1001,N308))</f>
        <v/>
      </c>
      <c r="S308" t="str">
        <f ca="1">IFERROR(__xludf.DUMMYFUNCTION("""COMPUTED_VALUE"""),"STBD_ESC Assy")</f>
        <v>STBD_ESC Assy</v>
      </c>
      <c r="X308" t="e">
        <f ca="1"/>
        <v>#NAME?</v>
      </c>
      <c r="Y308" t="e">
        <f t="shared" ca="1" si="5"/>
        <v>#NAME?</v>
      </c>
      <c r="Z308" t="e">
        <f ca="1">IF(X308="","",SUMIFS(#REF!,RM!$C$4:$C991,X308))</f>
        <v>#NAME?</v>
      </c>
      <c r="AA308" t="e">
        <f ca="1">IF(X308="","",SUMIFS(#REF!,RM!$C$4:$C991,X308))</f>
        <v>#NAME?</v>
      </c>
      <c r="AB308" t="e">
        <f t="shared" ca="1" si="6"/>
        <v>#NAME?</v>
      </c>
      <c r="AC308" t="e">
        <f ca="1">IF(X308="","",VLOOKUP($X308,RM!$C$4:$G991,3,FALSE))</f>
        <v>#NAME?</v>
      </c>
      <c r="AD308" t="e">
        <f ca="1">IF(X308="","",VLOOKUP($X308,RM!$C$4:$G991,4,FALSE))</f>
        <v>#NAME?</v>
      </c>
      <c r="AE308" t="e">
        <f ca="1">IF(X308="","",VLOOKUP($X308,RM!$C$4:$G991,5,FALSE))</f>
        <v>#NAME?</v>
      </c>
      <c r="AG308" t="str">
        <f ca="1">IFERROR(__xludf.DUMMYFUNCTION("""COMPUTED_VALUE"""),"STBD Battery Assy")</f>
        <v>STBD Battery Assy</v>
      </c>
      <c r="AH308" t="str">
        <f ca="1">IFERROR(__xludf.DUMMYFUNCTION("""COMPUTED_VALUE"""),"Red 8AWG")</f>
        <v>Red 8AWG</v>
      </c>
      <c r="AI308">
        <f ca="1">IFERROR(__xludf.DUMMYFUNCTION("""COMPUTED_VALUE"""),0.65)</f>
        <v>0.65</v>
      </c>
      <c r="AJ308" t="str">
        <f ca="1">IFERROR(__xludf.DUMMYFUNCTION("""COMPUTED_VALUE"""),"blank")</f>
        <v>blank</v>
      </c>
      <c r="AK308" t="e">
        <f ca="1">_xludf.IFNA(VLOOKUP(AG308,'S-FG'!$B$3:$B1001,1,FALSE),"")</f>
        <v>#NAME?</v>
      </c>
      <c r="AL308" t="e">
        <f ca="1">IF(AH308="","",SUMIFS(#REF!,RM!$C$4:$C991,AH308))</f>
        <v>#REF!</v>
      </c>
    </row>
    <row r="309" spans="5:38">
      <c r="E309" t="str">
        <f>IF(A309="","",SUMIFS(Issue!$D$3:$D1001,Issue!$C$3:$C1001,A309)*C309)</f>
        <v/>
      </c>
      <c r="F309" t="e">
        <f ca="1">_xludf.IFNA(VLOOKUP(B309,'S-FG'!$B$3:$B1001,1,FALSE),"")</f>
        <v>#NAME?</v>
      </c>
      <c r="H309" t="str">
        <f ca="1">IFERROR(__xludf.DUMMYFUNCTION("""COMPUTED_VALUE"""),"STBD Unit Assy")</f>
        <v>STBD Unit Assy</v>
      </c>
      <c r="I309" t="str">
        <f ca="1">IFERROR(__xludf.DUMMYFUNCTION("""COMPUTED_VALUE"""),"M4x20 CSK Phillips")</f>
        <v>M4x20 CSK Phillips</v>
      </c>
      <c r="J309">
        <f ca="1">IFERROR(__xludf.DUMMYFUNCTION("""COMPUTED_VALUE"""),2)</f>
        <v>2</v>
      </c>
      <c r="K309" t="str">
        <f ca="1">IFERROR(__xludf.DUMMYFUNCTION("""COMPUTED_VALUE"""),"blank")</f>
        <v>blank</v>
      </c>
      <c r="L309">
        <f t="shared" ca="1" si="4"/>
        <v>0</v>
      </c>
      <c r="Q309" t="str">
        <f>IF(N309="","",SUMIFS(Issue!$D$3:$D1001,Issue!$C$3:$C1001,N309))</f>
        <v/>
      </c>
      <c r="S309" t="str">
        <f ca="1">IFERROR(__xludf.DUMMYFUNCTION("""COMPUTED_VALUE"""),"STBD Battery Assy")</f>
        <v>STBD Battery Assy</v>
      </c>
      <c r="X309" t="e">
        <f ca="1"/>
        <v>#NAME?</v>
      </c>
      <c r="Y309" t="e">
        <f t="shared" ca="1" si="5"/>
        <v>#NAME?</v>
      </c>
      <c r="Z309" t="e">
        <f ca="1">IF(X309="","",SUMIFS(#REF!,RM!$C$4:$C991,X309))</f>
        <v>#NAME?</v>
      </c>
      <c r="AA309" t="e">
        <f ca="1">IF(X309="","",SUMIFS(#REF!,RM!$C$4:$C991,X309))</f>
        <v>#NAME?</v>
      </c>
      <c r="AB309" t="e">
        <f t="shared" ca="1" si="6"/>
        <v>#NAME?</v>
      </c>
      <c r="AC309" t="e">
        <f ca="1">IF(X309="","",VLOOKUP($X309,RM!$C$4:$G991,3,FALSE))</f>
        <v>#NAME?</v>
      </c>
      <c r="AD309" t="e">
        <f ca="1">IF(X309="","",VLOOKUP($X309,RM!$C$4:$G991,4,FALSE))</f>
        <v>#NAME?</v>
      </c>
      <c r="AE309" t="e">
        <f ca="1">IF(X309="","",VLOOKUP($X309,RM!$C$4:$G991,5,FALSE))</f>
        <v>#NAME?</v>
      </c>
      <c r="AG309" t="str">
        <f ca="1">IFERROR(__xludf.DUMMYFUNCTION("""COMPUTED_VALUE"""),"STBD Battery Assy")</f>
        <v>STBD Battery Assy</v>
      </c>
      <c r="AH309" t="str">
        <f ca="1">IFERROR(__xludf.DUMMYFUNCTION("""COMPUTED_VALUE"""),"Soldering flux")</f>
        <v>Soldering flux</v>
      </c>
      <c r="AI309">
        <f ca="1">IFERROR(__xludf.DUMMYFUNCTION("""COMPUTED_VALUE"""),5)</f>
        <v>5</v>
      </c>
      <c r="AK309" t="e">
        <f ca="1">_xludf.IFNA(VLOOKUP(AG309,'S-FG'!$B$3:$B1001,1,FALSE),"")</f>
        <v>#NAME?</v>
      </c>
      <c r="AL309" t="e">
        <f ca="1">IF(AH309="","",SUMIFS(#REF!,RM!$C$4:$C991,AH309))</f>
        <v>#REF!</v>
      </c>
    </row>
    <row r="310" spans="5:38">
      <c r="E310" t="str">
        <f>IF(A310="","",SUMIFS(Issue!$D$3:$D1001,Issue!$C$3:$C1001,A310)*C310)</f>
        <v/>
      </c>
      <c r="F310" t="e">
        <f ca="1">_xludf.IFNA(VLOOKUP(B310,'S-FG'!$B$3:$B1001,1,FALSE),"")</f>
        <v>#NAME?</v>
      </c>
      <c r="H310" t="str">
        <f ca="1">IFERROR(__xludf.DUMMYFUNCTION("""COMPUTED_VALUE"""),"STBD Unit Assy")</f>
        <v>STBD Unit Assy</v>
      </c>
      <c r="I310" t="str">
        <f ca="1">IFERROR(__xludf.DUMMYFUNCTION("""COMPUTED_VALUE"""),"M4x16 Allen Head")</f>
        <v>M4x16 Allen Head</v>
      </c>
      <c r="J310">
        <f ca="1">IFERROR(__xludf.DUMMYFUNCTION("""COMPUTED_VALUE"""),2)</f>
        <v>2</v>
      </c>
      <c r="K310" t="str">
        <f ca="1">IFERROR(__xludf.DUMMYFUNCTION("""COMPUTED_VALUE"""),"blank")</f>
        <v>blank</v>
      </c>
      <c r="L310">
        <f t="shared" ca="1" si="4"/>
        <v>0</v>
      </c>
      <c r="Q310" t="str">
        <f>IF(N310="","",SUMIFS(Issue!$D$3:$D1001,Issue!$C$3:$C1001,N310))</f>
        <v/>
      </c>
      <c r="S310" t="str">
        <f ca="1">IFERROR(__xludf.DUMMYFUNCTION("""COMPUTED_VALUE"""),"M4x20 CSK Phillips")</f>
        <v>M4x20 CSK Phillips</v>
      </c>
      <c r="X310" t="e">
        <f ca="1"/>
        <v>#NAME?</v>
      </c>
      <c r="Y310" t="e">
        <f t="shared" ca="1" si="5"/>
        <v>#NAME?</v>
      </c>
      <c r="Z310" t="e">
        <f ca="1">IF(X310="","",SUMIFS(#REF!,RM!$C$4:$C991,X310))</f>
        <v>#NAME?</v>
      </c>
      <c r="AA310" t="e">
        <f ca="1">IF(X310="","",SUMIFS(#REF!,RM!$C$4:$C991,X310))</f>
        <v>#NAME?</v>
      </c>
      <c r="AB310" t="e">
        <f t="shared" ca="1" si="6"/>
        <v>#NAME?</v>
      </c>
      <c r="AC310" t="e">
        <f ca="1">IF(X310="","",VLOOKUP($X310,RM!$C$4:$G991,3,FALSE))</f>
        <v>#NAME?</v>
      </c>
      <c r="AD310" t="e">
        <f ca="1">IF(X310="","",VLOOKUP($X310,RM!$C$4:$G991,4,FALSE))</f>
        <v>#NAME?</v>
      </c>
      <c r="AE310" t="e">
        <f ca="1">IF(X310="","",VLOOKUP($X310,RM!$C$4:$G991,5,FALSE))</f>
        <v>#NAME?</v>
      </c>
      <c r="AG310" t="str">
        <f ca="1">IFERROR(__xludf.DUMMYFUNCTION("""COMPUTED_VALUE"""),"STBD Battery Assy")</f>
        <v>STBD Battery Assy</v>
      </c>
      <c r="AH310" t="str">
        <f ca="1">IFERROR(__xludf.DUMMYFUNCTION("""COMPUTED_VALUE"""),"2mm FRP 60x70mm")</f>
        <v>2mm FRP 60x70mm</v>
      </c>
      <c r="AI310">
        <f ca="1">IFERROR(__xludf.DUMMYFUNCTION("""COMPUTED_VALUE"""),1)</f>
        <v>1</v>
      </c>
      <c r="AJ310" t="str">
        <f ca="1">IFERROR(__xludf.DUMMYFUNCTION("""COMPUTED_VALUE"""),"blank")</f>
        <v>blank</v>
      </c>
      <c r="AK310" t="e">
        <f ca="1">_xludf.IFNA(VLOOKUP(AG310,'S-FG'!$B$3:$B1001,1,FALSE),"")</f>
        <v>#NAME?</v>
      </c>
      <c r="AL310" t="e">
        <f ca="1">IF(AH310="","",SUMIFS(#REF!,RM!$C$4:$C991,AH310))</f>
        <v>#REF!</v>
      </c>
    </row>
    <row r="311" spans="5:38">
      <c r="E311" t="str">
        <f>IF(A311="","",SUMIFS(Issue!$D$3:$D1001,Issue!$C$3:$C1001,A311)*C311)</f>
        <v/>
      </c>
      <c r="F311" t="e">
        <f ca="1">_xludf.IFNA(VLOOKUP(B311,'S-FG'!$B$3:$B1001,1,FALSE),"")</f>
        <v>#NAME?</v>
      </c>
      <c r="H311" t="str">
        <f ca="1">IFERROR(__xludf.DUMMYFUNCTION("""COMPUTED_VALUE"""),"PORT Unit Assy")</f>
        <v>PORT Unit Assy</v>
      </c>
      <c r="I311" t="str">
        <f ca="1">IFERROR(__xludf.DUMMYFUNCTION("""COMPUTED_VALUE"""),"ESC Mounting Clamp")</f>
        <v>ESC Mounting Clamp</v>
      </c>
      <c r="J311">
        <f ca="1">IFERROR(__xludf.DUMMYFUNCTION("""COMPUTED_VALUE"""),1)</f>
        <v>1</v>
      </c>
      <c r="K311" t="str">
        <f ca="1">IFERROR(__xludf.DUMMYFUNCTION("""COMPUTED_VALUE"""),"blank")</f>
        <v>blank</v>
      </c>
      <c r="L311">
        <f t="shared" ca="1" si="4"/>
        <v>0</v>
      </c>
      <c r="Q311" t="str">
        <f>IF(N311="","",SUMIFS(Issue!$D$3:$D1001,Issue!$C$3:$C1001,N311))</f>
        <v/>
      </c>
      <c r="S311" t="str">
        <f ca="1">IFERROR(__xludf.DUMMYFUNCTION("""COMPUTED_VALUE"""),"M4x16 Allen Head")</f>
        <v>M4x16 Allen Head</v>
      </c>
      <c r="X311" t="e">
        <f ca="1"/>
        <v>#NAME?</v>
      </c>
      <c r="Y311" t="e">
        <f t="shared" ca="1" si="5"/>
        <v>#NAME?</v>
      </c>
      <c r="Z311" t="e">
        <f ca="1">IF(X311="","",SUMIFS(#REF!,RM!$C$4:$C991,X311))</f>
        <v>#NAME?</v>
      </c>
      <c r="AA311" t="e">
        <f ca="1">IF(X311="","",SUMIFS(#REF!,RM!$C$4:$C991,X311))</f>
        <v>#NAME?</v>
      </c>
      <c r="AB311" t="e">
        <f t="shared" ca="1" si="6"/>
        <v>#NAME?</v>
      </c>
      <c r="AC311" t="e">
        <f ca="1">IF(X311="","",VLOOKUP($X311,RM!$C$4:$G991,3,FALSE))</f>
        <v>#NAME?</v>
      </c>
      <c r="AD311" t="e">
        <f ca="1">IF(X311="","",VLOOKUP($X311,RM!$C$4:$G991,4,FALSE))</f>
        <v>#NAME?</v>
      </c>
      <c r="AE311" t="e">
        <f ca="1">IF(X311="","",VLOOKUP($X311,RM!$C$4:$G991,5,FALSE))</f>
        <v>#NAME?</v>
      </c>
      <c r="AG311" t="str">
        <f ca="1">IFERROR(__xludf.DUMMYFUNCTION("""COMPUTED_VALUE"""),"STBD Battery Assy")</f>
        <v>STBD Battery Assy</v>
      </c>
      <c r="AH311" t="str">
        <f ca="1">IFERROR(__xludf.DUMMYFUNCTION("""COMPUTED_VALUE"""),"2mm FRP 60x70mm with 18 mm hole")</f>
        <v>2mm FRP 60x70mm with 18 mm hole</v>
      </c>
      <c r="AI311">
        <f ca="1">IFERROR(__xludf.DUMMYFUNCTION("""COMPUTED_VALUE"""),1)</f>
        <v>1</v>
      </c>
      <c r="AK311" t="e">
        <f ca="1">_xludf.IFNA(VLOOKUP(AG311,'S-FG'!$B$3:$B1001,1,FALSE),"")</f>
        <v>#NAME?</v>
      </c>
      <c r="AL311" t="e">
        <f ca="1">IF(AH311="","",SUMIFS(#REF!,RM!$C$4:$C991,AH311))</f>
        <v>#REF!</v>
      </c>
    </row>
    <row r="312" spans="5:38">
      <c r="E312" t="str">
        <f>IF(A312="","",SUMIFS(Issue!$D$3:$D1001,Issue!$C$3:$C1001,A312)*C312)</f>
        <v/>
      </c>
      <c r="F312" t="e">
        <f ca="1">_xludf.IFNA(VLOOKUP(B312,'S-FG'!$B$3:$B1001,1,FALSE),"")</f>
        <v>#NAME?</v>
      </c>
      <c r="H312" t="str">
        <f ca="1">IFERROR(__xludf.DUMMYFUNCTION("""COMPUTED_VALUE"""),"PORT Unit Assy")</f>
        <v>PORT Unit Assy</v>
      </c>
      <c r="I312" t="str">
        <f ca="1">IFERROR(__xludf.DUMMYFUNCTION("""COMPUTED_VALUE"""),"M4 Nyloc")</f>
        <v>M4 Nyloc</v>
      </c>
      <c r="J312">
        <f ca="1">IFERROR(__xludf.DUMMYFUNCTION("""COMPUTED_VALUE"""),4)</f>
        <v>4</v>
      </c>
      <c r="K312" t="str">
        <f ca="1">IFERROR(__xludf.DUMMYFUNCTION("""COMPUTED_VALUE"""),"blank")</f>
        <v>blank</v>
      </c>
      <c r="L312">
        <f t="shared" ca="1" si="4"/>
        <v>0</v>
      </c>
      <c r="Q312" t="str">
        <f>IF(N312="","",SUMIFS(Issue!$D$3:$D1001,Issue!$C$3:$C1001,N312))</f>
        <v/>
      </c>
      <c r="S312" t="str">
        <f ca="1">IFERROR(__xludf.DUMMYFUNCTION("""COMPUTED_VALUE"""),"ESC Mounting Clamp")</f>
        <v>ESC Mounting Clamp</v>
      </c>
      <c r="X312" t="e">
        <f ca="1"/>
        <v>#NAME?</v>
      </c>
      <c r="Y312" t="e">
        <f t="shared" ca="1" si="5"/>
        <v>#NAME?</v>
      </c>
      <c r="Z312" t="e">
        <f ca="1">IF(X312="","",SUMIFS(#REF!,RM!$C$4:$C991,X312))</f>
        <v>#NAME?</v>
      </c>
      <c r="AA312" t="e">
        <f ca="1">IF(X312="","",SUMIFS(#REF!,RM!$C$4:$C991,X312))</f>
        <v>#NAME?</v>
      </c>
      <c r="AB312" t="e">
        <f t="shared" ca="1" si="6"/>
        <v>#NAME?</v>
      </c>
      <c r="AC312" t="e">
        <f ca="1">IF(X312="","",VLOOKUP($X312,RM!$C$4:$G991,3,FALSE))</f>
        <v>#NAME?</v>
      </c>
      <c r="AD312" t="e">
        <f ca="1">IF(X312="","",VLOOKUP($X312,RM!$C$4:$G991,4,FALSE))</f>
        <v>#NAME?</v>
      </c>
      <c r="AE312" t="e">
        <f ca="1">IF(X312="","",VLOOKUP($X312,RM!$C$4:$G991,5,FALSE))</f>
        <v>#NAME?</v>
      </c>
      <c r="AG312" t="str">
        <f ca="1">IFERROR(__xludf.DUMMYFUNCTION("""COMPUTED_VALUE"""),"STBD Battery Assy")</f>
        <v>STBD Battery Assy</v>
      </c>
      <c r="AH312" t="str">
        <f ca="1">IFERROR(__xludf.DUMMYFUNCTION("""COMPUTED_VALUE"""),"70mm Paper Separator")</f>
        <v>70mm Paper Separator</v>
      </c>
      <c r="AI312">
        <f ca="1">IFERROR(__xludf.DUMMYFUNCTION("""COMPUTED_VALUE"""),0.5)</f>
        <v>0.5</v>
      </c>
      <c r="AJ312" t="str">
        <f ca="1">IFERROR(__xludf.DUMMYFUNCTION("""COMPUTED_VALUE"""),"blank")</f>
        <v>blank</v>
      </c>
      <c r="AK312" t="e">
        <f ca="1">_xludf.IFNA(VLOOKUP(AG312,'S-FG'!$B$3:$B1001,1,FALSE),"")</f>
        <v>#NAME?</v>
      </c>
      <c r="AL312" t="e">
        <f ca="1">IF(AH312="","",SUMIFS(#REF!,RM!$C$4:$C991,AH312))</f>
        <v>#REF!</v>
      </c>
    </row>
    <row r="313" spans="5:38">
      <c r="E313" t="str">
        <f>IF(A313="","",SUMIFS(Issue!$D$3:$D1001,Issue!$C$3:$C1001,A313)*C313)</f>
        <v/>
      </c>
      <c r="F313" t="e">
        <f ca="1">_xludf.IFNA(VLOOKUP(B313,'S-FG'!$B$3:$B1001,1,FALSE),"")</f>
        <v>#NAME?</v>
      </c>
      <c r="H313" t="str">
        <f ca="1">IFERROR(__xludf.DUMMYFUNCTION("""COMPUTED_VALUE"""),"PORT Unit Assy")</f>
        <v>PORT Unit Assy</v>
      </c>
      <c r="I313" t="str">
        <f ca="1">IFERROR(__xludf.DUMMYFUNCTION("""COMPUTED_VALUE"""),"M4 Spring washer")</f>
        <v>M4 Spring washer</v>
      </c>
      <c r="J313">
        <f ca="1">IFERROR(__xludf.DUMMYFUNCTION("""COMPUTED_VALUE"""),4)</f>
        <v>4</v>
      </c>
      <c r="K313" t="str">
        <f ca="1">IFERROR(__xludf.DUMMYFUNCTION("""COMPUTED_VALUE"""),"blank")</f>
        <v>blank</v>
      </c>
      <c r="L313">
        <f t="shared" ca="1" si="4"/>
        <v>0</v>
      </c>
      <c r="Q313" t="str">
        <f>IF(N313="","",SUMIFS(Issue!$D$3:$D1001,Issue!$C$3:$C1001,N313))</f>
        <v/>
      </c>
      <c r="S313" t="str">
        <f ca="1">IFERROR(__xludf.DUMMYFUNCTION("""COMPUTED_VALUE"""),"M4 Nyloc")</f>
        <v>M4 Nyloc</v>
      </c>
      <c r="X313" t="e">
        <f ca="1"/>
        <v>#NAME?</v>
      </c>
      <c r="Y313" t="e">
        <f t="shared" ca="1" si="5"/>
        <v>#NAME?</v>
      </c>
      <c r="Z313" t="e">
        <f ca="1">IF(X313="","",SUMIFS(#REF!,RM!$C$4:$C991,X313))</f>
        <v>#NAME?</v>
      </c>
      <c r="AA313" t="e">
        <f ca="1">IF(X313="","",SUMIFS(#REF!,RM!$C$4:$C991,X313))</f>
        <v>#NAME?</v>
      </c>
      <c r="AB313" t="e">
        <f t="shared" ca="1" si="6"/>
        <v>#NAME?</v>
      </c>
      <c r="AC313" t="e">
        <f ca="1">IF(X313="","",VLOOKUP($X313,RM!$C$4:$G991,3,FALSE))</f>
        <v>#NAME?</v>
      </c>
      <c r="AD313" t="e">
        <f ca="1">IF(X313="","",VLOOKUP($X313,RM!$C$4:$G991,4,FALSE))</f>
        <v>#NAME?</v>
      </c>
      <c r="AE313" t="e">
        <f ca="1">IF(X313="","",VLOOKUP($X313,RM!$C$4:$G991,5,FALSE))</f>
        <v>#NAME?</v>
      </c>
      <c r="AG313" t="str">
        <f ca="1">IFERROR(__xludf.DUMMYFUNCTION("""COMPUTED_VALUE"""),"STBD Battery Assy")</f>
        <v>STBD Battery Assy</v>
      </c>
      <c r="AH313" t="str">
        <f ca="1">IFERROR(__xludf.DUMMYFUNCTION("""COMPUTED_VALUE"""),"16AWG Lead")</f>
        <v>16AWG Lead</v>
      </c>
      <c r="AI313">
        <f ca="1">IFERROR(__xludf.DUMMYFUNCTION("""COMPUTED_VALUE"""),30)</f>
        <v>30</v>
      </c>
      <c r="AJ313" t="str">
        <f ca="1">IFERROR(__xludf.DUMMYFUNCTION("""COMPUTED_VALUE"""),"blank")</f>
        <v>blank</v>
      </c>
      <c r="AK313" t="e">
        <f ca="1">_xludf.IFNA(VLOOKUP(AG313,'S-FG'!$B$3:$B1001,1,FALSE),"")</f>
        <v>#NAME?</v>
      </c>
      <c r="AL313" t="e">
        <f ca="1">IF(AH313="","",SUMIFS(#REF!,RM!$C$4:$C991,AH313))</f>
        <v>#REF!</v>
      </c>
    </row>
    <row r="314" spans="5:38">
      <c r="E314" t="str">
        <f>IF(A314="","",SUMIFS(Issue!$D$3:$D1001,Issue!$C$3:$C1001,A314)*C314)</f>
        <v/>
      </c>
      <c r="F314" t="e">
        <f ca="1">_xludf.IFNA(VLOOKUP(B314,'S-FG'!$B$3:$B1001,1,FALSE),"")</f>
        <v>#NAME?</v>
      </c>
      <c r="H314" t="str">
        <f ca="1">IFERROR(__xludf.DUMMYFUNCTION("""COMPUTED_VALUE"""),"PORT Unit Assy")</f>
        <v>PORT Unit Assy</v>
      </c>
      <c r="I314" t="str">
        <f ca="1">IFERROR(__xludf.DUMMYFUNCTION("""COMPUTED_VALUE"""),"M4x12 plain washer")</f>
        <v>M4x12 plain washer</v>
      </c>
      <c r="J314">
        <f ca="1">IFERROR(__xludf.DUMMYFUNCTION("""COMPUTED_VALUE"""),4)</f>
        <v>4</v>
      </c>
      <c r="K314" t="str">
        <f ca="1">IFERROR(__xludf.DUMMYFUNCTION("""COMPUTED_VALUE"""),"blank")</f>
        <v>blank</v>
      </c>
      <c r="L314">
        <f t="shared" ca="1" si="4"/>
        <v>0</v>
      </c>
      <c r="Q314" t="str">
        <f>IF(N314="","",SUMIFS(Issue!$D$3:$D1001,Issue!$C$3:$C1001,N314))</f>
        <v/>
      </c>
      <c r="S314" t="str">
        <f ca="1">IFERROR(__xludf.DUMMYFUNCTION("""COMPUTED_VALUE"""),"M4 Spring washer")</f>
        <v>M4 Spring washer</v>
      </c>
      <c r="X314" t="e">
        <f ca="1"/>
        <v>#NAME?</v>
      </c>
      <c r="Y314" t="e">
        <f t="shared" ca="1" si="5"/>
        <v>#NAME?</v>
      </c>
      <c r="Z314" t="e">
        <f ca="1">IF(X314="","",SUMIFS(#REF!,RM!$C$4:$C991,X314))</f>
        <v>#NAME?</v>
      </c>
      <c r="AA314" t="e">
        <f ca="1">IF(X314="","",SUMIFS(#REF!,RM!$C$4:$C991,X314))</f>
        <v>#NAME?</v>
      </c>
      <c r="AB314" t="e">
        <f t="shared" ca="1" si="6"/>
        <v>#NAME?</v>
      </c>
      <c r="AC314" t="e">
        <f ca="1">IF(X314="","",VLOOKUP($X314,RM!$C$4:$G991,3,FALSE))</f>
        <v>#NAME?</v>
      </c>
      <c r="AD314" t="e">
        <f ca="1">IF(X314="","",VLOOKUP($X314,RM!$C$4:$G991,4,FALSE))</f>
        <v>#NAME?</v>
      </c>
      <c r="AE314" t="e">
        <f ca="1">IF(X314="","",VLOOKUP($X314,RM!$C$4:$G991,5,FALSE))</f>
        <v>#NAME?</v>
      </c>
      <c r="AG314" t="str">
        <f ca="1">IFERROR(__xludf.DUMMYFUNCTION("""COMPUTED_VALUE"""),"STBD Battery Assy")</f>
        <v>STBD Battery Assy</v>
      </c>
      <c r="AH314" t="str">
        <f ca="1">IFERROR(__xludf.DUMMYFUNCTION("""COMPUTED_VALUE"""),"HeatShrink Tube 12:3")</f>
        <v>HeatShrink Tube 12:3</v>
      </c>
      <c r="AI314">
        <f ca="1">IFERROR(__xludf.DUMMYFUNCTION("""COMPUTED_VALUE"""),0.06)</f>
        <v>0.06</v>
      </c>
      <c r="AJ314" t="str">
        <f ca="1">IFERROR(__xludf.DUMMYFUNCTION("""COMPUTED_VALUE"""),"blank")</f>
        <v>blank</v>
      </c>
      <c r="AK314" t="e">
        <f ca="1">_xludf.IFNA(VLOOKUP(AG314,'S-FG'!$B$3:$B1001,1,FALSE),"")</f>
        <v>#NAME?</v>
      </c>
      <c r="AL314" t="e">
        <f ca="1">IF(AH314="","",SUMIFS(#REF!,RM!$C$4:$C991,AH314))</f>
        <v>#REF!</v>
      </c>
    </row>
    <row r="315" spans="5:38">
      <c r="E315" t="str">
        <f>IF(A315="","",SUMIFS(Issue!$D$3:$D1001,Issue!$C$3:$C1001,A315)*C315)</f>
        <v/>
      </c>
      <c r="F315" t="e">
        <f ca="1">_xludf.IFNA(VLOOKUP(B315,'S-FG'!$B$3:$B1001,1,FALSE),"")</f>
        <v>#NAME?</v>
      </c>
      <c r="H315" t="str">
        <f ca="1">IFERROR(__xludf.DUMMYFUNCTION("""COMPUTED_VALUE"""),"PORT Unit Assy")</f>
        <v>PORT Unit Assy</v>
      </c>
      <c r="I315" t="str">
        <f ca="1">IFERROR(__xludf.DUMMYFUNCTION("""COMPUTED_VALUE"""),"3mm Silicon Rubber Gaskets (35mmx10mm)")</f>
        <v>3mm Silicon Rubber Gaskets (35mmx10mm)</v>
      </c>
      <c r="J315">
        <f ca="1">IFERROR(__xludf.DUMMYFUNCTION("""COMPUTED_VALUE"""),1)</f>
        <v>1</v>
      </c>
      <c r="K315" t="str">
        <f ca="1">IFERROR(__xludf.DUMMYFUNCTION("""COMPUTED_VALUE"""),"blank")</f>
        <v>blank</v>
      </c>
      <c r="L315">
        <f t="shared" ca="1" si="4"/>
        <v>0</v>
      </c>
      <c r="Q315" t="str">
        <f>IF(N315="","",SUMIFS(Issue!$D$3:$D1001,Issue!$C$3:$C1001,N315))</f>
        <v/>
      </c>
      <c r="S315" t="str">
        <f ca="1">IFERROR(__xludf.DUMMYFUNCTION("""COMPUTED_VALUE"""),"M4x12 plain washer")</f>
        <v>M4x12 plain washer</v>
      </c>
      <c r="X315" t="e">
        <f ca="1"/>
        <v>#NAME?</v>
      </c>
      <c r="Y315" t="e">
        <f t="shared" ca="1" si="5"/>
        <v>#NAME?</v>
      </c>
      <c r="Z315" t="e">
        <f ca="1">IF(X315="","",SUMIFS(#REF!,RM!$C$4:$C991,X315))</f>
        <v>#NAME?</v>
      </c>
      <c r="AA315" t="e">
        <f ca="1">IF(X315="","",SUMIFS(#REF!,RM!$C$4:$C991,X315))</f>
        <v>#NAME?</v>
      </c>
      <c r="AB315" t="e">
        <f t="shared" ca="1" si="6"/>
        <v>#NAME?</v>
      </c>
      <c r="AC315" t="e">
        <f ca="1">IF(X315="","",VLOOKUP($X315,RM!$C$4:$G991,3,FALSE))</f>
        <v>#NAME?</v>
      </c>
      <c r="AD315" t="e">
        <f ca="1">IF(X315="","",VLOOKUP($X315,RM!$C$4:$G991,4,FALSE))</f>
        <v>#NAME?</v>
      </c>
      <c r="AE315" t="e">
        <f ca="1">IF(X315="","",VLOOKUP($X315,RM!$C$4:$G991,5,FALSE))</f>
        <v>#NAME?</v>
      </c>
      <c r="AG315" t="str">
        <f ca="1">IFERROR(__xludf.DUMMYFUNCTION("""COMPUTED_VALUE"""),"STBD Battery Assy")</f>
        <v>STBD Battery Assy</v>
      </c>
      <c r="AH315" t="str">
        <f ca="1">IFERROR(__xludf.DUMMYFUNCTION("""COMPUTED_VALUE"""),"STBD Signal CM Assy")</f>
        <v>STBD Signal CM Assy</v>
      </c>
      <c r="AI315">
        <f ca="1">IFERROR(__xludf.DUMMYFUNCTION("""COMPUTED_VALUE"""),1)</f>
        <v>1</v>
      </c>
      <c r="AJ315" t="str">
        <f ca="1">IFERROR(__xludf.DUMMYFUNCTION("""COMPUTED_VALUE"""),"blank")</f>
        <v>blank</v>
      </c>
      <c r="AK315" t="e">
        <f ca="1">_xludf.IFNA(VLOOKUP(AG315,'S-FG'!$B$3:$B1001,1,FALSE),"")</f>
        <v>#NAME?</v>
      </c>
      <c r="AL315" t="e">
        <f ca="1">IF(AH315="","",SUMIFS(#REF!,RM!$C$4:$C991,AH315))</f>
        <v>#REF!</v>
      </c>
    </row>
    <row r="316" spans="5:38">
      <c r="E316" t="str">
        <f>IF(A316="","",SUMIFS(Issue!$D$3:$D1001,Issue!$C$3:$C1001,A316)*C316)</f>
        <v/>
      </c>
      <c r="F316" t="e">
        <f ca="1">_xludf.IFNA(VLOOKUP(B316,'S-FG'!$B$3:$B1001,1,FALSE),"")</f>
        <v>#NAME?</v>
      </c>
      <c r="H316" t="str">
        <f ca="1">IFERROR(__xludf.DUMMYFUNCTION("""COMPUTED_VALUE"""),"PORT Unit Assy")</f>
        <v>PORT Unit Assy</v>
      </c>
      <c r="I316" t="str">
        <f ca="1">IFERROR(__xludf.DUMMYFUNCTION("""COMPUTED_VALUE"""),"Jet Motor Assy")</f>
        <v>Jet Motor Assy</v>
      </c>
      <c r="J316">
        <f ca="1">IFERROR(__xludf.DUMMYFUNCTION("""COMPUTED_VALUE"""),0)</f>
        <v>0</v>
      </c>
      <c r="K316" t="str">
        <f ca="1">IFERROR(__xludf.DUMMYFUNCTION("""COMPUTED_VALUE"""),"blank")</f>
        <v>blank</v>
      </c>
      <c r="L316">
        <f t="shared" ca="1" si="4"/>
        <v>0</v>
      </c>
      <c r="Q316" t="str">
        <f>IF(N316="","",SUMIFS(Issue!$D$3:$D1001,Issue!$C$3:$C1001,N316))</f>
        <v/>
      </c>
      <c r="S316" t="str">
        <f ca="1">IFERROR(__xludf.DUMMYFUNCTION("""COMPUTED_VALUE"""),"3mm Silicon Rubber Gaskets (35mmx10mm)")</f>
        <v>3mm Silicon Rubber Gaskets (35mmx10mm)</v>
      </c>
      <c r="X316" t="e">
        <f ca="1"/>
        <v>#NAME?</v>
      </c>
      <c r="Y316" t="e">
        <f t="shared" ca="1" si="5"/>
        <v>#NAME?</v>
      </c>
      <c r="Z316" t="e">
        <f ca="1">IF(X316="","",SUMIFS(#REF!,RM!$C$4:$C991,X316))</f>
        <v>#NAME?</v>
      </c>
      <c r="AA316" t="e">
        <f ca="1">IF(X316="","",SUMIFS(#REF!,RM!$C$4:$C991,X316))</f>
        <v>#NAME?</v>
      </c>
      <c r="AB316" t="e">
        <f t="shared" ca="1" si="6"/>
        <v>#NAME?</v>
      </c>
      <c r="AC316" t="e">
        <f ca="1">IF(X316="","",VLOOKUP($X316,RM!$C$4:$G991,3,FALSE))</f>
        <v>#NAME?</v>
      </c>
      <c r="AD316" t="e">
        <f ca="1">IF(X316="","",VLOOKUP($X316,RM!$C$4:$G991,4,FALSE))</f>
        <v>#NAME?</v>
      </c>
      <c r="AE316" t="e">
        <f ca="1">IF(X316="","",VLOOKUP($X316,RM!$C$4:$G991,5,FALSE))</f>
        <v>#NAME?</v>
      </c>
      <c r="AG316" t="str">
        <f ca="1">IFERROR(__xludf.DUMMYFUNCTION("""COMPUTED_VALUE"""),"STBD Battery Assy")</f>
        <v>STBD Battery Assy</v>
      </c>
      <c r="AH316" t="str">
        <f ca="1">IFERROR(__xludf.DUMMYFUNCTION("""COMPUTED_VALUE"""),"Battery Block Assy")</f>
        <v>Battery Block Assy</v>
      </c>
      <c r="AI316">
        <f ca="1">IFERROR(__xludf.DUMMYFUNCTION("""COMPUTED_VALUE"""),0)</f>
        <v>0</v>
      </c>
      <c r="AJ316" t="str">
        <f ca="1">IFERROR(__xludf.DUMMYFUNCTION("""COMPUTED_VALUE"""),"blank")</f>
        <v>blank</v>
      </c>
      <c r="AK316" t="e">
        <f ca="1">_xludf.IFNA(VLOOKUP(AG316,'S-FG'!$B$3:$B1001,1,FALSE),"")</f>
        <v>#NAME?</v>
      </c>
      <c r="AL316" t="e">
        <f ca="1">IF(AH316="","",SUMIFS(#REF!,RM!$C$4:$C991,AH316))</f>
        <v>#REF!</v>
      </c>
    </row>
    <row r="317" spans="5:38">
      <c r="E317" t="str">
        <f>IF(A317="","",SUMIFS(Issue!$D$3:$D1001,Issue!$C$3:$C1001,A317)*C317)</f>
        <v/>
      </c>
      <c r="F317" t="e">
        <f ca="1">_xludf.IFNA(VLOOKUP(B317,'S-FG'!$B$3:$B1001,1,FALSE),"")</f>
        <v>#NAME?</v>
      </c>
      <c r="H317" t="str">
        <f ca="1">IFERROR(__xludf.DUMMYFUNCTION("""COMPUTED_VALUE"""),"PORT Unit Assy")</f>
        <v>PORT Unit Assy</v>
      </c>
      <c r="I317" t="str">
        <f ca="1">IFERROR(__xludf.DUMMYFUNCTION("""COMPUTED_VALUE"""),"PORT_ESC Assy")</f>
        <v>PORT_ESC Assy</v>
      </c>
      <c r="J317">
        <f ca="1">IFERROR(__xludf.DUMMYFUNCTION("""COMPUTED_VALUE"""),0)</f>
        <v>0</v>
      </c>
      <c r="K317" t="str">
        <f ca="1">IFERROR(__xludf.DUMMYFUNCTION("""COMPUTED_VALUE"""),"blank")</f>
        <v>blank</v>
      </c>
      <c r="L317">
        <f t="shared" ca="1" si="4"/>
        <v>0</v>
      </c>
      <c r="Q317" t="str">
        <f>IF(N317="","",SUMIFS(Issue!$D$3:$D1001,Issue!$C$3:$C1001,N317))</f>
        <v/>
      </c>
      <c r="S317" t="str">
        <f ca="1">IFERROR(__xludf.DUMMYFUNCTION("""COMPUTED_VALUE"""),"Jet Motor Assy")</f>
        <v>Jet Motor Assy</v>
      </c>
      <c r="X317" t="e">
        <f ca="1"/>
        <v>#NAME?</v>
      </c>
      <c r="Y317" t="e">
        <f t="shared" ca="1" si="5"/>
        <v>#NAME?</v>
      </c>
      <c r="Z317" t="e">
        <f ca="1">IF(X317="","",SUMIFS(#REF!,RM!$C$4:$C991,X317))</f>
        <v>#NAME?</v>
      </c>
      <c r="AA317" t="e">
        <f ca="1">IF(X317="","",SUMIFS(#REF!,RM!$C$4:$C991,X317))</f>
        <v>#NAME?</v>
      </c>
      <c r="AB317" t="e">
        <f t="shared" ca="1" si="6"/>
        <v>#NAME?</v>
      </c>
      <c r="AC317" t="e">
        <f ca="1">IF(X317="","",VLOOKUP($X317,RM!$C$4:$G991,3,FALSE))</f>
        <v>#NAME?</v>
      </c>
      <c r="AD317" t="e">
        <f ca="1">IF(X317="","",VLOOKUP($X317,RM!$C$4:$G991,4,FALSE))</f>
        <v>#NAME?</v>
      </c>
      <c r="AE317" t="e">
        <f ca="1">IF(X317="","",VLOOKUP($X317,RM!$C$4:$G991,5,FALSE))</f>
        <v>#NAME?</v>
      </c>
      <c r="AG317" t="str">
        <f ca="1">IFERROR(__xludf.DUMMYFUNCTION("""COMPUTED_VALUE"""),"STBD Battery Assy")</f>
        <v>STBD Battery Assy</v>
      </c>
      <c r="AH317" t="str">
        <f ca="1">IFERROR(__xludf.DUMMYFUNCTION("""COMPUTED_VALUE"""),"HeatShrink Tube 100mm")</f>
        <v>HeatShrink Tube 100mm</v>
      </c>
      <c r="AI317">
        <f ca="1">IFERROR(__xludf.DUMMYFUNCTION("""COMPUTED_VALUE"""),0.17)</f>
        <v>0.17</v>
      </c>
      <c r="AJ317" t="str">
        <f ca="1">IFERROR(__xludf.DUMMYFUNCTION("""COMPUTED_VALUE"""),"blank")</f>
        <v>blank</v>
      </c>
      <c r="AK317" t="e">
        <f ca="1">_xludf.IFNA(VLOOKUP(AG317,'S-FG'!$B$3:$B1001,1,FALSE),"")</f>
        <v>#NAME?</v>
      </c>
      <c r="AL317" t="e">
        <f ca="1">IF(AH317="","",SUMIFS(#REF!,RM!$C$4:$C991,AH317))</f>
        <v>#REF!</v>
      </c>
    </row>
    <row r="318" spans="5:38">
      <c r="E318" t="str">
        <f>IF(A318="","",SUMIFS(Issue!$D$3:$D1001,Issue!$C$3:$C1001,A318)*C318)</f>
        <v/>
      </c>
      <c r="F318" t="e">
        <f ca="1">_xludf.IFNA(VLOOKUP(B318,'S-FG'!$B$3:$B1001,1,FALSE),"")</f>
        <v>#NAME?</v>
      </c>
      <c r="H318" t="str">
        <f ca="1">IFERROR(__xludf.DUMMYFUNCTION("""COMPUTED_VALUE"""),"PORT Unit Assy")</f>
        <v>PORT Unit Assy</v>
      </c>
      <c r="I318" t="str">
        <f ca="1">IFERROR(__xludf.DUMMYFUNCTION("""COMPUTED_VALUE"""),"PORT Battery Assy")</f>
        <v>PORT Battery Assy</v>
      </c>
      <c r="J318">
        <f ca="1">IFERROR(__xludf.DUMMYFUNCTION("""COMPUTED_VALUE"""),0)</f>
        <v>0</v>
      </c>
      <c r="K318" t="str">
        <f ca="1">IFERROR(__xludf.DUMMYFUNCTION("""COMPUTED_VALUE"""),"blank")</f>
        <v>blank</v>
      </c>
      <c r="L318">
        <f t="shared" ca="1" si="4"/>
        <v>0</v>
      </c>
      <c r="Q318" t="str">
        <f>IF(N318="","",SUMIFS(Issue!$D$3:$D1001,Issue!$C$3:$C1001,N318))</f>
        <v/>
      </c>
      <c r="S318" t="str">
        <f ca="1">IFERROR(__xludf.DUMMYFUNCTION("""COMPUTED_VALUE"""),"PORT_ESC Assy")</f>
        <v>PORT_ESC Assy</v>
      </c>
      <c r="X318" t="e">
        <f ca="1"/>
        <v>#NAME?</v>
      </c>
      <c r="Y318" t="e">
        <f t="shared" ca="1" si="5"/>
        <v>#NAME?</v>
      </c>
      <c r="Z318" t="e">
        <f ca="1">IF(X318="","",SUMIFS(#REF!,RM!$C$4:$C991,X318))</f>
        <v>#NAME?</v>
      </c>
      <c r="AA318" t="e">
        <f ca="1">IF(X318="","",SUMIFS(#REF!,RM!$C$4:$C991,X318))</f>
        <v>#NAME?</v>
      </c>
      <c r="AB318" t="e">
        <f t="shared" ca="1" si="6"/>
        <v>#NAME?</v>
      </c>
      <c r="AC318" t="e">
        <f ca="1">IF(X318="","",VLOOKUP($X318,RM!$C$4:$G991,3,FALSE))</f>
        <v>#NAME?</v>
      </c>
      <c r="AD318" t="e">
        <f ca="1">IF(X318="","",VLOOKUP($X318,RM!$C$4:$G991,4,FALSE))</f>
        <v>#NAME?</v>
      </c>
      <c r="AE318" t="e">
        <f ca="1">IF(X318="","",VLOOKUP($X318,RM!$C$4:$G991,5,FALSE))</f>
        <v>#NAME?</v>
      </c>
      <c r="AG318" t="str">
        <f ca="1">IFERROR(__xludf.DUMMYFUNCTION("""COMPUTED_VALUE"""),"STBD Battery Assy")</f>
        <v>STBD Battery Assy</v>
      </c>
      <c r="AH318" t="str">
        <f ca="1">IFERROR(__xludf.DUMMYFUNCTION("""COMPUTED_VALUE"""),"Teroson MS930")</f>
        <v>Teroson MS930</v>
      </c>
      <c r="AI318">
        <f ca="1">IFERROR(__xludf.DUMMYFUNCTION("""COMPUTED_VALUE"""),20)</f>
        <v>20</v>
      </c>
      <c r="AJ318" t="str">
        <f ca="1">IFERROR(__xludf.DUMMYFUNCTION("""COMPUTED_VALUE"""),"blank")</f>
        <v>blank</v>
      </c>
      <c r="AK318" t="e">
        <f ca="1">_xludf.IFNA(VLOOKUP(AG318,'S-FG'!$B$3:$B1001,1,FALSE),"")</f>
        <v>#NAME?</v>
      </c>
      <c r="AL318" t="e">
        <f ca="1">IF(AH318="","",SUMIFS(#REF!,RM!$C$4:$C991,AH318))</f>
        <v>#REF!</v>
      </c>
    </row>
    <row r="319" spans="5:38">
      <c r="E319" t="str">
        <f>IF(A319="","",SUMIFS(Issue!$D$3:$D1001,Issue!$C$3:$C1001,A319)*C319)</f>
        <v/>
      </c>
      <c r="F319" t="e">
        <f ca="1">_xludf.IFNA(VLOOKUP(B319,'S-FG'!$B$3:$B1001,1,FALSE),"")</f>
        <v>#NAME?</v>
      </c>
      <c r="H319" t="str">
        <f ca="1">IFERROR(__xludf.DUMMYFUNCTION("""COMPUTED_VALUE"""),"PORT Unit Assy")</f>
        <v>PORT Unit Assy</v>
      </c>
      <c r="I319" t="str">
        <f ca="1">IFERROR(__xludf.DUMMYFUNCTION("""COMPUTED_VALUE"""),"M4x20 CSK Phillips")</f>
        <v>M4x20 CSK Phillips</v>
      </c>
      <c r="J319">
        <f ca="1">IFERROR(__xludf.DUMMYFUNCTION("""COMPUTED_VALUE"""),2)</f>
        <v>2</v>
      </c>
      <c r="K319" t="str">
        <f ca="1">IFERROR(__xludf.DUMMYFUNCTION("""COMPUTED_VALUE"""),"blank")</f>
        <v>blank</v>
      </c>
      <c r="L319">
        <f t="shared" ca="1" si="4"/>
        <v>0</v>
      </c>
      <c r="Q319" t="str">
        <f>IF(N319="","",SUMIFS(Issue!$D$3:$D1001,Issue!$C$3:$C1001,N319))</f>
        <v/>
      </c>
      <c r="S319" t="str">
        <f ca="1">IFERROR(__xludf.DUMMYFUNCTION("""COMPUTED_VALUE"""),"PORT Battery Assy")</f>
        <v>PORT Battery Assy</v>
      </c>
      <c r="X319" t="e">
        <f ca="1"/>
        <v>#NAME?</v>
      </c>
      <c r="Y319" t="e">
        <f t="shared" ca="1" si="5"/>
        <v>#NAME?</v>
      </c>
      <c r="Z319" t="e">
        <f ca="1">IF(X319="","",SUMIFS(#REF!,RM!$C$4:$C991,X319))</f>
        <v>#NAME?</v>
      </c>
      <c r="AA319" t="e">
        <f ca="1">IF(X319="","",SUMIFS(#REF!,RM!$C$4:$C991,X319))</f>
        <v>#NAME?</v>
      </c>
      <c r="AB319" t="e">
        <f t="shared" ca="1" si="6"/>
        <v>#NAME?</v>
      </c>
      <c r="AC319" t="e">
        <f ca="1">IF(X319="","",VLOOKUP($X319,RM!$C$4:$G991,3,FALSE))</f>
        <v>#NAME?</v>
      </c>
      <c r="AD319" t="e">
        <f ca="1">IF(X319="","",VLOOKUP($X319,RM!$C$4:$G991,4,FALSE))</f>
        <v>#NAME?</v>
      </c>
      <c r="AE319" t="e">
        <f ca="1">IF(X319="","",VLOOKUP($X319,RM!$C$4:$G991,5,FALSE))</f>
        <v>#NAME?</v>
      </c>
      <c r="AG319" t="str">
        <f ca="1">IFERROR(__xludf.DUMMYFUNCTION("""COMPUTED_VALUE"""),"PORT Battery Assy")</f>
        <v>PORT Battery Assy</v>
      </c>
      <c r="AH319" t="str">
        <f ca="1">IFERROR(__xludf.DUMMYFUNCTION("""COMPUTED_VALUE"""),"4mm Female Bullet connector")</f>
        <v>4mm Female Bullet connector</v>
      </c>
      <c r="AI319">
        <f ca="1">IFERROR(__xludf.DUMMYFUNCTION("""COMPUTED_VALUE"""),2)</f>
        <v>2</v>
      </c>
      <c r="AJ319" t="str">
        <f ca="1">IFERROR(__xludf.DUMMYFUNCTION("""COMPUTED_VALUE"""),"blank")</f>
        <v>blank</v>
      </c>
      <c r="AK319" t="e">
        <f ca="1">_xludf.IFNA(VLOOKUP(AG319,'S-FG'!$B$3:$B1001,1,FALSE),"")</f>
        <v>#NAME?</v>
      </c>
      <c r="AL319" t="e">
        <f ca="1">IF(AH319="","",SUMIFS(#REF!,RM!$C$4:$C991,AH319))</f>
        <v>#REF!</v>
      </c>
    </row>
    <row r="320" spans="5:38">
      <c r="E320" t="str">
        <f>IF(A320="","",SUMIFS(Issue!$D$3:$D1001,Issue!$C$3:$C1001,A320)*C320)</f>
        <v/>
      </c>
      <c r="F320" t="e">
        <f ca="1">_xludf.IFNA(VLOOKUP(B320,'S-FG'!$B$3:$B1001,1,FALSE),"")</f>
        <v>#NAME?</v>
      </c>
      <c r="H320" t="str">
        <f ca="1">IFERROR(__xludf.DUMMYFUNCTION("""COMPUTED_VALUE"""),"Self Rightening Assy")</f>
        <v>Self Rightening Assy</v>
      </c>
      <c r="I320" t="str">
        <f ca="1">IFERROR(__xludf.DUMMYFUNCTION("""COMPUTED_VALUE"""),"SR Structure")</f>
        <v>SR Structure</v>
      </c>
      <c r="J320">
        <f ca="1">IFERROR(__xludf.DUMMYFUNCTION("""COMPUTED_VALUE"""),1)</f>
        <v>1</v>
      </c>
      <c r="K320" t="str">
        <f ca="1">IFERROR(__xludf.DUMMYFUNCTION("""COMPUTED_VALUE"""),"blank")</f>
        <v>blank</v>
      </c>
      <c r="L320">
        <f t="shared" ca="1" si="4"/>
        <v>0</v>
      </c>
      <c r="Q320" t="str">
        <f>IF(N320="","",SUMIFS(Issue!$D$3:$D1001,Issue!$C$3:$C1001,N320))</f>
        <v/>
      </c>
      <c r="S320" t="str">
        <f ca="1">IFERROR(__xludf.DUMMYFUNCTION("""COMPUTED_VALUE"""),"M4x20 CSK Phillips")</f>
        <v>M4x20 CSK Phillips</v>
      </c>
      <c r="X320" t="e">
        <f ca="1"/>
        <v>#NAME?</v>
      </c>
      <c r="Y320" t="e">
        <f t="shared" ca="1" si="5"/>
        <v>#NAME?</v>
      </c>
      <c r="Z320" t="e">
        <f ca="1">IF(X320="","",SUMIFS(#REF!,RM!$C$4:$C991,X320))</f>
        <v>#NAME?</v>
      </c>
      <c r="AA320" t="e">
        <f ca="1">IF(X320="","",SUMIFS(#REF!,RM!$C$4:$C991,X320))</f>
        <v>#NAME?</v>
      </c>
      <c r="AB320" t="e">
        <f t="shared" ca="1" si="6"/>
        <v>#NAME?</v>
      </c>
      <c r="AC320" t="e">
        <f ca="1">IF(X320="","",VLOOKUP($X320,RM!$C$4:$G991,3,FALSE))</f>
        <v>#NAME?</v>
      </c>
      <c r="AD320" t="e">
        <f ca="1">IF(X320="","",VLOOKUP($X320,RM!$C$4:$G991,4,FALSE))</f>
        <v>#NAME?</v>
      </c>
      <c r="AE320" t="e">
        <f ca="1">IF(X320="","",VLOOKUP($X320,RM!$C$4:$G991,5,FALSE))</f>
        <v>#NAME?</v>
      </c>
      <c r="AG320" t="str">
        <f ca="1">IFERROR(__xludf.DUMMYFUNCTION("""COMPUTED_VALUE"""),"PORT Battery Assy")</f>
        <v>PORT Battery Assy</v>
      </c>
      <c r="AH320" t="str">
        <f ca="1">IFERROR(__xludf.DUMMYFUNCTION("""COMPUTED_VALUE"""),"2mm Female Bullet connector")</f>
        <v>2mm Female Bullet connector</v>
      </c>
      <c r="AI320">
        <f ca="1">IFERROR(__xludf.DUMMYFUNCTION("""COMPUTED_VALUE"""),1)</f>
        <v>1</v>
      </c>
      <c r="AJ320" t="str">
        <f ca="1">IFERROR(__xludf.DUMMYFUNCTION("""COMPUTED_VALUE"""),"blank")</f>
        <v>blank</v>
      </c>
      <c r="AK320" t="e">
        <f ca="1">_xludf.IFNA(VLOOKUP(AG320,'S-FG'!$B$3:$B1001,1,FALSE),"")</f>
        <v>#NAME?</v>
      </c>
      <c r="AL320" t="e">
        <f ca="1">IF(AH320="","",SUMIFS(#REF!,RM!$C$4:$C991,AH320))</f>
        <v>#REF!</v>
      </c>
    </row>
    <row r="321" spans="5:38">
      <c r="E321" t="str">
        <f>IF(A321="","",SUMIFS(Issue!$D$3:$D1001,Issue!$C$3:$C1001,A321)*C321)</f>
        <v/>
      </c>
      <c r="F321" t="e">
        <f ca="1">_xludf.IFNA(VLOOKUP(B321,'S-FG'!$B$3:$B1001,1,FALSE),"")</f>
        <v>#NAME?</v>
      </c>
      <c r="H321" t="str">
        <f ca="1">IFERROR(__xludf.DUMMYFUNCTION("""COMPUTED_VALUE"""),"Self Rightening Assy")</f>
        <v>Self Rightening Assy</v>
      </c>
      <c r="I321" t="str">
        <f ca="1">IFERROR(__xludf.DUMMYFUNCTION("""COMPUTED_VALUE"""),"SR Pillow")</f>
        <v>SR Pillow</v>
      </c>
      <c r="J321">
        <f ca="1">IFERROR(__xludf.DUMMYFUNCTION("""COMPUTED_VALUE"""),1)</f>
        <v>1</v>
      </c>
      <c r="K321" t="str">
        <f ca="1">IFERROR(__xludf.DUMMYFUNCTION("""COMPUTED_VALUE"""),"blank")</f>
        <v>blank</v>
      </c>
      <c r="L321">
        <f t="shared" ca="1" si="4"/>
        <v>0</v>
      </c>
      <c r="Q321" t="str">
        <f>IF(N321="","",SUMIFS(Issue!$D$3:$D1001,Issue!$C$3:$C1001,N321))</f>
        <v/>
      </c>
      <c r="S321" t="str">
        <f ca="1">IFERROR(__xludf.DUMMYFUNCTION("""COMPUTED_VALUE"""),"SR Structure")</f>
        <v>SR Structure</v>
      </c>
      <c r="X321" t="e">
        <f ca="1"/>
        <v>#NAME?</v>
      </c>
      <c r="Y321" t="e">
        <f t="shared" ca="1" si="5"/>
        <v>#NAME?</v>
      </c>
      <c r="Z321" t="e">
        <f ca="1">IF(X321="","",SUMIFS(#REF!,RM!$C$4:$C991,X321))</f>
        <v>#NAME?</v>
      </c>
      <c r="AA321" t="e">
        <f ca="1">IF(X321="","",SUMIFS(#REF!,RM!$C$4:$C991,X321))</f>
        <v>#NAME?</v>
      </c>
      <c r="AB321" t="e">
        <f t="shared" ca="1" si="6"/>
        <v>#NAME?</v>
      </c>
      <c r="AC321" t="e">
        <f ca="1">IF(X321="","",VLOOKUP($X321,RM!$C$4:$G991,3,FALSE))</f>
        <v>#NAME?</v>
      </c>
      <c r="AD321" t="e">
        <f ca="1">IF(X321="","",VLOOKUP($X321,RM!$C$4:$G991,4,FALSE))</f>
        <v>#NAME?</v>
      </c>
      <c r="AE321" t="e">
        <f ca="1">IF(X321="","",VLOOKUP($X321,RM!$C$4:$G991,5,FALSE))</f>
        <v>#NAME?</v>
      </c>
      <c r="AG321" t="str">
        <f ca="1">IFERROR(__xludf.DUMMYFUNCTION("""COMPUTED_VALUE"""),"PORT Battery Assy")</f>
        <v>PORT Battery Assy</v>
      </c>
      <c r="AH321" t="str">
        <f ca="1">IFERROR(__xludf.DUMMYFUNCTION("""COMPUTED_VALUE"""),"8mm female bullet connector")</f>
        <v>8mm female bullet connector</v>
      </c>
      <c r="AI321">
        <f ca="1">IFERROR(__xludf.DUMMYFUNCTION("""COMPUTED_VALUE"""),1)</f>
        <v>1</v>
      </c>
      <c r="AJ321" t="str">
        <f ca="1">IFERROR(__xludf.DUMMYFUNCTION("""COMPUTED_VALUE"""),"blank")</f>
        <v>blank</v>
      </c>
      <c r="AK321" t="e">
        <f ca="1">_xludf.IFNA(VLOOKUP(AG321,'S-FG'!$B$3:$B1001,1,FALSE),"")</f>
        <v>#NAME?</v>
      </c>
      <c r="AL321" t="e">
        <f ca="1">IF(AH321="","",SUMIFS(#REF!,RM!$C$4:$C991,AH321))</f>
        <v>#REF!</v>
      </c>
    </row>
    <row r="322" spans="5:38">
      <c r="E322" t="str">
        <f>IF(A322="","",SUMIFS(Issue!$D$3:$D1001,Issue!$C$3:$C1001,A322)*C322)</f>
        <v/>
      </c>
      <c r="F322" t="e">
        <f ca="1">_xludf.IFNA(VLOOKUP(B322,'S-FG'!$B$3:$B1001,1,FALSE),"")</f>
        <v>#NAME?</v>
      </c>
      <c r="H322" t="str">
        <f ca="1">IFERROR(__xludf.DUMMYFUNCTION("""COMPUTED_VALUE"""),"Self Rightening Assy")</f>
        <v>Self Rightening Assy</v>
      </c>
      <c r="I322" t="str">
        <f ca="1">IFERROR(__xludf.DUMMYFUNCTION("""COMPUTED_VALUE"""),"M6x50 Button head")</f>
        <v>M6x50 Button head</v>
      </c>
      <c r="J322">
        <f ca="1">IFERROR(__xludf.DUMMYFUNCTION("""COMPUTED_VALUE"""),6)</f>
        <v>6</v>
      </c>
      <c r="K322" t="str">
        <f ca="1">IFERROR(__xludf.DUMMYFUNCTION("""COMPUTED_VALUE"""),"blank")</f>
        <v>blank</v>
      </c>
      <c r="L322">
        <f t="shared" ca="1" si="4"/>
        <v>0</v>
      </c>
      <c r="Q322" t="str">
        <f>IF(N322="","",SUMIFS(Issue!$D$3:$D1001,Issue!$C$3:$C1001,N322))</f>
        <v/>
      </c>
      <c r="S322" t="str">
        <f ca="1">IFERROR(__xludf.DUMMYFUNCTION("""COMPUTED_VALUE"""),"SR Pillow")</f>
        <v>SR Pillow</v>
      </c>
      <c r="X322" t="e">
        <f ca="1"/>
        <v>#NAME?</v>
      </c>
      <c r="Y322" t="e">
        <f t="shared" ca="1" si="5"/>
        <v>#NAME?</v>
      </c>
      <c r="Z322" t="e">
        <f ca="1">IF(X322="","",SUMIFS(#REF!,RM!$C$4:$C991,X322))</f>
        <v>#NAME?</v>
      </c>
      <c r="AA322" t="e">
        <f ca="1">IF(X322="","",SUMIFS(#REF!,RM!$C$4:$C991,X322))</f>
        <v>#NAME?</v>
      </c>
      <c r="AB322" t="e">
        <f t="shared" ca="1" si="6"/>
        <v>#NAME?</v>
      </c>
      <c r="AC322" t="e">
        <f ca="1">IF(X322="","",VLOOKUP($X322,RM!$C$4:$G991,3,FALSE))</f>
        <v>#NAME?</v>
      </c>
      <c r="AD322" t="e">
        <f ca="1">IF(X322="","",VLOOKUP($X322,RM!$C$4:$G991,4,FALSE))</f>
        <v>#NAME?</v>
      </c>
      <c r="AE322" t="e">
        <f ca="1">IF(X322="","",VLOOKUP($X322,RM!$C$4:$G991,5,FALSE))</f>
        <v>#NAME?</v>
      </c>
      <c r="AG322" t="str">
        <f ca="1">IFERROR(__xludf.DUMMYFUNCTION("""COMPUTED_VALUE"""),"PORT Battery Assy")</f>
        <v>PORT Battery Assy</v>
      </c>
      <c r="AH322" t="str">
        <f ca="1">IFERROR(__xludf.DUMMYFUNCTION("""COMPUTED_VALUE"""),"Red 8AWG")</f>
        <v>Red 8AWG</v>
      </c>
      <c r="AI322">
        <f ca="1">IFERROR(__xludf.DUMMYFUNCTION("""COMPUTED_VALUE"""),0.65)</f>
        <v>0.65</v>
      </c>
      <c r="AJ322" t="str">
        <f ca="1">IFERROR(__xludf.DUMMYFUNCTION("""COMPUTED_VALUE"""),"blank")</f>
        <v>blank</v>
      </c>
      <c r="AK322" t="e">
        <f ca="1">_xludf.IFNA(VLOOKUP(AG322,'S-FG'!$B$3:$B1001,1,FALSE),"")</f>
        <v>#NAME?</v>
      </c>
      <c r="AL322" t="e">
        <f ca="1">IF(AH322="","",SUMIFS(#REF!,RM!$C$4:$C991,AH322))</f>
        <v>#REF!</v>
      </c>
    </row>
    <row r="323" spans="5:38">
      <c r="E323" t="str">
        <f>IF(A323="","",SUMIFS(Issue!$D$3:$D1001,Issue!$C$3:$C1001,A323)*C323)</f>
        <v/>
      </c>
      <c r="F323" t="e">
        <f ca="1">_xludf.IFNA(VLOOKUP(B323,'S-FG'!$B$3:$B1001,1,FALSE),"")</f>
        <v>#NAME?</v>
      </c>
      <c r="H323" t="str">
        <f ca="1">IFERROR(__xludf.DUMMYFUNCTION("""COMPUTED_VALUE"""),"Self Rightening Assy")</f>
        <v>Self Rightening Assy</v>
      </c>
      <c r="I323" t="str">
        <f ca="1">IFERROR(__xludf.DUMMYFUNCTION("""COMPUTED_VALUE"""),"M6 Spring washer (SR structure clamping)")</f>
        <v>M6 Spring washer (SR structure clamping)</v>
      </c>
      <c r="J323">
        <f ca="1">IFERROR(__xludf.DUMMYFUNCTION("""COMPUTED_VALUE"""),6)</f>
        <v>6</v>
      </c>
      <c r="K323" t="str">
        <f ca="1">IFERROR(__xludf.DUMMYFUNCTION("""COMPUTED_VALUE"""),"blank")</f>
        <v>blank</v>
      </c>
      <c r="L323">
        <f t="shared" ca="1" si="4"/>
        <v>0</v>
      </c>
      <c r="Q323" t="str">
        <f>IF(N323="","",SUMIFS(Issue!$D$3:$D1001,Issue!$C$3:$C1001,N323))</f>
        <v/>
      </c>
      <c r="S323" t="str">
        <f ca="1">IFERROR(__xludf.DUMMYFUNCTION("""COMPUTED_VALUE"""),"M6x50 Button head")</f>
        <v>M6x50 Button head</v>
      </c>
      <c r="Y323" t="str">
        <f t="shared" si="5"/>
        <v/>
      </c>
      <c r="Z323" t="str">
        <f>IF(X323="","",SUMIFS(#REF!,RM!$C$4:$C991,X323))</f>
        <v/>
      </c>
      <c r="AA323" t="str">
        <f>IF(X323="","",SUMIFS(#REF!,RM!$C$4:$C991,X323))</f>
        <v/>
      </c>
      <c r="AB323" t="e">
        <f t="shared" si="6"/>
        <v>#VALUE!</v>
      </c>
      <c r="AC323" t="str">
        <f>IF(X323="","",VLOOKUP($X323,RM!$C$4:$G991,3,FALSE))</f>
        <v/>
      </c>
      <c r="AD323" t="str">
        <f>IF(X323="","",VLOOKUP($X323,RM!$C$4:$G991,4,FALSE))</f>
        <v/>
      </c>
      <c r="AE323" t="str">
        <f>IF(X323="","",VLOOKUP($X323,RM!$C$4:$G991,5,FALSE))</f>
        <v/>
      </c>
      <c r="AG323" t="str">
        <f ca="1">IFERROR(__xludf.DUMMYFUNCTION("""COMPUTED_VALUE"""),"PORT Battery Assy")</f>
        <v>PORT Battery Assy</v>
      </c>
      <c r="AH323" t="str">
        <f ca="1">IFERROR(__xludf.DUMMYFUNCTION("""COMPUTED_VALUE"""),"Black 12AWG")</f>
        <v>Black 12AWG</v>
      </c>
      <c r="AI323">
        <f ca="1">IFERROR(__xludf.DUMMYFUNCTION("""COMPUTED_VALUE"""),0.8)</f>
        <v>0.8</v>
      </c>
      <c r="AJ323" t="str">
        <f ca="1">IFERROR(__xludf.DUMMYFUNCTION("""COMPUTED_VALUE"""),"blank")</f>
        <v>blank</v>
      </c>
      <c r="AK323" t="e">
        <f ca="1">_xludf.IFNA(VLOOKUP(AG323,'S-FG'!$B$3:$B1001,1,FALSE),"")</f>
        <v>#NAME?</v>
      </c>
      <c r="AL323" t="e">
        <f ca="1">IF(AH323="","",SUMIFS(#REF!,RM!$C$4:$C991,AH323))</f>
        <v>#REF!</v>
      </c>
    </row>
    <row r="324" spans="5:38">
      <c r="E324" t="str">
        <f>IF(A324="","",SUMIFS(Issue!$D$3:$D1001,Issue!$C$3:$C1001,A324)*C324)</f>
        <v/>
      </c>
      <c r="F324" t="e">
        <f ca="1">_xludf.IFNA(VLOOKUP(B324,'S-FG'!$B$3:$B1001,1,FALSE),"")</f>
        <v>#NAME?</v>
      </c>
      <c r="H324" t="str">
        <f ca="1">IFERROR(__xludf.DUMMYFUNCTION("""COMPUTED_VALUE"""),"Self Rightening Assy")</f>
        <v>Self Rightening Assy</v>
      </c>
      <c r="I324" t="str">
        <f ca="1">IFERROR(__xludf.DUMMYFUNCTION("""COMPUTED_VALUE"""),"M6x20 Plain washer (SR structure clamping)")</f>
        <v>M6x20 Plain washer (SR structure clamping)</v>
      </c>
      <c r="J324">
        <f ca="1">IFERROR(__xludf.DUMMYFUNCTION("""COMPUTED_VALUE"""),22)</f>
        <v>22</v>
      </c>
      <c r="K324" t="str">
        <f ca="1">IFERROR(__xludf.DUMMYFUNCTION("""COMPUTED_VALUE"""),"blank")</f>
        <v>blank</v>
      </c>
      <c r="L324">
        <f t="shared" ca="1" si="4"/>
        <v>0</v>
      </c>
      <c r="Q324" t="str">
        <f>IF(N324="","",SUMIFS(Issue!$D$3:$D1001,Issue!$C$3:$C1001,N324))</f>
        <v/>
      </c>
      <c r="S324" t="str">
        <f ca="1">IFERROR(__xludf.DUMMYFUNCTION("""COMPUTED_VALUE"""),"M6 Spring washer (SR structure clamping)")</f>
        <v>M6 Spring washer (SR structure clamping)</v>
      </c>
      <c r="Y324" t="str">
        <f t="shared" si="5"/>
        <v/>
      </c>
      <c r="Z324" t="str">
        <f>IF(X324="","",SUMIFS(#REF!,RM!$C$4:$C991,X324))</f>
        <v/>
      </c>
      <c r="AA324" t="str">
        <f>IF(X324="","",SUMIFS(#REF!,RM!$C$4:$C991,X324))</f>
        <v/>
      </c>
      <c r="AB324" t="e">
        <f t="shared" si="6"/>
        <v>#VALUE!</v>
      </c>
      <c r="AC324" t="str">
        <f>IF(X324="","",VLOOKUP($X324,RM!$C$4:$G991,3,FALSE))</f>
        <v/>
      </c>
      <c r="AD324" t="str">
        <f>IF(X324="","",VLOOKUP($X324,RM!$C$4:$G991,4,FALSE))</f>
        <v/>
      </c>
      <c r="AE324" t="str">
        <f>IF(X324="","",VLOOKUP($X324,RM!$C$4:$G991,5,FALSE))</f>
        <v/>
      </c>
      <c r="AG324" t="str">
        <f ca="1">IFERROR(__xludf.DUMMYFUNCTION("""COMPUTED_VALUE"""),"PORT Battery Assy")</f>
        <v>PORT Battery Assy</v>
      </c>
      <c r="AH324" t="str">
        <f ca="1">IFERROR(__xludf.DUMMYFUNCTION("""COMPUTED_VALUE"""),"Black 18 AWG")</f>
        <v>Black 18 AWG</v>
      </c>
      <c r="AI324">
        <f ca="1">IFERROR(__xludf.DUMMYFUNCTION("""COMPUTED_VALUE"""),0.55)</f>
        <v>0.55000000000000004</v>
      </c>
      <c r="AJ324" t="str">
        <f ca="1">IFERROR(__xludf.DUMMYFUNCTION("""COMPUTED_VALUE"""),"blank")</f>
        <v>blank</v>
      </c>
      <c r="AK324" t="e">
        <f ca="1">_xludf.IFNA(VLOOKUP(AG324,'S-FG'!$B$3:$B1001,1,FALSE),"")</f>
        <v>#NAME?</v>
      </c>
      <c r="AL324" t="e">
        <f ca="1">IF(AH324="","",SUMIFS(#REF!,RM!$C$4:$C991,AH324))</f>
        <v>#REF!</v>
      </c>
    </row>
    <row r="325" spans="5:38">
      <c r="E325" t="str">
        <f>IF(A325="","",SUMIFS(Issue!$D$3:$D1001,Issue!$C$3:$C1001,A325)*C325)</f>
        <v/>
      </c>
      <c r="F325" t="e">
        <f ca="1">_xludf.IFNA(VLOOKUP(B325,'S-FG'!$B$3:$B1001,1,FALSE),"")</f>
        <v>#NAME?</v>
      </c>
      <c r="H325" t="str">
        <f ca="1">IFERROR(__xludf.DUMMYFUNCTION("""COMPUTED_VALUE"""),"Self Rightening Assy")</f>
        <v>Self Rightening Assy</v>
      </c>
      <c r="I325" t="str">
        <f ca="1">IFERROR(__xludf.DUMMYFUNCTION("""COMPUTED_VALUE"""),"M6 Dome NUT SS (SR structure Clamping)")</f>
        <v>M6 Dome NUT SS (SR structure Clamping)</v>
      </c>
      <c r="J325">
        <f ca="1">IFERROR(__xludf.DUMMYFUNCTION("""COMPUTED_VALUE"""),6)</f>
        <v>6</v>
      </c>
      <c r="K325" t="str">
        <f ca="1">IFERROR(__xludf.DUMMYFUNCTION("""COMPUTED_VALUE"""),"blank")</f>
        <v>blank</v>
      </c>
      <c r="L325">
        <f t="shared" ca="1" si="4"/>
        <v>0</v>
      </c>
      <c r="Q325" t="str">
        <f>IF(N325="","",SUMIFS(Issue!$D$3:$D1001,Issue!$C$3:$C1001,N325))</f>
        <v/>
      </c>
      <c r="S325" t="str">
        <f ca="1">IFERROR(__xludf.DUMMYFUNCTION("""COMPUTED_VALUE"""),"M6x20 Plain washer (SR structure clamping)")</f>
        <v>M6x20 Plain washer (SR structure clamping)</v>
      </c>
      <c r="Y325" t="str">
        <f t="shared" si="5"/>
        <v/>
      </c>
      <c r="Z325" t="str">
        <f>IF(X325="","",SUMIFS(#REF!,RM!$C$4:$C991,X325))</f>
        <v/>
      </c>
      <c r="AA325" t="str">
        <f>IF(X325="","",SUMIFS(#REF!,RM!$C$4:$C991,X325))</f>
        <v/>
      </c>
      <c r="AB325" t="e">
        <f t="shared" si="6"/>
        <v>#VALUE!</v>
      </c>
      <c r="AC325" t="str">
        <f>IF(X325="","",VLOOKUP($X325,RM!$C$4:$G991,3,FALSE))</f>
        <v/>
      </c>
      <c r="AD325" t="str">
        <f>IF(X325="","",VLOOKUP($X325,RM!$C$4:$G991,4,FALSE))</f>
        <v/>
      </c>
      <c r="AE325" t="str">
        <f>IF(X325="","",VLOOKUP($X325,RM!$C$4:$G991,5,FALSE))</f>
        <v/>
      </c>
      <c r="AG325" t="str">
        <f ca="1">IFERROR(__xludf.DUMMYFUNCTION("""COMPUTED_VALUE"""),"PORT Battery Assy")</f>
        <v>PORT Battery Assy</v>
      </c>
      <c r="AH325" t="str">
        <f ca="1">IFERROR(__xludf.DUMMYFUNCTION("""COMPUTED_VALUE"""),"Soldering flux")</f>
        <v>Soldering flux</v>
      </c>
      <c r="AI325">
        <f ca="1">IFERROR(__xludf.DUMMYFUNCTION("""COMPUTED_VALUE"""),5)</f>
        <v>5</v>
      </c>
      <c r="AK325" t="e">
        <f ca="1">_xludf.IFNA(VLOOKUP(AG325,'S-FG'!$B$3:$B1001,1,FALSE),"")</f>
        <v>#NAME?</v>
      </c>
      <c r="AL325" t="e">
        <f ca="1">IF(AH325="","",SUMIFS(#REF!,RM!$C$4:$C991,AH325))</f>
        <v>#REF!</v>
      </c>
    </row>
    <row r="326" spans="5:38">
      <c r="E326" t="str">
        <f>IF(A326="","",SUMIFS(Issue!$D$3:$D1001,Issue!$C$3:$C1001,A326)*C326)</f>
        <v/>
      </c>
      <c r="F326" t="e">
        <f ca="1">_xludf.IFNA(VLOOKUP(B326,'S-FG'!$B$3:$B1001,1,FALSE),"")</f>
        <v>#NAME?</v>
      </c>
      <c r="H326" t="str">
        <f ca="1">IFERROR(__xludf.DUMMYFUNCTION("""COMPUTED_VALUE"""),"Self Rightening Assy")</f>
        <v>Self Rightening Assy</v>
      </c>
      <c r="I326" t="str">
        <f ca="1">IFERROR(__xludf.DUMMYFUNCTION("""COMPUTED_VALUE"""),"Teroson MS930")</f>
        <v>Teroson MS930</v>
      </c>
      <c r="J326">
        <f ca="1">IFERROR(__xludf.DUMMYFUNCTION("""COMPUTED_VALUE"""),20)</f>
        <v>20</v>
      </c>
      <c r="K326" t="str">
        <f ca="1">IFERROR(__xludf.DUMMYFUNCTION("""COMPUTED_VALUE"""),"blank")</f>
        <v>blank</v>
      </c>
      <c r="L326">
        <f t="shared" ca="1" si="4"/>
        <v>0</v>
      </c>
      <c r="Q326" t="str">
        <f>IF(N326="","",SUMIFS(Issue!$D$3:$D1001,Issue!$C$3:$C1001,N326))</f>
        <v/>
      </c>
      <c r="S326" t="str">
        <f ca="1">IFERROR(__xludf.DUMMYFUNCTION("""COMPUTED_VALUE"""),"M6 Dome NUT SS (SR structure Clamping)")</f>
        <v>M6 Dome NUT SS (SR structure Clamping)</v>
      </c>
      <c r="Y326" t="str">
        <f t="shared" si="5"/>
        <v/>
      </c>
      <c r="Z326" t="str">
        <f>IF(X326="","",SUMIFS(#REF!,RM!$C$4:$C991,X326))</f>
        <v/>
      </c>
      <c r="AA326" t="str">
        <f>IF(X326="","",SUMIFS(#REF!,RM!$C$4:$C991,X326))</f>
        <v/>
      </c>
      <c r="AB326" t="e">
        <f t="shared" si="6"/>
        <v>#VALUE!</v>
      </c>
      <c r="AC326" t="str">
        <f>IF(X326="","",VLOOKUP($X326,RM!$C$4:$G991,3,FALSE))</f>
        <v/>
      </c>
      <c r="AD326" t="str">
        <f>IF(X326="","",VLOOKUP($X326,RM!$C$4:$G991,4,FALSE))</f>
        <v/>
      </c>
      <c r="AE326" t="str">
        <f>IF(X326="","",VLOOKUP($X326,RM!$C$4:$G991,5,FALSE))</f>
        <v/>
      </c>
      <c r="AG326" t="str">
        <f ca="1">IFERROR(__xludf.DUMMYFUNCTION("""COMPUTED_VALUE"""),"PORT Battery Assy")</f>
        <v>PORT Battery Assy</v>
      </c>
      <c r="AH326" t="str">
        <f ca="1">IFERROR(__xludf.DUMMYFUNCTION("""COMPUTED_VALUE"""),"2mm FRP 60x70mm")</f>
        <v>2mm FRP 60x70mm</v>
      </c>
      <c r="AI326">
        <f ca="1">IFERROR(__xludf.DUMMYFUNCTION("""COMPUTED_VALUE"""),1)</f>
        <v>1</v>
      </c>
      <c r="AJ326" t="str">
        <f ca="1">IFERROR(__xludf.DUMMYFUNCTION("""COMPUTED_VALUE"""),"blank")</f>
        <v>blank</v>
      </c>
      <c r="AK326" t="e">
        <f ca="1">_xludf.IFNA(VLOOKUP(AG326,'S-FG'!$B$3:$B1001,1,FALSE),"")</f>
        <v>#NAME?</v>
      </c>
      <c r="AL326" t="e">
        <f ca="1">IF(AH326="","",SUMIFS(#REF!,RM!$C$4:$C991,AH326))</f>
        <v>#REF!</v>
      </c>
    </row>
    <row r="327" spans="5:38">
      <c r="E327" t="str">
        <f>IF(A327="","",SUMIFS(Issue!$D$3:$D1001,Issue!$C$3:$C1001,A327)*C327)</f>
        <v/>
      </c>
      <c r="F327" t="e">
        <f ca="1">_xludf.IFNA(VLOOKUP(B327,'S-FG'!$B$3:$B1001,1,FALSE),"")</f>
        <v>#NAME?</v>
      </c>
      <c r="H327" t="str">
        <f ca="1">IFERROR(__xludf.DUMMYFUNCTION("""COMPUTED_VALUE"""),"Self Rightening Assy")</f>
        <v>Self Rightening Assy</v>
      </c>
      <c r="I327" t="str">
        <f ca="1">IFERROR(__xludf.DUMMYFUNCTION("""COMPUTED_VALUE"""),"3D printed SR Pillow Side Caps")</f>
        <v>3D printed SR Pillow Side Caps</v>
      </c>
      <c r="J327">
        <f ca="1">IFERROR(__xludf.DUMMYFUNCTION("""COMPUTED_VALUE"""),4)</f>
        <v>4</v>
      </c>
      <c r="K327" t="str">
        <f ca="1">IFERROR(__xludf.DUMMYFUNCTION("""COMPUTED_VALUE"""),"blank")</f>
        <v>blank</v>
      </c>
      <c r="L327">
        <f t="shared" ca="1" si="4"/>
        <v>0</v>
      </c>
      <c r="Q327" t="str">
        <f>IF(N327="","",SUMIFS(Issue!$D$3:$D1001,Issue!$C$3:$C1001,N327))</f>
        <v/>
      </c>
      <c r="S327" t="str">
        <f ca="1">IFERROR(__xludf.DUMMYFUNCTION("""COMPUTED_VALUE"""),"Teroson MS930")</f>
        <v>Teroson MS930</v>
      </c>
      <c r="Y327" t="str">
        <f t="shared" si="5"/>
        <v/>
      </c>
      <c r="Z327" t="str">
        <f>IF(X327="","",SUMIFS(#REF!,RM!$C$4:$C991,X327))</f>
        <v/>
      </c>
      <c r="AA327" t="str">
        <f>IF(X327="","",SUMIFS(#REF!,RM!$C$4:$C991,X327))</f>
        <v/>
      </c>
      <c r="AB327" t="e">
        <f t="shared" si="6"/>
        <v>#VALUE!</v>
      </c>
      <c r="AC327" t="str">
        <f>IF(X327="","",VLOOKUP($X327,RM!$C$4:$G991,3,FALSE))</f>
        <v/>
      </c>
      <c r="AD327" t="str">
        <f>IF(X327="","",VLOOKUP($X327,RM!$C$4:$G991,4,FALSE))</f>
        <v/>
      </c>
      <c r="AE327" t="str">
        <f>IF(X327="","",VLOOKUP($X327,RM!$C$4:$G991,5,FALSE))</f>
        <v/>
      </c>
      <c r="AG327" t="str">
        <f ca="1">IFERROR(__xludf.DUMMYFUNCTION("""COMPUTED_VALUE"""),"PORT Battery Assy")</f>
        <v>PORT Battery Assy</v>
      </c>
      <c r="AH327" t="str">
        <f ca="1">IFERROR(__xludf.DUMMYFUNCTION("""COMPUTED_VALUE"""),"2mm FRP 60x70mm with 18 mm hole")</f>
        <v>2mm FRP 60x70mm with 18 mm hole</v>
      </c>
      <c r="AI327">
        <f ca="1">IFERROR(__xludf.DUMMYFUNCTION("""COMPUTED_VALUE"""),1)</f>
        <v>1</v>
      </c>
      <c r="AK327" t="e">
        <f ca="1">_xludf.IFNA(VLOOKUP(AG327,'S-FG'!$B$3:$B1001,1,FALSE),"")</f>
        <v>#NAME?</v>
      </c>
      <c r="AL327" t="e">
        <f ca="1">IF(AH327="","",SUMIFS(#REF!,RM!$C$4:$C991,AH327))</f>
        <v>#REF!</v>
      </c>
    </row>
    <row r="328" spans="5:38">
      <c r="E328" t="str">
        <f>IF(A328="","",SUMIFS(Issue!$D$3:$D1001,Issue!$C$3:$C1001,A328)*C328)</f>
        <v/>
      </c>
      <c r="F328" t="e">
        <f ca="1">_xludf.IFNA(VLOOKUP(B328,'S-FG'!$B$3:$B1001,1,FALSE),"")</f>
        <v>#NAME?</v>
      </c>
      <c r="H328" t="str">
        <f ca="1">IFERROR(__xludf.DUMMYFUNCTION("""COMPUTED_VALUE"""),"Self Rightening Assy")</f>
        <v>Self Rightening Assy</v>
      </c>
      <c r="I328" t="str">
        <f ca="1">IFERROR(__xludf.DUMMYFUNCTION("""COMPUTED_VALUE"""),"3D printed SR Pillow Middle Caps")</f>
        <v>3D printed SR Pillow Middle Caps</v>
      </c>
      <c r="J328">
        <f ca="1">IFERROR(__xludf.DUMMYFUNCTION("""COMPUTED_VALUE"""),2)</f>
        <v>2</v>
      </c>
      <c r="K328" t="str">
        <f ca="1">IFERROR(__xludf.DUMMYFUNCTION("""COMPUTED_VALUE"""),"blank")</f>
        <v>blank</v>
      </c>
      <c r="L328">
        <f t="shared" ca="1" si="4"/>
        <v>0</v>
      </c>
      <c r="Q328" t="str">
        <f>IF(N328="","",SUMIFS(Issue!$D$3:$D1001,Issue!$C$3:$C1001,N328))</f>
        <v/>
      </c>
      <c r="S328" t="str">
        <f ca="1">IFERROR(__xludf.DUMMYFUNCTION("""COMPUTED_VALUE"""),"3D printed SR Pillow Side Caps")</f>
        <v>3D printed SR Pillow Side Caps</v>
      </c>
      <c r="Y328" t="str">
        <f t="shared" si="5"/>
        <v/>
      </c>
      <c r="Z328" t="str">
        <f>IF(X328="","",SUMIFS(#REF!,RM!$C$4:$C991,X328))</f>
        <v/>
      </c>
      <c r="AA328" t="str">
        <f>IF(X328="","",SUMIFS(#REF!,RM!$C$4:$C991,X328))</f>
        <v/>
      </c>
      <c r="AB328" t="e">
        <f t="shared" si="6"/>
        <v>#VALUE!</v>
      </c>
      <c r="AC328" t="str">
        <f>IF(X328="","",VLOOKUP($X328,RM!$C$4:$G991,3,FALSE))</f>
        <v/>
      </c>
      <c r="AD328" t="str">
        <f>IF(X328="","",VLOOKUP($X328,RM!$C$4:$G991,4,FALSE))</f>
        <v/>
      </c>
      <c r="AE328" t="str">
        <f>IF(X328="","",VLOOKUP($X328,RM!$C$4:$G991,5,FALSE))</f>
        <v/>
      </c>
      <c r="AG328" t="str">
        <f ca="1">IFERROR(__xludf.DUMMYFUNCTION("""COMPUTED_VALUE"""),"PORT Battery Assy")</f>
        <v>PORT Battery Assy</v>
      </c>
      <c r="AH328" t="str">
        <f ca="1">IFERROR(__xludf.DUMMYFUNCTION("""COMPUTED_VALUE"""),"70mm Paper Separator")</f>
        <v>70mm Paper Separator</v>
      </c>
      <c r="AI328">
        <f ca="1">IFERROR(__xludf.DUMMYFUNCTION("""COMPUTED_VALUE"""),0.5)</f>
        <v>0.5</v>
      </c>
      <c r="AJ328" t="str">
        <f ca="1">IFERROR(__xludf.DUMMYFUNCTION("""COMPUTED_VALUE"""),"blank")</f>
        <v>blank</v>
      </c>
      <c r="AK328" t="e">
        <f ca="1">_xludf.IFNA(VLOOKUP(AG328,'S-FG'!$B$3:$B1001,1,FALSE),"")</f>
        <v>#NAME?</v>
      </c>
      <c r="AL328" t="e">
        <f ca="1">IF(AH328="","",SUMIFS(#REF!,RM!$C$4:$C991,AH328))</f>
        <v>#REF!</v>
      </c>
    </row>
    <row r="329" spans="5:38">
      <c r="E329" t="str">
        <f>IF(A329="","",SUMIFS(Issue!$D$3:$D1001,Issue!$C$3:$C1001,A329)*C329)</f>
        <v/>
      </c>
      <c r="F329" t="e">
        <f ca="1">_xludf.IFNA(VLOOKUP(B329,'S-FG'!$B$3:$B1001,1,FALSE),"")</f>
        <v>#NAME?</v>
      </c>
      <c r="H329" t="str">
        <f ca="1">IFERROR(__xludf.DUMMYFUNCTION("""COMPUTED_VALUE"""),"Self Rightening Assy")</f>
        <v>Self Rightening Assy</v>
      </c>
      <c r="I329" t="str">
        <f ca="1">IFERROR(__xludf.DUMMYFUNCTION("""COMPUTED_VALUE"""),"6mmx12mm Rubber Bush")</f>
        <v>6mmx12mm Rubber Bush</v>
      </c>
      <c r="J329">
        <f ca="1">IFERROR(__xludf.DUMMYFUNCTION("""COMPUTED_VALUE"""),0.15)</f>
        <v>0.15</v>
      </c>
      <c r="K329" t="str">
        <f ca="1">IFERROR(__xludf.DUMMYFUNCTION("""COMPUTED_VALUE"""),"blank")</f>
        <v>blank</v>
      </c>
      <c r="L329">
        <f t="shared" ca="1" si="4"/>
        <v>0</v>
      </c>
      <c r="Q329" t="str">
        <f>IF(N329="","",SUMIFS(Issue!$D$3:$D1001,Issue!$C$3:$C1001,N329))</f>
        <v/>
      </c>
      <c r="S329" t="str">
        <f ca="1">IFERROR(__xludf.DUMMYFUNCTION("""COMPUTED_VALUE"""),"3D printed SR Pillow Middle Caps")</f>
        <v>3D printed SR Pillow Middle Caps</v>
      </c>
      <c r="Y329" t="str">
        <f t="shared" si="5"/>
        <v/>
      </c>
      <c r="Z329" t="str">
        <f>IF(X329="","",SUMIFS(#REF!,RM!$C$4:$C991,X329))</f>
        <v/>
      </c>
      <c r="AA329" t="str">
        <f>IF(X329="","",SUMIFS(#REF!,RM!$C$4:$C991,X329))</f>
        <v/>
      </c>
      <c r="AB329" t="e">
        <f t="shared" si="6"/>
        <v>#VALUE!</v>
      </c>
      <c r="AC329" t="str">
        <f>IF(X329="","",VLOOKUP($X329,RM!$C$4:$G991,3,FALSE))</f>
        <v/>
      </c>
      <c r="AD329" t="str">
        <f>IF(X329="","",VLOOKUP($X329,RM!$C$4:$G991,4,FALSE))</f>
        <v/>
      </c>
      <c r="AE329" t="str">
        <f>IF(X329="","",VLOOKUP($X329,RM!$C$4:$G991,5,FALSE))</f>
        <v/>
      </c>
      <c r="AG329" t="str">
        <f ca="1">IFERROR(__xludf.DUMMYFUNCTION("""COMPUTED_VALUE"""),"PORT Battery Assy")</f>
        <v>PORT Battery Assy</v>
      </c>
      <c r="AH329" t="str">
        <f ca="1">IFERROR(__xludf.DUMMYFUNCTION("""COMPUTED_VALUE"""),"16AWG Lead")</f>
        <v>16AWG Lead</v>
      </c>
      <c r="AI329">
        <f ca="1">IFERROR(__xludf.DUMMYFUNCTION("""COMPUTED_VALUE"""),30)</f>
        <v>30</v>
      </c>
      <c r="AJ329" t="str">
        <f ca="1">IFERROR(__xludf.DUMMYFUNCTION("""COMPUTED_VALUE"""),"blank")</f>
        <v>blank</v>
      </c>
      <c r="AK329" t="e">
        <f ca="1">_xludf.IFNA(VLOOKUP(AG329,'S-FG'!$B$3:$B1001,1,FALSE),"")</f>
        <v>#NAME?</v>
      </c>
      <c r="AL329" t="e">
        <f ca="1">IF(AH329="","",SUMIFS(#REF!,RM!$C$4:$C991,AH329))</f>
        <v>#REF!</v>
      </c>
    </row>
    <row r="330" spans="5:38">
      <c r="E330" t="str">
        <f>IF(A330="","",SUMIFS(Issue!$D$3:$D1001,Issue!$C$3:$C1001,A330)*C330)</f>
        <v/>
      </c>
      <c r="F330" t="e">
        <f ca="1">_xludf.IFNA(VLOOKUP(B330,'S-FG'!$B$3:$B1001,1,FALSE),"")</f>
        <v>#NAME?</v>
      </c>
      <c r="H330" t="str">
        <f ca="1">IFERROR(__xludf.DUMMYFUNCTION("""COMPUTED_VALUE"""),"Self Rightening Assy")</f>
        <v>Self Rightening Assy</v>
      </c>
      <c r="I330" t="str">
        <f ca="1">IFERROR(__xludf.DUMMYFUNCTION("""COMPUTED_VALUE"""),"Thread locker 242/270/290")</f>
        <v>Thread locker 242/270/290</v>
      </c>
      <c r="J330">
        <f ca="1">IFERROR(__xludf.DUMMYFUNCTION("""COMPUTED_VALUE"""),1)</f>
        <v>1</v>
      </c>
      <c r="K330" t="str">
        <f ca="1">IFERROR(__xludf.DUMMYFUNCTION("""COMPUTED_VALUE"""),"blank")</f>
        <v>blank</v>
      </c>
      <c r="L330">
        <f t="shared" ca="1" si="4"/>
        <v>0</v>
      </c>
      <c r="Q330" t="str">
        <f>IF(N330="","",SUMIFS(Issue!$D$3:$D1001,Issue!$C$3:$C1001,N330))</f>
        <v/>
      </c>
      <c r="S330" t="str">
        <f ca="1">IFERROR(__xludf.DUMMYFUNCTION("""COMPUTED_VALUE"""),"6mmx12mm Rubber Bush")</f>
        <v>6mmx12mm Rubber Bush</v>
      </c>
      <c r="Y330" t="str">
        <f t="shared" si="5"/>
        <v/>
      </c>
      <c r="Z330" t="str">
        <f>IF(X330="","",SUMIFS(#REF!,RM!$C$4:$C991,X330))</f>
        <v/>
      </c>
      <c r="AA330" t="str">
        <f>IF(X330="","",SUMIFS(#REF!,RM!$C$4:$C991,X330))</f>
        <v/>
      </c>
      <c r="AB330" t="e">
        <f t="shared" si="6"/>
        <v>#VALUE!</v>
      </c>
      <c r="AC330" t="str">
        <f>IF(X330="","",VLOOKUP($X330,RM!$C$4:$G991,3,FALSE))</f>
        <v/>
      </c>
      <c r="AD330" t="str">
        <f>IF(X330="","",VLOOKUP($X330,RM!$C$4:$G991,4,FALSE))</f>
        <v/>
      </c>
      <c r="AE330" t="str">
        <f>IF(X330="","",VLOOKUP($X330,RM!$C$4:$G991,5,FALSE))</f>
        <v/>
      </c>
      <c r="AG330" t="str">
        <f ca="1">IFERROR(__xludf.DUMMYFUNCTION("""COMPUTED_VALUE"""),"PORT Battery Assy")</f>
        <v>PORT Battery Assy</v>
      </c>
      <c r="AH330" t="str">
        <f ca="1">IFERROR(__xludf.DUMMYFUNCTION("""COMPUTED_VALUE"""),"HeatShrink Tube 12:3")</f>
        <v>HeatShrink Tube 12:3</v>
      </c>
      <c r="AI330">
        <f ca="1">IFERROR(__xludf.DUMMYFUNCTION("""COMPUTED_VALUE"""),0.03)</f>
        <v>0.03</v>
      </c>
      <c r="AJ330" t="str">
        <f ca="1">IFERROR(__xludf.DUMMYFUNCTION("""COMPUTED_VALUE"""),"blank")</f>
        <v>blank</v>
      </c>
      <c r="AK330" t="e">
        <f ca="1">_xludf.IFNA(VLOOKUP(AG330,'S-FG'!$B$3:$B1001,1,FALSE),"")</f>
        <v>#NAME?</v>
      </c>
      <c r="AL330" t="e">
        <f ca="1">IF(AH330="","",SUMIFS(#REF!,RM!$C$4:$C991,AH330))</f>
        <v>#REF!</v>
      </c>
    </row>
    <row r="331" spans="5:38">
      <c r="E331" t="str">
        <f>IF(A331="","",SUMIFS(Issue!$D$3:$D1001,Issue!$C$3:$C1001,A331)*C331)</f>
        <v/>
      </c>
      <c r="F331" t="e">
        <f ca="1">_xludf.IFNA(VLOOKUP(B331,'S-FG'!$B$3:$B1001,1,FALSE),"")</f>
        <v>#NAME?</v>
      </c>
      <c r="H331" t="str">
        <f ca="1">IFERROR(__xludf.DUMMYFUNCTION("""COMPUTED_VALUE"""),"Self Rightening Assy")</f>
        <v>Self Rightening Assy</v>
      </c>
      <c r="I331" t="str">
        <f ca="1">IFERROR(__xludf.DUMMYFUNCTION("""COMPUTED_VALUE"""),"Instant Adhesive 407 for EPE sticking")</f>
        <v>Instant Adhesive 407 for EPE sticking</v>
      </c>
      <c r="J331">
        <f ca="1">IFERROR(__xludf.DUMMYFUNCTION("""COMPUTED_VALUE"""),5)</f>
        <v>5</v>
      </c>
      <c r="K331" t="str">
        <f ca="1">IFERROR(__xludf.DUMMYFUNCTION("""COMPUTED_VALUE"""),"blank")</f>
        <v>blank</v>
      </c>
      <c r="L331">
        <f t="shared" ca="1" si="4"/>
        <v>0</v>
      </c>
      <c r="Q331" t="str">
        <f>IF(N331="","",SUMIFS(Issue!$D$3:$D1001,Issue!$C$3:$C1001,N331))</f>
        <v/>
      </c>
      <c r="S331" t="str">
        <f ca="1">IFERROR(__xludf.DUMMYFUNCTION("""COMPUTED_VALUE"""),"Thread locker 242/270/290")</f>
        <v>Thread locker 242/270/290</v>
      </c>
      <c r="Y331" t="str">
        <f t="shared" si="5"/>
        <v/>
      </c>
      <c r="Z331" t="str">
        <f>IF(X331="","",SUMIFS(#REF!,RM!$C$4:$C991,X331))</f>
        <v/>
      </c>
      <c r="AA331" t="str">
        <f>IF(X331="","",SUMIFS(#REF!,RM!$C$4:$C991,X331))</f>
        <v/>
      </c>
      <c r="AB331" t="e">
        <f t="shared" si="6"/>
        <v>#VALUE!</v>
      </c>
      <c r="AC331" t="str">
        <f>IF(X331="","",VLOOKUP($X331,RM!$C$4:$G991,3,FALSE))</f>
        <v/>
      </c>
      <c r="AD331" t="str">
        <f>IF(X331="","",VLOOKUP($X331,RM!$C$4:$G991,4,FALSE))</f>
        <v/>
      </c>
      <c r="AE331" t="str">
        <f>IF(X331="","",VLOOKUP($X331,RM!$C$4:$G991,5,FALSE))</f>
        <v/>
      </c>
      <c r="AG331" t="str">
        <f ca="1">IFERROR(__xludf.DUMMYFUNCTION("""COMPUTED_VALUE"""),"PORT Battery Assy")</f>
        <v>PORT Battery Assy</v>
      </c>
      <c r="AH331" t="str">
        <f ca="1">IFERROR(__xludf.DUMMYFUNCTION("""COMPUTED_VALUE"""),"PORT Signal CM Assy")</f>
        <v>PORT Signal CM Assy</v>
      </c>
      <c r="AI331">
        <f ca="1">IFERROR(__xludf.DUMMYFUNCTION("""COMPUTED_VALUE"""),0)</f>
        <v>0</v>
      </c>
      <c r="AJ331" t="str">
        <f ca="1">IFERROR(__xludf.DUMMYFUNCTION("""COMPUTED_VALUE"""),"blank")</f>
        <v>blank</v>
      </c>
      <c r="AK331" t="e">
        <f ca="1">_xludf.IFNA(VLOOKUP(AG331,'S-FG'!$B$3:$B1001,1,FALSE),"")</f>
        <v>#NAME?</v>
      </c>
      <c r="AL331" t="e">
        <f ca="1">IF(AH331="","",SUMIFS(#REF!,RM!$C$4:$C991,AH331))</f>
        <v>#REF!</v>
      </c>
    </row>
    <row r="332" spans="5:38">
      <c r="E332" t="str">
        <f>IF(A332="","",SUMIFS(Issue!$D$3:$D1001,Issue!$C$3:$C1001,A332)*C332)</f>
        <v/>
      </c>
      <c r="F332" t="e">
        <f ca="1">_xludf.IFNA(VLOOKUP(B332,'S-FG'!$B$3:$B1001,1,FALSE),"")</f>
        <v>#NAME?</v>
      </c>
      <c r="H332" t="str">
        <f ca="1">IFERROR(__xludf.DUMMYFUNCTION("""COMPUTED_VALUE"""),"Self Rightening Assy")</f>
        <v>Self Rightening Assy</v>
      </c>
      <c r="I332" t="str">
        <f ca="1">IFERROR(__xludf.DUMMYFUNCTION("""COMPUTED_VALUE"""),"STBD SR Rubber Boot")</f>
        <v>STBD SR Rubber Boot</v>
      </c>
      <c r="J332">
        <f ca="1">IFERROR(__xludf.DUMMYFUNCTION("""COMPUTED_VALUE"""),1)</f>
        <v>1</v>
      </c>
      <c r="K332" t="str">
        <f ca="1">IFERROR(__xludf.DUMMYFUNCTION("""COMPUTED_VALUE"""),"blank")</f>
        <v>blank</v>
      </c>
      <c r="L332">
        <f t="shared" ca="1" si="4"/>
        <v>0</v>
      </c>
      <c r="Q332" t="str">
        <f>IF(N332="","",SUMIFS(Issue!$D$3:$D1001,Issue!$C$3:$C1001,N332))</f>
        <v/>
      </c>
      <c r="S332" t="str">
        <f ca="1">IFERROR(__xludf.DUMMYFUNCTION("""COMPUTED_VALUE"""),"Instant Adhesive 407 for EPE sticking")</f>
        <v>Instant Adhesive 407 for EPE sticking</v>
      </c>
      <c r="Y332" t="str">
        <f t="shared" si="5"/>
        <v/>
      </c>
      <c r="Z332" t="str">
        <f>IF(X332="","",SUMIFS(#REF!,RM!$C$4:$C991,X332))</f>
        <v/>
      </c>
      <c r="AA332" t="str">
        <f>IF(X332="","",SUMIFS(#REF!,RM!$C$4:$C991,X332))</f>
        <v/>
      </c>
      <c r="AB332" t="e">
        <f t="shared" si="6"/>
        <v>#VALUE!</v>
      </c>
      <c r="AC332" t="str">
        <f>IF(X332="","",VLOOKUP($X332,RM!$C$4:$G991,3,FALSE))</f>
        <v/>
      </c>
      <c r="AD332" t="str">
        <f>IF(X332="","",VLOOKUP($X332,RM!$C$4:$G991,4,FALSE))</f>
        <v/>
      </c>
      <c r="AE332" t="str">
        <f>IF(X332="","",VLOOKUP($X332,RM!$C$4:$G991,5,FALSE))</f>
        <v/>
      </c>
      <c r="AG332" t="str">
        <f ca="1">IFERROR(__xludf.DUMMYFUNCTION("""COMPUTED_VALUE"""),"PORT Battery Assy")</f>
        <v>PORT Battery Assy</v>
      </c>
      <c r="AH332" t="str">
        <f ca="1">IFERROR(__xludf.DUMMYFUNCTION("""COMPUTED_VALUE"""),"Battery Block Assy")</f>
        <v>Battery Block Assy</v>
      </c>
      <c r="AI332">
        <f ca="1">IFERROR(__xludf.DUMMYFUNCTION("""COMPUTED_VALUE"""),0)</f>
        <v>0</v>
      </c>
      <c r="AJ332" t="str">
        <f ca="1">IFERROR(__xludf.DUMMYFUNCTION("""COMPUTED_VALUE"""),"blank")</f>
        <v>blank</v>
      </c>
      <c r="AK332" t="e">
        <f ca="1">_xludf.IFNA(VLOOKUP(AG332,'S-FG'!$B$3:$B1001,1,FALSE),"")</f>
        <v>#NAME?</v>
      </c>
      <c r="AL332" t="e">
        <f ca="1">IF(AH332="","",SUMIFS(#REF!,RM!$C$4:$C991,AH332))</f>
        <v>#REF!</v>
      </c>
    </row>
    <row r="333" spans="5:38">
      <c r="E333" t="str">
        <f>IF(A333="","",SUMIFS(Issue!$D$3:$D1001,Issue!$C$3:$C1001,A333)*C333)</f>
        <v/>
      </c>
      <c r="F333" t="e">
        <f ca="1">_xludf.IFNA(VLOOKUP(B333,'S-FG'!$B$3:$B1001,1,FALSE),"")</f>
        <v>#NAME?</v>
      </c>
      <c r="H333" t="str">
        <f ca="1">IFERROR(__xludf.DUMMYFUNCTION("""COMPUTED_VALUE"""),"Self Rightening Assy")</f>
        <v>Self Rightening Assy</v>
      </c>
      <c r="I333" t="str">
        <f ca="1">IFERROR(__xludf.DUMMYFUNCTION("""COMPUTED_VALUE"""),"PORT SR Rubber Boot")</f>
        <v>PORT SR Rubber Boot</v>
      </c>
      <c r="J333">
        <f ca="1">IFERROR(__xludf.DUMMYFUNCTION("""COMPUTED_VALUE"""),1)</f>
        <v>1</v>
      </c>
      <c r="K333" t="str">
        <f ca="1">IFERROR(__xludf.DUMMYFUNCTION("""COMPUTED_VALUE"""),"blank")</f>
        <v>blank</v>
      </c>
      <c r="L333">
        <f t="shared" ca="1" si="4"/>
        <v>0</v>
      </c>
      <c r="Q333" t="str">
        <f>IF(N333="","",SUMIFS(Issue!$D$3:$D1001,Issue!$C$3:$C1001,N333))</f>
        <v/>
      </c>
      <c r="S333" t="str">
        <f ca="1">IFERROR(__xludf.DUMMYFUNCTION("""COMPUTED_VALUE"""),"STBD SR Rubber Boot")</f>
        <v>STBD SR Rubber Boot</v>
      </c>
      <c r="Y333" t="str">
        <f t="shared" si="5"/>
        <v/>
      </c>
      <c r="Z333" t="str">
        <f>IF(X333="","",SUMIFS(#REF!,RM!$C$4:$C991,X333))</f>
        <v/>
      </c>
      <c r="AA333" t="str">
        <f>IF(X333="","",SUMIFS(#REF!,RM!$C$4:$C991,X333))</f>
        <v/>
      </c>
      <c r="AB333" t="e">
        <f t="shared" si="6"/>
        <v>#VALUE!</v>
      </c>
      <c r="AC333" t="str">
        <f>IF(X333="","",VLOOKUP($X333,RM!$C$4:$G991,3,FALSE))</f>
        <v/>
      </c>
      <c r="AD333" t="str">
        <f>IF(X333="","",VLOOKUP($X333,RM!$C$4:$G991,4,FALSE))</f>
        <v/>
      </c>
      <c r="AE333" t="str">
        <f>IF(X333="","",VLOOKUP($X333,RM!$C$4:$G991,5,FALSE))</f>
        <v/>
      </c>
      <c r="AG333" t="str">
        <f ca="1">IFERROR(__xludf.DUMMYFUNCTION("""COMPUTED_VALUE"""),"PORT Battery Assy")</f>
        <v>PORT Battery Assy</v>
      </c>
      <c r="AH333" t="str">
        <f ca="1">IFERROR(__xludf.DUMMYFUNCTION("""COMPUTED_VALUE"""),"HeatShrink Tube 100mm")</f>
        <v>HeatShrink Tube 100mm</v>
      </c>
      <c r="AI333">
        <f ca="1">IFERROR(__xludf.DUMMYFUNCTION("""COMPUTED_VALUE"""),0.17)</f>
        <v>0.17</v>
      </c>
      <c r="AJ333" t="str">
        <f ca="1">IFERROR(__xludf.DUMMYFUNCTION("""COMPUTED_VALUE"""),"blank")</f>
        <v>blank</v>
      </c>
      <c r="AK333" t="e">
        <f ca="1">_xludf.IFNA(VLOOKUP(AG333,'S-FG'!$B$3:$B1001,1,FALSE),"")</f>
        <v>#NAME?</v>
      </c>
      <c r="AL333" t="e">
        <f ca="1">IF(AH333="","",SUMIFS(#REF!,RM!$C$4:$C991,AH333))</f>
        <v>#REF!</v>
      </c>
    </row>
    <row r="334" spans="5:38">
      <c r="E334" t="str">
        <f>IF(A334="","",SUMIFS(Issue!$D$3:$D1001,Issue!$C$3:$C1001,A334)*C334)</f>
        <v/>
      </c>
      <c r="F334" t="e">
        <f ca="1">_xludf.IFNA(VLOOKUP(B334,'S-FG'!$B$3:$B1001,1,FALSE),"")</f>
        <v>#NAME?</v>
      </c>
      <c r="H334" t="str">
        <f ca="1">IFERROR(__xludf.DUMMYFUNCTION("""COMPUTED_VALUE"""),"Self Rightening Assy")</f>
        <v>Self Rightening Assy</v>
      </c>
      <c r="I334" t="str">
        <f ca="1">IFERROR(__xludf.DUMMYFUNCTION("""COMPUTED_VALUE"""),"M6x150 Allen head ")</f>
        <v xml:space="preserve">M6x150 Allen head </v>
      </c>
      <c r="J334">
        <f ca="1">IFERROR(__xludf.DUMMYFUNCTION("""COMPUTED_VALUE"""),4)</f>
        <v>4</v>
      </c>
      <c r="K334" t="str">
        <f ca="1">IFERROR(__xludf.DUMMYFUNCTION("""COMPUTED_VALUE"""),"blank")</f>
        <v>blank</v>
      </c>
      <c r="L334">
        <f t="shared" ca="1" si="4"/>
        <v>0</v>
      </c>
      <c r="Q334" t="str">
        <f>IF(N334="","",SUMIFS(Issue!$D$3:$D1001,Issue!$C$3:$C1001,N334))</f>
        <v/>
      </c>
      <c r="S334" t="str">
        <f ca="1">IFERROR(__xludf.DUMMYFUNCTION("""COMPUTED_VALUE"""),"PORT SR Rubber Boot")</f>
        <v>PORT SR Rubber Boot</v>
      </c>
      <c r="Y334" t="str">
        <f t="shared" si="5"/>
        <v/>
      </c>
      <c r="Z334" t="str">
        <f>IF(X334="","",SUMIFS(#REF!,RM!$C$4:$C991,X334))</f>
        <v/>
      </c>
      <c r="AA334" t="str">
        <f>IF(X334="","",SUMIFS(#REF!,RM!$C$4:$C991,X334))</f>
        <v/>
      </c>
      <c r="AB334" t="e">
        <f t="shared" si="6"/>
        <v>#VALUE!</v>
      </c>
      <c r="AC334" t="str">
        <f>IF(X334="","",VLOOKUP($X334,RM!$C$4:$G991,3,FALSE))</f>
        <v/>
      </c>
      <c r="AD334" t="str">
        <f>IF(X334="","",VLOOKUP($X334,RM!$C$4:$G991,4,FALSE))</f>
        <v/>
      </c>
      <c r="AE334" t="str">
        <f>IF(X334="","",VLOOKUP($X334,RM!$C$4:$G991,5,FALSE))</f>
        <v/>
      </c>
      <c r="AG334" t="str">
        <f ca="1">IFERROR(__xludf.DUMMYFUNCTION("""COMPUTED_VALUE"""),"PORT Battery Assy")</f>
        <v>PORT Battery Assy</v>
      </c>
      <c r="AH334" t="str">
        <f ca="1">IFERROR(__xludf.DUMMYFUNCTION("""COMPUTED_VALUE"""),"Teroson MS930")</f>
        <v>Teroson MS930</v>
      </c>
      <c r="AI334">
        <f ca="1">IFERROR(__xludf.DUMMYFUNCTION("""COMPUTED_VALUE"""),20)</f>
        <v>20</v>
      </c>
      <c r="AJ334" t="str">
        <f ca="1">IFERROR(__xludf.DUMMYFUNCTION("""COMPUTED_VALUE"""),"blank")</f>
        <v>blank</v>
      </c>
      <c r="AK334" t="e">
        <f ca="1">_xludf.IFNA(VLOOKUP(AG334,'S-FG'!$B$3:$B1001,1,FALSE),"")</f>
        <v>#NAME?</v>
      </c>
      <c r="AL334" t="e">
        <f ca="1">IF(AH334="","",SUMIFS(#REF!,RM!$C$4:$C991,AH334))</f>
        <v>#REF!</v>
      </c>
    </row>
    <row r="335" spans="5:38">
      <c r="E335" t="str">
        <f>IF(A335="","",SUMIFS(Issue!$D$3:$D1001,Issue!$C$3:$C1001,A335)*C335)</f>
        <v/>
      </c>
      <c r="F335" t="e">
        <f ca="1">_xludf.IFNA(VLOOKUP(B335,'S-FG'!$B$3:$B1001,1,FALSE),"")</f>
        <v>#NAME?</v>
      </c>
      <c r="H335" t="str">
        <f ca="1">IFERROR(__xludf.DUMMYFUNCTION("""COMPUTED_VALUE"""),"Self Rightening Assy")</f>
        <v>Self Rightening Assy</v>
      </c>
      <c r="I335" t="str">
        <f ca="1">IFERROR(__xludf.DUMMYFUNCTION("""COMPUTED_VALUE"""),"M6 Nyloc Nut")</f>
        <v>M6 Nyloc Nut</v>
      </c>
      <c r="J335">
        <f ca="1">IFERROR(__xludf.DUMMYFUNCTION("""COMPUTED_VALUE"""),4)</f>
        <v>4</v>
      </c>
      <c r="K335" t="str">
        <f ca="1">IFERROR(__xludf.DUMMYFUNCTION("""COMPUTED_VALUE"""),"blank")</f>
        <v>blank</v>
      </c>
      <c r="L335">
        <f t="shared" ca="1" si="4"/>
        <v>0</v>
      </c>
      <c r="Q335" t="str">
        <f>IF(N335="","",SUMIFS(Issue!$D$3:$D1001,Issue!$C$3:$C1001,N335))</f>
        <v/>
      </c>
      <c r="S335" t="str">
        <f ca="1">IFERROR(__xludf.DUMMYFUNCTION("""COMPUTED_VALUE"""),"M6x150 Allen head ")</f>
        <v xml:space="preserve">M6x150 Allen head </v>
      </c>
      <c r="Y335" t="str">
        <f t="shared" si="5"/>
        <v/>
      </c>
      <c r="Z335" t="str">
        <f>IF(X335="","",SUMIFS(#REF!,RM!$C$4:$C991,X335))</f>
        <v/>
      </c>
      <c r="AA335" t="str">
        <f>IF(X335="","",SUMIFS(#REF!,RM!$C$4:$C991,X335))</f>
        <v/>
      </c>
      <c r="AB335" t="e">
        <f t="shared" si="6"/>
        <v>#VALUE!</v>
      </c>
      <c r="AC335" t="str">
        <f>IF(X335="","",VLOOKUP($X335,RM!$C$4:$G991,3,FALSE))</f>
        <v/>
      </c>
      <c r="AD335" t="str">
        <f>IF(X335="","",VLOOKUP($X335,RM!$C$4:$G991,4,FALSE))</f>
        <v/>
      </c>
      <c r="AE335" t="str">
        <f>IF(X335="","",VLOOKUP($X335,RM!$C$4:$G991,5,FALSE))</f>
        <v/>
      </c>
      <c r="AG335" t="str">
        <f ca="1">IFERROR(__xludf.DUMMYFUNCTION("""COMPUTED_VALUE"""),"STBD Unit Assy")</f>
        <v>STBD Unit Assy</v>
      </c>
      <c r="AH335" t="str">
        <f ca="1">IFERROR(__xludf.DUMMYFUNCTION("""COMPUTED_VALUE"""),"ESC Mounting Clamp")</f>
        <v>ESC Mounting Clamp</v>
      </c>
      <c r="AI335">
        <f ca="1">IFERROR(__xludf.DUMMYFUNCTION("""COMPUTED_VALUE"""),1)</f>
        <v>1</v>
      </c>
      <c r="AJ335" t="str">
        <f ca="1">IFERROR(__xludf.DUMMYFUNCTION("""COMPUTED_VALUE"""),"blank")</f>
        <v>blank</v>
      </c>
      <c r="AK335" t="e">
        <f ca="1">_xludf.IFNA(VLOOKUP(AG335,'S-FG'!$B$3:$B1001,1,FALSE),"")</f>
        <v>#NAME?</v>
      </c>
      <c r="AL335" t="e">
        <f ca="1">IF(AH335="","",SUMIFS(#REF!,RM!$C$4:$C991,AH335))</f>
        <v>#REF!</v>
      </c>
    </row>
    <row r="336" spans="5:38">
      <c r="E336" t="str">
        <f>IF(A336="","",SUMIFS(Issue!$D$3:$D1001,Issue!$C$3:$C1001,A336)*C336)</f>
        <v/>
      </c>
      <c r="F336" t="e">
        <f ca="1">_xludf.IFNA(VLOOKUP(B336,'S-FG'!$B$3:$B1001,1,FALSE),"")</f>
        <v>#NAME?</v>
      </c>
      <c r="H336" t="str">
        <f ca="1">IFERROR(__xludf.DUMMYFUNCTION("""COMPUTED_VALUE"""),"Self Rightening Assy")</f>
        <v>Self Rightening Assy</v>
      </c>
      <c r="I336" t="str">
        <f ca="1">IFERROR(__xludf.DUMMYFUNCTION("""COMPUTED_VALUE"""),"M6x12 Plain washer")</f>
        <v>M6x12 Plain washer</v>
      </c>
      <c r="J336">
        <f ca="1">IFERROR(__xludf.DUMMYFUNCTION("""COMPUTED_VALUE"""),0)</f>
        <v>0</v>
      </c>
      <c r="K336" t="str">
        <f ca="1">IFERROR(__xludf.DUMMYFUNCTION("""COMPUTED_VALUE"""),"blank")</f>
        <v>blank</v>
      </c>
      <c r="L336">
        <f t="shared" ca="1" si="4"/>
        <v>0</v>
      </c>
      <c r="Q336" t="str">
        <f>IF(N336="","",SUMIFS(Issue!$D$3:$D1001,Issue!$C$3:$C1001,N336))</f>
        <v/>
      </c>
      <c r="S336" t="str">
        <f ca="1">IFERROR(__xludf.DUMMYFUNCTION("""COMPUTED_VALUE"""),"M6 Nyloc Nut")</f>
        <v>M6 Nyloc Nut</v>
      </c>
      <c r="Y336" t="str">
        <f t="shared" si="5"/>
        <v/>
      </c>
      <c r="Z336" t="str">
        <f>IF(X336="","",SUMIFS(#REF!,RM!$C$4:$C991,X336))</f>
        <v/>
      </c>
      <c r="AA336" t="str">
        <f>IF(X336="","",SUMIFS(#REF!,RM!$C$4:$C991,X336))</f>
        <v/>
      </c>
      <c r="AB336" t="e">
        <f t="shared" si="6"/>
        <v>#VALUE!</v>
      </c>
      <c r="AC336" t="str">
        <f>IF(X336="","",VLOOKUP($X336,RM!$C$4:$G991,3,FALSE))</f>
        <v/>
      </c>
      <c r="AD336" t="str">
        <f>IF(X336="","",VLOOKUP($X336,RM!$C$4:$G991,4,FALSE))</f>
        <v/>
      </c>
      <c r="AE336" t="str">
        <f>IF(X336="","",VLOOKUP($X336,RM!$C$4:$G991,5,FALSE))</f>
        <v/>
      </c>
      <c r="AG336" t="str">
        <f ca="1">IFERROR(__xludf.DUMMYFUNCTION("""COMPUTED_VALUE"""),"STBD Unit Assy")</f>
        <v>STBD Unit Assy</v>
      </c>
      <c r="AH336" t="str">
        <f ca="1">IFERROR(__xludf.DUMMYFUNCTION("""COMPUTED_VALUE"""),"M4 Nyloc")</f>
        <v>M4 Nyloc</v>
      </c>
      <c r="AI336">
        <f ca="1">IFERROR(__xludf.DUMMYFUNCTION("""COMPUTED_VALUE"""),4)</f>
        <v>4</v>
      </c>
      <c r="AJ336" t="str">
        <f ca="1">IFERROR(__xludf.DUMMYFUNCTION("""COMPUTED_VALUE"""),"blank")</f>
        <v>blank</v>
      </c>
      <c r="AK336" t="e">
        <f ca="1">_xludf.IFNA(VLOOKUP(AG336,'S-FG'!$B$3:$B1001,1,FALSE),"")</f>
        <v>#NAME?</v>
      </c>
      <c r="AL336" t="e">
        <f ca="1">IF(AH336="","",SUMIFS(#REF!,RM!$C$4:$C991,AH336))</f>
        <v>#REF!</v>
      </c>
    </row>
    <row r="337" spans="5:38">
      <c r="E337" t="str">
        <f>IF(A337="","",SUMIFS(Issue!$D$3:$D1001,Issue!$C$3:$C1001,A337)*C337)</f>
        <v/>
      </c>
      <c r="F337" t="e">
        <f ca="1">_xludf.IFNA(VLOOKUP(B337,'S-FG'!$B$3:$B1001,1,FALSE),"")</f>
        <v>#NAME?</v>
      </c>
      <c r="H337" t="str">
        <f ca="1">IFERROR(__xludf.DUMMYFUNCTION("""COMPUTED_VALUE"""),"Self Rightening Assy")</f>
        <v>Self Rightening Assy</v>
      </c>
      <c r="I337" t="str">
        <f ca="1">IFERROR(__xludf.DUMMYFUNCTION("""COMPUTED_VALUE"""),"RR Tape")</f>
        <v>RR Tape</v>
      </c>
      <c r="J337">
        <f ca="1">IFERROR(__xludf.DUMMYFUNCTION("""COMPUTED_VALUE"""),2.6)</f>
        <v>2.6</v>
      </c>
      <c r="L337">
        <f t="shared" ca="1" si="4"/>
        <v>0</v>
      </c>
      <c r="Q337" t="str">
        <f>IF(N337="","",SUMIFS(Issue!$D$3:$D1001,Issue!$C$3:$C1001,N337))</f>
        <v/>
      </c>
      <c r="S337" t="str">
        <f ca="1">IFERROR(__xludf.DUMMYFUNCTION("""COMPUTED_VALUE"""),"M6x12 Plain washer")</f>
        <v>M6x12 Plain washer</v>
      </c>
      <c r="Y337" t="str">
        <f t="shared" si="5"/>
        <v/>
      </c>
      <c r="Z337" t="str">
        <f>IF(X337="","",SUMIFS(#REF!,RM!$C$4:$C991,X337))</f>
        <v/>
      </c>
      <c r="AA337" t="str">
        <f>IF(X337="","",SUMIFS(#REF!,RM!$C$4:$C991,X337))</f>
        <v/>
      </c>
      <c r="AB337" t="e">
        <f t="shared" si="6"/>
        <v>#VALUE!</v>
      </c>
      <c r="AC337" t="str">
        <f>IF(X337="","",VLOOKUP($X337,RM!$C$4:$G991,3,FALSE))</f>
        <v/>
      </c>
      <c r="AD337" t="str">
        <f>IF(X337="","",VLOOKUP($X337,RM!$C$4:$G991,4,FALSE))</f>
        <v/>
      </c>
      <c r="AE337" t="str">
        <f>IF(X337="","",VLOOKUP($X337,RM!$C$4:$G991,5,FALSE))</f>
        <v/>
      </c>
      <c r="AG337" t="str">
        <f ca="1">IFERROR(__xludf.DUMMYFUNCTION("""COMPUTED_VALUE"""),"STBD Unit Assy")</f>
        <v>STBD Unit Assy</v>
      </c>
      <c r="AH337" t="str">
        <f ca="1">IFERROR(__xludf.DUMMYFUNCTION("""COMPUTED_VALUE"""),"M4 Spring washer")</f>
        <v>M4 Spring washer</v>
      </c>
      <c r="AI337">
        <f ca="1">IFERROR(__xludf.DUMMYFUNCTION("""COMPUTED_VALUE"""),4)</f>
        <v>4</v>
      </c>
      <c r="AJ337" t="str">
        <f ca="1">IFERROR(__xludf.DUMMYFUNCTION("""COMPUTED_VALUE"""),"blank")</f>
        <v>blank</v>
      </c>
      <c r="AK337" t="e">
        <f ca="1">_xludf.IFNA(VLOOKUP(AG337,'S-FG'!$B$3:$B1001,1,FALSE),"")</f>
        <v>#NAME?</v>
      </c>
      <c r="AL337" t="e">
        <f ca="1">IF(AH337="","",SUMIFS(#REF!,RM!$C$4:$C991,AH337))</f>
        <v>#REF!</v>
      </c>
    </row>
    <row r="338" spans="5:38">
      <c r="E338" t="str">
        <f>IF(A338="","",SUMIFS(Issue!$D$3:$D1001,Issue!$C$3:$C1001,A338)*C338)</f>
        <v/>
      </c>
      <c r="F338" t="e">
        <f ca="1">_xludf.IFNA(VLOOKUP(B338,'S-FG'!$B$3:$B1001,1,FALSE),"")</f>
        <v>#NAME?</v>
      </c>
      <c r="H338" t="str">
        <f ca="1">IFERROR(__xludf.DUMMYFUNCTION("""COMPUTED_VALUE"""),"IP Remote Assy")</f>
        <v>IP Remote Assy</v>
      </c>
      <c r="I338" t="str">
        <f ca="1">IFERROR(__xludf.DUMMYFUNCTION("""COMPUTED_VALUE"""),"QX7 Transmitter with R9M")</f>
        <v>QX7 Transmitter with R9M</v>
      </c>
      <c r="J338">
        <f ca="1">IFERROR(__xludf.DUMMYFUNCTION("""COMPUTED_VALUE"""),1)</f>
        <v>1</v>
      </c>
      <c r="K338" t="str">
        <f ca="1">IFERROR(__xludf.DUMMYFUNCTION("""COMPUTED_VALUE"""),"blank")</f>
        <v>blank</v>
      </c>
      <c r="L338">
        <f t="shared" ca="1" si="4"/>
        <v>0</v>
      </c>
      <c r="Q338" t="str">
        <f>IF(N338="","",SUMIFS(Issue!$D$3:$D1001,Issue!$C$3:$C1001,N338))</f>
        <v/>
      </c>
      <c r="S338" t="str">
        <f ca="1">IFERROR(__xludf.DUMMYFUNCTION("""COMPUTED_VALUE"""),"RR Tape")</f>
        <v>RR Tape</v>
      </c>
      <c r="Y338" t="str">
        <f t="shared" si="5"/>
        <v/>
      </c>
      <c r="Z338" t="str">
        <f>IF(X338="","",SUMIFS(#REF!,RM!$C$4:$C991,X338))</f>
        <v/>
      </c>
      <c r="AA338" t="str">
        <f>IF(X338="","",SUMIFS(#REF!,RM!$C$4:$C991,X338))</f>
        <v/>
      </c>
      <c r="AB338" t="e">
        <f t="shared" si="6"/>
        <v>#VALUE!</v>
      </c>
      <c r="AC338" t="str">
        <f>IF(X338="","",VLOOKUP($X338,RM!$C$4:$G991,3,FALSE))</f>
        <v/>
      </c>
      <c r="AD338" t="str">
        <f>IF(X338="","",VLOOKUP($X338,RM!$C$4:$G991,4,FALSE))</f>
        <v/>
      </c>
      <c r="AE338" t="str">
        <f>IF(X338="","",VLOOKUP($X338,RM!$C$4:$G991,5,FALSE))</f>
        <v/>
      </c>
      <c r="AG338" t="str">
        <f ca="1">IFERROR(__xludf.DUMMYFUNCTION("""COMPUTED_VALUE"""),"STBD Unit Assy")</f>
        <v>STBD Unit Assy</v>
      </c>
      <c r="AH338" t="str">
        <f ca="1">IFERROR(__xludf.DUMMYFUNCTION("""COMPUTED_VALUE"""),"M4x12 plain washer")</f>
        <v>M4x12 plain washer</v>
      </c>
      <c r="AI338">
        <f ca="1">IFERROR(__xludf.DUMMYFUNCTION("""COMPUTED_VALUE"""),4)</f>
        <v>4</v>
      </c>
      <c r="AJ338" t="str">
        <f ca="1">IFERROR(__xludf.DUMMYFUNCTION("""COMPUTED_VALUE"""),"blank")</f>
        <v>blank</v>
      </c>
      <c r="AK338" t="e">
        <f ca="1">_xludf.IFNA(VLOOKUP(AG338,'S-FG'!$B$3:$B1001,1,FALSE),"")</f>
        <v>#NAME?</v>
      </c>
      <c r="AL338" t="e">
        <f ca="1">IF(AH338="","",SUMIFS(#REF!,RM!$C$4:$C991,AH338))</f>
        <v>#REF!</v>
      </c>
    </row>
    <row r="339" spans="5:38">
      <c r="E339" t="str">
        <f>IF(A339="","",SUMIFS(Issue!$D$3:$D1001,Issue!$C$3:$C1001,A339)*C339)</f>
        <v/>
      </c>
      <c r="F339" t="e">
        <f ca="1">_xludf.IFNA(VLOOKUP(B339,'S-FG'!$B$3:$B1001,1,FALSE),"")</f>
        <v>#NAME?</v>
      </c>
      <c r="H339" t="str">
        <f ca="1">IFERROR(__xludf.DUMMYFUNCTION("""COMPUTED_VALUE"""),"IP Remote Assy")</f>
        <v>IP Remote Assy</v>
      </c>
      <c r="I339" t="str">
        <f ca="1">IFERROR(__xludf.DUMMYFUNCTION("""COMPUTED_VALUE"""),"PWB of Button -2")</f>
        <v>PWB of Button -2</v>
      </c>
      <c r="J339">
        <f ca="1">IFERROR(__xludf.DUMMYFUNCTION("""COMPUTED_VALUE"""),2)</f>
        <v>2</v>
      </c>
      <c r="L339">
        <f t="shared" ca="1" si="4"/>
        <v>0</v>
      </c>
      <c r="Q339" t="str">
        <f>IF(N339="","",SUMIFS(Issue!$D$3:$D1001,Issue!$C$3:$C1001,N339))</f>
        <v/>
      </c>
      <c r="S339" t="str">
        <f ca="1">IFERROR(__xludf.DUMMYFUNCTION("""COMPUTED_VALUE"""),"QX7 Transmitter with R9M")</f>
        <v>QX7 Transmitter with R9M</v>
      </c>
      <c r="Y339" t="str">
        <f t="shared" si="5"/>
        <v/>
      </c>
      <c r="Z339" t="str">
        <f>IF(X339="","",SUMIFS(#REF!,RM!$C$4:$C991,X339))</f>
        <v/>
      </c>
      <c r="AA339" t="str">
        <f>IF(X339="","",SUMIFS(#REF!,RM!$C$4:$C991,X339))</f>
        <v/>
      </c>
      <c r="AB339" t="e">
        <f t="shared" si="6"/>
        <v>#VALUE!</v>
      </c>
      <c r="AC339" t="str">
        <f>IF(X339="","",VLOOKUP($X339,RM!$C$4:$G991,3,FALSE))</f>
        <v/>
      </c>
      <c r="AD339" t="str">
        <f>IF(X339="","",VLOOKUP($X339,RM!$C$4:$G991,4,FALSE))</f>
        <v/>
      </c>
      <c r="AE339" t="str">
        <f>IF(X339="","",VLOOKUP($X339,RM!$C$4:$G991,5,FALSE))</f>
        <v/>
      </c>
      <c r="AG339" t="str">
        <f ca="1">IFERROR(__xludf.DUMMYFUNCTION("""COMPUTED_VALUE"""),"STBD Unit Assy")</f>
        <v>STBD Unit Assy</v>
      </c>
      <c r="AH339" t="str">
        <f ca="1">IFERROR(__xludf.DUMMYFUNCTION("""COMPUTED_VALUE"""),"3mm Silicon Rubber Gaskets (35mmx10mm)")</f>
        <v>3mm Silicon Rubber Gaskets (35mmx10mm)</v>
      </c>
      <c r="AI339">
        <f ca="1">IFERROR(__xludf.DUMMYFUNCTION("""COMPUTED_VALUE"""),1)</f>
        <v>1</v>
      </c>
      <c r="AJ339" t="str">
        <f ca="1">IFERROR(__xludf.DUMMYFUNCTION("""COMPUTED_VALUE"""),"blank")</f>
        <v>blank</v>
      </c>
      <c r="AK339" t="e">
        <f ca="1">_xludf.IFNA(VLOOKUP(AG339,'S-FG'!$B$3:$B1001,1,FALSE),"")</f>
        <v>#NAME?</v>
      </c>
      <c r="AL339" t="e">
        <f ca="1">IF(AH339="","",SUMIFS(#REF!,RM!$C$4:$C991,AH339))</f>
        <v>#REF!</v>
      </c>
    </row>
    <row r="340" spans="5:38">
      <c r="E340" t="str">
        <f>IF(A340="","",SUMIFS(Issue!$D$3:$D1001,Issue!$C$3:$C1001,A340)*C340)</f>
        <v/>
      </c>
      <c r="F340" t="e">
        <f ca="1">_xludf.IFNA(VLOOKUP(B340,'S-FG'!$B$3:$B1001,1,FALSE),"")</f>
        <v>#NAME?</v>
      </c>
      <c r="H340" t="str">
        <f ca="1">IFERROR(__xludf.DUMMYFUNCTION("""COMPUTED_VALUE"""),"IP Remote Assy")</f>
        <v>IP Remote Assy</v>
      </c>
      <c r="I340" t="str">
        <f ca="1">IFERROR(__xludf.DUMMYFUNCTION("""COMPUTED_VALUE"""),"Li-In 21700 Cells Molicel P42A/ Samsung-40T")</f>
        <v>Li-In 21700 Cells Molicel P42A/ Samsung-40T</v>
      </c>
      <c r="J340">
        <f ca="1">IFERROR(__xludf.DUMMYFUNCTION("""COMPUTED_VALUE"""),2)</f>
        <v>2</v>
      </c>
      <c r="K340" t="str">
        <f ca="1">IFERROR(__xludf.DUMMYFUNCTION("""COMPUTED_VALUE"""),"blank")</f>
        <v>blank</v>
      </c>
      <c r="L340">
        <f t="shared" ca="1" si="4"/>
        <v>0</v>
      </c>
      <c r="Q340" t="str">
        <f>IF(N340="","",SUMIFS(Issue!$D$3:$D1001,Issue!$C$3:$C1001,N340))</f>
        <v/>
      </c>
      <c r="S340" t="str">
        <f ca="1">IFERROR(__xludf.DUMMYFUNCTION("""COMPUTED_VALUE"""),"PWB of Button -2")</f>
        <v>PWB of Button -2</v>
      </c>
      <c r="Y340" t="str">
        <f t="shared" si="5"/>
        <v/>
      </c>
      <c r="Z340" t="str">
        <f>IF(X340="","",SUMIFS(#REF!,RM!$C$4:$C991,X340))</f>
        <v/>
      </c>
      <c r="AA340" t="str">
        <f>IF(X340="","",SUMIFS(#REF!,RM!$C$4:$C991,X340))</f>
        <v/>
      </c>
      <c r="AB340" t="e">
        <f t="shared" si="6"/>
        <v>#VALUE!</v>
      </c>
      <c r="AC340" t="str">
        <f>IF(X340="","",VLOOKUP($X340,RM!$C$4:$G991,3,FALSE))</f>
        <v/>
      </c>
      <c r="AD340" t="str">
        <f>IF(X340="","",VLOOKUP($X340,RM!$C$4:$G991,4,FALSE))</f>
        <v/>
      </c>
      <c r="AE340" t="str">
        <f>IF(X340="","",VLOOKUP($X340,RM!$C$4:$G991,5,FALSE))</f>
        <v/>
      </c>
      <c r="AG340" t="str">
        <f ca="1">IFERROR(__xludf.DUMMYFUNCTION("""COMPUTED_VALUE"""),"STBD Unit Assy")</f>
        <v>STBD Unit Assy</v>
      </c>
      <c r="AH340" t="str">
        <f ca="1">IFERROR(__xludf.DUMMYFUNCTION("""COMPUTED_VALUE"""),"Jet Motor Assy")</f>
        <v>Jet Motor Assy</v>
      </c>
      <c r="AI340">
        <f ca="1">IFERROR(__xludf.DUMMYFUNCTION("""COMPUTED_VALUE"""),0)</f>
        <v>0</v>
      </c>
      <c r="AJ340" t="str">
        <f ca="1">IFERROR(__xludf.DUMMYFUNCTION("""COMPUTED_VALUE"""),"blank")</f>
        <v>blank</v>
      </c>
      <c r="AK340" t="e">
        <f ca="1">_xludf.IFNA(VLOOKUP(AG340,'S-FG'!$B$3:$B1001,1,FALSE),"")</f>
        <v>#NAME?</v>
      </c>
      <c r="AL340" t="e">
        <f ca="1">IF(AH340="","",SUMIFS(#REF!,RM!$C$4:$C991,AH340))</f>
        <v>#REF!</v>
      </c>
    </row>
    <row r="341" spans="5:38">
      <c r="E341" t="str">
        <f>IF(A341="","",SUMIFS(Issue!$D$3:$D1001,Issue!$C$3:$C1001,A341)*C341)</f>
        <v/>
      </c>
      <c r="F341" t="e">
        <f ca="1">_xludf.IFNA(VLOOKUP(B341,'S-FG'!$B$3:$B1001,1,FALSE),"")</f>
        <v>#NAME?</v>
      </c>
      <c r="H341" t="str">
        <f ca="1">IFERROR(__xludf.DUMMYFUNCTION("""COMPUTED_VALUE"""),"IP Remote Assy")</f>
        <v>IP Remote Assy</v>
      </c>
      <c r="I341" t="str">
        <f ca="1">IFERROR(__xludf.DUMMYFUNCTION("""COMPUTED_VALUE"""),"3 pin JST-XH housing")</f>
        <v>3 pin JST-XH housing</v>
      </c>
      <c r="J341">
        <f ca="1">IFERROR(__xludf.DUMMYFUNCTION("""COMPUTED_VALUE"""),1)</f>
        <v>1</v>
      </c>
      <c r="L341">
        <f t="shared" ca="1" si="4"/>
        <v>0</v>
      </c>
      <c r="Q341" t="str">
        <f>IF(N341="","",SUMIFS(Issue!$D$3:$D1001,Issue!$C$3:$C1001,N341))</f>
        <v/>
      </c>
      <c r="S341" t="str">
        <f ca="1">IFERROR(__xludf.DUMMYFUNCTION("""COMPUTED_VALUE"""),"Li-In 21700 Cells Molicel P42A/ Samsung-40T")</f>
        <v>Li-In 21700 Cells Molicel P42A/ Samsung-40T</v>
      </c>
      <c r="Y341" t="str">
        <f t="shared" si="5"/>
        <v/>
      </c>
      <c r="Z341" t="str">
        <f>IF(X341="","",SUMIFS(#REF!,RM!$C$4:$C991,X341))</f>
        <v/>
      </c>
      <c r="AA341" t="str">
        <f>IF(X341="","",SUMIFS(#REF!,RM!$C$4:$C991,X341))</f>
        <v/>
      </c>
      <c r="AB341" t="e">
        <f t="shared" si="6"/>
        <v>#VALUE!</v>
      </c>
      <c r="AC341" t="str">
        <f>IF(X341="","",VLOOKUP($X341,RM!$C$4:$G991,3,FALSE))</f>
        <v/>
      </c>
      <c r="AD341" t="str">
        <f>IF(X341="","",VLOOKUP($X341,RM!$C$4:$G991,4,FALSE))</f>
        <v/>
      </c>
      <c r="AE341" t="str">
        <f>IF(X341="","",VLOOKUP($X341,RM!$C$4:$G991,5,FALSE))</f>
        <v/>
      </c>
      <c r="AG341" t="str">
        <f ca="1">IFERROR(__xludf.DUMMYFUNCTION("""COMPUTED_VALUE"""),"STBD Unit Assy")</f>
        <v>STBD Unit Assy</v>
      </c>
      <c r="AH341" t="str">
        <f ca="1">IFERROR(__xludf.DUMMYFUNCTION("""COMPUTED_VALUE"""),"STBD_ESC Assy")</f>
        <v>STBD_ESC Assy</v>
      </c>
      <c r="AI341">
        <f ca="1">IFERROR(__xludf.DUMMYFUNCTION("""COMPUTED_VALUE"""),0)</f>
        <v>0</v>
      </c>
      <c r="AJ341" t="str">
        <f ca="1">IFERROR(__xludf.DUMMYFUNCTION("""COMPUTED_VALUE"""),"blank")</f>
        <v>blank</v>
      </c>
      <c r="AK341" t="e">
        <f ca="1">_xludf.IFNA(VLOOKUP(AG341,'S-FG'!$B$3:$B1001,1,FALSE),"")</f>
        <v>#NAME?</v>
      </c>
      <c r="AL341" t="e">
        <f ca="1">IF(AH341="","",SUMIFS(#REF!,RM!$C$4:$C991,AH341))</f>
        <v>#REF!</v>
      </c>
    </row>
    <row r="342" spans="5:38">
      <c r="E342" t="str">
        <f>IF(A342="","",SUMIFS(Issue!$D$3:$D1001,Issue!$C$3:$C1001,A342)*C342)</f>
        <v/>
      </c>
      <c r="F342" t="e">
        <f ca="1">_xludf.IFNA(VLOOKUP(B342,'S-FG'!$B$3:$B1001,1,FALSE),"")</f>
        <v>#NAME?</v>
      </c>
      <c r="H342" t="str">
        <f ca="1">IFERROR(__xludf.DUMMYFUNCTION("""COMPUTED_VALUE"""),"IP Remote Assy")</f>
        <v>IP Remote Assy</v>
      </c>
      <c r="I342" t="str">
        <f ca="1">IFERROR(__xludf.DUMMYFUNCTION("""COMPUTED_VALUE"""),"25cm Red one side crimped wire")</f>
        <v>25cm Red one side crimped wire</v>
      </c>
      <c r="J342">
        <f ca="1">IFERROR(__xludf.DUMMYFUNCTION("""COMPUTED_VALUE"""),1)</f>
        <v>1</v>
      </c>
      <c r="K342" t="str">
        <f ca="1">IFERROR(__xludf.DUMMYFUNCTION("""COMPUTED_VALUE"""),"blank")</f>
        <v>blank</v>
      </c>
      <c r="L342">
        <f t="shared" ca="1" si="4"/>
        <v>0</v>
      </c>
      <c r="Q342" t="str">
        <f>IF(N342="","",SUMIFS(Issue!$D$3:$D1001,Issue!$C$3:$C1001,N342))</f>
        <v/>
      </c>
      <c r="S342" t="str">
        <f ca="1">IFERROR(__xludf.DUMMYFUNCTION("""COMPUTED_VALUE"""),"3 pin JST-XH housing")</f>
        <v>3 pin JST-XH housing</v>
      </c>
      <c r="Y342" t="str">
        <f t="shared" si="5"/>
        <v/>
      </c>
      <c r="Z342" t="str">
        <f>IF(X342="","",SUMIFS(#REF!,RM!$C$4:$C991,X342))</f>
        <v/>
      </c>
      <c r="AA342" t="str">
        <f>IF(X342="","",SUMIFS(#REF!,RM!$C$4:$C991,X342))</f>
        <v/>
      </c>
      <c r="AB342" t="e">
        <f t="shared" si="6"/>
        <v>#VALUE!</v>
      </c>
      <c r="AC342" t="str">
        <f>IF(X342="","",VLOOKUP($X342,RM!$C$4:$G991,3,FALSE))</f>
        <v/>
      </c>
      <c r="AD342" t="str">
        <f>IF(X342="","",VLOOKUP($X342,RM!$C$4:$G991,4,FALSE))</f>
        <v/>
      </c>
      <c r="AE342" t="str">
        <f>IF(X342="","",VLOOKUP($X342,RM!$C$4:$G991,5,FALSE))</f>
        <v/>
      </c>
      <c r="AG342" t="str">
        <f ca="1">IFERROR(__xludf.DUMMYFUNCTION("""COMPUTED_VALUE"""),"STBD Unit Assy")</f>
        <v>STBD Unit Assy</v>
      </c>
      <c r="AH342" t="str">
        <f ca="1">IFERROR(__xludf.DUMMYFUNCTION("""COMPUTED_VALUE"""),"STBD Battery Assy")</f>
        <v>STBD Battery Assy</v>
      </c>
      <c r="AI342">
        <f ca="1">IFERROR(__xludf.DUMMYFUNCTION("""COMPUTED_VALUE"""),0)</f>
        <v>0</v>
      </c>
      <c r="AJ342" t="str">
        <f ca="1">IFERROR(__xludf.DUMMYFUNCTION("""COMPUTED_VALUE"""),"blank")</f>
        <v>blank</v>
      </c>
      <c r="AK342" t="e">
        <f ca="1">_xludf.IFNA(VLOOKUP(AG342,'S-FG'!$B$3:$B1001,1,FALSE),"")</f>
        <v>#NAME?</v>
      </c>
      <c r="AL342" t="e">
        <f ca="1">IF(AH342="","",SUMIFS(#REF!,RM!$C$4:$C991,AH342))</f>
        <v>#REF!</v>
      </c>
    </row>
    <row r="343" spans="5:38">
      <c r="E343" t="str">
        <f>IF(A343="","",SUMIFS(Issue!$D$3:$D1001,Issue!$C$3:$C1001,A343)*C343)</f>
        <v/>
      </c>
      <c r="F343" t="e">
        <f ca="1">_xludf.IFNA(VLOOKUP(B343,'S-FG'!$B$3:$B1001,1,FALSE),"")</f>
        <v>#NAME?</v>
      </c>
      <c r="H343" t="str">
        <f ca="1">IFERROR(__xludf.DUMMYFUNCTION("""COMPUTED_VALUE"""),"IP Remote Assy")</f>
        <v>IP Remote Assy</v>
      </c>
      <c r="I343" t="str">
        <f ca="1">IFERROR(__xludf.DUMMYFUNCTION("""COMPUTED_VALUE"""),"25cm Green one side crimped wire")</f>
        <v>25cm Green one side crimped wire</v>
      </c>
      <c r="J343">
        <f ca="1">IFERROR(__xludf.DUMMYFUNCTION("""COMPUTED_VALUE"""),1)</f>
        <v>1</v>
      </c>
      <c r="K343" t="str">
        <f ca="1">IFERROR(__xludf.DUMMYFUNCTION("""COMPUTED_VALUE"""),"blank")</f>
        <v>blank</v>
      </c>
      <c r="L343">
        <f t="shared" ca="1" si="4"/>
        <v>0</v>
      </c>
      <c r="Q343" t="str">
        <f>IF(N343="","",SUMIFS(Issue!$D$3:$D1001,Issue!$C$3:$C1001,N343))</f>
        <v/>
      </c>
      <c r="S343" t="str">
        <f ca="1">IFERROR(__xludf.DUMMYFUNCTION("""COMPUTED_VALUE"""),"25cm Red one side crimped wire")</f>
        <v>25cm Red one side crimped wire</v>
      </c>
      <c r="Y343" t="str">
        <f t="shared" si="5"/>
        <v/>
      </c>
      <c r="Z343" t="str">
        <f>IF(X343="","",SUMIFS(#REF!,RM!$C$4:$C991,X343))</f>
        <v/>
      </c>
      <c r="AA343" t="str">
        <f>IF(X343="","",SUMIFS(#REF!,RM!$C$4:$C991,X343))</f>
        <v/>
      </c>
      <c r="AB343" t="e">
        <f t="shared" si="6"/>
        <v>#VALUE!</v>
      </c>
      <c r="AC343" t="str">
        <f>IF(X343="","",VLOOKUP($X343,RM!$C$4:$G991,3,FALSE))</f>
        <v/>
      </c>
      <c r="AD343" t="str">
        <f>IF(X343="","",VLOOKUP($X343,RM!$C$4:$G991,4,FALSE))</f>
        <v/>
      </c>
      <c r="AE343" t="str">
        <f>IF(X343="","",VLOOKUP($X343,RM!$C$4:$G991,5,FALSE))</f>
        <v/>
      </c>
      <c r="AG343" t="str">
        <f ca="1">IFERROR(__xludf.DUMMYFUNCTION("""COMPUTED_VALUE"""),"STBD Unit Assy")</f>
        <v>STBD Unit Assy</v>
      </c>
      <c r="AH343" t="str">
        <f ca="1">IFERROR(__xludf.DUMMYFUNCTION("""COMPUTED_VALUE"""),"M4x20 CSK Phillips")</f>
        <v>M4x20 CSK Phillips</v>
      </c>
      <c r="AI343">
        <f ca="1">IFERROR(__xludf.DUMMYFUNCTION("""COMPUTED_VALUE"""),2)</f>
        <v>2</v>
      </c>
      <c r="AJ343" t="str">
        <f ca="1">IFERROR(__xludf.DUMMYFUNCTION("""COMPUTED_VALUE"""),"blank")</f>
        <v>blank</v>
      </c>
      <c r="AK343" t="e">
        <f ca="1">_xludf.IFNA(VLOOKUP(AG343,'S-FG'!$B$3:$B1001,1,FALSE),"")</f>
        <v>#NAME?</v>
      </c>
      <c r="AL343" t="e">
        <f ca="1">IF(AH343="","",SUMIFS(#REF!,RM!$C$4:$C991,AH343))</f>
        <v>#REF!</v>
      </c>
    </row>
    <row r="344" spans="5:38">
      <c r="E344" t="str">
        <f>IF(A344="","",SUMIFS(Issue!$D$3:$D1001,Issue!$C$3:$C1001,A344)*C344)</f>
        <v/>
      </c>
      <c r="F344" t="e">
        <f ca="1">_xludf.IFNA(VLOOKUP(B344,'S-FG'!$B$3:$B1001,1,FALSE),"")</f>
        <v>#NAME?</v>
      </c>
      <c r="H344" t="str">
        <f ca="1">IFERROR(__xludf.DUMMYFUNCTION("""COMPUTED_VALUE"""),"IP Remote Assy")</f>
        <v>IP Remote Assy</v>
      </c>
      <c r="I344" t="str">
        <f ca="1">IFERROR(__xludf.DUMMYFUNCTION("""COMPUTED_VALUE"""),"25cm Black one side crimped wire")</f>
        <v>25cm Black one side crimped wire</v>
      </c>
      <c r="J344">
        <f ca="1">IFERROR(__xludf.DUMMYFUNCTION("""COMPUTED_VALUE"""),1)</f>
        <v>1</v>
      </c>
      <c r="K344" t="str">
        <f ca="1">IFERROR(__xludf.DUMMYFUNCTION("""COMPUTED_VALUE"""),"blank")</f>
        <v>blank</v>
      </c>
      <c r="L344">
        <f t="shared" ca="1" si="4"/>
        <v>0</v>
      </c>
      <c r="Q344" t="str">
        <f>IF(N344="","",SUMIFS(Issue!$D$3:$D1001,Issue!$C$3:$C1001,N344))</f>
        <v/>
      </c>
      <c r="S344" t="str">
        <f ca="1">IFERROR(__xludf.DUMMYFUNCTION("""COMPUTED_VALUE"""),"25cm Green one side crimped wire")</f>
        <v>25cm Green one side crimped wire</v>
      </c>
      <c r="Y344" t="str">
        <f t="shared" si="5"/>
        <v/>
      </c>
      <c r="Z344" t="str">
        <f>IF(X344="","",SUMIFS(#REF!,RM!$C$4:$C991,X344))</f>
        <v/>
      </c>
      <c r="AA344" t="str">
        <f>IF(X344="","",SUMIFS(#REF!,RM!$C$4:$C991,X344))</f>
        <v/>
      </c>
      <c r="AB344" t="e">
        <f t="shared" si="6"/>
        <v>#VALUE!</v>
      </c>
      <c r="AC344" t="str">
        <f>IF(X344="","",VLOOKUP($X344,RM!$C$4:$G991,3,FALSE))</f>
        <v/>
      </c>
      <c r="AD344" t="str">
        <f>IF(X344="","",VLOOKUP($X344,RM!$C$4:$G991,4,FALSE))</f>
        <v/>
      </c>
      <c r="AE344" t="str">
        <f>IF(X344="","",VLOOKUP($X344,RM!$C$4:$G991,5,FALSE))</f>
        <v/>
      </c>
      <c r="AG344" t="str">
        <f ca="1">IFERROR(__xludf.DUMMYFUNCTION("""COMPUTED_VALUE"""),"STBD Unit Assy")</f>
        <v>STBD Unit Assy</v>
      </c>
      <c r="AH344" t="str">
        <f ca="1">IFERROR(__xludf.DUMMYFUNCTION("""COMPUTED_VALUE"""),"M4x16 Allen Head")</f>
        <v>M4x16 Allen Head</v>
      </c>
      <c r="AI344">
        <f ca="1">IFERROR(__xludf.DUMMYFUNCTION("""COMPUTED_VALUE"""),2)</f>
        <v>2</v>
      </c>
      <c r="AJ344" t="str">
        <f ca="1">IFERROR(__xludf.DUMMYFUNCTION("""COMPUTED_VALUE"""),"blank")</f>
        <v>blank</v>
      </c>
      <c r="AK344" t="e">
        <f ca="1">_xludf.IFNA(VLOOKUP(AG344,'S-FG'!$B$3:$B1001,1,FALSE),"")</f>
        <v>#NAME?</v>
      </c>
      <c r="AL344" t="e">
        <f ca="1">IF(AH344="","",SUMIFS(#REF!,RM!$C$4:$C991,AH344))</f>
        <v>#REF!</v>
      </c>
    </row>
    <row r="345" spans="5:38">
      <c r="E345" t="str">
        <f>IF(A345="","",SUMIFS(Issue!$D$3:$D1001,Issue!$C$3:$C1001,A345)*C345)</f>
        <v/>
      </c>
      <c r="F345" t="e">
        <f ca="1">_xludf.IFNA(VLOOKUP(B345,'S-FG'!$B$3:$B1001,1,FALSE),"")</f>
        <v>#NAME?</v>
      </c>
      <c r="H345" t="str">
        <f ca="1">IFERROR(__xludf.DUMMYFUNCTION("""COMPUTED_VALUE"""),"IP Remote Assy")</f>
        <v>IP Remote Assy</v>
      </c>
      <c r="I345" t="str">
        <f ca="1">IFERROR(__xludf.DUMMYFUNCTION("""COMPUTED_VALUE"""),"Tactile switch ")</f>
        <v xml:space="preserve">Tactile switch </v>
      </c>
      <c r="J345">
        <f ca="1">IFERROR(__xludf.DUMMYFUNCTION("""COMPUTED_VALUE"""),0)</f>
        <v>0</v>
      </c>
      <c r="K345" t="str">
        <f ca="1">IFERROR(__xludf.DUMMYFUNCTION("""COMPUTED_VALUE"""),"blank")</f>
        <v>blank</v>
      </c>
      <c r="L345">
        <f t="shared" ca="1" si="4"/>
        <v>0</v>
      </c>
      <c r="Q345" t="str">
        <f>IF(N345="","",SUMIFS(Issue!$D$3:$D1001,Issue!$C$3:$C1001,N345))</f>
        <v/>
      </c>
      <c r="S345" t="str">
        <f ca="1">IFERROR(__xludf.DUMMYFUNCTION("""COMPUTED_VALUE"""),"25cm Black one side crimped wire")</f>
        <v>25cm Black one side crimped wire</v>
      </c>
      <c r="Y345" t="str">
        <f t="shared" si="5"/>
        <v/>
      </c>
      <c r="Z345" t="str">
        <f>IF(X345="","",SUMIFS(#REF!,RM!$C$4:$C991,X345))</f>
        <v/>
      </c>
      <c r="AA345" t="str">
        <f>IF(X345="","",SUMIFS(#REF!,RM!$C$4:$C991,X345))</f>
        <v/>
      </c>
      <c r="AB345" t="e">
        <f t="shared" si="6"/>
        <v>#VALUE!</v>
      </c>
      <c r="AC345" t="str">
        <f>IF(X345="","",VLOOKUP($X345,RM!$C$4:$G991,3,FALSE))</f>
        <v/>
      </c>
      <c r="AD345" t="str">
        <f>IF(X345="","",VLOOKUP($X345,RM!$C$4:$G991,4,FALSE))</f>
        <v/>
      </c>
      <c r="AE345" t="str">
        <f>IF(X345="","",VLOOKUP($X345,RM!$C$4:$G991,5,FALSE))</f>
        <v/>
      </c>
      <c r="AG345" t="str">
        <f ca="1">IFERROR(__xludf.DUMMYFUNCTION("""COMPUTED_VALUE"""),"PORT Unit Assy")</f>
        <v>PORT Unit Assy</v>
      </c>
      <c r="AH345" t="str">
        <f ca="1">IFERROR(__xludf.DUMMYFUNCTION("""COMPUTED_VALUE"""),"ESC Mounting Clamp")</f>
        <v>ESC Mounting Clamp</v>
      </c>
      <c r="AI345">
        <f ca="1">IFERROR(__xludf.DUMMYFUNCTION("""COMPUTED_VALUE"""),1)</f>
        <v>1</v>
      </c>
      <c r="AJ345" t="str">
        <f ca="1">IFERROR(__xludf.DUMMYFUNCTION("""COMPUTED_VALUE"""),"blank")</f>
        <v>blank</v>
      </c>
      <c r="AK345" t="e">
        <f ca="1">_xludf.IFNA(VLOOKUP(AG345,'S-FG'!$B$3:$B1001,1,FALSE),"")</f>
        <v>#NAME?</v>
      </c>
      <c r="AL345" t="e">
        <f ca="1">IF(AH345="","",SUMIFS(#REF!,RM!$C$4:$C991,AH345))</f>
        <v>#REF!</v>
      </c>
    </row>
    <row r="346" spans="5:38">
      <c r="E346" t="str">
        <f>IF(A346="","",SUMIFS(Issue!$D$3:$D1001,Issue!$C$3:$C1001,A346)*C346)</f>
        <v/>
      </c>
      <c r="F346" t="e">
        <f ca="1">_xludf.IFNA(VLOOKUP(B346,'S-FG'!$B$3:$B1001,1,FALSE),"")</f>
        <v>#NAME?</v>
      </c>
      <c r="H346" t="str">
        <f ca="1">IFERROR(__xludf.DUMMYFUNCTION("""COMPUTED_VALUE"""),"IP Remote Assy")</f>
        <v>IP Remote Assy</v>
      </c>
      <c r="I346" t="str">
        <f ca="1">IFERROR(__xludf.DUMMYFUNCTION("""COMPUTED_VALUE"""),"R9M Antenna Extension wire RP-SMA to Open")</f>
        <v>R9M Antenna Extension wire RP-SMA to Open</v>
      </c>
      <c r="J346">
        <f ca="1">IFERROR(__xludf.DUMMYFUNCTION("""COMPUTED_VALUE"""),1)</f>
        <v>1</v>
      </c>
      <c r="K346" t="str">
        <f ca="1">IFERROR(__xludf.DUMMYFUNCTION("""COMPUTED_VALUE"""),"blank")</f>
        <v>blank</v>
      </c>
      <c r="L346">
        <f t="shared" ca="1" si="4"/>
        <v>0</v>
      </c>
      <c r="Q346" t="str">
        <f>IF(N346="","",SUMIFS(Issue!$D$3:$D1001,Issue!$C$3:$C1001,N346))</f>
        <v/>
      </c>
      <c r="S346" t="str">
        <f ca="1">IFERROR(__xludf.DUMMYFUNCTION("""COMPUTED_VALUE"""),"Tactile switch ")</f>
        <v xml:space="preserve">Tactile switch </v>
      </c>
      <c r="Y346" t="str">
        <f t="shared" si="5"/>
        <v/>
      </c>
      <c r="Z346" t="str">
        <f>IF(X346="","",SUMIFS(#REF!,RM!$C$4:$C991,X346))</f>
        <v/>
      </c>
      <c r="AA346" t="str">
        <f>IF(X346="","",SUMIFS(#REF!,RM!$C$4:$C991,X346))</f>
        <v/>
      </c>
      <c r="AB346" t="e">
        <f t="shared" si="6"/>
        <v>#VALUE!</v>
      </c>
      <c r="AC346" t="str">
        <f>IF(X346="","",VLOOKUP($X346,RM!$C$4:$G991,3,FALSE))</f>
        <v/>
      </c>
      <c r="AD346" t="str">
        <f>IF(X346="","",VLOOKUP($X346,RM!$C$4:$G991,4,FALSE))</f>
        <v/>
      </c>
      <c r="AE346" t="str">
        <f>IF(X346="","",VLOOKUP($X346,RM!$C$4:$G991,5,FALSE))</f>
        <v/>
      </c>
      <c r="AG346" t="str">
        <f ca="1">IFERROR(__xludf.DUMMYFUNCTION("""COMPUTED_VALUE"""),"PORT Unit Assy")</f>
        <v>PORT Unit Assy</v>
      </c>
      <c r="AH346" t="str">
        <f ca="1">IFERROR(__xludf.DUMMYFUNCTION("""COMPUTED_VALUE"""),"M4 Nyloc")</f>
        <v>M4 Nyloc</v>
      </c>
      <c r="AI346">
        <f ca="1">IFERROR(__xludf.DUMMYFUNCTION("""COMPUTED_VALUE"""),4)</f>
        <v>4</v>
      </c>
      <c r="AJ346" t="str">
        <f ca="1">IFERROR(__xludf.DUMMYFUNCTION("""COMPUTED_VALUE"""),"blank")</f>
        <v>blank</v>
      </c>
      <c r="AK346" t="e">
        <f ca="1">_xludf.IFNA(VLOOKUP(AG346,'S-FG'!$B$3:$B1001,1,FALSE),"")</f>
        <v>#NAME?</v>
      </c>
      <c r="AL346" t="e">
        <f ca="1">IF(AH346="","",SUMIFS(#REF!,RM!$C$4:$C991,AH346))</f>
        <v>#REF!</v>
      </c>
    </row>
    <row r="347" spans="5:38">
      <c r="E347" t="str">
        <f>IF(A347="","",SUMIFS(Issue!$D$3:$D1001,Issue!$C$3:$C1001,A347)*C347)</f>
        <v/>
      </c>
      <c r="F347" t="e">
        <f ca="1">_xludf.IFNA(VLOOKUP(B347,'S-FG'!$B$3:$B1001,1,FALSE),"")</f>
        <v>#NAME?</v>
      </c>
      <c r="H347" t="str">
        <f ca="1">IFERROR(__xludf.DUMMYFUNCTION("""COMPUTED_VALUE"""),"IP Remote Assy")</f>
        <v>IP Remote Assy</v>
      </c>
      <c r="I347" t="str">
        <f ca="1">IFERROR(__xludf.DUMMYFUNCTION("""COMPUTED_VALUE"""),"Black 14/38 Wire")</f>
        <v>Black 14/38 Wire</v>
      </c>
      <c r="J347">
        <f ca="1">IFERROR(__xludf.DUMMYFUNCTION("""COMPUTED_VALUE"""),0.2)</f>
        <v>0.2</v>
      </c>
      <c r="L347">
        <f t="shared" ca="1" si="4"/>
        <v>0</v>
      </c>
      <c r="Q347" t="str">
        <f>IF(N347="","",SUMIFS(Issue!$D$3:$D1001,Issue!$C$3:$C1001,N347))</f>
        <v/>
      </c>
      <c r="S347" t="str">
        <f ca="1">IFERROR(__xludf.DUMMYFUNCTION("""COMPUTED_VALUE"""),"R9M Antenna Extension wire RP-SMA to Open")</f>
        <v>R9M Antenna Extension wire RP-SMA to Open</v>
      </c>
      <c r="Y347" t="str">
        <f t="shared" si="5"/>
        <v/>
      </c>
      <c r="Z347" t="str">
        <f>IF(X347="","",SUMIFS(#REF!,RM!$C$4:$C991,X347))</f>
        <v/>
      </c>
      <c r="AA347" t="str">
        <f>IF(X347="","",SUMIFS(#REF!,RM!$C$4:$C991,X347))</f>
        <v/>
      </c>
      <c r="AB347" t="e">
        <f t="shared" si="6"/>
        <v>#VALUE!</v>
      </c>
      <c r="AC347" t="str">
        <f>IF(X347="","",VLOOKUP($X347,RM!$C$4:$G991,3,FALSE))</f>
        <v/>
      </c>
      <c r="AD347" t="str">
        <f>IF(X347="","",VLOOKUP($X347,RM!$C$4:$G991,4,FALSE))</f>
        <v/>
      </c>
      <c r="AE347" t="str">
        <f>IF(X347="","",VLOOKUP($X347,RM!$C$4:$G991,5,FALSE))</f>
        <v/>
      </c>
      <c r="AG347" t="str">
        <f ca="1">IFERROR(__xludf.DUMMYFUNCTION("""COMPUTED_VALUE"""),"PORT Unit Assy")</f>
        <v>PORT Unit Assy</v>
      </c>
      <c r="AH347" t="str">
        <f ca="1">IFERROR(__xludf.DUMMYFUNCTION("""COMPUTED_VALUE"""),"M4 Spring washer")</f>
        <v>M4 Spring washer</v>
      </c>
      <c r="AI347">
        <f ca="1">IFERROR(__xludf.DUMMYFUNCTION("""COMPUTED_VALUE"""),4)</f>
        <v>4</v>
      </c>
      <c r="AJ347" t="str">
        <f ca="1">IFERROR(__xludf.DUMMYFUNCTION("""COMPUTED_VALUE"""),"blank")</f>
        <v>blank</v>
      </c>
      <c r="AK347" t="e">
        <f ca="1">_xludf.IFNA(VLOOKUP(AG347,'S-FG'!$B$3:$B1001,1,FALSE),"")</f>
        <v>#NAME?</v>
      </c>
      <c r="AL347" t="e">
        <f ca="1">IF(AH347="","",SUMIFS(#REF!,RM!$C$4:$C991,AH347))</f>
        <v>#REF!</v>
      </c>
    </row>
    <row r="348" spans="5:38">
      <c r="E348" t="str">
        <f>IF(A348="","",SUMIFS(Issue!$D$3:$D1001,Issue!$C$3:$C1001,A348)*C348)</f>
        <v/>
      </c>
      <c r="F348" t="e">
        <f ca="1">_xludf.IFNA(VLOOKUP(B348,'S-FG'!$B$3:$B1001,1,FALSE),"")</f>
        <v>#NAME?</v>
      </c>
      <c r="H348" t="str">
        <f ca="1">IFERROR(__xludf.DUMMYFUNCTION("""COMPUTED_VALUE"""),"IP Remote Assy")</f>
        <v>IP Remote Assy</v>
      </c>
      <c r="I348" t="str">
        <f ca="1">IFERROR(__xludf.DUMMYFUNCTION("""COMPUTED_VALUE"""),"White 14/38 Wire")</f>
        <v>White 14/38 Wire</v>
      </c>
      <c r="J348">
        <f ca="1">IFERROR(__xludf.DUMMYFUNCTION("""COMPUTED_VALUE"""),0.2)</f>
        <v>0.2</v>
      </c>
      <c r="L348">
        <f t="shared" ca="1" si="4"/>
        <v>0</v>
      </c>
      <c r="Q348" t="str">
        <f>IF(N348="","",SUMIFS(Issue!$D$3:$D1001,Issue!$C$3:$C1001,N348))</f>
        <v/>
      </c>
      <c r="S348" t="str">
        <f ca="1">IFERROR(__xludf.DUMMYFUNCTION("""COMPUTED_VALUE"""),"Black 14/38 Wire")</f>
        <v>Black 14/38 Wire</v>
      </c>
      <c r="Y348" t="str">
        <f t="shared" si="5"/>
        <v/>
      </c>
      <c r="Z348" t="str">
        <f>IF(X348="","",SUMIFS(#REF!,RM!$C$4:$C991,X348))</f>
        <v/>
      </c>
      <c r="AA348" t="str">
        <f>IF(X348="","",SUMIFS(#REF!,RM!$C$4:$C991,X348))</f>
        <v/>
      </c>
      <c r="AB348" t="e">
        <f t="shared" si="6"/>
        <v>#VALUE!</v>
      </c>
      <c r="AC348" t="str">
        <f>IF(X348="","",VLOOKUP($X348,RM!$C$4:$G991,3,FALSE))</f>
        <v/>
      </c>
      <c r="AD348" t="str">
        <f>IF(X348="","",VLOOKUP($X348,RM!$C$4:$G991,4,FALSE))</f>
        <v/>
      </c>
      <c r="AE348" t="str">
        <f>IF(X348="","",VLOOKUP($X348,RM!$C$4:$G991,5,FALSE))</f>
        <v/>
      </c>
      <c r="AG348" t="str">
        <f ca="1">IFERROR(__xludf.DUMMYFUNCTION("""COMPUTED_VALUE"""),"PORT Unit Assy")</f>
        <v>PORT Unit Assy</v>
      </c>
      <c r="AH348" t="str">
        <f ca="1">IFERROR(__xludf.DUMMYFUNCTION("""COMPUTED_VALUE"""),"M4x12 plain washer")</f>
        <v>M4x12 plain washer</v>
      </c>
      <c r="AI348">
        <f ca="1">IFERROR(__xludf.DUMMYFUNCTION("""COMPUTED_VALUE"""),4)</f>
        <v>4</v>
      </c>
      <c r="AJ348" t="str">
        <f ca="1">IFERROR(__xludf.DUMMYFUNCTION("""COMPUTED_VALUE"""),"blank")</f>
        <v>blank</v>
      </c>
      <c r="AK348" t="e">
        <f ca="1">_xludf.IFNA(VLOOKUP(AG348,'S-FG'!$B$3:$B1001,1,FALSE),"")</f>
        <v>#NAME?</v>
      </c>
      <c r="AL348" t="e">
        <f ca="1">IF(AH348="","",SUMIFS(#REF!,RM!$C$4:$C991,AH348))</f>
        <v>#REF!</v>
      </c>
    </row>
    <row r="349" spans="5:38">
      <c r="E349" t="str">
        <f>IF(A349="","",SUMIFS(Issue!$D$3:$D1001,Issue!$C$3:$C1001,A349)*C349)</f>
        <v/>
      </c>
      <c r="F349" t="e">
        <f ca="1">_xludf.IFNA(VLOOKUP(B349,'S-FG'!$B$3:$B1001,1,FALSE),"")</f>
        <v>#NAME?</v>
      </c>
      <c r="H349" t="str">
        <f ca="1">IFERROR(__xludf.DUMMYFUNCTION("""COMPUTED_VALUE"""),"IP Remote Assy")</f>
        <v>IP Remote Assy</v>
      </c>
      <c r="I349" t="str">
        <f ca="1">IFERROR(__xludf.DUMMYFUNCTION("""COMPUTED_VALUE"""),"Sky Blue 14/38 Wire")</f>
        <v>Sky Blue 14/38 Wire</v>
      </c>
      <c r="J349">
        <f ca="1">IFERROR(__xludf.DUMMYFUNCTION("""COMPUTED_VALUE"""),0.2)</f>
        <v>0.2</v>
      </c>
      <c r="L349">
        <f t="shared" ca="1" si="4"/>
        <v>0</v>
      </c>
      <c r="Q349" t="str">
        <f>IF(N349="","",SUMIFS(Issue!$D$3:$D1001,Issue!$C$3:$C1001,N349))</f>
        <v/>
      </c>
      <c r="S349" t="str">
        <f ca="1">IFERROR(__xludf.DUMMYFUNCTION("""COMPUTED_VALUE"""),"White 14/38 Wire")</f>
        <v>White 14/38 Wire</v>
      </c>
      <c r="Y349" t="str">
        <f t="shared" si="5"/>
        <v/>
      </c>
      <c r="Z349" t="str">
        <f>IF(X349="","",SUMIFS(#REF!,RM!$C$4:$C991,X349))</f>
        <v/>
      </c>
      <c r="AA349" t="str">
        <f>IF(X349="","",SUMIFS(#REF!,RM!$C$4:$C991,X349))</f>
        <v/>
      </c>
      <c r="AB349" t="e">
        <f t="shared" si="6"/>
        <v>#VALUE!</v>
      </c>
      <c r="AC349" t="str">
        <f>IF(X349="","",VLOOKUP($X349,RM!$C$4:$G991,3,FALSE))</f>
        <v/>
      </c>
      <c r="AD349" t="str">
        <f>IF(X349="","",VLOOKUP($X349,RM!$C$4:$G991,4,FALSE))</f>
        <v/>
      </c>
      <c r="AE349" t="str">
        <f>IF(X349="","",VLOOKUP($X349,RM!$C$4:$G991,5,FALSE))</f>
        <v/>
      </c>
      <c r="AG349" t="str">
        <f ca="1">IFERROR(__xludf.DUMMYFUNCTION("""COMPUTED_VALUE"""),"PORT Unit Assy")</f>
        <v>PORT Unit Assy</v>
      </c>
      <c r="AH349" t="str">
        <f ca="1">IFERROR(__xludf.DUMMYFUNCTION("""COMPUTED_VALUE"""),"3mm Silicon Rubber Gaskets (35mmx10mm)")</f>
        <v>3mm Silicon Rubber Gaskets (35mmx10mm)</v>
      </c>
      <c r="AI349">
        <f ca="1">IFERROR(__xludf.DUMMYFUNCTION("""COMPUTED_VALUE"""),1)</f>
        <v>1</v>
      </c>
      <c r="AJ349" t="str">
        <f ca="1">IFERROR(__xludf.DUMMYFUNCTION("""COMPUTED_VALUE"""),"blank")</f>
        <v>blank</v>
      </c>
      <c r="AK349" t="e">
        <f ca="1">_xludf.IFNA(VLOOKUP(AG349,'S-FG'!$B$3:$B1001,1,FALSE),"")</f>
        <v>#NAME?</v>
      </c>
      <c r="AL349" t="e">
        <f ca="1">IF(AH349="","",SUMIFS(#REF!,RM!$C$4:$C991,AH349))</f>
        <v>#REF!</v>
      </c>
    </row>
    <row r="350" spans="5:38">
      <c r="E350" t="str">
        <f>IF(A350="","",SUMIFS(Issue!$D$3:$D1001,Issue!$C$3:$C1001,A350)*C350)</f>
        <v/>
      </c>
      <c r="F350" t="e">
        <f ca="1">_xludf.IFNA(VLOOKUP(B350,'S-FG'!$B$3:$B1001,1,FALSE),"")</f>
        <v>#NAME?</v>
      </c>
      <c r="H350" t="str">
        <f ca="1">IFERROR(__xludf.DUMMYFUNCTION("""COMPUTED_VALUE"""),"IP Remote Assy")</f>
        <v>IP Remote Assy</v>
      </c>
      <c r="I350" t="str">
        <f ca="1">IFERROR(__xludf.DUMMYFUNCTION("""COMPUTED_VALUE"""),"Red 14/38 wire")</f>
        <v>Red 14/38 wire</v>
      </c>
      <c r="J350">
        <f ca="1">IFERROR(__xludf.DUMMYFUNCTION("""COMPUTED_VALUE"""),0.2)</f>
        <v>0.2</v>
      </c>
      <c r="L350">
        <f t="shared" ca="1" si="4"/>
        <v>0</v>
      </c>
      <c r="Q350" t="str">
        <f>IF(N350="","",SUMIFS(Issue!$D$3:$D1001,Issue!$C$3:$C1001,N350))</f>
        <v/>
      </c>
      <c r="S350" t="str">
        <f ca="1">IFERROR(__xludf.DUMMYFUNCTION("""COMPUTED_VALUE"""),"Sky Blue 14/38 Wire")</f>
        <v>Sky Blue 14/38 Wire</v>
      </c>
      <c r="Y350" t="str">
        <f t="shared" si="5"/>
        <v/>
      </c>
      <c r="Z350" t="str">
        <f>IF(X350="","",SUMIFS(#REF!,RM!$C$4:$C991,X350))</f>
        <v/>
      </c>
      <c r="AA350" t="str">
        <f>IF(X350="","",SUMIFS(#REF!,RM!$C$4:$C991,X350))</f>
        <v/>
      </c>
      <c r="AB350" t="e">
        <f t="shared" si="6"/>
        <v>#VALUE!</v>
      </c>
      <c r="AC350" t="str">
        <f>IF(X350="","",VLOOKUP($X350,RM!$C$4:$G991,3,FALSE))</f>
        <v/>
      </c>
      <c r="AD350" t="str">
        <f>IF(X350="","",VLOOKUP($X350,RM!$C$4:$G991,4,FALSE))</f>
        <v/>
      </c>
      <c r="AE350" t="str">
        <f>IF(X350="","",VLOOKUP($X350,RM!$C$4:$G991,5,FALSE))</f>
        <v/>
      </c>
      <c r="AG350" t="str">
        <f ca="1">IFERROR(__xludf.DUMMYFUNCTION("""COMPUTED_VALUE"""),"PORT Unit Assy")</f>
        <v>PORT Unit Assy</v>
      </c>
      <c r="AH350" t="str">
        <f ca="1">IFERROR(__xludf.DUMMYFUNCTION("""COMPUTED_VALUE"""),"Jet Motor Assy")</f>
        <v>Jet Motor Assy</v>
      </c>
      <c r="AI350">
        <f ca="1">IFERROR(__xludf.DUMMYFUNCTION("""COMPUTED_VALUE"""),0)</f>
        <v>0</v>
      </c>
      <c r="AJ350" t="str">
        <f ca="1">IFERROR(__xludf.DUMMYFUNCTION("""COMPUTED_VALUE"""),"blank")</f>
        <v>blank</v>
      </c>
      <c r="AK350" t="e">
        <f ca="1">_xludf.IFNA(VLOOKUP(AG350,'S-FG'!$B$3:$B1001,1,FALSE),"")</f>
        <v>#NAME?</v>
      </c>
      <c r="AL350" t="e">
        <f ca="1">IF(AH350="","",SUMIFS(#REF!,RM!$C$4:$C991,AH350))</f>
        <v>#REF!</v>
      </c>
    </row>
    <row r="351" spans="5:38">
      <c r="E351" t="str">
        <f>IF(A351="","",SUMIFS(Issue!$D$3:$D1001,Issue!$C$3:$C1001,A351)*C351)</f>
        <v/>
      </c>
      <c r="F351" t="e">
        <f ca="1">_xludf.IFNA(VLOOKUP(B351,'S-FG'!$B$3:$B1001,1,FALSE),"")</f>
        <v>#NAME?</v>
      </c>
      <c r="H351" t="str">
        <f ca="1">IFERROR(__xludf.DUMMYFUNCTION("""COMPUTED_VALUE"""),"IP Remote Assy")</f>
        <v>IP Remote Assy</v>
      </c>
      <c r="I351" t="str">
        <f ca="1">IFERROR(__xludf.DUMMYFUNCTION("""COMPUTED_VALUE"""),"Yellow 14/38 Wire")</f>
        <v>Yellow 14/38 Wire</v>
      </c>
      <c r="J351">
        <f ca="1">IFERROR(__xludf.DUMMYFUNCTION("""COMPUTED_VALUE"""),0.2)</f>
        <v>0.2</v>
      </c>
      <c r="L351">
        <f t="shared" ca="1" si="4"/>
        <v>0</v>
      </c>
      <c r="Q351" t="str">
        <f>IF(N351="","",SUMIFS(Issue!$D$3:$D1001,Issue!$C$3:$C1001,N351))</f>
        <v/>
      </c>
      <c r="S351" t="str">
        <f ca="1">IFERROR(__xludf.DUMMYFUNCTION("""COMPUTED_VALUE"""),"Red 14/38 wire")</f>
        <v>Red 14/38 wire</v>
      </c>
      <c r="Y351" t="str">
        <f t="shared" si="5"/>
        <v/>
      </c>
      <c r="Z351" t="str">
        <f>IF(X351="","",SUMIFS(#REF!,RM!$C$4:$C991,X351))</f>
        <v/>
      </c>
      <c r="AA351" t="str">
        <f>IF(X351="","",SUMIFS(#REF!,RM!$C$4:$C991,X351))</f>
        <v/>
      </c>
      <c r="AB351" t="e">
        <f t="shared" si="6"/>
        <v>#VALUE!</v>
      </c>
      <c r="AC351" t="str">
        <f>IF(X351="","",VLOOKUP($X351,RM!$C$4:$G991,3,FALSE))</f>
        <v/>
      </c>
      <c r="AD351" t="str">
        <f>IF(X351="","",VLOOKUP($X351,RM!$C$4:$G991,4,FALSE))</f>
        <v/>
      </c>
      <c r="AE351" t="str">
        <f>IF(X351="","",VLOOKUP($X351,RM!$C$4:$G991,5,FALSE))</f>
        <v/>
      </c>
      <c r="AG351" t="str">
        <f ca="1">IFERROR(__xludf.DUMMYFUNCTION("""COMPUTED_VALUE"""),"PORT Unit Assy")</f>
        <v>PORT Unit Assy</v>
      </c>
      <c r="AH351" t="str">
        <f ca="1">IFERROR(__xludf.DUMMYFUNCTION("""COMPUTED_VALUE"""),"PORT_ESC Assy")</f>
        <v>PORT_ESC Assy</v>
      </c>
      <c r="AI351">
        <f ca="1">IFERROR(__xludf.DUMMYFUNCTION("""COMPUTED_VALUE"""),0)</f>
        <v>0</v>
      </c>
      <c r="AJ351" t="str">
        <f ca="1">IFERROR(__xludf.DUMMYFUNCTION("""COMPUTED_VALUE"""),"blank")</f>
        <v>blank</v>
      </c>
      <c r="AK351" t="e">
        <f ca="1">_xludf.IFNA(VLOOKUP(AG351,'S-FG'!$B$3:$B1001,1,FALSE),"")</f>
        <v>#NAME?</v>
      </c>
      <c r="AL351" t="e">
        <f ca="1">IF(AH351="","",SUMIFS(#REF!,RM!$C$4:$C991,AH351))</f>
        <v>#REF!</v>
      </c>
    </row>
    <row r="352" spans="5:38">
      <c r="E352" t="str">
        <f>IF(A352="","",SUMIFS(Issue!$D$3:$D1001,Issue!$C$3:$C1001,A352)*C352)</f>
        <v/>
      </c>
      <c r="F352" t="e">
        <f ca="1">_xludf.IFNA(VLOOKUP(B352,'S-FG'!$B$3:$B1001,1,FALSE),"")</f>
        <v>#NAME?</v>
      </c>
      <c r="H352" t="str">
        <f ca="1">IFERROR(__xludf.DUMMYFUNCTION("""COMPUTED_VALUE"""),"IP Remote Assy")</f>
        <v>IP Remote Assy</v>
      </c>
      <c r="I352" t="str">
        <f ca="1">IFERROR(__xludf.DUMMYFUNCTION("""COMPUTED_VALUE"""),"Orange 14/38 Wire")</f>
        <v>Orange 14/38 Wire</v>
      </c>
      <c r="J352">
        <f ca="1">IFERROR(__xludf.DUMMYFUNCTION("""COMPUTED_VALUE"""),0.2)</f>
        <v>0.2</v>
      </c>
      <c r="L352">
        <f t="shared" ca="1" si="4"/>
        <v>0</v>
      </c>
      <c r="Q352" t="str">
        <f>IF(N352="","",SUMIFS(Issue!$D$3:$D1001,Issue!$C$3:$C1001,N352))</f>
        <v/>
      </c>
      <c r="S352" t="str">
        <f ca="1">IFERROR(__xludf.DUMMYFUNCTION("""COMPUTED_VALUE"""),"Yellow 14/38 Wire")</f>
        <v>Yellow 14/38 Wire</v>
      </c>
      <c r="Y352" t="str">
        <f t="shared" si="5"/>
        <v/>
      </c>
      <c r="Z352" t="str">
        <f>IF(X352="","",SUMIFS(#REF!,RM!$C$4:$C991,X352))</f>
        <v/>
      </c>
      <c r="AA352" t="str">
        <f>IF(X352="","",SUMIFS(#REF!,RM!$C$4:$C991,X352))</f>
        <v/>
      </c>
      <c r="AB352" t="e">
        <f t="shared" si="6"/>
        <v>#VALUE!</v>
      </c>
      <c r="AC352" t="str">
        <f>IF(X352="","",VLOOKUP($X352,RM!$C$4:$G991,3,FALSE))</f>
        <v/>
      </c>
      <c r="AD352" t="str">
        <f>IF(X352="","",VLOOKUP($X352,RM!$C$4:$G991,4,FALSE))</f>
        <v/>
      </c>
      <c r="AE352" t="str">
        <f>IF(X352="","",VLOOKUP($X352,RM!$C$4:$G991,5,FALSE))</f>
        <v/>
      </c>
      <c r="AG352" t="str">
        <f ca="1">IFERROR(__xludf.DUMMYFUNCTION("""COMPUTED_VALUE"""),"PORT Unit Assy")</f>
        <v>PORT Unit Assy</v>
      </c>
      <c r="AH352" t="str">
        <f ca="1">IFERROR(__xludf.DUMMYFUNCTION("""COMPUTED_VALUE"""),"PORT Battery Assy")</f>
        <v>PORT Battery Assy</v>
      </c>
      <c r="AI352">
        <f ca="1">IFERROR(__xludf.DUMMYFUNCTION("""COMPUTED_VALUE"""),0)</f>
        <v>0</v>
      </c>
      <c r="AJ352" t="str">
        <f ca="1">IFERROR(__xludf.DUMMYFUNCTION("""COMPUTED_VALUE"""),"blank")</f>
        <v>blank</v>
      </c>
      <c r="AK352" t="e">
        <f ca="1">_xludf.IFNA(VLOOKUP(AG352,'S-FG'!$B$3:$B1001,1,FALSE),"")</f>
        <v>#NAME?</v>
      </c>
      <c r="AL352" t="e">
        <f ca="1">IF(AH352="","",SUMIFS(#REF!,RM!$C$4:$C991,AH352))</f>
        <v>#REF!</v>
      </c>
    </row>
    <row r="353" spans="5:38">
      <c r="E353" t="str">
        <f>IF(A353="","",SUMIFS(Issue!$D$3:$D1001,Issue!$C$3:$C1001,A353)*C353)</f>
        <v/>
      </c>
      <c r="F353" t="e">
        <f ca="1">_xludf.IFNA(VLOOKUP(B353,'S-FG'!$B$3:$B1001,1,FALSE),"")</f>
        <v>#NAME?</v>
      </c>
      <c r="H353" t="str">
        <f ca="1">IFERROR(__xludf.DUMMYFUNCTION("""COMPUTED_VALUE"""),"IP Remote Assy")</f>
        <v>IP Remote Assy</v>
      </c>
      <c r="I353" t="str">
        <f ca="1">IFERROR(__xludf.DUMMYFUNCTION("""COMPUTED_VALUE"""),"Green 14/38 Wire")</f>
        <v>Green 14/38 Wire</v>
      </c>
      <c r="J353">
        <f ca="1">IFERROR(__xludf.DUMMYFUNCTION("""COMPUTED_VALUE"""),0.2)</f>
        <v>0.2</v>
      </c>
      <c r="L353">
        <f t="shared" ca="1" si="4"/>
        <v>0</v>
      </c>
      <c r="Q353" t="str">
        <f>IF(N353="","",SUMIFS(Issue!$D$3:$D1001,Issue!$C$3:$C1001,N353))</f>
        <v/>
      </c>
      <c r="S353" t="str">
        <f ca="1">IFERROR(__xludf.DUMMYFUNCTION("""COMPUTED_VALUE"""),"Orange 14/38 Wire")</f>
        <v>Orange 14/38 Wire</v>
      </c>
      <c r="Y353" t="str">
        <f t="shared" si="5"/>
        <v/>
      </c>
      <c r="Z353" t="str">
        <f>IF(X353="","",SUMIFS(#REF!,RM!$C$4:$C991,X353))</f>
        <v/>
      </c>
      <c r="AA353" t="str">
        <f>IF(X353="","",SUMIFS(#REF!,RM!$C$4:$C991,X353))</f>
        <v/>
      </c>
      <c r="AB353" t="e">
        <f t="shared" si="6"/>
        <v>#VALUE!</v>
      </c>
      <c r="AC353" t="str">
        <f>IF(X353="","",VLOOKUP($X353,RM!$C$4:$G991,3,FALSE))</f>
        <v/>
      </c>
      <c r="AD353" t="str">
        <f>IF(X353="","",VLOOKUP($X353,RM!$C$4:$G991,4,FALSE))</f>
        <v/>
      </c>
      <c r="AE353" t="str">
        <f>IF(X353="","",VLOOKUP($X353,RM!$C$4:$G991,5,FALSE))</f>
        <v/>
      </c>
      <c r="AG353" t="str">
        <f ca="1">IFERROR(__xludf.DUMMYFUNCTION("""COMPUTED_VALUE"""),"PORT Unit Assy")</f>
        <v>PORT Unit Assy</v>
      </c>
      <c r="AH353" t="str">
        <f ca="1">IFERROR(__xludf.DUMMYFUNCTION("""COMPUTED_VALUE"""),"M4x20 CSK Phillips")</f>
        <v>M4x20 CSK Phillips</v>
      </c>
      <c r="AI353">
        <f ca="1">IFERROR(__xludf.DUMMYFUNCTION("""COMPUTED_VALUE"""),2)</f>
        <v>2</v>
      </c>
      <c r="AJ353" t="str">
        <f ca="1">IFERROR(__xludf.DUMMYFUNCTION("""COMPUTED_VALUE"""),"blank")</f>
        <v>blank</v>
      </c>
      <c r="AK353" t="e">
        <f ca="1">_xludf.IFNA(VLOOKUP(AG353,'S-FG'!$B$3:$B1001,1,FALSE),"")</f>
        <v>#NAME?</v>
      </c>
      <c r="AL353" t="e">
        <f ca="1">IF(AH353="","",SUMIFS(#REF!,RM!$C$4:$C991,AH353))</f>
        <v>#REF!</v>
      </c>
    </row>
    <row r="354" spans="5:38">
      <c r="E354" t="str">
        <f>IF(A354="","",SUMIFS(Issue!$D$3:$D1001,Issue!$C$3:$C1001,A354)*C354)</f>
        <v/>
      </c>
      <c r="F354" t="e">
        <f ca="1">_xludf.IFNA(VLOOKUP(B354,'S-FG'!$B$3:$B1001,1,FALSE),"")</f>
        <v>#NAME?</v>
      </c>
      <c r="H354" t="str">
        <f ca="1">IFERROR(__xludf.DUMMYFUNCTION("""COMPUTED_VALUE"""),"IP Remote Assy")</f>
        <v>IP Remote Assy</v>
      </c>
      <c r="I354" t="str">
        <f ca="1">IFERROR(__xludf.DUMMYFUNCTION("""COMPUTED_VALUE"""),"Purple 14/38 Wire")</f>
        <v>Purple 14/38 Wire</v>
      </c>
      <c r="J354">
        <f ca="1">IFERROR(__xludf.DUMMYFUNCTION("""COMPUTED_VALUE"""),0.2)</f>
        <v>0.2</v>
      </c>
      <c r="L354">
        <f t="shared" ca="1" si="4"/>
        <v>0</v>
      </c>
      <c r="Q354" t="str">
        <f>IF(N354="","",SUMIFS(Issue!$D$3:$D1001,Issue!$C$3:$C1001,N354))</f>
        <v/>
      </c>
      <c r="S354" t="str">
        <f ca="1">IFERROR(__xludf.DUMMYFUNCTION("""COMPUTED_VALUE"""),"Green 14/38 Wire")</f>
        <v>Green 14/38 Wire</v>
      </c>
      <c r="Y354" t="str">
        <f t="shared" si="5"/>
        <v/>
      </c>
      <c r="Z354" t="str">
        <f>IF(X354="","",SUMIFS(#REF!,RM!$C$4:$C991,X354))</f>
        <v/>
      </c>
      <c r="AA354" t="str">
        <f>IF(X354="","",SUMIFS(#REF!,RM!$C$4:$C991,X354))</f>
        <v/>
      </c>
      <c r="AB354" t="e">
        <f t="shared" si="6"/>
        <v>#VALUE!</v>
      </c>
      <c r="AC354" t="str">
        <f>IF(X354="","",VLOOKUP($X354,RM!$C$4:$G991,3,FALSE))</f>
        <v/>
      </c>
      <c r="AD354" t="str">
        <f>IF(X354="","",VLOOKUP($X354,RM!$C$4:$G991,4,FALSE))</f>
        <v/>
      </c>
      <c r="AE354" t="str">
        <f>IF(X354="","",VLOOKUP($X354,RM!$C$4:$G991,5,FALSE))</f>
        <v/>
      </c>
      <c r="AG354" t="str">
        <f ca="1">IFERROR(__xludf.DUMMYFUNCTION("""COMPUTED_VALUE"""),"Self Rightening Assy")</f>
        <v>Self Rightening Assy</v>
      </c>
      <c r="AH354" t="str">
        <f ca="1">IFERROR(__xludf.DUMMYFUNCTION("""COMPUTED_VALUE"""),"SR Structure")</f>
        <v>SR Structure</v>
      </c>
      <c r="AI354">
        <f ca="1">IFERROR(__xludf.DUMMYFUNCTION("""COMPUTED_VALUE"""),1)</f>
        <v>1</v>
      </c>
      <c r="AJ354" t="str">
        <f ca="1">IFERROR(__xludf.DUMMYFUNCTION("""COMPUTED_VALUE"""),"blank")</f>
        <v>blank</v>
      </c>
      <c r="AK354" t="e">
        <f ca="1">_xludf.IFNA(VLOOKUP(AG354,'S-FG'!$B$3:$B1001,1,FALSE),"")</f>
        <v>#NAME?</v>
      </c>
      <c r="AL354" t="e">
        <f ca="1">IF(AH354="","",SUMIFS(#REF!,RM!$C$4:$C991,AH354))</f>
        <v>#REF!</v>
      </c>
    </row>
    <row r="355" spans="5:38">
      <c r="E355" t="str">
        <f>IF(A355="","",SUMIFS(Issue!$D$3:$D1001,Issue!$C$3:$C1001,A355)*C355)</f>
        <v/>
      </c>
      <c r="F355" t="e">
        <f ca="1">_xludf.IFNA(VLOOKUP(B355,'S-FG'!$B$3:$B1001,1,FALSE),"")</f>
        <v>#NAME?</v>
      </c>
      <c r="H355" t="str">
        <f ca="1">IFERROR(__xludf.DUMMYFUNCTION("""COMPUTED_VALUE"""),"IP Remote Assy")</f>
        <v>IP Remote Assy</v>
      </c>
      <c r="I355" t="str">
        <f ca="1">IFERROR(__xludf.DUMMYFUNCTION("""COMPUTED_VALUE"""),"Brown 14/38 Wire")</f>
        <v>Brown 14/38 Wire</v>
      </c>
      <c r="J355">
        <f ca="1">IFERROR(__xludf.DUMMYFUNCTION("""COMPUTED_VALUE"""),0.2)</f>
        <v>0.2</v>
      </c>
      <c r="L355">
        <f t="shared" ca="1" si="4"/>
        <v>0</v>
      </c>
      <c r="Q355" t="str">
        <f>IF(N355="","",SUMIFS(Issue!$D$3:$D1001,Issue!$C$3:$C1001,N355))</f>
        <v/>
      </c>
      <c r="S355" t="str">
        <f ca="1">IFERROR(__xludf.DUMMYFUNCTION("""COMPUTED_VALUE"""),"Purple 14/38 Wire")</f>
        <v>Purple 14/38 Wire</v>
      </c>
      <c r="Y355" t="str">
        <f t="shared" si="5"/>
        <v/>
      </c>
      <c r="Z355" t="str">
        <f>IF(X355="","",SUMIFS(#REF!,RM!$C$4:$C991,X355))</f>
        <v/>
      </c>
      <c r="AA355" t="str">
        <f>IF(X355="","",SUMIFS(#REF!,RM!$C$4:$C991,X355))</f>
        <v/>
      </c>
      <c r="AB355" t="e">
        <f t="shared" si="6"/>
        <v>#VALUE!</v>
      </c>
      <c r="AC355" t="str">
        <f>IF(X355="","",VLOOKUP($X355,RM!$C$4:$G991,3,FALSE))</f>
        <v/>
      </c>
      <c r="AD355" t="str">
        <f>IF(X355="","",VLOOKUP($X355,RM!$C$4:$G991,4,FALSE))</f>
        <v/>
      </c>
      <c r="AE355" t="str">
        <f>IF(X355="","",VLOOKUP($X355,RM!$C$4:$G991,5,FALSE))</f>
        <v/>
      </c>
      <c r="AG355" t="str">
        <f ca="1">IFERROR(__xludf.DUMMYFUNCTION("""COMPUTED_VALUE"""),"Self Rightening Assy")</f>
        <v>Self Rightening Assy</v>
      </c>
      <c r="AH355" t="str">
        <f ca="1">IFERROR(__xludf.DUMMYFUNCTION("""COMPUTED_VALUE"""),"SR Pillow")</f>
        <v>SR Pillow</v>
      </c>
      <c r="AI355">
        <f ca="1">IFERROR(__xludf.DUMMYFUNCTION("""COMPUTED_VALUE"""),1)</f>
        <v>1</v>
      </c>
      <c r="AJ355" t="str">
        <f ca="1">IFERROR(__xludf.DUMMYFUNCTION("""COMPUTED_VALUE"""),"blank")</f>
        <v>blank</v>
      </c>
      <c r="AK355" t="e">
        <f ca="1">_xludf.IFNA(VLOOKUP(AG355,'S-FG'!$B$3:$B1001,1,FALSE),"")</f>
        <v>#NAME?</v>
      </c>
      <c r="AL355" t="e">
        <f ca="1">IF(AH355="","",SUMIFS(#REF!,RM!$C$4:$C991,AH355))</f>
        <v>#REF!</v>
      </c>
    </row>
    <row r="356" spans="5:38">
      <c r="E356" t="str">
        <f>IF(A356="","",SUMIFS(Issue!$D$3:$D1001,Issue!$C$3:$C1001,A356)*C356)</f>
        <v/>
      </c>
      <c r="F356" t="e">
        <f ca="1">_xludf.IFNA(VLOOKUP(B356,'S-FG'!$B$3:$B1001,1,FALSE),"")</f>
        <v>#NAME?</v>
      </c>
      <c r="H356" t="str">
        <f ca="1">IFERROR(__xludf.DUMMYFUNCTION("""COMPUTED_VALUE"""),"IP Remote Assy")</f>
        <v>IP Remote Assy</v>
      </c>
      <c r="I356" t="str">
        <f ca="1">IFERROR(__xludf.DUMMYFUNCTION("""COMPUTED_VALUE"""),"SA12 9pin PM Pushpull")</f>
        <v>SA12 9pin PM Pushpull</v>
      </c>
      <c r="J356">
        <f ca="1">IFERROR(__xludf.DUMMYFUNCTION("""COMPUTED_VALUE"""),1)</f>
        <v>1</v>
      </c>
      <c r="K356" t="str">
        <f ca="1">IFERROR(__xludf.DUMMYFUNCTION("""COMPUTED_VALUE"""),"blank")</f>
        <v>blank</v>
      </c>
      <c r="L356">
        <f t="shared" ca="1" si="4"/>
        <v>0</v>
      </c>
      <c r="Q356" t="str">
        <f>IF(N356="","",SUMIFS(Issue!$D$3:$D1001,Issue!$C$3:$C1001,N356))</f>
        <v/>
      </c>
      <c r="S356" t="str">
        <f ca="1">IFERROR(__xludf.DUMMYFUNCTION("""COMPUTED_VALUE"""),"Brown 14/38 Wire")</f>
        <v>Brown 14/38 Wire</v>
      </c>
      <c r="Y356" t="str">
        <f t="shared" si="5"/>
        <v/>
      </c>
      <c r="Z356" t="str">
        <f>IF(X356="","",SUMIFS(#REF!,RM!$C$4:$C991,X356))</f>
        <v/>
      </c>
      <c r="AA356" t="str">
        <f>IF(X356="","",SUMIFS(#REF!,RM!$C$4:$C991,X356))</f>
        <v/>
      </c>
      <c r="AB356" t="e">
        <f t="shared" si="6"/>
        <v>#VALUE!</v>
      </c>
      <c r="AC356" t="str">
        <f>IF(X356="","",VLOOKUP($X356,RM!$C$4:$G991,3,FALSE))</f>
        <v/>
      </c>
      <c r="AD356" t="str">
        <f>IF(X356="","",VLOOKUP($X356,RM!$C$4:$G991,4,FALSE))</f>
        <v/>
      </c>
      <c r="AE356" t="str">
        <f>IF(X356="","",VLOOKUP($X356,RM!$C$4:$G991,5,FALSE))</f>
        <v/>
      </c>
      <c r="AG356" t="str">
        <f ca="1">IFERROR(__xludf.DUMMYFUNCTION("""COMPUTED_VALUE"""),"Self Rightening Assy")</f>
        <v>Self Rightening Assy</v>
      </c>
      <c r="AH356" t="str">
        <f ca="1">IFERROR(__xludf.DUMMYFUNCTION("""COMPUTED_VALUE"""),"M6x50 Button head")</f>
        <v>M6x50 Button head</v>
      </c>
      <c r="AI356">
        <f ca="1">IFERROR(__xludf.DUMMYFUNCTION("""COMPUTED_VALUE"""),6)</f>
        <v>6</v>
      </c>
      <c r="AJ356" t="str">
        <f ca="1">IFERROR(__xludf.DUMMYFUNCTION("""COMPUTED_VALUE"""),"blank")</f>
        <v>blank</v>
      </c>
      <c r="AK356" t="e">
        <f ca="1">_xludf.IFNA(VLOOKUP(AG356,'S-FG'!$B$3:$B1001,1,FALSE),"")</f>
        <v>#NAME?</v>
      </c>
      <c r="AL356" t="e">
        <f ca="1">IF(AH356="","",SUMIFS(#REF!,RM!$C$4:$C991,AH356))</f>
        <v>#REF!</v>
      </c>
    </row>
    <row r="357" spans="5:38">
      <c r="E357" t="str">
        <f>IF(A357="","",SUMIFS(Issue!$D$3:$D1001,Issue!$C$3:$C1001,A357)*C357)</f>
        <v/>
      </c>
      <c r="F357" t="e">
        <f ca="1">_xludf.IFNA(VLOOKUP(B357,'S-FG'!$B$3:$B1001,1,FALSE),"")</f>
        <v>#NAME?</v>
      </c>
      <c r="H357" t="str">
        <f ca="1">IFERROR(__xludf.DUMMYFUNCTION("""COMPUTED_VALUE"""),"IP Remote Assy")</f>
        <v>IP Remote Assy</v>
      </c>
      <c r="I357" t="str">
        <f ca="1">IFERROR(__xludf.DUMMYFUNCTION("""COMPUTED_VALUE"""),"IP Remote Lower Shell")</f>
        <v>IP Remote Lower Shell</v>
      </c>
      <c r="J357">
        <f ca="1">IFERROR(__xludf.DUMMYFUNCTION("""COMPUTED_VALUE"""),1)</f>
        <v>1</v>
      </c>
      <c r="K357" t="str">
        <f ca="1">IFERROR(__xludf.DUMMYFUNCTION("""COMPUTED_VALUE"""),"blank")</f>
        <v>blank</v>
      </c>
      <c r="L357">
        <f t="shared" ca="1" si="4"/>
        <v>0</v>
      </c>
      <c r="Q357" t="str">
        <f>IF(N357="","",SUMIFS(Issue!$D$3:$D1001,Issue!$C$3:$C1001,N357))</f>
        <v/>
      </c>
      <c r="S357" t="str">
        <f ca="1">IFERROR(__xludf.DUMMYFUNCTION("""COMPUTED_VALUE"""),"SA12 9pin PM Pushpull")</f>
        <v>SA12 9pin PM Pushpull</v>
      </c>
      <c r="Y357" t="str">
        <f t="shared" si="5"/>
        <v/>
      </c>
      <c r="Z357" t="str">
        <f>IF(X357="","",SUMIFS(#REF!,RM!$C$4:$C991,X357))</f>
        <v/>
      </c>
      <c r="AA357" t="str">
        <f>IF(X357="","",SUMIFS(#REF!,RM!$C$4:$C991,X357))</f>
        <v/>
      </c>
      <c r="AB357" t="e">
        <f t="shared" si="6"/>
        <v>#VALUE!</v>
      </c>
      <c r="AC357" t="str">
        <f>IF(X357="","",VLOOKUP($X357,RM!$C$4:$G991,3,FALSE))</f>
        <v/>
      </c>
      <c r="AD357" t="str">
        <f>IF(X357="","",VLOOKUP($X357,RM!$C$4:$G991,4,FALSE))</f>
        <v/>
      </c>
      <c r="AE357" t="str">
        <f>IF(X357="","",VLOOKUP($X357,RM!$C$4:$G991,5,FALSE))</f>
        <v/>
      </c>
      <c r="AG357" t="str">
        <f ca="1">IFERROR(__xludf.DUMMYFUNCTION("""COMPUTED_VALUE"""),"Self Rightening Assy")</f>
        <v>Self Rightening Assy</v>
      </c>
      <c r="AH357" t="str">
        <f ca="1">IFERROR(__xludf.DUMMYFUNCTION("""COMPUTED_VALUE"""),"M6 Spring washer (SR structure clamping)")</f>
        <v>M6 Spring washer (SR structure clamping)</v>
      </c>
      <c r="AI357">
        <f ca="1">IFERROR(__xludf.DUMMYFUNCTION("""COMPUTED_VALUE"""),6)</f>
        <v>6</v>
      </c>
      <c r="AJ357" t="str">
        <f ca="1">IFERROR(__xludf.DUMMYFUNCTION("""COMPUTED_VALUE"""),"blank")</f>
        <v>blank</v>
      </c>
      <c r="AK357" t="e">
        <f ca="1">_xludf.IFNA(VLOOKUP(AG357,'S-FG'!$B$3:$B1001,1,FALSE),"")</f>
        <v>#NAME?</v>
      </c>
      <c r="AL357" t="e">
        <f ca="1">IF(AH357="","",SUMIFS(#REF!,RM!$C$4:$C991,AH357))</f>
        <v>#REF!</v>
      </c>
    </row>
    <row r="358" spans="5:38">
      <c r="E358" t="str">
        <f>IF(A358="","",SUMIFS(Issue!$D$3:$D1001,Issue!$C$3:$C1001,A358)*C358)</f>
        <v/>
      </c>
      <c r="F358" t="e">
        <f ca="1">_xludf.IFNA(VLOOKUP(B358,'S-FG'!$B$3:$B1001,1,FALSE),"")</f>
        <v>#NAME?</v>
      </c>
      <c r="H358" t="str">
        <f ca="1">IFERROR(__xludf.DUMMYFUNCTION("""COMPUTED_VALUE"""),"IP Remote Assy")</f>
        <v>IP Remote Assy</v>
      </c>
      <c r="I358" t="str">
        <f ca="1">IFERROR(__xludf.DUMMYFUNCTION("""COMPUTED_VALUE"""),"IP Remote Upper Shell")</f>
        <v>IP Remote Upper Shell</v>
      </c>
      <c r="J358">
        <f ca="1">IFERROR(__xludf.DUMMYFUNCTION("""COMPUTED_VALUE"""),1)</f>
        <v>1</v>
      </c>
      <c r="K358" t="str">
        <f ca="1">IFERROR(__xludf.DUMMYFUNCTION("""COMPUTED_VALUE"""),"blank")</f>
        <v>blank</v>
      </c>
      <c r="L358">
        <f t="shared" ca="1" si="4"/>
        <v>0</v>
      </c>
      <c r="Q358" t="str">
        <f>IF(N358="","",SUMIFS(Issue!$D$3:$D1001,Issue!$C$3:$C1001,N358))</f>
        <v/>
      </c>
      <c r="S358" t="str">
        <f ca="1">IFERROR(__xludf.DUMMYFUNCTION("""COMPUTED_VALUE"""),"IP Remote Lower Shell")</f>
        <v>IP Remote Lower Shell</v>
      </c>
      <c r="Y358" t="str">
        <f t="shared" si="5"/>
        <v/>
      </c>
      <c r="Z358" t="str">
        <f>IF(X358="","",SUMIFS(#REF!,RM!$C$4:$C991,X358))</f>
        <v/>
      </c>
      <c r="AA358" t="str">
        <f>IF(X358="","",SUMIFS(#REF!,RM!$C$4:$C991,X358))</f>
        <v/>
      </c>
      <c r="AB358" t="e">
        <f t="shared" si="6"/>
        <v>#VALUE!</v>
      </c>
      <c r="AC358" t="str">
        <f>IF(X358="","",VLOOKUP($X358,RM!$C$4:$G991,3,FALSE))</f>
        <v/>
      </c>
      <c r="AD358" t="str">
        <f>IF(X358="","",VLOOKUP($X358,RM!$C$4:$G991,4,FALSE))</f>
        <v/>
      </c>
      <c r="AE358" t="str">
        <f>IF(X358="","",VLOOKUP($X358,RM!$C$4:$G991,5,FALSE))</f>
        <v/>
      </c>
      <c r="AG358" t="str">
        <f ca="1">IFERROR(__xludf.DUMMYFUNCTION("""COMPUTED_VALUE"""),"Self Rightening Assy")</f>
        <v>Self Rightening Assy</v>
      </c>
      <c r="AH358" t="str">
        <f ca="1">IFERROR(__xludf.DUMMYFUNCTION("""COMPUTED_VALUE"""),"M6x20 Plain washer (SR structure clamping)")</f>
        <v>M6x20 Plain washer (SR structure clamping)</v>
      </c>
      <c r="AI358">
        <f ca="1">IFERROR(__xludf.DUMMYFUNCTION("""COMPUTED_VALUE"""),22)</f>
        <v>22</v>
      </c>
      <c r="AJ358" t="str">
        <f ca="1">IFERROR(__xludf.DUMMYFUNCTION("""COMPUTED_VALUE"""),"blank")</f>
        <v>blank</v>
      </c>
      <c r="AK358" t="e">
        <f ca="1">_xludf.IFNA(VLOOKUP(AG358,'S-FG'!$B$3:$B1001,1,FALSE),"")</f>
        <v>#NAME?</v>
      </c>
      <c r="AL358" t="e">
        <f ca="1">IF(AH358="","",SUMIFS(#REF!,RM!$C$4:$C991,AH358))</f>
        <v>#REF!</v>
      </c>
    </row>
    <row r="359" spans="5:38">
      <c r="E359" t="str">
        <f>IF(A359="","",SUMIFS(Issue!$D$3:$D1001,Issue!$C$3:$C1001,A359)*C359)</f>
        <v/>
      </c>
      <c r="F359" t="e">
        <f ca="1">_xludf.IFNA(VLOOKUP(B359,'S-FG'!$B$3:$B1001,1,FALSE),"")</f>
        <v>#NAME?</v>
      </c>
      <c r="H359" t="str">
        <f ca="1">IFERROR(__xludf.DUMMYFUNCTION("""COMPUTED_VALUE"""),"IP Remote Assy")</f>
        <v>IP Remote Assy</v>
      </c>
      <c r="I359" t="str">
        <f ca="1">IFERROR(__xludf.DUMMYFUNCTION("""COMPUTED_VALUE"""),"PU Gasket Remote Lower Shell")</f>
        <v>PU Gasket Remote Lower Shell</v>
      </c>
      <c r="J359">
        <f ca="1">IFERROR(__xludf.DUMMYFUNCTION("""COMPUTED_VALUE"""),1)</f>
        <v>1</v>
      </c>
      <c r="K359" t="str">
        <f ca="1">IFERROR(__xludf.DUMMYFUNCTION("""COMPUTED_VALUE"""),"blank")</f>
        <v>blank</v>
      </c>
      <c r="L359">
        <f t="shared" ca="1" si="4"/>
        <v>0</v>
      </c>
      <c r="Q359" t="str">
        <f>IF(N359="","",SUMIFS(Issue!$D$3:$D1001,Issue!$C$3:$C1001,N359))</f>
        <v/>
      </c>
      <c r="S359" t="str">
        <f ca="1">IFERROR(__xludf.DUMMYFUNCTION("""COMPUTED_VALUE"""),"IP Remote Upper Shell")</f>
        <v>IP Remote Upper Shell</v>
      </c>
      <c r="Y359" t="str">
        <f t="shared" si="5"/>
        <v/>
      </c>
      <c r="Z359" t="str">
        <f>IF(X359="","",SUMIFS(#REF!,RM!$C$4:$C991,X359))</f>
        <v/>
      </c>
      <c r="AA359" t="str">
        <f>IF(X359="","",SUMIFS(#REF!,RM!$C$4:$C991,X359))</f>
        <v/>
      </c>
      <c r="AB359" t="e">
        <f t="shared" si="6"/>
        <v>#VALUE!</v>
      </c>
      <c r="AC359" t="str">
        <f>IF(X359="","",VLOOKUP($X359,RM!$C$4:$G991,3,FALSE))</f>
        <v/>
      </c>
      <c r="AD359" t="str">
        <f>IF(X359="","",VLOOKUP($X359,RM!$C$4:$G991,4,FALSE))</f>
        <v/>
      </c>
      <c r="AE359" t="str">
        <f>IF(X359="","",VLOOKUP($X359,RM!$C$4:$G991,5,FALSE))</f>
        <v/>
      </c>
      <c r="AG359" t="str">
        <f ca="1">IFERROR(__xludf.DUMMYFUNCTION("""COMPUTED_VALUE"""),"Self Rightening Assy")</f>
        <v>Self Rightening Assy</v>
      </c>
      <c r="AH359" t="str">
        <f ca="1">IFERROR(__xludf.DUMMYFUNCTION("""COMPUTED_VALUE"""),"M6 Dome NUT SS (SR structure Clamping)")</f>
        <v>M6 Dome NUT SS (SR structure Clamping)</v>
      </c>
      <c r="AI359">
        <f ca="1">IFERROR(__xludf.DUMMYFUNCTION("""COMPUTED_VALUE"""),6)</f>
        <v>6</v>
      </c>
      <c r="AJ359" t="str">
        <f ca="1">IFERROR(__xludf.DUMMYFUNCTION("""COMPUTED_VALUE"""),"blank")</f>
        <v>blank</v>
      </c>
      <c r="AK359" t="e">
        <f ca="1">_xludf.IFNA(VLOOKUP(AG359,'S-FG'!$B$3:$B1001,1,FALSE),"")</f>
        <v>#NAME?</v>
      </c>
      <c r="AL359" t="e">
        <f ca="1">IF(AH359="","",SUMIFS(#REF!,RM!$C$4:$C991,AH359))</f>
        <v>#REF!</v>
      </c>
    </row>
    <row r="360" spans="5:38">
      <c r="E360" t="str">
        <f>IF(A360="","",SUMIFS(Issue!$D$3:$D1001,Issue!$C$3:$C1001,A360)*C360)</f>
        <v/>
      </c>
      <c r="F360" t="e">
        <f ca="1">_xludf.IFNA(VLOOKUP(B360,'S-FG'!$B$3:$B1001,1,FALSE),"")</f>
        <v>#NAME?</v>
      </c>
      <c r="H360" t="str">
        <f ca="1">IFERROR(__xludf.DUMMYFUNCTION("""COMPUTED_VALUE"""),"IP Remote Assy")</f>
        <v>IP Remote Assy</v>
      </c>
      <c r="I360" t="str">
        <f ca="1">IFERROR(__xludf.DUMMYFUNCTION("""COMPUTED_VALUE"""),"Teroson MS930")</f>
        <v>Teroson MS930</v>
      </c>
      <c r="J360">
        <f ca="1">IFERROR(__xludf.DUMMYFUNCTION("""COMPUTED_VALUE"""),20)</f>
        <v>20</v>
      </c>
      <c r="K360" t="str">
        <f ca="1">IFERROR(__xludf.DUMMYFUNCTION("""COMPUTED_VALUE"""),"blank")</f>
        <v>blank</v>
      </c>
      <c r="L360">
        <f t="shared" ca="1" si="4"/>
        <v>0</v>
      </c>
      <c r="Q360" t="str">
        <f>IF(N360="","",SUMIFS(Issue!$D$3:$D1001,Issue!$C$3:$C1001,N360))</f>
        <v/>
      </c>
      <c r="S360" t="str">
        <f ca="1">IFERROR(__xludf.DUMMYFUNCTION("""COMPUTED_VALUE"""),"PU Gasket Remote Lower Shell")</f>
        <v>PU Gasket Remote Lower Shell</v>
      </c>
      <c r="Y360" t="str">
        <f t="shared" si="5"/>
        <v/>
      </c>
      <c r="Z360" t="str">
        <f>IF(X360="","",SUMIFS(#REF!,RM!$C$4:$C991,X360))</f>
        <v/>
      </c>
      <c r="AA360" t="str">
        <f>IF(X360="","",SUMIFS(#REF!,RM!$C$4:$C991,X360))</f>
        <v/>
      </c>
      <c r="AB360" t="e">
        <f t="shared" si="6"/>
        <v>#VALUE!</v>
      </c>
      <c r="AC360" t="str">
        <f>IF(X360="","",VLOOKUP($X360,RM!$C$4:$G991,3,FALSE))</f>
        <v/>
      </c>
      <c r="AD360" t="str">
        <f>IF(X360="","",VLOOKUP($X360,RM!$C$4:$G991,4,FALSE))</f>
        <v/>
      </c>
      <c r="AE360" t="str">
        <f>IF(X360="","",VLOOKUP($X360,RM!$C$4:$G991,5,FALSE))</f>
        <v/>
      </c>
      <c r="AG360" t="str">
        <f ca="1">IFERROR(__xludf.DUMMYFUNCTION("""COMPUTED_VALUE"""),"Self Rightening Assy")</f>
        <v>Self Rightening Assy</v>
      </c>
      <c r="AH360" t="str">
        <f ca="1">IFERROR(__xludf.DUMMYFUNCTION("""COMPUTED_VALUE"""),"Teroson MS930")</f>
        <v>Teroson MS930</v>
      </c>
      <c r="AI360">
        <f ca="1">IFERROR(__xludf.DUMMYFUNCTION("""COMPUTED_VALUE"""),20)</f>
        <v>20</v>
      </c>
      <c r="AJ360" t="str">
        <f ca="1">IFERROR(__xludf.DUMMYFUNCTION("""COMPUTED_VALUE"""),"blank")</f>
        <v>blank</v>
      </c>
      <c r="AK360" t="e">
        <f ca="1">_xludf.IFNA(VLOOKUP(AG360,'S-FG'!$B$3:$B1001,1,FALSE),"")</f>
        <v>#NAME?</v>
      </c>
      <c r="AL360" t="e">
        <f ca="1">IF(AH360="","",SUMIFS(#REF!,RM!$C$4:$C991,AH360))</f>
        <v>#REF!</v>
      </c>
    </row>
    <row r="361" spans="5:38">
      <c r="E361" t="str">
        <f>IF(A361="","",SUMIFS(Issue!$D$3:$D1001,Issue!$C$3:$C1001,A361)*C361)</f>
        <v/>
      </c>
      <c r="F361" t="e">
        <f ca="1">_xludf.IFNA(VLOOKUP(B361,'S-FG'!$B$3:$B1001,1,FALSE),"")</f>
        <v>#NAME?</v>
      </c>
      <c r="H361" t="str">
        <f ca="1">IFERROR(__xludf.DUMMYFUNCTION("""COMPUTED_VALUE"""),"IP Remote Assy")</f>
        <v>IP Remote Assy</v>
      </c>
      <c r="I361" t="str">
        <f ca="1">IFERROR(__xludf.DUMMYFUNCTION("""COMPUTED_VALUE"""),"Button Spacer No. 1")</f>
        <v>Button Spacer No. 1</v>
      </c>
      <c r="J361">
        <f ca="1">IFERROR(__xludf.DUMMYFUNCTION("""COMPUTED_VALUE"""),2)</f>
        <v>2</v>
      </c>
      <c r="K361" t="str">
        <f ca="1">IFERROR(__xludf.DUMMYFUNCTION("""COMPUTED_VALUE"""),"blank")</f>
        <v>blank</v>
      </c>
      <c r="L361">
        <f t="shared" ca="1" si="4"/>
        <v>0</v>
      </c>
      <c r="Q361" t="str">
        <f>IF(N361="","",SUMIFS(Issue!$D$3:$D1001,Issue!$C$3:$C1001,N361))</f>
        <v/>
      </c>
      <c r="S361" t="str">
        <f ca="1">IFERROR(__xludf.DUMMYFUNCTION("""COMPUTED_VALUE"""),"Teroson MS930")</f>
        <v>Teroson MS930</v>
      </c>
      <c r="Y361" t="str">
        <f t="shared" si="5"/>
        <v/>
      </c>
      <c r="Z361" t="str">
        <f>IF(X361="","",SUMIFS(#REF!,RM!$C$4:$C991,X361))</f>
        <v/>
      </c>
      <c r="AA361" t="str">
        <f>IF(X361="","",SUMIFS(#REF!,RM!$C$4:$C991,X361))</f>
        <v/>
      </c>
      <c r="AB361" t="e">
        <f t="shared" si="6"/>
        <v>#VALUE!</v>
      </c>
      <c r="AC361" t="str">
        <f>IF(X361="","",VLOOKUP($X361,RM!$C$4:$G991,3,FALSE))</f>
        <v/>
      </c>
      <c r="AD361" t="str">
        <f>IF(X361="","",VLOOKUP($X361,RM!$C$4:$G991,4,FALSE))</f>
        <v/>
      </c>
      <c r="AE361" t="str">
        <f>IF(X361="","",VLOOKUP($X361,RM!$C$4:$G991,5,FALSE))</f>
        <v/>
      </c>
      <c r="AG361" t="str">
        <f ca="1">IFERROR(__xludf.DUMMYFUNCTION("""COMPUTED_VALUE"""),"Self Rightening Assy")</f>
        <v>Self Rightening Assy</v>
      </c>
      <c r="AH361" t="str">
        <f ca="1">IFERROR(__xludf.DUMMYFUNCTION("""COMPUTED_VALUE"""),"3D printed SR Pillow Side Caps")</f>
        <v>3D printed SR Pillow Side Caps</v>
      </c>
      <c r="AI361">
        <f ca="1">IFERROR(__xludf.DUMMYFUNCTION("""COMPUTED_VALUE"""),4)</f>
        <v>4</v>
      </c>
      <c r="AJ361" t="str">
        <f ca="1">IFERROR(__xludf.DUMMYFUNCTION("""COMPUTED_VALUE"""),"blank")</f>
        <v>blank</v>
      </c>
      <c r="AK361" t="e">
        <f ca="1">_xludf.IFNA(VLOOKUP(AG361,'S-FG'!$B$3:$B1001,1,FALSE),"")</f>
        <v>#NAME?</v>
      </c>
      <c r="AL361" t="e">
        <f ca="1">IF(AH361="","",SUMIFS(#REF!,RM!$C$4:$C991,AH361))</f>
        <v>#REF!</v>
      </c>
    </row>
    <row r="362" spans="5:38">
      <c r="E362" t="str">
        <f>IF(A362="","",SUMIFS(Issue!$D$3:$D1001,Issue!$C$3:$C1001,A362)*C362)</f>
        <v/>
      </c>
      <c r="F362" t="e">
        <f ca="1">_xludf.IFNA(VLOOKUP(B362,'S-FG'!$B$3:$B1001,1,FALSE),"")</f>
        <v>#NAME?</v>
      </c>
      <c r="H362" t="str">
        <f ca="1">IFERROR(__xludf.DUMMYFUNCTION("""COMPUTED_VALUE"""),"IP Remote Assy")</f>
        <v>IP Remote Assy</v>
      </c>
      <c r="I362" t="str">
        <f ca="1">IFERROR(__xludf.DUMMYFUNCTION("""COMPUTED_VALUE"""),"Button Spacer No. 2")</f>
        <v>Button Spacer No. 2</v>
      </c>
      <c r="J362">
        <f ca="1">IFERROR(__xludf.DUMMYFUNCTION("""COMPUTED_VALUE"""),2)</f>
        <v>2</v>
      </c>
      <c r="K362" t="str">
        <f ca="1">IFERROR(__xludf.DUMMYFUNCTION("""COMPUTED_VALUE"""),"blank")</f>
        <v>blank</v>
      </c>
      <c r="L362">
        <f t="shared" ca="1" si="4"/>
        <v>0</v>
      </c>
      <c r="Q362" t="str">
        <f>IF(N362="","",SUMIFS(Issue!$D$3:$D1001,Issue!$C$3:$C1001,N362))</f>
        <v/>
      </c>
      <c r="S362" t="str">
        <f ca="1">IFERROR(__xludf.DUMMYFUNCTION("""COMPUTED_VALUE"""),"Button Spacer No. 1")</f>
        <v>Button Spacer No. 1</v>
      </c>
      <c r="Y362" t="str">
        <f t="shared" si="5"/>
        <v/>
      </c>
      <c r="Z362" t="str">
        <f>IF(X362="","",SUMIFS(#REF!,RM!$C$4:$C991,X362))</f>
        <v/>
      </c>
      <c r="AA362" t="str">
        <f>IF(X362="","",SUMIFS(#REF!,RM!$C$4:$C991,X362))</f>
        <v/>
      </c>
      <c r="AB362" t="e">
        <f t="shared" si="6"/>
        <v>#VALUE!</v>
      </c>
      <c r="AC362" t="str">
        <f>IF(X362="","",VLOOKUP($X362,RM!$C$4:$G991,3,FALSE))</f>
        <v/>
      </c>
      <c r="AD362" t="str">
        <f>IF(X362="","",VLOOKUP($X362,RM!$C$4:$G991,4,FALSE))</f>
        <v/>
      </c>
      <c r="AE362" t="str">
        <f>IF(X362="","",VLOOKUP($X362,RM!$C$4:$G991,5,FALSE))</f>
        <v/>
      </c>
      <c r="AG362" t="str">
        <f ca="1">IFERROR(__xludf.DUMMYFUNCTION("""COMPUTED_VALUE"""),"Self Rightening Assy")</f>
        <v>Self Rightening Assy</v>
      </c>
      <c r="AH362" t="str">
        <f ca="1">IFERROR(__xludf.DUMMYFUNCTION("""COMPUTED_VALUE"""),"3D printed SR Pillow Middle Caps")</f>
        <v>3D printed SR Pillow Middle Caps</v>
      </c>
      <c r="AI362">
        <f ca="1">IFERROR(__xludf.DUMMYFUNCTION("""COMPUTED_VALUE"""),2)</f>
        <v>2</v>
      </c>
      <c r="AJ362" t="str">
        <f ca="1">IFERROR(__xludf.DUMMYFUNCTION("""COMPUTED_VALUE"""),"blank")</f>
        <v>blank</v>
      </c>
      <c r="AK362" t="e">
        <f ca="1">_xludf.IFNA(VLOOKUP(AG362,'S-FG'!$B$3:$B1001,1,FALSE),"")</f>
        <v>#NAME?</v>
      </c>
      <c r="AL362" t="e">
        <f ca="1">IF(AH362="","",SUMIFS(#REF!,RM!$C$4:$C991,AH362))</f>
        <v>#REF!</v>
      </c>
    </row>
    <row r="363" spans="5:38">
      <c r="E363" t="str">
        <f>IF(A363="","",SUMIFS(Issue!$D$3:$D1001,Issue!$C$3:$C1001,A363)*C363)</f>
        <v/>
      </c>
      <c r="F363" t="e">
        <f ca="1">_xludf.IFNA(VLOOKUP(B363,'S-FG'!$B$3:$B1001,1,FALSE),"")</f>
        <v>#NAME?</v>
      </c>
      <c r="H363" t="str">
        <f ca="1">IFERROR(__xludf.DUMMYFUNCTION("""COMPUTED_VALUE"""),"IP Remote Assy")</f>
        <v>IP Remote Assy</v>
      </c>
      <c r="I363" t="str">
        <f ca="1">IFERROR(__xludf.DUMMYFUNCTION("""COMPUTED_VALUE"""),"Button No. 1 pressure bracket")</f>
        <v>Button No. 1 pressure bracket</v>
      </c>
      <c r="J363">
        <f ca="1">IFERROR(__xludf.DUMMYFUNCTION("""COMPUTED_VALUE"""),2)</f>
        <v>2</v>
      </c>
      <c r="K363" t="str">
        <f ca="1">IFERROR(__xludf.DUMMYFUNCTION("""COMPUTED_VALUE"""),"blank")</f>
        <v>blank</v>
      </c>
      <c r="L363">
        <f t="shared" ca="1" si="4"/>
        <v>0</v>
      </c>
      <c r="Q363" t="str">
        <f>IF(N363="","",SUMIFS(Issue!$D$3:$D1001,Issue!$C$3:$C1001,N363))</f>
        <v/>
      </c>
      <c r="S363" t="str">
        <f ca="1">IFERROR(__xludf.DUMMYFUNCTION("""COMPUTED_VALUE"""),"Button Spacer No. 2")</f>
        <v>Button Spacer No. 2</v>
      </c>
      <c r="Y363" t="str">
        <f t="shared" si="5"/>
        <v/>
      </c>
      <c r="Z363" t="str">
        <f>IF(X363="","",SUMIFS(#REF!,RM!$C$4:$C991,X363))</f>
        <v/>
      </c>
      <c r="AA363" t="str">
        <f>IF(X363="","",SUMIFS(#REF!,RM!$C$4:$C991,X363))</f>
        <v/>
      </c>
      <c r="AB363" t="e">
        <f t="shared" si="6"/>
        <v>#VALUE!</v>
      </c>
      <c r="AC363" t="str">
        <f>IF(X363="","",VLOOKUP($X363,RM!$C$4:$G991,3,FALSE))</f>
        <v/>
      </c>
      <c r="AD363" t="str">
        <f>IF(X363="","",VLOOKUP($X363,RM!$C$4:$G991,4,FALSE))</f>
        <v/>
      </c>
      <c r="AE363" t="str">
        <f>IF(X363="","",VLOOKUP($X363,RM!$C$4:$G991,5,FALSE))</f>
        <v/>
      </c>
      <c r="AG363" t="str">
        <f ca="1">IFERROR(__xludf.DUMMYFUNCTION("""COMPUTED_VALUE"""),"Self Rightening Assy")</f>
        <v>Self Rightening Assy</v>
      </c>
      <c r="AH363" t="str">
        <f ca="1">IFERROR(__xludf.DUMMYFUNCTION("""COMPUTED_VALUE"""),"6mmx12mm Rubber Bush")</f>
        <v>6mmx12mm Rubber Bush</v>
      </c>
      <c r="AI363">
        <f ca="1">IFERROR(__xludf.DUMMYFUNCTION("""COMPUTED_VALUE"""),0.15)</f>
        <v>0.15</v>
      </c>
      <c r="AJ363" t="str">
        <f ca="1">IFERROR(__xludf.DUMMYFUNCTION("""COMPUTED_VALUE"""),"blank")</f>
        <v>blank</v>
      </c>
      <c r="AK363" t="e">
        <f ca="1">_xludf.IFNA(VLOOKUP(AG363,'S-FG'!$B$3:$B1001,1,FALSE),"")</f>
        <v>#NAME?</v>
      </c>
      <c r="AL363" t="e">
        <f ca="1">IF(AH363="","",SUMIFS(#REF!,RM!$C$4:$C991,AH363))</f>
        <v>#REF!</v>
      </c>
    </row>
    <row r="364" spans="5:38">
      <c r="E364" t="str">
        <f>IF(A364="","",SUMIFS(Issue!$D$3:$D1001,Issue!$C$3:$C1001,A364)*C364)</f>
        <v/>
      </c>
      <c r="F364" t="e">
        <f ca="1">_xludf.IFNA(VLOOKUP(B364,'S-FG'!$B$3:$B1001,1,FALSE),"")</f>
        <v>#NAME?</v>
      </c>
      <c r="H364" t="str">
        <f ca="1">IFERROR(__xludf.DUMMYFUNCTION("""COMPUTED_VALUE"""),"IP Remote Assy")</f>
        <v>IP Remote Assy</v>
      </c>
      <c r="I364" t="str">
        <f ca="1">IFERROR(__xludf.DUMMYFUNCTION("""COMPUTED_VALUE"""),"Remote Battery Holding Bracket")</f>
        <v>Remote Battery Holding Bracket</v>
      </c>
      <c r="J364">
        <f ca="1">IFERROR(__xludf.DUMMYFUNCTION("""COMPUTED_VALUE"""),4)</f>
        <v>4</v>
      </c>
      <c r="K364" t="str">
        <f ca="1">IFERROR(__xludf.DUMMYFUNCTION("""COMPUTED_VALUE"""),"blank")</f>
        <v>blank</v>
      </c>
      <c r="L364">
        <f t="shared" ca="1" si="4"/>
        <v>0</v>
      </c>
      <c r="Q364" t="str">
        <f>IF(N364="","",SUMIFS(Issue!$D$3:$D1001,Issue!$C$3:$C1001,N364))</f>
        <v/>
      </c>
      <c r="S364" t="str">
        <f ca="1">IFERROR(__xludf.DUMMYFUNCTION("""COMPUTED_VALUE"""),"Button No. 1 pressure bracket")</f>
        <v>Button No. 1 pressure bracket</v>
      </c>
      <c r="Y364" t="str">
        <f t="shared" si="5"/>
        <v/>
      </c>
      <c r="Z364" t="str">
        <f>IF(X364="","",SUMIFS(#REF!,RM!$C$4:$C991,X364))</f>
        <v/>
      </c>
      <c r="AA364" t="str">
        <f>IF(X364="","",SUMIFS(#REF!,RM!$C$4:$C991,X364))</f>
        <v/>
      </c>
      <c r="AB364" t="e">
        <f t="shared" si="6"/>
        <v>#VALUE!</v>
      </c>
      <c r="AC364" t="str">
        <f>IF(X364="","",VLOOKUP($X364,RM!$C$4:$G991,3,FALSE))</f>
        <v/>
      </c>
      <c r="AD364" t="str">
        <f>IF(X364="","",VLOOKUP($X364,RM!$C$4:$G991,4,FALSE))</f>
        <v/>
      </c>
      <c r="AE364" t="str">
        <f>IF(X364="","",VLOOKUP($X364,RM!$C$4:$G991,5,FALSE))</f>
        <v/>
      </c>
      <c r="AG364" t="str">
        <f ca="1">IFERROR(__xludf.DUMMYFUNCTION("""COMPUTED_VALUE"""),"Self Rightening Assy")</f>
        <v>Self Rightening Assy</v>
      </c>
      <c r="AH364" t="str">
        <f ca="1">IFERROR(__xludf.DUMMYFUNCTION("""COMPUTED_VALUE"""),"Thread locker 242/270/290")</f>
        <v>Thread locker 242/270/290</v>
      </c>
      <c r="AI364">
        <f ca="1">IFERROR(__xludf.DUMMYFUNCTION("""COMPUTED_VALUE"""),1)</f>
        <v>1</v>
      </c>
      <c r="AJ364" t="str">
        <f ca="1">IFERROR(__xludf.DUMMYFUNCTION("""COMPUTED_VALUE"""),"blank")</f>
        <v>blank</v>
      </c>
      <c r="AK364" t="e">
        <f ca="1">_xludf.IFNA(VLOOKUP(AG364,'S-FG'!$B$3:$B1001,1,FALSE),"")</f>
        <v>#NAME?</v>
      </c>
      <c r="AL364" t="e">
        <f ca="1">IF(AH364="","",SUMIFS(#REF!,RM!$C$4:$C991,AH364))</f>
        <v>#REF!</v>
      </c>
    </row>
    <row r="365" spans="5:38">
      <c r="E365" t="str">
        <f>IF(A365="","",SUMIFS(Issue!$D$3:$D1001,Issue!$C$3:$C1001,A365)*C365)</f>
        <v/>
      </c>
      <c r="F365" t="e">
        <f ca="1">_xludf.IFNA(VLOOKUP(B365,'S-FG'!$B$3:$B1001,1,FALSE),"")</f>
        <v>#NAME?</v>
      </c>
      <c r="H365" t="str">
        <f ca="1">IFERROR(__xludf.DUMMYFUNCTION("""COMPUTED_VALUE"""),"IP Remote Assy")</f>
        <v>IP Remote Assy</v>
      </c>
      <c r="I365" t="str">
        <f ca="1">IFERROR(__xludf.DUMMYFUNCTION("""COMPUTED_VALUE"""),"Antenna clamp -1")</f>
        <v>Antenna clamp -1</v>
      </c>
      <c r="J365">
        <f ca="1">IFERROR(__xludf.DUMMYFUNCTION("""COMPUTED_VALUE"""),1)</f>
        <v>1</v>
      </c>
      <c r="K365" t="str">
        <f ca="1">IFERROR(__xludf.DUMMYFUNCTION("""COMPUTED_VALUE"""),"blank")</f>
        <v>blank</v>
      </c>
      <c r="L365">
        <f t="shared" ca="1" si="4"/>
        <v>0</v>
      </c>
      <c r="Q365" t="str">
        <f>IF(N365="","",SUMIFS(Issue!$D$3:$D1001,Issue!$C$3:$C1001,N365))</f>
        <v/>
      </c>
      <c r="S365" t="str">
        <f ca="1">IFERROR(__xludf.DUMMYFUNCTION("""COMPUTED_VALUE"""),"Remote Battery Holding Bracket")</f>
        <v>Remote Battery Holding Bracket</v>
      </c>
      <c r="Y365" t="str">
        <f t="shared" si="5"/>
        <v/>
      </c>
      <c r="Z365" t="str">
        <f>IF(X365="","",SUMIFS(#REF!,RM!$C$4:$C991,X365))</f>
        <v/>
      </c>
      <c r="AA365" t="str">
        <f>IF(X365="","",SUMIFS(#REF!,RM!$C$4:$C991,X365))</f>
        <v/>
      </c>
      <c r="AB365" t="e">
        <f t="shared" si="6"/>
        <v>#VALUE!</v>
      </c>
      <c r="AC365" t="str">
        <f>IF(X365="","",VLOOKUP($X365,RM!$C$4:$G991,3,FALSE))</f>
        <v/>
      </c>
      <c r="AD365" t="str">
        <f>IF(X365="","",VLOOKUP($X365,RM!$C$4:$G991,4,FALSE))</f>
        <v/>
      </c>
      <c r="AE365" t="str">
        <f>IF(X365="","",VLOOKUP($X365,RM!$C$4:$G991,5,FALSE))</f>
        <v/>
      </c>
      <c r="AG365" t="str">
        <f ca="1">IFERROR(__xludf.DUMMYFUNCTION("""COMPUTED_VALUE"""),"Self Rightening Assy")</f>
        <v>Self Rightening Assy</v>
      </c>
      <c r="AH365" t="str">
        <f ca="1">IFERROR(__xludf.DUMMYFUNCTION("""COMPUTED_VALUE"""),"Instant Adhesive 407 for EPE sticking")</f>
        <v>Instant Adhesive 407 for EPE sticking</v>
      </c>
      <c r="AI365">
        <f ca="1">IFERROR(__xludf.DUMMYFUNCTION("""COMPUTED_VALUE"""),5)</f>
        <v>5</v>
      </c>
      <c r="AJ365" t="str">
        <f ca="1">IFERROR(__xludf.DUMMYFUNCTION("""COMPUTED_VALUE"""),"blank")</f>
        <v>blank</v>
      </c>
      <c r="AK365" t="e">
        <f ca="1">_xludf.IFNA(VLOOKUP(AG365,'S-FG'!$B$3:$B1001,1,FALSE),"")</f>
        <v>#NAME?</v>
      </c>
      <c r="AL365" t="e">
        <f ca="1">IF(AH365="","",SUMIFS(#REF!,RM!$C$4:$C991,AH365))</f>
        <v>#REF!</v>
      </c>
    </row>
    <row r="366" spans="5:38">
      <c r="E366" t="str">
        <f>IF(A366="","",SUMIFS(Issue!$D$3:$D1001,Issue!$C$3:$C1001,A366)*C366)</f>
        <v/>
      </c>
      <c r="F366" t="e">
        <f ca="1">_xludf.IFNA(VLOOKUP(B366,'S-FG'!$B$3:$B1001,1,FALSE),"")</f>
        <v>#NAME?</v>
      </c>
      <c r="H366" t="str">
        <f ca="1">IFERROR(__xludf.DUMMYFUNCTION("""COMPUTED_VALUE"""),"IP Remote Assy")</f>
        <v>IP Remote Assy</v>
      </c>
      <c r="I366" t="str">
        <f ca="1">IFERROR(__xludf.DUMMYFUNCTION("""COMPUTED_VALUE"""),"Antenna Clamp -2")</f>
        <v>Antenna Clamp -2</v>
      </c>
      <c r="J366">
        <f ca="1">IFERROR(__xludf.DUMMYFUNCTION("""COMPUTED_VALUE"""),1)</f>
        <v>1</v>
      </c>
      <c r="K366" t="str">
        <f ca="1">IFERROR(__xludf.DUMMYFUNCTION("""COMPUTED_VALUE"""),"blank")</f>
        <v>blank</v>
      </c>
      <c r="L366">
        <f t="shared" ca="1" si="4"/>
        <v>0</v>
      </c>
      <c r="Q366" t="str">
        <f>IF(N366="","",SUMIFS(Issue!$D$3:$D1001,Issue!$C$3:$C1001,N366))</f>
        <v/>
      </c>
      <c r="S366" t="str">
        <f ca="1">IFERROR(__xludf.DUMMYFUNCTION("""COMPUTED_VALUE"""),"Antenna clamp -1")</f>
        <v>Antenna clamp -1</v>
      </c>
      <c r="Y366" t="str">
        <f t="shared" si="5"/>
        <v/>
      </c>
      <c r="Z366" t="str">
        <f>IF(X366="","",SUMIFS(#REF!,RM!$C$4:$C991,X366))</f>
        <v/>
      </c>
      <c r="AA366" t="str">
        <f>IF(X366="","",SUMIFS(#REF!,RM!$C$4:$C991,X366))</f>
        <v/>
      </c>
      <c r="AB366" t="e">
        <f t="shared" si="6"/>
        <v>#VALUE!</v>
      </c>
      <c r="AC366" t="str">
        <f>IF(X366="","",VLOOKUP($X366,RM!$C$4:$G991,3,FALSE))</f>
        <v/>
      </c>
      <c r="AD366" t="str">
        <f>IF(X366="","",VLOOKUP($X366,RM!$C$4:$G991,4,FALSE))</f>
        <v/>
      </c>
      <c r="AE366" t="str">
        <f>IF(X366="","",VLOOKUP($X366,RM!$C$4:$G991,5,FALSE))</f>
        <v/>
      </c>
      <c r="AG366" t="str">
        <f ca="1">IFERROR(__xludf.DUMMYFUNCTION("""COMPUTED_VALUE"""),"Self Rightening Assy")</f>
        <v>Self Rightening Assy</v>
      </c>
      <c r="AH366" t="str">
        <f ca="1">IFERROR(__xludf.DUMMYFUNCTION("""COMPUTED_VALUE"""),"STBD SR Rubber Boot")</f>
        <v>STBD SR Rubber Boot</v>
      </c>
      <c r="AI366">
        <f ca="1">IFERROR(__xludf.DUMMYFUNCTION("""COMPUTED_VALUE"""),1)</f>
        <v>1</v>
      </c>
      <c r="AJ366" t="str">
        <f ca="1">IFERROR(__xludf.DUMMYFUNCTION("""COMPUTED_VALUE"""),"blank")</f>
        <v>blank</v>
      </c>
      <c r="AK366" t="e">
        <f ca="1">_xludf.IFNA(VLOOKUP(AG366,'S-FG'!$B$3:$B1001,1,FALSE),"")</f>
        <v>#NAME?</v>
      </c>
      <c r="AL366" t="e">
        <f ca="1">IF(AH366="","",SUMIFS(#REF!,RM!$C$4:$C991,AH366))</f>
        <v>#REF!</v>
      </c>
    </row>
    <row r="367" spans="5:38">
      <c r="E367" t="str">
        <f>IF(A367="","",SUMIFS(Issue!$D$3:$D1001,Issue!$C$3:$C1001,A367)*C367)</f>
        <v/>
      </c>
      <c r="F367" t="e">
        <f ca="1">_xludf.IFNA(VLOOKUP(B367,'S-FG'!$B$3:$B1001,1,FALSE),"")</f>
        <v>#NAME?</v>
      </c>
      <c r="H367" t="str">
        <f ca="1">IFERROR(__xludf.DUMMYFUNCTION("""COMPUTED_VALUE"""),"IP Remote Assy")</f>
        <v>IP Remote Assy</v>
      </c>
      <c r="I367" t="str">
        <f ca="1">IFERROR(__xludf.DUMMYFUNCTION("""COMPUTED_VALUE"""),"Cable Holder")</f>
        <v>Cable Holder</v>
      </c>
      <c r="J367">
        <f ca="1">IFERROR(__xludf.DUMMYFUNCTION("""COMPUTED_VALUE"""),2)</f>
        <v>2</v>
      </c>
      <c r="K367" t="str">
        <f ca="1">IFERROR(__xludf.DUMMYFUNCTION("""COMPUTED_VALUE"""),"blank")</f>
        <v>blank</v>
      </c>
      <c r="L367">
        <f t="shared" ca="1" si="4"/>
        <v>0</v>
      </c>
      <c r="Q367" t="str">
        <f>IF(N367="","",SUMIFS(Issue!$D$3:$D1001,Issue!$C$3:$C1001,N367))</f>
        <v/>
      </c>
      <c r="S367" t="str">
        <f ca="1">IFERROR(__xludf.DUMMYFUNCTION("""COMPUTED_VALUE"""),"Antenna Clamp -2")</f>
        <v>Antenna Clamp -2</v>
      </c>
      <c r="Y367" t="str">
        <f t="shared" si="5"/>
        <v/>
      </c>
      <c r="Z367" t="str">
        <f>IF(X367="","",SUMIFS(#REF!,RM!$C$4:$C991,X367))</f>
        <v/>
      </c>
      <c r="AA367" t="str">
        <f>IF(X367="","",SUMIFS(#REF!,RM!$C$4:$C991,X367))</f>
        <v/>
      </c>
      <c r="AB367" t="e">
        <f t="shared" si="6"/>
        <v>#VALUE!</v>
      </c>
      <c r="AC367" t="str">
        <f>IF(X367="","",VLOOKUP($X367,RM!$C$4:$G991,3,FALSE))</f>
        <v/>
      </c>
      <c r="AD367" t="str">
        <f>IF(X367="","",VLOOKUP($X367,RM!$C$4:$G991,4,FALSE))</f>
        <v/>
      </c>
      <c r="AE367" t="str">
        <f>IF(X367="","",VLOOKUP($X367,RM!$C$4:$G991,5,FALSE))</f>
        <v/>
      </c>
      <c r="AG367" t="str">
        <f ca="1">IFERROR(__xludf.DUMMYFUNCTION("""COMPUTED_VALUE"""),"Self Rightening Assy")</f>
        <v>Self Rightening Assy</v>
      </c>
      <c r="AH367" t="str">
        <f ca="1">IFERROR(__xludf.DUMMYFUNCTION("""COMPUTED_VALUE"""),"PORT SR Rubber Boot")</f>
        <v>PORT SR Rubber Boot</v>
      </c>
      <c r="AI367">
        <f ca="1">IFERROR(__xludf.DUMMYFUNCTION("""COMPUTED_VALUE"""),1)</f>
        <v>1</v>
      </c>
      <c r="AJ367" t="str">
        <f ca="1">IFERROR(__xludf.DUMMYFUNCTION("""COMPUTED_VALUE"""),"blank")</f>
        <v>blank</v>
      </c>
      <c r="AK367" t="e">
        <f ca="1">_xludf.IFNA(VLOOKUP(AG367,'S-FG'!$B$3:$B1001,1,FALSE),"")</f>
        <v>#NAME?</v>
      </c>
      <c r="AL367" t="e">
        <f ca="1">IF(AH367="","",SUMIFS(#REF!,RM!$C$4:$C991,AH367))</f>
        <v>#REF!</v>
      </c>
    </row>
    <row r="368" spans="5:38">
      <c r="E368" t="str">
        <f>IF(A368="","",SUMIFS(Issue!$D$3:$D1001,Issue!$C$3:$C1001,A368)*C368)</f>
        <v/>
      </c>
      <c r="F368" t="e">
        <f ca="1">_xludf.IFNA(VLOOKUP(B368,'S-FG'!$B$3:$B1001,1,FALSE),"")</f>
        <v>#NAME?</v>
      </c>
      <c r="H368" t="str">
        <f ca="1">IFERROR(__xludf.DUMMYFUNCTION("""COMPUTED_VALUE"""),"IP Remote Assy")</f>
        <v>IP Remote Assy</v>
      </c>
      <c r="I368" t="str">
        <f ca="1">IFERROR(__xludf.DUMMYFUNCTION("""COMPUTED_VALUE"""),"Remote Handle")</f>
        <v>Remote Handle</v>
      </c>
      <c r="J368">
        <f ca="1">IFERROR(__xludf.DUMMYFUNCTION("""COMPUTED_VALUE"""),1)</f>
        <v>1</v>
      </c>
      <c r="K368" t="str">
        <f ca="1">IFERROR(__xludf.DUMMYFUNCTION("""COMPUTED_VALUE"""),"blank")</f>
        <v>blank</v>
      </c>
      <c r="L368">
        <f t="shared" ca="1" si="4"/>
        <v>0</v>
      </c>
      <c r="Q368" t="str">
        <f>IF(N368="","",SUMIFS(Issue!$D$3:$D1001,Issue!$C$3:$C1001,N368))</f>
        <v/>
      </c>
      <c r="S368" t="str">
        <f ca="1">IFERROR(__xludf.DUMMYFUNCTION("""COMPUTED_VALUE"""),"Cable Holder")</f>
        <v>Cable Holder</v>
      </c>
      <c r="Y368" t="str">
        <f t="shared" si="5"/>
        <v/>
      </c>
      <c r="Z368" t="str">
        <f>IF(X368="","",SUMIFS(#REF!,RM!$C$4:$C991,X368))</f>
        <v/>
      </c>
      <c r="AA368" t="str">
        <f>IF(X368="","",SUMIFS(#REF!,RM!$C$4:$C991,X368))</f>
        <v/>
      </c>
      <c r="AB368" t="e">
        <f t="shared" si="6"/>
        <v>#VALUE!</v>
      </c>
      <c r="AC368" t="str">
        <f>IF(X368="","",VLOOKUP($X368,RM!$C$4:$G991,3,FALSE))</f>
        <v/>
      </c>
      <c r="AD368" t="str">
        <f>IF(X368="","",VLOOKUP($X368,RM!$C$4:$G991,4,FALSE))</f>
        <v/>
      </c>
      <c r="AE368" t="str">
        <f>IF(X368="","",VLOOKUP($X368,RM!$C$4:$G991,5,FALSE))</f>
        <v/>
      </c>
      <c r="AG368" t="str">
        <f ca="1">IFERROR(__xludf.DUMMYFUNCTION("""COMPUTED_VALUE"""),"Self Rightening Assy")</f>
        <v>Self Rightening Assy</v>
      </c>
      <c r="AH368" t="str">
        <f ca="1">IFERROR(__xludf.DUMMYFUNCTION("""COMPUTED_VALUE"""),"M6x150 Allen head ")</f>
        <v xml:space="preserve">M6x150 Allen head </v>
      </c>
      <c r="AI368">
        <f ca="1">IFERROR(__xludf.DUMMYFUNCTION("""COMPUTED_VALUE"""),4)</f>
        <v>4</v>
      </c>
      <c r="AJ368" t="str">
        <f ca="1">IFERROR(__xludf.DUMMYFUNCTION("""COMPUTED_VALUE"""),"blank")</f>
        <v>blank</v>
      </c>
      <c r="AK368" t="e">
        <f ca="1">_xludf.IFNA(VLOOKUP(AG368,'S-FG'!$B$3:$B1001,1,FALSE),"")</f>
        <v>#NAME?</v>
      </c>
      <c r="AL368" t="e">
        <f ca="1">IF(AH368="","",SUMIFS(#REF!,RM!$C$4:$C991,AH368))</f>
        <v>#REF!</v>
      </c>
    </row>
    <row r="369" spans="5:38">
      <c r="E369" t="str">
        <f>IF(A369="","",SUMIFS(Issue!$D$3:$D1001,Issue!$C$3:$C1001,A369)*C369)</f>
        <v/>
      </c>
      <c r="F369" t="e">
        <f ca="1">_xludf.IFNA(VLOOKUP(B369,'S-FG'!$B$3:$B1001,1,FALSE),"")</f>
        <v>#NAME?</v>
      </c>
      <c r="H369" t="str">
        <f ca="1">IFERROR(__xludf.DUMMYFUNCTION("""COMPUTED_VALUE"""),"IP Remote Assy")</f>
        <v>IP Remote Assy</v>
      </c>
      <c r="I369" t="str">
        <f ca="1">IFERROR(__xludf.DUMMYFUNCTION("""COMPUTED_VALUE"""),"Polycarbonate Glass for Remote")</f>
        <v>Polycarbonate Glass for Remote</v>
      </c>
      <c r="J369">
        <f ca="1">IFERROR(__xludf.DUMMYFUNCTION("""COMPUTED_VALUE"""),1)</f>
        <v>1</v>
      </c>
      <c r="K369" t="str">
        <f ca="1">IFERROR(__xludf.DUMMYFUNCTION("""COMPUTED_VALUE"""),"blank")</f>
        <v>blank</v>
      </c>
      <c r="L369">
        <f t="shared" ca="1" si="4"/>
        <v>0</v>
      </c>
      <c r="Q369" t="str">
        <f>IF(N369="","",SUMIFS(Issue!$D$3:$D1001,Issue!$C$3:$C1001,N369))</f>
        <v/>
      </c>
      <c r="S369" t="str">
        <f ca="1">IFERROR(__xludf.DUMMYFUNCTION("""COMPUTED_VALUE"""),"Remote Handle")</f>
        <v>Remote Handle</v>
      </c>
      <c r="Y369" t="str">
        <f t="shared" si="5"/>
        <v/>
      </c>
      <c r="Z369" t="str">
        <f>IF(X369="","",SUMIFS(#REF!,RM!$C$4:$C991,X369))</f>
        <v/>
      </c>
      <c r="AA369" t="str">
        <f>IF(X369="","",SUMIFS(#REF!,RM!$C$4:$C991,X369))</f>
        <v/>
      </c>
      <c r="AB369" t="e">
        <f t="shared" si="6"/>
        <v>#VALUE!</v>
      </c>
      <c r="AC369" t="str">
        <f>IF(X369="","",VLOOKUP($X369,RM!$C$4:$G991,3,FALSE))</f>
        <v/>
      </c>
      <c r="AD369" t="str">
        <f>IF(X369="","",VLOOKUP($X369,RM!$C$4:$G991,4,FALSE))</f>
        <v/>
      </c>
      <c r="AE369" t="str">
        <f>IF(X369="","",VLOOKUP($X369,RM!$C$4:$G991,5,FALSE))</f>
        <v/>
      </c>
      <c r="AG369" t="str">
        <f ca="1">IFERROR(__xludf.DUMMYFUNCTION("""COMPUTED_VALUE"""),"Self Rightening Assy")</f>
        <v>Self Rightening Assy</v>
      </c>
      <c r="AH369" t="str">
        <f ca="1">IFERROR(__xludf.DUMMYFUNCTION("""COMPUTED_VALUE"""),"M6 Nyloc Nut")</f>
        <v>M6 Nyloc Nut</v>
      </c>
      <c r="AI369">
        <f ca="1">IFERROR(__xludf.DUMMYFUNCTION("""COMPUTED_VALUE"""),4)</f>
        <v>4</v>
      </c>
      <c r="AJ369" t="str">
        <f ca="1">IFERROR(__xludf.DUMMYFUNCTION("""COMPUTED_VALUE"""),"blank")</f>
        <v>blank</v>
      </c>
      <c r="AK369" t="e">
        <f ca="1">_xludf.IFNA(VLOOKUP(AG369,'S-FG'!$B$3:$B1001,1,FALSE),"")</f>
        <v>#NAME?</v>
      </c>
      <c r="AL369" t="e">
        <f ca="1">IF(AH369="","",SUMIFS(#REF!,RM!$C$4:$C991,AH369))</f>
        <v>#REF!</v>
      </c>
    </row>
    <row r="370" spans="5:38">
      <c r="E370" t="str">
        <f>IF(A370="","",SUMIFS(Issue!$D$3:$D1001,Issue!$C$3:$C1001,A370)*C370)</f>
        <v/>
      </c>
      <c r="F370" t="e">
        <f ca="1">_xludf.IFNA(VLOOKUP(B370,'S-FG'!$B$3:$B1001,1,FALSE),"")</f>
        <v>#NAME?</v>
      </c>
      <c r="H370" t="str">
        <f ca="1">IFERROR(__xludf.DUMMYFUNCTION("""COMPUTED_VALUE"""),"IP Remote Assy")</f>
        <v>IP Remote Assy</v>
      </c>
      <c r="I370" t="str">
        <f ca="1">IFERROR(__xludf.DUMMYFUNCTION("""COMPUTED_VALUE"""),"Joystick Water proof rubber")</f>
        <v>Joystick Water proof rubber</v>
      </c>
      <c r="J370">
        <f ca="1">IFERROR(__xludf.DUMMYFUNCTION("""COMPUTED_VALUE"""),2)</f>
        <v>2</v>
      </c>
      <c r="K370" t="str">
        <f ca="1">IFERROR(__xludf.DUMMYFUNCTION("""COMPUTED_VALUE"""),"blank")</f>
        <v>blank</v>
      </c>
      <c r="L370">
        <f t="shared" ca="1" si="4"/>
        <v>0</v>
      </c>
      <c r="Q370" t="str">
        <f>IF(N370="","",SUMIFS(Issue!$D$3:$D1001,Issue!$C$3:$C1001,N370))</f>
        <v/>
      </c>
      <c r="S370" t="str">
        <f ca="1">IFERROR(__xludf.DUMMYFUNCTION("""COMPUTED_VALUE"""),"Polycarbonate Glass for Remote")</f>
        <v>Polycarbonate Glass for Remote</v>
      </c>
      <c r="Y370" t="str">
        <f t="shared" si="5"/>
        <v/>
      </c>
      <c r="Z370" t="str">
        <f>IF(X370="","",SUMIFS(#REF!,RM!$C$4:$C991,X370))</f>
        <v/>
      </c>
      <c r="AA370" t="str">
        <f>IF(X370="","",SUMIFS(#REF!,RM!$C$4:$C991,X370))</f>
        <v/>
      </c>
      <c r="AB370" t="e">
        <f t="shared" si="6"/>
        <v>#VALUE!</v>
      </c>
      <c r="AC370" t="str">
        <f>IF(X370="","",VLOOKUP($X370,RM!$C$4:$G991,3,FALSE))</f>
        <v/>
      </c>
      <c r="AD370" t="str">
        <f>IF(X370="","",VLOOKUP($X370,RM!$C$4:$G991,4,FALSE))</f>
        <v/>
      </c>
      <c r="AE370" t="str">
        <f>IF(X370="","",VLOOKUP($X370,RM!$C$4:$G991,5,FALSE))</f>
        <v/>
      </c>
      <c r="AG370" t="str">
        <f ca="1">IFERROR(__xludf.DUMMYFUNCTION("""COMPUTED_VALUE"""),"Self Rightening Assy")</f>
        <v>Self Rightening Assy</v>
      </c>
      <c r="AH370" t="str">
        <f ca="1">IFERROR(__xludf.DUMMYFUNCTION("""COMPUTED_VALUE"""),"M6x12 Plain washer")</f>
        <v>M6x12 Plain washer</v>
      </c>
      <c r="AI370">
        <f ca="1">IFERROR(__xludf.DUMMYFUNCTION("""COMPUTED_VALUE"""),0)</f>
        <v>0</v>
      </c>
      <c r="AJ370" t="str">
        <f ca="1">IFERROR(__xludf.DUMMYFUNCTION("""COMPUTED_VALUE"""),"blank")</f>
        <v>blank</v>
      </c>
      <c r="AK370" t="e">
        <f ca="1">_xludf.IFNA(VLOOKUP(AG370,'S-FG'!$B$3:$B1001,1,FALSE),"")</f>
        <v>#NAME?</v>
      </c>
      <c r="AL370" t="e">
        <f ca="1">IF(AH370="","",SUMIFS(#REF!,RM!$C$4:$C991,AH370))</f>
        <v>#REF!</v>
      </c>
    </row>
    <row r="371" spans="5:38">
      <c r="E371" t="str">
        <f>IF(A371="","",SUMIFS(Issue!$D$3:$D1001,Issue!$C$3:$C1001,A371)*C371)</f>
        <v/>
      </c>
      <c r="F371" t="e">
        <f ca="1">_xludf.IFNA(VLOOKUP(B371,'S-FG'!$B$3:$B1001,1,FALSE),"")</f>
        <v>#NAME?</v>
      </c>
      <c r="H371" t="str">
        <f ca="1">IFERROR(__xludf.DUMMYFUNCTION("""COMPUTED_VALUE"""),"IP Remote Assy")</f>
        <v>IP Remote Assy</v>
      </c>
      <c r="I371" t="str">
        <f ca="1">IFERROR(__xludf.DUMMYFUNCTION("""COMPUTED_VALUE"""),"Button Silicon Cover No. 1")</f>
        <v>Button Silicon Cover No. 1</v>
      </c>
      <c r="J371">
        <f ca="1">IFERROR(__xludf.DUMMYFUNCTION("""COMPUTED_VALUE"""),2)</f>
        <v>2</v>
      </c>
      <c r="K371" t="str">
        <f ca="1">IFERROR(__xludf.DUMMYFUNCTION("""COMPUTED_VALUE"""),"blank")</f>
        <v>blank</v>
      </c>
      <c r="L371">
        <f t="shared" ca="1" si="4"/>
        <v>0</v>
      </c>
      <c r="Q371" t="str">
        <f>IF(N371="","",SUMIFS(Issue!$D$3:$D1001,Issue!$C$3:$C1001,N371))</f>
        <v/>
      </c>
      <c r="S371" t="str">
        <f ca="1">IFERROR(__xludf.DUMMYFUNCTION("""COMPUTED_VALUE"""),"Joystick Water proof rubber")</f>
        <v>Joystick Water proof rubber</v>
      </c>
      <c r="Y371" t="str">
        <f t="shared" si="5"/>
        <v/>
      </c>
      <c r="Z371" t="str">
        <f>IF(X371="","",SUMIFS(#REF!,RM!$C$4:$C991,X371))</f>
        <v/>
      </c>
      <c r="AA371" t="str">
        <f>IF(X371="","",SUMIFS(#REF!,RM!$C$4:$C991,X371))</f>
        <v/>
      </c>
      <c r="AB371" t="e">
        <f t="shared" si="6"/>
        <v>#VALUE!</v>
      </c>
      <c r="AC371" t="str">
        <f>IF(X371="","",VLOOKUP($X371,RM!$C$4:$G991,3,FALSE))</f>
        <v/>
      </c>
      <c r="AD371" t="str">
        <f>IF(X371="","",VLOOKUP($X371,RM!$C$4:$G991,4,FALSE))</f>
        <v/>
      </c>
      <c r="AE371" t="str">
        <f>IF(X371="","",VLOOKUP($X371,RM!$C$4:$G991,5,FALSE))</f>
        <v/>
      </c>
      <c r="AG371" t="str">
        <f ca="1">IFERROR(__xludf.DUMMYFUNCTION("""COMPUTED_VALUE"""),"Self Rightening Assy")</f>
        <v>Self Rightening Assy</v>
      </c>
      <c r="AH371" t="str">
        <f ca="1">IFERROR(__xludf.DUMMYFUNCTION("""COMPUTED_VALUE"""),"RR Tape")</f>
        <v>RR Tape</v>
      </c>
      <c r="AI371">
        <f ca="1">IFERROR(__xludf.DUMMYFUNCTION("""COMPUTED_VALUE"""),2.6)</f>
        <v>2.6</v>
      </c>
      <c r="AK371" t="e">
        <f ca="1">_xludf.IFNA(VLOOKUP(AG371,'S-FG'!$B$3:$B1001,1,FALSE),"")</f>
        <v>#NAME?</v>
      </c>
      <c r="AL371" t="e">
        <f ca="1">IF(AH371="","",SUMIFS(#REF!,RM!$C$4:$C991,AH371))</f>
        <v>#REF!</v>
      </c>
    </row>
    <row r="372" spans="5:38">
      <c r="E372" t="str">
        <f>IF(A372="","",SUMIFS(Issue!$D$3:$D1001,Issue!$C$3:$C1001,A372)*C372)</f>
        <v/>
      </c>
      <c r="F372" t="e">
        <f ca="1">_xludf.IFNA(VLOOKUP(B372,'S-FG'!$B$3:$B1001,1,FALSE),"")</f>
        <v>#NAME?</v>
      </c>
      <c r="H372" t="str">
        <f ca="1">IFERROR(__xludf.DUMMYFUNCTION("""COMPUTED_VALUE"""),"IP Remote Assy")</f>
        <v>IP Remote Assy</v>
      </c>
      <c r="I372" t="str">
        <f ca="1">IFERROR(__xludf.DUMMYFUNCTION("""COMPUTED_VALUE"""),"Button Silicon Cover No. 2")</f>
        <v>Button Silicon Cover No. 2</v>
      </c>
      <c r="J372">
        <f ca="1">IFERROR(__xludf.DUMMYFUNCTION("""COMPUTED_VALUE"""),2)</f>
        <v>2</v>
      </c>
      <c r="K372" t="str">
        <f ca="1">IFERROR(__xludf.DUMMYFUNCTION("""COMPUTED_VALUE"""),"blank")</f>
        <v>blank</v>
      </c>
      <c r="L372">
        <f t="shared" ca="1" si="4"/>
        <v>0</v>
      </c>
      <c r="Q372" t="str">
        <f>IF(N372="","",SUMIFS(Issue!$D$3:$D1001,Issue!$C$3:$C1001,N372))</f>
        <v/>
      </c>
      <c r="S372" t="str">
        <f ca="1">IFERROR(__xludf.DUMMYFUNCTION("""COMPUTED_VALUE"""),"Button Silicon Cover No. 1")</f>
        <v>Button Silicon Cover No. 1</v>
      </c>
      <c r="Y372" t="str">
        <f t="shared" si="5"/>
        <v/>
      </c>
      <c r="Z372" t="str">
        <f>IF(X372="","",SUMIFS(#REF!,RM!$C$4:$C991,X372))</f>
        <v/>
      </c>
      <c r="AA372" t="str">
        <f>IF(X372="","",SUMIFS(#REF!,RM!$C$4:$C991,X372))</f>
        <v/>
      </c>
      <c r="AB372" t="e">
        <f t="shared" si="6"/>
        <v>#VALUE!</v>
      </c>
      <c r="AC372" t="str">
        <f>IF(X372="","",VLOOKUP($X372,RM!$C$4:$G991,3,FALSE))</f>
        <v/>
      </c>
      <c r="AD372" t="str">
        <f>IF(X372="","",VLOOKUP($X372,RM!$C$4:$G991,4,FALSE))</f>
        <v/>
      </c>
      <c r="AE372" t="str">
        <f>IF(X372="","",VLOOKUP($X372,RM!$C$4:$G991,5,FALSE))</f>
        <v/>
      </c>
      <c r="AG372" t="str">
        <f ca="1">IFERROR(__xludf.DUMMYFUNCTION("""COMPUTED_VALUE"""),"IP Remote Assy")</f>
        <v>IP Remote Assy</v>
      </c>
      <c r="AH372" t="str">
        <f ca="1">IFERROR(__xludf.DUMMYFUNCTION("""COMPUTED_VALUE"""),"QX7 Transmitter with R9M")</f>
        <v>QX7 Transmitter with R9M</v>
      </c>
      <c r="AI372">
        <f ca="1">IFERROR(__xludf.DUMMYFUNCTION("""COMPUTED_VALUE"""),1)</f>
        <v>1</v>
      </c>
      <c r="AJ372" t="str">
        <f ca="1">IFERROR(__xludf.DUMMYFUNCTION("""COMPUTED_VALUE"""),"blank")</f>
        <v>blank</v>
      </c>
      <c r="AK372" t="e">
        <f ca="1">_xludf.IFNA(VLOOKUP(AG372,'S-FG'!$B$3:$B1001,1,FALSE),"")</f>
        <v>#NAME?</v>
      </c>
      <c r="AL372" t="e">
        <f ca="1">IF(AH372="","",SUMIFS(#REF!,RM!$C$4:$C991,AH372))</f>
        <v>#REF!</v>
      </c>
    </row>
    <row r="373" spans="5:38">
      <c r="E373" t="str">
        <f>IF(A373="","",SUMIFS(Issue!$D$3:$D1001,Issue!$C$3:$C1001,A373)*C373)</f>
        <v/>
      </c>
      <c r="F373" t="e">
        <f ca="1">_xludf.IFNA(VLOOKUP(B373,'S-FG'!$B$3:$B1001,1,FALSE),"")</f>
        <v>#NAME?</v>
      </c>
      <c r="H373" t="str">
        <f ca="1">IFERROR(__xludf.DUMMYFUNCTION("""COMPUTED_VALUE"""),"IP Remote Assy")</f>
        <v>IP Remote Assy</v>
      </c>
      <c r="I373" t="str">
        <f ca="1">IFERROR(__xludf.DUMMYFUNCTION("""COMPUTED_VALUE"""),"Neck Strap Hook")</f>
        <v>Neck Strap Hook</v>
      </c>
      <c r="J373">
        <f ca="1">IFERROR(__xludf.DUMMYFUNCTION("""COMPUTED_VALUE"""),1)</f>
        <v>1</v>
      </c>
      <c r="K373" t="str">
        <f ca="1">IFERROR(__xludf.DUMMYFUNCTION("""COMPUTED_VALUE"""),"blank")</f>
        <v>blank</v>
      </c>
      <c r="L373">
        <f t="shared" ca="1" si="4"/>
        <v>0</v>
      </c>
      <c r="Q373" t="str">
        <f>IF(N373="","",SUMIFS(Issue!$D$3:$D1001,Issue!$C$3:$C1001,N373))</f>
        <v/>
      </c>
      <c r="S373" t="str">
        <f ca="1">IFERROR(__xludf.DUMMYFUNCTION("""COMPUTED_VALUE"""),"Button Silicon Cover No. 2")</f>
        <v>Button Silicon Cover No. 2</v>
      </c>
      <c r="Y373" t="str">
        <f t="shared" si="5"/>
        <v/>
      </c>
      <c r="Z373" t="str">
        <f>IF(X373="","",SUMIFS(#REF!,RM!$C$4:$C991,X373))</f>
        <v/>
      </c>
      <c r="AA373" t="str">
        <f>IF(X373="","",SUMIFS(#REF!,RM!$C$4:$C991,X373))</f>
        <v/>
      </c>
      <c r="AB373" t="e">
        <f t="shared" si="6"/>
        <v>#VALUE!</v>
      </c>
      <c r="AC373" t="str">
        <f>IF(X373="","",VLOOKUP($X373,RM!$C$4:$G991,3,FALSE))</f>
        <v/>
      </c>
      <c r="AD373" t="str">
        <f>IF(X373="","",VLOOKUP($X373,RM!$C$4:$G991,4,FALSE))</f>
        <v/>
      </c>
      <c r="AE373" t="str">
        <f>IF(X373="","",VLOOKUP($X373,RM!$C$4:$G991,5,FALSE))</f>
        <v/>
      </c>
      <c r="AG373" t="str">
        <f ca="1">IFERROR(__xludf.DUMMYFUNCTION("""COMPUTED_VALUE"""),"IP Remote Assy")</f>
        <v>IP Remote Assy</v>
      </c>
      <c r="AH373" t="str">
        <f ca="1">IFERROR(__xludf.DUMMYFUNCTION("""COMPUTED_VALUE"""),"PWB of Button -2")</f>
        <v>PWB of Button -2</v>
      </c>
      <c r="AI373">
        <f ca="1">IFERROR(__xludf.DUMMYFUNCTION("""COMPUTED_VALUE"""),2)</f>
        <v>2</v>
      </c>
      <c r="AK373" t="e">
        <f ca="1">_xludf.IFNA(VLOOKUP(AG373,'S-FG'!$B$3:$B1001,1,FALSE),"")</f>
        <v>#NAME?</v>
      </c>
      <c r="AL373" t="e">
        <f ca="1">IF(AH373="","",SUMIFS(#REF!,RM!$C$4:$C991,AH373))</f>
        <v>#REF!</v>
      </c>
    </row>
    <row r="374" spans="5:38">
      <c r="E374" t="str">
        <f>IF(A374="","",SUMIFS(Issue!$D$3:$D1001,Issue!$C$3:$C1001,A374)*C374)</f>
        <v/>
      </c>
      <c r="F374" t="e">
        <f ca="1">_xludf.IFNA(VLOOKUP(B374,'S-FG'!$B$3:$B1001,1,FALSE),"")</f>
        <v>#NAME?</v>
      </c>
      <c r="H374" t="str">
        <f ca="1">IFERROR(__xludf.DUMMYFUNCTION("""COMPUTED_VALUE"""),"IP Remote Assy")</f>
        <v>IP Remote Assy</v>
      </c>
      <c r="I374" t="str">
        <f ca="1">IFERROR(__xludf.DUMMYFUNCTION("""COMPUTED_VALUE"""),"Neck Strap")</f>
        <v>Neck Strap</v>
      </c>
      <c r="J374">
        <f ca="1">IFERROR(__xludf.DUMMYFUNCTION("""COMPUTED_VALUE"""),1)</f>
        <v>1</v>
      </c>
      <c r="K374" t="str">
        <f ca="1">IFERROR(__xludf.DUMMYFUNCTION("""COMPUTED_VALUE"""),"blank")</f>
        <v>blank</v>
      </c>
      <c r="L374">
        <f t="shared" ca="1" si="4"/>
        <v>0</v>
      </c>
      <c r="Q374" t="str">
        <f>IF(N374="","",SUMIFS(Issue!$D$3:$D1001,Issue!$C$3:$C1001,N374))</f>
        <v/>
      </c>
      <c r="S374" t="str">
        <f ca="1">IFERROR(__xludf.DUMMYFUNCTION("""COMPUTED_VALUE"""),"Neck Strap Hook")</f>
        <v>Neck Strap Hook</v>
      </c>
      <c r="Y374" t="str">
        <f t="shared" si="5"/>
        <v/>
      </c>
      <c r="Z374" t="str">
        <f>IF(X374="","",SUMIFS(#REF!,RM!$C$4:$C991,X374))</f>
        <v/>
      </c>
      <c r="AA374" t="str">
        <f>IF(X374="","",SUMIFS(#REF!,RM!$C$4:$C991,X374))</f>
        <v/>
      </c>
      <c r="AB374" t="e">
        <f t="shared" si="6"/>
        <v>#VALUE!</v>
      </c>
      <c r="AC374" t="str">
        <f>IF(X374="","",VLOOKUP($X374,RM!$C$4:$G991,3,FALSE))</f>
        <v/>
      </c>
      <c r="AD374" t="str">
        <f>IF(X374="","",VLOOKUP($X374,RM!$C$4:$G991,4,FALSE))</f>
        <v/>
      </c>
      <c r="AE374" t="str">
        <f>IF(X374="","",VLOOKUP($X374,RM!$C$4:$G991,5,FALSE))</f>
        <v/>
      </c>
      <c r="AG374" t="str">
        <f ca="1">IFERROR(__xludf.DUMMYFUNCTION("""COMPUTED_VALUE"""),"IP Remote Assy")</f>
        <v>IP Remote Assy</v>
      </c>
      <c r="AH374" t="str">
        <f ca="1">IFERROR(__xludf.DUMMYFUNCTION("""COMPUTED_VALUE"""),"Li-In 21700 Cells Molicel P42A/ Samsung-40T")</f>
        <v>Li-In 21700 Cells Molicel P42A/ Samsung-40T</v>
      </c>
      <c r="AI374">
        <f ca="1">IFERROR(__xludf.DUMMYFUNCTION("""COMPUTED_VALUE"""),2)</f>
        <v>2</v>
      </c>
      <c r="AJ374" t="str">
        <f ca="1">IFERROR(__xludf.DUMMYFUNCTION("""COMPUTED_VALUE"""),"blank")</f>
        <v>blank</v>
      </c>
      <c r="AK374" t="e">
        <f ca="1">_xludf.IFNA(VLOOKUP(AG374,'S-FG'!$B$3:$B1001,1,FALSE),"")</f>
        <v>#NAME?</v>
      </c>
      <c r="AL374" t="e">
        <f ca="1">IF(AH374="","",SUMIFS(#REF!,RM!$C$4:$C991,AH374))</f>
        <v>#REF!</v>
      </c>
    </row>
    <row r="375" spans="5:38">
      <c r="E375" t="str">
        <f>IF(A375="","",SUMIFS(Issue!$D$3:$D1001,Issue!$C$3:$C1001,A375)*C375)</f>
        <v/>
      </c>
      <c r="F375" t="e">
        <f ca="1">_xludf.IFNA(VLOOKUP(B375,'S-FG'!$B$3:$B1001,1,FALSE),"")</f>
        <v>#NAME?</v>
      </c>
      <c r="H375" t="str">
        <f ca="1">IFERROR(__xludf.DUMMYFUNCTION("""COMPUTED_VALUE"""),"IP Remote Assy")</f>
        <v>IP Remote Assy</v>
      </c>
      <c r="I375" t="str">
        <f ca="1">IFERROR(__xludf.DUMMYFUNCTION("""COMPUTED_VALUE"""),"M2x12 Allen Head SS304")</f>
        <v>M2x12 Allen Head SS304</v>
      </c>
      <c r="J375">
        <f ca="1">IFERROR(__xludf.DUMMYFUNCTION("""COMPUTED_VALUE"""),20)</f>
        <v>20</v>
      </c>
      <c r="K375" t="str">
        <f ca="1">IFERROR(__xludf.DUMMYFUNCTION("""COMPUTED_VALUE"""),"blank")</f>
        <v>blank</v>
      </c>
      <c r="L375">
        <f t="shared" ca="1" si="4"/>
        <v>0</v>
      </c>
      <c r="Q375" t="str">
        <f>IF(N375="","",SUMIFS(Issue!$D$3:$D1001,Issue!$C$3:$C1001,N375))</f>
        <v/>
      </c>
      <c r="S375" t="str">
        <f ca="1">IFERROR(__xludf.DUMMYFUNCTION("""COMPUTED_VALUE"""),"Neck Strap")</f>
        <v>Neck Strap</v>
      </c>
      <c r="Y375" t="str">
        <f t="shared" si="5"/>
        <v/>
      </c>
      <c r="Z375" t="str">
        <f>IF(X375="","",SUMIFS(#REF!,RM!$C$4:$C991,X375))</f>
        <v/>
      </c>
      <c r="AA375" t="str">
        <f>IF(X375="","",SUMIFS(#REF!,RM!$C$4:$C991,X375))</f>
        <v/>
      </c>
      <c r="AB375" t="e">
        <f t="shared" si="6"/>
        <v>#VALUE!</v>
      </c>
      <c r="AC375" t="str">
        <f>IF(X375="","",VLOOKUP($X375,RM!$C$4:$G991,3,FALSE))</f>
        <v/>
      </c>
      <c r="AD375" t="str">
        <f>IF(X375="","",VLOOKUP($X375,RM!$C$4:$G991,4,FALSE))</f>
        <v/>
      </c>
      <c r="AE375" t="str">
        <f>IF(X375="","",VLOOKUP($X375,RM!$C$4:$G991,5,FALSE))</f>
        <v/>
      </c>
      <c r="AG375" t="str">
        <f ca="1">IFERROR(__xludf.DUMMYFUNCTION("""COMPUTED_VALUE"""),"IP Remote Assy")</f>
        <v>IP Remote Assy</v>
      </c>
      <c r="AH375" t="str">
        <f ca="1">IFERROR(__xludf.DUMMYFUNCTION("""COMPUTED_VALUE"""),"3 pin JST-XH housing")</f>
        <v>3 pin JST-XH housing</v>
      </c>
      <c r="AI375">
        <f ca="1">IFERROR(__xludf.DUMMYFUNCTION("""COMPUTED_VALUE"""),1)</f>
        <v>1</v>
      </c>
      <c r="AK375" t="e">
        <f ca="1">_xludf.IFNA(VLOOKUP(AG375,'S-FG'!$B$3:$B1001,1,FALSE),"")</f>
        <v>#NAME?</v>
      </c>
      <c r="AL375" t="e">
        <f ca="1">IF(AH375="","",SUMIFS(#REF!,RM!$C$4:$C991,AH375))</f>
        <v>#REF!</v>
      </c>
    </row>
    <row r="376" spans="5:38">
      <c r="E376" t="str">
        <f>IF(A376="","",SUMIFS(Issue!$D$3:$D1001,Issue!$C$3:$C1001,A376)*C376)</f>
        <v/>
      </c>
      <c r="F376" t="e">
        <f ca="1">_xludf.IFNA(VLOOKUP(B376,'S-FG'!$B$3:$B1001,1,FALSE),"")</f>
        <v>#NAME?</v>
      </c>
      <c r="H376" t="str">
        <f ca="1">IFERROR(__xludf.DUMMYFUNCTION("""COMPUTED_VALUE"""),"IP Remote Assy")</f>
        <v>IP Remote Assy</v>
      </c>
      <c r="I376" t="str">
        <f ca="1">IFERROR(__xludf.DUMMYFUNCTION("""COMPUTED_VALUE"""),"32Gb SD Card")</f>
        <v>32Gb SD Card</v>
      </c>
      <c r="J376">
        <f ca="1">IFERROR(__xludf.DUMMYFUNCTION("""COMPUTED_VALUE"""),1)</f>
        <v>1</v>
      </c>
      <c r="K376" t="str">
        <f ca="1">IFERROR(__xludf.DUMMYFUNCTION("""COMPUTED_VALUE"""),"blank")</f>
        <v>blank</v>
      </c>
      <c r="L376">
        <f t="shared" ca="1" si="4"/>
        <v>0</v>
      </c>
      <c r="Q376" t="str">
        <f>IF(N376="","",SUMIFS(Issue!$D$3:$D1001,Issue!$C$3:$C1001,N376))</f>
        <v/>
      </c>
      <c r="S376" t="str">
        <f ca="1">IFERROR(__xludf.DUMMYFUNCTION("""COMPUTED_VALUE"""),"M2x12 Allen Head SS304")</f>
        <v>M2x12 Allen Head SS304</v>
      </c>
      <c r="Y376" t="str">
        <f t="shared" si="5"/>
        <v/>
      </c>
      <c r="Z376" t="str">
        <f>IF(X376="","",SUMIFS(#REF!,RM!$C$4:$C991,X376))</f>
        <v/>
      </c>
      <c r="AA376" t="str">
        <f>IF(X376="","",SUMIFS(#REF!,RM!$C$4:$C991,X376))</f>
        <v/>
      </c>
      <c r="AB376" t="e">
        <f t="shared" si="6"/>
        <v>#VALUE!</v>
      </c>
      <c r="AC376" t="str">
        <f>IF(X376="","",VLOOKUP($X376,RM!$C$4:$G991,3,FALSE))</f>
        <v/>
      </c>
      <c r="AD376" t="str">
        <f>IF(X376="","",VLOOKUP($X376,RM!$C$4:$G991,4,FALSE))</f>
        <v/>
      </c>
      <c r="AE376" t="str">
        <f>IF(X376="","",VLOOKUP($X376,RM!$C$4:$G991,5,FALSE))</f>
        <v/>
      </c>
      <c r="AG376" t="str">
        <f ca="1">IFERROR(__xludf.DUMMYFUNCTION("""COMPUTED_VALUE"""),"IP Remote Assy")</f>
        <v>IP Remote Assy</v>
      </c>
      <c r="AH376" t="str">
        <f ca="1">IFERROR(__xludf.DUMMYFUNCTION("""COMPUTED_VALUE"""),"25cm Red one side crimped wire")</f>
        <v>25cm Red one side crimped wire</v>
      </c>
      <c r="AI376">
        <f ca="1">IFERROR(__xludf.DUMMYFUNCTION("""COMPUTED_VALUE"""),1)</f>
        <v>1</v>
      </c>
      <c r="AJ376" t="str">
        <f ca="1">IFERROR(__xludf.DUMMYFUNCTION("""COMPUTED_VALUE"""),"blank")</f>
        <v>blank</v>
      </c>
      <c r="AK376" t="e">
        <f ca="1">_xludf.IFNA(VLOOKUP(AG376,'S-FG'!$B$3:$B1001,1,FALSE),"")</f>
        <v>#NAME?</v>
      </c>
      <c r="AL376" t="e">
        <f ca="1">IF(AH376="","",SUMIFS(#REF!,RM!$C$4:$C991,AH376))</f>
        <v>#REF!</v>
      </c>
    </row>
    <row r="377" spans="5:38">
      <c r="E377" t="str">
        <f>IF(A377="","",SUMIFS(Issue!$D$3:$D1001,Issue!$C$3:$C1001,A377)*C377)</f>
        <v/>
      </c>
      <c r="F377" t="e">
        <f ca="1">_xludf.IFNA(VLOOKUP(B377,'S-FG'!$B$3:$B1001,1,FALSE),"")</f>
        <v>#NAME?</v>
      </c>
      <c r="H377" t="str">
        <f ca="1">IFERROR(__xludf.DUMMYFUNCTION("""COMPUTED_VALUE"""),"IP Remote Charging Cable Assy")</f>
        <v>IP Remote Charging Cable Assy</v>
      </c>
      <c r="I377" t="str">
        <f ca="1">IFERROR(__xludf.DUMMYFUNCTION("""COMPUTED_VALUE"""),"USB Data &amp; Charging Cable 1m length")</f>
        <v>USB Data &amp; Charging Cable 1m length</v>
      </c>
      <c r="J377">
        <f ca="1">IFERROR(__xludf.DUMMYFUNCTION("""COMPUTED_VALUE"""),1)</f>
        <v>1</v>
      </c>
      <c r="K377" t="str">
        <f ca="1">IFERROR(__xludf.DUMMYFUNCTION("""COMPUTED_VALUE"""),"blank")</f>
        <v>blank</v>
      </c>
      <c r="L377">
        <f t="shared" ca="1" si="4"/>
        <v>0</v>
      </c>
      <c r="Q377" t="str">
        <f>IF(N377="","",SUMIFS(Issue!$D$3:$D1001,Issue!$C$3:$C1001,N377))</f>
        <v/>
      </c>
      <c r="S377" t="str">
        <f ca="1">IFERROR(__xludf.DUMMYFUNCTION("""COMPUTED_VALUE"""),"32Gb SD Card")</f>
        <v>32Gb SD Card</v>
      </c>
      <c r="Y377" t="str">
        <f t="shared" si="5"/>
        <v/>
      </c>
      <c r="Z377" t="str">
        <f>IF(X377="","",SUMIFS(#REF!,RM!$C$4:$C991,X377))</f>
        <v/>
      </c>
      <c r="AA377" t="str">
        <f>IF(X377="","",SUMIFS(#REF!,RM!$C$4:$C991,X377))</f>
        <v/>
      </c>
      <c r="AB377" t="e">
        <f t="shared" si="6"/>
        <v>#VALUE!</v>
      </c>
      <c r="AC377" t="str">
        <f>IF(X377="","",VLOOKUP($X377,RM!$C$4:$G991,3,FALSE))</f>
        <v/>
      </c>
      <c r="AD377" t="str">
        <f>IF(X377="","",VLOOKUP($X377,RM!$C$4:$G991,4,FALSE))</f>
        <v/>
      </c>
      <c r="AE377" t="str">
        <f>IF(X377="","",VLOOKUP($X377,RM!$C$4:$G991,5,FALSE))</f>
        <v/>
      </c>
      <c r="AG377" t="str">
        <f ca="1">IFERROR(__xludf.DUMMYFUNCTION("""COMPUTED_VALUE"""),"IP Remote Assy")</f>
        <v>IP Remote Assy</v>
      </c>
      <c r="AH377" t="str">
        <f ca="1">IFERROR(__xludf.DUMMYFUNCTION("""COMPUTED_VALUE"""),"25cm Green one side crimped wire")</f>
        <v>25cm Green one side crimped wire</v>
      </c>
      <c r="AI377">
        <f ca="1">IFERROR(__xludf.DUMMYFUNCTION("""COMPUTED_VALUE"""),1)</f>
        <v>1</v>
      </c>
      <c r="AJ377" t="str">
        <f ca="1">IFERROR(__xludf.DUMMYFUNCTION("""COMPUTED_VALUE"""),"blank")</f>
        <v>blank</v>
      </c>
      <c r="AK377" t="e">
        <f ca="1">_xludf.IFNA(VLOOKUP(AG377,'S-FG'!$B$3:$B1001,1,FALSE),"")</f>
        <v>#NAME?</v>
      </c>
      <c r="AL377" t="e">
        <f ca="1">IF(AH377="","",SUMIFS(#REF!,RM!$C$4:$C991,AH377))</f>
        <v>#REF!</v>
      </c>
    </row>
    <row r="378" spans="5:38">
      <c r="E378" t="str">
        <f>IF(A378="","",SUMIFS(Issue!$D$3:$D1001,Issue!$C$3:$C1001,A378)*C378)</f>
        <v/>
      </c>
      <c r="F378" t="e">
        <f ca="1">_xludf.IFNA(VLOOKUP(B378,'S-FG'!$B$3:$B1001,1,FALSE),"")</f>
        <v>#NAME?</v>
      </c>
      <c r="H378" t="str">
        <f ca="1">IFERROR(__xludf.DUMMYFUNCTION("""COMPUTED_VALUE"""),"IP Remote Charging Cable Assy")</f>
        <v>IP Remote Charging Cable Assy</v>
      </c>
      <c r="I378" t="str">
        <f ca="1">IFERROR(__xludf.DUMMYFUNCTION("""COMPUTED_VALUE"""),"5v 2A USB Adapter")</f>
        <v>5v 2A USB Adapter</v>
      </c>
      <c r="J378">
        <f ca="1">IFERROR(__xludf.DUMMYFUNCTION("""COMPUTED_VALUE"""),1)</f>
        <v>1</v>
      </c>
      <c r="K378" t="str">
        <f ca="1">IFERROR(__xludf.DUMMYFUNCTION("""COMPUTED_VALUE"""),"blank")</f>
        <v>blank</v>
      </c>
      <c r="L378">
        <f t="shared" ca="1" si="4"/>
        <v>0</v>
      </c>
      <c r="Q378" t="str">
        <f>IF(N378="","",SUMIFS(Issue!$D$3:$D1001,Issue!$C$3:$C1001,N378))</f>
        <v/>
      </c>
      <c r="S378" t="str">
        <f ca="1">IFERROR(__xludf.DUMMYFUNCTION("""COMPUTED_VALUE"""),"USB Data &amp; Charging Cable 1m length")</f>
        <v>USB Data &amp; Charging Cable 1m length</v>
      </c>
      <c r="Y378" t="str">
        <f t="shared" si="5"/>
        <v/>
      </c>
      <c r="Z378" t="str">
        <f>IF(X378="","",SUMIFS(#REF!,RM!$C$4:$C991,X378))</f>
        <v/>
      </c>
      <c r="AA378" t="str">
        <f>IF(X378="","",SUMIFS(#REF!,RM!$C$4:$C991,X378))</f>
        <v/>
      </c>
      <c r="AB378" t="e">
        <f t="shared" si="6"/>
        <v>#VALUE!</v>
      </c>
      <c r="AC378" t="str">
        <f>IF(X378="","",VLOOKUP($X378,RM!$C$4:$G991,3,FALSE))</f>
        <v/>
      </c>
      <c r="AD378" t="str">
        <f>IF(X378="","",VLOOKUP($X378,RM!$C$4:$G991,4,FALSE))</f>
        <v/>
      </c>
      <c r="AE378" t="str">
        <f>IF(X378="","",VLOOKUP($X378,RM!$C$4:$G991,5,FALSE))</f>
        <v/>
      </c>
      <c r="AG378" t="str">
        <f ca="1">IFERROR(__xludf.DUMMYFUNCTION("""COMPUTED_VALUE"""),"IP Remote Assy")</f>
        <v>IP Remote Assy</v>
      </c>
      <c r="AH378" t="str">
        <f ca="1">IFERROR(__xludf.DUMMYFUNCTION("""COMPUTED_VALUE"""),"25cm Black one side crimped wire")</f>
        <v>25cm Black one side crimped wire</v>
      </c>
      <c r="AI378">
        <f ca="1">IFERROR(__xludf.DUMMYFUNCTION("""COMPUTED_VALUE"""),1)</f>
        <v>1</v>
      </c>
      <c r="AJ378" t="str">
        <f ca="1">IFERROR(__xludf.DUMMYFUNCTION("""COMPUTED_VALUE"""),"blank")</f>
        <v>blank</v>
      </c>
      <c r="AK378" t="e">
        <f ca="1">_xludf.IFNA(VLOOKUP(AG378,'S-FG'!$B$3:$B1001,1,FALSE),"")</f>
        <v>#NAME?</v>
      </c>
      <c r="AL378" t="e">
        <f ca="1">IF(AH378="","",SUMIFS(#REF!,RM!$C$4:$C991,AH378))</f>
        <v>#REF!</v>
      </c>
    </row>
    <row r="379" spans="5:38">
      <c r="E379" t="str">
        <f>IF(A379="","",SUMIFS(Issue!$D$3:$D1001,Issue!$C$3:$C1001,A379)*C379)</f>
        <v/>
      </c>
      <c r="F379" t="e">
        <f ca="1">_xludf.IFNA(VLOOKUP(B379,'S-FG'!$B$3:$B1001,1,FALSE),"")</f>
        <v>#NAME?</v>
      </c>
      <c r="H379" t="str">
        <f ca="1">IFERROR(__xludf.DUMMYFUNCTION("""COMPUTED_VALUE"""),"IP Remote Charging Cable Assy")</f>
        <v>IP Remote Charging Cable Assy</v>
      </c>
      <c r="I379" t="str">
        <f ca="1">IFERROR(__xludf.DUMMYFUNCTION("""COMPUTED_VALUE"""),"SA12 9pin CM Pushpull")</f>
        <v>SA12 9pin CM Pushpull</v>
      </c>
      <c r="J379">
        <f ca="1">IFERROR(__xludf.DUMMYFUNCTION("""COMPUTED_VALUE"""),1)</f>
        <v>1</v>
      </c>
      <c r="K379" t="str">
        <f ca="1">IFERROR(__xludf.DUMMYFUNCTION("""COMPUTED_VALUE"""),"blank")</f>
        <v>blank</v>
      </c>
      <c r="L379">
        <f t="shared" ca="1" si="4"/>
        <v>0</v>
      </c>
      <c r="Q379" t="str">
        <f>IF(N379="","",SUMIFS(Issue!$D$3:$D1001,Issue!$C$3:$C1001,N379))</f>
        <v/>
      </c>
      <c r="S379" t="str">
        <f ca="1">IFERROR(__xludf.DUMMYFUNCTION("""COMPUTED_VALUE"""),"5v 2A USB Adapter")</f>
        <v>5v 2A USB Adapter</v>
      </c>
      <c r="Y379" t="str">
        <f t="shared" si="5"/>
        <v/>
      </c>
      <c r="Z379" t="str">
        <f>IF(X379="","",SUMIFS(#REF!,RM!$C$4:$C991,X379))</f>
        <v/>
      </c>
      <c r="AA379" t="str">
        <f>IF(X379="","",SUMIFS(#REF!,RM!$C$4:$C991,X379))</f>
        <v/>
      </c>
      <c r="AB379" t="e">
        <f t="shared" si="6"/>
        <v>#VALUE!</v>
      </c>
      <c r="AC379" t="str">
        <f>IF(X379="","",VLOOKUP($X379,RM!$C$4:$G991,3,FALSE))</f>
        <v/>
      </c>
      <c r="AD379" t="str">
        <f>IF(X379="","",VLOOKUP($X379,RM!$C$4:$G991,4,FALSE))</f>
        <v/>
      </c>
      <c r="AE379" t="str">
        <f>IF(X379="","",VLOOKUP($X379,RM!$C$4:$G991,5,FALSE))</f>
        <v/>
      </c>
      <c r="AG379" t="str">
        <f ca="1">IFERROR(__xludf.DUMMYFUNCTION("""COMPUTED_VALUE"""),"IP Remote Assy")</f>
        <v>IP Remote Assy</v>
      </c>
      <c r="AH379" t="str">
        <f ca="1">IFERROR(__xludf.DUMMYFUNCTION("""COMPUTED_VALUE"""),"Tactile switch ")</f>
        <v xml:space="preserve">Tactile switch </v>
      </c>
      <c r="AI379">
        <f ca="1">IFERROR(__xludf.DUMMYFUNCTION("""COMPUTED_VALUE"""),0)</f>
        <v>0</v>
      </c>
      <c r="AJ379" t="str">
        <f ca="1">IFERROR(__xludf.DUMMYFUNCTION("""COMPUTED_VALUE"""),"blank")</f>
        <v>blank</v>
      </c>
      <c r="AK379" t="e">
        <f ca="1">_xludf.IFNA(VLOOKUP(AG379,'S-FG'!$B$3:$B1001,1,FALSE),"")</f>
        <v>#NAME?</v>
      </c>
      <c r="AL379" t="e">
        <f ca="1">IF(AH379="","",SUMIFS(#REF!,RM!$C$4:$C991,AH379))</f>
        <v>#REF!</v>
      </c>
    </row>
    <row r="380" spans="5:38">
      <c r="E380" t="str">
        <f>IF(A380="","",SUMIFS(Issue!$D$3:$D1001,Issue!$C$3:$C1001,A380)*C380)</f>
        <v/>
      </c>
      <c r="F380" t="e">
        <f ca="1">_xludf.IFNA(VLOOKUP(B380,'S-FG'!$B$3:$B1001,1,FALSE),"")</f>
        <v>#NAME?</v>
      </c>
      <c r="H380" t="str">
        <f ca="1">IFERROR(__xludf.DUMMYFUNCTION("""COMPUTED_VALUE"""),"IP Remote Charging Cable Assy")</f>
        <v>IP Remote Charging Cable Assy</v>
      </c>
      <c r="I380" t="str">
        <f ca="1">IFERROR(__xludf.DUMMYFUNCTION("""COMPUTED_VALUE"""),"Rotary Knob Box 3D print")</f>
        <v>Rotary Knob Box 3D print</v>
      </c>
      <c r="J380">
        <f ca="1">IFERROR(__xludf.DUMMYFUNCTION("""COMPUTED_VALUE"""),1)</f>
        <v>1</v>
      </c>
      <c r="K380" t="str">
        <f ca="1">IFERROR(__xludf.DUMMYFUNCTION("""COMPUTED_VALUE"""),"blank")</f>
        <v>blank</v>
      </c>
      <c r="L380">
        <f t="shared" ca="1" si="4"/>
        <v>0</v>
      </c>
      <c r="Q380" t="str">
        <f>IF(N380="","",SUMIFS(Issue!$D$3:$D1001,Issue!$C$3:$C1001,N380))</f>
        <v/>
      </c>
      <c r="S380" t="str">
        <f ca="1">IFERROR(__xludf.DUMMYFUNCTION("""COMPUTED_VALUE"""),"SA12 9pin CM Pushpull")</f>
        <v>SA12 9pin CM Pushpull</v>
      </c>
      <c r="Y380" t="str">
        <f t="shared" si="5"/>
        <v/>
      </c>
      <c r="Z380" t="str">
        <f>IF(X380="","",SUMIFS(#REF!,RM!$C$4:$C991,X380))</f>
        <v/>
      </c>
      <c r="AA380" t="str">
        <f>IF(X380="","",SUMIFS(#REF!,RM!$C$4:$C991,X380))</f>
        <v/>
      </c>
      <c r="AB380" t="e">
        <f t="shared" si="6"/>
        <v>#VALUE!</v>
      </c>
      <c r="AC380" t="str">
        <f>IF(X380="","",VLOOKUP($X380,RM!$C$4:$G991,3,FALSE))</f>
        <v/>
      </c>
      <c r="AD380" t="str">
        <f>IF(X380="","",VLOOKUP($X380,RM!$C$4:$G991,4,FALSE))</f>
        <v/>
      </c>
      <c r="AE380" t="str">
        <f>IF(X380="","",VLOOKUP($X380,RM!$C$4:$G991,5,FALSE))</f>
        <v/>
      </c>
      <c r="AG380" t="str">
        <f ca="1">IFERROR(__xludf.DUMMYFUNCTION("""COMPUTED_VALUE"""),"IP Remote Assy")</f>
        <v>IP Remote Assy</v>
      </c>
      <c r="AH380" t="str">
        <f ca="1">IFERROR(__xludf.DUMMYFUNCTION("""COMPUTED_VALUE"""),"R9M Antenna Extension wire RP-SMA to Open")</f>
        <v>R9M Antenna Extension wire RP-SMA to Open</v>
      </c>
      <c r="AI380">
        <f ca="1">IFERROR(__xludf.DUMMYFUNCTION("""COMPUTED_VALUE"""),1)</f>
        <v>1</v>
      </c>
      <c r="AJ380" t="str">
        <f ca="1">IFERROR(__xludf.DUMMYFUNCTION("""COMPUTED_VALUE"""),"blank")</f>
        <v>blank</v>
      </c>
      <c r="AK380" t="e">
        <f ca="1">_xludf.IFNA(VLOOKUP(AG380,'S-FG'!$B$3:$B1001,1,FALSE),"")</f>
        <v>#NAME?</v>
      </c>
      <c r="AL380" t="e">
        <f ca="1">IF(AH380="","",SUMIFS(#REF!,RM!$C$4:$C991,AH380))</f>
        <v>#REF!</v>
      </c>
    </row>
    <row r="381" spans="5:38">
      <c r="E381" t="str">
        <f>IF(A381="","",SUMIFS(Issue!$D$3:$D1001,Issue!$C$3:$C1001,A381)*C381)</f>
        <v/>
      </c>
      <c r="F381" t="e">
        <f ca="1">_xludf.IFNA(VLOOKUP(B381,'S-FG'!$B$3:$B1001,1,FALSE),"")</f>
        <v>#NAME?</v>
      </c>
      <c r="H381" t="str">
        <f ca="1">IFERROR(__xludf.DUMMYFUNCTION("""COMPUTED_VALUE"""),"AMCA Elec Assy")</f>
        <v>AMCA Elec Assy</v>
      </c>
      <c r="I381" t="str">
        <f ca="1">IFERROR(__xludf.DUMMYFUNCTION("""COMPUTED_VALUE"""),"1N4007 THT diode")</f>
        <v>1N4007 THT diode</v>
      </c>
      <c r="J381">
        <f ca="1">IFERROR(__xludf.DUMMYFUNCTION("""COMPUTED_VALUE"""),4)</f>
        <v>4</v>
      </c>
      <c r="K381" t="str">
        <f ca="1">IFERROR(__xludf.DUMMYFUNCTION("""COMPUTED_VALUE"""),"blank")</f>
        <v>blank</v>
      </c>
      <c r="L381">
        <f t="shared" ca="1" si="4"/>
        <v>0</v>
      </c>
      <c r="Q381" t="str">
        <f>IF(N381="","",SUMIFS(Issue!$D$3:$D1001,Issue!$C$3:$C1001,N381))</f>
        <v/>
      </c>
      <c r="S381" t="str">
        <f ca="1">IFERROR(__xludf.DUMMYFUNCTION("""COMPUTED_VALUE"""),"Rotary Knob Box 3D print")</f>
        <v>Rotary Knob Box 3D print</v>
      </c>
      <c r="Y381" t="str">
        <f t="shared" si="5"/>
        <v/>
      </c>
      <c r="Z381" t="str">
        <f>IF(X381="","",SUMIFS(#REF!,RM!$C$4:$C991,X381))</f>
        <v/>
      </c>
      <c r="AA381" t="str">
        <f>IF(X381="","",SUMIFS(#REF!,RM!$C$4:$C991,X381))</f>
        <v/>
      </c>
      <c r="AB381" t="e">
        <f t="shared" si="6"/>
        <v>#VALUE!</v>
      </c>
      <c r="AC381" t="str">
        <f>IF(X381="","",VLOOKUP($X381,RM!$C$4:$G991,3,FALSE))</f>
        <v/>
      </c>
      <c r="AD381" t="str">
        <f>IF(X381="","",VLOOKUP($X381,RM!$C$4:$G991,4,FALSE))</f>
        <v/>
      </c>
      <c r="AE381" t="str">
        <f>IF(X381="","",VLOOKUP($X381,RM!$C$4:$G991,5,FALSE))</f>
        <v/>
      </c>
      <c r="AG381" t="str">
        <f ca="1">IFERROR(__xludf.DUMMYFUNCTION("""COMPUTED_VALUE"""),"IP Remote Assy")</f>
        <v>IP Remote Assy</v>
      </c>
      <c r="AH381" t="str">
        <f ca="1">IFERROR(__xludf.DUMMYFUNCTION("""COMPUTED_VALUE"""),"Black 14/38 Wire")</f>
        <v>Black 14/38 Wire</v>
      </c>
      <c r="AI381">
        <f ca="1">IFERROR(__xludf.DUMMYFUNCTION("""COMPUTED_VALUE"""),0.2)</f>
        <v>0.2</v>
      </c>
      <c r="AK381" t="e">
        <f ca="1">_xludf.IFNA(VLOOKUP(AG381,'S-FG'!$B$3:$B1001,1,FALSE),"")</f>
        <v>#NAME?</v>
      </c>
      <c r="AL381" t="e">
        <f ca="1">IF(AH381="","",SUMIFS(#REF!,RM!$C$4:$C991,AH381))</f>
        <v>#REF!</v>
      </c>
    </row>
    <row r="382" spans="5:38">
      <c r="E382" t="str">
        <f>IF(A382="","",SUMIFS(Issue!$D$3:$D1001,Issue!$C$3:$C1001,A382)*C382)</f>
        <v/>
      </c>
      <c r="F382" t="e">
        <f ca="1">_xludf.IFNA(VLOOKUP(B382,'S-FG'!$B$3:$B1001,1,FALSE),"")</f>
        <v>#NAME?</v>
      </c>
      <c r="H382" t="str">
        <f ca="1">IFERROR(__xludf.DUMMYFUNCTION("""COMPUTED_VALUE"""),"AMCA Elec Assy")</f>
        <v>AMCA Elec Assy</v>
      </c>
      <c r="I382" t="str">
        <f ca="1">IFERROR(__xludf.DUMMYFUNCTION("""COMPUTED_VALUE"""),"Water flow sensor")</f>
        <v>Water flow sensor</v>
      </c>
      <c r="J382">
        <f ca="1">IFERROR(__xludf.DUMMYFUNCTION("""COMPUTED_VALUE"""),1)</f>
        <v>1</v>
      </c>
      <c r="K382" t="str">
        <f ca="1">IFERROR(__xludf.DUMMYFUNCTION("""COMPUTED_VALUE"""),"blank")</f>
        <v>blank</v>
      </c>
      <c r="L382">
        <f t="shared" ca="1" si="4"/>
        <v>0</v>
      </c>
      <c r="Q382" t="str">
        <f>IF(N382="","",SUMIFS(Issue!$D$3:$D1001,Issue!$C$3:$C1001,N382))</f>
        <v/>
      </c>
      <c r="S382" t="str">
        <f ca="1">IFERROR(__xludf.DUMMYFUNCTION("""COMPUTED_VALUE"""),"1N4007 THT diode")</f>
        <v>1N4007 THT diode</v>
      </c>
      <c r="Y382" t="str">
        <f t="shared" si="5"/>
        <v/>
      </c>
      <c r="Z382" t="str">
        <f>IF(X382="","",SUMIFS(#REF!,RM!$C$4:$C991,X382))</f>
        <v/>
      </c>
      <c r="AA382" t="str">
        <f>IF(X382="","",SUMIFS(#REF!,RM!$C$4:$C991,X382))</f>
        <v/>
      </c>
      <c r="AB382" t="e">
        <f t="shared" si="6"/>
        <v>#VALUE!</v>
      </c>
      <c r="AC382" t="str">
        <f>IF(X382="","",VLOOKUP($X382,RM!$C$4:$G991,3,FALSE))</f>
        <v/>
      </c>
      <c r="AD382" t="str">
        <f>IF(X382="","",VLOOKUP($X382,RM!$C$4:$G991,4,FALSE))</f>
        <v/>
      </c>
      <c r="AE382" t="str">
        <f>IF(X382="","",VLOOKUP($X382,RM!$C$4:$G991,5,FALSE))</f>
        <v/>
      </c>
      <c r="AG382" t="str">
        <f ca="1">IFERROR(__xludf.DUMMYFUNCTION("""COMPUTED_VALUE"""),"IP Remote Assy")</f>
        <v>IP Remote Assy</v>
      </c>
      <c r="AH382" t="str">
        <f ca="1">IFERROR(__xludf.DUMMYFUNCTION("""COMPUTED_VALUE"""),"White 14/38 Wire")</f>
        <v>White 14/38 Wire</v>
      </c>
      <c r="AI382">
        <f ca="1">IFERROR(__xludf.DUMMYFUNCTION("""COMPUTED_VALUE"""),0.2)</f>
        <v>0.2</v>
      </c>
      <c r="AK382" t="e">
        <f ca="1">_xludf.IFNA(VLOOKUP(AG382,'S-FG'!$B$3:$B1001,1,FALSE),"")</f>
        <v>#NAME?</v>
      </c>
      <c r="AL382" t="e">
        <f ca="1">IF(AH382="","",SUMIFS(#REF!,RM!$C$4:$C991,AH382))</f>
        <v>#REF!</v>
      </c>
    </row>
    <row r="383" spans="5:38">
      <c r="E383" t="str">
        <f>IF(A383="","",SUMIFS(Issue!$D$3:$D1001,Issue!$C$3:$C1001,A383)*C383)</f>
        <v/>
      </c>
      <c r="F383" t="e">
        <f ca="1">_xludf.IFNA(VLOOKUP(B383,'S-FG'!$B$3:$B1001,1,FALSE),"")</f>
        <v>#NAME?</v>
      </c>
      <c r="H383" t="str">
        <f ca="1">IFERROR(__xludf.DUMMYFUNCTION("""COMPUTED_VALUE"""),"AMCA Elec Assy")</f>
        <v>AMCA Elec Assy</v>
      </c>
      <c r="I383" t="str">
        <f ca="1">IFERROR(__xludf.DUMMYFUNCTION("""COMPUTED_VALUE"""),"Water pump")</f>
        <v>Water pump</v>
      </c>
      <c r="J383">
        <f ca="1">IFERROR(__xludf.DUMMYFUNCTION("""COMPUTED_VALUE"""),1)</f>
        <v>1</v>
      </c>
      <c r="K383" t="str">
        <f ca="1">IFERROR(__xludf.DUMMYFUNCTION("""COMPUTED_VALUE"""),"blank")</f>
        <v>blank</v>
      </c>
      <c r="L383">
        <f t="shared" ca="1" si="4"/>
        <v>0</v>
      </c>
      <c r="Q383" t="str">
        <f>IF(N383="","",SUMIFS(Issue!$D$3:$D1001,Issue!$C$3:$C1001,N383))</f>
        <v/>
      </c>
      <c r="S383" t="str">
        <f ca="1">IFERROR(__xludf.DUMMYFUNCTION("""COMPUTED_VALUE"""),"Water flow sensor")</f>
        <v>Water flow sensor</v>
      </c>
      <c r="Y383" t="str">
        <f t="shared" si="5"/>
        <v/>
      </c>
      <c r="Z383" t="str">
        <f>IF(X383="","",SUMIFS(#REF!,RM!$C$4:$C991,X383))</f>
        <v/>
      </c>
      <c r="AA383" t="str">
        <f>IF(X383="","",SUMIFS(#REF!,RM!$C$4:$C991,X383))</f>
        <v/>
      </c>
      <c r="AB383" t="e">
        <f t="shared" si="6"/>
        <v>#VALUE!</v>
      </c>
      <c r="AC383" t="str">
        <f>IF(X383="","",VLOOKUP($X383,RM!$C$4:$G991,3,FALSE))</f>
        <v/>
      </c>
      <c r="AD383" t="str">
        <f>IF(X383="","",VLOOKUP($X383,RM!$C$4:$G991,4,FALSE))</f>
        <v/>
      </c>
      <c r="AE383" t="str">
        <f>IF(X383="","",VLOOKUP($X383,RM!$C$4:$G991,5,FALSE))</f>
        <v/>
      </c>
      <c r="AG383" t="str">
        <f ca="1">IFERROR(__xludf.DUMMYFUNCTION("""COMPUTED_VALUE"""),"IP Remote Assy")</f>
        <v>IP Remote Assy</v>
      </c>
      <c r="AH383" t="str">
        <f ca="1">IFERROR(__xludf.DUMMYFUNCTION("""COMPUTED_VALUE"""),"Sky Blue 14/38 Wire")</f>
        <v>Sky Blue 14/38 Wire</v>
      </c>
      <c r="AI383">
        <f ca="1">IFERROR(__xludf.DUMMYFUNCTION("""COMPUTED_VALUE"""),0.2)</f>
        <v>0.2</v>
      </c>
      <c r="AK383" t="e">
        <f ca="1">_xludf.IFNA(VLOOKUP(AG383,'S-FG'!$B$3:$B1001,1,FALSE),"")</f>
        <v>#NAME?</v>
      </c>
      <c r="AL383" t="e">
        <f ca="1">IF(AH383="","",SUMIFS(#REF!,RM!$C$4:$C991,AH383))</f>
        <v>#REF!</v>
      </c>
    </row>
    <row r="384" spans="5:38">
      <c r="E384" t="str">
        <f>IF(A384="","",SUMIFS(Issue!$D$3:$D1001,Issue!$C$3:$C1001,A384)*C384)</f>
        <v/>
      </c>
      <c r="F384" t="e">
        <f ca="1">_xludf.IFNA(VLOOKUP(B384,'S-FG'!$B$3:$B1001,1,FALSE),"")</f>
        <v>#NAME?</v>
      </c>
      <c r="H384" t="str">
        <f ca="1">IFERROR(__xludf.DUMMYFUNCTION("""COMPUTED_VALUE"""),"AMCA Elec Assy")</f>
        <v>AMCA Elec Assy</v>
      </c>
      <c r="I384" t="str">
        <f ca="1">IFERROR(__xludf.DUMMYFUNCTION("""COMPUTED_VALUE"""),"3S Lipo indicator")</f>
        <v>3S Lipo indicator</v>
      </c>
      <c r="J384">
        <f ca="1">IFERROR(__xludf.DUMMYFUNCTION("""COMPUTED_VALUE"""),1)</f>
        <v>1</v>
      </c>
      <c r="K384" t="str">
        <f ca="1">IFERROR(__xludf.DUMMYFUNCTION("""COMPUTED_VALUE"""),"blank")</f>
        <v>blank</v>
      </c>
      <c r="L384">
        <f t="shared" ca="1" si="4"/>
        <v>0</v>
      </c>
      <c r="Q384" t="str">
        <f>IF(N384="","",SUMIFS(Issue!$D$3:$D1001,Issue!$C$3:$C1001,N384))</f>
        <v/>
      </c>
      <c r="S384" t="str">
        <f ca="1">IFERROR(__xludf.DUMMYFUNCTION("""COMPUTED_VALUE"""),"Water pump")</f>
        <v>Water pump</v>
      </c>
      <c r="Y384" t="str">
        <f t="shared" si="5"/>
        <v/>
      </c>
      <c r="Z384" t="str">
        <f>IF(X384="","",SUMIFS(#REF!,RM!$C$4:$C991,X384))</f>
        <v/>
      </c>
      <c r="AA384" t="str">
        <f>IF(X384="","",SUMIFS(#REF!,RM!$C$4:$C991,X384))</f>
        <v/>
      </c>
      <c r="AB384" t="e">
        <f t="shared" si="6"/>
        <v>#VALUE!</v>
      </c>
      <c r="AC384" t="str">
        <f>IF(X384="","",VLOOKUP($X384,RM!$C$4:$G991,3,FALSE))</f>
        <v/>
      </c>
      <c r="AD384" t="str">
        <f>IF(X384="","",VLOOKUP($X384,RM!$C$4:$G991,4,FALSE))</f>
        <v/>
      </c>
      <c r="AE384" t="str">
        <f>IF(X384="","",VLOOKUP($X384,RM!$C$4:$G991,5,FALSE))</f>
        <v/>
      </c>
      <c r="AG384" t="str">
        <f ca="1">IFERROR(__xludf.DUMMYFUNCTION("""COMPUTED_VALUE"""),"IP Remote Assy")</f>
        <v>IP Remote Assy</v>
      </c>
      <c r="AH384" t="str">
        <f ca="1">IFERROR(__xludf.DUMMYFUNCTION("""COMPUTED_VALUE"""),"Red 14/38 wire")</f>
        <v>Red 14/38 wire</v>
      </c>
      <c r="AI384">
        <f ca="1">IFERROR(__xludf.DUMMYFUNCTION("""COMPUTED_VALUE"""),0.2)</f>
        <v>0.2</v>
      </c>
      <c r="AK384" t="e">
        <f ca="1">_xludf.IFNA(VLOOKUP(AG384,'S-FG'!$B$3:$B1001,1,FALSE),"")</f>
        <v>#NAME?</v>
      </c>
      <c r="AL384" t="e">
        <f ca="1">IF(AH384="","",SUMIFS(#REF!,RM!$C$4:$C991,AH384))</f>
        <v>#REF!</v>
      </c>
    </row>
    <row r="385" spans="5:38">
      <c r="E385" t="str">
        <f>IF(A385="","",SUMIFS(Issue!$D$3:$D1001,Issue!$C$3:$C1001,A385)*C385)</f>
        <v/>
      </c>
      <c r="F385" t="e">
        <f ca="1">_xludf.IFNA(VLOOKUP(B385,'S-FG'!$B$3:$B1001,1,FALSE),"")</f>
        <v>#NAME?</v>
      </c>
      <c r="H385" t="str">
        <f ca="1">IFERROR(__xludf.DUMMYFUNCTION("""COMPUTED_VALUE"""),"AMCA Elec Assy")</f>
        <v>AMCA Elec Assy</v>
      </c>
      <c r="I385" t="str">
        <f ca="1">IFERROR(__xludf.DUMMYFUNCTION("""COMPUTED_VALUE"""),"Lipo Indicator Casings")</f>
        <v>Lipo Indicator Casings</v>
      </c>
      <c r="J385">
        <f ca="1">IFERROR(__xludf.DUMMYFUNCTION("""COMPUTED_VALUE"""),1)</f>
        <v>1</v>
      </c>
      <c r="L385">
        <f t="shared" ca="1" si="4"/>
        <v>0</v>
      </c>
      <c r="Q385" t="str">
        <f>IF(N385="","",SUMIFS(Issue!$D$3:$D1001,Issue!$C$3:$C1001,N385))</f>
        <v/>
      </c>
      <c r="S385" t="str">
        <f ca="1">IFERROR(__xludf.DUMMYFUNCTION("""COMPUTED_VALUE"""),"3S Lipo indicator")</f>
        <v>3S Lipo indicator</v>
      </c>
      <c r="Y385" t="str">
        <f t="shared" si="5"/>
        <v/>
      </c>
      <c r="Z385" t="str">
        <f>IF(X385="","",SUMIFS(#REF!,RM!$C$4:$C991,X385))</f>
        <v/>
      </c>
      <c r="AA385" t="str">
        <f>IF(X385="","",SUMIFS(#REF!,RM!$C$4:$C991,X385))</f>
        <v/>
      </c>
      <c r="AB385" t="e">
        <f t="shared" si="6"/>
        <v>#VALUE!</v>
      </c>
      <c r="AC385" t="str">
        <f>IF(X385="","",VLOOKUP($X385,RM!$C$4:$G991,3,FALSE))</f>
        <v/>
      </c>
      <c r="AD385" t="str">
        <f>IF(X385="","",VLOOKUP($X385,RM!$C$4:$G991,4,FALSE))</f>
        <v/>
      </c>
      <c r="AE385" t="str">
        <f>IF(X385="","",VLOOKUP($X385,RM!$C$4:$G991,5,FALSE))</f>
        <v/>
      </c>
      <c r="AG385" t="str">
        <f ca="1">IFERROR(__xludf.DUMMYFUNCTION("""COMPUTED_VALUE"""),"IP Remote Assy")</f>
        <v>IP Remote Assy</v>
      </c>
      <c r="AH385" t="str">
        <f ca="1">IFERROR(__xludf.DUMMYFUNCTION("""COMPUTED_VALUE"""),"Yellow 14/38 Wire")</f>
        <v>Yellow 14/38 Wire</v>
      </c>
      <c r="AI385">
        <f ca="1">IFERROR(__xludf.DUMMYFUNCTION("""COMPUTED_VALUE"""),0.2)</f>
        <v>0.2</v>
      </c>
      <c r="AK385" t="e">
        <f ca="1">_xludf.IFNA(VLOOKUP(AG385,'S-FG'!$B$3:$B1001,1,FALSE),"")</f>
        <v>#NAME?</v>
      </c>
      <c r="AL385" t="e">
        <f ca="1">IF(AH385="","",SUMIFS(#REF!,RM!$C$4:$C991,AH385))</f>
        <v>#REF!</v>
      </c>
    </row>
    <row r="386" spans="5:38">
      <c r="E386" t="str">
        <f>IF(A386="","",SUMIFS(Issue!$D$3:$D1001,Issue!$C$3:$C1001,A386)*C386)</f>
        <v/>
      </c>
      <c r="F386" t="e">
        <f ca="1">_xludf.IFNA(VLOOKUP(B386,'S-FG'!$B$3:$B1001,1,FALSE),"")</f>
        <v>#NAME?</v>
      </c>
      <c r="H386" t="str">
        <f ca="1">IFERROR(__xludf.DUMMYFUNCTION("""COMPUTED_VALUE"""),"AMCA Elec Assy")</f>
        <v>AMCA Elec Assy</v>
      </c>
      <c r="I386" t="str">
        <f ca="1">IFERROR(__xludf.DUMMYFUNCTION("""COMPUTED_VALUE"""),"LM2596HW for PC")</f>
        <v>LM2596HW for PC</v>
      </c>
      <c r="J386">
        <f ca="1">IFERROR(__xludf.DUMMYFUNCTION("""COMPUTED_VALUE"""),1)</f>
        <v>1</v>
      </c>
      <c r="K386" t="str">
        <f ca="1">IFERROR(__xludf.DUMMYFUNCTION("""COMPUTED_VALUE"""),"blank")</f>
        <v>blank</v>
      </c>
      <c r="L386">
        <f t="shared" ca="1" si="4"/>
        <v>0</v>
      </c>
      <c r="Q386" t="str">
        <f>IF(N386="","",SUMIFS(Issue!$D$3:$D1001,Issue!$C$3:$C1001,N386))</f>
        <v/>
      </c>
      <c r="S386" t="str">
        <f ca="1">IFERROR(__xludf.DUMMYFUNCTION("""COMPUTED_VALUE"""),"Lipo Indicator Casings")</f>
        <v>Lipo Indicator Casings</v>
      </c>
      <c r="Y386" t="str">
        <f t="shared" si="5"/>
        <v/>
      </c>
      <c r="Z386" t="str">
        <f>IF(X386="","",SUMIFS(#REF!,RM!$C$4:$C991,X386))</f>
        <v/>
      </c>
      <c r="AA386" t="str">
        <f>IF(X386="","",SUMIFS(#REF!,RM!$C$4:$C991,X386))</f>
        <v/>
      </c>
      <c r="AB386" t="e">
        <f t="shared" si="6"/>
        <v>#VALUE!</v>
      </c>
      <c r="AC386" t="str">
        <f>IF(X386="","",VLOOKUP($X386,RM!$C$4:$G991,3,FALSE))</f>
        <v/>
      </c>
      <c r="AD386" t="str">
        <f>IF(X386="","",VLOOKUP($X386,RM!$C$4:$G991,4,FALSE))</f>
        <v/>
      </c>
      <c r="AE386" t="str">
        <f>IF(X386="","",VLOOKUP($X386,RM!$C$4:$G991,5,FALSE))</f>
        <v/>
      </c>
      <c r="AG386" t="str">
        <f ca="1">IFERROR(__xludf.DUMMYFUNCTION("""COMPUTED_VALUE"""),"IP Remote Assy")</f>
        <v>IP Remote Assy</v>
      </c>
      <c r="AH386" t="str">
        <f ca="1">IFERROR(__xludf.DUMMYFUNCTION("""COMPUTED_VALUE"""),"Orange 14/38 Wire")</f>
        <v>Orange 14/38 Wire</v>
      </c>
      <c r="AI386">
        <f ca="1">IFERROR(__xludf.DUMMYFUNCTION("""COMPUTED_VALUE"""),0.2)</f>
        <v>0.2</v>
      </c>
      <c r="AK386" t="e">
        <f ca="1">_xludf.IFNA(VLOOKUP(AG386,'S-FG'!$B$3:$B1001,1,FALSE),"")</f>
        <v>#NAME?</v>
      </c>
      <c r="AL386" t="e">
        <f ca="1">IF(AH386="","",SUMIFS(#REF!,RM!$C$4:$C991,AH386))</f>
        <v>#REF!</v>
      </c>
    </row>
    <row r="387" spans="5:38">
      <c r="E387" t="str">
        <f>IF(A387="","",SUMIFS(Issue!$D$3:$D1001,Issue!$C$3:$C1001,A387)*C387)</f>
        <v/>
      </c>
      <c r="F387" t="e">
        <f ca="1">_xludf.IFNA(VLOOKUP(B387,'S-FG'!$B$3:$B1001,1,FALSE),"")</f>
        <v>#NAME?</v>
      </c>
      <c r="H387" t="str">
        <f ca="1">IFERROR(__xludf.DUMMYFUNCTION("""COMPUTED_VALUE"""),"AMCA Elec Assy")</f>
        <v>AMCA Elec Assy</v>
      </c>
      <c r="I387" t="str">
        <f ca="1">IFERROR(__xludf.DUMMYFUNCTION("""COMPUTED_VALUE"""),"Momentary Switch JCB")</f>
        <v>Momentary Switch JCB</v>
      </c>
      <c r="J387">
        <f ca="1">IFERROR(__xludf.DUMMYFUNCTION("""COMPUTED_VALUE"""),1)</f>
        <v>1</v>
      </c>
      <c r="L387">
        <f t="shared" ca="1" si="4"/>
        <v>0</v>
      </c>
      <c r="Q387" t="str">
        <f>IF(N387="","",SUMIFS(Issue!$D$3:$D1001,Issue!$C$3:$C1001,N387))</f>
        <v/>
      </c>
      <c r="S387" t="str">
        <f ca="1">IFERROR(__xludf.DUMMYFUNCTION("""COMPUTED_VALUE"""),"LM2596HW for PC")</f>
        <v>LM2596HW for PC</v>
      </c>
      <c r="Y387" t="str">
        <f t="shared" si="5"/>
        <v/>
      </c>
      <c r="Z387" t="str">
        <f>IF(X387="","",SUMIFS(#REF!,RM!$C$4:$C991,X387))</f>
        <v/>
      </c>
      <c r="AA387" t="str">
        <f>IF(X387="","",SUMIFS(#REF!,RM!$C$4:$C991,X387))</f>
        <v/>
      </c>
      <c r="AB387" t="e">
        <f t="shared" si="6"/>
        <v>#VALUE!</v>
      </c>
      <c r="AC387" t="str">
        <f>IF(X387="","",VLOOKUP($X387,RM!$C$4:$G991,3,FALSE))</f>
        <v/>
      </c>
      <c r="AD387" t="str">
        <f>IF(X387="","",VLOOKUP($X387,RM!$C$4:$G991,4,FALSE))</f>
        <v/>
      </c>
      <c r="AE387" t="str">
        <f>IF(X387="","",VLOOKUP($X387,RM!$C$4:$G991,5,FALSE))</f>
        <v/>
      </c>
      <c r="AG387" t="str">
        <f ca="1">IFERROR(__xludf.DUMMYFUNCTION("""COMPUTED_VALUE"""),"IP Remote Assy")</f>
        <v>IP Remote Assy</v>
      </c>
      <c r="AH387" t="str">
        <f ca="1">IFERROR(__xludf.DUMMYFUNCTION("""COMPUTED_VALUE"""),"Green 14/38 Wire")</f>
        <v>Green 14/38 Wire</v>
      </c>
      <c r="AI387">
        <f ca="1">IFERROR(__xludf.DUMMYFUNCTION("""COMPUTED_VALUE"""),0.2)</f>
        <v>0.2</v>
      </c>
      <c r="AK387" t="e">
        <f ca="1">_xludf.IFNA(VLOOKUP(AG387,'S-FG'!$B$3:$B1001,1,FALSE),"")</f>
        <v>#NAME?</v>
      </c>
      <c r="AL387" t="e">
        <f ca="1">IF(AH387="","",SUMIFS(#REF!,RM!$C$4:$C991,AH387))</f>
        <v>#REF!</v>
      </c>
    </row>
    <row r="388" spans="5:38">
      <c r="E388" t="str">
        <f>IF(A388="","",SUMIFS(Issue!$D$3:$D1001,Issue!$C$3:$C1001,A388)*C388)</f>
        <v/>
      </c>
      <c r="F388" t="e">
        <f ca="1">_xludf.IFNA(VLOOKUP(B388,'S-FG'!$B$3:$B1001,1,FALSE),"")</f>
        <v>#NAME?</v>
      </c>
      <c r="H388" t="str">
        <f ca="1">IFERROR(__xludf.DUMMYFUNCTION("""COMPUTED_VALUE"""),"AMCA Elec Assy")</f>
        <v>AMCA Elec Assy</v>
      </c>
      <c r="I388" t="str">
        <f ca="1">IFERROR(__xludf.DUMMYFUNCTION("""COMPUTED_VALUE"""),"Latching Power switch JCB")</f>
        <v>Latching Power switch JCB</v>
      </c>
      <c r="J388">
        <f ca="1">IFERROR(__xludf.DUMMYFUNCTION("""COMPUTED_VALUE"""),1)</f>
        <v>1</v>
      </c>
      <c r="L388">
        <f t="shared" ca="1" si="4"/>
        <v>0</v>
      </c>
      <c r="Q388" t="str">
        <f>IF(N388="","",SUMIFS(Issue!$D$3:$D1001,Issue!$C$3:$C1001,N388))</f>
        <v/>
      </c>
      <c r="S388" t="str">
        <f ca="1">IFERROR(__xludf.DUMMYFUNCTION("""COMPUTED_VALUE"""),"Momentary Switch JCB")</f>
        <v>Momentary Switch JCB</v>
      </c>
      <c r="Y388" t="str">
        <f t="shared" si="5"/>
        <v/>
      </c>
      <c r="Z388" t="str">
        <f>IF(X388="","",SUMIFS(#REF!,RM!$C$4:$C991,X388))</f>
        <v/>
      </c>
      <c r="AA388" t="str">
        <f>IF(X388="","",SUMIFS(#REF!,RM!$C$4:$C991,X388))</f>
        <v/>
      </c>
      <c r="AB388" t="e">
        <f t="shared" si="6"/>
        <v>#VALUE!</v>
      </c>
      <c r="AC388" t="str">
        <f>IF(X388="","",VLOOKUP($X388,RM!$C$4:$G991,3,FALSE))</f>
        <v/>
      </c>
      <c r="AD388" t="str">
        <f>IF(X388="","",VLOOKUP($X388,RM!$C$4:$G991,4,FALSE))</f>
        <v/>
      </c>
      <c r="AE388" t="str">
        <f>IF(X388="","",VLOOKUP($X388,RM!$C$4:$G991,5,FALSE))</f>
        <v/>
      </c>
      <c r="AG388" t="str">
        <f ca="1">IFERROR(__xludf.DUMMYFUNCTION("""COMPUTED_VALUE"""),"IP Remote Assy")</f>
        <v>IP Remote Assy</v>
      </c>
      <c r="AH388" t="str">
        <f ca="1">IFERROR(__xludf.DUMMYFUNCTION("""COMPUTED_VALUE"""),"Purple 14/38 Wire")</f>
        <v>Purple 14/38 Wire</v>
      </c>
      <c r="AI388">
        <f ca="1">IFERROR(__xludf.DUMMYFUNCTION("""COMPUTED_VALUE"""),0.2)</f>
        <v>0.2</v>
      </c>
      <c r="AK388" t="e">
        <f ca="1">_xludf.IFNA(VLOOKUP(AG388,'S-FG'!$B$3:$B1001,1,FALSE),"")</f>
        <v>#NAME?</v>
      </c>
      <c r="AL388" t="e">
        <f ca="1">IF(AH388="","",SUMIFS(#REF!,RM!$C$4:$C991,AH388))</f>
        <v>#REF!</v>
      </c>
    </row>
    <row r="389" spans="5:38">
      <c r="E389" t="str">
        <f>IF(A389="","",SUMIFS(Issue!$D$3:$D1001,Issue!$C$3:$C1001,A389)*C389)</f>
        <v/>
      </c>
      <c r="F389" t="e">
        <f ca="1">_xludf.IFNA(VLOOKUP(B389,'S-FG'!$B$3:$B1001,1,FALSE),"")</f>
        <v>#NAME?</v>
      </c>
      <c r="H389" t="str">
        <f ca="1">IFERROR(__xludf.DUMMYFUNCTION("""COMPUTED_VALUE"""),"AMCA Elec Assy")</f>
        <v>AMCA Elec Assy</v>
      </c>
      <c r="I389" t="str">
        <f ca="1">IFERROR(__xludf.DUMMYFUNCTION("""COMPUTED_VALUE"""),"PWB for JCB")</f>
        <v>PWB for JCB</v>
      </c>
      <c r="J389">
        <f ca="1">IFERROR(__xludf.DUMMYFUNCTION("""COMPUTED_VALUE"""),1)</f>
        <v>1</v>
      </c>
      <c r="K389" t="str">
        <f ca="1">IFERROR(__xludf.DUMMYFUNCTION("""COMPUTED_VALUE"""),"blank")</f>
        <v>blank</v>
      </c>
      <c r="L389">
        <f t="shared" ca="1" si="4"/>
        <v>0</v>
      </c>
      <c r="Q389" t="str">
        <f>IF(N389="","",SUMIFS(Issue!$D$3:$D1001,Issue!$C$3:$C1001,N389))</f>
        <v/>
      </c>
      <c r="S389" t="str">
        <f ca="1">IFERROR(__xludf.DUMMYFUNCTION("""COMPUTED_VALUE"""),"Latching Power switch JCB")</f>
        <v>Latching Power switch JCB</v>
      </c>
      <c r="Y389" t="str">
        <f t="shared" si="5"/>
        <v/>
      </c>
      <c r="Z389" t="str">
        <f>IF(X389="","",SUMIFS(#REF!,RM!$C$4:$C991,X389))</f>
        <v/>
      </c>
      <c r="AA389" t="str">
        <f>IF(X389="","",SUMIFS(#REF!,RM!$C$4:$C991,X389))</f>
        <v/>
      </c>
      <c r="AB389" t="e">
        <f t="shared" si="6"/>
        <v>#VALUE!</v>
      </c>
      <c r="AC389" t="str">
        <f>IF(X389="","",VLOOKUP($X389,RM!$C$4:$G991,3,FALSE))</f>
        <v/>
      </c>
      <c r="AD389" t="str">
        <f>IF(X389="","",VLOOKUP($X389,RM!$C$4:$G991,4,FALSE))</f>
        <v/>
      </c>
      <c r="AE389" t="str">
        <f>IF(X389="","",VLOOKUP($X389,RM!$C$4:$G991,5,FALSE))</f>
        <v/>
      </c>
      <c r="AG389" t="str">
        <f ca="1">IFERROR(__xludf.DUMMYFUNCTION("""COMPUTED_VALUE"""),"IP Remote Assy")</f>
        <v>IP Remote Assy</v>
      </c>
      <c r="AH389" t="str">
        <f ca="1">IFERROR(__xludf.DUMMYFUNCTION("""COMPUTED_VALUE"""),"Brown 14/38 Wire")</f>
        <v>Brown 14/38 Wire</v>
      </c>
      <c r="AI389">
        <f ca="1">IFERROR(__xludf.DUMMYFUNCTION("""COMPUTED_VALUE"""),0.2)</f>
        <v>0.2</v>
      </c>
      <c r="AK389" t="e">
        <f ca="1">_xludf.IFNA(VLOOKUP(AG389,'S-FG'!$B$3:$B1001,1,FALSE),"")</f>
        <v>#NAME?</v>
      </c>
      <c r="AL389" t="e">
        <f ca="1">IF(AH389="","",SUMIFS(#REF!,RM!$C$4:$C991,AH389))</f>
        <v>#REF!</v>
      </c>
    </row>
    <row r="390" spans="5:38">
      <c r="E390" t="str">
        <f>IF(A390="","",SUMIFS(Issue!$D$3:$D1001,Issue!$C$3:$C1001,A390)*C390)</f>
        <v/>
      </c>
      <c r="F390" t="e">
        <f ca="1">_xludf.IFNA(VLOOKUP(B390,'S-FG'!$B$3:$B1001,1,FALSE),"")</f>
        <v>#NAME?</v>
      </c>
      <c r="H390" t="str">
        <f ca="1">IFERROR(__xludf.DUMMYFUNCTION("""COMPUTED_VALUE"""),"AMCA Elec Assy")</f>
        <v>AMCA Elec Assy</v>
      </c>
      <c r="I390" t="str">
        <f ca="1">IFERROR(__xludf.DUMMYFUNCTION("""COMPUTED_VALUE"""),"3S, &gt;2Ah Li-Ion cell for JCB")</f>
        <v>3S, &gt;2Ah Li-Ion cell for JCB</v>
      </c>
      <c r="J390">
        <f ca="1">IFERROR(__xludf.DUMMYFUNCTION("""COMPUTED_VALUE"""),3)</f>
        <v>3</v>
      </c>
      <c r="K390" t="str">
        <f ca="1">IFERROR(__xludf.DUMMYFUNCTION("""COMPUTED_VALUE"""),"blank")</f>
        <v>blank</v>
      </c>
      <c r="L390">
        <f t="shared" ca="1" si="4"/>
        <v>0</v>
      </c>
      <c r="Q390" t="str">
        <f>IF(N390="","",SUMIFS(Issue!$D$3:$D1001,Issue!$C$3:$C1001,N390))</f>
        <v/>
      </c>
      <c r="S390" t="str">
        <f ca="1">IFERROR(__xludf.DUMMYFUNCTION("""COMPUTED_VALUE"""),"PWB for JCB")</f>
        <v>PWB for JCB</v>
      </c>
      <c r="Y390" t="str">
        <f t="shared" si="5"/>
        <v/>
      </c>
      <c r="Z390" t="str">
        <f>IF(X390="","",SUMIFS(#REF!,RM!$C$4:$C991,X390))</f>
        <v/>
      </c>
      <c r="AA390" t="str">
        <f>IF(X390="","",SUMIFS(#REF!,RM!$C$4:$C991,X390))</f>
        <v/>
      </c>
      <c r="AB390" t="e">
        <f t="shared" si="6"/>
        <v>#VALUE!</v>
      </c>
      <c r="AC390" t="str">
        <f>IF(X390="","",VLOOKUP($X390,RM!$C$4:$G991,3,FALSE))</f>
        <v/>
      </c>
      <c r="AD390" t="str">
        <f>IF(X390="","",VLOOKUP($X390,RM!$C$4:$G991,4,FALSE))</f>
        <v/>
      </c>
      <c r="AE390" t="str">
        <f>IF(X390="","",VLOOKUP($X390,RM!$C$4:$G991,5,FALSE))</f>
        <v/>
      </c>
      <c r="AG390" t="str">
        <f ca="1">IFERROR(__xludf.DUMMYFUNCTION("""COMPUTED_VALUE"""),"IP Remote Assy")</f>
        <v>IP Remote Assy</v>
      </c>
      <c r="AH390" t="str">
        <f ca="1">IFERROR(__xludf.DUMMYFUNCTION("""COMPUTED_VALUE"""),"SA12 9pin PM Pushpull")</f>
        <v>SA12 9pin PM Pushpull</v>
      </c>
      <c r="AI390">
        <f ca="1">IFERROR(__xludf.DUMMYFUNCTION("""COMPUTED_VALUE"""),1)</f>
        <v>1</v>
      </c>
      <c r="AJ390" t="str">
        <f ca="1">IFERROR(__xludf.DUMMYFUNCTION("""COMPUTED_VALUE"""),"blank")</f>
        <v>blank</v>
      </c>
      <c r="AK390" t="e">
        <f ca="1">_xludf.IFNA(VLOOKUP(AG390,'S-FG'!$B$3:$B1001,1,FALSE),"")</f>
        <v>#NAME?</v>
      </c>
      <c r="AL390" t="e">
        <f ca="1">IF(AH390="","",SUMIFS(#REF!,RM!$C$4:$C991,AH390))</f>
        <v>#REF!</v>
      </c>
    </row>
    <row r="391" spans="5:38">
      <c r="E391" t="str">
        <f>IF(A391="","",SUMIFS(Issue!$D$3:$D1001,Issue!$C$3:$C1001,A391)*C391)</f>
        <v/>
      </c>
      <c r="F391" t="e">
        <f ca="1">_xludf.IFNA(VLOOKUP(B391,'S-FG'!$B$3:$B1001,1,FALSE),"")</f>
        <v>#NAME?</v>
      </c>
      <c r="H391" t="str">
        <f ca="1">IFERROR(__xludf.DUMMYFUNCTION("""COMPUTED_VALUE"""),"AMCA Elec Assy")</f>
        <v>AMCA Elec Assy</v>
      </c>
      <c r="I391" t="str">
        <f ca="1">IFERROR(__xludf.DUMMYFUNCTION("""COMPUTED_VALUE"""),"DC JAck Panel Mount")</f>
        <v>DC JAck Panel Mount</v>
      </c>
      <c r="J391">
        <f ca="1">IFERROR(__xludf.DUMMYFUNCTION("""COMPUTED_VALUE"""),1)</f>
        <v>1</v>
      </c>
      <c r="K391" t="str">
        <f ca="1">IFERROR(__xludf.DUMMYFUNCTION("""COMPUTED_VALUE"""),"blank")</f>
        <v>blank</v>
      </c>
      <c r="L391">
        <f t="shared" ca="1" si="4"/>
        <v>0</v>
      </c>
      <c r="Q391" t="str">
        <f>IF(N391="","",SUMIFS(Issue!$D$3:$D1001,Issue!$C$3:$C1001,N391))</f>
        <v/>
      </c>
      <c r="S391" t="str">
        <f ca="1">IFERROR(__xludf.DUMMYFUNCTION("""COMPUTED_VALUE"""),"3S, &gt;2Ah Li-Ion cell for JCB")</f>
        <v>3S, &gt;2Ah Li-Ion cell for JCB</v>
      </c>
      <c r="Y391" t="str">
        <f t="shared" si="5"/>
        <v/>
      </c>
      <c r="Z391" t="str">
        <f>IF(X391="","",SUMIFS(#REF!,RM!$C$4:$C991,X391))</f>
        <v/>
      </c>
      <c r="AA391" t="str">
        <f>IF(X391="","",SUMIFS(#REF!,RM!$C$4:$C991,X391))</f>
        <v/>
      </c>
      <c r="AB391" t="e">
        <f t="shared" si="6"/>
        <v>#VALUE!</v>
      </c>
      <c r="AC391" t="str">
        <f>IF(X391="","",VLOOKUP($X391,RM!$C$4:$G991,3,FALSE))</f>
        <v/>
      </c>
      <c r="AD391" t="str">
        <f>IF(X391="","",VLOOKUP($X391,RM!$C$4:$G991,4,FALSE))</f>
        <v/>
      </c>
      <c r="AE391" t="str">
        <f>IF(X391="","",VLOOKUP($X391,RM!$C$4:$G991,5,FALSE))</f>
        <v/>
      </c>
      <c r="AG391" t="str">
        <f ca="1">IFERROR(__xludf.DUMMYFUNCTION("""COMPUTED_VALUE"""),"IP Remote Assy")</f>
        <v>IP Remote Assy</v>
      </c>
      <c r="AH391" t="str">
        <f ca="1">IFERROR(__xludf.DUMMYFUNCTION("""COMPUTED_VALUE"""),"IP Remote Lower Shell")</f>
        <v>IP Remote Lower Shell</v>
      </c>
      <c r="AI391">
        <f ca="1">IFERROR(__xludf.DUMMYFUNCTION("""COMPUTED_VALUE"""),1)</f>
        <v>1</v>
      </c>
      <c r="AJ391" t="str">
        <f ca="1">IFERROR(__xludf.DUMMYFUNCTION("""COMPUTED_VALUE"""),"blank")</f>
        <v>blank</v>
      </c>
      <c r="AK391" t="e">
        <f ca="1">_xludf.IFNA(VLOOKUP(AG391,'S-FG'!$B$3:$B1001,1,FALSE),"")</f>
        <v>#NAME?</v>
      </c>
      <c r="AL391" t="e">
        <f ca="1">IF(AH391="","",SUMIFS(#REF!,RM!$C$4:$C991,AH391))</f>
        <v>#REF!</v>
      </c>
    </row>
    <row r="392" spans="5:38">
      <c r="E392" t="str">
        <f>IF(A392="","",SUMIFS(Issue!$D$3:$D1001,Issue!$C$3:$C1001,A392)*C392)</f>
        <v/>
      </c>
      <c r="F392" t="e">
        <f ca="1">_xludf.IFNA(VLOOKUP(B392,'S-FG'!$B$3:$B1001,1,FALSE),"")</f>
        <v>#NAME?</v>
      </c>
      <c r="H392" t="str">
        <f ca="1">IFERROR(__xludf.DUMMYFUNCTION("""COMPUTED_VALUE"""),"AMCA Elec Assy")</f>
        <v>AMCA Elec Assy</v>
      </c>
      <c r="I392" t="str">
        <f ca="1">IFERROR(__xludf.DUMMYFUNCTION("""COMPUTED_VALUE"""),"Lead wire 22AWG")</f>
        <v>Lead wire 22AWG</v>
      </c>
      <c r="J392">
        <f ca="1">IFERROR(__xludf.DUMMYFUNCTION("""COMPUTED_VALUE"""),5)</f>
        <v>5</v>
      </c>
      <c r="L392">
        <f t="shared" ca="1" si="4"/>
        <v>0</v>
      </c>
      <c r="Q392" t="str">
        <f>IF(N392="","",SUMIFS(Issue!$D$3:$D1001,Issue!$C$3:$C1001,N392))</f>
        <v/>
      </c>
      <c r="S392" t="str">
        <f ca="1">IFERROR(__xludf.DUMMYFUNCTION("""COMPUTED_VALUE"""),"DC JAck Panel Mount")</f>
        <v>DC JAck Panel Mount</v>
      </c>
      <c r="Y392" t="str">
        <f t="shared" si="5"/>
        <v/>
      </c>
      <c r="Z392" t="str">
        <f>IF(X392="","",SUMIFS(#REF!,RM!$C$4:$C991,X392))</f>
        <v/>
      </c>
      <c r="AA392" t="str">
        <f>IF(X392="","",SUMIFS(#REF!,RM!$C$4:$C991,X392))</f>
        <v/>
      </c>
      <c r="AB392" t="e">
        <f t="shared" si="6"/>
        <v>#VALUE!</v>
      </c>
      <c r="AC392" t="str">
        <f>IF(X392="","",VLOOKUP($X392,RM!$C$4:$G991,3,FALSE))</f>
        <v/>
      </c>
      <c r="AD392" t="str">
        <f>IF(X392="","",VLOOKUP($X392,RM!$C$4:$G991,4,FALSE))</f>
        <v/>
      </c>
      <c r="AE392" t="str">
        <f>IF(X392="","",VLOOKUP($X392,RM!$C$4:$G991,5,FALSE))</f>
        <v/>
      </c>
      <c r="AG392" t="str">
        <f ca="1">IFERROR(__xludf.DUMMYFUNCTION("""COMPUTED_VALUE"""),"IP Remote Assy")</f>
        <v>IP Remote Assy</v>
      </c>
      <c r="AH392" t="str">
        <f ca="1">IFERROR(__xludf.DUMMYFUNCTION("""COMPUTED_VALUE"""),"IP Remote Upper Shell")</f>
        <v>IP Remote Upper Shell</v>
      </c>
      <c r="AI392">
        <f ca="1">IFERROR(__xludf.DUMMYFUNCTION("""COMPUTED_VALUE"""),1)</f>
        <v>1</v>
      </c>
      <c r="AJ392" t="str">
        <f ca="1">IFERROR(__xludf.DUMMYFUNCTION("""COMPUTED_VALUE"""),"blank")</f>
        <v>blank</v>
      </c>
      <c r="AK392" t="e">
        <f ca="1">_xludf.IFNA(VLOOKUP(AG392,'S-FG'!$B$3:$B1001,1,FALSE),"")</f>
        <v>#NAME?</v>
      </c>
      <c r="AL392" t="e">
        <f ca="1">IF(AH392="","",SUMIFS(#REF!,RM!$C$4:$C991,AH392))</f>
        <v>#REF!</v>
      </c>
    </row>
    <row r="393" spans="5:38">
      <c r="E393" t="str">
        <f>IF(A393="","",SUMIFS(Issue!$D$3:$D1001,Issue!$C$3:$C1001,A393)*C393)</f>
        <v/>
      </c>
      <c r="F393" t="e">
        <f ca="1">_xludf.IFNA(VLOOKUP(B393,'S-FG'!$B$3:$B1001,1,FALSE),"")</f>
        <v>#NAME?</v>
      </c>
      <c r="H393" t="str">
        <f ca="1">IFERROR(__xludf.DUMMYFUNCTION("""COMPUTED_VALUE"""),"AMCA Elec Assy")</f>
        <v>AMCA Elec Assy</v>
      </c>
      <c r="I393" t="str">
        <f ca="1">IFERROR(__xludf.DUMMYFUNCTION("""COMPUTED_VALUE"""),"16pin IC base")</f>
        <v>16pin IC base</v>
      </c>
      <c r="J393">
        <f ca="1">IFERROR(__xludf.DUMMYFUNCTION("""COMPUTED_VALUE"""),1)</f>
        <v>1</v>
      </c>
      <c r="L393">
        <f t="shared" ca="1" si="4"/>
        <v>0</v>
      </c>
      <c r="Q393" t="str">
        <f>IF(N393="","",SUMIFS(Issue!$D$3:$D1001,Issue!$C$3:$C1001,N393))</f>
        <v/>
      </c>
      <c r="S393" t="str">
        <f ca="1">IFERROR(__xludf.DUMMYFUNCTION("""COMPUTED_VALUE"""),"Lead wire 22AWG")</f>
        <v>Lead wire 22AWG</v>
      </c>
      <c r="Y393" t="str">
        <f t="shared" si="5"/>
        <v/>
      </c>
      <c r="Z393" t="str">
        <f>IF(X393="","",SUMIFS(#REF!,RM!$C$4:$C991,X393))</f>
        <v/>
      </c>
      <c r="AA393" t="str">
        <f>IF(X393="","",SUMIFS(#REF!,RM!$C$4:$C991,X393))</f>
        <v/>
      </c>
      <c r="AB393" t="e">
        <f t="shared" si="6"/>
        <v>#VALUE!</v>
      </c>
      <c r="AC393" t="str">
        <f>IF(X393="","",VLOOKUP($X393,RM!$C$4:$G991,3,FALSE))</f>
        <v/>
      </c>
      <c r="AD393" t="str">
        <f>IF(X393="","",VLOOKUP($X393,RM!$C$4:$G991,4,FALSE))</f>
        <v/>
      </c>
      <c r="AE393" t="str">
        <f>IF(X393="","",VLOOKUP($X393,RM!$C$4:$G991,5,FALSE))</f>
        <v/>
      </c>
      <c r="AG393" t="str">
        <f ca="1">IFERROR(__xludf.DUMMYFUNCTION("""COMPUTED_VALUE"""),"IP Remote Assy")</f>
        <v>IP Remote Assy</v>
      </c>
      <c r="AH393" t="str">
        <f ca="1">IFERROR(__xludf.DUMMYFUNCTION("""COMPUTED_VALUE"""),"PU Gasket Remote Lower Shell")</f>
        <v>PU Gasket Remote Lower Shell</v>
      </c>
      <c r="AI393">
        <f ca="1">IFERROR(__xludf.DUMMYFUNCTION("""COMPUTED_VALUE"""),1)</f>
        <v>1</v>
      </c>
      <c r="AJ393" t="str">
        <f ca="1">IFERROR(__xludf.DUMMYFUNCTION("""COMPUTED_VALUE"""),"blank")</f>
        <v>blank</v>
      </c>
      <c r="AK393" t="e">
        <f ca="1">_xludf.IFNA(VLOOKUP(AG393,'S-FG'!$B$3:$B1001,1,FALSE),"")</f>
        <v>#NAME?</v>
      </c>
      <c r="AL393" t="e">
        <f ca="1">IF(AH393="","",SUMIFS(#REF!,RM!$C$4:$C991,AH393))</f>
        <v>#REF!</v>
      </c>
    </row>
    <row r="394" spans="5:38">
      <c r="E394" t="str">
        <f>IF(A394="","",SUMIFS(Issue!$D$3:$D1001,Issue!$C$3:$C1001,A394)*C394)</f>
        <v/>
      </c>
      <c r="F394" t="e">
        <f ca="1">_xludf.IFNA(VLOOKUP(B394,'S-FG'!$B$3:$B1001,1,FALSE),"")</f>
        <v>#NAME?</v>
      </c>
      <c r="H394" t="str">
        <f ca="1">IFERROR(__xludf.DUMMYFUNCTION("""COMPUTED_VALUE"""),"AMCA Elec Assy")</f>
        <v>AMCA Elec Assy</v>
      </c>
      <c r="I394" t="str">
        <f ca="1">IFERROR(__xludf.DUMMYFUNCTION("""COMPUTED_VALUE"""),"ULN2003A THT")</f>
        <v>ULN2003A THT</v>
      </c>
      <c r="J394">
        <f ca="1">IFERROR(__xludf.DUMMYFUNCTION("""COMPUTED_VALUE"""),1)</f>
        <v>1</v>
      </c>
      <c r="K394" t="str">
        <f ca="1">IFERROR(__xludf.DUMMYFUNCTION("""COMPUTED_VALUE"""),"blank")</f>
        <v>blank</v>
      </c>
      <c r="L394">
        <f t="shared" ca="1" si="4"/>
        <v>0</v>
      </c>
      <c r="Q394" t="str">
        <f>IF(N394="","",SUMIFS(Issue!$D$3:$D1001,Issue!$C$3:$C1001,N394))</f>
        <v/>
      </c>
      <c r="S394" t="str">
        <f ca="1">IFERROR(__xludf.DUMMYFUNCTION("""COMPUTED_VALUE"""),"16pin IC base")</f>
        <v>16pin IC base</v>
      </c>
      <c r="Y394" t="str">
        <f t="shared" si="5"/>
        <v/>
      </c>
      <c r="Z394" t="str">
        <f>IF(X394="","",SUMIFS(#REF!,RM!$C$4:$C991,X394))</f>
        <v/>
      </c>
      <c r="AA394" t="str">
        <f>IF(X394="","",SUMIFS(#REF!,RM!$C$4:$C991,X394))</f>
        <v/>
      </c>
      <c r="AB394" t="e">
        <f t="shared" si="6"/>
        <v>#VALUE!</v>
      </c>
      <c r="AC394" t="str">
        <f>IF(X394="","",VLOOKUP($X394,RM!$C$4:$G991,3,FALSE))</f>
        <v/>
      </c>
      <c r="AD394" t="str">
        <f>IF(X394="","",VLOOKUP($X394,RM!$C$4:$G991,4,FALSE))</f>
        <v/>
      </c>
      <c r="AE394" t="str">
        <f>IF(X394="","",VLOOKUP($X394,RM!$C$4:$G991,5,FALSE))</f>
        <v/>
      </c>
      <c r="AG394" t="str">
        <f ca="1">IFERROR(__xludf.DUMMYFUNCTION("""COMPUTED_VALUE"""),"IP Remote Assy")</f>
        <v>IP Remote Assy</v>
      </c>
      <c r="AH394" t="str">
        <f ca="1">IFERROR(__xludf.DUMMYFUNCTION("""COMPUTED_VALUE"""),"Teroson MS930")</f>
        <v>Teroson MS930</v>
      </c>
      <c r="AI394">
        <f ca="1">IFERROR(__xludf.DUMMYFUNCTION("""COMPUTED_VALUE"""),20)</f>
        <v>20</v>
      </c>
      <c r="AJ394" t="str">
        <f ca="1">IFERROR(__xludf.DUMMYFUNCTION("""COMPUTED_VALUE"""),"blank")</f>
        <v>blank</v>
      </c>
      <c r="AK394" t="e">
        <f ca="1">_xludf.IFNA(VLOOKUP(AG394,'S-FG'!$B$3:$B1001,1,FALSE),"")</f>
        <v>#NAME?</v>
      </c>
      <c r="AL394" t="e">
        <f ca="1">IF(AH394="","",SUMIFS(#REF!,RM!$C$4:$C991,AH394))</f>
        <v>#REF!</v>
      </c>
    </row>
    <row r="395" spans="5:38">
      <c r="E395" t="str">
        <f>IF(A395="","",SUMIFS(Issue!$D$3:$D1001,Issue!$C$3:$C1001,A395)*C395)</f>
        <v/>
      </c>
      <c r="F395" t="e">
        <f ca="1">_xludf.IFNA(VLOOKUP(B395,'S-FG'!$B$3:$B1001,1,FALSE),"")</f>
        <v>#NAME?</v>
      </c>
      <c r="H395" t="str">
        <f ca="1">IFERROR(__xludf.DUMMYFUNCTION("""COMPUTED_VALUE"""),"AMCA Elec Assy")</f>
        <v>AMCA Elec Assy</v>
      </c>
      <c r="I395" t="str">
        <f ca="1">IFERROR(__xludf.DUMMYFUNCTION("""COMPUTED_VALUE"""),"iMAx B3 Charger")</f>
        <v>iMAx B3 Charger</v>
      </c>
      <c r="J395">
        <f ca="1">IFERROR(__xludf.DUMMYFUNCTION("""COMPUTED_VALUE"""),1)</f>
        <v>1</v>
      </c>
      <c r="L395">
        <f t="shared" ca="1" si="4"/>
        <v>0</v>
      </c>
      <c r="Q395" t="str">
        <f>IF(N395="","",SUMIFS(Issue!$D$3:$D1001,Issue!$C$3:$C1001,N395))</f>
        <v/>
      </c>
      <c r="S395" t="str">
        <f ca="1">IFERROR(__xludf.DUMMYFUNCTION("""COMPUTED_VALUE"""),"ULN2003A THT")</f>
        <v>ULN2003A THT</v>
      </c>
      <c r="Y395" t="str">
        <f t="shared" si="5"/>
        <v/>
      </c>
      <c r="Z395" t="str">
        <f>IF(X395="","",SUMIFS(#REF!,RM!$C$4:$C991,X395))</f>
        <v/>
      </c>
      <c r="AA395" t="str">
        <f>IF(X395="","",SUMIFS(#REF!,RM!$C$4:$C991,X395))</f>
        <v/>
      </c>
      <c r="AB395" t="e">
        <f t="shared" si="6"/>
        <v>#VALUE!</v>
      </c>
      <c r="AC395" t="str">
        <f>IF(X395="","",VLOOKUP($X395,RM!$C$4:$G991,3,FALSE))</f>
        <v/>
      </c>
      <c r="AD395" t="str">
        <f>IF(X395="","",VLOOKUP($X395,RM!$C$4:$G991,4,FALSE))</f>
        <v/>
      </c>
      <c r="AE395" t="str">
        <f>IF(X395="","",VLOOKUP($X395,RM!$C$4:$G991,5,FALSE))</f>
        <v/>
      </c>
      <c r="AG395" t="str">
        <f ca="1">IFERROR(__xludf.DUMMYFUNCTION("""COMPUTED_VALUE"""),"IP Remote Assy")</f>
        <v>IP Remote Assy</v>
      </c>
      <c r="AH395" t="str">
        <f ca="1">IFERROR(__xludf.DUMMYFUNCTION("""COMPUTED_VALUE"""),"Button Spacer No. 1")</f>
        <v>Button Spacer No. 1</v>
      </c>
      <c r="AI395">
        <f ca="1">IFERROR(__xludf.DUMMYFUNCTION("""COMPUTED_VALUE"""),2)</f>
        <v>2</v>
      </c>
      <c r="AJ395" t="str">
        <f ca="1">IFERROR(__xludf.DUMMYFUNCTION("""COMPUTED_VALUE"""),"blank")</f>
        <v>blank</v>
      </c>
      <c r="AK395" t="e">
        <f ca="1">_xludf.IFNA(VLOOKUP(AG395,'S-FG'!$B$3:$B1001,1,FALSE),"")</f>
        <v>#NAME?</v>
      </c>
      <c r="AL395" t="e">
        <f ca="1">IF(AH395="","",SUMIFS(#REF!,RM!$C$4:$C991,AH395))</f>
        <v>#REF!</v>
      </c>
    </row>
    <row r="396" spans="5:38">
      <c r="E396" t="str">
        <f>IF(A396="","",SUMIFS(Issue!$D$3:$D1001,Issue!$C$3:$C1001,A396)*C396)</f>
        <v/>
      </c>
      <c r="F396" t="e">
        <f ca="1">_xludf.IFNA(VLOOKUP(B396,'S-FG'!$B$3:$B1001,1,FALSE),"")</f>
        <v>#NAME?</v>
      </c>
      <c r="H396" t="str">
        <f ca="1">IFERROR(__xludf.DUMMYFUNCTION("""COMPUTED_VALUE"""),"AMCA Elec Assy")</f>
        <v>AMCA Elec Assy</v>
      </c>
      <c r="I396" t="str">
        <f ca="1">IFERROR(__xludf.DUMMYFUNCTION("""COMPUTED_VALUE"""),"8core Wire 14/38")</f>
        <v>8core Wire 14/38</v>
      </c>
      <c r="J396">
        <f ca="1">IFERROR(__xludf.DUMMYFUNCTION("""COMPUTED_VALUE"""),1)</f>
        <v>1</v>
      </c>
      <c r="K396" t="str">
        <f ca="1">IFERROR(__xludf.DUMMYFUNCTION("""COMPUTED_VALUE"""),"blank")</f>
        <v>blank</v>
      </c>
      <c r="L396">
        <f t="shared" ca="1" si="4"/>
        <v>0</v>
      </c>
      <c r="Q396" t="str">
        <f>IF(N396="","",SUMIFS(Issue!$D$3:$D1001,Issue!$C$3:$C1001,N396))</f>
        <v/>
      </c>
      <c r="S396" t="str">
        <f ca="1">IFERROR(__xludf.DUMMYFUNCTION("""COMPUTED_VALUE"""),"iMAx B3 Charger")</f>
        <v>iMAx B3 Charger</v>
      </c>
      <c r="Y396" t="str">
        <f t="shared" si="5"/>
        <v/>
      </c>
      <c r="Z396" t="str">
        <f>IF(X396="","",SUMIFS(#REF!,RM!$C$4:$C991,X396))</f>
        <v/>
      </c>
      <c r="AA396" t="str">
        <f>IF(X396="","",SUMIFS(#REF!,RM!$C$4:$C991,X396))</f>
        <v/>
      </c>
      <c r="AB396" t="e">
        <f t="shared" si="6"/>
        <v>#VALUE!</v>
      </c>
      <c r="AC396" t="str">
        <f>IF(X396="","",VLOOKUP($X396,RM!$C$4:$G991,3,FALSE))</f>
        <v/>
      </c>
      <c r="AD396" t="str">
        <f>IF(X396="","",VLOOKUP($X396,RM!$C$4:$G991,4,FALSE))</f>
        <v/>
      </c>
      <c r="AE396" t="str">
        <f>IF(X396="","",VLOOKUP($X396,RM!$C$4:$G991,5,FALSE))</f>
        <v/>
      </c>
      <c r="AG396" t="str">
        <f ca="1">IFERROR(__xludf.DUMMYFUNCTION("""COMPUTED_VALUE"""),"IP Remote Assy")</f>
        <v>IP Remote Assy</v>
      </c>
      <c r="AH396" t="str">
        <f ca="1">IFERROR(__xludf.DUMMYFUNCTION("""COMPUTED_VALUE"""),"Button Spacer No. 2")</f>
        <v>Button Spacer No. 2</v>
      </c>
      <c r="AI396">
        <f ca="1">IFERROR(__xludf.DUMMYFUNCTION("""COMPUTED_VALUE"""),2)</f>
        <v>2</v>
      </c>
      <c r="AJ396" t="str">
        <f ca="1">IFERROR(__xludf.DUMMYFUNCTION("""COMPUTED_VALUE"""),"blank")</f>
        <v>blank</v>
      </c>
      <c r="AK396" t="e">
        <f ca="1">_xludf.IFNA(VLOOKUP(AG396,'S-FG'!$B$3:$B1001,1,FALSE),"")</f>
        <v>#NAME?</v>
      </c>
      <c r="AL396" t="e">
        <f ca="1">IF(AH396="","",SUMIFS(#REF!,RM!$C$4:$C991,AH396))</f>
        <v>#REF!</v>
      </c>
    </row>
    <row r="397" spans="5:38">
      <c r="E397" t="str">
        <f>IF(A397="","",SUMIFS(Issue!$D$3:$D1001,Issue!$C$3:$C1001,A397)*C397)</f>
        <v/>
      </c>
      <c r="F397" t="e">
        <f ca="1">_xludf.IFNA(VLOOKUP(B397,'S-FG'!$B$3:$B1001,1,FALSE),"")</f>
        <v>#NAME?</v>
      </c>
      <c r="H397" t="str">
        <f ca="1">IFERROR(__xludf.DUMMYFUNCTION("""COMPUTED_VALUE"""),"AMCA Elec Assy")</f>
        <v>AMCA Elec Assy</v>
      </c>
      <c r="I397" t="str">
        <f ca="1">IFERROR(__xludf.DUMMYFUNCTION("""COMPUTED_VALUE"""),"LP12 4 pin plug male clip lock CM")</f>
        <v>LP12 4 pin plug male clip lock CM</v>
      </c>
      <c r="J397">
        <f ca="1">IFERROR(__xludf.DUMMYFUNCTION("""COMPUTED_VALUE"""),1)</f>
        <v>1</v>
      </c>
      <c r="K397" t="str">
        <f ca="1">IFERROR(__xludf.DUMMYFUNCTION("""COMPUTED_VALUE"""),"LP-12-C04PE-02-001")</f>
        <v>LP-12-C04PE-02-001</v>
      </c>
      <c r="L397">
        <f t="shared" ca="1" si="4"/>
        <v>0</v>
      </c>
      <c r="Q397" t="str">
        <f>IF(N397="","",SUMIFS(Issue!$D$3:$D1001,Issue!$C$3:$C1001,N397))</f>
        <v/>
      </c>
      <c r="S397" t="str">
        <f ca="1">IFERROR(__xludf.DUMMYFUNCTION("""COMPUTED_VALUE"""),"8core Wire 14/38")</f>
        <v>8core Wire 14/38</v>
      </c>
      <c r="Y397" t="str">
        <f t="shared" si="5"/>
        <v/>
      </c>
      <c r="Z397" t="str">
        <f>IF(X397="","",SUMIFS(#REF!,RM!$C$4:$C991,X397))</f>
        <v/>
      </c>
      <c r="AA397" t="str">
        <f>IF(X397="","",SUMIFS(#REF!,RM!$C$4:$C991,X397))</f>
        <v/>
      </c>
      <c r="AB397" t="e">
        <f t="shared" si="6"/>
        <v>#VALUE!</v>
      </c>
      <c r="AC397" t="str">
        <f>IF(X397="","",VLOOKUP($X397,RM!$C$4:$G991,3,FALSE))</f>
        <v/>
      </c>
      <c r="AD397" t="str">
        <f>IF(X397="","",VLOOKUP($X397,RM!$C$4:$G991,4,FALSE))</f>
        <v/>
      </c>
      <c r="AE397" t="str">
        <f>IF(X397="","",VLOOKUP($X397,RM!$C$4:$G991,5,FALSE))</f>
        <v/>
      </c>
      <c r="AG397" t="str">
        <f ca="1">IFERROR(__xludf.DUMMYFUNCTION("""COMPUTED_VALUE"""),"IP Remote Assy")</f>
        <v>IP Remote Assy</v>
      </c>
      <c r="AH397" t="str">
        <f ca="1">IFERROR(__xludf.DUMMYFUNCTION("""COMPUTED_VALUE"""),"Button No. 1 pressure bracket")</f>
        <v>Button No. 1 pressure bracket</v>
      </c>
      <c r="AI397">
        <f ca="1">IFERROR(__xludf.DUMMYFUNCTION("""COMPUTED_VALUE"""),2)</f>
        <v>2</v>
      </c>
      <c r="AJ397" t="str">
        <f ca="1">IFERROR(__xludf.DUMMYFUNCTION("""COMPUTED_VALUE"""),"blank")</f>
        <v>blank</v>
      </c>
      <c r="AK397" t="e">
        <f ca="1">_xludf.IFNA(VLOOKUP(AG397,'S-FG'!$B$3:$B1001,1,FALSE),"")</f>
        <v>#NAME?</v>
      </c>
      <c r="AL397" t="e">
        <f ca="1">IF(AH397="","",SUMIFS(#REF!,RM!$C$4:$C991,AH397))</f>
        <v>#REF!</v>
      </c>
    </row>
    <row r="398" spans="5:38">
      <c r="E398" t="str">
        <f>IF(A398="","",SUMIFS(Issue!$D$3:$D1001,Issue!$C$3:$C1001,A398)*C398)</f>
        <v/>
      </c>
      <c r="F398" t="e">
        <f ca="1">_xludf.IFNA(VLOOKUP(B398,'S-FG'!$B$3:$B1001,1,FALSE),"")</f>
        <v>#NAME?</v>
      </c>
      <c r="H398" t="str">
        <f ca="1">IFERROR(__xludf.DUMMYFUNCTION("""COMPUTED_VALUE"""),"AMCA Elec Assy")</f>
        <v>AMCA Elec Assy</v>
      </c>
      <c r="I398" t="str">
        <f ca="1">IFERROR(__xludf.DUMMYFUNCTION("""COMPUTED_VALUE"""),"LP12 4 pin socket female clip lock PM")</f>
        <v>LP12 4 pin socket female clip lock PM</v>
      </c>
      <c r="J398">
        <f ca="1">IFERROR(__xludf.DUMMYFUNCTION("""COMPUTED_VALUE"""),1)</f>
        <v>1</v>
      </c>
      <c r="K398" t="str">
        <f ca="1">IFERROR(__xludf.DUMMYFUNCTION("""COMPUTED_VALUE"""),"LP-12-J04SX-03-001")</f>
        <v>LP-12-J04SX-03-001</v>
      </c>
      <c r="L398">
        <f t="shared" ca="1" si="4"/>
        <v>0</v>
      </c>
      <c r="Q398" t="str">
        <f>IF(N398="","",SUMIFS(Issue!$D$3:$D1001,Issue!$C$3:$C1001,N398))</f>
        <v/>
      </c>
      <c r="S398" t="str">
        <f ca="1">IFERROR(__xludf.DUMMYFUNCTION("""COMPUTED_VALUE"""),"LP12 4 pin plug male clip lock CM")</f>
        <v>LP12 4 pin plug male clip lock CM</v>
      </c>
      <c r="Y398" t="str">
        <f t="shared" si="5"/>
        <v/>
      </c>
      <c r="Z398" t="str">
        <f>IF(X398="","",SUMIFS(#REF!,RM!$C$4:$C991,X398))</f>
        <v/>
      </c>
      <c r="AA398" t="str">
        <f>IF(X398="","",SUMIFS(#REF!,RM!$C$4:$C991,X398))</f>
        <v/>
      </c>
      <c r="AB398" t="e">
        <f t="shared" si="6"/>
        <v>#VALUE!</v>
      </c>
      <c r="AC398" t="str">
        <f>IF(X398="","",VLOOKUP($X398,RM!$C$4:$G991,3,FALSE))</f>
        <v/>
      </c>
      <c r="AD398" t="str">
        <f>IF(X398="","",VLOOKUP($X398,RM!$C$4:$G991,4,FALSE))</f>
        <v/>
      </c>
      <c r="AE398" t="str">
        <f>IF(X398="","",VLOOKUP($X398,RM!$C$4:$G991,5,FALSE))</f>
        <v/>
      </c>
      <c r="AG398" t="str">
        <f ca="1">IFERROR(__xludf.DUMMYFUNCTION("""COMPUTED_VALUE"""),"IP Remote Assy")</f>
        <v>IP Remote Assy</v>
      </c>
      <c r="AH398" t="str">
        <f ca="1">IFERROR(__xludf.DUMMYFUNCTION("""COMPUTED_VALUE"""),"Remote Battery Holding Bracket")</f>
        <v>Remote Battery Holding Bracket</v>
      </c>
      <c r="AI398">
        <f ca="1">IFERROR(__xludf.DUMMYFUNCTION("""COMPUTED_VALUE"""),4)</f>
        <v>4</v>
      </c>
      <c r="AJ398" t="str">
        <f ca="1">IFERROR(__xludf.DUMMYFUNCTION("""COMPUTED_VALUE"""),"blank")</f>
        <v>blank</v>
      </c>
      <c r="AK398" t="e">
        <f ca="1">_xludf.IFNA(VLOOKUP(AG398,'S-FG'!$B$3:$B1001,1,FALSE),"")</f>
        <v>#NAME?</v>
      </c>
      <c r="AL398" t="e">
        <f ca="1">IF(AH398="","",SUMIFS(#REF!,RM!$C$4:$C991,AH398))</f>
        <v>#REF!</v>
      </c>
    </row>
    <row r="399" spans="5:38">
      <c r="E399" t="str">
        <f>IF(A399="","",SUMIFS(Issue!$D$3:$D1001,Issue!$C$3:$C1001,A399)*C399)</f>
        <v/>
      </c>
      <c r="F399" t="e">
        <f ca="1">_xludf.IFNA(VLOOKUP(B399,'S-FG'!$B$3:$B1001,1,FALSE),"")</f>
        <v>#NAME?</v>
      </c>
      <c r="H399" t="str">
        <f ca="1">IFERROR(__xludf.DUMMYFUNCTION("""COMPUTED_VALUE"""),"AMCA Elec Assy")</f>
        <v>AMCA Elec Assy</v>
      </c>
      <c r="I399" t="str">
        <f ca="1">IFERROR(__xludf.DUMMYFUNCTION("""COMPUTED_VALUE"""),"9v Piezo Electric Buzzer")</f>
        <v>9v Piezo Electric Buzzer</v>
      </c>
      <c r="J399">
        <f ca="1">IFERROR(__xludf.DUMMYFUNCTION("""COMPUTED_VALUE"""),1)</f>
        <v>1</v>
      </c>
      <c r="L399">
        <f t="shared" ca="1" si="4"/>
        <v>0</v>
      </c>
      <c r="Q399" t="str">
        <f>IF(N399="","",SUMIFS(Issue!$D$3:$D1001,Issue!$C$3:$C1001,N399))</f>
        <v/>
      </c>
      <c r="S399" t="str">
        <f ca="1">IFERROR(__xludf.DUMMYFUNCTION("""COMPUTED_VALUE"""),"LP12 4 pin socket female clip lock PM")</f>
        <v>LP12 4 pin socket female clip lock PM</v>
      </c>
      <c r="Y399" t="str">
        <f t="shared" si="5"/>
        <v/>
      </c>
      <c r="Z399" t="str">
        <f>IF(X399="","",SUMIFS(#REF!,RM!$C$4:$C991,X399))</f>
        <v/>
      </c>
      <c r="AA399" t="str">
        <f>IF(X399="","",SUMIFS(#REF!,RM!$C$4:$C991,X399))</f>
        <v/>
      </c>
      <c r="AB399" t="e">
        <f t="shared" si="6"/>
        <v>#VALUE!</v>
      </c>
      <c r="AC399" t="str">
        <f>IF(X399="","",VLOOKUP($X399,RM!$C$4:$G991,3,FALSE))</f>
        <v/>
      </c>
      <c r="AD399" t="str">
        <f>IF(X399="","",VLOOKUP($X399,RM!$C$4:$G991,4,FALSE))</f>
        <v/>
      </c>
      <c r="AE399" t="str">
        <f>IF(X399="","",VLOOKUP($X399,RM!$C$4:$G991,5,FALSE))</f>
        <v/>
      </c>
      <c r="AG399" t="str">
        <f ca="1">IFERROR(__xludf.DUMMYFUNCTION("""COMPUTED_VALUE"""),"IP Remote Assy")</f>
        <v>IP Remote Assy</v>
      </c>
      <c r="AH399" t="str">
        <f ca="1">IFERROR(__xludf.DUMMYFUNCTION("""COMPUTED_VALUE"""),"Antenna clamp -1")</f>
        <v>Antenna clamp -1</v>
      </c>
      <c r="AI399">
        <f ca="1">IFERROR(__xludf.DUMMYFUNCTION("""COMPUTED_VALUE"""),1)</f>
        <v>1</v>
      </c>
      <c r="AJ399" t="str">
        <f ca="1">IFERROR(__xludf.DUMMYFUNCTION("""COMPUTED_VALUE"""),"blank")</f>
        <v>blank</v>
      </c>
      <c r="AK399" t="e">
        <f ca="1">_xludf.IFNA(VLOOKUP(AG399,'S-FG'!$B$3:$B1001,1,FALSE),"")</f>
        <v>#NAME?</v>
      </c>
      <c r="AL399" t="e">
        <f ca="1">IF(AH399="","",SUMIFS(#REF!,RM!$C$4:$C991,AH399))</f>
        <v>#REF!</v>
      </c>
    </row>
    <row r="400" spans="5:38">
      <c r="E400" t="str">
        <f>IF(A400="","",SUMIFS(Issue!$D$3:$D1001,Issue!$C$3:$C1001,A400)*C400)</f>
        <v/>
      </c>
      <c r="F400" t="e">
        <f ca="1">_xludf.IFNA(VLOOKUP(B400,'S-FG'!$B$3:$B1001,1,FALSE),"")</f>
        <v>#NAME?</v>
      </c>
      <c r="H400" t="str">
        <f ca="1">IFERROR(__xludf.DUMMYFUNCTION("""COMPUTED_VALUE"""),"AMCA Elec Assy")</f>
        <v>AMCA Elec Assy</v>
      </c>
      <c r="I400" t="str">
        <f ca="1">IFERROR(__xludf.DUMMYFUNCTION("""COMPUTED_VALUE"""),"Female Bergstrip 40x1 2.54mm")</f>
        <v>Female Bergstrip 40x1 2.54mm</v>
      </c>
      <c r="J400">
        <f ca="1">IFERROR(__xludf.DUMMYFUNCTION("""COMPUTED_VALUE"""),1)</f>
        <v>1</v>
      </c>
      <c r="L400">
        <f t="shared" ca="1" si="4"/>
        <v>0</v>
      </c>
      <c r="Q400" t="str">
        <f>IF(N400="","",SUMIFS(Issue!$D$3:$D1001,Issue!$C$3:$C1001,N400))</f>
        <v/>
      </c>
      <c r="S400" t="str">
        <f ca="1">IFERROR(__xludf.DUMMYFUNCTION("""COMPUTED_VALUE"""),"9v Piezo Electric Buzzer")</f>
        <v>9v Piezo Electric Buzzer</v>
      </c>
      <c r="Y400" t="str">
        <f t="shared" si="5"/>
        <v/>
      </c>
      <c r="Z400" t="str">
        <f>IF(X400="","",SUMIFS(#REF!,RM!$C$4:$C991,X400))</f>
        <v/>
      </c>
      <c r="AA400" t="str">
        <f>IF(X400="","",SUMIFS(#REF!,RM!$C$4:$C991,X400))</f>
        <v/>
      </c>
      <c r="AB400" t="e">
        <f t="shared" si="6"/>
        <v>#VALUE!</v>
      </c>
      <c r="AC400" t="str">
        <f>IF(X400="","",VLOOKUP($X400,RM!$C$4:$G991,3,FALSE))</f>
        <v/>
      </c>
      <c r="AD400" t="str">
        <f>IF(X400="","",VLOOKUP($X400,RM!$C$4:$G991,4,FALSE))</f>
        <v/>
      </c>
      <c r="AE400" t="str">
        <f>IF(X400="","",VLOOKUP($X400,RM!$C$4:$G991,5,FALSE))</f>
        <v/>
      </c>
      <c r="AG400" t="str">
        <f ca="1">IFERROR(__xludf.DUMMYFUNCTION("""COMPUTED_VALUE"""),"IP Remote Assy")</f>
        <v>IP Remote Assy</v>
      </c>
      <c r="AH400" t="str">
        <f ca="1">IFERROR(__xludf.DUMMYFUNCTION("""COMPUTED_VALUE"""),"Antenna Clamp -2")</f>
        <v>Antenna Clamp -2</v>
      </c>
      <c r="AI400">
        <f ca="1">IFERROR(__xludf.DUMMYFUNCTION("""COMPUTED_VALUE"""),1)</f>
        <v>1</v>
      </c>
      <c r="AJ400" t="str">
        <f ca="1">IFERROR(__xludf.DUMMYFUNCTION("""COMPUTED_VALUE"""),"blank")</f>
        <v>blank</v>
      </c>
      <c r="AK400" t="e">
        <f ca="1">_xludf.IFNA(VLOOKUP(AG400,'S-FG'!$B$3:$B1001,1,FALSE),"")</f>
        <v>#NAME?</v>
      </c>
      <c r="AL400" t="e">
        <f ca="1">IF(AH400="","",SUMIFS(#REF!,RM!$C$4:$C991,AH400))</f>
        <v>#REF!</v>
      </c>
    </row>
    <row r="401" spans="5:38">
      <c r="E401" t="str">
        <f>IF(A401="","",SUMIFS(Issue!$D$3:$D1001,Issue!$C$3:$C1001,A401)*C401)</f>
        <v/>
      </c>
      <c r="F401" t="e">
        <f ca="1">_xludf.IFNA(VLOOKUP(B401,'S-FG'!$B$3:$B1001,1,FALSE),"")</f>
        <v>#NAME?</v>
      </c>
      <c r="H401" t="str">
        <f ca="1">IFERROR(__xludf.DUMMYFUNCTION("""COMPUTED_VALUE"""),"AMCA Elec Assy")</f>
        <v>AMCA Elec Assy</v>
      </c>
      <c r="I401" t="str">
        <f ca="1">IFERROR(__xludf.DUMMYFUNCTION("""COMPUTED_VALUE"""),"Male Bergstrip 40x1 2.54mm")</f>
        <v>Male Bergstrip 40x1 2.54mm</v>
      </c>
      <c r="J401">
        <f ca="1">IFERROR(__xludf.DUMMYFUNCTION("""COMPUTED_VALUE"""),1)</f>
        <v>1</v>
      </c>
      <c r="L401">
        <f t="shared" ca="1" si="4"/>
        <v>0</v>
      </c>
      <c r="Q401" t="str">
        <f>IF(N401="","",SUMIFS(Issue!$D$3:$D1001,Issue!$C$3:$C1001,N401))</f>
        <v/>
      </c>
      <c r="S401" t="str">
        <f ca="1">IFERROR(__xludf.DUMMYFUNCTION("""COMPUTED_VALUE"""),"Female Bergstrip 40x1 2.54mm")</f>
        <v>Female Bergstrip 40x1 2.54mm</v>
      </c>
      <c r="Y401" t="str">
        <f t="shared" si="5"/>
        <v/>
      </c>
      <c r="Z401" t="str">
        <f>IF(X401="","",SUMIFS(#REF!,RM!$C$4:$C991,X401))</f>
        <v/>
      </c>
      <c r="AA401" t="str">
        <f>IF(X401="","",SUMIFS(#REF!,RM!$C$4:$C991,X401))</f>
        <v/>
      </c>
      <c r="AB401" t="e">
        <f t="shared" si="6"/>
        <v>#VALUE!</v>
      </c>
      <c r="AC401" t="str">
        <f>IF(X401="","",VLOOKUP($X401,RM!$C$4:$G991,3,FALSE))</f>
        <v/>
      </c>
      <c r="AD401" t="str">
        <f>IF(X401="","",VLOOKUP($X401,RM!$C$4:$G991,4,FALSE))</f>
        <v/>
      </c>
      <c r="AE401" t="str">
        <f>IF(X401="","",VLOOKUP($X401,RM!$C$4:$G991,5,FALSE))</f>
        <v/>
      </c>
      <c r="AG401" t="str">
        <f ca="1">IFERROR(__xludf.DUMMYFUNCTION("""COMPUTED_VALUE"""),"IP Remote Assy")</f>
        <v>IP Remote Assy</v>
      </c>
      <c r="AH401" t="str">
        <f ca="1">IFERROR(__xludf.DUMMYFUNCTION("""COMPUTED_VALUE"""),"Cable Holder")</f>
        <v>Cable Holder</v>
      </c>
      <c r="AI401">
        <f ca="1">IFERROR(__xludf.DUMMYFUNCTION("""COMPUTED_VALUE"""),2)</f>
        <v>2</v>
      </c>
      <c r="AJ401" t="str">
        <f ca="1">IFERROR(__xludf.DUMMYFUNCTION("""COMPUTED_VALUE"""),"blank")</f>
        <v>blank</v>
      </c>
      <c r="AK401" t="e">
        <f ca="1">_xludf.IFNA(VLOOKUP(AG401,'S-FG'!$B$3:$B1001,1,FALSE),"")</f>
        <v>#NAME?</v>
      </c>
      <c r="AL401" t="e">
        <f ca="1">IF(AH401="","",SUMIFS(#REF!,RM!$C$4:$C991,AH401))</f>
        <v>#REF!</v>
      </c>
    </row>
    <row r="402" spans="5:38">
      <c r="E402" t="str">
        <f>IF(A402="","",SUMIFS(Issue!$D$3:$D1001,Issue!$C$3:$C1001,A402)*C402)</f>
        <v/>
      </c>
      <c r="F402" t="e">
        <f ca="1">_xludf.IFNA(VLOOKUP(B402,'S-FG'!$B$3:$B1001,1,FALSE),"")</f>
        <v>#NAME?</v>
      </c>
      <c r="H402" t="str">
        <f ca="1">IFERROR(__xludf.DUMMYFUNCTION("""COMPUTED_VALUE"""),"AMCA Elec Assy")</f>
        <v>AMCA Elec Assy</v>
      </c>
      <c r="I402" t="str">
        <f ca="1">IFERROR(__xludf.DUMMYFUNCTION("""COMPUTED_VALUE"""),"Conformal Coating")</f>
        <v>Conformal Coating</v>
      </c>
      <c r="J402">
        <f ca="1">IFERROR(__xludf.DUMMYFUNCTION("""COMPUTED_VALUE"""),10)</f>
        <v>10</v>
      </c>
      <c r="L402">
        <f t="shared" ca="1" si="4"/>
        <v>0</v>
      </c>
      <c r="Q402" t="str">
        <f>IF(N402="","",SUMIFS(Issue!$D$3:$D1001,Issue!$C$3:$C1001,N402))</f>
        <v/>
      </c>
      <c r="S402" t="str">
        <f ca="1">IFERROR(__xludf.DUMMYFUNCTION("""COMPUTED_VALUE"""),"Male Bergstrip 40x1 2.54mm")</f>
        <v>Male Bergstrip 40x1 2.54mm</v>
      </c>
      <c r="Y402" t="str">
        <f t="shared" si="5"/>
        <v/>
      </c>
      <c r="Z402" t="str">
        <f>IF(X402="","",SUMIFS(#REF!,RM!$C$4:$C991,X402))</f>
        <v/>
      </c>
      <c r="AA402" t="str">
        <f>IF(X402="","",SUMIFS(#REF!,RM!$C$4:$C991,X402))</f>
        <v/>
      </c>
      <c r="AB402" t="e">
        <f t="shared" si="6"/>
        <v>#VALUE!</v>
      </c>
      <c r="AC402" t="str">
        <f>IF(X402="","",VLOOKUP($X402,RM!$C$4:$G991,3,FALSE))</f>
        <v/>
      </c>
      <c r="AD402" t="str">
        <f>IF(X402="","",VLOOKUP($X402,RM!$C$4:$G991,4,FALSE))</f>
        <v/>
      </c>
      <c r="AE402" t="str">
        <f>IF(X402="","",VLOOKUP($X402,RM!$C$4:$G991,5,FALSE))</f>
        <v/>
      </c>
      <c r="AG402" t="str">
        <f ca="1">IFERROR(__xludf.DUMMYFUNCTION("""COMPUTED_VALUE"""),"IP Remote Assy")</f>
        <v>IP Remote Assy</v>
      </c>
      <c r="AH402" t="str">
        <f ca="1">IFERROR(__xludf.DUMMYFUNCTION("""COMPUTED_VALUE"""),"Remote Handle")</f>
        <v>Remote Handle</v>
      </c>
      <c r="AI402">
        <f ca="1">IFERROR(__xludf.DUMMYFUNCTION("""COMPUTED_VALUE"""),1)</f>
        <v>1</v>
      </c>
      <c r="AJ402" t="str">
        <f ca="1">IFERROR(__xludf.DUMMYFUNCTION("""COMPUTED_VALUE"""),"blank")</f>
        <v>blank</v>
      </c>
      <c r="AK402" t="e">
        <f ca="1">_xludf.IFNA(VLOOKUP(AG402,'S-FG'!$B$3:$B1001,1,FALSE),"")</f>
        <v>#NAME?</v>
      </c>
      <c r="AL402" t="e">
        <f ca="1">IF(AH402="","",SUMIFS(#REF!,RM!$C$4:$C991,AH402))</f>
        <v>#REF!</v>
      </c>
    </row>
    <row r="403" spans="5:38">
      <c r="E403" t="str">
        <f>IF(A403="","",SUMIFS(Issue!$D$3:$D1001,Issue!$C$3:$C1001,A403)*C403)</f>
        <v/>
      </c>
      <c r="F403" t="e">
        <f ca="1">_xludf.IFNA(VLOOKUP(B403,'S-FG'!$B$3:$B1001,1,FALSE),"")</f>
        <v>#NAME?</v>
      </c>
      <c r="H403" t="str">
        <f ca="1">IFERROR(__xludf.DUMMYFUNCTION("""COMPUTED_VALUE"""),"AMCA Elec Assy")</f>
        <v>AMCA Elec Assy</v>
      </c>
      <c r="I403" t="str">
        <f ca="1">IFERROR(__xludf.DUMMYFUNCTION("""COMPUTED_VALUE"""),"Soldering flux")</f>
        <v>Soldering flux</v>
      </c>
      <c r="J403">
        <f ca="1">IFERROR(__xludf.DUMMYFUNCTION("""COMPUTED_VALUE"""),2)</f>
        <v>2</v>
      </c>
      <c r="L403">
        <f t="shared" ca="1" si="4"/>
        <v>0</v>
      </c>
      <c r="Q403" t="str">
        <f>IF(N403="","",SUMIFS(Issue!$D$3:$D1001,Issue!$C$3:$C1001,N403))</f>
        <v/>
      </c>
      <c r="S403" t="str">
        <f ca="1">IFERROR(__xludf.DUMMYFUNCTION("""COMPUTED_VALUE"""),"Conformal Coating")</f>
        <v>Conformal Coating</v>
      </c>
      <c r="Y403" t="str">
        <f t="shared" si="5"/>
        <v/>
      </c>
      <c r="Z403" t="str">
        <f>IF(X403="","",SUMIFS(#REF!,RM!$C$4:$C991,X403))</f>
        <v/>
      </c>
      <c r="AA403" t="str">
        <f>IF(X403="","",SUMIFS(#REF!,RM!$C$4:$C991,X403))</f>
        <v/>
      </c>
      <c r="AB403" t="e">
        <f t="shared" si="6"/>
        <v>#VALUE!</v>
      </c>
      <c r="AC403" t="str">
        <f>IF(X403="","",VLOOKUP($X403,RM!$C$4:$G991,3,FALSE))</f>
        <v/>
      </c>
      <c r="AD403" t="str">
        <f>IF(X403="","",VLOOKUP($X403,RM!$C$4:$G991,4,FALSE))</f>
        <v/>
      </c>
      <c r="AE403" t="str">
        <f>IF(X403="","",VLOOKUP($X403,RM!$C$4:$G991,5,FALSE))</f>
        <v/>
      </c>
      <c r="AG403" t="str">
        <f ca="1">IFERROR(__xludf.DUMMYFUNCTION("""COMPUTED_VALUE"""),"IP Remote Assy")</f>
        <v>IP Remote Assy</v>
      </c>
      <c r="AH403" t="str">
        <f ca="1">IFERROR(__xludf.DUMMYFUNCTION("""COMPUTED_VALUE"""),"Polycarbonate Glass for Remote")</f>
        <v>Polycarbonate Glass for Remote</v>
      </c>
      <c r="AI403">
        <f ca="1">IFERROR(__xludf.DUMMYFUNCTION("""COMPUTED_VALUE"""),1)</f>
        <v>1</v>
      </c>
      <c r="AJ403" t="str">
        <f ca="1">IFERROR(__xludf.DUMMYFUNCTION("""COMPUTED_VALUE"""),"blank")</f>
        <v>blank</v>
      </c>
      <c r="AK403" t="e">
        <f ca="1">_xludf.IFNA(VLOOKUP(AG403,'S-FG'!$B$3:$B1001,1,FALSE),"")</f>
        <v>#NAME?</v>
      </c>
      <c r="AL403" t="e">
        <f ca="1">IF(AH403="","",SUMIFS(#REF!,RM!$C$4:$C991,AH403))</f>
        <v>#REF!</v>
      </c>
    </row>
    <row r="404" spans="5:38">
      <c r="E404" t="str">
        <f>IF(A404="","",SUMIFS(Issue!$D$3:$D1001,Issue!$C$3:$C1001,A404)*C404)</f>
        <v/>
      </c>
      <c r="F404" t="e">
        <f ca="1">_xludf.IFNA(VLOOKUP(B404,'S-FG'!$B$3:$B1001,1,FALSE),"")</f>
        <v>#NAME?</v>
      </c>
      <c r="H404" t="str">
        <f ca="1">IFERROR(__xludf.DUMMYFUNCTION("""COMPUTED_VALUE"""),"AMCA Elec Assy")</f>
        <v>AMCA Elec Assy</v>
      </c>
      <c r="I404" t="str">
        <f ca="1">IFERROR(__xludf.DUMMYFUNCTION("""COMPUTED_VALUE"""),"2 pin JST-XH housing")</f>
        <v>2 pin JST-XH housing</v>
      </c>
      <c r="J404">
        <f ca="1">IFERROR(__xludf.DUMMYFUNCTION("""COMPUTED_VALUE"""),3)</f>
        <v>3</v>
      </c>
      <c r="L404">
        <f t="shared" ca="1" si="4"/>
        <v>0</v>
      </c>
      <c r="Q404" t="str">
        <f>IF(N404="","",SUMIFS(Issue!$D$3:$D1001,Issue!$C$3:$C1001,N404))</f>
        <v/>
      </c>
      <c r="S404" t="str">
        <f ca="1">IFERROR(__xludf.DUMMYFUNCTION("""COMPUTED_VALUE"""),"Soldering flux")</f>
        <v>Soldering flux</v>
      </c>
      <c r="Y404" t="str">
        <f t="shared" si="5"/>
        <v/>
      </c>
      <c r="Z404" t="str">
        <f>IF(X404="","",SUMIFS(#REF!,RM!$C$4:$C991,X404))</f>
        <v/>
      </c>
      <c r="AA404" t="str">
        <f>IF(X404="","",SUMIFS(#REF!,RM!$C$4:$C991,X404))</f>
        <v/>
      </c>
      <c r="AB404" t="e">
        <f t="shared" si="6"/>
        <v>#VALUE!</v>
      </c>
      <c r="AC404" t="str">
        <f>IF(X404="","",VLOOKUP($X404,RM!$C$4:$G991,3,FALSE))</f>
        <v/>
      </c>
      <c r="AD404" t="str">
        <f>IF(X404="","",VLOOKUP($X404,RM!$C$4:$G991,4,FALSE))</f>
        <v/>
      </c>
      <c r="AE404" t="str">
        <f>IF(X404="","",VLOOKUP($X404,RM!$C$4:$G991,5,FALSE))</f>
        <v/>
      </c>
      <c r="AG404" t="str">
        <f ca="1">IFERROR(__xludf.DUMMYFUNCTION("""COMPUTED_VALUE"""),"IP Remote Assy")</f>
        <v>IP Remote Assy</v>
      </c>
      <c r="AH404" t="str">
        <f ca="1">IFERROR(__xludf.DUMMYFUNCTION("""COMPUTED_VALUE"""),"Joystick Water proof rubber")</f>
        <v>Joystick Water proof rubber</v>
      </c>
      <c r="AI404">
        <f ca="1">IFERROR(__xludf.DUMMYFUNCTION("""COMPUTED_VALUE"""),2)</f>
        <v>2</v>
      </c>
      <c r="AJ404" t="str">
        <f ca="1">IFERROR(__xludf.DUMMYFUNCTION("""COMPUTED_VALUE"""),"blank")</f>
        <v>blank</v>
      </c>
      <c r="AK404" t="e">
        <f ca="1">_xludf.IFNA(VLOOKUP(AG404,'S-FG'!$B$3:$B1001,1,FALSE),"")</f>
        <v>#NAME?</v>
      </c>
      <c r="AL404" t="e">
        <f ca="1">IF(AH404="","",SUMIFS(#REF!,RM!$C$4:$C991,AH404))</f>
        <v>#REF!</v>
      </c>
    </row>
    <row r="405" spans="5:38">
      <c r="E405" t="str">
        <f>IF(A405="","",SUMIFS(Issue!$D$3:$D1001,Issue!$C$3:$C1001,A405)*C405)</f>
        <v/>
      </c>
      <c r="F405" t="e">
        <f ca="1">_xludf.IFNA(VLOOKUP(B405,'S-FG'!$B$3:$B1001,1,FALSE),"")</f>
        <v>#NAME?</v>
      </c>
      <c r="H405" t="str">
        <f ca="1">IFERROR(__xludf.DUMMYFUNCTION("""COMPUTED_VALUE"""),"AMCA Elec Assy")</f>
        <v>AMCA Elec Assy</v>
      </c>
      <c r="I405" t="str">
        <f ca="1">IFERROR(__xludf.DUMMYFUNCTION("""COMPUTED_VALUE"""),"2 pin JST-XH male top entry")</f>
        <v>2 pin JST-XH male top entry</v>
      </c>
      <c r="J405">
        <f ca="1">IFERROR(__xludf.DUMMYFUNCTION("""COMPUTED_VALUE"""),3)</f>
        <v>3</v>
      </c>
      <c r="K405" t="str">
        <f ca="1">IFERROR(__xludf.DUMMYFUNCTION("""COMPUTED_VALUE"""),"blank")</f>
        <v>blank</v>
      </c>
      <c r="L405">
        <f t="shared" ca="1" si="4"/>
        <v>0</v>
      </c>
      <c r="Q405" t="str">
        <f>IF(N405="","",SUMIFS(Issue!$D$3:$D1001,Issue!$C$3:$C1001,N405))</f>
        <v/>
      </c>
      <c r="S405" t="str">
        <f ca="1">IFERROR(__xludf.DUMMYFUNCTION("""COMPUTED_VALUE"""),"2 pin JST-XH housing")</f>
        <v>2 pin JST-XH housing</v>
      </c>
      <c r="Y405" t="str">
        <f t="shared" si="5"/>
        <v/>
      </c>
      <c r="Z405" t="str">
        <f>IF(X405="","",SUMIFS(#REF!,RM!$C$4:$C991,X405))</f>
        <v/>
      </c>
      <c r="AA405" t="str">
        <f>IF(X405="","",SUMIFS(#REF!,RM!$C$4:$C991,X405))</f>
        <v/>
      </c>
      <c r="AB405" t="e">
        <f t="shared" si="6"/>
        <v>#VALUE!</v>
      </c>
      <c r="AC405" t="str">
        <f>IF(X405="","",VLOOKUP($X405,RM!$C$4:$G991,3,FALSE))</f>
        <v/>
      </c>
      <c r="AD405" t="str">
        <f>IF(X405="","",VLOOKUP($X405,RM!$C$4:$G991,4,FALSE))</f>
        <v/>
      </c>
      <c r="AE405" t="str">
        <f>IF(X405="","",VLOOKUP($X405,RM!$C$4:$G991,5,FALSE))</f>
        <v/>
      </c>
      <c r="AG405" t="str">
        <f ca="1">IFERROR(__xludf.DUMMYFUNCTION("""COMPUTED_VALUE"""),"IP Remote Assy")</f>
        <v>IP Remote Assy</v>
      </c>
      <c r="AH405" t="str">
        <f ca="1">IFERROR(__xludf.DUMMYFUNCTION("""COMPUTED_VALUE"""),"Button Silicon Cover No. 1")</f>
        <v>Button Silicon Cover No. 1</v>
      </c>
      <c r="AI405">
        <f ca="1">IFERROR(__xludf.DUMMYFUNCTION("""COMPUTED_VALUE"""),2)</f>
        <v>2</v>
      </c>
      <c r="AJ405" t="str">
        <f ca="1">IFERROR(__xludf.DUMMYFUNCTION("""COMPUTED_VALUE"""),"blank")</f>
        <v>blank</v>
      </c>
      <c r="AK405" t="e">
        <f ca="1">_xludf.IFNA(VLOOKUP(AG405,'S-FG'!$B$3:$B1001,1,FALSE),"")</f>
        <v>#NAME?</v>
      </c>
      <c r="AL405" t="e">
        <f ca="1">IF(AH405="","",SUMIFS(#REF!,RM!$C$4:$C991,AH405))</f>
        <v>#REF!</v>
      </c>
    </row>
    <row r="406" spans="5:38">
      <c r="E406" t="str">
        <f>IF(A406="","",SUMIFS(Issue!$D$3:$D1001,Issue!$C$3:$C1001,A406)*C406)</f>
        <v/>
      </c>
      <c r="F406" t="e">
        <f ca="1">_xludf.IFNA(VLOOKUP(B406,'S-FG'!$B$3:$B1001,1,FALSE),"")</f>
        <v>#NAME?</v>
      </c>
      <c r="H406" t="str">
        <f ca="1">IFERROR(__xludf.DUMMYFUNCTION("""COMPUTED_VALUE"""),"AMCA Elec Assy")</f>
        <v>AMCA Elec Assy</v>
      </c>
      <c r="I406" t="str">
        <f ca="1">IFERROR(__xludf.DUMMYFUNCTION("""COMPUTED_VALUE"""),"3 pin JST-XH male top entry")</f>
        <v>3 pin JST-XH male top entry</v>
      </c>
      <c r="J406">
        <f ca="1">IFERROR(__xludf.DUMMYFUNCTION("""COMPUTED_VALUE"""),1)</f>
        <v>1</v>
      </c>
      <c r="L406">
        <f t="shared" ca="1" si="4"/>
        <v>0</v>
      </c>
      <c r="Q406" t="str">
        <f>IF(N406="","",SUMIFS(Issue!$D$3:$D1001,Issue!$C$3:$C1001,N406))</f>
        <v/>
      </c>
      <c r="S406" t="str">
        <f ca="1">IFERROR(__xludf.DUMMYFUNCTION("""COMPUTED_VALUE"""),"2 pin JST-XH male top entry")</f>
        <v>2 pin JST-XH male top entry</v>
      </c>
      <c r="Y406" t="str">
        <f t="shared" si="5"/>
        <v/>
      </c>
      <c r="Z406" t="str">
        <f>IF(X406="","",SUMIFS(#REF!,RM!$C$4:$C991,X406))</f>
        <v/>
      </c>
      <c r="AA406" t="str">
        <f>IF(X406="","",SUMIFS(#REF!,RM!$C$4:$C991,X406))</f>
        <v/>
      </c>
      <c r="AB406" t="e">
        <f t="shared" si="6"/>
        <v>#VALUE!</v>
      </c>
      <c r="AC406" t="str">
        <f>IF(X406="","",VLOOKUP($X406,RM!$C$4:$G991,3,FALSE))</f>
        <v/>
      </c>
      <c r="AD406" t="str">
        <f>IF(X406="","",VLOOKUP($X406,RM!$C$4:$G991,4,FALSE))</f>
        <v/>
      </c>
      <c r="AE406" t="str">
        <f>IF(X406="","",VLOOKUP($X406,RM!$C$4:$G991,5,FALSE))</f>
        <v/>
      </c>
      <c r="AG406" t="str">
        <f ca="1">IFERROR(__xludf.DUMMYFUNCTION("""COMPUTED_VALUE"""),"IP Remote Assy")</f>
        <v>IP Remote Assy</v>
      </c>
      <c r="AH406" t="str">
        <f ca="1">IFERROR(__xludf.DUMMYFUNCTION("""COMPUTED_VALUE"""),"Button Silicon Cover No. 2")</f>
        <v>Button Silicon Cover No. 2</v>
      </c>
      <c r="AI406">
        <f ca="1">IFERROR(__xludf.DUMMYFUNCTION("""COMPUTED_VALUE"""),2)</f>
        <v>2</v>
      </c>
      <c r="AJ406" t="str">
        <f ca="1">IFERROR(__xludf.DUMMYFUNCTION("""COMPUTED_VALUE"""),"blank")</f>
        <v>blank</v>
      </c>
      <c r="AK406" t="e">
        <f ca="1">_xludf.IFNA(VLOOKUP(AG406,'S-FG'!$B$3:$B1001,1,FALSE),"")</f>
        <v>#NAME?</v>
      </c>
      <c r="AL406" t="e">
        <f ca="1">IF(AH406="","",SUMIFS(#REF!,RM!$C$4:$C991,AH406))</f>
        <v>#REF!</v>
      </c>
    </row>
    <row r="407" spans="5:38">
      <c r="E407" t="str">
        <f>IF(A407="","",SUMIFS(Issue!$D$3:$D1001,Issue!$C$3:$C1001,A407)*C407)</f>
        <v/>
      </c>
      <c r="F407" t="e">
        <f ca="1">_xludf.IFNA(VLOOKUP(B407,'S-FG'!$B$3:$B1001,1,FALSE),"")</f>
        <v>#NAME?</v>
      </c>
      <c r="H407" t="str">
        <f ca="1">IFERROR(__xludf.DUMMYFUNCTION("""COMPUTED_VALUE"""),"AMCA Elec Assy")</f>
        <v>AMCA Elec Assy</v>
      </c>
      <c r="I407" t="str">
        <f ca="1">IFERROR(__xludf.DUMMYFUNCTION("""COMPUTED_VALUE"""),"10cm one sided JST crimped Black")</f>
        <v>10cm one sided JST crimped Black</v>
      </c>
      <c r="J407">
        <f ca="1">IFERROR(__xludf.DUMMYFUNCTION("""COMPUTED_VALUE"""),2)</f>
        <v>2</v>
      </c>
      <c r="K407" t="str">
        <f ca="1">IFERROR(__xludf.DUMMYFUNCTION("""COMPUTED_VALUE"""),"blank")</f>
        <v>blank</v>
      </c>
      <c r="L407">
        <f t="shared" ca="1" si="4"/>
        <v>0</v>
      </c>
      <c r="Q407" t="str">
        <f>IF(N407="","",SUMIFS(Issue!$D$3:$D1001,Issue!$C$3:$C1001,N407))</f>
        <v/>
      </c>
      <c r="S407" t="str">
        <f ca="1">IFERROR(__xludf.DUMMYFUNCTION("""COMPUTED_VALUE"""),"3 pin JST-XH male top entry")</f>
        <v>3 pin JST-XH male top entry</v>
      </c>
      <c r="Y407" t="str">
        <f t="shared" si="5"/>
        <v/>
      </c>
      <c r="Z407" t="str">
        <f>IF(X407="","",SUMIFS(#REF!,RM!$C$4:$C991,X407))</f>
        <v/>
      </c>
      <c r="AA407" t="str">
        <f>IF(X407="","",SUMIFS(#REF!,RM!$C$4:$C991,X407))</f>
        <v/>
      </c>
      <c r="AB407" t="e">
        <f t="shared" si="6"/>
        <v>#VALUE!</v>
      </c>
      <c r="AC407" t="str">
        <f>IF(X407="","",VLOOKUP($X407,RM!$C$4:$G991,3,FALSE))</f>
        <v/>
      </c>
      <c r="AD407" t="str">
        <f>IF(X407="","",VLOOKUP($X407,RM!$C$4:$G991,4,FALSE))</f>
        <v/>
      </c>
      <c r="AE407" t="str">
        <f>IF(X407="","",VLOOKUP($X407,RM!$C$4:$G991,5,FALSE))</f>
        <v/>
      </c>
      <c r="AG407" t="str">
        <f ca="1">IFERROR(__xludf.DUMMYFUNCTION("""COMPUTED_VALUE"""),"IP Remote Assy")</f>
        <v>IP Remote Assy</v>
      </c>
      <c r="AH407" t="str">
        <f ca="1">IFERROR(__xludf.DUMMYFUNCTION("""COMPUTED_VALUE"""),"Neck Strap Hook")</f>
        <v>Neck Strap Hook</v>
      </c>
      <c r="AI407">
        <f ca="1">IFERROR(__xludf.DUMMYFUNCTION("""COMPUTED_VALUE"""),1)</f>
        <v>1</v>
      </c>
      <c r="AJ407" t="str">
        <f ca="1">IFERROR(__xludf.DUMMYFUNCTION("""COMPUTED_VALUE"""),"blank")</f>
        <v>blank</v>
      </c>
      <c r="AK407" t="e">
        <f ca="1">_xludf.IFNA(VLOOKUP(AG407,'S-FG'!$B$3:$B1001,1,FALSE),"")</f>
        <v>#NAME?</v>
      </c>
      <c r="AL407" t="e">
        <f ca="1">IF(AH407="","",SUMIFS(#REF!,RM!$C$4:$C991,AH407))</f>
        <v>#REF!</v>
      </c>
    </row>
    <row r="408" spans="5:38">
      <c r="E408" t="str">
        <f>IF(A408="","",SUMIFS(Issue!$D$3:$D1001,Issue!$C$3:$C1001,A408)*C408)</f>
        <v/>
      </c>
      <c r="F408" t="e">
        <f ca="1">_xludf.IFNA(VLOOKUP(B408,'S-FG'!$B$3:$B1001,1,FALSE),"")</f>
        <v>#NAME?</v>
      </c>
      <c r="H408" t="str">
        <f ca="1">IFERROR(__xludf.DUMMYFUNCTION("""COMPUTED_VALUE"""),"AMCA Elec Assy")</f>
        <v>AMCA Elec Assy</v>
      </c>
      <c r="I408" t="str">
        <f ca="1">IFERROR(__xludf.DUMMYFUNCTION("""COMPUTED_VALUE"""),"10cm one sided JST crimped Red")</f>
        <v>10cm one sided JST crimped Red</v>
      </c>
      <c r="J408">
        <f ca="1">IFERROR(__xludf.DUMMYFUNCTION("""COMPUTED_VALUE"""),2)</f>
        <v>2</v>
      </c>
      <c r="K408" t="str">
        <f ca="1">IFERROR(__xludf.DUMMYFUNCTION("""COMPUTED_VALUE"""),"blank")</f>
        <v>blank</v>
      </c>
      <c r="L408">
        <f t="shared" ca="1" si="4"/>
        <v>0</v>
      </c>
      <c r="Q408" t="str">
        <f>IF(N408="","",SUMIFS(Issue!$D$3:$D1001,Issue!$C$3:$C1001,N408))</f>
        <v/>
      </c>
      <c r="S408" t="str">
        <f ca="1">IFERROR(__xludf.DUMMYFUNCTION("""COMPUTED_VALUE"""),"10cm one sided JST crimped Black")</f>
        <v>10cm one sided JST crimped Black</v>
      </c>
      <c r="Y408" t="str">
        <f t="shared" si="5"/>
        <v/>
      </c>
      <c r="Z408" t="str">
        <f>IF(X408="","",SUMIFS(#REF!,RM!$C$4:$C991,X408))</f>
        <v/>
      </c>
      <c r="AA408" t="str">
        <f>IF(X408="","",SUMIFS(#REF!,RM!$C$4:$C991,X408))</f>
        <v/>
      </c>
      <c r="AB408" t="e">
        <f t="shared" si="6"/>
        <v>#VALUE!</v>
      </c>
      <c r="AC408" t="str">
        <f>IF(X408="","",VLOOKUP($X408,RM!$C$4:$G991,3,FALSE))</f>
        <v/>
      </c>
      <c r="AD408" t="str">
        <f>IF(X408="","",VLOOKUP($X408,RM!$C$4:$G991,4,FALSE))</f>
        <v/>
      </c>
      <c r="AE408" t="str">
        <f>IF(X408="","",VLOOKUP($X408,RM!$C$4:$G991,5,FALSE))</f>
        <v/>
      </c>
      <c r="AG408" t="str">
        <f ca="1">IFERROR(__xludf.DUMMYFUNCTION("""COMPUTED_VALUE"""),"IP Remote Assy")</f>
        <v>IP Remote Assy</v>
      </c>
      <c r="AH408" t="str">
        <f ca="1">IFERROR(__xludf.DUMMYFUNCTION("""COMPUTED_VALUE"""),"Neck Strap")</f>
        <v>Neck Strap</v>
      </c>
      <c r="AI408">
        <f ca="1">IFERROR(__xludf.DUMMYFUNCTION("""COMPUTED_VALUE"""),1)</f>
        <v>1</v>
      </c>
      <c r="AJ408" t="str">
        <f ca="1">IFERROR(__xludf.DUMMYFUNCTION("""COMPUTED_VALUE"""),"blank")</f>
        <v>blank</v>
      </c>
      <c r="AK408" t="e">
        <f ca="1">_xludf.IFNA(VLOOKUP(AG408,'S-FG'!$B$3:$B1001,1,FALSE),"")</f>
        <v>#NAME?</v>
      </c>
      <c r="AL408" t="e">
        <f ca="1">IF(AH408="","",SUMIFS(#REF!,RM!$C$4:$C991,AH408))</f>
        <v>#REF!</v>
      </c>
    </row>
    <row r="409" spans="5:38">
      <c r="E409" t="str">
        <f>IF(A409="","",SUMIFS(Issue!$D$3:$D1001,Issue!$C$3:$C1001,A409)*C409)</f>
        <v/>
      </c>
      <c r="F409" t="e">
        <f ca="1">_xludf.IFNA(VLOOKUP(B409,'S-FG'!$B$3:$B1001,1,FALSE),"")</f>
        <v>#NAME?</v>
      </c>
      <c r="H409" t="str">
        <f ca="1">IFERROR(__xludf.DUMMYFUNCTION("""COMPUTED_VALUE"""),"AMCA Elec Assy")</f>
        <v>AMCA Elec Assy</v>
      </c>
      <c r="I409" t="str">
        <f ca="1">IFERROR(__xludf.DUMMYFUNCTION("""COMPUTED_VALUE"""),"Atmega328P-AU")</f>
        <v>Atmega328P-AU</v>
      </c>
      <c r="J409">
        <f ca="1">IFERROR(__xludf.DUMMYFUNCTION("""COMPUTED_VALUE"""),1)</f>
        <v>1</v>
      </c>
      <c r="K409" t="str">
        <f ca="1">IFERROR(__xludf.DUMMYFUNCTION("""COMPUTED_VALUE"""),"blank")</f>
        <v>blank</v>
      </c>
      <c r="L409">
        <f t="shared" ca="1" si="4"/>
        <v>0</v>
      </c>
      <c r="Q409" t="str">
        <f>IF(N409="","",SUMIFS(Issue!$D$3:$D1001,Issue!$C$3:$C1001,N409))</f>
        <v/>
      </c>
      <c r="S409" t="str">
        <f ca="1">IFERROR(__xludf.DUMMYFUNCTION("""COMPUTED_VALUE"""),"10cm one sided JST crimped Red")</f>
        <v>10cm one sided JST crimped Red</v>
      </c>
      <c r="Y409" t="str">
        <f t="shared" si="5"/>
        <v/>
      </c>
      <c r="Z409" t="str">
        <f>IF(X409="","",SUMIFS(#REF!,RM!$C$4:$C991,X409))</f>
        <v/>
      </c>
      <c r="AA409" t="str">
        <f>IF(X409="","",SUMIFS(#REF!,RM!$C$4:$C991,X409))</f>
        <v/>
      </c>
      <c r="AB409" t="e">
        <f t="shared" si="6"/>
        <v>#VALUE!</v>
      </c>
      <c r="AC409" t="str">
        <f>IF(X409="","",VLOOKUP($X409,RM!$C$4:$G991,3,FALSE))</f>
        <v/>
      </c>
      <c r="AD409" t="str">
        <f>IF(X409="","",VLOOKUP($X409,RM!$C$4:$G991,4,FALSE))</f>
        <v/>
      </c>
      <c r="AE409" t="str">
        <f>IF(X409="","",VLOOKUP($X409,RM!$C$4:$G991,5,FALSE))</f>
        <v/>
      </c>
      <c r="AG409" t="str">
        <f ca="1">IFERROR(__xludf.DUMMYFUNCTION("""COMPUTED_VALUE"""),"IP Remote Assy")</f>
        <v>IP Remote Assy</v>
      </c>
      <c r="AH409" t="str">
        <f ca="1">IFERROR(__xludf.DUMMYFUNCTION("""COMPUTED_VALUE"""),"M2x12 Allen Head SS304")</f>
        <v>M2x12 Allen Head SS304</v>
      </c>
      <c r="AI409">
        <f ca="1">IFERROR(__xludf.DUMMYFUNCTION("""COMPUTED_VALUE"""),20)</f>
        <v>20</v>
      </c>
      <c r="AJ409" t="str">
        <f ca="1">IFERROR(__xludf.DUMMYFUNCTION("""COMPUTED_VALUE"""),"blank")</f>
        <v>blank</v>
      </c>
      <c r="AK409" t="e">
        <f ca="1">_xludf.IFNA(VLOOKUP(AG409,'S-FG'!$B$3:$B1001,1,FALSE),"")</f>
        <v>#NAME?</v>
      </c>
      <c r="AL409" t="e">
        <f ca="1">IF(AH409="","",SUMIFS(#REF!,RM!$C$4:$C991,AH409))</f>
        <v>#REF!</v>
      </c>
    </row>
    <row r="410" spans="5:38">
      <c r="E410" t="str">
        <f>IF(A410="","",SUMIFS(Issue!$D$3:$D1001,Issue!$C$3:$C1001,A410)*C410)</f>
        <v/>
      </c>
      <c r="F410" t="e">
        <f ca="1">_xludf.IFNA(VLOOKUP(B410,'S-FG'!$B$3:$B1001,1,FALSE),"")</f>
        <v>#NAME?</v>
      </c>
      <c r="H410" t="str">
        <f ca="1">IFERROR(__xludf.DUMMYFUNCTION("""COMPUTED_VALUE"""),"AMCA Elec Assy")</f>
        <v>AMCA Elec Assy</v>
      </c>
      <c r="I410" t="str">
        <f ca="1">IFERROR(__xludf.DUMMYFUNCTION("""COMPUTED_VALUE"""),"Red 14/38 wire")</f>
        <v>Red 14/38 wire</v>
      </c>
      <c r="J410">
        <f ca="1">IFERROR(__xludf.DUMMYFUNCTION("""COMPUTED_VALUE"""),2)</f>
        <v>2</v>
      </c>
      <c r="L410">
        <f t="shared" ca="1" si="4"/>
        <v>0</v>
      </c>
      <c r="Q410" t="str">
        <f>IF(N410="","",SUMIFS(Issue!$D$3:$D1001,Issue!$C$3:$C1001,N410))</f>
        <v/>
      </c>
      <c r="S410" t="str">
        <f ca="1">IFERROR(__xludf.DUMMYFUNCTION("""COMPUTED_VALUE"""),"Atmega328P-AU")</f>
        <v>Atmega328P-AU</v>
      </c>
      <c r="Y410" t="str">
        <f t="shared" si="5"/>
        <v/>
      </c>
      <c r="Z410" t="str">
        <f>IF(X410="","",SUMIFS(#REF!,RM!$C$4:$C991,X410))</f>
        <v/>
      </c>
      <c r="AA410" t="str">
        <f>IF(X410="","",SUMIFS(#REF!,RM!$C$4:$C991,X410))</f>
        <v/>
      </c>
      <c r="AB410" t="e">
        <f t="shared" si="6"/>
        <v>#VALUE!</v>
      </c>
      <c r="AC410" t="str">
        <f>IF(X410="","",VLOOKUP($X410,RM!$C$4:$G991,3,FALSE))</f>
        <v/>
      </c>
      <c r="AD410" t="str">
        <f>IF(X410="","",VLOOKUP($X410,RM!$C$4:$G991,4,FALSE))</f>
        <v/>
      </c>
      <c r="AE410" t="str">
        <f>IF(X410="","",VLOOKUP($X410,RM!$C$4:$G991,5,FALSE))</f>
        <v/>
      </c>
      <c r="AG410" t="str">
        <f ca="1">IFERROR(__xludf.DUMMYFUNCTION("""COMPUTED_VALUE"""),"IP Remote Assy")</f>
        <v>IP Remote Assy</v>
      </c>
      <c r="AH410" t="str">
        <f ca="1">IFERROR(__xludf.DUMMYFUNCTION("""COMPUTED_VALUE"""),"32Gb SD Card")</f>
        <v>32Gb SD Card</v>
      </c>
      <c r="AI410">
        <f ca="1">IFERROR(__xludf.DUMMYFUNCTION("""COMPUTED_VALUE"""),1)</f>
        <v>1</v>
      </c>
      <c r="AJ410" t="str">
        <f ca="1">IFERROR(__xludf.DUMMYFUNCTION("""COMPUTED_VALUE"""),"blank")</f>
        <v>blank</v>
      </c>
      <c r="AK410" t="e">
        <f ca="1">_xludf.IFNA(VLOOKUP(AG410,'S-FG'!$B$3:$B1001,1,FALSE),"")</f>
        <v>#NAME?</v>
      </c>
      <c r="AL410" t="e">
        <f ca="1">IF(AH410="","",SUMIFS(#REF!,RM!$C$4:$C991,AH410))</f>
        <v>#REF!</v>
      </c>
    </row>
    <row r="411" spans="5:38">
      <c r="E411" t="str">
        <f>IF(A411="","",SUMIFS(Issue!$D$3:$D1001,Issue!$C$3:$C1001,A411)*C411)</f>
        <v/>
      </c>
      <c r="F411" t="e">
        <f ca="1">_xludf.IFNA(VLOOKUP(B411,'S-FG'!$B$3:$B1001,1,FALSE),"")</f>
        <v>#NAME?</v>
      </c>
      <c r="H411" t="str">
        <f ca="1">IFERROR(__xludf.DUMMYFUNCTION("""COMPUTED_VALUE"""),"AMCA Elec Assy")</f>
        <v>AMCA Elec Assy</v>
      </c>
      <c r="I411" t="str">
        <f ca="1">IFERROR(__xludf.DUMMYFUNCTION("""COMPUTED_VALUE"""),"Black 14/38 Wire")</f>
        <v>Black 14/38 Wire</v>
      </c>
      <c r="J411">
        <f ca="1">IFERROR(__xludf.DUMMYFUNCTION("""COMPUTED_VALUE"""),2)</f>
        <v>2</v>
      </c>
      <c r="L411">
        <f t="shared" ca="1" si="4"/>
        <v>0</v>
      </c>
      <c r="Q411" t="str">
        <f>IF(N411="","",SUMIFS(Issue!$D$3:$D1001,Issue!$C$3:$C1001,N411))</f>
        <v/>
      </c>
      <c r="S411" t="str">
        <f ca="1">IFERROR(__xludf.DUMMYFUNCTION("""COMPUTED_VALUE"""),"Red 14/38 wire")</f>
        <v>Red 14/38 wire</v>
      </c>
      <c r="Y411" t="str">
        <f t="shared" si="5"/>
        <v/>
      </c>
      <c r="Z411" t="str">
        <f>IF(X411="","",SUMIFS(#REF!,RM!$C$4:$C991,X411))</f>
        <v/>
      </c>
      <c r="AA411" t="str">
        <f>IF(X411="","",SUMIFS(#REF!,RM!$C$4:$C991,X411))</f>
        <v/>
      </c>
      <c r="AB411" t="e">
        <f t="shared" si="6"/>
        <v>#VALUE!</v>
      </c>
      <c r="AC411" t="str">
        <f>IF(X411="","",VLOOKUP($X411,RM!$C$4:$G991,3,FALSE))</f>
        <v/>
      </c>
      <c r="AD411" t="str">
        <f>IF(X411="","",VLOOKUP($X411,RM!$C$4:$G991,4,FALSE))</f>
        <v/>
      </c>
      <c r="AE411" t="str">
        <f>IF(X411="","",VLOOKUP($X411,RM!$C$4:$G991,5,FALSE))</f>
        <v/>
      </c>
      <c r="AG411" t="str">
        <f ca="1">IFERROR(__xludf.DUMMYFUNCTION("""COMPUTED_VALUE"""),"IP Remote Charging Cable Assy")</f>
        <v>IP Remote Charging Cable Assy</v>
      </c>
      <c r="AH411" t="str">
        <f ca="1">IFERROR(__xludf.DUMMYFUNCTION("""COMPUTED_VALUE"""),"USB Data &amp; Charging Cable 1m length")</f>
        <v>USB Data &amp; Charging Cable 1m length</v>
      </c>
      <c r="AI411">
        <f ca="1">IFERROR(__xludf.DUMMYFUNCTION("""COMPUTED_VALUE"""),1)</f>
        <v>1</v>
      </c>
      <c r="AJ411" t="str">
        <f ca="1">IFERROR(__xludf.DUMMYFUNCTION("""COMPUTED_VALUE"""),"blank")</f>
        <v>blank</v>
      </c>
      <c r="AK411" t="e">
        <f ca="1">_xludf.IFNA(VLOOKUP(AG411,'S-FG'!$B$3:$B1001,1,FALSE),"")</f>
        <v>#NAME?</v>
      </c>
      <c r="AL411" t="e">
        <f ca="1">IF(AH411="","",SUMIFS(#REF!,RM!$C$4:$C991,AH411))</f>
        <v>#REF!</v>
      </c>
    </row>
    <row r="412" spans="5:38">
      <c r="E412" t="str">
        <f>IF(A412="","",SUMIFS(Issue!$D$3:$D1001,Issue!$C$3:$C1001,A412)*C412)</f>
        <v/>
      </c>
      <c r="F412" t="e">
        <f ca="1">_xludf.IFNA(VLOOKUP(B412,'S-FG'!$B$3:$B1001,1,FALSE),"")</f>
        <v>#NAME?</v>
      </c>
      <c r="H412" t="str">
        <f ca="1">IFERROR(__xludf.DUMMYFUNCTION("""COMPUTED_VALUE"""),"AMCA Elec Assy")</f>
        <v>AMCA Elec Assy</v>
      </c>
      <c r="I412" t="str">
        <f ca="1">IFERROR(__xludf.DUMMYFUNCTION("""COMPUTED_VALUE"""),"Yellow 14/38 Wire")</f>
        <v>Yellow 14/38 Wire</v>
      </c>
      <c r="J412">
        <f ca="1">IFERROR(__xludf.DUMMYFUNCTION("""COMPUTED_VALUE"""),2)</f>
        <v>2</v>
      </c>
      <c r="L412">
        <f t="shared" ca="1" si="4"/>
        <v>0</v>
      </c>
      <c r="Q412" t="str">
        <f>IF(N412="","",SUMIFS(Issue!$D$3:$D1001,Issue!$C$3:$C1001,N412))</f>
        <v/>
      </c>
      <c r="S412" t="str">
        <f ca="1">IFERROR(__xludf.DUMMYFUNCTION("""COMPUTED_VALUE"""),"Black 14/38 Wire")</f>
        <v>Black 14/38 Wire</v>
      </c>
      <c r="Y412" t="str">
        <f t="shared" si="5"/>
        <v/>
      </c>
      <c r="Z412" t="str">
        <f>IF(X412="","",SUMIFS(#REF!,RM!$C$4:$C991,X412))</f>
        <v/>
      </c>
      <c r="AA412" t="str">
        <f>IF(X412="","",SUMIFS(#REF!,RM!$C$4:$C991,X412))</f>
        <v/>
      </c>
      <c r="AB412" t="e">
        <f t="shared" si="6"/>
        <v>#VALUE!</v>
      </c>
      <c r="AC412" t="str">
        <f>IF(X412="","",VLOOKUP($X412,RM!$C$4:$G991,3,FALSE))</f>
        <v/>
      </c>
      <c r="AD412" t="str">
        <f>IF(X412="","",VLOOKUP($X412,RM!$C$4:$G991,4,FALSE))</f>
        <v/>
      </c>
      <c r="AE412" t="str">
        <f>IF(X412="","",VLOOKUP($X412,RM!$C$4:$G991,5,FALSE))</f>
        <v/>
      </c>
      <c r="AG412" t="str">
        <f ca="1">IFERROR(__xludf.DUMMYFUNCTION("""COMPUTED_VALUE"""),"IP Remote Charging Cable Assy")</f>
        <v>IP Remote Charging Cable Assy</v>
      </c>
      <c r="AH412" t="str">
        <f ca="1">IFERROR(__xludf.DUMMYFUNCTION("""COMPUTED_VALUE"""),"5v 2A USB Adapter")</f>
        <v>5v 2A USB Adapter</v>
      </c>
      <c r="AI412">
        <f ca="1">IFERROR(__xludf.DUMMYFUNCTION("""COMPUTED_VALUE"""),1)</f>
        <v>1</v>
      </c>
      <c r="AJ412" t="str">
        <f ca="1">IFERROR(__xludf.DUMMYFUNCTION("""COMPUTED_VALUE"""),"blank")</f>
        <v>blank</v>
      </c>
      <c r="AK412" t="e">
        <f ca="1">_xludf.IFNA(VLOOKUP(AG412,'S-FG'!$B$3:$B1001,1,FALSE),"")</f>
        <v>#NAME?</v>
      </c>
      <c r="AL412" t="e">
        <f ca="1">IF(AH412="","",SUMIFS(#REF!,RM!$C$4:$C991,AH412))</f>
        <v>#REF!</v>
      </c>
    </row>
    <row r="413" spans="5:38">
      <c r="E413" t="str">
        <f>IF(A413="","",SUMIFS(Issue!$D$3:$D1001,Issue!$C$3:$C1001,A413)*C413)</f>
        <v/>
      </c>
      <c r="F413" t="e">
        <f ca="1">_xludf.IFNA(VLOOKUP(B413,'S-FG'!$B$3:$B1001,1,FALSE),"")</f>
        <v>#NAME?</v>
      </c>
      <c r="H413" t="str">
        <f ca="1">IFERROR(__xludf.DUMMYFUNCTION("""COMPUTED_VALUE"""),"AMCA Elec Assy")</f>
        <v>AMCA Elec Assy</v>
      </c>
      <c r="I413" t="str">
        <f ca="1">IFERROR(__xludf.DUMMYFUNCTION("""COMPUTED_VALUE"""),"3S BMS")</f>
        <v>3S BMS</v>
      </c>
      <c r="J413">
        <f ca="1">IFERROR(__xludf.DUMMYFUNCTION("""COMPUTED_VALUE"""),1)</f>
        <v>1</v>
      </c>
      <c r="L413">
        <f t="shared" ca="1" si="4"/>
        <v>0</v>
      </c>
      <c r="Q413" t="str">
        <f>IF(N413="","",SUMIFS(Issue!$D$3:$D1001,Issue!$C$3:$C1001,N413))</f>
        <v/>
      </c>
      <c r="S413" t="str">
        <f ca="1">IFERROR(__xludf.DUMMYFUNCTION("""COMPUTED_VALUE"""),"Yellow 14/38 Wire")</f>
        <v>Yellow 14/38 Wire</v>
      </c>
      <c r="Y413" t="str">
        <f t="shared" si="5"/>
        <v/>
      </c>
      <c r="Z413" t="str">
        <f>IF(X413="","",SUMIFS(#REF!,RM!$C$4:$C991,X413))</f>
        <v/>
      </c>
      <c r="AA413" t="str">
        <f>IF(X413="","",SUMIFS(#REF!,RM!$C$4:$C991,X413))</f>
        <v/>
      </c>
      <c r="AB413" t="e">
        <f t="shared" si="6"/>
        <v>#VALUE!</v>
      </c>
      <c r="AC413" t="str">
        <f>IF(X413="","",VLOOKUP($X413,RM!$C$4:$G991,3,FALSE))</f>
        <v/>
      </c>
      <c r="AD413" t="str">
        <f>IF(X413="","",VLOOKUP($X413,RM!$C$4:$G991,4,FALSE))</f>
        <v/>
      </c>
      <c r="AE413" t="str">
        <f>IF(X413="","",VLOOKUP($X413,RM!$C$4:$G991,5,FALSE))</f>
        <v/>
      </c>
      <c r="AG413" t="str">
        <f ca="1">IFERROR(__xludf.DUMMYFUNCTION("""COMPUTED_VALUE"""),"IP Remote Charging Cable Assy")</f>
        <v>IP Remote Charging Cable Assy</v>
      </c>
      <c r="AH413" t="str">
        <f ca="1">IFERROR(__xludf.DUMMYFUNCTION("""COMPUTED_VALUE"""),"SA12 9pin CM Pushpull")</f>
        <v>SA12 9pin CM Pushpull</v>
      </c>
      <c r="AI413">
        <f ca="1">IFERROR(__xludf.DUMMYFUNCTION("""COMPUTED_VALUE"""),1)</f>
        <v>1</v>
      </c>
      <c r="AJ413" t="str">
        <f ca="1">IFERROR(__xludf.DUMMYFUNCTION("""COMPUTED_VALUE"""),"blank")</f>
        <v>blank</v>
      </c>
      <c r="AK413" t="e">
        <f ca="1">_xludf.IFNA(VLOOKUP(AG413,'S-FG'!$B$3:$B1001,1,FALSE),"")</f>
        <v>#NAME?</v>
      </c>
      <c r="AL413" t="e">
        <f ca="1">IF(AH413="","",SUMIFS(#REF!,RM!$C$4:$C991,AH413))</f>
        <v>#REF!</v>
      </c>
    </row>
    <row r="414" spans="5:38">
      <c r="E414" t="str">
        <f>IF(A414="","",SUMIFS(Issue!$D$3:$D1001,Issue!$C$3:$C1001,A414)*C414)</f>
        <v/>
      </c>
      <c r="F414" t="e">
        <f ca="1">_xludf.IFNA(VLOOKUP(B414,'S-FG'!$B$3:$B1001,1,FALSE),"")</f>
        <v>#NAME?</v>
      </c>
      <c r="H414" t="str">
        <f ca="1">IFERROR(__xludf.DUMMYFUNCTION("""COMPUTED_VALUE"""),"AMCA Elec Assy")</f>
        <v>AMCA Elec Assy</v>
      </c>
      <c r="I414" t="str">
        <f ca="1">IFERROR(__xludf.DUMMYFUNCTION("""COMPUTED_VALUE"""),"130x80x60 enclosure box")</f>
        <v>130x80x60 enclosure box</v>
      </c>
      <c r="J414">
        <f ca="1">IFERROR(__xludf.DUMMYFUNCTION("""COMPUTED_VALUE"""),1)</f>
        <v>1</v>
      </c>
      <c r="L414">
        <f t="shared" ca="1" si="4"/>
        <v>0</v>
      </c>
      <c r="Q414" t="str">
        <f>IF(N414="","",SUMIFS(Issue!$D$3:$D1001,Issue!$C$3:$C1001,N414))</f>
        <v/>
      </c>
      <c r="S414" t="str">
        <f ca="1">IFERROR(__xludf.DUMMYFUNCTION("""COMPUTED_VALUE"""),"3S BMS")</f>
        <v>3S BMS</v>
      </c>
      <c r="Y414" t="str">
        <f t="shared" si="5"/>
        <v/>
      </c>
      <c r="Z414" t="str">
        <f>IF(X414="","",SUMIFS(#REF!,RM!$C$4:$C991,X414))</f>
        <v/>
      </c>
      <c r="AA414" t="str">
        <f>IF(X414="","",SUMIFS(#REF!,RM!$C$4:$C991,X414))</f>
        <v/>
      </c>
      <c r="AB414" t="e">
        <f t="shared" si="6"/>
        <v>#VALUE!</v>
      </c>
      <c r="AC414" t="str">
        <f>IF(X414="","",VLOOKUP($X414,RM!$C$4:$G991,3,FALSE))</f>
        <v/>
      </c>
      <c r="AD414" t="str">
        <f>IF(X414="","",VLOOKUP($X414,RM!$C$4:$G991,4,FALSE))</f>
        <v/>
      </c>
      <c r="AE414" t="str">
        <f>IF(X414="","",VLOOKUP($X414,RM!$C$4:$G991,5,FALSE))</f>
        <v/>
      </c>
      <c r="AG414" t="str">
        <f ca="1">IFERROR(__xludf.DUMMYFUNCTION("""COMPUTED_VALUE"""),"IP Remote Charging Cable Assy")</f>
        <v>IP Remote Charging Cable Assy</v>
      </c>
      <c r="AH414" t="str">
        <f ca="1">IFERROR(__xludf.DUMMYFUNCTION("""COMPUTED_VALUE"""),"Rotary Knob Box 3D print")</f>
        <v>Rotary Knob Box 3D print</v>
      </c>
      <c r="AI414">
        <f ca="1">IFERROR(__xludf.DUMMYFUNCTION("""COMPUTED_VALUE"""),1)</f>
        <v>1</v>
      </c>
      <c r="AJ414" t="str">
        <f ca="1">IFERROR(__xludf.DUMMYFUNCTION("""COMPUTED_VALUE"""),"blank")</f>
        <v>blank</v>
      </c>
      <c r="AK414" t="e">
        <f ca="1">_xludf.IFNA(VLOOKUP(AG414,'S-FG'!$B$3:$B1001,1,FALSE),"")</f>
        <v>#NAME?</v>
      </c>
      <c r="AL414" t="e">
        <f ca="1">IF(AH414="","",SUMIFS(#REF!,RM!$C$4:$C991,AH414))</f>
        <v>#REF!</v>
      </c>
    </row>
    <row r="415" spans="5:38">
      <c r="E415" t="str">
        <f>IF(A415="","",SUMIFS(Issue!$D$3:$D1001,Issue!$C$3:$C1001,A415)*C415)</f>
        <v/>
      </c>
      <c r="F415" t="e">
        <f ca="1">_xludf.IFNA(VLOOKUP(B415,'S-FG'!$B$3:$B1001,1,FALSE),"")</f>
        <v>#NAME?</v>
      </c>
      <c r="H415" t="str">
        <f ca="1">IFERROR(__xludf.DUMMYFUNCTION("""COMPUTED_VALUE"""),"AMCA Elec Assy")</f>
        <v>AMCA Elec Assy</v>
      </c>
      <c r="I415" t="str">
        <f ca="1">IFERROR(__xludf.DUMMYFUNCTION("""COMPUTED_VALUE"""),"2mm male bullet connector")</f>
        <v>2mm male bullet connector</v>
      </c>
      <c r="J415">
        <f ca="1">IFERROR(__xludf.DUMMYFUNCTION("""COMPUTED_VALUE"""),6)</f>
        <v>6</v>
      </c>
      <c r="K415" t="str">
        <f ca="1">IFERROR(__xludf.DUMMYFUNCTION("""COMPUTED_VALUE"""),"blank")</f>
        <v>blank</v>
      </c>
      <c r="L415">
        <f t="shared" ca="1" si="4"/>
        <v>0</v>
      </c>
      <c r="Q415" t="str">
        <f>IF(N415="","",SUMIFS(Issue!$D$3:$D1001,Issue!$C$3:$C1001,N415))</f>
        <v/>
      </c>
      <c r="S415" t="str">
        <f ca="1">IFERROR(__xludf.DUMMYFUNCTION("""COMPUTED_VALUE"""),"130x80x60 enclosure box")</f>
        <v>130x80x60 enclosure box</v>
      </c>
      <c r="Y415" t="str">
        <f t="shared" si="5"/>
        <v/>
      </c>
      <c r="Z415" t="str">
        <f>IF(X415="","",SUMIFS(#REF!,RM!$C$4:$C991,X415))</f>
        <v/>
      </c>
      <c r="AA415" t="str">
        <f>IF(X415="","",SUMIFS(#REF!,RM!$C$4:$C991,X415))</f>
        <v/>
      </c>
      <c r="AB415" t="e">
        <f t="shared" si="6"/>
        <v>#VALUE!</v>
      </c>
      <c r="AC415" t="str">
        <f>IF(X415="","",VLOOKUP($X415,RM!$C$4:$G991,3,FALSE))</f>
        <v/>
      </c>
      <c r="AD415" t="str">
        <f>IF(X415="","",VLOOKUP($X415,RM!$C$4:$G991,4,FALSE))</f>
        <v/>
      </c>
      <c r="AE415" t="str">
        <f>IF(X415="","",VLOOKUP($X415,RM!$C$4:$G991,5,FALSE))</f>
        <v/>
      </c>
      <c r="AG415" t="str">
        <f ca="1">IFERROR(__xludf.DUMMYFUNCTION("""COMPUTED_VALUE"""),"AMCA Elec Assy")</f>
        <v>AMCA Elec Assy</v>
      </c>
      <c r="AH415" t="str">
        <f ca="1">IFERROR(__xludf.DUMMYFUNCTION("""COMPUTED_VALUE"""),"1N4007 THT diode")</f>
        <v>1N4007 THT diode</v>
      </c>
      <c r="AI415">
        <f ca="1">IFERROR(__xludf.DUMMYFUNCTION("""COMPUTED_VALUE"""),4)</f>
        <v>4</v>
      </c>
      <c r="AJ415" t="str">
        <f ca="1">IFERROR(__xludf.DUMMYFUNCTION("""COMPUTED_VALUE"""),"blank")</f>
        <v>blank</v>
      </c>
      <c r="AK415" t="e">
        <f ca="1">_xludf.IFNA(VLOOKUP(AG415,'S-FG'!$B$3:$B1001,1,FALSE),"")</f>
        <v>#NAME?</v>
      </c>
      <c r="AL415" t="e">
        <f ca="1">IF(AH415="","",SUMIFS(#REF!,RM!$C$4:$C991,AH415))</f>
        <v>#REF!</v>
      </c>
    </row>
    <row r="416" spans="5:38">
      <c r="E416" t="str">
        <f>IF(A416="","",SUMIFS(Issue!$D$3:$D1001,Issue!$C$3:$C1001,A416)*C416)</f>
        <v/>
      </c>
      <c r="F416" t="e">
        <f ca="1">_xludf.IFNA(VLOOKUP(B416,'S-FG'!$B$3:$B1001,1,FALSE),"")</f>
        <v>#NAME?</v>
      </c>
      <c r="H416" t="str">
        <f ca="1">IFERROR(__xludf.DUMMYFUNCTION("""COMPUTED_VALUE"""),"AMCA Elec Assy")</f>
        <v>AMCA Elec Assy</v>
      </c>
      <c r="I416" t="str">
        <f ca="1">IFERROR(__xludf.DUMMYFUNCTION("""COMPUTED_VALUE"""),"2mm Female Bullet connector")</f>
        <v>2mm Female Bullet connector</v>
      </c>
      <c r="J416">
        <f ca="1">IFERROR(__xludf.DUMMYFUNCTION("""COMPUTED_VALUE"""),6)</f>
        <v>6</v>
      </c>
      <c r="K416" t="str">
        <f ca="1">IFERROR(__xludf.DUMMYFUNCTION("""COMPUTED_VALUE"""),"blank")</f>
        <v>blank</v>
      </c>
      <c r="L416">
        <f t="shared" ca="1" si="4"/>
        <v>0</v>
      </c>
      <c r="Q416" t="str">
        <f>IF(N416="","",SUMIFS(Issue!$D$3:$D1001,Issue!$C$3:$C1001,N416))</f>
        <v/>
      </c>
      <c r="S416" t="str">
        <f ca="1">IFERROR(__xludf.DUMMYFUNCTION("""COMPUTED_VALUE"""),"2mm male bullet connector")</f>
        <v>2mm male bullet connector</v>
      </c>
      <c r="Y416" t="str">
        <f t="shared" si="5"/>
        <v/>
      </c>
      <c r="Z416" t="str">
        <f>IF(X416="","",SUMIFS(#REF!,RM!$C$4:$C991,X416))</f>
        <v/>
      </c>
      <c r="AA416" t="str">
        <f>IF(X416="","",SUMIFS(#REF!,RM!$C$4:$C991,X416))</f>
        <v/>
      </c>
      <c r="AB416" t="e">
        <f t="shared" si="6"/>
        <v>#VALUE!</v>
      </c>
      <c r="AC416" t="str">
        <f>IF(X416="","",VLOOKUP($X416,RM!$C$4:$G991,3,FALSE))</f>
        <v/>
      </c>
      <c r="AD416" t="str">
        <f>IF(X416="","",VLOOKUP($X416,RM!$C$4:$G991,4,FALSE))</f>
        <v/>
      </c>
      <c r="AE416" t="str">
        <f>IF(X416="","",VLOOKUP($X416,RM!$C$4:$G991,5,FALSE))</f>
        <v/>
      </c>
      <c r="AG416" t="str">
        <f ca="1">IFERROR(__xludf.DUMMYFUNCTION("""COMPUTED_VALUE"""),"AMCA Elec Assy")</f>
        <v>AMCA Elec Assy</v>
      </c>
      <c r="AH416" t="str">
        <f ca="1">IFERROR(__xludf.DUMMYFUNCTION("""COMPUTED_VALUE"""),"Water flow sensor")</f>
        <v>Water flow sensor</v>
      </c>
      <c r="AI416">
        <f ca="1">IFERROR(__xludf.DUMMYFUNCTION("""COMPUTED_VALUE"""),1)</f>
        <v>1</v>
      </c>
      <c r="AJ416" t="str">
        <f ca="1">IFERROR(__xludf.DUMMYFUNCTION("""COMPUTED_VALUE"""),"blank")</f>
        <v>blank</v>
      </c>
      <c r="AK416" t="e">
        <f ca="1">_xludf.IFNA(VLOOKUP(AG416,'S-FG'!$B$3:$B1001,1,FALSE),"")</f>
        <v>#NAME?</v>
      </c>
      <c r="AL416" t="e">
        <f ca="1">IF(AH416="","",SUMIFS(#REF!,RM!$C$4:$C991,AH416))</f>
        <v>#REF!</v>
      </c>
    </row>
    <row r="417" spans="5:38">
      <c r="E417" t="str">
        <f>IF(A417="","",SUMIFS(Issue!$D$3:$D1001,Issue!$C$3:$C1001,A417)*C417)</f>
        <v/>
      </c>
      <c r="F417" t="e">
        <f ca="1">_xludf.IFNA(VLOOKUP(B417,'S-FG'!$B$3:$B1001,1,FALSE),"")</f>
        <v>#NAME?</v>
      </c>
      <c r="H417" t="str">
        <f ca="1">IFERROR(__xludf.DUMMYFUNCTION("""COMPUTED_VALUE"""),"AMCA Elec Assy")</f>
        <v>AMCA Elec Assy</v>
      </c>
      <c r="I417" t="str">
        <f ca="1">IFERROR(__xludf.DUMMYFUNCTION("""COMPUTED_VALUE"""),"HeatShrink Tube 3:1")</f>
        <v>HeatShrink Tube 3:1</v>
      </c>
      <c r="J417">
        <f ca="1">IFERROR(__xludf.DUMMYFUNCTION("""COMPUTED_VALUE"""),0.12)</f>
        <v>0.12</v>
      </c>
      <c r="K417" t="str">
        <f ca="1">IFERROR(__xludf.DUMMYFUNCTION("""COMPUTED_VALUE"""),"blank")</f>
        <v>blank</v>
      </c>
      <c r="L417">
        <f t="shared" ca="1" si="4"/>
        <v>0</v>
      </c>
      <c r="Q417" t="str">
        <f>IF(N417="","",SUMIFS(Issue!$D$3:$D1001,Issue!$C$3:$C1001,N417))</f>
        <v/>
      </c>
      <c r="S417" t="str">
        <f ca="1">IFERROR(__xludf.DUMMYFUNCTION("""COMPUTED_VALUE"""),"2mm Female Bullet connector")</f>
        <v>2mm Female Bullet connector</v>
      </c>
      <c r="Y417" t="str">
        <f t="shared" si="5"/>
        <v/>
      </c>
      <c r="Z417" t="str">
        <f>IF(X417="","",SUMIFS(#REF!,RM!$C$4:$C991,X417))</f>
        <v/>
      </c>
      <c r="AA417" t="str">
        <f>IF(X417="","",SUMIFS(#REF!,RM!$C$4:$C991,X417))</f>
        <v/>
      </c>
      <c r="AB417" t="e">
        <f t="shared" si="6"/>
        <v>#VALUE!</v>
      </c>
      <c r="AC417" t="str">
        <f>IF(X417="","",VLOOKUP($X417,RM!$C$4:$G991,3,FALSE))</f>
        <v/>
      </c>
      <c r="AD417" t="str">
        <f>IF(X417="","",VLOOKUP($X417,RM!$C$4:$G991,4,FALSE))</f>
        <v/>
      </c>
      <c r="AE417" t="str">
        <f>IF(X417="","",VLOOKUP($X417,RM!$C$4:$G991,5,FALSE))</f>
        <v/>
      </c>
      <c r="AG417" t="str">
        <f ca="1">IFERROR(__xludf.DUMMYFUNCTION("""COMPUTED_VALUE"""),"AMCA Elec Assy")</f>
        <v>AMCA Elec Assy</v>
      </c>
      <c r="AH417" t="str">
        <f ca="1">IFERROR(__xludf.DUMMYFUNCTION("""COMPUTED_VALUE"""),"Water pump")</f>
        <v>Water pump</v>
      </c>
      <c r="AI417">
        <f ca="1">IFERROR(__xludf.DUMMYFUNCTION("""COMPUTED_VALUE"""),1)</f>
        <v>1</v>
      </c>
      <c r="AJ417" t="str">
        <f ca="1">IFERROR(__xludf.DUMMYFUNCTION("""COMPUTED_VALUE"""),"blank")</f>
        <v>blank</v>
      </c>
      <c r="AK417" t="e">
        <f ca="1">_xludf.IFNA(VLOOKUP(AG417,'S-FG'!$B$3:$B1001,1,FALSE),"")</f>
        <v>#NAME?</v>
      </c>
      <c r="AL417" t="e">
        <f ca="1">IF(AH417="","",SUMIFS(#REF!,RM!$C$4:$C991,AH417))</f>
        <v>#REF!</v>
      </c>
    </row>
    <row r="418" spans="5:38">
      <c r="E418" t="str">
        <f>IF(A418="","",SUMIFS(Issue!$D$3:$D1001,Issue!$C$3:$C1001,A418)*C418)</f>
        <v/>
      </c>
      <c r="F418" t="e">
        <f ca="1">_xludf.IFNA(VLOOKUP(B418,'S-FG'!$B$3:$B1001,1,FALSE),"")</f>
        <v>#NAME?</v>
      </c>
      <c r="H418" t="str">
        <f ca="1">IFERROR(__xludf.DUMMYFUNCTION("""COMPUTED_VALUE"""),"AMCA Elec Assy")</f>
        <v>AMCA Elec Assy</v>
      </c>
      <c r="I418" t="str">
        <f ca="1">IFERROR(__xludf.DUMMYFUNCTION("""COMPUTED_VALUE"""),"Teroson MS930")</f>
        <v>Teroson MS930</v>
      </c>
      <c r="J418">
        <f ca="1">IFERROR(__xludf.DUMMYFUNCTION("""COMPUTED_VALUE"""),10)</f>
        <v>10</v>
      </c>
      <c r="K418" t="str">
        <f ca="1">IFERROR(__xludf.DUMMYFUNCTION("""COMPUTED_VALUE"""),"blank")</f>
        <v>blank</v>
      </c>
      <c r="L418">
        <f t="shared" ca="1" si="4"/>
        <v>0</v>
      </c>
      <c r="Q418" t="str">
        <f>IF(N418="","",SUMIFS(Issue!$D$3:$D1001,Issue!$C$3:$C1001,N418))</f>
        <v/>
      </c>
      <c r="S418" t="str">
        <f ca="1">IFERROR(__xludf.DUMMYFUNCTION("""COMPUTED_VALUE"""),"HeatShrink Tube 3:1")</f>
        <v>HeatShrink Tube 3:1</v>
      </c>
      <c r="Y418" t="str">
        <f t="shared" si="5"/>
        <v/>
      </c>
      <c r="Z418" t="str">
        <f>IF(X418="","",SUMIFS(#REF!,RM!$C$4:$C991,X418))</f>
        <v/>
      </c>
      <c r="AA418" t="str">
        <f>IF(X418="","",SUMIFS(#REF!,RM!$C$4:$C991,X418))</f>
        <v/>
      </c>
      <c r="AB418" t="e">
        <f t="shared" si="6"/>
        <v>#VALUE!</v>
      </c>
      <c r="AC418" t="str">
        <f>IF(X418="","",VLOOKUP($X418,RM!$C$4:$G991,3,FALSE))</f>
        <v/>
      </c>
      <c r="AD418" t="str">
        <f>IF(X418="","",VLOOKUP($X418,RM!$C$4:$G991,4,FALSE))</f>
        <v/>
      </c>
      <c r="AE418" t="str">
        <f>IF(X418="","",VLOOKUP($X418,RM!$C$4:$G991,5,FALSE))</f>
        <v/>
      </c>
      <c r="AG418" t="str">
        <f ca="1">IFERROR(__xludf.DUMMYFUNCTION("""COMPUTED_VALUE"""),"AMCA Elec Assy")</f>
        <v>AMCA Elec Assy</v>
      </c>
      <c r="AH418" t="str">
        <f ca="1">IFERROR(__xludf.DUMMYFUNCTION("""COMPUTED_VALUE"""),"3S Lipo indicator")</f>
        <v>3S Lipo indicator</v>
      </c>
      <c r="AI418">
        <f ca="1">IFERROR(__xludf.DUMMYFUNCTION("""COMPUTED_VALUE"""),1)</f>
        <v>1</v>
      </c>
      <c r="AJ418" t="str">
        <f ca="1">IFERROR(__xludf.DUMMYFUNCTION("""COMPUTED_VALUE"""),"blank")</f>
        <v>blank</v>
      </c>
      <c r="AK418" t="e">
        <f ca="1">_xludf.IFNA(VLOOKUP(AG418,'S-FG'!$B$3:$B1001,1,FALSE),"")</f>
        <v>#NAME?</v>
      </c>
      <c r="AL418" t="e">
        <f ca="1">IF(AH418="","",SUMIFS(#REF!,RM!$C$4:$C991,AH418))</f>
        <v>#REF!</v>
      </c>
    </row>
    <row r="419" spans="5:38">
      <c r="E419" t="str">
        <f>IF(A419="","",SUMIFS(Issue!$D$3:$D1001,Issue!$C$3:$C1001,A419)*C419)</f>
        <v/>
      </c>
      <c r="F419" t="e">
        <f ca="1">_xludf.IFNA(VLOOKUP(B419,'S-FG'!$B$3:$B1001,1,FALSE),"")</f>
        <v>#NAME?</v>
      </c>
      <c r="H419" t="str">
        <f ca="1">IFERROR(__xludf.DUMMYFUNCTION("""COMPUTED_VALUE"""),"AMCA Mech Assy")</f>
        <v>AMCA Mech Assy</v>
      </c>
      <c r="I419" t="str">
        <f ca="1">IFERROR(__xludf.DUMMYFUNCTION("""COMPUTED_VALUE"""),"JCB Body cum mounting frame")</f>
        <v>JCB Body cum mounting frame</v>
      </c>
      <c r="J419">
        <f ca="1">IFERROR(__xludf.DUMMYFUNCTION("""COMPUTED_VALUE"""),1)</f>
        <v>1</v>
      </c>
      <c r="L419">
        <f t="shared" ca="1" si="4"/>
        <v>0</v>
      </c>
      <c r="Q419" t="str">
        <f>IF(N419="","",SUMIFS(Issue!$D$3:$D1001,Issue!$C$3:$C1001,N419))</f>
        <v/>
      </c>
      <c r="S419" t="str">
        <f ca="1">IFERROR(__xludf.DUMMYFUNCTION("""COMPUTED_VALUE"""),"Teroson MS930")</f>
        <v>Teroson MS930</v>
      </c>
      <c r="Y419" t="str">
        <f t="shared" si="5"/>
        <v/>
      </c>
      <c r="Z419" t="str">
        <f>IF(X419="","",SUMIFS(#REF!,RM!$C$4:$C991,X419))</f>
        <v/>
      </c>
      <c r="AA419" t="str">
        <f>IF(X419="","",SUMIFS(#REF!,RM!$C$4:$C991,X419))</f>
        <v/>
      </c>
      <c r="AB419" t="e">
        <f t="shared" si="6"/>
        <v>#VALUE!</v>
      </c>
      <c r="AC419" t="str">
        <f>IF(X419="","",VLOOKUP($X419,RM!$C$4:$G991,3,FALSE))</f>
        <v/>
      </c>
      <c r="AD419" t="str">
        <f>IF(X419="","",VLOOKUP($X419,RM!$C$4:$G991,4,FALSE))</f>
        <v/>
      </c>
      <c r="AE419" t="str">
        <f>IF(X419="","",VLOOKUP($X419,RM!$C$4:$G991,5,FALSE))</f>
        <v/>
      </c>
      <c r="AG419" t="str">
        <f ca="1">IFERROR(__xludf.DUMMYFUNCTION("""COMPUTED_VALUE"""),"AMCA Elec Assy")</f>
        <v>AMCA Elec Assy</v>
      </c>
      <c r="AH419" t="str">
        <f ca="1">IFERROR(__xludf.DUMMYFUNCTION("""COMPUTED_VALUE"""),"Lipo Indicator Casings")</f>
        <v>Lipo Indicator Casings</v>
      </c>
      <c r="AI419">
        <f ca="1">IFERROR(__xludf.DUMMYFUNCTION("""COMPUTED_VALUE"""),1)</f>
        <v>1</v>
      </c>
      <c r="AK419" t="e">
        <f ca="1">_xludf.IFNA(VLOOKUP(AG419,'S-FG'!$B$3:$B1001,1,FALSE),"")</f>
        <v>#NAME?</v>
      </c>
      <c r="AL419" t="e">
        <f ca="1">IF(AH419="","",SUMIFS(#REF!,RM!$C$4:$C991,AH419))</f>
        <v>#REF!</v>
      </c>
    </row>
    <row r="420" spans="5:38">
      <c r="E420" t="str">
        <f>IF(A420="","",SUMIFS(Issue!$D$3:$D1001,Issue!$C$3:$C1001,A420)*C420)</f>
        <v/>
      </c>
      <c r="F420" t="e">
        <f ca="1">_xludf.IFNA(VLOOKUP(B420,'S-FG'!$B$3:$B1001,1,FALSE),"")</f>
        <v>#NAME?</v>
      </c>
      <c r="H420" t="str">
        <f ca="1">IFERROR(__xludf.DUMMYFUNCTION("""COMPUTED_VALUE"""),"AMCA Mech Assy")</f>
        <v>AMCA Mech Assy</v>
      </c>
      <c r="I420" t="str">
        <f ca="1">IFERROR(__xludf.DUMMYFUNCTION("""COMPUTED_VALUE"""),"flow sensor Clamp")</f>
        <v>flow sensor Clamp</v>
      </c>
      <c r="J420">
        <f ca="1">IFERROR(__xludf.DUMMYFUNCTION("""COMPUTED_VALUE"""),2)</f>
        <v>2</v>
      </c>
      <c r="L420">
        <f t="shared" ca="1" si="4"/>
        <v>0</v>
      </c>
      <c r="Q420" t="str">
        <f>IF(N420="","",SUMIFS(Issue!$D$3:$D1001,Issue!$C$3:$C1001,N420))</f>
        <v/>
      </c>
      <c r="S420" t="str">
        <f ca="1">IFERROR(__xludf.DUMMYFUNCTION("""COMPUTED_VALUE"""),"JCB Body cum mounting frame")</f>
        <v>JCB Body cum mounting frame</v>
      </c>
      <c r="Y420" t="str">
        <f t="shared" si="5"/>
        <v/>
      </c>
      <c r="Z420" t="str">
        <f>IF(X420="","",SUMIFS(#REF!,RM!$C$4:$C991,X420))</f>
        <v/>
      </c>
      <c r="AA420" t="str">
        <f>IF(X420="","",SUMIFS(#REF!,RM!$C$4:$C991,X420))</f>
        <v/>
      </c>
      <c r="AB420" t="e">
        <f t="shared" si="6"/>
        <v>#VALUE!</v>
      </c>
      <c r="AC420" t="str">
        <f>IF(X420="","",VLOOKUP($X420,RM!$C$4:$G991,3,FALSE))</f>
        <v/>
      </c>
      <c r="AD420" t="str">
        <f>IF(X420="","",VLOOKUP($X420,RM!$C$4:$G991,4,FALSE))</f>
        <v/>
      </c>
      <c r="AE420" t="str">
        <f>IF(X420="","",VLOOKUP($X420,RM!$C$4:$G991,5,FALSE))</f>
        <v/>
      </c>
      <c r="AG420" t="str">
        <f ca="1">IFERROR(__xludf.DUMMYFUNCTION("""COMPUTED_VALUE"""),"AMCA Elec Assy")</f>
        <v>AMCA Elec Assy</v>
      </c>
      <c r="AH420" t="str">
        <f ca="1">IFERROR(__xludf.DUMMYFUNCTION("""COMPUTED_VALUE"""),"LM2596HW for PC")</f>
        <v>LM2596HW for PC</v>
      </c>
      <c r="AI420">
        <f ca="1">IFERROR(__xludf.DUMMYFUNCTION("""COMPUTED_VALUE"""),1)</f>
        <v>1</v>
      </c>
      <c r="AJ420" t="str">
        <f ca="1">IFERROR(__xludf.DUMMYFUNCTION("""COMPUTED_VALUE"""),"blank")</f>
        <v>blank</v>
      </c>
      <c r="AK420" t="e">
        <f ca="1">_xludf.IFNA(VLOOKUP(AG420,'S-FG'!$B$3:$B1001,1,FALSE),"")</f>
        <v>#NAME?</v>
      </c>
      <c r="AL420" t="e">
        <f ca="1">IF(AH420="","",SUMIFS(#REF!,RM!$C$4:$C991,AH420))</f>
        <v>#REF!</v>
      </c>
    </row>
    <row r="421" spans="5:38">
      <c r="E421" t="str">
        <f>IF(A421="","",SUMIFS(Issue!$D$3:$D1001,Issue!$C$3:$C1001,A421)*C421)</f>
        <v/>
      </c>
      <c r="F421" t="e">
        <f ca="1">_xludf.IFNA(VLOOKUP(B421,'S-FG'!$B$3:$B1001,1,FALSE),"")</f>
        <v>#NAME?</v>
      </c>
      <c r="H421" t="str">
        <f ca="1">IFERROR(__xludf.DUMMYFUNCTION("""COMPUTED_VALUE"""),"AMCA Mech Assy")</f>
        <v>AMCA Mech Assy</v>
      </c>
      <c r="I421" t="str">
        <f ca="1">IFERROR(__xludf.DUMMYFUNCTION("""COMPUTED_VALUE"""),"Water tank with clamp")</f>
        <v>Water tank with clamp</v>
      </c>
      <c r="J421">
        <f ca="1">IFERROR(__xludf.DUMMYFUNCTION("""COMPUTED_VALUE"""),1)</f>
        <v>1</v>
      </c>
      <c r="K421" t="str">
        <f ca="1">IFERROR(__xludf.DUMMYFUNCTION("""COMPUTED_VALUE"""),"blank")</f>
        <v>blank</v>
      </c>
      <c r="L421">
        <f t="shared" ca="1" si="4"/>
        <v>0</v>
      </c>
      <c r="Q421" t="str">
        <f>IF(N421="","",SUMIFS(Issue!$D$3:$D1001,Issue!$C$3:$C1001,N421))</f>
        <v/>
      </c>
      <c r="S421" t="str">
        <f ca="1">IFERROR(__xludf.DUMMYFUNCTION("""COMPUTED_VALUE"""),"flow sensor Clamp")</f>
        <v>flow sensor Clamp</v>
      </c>
      <c r="Y421" t="str">
        <f t="shared" si="5"/>
        <v/>
      </c>
      <c r="Z421" t="str">
        <f>IF(X421="","",SUMIFS(#REF!,RM!$C$4:$C991,X421))</f>
        <v/>
      </c>
      <c r="AA421" t="str">
        <f>IF(X421="","",SUMIFS(#REF!,RM!$C$4:$C991,X421))</f>
        <v/>
      </c>
      <c r="AB421" t="e">
        <f t="shared" si="6"/>
        <v>#VALUE!</v>
      </c>
      <c r="AC421" t="str">
        <f>IF(X421="","",VLOOKUP($X421,RM!$C$4:$G991,3,FALSE))</f>
        <v/>
      </c>
      <c r="AD421" t="str">
        <f>IF(X421="","",VLOOKUP($X421,RM!$C$4:$G991,4,FALSE))</f>
        <v/>
      </c>
      <c r="AE421" t="str">
        <f>IF(X421="","",VLOOKUP($X421,RM!$C$4:$G991,5,FALSE))</f>
        <v/>
      </c>
      <c r="AG421" t="str">
        <f ca="1">IFERROR(__xludf.DUMMYFUNCTION("""COMPUTED_VALUE"""),"AMCA Elec Assy")</f>
        <v>AMCA Elec Assy</v>
      </c>
      <c r="AH421" t="str">
        <f ca="1">IFERROR(__xludf.DUMMYFUNCTION("""COMPUTED_VALUE"""),"Momentary Switch JCB")</f>
        <v>Momentary Switch JCB</v>
      </c>
      <c r="AI421">
        <f ca="1">IFERROR(__xludf.DUMMYFUNCTION("""COMPUTED_VALUE"""),1)</f>
        <v>1</v>
      </c>
      <c r="AK421" t="e">
        <f ca="1">_xludf.IFNA(VLOOKUP(AG421,'S-FG'!$B$3:$B1001,1,FALSE),"")</f>
        <v>#NAME?</v>
      </c>
      <c r="AL421" t="e">
        <f ca="1">IF(AH421="","",SUMIFS(#REF!,RM!$C$4:$C991,AH421))</f>
        <v>#REF!</v>
      </c>
    </row>
    <row r="422" spans="5:38">
      <c r="E422" t="str">
        <f>IF(A422="","",SUMIFS(Issue!$D$3:$D1001,Issue!$C$3:$C1001,A422)*C422)</f>
        <v/>
      </c>
      <c r="F422" t="e">
        <f ca="1">_xludf.IFNA(VLOOKUP(B422,'S-FG'!$B$3:$B1001,1,FALSE),"")</f>
        <v>#NAME?</v>
      </c>
      <c r="H422" t="str">
        <f ca="1">IFERROR(__xludf.DUMMYFUNCTION("""COMPUTED_VALUE"""),"AMCA Mech Assy")</f>
        <v>AMCA Mech Assy</v>
      </c>
      <c r="I422" t="str">
        <f ca="1">IFERROR(__xludf.DUMMYFUNCTION("""COMPUTED_VALUE"""),"M5x10 Allen / M5x12")</f>
        <v>M5x10 Allen / M5x12</v>
      </c>
      <c r="J422">
        <f ca="1">IFERROR(__xludf.DUMMYFUNCTION("""COMPUTED_VALUE"""),10)</f>
        <v>10</v>
      </c>
      <c r="K422" t="str">
        <f ca="1">IFERROR(__xludf.DUMMYFUNCTION("""COMPUTED_VALUE"""),"blank")</f>
        <v>blank</v>
      </c>
      <c r="L422">
        <f t="shared" ca="1" si="4"/>
        <v>0</v>
      </c>
      <c r="Q422" t="str">
        <f>IF(N422="","",SUMIFS(Issue!$D$3:$D1001,Issue!$C$3:$C1001,N422))</f>
        <v/>
      </c>
      <c r="S422" t="str">
        <f ca="1">IFERROR(__xludf.DUMMYFUNCTION("""COMPUTED_VALUE"""),"Water tank with clamp")</f>
        <v>Water tank with clamp</v>
      </c>
      <c r="Y422" t="str">
        <f t="shared" si="5"/>
        <v/>
      </c>
      <c r="Z422" t="str">
        <f>IF(X422="","",SUMIFS(#REF!,RM!$C$4:$C991,X422))</f>
        <v/>
      </c>
      <c r="AA422" t="str">
        <f>IF(X422="","",SUMIFS(#REF!,RM!$C$4:$C991,X422))</f>
        <v/>
      </c>
      <c r="AB422" t="e">
        <f t="shared" si="6"/>
        <v>#VALUE!</v>
      </c>
      <c r="AC422" t="str">
        <f>IF(X422="","",VLOOKUP($X422,RM!$C$4:$G991,3,FALSE))</f>
        <v/>
      </c>
      <c r="AD422" t="str">
        <f>IF(X422="","",VLOOKUP($X422,RM!$C$4:$G991,4,FALSE))</f>
        <v/>
      </c>
      <c r="AE422" t="str">
        <f>IF(X422="","",VLOOKUP($X422,RM!$C$4:$G991,5,FALSE))</f>
        <v/>
      </c>
      <c r="AG422" t="str">
        <f ca="1">IFERROR(__xludf.DUMMYFUNCTION("""COMPUTED_VALUE"""),"AMCA Elec Assy")</f>
        <v>AMCA Elec Assy</v>
      </c>
      <c r="AH422" t="str">
        <f ca="1">IFERROR(__xludf.DUMMYFUNCTION("""COMPUTED_VALUE"""),"Latching Power switch JCB")</f>
        <v>Latching Power switch JCB</v>
      </c>
      <c r="AI422">
        <f ca="1">IFERROR(__xludf.DUMMYFUNCTION("""COMPUTED_VALUE"""),1)</f>
        <v>1</v>
      </c>
      <c r="AK422" t="e">
        <f ca="1">_xludf.IFNA(VLOOKUP(AG422,'S-FG'!$B$3:$B1001,1,FALSE),"")</f>
        <v>#NAME?</v>
      </c>
      <c r="AL422" t="e">
        <f ca="1">IF(AH422="","",SUMIFS(#REF!,RM!$C$4:$C991,AH422))</f>
        <v>#REF!</v>
      </c>
    </row>
    <row r="423" spans="5:38">
      <c r="E423" t="str">
        <f>IF(A423="","",SUMIFS(Issue!$D$3:$D1001,Issue!$C$3:$C1001,A423)*C423)</f>
        <v/>
      </c>
      <c r="F423" t="e">
        <f ca="1">_xludf.IFNA(VLOOKUP(B423,'S-FG'!$B$3:$B1001,1,FALSE),"")</f>
        <v>#NAME?</v>
      </c>
      <c r="H423" t="str">
        <f ca="1">IFERROR(__xludf.DUMMYFUNCTION("""COMPUTED_VALUE"""),"AMCA Mech Assy")</f>
        <v>AMCA Mech Assy</v>
      </c>
      <c r="I423" t="str">
        <f ca="1">IFERROR(__xludf.DUMMYFUNCTION("""COMPUTED_VALUE"""),"M4x12 Allen Head")</f>
        <v>M4x12 Allen Head</v>
      </c>
      <c r="J423">
        <f ca="1">IFERROR(__xludf.DUMMYFUNCTION("""COMPUTED_VALUE"""),4)</f>
        <v>4</v>
      </c>
      <c r="K423" t="str">
        <f ca="1">IFERROR(__xludf.DUMMYFUNCTION("""COMPUTED_VALUE"""),"blank")</f>
        <v>blank</v>
      </c>
      <c r="L423">
        <f t="shared" ca="1" si="4"/>
        <v>0</v>
      </c>
      <c r="Q423" t="str">
        <f>IF(N423="","",SUMIFS(Issue!$D$3:$D1001,Issue!$C$3:$C1001,N423))</f>
        <v/>
      </c>
      <c r="S423" t="str">
        <f ca="1">IFERROR(__xludf.DUMMYFUNCTION("""COMPUTED_VALUE"""),"M5x10 Allen / M5x12")</f>
        <v>M5x10 Allen / M5x12</v>
      </c>
      <c r="Y423" t="str">
        <f t="shared" si="5"/>
        <v/>
      </c>
      <c r="Z423" t="str">
        <f>IF(X423="","",SUMIFS(#REF!,RM!$C$4:$C991,X423))</f>
        <v/>
      </c>
      <c r="AA423" t="str">
        <f>IF(X423="","",SUMIFS(#REF!,RM!$C$4:$C991,X423))</f>
        <v/>
      </c>
      <c r="AB423" t="e">
        <f t="shared" si="6"/>
        <v>#VALUE!</v>
      </c>
      <c r="AC423" t="str">
        <f>IF(X423="","",VLOOKUP($X423,RM!$C$4:$G991,3,FALSE))</f>
        <v/>
      </c>
      <c r="AD423" t="str">
        <f>IF(X423="","",VLOOKUP($X423,RM!$C$4:$G991,4,FALSE))</f>
        <v/>
      </c>
      <c r="AE423" t="str">
        <f>IF(X423="","",VLOOKUP($X423,RM!$C$4:$G991,5,FALSE))</f>
        <v/>
      </c>
      <c r="AG423" t="str">
        <f ca="1">IFERROR(__xludf.DUMMYFUNCTION("""COMPUTED_VALUE"""),"AMCA Elec Assy")</f>
        <v>AMCA Elec Assy</v>
      </c>
      <c r="AH423" t="str">
        <f ca="1">IFERROR(__xludf.DUMMYFUNCTION("""COMPUTED_VALUE"""),"PWB for JCB")</f>
        <v>PWB for JCB</v>
      </c>
      <c r="AI423">
        <f ca="1">IFERROR(__xludf.DUMMYFUNCTION("""COMPUTED_VALUE"""),1)</f>
        <v>1</v>
      </c>
      <c r="AJ423" t="str">
        <f ca="1">IFERROR(__xludf.DUMMYFUNCTION("""COMPUTED_VALUE"""),"blank")</f>
        <v>blank</v>
      </c>
      <c r="AK423" t="e">
        <f ca="1">_xludf.IFNA(VLOOKUP(AG423,'S-FG'!$B$3:$B1001,1,FALSE),"")</f>
        <v>#NAME?</v>
      </c>
      <c r="AL423" t="e">
        <f ca="1">IF(AH423="","",SUMIFS(#REF!,RM!$C$4:$C991,AH423))</f>
        <v>#REF!</v>
      </c>
    </row>
    <row r="424" spans="5:38">
      <c r="E424" t="str">
        <f>IF(A424="","",SUMIFS(Issue!$D$3:$D1001,Issue!$C$3:$C1001,A424)*C424)</f>
        <v/>
      </c>
      <c r="F424" t="e">
        <f ca="1">_xludf.IFNA(VLOOKUP(B424,'S-FG'!$B$3:$B1001,1,FALSE),"")</f>
        <v>#NAME?</v>
      </c>
      <c r="H424" t="str">
        <f ca="1">IFERROR(__xludf.DUMMYFUNCTION("""COMPUTED_VALUE"""),"AMCA Mech Assy")</f>
        <v>AMCA Mech Assy</v>
      </c>
      <c r="I424" t="str">
        <f ca="1">IFERROR(__xludf.DUMMYFUNCTION("""COMPUTED_VALUE"""),"M4x16 Allen Head")</f>
        <v>M4x16 Allen Head</v>
      </c>
      <c r="J424">
        <f ca="1">IFERROR(__xludf.DUMMYFUNCTION("""COMPUTED_VALUE"""),6)</f>
        <v>6</v>
      </c>
      <c r="K424" t="str">
        <f ca="1">IFERROR(__xludf.DUMMYFUNCTION("""COMPUTED_VALUE"""),"blank")</f>
        <v>blank</v>
      </c>
      <c r="L424">
        <f t="shared" ca="1" si="4"/>
        <v>0</v>
      </c>
      <c r="Q424" t="str">
        <f>IF(N424="","",SUMIFS(Issue!$D$3:$D1001,Issue!$C$3:$C1001,N424))</f>
        <v/>
      </c>
      <c r="S424" t="str">
        <f ca="1">IFERROR(__xludf.DUMMYFUNCTION("""COMPUTED_VALUE"""),"M4x12 Allen Head")</f>
        <v>M4x12 Allen Head</v>
      </c>
      <c r="Y424" t="str">
        <f t="shared" si="5"/>
        <v/>
      </c>
      <c r="Z424" t="str">
        <f>IF(X424="","",SUMIFS(#REF!,RM!$C$4:$C991,X424))</f>
        <v/>
      </c>
      <c r="AA424" t="str">
        <f>IF(X424="","",SUMIFS(#REF!,RM!$C$4:$C991,X424))</f>
        <v/>
      </c>
      <c r="AB424" t="e">
        <f t="shared" si="6"/>
        <v>#VALUE!</v>
      </c>
      <c r="AC424" t="str">
        <f>IF(X424="","",VLOOKUP($X424,RM!$C$4:$G991,3,FALSE))</f>
        <v/>
      </c>
      <c r="AD424" t="str">
        <f>IF(X424="","",VLOOKUP($X424,RM!$C$4:$G991,4,FALSE))</f>
        <v/>
      </c>
      <c r="AE424" t="str">
        <f>IF(X424="","",VLOOKUP($X424,RM!$C$4:$G991,5,FALSE))</f>
        <v/>
      </c>
      <c r="AG424" t="str">
        <f ca="1">IFERROR(__xludf.DUMMYFUNCTION("""COMPUTED_VALUE"""),"AMCA Elec Assy")</f>
        <v>AMCA Elec Assy</v>
      </c>
      <c r="AH424" t="str">
        <f ca="1">IFERROR(__xludf.DUMMYFUNCTION("""COMPUTED_VALUE"""),"3S, &gt;2Ah Li-Ion cell for JCB")</f>
        <v>3S, &gt;2Ah Li-Ion cell for JCB</v>
      </c>
      <c r="AI424">
        <f ca="1">IFERROR(__xludf.DUMMYFUNCTION("""COMPUTED_VALUE"""),3)</f>
        <v>3</v>
      </c>
      <c r="AJ424" t="str">
        <f ca="1">IFERROR(__xludf.DUMMYFUNCTION("""COMPUTED_VALUE"""),"blank")</f>
        <v>blank</v>
      </c>
      <c r="AK424" t="e">
        <f ca="1">_xludf.IFNA(VLOOKUP(AG424,'S-FG'!$B$3:$B1001,1,FALSE),"")</f>
        <v>#NAME?</v>
      </c>
      <c r="AL424" t="e">
        <f ca="1">IF(AH424="","",SUMIFS(#REF!,RM!$C$4:$C991,AH424))</f>
        <v>#REF!</v>
      </c>
    </row>
    <row r="425" spans="5:38">
      <c r="E425" t="str">
        <f>IF(A425="","",SUMIFS(Issue!$D$3:$D1001,Issue!$C$3:$C1001,A425)*C425)</f>
        <v/>
      </c>
      <c r="F425" t="e">
        <f ca="1">_xludf.IFNA(VLOOKUP(B425,'S-FG'!$B$3:$B1001,1,FALSE),"")</f>
        <v>#NAME?</v>
      </c>
      <c r="H425" t="str">
        <f ca="1">IFERROR(__xludf.DUMMYFUNCTION("""COMPUTED_VALUE"""),"AMCA Mech Assy")</f>
        <v>AMCA Mech Assy</v>
      </c>
      <c r="I425" t="str">
        <f ca="1">IFERROR(__xludf.DUMMYFUNCTION("""COMPUTED_VALUE"""),"M4 Nyloc")</f>
        <v>M4 Nyloc</v>
      </c>
      <c r="J425">
        <f ca="1">IFERROR(__xludf.DUMMYFUNCTION("""COMPUTED_VALUE"""),10)</f>
        <v>10</v>
      </c>
      <c r="K425" t="str">
        <f ca="1">IFERROR(__xludf.DUMMYFUNCTION("""COMPUTED_VALUE"""),"blank")</f>
        <v>blank</v>
      </c>
      <c r="L425">
        <f t="shared" ca="1" si="4"/>
        <v>0</v>
      </c>
      <c r="Q425" t="str">
        <f>IF(N425="","",SUMIFS(Issue!$D$3:$D1001,Issue!$C$3:$C1001,N425))</f>
        <v/>
      </c>
      <c r="S425" t="str">
        <f ca="1">IFERROR(__xludf.DUMMYFUNCTION("""COMPUTED_VALUE"""),"M4x16 Allen Head")</f>
        <v>M4x16 Allen Head</v>
      </c>
      <c r="Y425" t="str">
        <f t="shared" si="5"/>
        <v/>
      </c>
      <c r="Z425" t="str">
        <f>IF(X425="","",SUMIFS(#REF!,RM!$C$4:$C991,X425))</f>
        <v/>
      </c>
      <c r="AA425" t="str">
        <f>IF(X425="","",SUMIFS(#REF!,RM!$C$4:$C991,X425))</f>
        <v/>
      </c>
      <c r="AB425" t="e">
        <f t="shared" si="6"/>
        <v>#VALUE!</v>
      </c>
      <c r="AC425" t="str">
        <f>IF(X425="","",VLOOKUP($X425,RM!$C$4:$G991,3,FALSE))</f>
        <v/>
      </c>
      <c r="AD425" t="str">
        <f>IF(X425="","",VLOOKUP($X425,RM!$C$4:$G991,4,FALSE))</f>
        <v/>
      </c>
      <c r="AE425" t="str">
        <f>IF(X425="","",VLOOKUP($X425,RM!$C$4:$G991,5,FALSE))</f>
        <v/>
      </c>
      <c r="AG425" t="str">
        <f ca="1">IFERROR(__xludf.DUMMYFUNCTION("""COMPUTED_VALUE"""),"AMCA Elec Assy")</f>
        <v>AMCA Elec Assy</v>
      </c>
      <c r="AH425" t="str">
        <f ca="1">IFERROR(__xludf.DUMMYFUNCTION("""COMPUTED_VALUE"""),"DC JAck Panel Mount")</f>
        <v>DC JAck Panel Mount</v>
      </c>
      <c r="AI425">
        <f ca="1">IFERROR(__xludf.DUMMYFUNCTION("""COMPUTED_VALUE"""),1)</f>
        <v>1</v>
      </c>
      <c r="AJ425" t="str">
        <f ca="1">IFERROR(__xludf.DUMMYFUNCTION("""COMPUTED_VALUE"""),"blank")</f>
        <v>blank</v>
      </c>
      <c r="AK425" t="e">
        <f ca="1">_xludf.IFNA(VLOOKUP(AG425,'S-FG'!$B$3:$B1001,1,FALSE),"")</f>
        <v>#NAME?</v>
      </c>
      <c r="AL425" t="e">
        <f ca="1">IF(AH425="","",SUMIFS(#REF!,RM!$C$4:$C991,AH425))</f>
        <v>#REF!</v>
      </c>
    </row>
    <row r="426" spans="5:38">
      <c r="E426" t="str">
        <f>IF(A426="","",SUMIFS(Issue!$D$3:$D1001,Issue!$C$3:$C1001,A426)*C426)</f>
        <v/>
      </c>
      <c r="F426" t="e">
        <f ca="1">_xludf.IFNA(VLOOKUP(B426,'S-FG'!$B$3:$B1001,1,FALSE),"")</f>
        <v>#NAME?</v>
      </c>
      <c r="H426" t="str">
        <f ca="1">IFERROR(__xludf.DUMMYFUNCTION("""COMPUTED_VALUE"""),"AMCA Mech Assy")</f>
        <v>AMCA Mech Assy</v>
      </c>
      <c r="I426" t="str">
        <f ca="1">IFERROR(__xludf.DUMMYFUNCTION("""COMPUTED_VALUE"""),"M4 Spring washer")</f>
        <v>M4 Spring washer</v>
      </c>
      <c r="J426">
        <f ca="1">IFERROR(__xludf.DUMMYFUNCTION("""COMPUTED_VALUE"""),10)</f>
        <v>10</v>
      </c>
      <c r="K426" t="str">
        <f ca="1">IFERROR(__xludf.DUMMYFUNCTION("""COMPUTED_VALUE"""),"blank")</f>
        <v>blank</v>
      </c>
      <c r="L426">
        <f t="shared" ca="1" si="4"/>
        <v>0</v>
      </c>
      <c r="Q426" t="str">
        <f>IF(N426="","",SUMIFS(Issue!$D$3:$D1001,Issue!$C$3:$C1001,N426))</f>
        <v/>
      </c>
      <c r="S426" t="str">
        <f ca="1">IFERROR(__xludf.DUMMYFUNCTION("""COMPUTED_VALUE"""),"M4 Nyloc")</f>
        <v>M4 Nyloc</v>
      </c>
      <c r="Y426" t="str">
        <f t="shared" si="5"/>
        <v/>
      </c>
      <c r="Z426" t="str">
        <f>IF(X426="","",SUMIFS(#REF!,RM!$C$4:$C991,X426))</f>
        <v/>
      </c>
      <c r="AA426" t="str">
        <f>IF(X426="","",SUMIFS(#REF!,RM!$C$4:$C991,X426))</f>
        <v/>
      </c>
      <c r="AB426" t="e">
        <f t="shared" si="6"/>
        <v>#VALUE!</v>
      </c>
      <c r="AC426" t="str">
        <f>IF(X426="","",VLOOKUP($X426,RM!$C$4:$G991,3,FALSE))</f>
        <v/>
      </c>
      <c r="AD426" t="str">
        <f>IF(X426="","",VLOOKUP($X426,RM!$C$4:$G991,4,FALSE))</f>
        <v/>
      </c>
      <c r="AE426" t="str">
        <f>IF(X426="","",VLOOKUP($X426,RM!$C$4:$G991,5,FALSE))</f>
        <v/>
      </c>
      <c r="AG426" t="str">
        <f ca="1">IFERROR(__xludf.DUMMYFUNCTION("""COMPUTED_VALUE"""),"AMCA Elec Assy")</f>
        <v>AMCA Elec Assy</v>
      </c>
      <c r="AH426" t="str">
        <f ca="1">IFERROR(__xludf.DUMMYFUNCTION("""COMPUTED_VALUE"""),"Lead wire 22AWG")</f>
        <v>Lead wire 22AWG</v>
      </c>
      <c r="AI426">
        <f ca="1">IFERROR(__xludf.DUMMYFUNCTION("""COMPUTED_VALUE"""),5)</f>
        <v>5</v>
      </c>
      <c r="AK426" t="e">
        <f ca="1">_xludf.IFNA(VLOOKUP(AG426,'S-FG'!$B$3:$B1001,1,FALSE),"")</f>
        <v>#NAME?</v>
      </c>
      <c r="AL426" t="e">
        <f ca="1">IF(AH426="","",SUMIFS(#REF!,RM!$C$4:$C991,AH426))</f>
        <v>#REF!</v>
      </c>
    </row>
    <row r="427" spans="5:38">
      <c r="E427" t="str">
        <f>IF(A427="","",SUMIFS(Issue!$D$3:$D1001,Issue!$C$3:$C1001,A427)*C427)</f>
        <v/>
      </c>
      <c r="F427" t="e">
        <f ca="1">_xludf.IFNA(VLOOKUP(B427,'S-FG'!$B$3:$B1001,1,FALSE),"")</f>
        <v>#NAME?</v>
      </c>
      <c r="H427" t="str">
        <f ca="1">IFERROR(__xludf.DUMMYFUNCTION("""COMPUTED_VALUE"""),"AMCA Mech Assy")</f>
        <v>AMCA Mech Assy</v>
      </c>
      <c r="I427" t="str">
        <f ca="1">IFERROR(__xludf.DUMMYFUNCTION("""COMPUTED_VALUE"""),"M4x12 plain washer")</f>
        <v>M4x12 plain washer</v>
      </c>
      <c r="J427">
        <f ca="1">IFERROR(__xludf.DUMMYFUNCTION("""COMPUTED_VALUE"""),14)</f>
        <v>14</v>
      </c>
      <c r="K427" t="str">
        <f ca="1">IFERROR(__xludf.DUMMYFUNCTION("""COMPUTED_VALUE"""),"blank")</f>
        <v>blank</v>
      </c>
      <c r="L427">
        <f t="shared" ca="1" si="4"/>
        <v>0</v>
      </c>
      <c r="Q427" t="str">
        <f>IF(N427="","",SUMIFS(Issue!$D$3:$D1001,Issue!$C$3:$C1001,N427))</f>
        <v/>
      </c>
      <c r="S427" t="str">
        <f ca="1">IFERROR(__xludf.DUMMYFUNCTION("""COMPUTED_VALUE"""),"M4 Spring washer")</f>
        <v>M4 Spring washer</v>
      </c>
      <c r="Y427" t="str">
        <f t="shared" si="5"/>
        <v/>
      </c>
      <c r="Z427" t="str">
        <f>IF(X427="","",SUMIFS(#REF!,RM!$C$4:$C991,X427))</f>
        <v/>
      </c>
      <c r="AA427" t="str">
        <f>IF(X427="","",SUMIFS(#REF!,RM!$C$4:$C991,X427))</f>
        <v/>
      </c>
      <c r="AB427" t="e">
        <f t="shared" si="6"/>
        <v>#VALUE!</v>
      </c>
      <c r="AC427" t="str">
        <f>IF(X427="","",VLOOKUP($X427,RM!$C$4:$G991,3,FALSE))</f>
        <v/>
      </c>
      <c r="AD427" t="str">
        <f>IF(X427="","",VLOOKUP($X427,RM!$C$4:$G991,4,FALSE))</f>
        <v/>
      </c>
      <c r="AE427" t="str">
        <f>IF(X427="","",VLOOKUP($X427,RM!$C$4:$G991,5,FALSE))</f>
        <v/>
      </c>
      <c r="AG427" t="str">
        <f ca="1">IFERROR(__xludf.DUMMYFUNCTION("""COMPUTED_VALUE"""),"AMCA Elec Assy")</f>
        <v>AMCA Elec Assy</v>
      </c>
      <c r="AH427" t="str">
        <f ca="1">IFERROR(__xludf.DUMMYFUNCTION("""COMPUTED_VALUE"""),"16pin IC base")</f>
        <v>16pin IC base</v>
      </c>
      <c r="AI427">
        <f ca="1">IFERROR(__xludf.DUMMYFUNCTION("""COMPUTED_VALUE"""),1)</f>
        <v>1</v>
      </c>
      <c r="AK427" t="e">
        <f ca="1">_xludf.IFNA(VLOOKUP(AG427,'S-FG'!$B$3:$B1001,1,FALSE),"")</f>
        <v>#NAME?</v>
      </c>
      <c r="AL427" t="e">
        <f ca="1">IF(AH427="","",SUMIFS(#REF!,RM!$C$4:$C991,AH427))</f>
        <v>#REF!</v>
      </c>
    </row>
    <row r="428" spans="5:38">
      <c r="E428" t="str">
        <f>IF(A428="","",SUMIFS(Issue!$D$3:$D1001,Issue!$C$3:$C1001,A428)*C428)</f>
        <v/>
      </c>
      <c r="F428" t="e">
        <f ca="1">_xludf.IFNA(VLOOKUP(B428,'S-FG'!$B$3:$B1001,1,FALSE),"")</f>
        <v>#NAME?</v>
      </c>
      <c r="H428" t="str">
        <f ca="1">IFERROR(__xludf.DUMMYFUNCTION("""COMPUTED_VALUE"""),"AMCA Mech Assy")</f>
        <v>AMCA Mech Assy</v>
      </c>
      <c r="I428" t="str">
        <f ca="1">IFERROR(__xludf.DUMMYFUNCTION("""COMPUTED_VALUE"""),"Brass nozzle for water outlet from JCB")</f>
        <v>Brass nozzle for water outlet from JCB</v>
      </c>
      <c r="J428">
        <f ca="1">IFERROR(__xludf.DUMMYFUNCTION("""COMPUTED_VALUE"""),1)</f>
        <v>1</v>
      </c>
      <c r="L428">
        <f t="shared" ca="1" si="4"/>
        <v>0</v>
      </c>
      <c r="Q428" t="str">
        <f>IF(N428="","",SUMIFS(Issue!$D$3:$D1001,Issue!$C$3:$C1001,N428))</f>
        <v/>
      </c>
      <c r="S428" t="str">
        <f ca="1">IFERROR(__xludf.DUMMYFUNCTION("""COMPUTED_VALUE"""),"M4x12 plain washer")</f>
        <v>M4x12 plain washer</v>
      </c>
      <c r="Y428" t="str">
        <f t="shared" si="5"/>
        <v/>
      </c>
      <c r="Z428" t="str">
        <f>IF(X428="","",SUMIFS(#REF!,RM!$C$4:$C991,X428))</f>
        <v/>
      </c>
      <c r="AA428" t="str">
        <f>IF(X428="","",SUMIFS(#REF!,RM!$C$4:$C991,X428))</f>
        <v/>
      </c>
      <c r="AB428" t="e">
        <f t="shared" si="6"/>
        <v>#VALUE!</v>
      </c>
      <c r="AC428" t="str">
        <f>IF(X428="","",VLOOKUP($X428,RM!$C$4:$G991,3,FALSE))</f>
        <v/>
      </c>
      <c r="AD428" t="str">
        <f>IF(X428="","",VLOOKUP($X428,RM!$C$4:$G991,4,FALSE))</f>
        <v/>
      </c>
      <c r="AE428" t="str">
        <f>IF(X428="","",VLOOKUP($X428,RM!$C$4:$G991,5,FALSE))</f>
        <v/>
      </c>
      <c r="AG428" t="str">
        <f ca="1">IFERROR(__xludf.DUMMYFUNCTION("""COMPUTED_VALUE"""),"AMCA Elec Assy")</f>
        <v>AMCA Elec Assy</v>
      </c>
      <c r="AH428" t="str">
        <f ca="1">IFERROR(__xludf.DUMMYFUNCTION("""COMPUTED_VALUE"""),"ULN2003A THT")</f>
        <v>ULN2003A THT</v>
      </c>
      <c r="AI428">
        <f ca="1">IFERROR(__xludf.DUMMYFUNCTION("""COMPUTED_VALUE"""),1)</f>
        <v>1</v>
      </c>
      <c r="AJ428" t="str">
        <f ca="1">IFERROR(__xludf.DUMMYFUNCTION("""COMPUTED_VALUE"""),"blank")</f>
        <v>blank</v>
      </c>
      <c r="AK428" t="e">
        <f ca="1">_xludf.IFNA(VLOOKUP(AG428,'S-FG'!$B$3:$B1001,1,FALSE),"")</f>
        <v>#NAME?</v>
      </c>
      <c r="AL428" t="e">
        <f ca="1">IF(AH428="","",SUMIFS(#REF!,RM!$C$4:$C991,AH428))</f>
        <v>#REF!</v>
      </c>
    </row>
    <row r="429" spans="5:38">
      <c r="E429" t="str">
        <f>IF(A429="","",SUMIFS(Issue!$D$3:$D1001,Issue!$C$3:$C1001,A429)*C429)</f>
        <v/>
      </c>
      <c r="F429" t="e">
        <f ca="1">_xludf.IFNA(VLOOKUP(B429,'S-FG'!$B$3:$B1001,1,FALSE),"")</f>
        <v>#NAME?</v>
      </c>
      <c r="H429" t="str">
        <f ca="1">IFERROR(__xludf.DUMMYFUNCTION("""COMPUTED_VALUE"""),"AMCA Mech Assy")</f>
        <v>AMCA Mech Assy</v>
      </c>
      <c r="I429" t="str">
        <f ca="1">IFERROR(__xludf.DUMMYFUNCTION("""COMPUTED_VALUE"""),"8 mm OD pneaumatic pipe")</f>
        <v>8 mm OD pneaumatic pipe</v>
      </c>
      <c r="J429">
        <f ca="1">IFERROR(__xludf.DUMMYFUNCTION("""COMPUTED_VALUE"""),0.5)</f>
        <v>0.5</v>
      </c>
      <c r="L429">
        <f t="shared" ca="1" si="4"/>
        <v>0</v>
      </c>
      <c r="Q429" t="str">
        <f>IF(N429="","",SUMIFS(Issue!$D$3:$D1001,Issue!$C$3:$C1001,N429))</f>
        <v/>
      </c>
      <c r="S429" t="str">
        <f ca="1">IFERROR(__xludf.DUMMYFUNCTION("""COMPUTED_VALUE"""),"Brass nozzle for water outlet from JCB")</f>
        <v>Brass nozzle for water outlet from JCB</v>
      </c>
      <c r="Y429" t="str">
        <f t="shared" si="5"/>
        <v/>
      </c>
      <c r="Z429" t="str">
        <f>IF(X429="","",SUMIFS(#REF!,RM!$C$4:$C991,X429))</f>
        <v/>
      </c>
      <c r="AA429" t="str">
        <f>IF(X429="","",SUMIFS(#REF!,RM!$C$4:$C991,X429))</f>
        <v/>
      </c>
      <c r="AB429" t="e">
        <f t="shared" si="6"/>
        <v>#VALUE!</v>
      </c>
      <c r="AC429" t="str">
        <f>IF(X429="","",VLOOKUP($X429,RM!$C$4:$G991,3,FALSE))</f>
        <v/>
      </c>
      <c r="AD429" t="str">
        <f>IF(X429="","",VLOOKUP($X429,RM!$C$4:$G991,4,FALSE))</f>
        <v/>
      </c>
      <c r="AE429" t="str">
        <f>IF(X429="","",VLOOKUP($X429,RM!$C$4:$G991,5,FALSE))</f>
        <v/>
      </c>
      <c r="AG429" t="str">
        <f ca="1">IFERROR(__xludf.DUMMYFUNCTION("""COMPUTED_VALUE"""),"AMCA Elec Assy")</f>
        <v>AMCA Elec Assy</v>
      </c>
      <c r="AH429" t="str">
        <f ca="1">IFERROR(__xludf.DUMMYFUNCTION("""COMPUTED_VALUE"""),"iMAx B3 Charger")</f>
        <v>iMAx B3 Charger</v>
      </c>
      <c r="AI429">
        <f ca="1">IFERROR(__xludf.DUMMYFUNCTION("""COMPUTED_VALUE"""),1)</f>
        <v>1</v>
      </c>
      <c r="AK429" t="e">
        <f ca="1">_xludf.IFNA(VLOOKUP(AG429,'S-FG'!$B$3:$B1001,1,FALSE),"")</f>
        <v>#NAME?</v>
      </c>
      <c r="AL429" t="e">
        <f ca="1">IF(AH429="","",SUMIFS(#REF!,RM!$C$4:$C991,AH429))</f>
        <v>#REF!</v>
      </c>
    </row>
    <row r="430" spans="5:38">
      <c r="E430" t="str">
        <f>IF(A430="","",SUMIFS(Issue!$D$3:$D1001,Issue!$C$3:$C1001,A430)*C430)</f>
        <v/>
      </c>
      <c r="F430" t="e">
        <f ca="1">_xludf.IFNA(VLOOKUP(B430,'S-FG'!$B$3:$B1001,1,FALSE),"")</f>
        <v>#NAME?</v>
      </c>
      <c r="H430" t="str">
        <f ca="1">IFERROR(__xludf.DUMMYFUNCTION("""COMPUTED_VALUE"""),"AMCA Mech Assy")</f>
        <v>AMCA Mech Assy</v>
      </c>
      <c r="I430" t="str">
        <f ca="1">IFERROR(__xludf.DUMMYFUNCTION("""COMPUTED_VALUE"""),"12 to 8 reducer with lock clips")</f>
        <v>12 to 8 reducer with lock clips</v>
      </c>
      <c r="J430">
        <f ca="1">IFERROR(__xludf.DUMMYFUNCTION("""COMPUTED_VALUE"""),2)</f>
        <v>2</v>
      </c>
      <c r="K430" t="str">
        <f ca="1">IFERROR(__xludf.DUMMYFUNCTION("""COMPUTED_VALUE"""),"blank")</f>
        <v>blank</v>
      </c>
      <c r="L430">
        <f t="shared" ca="1" si="4"/>
        <v>0</v>
      </c>
      <c r="Q430" t="str">
        <f>IF(N430="","",SUMIFS(Issue!$D$3:$D1001,Issue!$C$3:$C1001,N430))</f>
        <v/>
      </c>
      <c r="S430" t="str">
        <f ca="1">IFERROR(__xludf.DUMMYFUNCTION("""COMPUTED_VALUE"""),"8 mm OD pneaumatic pipe")</f>
        <v>8 mm OD pneaumatic pipe</v>
      </c>
      <c r="Y430" t="str">
        <f t="shared" si="5"/>
        <v/>
      </c>
      <c r="Z430" t="str">
        <f>IF(X430="","",SUMIFS(#REF!,RM!$C$4:$C991,X430))</f>
        <v/>
      </c>
      <c r="AA430" t="str">
        <f>IF(X430="","",SUMIFS(#REF!,RM!$C$4:$C991,X430))</f>
        <v/>
      </c>
      <c r="AB430" t="e">
        <f t="shared" si="6"/>
        <v>#VALUE!</v>
      </c>
      <c r="AC430" t="str">
        <f>IF(X430="","",VLOOKUP($X430,RM!$C$4:$G991,3,FALSE))</f>
        <v/>
      </c>
      <c r="AD430" t="str">
        <f>IF(X430="","",VLOOKUP($X430,RM!$C$4:$G991,4,FALSE))</f>
        <v/>
      </c>
      <c r="AE430" t="str">
        <f>IF(X430="","",VLOOKUP($X430,RM!$C$4:$G991,5,FALSE))</f>
        <v/>
      </c>
      <c r="AG430" t="str">
        <f ca="1">IFERROR(__xludf.DUMMYFUNCTION("""COMPUTED_VALUE"""),"AMCA Elec Assy")</f>
        <v>AMCA Elec Assy</v>
      </c>
      <c r="AH430" t="str">
        <f ca="1">IFERROR(__xludf.DUMMYFUNCTION("""COMPUTED_VALUE"""),"8core Wire 14/38")</f>
        <v>8core Wire 14/38</v>
      </c>
      <c r="AI430">
        <f ca="1">IFERROR(__xludf.DUMMYFUNCTION("""COMPUTED_VALUE"""),1)</f>
        <v>1</v>
      </c>
      <c r="AJ430" t="str">
        <f ca="1">IFERROR(__xludf.DUMMYFUNCTION("""COMPUTED_VALUE"""),"blank")</f>
        <v>blank</v>
      </c>
      <c r="AK430" t="e">
        <f ca="1">_xludf.IFNA(VLOOKUP(AG430,'S-FG'!$B$3:$B1001,1,FALSE),"")</f>
        <v>#NAME?</v>
      </c>
      <c r="AL430" t="e">
        <f ca="1">IF(AH430="","",SUMIFS(#REF!,RM!$C$4:$C991,AH430))</f>
        <v>#REF!</v>
      </c>
    </row>
    <row r="431" spans="5:38">
      <c r="E431" t="str">
        <f>IF(A431="","",SUMIFS(Issue!$D$3:$D1001,Issue!$C$3:$C1001,A431)*C431)</f>
        <v/>
      </c>
      <c r="F431" t="e">
        <f ca="1">_xludf.IFNA(VLOOKUP(B431,'S-FG'!$B$3:$B1001,1,FALSE),"")</f>
        <v>#NAME?</v>
      </c>
      <c r="H431" t="str">
        <f ca="1">IFERROR(__xludf.DUMMYFUNCTION("""COMPUTED_VALUE"""),"AMCA Mech Assy")</f>
        <v>AMCA Mech Assy</v>
      </c>
      <c r="I431" t="str">
        <f ca="1">IFERROR(__xludf.DUMMYFUNCTION("""COMPUTED_VALUE"""),"12mm OD pneumatic pipe")</f>
        <v>12mm OD pneumatic pipe</v>
      </c>
      <c r="J431">
        <f ca="1">IFERROR(__xludf.DUMMYFUNCTION("""COMPUTED_VALUE"""),0.1)</f>
        <v>0.1</v>
      </c>
      <c r="L431">
        <f t="shared" ca="1" si="4"/>
        <v>0</v>
      </c>
      <c r="Q431" t="str">
        <f>IF(N431="","",SUMIFS(Issue!$D$3:$D1001,Issue!$C$3:$C1001,N431))</f>
        <v/>
      </c>
      <c r="S431" t="str">
        <f ca="1">IFERROR(__xludf.DUMMYFUNCTION("""COMPUTED_VALUE"""),"12 to 8 reducer with lock clips")</f>
        <v>12 to 8 reducer with lock clips</v>
      </c>
      <c r="Y431" t="str">
        <f t="shared" si="5"/>
        <v/>
      </c>
      <c r="Z431" t="str">
        <f>IF(X431="","",SUMIFS(#REF!,RM!$C$4:$C991,X431))</f>
        <v/>
      </c>
      <c r="AA431" t="str">
        <f>IF(X431="","",SUMIFS(#REF!,RM!$C$4:$C991,X431))</f>
        <v/>
      </c>
      <c r="AB431" t="e">
        <f t="shared" si="6"/>
        <v>#VALUE!</v>
      </c>
      <c r="AC431" t="str">
        <f>IF(X431="","",VLOOKUP($X431,RM!$C$4:$G991,3,FALSE))</f>
        <v/>
      </c>
      <c r="AD431" t="str">
        <f>IF(X431="","",VLOOKUP($X431,RM!$C$4:$G991,4,FALSE))</f>
        <v/>
      </c>
      <c r="AE431" t="str">
        <f>IF(X431="","",VLOOKUP($X431,RM!$C$4:$G991,5,FALSE))</f>
        <v/>
      </c>
      <c r="AG431" t="str">
        <f ca="1">IFERROR(__xludf.DUMMYFUNCTION("""COMPUTED_VALUE"""),"AMCA Elec Assy")</f>
        <v>AMCA Elec Assy</v>
      </c>
      <c r="AH431" t="str">
        <f ca="1">IFERROR(__xludf.DUMMYFUNCTION("""COMPUTED_VALUE"""),"LP12 4 pin plug male clip lock CM")</f>
        <v>LP12 4 pin plug male clip lock CM</v>
      </c>
      <c r="AI431">
        <f ca="1">IFERROR(__xludf.DUMMYFUNCTION("""COMPUTED_VALUE"""),1)</f>
        <v>1</v>
      </c>
      <c r="AJ431" t="str">
        <f ca="1">IFERROR(__xludf.DUMMYFUNCTION("""COMPUTED_VALUE"""),"LP-12-C04PE-02-001")</f>
        <v>LP-12-C04PE-02-001</v>
      </c>
      <c r="AK431" t="e">
        <f ca="1">_xludf.IFNA(VLOOKUP(AG431,'S-FG'!$B$3:$B1001,1,FALSE),"")</f>
        <v>#NAME?</v>
      </c>
      <c r="AL431" t="e">
        <f ca="1">IF(AH431="","",SUMIFS(#REF!,RM!$C$4:$C991,AH431))</f>
        <v>#REF!</v>
      </c>
    </row>
    <row r="432" spans="5:38">
      <c r="E432" t="str">
        <f>IF(A432="","",SUMIFS(Issue!$D$3:$D1001,Issue!$C$3:$C1001,A432)*C432)</f>
        <v/>
      </c>
      <c r="F432" t="e">
        <f ca="1">_xludf.IFNA(VLOOKUP(B432,'S-FG'!$B$3:$B1001,1,FALSE),"")</f>
        <v>#NAME?</v>
      </c>
      <c r="H432" t="str">
        <f ca="1">IFERROR(__xludf.DUMMYFUNCTION("""COMPUTED_VALUE"""),"AMCA Mech Assy")</f>
        <v>AMCA Mech Assy</v>
      </c>
      <c r="I432" t="str">
        <f ca="1">IFERROR(__xludf.DUMMYFUNCTION("""COMPUTED_VALUE"""),"Silicon Hose 3mm x 6mm")</f>
        <v>Silicon Hose 3mm x 6mm</v>
      </c>
      <c r="J432">
        <f ca="1">IFERROR(__xludf.DUMMYFUNCTION("""COMPUTED_VALUE"""),1)</f>
        <v>1</v>
      </c>
      <c r="L432">
        <f t="shared" ca="1" si="4"/>
        <v>0</v>
      </c>
      <c r="Q432" t="str">
        <f>IF(N432="","",SUMIFS(Issue!$D$3:$D1001,Issue!$C$3:$C1001,N432))</f>
        <v/>
      </c>
      <c r="S432" t="str">
        <f ca="1">IFERROR(__xludf.DUMMYFUNCTION("""COMPUTED_VALUE"""),"12mm OD pneumatic pipe")</f>
        <v>12mm OD pneumatic pipe</v>
      </c>
      <c r="Y432" t="str">
        <f t="shared" si="5"/>
        <v/>
      </c>
      <c r="Z432" t="str">
        <f>IF(X432="","",SUMIFS(#REF!,RM!$C$4:$C991,X432))</f>
        <v/>
      </c>
      <c r="AA432" t="str">
        <f>IF(X432="","",SUMIFS(#REF!,RM!$C$4:$C991,X432))</f>
        <v/>
      </c>
      <c r="AB432" t="e">
        <f t="shared" si="6"/>
        <v>#VALUE!</v>
      </c>
      <c r="AC432" t="str">
        <f>IF(X432="","",VLOOKUP($X432,RM!$C$4:$G991,3,FALSE))</f>
        <v/>
      </c>
      <c r="AD432" t="str">
        <f>IF(X432="","",VLOOKUP($X432,RM!$C$4:$G991,4,FALSE))</f>
        <v/>
      </c>
      <c r="AE432" t="str">
        <f>IF(X432="","",VLOOKUP($X432,RM!$C$4:$G991,5,FALSE))</f>
        <v/>
      </c>
      <c r="AG432" t="str">
        <f ca="1">IFERROR(__xludf.DUMMYFUNCTION("""COMPUTED_VALUE"""),"AMCA Elec Assy")</f>
        <v>AMCA Elec Assy</v>
      </c>
      <c r="AH432" t="str">
        <f ca="1">IFERROR(__xludf.DUMMYFUNCTION("""COMPUTED_VALUE"""),"LP12 4 pin socket female clip lock PM")</f>
        <v>LP12 4 pin socket female clip lock PM</v>
      </c>
      <c r="AI432">
        <f ca="1">IFERROR(__xludf.DUMMYFUNCTION("""COMPUTED_VALUE"""),1)</f>
        <v>1</v>
      </c>
      <c r="AJ432" t="str">
        <f ca="1">IFERROR(__xludf.DUMMYFUNCTION("""COMPUTED_VALUE"""),"LP-12-J04SX-03-001")</f>
        <v>LP-12-J04SX-03-001</v>
      </c>
      <c r="AK432" t="e">
        <f ca="1">_xludf.IFNA(VLOOKUP(AG432,'S-FG'!$B$3:$B1001,1,FALSE),"")</f>
        <v>#NAME?</v>
      </c>
      <c r="AL432" t="e">
        <f ca="1">IF(AH432="","",SUMIFS(#REF!,RM!$C$4:$C991,AH432))</f>
        <v>#REF!</v>
      </c>
    </row>
    <row r="433" spans="5:38">
      <c r="E433" t="str">
        <f>IF(A433="","",SUMIFS(Issue!$D$3:$D1001,Issue!$C$3:$C1001,A433)*C433)</f>
        <v/>
      </c>
      <c r="F433" t="e">
        <f ca="1">_xludf.IFNA(VLOOKUP(B433,'S-FG'!$B$3:$B1001,1,FALSE),"")</f>
        <v>#NAME?</v>
      </c>
      <c r="H433" t="str">
        <f ca="1">IFERROR(__xludf.DUMMYFUNCTION("""COMPUTED_VALUE"""),"Final Craft Assy")</f>
        <v>Final Craft Assy</v>
      </c>
      <c r="I433" t="str">
        <f ca="1">IFERROR(__xludf.DUMMYFUNCTION("""COMPUTED_VALUE"""),"M4x20 Allen Head")</f>
        <v>M4x20 Allen Head</v>
      </c>
      <c r="J433">
        <f ca="1">IFERROR(__xludf.DUMMYFUNCTION("""COMPUTED_VALUE"""),14)</f>
        <v>14</v>
      </c>
      <c r="K433" t="str">
        <f ca="1">IFERROR(__xludf.DUMMYFUNCTION("""COMPUTED_VALUE"""),"blank")</f>
        <v>blank</v>
      </c>
      <c r="L433">
        <f t="shared" ca="1" si="4"/>
        <v>0</v>
      </c>
      <c r="Q433" t="str">
        <f>IF(N433="","",SUMIFS(Issue!$D$3:$D1001,Issue!$C$3:$C1001,N433))</f>
        <v/>
      </c>
      <c r="S433" t="str">
        <f ca="1">IFERROR(__xludf.DUMMYFUNCTION("""COMPUTED_VALUE"""),"Silicon Hose 3mm x 6mm")</f>
        <v>Silicon Hose 3mm x 6mm</v>
      </c>
      <c r="Y433" t="str">
        <f t="shared" si="5"/>
        <v/>
      </c>
      <c r="Z433" t="str">
        <f>IF(X433="","",SUMIFS(#REF!,RM!$C$4:$C991,X433))</f>
        <v/>
      </c>
      <c r="AA433" t="str">
        <f>IF(X433="","",SUMIFS(#REF!,RM!$C$4:$C991,X433))</f>
        <v/>
      </c>
      <c r="AB433" t="e">
        <f t="shared" si="6"/>
        <v>#VALUE!</v>
      </c>
      <c r="AC433" t="str">
        <f>IF(X433="","",VLOOKUP($X433,RM!$C$4:$G991,3,FALSE))</f>
        <v/>
      </c>
      <c r="AD433" t="str">
        <f>IF(X433="","",VLOOKUP($X433,RM!$C$4:$G991,4,FALSE))</f>
        <v/>
      </c>
      <c r="AE433" t="str">
        <f>IF(X433="","",VLOOKUP($X433,RM!$C$4:$G991,5,FALSE))</f>
        <v/>
      </c>
      <c r="AG433" t="str">
        <f ca="1">IFERROR(__xludf.DUMMYFUNCTION("""COMPUTED_VALUE"""),"AMCA Elec Assy")</f>
        <v>AMCA Elec Assy</v>
      </c>
      <c r="AH433" t="str">
        <f ca="1">IFERROR(__xludf.DUMMYFUNCTION("""COMPUTED_VALUE"""),"9v Piezo Electric Buzzer")</f>
        <v>9v Piezo Electric Buzzer</v>
      </c>
      <c r="AI433">
        <f ca="1">IFERROR(__xludf.DUMMYFUNCTION("""COMPUTED_VALUE"""),1)</f>
        <v>1</v>
      </c>
      <c r="AK433" t="e">
        <f ca="1">_xludf.IFNA(VLOOKUP(AG433,'S-FG'!$B$3:$B1001,1,FALSE),"")</f>
        <v>#NAME?</v>
      </c>
      <c r="AL433" t="e">
        <f ca="1">IF(AH433="","",SUMIFS(#REF!,RM!$C$4:$C991,AH433))</f>
        <v>#REF!</v>
      </c>
    </row>
    <row r="434" spans="5:38">
      <c r="E434" t="str">
        <f>IF(A434="","",SUMIFS(Issue!$D$3:$D1001,Issue!$C$3:$C1001,A434)*C434)</f>
        <v/>
      </c>
      <c r="F434" t="e">
        <f ca="1">_xludf.IFNA(VLOOKUP(B434,'S-FG'!$B$3:$B1001,1,FALSE),"")</f>
        <v>#NAME?</v>
      </c>
      <c r="H434" t="str">
        <f ca="1">IFERROR(__xludf.DUMMYFUNCTION("""COMPUTED_VALUE"""),"Final Craft Assy")</f>
        <v>Final Craft Assy</v>
      </c>
      <c r="I434" t="str">
        <f ca="1">IFERROR(__xludf.DUMMYFUNCTION("""COMPUTED_VALUE"""),"M5x10 Torx")</f>
        <v>M5x10 Torx</v>
      </c>
      <c r="J434">
        <f ca="1">IFERROR(__xludf.DUMMYFUNCTION("""COMPUTED_VALUE"""),28)</f>
        <v>28</v>
      </c>
      <c r="K434" t="str">
        <f ca="1">IFERROR(__xludf.DUMMYFUNCTION("""COMPUTED_VALUE"""),"blank")</f>
        <v>blank</v>
      </c>
      <c r="L434">
        <f t="shared" ca="1" si="4"/>
        <v>0</v>
      </c>
      <c r="Q434" t="str">
        <f>IF(N434="","",SUMIFS(Issue!$D$3:$D1001,Issue!$C$3:$C1001,N434))</f>
        <v/>
      </c>
      <c r="S434" t="str">
        <f ca="1">IFERROR(__xludf.DUMMYFUNCTION("""COMPUTED_VALUE"""),"M4x20 Allen Head")</f>
        <v>M4x20 Allen Head</v>
      </c>
      <c r="Y434" t="str">
        <f t="shared" si="5"/>
        <v/>
      </c>
      <c r="Z434" t="str">
        <f>IF(X434="","",SUMIFS(#REF!,RM!$C$4:$C991,X434))</f>
        <v/>
      </c>
      <c r="AA434" t="str">
        <f>IF(X434="","",SUMIFS(#REF!,RM!$C$4:$C991,X434))</f>
        <v/>
      </c>
      <c r="AB434" t="e">
        <f t="shared" si="6"/>
        <v>#VALUE!</v>
      </c>
      <c r="AC434" t="str">
        <f>IF(X434="","",VLOOKUP($X434,RM!$C$4:$G991,3,FALSE))</f>
        <v/>
      </c>
      <c r="AD434" t="str">
        <f>IF(X434="","",VLOOKUP($X434,RM!$C$4:$G991,4,FALSE))</f>
        <v/>
      </c>
      <c r="AE434" t="str">
        <f>IF(X434="","",VLOOKUP($X434,RM!$C$4:$G991,5,FALSE))</f>
        <v/>
      </c>
      <c r="AG434" t="str">
        <f ca="1">IFERROR(__xludf.DUMMYFUNCTION("""COMPUTED_VALUE"""),"AMCA Elec Assy")</f>
        <v>AMCA Elec Assy</v>
      </c>
      <c r="AH434" t="str">
        <f ca="1">IFERROR(__xludf.DUMMYFUNCTION("""COMPUTED_VALUE"""),"Female Bergstrip 40x1 2.54mm")</f>
        <v>Female Bergstrip 40x1 2.54mm</v>
      </c>
      <c r="AI434">
        <f ca="1">IFERROR(__xludf.DUMMYFUNCTION("""COMPUTED_VALUE"""),1)</f>
        <v>1</v>
      </c>
      <c r="AK434" t="e">
        <f ca="1">_xludf.IFNA(VLOOKUP(AG434,'S-FG'!$B$3:$B1001,1,FALSE),"")</f>
        <v>#NAME?</v>
      </c>
      <c r="AL434" t="e">
        <f ca="1">IF(AH434="","",SUMIFS(#REF!,RM!$C$4:$C991,AH434))</f>
        <v>#REF!</v>
      </c>
    </row>
    <row r="435" spans="5:38">
      <c r="E435" t="str">
        <f>IF(A435="","",SUMIFS(Issue!$D$3:$D1001,Issue!$C$3:$C1001,A435)*C435)</f>
        <v/>
      </c>
      <c r="F435" t="e">
        <f ca="1">_xludf.IFNA(VLOOKUP(B435,'S-FG'!$B$3:$B1001,1,FALSE),"")</f>
        <v>#NAME?</v>
      </c>
      <c r="H435" t="str">
        <f ca="1">IFERROR(__xludf.DUMMYFUNCTION("""COMPUTED_VALUE"""),"Final Craft Assy")</f>
        <v>Final Craft Assy</v>
      </c>
      <c r="I435" t="str">
        <f ca="1">IFERROR(__xludf.DUMMYFUNCTION("""COMPUTED_VALUE"""),"Teroson MS930")</f>
        <v>Teroson MS930</v>
      </c>
      <c r="J435">
        <f ca="1">IFERROR(__xludf.DUMMYFUNCTION("""COMPUTED_VALUE"""),50)</f>
        <v>50</v>
      </c>
      <c r="K435" t="str">
        <f ca="1">IFERROR(__xludf.DUMMYFUNCTION("""COMPUTED_VALUE"""),"blank")</f>
        <v>blank</v>
      </c>
      <c r="L435">
        <f t="shared" ca="1" si="4"/>
        <v>0</v>
      </c>
      <c r="Q435" t="str">
        <f>IF(N435="","",SUMIFS(Issue!$D$3:$D1001,Issue!$C$3:$C1001,N435))</f>
        <v/>
      </c>
      <c r="S435" t="str">
        <f ca="1">IFERROR(__xludf.DUMMYFUNCTION("""COMPUTED_VALUE"""),"M5x10 Torx")</f>
        <v>M5x10 Torx</v>
      </c>
      <c r="Y435" t="str">
        <f t="shared" si="5"/>
        <v/>
      </c>
      <c r="Z435" t="str">
        <f>IF(X435="","",SUMIFS(#REF!,RM!$C$4:$C991,X435))</f>
        <v/>
      </c>
      <c r="AA435" t="str">
        <f>IF(X435="","",SUMIFS(#REF!,RM!$C$4:$C991,X435))</f>
        <v/>
      </c>
      <c r="AB435" t="e">
        <f t="shared" si="6"/>
        <v>#VALUE!</v>
      </c>
      <c r="AC435" t="str">
        <f>IF(X435="","",VLOOKUP($X435,RM!$C$4:$G991,3,FALSE))</f>
        <v/>
      </c>
      <c r="AD435" t="str">
        <f>IF(X435="","",VLOOKUP($X435,RM!$C$4:$G991,4,FALSE))</f>
        <v/>
      </c>
      <c r="AE435" t="str">
        <f>IF(X435="","",VLOOKUP($X435,RM!$C$4:$G991,5,FALSE))</f>
        <v/>
      </c>
      <c r="AG435" t="str">
        <f ca="1">IFERROR(__xludf.DUMMYFUNCTION("""COMPUTED_VALUE"""),"AMCA Elec Assy")</f>
        <v>AMCA Elec Assy</v>
      </c>
      <c r="AH435" t="str">
        <f ca="1">IFERROR(__xludf.DUMMYFUNCTION("""COMPUTED_VALUE"""),"Male Bergstrip 40x1 2.54mm")</f>
        <v>Male Bergstrip 40x1 2.54mm</v>
      </c>
      <c r="AI435">
        <f ca="1">IFERROR(__xludf.DUMMYFUNCTION("""COMPUTED_VALUE"""),1)</f>
        <v>1</v>
      </c>
      <c r="AK435" t="e">
        <f ca="1">_xludf.IFNA(VLOOKUP(AG435,'S-FG'!$B$3:$B1001,1,FALSE),"")</f>
        <v>#NAME?</v>
      </c>
      <c r="AL435" t="e">
        <f ca="1">IF(AH435="","",SUMIFS(#REF!,RM!$C$4:$C991,AH435))</f>
        <v>#REF!</v>
      </c>
    </row>
    <row r="436" spans="5:38">
      <c r="E436" t="str">
        <f>IF(A436="","",SUMIFS(Issue!$D$3:$D1001,Issue!$C$3:$C1001,A436)*C436)</f>
        <v/>
      </c>
      <c r="F436" t="e">
        <f ca="1">_xludf.IFNA(VLOOKUP(B436,'S-FG'!$B$3:$B1001,1,FALSE),"")</f>
        <v>#NAME?</v>
      </c>
      <c r="H436" t="str">
        <f ca="1">IFERROR(__xludf.DUMMYFUNCTION("""COMPUTED_VALUE"""),"Final Craft Assy")</f>
        <v>Final Craft Assy</v>
      </c>
      <c r="I436" t="str">
        <f ca="1">IFERROR(__xludf.DUMMYFUNCTION("""COMPUTED_VALUE"""),"Rope 8mm")</f>
        <v>Rope 8mm</v>
      </c>
      <c r="J436">
        <f ca="1">IFERROR(__xludf.DUMMYFUNCTION("""COMPUTED_VALUE"""),4.5)</f>
        <v>4.5</v>
      </c>
      <c r="K436" t="str">
        <f ca="1">IFERROR(__xludf.DUMMYFUNCTION("""COMPUTED_VALUE"""),"blank")</f>
        <v>blank</v>
      </c>
      <c r="L436">
        <f t="shared" ca="1" si="4"/>
        <v>0</v>
      </c>
      <c r="Q436" t="str">
        <f>IF(N436="","",SUMIFS(Issue!$D$3:$D1001,Issue!$C$3:$C1001,N436))</f>
        <v/>
      </c>
      <c r="S436" t="str">
        <f ca="1">IFERROR(__xludf.DUMMYFUNCTION("""COMPUTED_VALUE"""),"Teroson MS930")</f>
        <v>Teroson MS930</v>
      </c>
      <c r="Y436" t="str">
        <f t="shared" si="5"/>
        <v/>
      </c>
      <c r="Z436" t="str">
        <f>IF(X436="","",SUMIFS(#REF!,RM!$C$4:$C991,X436))</f>
        <v/>
      </c>
      <c r="AA436" t="str">
        <f>IF(X436="","",SUMIFS(#REF!,RM!$C$4:$C991,X436))</f>
        <v/>
      </c>
      <c r="AB436" t="e">
        <f t="shared" si="6"/>
        <v>#VALUE!</v>
      </c>
      <c r="AC436" t="str">
        <f>IF(X436="","",VLOOKUP($X436,RM!$C$4:$G991,3,FALSE))</f>
        <v/>
      </c>
      <c r="AD436" t="str">
        <f>IF(X436="","",VLOOKUP($X436,RM!$C$4:$G991,4,FALSE))</f>
        <v/>
      </c>
      <c r="AE436" t="str">
        <f>IF(X436="","",VLOOKUP($X436,RM!$C$4:$G991,5,FALSE))</f>
        <v/>
      </c>
      <c r="AG436" t="str">
        <f ca="1">IFERROR(__xludf.DUMMYFUNCTION("""COMPUTED_VALUE"""),"AMCA Elec Assy")</f>
        <v>AMCA Elec Assy</v>
      </c>
      <c r="AH436" t="str">
        <f ca="1">IFERROR(__xludf.DUMMYFUNCTION("""COMPUTED_VALUE"""),"Conformal Coating")</f>
        <v>Conformal Coating</v>
      </c>
      <c r="AI436">
        <f ca="1">IFERROR(__xludf.DUMMYFUNCTION("""COMPUTED_VALUE"""),10)</f>
        <v>10</v>
      </c>
      <c r="AK436" t="e">
        <f ca="1">_xludf.IFNA(VLOOKUP(AG436,'S-FG'!$B$3:$B1001,1,FALSE),"")</f>
        <v>#NAME?</v>
      </c>
      <c r="AL436" t="e">
        <f ca="1">IF(AH436="","",SUMIFS(#REF!,RM!$C$4:$C991,AH436))</f>
        <v>#REF!</v>
      </c>
    </row>
    <row r="437" spans="5:38">
      <c r="E437" t="str">
        <f>IF(A437="","",SUMIFS(Issue!$D$3:$D1001,Issue!$C$3:$C1001,A437)*C437)</f>
        <v/>
      </c>
      <c r="F437" t="e">
        <f ca="1">_xludf.IFNA(VLOOKUP(B437,'S-FG'!$B$3:$B1001,1,FALSE),"")</f>
        <v>#NAME?</v>
      </c>
      <c r="H437" t="str">
        <f ca="1">IFERROR(__xludf.DUMMYFUNCTION("""COMPUTED_VALUE"""),"Final Craft Assy")</f>
        <v>Final Craft Assy</v>
      </c>
      <c r="I437" t="str">
        <f ca="1">IFERROR(__xludf.DUMMYFUNCTION("""COMPUTED_VALUE"""),"Ferrole")</f>
        <v>Ferrole</v>
      </c>
      <c r="J437">
        <f ca="1">IFERROR(__xludf.DUMMYFUNCTION("""COMPUTED_VALUE"""),1)</f>
        <v>1</v>
      </c>
      <c r="K437" t="str">
        <f ca="1">IFERROR(__xludf.DUMMYFUNCTION("""COMPUTED_VALUE"""),"blank")</f>
        <v>blank</v>
      </c>
      <c r="L437">
        <f t="shared" ca="1" si="4"/>
        <v>0</v>
      </c>
      <c r="Q437" t="str">
        <f>IF(N437="","",SUMIFS(Issue!$D$3:$D1001,Issue!$C$3:$C1001,N437))</f>
        <v/>
      </c>
      <c r="S437" t="str">
        <f ca="1">IFERROR(__xludf.DUMMYFUNCTION("""COMPUTED_VALUE"""),"Rope 8mm")</f>
        <v>Rope 8mm</v>
      </c>
      <c r="Y437" t="str">
        <f t="shared" si="5"/>
        <v/>
      </c>
      <c r="Z437" t="str">
        <f>IF(X437="","",SUMIFS(#REF!,RM!$C$4:$C991,X437))</f>
        <v/>
      </c>
      <c r="AA437" t="str">
        <f>IF(X437="","",SUMIFS(#REF!,RM!$C$4:$C991,X437))</f>
        <v/>
      </c>
      <c r="AB437" t="e">
        <f t="shared" si="6"/>
        <v>#VALUE!</v>
      </c>
      <c r="AC437" t="str">
        <f>IF(X437="","",VLOOKUP($X437,RM!$C$4:$G991,3,FALSE))</f>
        <v/>
      </c>
      <c r="AD437" t="str">
        <f>IF(X437="","",VLOOKUP($X437,RM!$C$4:$G991,4,FALSE))</f>
        <v/>
      </c>
      <c r="AE437" t="str">
        <f>IF(X437="","",VLOOKUP($X437,RM!$C$4:$G991,5,FALSE))</f>
        <v/>
      </c>
      <c r="AG437" t="str">
        <f ca="1">IFERROR(__xludf.DUMMYFUNCTION("""COMPUTED_VALUE"""),"AMCA Elec Assy")</f>
        <v>AMCA Elec Assy</v>
      </c>
      <c r="AH437" t="str">
        <f ca="1">IFERROR(__xludf.DUMMYFUNCTION("""COMPUTED_VALUE"""),"Soldering flux")</f>
        <v>Soldering flux</v>
      </c>
      <c r="AI437">
        <f ca="1">IFERROR(__xludf.DUMMYFUNCTION("""COMPUTED_VALUE"""),2)</f>
        <v>2</v>
      </c>
      <c r="AK437" t="e">
        <f ca="1">_xludf.IFNA(VLOOKUP(AG437,'S-FG'!$B$3:$B1001,1,FALSE),"")</f>
        <v>#NAME?</v>
      </c>
      <c r="AL437" t="e">
        <f ca="1">IF(AH437="","",SUMIFS(#REF!,RM!$C$4:$C991,AH437))</f>
        <v>#REF!</v>
      </c>
    </row>
    <row r="438" spans="5:38">
      <c r="E438" t="str">
        <f>IF(A438="","",SUMIFS(Issue!$D$3:$D1001,Issue!$C$3:$C1001,A438)*C438)</f>
        <v/>
      </c>
      <c r="F438" t="e">
        <f ca="1">_xludf.IFNA(VLOOKUP(B438,'S-FG'!$B$3:$B1001,1,FALSE),"")</f>
        <v>#NAME?</v>
      </c>
      <c r="H438" t="str">
        <f ca="1">IFERROR(__xludf.DUMMYFUNCTION("""COMPUTED_VALUE"""),"Final Craft Assy")</f>
        <v>Final Craft Assy</v>
      </c>
      <c r="I438" t="str">
        <f ca="1">IFERROR(__xludf.DUMMYFUNCTION("""COMPUTED_VALUE"""),"Hook Sticker STBD")</f>
        <v>Hook Sticker STBD</v>
      </c>
      <c r="J438">
        <f ca="1">IFERROR(__xludf.DUMMYFUNCTION("""COMPUTED_VALUE"""),1)</f>
        <v>1</v>
      </c>
      <c r="K438" t="str">
        <f ca="1">IFERROR(__xludf.DUMMYFUNCTION("""COMPUTED_VALUE"""),"blank")</f>
        <v>blank</v>
      </c>
      <c r="L438">
        <f t="shared" ca="1" si="4"/>
        <v>0</v>
      </c>
      <c r="Q438" t="str">
        <f>IF(N438="","",SUMIFS(Issue!$D$3:$D1001,Issue!$C$3:$C1001,N438))</f>
        <v/>
      </c>
      <c r="S438" t="str">
        <f ca="1">IFERROR(__xludf.DUMMYFUNCTION("""COMPUTED_VALUE"""),"Ferrole")</f>
        <v>Ferrole</v>
      </c>
      <c r="Y438" t="str">
        <f t="shared" si="5"/>
        <v/>
      </c>
      <c r="Z438" t="str">
        <f>IF(X438="","",SUMIFS(#REF!,RM!$C$4:$C991,X438))</f>
        <v/>
      </c>
      <c r="AA438" t="str">
        <f>IF(X438="","",SUMIFS(#REF!,RM!$C$4:$C991,X438))</f>
        <v/>
      </c>
      <c r="AB438" t="e">
        <f t="shared" si="6"/>
        <v>#VALUE!</v>
      </c>
      <c r="AC438" t="str">
        <f>IF(X438="","",VLOOKUP($X438,RM!$C$4:$G991,3,FALSE))</f>
        <v/>
      </c>
      <c r="AD438" t="str">
        <f>IF(X438="","",VLOOKUP($X438,RM!$C$4:$G991,4,FALSE))</f>
        <v/>
      </c>
      <c r="AE438" t="str">
        <f>IF(X438="","",VLOOKUP($X438,RM!$C$4:$G991,5,FALSE))</f>
        <v/>
      </c>
      <c r="AG438" t="str">
        <f ca="1">IFERROR(__xludf.DUMMYFUNCTION("""COMPUTED_VALUE"""),"AMCA Elec Assy")</f>
        <v>AMCA Elec Assy</v>
      </c>
      <c r="AH438" t="str">
        <f ca="1">IFERROR(__xludf.DUMMYFUNCTION("""COMPUTED_VALUE"""),"2 pin JST-XH housing")</f>
        <v>2 pin JST-XH housing</v>
      </c>
      <c r="AI438">
        <f ca="1">IFERROR(__xludf.DUMMYFUNCTION("""COMPUTED_VALUE"""),3)</f>
        <v>3</v>
      </c>
      <c r="AK438" t="e">
        <f ca="1">_xludf.IFNA(VLOOKUP(AG438,'S-FG'!$B$3:$B1001,1,FALSE),"")</f>
        <v>#NAME?</v>
      </c>
      <c r="AL438" t="e">
        <f ca="1">IF(AH438="","",SUMIFS(#REF!,RM!$C$4:$C991,AH438))</f>
        <v>#REF!</v>
      </c>
    </row>
    <row r="439" spans="5:38">
      <c r="E439" t="str">
        <f>IF(A439="","",SUMIFS(Issue!$D$3:$D1001,Issue!$C$3:$C1001,A439)*C439)</f>
        <v/>
      </c>
      <c r="F439" t="e">
        <f ca="1">_xludf.IFNA(VLOOKUP(B439,'S-FG'!$B$3:$B1001,1,FALSE),"")</f>
        <v>#NAME?</v>
      </c>
      <c r="H439" t="str">
        <f ca="1">IFERROR(__xludf.DUMMYFUNCTION("""COMPUTED_VALUE"""),"Final Craft Assy")</f>
        <v>Final Craft Assy</v>
      </c>
      <c r="I439" t="str">
        <f ca="1">IFERROR(__xludf.DUMMYFUNCTION("""COMPUTED_VALUE"""),"Hook Stiker PORT")</f>
        <v>Hook Stiker PORT</v>
      </c>
      <c r="J439">
        <f ca="1">IFERROR(__xludf.DUMMYFUNCTION("""COMPUTED_VALUE"""),1)</f>
        <v>1</v>
      </c>
      <c r="K439" t="str">
        <f ca="1">IFERROR(__xludf.DUMMYFUNCTION("""COMPUTED_VALUE"""),"blank")</f>
        <v>blank</v>
      </c>
      <c r="L439">
        <f t="shared" ca="1" si="4"/>
        <v>0</v>
      </c>
      <c r="Q439" t="str">
        <f>IF(N439="","",SUMIFS(Issue!$D$3:$D1001,Issue!$C$3:$C1001,N439))</f>
        <v/>
      </c>
      <c r="S439" t="str">
        <f ca="1">IFERROR(__xludf.DUMMYFUNCTION("""COMPUTED_VALUE"""),"Hook Sticker STBD")</f>
        <v>Hook Sticker STBD</v>
      </c>
      <c r="Y439" t="str">
        <f t="shared" si="5"/>
        <v/>
      </c>
      <c r="Z439" t="str">
        <f>IF(X439="","",SUMIFS(#REF!,RM!$C$4:$C991,X439))</f>
        <v/>
      </c>
      <c r="AA439" t="str">
        <f>IF(X439="","",SUMIFS(#REF!,RM!$C$4:$C991,X439))</f>
        <v/>
      </c>
      <c r="AB439" t="e">
        <f t="shared" si="6"/>
        <v>#VALUE!</v>
      </c>
      <c r="AC439" t="str">
        <f>IF(X439="","",VLOOKUP($X439,RM!$C$4:$G991,3,FALSE))</f>
        <v/>
      </c>
      <c r="AD439" t="str">
        <f>IF(X439="","",VLOOKUP($X439,RM!$C$4:$G991,4,FALSE))</f>
        <v/>
      </c>
      <c r="AE439" t="str">
        <f>IF(X439="","",VLOOKUP($X439,RM!$C$4:$G991,5,FALSE))</f>
        <v/>
      </c>
      <c r="AG439" t="str">
        <f ca="1">IFERROR(__xludf.DUMMYFUNCTION("""COMPUTED_VALUE"""),"AMCA Elec Assy")</f>
        <v>AMCA Elec Assy</v>
      </c>
      <c r="AH439" t="str">
        <f ca="1">IFERROR(__xludf.DUMMYFUNCTION("""COMPUTED_VALUE"""),"2 pin JST-XH male top entry")</f>
        <v>2 pin JST-XH male top entry</v>
      </c>
      <c r="AI439">
        <f ca="1">IFERROR(__xludf.DUMMYFUNCTION("""COMPUTED_VALUE"""),3)</f>
        <v>3</v>
      </c>
      <c r="AJ439" t="str">
        <f ca="1">IFERROR(__xludf.DUMMYFUNCTION("""COMPUTED_VALUE"""),"blank")</f>
        <v>blank</v>
      </c>
      <c r="AK439" t="e">
        <f ca="1">_xludf.IFNA(VLOOKUP(AG439,'S-FG'!$B$3:$B1001,1,FALSE),"")</f>
        <v>#NAME?</v>
      </c>
      <c r="AL439" t="e">
        <f ca="1">IF(AH439="","",SUMIFS(#REF!,RM!$C$4:$C991,AH439))</f>
        <v>#REF!</v>
      </c>
    </row>
    <row r="440" spans="5:38">
      <c r="E440" t="str">
        <f>IF(A440="","",SUMIFS(Issue!$D$3:$D1001,Issue!$C$3:$C1001,A440)*C440)</f>
        <v/>
      </c>
      <c r="F440" t="e">
        <f ca="1">_xludf.IFNA(VLOOKUP(B440,'S-FG'!$B$3:$B1001,1,FALSE),"")</f>
        <v>#NAME?</v>
      </c>
      <c r="H440" t="str">
        <f ca="1">IFERROR(__xludf.DUMMYFUNCTION("""COMPUTED_VALUE"""),"Final Craft Assy")</f>
        <v>Final Craft Assy</v>
      </c>
      <c r="I440" t="str">
        <f ca="1">IFERROR(__xludf.DUMMYFUNCTION("""COMPUTED_VALUE"""),"Hold here sticker STBD")</f>
        <v>Hold here sticker STBD</v>
      </c>
      <c r="J440">
        <f ca="1">IFERROR(__xludf.DUMMYFUNCTION("""COMPUTED_VALUE"""),1)</f>
        <v>1</v>
      </c>
      <c r="K440" t="str">
        <f ca="1">IFERROR(__xludf.DUMMYFUNCTION("""COMPUTED_VALUE"""),"blank")</f>
        <v>blank</v>
      </c>
      <c r="L440">
        <f t="shared" ca="1" si="4"/>
        <v>0</v>
      </c>
      <c r="Q440" t="str">
        <f>IF(N440="","",SUMIFS(Issue!$D$3:$D1001,Issue!$C$3:$C1001,N440))</f>
        <v/>
      </c>
      <c r="S440" t="str">
        <f ca="1">IFERROR(__xludf.DUMMYFUNCTION("""COMPUTED_VALUE"""),"Hook Stiker PORT")</f>
        <v>Hook Stiker PORT</v>
      </c>
      <c r="Y440" t="str">
        <f t="shared" si="5"/>
        <v/>
      </c>
      <c r="Z440" t="str">
        <f>IF(X440="","",SUMIFS(#REF!,RM!$C$4:$C991,X440))</f>
        <v/>
      </c>
      <c r="AA440" t="str">
        <f>IF(X440="","",SUMIFS(#REF!,RM!$C$4:$C991,X440))</f>
        <v/>
      </c>
      <c r="AB440" t="e">
        <f t="shared" si="6"/>
        <v>#VALUE!</v>
      </c>
      <c r="AC440" t="str">
        <f>IF(X440="","",VLOOKUP($X440,RM!$C$4:$G991,3,FALSE))</f>
        <v/>
      </c>
      <c r="AD440" t="str">
        <f>IF(X440="","",VLOOKUP($X440,RM!$C$4:$G991,4,FALSE))</f>
        <v/>
      </c>
      <c r="AE440" t="str">
        <f>IF(X440="","",VLOOKUP($X440,RM!$C$4:$G991,5,FALSE))</f>
        <v/>
      </c>
      <c r="AG440" t="str">
        <f ca="1">IFERROR(__xludf.DUMMYFUNCTION("""COMPUTED_VALUE"""),"AMCA Elec Assy")</f>
        <v>AMCA Elec Assy</v>
      </c>
      <c r="AH440" t="str">
        <f ca="1">IFERROR(__xludf.DUMMYFUNCTION("""COMPUTED_VALUE"""),"3 pin JST-XH male top entry")</f>
        <v>3 pin JST-XH male top entry</v>
      </c>
      <c r="AI440">
        <f ca="1">IFERROR(__xludf.DUMMYFUNCTION("""COMPUTED_VALUE"""),1)</f>
        <v>1</v>
      </c>
      <c r="AK440" t="e">
        <f ca="1">_xludf.IFNA(VLOOKUP(AG440,'S-FG'!$B$3:$B1001,1,FALSE),"")</f>
        <v>#NAME?</v>
      </c>
      <c r="AL440" t="e">
        <f ca="1">IF(AH440="","",SUMIFS(#REF!,RM!$C$4:$C991,AH440))</f>
        <v>#REF!</v>
      </c>
    </row>
    <row r="441" spans="5:38">
      <c r="E441" t="str">
        <f>IF(A441="","",SUMIFS(Issue!$D$3:$D1001,Issue!$C$3:$C1001,A441)*C441)</f>
        <v/>
      </c>
      <c r="F441" t="e">
        <f ca="1">_xludf.IFNA(VLOOKUP(B441,'S-FG'!$B$3:$B1001,1,FALSE),"")</f>
        <v>#NAME?</v>
      </c>
      <c r="H441" t="str">
        <f ca="1">IFERROR(__xludf.DUMMYFUNCTION("""COMPUTED_VALUE"""),"Final Craft Assy")</f>
        <v>Final Craft Assy</v>
      </c>
      <c r="I441" t="str">
        <f ca="1">IFERROR(__xludf.DUMMYFUNCTION("""COMPUTED_VALUE"""),"Hold here sticker PORT")</f>
        <v>Hold here sticker PORT</v>
      </c>
      <c r="J441">
        <f ca="1">IFERROR(__xludf.DUMMYFUNCTION("""COMPUTED_VALUE"""),1)</f>
        <v>1</v>
      </c>
      <c r="K441" t="str">
        <f ca="1">IFERROR(__xludf.DUMMYFUNCTION("""COMPUTED_VALUE"""),"blank")</f>
        <v>blank</v>
      </c>
      <c r="L441">
        <f t="shared" ca="1" si="4"/>
        <v>0</v>
      </c>
      <c r="Q441" t="str">
        <f>IF(N441="","",SUMIFS(Issue!$D$3:$D1001,Issue!$C$3:$C1001,N441))</f>
        <v/>
      </c>
      <c r="S441" t="str">
        <f ca="1">IFERROR(__xludf.DUMMYFUNCTION("""COMPUTED_VALUE"""),"Hold here sticker STBD")</f>
        <v>Hold here sticker STBD</v>
      </c>
      <c r="Y441" t="str">
        <f t="shared" si="5"/>
        <v/>
      </c>
      <c r="Z441" t="str">
        <f>IF(X441="","",SUMIFS(#REF!,RM!$C$4:$C991,X441))</f>
        <v/>
      </c>
      <c r="AA441" t="str">
        <f>IF(X441="","",SUMIFS(#REF!,RM!$C$4:$C991,X441))</f>
        <v/>
      </c>
      <c r="AB441" t="e">
        <f t="shared" si="6"/>
        <v>#VALUE!</v>
      </c>
      <c r="AC441" t="str">
        <f>IF(X441="","",VLOOKUP($X441,RM!$C$4:$G991,3,FALSE))</f>
        <v/>
      </c>
      <c r="AD441" t="str">
        <f>IF(X441="","",VLOOKUP($X441,RM!$C$4:$G991,4,FALSE))</f>
        <v/>
      </c>
      <c r="AE441" t="str">
        <f>IF(X441="","",VLOOKUP($X441,RM!$C$4:$G991,5,FALSE))</f>
        <v/>
      </c>
      <c r="AG441" t="str">
        <f ca="1">IFERROR(__xludf.DUMMYFUNCTION("""COMPUTED_VALUE"""),"AMCA Elec Assy")</f>
        <v>AMCA Elec Assy</v>
      </c>
      <c r="AH441" t="str">
        <f ca="1">IFERROR(__xludf.DUMMYFUNCTION("""COMPUTED_VALUE"""),"10cm one sided JST crimped Black")</f>
        <v>10cm one sided JST crimped Black</v>
      </c>
      <c r="AI441">
        <f ca="1">IFERROR(__xludf.DUMMYFUNCTION("""COMPUTED_VALUE"""),2)</f>
        <v>2</v>
      </c>
      <c r="AJ441" t="str">
        <f ca="1">IFERROR(__xludf.DUMMYFUNCTION("""COMPUTED_VALUE"""),"blank")</f>
        <v>blank</v>
      </c>
      <c r="AK441" t="e">
        <f ca="1">_xludf.IFNA(VLOOKUP(AG441,'S-FG'!$B$3:$B1001,1,FALSE),"")</f>
        <v>#NAME?</v>
      </c>
      <c r="AL441" t="e">
        <f ca="1">IF(AH441="","",SUMIFS(#REF!,RM!$C$4:$C991,AH441))</f>
        <v>#REF!</v>
      </c>
    </row>
    <row r="442" spans="5:38">
      <c r="E442" t="str">
        <f>IF(A442="","",SUMIFS(Issue!$D$3:$D1001,Issue!$C$3:$C1001,A442)*C442)</f>
        <v/>
      </c>
      <c r="F442" t="e">
        <f ca="1">_xludf.IFNA(VLOOKUP(B442,'S-FG'!$B$3:$B1001,1,FALSE),"")</f>
        <v>#NAME?</v>
      </c>
      <c r="H442" t="str">
        <f ca="1">IFERROR(__xludf.DUMMYFUNCTION("""COMPUTED_VALUE"""),"Final Craft Assy")</f>
        <v>Final Craft Assy</v>
      </c>
      <c r="I442" t="str">
        <f ca="1">IFERROR(__xludf.DUMMYFUNCTION("""COMPUTED_VALUE"""),"M4x12 plain washer")</f>
        <v>M4x12 plain washer</v>
      </c>
      <c r="J442">
        <f ca="1">IFERROR(__xludf.DUMMYFUNCTION("""COMPUTED_VALUE"""),8)</f>
        <v>8</v>
      </c>
      <c r="K442" t="str">
        <f ca="1">IFERROR(__xludf.DUMMYFUNCTION("""COMPUTED_VALUE"""),"blank")</f>
        <v>blank</v>
      </c>
      <c r="L442">
        <f t="shared" ca="1" si="4"/>
        <v>0</v>
      </c>
      <c r="Q442" t="str">
        <f>IF(N442="","",SUMIFS(Issue!$D$3:$D1001,Issue!$C$3:$C1001,N442))</f>
        <v/>
      </c>
      <c r="S442" t="str">
        <f ca="1">IFERROR(__xludf.DUMMYFUNCTION("""COMPUTED_VALUE"""),"Hold here sticker PORT")</f>
        <v>Hold here sticker PORT</v>
      </c>
      <c r="Y442" t="str">
        <f t="shared" si="5"/>
        <v/>
      </c>
      <c r="Z442" t="str">
        <f>IF(X442="","",SUMIFS(#REF!,RM!$C$4:$C991,X442))</f>
        <v/>
      </c>
      <c r="AA442" t="str">
        <f>IF(X442="","",SUMIFS(#REF!,RM!$C$4:$C991,X442))</f>
        <v/>
      </c>
      <c r="AB442" t="e">
        <f t="shared" si="6"/>
        <v>#VALUE!</v>
      </c>
      <c r="AC442" t="str">
        <f>IF(X442="","",VLOOKUP($X442,RM!$C$4:$G991,3,FALSE))</f>
        <v/>
      </c>
      <c r="AD442" t="str">
        <f>IF(X442="","",VLOOKUP($X442,RM!$C$4:$G991,4,FALSE))</f>
        <v/>
      </c>
      <c r="AE442" t="str">
        <f>IF(X442="","",VLOOKUP($X442,RM!$C$4:$G991,5,FALSE))</f>
        <v/>
      </c>
      <c r="AG442" t="str">
        <f ca="1">IFERROR(__xludf.DUMMYFUNCTION("""COMPUTED_VALUE"""),"AMCA Elec Assy")</f>
        <v>AMCA Elec Assy</v>
      </c>
      <c r="AH442" t="str">
        <f ca="1">IFERROR(__xludf.DUMMYFUNCTION("""COMPUTED_VALUE"""),"10cm one sided JST crimped Red")</f>
        <v>10cm one sided JST crimped Red</v>
      </c>
      <c r="AI442">
        <f ca="1">IFERROR(__xludf.DUMMYFUNCTION("""COMPUTED_VALUE"""),2)</f>
        <v>2</v>
      </c>
      <c r="AJ442" t="str">
        <f ca="1">IFERROR(__xludf.DUMMYFUNCTION("""COMPUTED_VALUE"""),"blank")</f>
        <v>blank</v>
      </c>
      <c r="AK442" t="e">
        <f ca="1">_xludf.IFNA(VLOOKUP(AG442,'S-FG'!$B$3:$B1001,1,FALSE),"")</f>
        <v>#NAME?</v>
      </c>
      <c r="AL442" t="e">
        <f ca="1">IF(AH442="","",SUMIFS(#REF!,RM!$C$4:$C991,AH442))</f>
        <v>#REF!</v>
      </c>
    </row>
    <row r="443" spans="5:38">
      <c r="E443" t="str">
        <f>IF(A443="","",SUMIFS(Issue!$D$3:$D1001,Issue!$C$3:$C1001,A443)*C443)</f>
        <v/>
      </c>
      <c r="F443" t="e">
        <f ca="1">_xludf.IFNA(VLOOKUP(B443,'S-FG'!$B$3:$B1001,1,FALSE),"")</f>
        <v>#NAME?</v>
      </c>
      <c r="H443" t="str">
        <f ca="1">IFERROR(__xludf.DUMMYFUNCTION("""COMPUTED_VALUE"""),"Final Craft Assy")</f>
        <v>Final Craft Assy</v>
      </c>
      <c r="I443" t="str">
        <f ca="1">IFERROR(__xludf.DUMMYFUNCTION("""COMPUTED_VALUE"""),"915MHz Antenna")</f>
        <v>915MHz Antenna</v>
      </c>
      <c r="J443">
        <f ca="1">IFERROR(__xludf.DUMMYFUNCTION("""COMPUTED_VALUE"""),1)</f>
        <v>1</v>
      </c>
      <c r="K443" t="str">
        <f ca="1">IFERROR(__xludf.DUMMYFUNCTION("""COMPUTED_VALUE"""),"blank")</f>
        <v>blank</v>
      </c>
      <c r="L443">
        <f t="shared" ca="1" si="4"/>
        <v>0</v>
      </c>
      <c r="Q443" t="str">
        <f>IF(N443="","",SUMIFS(Issue!$D$3:$D1001,Issue!$C$3:$C1001,N443))</f>
        <v/>
      </c>
      <c r="S443" t="str">
        <f ca="1">IFERROR(__xludf.DUMMYFUNCTION("""COMPUTED_VALUE"""),"M4x12 plain washer")</f>
        <v>M4x12 plain washer</v>
      </c>
      <c r="Y443" t="str">
        <f t="shared" si="5"/>
        <v/>
      </c>
      <c r="Z443" t="str">
        <f>IF(X443="","",SUMIFS(#REF!,RM!$C$4:$C991,X443))</f>
        <v/>
      </c>
      <c r="AA443" t="str">
        <f>IF(X443="","",SUMIFS(#REF!,RM!$C$4:$C991,X443))</f>
        <v/>
      </c>
      <c r="AB443" t="e">
        <f t="shared" si="6"/>
        <v>#VALUE!</v>
      </c>
      <c r="AC443" t="str">
        <f>IF(X443="","",VLOOKUP($X443,RM!$C$4:$G991,3,FALSE))</f>
        <v/>
      </c>
      <c r="AD443" t="str">
        <f>IF(X443="","",VLOOKUP($X443,RM!$C$4:$G991,4,FALSE))</f>
        <v/>
      </c>
      <c r="AE443" t="str">
        <f>IF(X443="","",VLOOKUP($X443,RM!$C$4:$G991,5,FALSE))</f>
        <v/>
      </c>
      <c r="AG443" t="str">
        <f ca="1">IFERROR(__xludf.DUMMYFUNCTION("""COMPUTED_VALUE"""),"AMCA Elec Assy")</f>
        <v>AMCA Elec Assy</v>
      </c>
      <c r="AH443" t="str">
        <f ca="1">IFERROR(__xludf.DUMMYFUNCTION("""COMPUTED_VALUE"""),"Atmega328P-AU")</f>
        <v>Atmega328P-AU</v>
      </c>
      <c r="AI443">
        <f ca="1">IFERROR(__xludf.DUMMYFUNCTION("""COMPUTED_VALUE"""),1)</f>
        <v>1</v>
      </c>
      <c r="AJ443" t="str">
        <f ca="1">IFERROR(__xludf.DUMMYFUNCTION("""COMPUTED_VALUE"""),"blank")</f>
        <v>blank</v>
      </c>
      <c r="AK443" t="e">
        <f ca="1">_xludf.IFNA(VLOOKUP(AG443,'S-FG'!$B$3:$B1001,1,FALSE),"")</f>
        <v>#NAME?</v>
      </c>
      <c r="AL443" t="e">
        <f ca="1">IF(AH443="","",SUMIFS(#REF!,RM!$C$4:$C991,AH443))</f>
        <v>#REF!</v>
      </c>
    </row>
    <row r="444" spans="5:38">
      <c r="E444" t="str">
        <f>IF(A444="","",SUMIFS(Issue!$D$3:$D1001,Issue!$C$3:$C1001,A444)*C444)</f>
        <v/>
      </c>
      <c r="F444" t="e">
        <f ca="1">_xludf.IFNA(VLOOKUP(B444,'S-FG'!$B$3:$B1001,1,FALSE),"")</f>
        <v>#NAME?</v>
      </c>
      <c r="H444" t="str">
        <f ca="1">IFERROR(__xludf.DUMMYFUNCTION("""COMPUTED_VALUE"""),"Final Craft Assy")</f>
        <v>Final Craft Assy</v>
      </c>
      <c r="I444" t="str">
        <f ca="1">IFERROR(__xludf.DUMMYFUNCTION("""COMPUTED_VALUE"""),"M4x20 plain washer")</f>
        <v>M4x20 plain washer</v>
      </c>
      <c r="J444">
        <f ca="1">IFERROR(__xludf.DUMMYFUNCTION("""COMPUTED_VALUE"""),6)</f>
        <v>6</v>
      </c>
      <c r="L444">
        <f t="shared" ca="1" si="4"/>
        <v>0</v>
      </c>
      <c r="Q444" t="str">
        <f>IF(N444="","",SUMIFS(Issue!$D$3:$D1001,Issue!$C$3:$C1001,N444))</f>
        <v/>
      </c>
      <c r="S444" t="str">
        <f ca="1">IFERROR(__xludf.DUMMYFUNCTION("""COMPUTED_VALUE"""),"915MHz Antenna")</f>
        <v>915MHz Antenna</v>
      </c>
      <c r="Y444" t="str">
        <f t="shared" si="5"/>
        <v/>
      </c>
      <c r="Z444" t="str">
        <f>IF(X444="","",SUMIFS(#REF!,RM!$C$4:$C991,X444))</f>
        <v/>
      </c>
      <c r="AA444" t="str">
        <f>IF(X444="","",SUMIFS(#REF!,RM!$C$4:$C991,X444))</f>
        <v/>
      </c>
      <c r="AB444" t="e">
        <f t="shared" si="6"/>
        <v>#VALUE!</v>
      </c>
      <c r="AC444" t="str">
        <f>IF(X444="","",VLOOKUP($X444,RM!$C$4:$G991,3,FALSE))</f>
        <v/>
      </c>
      <c r="AD444" t="str">
        <f>IF(X444="","",VLOOKUP($X444,RM!$C$4:$G991,4,FALSE))</f>
        <v/>
      </c>
      <c r="AE444" t="str">
        <f>IF(X444="","",VLOOKUP($X444,RM!$C$4:$G991,5,FALSE))</f>
        <v/>
      </c>
      <c r="AG444" t="str">
        <f ca="1">IFERROR(__xludf.DUMMYFUNCTION("""COMPUTED_VALUE"""),"AMCA Elec Assy")</f>
        <v>AMCA Elec Assy</v>
      </c>
      <c r="AH444" t="str">
        <f ca="1">IFERROR(__xludf.DUMMYFUNCTION("""COMPUTED_VALUE"""),"Red 14/38 wire")</f>
        <v>Red 14/38 wire</v>
      </c>
      <c r="AI444">
        <f ca="1">IFERROR(__xludf.DUMMYFUNCTION("""COMPUTED_VALUE"""),2)</f>
        <v>2</v>
      </c>
      <c r="AK444" t="e">
        <f ca="1">_xludf.IFNA(VLOOKUP(AG444,'S-FG'!$B$3:$B1001,1,FALSE),"")</f>
        <v>#NAME?</v>
      </c>
      <c r="AL444" t="e">
        <f ca="1">IF(AH444="","",SUMIFS(#REF!,RM!$C$4:$C991,AH444))</f>
        <v>#REF!</v>
      </c>
    </row>
    <row r="445" spans="5:38">
      <c r="E445" t="str">
        <f>IF(A445="","",SUMIFS(Issue!$D$3:$D1001,Issue!$C$3:$C1001,A445)*C445)</f>
        <v/>
      </c>
      <c r="F445" t="e">
        <f ca="1">_xludf.IFNA(VLOOKUP(B445,'S-FG'!$B$3:$B1001,1,FALSE),"")</f>
        <v>#NAME?</v>
      </c>
      <c r="H445" t="str">
        <f ca="1">IFERROR(__xludf.DUMMYFUNCTION("""COMPUTED_VALUE"""),"Final Craft Assy")</f>
        <v>Final Craft Assy</v>
      </c>
      <c r="I445" t="str">
        <f ca="1">IFERROR(__xludf.DUMMYFUNCTION("""COMPUTED_VALUE"""),"M4x12 Button head")</f>
        <v>M4x12 Button head</v>
      </c>
      <c r="J445">
        <f ca="1">IFERROR(__xludf.DUMMYFUNCTION("""COMPUTED_VALUE"""),4)</f>
        <v>4</v>
      </c>
      <c r="K445" t="str">
        <f ca="1">IFERROR(__xludf.DUMMYFUNCTION("""COMPUTED_VALUE"""),"blank")</f>
        <v>blank</v>
      </c>
      <c r="L445">
        <f t="shared" ca="1" si="4"/>
        <v>0</v>
      </c>
      <c r="Q445" t="str">
        <f>IF(N445="","",SUMIFS(Issue!$D$3:$D1001,Issue!$C$3:$C1001,N445))</f>
        <v/>
      </c>
      <c r="S445" t="str">
        <f ca="1">IFERROR(__xludf.DUMMYFUNCTION("""COMPUTED_VALUE"""),"M4x20 plain washer")</f>
        <v>M4x20 plain washer</v>
      </c>
      <c r="Y445" t="str">
        <f t="shared" si="5"/>
        <v/>
      </c>
      <c r="Z445" t="str">
        <f>IF(X445="","",SUMIFS(#REF!,RM!$C$4:$C991,X445))</f>
        <v/>
      </c>
      <c r="AA445" t="str">
        <f>IF(X445="","",SUMIFS(#REF!,RM!$C$4:$C991,X445))</f>
        <v/>
      </c>
      <c r="AB445" t="e">
        <f t="shared" si="6"/>
        <v>#VALUE!</v>
      </c>
      <c r="AC445" t="str">
        <f>IF(X445="","",VLOOKUP($X445,RM!$C$4:$G991,3,FALSE))</f>
        <v/>
      </c>
      <c r="AD445" t="str">
        <f>IF(X445="","",VLOOKUP($X445,RM!$C$4:$G991,4,FALSE))</f>
        <v/>
      </c>
      <c r="AE445" t="str">
        <f>IF(X445="","",VLOOKUP($X445,RM!$C$4:$G991,5,FALSE))</f>
        <v/>
      </c>
      <c r="AG445" t="str">
        <f ca="1">IFERROR(__xludf.DUMMYFUNCTION("""COMPUTED_VALUE"""),"AMCA Elec Assy")</f>
        <v>AMCA Elec Assy</v>
      </c>
      <c r="AH445" t="str">
        <f ca="1">IFERROR(__xludf.DUMMYFUNCTION("""COMPUTED_VALUE"""),"Black 14/38 Wire")</f>
        <v>Black 14/38 Wire</v>
      </c>
      <c r="AI445">
        <f ca="1">IFERROR(__xludf.DUMMYFUNCTION("""COMPUTED_VALUE"""),2)</f>
        <v>2</v>
      </c>
      <c r="AK445" t="e">
        <f ca="1">_xludf.IFNA(VLOOKUP(AG445,'S-FG'!$B$3:$B1001,1,FALSE),"")</f>
        <v>#NAME?</v>
      </c>
      <c r="AL445" t="e">
        <f ca="1">IF(AH445="","",SUMIFS(#REF!,RM!$C$4:$C991,AH445))</f>
        <v>#REF!</v>
      </c>
    </row>
    <row r="446" spans="5:38">
      <c r="E446" t="str">
        <f>IF(A446="","",SUMIFS(Issue!$D$3:$D1001,Issue!$C$3:$C1001,A446)*C446)</f>
        <v/>
      </c>
      <c r="F446" t="e">
        <f ca="1">_xludf.IFNA(VLOOKUP(B446,'S-FG'!$B$3:$B1001,1,FALSE),"")</f>
        <v>#NAME?</v>
      </c>
      <c r="H446" t="str">
        <f ca="1">IFERROR(__xludf.DUMMYFUNCTION("""COMPUTED_VALUE"""),"Final Craft Assy")</f>
        <v>Final Craft Assy</v>
      </c>
      <c r="I446" t="str">
        <f ca="1">IFERROR(__xludf.DUMMYFUNCTION("""COMPUTED_VALUE"""),"8kg Hull")</f>
        <v>8kg Hull</v>
      </c>
      <c r="J446">
        <f ca="1">IFERROR(__xludf.DUMMYFUNCTION("""COMPUTED_VALUE"""),1)</f>
        <v>1</v>
      </c>
      <c r="K446" t="str">
        <f ca="1">IFERROR(__xludf.DUMMYFUNCTION("""COMPUTED_VALUE"""),"blank")</f>
        <v>blank</v>
      </c>
      <c r="L446">
        <f t="shared" ca="1" si="4"/>
        <v>0</v>
      </c>
      <c r="Q446" t="str">
        <f>IF(N446="","",SUMIFS(Issue!$D$3:$D1001,Issue!$C$3:$C1001,N446))</f>
        <v/>
      </c>
      <c r="S446" t="str">
        <f ca="1">IFERROR(__xludf.DUMMYFUNCTION("""COMPUTED_VALUE"""),"M4x12 Button head")</f>
        <v>M4x12 Button head</v>
      </c>
      <c r="Y446" t="str">
        <f t="shared" si="5"/>
        <v/>
      </c>
      <c r="Z446" t="str">
        <f>IF(X446="","",SUMIFS(#REF!,RM!$C$4:$C991,X446))</f>
        <v/>
      </c>
      <c r="AA446" t="str">
        <f>IF(X446="","",SUMIFS(#REF!,RM!$C$4:$C991,X446))</f>
        <v/>
      </c>
      <c r="AB446" t="e">
        <f t="shared" si="6"/>
        <v>#VALUE!</v>
      </c>
      <c r="AC446" t="str">
        <f>IF(X446="","",VLOOKUP($X446,RM!$C$4:$G991,3,FALSE))</f>
        <v/>
      </c>
      <c r="AD446" t="str">
        <f>IF(X446="","",VLOOKUP($X446,RM!$C$4:$G991,4,FALSE))</f>
        <v/>
      </c>
      <c r="AE446" t="str">
        <f>IF(X446="","",VLOOKUP($X446,RM!$C$4:$G991,5,FALSE))</f>
        <v/>
      </c>
      <c r="AG446" t="str">
        <f ca="1">IFERROR(__xludf.DUMMYFUNCTION("""COMPUTED_VALUE"""),"AMCA Elec Assy")</f>
        <v>AMCA Elec Assy</v>
      </c>
      <c r="AH446" t="str">
        <f ca="1">IFERROR(__xludf.DUMMYFUNCTION("""COMPUTED_VALUE"""),"Yellow 14/38 Wire")</f>
        <v>Yellow 14/38 Wire</v>
      </c>
      <c r="AI446">
        <f ca="1">IFERROR(__xludf.DUMMYFUNCTION("""COMPUTED_VALUE"""),2)</f>
        <v>2</v>
      </c>
      <c r="AK446" t="e">
        <f ca="1">_xludf.IFNA(VLOOKUP(AG446,'S-FG'!$B$3:$B1001,1,FALSE),"")</f>
        <v>#NAME?</v>
      </c>
      <c r="AL446" t="e">
        <f ca="1">IF(AH446="","",SUMIFS(#REF!,RM!$C$4:$C991,AH446))</f>
        <v>#REF!</v>
      </c>
    </row>
    <row r="447" spans="5:38">
      <c r="E447" t="str">
        <f>IF(A447="","",SUMIFS(Issue!$D$3:$D1001,Issue!$C$3:$C1001,A447)*C447)</f>
        <v/>
      </c>
      <c r="F447" t="e">
        <f ca="1">_xludf.IFNA(VLOOKUP(B447,'S-FG'!$B$3:$B1001,1,FALSE),"")</f>
        <v>#NAME?</v>
      </c>
      <c r="H447" t="str">
        <f ca="1">IFERROR(__xludf.DUMMYFUNCTION("""COMPUTED_VALUE"""),"Bottom Block Assy")</f>
        <v>Bottom Block Assy</v>
      </c>
      <c r="I447" t="str">
        <f ca="1">IFERROR(__xludf.DUMMYFUNCTION("""COMPUTED_VALUE"""),"IM Bottom Block")</f>
        <v>IM Bottom Block</v>
      </c>
      <c r="J447">
        <f ca="1">IFERROR(__xludf.DUMMYFUNCTION("""COMPUTED_VALUE"""),2)</f>
        <v>2</v>
      </c>
      <c r="K447" t="str">
        <f ca="1">IFERROR(__xludf.DUMMYFUNCTION("""COMPUTED_VALUE"""),"blank")</f>
        <v>blank</v>
      </c>
      <c r="L447">
        <f t="shared" ca="1" si="4"/>
        <v>0</v>
      </c>
      <c r="Q447" t="str">
        <f>IF(N447="","",SUMIFS(Issue!$D$3:$D1001,Issue!$C$3:$C1001,N447))</f>
        <v/>
      </c>
      <c r="S447" t="str">
        <f ca="1">IFERROR(__xludf.DUMMYFUNCTION("""COMPUTED_VALUE"""),"8kg Hull")</f>
        <v>8kg Hull</v>
      </c>
      <c r="Y447" t="str">
        <f t="shared" si="5"/>
        <v/>
      </c>
      <c r="Z447" t="str">
        <f>IF(X447="","",SUMIFS(#REF!,RM!$C$4:$C991,X447))</f>
        <v/>
      </c>
      <c r="AA447" t="str">
        <f>IF(X447="","",SUMIFS(#REF!,RM!$C$4:$C991,X447))</f>
        <v/>
      </c>
      <c r="AB447" t="e">
        <f t="shared" si="6"/>
        <v>#VALUE!</v>
      </c>
      <c r="AC447" t="str">
        <f>IF(X447="","",VLOOKUP($X447,RM!$C$4:$G991,3,FALSE))</f>
        <v/>
      </c>
      <c r="AD447" t="str">
        <f>IF(X447="","",VLOOKUP($X447,RM!$C$4:$G991,4,FALSE))</f>
        <v/>
      </c>
      <c r="AE447" t="str">
        <f>IF(X447="","",VLOOKUP($X447,RM!$C$4:$G991,5,FALSE))</f>
        <v/>
      </c>
      <c r="AG447" t="str">
        <f ca="1">IFERROR(__xludf.DUMMYFUNCTION("""COMPUTED_VALUE"""),"AMCA Elec Assy")</f>
        <v>AMCA Elec Assy</v>
      </c>
      <c r="AH447" t="str">
        <f ca="1">IFERROR(__xludf.DUMMYFUNCTION("""COMPUTED_VALUE"""),"3S BMS")</f>
        <v>3S BMS</v>
      </c>
      <c r="AI447">
        <f ca="1">IFERROR(__xludf.DUMMYFUNCTION("""COMPUTED_VALUE"""),1)</f>
        <v>1</v>
      </c>
      <c r="AK447" t="e">
        <f ca="1">_xludf.IFNA(VLOOKUP(AG447,'S-FG'!$B$3:$B1001,1,FALSE),"")</f>
        <v>#NAME?</v>
      </c>
      <c r="AL447" t="e">
        <f ca="1">IF(AH447="","",SUMIFS(#REF!,RM!$C$4:$C991,AH447))</f>
        <v>#REF!</v>
      </c>
    </row>
    <row r="448" spans="5:38">
      <c r="E448" t="str">
        <f>IF(A448="","",SUMIFS(Issue!$D$3:$D1001,Issue!$C$3:$C1001,A448)*C448)</f>
        <v/>
      </c>
      <c r="F448" t="e">
        <f ca="1">_xludf.IFNA(VLOOKUP(B448,'S-FG'!$B$3:$B1001,1,FALSE),"")</f>
        <v>#NAME?</v>
      </c>
      <c r="H448" t="str">
        <f ca="1">IFERROR(__xludf.DUMMYFUNCTION("""COMPUTED_VALUE"""),"Bottom Block Assy")</f>
        <v>Bottom Block Assy</v>
      </c>
      <c r="I448" t="str">
        <f ca="1">IFERROR(__xludf.DUMMYFUNCTION("""COMPUTED_VALUE"""),"Bottom Mesh (120mm x 100mm, 5""x4"")")</f>
        <v>Bottom Mesh (120mm x 100mm, 5"x4")</v>
      </c>
      <c r="J448">
        <f ca="1">IFERROR(__xludf.DUMMYFUNCTION("""COMPUTED_VALUE"""),2)</f>
        <v>2</v>
      </c>
      <c r="K448" t="str">
        <f ca="1">IFERROR(__xludf.DUMMYFUNCTION("""COMPUTED_VALUE"""),"blank")</f>
        <v>blank</v>
      </c>
      <c r="L448">
        <f t="shared" ca="1" si="4"/>
        <v>0</v>
      </c>
      <c r="Q448" t="str">
        <f>IF(N448="","",SUMIFS(Issue!$D$3:$D1001,Issue!$C$3:$C1001,N448))</f>
        <v/>
      </c>
      <c r="S448" t="str">
        <f ca="1">IFERROR(__xludf.DUMMYFUNCTION("""COMPUTED_VALUE"""),"IM Bottom Block")</f>
        <v>IM Bottom Block</v>
      </c>
      <c r="Y448" t="str">
        <f t="shared" si="5"/>
        <v/>
      </c>
      <c r="Z448" t="str">
        <f>IF(X448="","",SUMIFS(#REF!,RM!$C$4:$C991,X448))</f>
        <v/>
      </c>
      <c r="AA448" t="str">
        <f>IF(X448="","",SUMIFS(#REF!,RM!$C$4:$C991,X448))</f>
        <v/>
      </c>
      <c r="AB448" t="e">
        <f t="shared" si="6"/>
        <v>#VALUE!</v>
      </c>
      <c r="AC448" t="str">
        <f>IF(X448="","",VLOOKUP($X448,RM!$C$4:$G991,3,FALSE))</f>
        <v/>
      </c>
      <c r="AD448" t="str">
        <f>IF(X448="","",VLOOKUP($X448,RM!$C$4:$G991,4,FALSE))</f>
        <v/>
      </c>
      <c r="AE448" t="str">
        <f>IF(X448="","",VLOOKUP($X448,RM!$C$4:$G991,5,FALSE))</f>
        <v/>
      </c>
      <c r="AG448" t="str">
        <f ca="1">IFERROR(__xludf.DUMMYFUNCTION("""COMPUTED_VALUE"""),"AMCA Elec Assy")</f>
        <v>AMCA Elec Assy</v>
      </c>
      <c r="AH448" t="str">
        <f ca="1">IFERROR(__xludf.DUMMYFUNCTION("""COMPUTED_VALUE"""),"130x80x60 enclosure box")</f>
        <v>130x80x60 enclosure box</v>
      </c>
      <c r="AI448">
        <f ca="1">IFERROR(__xludf.DUMMYFUNCTION("""COMPUTED_VALUE"""),1)</f>
        <v>1</v>
      </c>
      <c r="AK448" t="e">
        <f ca="1">_xludf.IFNA(VLOOKUP(AG448,'S-FG'!$B$3:$B1001,1,FALSE),"")</f>
        <v>#NAME?</v>
      </c>
      <c r="AL448" t="e">
        <f ca="1">IF(AH448="","",SUMIFS(#REF!,RM!$C$4:$C991,AH448))</f>
        <v>#REF!</v>
      </c>
    </row>
    <row r="449" spans="5:38">
      <c r="E449" t="str">
        <f>IF(A449="","",SUMIFS(Issue!$D$3:$D1001,Issue!$C$3:$C1001,A449)*C449)</f>
        <v/>
      </c>
      <c r="F449" t="e">
        <f ca="1">_xludf.IFNA(VLOOKUP(B449,'S-FG'!$B$3:$B1001,1,FALSE),"")</f>
        <v>#NAME?</v>
      </c>
      <c r="H449" t="str">
        <f ca="1">IFERROR(__xludf.DUMMYFUNCTION("""COMPUTED_VALUE"""),"Bottom Block Assy")</f>
        <v>Bottom Block Assy</v>
      </c>
      <c r="I449" t="str">
        <f ca="1">IFERROR(__xludf.DUMMYFUNCTION("""COMPUTED_VALUE"""),"M4x12 Pan Combi Screws")</f>
        <v>M4x12 Pan Combi Screws</v>
      </c>
      <c r="J449">
        <f ca="1">IFERROR(__xludf.DUMMYFUNCTION("""COMPUTED_VALUE"""),8)</f>
        <v>8</v>
      </c>
      <c r="K449" t="str">
        <f ca="1">IFERROR(__xludf.DUMMYFUNCTION("""COMPUTED_VALUE"""),"blank")</f>
        <v>blank</v>
      </c>
      <c r="L449">
        <f t="shared" ca="1" si="4"/>
        <v>0</v>
      </c>
      <c r="Q449" t="str">
        <f>IF(N449="","",SUMIFS(Issue!$D$3:$D1001,Issue!$C$3:$C1001,N449))</f>
        <v/>
      </c>
      <c r="S449" t="str">
        <f ca="1">IFERROR(__xludf.DUMMYFUNCTION("""COMPUTED_VALUE"""),"Bottom Mesh (120mm x 100mm, 5""x4"")")</f>
        <v>Bottom Mesh (120mm x 100mm, 5"x4")</v>
      </c>
      <c r="Y449" t="str">
        <f t="shared" si="5"/>
        <v/>
      </c>
      <c r="Z449" t="str">
        <f>IF(X449="","",SUMIFS(#REF!,RM!$C$4:$C991,X449))</f>
        <v/>
      </c>
      <c r="AA449" t="str">
        <f>IF(X449="","",SUMIFS(#REF!,RM!$C$4:$C991,X449))</f>
        <v/>
      </c>
      <c r="AB449" t="e">
        <f t="shared" si="6"/>
        <v>#VALUE!</v>
      </c>
      <c r="AC449" t="str">
        <f>IF(X449="","",VLOOKUP($X449,RM!$C$4:$G991,3,FALSE))</f>
        <v/>
      </c>
      <c r="AD449" t="str">
        <f>IF(X449="","",VLOOKUP($X449,RM!$C$4:$G991,4,FALSE))</f>
        <v/>
      </c>
      <c r="AE449" t="str">
        <f>IF(X449="","",VLOOKUP($X449,RM!$C$4:$G991,5,FALSE))</f>
        <v/>
      </c>
      <c r="AG449" t="str">
        <f ca="1">IFERROR(__xludf.DUMMYFUNCTION("""COMPUTED_VALUE"""),"AMCA Elec Assy")</f>
        <v>AMCA Elec Assy</v>
      </c>
      <c r="AH449" t="str">
        <f ca="1">IFERROR(__xludf.DUMMYFUNCTION("""COMPUTED_VALUE"""),"2mm male bullet connector")</f>
        <v>2mm male bullet connector</v>
      </c>
      <c r="AI449">
        <f ca="1">IFERROR(__xludf.DUMMYFUNCTION("""COMPUTED_VALUE"""),6)</f>
        <v>6</v>
      </c>
      <c r="AJ449" t="str">
        <f ca="1">IFERROR(__xludf.DUMMYFUNCTION("""COMPUTED_VALUE"""),"blank")</f>
        <v>blank</v>
      </c>
      <c r="AK449" t="e">
        <f ca="1">_xludf.IFNA(VLOOKUP(AG449,'S-FG'!$B$3:$B1001,1,FALSE),"")</f>
        <v>#NAME?</v>
      </c>
      <c r="AL449" t="e">
        <f ca="1">IF(AH449="","",SUMIFS(#REF!,RM!$C$4:$C991,AH449))</f>
        <v>#REF!</v>
      </c>
    </row>
    <row r="450" spans="5:38">
      <c r="E450" t="str">
        <f>IF(A450="","",SUMIFS(Issue!$D$3:$D1001,Issue!$C$3:$C1001,A450)*C450)</f>
        <v/>
      </c>
      <c r="F450" t="e">
        <f ca="1">_xludf.IFNA(VLOOKUP(B450,'S-FG'!$B$3:$B1001,1,FALSE),"")</f>
        <v>#NAME?</v>
      </c>
      <c r="H450" t="str">
        <f ca="1">IFERROR(__xludf.DUMMYFUNCTION("""COMPUTED_VALUE"""),"Bottom Block Assy")</f>
        <v>Bottom Block Assy</v>
      </c>
      <c r="I450" t="str">
        <f ca="1">IFERROR(__xludf.DUMMYFUNCTION("""COMPUTED_VALUE"""),"M3x8 CSK Phillips")</f>
        <v>M3x8 CSK Phillips</v>
      </c>
      <c r="J450">
        <f ca="1">IFERROR(__xludf.DUMMYFUNCTION("""COMPUTED_VALUE"""),14)</f>
        <v>14</v>
      </c>
      <c r="K450" t="str">
        <f ca="1">IFERROR(__xludf.DUMMYFUNCTION("""COMPUTED_VALUE"""),"blank")</f>
        <v>blank</v>
      </c>
      <c r="L450">
        <f t="shared" ca="1" si="4"/>
        <v>0</v>
      </c>
      <c r="Q450" t="str">
        <f>IF(N450="","",SUMIFS(Issue!$D$3:$D1001,Issue!$C$3:$C1001,N450))</f>
        <v/>
      </c>
      <c r="S450" t="str">
        <f ca="1">IFERROR(__xludf.DUMMYFUNCTION("""COMPUTED_VALUE"""),"M4x12 Pan Combi Screws")</f>
        <v>M4x12 Pan Combi Screws</v>
      </c>
      <c r="Y450" t="str">
        <f t="shared" si="5"/>
        <v/>
      </c>
      <c r="Z450" t="str">
        <f>IF(X450="","",SUMIFS(#REF!,RM!$C$4:$C991,X450))</f>
        <v/>
      </c>
      <c r="AA450" t="str">
        <f>IF(X450="","",SUMIFS(#REF!,RM!$C$4:$C991,X450))</f>
        <v/>
      </c>
      <c r="AB450" t="e">
        <f t="shared" si="6"/>
        <v>#VALUE!</v>
      </c>
      <c r="AC450" t="str">
        <f>IF(X450="","",VLOOKUP($X450,RM!$C$4:$G991,3,FALSE))</f>
        <v/>
      </c>
      <c r="AD450" t="str">
        <f>IF(X450="","",VLOOKUP($X450,RM!$C$4:$G991,4,FALSE))</f>
        <v/>
      </c>
      <c r="AE450" t="str">
        <f>IF(X450="","",VLOOKUP($X450,RM!$C$4:$G991,5,FALSE))</f>
        <v/>
      </c>
      <c r="AG450" t="str">
        <f ca="1">IFERROR(__xludf.DUMMYFUNCTION("""COMPUTED_VALUE"""),"AMCA Elec Assy")</f>
        <v>AMCA Elec Assy</v>
      </c>
      <c r="AH450" t="str">
        <f ca="1">IFERROR(__xludf.DUMMYFUNCTION("""COMPUTED_VALUE"""),"2mm Female Bullet connector")</f>
        <v>2mm Female Bullet connector</v>
      </c>
      <c r="AI450">
        <f ca="1">IFERROR(__xludf.DUMMYFUNCTION("""COMPUTED_VALUE"""),6)</f>
        <v>6</v>
      </c>
      <c r="AJ450" t="str">
        <f ca="1">IFERROR(__xludf.DUMMYFUNCTION("""COMPUTED_VALUE"""),"blank")</f>
        <v>blank</v>
      </c>
      <c r="AK450" t="e">
        <f ca="1">_xludf.IFNA(VLOOKUP(AG450,'S-FG'!$B$3:$B1001,1,FALSE),"")</f>
        <v>#NAME?</v>
      </c>
      <c r="AL450" t="e">
        <f ca="1">IF(AH450="","",SUMIFS(#REF!,RM!$C$4:$C991,AH450))</f>
        <v>#REF!</v>
      </c>
    </row>
    <row r="451" spans="5:38">
      <c r="E451" t="str">
        <f>IF(A451="","",SUMIFS(Issue!$D$3:$D1001,Issue!$C$3:$C1001,A451)*C451)</f>
        <v/>
      </c>
      <c r="F451" t="e">
        <f ca="1">_xludf.IFNA(VLOOKUP(B451,'S-FG'!$B$3:$B1001,1,FALSE),"")</f>
        <v>#NAME?</v>
      </c>
      <c r="H451" t="str">
        <f ca="1">IFERROR(__xludf.DUMMYFUNCTION("""COMPUTED_VALUE"""),"Bottom Block Assy")</f>
        <v>Bottom Block Assy</v>
      </c>
      <c r="I451" t="str">
        <f ca="1">IFERROR(__xludf.DUMMYFUNCTION("""COMPUTED_VALUE"""),"M3x8 plain wahser")</f>
        <v>M3x8 plain wahser</v>
      </c>
      <c r="J451">
        <f ca="1">IFERROR(__xludf.DUMMYFUNCTION("""COMPUTED_VALUE"""),2.5)</f>
        <v>2.5</v>
      </c>
      <c r="K451" t="str">
        <f ca="1">IFERROR(__xludf.DUMMYFUNCTION("""COMPUTED_VALUE"""),"blank")</f>
        <v>blank</v>
      </c>
      <c r="L451">
        <f t="shared" ca="1" si="4"/>
        <v>0</v>
      </c>
      <c r="Q451" t="str">
        <f>IF(N451="","",SUMIFS(Issue!$D$3:$D1001,Issue!$C$3:$C1001,N451))</f>
        <v/>
      </c>
      <c r="S451" t="str">
        <f ca="1">IFERROR(__xludf.DUMMYFUNCTION("""COMPUTED_VALUE"""),"M3x8 CSK Phillips")</f>
        <v>M3x8 CSK Phillips</v>
      </c>
      <c r="Y451" t="str">
        <f t="shared" si="5"/>
        <v/>
      </c>
      <c r="Z451" t="str">
        <f>IF(X451="","",SUMIFS(#REF!,RM!$C$4:$C991,X451))</f>
        <v/>
      </c>
      <c r="AA451" t="str">
        <f>IF(X451="","",SUMIFS(#REF!,RM!$C$4:$C991,X451))</f>
        <v/>
      </c>
      <c r="AB451" t="e">
        <f t="shared" si="6"/>
        <v>#VALUE!</v>
      </c>
      <c r="AC451" t="str">
        <f>IF(X451="","",VLOOKUP($X451,RM!$C$4:$G991,3,FALSE))</f>
        <v/>
      </c>
      <c r="AD451" t="str">
        <f>IF(X451="","",VLOOKUP($X451,RM!$C$4:$G991,4,FALSE))</f>
        <v/>
      </c>
      <c r="AE451" t="str">
        <f>IF(X451="","",VLOOKUP($X451,RM!$C$4:$G991,5,FALSE))</f>
        <v/>
      </c>
      <c r="AG451" t="str">
        <f ca="1">IFERROR(__xludf.DUMMYFUNCTION("""COMPUTED_VALUE"""),"AMCA Elec Assy")</f>
        <v>AMCA Elec Assy</v>
      </c>
      <c r="AH451" t="str">
        <f ca="1">IFERROR(__xludf.DUMMYFUNCTION("""COMPUTED_VALUE"""),"HeatShrink Tube 3:1")</f>
        <v>HeatShrink Tube 3:1</v>
      </c>
      <c r="AI451">
        <f ca="1">IFERROR(__xludf.DUMMYFUNCTION("""COMPUTED_VALUE"""),0.12)</f>
        <v>0.12</v>
      </c>
      <c r="AJ451" t="str">
        <f ca="1">IFERROR(__xludf.DUMMYFUNCTION("""COMPUTED_VALUE"""),"blank")</f>
        <v>blank</v>
      </c>
      <c r="AK451" t="e">
        <f ca="1">_xludf.IFNA(VLOOKUP(AG451,'S-FG'!$B$3:$B1001,1,FALSE),"")</f>
        <v>#NAME?</v>
      </c>
      <c r="AL451" t="e">
        <f ca="1">IF(AH451="","",SUMIFS(#REF!,RM!$C$4:$C991,AH451))</f>
        <v>#REF!</v>
      </c>
    </row>
    <row r="452" spans="5:38">
      <c r="E452" t="str">
        <f>IF(A452="","",SUMIFS(Issue!$D$3:$D1001,Issue!$C$3:$C1001,A452)*C452)</f>
        <v/>
      </c>
      <c r="F452" t="e">
        <f ca="1">_xludf.IFNA(VLOOKUP(B452,'S-FG'!$B$3:$B1001,1,FALSE),"")</f>
        <v>#NAME?</v>
      </c>
      <c r="H452" t="str">
        <f ca="1">IFERROR(__xludf.DUMMYFUNCTION("""COMPUTED_VALUE"""),"STBD Aft Plate Assy")</f>
        <v>STBD Aft Plate Assy</v>
      </c>
      <c r="I452" t="str">
        <f ca="1">IFERROR(__xludf.DUMMYFUNCTION("""COMPUTED_VALUE"""),"STBD Aft Plate")</f>
        <v>STBD Aft Plate</v>
      </c>
      <c r="J452">
        <f ca="1">IFERROR(__xludf.DUMMYFUNCTION("""COMPUTED_VALUE"""),1)</f>
        <v>1</v>
      </c>
      <c r="K452" t="str">
        <f ca="1">IFERROR(__xludf.DUMMYFUNCTION("""COMPUTED_VALUE"""),"blank")</f>
        <v>blank</v>
      </c>
      <c r="L452">
        <f t="shared" ca="1" si="4"/>
        <v>0</v>
      </c>
      <c r="Q452" t="str">
        <f>IF(N452="","",SUMIFS(Issue!$D$3:$D1001,Issue!$C$3:$C1001,N452))</f>
        <v/>
      </c>
      <c r="S452" t="str">
        <f ca="1">IFERROR(__xludf.DUMMYFUNCTION("""COMPUTED_VALUE"""),"M3x8 plain wahser")</f>
        <v>M3x8 plain wahser</v>
      </c>
      <c r="Y452" t="str">
        <f t="shared" si="5"/>
        <v/>
      </c>
      <c r="Z452" t="str">
        <f>IF(X452="","",SUMIFS(#REF!,RM!$C$4:$C991,X452))</f>
        <v/>
      </c>
      <c r="AA452" t="str">
        <f>IF(X452="","",SUMIFS(#REF!,RM!$C$4:$C991,X452))</f>
        <v/>
      </c>
      <c r="AB452" t="e">
        <f t="shared" si="6"/>
        <v>#VALUE!</v>
      </c>
      <c r="AC452" t="str">
        <f>IF(X452="","",VLOOKUP($X452,RM!$C$4:$G991,3,FALSE))</f>
        <v/>
      </c>
      <c r="AD452" t="str">
        <f>IF(X452="","",VLOOKUP($X452,RM!$C$4:$G991,4,FALSE))</f>
        <v/>
      </c>
      <c r="AE452" t="str">
        <f>IF(X452="","",VLOOKUP($X452,RM!$C$4:$G991,5,FALSE))</f>
        <v/>
      </c>
      <c r="AG452" t="str">
        <f ca="1">IFERROR(__xludf.DUMMYFUNCTION("""COMPUTED_VALUE"""),"AMCA Elec Assy")</f>
        <v>AMCA Elec Assy</v>
      </c>
      <c r="AH452" t="str">
        <f ca="1">IFERROR(__xludf.DUMMYFUNCTION("""COMPUTED_VALUE"""),"Teroson MS930")</f>
        <v>Teroson MS930</v>
      </c>
      <c r="AI452">
        <f ca="1">IFERROR(__xludf.DUMMYFUNCTION("""COMPUTED_VALUE"""),10)</f>
        <v>10</v>
      </c>
      <c r="AJ452" t="str">
        <f ca="1">IFERROR(__xludf.DUMMYFUNCTION("""COMPUTED_VALUE"""),"blank")</f>
        <v>blank</v>
      </c>
      <c r="AK452" t="e">
        <f ca="1">_xludf.IFNA(VLOOKUP(AG452,'S-FG'!$B$3:$B1001,1,FALSE),"")</f>
        <v>#NAME?</v>
      </c>
      <c r="AL452" t="e">
        <f ca="1">IF(AH452="","",SUMIFS(#REF!,RM!$C$4:$C991,AH452))</f>
        <v>#REF!</v>
      </c>
    </row>
    <row r="453" spans="5:38">
      <c r="E453" t="str">
        <f>IF(A453="","",SUMIFS(Issue!$D$3:$D1001,Issue!$C$3:$C1001,A453)*C453)</f>
        <v/>
      </c>
      <c r="F453" t="e">
        <f ca="1">_xludf.IFNA(VLOOKUP(B453,'S-FG'!$B$3:$B1001,1,FALSE),"")</f>
        <v>#NAME?</v>
      </c>
      <c r="H453" t="str">
        <f ca="1">IFERROR(__xludf.DUMMYFUNCTION("""COMPUTED_VALUE"""),"STBD Aft Plate Assy")</f>
        <v>STBD Aft Plate Assy</v>
      </c>
      <c r="I453" t="str">
        <f ca="1">IFERROR(__xludf.DUMMYFUNCTION("""COMPUTED_VALUE"""),"SS Cooling Water Inlet nozzle")</f>
        <v>SS Cooling Water Inlet nozzle</v>
      </c>
      <c r="J453">
        <f ca="1">IFERROR(__xludf.DUMMYFUNCTION("""COMPUTED_VALUE"""),1)</f>
        <v>1</v>
      </c>
      <c r="L453">
        <f t="shared" ca="1" si="4"/>
        <v>0</v>
      </c>
      <c r="Q453" t="str">
        <f>IF(N453="","",SUMIFS(Issue!$D$3:$D1001,Issue!$C$3:$C1001,N453))</f>
        <v/>
      </c>
      <c r="S453" t="str">
        <f ca="1">IFERROR(__xludf.DUMMYFUNCTION("""COMPUTED_VALUE"""),"STBD Aft Plate")</f>
        <v>STBD Aft Plate</v>
      </c>
      <c r="Y453" t="str">
        <f t="shared" si="5"/>
        <v/>
      </c>
      <c r="Z453" t="str">
        <f>IF(X453="","",SUMIFS(#REF!,RM!$C$4:$C991,X453))</f>
        <v/>
      </c>
      <c r="AA453" t="str">
        <f>IF(X453="","",SUMIFS(#REF!,RM!$C$4:$C991,X453))</f>
        <v/>
      </c>
      <c r="AB453" t="e">
        <f t="shared" si="6"/>
        <v>#VALUE!</v>
      </c>
      <c r="AC453" t="str">
        <f>IF(X453="","",VLOOKUP($X453,RM!$C$4:$G991,3,FALSE))</f>
        <v/>
      </c>
      <c r="AD453" t="str">
        <f>IF(X453="","",VLOOKUP($X453,RM!$C$4:$G991,4,FALSE))</f>
        <v/>
      </c>
      <c r="AE453" t="str">
        <f>IF(X453="","",VLOOKUP($X453,RM!$C$4:$G991,5,FALSE))</f>
        <v/>
      </c>
      <c r="AG453" t="str">
        <f ca="1">IFERROR(__xludf.DUMMYFUNCTION("""COMPUTED_VALUE"""),"AMCA Mech Assy")</f>
        <v>AMCA Mech Assy</v>
      </c>
      <c r="AH453" t="str">
        <f ca="1">IFERROR(__xludf.DUMMYFUNCTION("""COMPUTED_VALUE"""),"JCB Body cum mounting frame")</f>
        <v>JCB Body cum mounting frame</v>
      </c>
      <c r="AI453">
        <f ca="1">IFERROR(__xludf.DUMMYFUNCTION("""COMPUTED_VALUE"""),1)</f>
        <v>1</v>
      </c>
      <c r="AK453" t="e">
        <f ca="1">_xludf.IFNA(VLOOKUP(AG453,'S-FG'!$B$3:$B1001,1,FALSE),"")</f>
        <v>#NAME?</v>
      </c>
      <c r="AL453" t="e">
        <f ca="1">IF(AH453="","",SUMIFS(#REF!,RM!$C$4:$C991,AH453))</f>
        <v>#REF!</v>
      </c>
    </row>
    <row r="454" spans="5:38">
      <c r="E454" t="str">
        <f>IF(A454="","",SUMIFS(Issue!$D$3:$D1001,Issue!$C$3:$C1001,A454)*C454)</f>
        <v/>
      </c>
      <c r="F454" t="e">
        <f ca="1">_xludf.IFNA(VLOOKUP(B454,'S-FG'!$B$3:$B1001,1,FALSE),"")</f>
        <v>#NAME?</v>
      </c>
      <c r="H454" t="str">
        <f ca="1">IFERROR(__xludf.DUMMYFUNCTION("""COMPUTED_VALUE"""),"STBD Aft Plate Assy")</f>
        <v>STBD Aft Plate Assy</v>
      </c>
      <c r="I454" t="str">
        <f ca="1">IFERROR(__xludf.DUMMYFUNCTION("""COMPUTED_VALUE"""),"SS Cooling Water Outlet nozzle")</f>
        <v>SS Cooling Water Outlet nozzle</v>
      </c>
      <c r="J454">
        <f ca="1">IFERROR(__xludf.DUMMYFUNCTION("""COMPUTED_VALUE"""),1)</f>
        <v>1</v>
      </c>
      <c r="L454">
        <f t="shared" ca="1" si="4"/>
        <v>0</v>
      </c>
      <c r="Q454" t="str">
        <f>IF(N454="","",SUMIFS(Issue!$D$3:$D1001,Issue!$C$3:$C1001,N454))</f>
        <v/>
      </c>
      <c r="S454" t="str">
        <f ca="1">IFERROR(__xludf.DUMMYFUNCTION("""COMPUTED_VALUE"""),"SS Cooling Water Inlet nozzle")</f>
        <v>SS Cooling Water Inlet nozzle</v>
      </c>
      <c r="Y454" t="str">
        <f t="shared" si="5"/>
        <v/>
      </c>
      <c r="Z454" t="str">
        <f>IF(X454="","",SUMIFS(#REF!,RM!$C$4:$C991,X454))</f>
        <v/>
      </c>
      <c r="AA454" t="str">
        <f>IF(X454="","",SUMIFS(#REF!,RM!$C$4:$C991,X454))</f>
        <v/>
      </c>
      <c r="AB454" t="e">
        <f t="shared" si="6"/>
        <v>#VALUE!</v>
      </c>
      <c r="AC454" t="str">
        <f>IF(X454="","",VLOOKUP($X454,RM!$C$4:$G991,3,FALSE))</f>
        <v/>
      </c>
      <c r="AD454" t="str">
        <f>IF(X454="","",VLOOKUP($X454,RM!$C$4:$G991,4,FALSE))</f>
        <v/>
      </c>
      <c r="AE454" t="str">
        <f>IF(X454="","",VLOOKUP($X454,RM!$C$4:$G991,5,FALSE))</f>
        <v/>
      </c>
      <c r="AG454" t="str">
        <f ca="1">IFERROR(__xludf.DUMMYFUNCTION("""COMPUTED_VALUE"""),"AMCA Mech Assy")</f>
        <v>AMCA Mech Assy</v>
      </c>
      <c r="AH454" t="str">
        <f ca="1">IFERROR(__xludf.DUMMYFUNCTION("""COMPUTED_VALUE"""),"flow sensor Clamp")</f>
        <v>flow sensor Clamp</v>
      </c>
      <c r="AI454">
        <f ca="1">IFERROR(__xludf.DUMMYFUNCTION("""COMPUTED_VALUE"""),2)</f>
        <v>2</v>
      </c>
      <c r="AK454" t="e">
        <f ca="1">_xludf.IFNA(VLOOKUP(AG454,'S-FG'!$B$3:$B1001,1,FALSE),"")</f>
        <v>#NAME?</v>
      </c>
      <c r="AL454" t="e">
        <f ca="1">IF(AH454="","",SUMIFS(#REF!,RM!$C$4:$C991,AH454))</f>
        <v>#REF!</v>
      </c>
    </row>
    <row r="455" spans="5:38">
      <c r="E455" t="str">
        <f>IF(A455="","",SUMIFS(Issue!$D$3:$D1001,Issue!$C$3:$C1001,A455)*C455)</f>
        <v/>
      </c>
      <c r="F455" t="e">
        <f ca="1">_xludf.IFNA(VLOOKUP(B455,'S-FG'!$B$3:$B1001,1,FALSE),"")</f>
        <v>#NAME?</v>
      </c>
      <c r="H455" t="str">
        <f ca="1">IFERROR(__xludf.DUMMYFUNCTION("""COMPUTED_VALUE"""),"STBD Aft Plate Assy")</f>
        <v>STBD Aft Plate Assy</v>
      </c>
      <c r="I455" t="str">
        <f ca="1">IFERROR(__xludf.DUMMYFUNCTION("""COMPUTED_VALUE"""),"Greasing nozzle")</f>
        <v>Greasing nozzle</v>
      </c>
      <c r="J455">
        <f ca="1">IFERROR(__xludf.DUMMYFUNCTION("""COMPUTED_VALUE"""),1)</f>
        <v>1</v>
      </c>
      <c r="L455">
        <f t="shared" ca="1" si="4"/>
        <v>0</v>
      </c>
      <c r="Q455" t="str">
        <f>IF(N455="","",SUMIFS(Issue!$D$3:$D1001,Issue!$C$3:$C1001,N455))</f>
        <v/>
      </c>
      <c r="S455" t="str">
        <f ca="1">IFERROR(__xludf.DUMMYFUNCTION("""COMPUTED_VALUE"""),"SS Cooling Water Outlet nozzle")</f>
        <v>SS Cooling Water Outlet nozzle</v>
      </c>
      <c r="Y455" t="str">
        <f t="shared" si="5"/>
        <v/>
      </c>
      <c r="Z455" t="str">
        <f>IF(X455="","",SUMIFS(#REF!,RM!$C$4:$C991,X455))</f>
        <v/>
      </c>
      <c r="AA455" t="str">
        <f>IF(X455="","",SUMIFS(#REF!,RM!$C$4:$C991,X455))</f>
        <v/>
      </c>
      <c r="AB455" t="e">
        <f t="shared" si="6"/>
        <v>#VALUE!</v>
      </c>
      <c r="AC455" t="str">
        <f>IF(X455="","",VLOOKUP($X455,RM!$C$4:$G991,3,FALSE))</f>
        <v/>
      </c>
      <c r="AD455" t="str">
        <f>IF(X455="","",VLOOKUP($X455,RM!$C$4:$G991,4,FALSE))</f>
        <v/>
      </c>
      <c r="AE455" t="str">
        <f>IF(X455="","",VLOOKUP($X455,RM!$C$4:$G991,5,FALSE))</f>
        <v/>
      </c>
      <c r="AG455" t="str">
        <f ca="1">IFERROR(__xludf.DUMMYFUNCTION("""COMPUTED_VALUE"""),"AMCA Mech Assy")</f>
        <v>AMCA Mech Assy</v>
      </c>
      <c r="AH455" t="str">
        <f ca="1">IFERROR(__xludf.DUMMYFUNCTION("""COMPUTED_VALUE"""),"Water tank with clamp")</f>
        <v>Water tank with clamp</v>
      </c>
      <c r="AI455">
        <f ca="1">IFERROR(__xludf.DUMMYFUNCTION("""COMPUTED_VALUE"""),1)</f>
        <v>1</v>
      </c>
      <c r="AJ455" t="str">
        <f ca="1">IFERROR(__xludf.DUMMYFUNCTION("""COMPUTED_VALUE"""),"blank")</f>
        <v>blank</v>
      </c>
      <c r="AK455" t="e">
        <f ca="1">_xludf.IFNA(VLOOKUP(AG455,'S-FG'!$B$3:$B1001,1,FALSE),"")</f>
        <v>#NAME?</v>
      </c>
      <c r="AL455" t="e">
        <f ca="1">IF(AH455="","",SUMIFS(#REF!,RM!$C$4:$C991,AH455))</f>
        <v>#REF!</v>
      </c>
    </row>
    <row r="456" spans="5:38">
      <c r="E456" t="str">
        <f>IF(A456="","",SUMIFS(Issue!$D$3:$D1001,Issue!$C$3:$C1001,A456)*C456)</f>
        <v/>
      </c>
      <c r="F456" t="e">
        <f ca="1">_xludf.IFNA(VLOOKUP(B456,'S-FG'!$B$3:$B1001,1,FALSE),"")</f>
        <v>#NAME?</v>
      </c>
      <c r="H456" t="str">
        <f ca="1">IFERROR(__xludf.DUMMYFUNCTION("""COMPUTED_VALUE"""),"STBD Aft Plate Assy")</f>
        <v>STBD Aft Plate Assy</v>
      </c>
      <c r="I456" t="str">
        <f ca="1">IFERROR(__xludf.DUMMYFUNCTION("""COMPUTED_VALUE"""),"M8 Slim Locknut")</f>
        <v>M8 Slim Locknut</v>
      </c>
      <c r="J456">
        <f ca="1">IFERROR(__xludf.DUMMYFUNCTION("""COMPUTED_VALUE"""),3)</f>
        <v>3</v>
      </c>
      <c r="K456" t="str">
        <f ca="1">IFERROR(__xludf.DUMMYFUNCTION("""COMPUTED_VALUE"""),"blank")</f>
        <v>blank</v>
      </c>
      <c r="L456">
        <f t="shared" ca="1" si="4"/>
        <v>0</v>
      </c>
      <c r="Q456" t="str">
        <f>IF(N456="","",SUMIFS(Issue!$D$3:$D1001,Issue!$C$3:$C1001,N456))</f>
        <v/>
      </c>
      <c r="S456" t="str">
        <f ca="1">IFERROR(__xludf.DUMMYFUNCTION("""COMPUTED_VALUE"""),"Greasing nozzle")</f>
        <v>Greasing nozzle</v>
      </c>
      <c r="Y456" t="str">
        <f t="shared" si="5"/>
        <v/>
      </c>
      <c r="Z456" t="str">
        <f>IF(X456="","",SUMIFS(#REF!,RM!$C$4:$C991,X456))</f>
        <v/>
      </c>
      <c r="AA456" t="str">
        <f>IF(X456="","",SUMIFS(#REF!,RM!$C$4:$C991,X456))</f>
        <v/>
      </c>
      <c r="AB456" t="e">
        <f t="shared" si="6"/>
        <v>#VALUE!</v>
      </c>
      <c r="AC456" t="str">
        <f>IF(X456="","",VLOOKUP($X456,RM!$C$4:$G991,3,FALSE))</f>
        <v/>
      </c>
      <c r="AD456" t="str">
        <f>IF(X456="","",VLOOKUP($X456,RM!$C$4:$G991,4,FALSE))</f>
        <v/>
      </c>
      <c r="AE456" t="str">
        <f>IF(X456="","",VLOOKUP($X456,RM!$C$4:$G991,5,FALSE))</f>
        <v/>
      </c>
      <c r="AG456" t="str">
        <f ca="1">IFERROR(__xludf.DUMMYFUNCTION("""COMPUTED_VALUE"""),"AMCA Mech Assy")</f>
        <v>AMCA Mech Assy</v>
      </c>
      <c r="AH456" t="str">
        <f ca="1">IFERROR(__xludf.DUMMYFUNCTION("""COMPUTED_VALUE"""),"M5x10 Allen / M5x12")</f>
        <v>M5x10 Allen / M5x12</v>
      </c>
      <c r="AI456">
        <f ca="1">IFERROR(__xludf.DUMMYFUNCTION("""COMPUTED_VALUE"""),10)</f>
        <v>10</v>
      </c>
      <c r="AJ456" t="str">
        <f ca="1">IFERROR(__xludf.DUMMYFUNCTION("""COMPUTED_VALUE"""),"blank")</f>
        <v>blank</v>
      </c>
      <c r="AK456" t="e">
        <f ca="1">_xludf.IFNA(VLOOKUP(AG456,'S-FG'!$B$3:$B1001,1,FALSE),"")</f>
        <v>#NAME?</v>
      </c>
      <c r="AL456" t="e">
        <f ca="1">IF(AH456="","",SUMIFS(#REF!,RM!$C$4:$C991,AH456))</f>
        <v>#REF!</v>
      </c>
    </row>
    <row r="457" spans="5:38">
      <c r="E457" t="str">
        <f>IF(A457="","",SUMIFS(Issue!$D$3:$D1001,Issue!$C$3:$C1001,A457)*C457)</f>
        <v/>
      </c>
      <c r="F457" t="e">
        <f ca="1">_xludf.IFNA(VLOOKUP(B457,'S-FG'!$B$3:$B1001,1,FALSE),"")</f>
        <v>#NAME?</v>
      </c>
      <c r="H457" t="str">
        <f ca="1">IFERROR(__xludf.DUMMYFUNCTION("""COMPUTED_VALUE"""),"PORT Aft Plate Assy")</f>
        <v>PORT Aft Plate Assy</v>
      </c>
      <c r="I457" t="str">
        <f ca="1">IFERROR(__xludf.DUMMYFUNCTION("""COMPUTED_VALUE"""),"PORT Aft Plate")</f>
        <v>PORT Aft Plate</v>
      </c>
      <c r="J457">
        <f ca="1">IFERROR(__xludf.DUMMYFUNCTION("""COMPUTED_VALUE"""),1)</f>
        <v>1</v>
      </c>
      <c r="K457" t="str">
        <f ca="1">IFERROR(__xludf.DUMMYFUNCTION("""COMPUTED_VALUE"""),"blank")</f>
        <v>blank</v>
      </c>
      <c r="L457">
        <f t="shared" ca="1" si="4"/>
        <v>0</v>
      </c>
      <c r="Q457" t="str">
        <f>IF(N457="","",SUMIFS(Issue!$D$3:$D1001,Issue!$C$3:$C1001,N457))</f>
        <v/>
      </c>
      <c r="S457" t="str">
        <f ca="1">IFERROR(__xludf.DUMMYFUNCTION("""COMPUTED_VALUE"""),"M8 Slim Locknut")</f>
        <v>M8 Slim Locknut</v>
      </c>
      <c r="Y457" t="str">
        <f t="shared" si="5"/>
        <v/>
      </c>
      <c r="Z457" t="str">
        <f>IF(X457="","",SUMIFS(#REF!,RM!$C$4:$C991,X457))</f>
        <v/>
      </c>
      <c r="AA457" t="str">
        <f>IF(X457="","",SUMIFS(#REF!,RM!$C$4:$C991,X457))</f>
        <v/>
      </c>
      <c r="AB457" t="e">
        <f t="shared" si="6"/>
        <v>#VALUE!</v>
      </c>
      <c r="AC457" t="str">
        <f>IF(X457="","",VLOOKUP($X457,RM!$C$4:$G991,3,FALSE))</f>
        <v/>
      </c>
      <c r="AD457" t="str">
        <f>IF(X457="","",VLOOKUP($X457,RM!$C$4:$G991,4,FALSE))</f>
        <v/>
      </c>
      <c r="AE457" t="str">
        <f>IF(X457="","",VLOOKUP($X457,RM!$C$4:$G991,5,FALSE))</f>
        <v/>
      </c>
      <c r="AG457" t="str">
        <f ca="1">IFERROR(__xludf.DUMMYFUNCTION("""COMPUTED_VALUE"""),"AMCA Mech Assy")</f>
        <v>AMCA Mech Assy</v>
      </c>
      <c r="AH457" t="str">
        <f ca="1">IFERROR(__xludf.DUMMYFUNCTION("""COMPUTED_VALUE"""),"M4x12 Allen Head")</f>
        <v>M4x12 Allen Head</v>
      </c>
      <c r="AI457">
        <f ca="1">IFERROR(__xludf.DUMMYFUNCTION("""COMPUTED_VALUE"""),4)</f>
        <v>4</v>
      </c>
      <c r="AJ457" t="str">
        <f ca="1">IFERROR(__xludf.DUMMYFUNCTION("""COMPUTED_VALUE"""),"blank")</f>
        <v>blank</v>
      </c>
      <c r="AK457" t="e">
        <f ca="1">_xludf.IFNA(VLOOKUP(AG457,'S-FG'!$B$3:$B1001,1,FALSE),"")</f>
        <v>#NAME?</v>
      </c>
      <c r="AL457" t="e">
        <f ca="1">IF(AH457="","",SUMIFS(#REF!,RM!$C$4:$C991,AH457))</f>
        <v>#REF!</v>
      </c>
    </row>
    <row r="458" spans="5:38">
      <c r="E458" t="str">
        <f>IF(A458="","",SUMIFS(Issue!$D$3:$D1001,Issue!$C$3:$C1001,A458)*C458)</f>
        <v/>
      </c>
      <c r="F458" t="e">
        <f ca="1">_xludf.IFNA(VLOOKUP(B458,'S-FG'!$B$3:$B1001,1,FALSE),"")</f>
        <v>#NAME?</v>
      </c>
      <c r="H458" t="str">
        <f ca="1">IFERROR(__xludf.DUMMYFUNCTION("""COMPUTED_VALUE"""),"PORT Aft Plate Assy")</f>
        <v>PORT Aft Plate Assy</v>
      </c>
      <c r="I458" t="str">
        <f ca="1">IFERROR(__xludf.DUMMYFUNCTION("""COMPUTED_VALUE"""),"SS Cooling Water Inlet nozzle")</f>
        <v>SS Cooling Water Inlet nozzle</v>
      </c>
      <c r="J458">
        <f ca="1">IFERROR(__xludf.DUMMYFUNCTION("""COMPUTED_VALUE"""),1)</f>
        <v>1</v>
      </c>
      <c r="L458">
        <f t="shared" ca="1" si="4"/>
        <v>0</v>
      </c>
      <c r="Q458" t="str">
        <f>IF(N458="","",SUMIFS(Issue!$D$3:$D1001,Issue!$C$3:$C1001,N458))</f>
        <v/>
      </c>
      <c r="S458" t="str">
        <f ca="1">IFERROR(__xludf.DUMMYFUNCTION("""COMPUTED_VALUE"""),"PORT Aft Plate")</f>
        <v>PORT Aft Plate</v>
      </c>
      <c r="Y458" t="str">
        <f t="shared" si="5"/>
        <v/>
      </c>
      <c r="Z458" t="str">
        <f>IF(X458="","",SUMIFS(#REF!,RM!$C$4:$C991,X458))</f>
        <v/>
      </c>
      <c r="AA458" t="str">
        <f>IF(X458="","",SUMIFS(#REF!,RM!$C$4:$C991,X458))</f>
        <v/>
      </c>
      <c r="AB458" t="e">
        <f t="shared" si="6"/>
        <v>#VALUE!</v>
      </c>
      <c r="AC458" t="str">
        <f>IF(X458="","",VLOOKUP($X458,RM!$C$4:$G991,3,FALSE))</f>
        <v/>
      </c>
      <c r="AD458" t="str">
        <f>IF(X458="","",VLOOKUP($X458,RM!$C$4:$G991,4,FALSE))</f>
        <v/>
      </c>
      <c r="AE458" t="str">
        <f>IF(X458="","",VLOOKUP($X458,RM!$C$4:$G991,5,FALSE))</f>
        <v/>
      </c>
      <c r="AG458" t="str">
        <f ca="1">IFERROR(__xludf.DUMMYFUNCTION("""COMPUTED_VALUE"""),"AMCA Mech Assy")</f>
        <v>AMCA Mech Assy</v>
      </c>
      <c r="AH458" t="str">
        <f ca="1">IFERROR(__xludf.DUMMYFUNCTION("""COMPUTED_VALUE"""),"M4x16 Allen Head")</f>
        <v>M4x16 Allen Head</v>
      </c>
      <c r="AI458">
        <f ca="1">IFERROR(__xludf.DUMMYFUNCTION("""COMPUTED_VALUE"""),6)</f>
        <v>6</v>
      </c>
      <c r="AJ458" t="str">
        <f ca="1">IFERROR(__xludf.DUMMYFUNCTION("""COMPUTED_VALUE"""),"blank")</f>
        <v>blank</v>
      </c>
      <c r="AK458" t="e">
        <f ca="1">_xludf.IFNA(VLOOKUP(AG458,'S-FG'!$B$3:$B1001,1,FALSE),"")</f>
        <v>#NAME?</v>
      </c>
      <c r="AL458" t="e">
        <f ca="1">IF(AH458="","",SUMIFS(#REF!,RM!$C$4:$C991,AH458))</f>
        <v>#REF!</v>
      </c>
    </row>
    <row r="459" spans="5:38">
      <c r="E459" t="str">
        <f>IF(A459="","",SUMIFS(Issue!$D$3:$D1001,Issue!$C$3:$C1001,A459)*C459)</f>
        <v/>
      </c>
      <c r="F459" t="e">
        <f ca="1">_xludf.IFNA(VLOOKUP(B459,'S-FG'!$B$3:$B1001,1,FALSE),"")</f>
        <v>#NAME?</v>
      </c>
      <c r="H459" t="str">
        <f ca="1">IFERROR(__xludf.DUMMYFUNCTION("""COMPUTED_VALUE"""),"PORT Aft Plate Assy")</f>
        <v>PORT Aft Plate Assy</v>
      </c>
      <c r="I459" t="str">
        <f ca="1">IFERROR(__xludf.DUMMYFUNCTION("""COMPUTED_VALUE"""),"SS Cooling Water Outlet nozzle")</f>
        <v>SS Cooling Water Outlet nozzle</v>
      </c>
      <c r="J459">
        <f ca="1">IFERROR(__xludf.DUMMYFUNCTION("""COMPUTED_VALUE"""),1)</f>
        <v>1</v>
      </c>
      <c r="L459">
        <f t="shared" ca="1" si="4"/>
        <v>0</v>
      </c>
      <c r="Q459" t="str">
        <f>IF(N459="","",SUMIFS(Issue!$D$3:$D1001,Issue!$C$3:$C1001,N459))</f>
        <v/>
      </c>
      <c r="S459" t="str">
        <f ca="1">IFERROR(__xludf.DUMMYFUNCTION("""COMPUTED_VALUE"""),"SS Cooling Water Inlet nozzle")</f>
        <v>SS Cooling Water Inlet nozzle</v>
      </c>
      <c r="Y459" t="str">
        <f t="shared" si="5"/>
        <v/>
      </c>
      <c r="Z459" t="str">
        <f>IF(X459="","",SUMIFS(#REF!,RM!$C$4:$C991,X459))</f>
        <v/>
      </c>
      <c r="AA459" t="str">
        <f>IF(X459="","",SUMIFS(#REF!,RM!$C$4:$C991,X459))</f>
        <v/>
      </c>
      <c r="AB459" t="e">
        <f t="shared" si="6"/>
        <v>#VALUE!</v>
      </c>
      <c r="AC459" t="str">
        <f>IF(X459="","",VLOOKUP($X459,RM!$C$4:$G991,3,FALSE))</f>
        <v/>
      </c>
      <c r="AD459" t="str">
        <f>IF(X459="","",VLOOKUP($X459,RM!$C$4:$G991,4,FALSE))</f>
        <v/>
      </c>
      <c r="AE459" t="str">
        <f>IF(X459="","",VLOOKUP($X459,RM!$C$4:$G991,5,FALSE))</f>
        <v/>
      </c>
      <c r="AG459" t="str">
        <f ca="1">IFERROR(__xludf.DUMMYFUNCTION("""COMPUTED_VALUE"""),"AMCA Mech Assy")</f>
        <v>AMCA Mech Assy</v>
      </c>
      <c r="AH459" t="str">
        <f ca="1">IFERROR(__xludf.DUMMYFUNCTION("""COMPUTED_VALUE"""),"M4 Nyloc")</f>
        <v>M4 Nyloc</v>
      </c>
      <c r="AI459">
        <f ca="1">IFERROR(__xludf.DUMMYFUNCTION("""COMPUTED_VALUE"""),10)</f>
        <v>10</v>
      </c>
      <c r="AJ459" t="str">
        <f ca="1">IFERROR(__xludf.DUMMYFUNCTION("""COMPUTED_VALUE"""),"blank")</f>
        <v>blank</v>
      </c>
      <c r="AK459" t="e">
        <f ca="1">_xludf.IFNA(VLOOKUP(AG459,'S-FG'!$B$3:$B1001,1,FALSE),"")</f>
        <v>#NAME?</v>
      </c>
      <c r="AL459" t="e">
        <f ca="1">IF(AH459="","",SUMIFS(#REF!,RM!$C$4:$C991,AH459))</f>
        <v>#REF!</v>
      </c>
    </row>
    <row r="460" spans="5:38">
      <c r="E460" t="str">
        <f>IF(A460="","",SUMIFS(Issue!$D$3:$D1001,Issue!$C$3:$C1001,A460)*C460)</f>
        <v/>
      </c>
      <c r="F460" t="e">
        <f ca="1">_xludf.IFNA(VLOOKUP(B460,'S-FG'!$B$3:$B1001,1,FALSE),"")</f>
        <v>#NAME?</v>
      </c>
      <c r="H460" t="str">
        <f ca="1">IFERROR(__xludf.DUMMYFUNCTION("""COMPUTED_VALUE"""),"PORT Aft Plate Assy")</f>
        <v>PORT Aft Plate Assy</v>
      </c>
      <c r="I460" t="str">
        <f ca="1">IFERROR(__xludf.DUMMYFUNCTION("""COMPUTED_VALUE"""),"Greasing nozzle")</f>
        <v>Greasing nozzle</v>
      </c>
      <c r="J460">
        <f ca="1">IFERROR(__xludf.DUMMYFUNCTION("""COMPUTED_VALUE"""),1)</f>
        <v>1</v>
      </c>
      <c r="L460">
        <f t="shared" ca="1" si="4"/>
        <v>0</v>
      </c>
      <c r="Q460" t="str">
        <f>IF(N460="","",SUMIFS(Issue!$D$3:$D1001,Issue!$C$3:$C1001,N460))</f>
        <v/>
      </c>
      <c r="S460" t="str">
        <f ca="1">IFERROR(__xludf.DUMMYFUNCTION("""COMPUTED_VALUE"""),"SS Cooling Water Outlet nozzle")</f>
        <v>SS Cooling Water Outlet nozzle</v>
      </c>
      <c r="Y460" t="str">
        <f t="shared" si="5"/>
        <v/>
      </c>
      <c r="Z460" t="str">
        <f>IF(X460="","",SUMIFS(#REF!,RM!$C$4:$C991,X460))</f>
        <v/>
      </c>
      <c r="AA460" t="str">
        <f>IF(X460="","",SUMIFS(#REF!,RM!$C$4:$C991,X460))</f>
        <v/>
      </c>
      <c r="AB460" t="e">
        <f t="shared" si="6"/>
        <v>#VALUE!</v>
      </c>
      <c r="AC460" t="str">
        <f>IF(X460="","",VLOOKUP($X460,RM!$C$4:$G991,3,FALSE))</f>
        <v/>
      </c>
      <c r="AD460" t="str">
        <f>IF(X460="","",VLOOKUP($X460,RM!$C$4:$G991,4,FALSE))</f>
        <v/>
      </c>
      <c r="AE460" t="str">
        <f>IF(X460="","",VLOOKUP($X460,RM!$C$4:$G991,5,FALSE))</f>
        <v/>
      </c>
      <c r="AG460" t="str">
        <f ca="1">IFERROR(__xludf.DUMMYFUNCTION("""COMPUTED_VALUE"""),"AMCA Mech Assy")</f>
        <v>AMCA Mech Assy</v>
      </c>
      <c r="AH460" t="str">
        <f ca="1">IFERROR(__xludf.DUMMYFUNCTION("""COMPUTED_VALUE"""),"M4 Spring washer")</f>
        <v>M4 Spring washer</v>
      </c>
      <c r="AI460">
        <f ca="1">IFERROR(__xludf.DUMMYFUNCTION("""COMPUTED_VALUE"""),10)</f>
        <v>10</v>
      </c>
      <c r="AJ460" t="str">
        <f ca="1">IFERROR(__xludf.DUMMYFUNCTION("""COMPUTED_VALUE"""),"blank")</f>
        <v>blank</v>
      </c>
      <c r="AK460" t="e">
        <f ca="1">_xludf.IFNA(VLOOKUP(AG460,'S-FG'!$B$3:$B1001,1,FALSE),"")</f>
        <v>#NAME?</v>
      </c>
      <c r="AL460" t="e">
        <f ca="1">IF(AH460="","",SUMIFS(#REF!,RM!$C$4:$C991,AH460))</f>
        <v>#REF!</v>
      </c>
    </row>
    <row r="461" spans="5:38">
      <c r="E461" t="str">
        <f>IF(A461="","",SUMIFS(Issue!$D$3:$D1001,Issue!$C$3:$C1001,A461)*C461)</f>
        <v/>
      </c>
      <c r="F461" t="e">
        <f ca="1">_xludf.IFNA(VLOOKUP(B461,'S-FG'!$B$3:$B1001,1,FALSE),"")</f>
        <v>#NAME?</v>
      </c>
      <c r="H461" t="str">
        <f ca="1">IFERROR(__xludf.DUMMYFUNCTION("""COMPUTED_VALUE"""),"PORT Aft Plate Assy")</f>
        <v>PORT Aft Plate Assy</v>
      </c>
      <c r="I461" t="str">
        <f ca="1">IFERROR(__xludf.DUMMYFUNCTION("""COMPUTED_VALUE"""),"Air nozzle")</f>
        <v>Air nozzle</v>
      </c>
      <c r="J461">
        <f ca="1">IFERROR(__xludf.DUMMYFUNCTION("""COMPUTED_VALUE"""),1)</f>
        <v>1</v>
      </c>
      <c r="K461" t="str">
        <f ca="1">IFERROR(__xludf.DUMMYFUNCTION("""COMPUTED_VALUE"""),"blank")</f>
        <v>blank</v>
      </c>
      <c r="L461">
        <f t="shared" ca="1" si="4"/>
        <v>0</v>
      </c>
      <c r="Q461" t="str">
        <f>IF(N461="","",SUMIFS(Issue!$D$3:$D1001,Issue!$C$3:$C1001,N461))</f>
        <v/>
      </c>
      <c r="S461" t="str">
        <f ca="1">IFERROR(__xludf.DUMMYFUNCTION("""COMPUTED_VALUE"""),"Greasing nozzle")</f>
        <v>Greasing nozzle</v>
      </c>
      <c r="Y461" t="str">
        <f t="shared" si="5"/>
        <v/>
      </c>
      <c r="Z461" t="str">
        <f>IF(X461="","",SUMIFS(#REF!,RM!$C$4:$C991,X461))</f>
        <v/>
      </c>
      <c r="AA461" t="str">
        <f>IF(X461="","",SUMIFS(#REF!,RM!$C$4:$C991,X461))</f>
        <v/>
      </c>
      <c r="AB461" t="e">
        <f t="shared" si="6"/>
        <v>#VALUE!</v>
      </c>
      <c r="AC461" t="str">
        <f>IF(X461="","",VLOOKUP($X461,RM!$C$4:$G991,3,FALSE))</f>
        <v/>
      </c>
      <c r="AD461" t="str">
        <f>IF(X461="","",VLOOKUP($X461,RM!$C$4:$G991,4,FALSE))</f>
        <v/>
      </c>
      <c r="AE461" t="str">
        <f>IF(X461="","",VLOOKUP($X461,RM!$C$4:$G991,5,FALSE))</f>
        <v/>
      </c>
      <c r="AG461" t="str">
        <f ca="1">IFERROR(__xludf.DUMMYFUNCTION("""COMPUTED_VALUE"""),"AMCA Mech Assy")</f>
        <v>AMCA Mech Assy</v>
      </c>
      <c r="AH461" t="str">
        <f ca="1">IFERROR(__xludf.DUMMYFUNCTION("""COMPUTED_VALUE"""),"M4x12 plain washer")</f>
        <v>M4x12 plain washer</v>
      </c>
      <c r="AI461">
        <f ca="1">IFERROR(__xludf.DUMMYFUNCTION("""COMPUTED_VALUE"""),14)</f>
        <v>14</v>
      </c>
      <c r="AJ461" t="str">
        <f ca="1">IFERROR(__xludf.DUMMYFUNCTION("""COMPUTED_VALUE"""),"blank")</f>
        <v>blank</v>
      </c>
      <c r="AK461" t="e">
        <f ca="1">_xludf.IFNA(VLOOKUP(AG461,'S-FG'!$B$3:$B1001,1,FALSE),"")</f>
        <v>#NAME?</v>
      </c>
      <c r="AL461" t="e">
        <f ca="1">IF(AH461="","",SUMIFS(#REF!,RM!$C$4:$C991,AH461))</f>
        <v>#REF!</v>
      </c>
    </row>
    <row r="462" spans="5:38">
      <c r="E462" t="str">
        <f>IF(A462="","",SUMIFS(Issue!$D$3:$D1001,Issue!$C$3:$C1001,A462)*C462)</f>
        <v/>
      </c>
      <c r="F462" t="e">
        <f ca="1">_xludf.IFNA(VLOOKUP(B462,'S-FG'!$B$3:$B1001,1,FALSE),"")</f>
        <v>#NAME?</v>
      </c>
      <c r="H462" t="str">
        <f ca="1">IFERROR(__xludf.DUMMYFUNCTION("""COMPUTED_VALUE"""),"PORT Aft Plate Assy")</f>
        <v>PORT Aft Plate Assy</v>
      </c>
      <c r="I462" t="str">
        <f ca="1">IFERROR(__xludf.DUMMYFUNCTION("""COMPUTED_VALUE"""),"M8 Slim Locknut")</f>
        <v>M8 Slim Locknut</v>
      </c>
      <c r="J462">
        <f ca="1">IFERROR(__xludf.DUMMYFUNCTION("""COMPUTED_VALUE"""),3)</f>
        <v>3</v>
      </c>
      <c r="K462" t="str">
        <f ca="1">IFERROR(__xludf.DUMMYFUNCTION("""COMPUTED_VALUE"""),"blank")</f>
        <v>blank</v>
      </c>
      <c r="L462">
        <f t="shared" ca="1" si="4"/>
        <v>0</v>
      </c>
      <c r="Q462" t="str">
        <f>IF(N462="","",SUMIFS(Issue!$D$3:$D1001,Issue!$C$3:$C1001,N462))</f>
        <v/>
      </c>
      <c r="S462" t="str">
        <f ca="1">IFERROR(__xludf.DUMMYFUNCTION("""COMPUTED_VALUE"""),"Air nozzle")</f>
        <v>Air nozzle</v>
      </c>
      <c r="Y462" t="str">
        <f t="shared" si="5"/>
        <v/>
      </c>
      <c r="Z462" t="str">
        <f>IF(X462="","",SUMIFS(#REF!,RM!$C$4:$C991,X462))</f>
        <v/>
      </c>
      <c r="AA462" t="str">
        <f>IF(X462="","",SUMIFS(#REF!,RM!$C$4:$C991,X462))</f>
        <v/>
      </c>
      <c r="AB462" t="e">
        <f t="shared" si="6"/>
        <v>#VALUE!</v>
      </c>
      <c r="AC462" t="str">
        <f>IF(X462="","",VLOOKUP($X462,RM!$C$4:$G991,3,FALSE))</f>
        <v/>
      </c>
      <c r="AD462" t="str">
        <f>IF(X462="","",VLOOKUP($X462,RM!$C$4:$G991,4,FALSE))</f>
        <v/>
      </c>
      <c r="AE462" t="str">
        <f>IF(X462="","",VLOOKUP($X462,RM!$C$4:$G991,5,FALSE))</f>
        <v/>
      </c>
      <c r="AG462" t="str">
        <f ca="1">IFERROR(__xludf.DUMMYFUNCTION("""COMPUTED_VALUE"""),"AMCA Mech Assy")</f>
        <v>AMCA Mech Assy</v>
      </c>
      <c r="AH462" t="str">
        <f ca="1">IFERROR(__xludf.DUMMYFUNCTION("""COMPUTED_VALUE"""),"Brass nozzle for water outlet from JCB")</f>
        <v>Brass nozzle for water outlet from JCB</v>
      </c>
      <c r="AI462">
        <f ca="1">IFERROR(__xludf.DUMMYFUNCTION("""COMPUTED_VALUE"""),1)</f>
        <v>1</v>
      </c>
      <c r="AK462" t="e">
        <f ca="1">_xludf.IFNA(VLOOKUP(AG462,'S-FG'!$B$3:$B1001,1,FALSE),"")</f>
        <v>#NAME?</v>
      </c>
      <c r="AL462" t="e">
        <f ca="1">IF(AH462="","",SUMIFS(#REF!,RM!$C$4:$C991,AH462))</f>
        <v>#REF!</v>
      </c>
    </row>
    <row r="463" spans="5:38">
      <c r="E463" t="str">
        <f>IF(A463="","",SUMIFS(Issue!$D$3:$D1001,Issue!$C$3:$C1001,A463)*C463)</f>
        <v/>
      </c>
      <c r="F463" t="e">
        <f ca="1">_xludf.IFNA(VLOOKUP(B463,'S-FG'!$B$3:$B1001,1,FALSE),"")</f>
        <v>#NAME?</v>
      </c>
      <c r="H463" t="str">
        <f ca="1">IFERROR(__xludf.DUMMYFUNCTION("""COMPUTED_VALUE"""),"R9MX Adapter")</f>
        <v>R9MX Adapter</v>
      </c>
      <c r="I463" t="str">
        <f ca="1">IFERROR(__xludf.DUMMYFUNCTION("""COMPUTED_VALUE"""),"PWB of R9MX adapter")</f>
        <v>PWB of R9MX adapter</v>
      </c>
      <c r="J463">
        <f ca="1">IFERROR(__xludf.DUMMYFUNCTION("""COMPUTED_VALUE"""),1)</f>
        <v>1</v>
      </c>
      <c r="K463" t="str">
        <f ca="1">IFERROR(__xludf.DUMMYFUNCTION("""COMPUTED_VALUE"""),"blank")</f>
        <v>blank</v>
      </c>
      <c r="L463">
        <f t="shared" ca="1" si="4"/>
        <v>0</v>
      </c>
      <c r="Q463" t="str">
        <f>IF(N463="","",SUMIFS(Issue!$D$3:$D1001,Issue!$C$3:$C1001,N463))</f>
        <v/>
      </c>
      <c r="S463" t="str">
        <f ca="1">IFERROR(__xludf.DUMMYFUNCTION("""COMPUTED_VALUE"""),"M8 Slim Locknut")</f>
        <v>M8 Slim Locknut</v>
      </c>
      <c r="Y463" t="str">
        <f t="shared" si="5"/>
        <v/>
      </c>
      <c r="Z463" t="str">
        <f>IF(X463="","",SUMIFS(#REF!,RM!$C$4:$C991,X463))</f>
        <v/>
      </c>
      <c r="AA463" t="str">
        <f>IF(X463="","",SUMIFS(#REF!,RM!$C$4:$C991,X463))</f>
        <v/>
      </c>
      <c r="AB463" t="e">
        <f t="shared" si="6"/>
        <v>#VALUE!</v>
      </c>
      <c r="AC463" t="str">
        <f>IF(X463="","",VLOOKUP($X463,RM!$C$4:$G991,3,FALSE))</f>
        <v/>
      </c>
      <c r="AD463" t="str">
        <f>IF(X463="","",VLOOKUP($X463,RM!$C$4:$G991,4,FALSE))</f>
        <v/>
      </c>
      <c r="AE463" t="str">
        <f>IF(X463="","",VLOOKUP($X463,RM!$C$4:$G991,5,FALSE))</f>
        <v/>
      </c>
      <c r="AG463" t="str">
        <f ca="1">IFERROR(__xludf.DUMMYFUNCTION("""COMPUTED_VALUE"""),"AMCA Mech Assy")</f>
        <v>AMCA Mech Assy</v>
      </c>
      <c r="AH463" t="str">
        <f ca="1">IFERROR(__xludf.DUMMYFUNCTION("""COMPUTED_VALUE"""),"8 mm OD pneaumatic pipe")</f>
        <v>8 mm OD pneaumatic pipe</v>
      </c>
      <c r="AI463">
        <f ca="1">IFERROR(__xludf.DUMMYFUNCTION("""COMPUTED_VALUE"""),0.5)</f>
        <v>0.5</v>
      </c>
      <c r="AK463" t="e">
        <f ca="1">_xludf.IFNA(VLOOKUP(AG463,'S-FG'!$B$3:$B1001,1,FALSE),"")</f>
        <v>#NAME?</v>
      </c>
      <c r="AL463" t="e">
        <f ca="1">IF(AH463="","",SUMIFS(#REF!,RM!$C$4:$C991,AH463))</f>
        <v>#REF!</v>
      </c>
    </row>
    <row r="464" spans="5:38">
      <c r="E464" t="str">
        <f>IF(A464="","",SUMIFS(Issue!$D$3:$D1001,Issue!$C$3:$C1001,A464)*C464)</f>
        <v/>
      </c>
      <c r="F464" t="e">
        <f ca="1">_xludf.IFNA(VLOOKUP(B464,'S-FG'!$B$3:$B1001,1,FALSE),"")</f>
        <v>#NAME?</v>
      </c>
      <c r="H464" t="str">
        <f ca="1">IFERROR(__xludf.DUMMYFUNCTION("""COMPUTED_VALUE"""),"R9MX Adapter")</f>
        <v>R9MX Adapter</v>
      </c>
      <c r="I464" t="str">
        <f ca="1">IFERROR(__xludf.DUMMYFUNCTION("""COMPUTED_VALUE"""),"Female Bergstrip 40x1 2.0mm")</f>
        <v>Female Bergstrip 40x1 2.0mm</v>
      </c>
      <c r="J464">
        <f ca="1">IFERROR(__xludf.DUMMYFUNCTION("""COMPUTED_VALUE"""),0.25)</f>
        <v>0.25</v>
      </c>
      <c r="L464">
        <f t="shared" ca="1" si="4"/>
        <v>0</v>
      </c>
      <c r="Q464" t="str">
        <f>IF(N464="","",SUMIFS(Issue!$D$3:$D1001,Issue!$C$3:$C1001,N464))</f>
        <v/>
      </c>
      <c r="S464" t="str">
        <f ca="1">IFERROR(__xludf.DUMMYFUNCTION("""COMPUTED_VALUE"""),"PWB of R9MX adapter")</f>
        <v>PWB of R9MX adapter</v>
      </c>
      <c r="Y464" t="str">
        <f t="shared" si="5"/>
        <v/>
      </c>
      <c r="Z464" t="str">
        <f>IF(X464="","",SUMIFS(#REF!,RM!$C$4:$C991,X464))</f>
        <v/>
      </c>
      <c r="AA464" t="str">
        <f>IF(X464="","",SUMIFS(#REF!,RM!$C$4:$C991,X464))</f>
        <v/>
      </c>
      <c r="AB464" t="e">
        <f t="shared" si="6"/>
        <v>#VALUE!</v>
      </c>
      <c r="AC464" t="str">
        <f>IF(X464="","",VLOOKUP($X464,RM!$C$4:$G991,3,FALSE))</f>
        <v/>
      </c>
      <c r="AD464" t="str">
        <f>IF(X464="","",VLOOKUP($X464,RM!$C$4:$G991,4,FALSE))</f>
        <v/>
      </c>
      <c r="AE464" t="str">
        <f>IF(X464="","",VLOOKUP($X464,RM!$C$4:$G991,5,FALSE))</f>
        <v/>
      </c>
      <c r="AG464" t="str">
        <f ca="1">IFERROR(__xludf.DUMMYFUNCTION("""COMPUTED_VALUE"""),"AMCA Mech Assy")</f>
        <v>AMCA Mech Assy</v>
      </c>
      <c r="AH464" t="str">
        <f ca="1">IFERROR(__xludf.DUMMYFUNCTION("""COMPUTED_VALUE"""),"12 to 8 reducer with lock clips")</f>
        <v>12 to 8 reducer with lock clips</v>
      </c>
      <c r="AI464">
        <f ca="1">IFERROR(__xludf.DUMMYFUNCTION("""COMPUTED_VALUE"""),2)</f>
        <v>2</v>
      </c>
      <c r="AJ464" t="str">
        <f ca="1">IFERROR(__xludf.DUMMYFUNCTION("""COMPUTED_VALUE"""),"blank")</f>
        <v>blank</v>
      </c>
      <c r="AK464" t="e">
        <f ca="1">_xludf.IFNA(VLOOKUP(AG464,'S-FG'!$B$3:$B1001,1,FALSE),"")</f>
        <v>#NAME?</v>
      </c>
      <c r="AL464" t="e">
        <f ca="1">IF(AH464="","",SUMIFS(#REF!,RM!$C$4:$C991,AH464))</f>
        <v>#REF!</v>
      </c>
    </row>
    <row r="465" spans="5:38">
      <c r="E465" t="str">
        <f>IF(A465="","",SUMIFS(Issue!$D$3:$D1001,Issue!$C$3:$C1001,A465)*C465)</f>
        <v/>
      </c>
      <c r="F465" t="e">
        <f ca="1">_xludf.IFNA(VLOOKUP(B465,'S-FG'!$B$3:$B1001,1,FALSE),"")</f>
        <v>#NAME?</v>
      </c>
      <c r="H465" t="str">
        <f ca="1">IFERROR(__xludf.DUMMYFUNCTION("""COMPUTED_VALUE"""),"R9MX Adapter")</f>
        <v>R9MX Adapter</v>
      </c>
      <c r="I465" t="str">
        <f ca="1">IFERROR(__xludf.DUMMYFUNCTION("""COMPUTED_VALUE"""),"Male Bergstrip 40x1 2.0mm")</f>
        <v>Male Bergstrip 40x1 2.0mm</v>
      </c>
      <c r="J465">
        <f ca="1">IFERROR(__xludf.DUMMYFUNCTION("""COMPUTED_VALUE"""),0.25)</f>
        <v>0.25</v>
      </c>
      <c r="L465">
        <f t="shared" ca="1" si="4"/>
        <v>0</v>
      </c>
      <c r="Q465" t="str">
        <f>IF(N465="","",SUMIFS(Issue!$D$3:$D1001,Issue!$C$3:$C1001,N465))</f>
        <v/>
      </c>
      <c r="S465" t="str">
        <f ca="1">IFERROR(__xludf.DUMMYFUNCTION("""COMPUTED_VALUE"""),"Female Bergstrip 40x1 2.0mm")</f>
        <v>Female Bergstrip 40x1 2.0mm</v>
      </c>
      <c r="Y465" t="str">
        <f t="shared" si="5"/>
        <v/>
      </c>
      <c r="Z465" t="str">
        <f>IF(X465="","",SUMIFS(#REF!,RM!$C$4:$C991,X465))</f>
        <v/>
      </c>
      <c r="AA465" t="str">
        <f>IF(X465="","",SUMIFS(#REF!,RM!$C$4:$C991,X465))</f>
        <v/>
      </c>
      <c r="AB465" t="e">
        <f t="shared" si="6"/>
        <v>#VALUE!</v>
      </c>
      <c r="AC465" t="str">
        <f>IF(X465="","",VLOOKUP($X465,RM!$C$4:$G991,3,FALSE))</f>
        <v/>
      </c>
      <c r="AD465" t="str">
        <f>IF(X465="","",VLOOKUP($X465,RM!$C$4:$G991,4,FALSE))</f>
        <v/>
      </c>
      <c r="AE465" t="str">
        <f>IF(X465="","",VLOOKUP($X465,RM!$C$4:$G991,5,FALSE))</f>
        <v/>
      </c>
      <c r="AG465" t="str">
        <f ca="1">IFERROR(__xludf.DUMMYFUNCTION("""COMPUTED_VALUE"""),"AMCA Mech Assy")</f>
        <v>AMCA Mech Assy</v>
      </c>
      <c r="AH465" t="str">
        <f ca="1">IFERROR(__xludf.DUMMYFUNCTION("""COMPUTED_VALUE"""),"12mm OD pneumatic pipe")</f>
        <v>12mm OD pneumatic pipe</v>
      </c>
      <c r="AI465">
        <f ca="1">IFERROR(__xludf.DUMMYFUNCTION("""COMPUTED_VALUE"""),0.1)</f>
        <v>0.1</v>
      </c>
      <c r="AK465" t="e">
        <f ca="1">_xludf.IFNA(VLOOKUP(AG465,'S-FG'!$B$3:$B1001,1,FALSE),"")</f>
        <v>#NAME?</v>
      </c>
      <c r="AL465" t="e">
        <f ca="1">IF(AH465="","",SUMIFS(#REF!,RM!$C$4:$C991,AH465))</f>
        <v>#REF!</v>
      </c>
    </row>
    <row r="466" spans="5:38">
      <c r="E466" t="str">
        <f>IF(A466="","",SUMIFS(Issue!$D$3:$D1001,Issue!$C$3:$C1001,A466)*C466)</f>
        <v/>
      </c>
      <c r="F466" t="e">
        <f ca="1">_xludf.IFNA(VLOOKUP(B466,'S-FG'!$B$3:$B1001,1,FALSE),"")</f>
        <v>#NAME?</v>
      </c>
      <c r="H466" t="str">
        <f ca="1">IFERROR(__xludf.DUMMYFUNCTION("""COMPUTED_VALUE"""),"R9MX Adapter")</f>
        <v>R9MX Adapter</v>
      </c>
      <c r="I466" t="str">
        <f ca="1">IFERROR(__xludf.DUMMYFUNCTION("""COMPUTED_VALUE"""),"Lead wire 22AWG")</f>
        <v>Lead wire 22AWG</v>
      </c>
      <c r="J466">
        <f ca="1">IFERROR(__xludf.DUMMYFUNCTION("""COMPUTED_VALUE"""),2)</f>
        <v>2</v>
      </c>
      <c r="L466">
        <f t="shared" ca="1" si="4"/>
        <v>0</v>
      </c>
      <c r="Q466" t="str">
        <f>IF(N466="","",SUMIFS(Issue!$D$3:$D1001,Issue!$C$3:$C1001,N466))</f>
        <v/>
      </c>
      <c r="S466" t="str">
        <f ca="1">IFERROR(__xludf.DUMMYFUNCTION("""COMPUTED_VALUE"""),"Male Bergstrip 40x1 2.0mm")</f>
        <v>Male Bergstrip 40x1 2.0mm</v>
      </c>
      <c r="Y466" t="str">
        <f t="shared" si="5"/>
        <v/>
      </c>
      <c r="Z466" t="str">
        <f>IF(X466="","",SUMIFS(#REF!,RM!$C$4:$C991,X466))</f>
        <v/>
      </c>
      <c r="AA466" t="str">
        <f>IF(X466="","",SUMIFS(#REF!,RM!$C$4:$C991,X466))</f>
        <v/>
      </c>
      <c r="AB466" t="e">
        <f t="shared" si="6"/>
        <v>#VALUE!</v>
      </c>
      <c r="AC466" t="str">
        <f>IF(X466="","",VLOOKUP($X466,RM!$C$4:$G991,3,FALSE))</f>
        <v/>
      </c>
      <c r="AD466" t="str">
        <f>IF(X466="","",VLOOKUP($X466,RM!$C$4:$G991,4,FALSE))</f>
        <v/>
      </c>
      <c r="AE466" t="str">
        <f>IF(X466="","",VLOOKUP($X466,RM!$C$4:$G991,5,FALSE))</f>
        <v/>
      </c>
      <c r="AG466" t="str">
        <f ca="1">IFERROR(__xludf.DUMMYFUNCTION("""COMPUTED_VALUE"""),"AMCA Mech Assy")</f>
        <v>AMCA Mech Assy</v>
      </c>
      <c r="AH466" t="str">
        <f ca="1">IFERROR(__xludf.DUMMYFUNCTION("""COMPUTED_VALUE"""),"Silicon Hose 3mm x 6mm")</f>
        <v>Silicon Hose 3mm x 6mm</v>
      </c>
      <c r="AI466">
        <f ca="1">IFERROR(__xludf.DUMMYFUNCTION("""COMPUTED_VALUE"""),1)</f>
        <v>1</v>
      </c>
      <c r="AK466" t="e">
        <f ca="1">_xludf.IFNA(VLOOKUP(AG466,'S-FG'!$B$3:$B1001,1,FALSE),"")</f>
        <v>#NAME?</v>
      </c>
      <c r="AL466" t="e">
        <f ca="1">IF(AH466="","",SUMIFS(#REF!,RM!$C$4:$C991,AH466))</f>
        <v>#REF!</v>
      </c>
    </row>
    <row r="467" spans="5:38">
      <c r="E467" t="str">
        <f>IF(A467="","",SUMIFS(Issue!$D$3:$D1001,Issue!$C$3:$C1001,A467)*C467)</f>
        <v/>
      </c>
      <c r="F467" t="e">
        <f ca="1">_xludf.IFNA(VLOOKUP(B467,'S-FG'!$B$3:$B1001,1,FALSE),"")</f>
        <v>#NAME?</v>
      </c>
      <c r="H467" t="str">
        <f ca="1">IFERROR(__xludf.DUMMYFUNCTION("""COMPUTED_VALUE"""),"R9MX Adapter")</f>
        <v>R9MX Adapter</v>
      </c>
      <c r="I467" t="str">
        <f ca="1">IFERROR(__xludf.DUMMYFUNCTION("""COMPUTED_VALUE"""),"LM1117 5.0v")</f>
        <v>LM1117 5.0v</v>
      </c>
      <c r="J467">
        <f ca="1">IFERROR(__xludf.DUMMYFUNCTION("""COMPUTED_VALUE"""),1)</f>
        <v>1</v>
      </c>
      <c r="K467" t="str">
        <f ca="1">IFERROR(__xludf.DUMMYFUNCTION("""COMPUTED_VALUE"""),"blank")</f>
        <v>blank</v>
      </c>
      <c r="L467">
        <f t="shared" ca="1" si="4"/>
        <v>0</v>
      </c>
      <c r="Q467" t="str">
        <f>IF(N467="","",SUMIFS(Issue!$D$3:$D1001,Issue!$C$3:$C1001,N467))</f>
        <v/>
      </c>
      <c r="S467" t="str">
        <f ca="1">IFERROR(__xludf.DUMMYFUNCTION("""COMPUTED_VALUE"""),"Lead wire 22AWG")</f>
        <v>Lead wire 22AWG</v>
      </c>
      <c r="Y467" t="str">
        <f t="shared" si="5"/>
        <v/>
      </c>
      <c r="Z467" t="str">
        <f>IF(X467="","",SUMIFS(#REF!,RM!$C$4:$C991,X467))</f>
        <v/>
      </c>
      <c r="AA467" t="str">
        <f>IF(X467="","",SUMIFS(#REF!,RM!$C$4:$C991,X467))</f>
        <v/>
      </c>
      <c r="AB467" t="e">
        <f t="shared" si="6"/>
        <v>#VALUE!</v>
      </c>
      <c r="AC467" t="str">
        <f>IF(X467="","",VLOOKUP($X467,RM!$C$4:$G991,3,FALSE))</f>
        <v/>
      </c>
      <c r="AD467" t="str">
        <f>IF(X467="","",VLOOKUP($X467,RM!$C$4:$G991,4,FALSE))</f>
        <v/>
      </c>
      <c r="AE467" t="str">
        <f>IF(X467="","",VLOOKUP($X467,RM!$C$4:$G991,5,FALSE))</f>
        <v/>
      </c>
      <c r="AG467" t="str">
        <f ca="1">IFERROR(__xludf.DUMMYFUNCTION("""COMPUTED_VALUE"""),"Final Craft Assy")</f>
        <v>Final Craft Assy</v>
      </c>
      <c r="AH467" t="str">
        <f ca="1">IFERROR(__xludf.DUMMYFUNCTION("""COMPUTED_VALUE"""),"M4x20 Allen Head")</f>
        <v>M4x20 Allen Head</v>
      </c>
      <c r="AI467">
        <f ca="1">IFERROR(__xludf.DUMMYFUNCTION("""COMPUTED_VALUE"""),14)</f>
        <v>14</v>
      </c>
      <c r="AJ467" t="str">
        <f ca="1">IFERROR(__xludf.DUMMYFUNCTION("""COMPUTED_VALUE"""),"blank")</f>
        <v>blank</v>
      </c>
      <c r="AK467" t="e">
        <f ca="1">_xludf.IFNA(VLOOKUP(AG467,'S-FG'!$B$3:$B1001,1,FALSE),"")</f>
        <v>#NAME?</v>
      </c>
      <c r="AL467" t="e">
        <f ca="1">IF(AH467="","",SUMIFS(#REF!,RM!$C$4:$C991,AH467))</f>
        <v>#REF!</v>
      </c>
    </row>
    <row r="468" spans="5:38">
      <c r="E468" t="str">
        <f>IF(A468="","",SUMIFS(Issue!$D$3:$D1001,Issue!$C$3:$C1001,A468)*C468)</f>
        <v/>
      </c>
      <c r="F468" t="e">
        <f ca="1">_xludf.IFNA(VLOOKUP(B468,'S-FG'!$B$3:$B1001,1,FALSE),"")</f>
        <v>#NAME?</v>
      </c>
      <c r="H468" t="str">
        <f ca="1">IFERROR(__xludf.DUMMYFUNCTION("""COMPUTED_VALUE"""),"R9MX Adapter")</f>
        <v>R9MX Adapter</v>
      </c>
      <c r="I468" t="str">
        <f ca="1">IFERROR(__xludf.DUMMYFUNCTION("""COMPUTED_VALUE"""),"10uF 10v Tantalum Capacitor Case A")</f>
        <v>10uF 10v Tantalum Capacitor Case A</v>
      </c>
      <c r="J468">
        <f ca="1">IFERROR(__xludf.DUMMYFUNCTION("""COMPUTED_VALUE"""),1)</f>
        <v>1</v>
      </c>
      <c r="K468" t="str">
        <f ca="1">IFERROR(__xludf.DUMMYFUNCTION("""COMPUTED_VALUE"""),"T491A106K010AT")</f>
        <v>T491A106K010AT</v>
      </c>
      <c r="L468">
        <f t="shared" ca="1" si="4"/>
        <v>0</v>
      </c>
      <c r="Q468" t="str">
        <f>IF(N468="","",SUMIFS(Issue!$D$3:$D1001,Issue!$C$3:$C1001,N468))</f>
        <v/>
      </c>
      <c r="S468" t="str">
        <f ca="1">IFERROR(__xludf.DUMMYFUNCTION("""COMPUTED_VALUE"""),"LM1117 5.0v")</f>
        <v>LM1117 5.0v</v>
      </c>
      <c r="Y468" t="str">
        <f t="shared" si="5"/>
        <v/>
      </c>
      <c r="Z468" t="str">
        <f>IF(X468="","",SUMIFS(#REF!,RM!$C$4:$C991,X468))</f>
        <v/>
      </c>
      <c r="AA468" t="str">
        <f>IF(X468="","",SUMIFS(#REF!,RM!$C$4:$C991,X468))</f>
        <v/>
      </c>
      <c r="AB468" t="e">
        <f t="shared" si="6"/>
        <v>#VALUE!</v>
      </c>
      <c r="AC468" t="str">
        <f>IF(X468="","",VLOOKUP($X468,RM!$C$4:$G991,3,FALSE))</f>
        <v/>
      </c>
      <c r="AD468" t="str">
        <f>IF(X468="","",VLOOKUP($X468,RM!$C$4:$G991,4,FALSE))</f>
        <v/>
      </c>
      <c r="AE468" t="str">
        <f>IF(X468="","",VLOOKUP($X468,RM!$C$4:$G991,5,FALSE))</f>
        <v/>
      </c>
      <c r="AG468" t="str">
        <f ca="1">IFERROR(__xludf.DUMMYFUNCTION("""COMPUTED_VALUE"""),"Final Craft Assy")</f>
        <v>Final Craft Assy</v>
      </c>
      <c r="AH468" t="str">
        <f ca="1">IFERROR(__xludf.DUMMYFUNCTION("""COMPUTED_VALUE"""),"M5x10 Torx")</f>
        <v>M5x10 Torx</v>
      </c>
      <c r="AI468">
        <f ca="1">IFERROR(__xludf.DUMMYFUNCTION("""COMPUTED_VALUE"""),28)</f>
        <v>28</v>
      </c>
      <c r="AJ468" t="str">
        <f ca="1">IFERROR(__xludf.DUMMYFUNCTION("""COMPUTED_VALUE"""),"blank")</f>
        <v>blank</v>
      </c>
      <c r="AK468" t="e">
        <f ca="1">_xludf.IFNA(VLOOKUP(AG468,'S-FG'!$B$3:$B1001,1,FALSE),"")</f>
        <v>#NAME?</v>
      </c>
      <c r="AL468" t="e">
        <f ca="1">IF(AH468="","",SUMIFS(#REF!,RM!$C$4:$C991,AH468))</f>
        <v>#REF!</v>
      </c>
    </row>
    <row r="469" spans="5:38">
      <c r="E469" t="str">
        <f>IF(A469="","",SUMIFS(Issue!$D$3:$D1001,Issue!$C$3:$C1001,A469)*C469)</f>
        <v/>
      </c>
      <c r="F469" t="e">
        <f ca="1">_xludf.IFNA(VLOOKUP(B469,'S-FG'!$B$3:$B1001,1,FALSE),"")</f>
        <v>#NAME?</v>
      </c>
      <c r="H469" t="str">
        <f ca="1">IFERROR(__xludf.DUMMYFUNCTION("""COMPUTED_VALUE"""),"Final Packing")</f>
        <v>Final Packing</v>
      </c>
      <c r="I469" t="str">
        <f ca="1">IFERROR(__xludf.DUMMYFUNCTION("""COMPUTED_VALUE"""),"66 No. Box for chraging cable &amp; Tool box")</f>
        <v>66 No. Box for chraging cable &amp; Tool box</v>
      </c>
      <c r="J469">
        <f ca="1">IFERROR(__xludf.DUMMYFUNCTION("""COMPUTED_VALUE"""),1)</f>
        <v>1</v>
      </c>
      <c r="K469" t="str">
        <f ca="1">IFERROR(__xludf.DUMMYFUNCTION("""COMPUTED_VALUE"""),"blank")</f>
        <v>blank</v>
      </c>
      <c r="L469">
        <f t="shared" ca="1" si="4"/>
        <v>0</v>
      </c>
      <c r="Q469" t="str">
        <f>IF(N469="","",SUMIFS(Issue!$D$3:$D1001,Issue!$C$3:$C1001,N469))</f>
        <v/>
      </c>
      <c r="S469" t="str">
        <f ca="1">IFERROR(__xludf.DUMMYFUNCTION("""COMPUTED_VALUE"""),"10uF 10v Tantalum Capacitor Case A")</f>
        <v>10uF 10v Tantalum Capacitor Case A</v>
      </c>
      <c r="Y469" t="str">
        <f t="shared" si="5"/>
        <v/>
      </c>
      <c r="Z469" t="str">
        <f>IF(X469="","",SUMIFS(#REF!,RM!$C$4:$C991,X469))</f>
        <v/>
      </c>
      <c r="AA469" t="str">
        <f>IF(X469="","",SUMIFS(#REF!,RM!$C$4:$C991,X469))</f>
        <v/>
      </c>
      <c r="AB469" t="e">
        <f t="shared" si="6"/>
        <v>#VALUE!</v>
      </c>
      <c r="AC469" t="str">
        <f>IF(X469="","",VLOOKUP($X469,RM!$C$4:$G991,3,FALSE))</f>
        <v/>
      </c>
      <c r="AD469" t="str">
        <f>IF(X469="","",VLOOKUP($X469,RM!$C$4:$G991,4,FALSE))</f>
        <v/>
      </c>
      <c r="AE469" t="str">
        <f>IF(X469="","",VLOOKUP($X469,RM!$C$4:$G991,5,FALSE))</f>
        <v/>
      </c>
      <c r="AG469" t="str">
        <f ca="1">IFERROR(__xludf.DUMMYFUNCTION("""COMPUTED_VALUE"""),"Final Craft Assy")</f>
        <v>Final Craft Assy</v>
      </c>
      <c r="AH469" t="str">
        <f ca="1">IFERROR(__xludf.DUMMYFUNCTION("""COMPUTED_VALUE"""),"Teroson MS930")</f>
        <v>Teroson MS930</v>
      </c>
      <c r="AI469">
        <f ca="1">IFERROR(__xludf.DUMMYFUNCTION("""COMPUTED_VALUE"""),50)</f>
        <v>50</v>
      </c>
      <c r="AJ469" t="str">
        <f ca="1">IFERROR(__xludf.DUMMYFUNCTION("""COMPUTED_VALUE"""),"blank")</f>
        <v>blank</v>
      </c>
      <c r="AK469" t="e">
        <f ca="1">_xludf.IFNA(VLOOKUP(AG469,'S-FG'!$B$3:$B1001,1,FALSE),"")</f>
        <v>#NAME?</v>
      </c>
      <c r="AL469" t="e">
        <f ca="1">IF(AH469="","",SUMIFS(#REF!,RM!$C$4:$C991,AH469))</f>
        <v>#REF!</v>
      </c>
    </row>
    <row r="470" spans="5:38">
      <c r="E470" t="str">
        <f>IF(A470="","",SUMIFS(Issue!$D$3:$D1001,Issue!$C$3:$C1001,A470)*C470)</f>
        <v/>
      </c>
      <c r="F470" t="e">
        <f ca="1">_xludf.IFNA(VLOOKUP(B470,'S-FG'!$B$3:$B1001,1,FALSE),"")</f>
        <v>#NAME?</v>
      </c>
      <c r="H470" t="str">
        <f ca="1">IFERROR(__xludf.DUMMYFUNCTION("""COMPUTED_VALUE"""),"Final Packing")</f>
        <v>Final Packing</v>
      </c>
      <c r="I470" t="str">
        <f ca="1">IFERROR(__xludf.DUMMYFUNCTION("""COMPUTED_VALUE"""),"22 No. Box for SR structure screws")</f>
        <v>22 No. Box for SR structure screws</v>
      </c>
      <c r="J470">
        <f ca="1">IFERROR(__xludf.DUMMYFUNCTION("""COMPUTED_VALUE"""),1)</f>
        <v>1</v>
      </c>
      <c r="K470" t="str">
        <f ca="1">IFERROR(__xludf.DUMMYFUNCTION("""COMPUTED_VALUE"""),"                                                                                 ")</f>
        <v xml:space="preserve">                                                                                 </v>
      </c>
      <c r="L470">
        <f t="shared" ca="1" si="4"/>
        <v>0</v>
      </c>
      <c r="Q470" t="str">
        <f>IF(N470="","",SUMIFS(Issue!$D$3:$D1001,Issue!$C$3:$C1001,N470))</f>
        <v/>
      </c>
      <c r="S470" t="str">
        <f ca="1">IFERROR(__xludf.DUMMYFUNCTION("""COMPUTED_VALUE"""),"66 No. Box for chraging cable &amp; Tool box")</f>
        <v>66 No. Box for chraging cable &amp; Tool box</v>
      </c>
      <c r="Y470" t="str">
        <f t="shared" si="5"/>
        <v/>
      </c>
      <c r="Z470" t="str">
        <f>IF(X470="","",SUMIFS(#REF!,RM!$C$4:$C991,X470))</f>
        <v/>
      </c>
      <c r="AA470" t="str">
        <f>IF(X470="","",SUMIFS(#REF!,RM!$C$4:$C991,X470))</f>
        <v/>
      </c>
      <c r="AB470" t="e">
        <f t="shared" si="6"/>
        <v>#VALUE!</v>
      </c>
      <c r="AC470" t="str">
        <f>IF(X470="","",VLOOKUP($X470,RM!$C$4:$G991,3,FALSE))</f>
        <v/>
      </c>
      <c r="AD470" t="str">
        <f>IF(X470="","",VLOOKUP($X470,RM!$C$4:$G991,4,FALSE))</f>
        <v/>
      </c>
      <c r="AE470" t="str">
        <f>IF(X470="","",VLOOKUP($X470,RM!$C$4:$G991,5,FALSE))</f>
        <v/>
      </c>
      <c r="AG470" t="str">
        <f ca="1">IFERROR(__xludf.DUMMYFUNCTION("""COMPUTED_VALUE"""),"Final Craft Assy")</f>
        <v>Final Craft Assy</v>
      </c>
      <c r="AH470" t="str">
        <f ca="1">IFERROR(__xludf.DUMMYFUNCTION("""COMPUTED_VALUE"""),"Rope 8mm")</f>
        <v>Rope 8mm</v>
      </c>
      <c r="AI470">
        <f ca="1">IFERROR(__xludf.DUMMYFUNCTION("""COMPUTED_VALUE"""),4.5)</f>
        <v>4.5</v>
      </c>
      <c r="AJ470" t="str">
        <f ca="1">IFERROR(__xludf.DUMMYFUNCTION("""COMPUTED_VALUE"""),"blank")</f>
        <v>blank</v>
      </c>
      <c r="AK470" t="e">
        <f ca="1">_xludf.IFNA(VLOOKUP(AG470,'S-FG'!$B$3:$B1001,1,FALSE),"")</f>
        <v>#NAME?</v>
      </c>
      <c r="AL470" t="e">
        <f ca="1">IF(AH470="","",SUMIFS(#REF!,RM!$C$4:$C991,AH470))</f>
        <v>#REF!</v>
      </c>
    </row>
    <row r="471" spans="5:38">
      <c r="E471" t="str">
        <f>IF(A471="","",SUMIFS(Issue!$D$3:$D1001,Issue!$C$3:$C1001,A471)*C471)</f>
        <v/>
      </c>
      <c r="F471" t="e">
        <f ca="1">_xludf.IFNA(VLOOKUP(B471,'S-FG'!$B$3:$B1001,1,FALSE),"")</f>
        <v>#NAME?</v>
      </c>
      <c r="H471" t="str">
        <f ca="1">IFERROR(__xludf.DUMMYFUNCTION("""COMPUTED_VALUE"""),"Final Packing")</f>
        <v>Final Packing</v>
      </c>
      <c r="I471" t="str">
        <f ca="1">IFERROR(__xludf.DUMMYFUNCTION("""COMPUTED_VALUE"""),"10mm Nut Driver with 15mm Depth")</f>
        <v>10mm Nut Driver with 15mm Depth</v>
      </c>
      <c r="J471">
        <f ca="1">IFERROR(__xludf.DUMMYFUNCTION("""COMPUTED_VALUE"""),1)</f>
        <v>1</v>
      </c>
      <c r="K471" t="str">
        <f ca="1">IFERROR(__xludf.DUMMYFUNCTION("""COMPUTED_VALUE"""),"blank")</f>
        <v>blank</v>
      </c>
      <c r="L471">
        <f t="shared" ca="1" si="4"/>
        <v>0</v>
      </c>
      <c r="Q471" t="str">
        <f>IF(N471="","",SUMIFS(Issue!$D$3:$D1001,Issue!$C$3:$C1001,N471))</f>
        <v/>
      </c>
      <c r="S471" t="str">
        <f ca="1">IFERROR(__xludf.DUMMYFUNCTION("""COMPUTED_VALUE"""),"22 No. Box for SR structure screws")</f>
        <v>22 No. Box for SR structure screws</v>
      </c>
      <c r="Y471" t="str">
        <f t="shared" si="5"/>
        <v/>
      </c>
      <c r="Z471" t="str">
        <f>IF(X471="","",SUMIFS(#REF!,RM!$C$4:$C991,X471))</f>
        <v/>
      </c>
      <c r="AA471" t="str">
        <f>IF(X471="","",SUMIFS(#REF!,RM!$C$4:$C991,X471))</f>
        <v/>
      </c>
      <c r="AB471" t="e">
        <f t="shared" si="6"/>
        <v>#VALUE!</v>
      </c>
      <c r="AC471" t="str">
        <f>IF(X471="","",VLOOKUP($X471,RM!$C$4:$G991,3,FALSE))</f>
        <v/>
      </c>
      <c r="AD471" t="str">
        <f>IF(X471="","",VLOOKUP($X471,RM!$C$4:$G991,4,FALSE))</f>
        <v/>
      </c>
      <c r="AE471" t="str">
        <f>IF(X471="","",VLOOKUP($X471,RM!$C$4:$G991,5,FALSE))</f>
        <v/>
      </c>
      <c r="AG471" t="str">
        <f ca="1">IFERROR(__xludf.DUMMYFUNCTION("""COMPUTED_VALUE"""),"Final Craft Assy")</f>
        <v>Final Craft Assy</v>
      </c>
      <c r="AH471" t="str">
        <f ca="1">IFERROR(__xludf.DUMMYFUNCTION("""COMPUTED_VALUE"""),"Ferrole")</f>
        <v>Ferrole</v>
      </c>
      <c r="AI471">
        <f ca="1">IFERROR(__xludf.DUMMYFUNCTION("""COMPUTED_VALUE"""),1)</f>
        <v>1</v>
      </c>
      <c r="AJ471" t="str">
        <f ca="1">IFERROR(__xludf.DUMMYFUNCTION("""COMPUTED_VALUE"""),"blank")</f>
        <v>blank</v>
      </c>
      <c r="AK471" t="e">
        <f ca="1">_xludf.IFNA(VLOOKUP(AG471,'S-FG'!$B$3:$B1001,1,FALSE),"")</f>
        <v>#NAME?</v>
      </c>
      <c r="AL471" t="e">
        <f ca="1">IF(AH471="","",SUMIFS(#REF!,RM!$C$4:$C991,AH471))</f>
        <v>#REF!</v>
      </c>
    </row>
    <row r="472" spans="5:38">
      <c r="E472" t="str">
        <f>IF(A472="","",SUMIFS(Issue!$D$3:$D1001,Issue!$C$3:$C1001,A472)*C472)</f>
        <v/>
      </c>
      <c r="F472" t="e">
        <f ca="1">_xludf.IFNA(VLOOKUP(B472,'S-FG'!$B$3:$B1001,1,FALSE),"")</f>
        <v>#NAME?</v>
      </c>
      <c r="H472" t="str">
        <f ca="1">IFERROR(__xludf.DUMMYFUNCTION("""COMPUTED_VALUE"""),"Final Packing")</f>
        <v>Final Packing</v>
      </c>
      <c r="I472" t="str">
        <f ca="1">IFERROR(__xludf.DUMMYFUNCTION("""COMPUTED_VALUE"""),"4mm T-Handle")</f>
        <v>4mm T-Handle</v>
      </c>
      <c r="J472">
        <f ca="1">IFERROR(__xludf.DUMMYFUNCTION("""COMPUTED_VALUE"""),1)</f>
        <v>1</v>
      </c>
      <c r="K472" t="str">
        <f ca="1">IFERROR(__xludf.DUMMYFUNCTION("""COMPUTED_VALUE"""),"blank")</f>
        <v>blank</v>
      </c>
      <c r="L472">
        <f t="shared" ca="1" si="4"/>
        <v>0</v>
      </c>
      <c r="Q472" t="str">
        <f>IF(N472="","",SUMIFS(Issue!$D$3:$D1001,Issue!$C$3:$C1001,N472))</f>
        <v/>
      </c>
      <c r="S472" t="str">
        <f ca="1">IFERROR(__xludf.DUMMYFUNCTION("""COMPUTED_VALUE"""),"10mm Nut Driver with 15mm Depth")</f>
        <v>10mm Nut Driver with 15mm Depth</v>
      </c>
      <c r="Y472" t="str">
        <f t="shared" si="5"/>
        <v/>
      </c>
      <c r="Z472" t="str">
        <f>IF(X472="","",SUMIFS(#REF!,RM!$C$4:$C991,X472))</f>
        <v/>
      </c>
      <c r="AA472" t="str">
        <f>IF(X472="","",SUMIFS(#REF!,RM!$C$4:$C991,X472))</f>
        <v/>
      </c>
      <c r="AB472" t="e">
        <f t="shared" si="6"/>
        <v>#VALUE!</v>
      </c>
      <c r="AC472" t="str">
        <f>IF(X472="","",VLOOKUP($X472,RM!$C$4:$G991,3,FALSE))</f>
        <v/>
      </c>
      <c r="AD472" t="str">
        <f>IF(X472="","",VLOOKUP($X472,RM!$C$4:$G991,4,FALSE))</f>
        <v/>
      </c>
      <c r="AE472" t="str">
        <f>IF(X472="","",VLOOKUP($X472,RM!$C$4:$G991,5,FALSE))</f>
        <v/>
      </c>
      <c r="AG472" t="str">
        <f ca="1">IFERROR(__xludf.DUMMYFUNCTION("""COMPUTED_VALUE"""),"Final Craft Assy")</f>
        <v>Final Craft Assy</v>
      </c>
      <c r="AH472" t="str">
        <f ca="1">IFERROR(__xludf.DUMMYFUNCTION("""COMPUTED_VALUE"""),"Hook Sticker STBD")</f>
        <v>Hook Sticker STBD</v>
      </c>
      <c r="AI472">
        <f ca="1">IFERROR(__xludf.DUMMYFUNCTION("""COMPUTED_VALUE"""),1)</f>
        <v>1</v>
      </c>
      <c r="AJ472" t="str">
        <f ca="1">IFERROR(__xludf.DUMMYFUNCTION("""COMPUTED_VALUE"""),"blank")</f>
        <v>blank</v>
      </c>
      <c r="AK472" t="e">
        <f ca="1">_xludf.IFNA(VLOOKUP(AG472,'S-FG'!$B$3:$B1001,1,FALSE),"")</f>
        <v>#NAME?</v>
      </c>
      <c r="AL472" t="e">
        <f ca="1">IF(AH472="","",SUMIFS(#REF!,RM!$C$4:$C991,AH472))</f>
        <v>#REF!</v>
      </c>
    </row>
    <row r="473" spans="5:38">
      <c r="E473" t="str">
        <f>IF(A473="","",SUMIFS(Issue!$D$3:$D1001,Issue!$C$3:$C1001,A473)*C473)</f>
        <v/>
      </c>
      <c r="F473" t="e">
        <f ca="1">_xludf.IFNA(VLOOKUP(B473,'S-FG'!$B$3:$B1001,1,FALSE),"")</f>
        <v>#NAME?</v>
      </c>
      <c r="H473" t="str">
        <f ca="1">IFERROR(__xludf.DUMMYFUNCTION("""COMPUTED_VALUE"""),"Final Packing")</f>
        <v>Final Packing</v>
      </c>
      <c r="I473" t="str">
        <f ca="1">IFERROR(__xludf.DUMMYFUNCTION("""COMPUTED_VALUE"""),"Greasing Pump")</f>
        <v>Greasing Pump</v>
      </c>
      <c r="J473">
        <f ca="1">IFERROR(__xludf.DUMMYFUNCTION("""COMPUTED_VALUE"""),1)</f>
        <v>1</v>
      </c>
      <c r="L473">
        <f t="shared" ca="1" si="4"/>
        <v>0</v>
      </c>
      <c r="Q473" t="str">
        <f>IF(N473="","",SUMIFS(Issue!$D$3:$D1001,Issue!$C$3:$C1001,N473))</f>
        <v/>
      </c>
      <c r="S473" t="str">
        <f ca="1">IFERROR(__xludf.DUMMYFUNCTION("""COMPUTED_VALUE"""),"4mm T-Handle")</f>
        <v>4mm T-Handle</v>
      </c>
      <c r="Y473" t="str">
        <f t="shared" si="5"/>
        <v/>
      </c>
      <c r="Z473" t="str">
        <f>IF(X473="","",SUMIFS(#REF!,RM!$C$4:$C991,X473))</f>
        <v/>
      </c>
      <c r="AA473" t="str">
        <f>IF(X473="","",SUMIFS(#REF!,RM!$C$4:$C991,X473))</f>
        <v/>
      </c>
      <c r="AB473" t="e">
        <f t="shared" si="6"/>
        <v>#VALUE!</v>
      </c>
      <c r="AC473" t="str">
        <f>IF(X473="","",VLOOKUP($X473,RM!$C$4:$G991,3,FALSE))</f>
        <v/>
      </c>
      <c r="AD473" t="str">
        <f>IF(X473="","",VLOOKUP($X473,RM!$C$4:$G991,4,FALSE))</f>
        <v/>
      </c>
      <c r="AE473" t="str">
        <f>IF(X473="","",VLOOKUP($X473,RM!$C$4:$G991,5,FALSE))</f>
        <v/>
      </c>
      <c r="AG473" t="str">
        <f ca="1">IFERROR(__xludf.DUMMYFUNCTION("""COMPUTED_VALUE"""),"Final Craft Assy")</f>
        <v>Final Craft Assy</v>
      </c>
      <c r="AH473" t="str">
        <f ca="1">IFERROR(__xludf.DUMMYFUNCTION("""COMPUTED_VALUE"""),"Hook Stiker PORT")</f>
        <v>Hook Stiker PORT</v>
      </c>
      <c r="AI473">
        <f ca="1">IFERROR(__xludf.DUMMYFUNCTION("""COMPUTED_VALUE"""),1)</f>
        <v>1</v>
      </c>
      <c r="AJ473" t="str">
        <f ca="1">IFERROR(__xludf.DUMMYFUNCTION("""COMPUTED_VALUE"""),"blank")</f>
        <v>blank</v>
      </c>
      <c r="AK473" t="e">
        <f ca="1">_xludf.IFNA(VLOOKUP(AG473,'S-FG'!$B$3:$B1001,1,FALSE),"")</f>
        <v>#NAME?</v>
      </c>
      <c r="AL473" t="e">
        <f ca="1">IF(AH473="","",SUMIFS(#REF!,RM!$C$4:$C991,AH473))</f>
        <v>#REF!</v>
      </c>
    </row>
    <row r="474" spans="5:38">
      <c r="E474" t="str">
        <f>IF(A474="","",SUMIFS(Issue!$D$3:$D1001,Issue!$C$3:$C1001,A474)*C474)</f>
        <v/>
      </c>
      <c r="F474" t="e">
        <f ca="1">_xludf.IFNA(VLOOKUP(B474,'S-FG'!$B$3:$B1001,1,FALSE),"")</f>
        <v>#NAME?</v>
      </c>
      <c r="H474" t="str">
        <f ca="1">IFERROR(__xludf.DUMMYFUNCTION("""COMPUTED_VALUE"""),"Final Packing")</f>
        <v>Final Packing</v>
      </c>
      <c r="I474" t="str">
        <f ca="1">IFERROR(__xludf.DUMMYFUNCTION("""COMPUTED_VALUE"""),"Grease")</f>
        <v>Grease</v>
      </c>
      <c r="J474">
        <f ca="1">IFERROR(__xludf.DUMMYFUNCTION("""COMPUTED_VALUE"""),180)</f>
        <v>180</v>
      </c>
      <c r="L474">
        <f t="shared" ca="1" si="4"/>
        <v>0</v>
      </c>
      <c r="Q474" t="str">
        <f>IF(N474="","",SUMIFS(Issue!$D$3:$D1001,Issue!$C$3:$C1001,N474))</f>
        <v/>
      </c>
      <c r="S474" t="str">
        <f ca="1">IFERROR(__xludf.DUMMYFUNCTION("""COMPUTED_VALUE"""),"Greasing Pump")</f>
        <v>Greasing Pump</v>
      </c>
      <c r="Y474" t="str">
        <f t="shared" si="5"/>
        <v/>
      </c>
      <c r="Z474" t="str">
        <f>IF(X474="","",SUMIFS(#REF!,RM!$C$4:$C991,X474))</f>
        <v/>
      </c>
      <c r="AA474" t="str">
        <f>IF(X474="","",SUMIFS(#REF!,RM!$C$4:$C991,X474))</f>
        <v/>
      </c>
      <c r="AB474" t="e">
        <f t="shared" si="6"/>
        <v>#VALUE!</v>
      </c>
      <c r="AC474" t="str">
        <f>IF(X474="","",VLOOKUP($X474,RM!$C$4:$G991,3,FALSE))</f>
        <v/>
      </c>
      <c r="AD474" t="str">
        <f>IF(X474="","",VLOOKUP($X474,RM!$C$4:$G991,4,FALSE))</f>
        <v/>
      </c>
      <c r="AE474" t="str">
        <f>IF(X474="","",VLOOKUP($X474,RM!$C$4:$G991,5,FALSE))</f>
        <v/>
      </c>
      <c r="AG474" t="str">
        <f ca="1">IFERROR(__xludf.DUMMYFUNCTION("""COMPUTED_VALUE"""),"Final Craft Assy")</f>
        <v>Final Craft Assy</v>
      </c>
      <c r="AH474" t="str">
        <f ca="1">IFERROR(__xludf.DUMMYFUNCTION("""COMPUTED_VALUE"""),"Hold here sticker STBD")</f>
        <v>Hold here sticker STBD</v>
      </c>
      <c r="AI474">
        <f ca="1">IFERROR(__xludf.DUMMYFUNCTION("""COMPUTED_VALUE"""),1)</f>
        <v>1</v>
      </c>
      <c r="AJ474" t="str">
        <f ca="1">IFERROR(__xludf.DUMMYFUNCTION("""COMPUTED_VALUE"""),"blank")</f>
        <v>blank</v>
      </c>
      <c r="AK474" t="e">
        <f ca="1">_xludf.IFNA(VLOOKUP(AG474,'S-FG'!$B$3:$B1001,1,FALSE),"")</f>
        <v>#NAME?</v>
      </c>
      <c r="AL474" t="e">
        <f ca="1">IF(AH474="","",SUMIFS(#REF!,RM!$C$4:$C991,AH474))</f>
        <v>#REF!</v>
      </c>
    </row>
    <row r="475" spans="5:38">
      <c r="E475" t="str">
        <f>IF(A475="","",SUMIFS(Issue!$D$3:$D1001,Issue!$C$3:$C1001,A475)*C475)</f>
        <v/>
      </c>
      <c r="F475" t="e">
        <f ca="1">_xludf.IFNA(VLOOKUP(B475,'S-FG'!$B$3:$B1001,1,FALSE),"")</f>
        <v>#NAME?</v>
      </c>
      <c r="H475" t="str">
        <f ca="1">IFERROR(__xludf.DUMMYFUNCTION("""COMPUTED_VALUE"""),"Final Packing")</f>
        <v>Final Packing</v>
      </c>
      <c r="I475" t="str">
        <f ca="1">IFERROR(__xludf.DUMMYFUNCTION("""COMPUTED_VALUE"""),"EPE sheet 20mm 48""x72""")</f>
        <v>EPE sheet 20mm 48"x72"</v>
      </c>
      <c r="J475">
        <f ca="1">IFERROR(__xludf.DUMMYFUNCTION("""COMPUTED_VALUE"""),1)</f>
        <v>1</v>
      </c>
      <c r="L475">
        <f t="shared" ca="1" si="4"/>
        <v>0</v>
      </c>
      <c r="Q475" t="str">
        <f>IF(N475="","",SUMIFS(Issue!$D$3:$D1001,Issue!$C$3:$C1001,N475))</f>
        <v/>
      </c>
      <c r="S475" t="str">
        <f ca="1">IFERROR(__xludf.DUMMYFUNCTION("""COMPUTED_VALUE"""),"Grease")</f>
        <v>Grease</v>
      </c>
      <c r="Y475" t="str">
        <f t="shared" si="5"/>
        <v/>
      </c>
      <c r="Z475" t="str">
        <f>IF(X475="","",SUMIFS(#REF!,RM!$C$4:$C991,X475))</f>
        <v/>
      </c>
      <c r="AA475" t="str">
        <f>IF(X475="","",SUMIFS(#REF!,RM!$C$4:$C991,X475))</f>
        <v/>
      </c>
      <c r="AB475" t="e">
        <f t="shared" si="6"/>
        <v>#VALUE!</v>
      </c>
      <c r="AC475" t="str">
        <f>IF(X475="","",VLOOKUP($X475,RM!$C$4:$G991,3,FALSE))</f>
        <v/>
      </c>
      <c r="AD475" t="str">
        <f>IF(X475="","",VLOOKUP($X475,RM!$C$4:$G991,4,FALSE))</f>
        <v/>
      </c>
      <c r="AE475" t="str">
        <f>IF(X475="","",VLOOKUP($X475,RM!$C$4:$G991,5,FALSE))</f>
        <v/>
      </c>
      <c r="AG475" t="str">
        <f ca="1">IFERROR(__xludf.DUMMYFUNCTION("""COMPUTED_VALUE"""),"Final Craft Assy")</f>
        <v>Final Craft Assy</v>
      </c>
      <c r="AH475" t="str">
        <f ca="1">IFERROR(__xludf.DUMMYFUNCTION("""COMPUTED_VALUE"""),"Hold here sticker PORT")</f>
        <v>Hold here sticker PORT</v>
      </c>
      <c r="AI475">
        <f ca="1">IFERROR(__xludf.DUMMYFUNCTION("""COMPUTED_VALUE"""),1)</f>
        <v>1</v>
      </c>
      <c r="AJ475" t="str">
        <f ca="1">IFERROR(__xludf.DUMMYFUNCTION("""COMPUTED_VALUE"""),"blank")</f>
        <v>blank</v>
      </c>
      <c r="AK475" t="e">
        <f ca="1">_xludf.IFNA(VLOOKUP(AG475,'S-FG'!$B$3:$B1001,1,FALSE),"")</f>
        <v>#NAME?</v>
      </c>
      <c r="AL475" t="e">
        <f ca="1">IF(AH475="","",SUMIFS(#REF!,RM!$C$4:$C991,AH475))</f>
        <v>#REF!</v>
      </c>
    </row>
    <row r="476" spans="5:38">
      <c r="E476" t="str">
        <f>IF(A476="","",SUMIFS(Issue!$D$3:$D1001,Issue!$C$3:$C1001,A476)*C476)</f>
        <v/>
      </c>
      <c r="F476" t="e">
        <f ca="1">_xludf.IFNA(VLOOKUP(B476,'S-FG'!$B$3:$B1001,1,FALSE),"")</f>
        <v>#NAME?</v>
      </c>
      <c r="H476" t="str">
        <f ca="1">IFERROR(__xludf.DUMMYFUNCTION("""COMPUTED_VALUE"""),"Final Packing")</f>
        <v>Final Packing</v>
      </c>
      <c r="I476" t="str">
        <f ca="1">IFERROR(__xludf.DUMMYFUNCTION("""COMPUTED_VALUE"""),"HardBox FRP/HDPE/CARTON/EPE")</f>
        <v>HardBox FRP/HDPE/CARTON/EPE</v>
      </c>
      <c r="J476">
        <f ca="1">IFERROR(__xludf.DUMMYFUNCTION("""COMPUTED_VALUE"""),1)</f>
        <v>1</v>
      </c>
      <c r="K476" t="str">
        <f ca="1">IFERROR(__xludf.DUMMYFUNCTION("""COMPUTED_VALUE"""),"blank")</f>
        <v>blank</v>
      </c>
      <c r="L476">
        <f t="shared" ca="1" si="4"/>
        <v>0</v>
      </c>
      <c r="Q476" t="str">
        <f>IF(N476="","",SUMIFS(Issue!$D$3:$D1001,Issue!$C$3:$C1001,N476))</f>
        <v/>
      </c>
      <c r="S476" t="str">
        <f ca="1">IFERROR(__xludf.DUMMYFUNCTION("""COMPUTED_VALUE"""),"EPE sheet 20mm 48""x72""")</f>
        <v>EPE sheet 20mm 48"x72"</v>
      </c>
      <c r="Y476" t="str">
        <f t="shared" si="5"/>
        <v/>
      </c>
      <c r="Z476" t="str">
        <f>IF(X476="","",SUMIFS(#REF!,RM!$C$4:$C991,X476))</f>
        <v/>
      </c>
      <c r="AA476" t="str">
        <f>IF(X476="","",SUMIFS(#REF!,RM!$C$4:$C991,X476))</f>
        <v/>
      </c>
      <c r="AB476" t="e">
        <f t="shared" si="6"/>
        <v>#VALUE!</v>
      </c>
      <c r="AC476" t="str">
        <f>IF(X476="","",VLOOKUP($X476,RM!$C$4:$G991,3,FALSE))</f>
        <v/>
      </c>
      <c r="AD476" t="str">
        <f>IF(X476="","",VLOOKUP($X476,RM!$C$4:$G991,4,FALSE))</f>
        <v/>
      </c>
      <c r="AE476" t="str">
        <f>IF(X476="","",VLOOKUP($X476,RM!$C$4:$G991,5,FALSE))</f>
        <v/>
      </c>
      <c r="AG476" t="str">
        <f ca="1">IFERROR(__xludf.DUMMYFUNCTION("""COMPUTED_VALUE"""),"Final Craft Assy")</f>
        <v>Final Craft Assy</v>
      </c>
      <c r="AH476" t="str">
        <f ca="1">IFERROR(__xludf.DUMMYFUNCTION("""COMPUTED_VALUE"""),"M4x12 plain washer")</f>
        <v>M4x12 plain washer</v>
      </c>
      <c r="AI476">
        <f ca="1">IFERROR(__xludf.DUMMYFUNCTION("""COMPUTED_VALUE"""),8)</f>
        <v>8</v>
      </c>
      <c r="AJ476" t="str">
        <f ca="1">IFERROR(__xludf.DUMMYFUNCTION("""COMPUTED_VALUE"""),"blank")</f>
        <v>blank</v>
      </c>
      <c r="AK476" t="e">
        <f ca="1">_xludf.IFNA(VLOOKUP(AG476,'S-FG'!$B$3:$B1001,1,FALSE),"")</f>
        <v>#NAME?</v>
      </c>
      <c r="AL476" t="e">
        <f ca="1">IF(AH476="","",SUMIFS(#REF!,RM!$C$4:$C991,AH476))</f>
        <v>#REF!</v>
      </c>
    </row>
    <row r="477" spans="5:38">
      <c r="E477" t="str">
        <f>IF(A477="","",SUMIFS(Issue!$D$3:$D1001,Issue!$C$3:$C1001,A477)*C477)</f>
        <v/>
      </c>
      <c r="F477" t="e">
        <f ca="1">_xludf.IFNA(VLOOKUP(B477,'S-FG'!$B$3:$B1001,1,FALSE),"")</f>
        <v>#NAME?</v>
      </c>
      <c r="H477" t="str">
        <f ca="1">IFERROR(__xludf.DUMMYFUNCTION("""COMPUTED_VALUE"""),"Final Packing")</f>
        <v>Final Packing</v>
      </c>
      <c r="I477" t="str">
        <f ca="1">IFERROR(__xludf.DUMMYFUNCTION("""COMPUTED_VALUE"""),"User Manual")</f>
        <v>User Manual</v>
      </c>
      <c r="J477">
        <f ca="1">IFERROR(__xludf.DUMMYFUNCTION("""COMPUTED_VALUE"""),1)</f>
        <v>1</v>
      </c>
      <c r="K477" t="str">
        <f ca="1">IFERROR(__xludf.DUMMYFUNCTION("""COMPUTED_VALUE"""),"blank")</f>
        <v>blank</v>
      </c>
      <c r="L477">
        <f t="shared" ca="1" si="4"/>
        <v>0</v>
      </c>
      <c r="Q477" t="str">
        <f>IF(N477="","",SUMIFS(Issue!$D$3:$D1001,Issue!$C$3:$C1001,N477))</f>
        <v/>
      </c>
      <c r="S477" t="str">
        <f ca="1">IFERROR(__xludf.DUMMYFUNCTION("""COMPUTED_VALUE"""),"HardBox FRP/HDPE/CARTON/EPE")</f>
        <v>HardBox FRP/HDPE/CARTON/EPE</v>
      </c>
      <c r="Y477" t="str">
        <f t="shared" si="5"/>
        <v/>
      </c>
      <c r="Z477" t="str">
        <f>IF(X477="","",SUMIFS(#REF!,RM!$C$4:$C991,X477))</f>
        <v/>
      </c>
      <c r="AA477" t="str">
        <f>IF(X477="","",SUMIFS(#REF!,RM!$C$4:$C991,X477))</f>
        <v/>
      </c>
      <c r="AB477" t="e">
        <f t="shared" si="6"/>
        <v>#VALUE!</v>
      </c>
      <c r="AC477" t="str">
        <f>IF(X477="","",VLOOKUP($X477,RM!$C$4:$G991,3,FALSE))</f>
        <v/>
      </c>
      <c r="AD477" t="str">
        <f>IF(X477="","",VLOOKUP($X477,RM!$C$4:$G991,4,FALSE))</f>
        <v/>
      </c>
      <c r="AE477" t="str">
        <f>IF(X477="","",VLOOKUP($X477,RM!$C$4:$G991,5,FALSE))</f>
        <v/>
      </c>
      <c r="AG477" t="str">
        <f ca="1">IFERROR(__xludf.DUMMYFUNCTION("""COMPUTED_VALUE"""),"Final Craft Assy")</f>
        <v>Final Craft Assy</v>
      </c>
      <c r="AH477" t="str">
        <f ca="1">IFERROR(__xludf.DUMMYFUNCTION("""COMPUTED_VALUE"""),"915MHz Antenna")</f>
        <v>915MHz Antenna</v>
      </c>
      <c r="AI477">
        <f ca="1">IFERROR(__xludf.DUMMYFUNCTION("""COMPUTED_VALUE"""),1)</f>
        <v>1</v>
      </c>
      <c r="AJ477" t="str">
        <f ca="1">IFERROR(__xludf.DUMMYFUNCTION("""COMPUTED_VALUE"""),"blank")</f>
        <v>blank</v>
      </c>
      <c r="AK477" t="e">
        <f ca="1">_xludf.IFNA(VLOOKUP(AG477,'S-FG'!$B$3:$B1001,1,FALSE),"")</f>
        <v>#NAME?</v>
      </c>
      <c r="AL477" t="e">
        <f ca="1">IF(AH477="","",SUMIFS(#REF!,RM!$C$4:$C991,AH477))</f>
        <v>#REF!</v>
      </c>
    </row>
    <row r="478" spans="5:38">
      <c r="E478" t="str">
        <f>IF(A478="","",SUMIFS(Issue!$D$3:$D1001,Issue!$C$3:$C1001,A478)*C478)</f>
        <v/>
      </c>
      <c r="F478" t="e">
        <f ca="1">_xludf.IFNA(VLOOKUP(B478,'S-FG'!$B$3:$B1001,1,FALSE),"")</f>
        <v>#NAME?</v>
      </c>
      <c r="H478" t="str">
        <f ca="1">IFERROR(__xludf.DUMMYFUNCTION("""COMPUTED_VALUE"""),"Final Packing")</f>
        <v>Final Packing</v>
      </c>
      <c r="I478" t="str">
        <f ca="1">IFERROR(__xludf.DUMMYFUNCTION("""COMPUTED_VALUE"""),"Envelope for User Manual")</f>
        <v>Envelope for User Manual</v>
      </c>
      <c r="J478">
        <f ca="1">IFERROR(__xludf.DUMMYFUNCTION("""COMPUTED_VALUE"""),1)</f>
        <v>1</v>
      </c>
      <c r="L478">
        <f t="shared" ca="1" si="4"/>
        <v>0</v>
      </c>
      <c r="Q478" t="str">
        <f>IF(N478="","",SUMIFS(Issue!$D$3:$D1001,Issue!$C$3:$C1001,N478))</f>
        <v/>
      </c>
      <c r="S478" t="str">
        <f ca="1">IFERROR(__xludf.DUMMYFUNCTION("""COMPUTED_VALUE"""),"User Manual")</f>
        <v>User Manual</v>
      </c>
      <c r="Y478" t="str">
        <f t="shared" si="5"/>
        <v/>
      </c>
      <c r="Z478" t="str">
        <f>IF(X478="","",SUMIFS(#REF!,RM!$C$4:$C991,X478))</f>
        <v/>
      </c>
      <c r="AA478" t="str">
        <f>IF(X478="","",SUMIFS(#REF!,RM!$C$4:$C991,X478))</f>
        <v/>
      </c>
      <c r="AB478" t="e">
        <f t="shared" si="6"/>
        <v>#VALUE!</v>
      </c>
      <c r="AC478" t="str">
        <f>IF(X478="","",VLOOKUP($X478,RM!$C$4:$G991,3,FALSE))</f>
        <v/>
      </c>
      <c r="AD478" t="str">
        <f>IF(X478="","",VLOOKUP($X478,RM!$C$4:$G991,4,FALSE))</f>
        <v/>
      </c>
      <c r="AE478" t="str">
        <f>IF(X478="","",VLOOKUP($X478,RM!$C$4:$G991,5,FALSE))</f>
        <v/>
      </c>
      <c r="AG478" t="str">
        <f ca="1">IFERROR(__xludf.DUMMYFUNCTION("""COMPUTED_VALUE"""),"Final Craft Assy")</f>
        <v>Final Craft Assy</v>
      </c>
      <c r="AH478" t="str">
        <f ca="1">IFERROR(__xludf.DUMMYFUNCTION("""COMPUTED_VALUE"""),"M4x20 plain washer")</f>
        <v>M4x20 plain washer</v>
      </c>
      <c r="AI478">
        <f ca="1">IFERROR(__xludf.DUMMYFUNCTION("""COMPUTED_VALUE"""),6)</f>
        <v>6</v>
      </c>
      <c r="AK478" t="e">
        <f ca="1">_xludf.IFNA(VLOOKUP(AG478,'S-FG'!$B$3:$B1001,1,FALSE),"")</f>
        <v>#NAME?</v>
      </c>
      <c r="AL478" t="e">
        <f ca="1">IF(AH478="","",SUMIFS(#REF!,RM!$C$4:$C991,AH478))</f>
        <v>#REF!</v>
      </c>
    </row>
    <row r="479" spans="5:38">
      <c r="E479" t="str">
        <f>IF(A479="","",SUMIFS(Issue!$D$3:$D1001,Issue!$C$3:$C1001,A479)*C479)</f>
        <v/>
      </c>
      <c r="F479" t="e">
        <f ca="1">_xludf.IFNA(VLOOKUP(B479,'S-FG'!$B$3:$B1001,1,FALSE),"")</f>
        <v>#NAME?</v>
      </c>
      <c r="H479" t="str">
        <f ca="1">IFERROR(__xludf.DUMMYFUNCTION("""COMPUTED_VALUE"""),"Final Packing")</f>
        <v>Final Packing</v>
      </c>
      <c r="I479" t="str">
        <f ca="1">IFERROR(__xludf.DUMMYFUNCTION("""COMPUTED_VALUE"""),"2.5mm T handle")</f>
        <v>2.5mm T handle</v>
      </c>
      <c r="J479">
        <f ca="1">IFERROR(__xludf.DUMMYFUNCTION("""COMPUTED_VALUE"""),1)</f>
        <v>1</v>
      </c>
      <c r="K479" t="str">
        <f ca="1">IFERROR(__xludf.DUMMYFUNCTION("""COMPUTED_VALUE"""),"blank")</f>
        <v>blank</v>
      </c>
      <c r="L479">
        <f t="shared" ca="1" si="4"/>
        <v>0</v>
      </c>
      <c r="Q479" t="str">
        <f>IF(N479="","",SUMIFS(Issue!$D$3:$D1001,Issue!$C$3:$C1001,N479))</f>
        <v/>
      </c>
      <c r="S479" t="str">
        <f ca="1">IFERROR(__xludf.DUMMYFUNCTION("""COMPUTED_VALUE"""),"Envelope for User Manual")</f>
        <v>Envelope for User Manual</v>
      </c>
      <c r="Y479" t="str">
        <f t="shared" si="5"/>
        <v/>
      </c>
      <c r="Z479" t="str">
        <f>IF(X479="","",SUMIFS(#REF!,RM!$C$4:$C991,X479))</f>
        <v/>
      </c>
      <c r="AA479" t="str">
        <f>IF(X479="","",SUMIFS(#REF!,RM!$C$4:$C991,X479))</f>
        <v/>
      </c>
      <c r="AB479" t="e">
        <f t="shared" si="6"/>
        <v>#VALUE!</v>
      </c>
      <c r="AC479" t="str">
        <f>IF(X479="","",VLOOKUP($X479,RM!$C$4:$G991,3,FALSE))</f>
        <v/>
      </c>
      <c r="AD479" t="str">
        <f>IF(X479="","",VLOOKUP($X479,RM!$C$4:$G991,4,FALSE))</f>
        <v/>
      </c>
      <c r="AE479" t="str">
        <f>IF(X479="","",VLOOKUP($X479,RM!$C$4:$G991,5,FALSE))</f>
        <v/>
      </c>
      <c r="AG479" t="str">
        <f ca="1">IFERROR(__xludf.DUMMYFUNCTION("""COMPUTED_VALUE"""),"Final Craft Assy")</f>
        <v>Final Craft Assy</v>
      </c>
      <c r="AH479" t="str">
        <f ca="1">IFERROR(__xludf.DUMMYFUNCTION("""COMPUTED_VALUE"""),"M4x12 Button head")</f>
        <v>M4x12 Button head</v>
      </c>
      <c r="AI479">
        <f ca="1">IFERROR(__xludf.DUMMYFUNCTION("""COMPUTED_VALUE"""),4)</f>
        <v>4</v>
      </c>
      <c r="AJ479" t="str">
        <f ca="1">IFERROR(__xludf.DUMMYFUNCTION("""COMPUTED_VALUE"""),"blank")</f>
        <v>blank</v>
      </c>
      <c r="AK479" t="e">
        <f ca="1">_xludf.IFNA(VLOOKUP(AG479,'S-FG'!$B$3:$B1001,1,FALSE),"")</f>
        <v>#NAME?</v>
      </c>
      <c r="AL479" t="e">
        <f ca="1">IF(AH479="","",SUMIFS(#REF!,RM!$C$4:$C991,AH479))</f>
        <v>#REF!</v>
      </c>
    </row>
    <row r="480" spans="5:38">
      <c r="E480" t="str">
        <f>IF(A480="","",SUMIFS(Issue!$D$3:$D1001,Issue!$C$3:$C1001,A480)*C480)</f>
        <v/>
      </c>
      <c r="F480" t="e">
        <f ca="1">_xludf.IFNA(VLOOKUP(B480,'S-FG'!$B$3:$B1001,1,FALSE),"")</f>
        <v>#NAME?</v>
      </c>
      <c r="H480" t="str">
        <f ca="1">IFERROR(__xludf.DUMMYFUNCTION("""COMPUTED_VALUE"""),"Final Packing")</f>
        <v>Final Packing</v>
      </c>
      <c r="I480" t="str">
        <f ca="1">IFERROR(__xludf.DUMMYFUNCTION("""COMPUTED_VALUE"""),"Oring AFT plate")</f>
        <v>Oring AFT plate</v>
      </c>
      <c r="J480">
        <f ca="1">IFERROR(__xludf.DUMMYFUNCTION("""COMPUTED_VALUE"""),2)</f>
        <v>2</v>
      </c>
      <c r="K480" t="str">
        <f ca="1">IFERROR(__xludf.DUMMYFUNCTION("""COMPUTED_VALUE"""),"blank")</f>
        <v>blank</v>
      </c>
      <c r="L480">
        <f t="shared" ca="1" si="4"/>
        <v>0</v>
      </c>
      <c r="Q480" t="str">
        <f>IF(N480="","",SUMIFS(Issue!$D$3:$D1001,Issue!$C$3:$C1001,N480))</f>
        <v/>
      </c>
      <c r="S480" t="str">
        <f ca="1">IFERROR(__xludf.DUMMYFUNCTION("""COMPUTED_VALUE"""),"2.5mm T handle")</f>
        <v>2.5mm T handle</v>
      </c>
      <c r="Y480" t="str">
        <f t="shared" si="5"/>
        <v/>
      </c>
      <c r="Z480" t="str">
        <f>IF(X480="","",SUMIFS(#REF!,RM!$C$4:$C991,X480))</f>
        <v/>
      </c>
      <c r="AA480" t="str">
        <f>IF(X480="","",SUMIFS(#REF!,RM!$C$4:$C991,X480))</f>
        <v/>
      </c>
      <c r="AB480" t="e">
        <f t="shared" si="6"/>
        <v>#VALUE!</v>
      </c>
      <c r="AC480" t="str">
        <f>IF(X480="","",VLOOKUP($X480,RM!$C$4:$G991,3,FALSE))</f>
        <v/>
      </c>
      <c r="AD480" t="str">
        <f>IF(X480="","",VLOOKUP($X480,RM!$C$4:$G991,4,FALSE))</f>
        <v/>
      </c>
      <c r="AE480" t="str">
        <f>IF(X480="","",VLOOKUP($X480,RM!$C$4:$G991,5,FALSE))</f>
        <v/>
      </c>
      <c r="AG480" t="str">
        <f ca="1">IFERROR(__xludf.DUMMYFUNCTION("""COMPUTED_VALUE"""),"Final Craft Assy")</f>
        <v>Final Craft Assy</v>
      </c>
      <c r="AH480" t="str">
        <f ca="1">IFERROR(__xludf.DUMMYFUNCTION("""COMPUTED_VALUE"""),"8kg Hull")</f>
        <v>8kg Hull</v>
      </c>
      <c r="AI480">
        <f ca="1">IFERROR(__xludf.DUMMYFUNCTION("""COMPUTED_VALUE"""),1)</f>
        <v>1</v>
      </c>
      <c r="AJ480" t="str">
        <f ca="1">IFERROR(__xludf.DUMMYFUNCTION("""COMPUTED_VALUE"""),"blank")</f>
        <v>blank</v>
      </c>
      <c r="AK480" t="e">
        <f ca="1">_xludf.IFNA(VLOOKUP(AG480,'S-FG'!$B$3:$B1001,1,FALSE),"")</f>
        <v>#NAME?</v>
      </c>
      <c r="AL480" t="e">
        <f ca="1">IF(AH480="","",SUMIFS(#REF!,RM!$C$4:$C991,AH480))</f>
        <v>#REF!</v>
      </c>
    </row>
    <row r="481" spans="5:38">
      <c r="E481" t="str">
        <f>IF(A481="","",SUMIFS(Issue!$D$3:$D1001,Issue!$C$3:$C1001,A481)*C481)</f>
        <v/>
      </c>
      <c r="F481" t="e">
        <f ca="1">_xludf.IFNA(VLOOKUP(B481,'S-FG'!$B$3:$B1001,1,FALSE),"")</f>
        <v>#NAME?</v>
      </c>
      <c r="H481" t="str">
        <f ca="1">IFERROR(__xludf.DUMMYFUNCTION("""COMPUTED_VALUE"""),"Power Switch Assy")</f>
        <v>Power Switch Assy</v>
      </c>
      <c r="I481" t="str">
        <f ca="1">IFERROR(__xludf.DUMMYFUNCTION("""COMPUTED_VALUE"""),"IP68 Rotary main Switch")</f>
        <v>IP68 Rotary main Switch</v>
      </c>
      <c r="J481">
        <f ca="1">IFERROR(__xludf.DUMMYFUNCTION("""COMPUTED_VALUE"""),1)</f>
        <v>1</v>
      </c>
      <c r="K481" t="str">
        <f ca="1">IFERROR(__xludf.DUMMYFUNCTION("""COMPUTED_VALUE"""),"blank")</f>
        <v>blank</v>
      </c>
      <c r="L481">
        <f t="shared" ca="1" si="4"/>
        <v>0</v>
      </c>
      <c r="Q481" t="str">
        <f>IF(N481="","",SUMIFS(Issue!$D$3:$D1001,Issue!$C$3:$C1001,N481))</f>
        <v/>
      </c>
      <c r="S481" t="str">
        <f ca="1">IFERROR(__xludf.DUMMYFUNCTION("""COMPUTED_VALUE"""),"Oring AFT plate")</f>
        <v>Oring AFT plate</v>
      </c>
      <c r="Y481" t="str">
        <f t="shared" si="5"/>
        <v/>
      </c>
      <c r="Z481" t="str">
        <f>IF(X481="","",SUMIFS(#REF!,RM!$C$4:$C991,X481))</f>
        <v/>
      </c>
      <c r="AA481" t="str">
        <f>IF(X481="","",SUMIFS(#REF!,RM!$C$4:$C991,X481))</f>
        <v/>
      </c>
      <c r="AB481" t="e">
        <f t="shared" si="6"/>
        <v>#VALUE!</v>
      </c>
      <c r="AC481" t="str">
        <f>IF(X481="","",VLOOKUP($X481,RM!$C$4:$G991,3,FALSE))</f>
        <v/>
      </c>
      <c r="AD481" t="str">
        <f>IF(X481="","",VLOOKUP($X481,RM!$C$4:$G991,4,FALSE))</f>
        <v/>
      </c>
      <c r="AE481" t="str">
        <f>IF(X481="","",VLOOKUP($X481,RM!$C$4:$G991,5,FALSE))</f>
        <v/>
      </c>
      <c r="AG481" t="str">
        <f ca="1">IFERROR(__xludf.DUMMYFUNCTION("""COMPUTED_VALUE"""),"Bottom Block Assy")</f>
        <v>Bottom Block Assy</v>
      </c>
      <c r="AH481" t="str">
        <f ca="1">IFERROR(__xludf.DUMMYFUNCTION("""COMPUTED_VALUE"""),"IM Bottom Block")</f>
        <v>IM Bottom Block</v>
      </c>
      <c r="AI481">
        <f ca="1">IFERROR(__xludf.DUMMYFUNCTION("""COMPUTED_VALUE"""),2)</f>
        <v>2</v>
      </c>
      <c r="AJ481" t="str">
        <f ca="1">IFERROR(__xludf.DUMMYFUNCTION("""COMPUTED_VALUE"""),"blank")</f>
        <v>blank</v>
      </c>
      <c r="AK481" t="e">
        <f ca="1">_xludf.IFNA(VLOOKUP(AG481,'S-FG'!$B$3:$B1001,1,FALSE),"")</f>
        <v>#NAME?</v>
      </c>
      <c r="AL481" t="e">
        <f ca="1">IF(AH481="","",SUMIFS(#REF!,RM!$C$4:$C991,AH481))</f>
        <v>#REF!</v>
      </c>
    </row>
    <row r="482" spans="5:38">
      <c r="E482" t="str">
        <f>IF(A482="","",SUMIFS(Issue!$D$3:$D1001,Issue!$C$3:$C1001,A482)*C482)</f>
        <v/>
      </c>
      <c r="F482" t="e">
        <f ca="1">_xludf.IFNA(VLOOKUP(B482,'S-FG'!$B$3:$B1001,1,FALSE),"")</f>
        <v>#NAME?</v>
      </c>
      <c r="H482" t="str">
        <f ca="1">IFERROR(__xludf.DUMMYFUNCTION("""COMPUTED_VALUE"""),"Power Switch Assy")</f>
        <v>Power Switch Assy</v>
      </c>
      <c r="I482" t="str">
        <f ca="1">IFERROR(__xludf.DUMMYFUNCTION("""COMPUTED_VALUE"""),"10cm one sided JST crimped White")</f>
        <v>10cm one sided JST crimped White</v>
      </c>
      <c r="J482">
        <f ca="1">IFERROR(__xludf.DUMMYFUNCTION("""COMPUTED_VALUE"""),2)</f>
        <v>2</v>
      </c>
      <c r="K482" t="str">
        <f ca="1">IFERROR(__xludf.DUMMYFUNCTION("""COMPUTED_VALUE"""),"blank")</f>
        <v>blank</v>
      </c>
      <c r="L482">
        <f t="shared" ca="1" si="4"/>
        <v>0</v>
      </c>
      <c r="Q482" t="str">
        <f>IF(N482="","",SUMIFS(Issue!$D$3:$D1001,Issue!$C$3:$C1001,N482))</f>
        <v/>
      </c>
      <c r="S482" t="str">
        <f ca="1">IFERROR(__xludf.DUMMYFUNCTION("""COMPUTED_VALUE"""),"IP68 Rotary main Switch")</f>
        <v>IP68 Rotary main Switch</v>
      </c>
      <c r="Y482" t="str">
        <f t="shared" si="5"/>
        <v/>
      </c>
      <c r="Z482" t="str">
        <f>IF(X482="","",SUMIFS(#REF!,RM!$C$4:$C991,X482))</f>
        <v/>
      </c>
      <c r="AA482" t="str">
        <f>IF(X482="","",SUMIFS(#REF!,RM!$C$4:$C991,X482))</f>
        <v/>
      </c>
      <c r="AB482" t="e">
        <f t="shared" si="6"/>
        <v>#VALUE!</v>
      </c>
      <c r="AC482" t="str">
        <f>IF(X482="","",VLOOKUP($X482,RM!$C$4:$G991,3,FALSE))</f>
        <v/>
      </c>
      <c r="AD482" t="str">
        <f>IF(X482="","",VLOOKUP($X482,RM!$C$4:$G991,4,FALSE))</f>
        <v/>
      </c>
      <c r="AE482" t="str">
        <f>IF(X482="","",VLOOKUP($X482,RM!$C$4:$G991,5,FALSE))</f>
        <v/>
      </c>
      <c r="AG482" t="str">
        <f ca="1">IFERROR(__xludf.DUMMYFUNCTION("""COMPUTED_VALUE"""),"Bottom Block Assy")</f>
        <v>Bottom Block Assy</v>
      </c>
      <c r="AH482" t="str">
        <f ca="1">IFERROR(__xludf.DUMMYFUNCTION("""COMPUTED_VALUE"""),"Bottom Mesh (120mm x 100mm, 5""x4"")")</f>
        <v>Bottom Mesh (120mm x 100mm, 5"x4")</v>
      </c>
      <c r="AI482">
        <f ca="1">IFERROR(__xludf.DUMMYFUNCTION("""COMPUTED_VALUE"""),2)</f>
        <v>2</v>
      </c>
      <c r="AJ482" t="str">
        <f ca="1">IFERROR(__xludf.DUMMYFUNCTION("""COMPUTED_VALUE"""),"blank")</f>
        <v>blank</v>
      </c>
      <c r="AK482" t="e">
        <f ca="1">_xludf.IFNA(VLOOKUP(AG482,'S-FG'!$B$3:$B1001,1,FALSE),"")</f>
        <v>#NAME?</v>
      </c>
      <c r="AL482" t="e">
        <f ca="1">IF(AH482="","",SUMIFS(#REF!,RM!$C$4:$C991,AH482))</f>
        <v>#REF!</v>
      </c>
    </row>
    <row r="483" spans="5:38">
      <c r="E483" t="str">
        <f>IF(A483="","",SUMIFS(Issue!$D$3:$D1001,Issue!$C$3:$C1001,A483)*C483)</f>
        <v/>
      </c>
      <c r="F483" t="e">
        <f ca="1">_xludf.IFNA(VLOOKUP(B483,'S-FG'!$B$3:$B1001,1,FALSE),"")</f>
        <v>#NAME?</v>
      </c>
      <c r="H483" t="str">
        <f ca="1">IFERROR(__xludf.DUMMYFUNCTION("""COMPUTED_VALUE"""),"Power Switch Assy")</f>
        <v>Power Switch Assy</v>
      </c>
      <c r="I483" t="str">
        <f ca="1">IFERROR(__xludf.DUMMYFUNCTION("""COMPUTED_VALUE"""),"2 pin JST-XH housing")</f>
        <v>2 pin JST-XH housing</v>
      </c>
      <c r="J483">
        <f ca="1">IFERROR(__xludf.DUMMYFUNCTION("""COMPUTED_VALUE"""),1)</f>
        <v>1</v>
      </c>
      <c r="L483">
        <f t="shared" ca="1" si="4"/>
        <v>0</v>
      </c>
      <c r="Q483" t="str">
        <f>IF(N483="","",SUMIFS(Issue!$D$3:$D1001,Issue!$C$3:$C1001,N483))</f>
        <v/>
      </c>
      <c r="S483" t="str">
        <f ca="1">IFERROR(__xludf.DUMMYFUNCTION("""COMPUTED_VALUE"""),"10cm one sided JST crimped White")</f>
        <v>10cm one sided JST crimped White</v>
      </c>
      <c r="Y483" t="str">
        <f t="shared" si="5"/>
        <v/>
      </c>
      <c r="Z483" t="str">
        <f>IF(X483="","",SUMIFS(#REF!,RM!$C$4:$C991,X483))</f>
        <v/>
      </c>
      <c r="AA483" t="str">
        <f>IF(X483="","",SUMIFS(#REF!,RM!$C$4:$C991,X483))</f>
        <v/>
      </c>
      <c r="AB483" t="e">
        <f t="shared" si="6"/>
        <v>#VALUE!</v>
      </c>
      <c r="AC483" t="str">
        <f>IF(X483="","",VLOOKUP($X483,RM!$C$4:$G991,3,FALSE))</f>
        <v/>
      </c>
      <c r="AD483" t="str">
        <f>IF(X483="","",VLOOKUP($X483,RM!$C$4:$G991,4,FALSE))</f>
        <v/>
      </c>
      <c r="AE483" t="str">
        <f>IF(X483="","",VLOOKUP($X483,RM!$C$4:$G991,5,FALSE))</f>
        <v/>
      </c>
      <c r="AG483" t="str">
        <f ca="1">IFERROR(__xludf.DUMMYFUNCTION("""COMPUTED_VALUE"""),"Bottom Block Assy")</f>
        <v>Bottom Block Assy</v>
      </c>
      <c r="AH483" t="str">
        <f ca="1">IFERROR(__xludf.DUMMYFUNCTION("""COMPUTED_VALUE"""),"M4x12 Pan Combi Screws")</f>
        <v>M4x12 Pan Combi Screws</v>
      </c>
      <c r="AI483">
        <f ca="1">IFERROR(__xludf.DUMMYFUNCTION("""COMPUTED_VALUE"""),8)</f>
        <v>8</v>
      </c>
      <c r="AJ483" t="str">
        <f ca="1">IFERROR(__xludf.DUMMYFUNCTION("""COMPUTED_VALUE"""),"blank")</f>
        <v>blank</v>
      </c>
      <c r="AK483" t="e">
        <f ca="1">_xludf.IFNA(VLOOKUP(AG483,'S-FG'!$B$3:$B1001,1,FALSE),"")</f>
        <v>#NAME?</v>
      </c>
      <c r="AL483" t="e">
        <f ca="1">IF(AH483="","",SUMIFS(#REF!,RM!$C$4:$C991,AH483))</f>
        <v>#REF!</v>
      </c>
    </row>
    <row r="484" spans="5:38">
      <c r="E484" t="str">
        <f>IF(A484="","",SUMIFS(Issue!$D$3:$D1001,Issue!$C$3:$C1001,A484)*C484)</f>
        <v/>
      </c>
      <c r="F484" t="e">
        <f ca="1">_xludf.IFNA(VLOOKUP(B484,'S-FG'!$B$3:$B1001,1,FALSE),"")</f>
        <v>#NAME?</v>
      </c>
      <c r="L484" t="str">
        <f t="shared" si="4"/>
        <v/>
      </c>
      <c r="Q484" t="str">
        <f>IF(N484="","",SUMIFS(Issue!$D$3:$D1001,Issue!$C$3:$C1001,N484))</f>
        <v/>
      </c>
      <c r="S484" t="str">
        <f ca="1">IFERROR(__xludf.DUMMYFUNCTION("""COMPUTED_VALUE"""),"2 pin JST-XH housing")</f>
        <v>2 pin JST-XH housing</v>
      </c>
      <c r="Y484" t="str">
        <f t="shared" si="5"/>
        <v/>
      </c>
      <c r="Z484" t="str">
        <f>IF(X484="","",SUMIFS(#REF!,RM!$C$4:$C991,X484))</f>
        <v/>
      </c>
      <c r="AA484" t="str">
        <f>IF(X484="","",SUMIFS(#REF!,RM!$C$4:$C991,X484))</f>
        <v/>
      </c>
      <c r="AB484" t="e">
        <f t="shared" si="6"/>
        <v>#VALUE!</v>
      </c>
      <c r="AC484" t="str">
        <f>IF(X484="","",VLOOKUP($X484,RM!$C$4:$G991,3,FALSE))</f>
        <v/>
      </c>
      <c r="AD484" t="str">
        <f>IF(X484="","",VLOOKUP($X484,RM!$C$4:$G991,4,FALSE))</f>
        <v/>
      </c>
      <c r="AE484" t="str">
        <f>IF(X484="","",VLOOKUP($X484,RM!$C$4:$G991,5,FALSE))</f>
        <v/>
      </c>
      <c r="AG484" t="str">
        <f ca="1">IFERROR(__xludf.DUMMYFUNCTION("""COMPUTED_VALUE"""),"Bottom Block Assy")</f>
        <v>Bottom Block Assy</v>
      </c>
      <c r="AH484" t="str">
        <f ca="1">IFERROR(__xludf.DUMMYFUNCTION("""COMPUTED_VALUE"""),"M3x8 CSK Phillips")</f>
        <v>M3x8 CSK Phillips</v>
      </c>
      <c r="AI484">
        <f ca="1">IFERROR(__xludf.DUMMYFUNCTION("""COMPUTED_VALUE"""),14)</f>
        <v>14</v>
      </c>
      <c r="AJ484" t="str">
        <f ca="1">IFERROR(__xludf.DUMMYFUNCTION("""COMPUTED_VALUE"""),"blank")</f>
        <v>blank</v>
      </c>
      <c r="AK484" t="e">
        <f ca="1">_xludf.IFNA(VLOOKUP(AG484,'S-FG'!$B$3:$B1001,1,FALSE),"")</f>
        <v>#NAME?</v>
      </c>
      <c r="AL484" t="e">
        <f ca="1">IF(AH484="","",SUMIFS(#REF!,RM!$C$4:$C991,AH484))</f>
        <v>#REF!</v>
      </c>
    </row>
    <row r="485" spans="5:38">
      <c r="E485" t="str">
        <f>IF(A485="","",SUMIFS(Issue!$D$3:$D1001,Issue!$C$3:$C1001,A485)*C485)</f>
        <v/>
      </c>
      <c r="F485" t="e">
        <f ca="1">_xludf.IFNA(VLOOKUP(B485,'S-FG'!$B$3:$B1001,1,FALSE),"")</f>
        <v>#NAME?</v>
      </c>
      <c r="L485" t="str">
        <f t="shared" si="4"/>
        <v/>
      </c>
      <c r="Q485" t="str">
        <f>IF(N485="","",SUMIFS(Issue!$D$3:$D1001,Issue!$C$3:$C1001,N485))</f>
        <v/>
      </c>
      <c r="S485" t="str">
        <f ca="1">IFERROR(__xludf.DUMMYFUNCTION("""COMPUTED_VALUE"""),"#N/A")</f>
        <v>#N/A</v>
      </c>
      <c r="Y485" t="str">
        <f t="shared" si="5"/>
        <v/>
      </c>
      <c r="Z485" t="str">
        <f>IF(X485="","",SUMIFS(#REF!,RM!$C$4:$C991,X485))</f>
        <v/>
      </c>
      <c r="AA485" t="str">
        <f>IF(X485="","",SUMIFS(#REF!,RM!$C$4:$C991,X485))</f>
        <v/>
      </c>
      <c r="AB485" t="e">
        <f t="shared" si="6"/>
        <v>#VALUE!</v>
      </c>
      <c r="AC485" t="str">
        <f>IF(X485="","",VLOOKUP($X485,RM!$C$4:$G991,3,FALSE))</f>
        <v/>
      </c>
      <c r="AD485" t="str">
        <f>IF(X485="","",VLOOKUP($X485,RM!$C$4:$G991,4,FALSE))</f>
        <v/>
      </c>
      <c r="AE485" t="str">
        <f>IF(X485="","",VLOOKUP($X485,RM!$C$4:$G991,5,FALSE))</f>
        <v/>
      </c>
      <c r="AG485" t="str">
        <f ca="1">IFERROR(__xludf.DUMMYFUNCTION("""COMPUTED_VALUE"""),"Bottom Block Assy")</f>
        <v>Bottom Block Assy</v>
      </c>
      <c r="AH485" t="str">
        <f ca="1">IFERROR(__xludf.DUMMYFUNCTION("""COMPUTED_VALUE"""),"M3x8 plain wahser")</f>
        <v>M3x8 plain wahser</v>
      </c>
      <c r="AI485">
        <f ca="1">IFERROR(__xludf.DUMMYFUNCTION("""COMPUTED_VALUE"""),2.5)</f>
        <v>2.5</v>
      </c>
      <c r="AJ485" t="str">
        <f ca="1">IFERROR(__xludf.DUMMYFUNCTION("""COMPUTED_VALUE"""),"blank")</f>
        <v>blank</v>
      </c>
      <c r="AK485" t="e">
        <f ca="1">_xludf.IFNA(VLOOKUP(AG485,'S-FG'!$B$3:$B1001,1,FALSE),"")</f>
        <v>#NAME?</v>
      </c>
      <c r="AL485" t="e">
        <f ca="1">IF(AH485="","",SUMIFS(#REF!,RM!$C$4:$C991,AH485))</f>
        <v>#REF!</v>
      </c>
    </row>
    <row r="486" spans="5:38">
      <c r="E486" t="str">
        <f>IF(A486="","",SUMIFS(Issue!$D$3:$D1001,Issue!$C$3:$C1001,A486)*C486)</f>
        <v/>
      </c>
      <c r="F486" t="e">
        <f ca="1">_xludf.IFNA(VLOOKUP(B486,'S-FG'!$B$3:$B1001,1,FALSE),"")</f>
        <v>#NAME?</v>
      </c>
      <c r="L486" t="str">
        <f t="shared" si="4"/>
        <v/>
      </c>
      <c r="Q486" t="str">
        <f>IF(N486="","",SUMIFS(Issue!$D$3:$D1001,Issue!$C$3:$C1001,N486))</f>
        <v/>
      </c>
      <c r="Y486" t="str">
        <f t="shared" si="5"/>
        <v/>
      </c>
      <c r="Z486" t="str">
        <f>IF(X486="","",SUMIFS(#REF!,RM!$C$4:$C991,X486))</f>
        <v/>
      </c>
      <c r="AA486" t="str">
        <f>IF(X486="","",SUMIFS(#REF!,RM!$C$4:$C991,X486))</f>
        <v/>
      </c>
      <c r="AB486" t="e">
        <f t="shared" si="6"/>
        <v>#VALUE!</v>
      </c>
      <c r="AC486" t="str">
        <f>IF(X486="","",VLOOKUP($X486,RM!$C$4:$G991,3,FALSE))</f>
        <v/>
      </c>
      <c r="AD486" t="str">
        <f>IF(X486="","",VLOOKUP($X486,RM!$C$4:$G991,4,FALSE))</f>
        <v/>
      </c>
      <c r="AE486" t="str">
        <f>IF(X486="","",VLOOKUP($X486,RM!$C$4:$G991,5,FALSE))</f>
        <v/>
      </c>
      <c r="AG486" t="str">
        <f ca="1">IFERROR(__xludf.DUMMYFUNCTION("""COMPUTED_VALUE"""),"STBD Aft Plate Assy")</f>
        <v>STBD Aft Plate Assy</v>
      </c>
      <c r="AH486" t="str">
        <f ca="1">IFERROR(__xludf.DUMMYFUNCTION("""COMPUTED_VALUE"""),"STBD Aft Plate")</f>
        <v>STBD Aft Plate</v>
      </c>
      <c r="AI486">
        <f ca="1">IFERROR(__xludf.DUMMYFUNCTION("""COMPUTED_VALUE"""),1)</f>
        <v>1</v>
      </c>
      <c r="AJ486" t="str">
        <f ca="1">IFERROR(__xludf.DUMMYFUNCTION("""COMPUTED_VALUE"""),"blank")</f>
        <v>blank</v>
      </c>
      <c r="AK486" t="e">
        <f ca="1">_xludf.IFNA(VLOOKUP(AG486,'S-FG'!$B$3:$B1001,1,FALSE),"")</f>
        <v>#NAME?</v>
      </c>
      <c r="AL486" t="e">
        <f ca="1">IF(AH486="","",SUMIFS(#REF!,RM!$C$4:$C991,AH486))</f>
        <v>#REF!</v>
      </c>
    </row>
    <row r="487" spans="5:38">
      <c r="E487" t="str">
        <f>IF(A487="","",SUMIFS(Issue!$D$3:$D1001,Issue!$C$3:$C1001,A487)*C487)</f>
        <v/>
      </c>
      <c r="F487" t="e">
        <f ca="1">_xludf.IFNA(VLOOKUP(B487,'S-FG'!$B$3:$B1001,1,FALSE),"")</f>
        <v>#NAME?</v>
      </c>
      <c r="L487" t="str">
        <f t="shared" si="4"/>
        <v/>
      </c>
      <c r="Q487" t="str">
        <f>IF(N487="","",SUMIFS(Issue!$D$3:$D1001,Issue!$C$3:$C1001,N487))</f>
        <v/>
      </c>
      <c r="Y487" t="str">
        <f t="shared" si="5"/>
        <v/>
      </c>
      <c r="Z487" t="str">
        <f>IF(X487="","",SUMIFS(#REF!,RM!$C$4:$C991,X487))</f>
        <v/>
      </c>
      <c r="AA487" t="str">
        <f>IF(X487="","",SUMIFS(#REF!,RM!$C$4:$C991,X487))</f>
        <v/>
      </c>
      <c r="AB487" t="e">
        <f t="shared" si="6"/>
        <v>#VALUE!</v>
      </c>
      <c r="AC487" t="str">
        <f>IF(X487="","",VLOOKUP($X487,RM!$C$4:$G991,3,FALSE))</f>
        <v/>
      </c>
      <c r="AD487" t="str">
        <f>IF(X487="","",VLOOKUP($X487,RM!$C$4:$G991,4,FALSE))</f>
        <v/>
      </c>
      <c r="AE487" t="str">
        <f>IF(X487="","",VLOOKUP($X487,RM!$C$4:$G991,5,FALSE))</f>
        <v/>
      </c>
      <c r="AG487" t="str">
        <f ca="1">IFERROR(__xludf.DUMMYFUNCTION("""COMPUTED_VALUE"""),"STBD Aft Plate Assy")</f>
        <v>STBD Aft Plate Assy</v>
      </c>
      <c r="AH487" t="str">
        <f ca="1">IFERROR(__xludf.DUMMYFUNCTION("""COMPUTED_VALUE"""),"SS Cooling Water Inlet nozzle")</f>
        <v>SS Cooling Water Inlet nozzle</v>
      </c>
      <c r="AI487">
        <f ca="1">IFERROR(__xludf.DUMMYFUNCTION("""COMPUTED_VALUE"""),1)</f>
        <v>1</v>
      </c>
      <c r="AK487" t="e">
        <f ca="1">_xludf.IFNA(VLOOKUP(AG487,'S-FG'!$B$3:$B1001,1,FALSE),"")</f>
        <v>#NAME?</v>
      </c>
      <c r="AL487" t="e">
        <f ca="1">IF(AH487="","",SUMIFS(#REF!,RM!$C$4:$C991,AH487))</f>
        <v>#REF!</v>
      </c>
    </row>
    <row r="488" spans="5:38">
      <c r="E488" t="str">
        <f>IF(A488="","",SUMIFS(Issue!$D$3:$D1001,Issue!$C$3:$C1001,A488)*C488)</f>
        <v/>
      </c>
      <c r="F488" t="e">
        <f ca="1">_xludf.IFNA(VLOOKUP(B488,'S-FG'!$B$3:$B1001,1,FALSE),"")</f>
        <v>#NAME?</v>
      </c>
      <c r="L488" t="str">
        <f t="shared" si="4"/>
        <v/>
      </c>
      <c r="Q488" t="str">
        <f>IF(N488="","",SUMIFS(Issue!$D$3:$D1001,Issue!$C$3:$C1001,N488))</f>
        <v/>
      </c>
      <c r="Y488" t="str">
        <f t="shared" si="5"/>
        <v/>
      </c>
      <c r="Z488" t="str">
        <f>IF(X488="","",SUMIFS(#REF!,RM!$C$4:$C991,X488))</f>
        <v/>
      </c>
      <c r="AA488" t="str">
        <f>IF(X488="","",SUMIFS(#REF!,RM!$C$4:$C991,X488))</f>
        <v/>
      </c>
      <c r="AB488" t="e">
        <f t="shared" si="6"/>
        <v>#VALUE!</v>
      </c>
      <c r="AC488" t="str">
        <f>IF(X488="","",VLOOKUP($X488,RM!$C$4:$G991,3,FALSE))</f>
        <v/>
      </c>
      <c r="AD488" t="str">
        <f>IF(X488="","",VLOOKUP($X488,RM!$C$4:$G991,4,FALSE))</f>
        <v/>
      </c>
      <c r="AE488" t="str">
        <f>IF(X488="","",VLOOKUP($X488,RM!$C$4:$G991,5,FALSE))</f>
        <v/>
      </c>
      <c r="AG488" t="str">
        <f ca="1">IFERROR(__xludf.DUMMYFUNCTION("""COMPUTED_VALUE"""),"STBD Aft Plate Assy")</f>
        <v>STBD Aft Plate Assy</v>
      </c>
      <c r="AH488" t="str">
        <f ca="1">IFERROR(__xludf.DUMMYFUNCTION("""COMPUTED_VALUE"""),"SS Cooling Water Outlet nozzle")</f>
        <v>SS Cooling Water Outlet nozzle</v>
      </c>
      <c r="AI488">
        <f ca="1">IFERROR(__xludf.DUMMYFUNCTION("""COMPUTED_VALUE"""),1)</f>
        <v>1</v>
      </c>
      <c r="AK488" t="e">
        <f ca="1">_xludf.IFNA(VLOOKUP(AG488,'S-FG'!$B$3:$B1001,1,FALSE),"")</f>
        <v>#NAME?</v>
      </c>
      <c r="AL488" t="e">
        <f ca="1">IF(AH488="","",SUMIFS(#REF!,RM!$C$4:$C991,AH488))</f>
        <v>#REF!</v>
      </c>
    </row>
    <row r="489" spans="5:38">
      <c r="E489" t="str">
        <f>IF(A489="","",SUMIFS(Issue!$D$3:$D1001,Issue!$C$3:$C1001,A489)*C489)</f>
        <v/>
      </c>
      <c r="F489" t="e">
        <f ca="1">_xludf.IFNA(VLOOKUP(B489,'S-FG'!$B$3:$B1001,1,FALSE),"")</f>
        <v>#NAME?</v>
      </c>
      <c r="L489" t="str">
        <f t="shared" si="4"/>
        <v/>
      </c>
      <c r="Q489" t="str">
        <f>IF(N489="","",SUMIFS(Issue!$D$3:$D1001,Issue!$C$3:$C1001,N489))</f>
        <v/>
      </c>
      <c r="Y489" t="str">
        <f t="shared" si="5"/>
        <v/>
      </c>
      <c r="Z489" t="str">
        <f>IF(X489="","",SUMIFS(#REF!,RM!$C$4:$C991,X489))</f>
        <v/>
      </c>
      <c r="AA489" t="str">
        <f>IF(X489="","",SUMIFS(#REF!,RM!$C$4:$C991,X489))</f>
        <v/>
      </c>
      <c r="AB489" t="e">
        <f t="shared" si="6"/>
        <v>#VALUE!</v>
      </c>
      <c r="AC489" t="str">
        <f>IF(X489="","",VLOOKUP($X489,RM!$C$4:$G991,3,FALSE))</f>
        <v/>
      </c>
      <c r="AD489" t="str">
        <f>IF(X489="","",VLOOKUP($X489,RM!$C$4:$G991,4,FALSE))</f>
        <v/>
      </c>
      <c r="AE489" t="str">
        <f>IF(X489="","",VLOOKUP($X489,RM!$C$4:$G991,5,FALSE))</f>
        <v/>
      </c>
      <c r="AG489" t="str">
        <f ca="1">IFERROR(__xludf.DUMMYFUNCTION("""COMPUTED_VALUE"""),"STBD Aft Plate Assy")</f>
        <v>STBD Aft Plate Assy</v>
      </c>
      <c r="AH489" t="str">
        <f ca="1">IFERROR(__xludf.DUMMYFUNCTION("""COMPUTED_VALUE"""),"Greasing nozzle")</f>
        <v>Greasing nozzle</v>
      </c>
      <c r="AI489">
        <f ca="1">IFERROR(__xludf.DUMMYFUNCTION("""COMPUTED_VALUE"""),1)</f>
        <v>1</v>
      </c>
      <c r="AK489" t="e">
        <f ca="1">_xludf.IFNA(VLOOKUP(AG489,'S-FG'!$B$3:$B1001,1,FALSE),"")</f>
        <v>#NAME?</v>
      </c>
      <c r="AL489" t="e">
        <f ca="1">IF(AH489="","",SUMIFS(#REF!,RM!$C$4:$C991,AH489))</f>
        <v>#REF!</v>
      </c>
    </row>
    <row r="490" spans="5:38">
      <c r="E490" t="str">
        <f>IF(A490="","",SUMIFS(Issue!$D$3:$D1001,Issue!$C$3:$C1001,A490)*C490)</f>
        <v/>
      </c>
      <c r="F490" t="e">
        <f ca="1">_xludf.IFNA(VLOOKUP(B490,'S-FG'!$B$3:$B1001,1,FALSE),"")</f>
        <v>#NAME?</v>
      </c>
      <c r="L490" t="str">
        <f t="shared" si="4"/>
        <v/>
      </c>
      <c r="Q490" t="str">
        <f>IF(N490="","",SUMIFS(Issue!$D$3:$D1001,Issue!$C$3:$C1001,N490))</f>
        <v/>
      </c>
      <c r="Y490" t="str">
        <f t="shared" si="5"/>
        <v/>
      </c>
      <c r="Z490" t="str">
        <f>IF(X490="","",SUMIFS(#REF!,RM!$C$4:$C991,X490))</f>
        <v/>
      </c>
      <c r="AA490" t="str">
        <f>IF(X490="","",SUMIFS(#REF!,RM!$C$4:$C991,X490))</f>
        <v/>
      </c>
      <c r="AB490" t="e">
        <f t="shared" si="6"/>
        <v>#VALUE!</v>
      </c>
      <c r="AC490" t="str">
        <f>IF(X490="","",VLOOKUP($X490,RM!$C$4:$G991,3,FALSE))</f>
        <v/>
      </c>
      <c r="AD490" t="str">
        <f>IF(X490="","",VLOOKUP($X490,RM!$C$4:$G991,4,FALSE))</f>
        <v/>
      </c>
      <c r="AE490" t="str">
        <f>IF(X490="","",VLOOKUP($X490,RM!$C$4:$G991,5,FALSE))</f>
        <v/>
      </c>
      <c r="AG490" t="str">
        <f ca="1">IFERROR(__xludf.DUMMYFUNCTION("""COMPUTED_VALUE"""),"STBD Aft Plate Assy")</f>
        <v>STBD Aft Plate Assy</v>
      </c>
      <c r="AH490" t="str">
        <f ca="1">IFERROR(__xludf.DUMMYFUNCTION("""COMPUTED_VALUE"""),"M8 Slim Locknut")</f>
        <v>M8 Slim Locknut</v>
      </c>
      <c r="AI490">
        <f ca="1">IFERROR(__xludf.DUMMYFUNCTION("""COMPUTED_VALUE"""),3)</f>
        <v>3</v>
      </c>
      <c r="AJ490" t="str">
        <f ca="1">IFERROR(__xludf.DUMMYFUNCTION("""COMPUTED_VALUE"""),"blank")</f>
        <v>blank</v>
      </c>
      <c r="AK490" t="e">
        <f ca="1">_xludf.IFNA(VLOOKUP(AG490,'S-FG'!$B$3:$B1001,1,FALSE),"")</f>
        <v>#NAME?</v>
      </c>
      <c r="AL490" t="e">
        <f ca="1">IF(AH490="","",SUMIFS(#REF!,RM!$C$4:$C991,AH490))</f>
        <v>#REF!</v>
      </c>
    </row>
    <row r="491" spans="5:38">
      <c r="E491" t="str">
        <f>IF(A491="","",SUMIFS(Issue!$D$3:$D1001,Issue!$C$3:$C1001,A491)*C491)</f>
        <v/>
      </c>
      <c r="F491" t="e">
        <f ca="1">_xludf.IFNA(VLOOKUP(B491,'S-FG'!$B$3:$B1001,1,FALSE),"")</f>
        <v>#NAME?</v>
      </c>
      <c r="L491" t="str">
        <f t="shared" si="4"/>
        <v/>
      </c>
      <c r="Q491" t="str">
        <f>IF(N491="","",SUMIFS(Issue!$D$3:$D1001,Issue!$C$3:$C1001,N491))</f>
        <v/>
      </c>
      <c r="Y491" t="str">
        <f t="shared" si="5"/>
        <v/>
      </c>
      <c r="Z491" t="str">
        <f>IF(X491="","",SUMIFS(#REF!,RM!$C$4:$C991,X491))</f>
        <v/>
      </c>
      <c r="AA491" t="str">
        <f>IF(X491="","",SUMIFS(#REF!,RM!$C$4:$C991,X491))</f>
        <v/>
      </c>
      <c r="AB491" t="e">
        <f t="shared" si="6"/>
        <v>#VALUE!</v>
      </c>
      <c r="AC491" t="str">
        <f>IF(X491="","",VLOOKUP($X491,RM!$C$4:$G991,3,FALSE))</f>
        <v/>
      </c>
      <c r="AD491" t="str">
        <f>IF(X491="","",VLOOKUP($X491,RM!$C$4:$G991,4,FALSE))</f>
        <v/>
      </c>
      <c r="AE491" t="str">
        <f>IF(X491="","",VLOOKUP($X491,RM!$C$4:$G991,5,FALSE))</f>
        <v/>
      </c>
      <c r="AG491" t="str">
        <f ca="1">IFERROR(__xludf.DUMMYFUNCTION("""COMPUTED_VALUE"""),"PORT Aft Plate Assy")</f>
        <v>PORT Aft Plate Assy</v>
      </c>
      <c r="AH491" t="str">
        <f ca="1">IFERROR(__xludf.DUMMYFUNCTION("""COMPUTED_VALUE"""),"PORT Aft Plate")</f>
        <v>PORT Aft Plate</v>
      </c>
      <c r="AI491">
        <f ca="1">IFERROR(__xludf.DUMMYFUNCTION("""COMPUTED_VALUE"""),1)</f>
        <v>1</v>
      </c>
      <c r="AJ491" t="str">
        <f ca="1">IFERROR(__xludf.DUMMYFUNCTION("""COMPUTED_VALUE"""),"blank")</f>
        <v>blank</v>
      </c>
      <c r="AK491" t="e">
        <f ca="1">_xludf.IFNA(VLOOKUP(AG491,'S-FG'!$B$3:$B1001,1,FALSE),"")</f>
        <v>#NAME?</v>
      </c>
      <c r="AL491" t="e">
        <f ca="1">IF(AH491="","",SUMIFS(#REF!,RM!$C$4:$C991,AH491))</f>
        <v>#REF!</v>
      </c>
    </row>
    <row r="492" spans="5:38">
      <c r="E492" t="str">
        <f>IF(A492="","",SUMIFS(Issue!$D$3:$D1001,Issue!$C$3:$C1001,A492)*C492)</f>
        <v/>
      </c>
      <c r="F492" t="e">
        <f ca="1">_xludf.IFNA(VLOOKUP(B492,'S-FG'!$B$3:$B1001,1,FALSE),"")</f>
        <v>#NAME?</v>
      </c>
      <c r="L492" t="str">
        <f t="shared" si="4"/>
        <v/>
      </c>
      <c r="Q492" t="str">
        <f>IF(N492="","",SUMIFS(Issue!$D$3:$D1001,Issue!$C$3:$C1001,N492))</f>
        <v/>
      </c>
      <c r="Y492" t="str">
        <f t="shared" si="5"/>
        <v/>
      </c>
      <c r="Z492" t="str">
        <f>IF(X492="","",SUMIFS(#REF!,RM!$C$4:$C991,X492))</f>
        <v/>
      </c>
      <c r="AA492" t="str">
        <f>IF(X492="","",SUMIFS(#REF!,RM!$C$4:$C991,X492))</f>
        <v/>
      </c>
      <c r="AB492" t="e">
        <f t="shared" si="6"/>
        <v>#VALUE!</v>
      </c>
      <c r="AC492" t="str">
        <f>IF(X492="","",VLOOKUP($X492,RM!$C$4:$G991,3,FALSE))</f>
        <v/>
      </c>
      <c r="AD492" t="str">
        <f>IF(X492="","",VLOOKUP($X492,RM!$C$4:$G991,4,FALSE))</f>
        <v/>
      </c>
      <c r="AE492" t="str">
        <f>IF(X492="","",VLOOKUP($X492,RM!$C$4:$G991,5,FALSE))</f>
        <v/>
      </c>
      <c r="AG492" t="str">
        <f ca="1">IFERROR(__xludf.DUMMYFUNCTION("""COMPUTED_VALUE"""),"PORT Aft Plate Assy")</f>
        <v>PORT Aft Plate Assy</v>
      </c>
      <c r="AH492" t="str">
        <f ca="1">IFERROR(__xludf.DUMMYFUNCTION("""COMPUTED_VALUE"""),"SS Cooling Water Inlet nozzle")</f>
        <v>SS Cooling Water Inlet nozzle</v>
      </c>
      <c r="AI492">
        <f ca="1">IFERROR(__xludf.DUMMYFUNCTION("""COMPUTED_VALUE"""),1)</f>
        <v>1</v>
      </c>
      <c r="AK492" t="e">
        <f ca="1">_xludf.IFNA(VLOOKUP(AG492,'S-FG'!$B$3:$B1001,1,FALSE),"")</f>
        <v>#NAME?</v>
      </c>
      <c r="AL492" t="e">
        <f ca="1">IF(AH492="","",SUMIFS(#REF!,RM!$C$4:$C991,AH492))</f>
        <v>#REF!</v>
      </c>
    </row>
    <row r="493" spans="5:38">
      <c r="E493" t="str">
        <f>IF(A493="","",SUMIFS(Issue!$D$3:$D1001,Issue!$C$3:$C1001,A493)*C493)</f>
        <v/>
      </c>
      <c r="F493" t="e">
        <f ca="1">_xludf.IFNA(VLOOKUP(B493,'S-FG'!$B$3:$B1001,1,FALSE),"")</f>
        <v>#NAME?</v>
      </c>
      <c r="L493" t="str">
        <f t="shared" si="4"/>
        <v/>
      </c>
      <c r="Q493" t="str">
        <f>IF(N493="","",SUMIFS(Issue!$D$3:$D1001,Issue!$C$3:$C1001,N493))</f>
        <v/>
      </c>
      <c r="Y493" t="str">
        <f t="shared" si="5"/>
        <v/>
      </c>
      <c r="Z493" t="str">
        <f>IF(X493="","",SUMIFS(#REF!,RM!$C$4:$C991,X493))</f>
        <v/>
      </c>
      <c r="AA493" t="str">
        <f>IF(X493="","",SUMIFS(#REF!,RM!$C$4:$C991,X493))</f>
        <v/>
      </c>
      <c r="AB493" t="e">
        <f t="shared" si="6"/>
        <v>#VALUE!</v>
      </c>
      <c r="AC493" t="str">
        <f>IF(X493="","",VLOOKUP($X493,RM!$C$4:$G991,3,FALSE))</f>
        <v/>
      </c>
      <c r="AD493" t="str">
        <f>IF(X493="","",VLOOKUP($X493,RM!$C$4:$G991,4,FALSE))</f>
        <v/>
      </c>
      <c r="AE493" t="str">
        <f>IF(X493="","",VLOOKUP($X493,RM!$C$4:$G991,5,FALSE))</f>
        <v/>
      </c>
      <c r="AG493" t="str">
        <f ca="1">IFERROR(__xludf.DUMMYFUNCTION("""COMPUTED_VALUE"""),"PORT Aft Plate Assy")</f>
        <v>PORT Aft Plate Assy</v>
      </c>
      <c r="AH493" t="str">
        <f ca="1">IFERROR(__xludf.DUMMYFUNCTION("""COMPUTED_VALUE"""),"SS Cooling Water Outlet nozzle")</f>
        <v>SS Cooling Water Outlet nozzle</v>
      </c>
      <c r="AI493">
        <f ca="1">IFERROR(__xludf.DUMMYFUNCTION("""COMPUTED_VALUE"""),1)</f>
        <v>1</v>
      </c>
      <c r="AK493" t="e">
        <f ca="1">_xludf.IFNA(VLOOKUP(AG493,'S-FG'!$B$3:$B1001,1,FALSE),"")</f>
        <v>#NAME?</v>
      </c>
      <c r="AL493" t="e">
        <f ca="1">IF(AH493="","",SUMIFS(#REF!,RM!$C$4:$C991,AH493))</f>
        <v>#REF!</v>
      </c>
    </row>
    <row r="494" spans="5:38">
      <c r="E494" t="str">
        <f>IF(A494="","",SUMIFS(Issue!$D$3:$D1001,Issue!$C$3:$C1001,A494)*C494)</f>
        <v/>
      </c>
      <c r="F494" t="e">
        <f ca="1">_xludf.IFNA(VLOOKUP(B494,'S-FG'!$B$3:$B1001,1,FALSE),"")</f>
        <v>#NAME?</v>
      </c>
      <c r="L494" t="str">
        <f t="shared" si="4"/>
        <v/>
      </c>
      <c r="Q494" t="str">
        <f>IF(N494="","",SUMIFS(Issue!$D$3:$D1001,Issue!$C$3:$C1001,N494))</f>
        <v/>
      </c>
      <c r="Y494" t="str">
        <f t="shared" si="5"/>
        <v/>
      </c>
      <c r="Z494" t="str">
        <f>IF(X494="","",SUMIFS(#REF!,RM!$C$4:$C991,X494))</f>
        <v/>
      </c>
      <c r="AA494" t="str">
        <f>IF(X494="","",SUMIFS(#REF!,RM!$C$4:$C991,X494))</f>
        <v/>
      </c>
      <c r="AB494" t="e">
        <f t="shared" si="6"/>
        <v>#VALUE!</v>
      </c>
      <c r="AC494" t="str">
        <f>IF(X494="","",VLOOKUP($X494,RM!$C$4:$G991,3,FALSE))</f>
        <v/>
      </c>
      <c r="AD494" t="str">
        <f>IF(X494="","",VLOOKUP($X494,RM!$C$4:$G991,4,FALSE))</f>
        <v/>
      </c>
      <c r="AE494" t="str">
        <f>IF(X494="","",VLOOKUP($X494,RM!$C$4:$G991,5,FALSE))</f>
        <v/>
      </c>
      <c r="AG494" t="str">
        <f ca="1">IFERROR(__xludf.DUMMYFUNCTION("""COMPUTED_VALUE"""),"PORT Aft Plate Assy")</f>
        <v>PORT Aft Plate Assy</v>
      </c>
      <c r="AH494" t="str">
        <f ca="1">IFERROR(__xludf.DUMMYFUNCTION("""COMPUTED_VALUE"""),"Greasing nozzle")</f>
        <v>Greasing nozzle</v>
      </c>
      <c r="AI494">
        <f ca="1">IFERROR(__xludf.DUMMYFUNCTION("""COMPUTED_VALUE"""),1)</f>
        <v>1</v>
      </c>
      <c r="AK494" t="e">
        <f ca="1">_xludf.IFNA(VLOOKUP(AG494,'S-FG'!$B$3:$B1001,1,FALSE),"")</f>
        <v>#NAME?</v>
      </c>
      <c r="AL494" t="e">
        <f ca="1">IF(AH494="","",SUMIFS(#REF!,RM!$C$4:$C991,AH494))</f>
        <v>#REF!</v>
      </c>
    </row>
    <row r="495" spans="5:38">
      <c r="E495" t="str">
        <f>IF(A495="","",SUMIFS(Issue!$D$3:$D1001,Issue!$C$3:$C1001,A495)*C495)</f>
        <v/>
      </c>
      <c r="F495" t="e">
        <f ca="1">_xludf.IFNA(VLOOKUP(B495,'S-FG'!$B$3:$B1001,1,FALSE),"")</f>
        <v>#NAME?</v>
      </c>
      <c r="L495" t="str">
        <f t="shared" si="4"/>
        <v/>
      </c>
      <c r="Q495" t="str">
        <f>IF(N495="","",SUMIFS(Issue!$D$3:$D1001,Issue!$C$3:$C1001,N495))</f>
        <v/>
      </c>
      <c r="Y495" t="str">
        <f t="shared" si="5"/>
        <v/>
      </c>
      <c r="Z495" t="str">
        <f>IF(X495="","",SUMIFS(#REF!,RM!$C$4:$C991,X495))</f>
        <v/>
      </c>
      <c r="AA495" t="str">
        <f>IF(X495="","",SUMIFS(#REF!,RM!$C$4:$C991,X495))</f>
        <v/>
      </c>
      <c r="AB495" t="e">
        <f t="shared" si="6"/>
        <v>#VALUE!</v>
      </c>
      <c r="AC495" t="str">
        <f>IF(X495="","",VLOOKUP($X495,RM!$C$4:$G991,3,FALSE))</f>
        <v/>
      </c>
      <c r="AD495" t="str">
        <f>IF(X495="","",VLOOKUP($X495,RM!$C$4:$G991,4,FALSE))</f>
        <v/>
      </c>
      <c r="AE495" t="str">
        <f>IF(X495="","",VLOOKUP($X495,RM!$C$4:$G991,5,FALSE))</f>
        <v/>
      </c>
      <c r="AG495" t="str">
        <f ca="1">IFERROR(__xludf.DUMMYFUNCTION("""COMPUTED_VALUE"""),"PORT Aft Plate Assy")</f>
        <v>PORT Aft Plate Assy</v>
      </c>
      <c r="AH495" t="str">
        <f ca="1">IFERROR(__xludf.DUMMYFUNCTION("""COMPUTED_VALUE"""),"Air nozzle")</f>
        <v>Air nozzle</v>
      </c>
      <c r="AI495">
        <f ca="1">IFERROR(__xludf.DUMMYFUNCTION("""COMPUTED_VALUE"""),1)</f>
        <v>1</v>
      </c>
      <c r="AJ495" t="str">
        <f ca="1">IFERROR(__xludf.DUMMYFUNCTION("""COMPUTED_VALUE"""),"blank")</f>
        <v>blank</v>
      </c>
      <c r="AK495" t="e">
        <f ca="1">_xludf.IFNA(VLOOKUP(AG495,'S-FG'!$B$3:$B1001,1,FALSE),"")</f>
        <v>#NAME?</v>
      </c>
      <c r="AL495" t="e">
        <f ca="1">IF(AH495="","",SUMIFS(#REF!,RM!$C$4:$C991,AH495))</f>
        <v>#REF!</v>
      </c>
    </row>
    <row r="496" spans="5:38">
      <c r="E496" t="str">
        <f>IF(A496="","",SUMIFS(Issue!$D$3:$D1001,Issue!$C$3:$C1001,A496)*C496)</f>
        <v/>
      </c>
      <c r="F496" t="e">
        <f ca="1">_xludf.IFNA(VLOOKUP(B496,'S-FG'!$B$3:$B1001,1,FALSE),"")</f>
        <v>#NAME?</v>
      </c>
      <c r="L496" t="str">
        <f t="shared" si="4"/>
        <v/>
      </c>
      <c r="Q496" t="str">
        <f>IF(N496="","",SUMIFS(Issue!$D$3:$D1001,Issue!$C$3:$C1001,N496))</f>
        <v/>
      </c>
      <c r="Y496" t="str">
        <f t="shared" si="5"/>
        <v/>
      </c>
      <c r="Z496" t="str">
        <f>IF(X496="","",SUMIFS(#REF!,RM!$C$4:$C991,X496))</f>
        <v/>
      </c>
      <c r="AA496" t="str">
        <f>IF(X496="","",SUMIFS(#REF!,RM!$C$4:$C991,X496))</f>
        <v/>
      </c>
      <c r="AB496" t="e">
        <f t="shared" si="6"/>
        <v>#VALUE!</v>
      </c>
      <c r="AC496" t="str">
        <f>IF(X496="","",VLOOKUP($X496,RM!$C$4:$G991,3,FALSE))</f>
        <v/>
      </c>
      <c r="AD496" t="str">
        <f>IF(X496="","",VLOOKUP($X496,RM!$C$4:$G991,4,FALSE))</f>
        <v/>
      </c>
      <c r="AE496" t="str">
        <f>IF(X496="","",VLOOKUP($X496,RM!$C$4:$G991,5,FALSE))</f>
        <v/>
      </c>
      <c r="AG496" t="str">
        <f ca="1">IFERROR(__xludf.DUMMYFUNCTION("""COMPUTED_VALUE"""),"PORT Aft Plate Assy")</f>
        <v>PORT Aft Plate Assy</v>
      </c>
      <c r="AH496" t="str">
        <f ca="1">IFERROR(__xludf.DUMMYFUNCTION("""COMPUTED_VALUE"""),"M8 Slim Locknut")</f>
        <v>M8 Slim Locknut</v>
      </c>
      <c r="AI496">
        <f ca="1">IFERROR(__xludf.DUMMYFUNCTION("""COMPUTED_VALUE"""),3)</f>
        <v>3</v>
      </c>
      <c r="AJ496" t="str">
        <f ca="1">IFERROR(__xludf.DUMMYFUNCTION("""COMPUTED_VALUE"""),"blank")</f>
        <v>blank</v>
      </c>
      <c r="AK496" t="e">
        <f ca="1">_xludf.IFNA(VLOOKUP(AG496,'S-FG'!$B$3:$B1001,1,FALSE),"")</f>
        <v>#NAME?</v>
      </c>
      <c r="AL496" t="e">
        <f ca="1">IF(AH496="","",SUMIFS(#REF!,RM!$C$4:$C991,AH496))</f>
        <v>#REF!</v>
      </c>
    </row>
    <row r="497" spans="5:38">
      <c r="E497" t="str">
        <f>IF(A497="","",SUMIFS(Issue!$D$3:$D1001,Issue!$C$3:$C1001,A497)*C497)</f>
        <v/>
      </c>
      <c r="F497" t="e">
        <f ca="1">_xludf.IFNA(VLOOKUP(B497,'S-FG'!$B$3:$B1001,1,FALSE),"")</f>
        <v>#NAME?</v>
      </c>
      <c r="L497" t="str">
        <f t="shared" si="4"/>
        <v/>
      </c>
      <c r="Q497" t="str">
        <f>IF(N497="","",SUMIFS(Issue!$D$3:$D1001,Issue!$C$3:$C1001,N497))</f>
        <v/>
      </c>
      <c r="Y497" t="str">
        <f t="shared" si="5"/>
        <v/>
      </c>
      <c r="Z497" t="str">
        <f>IF(X497="","",SUMIFS(#REF!,RM!$C$4:$C991,X497))</f>
        <v/>
      </c>
      <c r="AA497" t="str">
        <f>IF(X497="","",SUMIFS(#REF!,RM!$C$4:$C991,X497))</f>
        <v/>
      </c>
      <c r="AB497" t="e">
        <f t="shared" si="6"/>
        <v>#VALUE!</v>
      </c>
      <c r="AC497" t="str">
        <f>IF(X497="","",VLOOKUP($X497,RM!$C$4:$G991,3,FALSE))</f>
        <v/>
      </c>
      <c r="AD497" t="str">
        <f>IF(X497="","",VLOOKUP($X497,RM!$C$4:$G991,4,FALSE))</f>
        <v/>
      </c>
      <c r="AE497" t="str">
        <f>IF(X497="","",VLOOKUP($X497,RM!$C$4:$G991,5,FALSE))</f>
        <v/>
      </c>
      <c r="AG497" t="str">
        <f ca="1">IFERROR(__xludf.DUMMYFUNCTION("""COMPUTED_VALUE"""),"R9MX Adapter")</f>
        <v>R9MX Adapter</v>
      </c>
      <c r="AH497" t="str">
        <f ca="1">IFERROR(__xludf.DUMMYFUNCTION("""COMPUTED_VALUE"""),"PWB of R9MX adapter")</f>
        <v>PWB of R9MX adapter</v>
      </c>
      <c r="AI497">
        <f ca="1">IFERROR(__xludf.DUMMYFUNCTION("""COMPUTED_VALUE"""),1)</f>
        <v>1</v>
      </c>
      <c r="AJ497" t="str">
        <f ca="1">IFERROR(__xludf.DUMMYFUNCTION("""COMPUTED_VALUE"""),"blank")</f>
        <v>blank</v>
      </c>
      <c r="AK497" t="e">
        <f ca="1">_xludf.IFNA(VLOOKUP(AG497,'S-FG'!$B$3:$B1001,1,FALSE),"")</f>
        <v>#NAME?</v>
      </c>
      <c r="AL497" t="e">
        <f ca="1">IF(AH497="","",SUMIFS(#REF!,RM!$C$4:$C991,AH497))</f>
        <v>#REF!</v>
      </c>
    </row>
    <row r="498" spans="5:38">
      <c r="E498" t="str">
        <f>IF(A498="","",SUMIFS(Issue!$D$3:$D1001,Issue!$C$3:$C1001,A498)*C498)</f>
        <v/>
      </c>
      <c r="F498" t="e">
        <f ca="1">_xludf.IFNA(VLOOKUP(B498,'S-FG'!$B$3:$B1001,1,FALSE),"")</f>
        <v>#NAME?</v>
      </c>
      <c r="L498" t="str">
        <f t="shared" si="4"/>
        <v/>
      </c>
      <c r="Q498" t="str">
        <f>IF(N498="","",SUMIFS(Issue!$D$3:$D1001,Issue!$C$3:$C1001,N498))</f>
        <v/>
      </c>
      <c r="Y498" t="str">
        <f t="shared" si="5"/>
        <v/>
      </c>
      <c r="Z498" t="str">
        <f>IF(X498="","",SUMIFS(#REF!,RM!$C$4:$C991,X498))</f>
        <v/>
      </c>
      <c r="AA498" t="str">
        <f>IF(X498="","",SUMIFS(#REF!,RM!$C$4:$C991,X498))</f>
        <v/>
      </c>
      <c r="AB498" t="e">
        <f t="shared" si="6"/>
        <v>#VALUE!</v>
      </c>
      <c r="AC498" t="str">
        <f>IF(X498="","",VLOOKUP($X498,RM!$C$4:$G991,3,FALSE))</f>
        <v/>
      </c>
      <c r="AD498" t="str">
        <f>IF(X498="","",VLOOKUP($X498,RM!$C$4:$G991,4,FALSE))</f>
        <v/>
      </c>
      <c r="AE498" t="str">
        <f>IF(X498="","",VLOOKUP($X498,RM!$C$4:$G991,5,FALSE))</f>
        <v/>
      </c>
      <c r="AG498" t="str">
        <f ca="1">IFERROR(__xludf.DUMMYFUNCTION("""COMPUTED_VALUE"""),"R9MX Adapter")</f>
        <v>R9MX Adapter</v>
      </c>
      <c r="AH498" t="str">
        <f ca="1">IFERROR(__xludf.DUMMYFUNCTION("""COMPUTED_VALUE"""),"Female Bergstrip 40x1 2.0mm")</f>
        <v>Female Bergstrip 40x1 2.0mm</v>
      </c>
      <c r="AI498">
        <f ca="1">IFERROR(__xludf.DUMMYFUNCTION("""COMPUTED_VALUE"""),0.25)</f>
        <v>0.25</v>
      </c>
      <c r="AK498" t="e">
        <f ca="1">_xludf.IFNA(VLOOKUP(AG498,'S-FG'!$B$3:$B1001,1,FALSE),"")</f>
        <v>#NAME?</v>
      </c>
      <c r="AL498" t="e">
        <f ca="1">IF(AH498="","",SUMIFS(#REF!,RM!$C$4:$C991,AH498))</f>
        <v>#REF!</v>
      </c>
    </row>
    <row r="499" spans="5:38">
      <c r="E499" t="str">
        <f>IF(A499="","",SUMIFS(Issue!$D$3:$D1001,Issue!$C$3:$C1001,A499)*C499)</f>
        <v/>
      </c>
      <c r="F499" t="e">
        <f ca="1">_xludf.IFNA(VLOOKUP(B499,'S-FG'!$B$3:$B1001,1,FALSE),"")</f>
        <v>#NAME?</v>
      </c>
      <c r="L499" t="str">
        <f t="shared" si="4"/>
        <v/>
      </c>
      <c r="Q499" t="str">
        <f>IF(N499="","",SUMIFS(Issue!$D$3:$D1001,Issue!$C$3:$C1001,N499))</f>
        <v/>
      </c>
      <c r="Y499" t="str">
        <f t="shared" si="5"/>
        <v/>
      </c>
      <c r="Z499" t="str">
        <f>IF(X499="","",SUMIFS(#REF!,RM!$C$4:$C991,X499))</f>
        <v/>
      </c>
      <c r="AA499" t="str">
        <f>IF(X499="","",SUMIFS(#REF!,RM!$C$4:$C991,X499))</f>
        <v/>
      </c>
      <c r="AB499" t="e">
        <f t="shared" si="6"/>
        <v>#VALUE!</v>
      </c>
      <c r="AC499" t="str">
        <f>IF(X499="","",VLOOKUP($X499,RM!$C$4:$G991,3,FALSE))</f>
        <v/>
      </c>
      <c r="AD499" t="str">
        <f>IF(X499="","",VLOOKUP($X499,RM!$C$4:$G991,4,FALSE))</f>
        <v/>
      </c>
      <c r="AE499" t="str">
        <f>IF(X499="","",VLOOKUP($X499,RM!$C$4:$G991,5,FALSE))</f>
        <v/>
      </c>
      <c r="AG499" t="str">
        <f ca="1">IFERROR(__xludf.DUMMYFUNCTION("""COMPUTED_VALUE"""),"R9MX Adapter")</f>
        <v>R9MX Adapter</v>
      </c>
      <c r="AH499" t="str">
        <f ca="1">IFERROR(__xludf.DUMMYFUNCTION("""COMPUTED_VALUE"""),"Male Bergstrip 40x1 2.0mm")</f>
        <v>Male Bergstrip 40x1 2.0mm</v>
      </c>
      <c r="AI499">
        <f ca="1">IFERROR(__xludf.DUMMYFUNCTION("""COMPUTED_VALUE"""),0.25)</f>
        <v>0.25</v>
      </c>
      <c r="AK499" t="e">
        <f ca="1">_xludf.IFNA(VLOOKUP(AG499,'S-FG'!$B$3:$B1001,1,FALSE),"")</f>
        <v>#NAME?</v>
      </c>
      <c r="AL499" t="e">
        <f ca="1">IF(AH499="","",SUMIFS(#REF!,RM!$C$4:$C991,AH499))</f>
        <v>#REF!</v>
      </c>
    </row>
    <row r="500" spans="5:38">
      <c r="E500" t="str">
        <f>IF(A500="","",SUMIFS(Issue!$D$3:$D1001,Issue!$C$3:$C1001,A500)*C500)</f>
        <v/>
      </c>
      <c r="F500" t="e">
        <f ca="1">_xludf.IFNA(VLOOKUP(B500,'S-FG'!$B$3:$B1001,1,FALSE),"")</f>
        <v>#NAME?</v>
      </c>
      <c r="L500" t="str">
        <f t="shared" si="4"/>
        <v/>
      </c>
      <c r="Q500" t="str">
        <f>IF(N500="","",SUMIFS(Issue!$D$3:$D1001,Issue!$C$3:$C1001,N500))</f>
        <v/>
      </c>
      <c r="Y500" t="str">
        <f t="shared" si="5"/>
        <v/>
      </c>
      <c r="Z500" t="str">
        <f>IF(X500="","",SUMIFS(#REF!,RM!$C$4:$C991,X500))</f>
        <v/>
      </c>
      <c r="AA500" t="str">
        <f>IF(X500="","",SUMIFS(#REF!,RM!$C$4:$C991,X500))</f>
        <v/>
      </c>
      <c r="AB500" t="e">
        <f t="shared" si="6"/>
        <v>#VALUE!</v>
      </c>
      <c r="AC500" t="str">
        <f>IF(X500="","",VLOOKUP($X500,RM!$C$4:$G991,3,FALSE))</f>
        <v/>
      </c>
      <c r="AD500" t="str">
        <f>IF(X500="","",VLOOKUP($X500,RM!$C$4:$G991,4,FALSE))</f>
        <v/>
      </c>
      <c r="AE500" t="str">
        <f>IF(X500="","",VLOOKUP($X500,RM!$C$4:$G991,5,FALSE))</f>
        <v/>
      </c>
      <c r="AG500" t="str">
        <f ca="1">IFERROR(__xludf.DUMMYFUNCTION("""COMPUTED_VALUE"""),"R9MX Adapter")</f>
        <v>R9MX Adapter</v>
      </c>
      <c r="AH500" t="str">
        <f ca="1">IFERROR(__xludf.DUMMYFUNCTION("""COMPUTED_VALUE"""),"Lead wire 22AWG")</f>
        <v>Lead wire 22AWG</v>
      </c>
      <c r="AI500">
        <f ca="1">IFERROR(__xludf.DUMMYFUNCTION("""COMPUTED_VALUE"""),2)</f>
        <v>2</v>
      </c>
      <c r="AK500" t="e">
        <f ca="1">_xludf.IFNA(VLOOKUP(AG500,'S-FG'!$B$3:$B1001,1,FALSE),"")</f>
        <v>#NAME?</v>
      </c>
      <c r="AL500" t="e">
        <f ca="1">IF(AH500="","",SUMIFS(#REF!,RM!$C$4:$C991,AH500))</f>
        <v>#REF!</v>
      </c>
    </row>
    <row r="501" spans="5:38">
      <c r="E501" t="str">
        <f>IF(A501="","",SUMIFS(Issue!$D$3:$D1001,Issue!$C$3:$C1001,A501)*C501)</f>
        <v/>
      </c>
      <c r="F501" t="e">
        <f ca="1">_xludf.IFNA(VLOOKUP(B501,'S-FG'!$B$3:$B1001,1,FALSE),"")</f>
        <v>#NAME?</v>
      </c>
      <c r="L501" t="str">
        <f t="shared" si="4"/>
        <v/>
      </c>
      <c r="Q501" t="str">
        <f>IF(N501="","",SUMIFS(Issue!$D$3:$D1001,Issue!$C$3:$C1001,N501))</f>
        <v/>
      </c>
      <c r="Y501" t="str">
        <f t="shared" si="5"/>
        <v/>
      </c>
      <c r="Z501" t="str">
        <f>IF(X501="","",SUMIFS(#REF!,RM!$C$4:$C991,X501))</f>
        <v/>
      </c>
      <c r="AA501" t="str">
        <f>IF(X501="","",SUMIFS(#REF!,RM!$C$4:$C991,X501))</f>
        <v/>
      </c>
      <c r="AB501" t="e">
        <f t="shared" si="6"/>
        <v>#VALUE!</v>
      </c>
      <c r="AC501" t="str">
        <f>IF(X501="","",VLOOKUP($X501,RM!$C$4:$G991,3,FALSE))</f>
        <v/>
      </c>
      <c r="AD501" t="str">
        <f>IF(X501="","",VLOOKUP($X501,RM!$C$4:$G991,4,FALSE))</f>
        <v/>
      </c>
      <c r="AE501" t="str">
        <f>IF(X501="","",VLOOKUP($X501,RM!$C$4:$G991,5,FALSE))</f>
        <v/>
      </c>
      <c r="AG501" t="str">
        <f ca="1">IFERROR(__xludf.DUMMYFUNCTION("""COMPUTED_VALUE"""),"R9MX Adapter")</f>
        <v>R9MX Adapter</v>
      </c>
      <c r="AH501" t="str">
        <f ca="1">IFERROR(__xludf.DUMMYFUNCTION("""COMPUTED_VALUE"""),"LM1117 5.0v")</f>
        <v>LM1117 5.0v</v>
      </c>
      <c r="AI501">
        <f ca="1">IFERROR(__xludf.DUMMYFUNCTION("""COMPUTED_VALUE"""),1)</f>
        <v>1</v>
      </c>
      <c r="AJ501" t="str">
        <f ca="1">IFERROR(__xludf.DUMMYFUNCTION("""COMPUTED_VALUE"""),"blank")</f>
        <v>blank</v>
      </c>
      <c r="AK501" t="e">
        <f ca="1">_xludf.IFNA(VLOOKUP(AG501,'S-FG'!$B$3:$B1001,1,FALSE),"")</f>
        <v>#NAME?</v>
      </c>
      <c r="AL501" t="e">
        <f ca="1">IF(AH501="","",SUMIFS(#REF!,RM!$C$4:$C991,AH501))</f>
        <v>#REF!</v>
      </c>
    </row>
    <row r="502" spans="5:38">
      <c r="E502" t="str">
        <f>IF(A502="","",SUMIFS(Issue!$D$3:$D1001,Issue!$C$3:$C1001,A502)*C502)</f>
        <v/>
      </c>
      <c r="F502" t="e">
        <f ca="1">_xludf.IFNA(VLOOKUP(B502,'S-FG'!$B$3:$B1001,1,FALSE),"")</f>
        <v>#NAME?</v>
      </c>
      <c r="L502" t="str">
        <f t="shared" si="4"/>
        <v/>
      </c>
      <c r="Q502" t="str">
        <f>IF(N502="","",SUMIFS(Issue!$D$3:$D1001,Issue!$C$3:$C1001,N502))</f>
        <v/>
      </c>
      <c r="Y502" t="str">
        <f t="shared" si="5"/>
        <v/>
      </c>
      <c r="Z502" t="str">
        <f>IF(X502="","",SUMIFS(#REF!,RM!$C$4:$C991,X502))</f>
        <v/>
      </c>
      <c r="AA502" t="str">
        <f>IF(X502="","",SUMIFS(#REF!,RM!$C$4:$C991,X502))</f>
        <v/>
      </c>
      <c r="AB502" t="e">
        <f t="shared" si="6"/>
        <v>#VALUE!</v>
      </c>
      <c r="AC502" t="str">
        <f>IF(X502="","",VLOOKUP($X502,RM!$C$4:$G991,3,FALSE))</f>
        <v/>
      </c>
      <c r="AD502" t="str">
        <f>IF(X502="","",VLOOKUP($X502,RM!$C$4:$G991,4,FALSE))</f>
        <v/>
      </c>
      <c r="AE502" t="str">
        <f>IF(X502="","",VLOOKUP($X502,RM!$C$4:$G991,5,FALSE))</f>
        <v/>
      </c>
      <c r="AG502" t="str">
        <f ca="1">IFERROR(__xludf.DUMMYFUNCTION("""COMPUTED_VALUE"""),"R9MX Adapter")</f>
        <v>R9MX Adapter</v>
      </c>
      <c r="AH502" t="str">
        <f ca="1">IFERROR(__xludf.DUMMYFUNCTION("""COMPUTED_VALUE"""),"10uF 10v Tantalum Capacitor Case A")</f>
        <v>10uF 10v Tantalum Capacitor Case A</v>
      </c>
      <c r="AI502">
        <f ca="1">IFERROR(__xludf.DUMMYFUNCTION("""COMPUTED_VALUE"""),1)</f>
        <v>1</v>
      </c>
      <c r="AJ502" t="str">
        <f ca="1">IFERROR(__xludf.DUMMYFUNCTION("""COMPUTED_VALUE"""),"T491A106K010AT")</f>
        <v>T491A106K010AT</v>
      </c>
      <c r="AK502" t="e">
        <f ca="1">_xludf.IFNA(VLOOKUP(AG502,'S-FG'!$B$3:$B1001,1,FALSE),"")</f>
        <v>#NAME?</v>
      </c>
      <c r="AL502" t="e">
        <f ca="1">IF(AH502="","",SUMIFS(#REF!,RM!$C$4:$C991,AH502))</f>
        <v>#REF!</v>
      </c>
    </row>
    <row r="503" spans="5:38">
      <c r="E503" t="str">
        <f>IF(A503="","",SUMIFS(Issue!$D$3:$D1001,Issue!$C$3:$C1001,A503)*C503)</f>
        <v/>
      </c>
      <c r="F503" t="e">
        <f ca="1">_xludf.IFNA(VLOOKUP(B503,'S-FG'!$B$3:$B1001,1,FALSE),"")</f>
        <v>#NAME?</v>
      </c>
      <c r="L503" t="str">
        <f t="shared" si="4"/>
        <v/>
      </c>
      <c r="Q503" t="str">
        <f>IF(N503="","",SUMIFS(Issue!$D$3:$D1001,Issue!$C$3:$C1001,N503))</f>
        <v/>
      </c>
      <c r="Y503" t="str">
        <f t="shared" si="5"/>
        <v/>
      </c>
      <c r="Z503" t="str">
        <f>IF(X503="","",SUMIFS(#REF!,RM!$C$4:$C991,X503))</f>
        <v/>
      </c>
      <c r="AA503" t="str">
        <f>IF(X503="","",SUMIFS(#REF!,RM!$C$4:$C991,X503))</f>
        <v/>
      </c>
      <c r="AB503" t="e">
        <f t="shared" si="6"/>
        <v>#VALUE!</v>
      </c>
      <c r="AC503" t="str">
        <f>IF(X503="","",VLOOKUP($X503,RM!$C$4:$G991,3,FALSE))</f>
        <v/>
      </c>
      <c r="AD503" t="str">
        <f>IF(X503="","",VLOOKUP($X503,RM!$C$4:$G991,4,FALSE))</f>
        <v/>
      </c>
      <c r="AE503" t="str">
        <f>IF(X503="","",VLOOKUP($X503,RM!$C$4:$G991,5,FALSE))</f>
        <v/>
      </c>
      <c r="AG503" t="str">
        <f ca="1">IFERROR(__xludf.DUMMYFUNCTION("""COMPUTED_VALUE"""),"Final Packing")</f>
        <v>Final Packing</v>
      </c>
      <c r="AH503" t="str">
        <f ca="1">IFERROR(__xludf.DUMMYFUNCTION("""COMPUTED_VALUE"""),"66 No. Box for chraging cable &amp; Tool box")</f>
        <v>66 No. Box for chraging cable &amp; Tool box</v>
      </c>
      <c r="AI503">
        <f ca="1">IFERROR(__xludf.DUMMYFUNCTION("""COMPUTED_VALUE"""),1)</f>
        <v>1</v>
      </c>
      <c r="AJ503" t="str">
        <f ca="1">IFERROR(__xludf.DUMMYFUNCTION("""COMPUTED_VALUE"""),"blank")</f>
        <v>blank</v>
      </c>
      <c r="AK503" t="e">
        <f ca="1">_xludf.IFNA(VLOOKUP(AG503,'S-FG'!$B$3:$B1001,1,FALSE),"")</f>
        <v>#NAME?</v>
      </c>
      <c r="AL503" t="e">
        <f ca="1">IF(AH503="","",SUMIFS(#REF!,RM!$C$4:$C991,AH503))</f>
        <v>#REF!</v>
      </c>
    </row>
    <row r="504" spans="5:38">
      <c r="E504" t="str">
        <f>IF(A504="","",SUMIFS(Issue!$D$3:$D1001,Issue!$C$3:$C1001,A504)*C504)</f>
        <v/>
      </c>
      <c r="F504" t="e">
        <f ca="1">_xludf.IFNA(VLOOKUP(B504,'S-FG'!$B$3:$B1001,1,FALSE),"")</f>
        <v>#NAME?</v>
      </c>
      <c r="L504" t="str">
        <f t="shared" si="4"/>
        <v/>
      </c>
      <c r="Q504" t="str">
        <f>IF(N504="","",SUMIFS(Issue!$D$3:$D1001,Issue!$C$3:$C1001,N504))</f>
        <v/>
      </c>
      <c r="Y504" t="str">
        <f t="shared" si="5"/>
        <v/>
      </c>
      <c r="Z504" t="str">
        <f>IF(X504="","",SUMIFS(#REF!,RM!$C$4:$C991,X504))</f>
        <v/>
      </c>
      <c r="AA504" t="str">
        <f>IF(X504="","",SUMIFS(#REF!,RM!$C$4:$C991,X504))</f>
        <v/>
      </c>
      <c r="AB504" t="e">
        <f t="shared" si="6"/>
        <v>#VALUE!</v>
      </c>
      <c r="AC504" t="str">
        <f>IF(X504="","",VLOOKUP($X504,RM!$C$4:$G991,3,FALSE))</f>
        <v/>
      </c>
      <c r="AD504" t="str">
        <f>IF(X504="","",VLOOKUP($X504,RM!$C$4:$G991,4,FALSE))</f>
        <v/>
      </c>
      <c r="AE504" t="str">
        <f>IF(X504="","",VLOOKUP($X504,RM!$C$4:$G991,5,FALSE))</f>
        <v/>
      </c>
      <c r="AG504" t="str">
        <f ca="1">IFERROR(__xludf.DUMMYFUNCTION("""COMPUTED_VALUE"""),"Final Packing")</f>
        <v>Final Packing</v>
      </c>
      <c r="AH504" t="str">
        <f ca="1">IFERROR(__xludf.DUMMYFUNCTION("""COMPUTED_VALUE"""),"22 No. Box for SR structure screws")</f>
        <v>22 No. Box for SR structure screws</v>
      </c>
      <c r="AI504">
        <f ca="1">IFERROR(__xludf.DUMMYFUNCTION("""COMPUTED_VALUE"""),1)</f>
        <v>1</v>
      </c>
      <c r="AJ504" t="str">
        <f ca="1">IFERROR(__xludf.DUMMYFUNCTION("""COMPUTED_VALUE"""),"                                                                                 ")</f>
        <v xml:space="preserve">                                                                                 </v>
      </c>
      <c r="AK504" t="e">
        <f ca="1">_xludf.IFNA(VLOOKUP(AG504,'S-FG'!$B$3:$B1001,1,FALSE),"")</f>
        <v>#NAME?</v>
      </c>
      <c r="AL504" t="e">
        <f ca="1">IF(AH504="","",SUMIFS(#REF!,RM!$C$4:$C991,AH504))</f>
        <v>#REF!</v>
      </c>
    </row>
    <row r="505" spans="5:38">
      <c r="E505" t="str">
        <f>IF(A505="","",SUMIFS(Issue!$D$3:$D1001,Issue!$C$3:$C1001,A505)*C505)</f>
        <v/>
      </c>
      <c r="F505" t="e">
        <f ca="1">_xludf.IFNA(VLOOKUP(B505,'S-FG'!$B$3:$B1001,1,FALSE),"")</f>
        <v>#NAME?</v>
      </c>
      <c r="L505" t="str">
        <f t="shared" si="4"/>
        <v/>
      </c>
      <c r="Q505" t="str">
        <f>IF(N505="","",SUMIFS(Issue!$D$3:$D1001,Issue!$C$3:$C1001,N505))</f>
        <v/>
      </c>
      <c r="Y505" t="str">
        <f t="shared" si="5"/>
        <v/>
      </c>
      <c r="Z505" t="str">
        <f>IF(X505="","",SUMIFS(#REF!,RM!$C$4:$C991,X505))</f>
        <v/>
      </c>
      <c r="AA505" t="str">
        <f>IF(X505="","",SUMIFS(#REF!,RM!$C$4:$C991,X505))</f>
        <v/>
      </c>
      <c r="AB505" t="e">
        <f t="shared" si="6"/>
        <v>#VALUE!</v>
      </c>
      <c r="AC505" t="str">
        <f>IF(X505="","",VLOOKUP($X505,RM!$C$4:$G991,3,FALSE))</f>
        <v/>
      </c>
      <c r="AD505" t="str">
        <f>IF(X505="","",VLOOKUP($X505,RM!$C$4:$G991,4,FALSE))</f>
        <v/>
      </c>
      <c r="AE505" t="str">
        <f>IF(X505="","",VLOOKUP($X505,RM!$C$4:$G991,5,FALSE))</f>
        <v/>
      </c>
      <c r="AG505" t="str">
        <f ca="1">IFERROR(__xludf.DUMMYFUNCTION("""COMPUTED_VALUE"""),"Final Packing")</f>
        <v>Final Packing</v>
      </c>
      <c r="AH505" t="str">
        <f ca="1">IFERROR(__xludf.DUMMYFUNCTION("""COMPUTED_VALUE"""),"10mm Nut Driver with 15mm Depth")</f>
        <v>10mm Nut Driver with 15mm Depth</v>
      </c>
      <c r="AI505">
        <f ca="1">IFERROR(__xludf.DUMMYFUNCTION("""COMPUTED_VALUE"""),1)</f>
        <v>1</v>
      </c>
      <c r="AJ505" t="str">
        <f ca="1">IFERROR(__xludf.DUMMYFUNCTION("""COMPUTED_VALUE"""),"blank")</f>
        <v>blank</v>
      </c>
      <c r="AK505" t="e">
        <f ca="1">_xludf.IFNA(VLOOKUP(AG505,'S-FG'!$B$3:$B1001,1,FALSE),"")</f>
        <v>#NAME?</v>
      </c>
      <c r="AL505" t="e">
        <f ca="1">IF(AH505="","",SUMIFS(#REF!,RM!$C$4:$C991,AH505))</f>
        <v>#REF!</v>
      </c>
    </row>
    <row r="506" spans="5:38">
      <c r="E506" t="str">
        <f>IF(A506="","",SUMIFS(Issue!$D$3:$D1001,Issue!$C$3:$C1001,A506)*C506)</f>
        <v/>
      </c>
      <c r="F506" t="e">
        <f ca="1">_xludf.IFNA(VLOOKUP(B506,'S-FG'!$B$3:$B1001,1,FALSE),"")</f>
        <v>#NAME?</v>
      </c>
      <c r="L506" t="str">
        <f t="shared" si="4"/>
        <v/>
      </c>
      <c r="Q506" t="str">
        <f>IF(N506="","",SUMIFS(Issue!$D$3:$D1001,Issue!$C$3:$C1001,N506))</f>
        <v/>
      </c>
      <c r="Y506" t="str">
        <f t="shared" si="5"/>
        <v/>
      </c>
      <c r="Z506" t="str">
        <f>IF(X506="","",SUMIFS(#REF!,RM!$C$4:$C991,X506))</f>
        <v/>
      </c>
      <c r="AA506" t="str">
        <f>IF(X506="","",SUMIFS(#REF!,RM!$C$4:$C991,X506))</f>
        <v/>
      </c>
      <c r="AB506" t="e">
        <f t="shared" si="6"/>
        <v>#VALUE!</v>
      </c>
      <c r="AC506" t="str">
        <f>IF(X506="","",VLOOKUP($X506,RM!$C$4:$G991,3,FALSE))</f>
        <v/>
      </c>
      <c r="AD506" t="str">
        <f>IF(X506="","",VLOOKUP($X506,RM!$C$4:$G991,4,FALSE))</f>
        <v/>
      </c>
      <c r="AE506" t="str">
        <f>IF(X506="","",VLOOKUP($X506,RM!$C$4:$G991,5,FALSE))</f>
        <v/>
      </c>
      <c r="AG506" t="str">
        <f ca="1">IFERROR(__xludf.DUMMYFUNCTION("""COMPUTED_VALUE"""),"Final Packing")</f>
        <v>Final Packing</v>
      </c>
      <c r="AH506" t="str">
        <f ca="1">IFERROR(__xludf.DUMMYFUNCTION("""COMPUTED_VALUE"""),"4mm T-Handle")</f>
        <v>4mm T-Handle</v>
      </c>
      <c r="AI506">
        <f ca="1">IFERROR(__xludf.DUMMYFUNCTION("""COMPUTED_VALUE"""),1)</f>
        <v>1</v>
      </c>
      <c r="AJ506" t="str">
        <f ca="1">IFERROR(__xludf.DUMMYFUNCTION("""COMPUTED_VALUE"""),"blank")</f>
        <v>blank</v>
      </c>
      <c r="AK506" t="e">
        <f ca="1">_xludf.IFNA(VLOOKUP(AG506,'S-FG'!$B$3:$B1001,1,FALSE),"")</f>
        <v>#NAME?</v>
      </c>
      <c r="AL506" t="e">
        <f ca="1">IF(AH506="","",SUMIFS(#REF!,RM!$C$4:$C991,AH506))</f>
        <v>#REF!</v>
      </c>
    </row>
    <row r="507" spans="5:38">
      <c r="E507" t="str">
        <f>IF(A507="","",SUMIFS(Issue!$D$3:$D1001,Issue!$C$3:$C1001,A507)*C507)</f>
        <v/>
      </c>
      <c r="F507" t="e">
        <f ca="1">_xludf.IFNA(VLOOKUP(B507,'S-FG'!$B$3:$B1001,1,FALSE),"")</f>
        <v>#NAME?</v>
      </c>
      <c r="L507" t="str">
        <f t="shared" si="4"/>
        <v/>
      </c>
      <c r="Q507" t="str">
        <f>IF(N507="","",SUMIFS(Issue!$D$3:$D1001,Issue!$C$3:$C1001,N507))</f>
        <v/>
      </c>
      <c r="Y507" t="str">
        <f t="shared" si="5"/>
        <v/>
      </c>
      <c r="Z507" t="str">
        <f>IF(X507="","",SUMIFS(#REF!,RM!$C$4:$C991,X507))</f>
        <v/>
      </c>
      <c r="AA507" t="str">
        <f>IF(X507="","",SUMIFS(#REF!,RM!$C$4:$C991,X507))</f>
        <v/>
      </c>
      <c r="AB507" t="e">
        <f t="shared" si="6"/>
        <v>#VALUE!</v>
      </c>
      <c r="AC507" t="str">
        <f>IF(X507="","",VLOOKUP($X507,RM!$C$4:$G991,3,FALSE))</f>
        <v/>
      </c>
      <c r="AD507" t="str">
        <f>IF(X507="","",VLOOKUP($X507,RM!$C$4:$G991,4,FALSE))</f>
        <v/>
      </c>
      <c r="AE507" t="str">
        <f>IF(X507="","",VLOOKUP($X507,RM!$C$4:$G991,5,FALSE))</f>
        <v/>
      </c>
      <c r="AG507" t="str">
        <f ca="1">IFERROR(__xludf.DUMMYFUNCTION("""COMPUTED_VALUE"""),"Final Packing")</f>
        <v>Final Packing</v>
      </c>
      <c r="AH507" t="str">
        <f ca="1">IFERROR(__xludf.DUMMYFUNCTION("""COMPUTED_VALUE"""),"Greasing Pump")</f>
        <v>Greasing Pump</v>
      </c>
      <c r="AI507">
        <f ca="1">IFERROR(__xludf.DUMMYFUNCTION("""COMPUTED_VALUE"""),1)</f>
        <v>1</v>
      </c>
      <c r="AK507" t="e">
        <f ca="1">_xludf.IFNA(VLOOKUP(AG507,'S-FG'!$B$3:$B1001,1,FALSE),"")</f>
        <v>#NAME?</v>
      </c>
      <c r="AL507" t="e">
        <f ca="1">IF(AH507="","",SUMIFS(#REF!,RM!$C$4:$C991,AH507))</f>
        <v>#REF!</v>
      </c>
    </row>
    <row r="508" spans="5:38">
      <c r="E508" t="str">
        <f>IF(A508="","",SUMIFS(Issue!$D$3:$D1001,Issue!$C$3:$C1001,A508)*C508)</f>
        <v/>
      </c>
      <c r="F508" t="e">
        <f ca="1">_xludf.IFNA(VLOOKUP(B508,'S-FG'!$B$3:$B1001,1,FALSE),"")</f>
        <v>#NAME?</v>
      </c>
      <c r="L508" t="str">
        <f t="shared" si="4"/>
        <v/>
      </c>
      <c r="Q508" t="str">
        <f>IF(N508="","",SUMIFS(Issue!$D$3:$D1001,Issue!$C$3:$C1001,N508))</f>
        <v/>
      </c>
      <c r="Y508" t="str">
        <f t="shared" si="5"/>
        <v/>
      </c>
      <c r="Z508" t="str">
        <f>IF(X508="","",SUMIFS(#REF!,RM!$C$4:$C991,X508))</f>
        <v/>
      </c>
      <c r="AA508" t="str">
        <f>IF(X508="","",SUMIFS(#REF!,RM!$C$4:$C991,X508))</f>
        <v/>
      </c>
      <c r="AB508" t="e">
        <f t="shared" si="6"/>
        <v>#VALUE!</v>
      </c>
      <c r="AC508" t="str">
        <f>IF(X508="","",VLOOKUP($X508,RM!$C$4:$G991,3,FALSE))</f>
        <v/>
      </c>
      <c r="AD508" t="str">
        <f>IF(X508="","",VLOOKUP($X508,RM!$C$4:$G991,4,FALSE))</f>
        <v/>
      </c>
      <c r="AE508" t="str">
        <f>IF(X508="","",VLOOKUP($X508,RM!$C$4:$G991,5,FALSE))</f>
        <v/>
      </c>
      <c r="AG508" t="str">
        <f ca="1">IFERROR(__xludf.DUMMYFUNCTION("""COMPUTED_VALUE"""),"Final Packing")</f>
        <v>Final Packing</v>
      </c>
      <c r="AH508" t="str">
        <f ca="1">IFERROR(__xludf.DUMMYFUNCTION("""COMPUTED_VALUE"""),"Grease")</f>
        <v>Grease</v>
      </c>
      <c r="AI508">
        <f ca="1">IFERROR(__xludf.DUMMYFUNCTION("""COMPUTED_VALUE"""),180)</f>
        <v>180</v>
      </c>
      <c r="AK508" t="e">
        <f ca="1">_xludf.IFNA(VLOOKUP(AG508,'S-FG'!$B$3:$B1001,1,FALSE),"")</f>
        <v>#NAME?</v>
      </c>
      <c r="AL508" t="e">
        <f ca="1">IF(AH508="","",SUMIFS(#REF!,RM!$C$4:$C991,AH508))</f>
        <v>#REF!</v>
      </c>
    </row>
    <row r="509" spans="5:38">
      <c r="E509" t="str">
        <f>IF(A509="","",SUMIFS(Issue!$D$3:$D1001,Issue!$C$3:$C1001,A509)*C509)</f>
        <v/>
      </c>
      <c r="F509" t="e">
        <f ca="1">_xludf.IFNA(VLOOKUP(B509,'S-FG'!$B$3:$B1001,1,FALSE),"")</f>
        <v>#NAME?</v>
      </c>
      <c r="L509" t="str">
        <f t="shared" si="4"/>
        <v/>
      </c>
      <c r="Q509" t="str">
        <f>IF(N509="","",SUMIFS(Issue!$D$3:$D1001,Issue!$C$3:$C1001,N509))</f>
        <v/>
      </c>
      <c r="Y509" t="str">
        <f t="shared" si="5"/>
        <v/>
      </c>
      <c r="Z509" t="str">
        <f>IF(X509="","",SUMIFS(#REF!,RM!$C$4:$C991,X509))</f>
        <v/>
      </c>
      <c r="AA509" t="str">
        <f>IF(X509="","",SUMIFS(#REF!,RM!$C$4:$C991,X509))</f>
        <v/>
      </c>
      <c r="AB509" t="e">
        <f t="shared" si="6"/>
        <v>#VALUE!</v>
      </c>
      <c r="AC509" t="str">
        <f>IF(X509="","",VLOOKUP($X509,RM!$C$4:$G991,3,FALSE))</f>
        <v/>
      </c>
      <c r="AD509" t="str">
        <f>IF(X509="","",VLOOKUP($X509,RM!$C$4:$G991,4,FALSE))</f>
        <v/>
      </c>
      <c r="AE509" t="str">
        <f>IF(X509="","",VLOOKUP($X509,RM!$C$4:$G991,5,FALSE))</f>
        <v/>
      </c>
      <c r="AG509" t="str">
        <f ca="1">IFERROR(__xludf.DUMMYFUNCTION("""COMPUTED_VALUE"""),"Final Packing")</f>
        <v>Final Packing</v>
      </c>
      <c r="AH509" t="str">
        <f ca="1">IFERROR(__xludf.DUMMYFUNCTION("""COMPUTED_VALUE"""),"EPE sheet 20mm 48""x72""")</f>
        <v>EPE sheet 20mm 48"x72"</v>
      </c>
      <c r="AI509">
        <f ca="1">IFERROR(__xludf.DUMMYFUNCTION("""COMPUTED_VALUE"""),1)</f>
        <v>1</v>
      </c>
      <c r="AK509" t="e">
        <f ca="1">_xludf.IFNA(VLOOKUP(AG509,'S-FG'!$B$3:$B1001,1,FALSE),"")</f>
        <v>#NAME?</v>
      </c>
      <c r="AL509" t="e">
        <f ca="1">IF(AH509="","",SUMIFS(#REF!,RM!$C$4:$C991,AH509))</f>
        <v>#REF!</v>
      </c>
    </row>
    <row r="510" spans="5:38">
      <c r="E510" t="str">
        <f>IF(A510="","",SUMIFS(Issue!$D$3:$D1001,Issue!$C$3:$C1001,A510)*C510)</f>
        <v/>
      </c>
      <c r="F510" t="e">
        <f ca="1">_xludf.IFNA(VLOOKUP(B510,'S-FG'!$B$3:$B1001,1,FALSE),"")</f>
        <v>#NAME?</v>
      </c>
      <c r="L510" t="str">
        <f t="shared" si="4"/>
        <v/>
      </c>
      <c r="Q510" t="str">
        <f>IF(N510="","",SUMIFS(Issue!$D$3:$D1001,Issue!$C$3:$C1001,N510))</f>
        <v/>
      </c>
      <c r="Y510" t="str">
        <f t="shared" si="5"/>
        <v/>
      </c>
      <c r="Z510" t="str">
        <f>IF(X510="","",SUMIFS(#REF!,RM!$C$4:$C991,X510))</f>
        <v/>
      </c>
      <c r="AA510" t="str">
        <f>IF(X510="","",SUMIFS(#REF!,RM!$C$4:$C991,X510))</f>
        <v/>
      </c>
      <c r="AB510" t="e">
        <f t="shared" si="6"/>
        <v>#VALUE!</v>
      </c>
      <c r="AC510" t="str">
        <f>IF(X510="","",VLOOKUP($X510,RM!$C$4:$G991,3,FALSE))</f>
        <v/>
      </c>
      <c r="AD510" t="str">
        <f>IF(X510="","",VLOOKUP($X510,RM!$C$4:$G991,4,FALSE))</f>
        <v/>
      </c>
      <c r="AE510" t="str">
        <f>IF(X510="","",VLOOKUP($X510,RM!$C$4:$G991,5,FALSE))</f>
        <v/>
      </c>
      <c r="AG510" t="str">
        <f ca="1">IFERROR(__xludf.DUMMYFUNCTION("""COMPUTED_VALUE"""),"Final Packing")</f>
        <v>Final Packing</v>
      </c>
      <c r="AH510" t="str">
        <f ca="1">IFERROR(__xludf.DUMMYFUNCTION("""COMPUTED_VALUE"""),"HardBox FRP/HDPE/CARTON/EPE")</f>
        <v>HardBox FRP/HDPE/CARTON/EPE</v>
      </c>
      <c r="AI510">
        <f ca="1">IFERROR(__xludf.DUMMYFUNCTION("""COMPUTED_VALUE"""),1)</f>
        <v>1</v>
      </c>
      <c r="AJ510" t="str">
        <f ca="1">IFERROR(__xludf.DUMMYFUNCTION("""COMPUTED_VALUE"""),"blank")</f>
        <v>blank</v>
      </c>
      <c r="AK510" t="e">
        <f ca="1">_xludf.IFNA(VLOOKUP(AG510,'S-FG'!$B$3:$B1001,1,FALSE),"")</f>
        <v>#NAME?</v>
      </c>
      <c r="AL510" t="e">
        <f ca="1">IF(AH510="","",SUMIFS(#REF!,RM!$C$4:$C991,AH510))</f>
        <v>#REF!</v>
      </c>
    </row>
    <row r="511" spans="5:38">
      <c r="E511" t="str">
        <f>IF(A511="","",SUMIFS(Issue!$D$3:$D1001,Issue!$C$3:$C1001,A511)*C511)</f>
        <v/>
      </c>
      <c r="F511" t="e">
        <f ca="1">_xludf.IFNA(VLOOKUP(B511,'S-FG'!$B$3:$B1001,1,FALSE),"")</f>
        <v>#NAME?</v>
      </c>
      <c r="L511" t="str">
        <f t="shared" si="4"/>
        <v/>
      </c>
      <c r="Q511" t="str">
        <f>IF(N511="","",SUMIFS(Issue!$D$3:$D1001,Issue!$C$3:$C1001,N511))</f>
        <v/>
      </c>
      <c r="Y511" t="str">
        <f t="shared" si="5"/>
        <v/>
      </c>
      <c r="Z511" t="str">
        <f>IF(X511="","",SUMIFS(#REF!,RM!$C$4:$C991,X511))</f>
        <v/>
      </c>
      <c r="AA511" t="str">
        <f>IF(X511="","",SUMIFS(#REF!,RM!$C$4:$C991,X511))</f>
        <v/>
      </c>
      <c r="AB511" t="e">
        <f t="shared" si="6"/>
        <v>#VALUE!</v>
      </c>
      <c r="AC511" t="str">
        <f>IF(X511="","",VLOOKUP($X511,RM!$C$4:$G991,3,FALSE))</f>
        <v/>
      </c>
      <c r="AD511" t="str">
        <f>IF(X511="","",VLOOKUP($X511,RM!$C$4:$G991,4,FALSE))</f>
        <v/>
      </c>
      <c r="AE511" t="str">
        <f>IF(X511="","",VLOOKUP($X511,RM!$C$4:$G991,5,FALSE))</f>
        <v/>
      </c>
      <c r="AG511" t="str">
        <f ca="1">IFERROR(__xludf.DUMMYFUNCTION("""COMPUTED_VALUE"""),"Final Packing")</f>
        <v>Final Packing</v>
      </c>
      <c r="AH511" t="str">
        <f ca="1">IFERROR(__xludf.DUMMYFUNCTION("""COMPUTED_VALUE"""),"User Manual")</f>
        <v>User Manual</v>
      </c>
      <c r="AI511">
        <f ca="1">IFERROR(__xludf.DUMMYFUNCTION("""COMPUTED_VALUE"""),1)</f>
        <v>1</v>
      </c>
      <c r="AJ511" t="str">
        <f ca="1">IFERROR(__xludf.DUMMYFUNCTION("""COMPUTED_VALUE"""),"blank")</f>
        <v>blank</v>
      </c>
      <c r="AK511" t="e">
        <f ca="1">_xludf.IFNA(VLOOKUP(AG511,'S-FG'!$B$3:$B1001,1,FALSE),"")</f>
        <v>#NAME?</v>
      </c>
      <c r="AL511" t="e">
        <f ca="1">IF(AH511="","",SUMIFS(#REF!,RM!$C$4:$C991,AH511))</f>
        <v>#REF!</v>
      </c>
    </row>
    <row r="512" spans="5:38">
      <c r="E512" t="str">
        <f>IF(A512="","",SUMIFS(Issue!$D$3:$D1001,Issue!$C$3:$C1001,A512)*C512)</f>
        <v/>
      </c>
      <c r="F512" t="e">
        <f ca="1">_xludf.IFNA(VLOOKUP(B512,'S-FG'!$B$3:$B1001,1,FALSE),"")</f>
        <v>#NAME?</v>
      </c>
      <c r="L512" t="str">
        <f t="shared" ref="L512:L766" si="7">IF(H512="","",SUMIFS($E$2:$E1511,$F$2:$F1511,H512)*J512)</f>
        <v/>
      </c>
      <c r="Q512" t="str">
        <f>IF(N512="","",SUMIFS(Issue!$D$3:$D1001,Issue!$C$3:$C1001,N512))</f>
        <v/>
      </c>
      <c r="Y512" t="str">
        <f t="shared" ref="Y512:Y766" si="8">IF(X512="","",SUMIFS($E$2:$E1511,$B$2:$B1511,X512)+SUMIFS($L$2:$L1511,$I$2:$I1511,X512)+(SUMIFS($Q$2:$Q1511,$N$2:$N1511,X512)))</f>
        <v/>
      </c>
      <c r="Z512" t="str">
        <f>IF(X512="","",SUMIFS(#REF!,RM!$C$4:$C991,X512))</f>
        <v/>
      </c>
      <c r="AA512" t="str">
        <f>IF(X512="","",SUMIFS(#REF!,RM!$C$4:$C991,X512))</f>
        <v/>
      </c>
      <c r="AB512" t="e">
        <f t="shared" ref="AB512:AB766" si="9">Y512-AA512-Z512</f>
        <v>#VALUE!</v>
      </c>
      <c r="AC512" t="str">
        <f>IF(X512="","",VLOOKUP($X512,RM!$C$4:$G991,3,FALSE))</f>
        <v/>
      </c>
      <c r="AD512" t="str">
        <f>IF(X512="","",VLOOKUP($X512,RM!$C$4:$G991,4,FALSE))</f>
        <v/>
      </c>
      <c r="AE512" t="str">
        <f>IF(X512="","",VLOOKUP($X512,RM!$C$4:$G991,5,FALSE))</f>
        <v/>
      </c>
      <c r="AG512" t="str">
        <f ca="1">IFERROR(__xludf.DUMMYFUNCTION("""COMPUTED_VALUE"""),"Final Packing")</f>
        <v>Final Packing</v>
      </c>
      <c r="AH512" t="str">
        <f ca="1">IFERROR(__xludf.DUMMYFUNCTION("""COMPUTED_VALUE"""),"Envelope for User Manual")</f>
        <v>Envelope for User Manual</v>
      </c>
      <c r="AI512">
        <f ca="1">IFERROR(__xludf.DUMMYFUNCTION("""COMPUTED_VALUE"""),1)</f>
        <v>1</v>
      </c>
      <c r="AK512" t="e">
        <f ca="1">_xludf.IFNA(VLOOKUP(AG512,'S-FG'!$B$3:$B1001,1,FALSE),"")</f>
        <v>#NAME?</v>
      </c>
      <c r="AL512" t="e">
        <f ca="1">IF(AH512="","",SUMIFS(#REF!,RM!$C$4:$C991,AH512))</f>
        <v>#REF!</v>
      </c>
    </row>
    <row r="513" spans="5:38">
      <c r="E513" t="str">
        <f>IF(A513="","",SUMIFS(Issue!$D$3:$D1001,Issue!$C$3:$C1001,A513)*C513)</f>
        <v/>
      </c>
      <c r="F513" t="e">
        <f ca="1">_xludf.IFNA(VLOOKUP(B513,'S-FG'!$B$3:$B1001,1,FALSE),"")</f>
        <v>#NAME?</v>
      </c>
      <c r="L513" t="str">
        <f t="shared" si="7"/>
        <v/>
      </c>
      <c r="Q513" t="str">
        <f>IF(N513="","",SUMIFS(Issue!$D$3:$D1001,Issue!$C$3:$C1001,N513))</f>
        <v/>
      </c>
      <c r="Y513" t="str">
        <f t="shared" si="8"/>
        <v/>
      </c>
      <c r="Z513" t="str">
        <f>IF(X513="","",SUMIFS(#REF!,RM!$C$4:$C991,X513))</f>
        <v/>
      </c>
      <c r="AA513" t="str">
        <f>IF(X513="","",SUMIFS(#REF!,RM!$C$4:$C991,X513))</f>
        <v/>
      </c>
      <c r="AB513" t="e">
        <f t="shared" si="9"/>
        <v>#VALUE!</v>
      </c>
      <c r="AC513" t="str">
        <f>IF(X513="","",VLOOKUP($X513,RM!$C$4:$G991,3,FALSE))</f>
        <v/>
      </c>
      <c r="AD513" t="str">
        <f>IF(X513="","",VLOOKUP($X513,RM!$C$4:$G991,4,FALSE))</f>
        <v/>
      </c>
      <c r="AE513" t="str">
        <f>IF(X513="","",VLOOKUP($X513,RM!$C$4:$G991,5,FALSE))</f>
        <v/>
      </c>
      <c r="AG513" t="str">
        <f ca="1">IFERROR(__xludf.DUMMYFUNCTION("""COMPUTED_VALUE"""),"Final Packing")</f>
        <v>Final Packing</v>
      </c>
      <c r="AH513" t="str">
        <f ca="1">IFERROR(__xludf.DUMMYFUNCTION("""COMPUTED_VALUE"""),"2.5mm T handle")</f>
        <v>2.5mm T handle</v>
      </c>
      <c r="AI513">
        <f ca="1">IFERROR(__xludf.DUMMYFUNCTION("""COMPUTED_VALUE"""),1)</f>
        <v>1</v>
      </c>
      <c r="AJ513" t="str">
        <f ca="1">IFERROR(__xludf.DUMMYFUNCTION("""COMPUTED_VALUE"""),"blank")</f>
        <v>blank</v>
      </c>
      <c r="AK513" t="e">
        <f ca="1">_xludf.IFNA(VLOOKUP(AG513,'S-FG'!$B$3:$B1001,1,FALSE),"")</f>
        <v>#NAME?</v>
      </c>
      <c r="AL513" t="e">
        <f ca="1">IF(AH513="","",SUMIFS(#REF!,RM!$C$4:$C991,AH513))</f>
        <v>#REF!</v>
      </c>
    </row>
    <row r="514" spans="5:38">
      <c r="E514" t="str">
        <f>IF(A514="","",SUMIFS(Issue!$D$3:$D1001,Issue!$C$3:$C1001,A514)*C514)</f>
        <v/>
      </c>
      <c r="F514" t="e">
        <f ca="1">_xludf.IFNA(VLOOKUP(B514,'S-FG'!$B$3:$B1001,1,FALSE),"")</f>
        <v>#NAME?</v>
      </c>
      <c r="L514" t="str">
        <f t="shared" si="7"/>
        <v/>
      </c>
      <c r="Q514" t="str">
        <f>IF(N514="","",SUMIFS(Issue!$D$3:$D1001,Issue!$C$3:$C1001,N514))</f>
        <v/>
      </c>
      <c r="Y514" t="str">
        <f t="shared" si="8"/>
        <v/>
      </c>
      <c r="Z514" t="str">
        <f>IF(X514="","",SUMIFS(#REF!,RM!$C$4:$C991,X514))</f>
        <v/>
      </c>
      <c r="AA514" t="str">
        <f>IF(X514="","",SUMIFS(#REF!,RM!$C$4:$C991,X514))</f>
        <v/>
      </c>
      <c r="AB514" t="e">
        <f t="shared" si="9"/>
        <v>#VALUE!</v>
      </c>
      <c r="AC514" t="str">
        <f>IF(X514="","",VLOOKUP($X514,RM!$C$4:$G991,3,FALSE))</f>
        <v/>
      </c>
      <c r="AD514" t="str">
        <f>IF(X514="","",VLOOKUP($X514,RM!$C$4:$G991,4,FALSE))</f>
        <v/>
      </c>
      <c r="AE514" t="str">
        <f>IF(X514="","",VLOOKUP($X514,RM!$C$4:$G991,5,FALSE))</f>
        <v/>
      </c>
      <c r="AG514" t="str">
        <f ca="1">IFERROR(__xludf.DUMMYFUNCTION("""COMPUTED_VALUE"""),"Final Packing")</f>
        <v>Final Packing</v>
      </c>
      <c r="AH514" t="str">
        <f ca="1">IFERROR(__xludf.DUMMYFUNCTION("""COMPUTED_VALUE"""),"Oring AFT plate")</f>
        <v>Oring AFT plate</v>
      </c>
      <c r="AI514">
        <f ca="1">IFERROR(__xludf.DUMMYFUNCTION("""COMPUTED_VALUE"""),2)</f>
        <v>2</v>
      </c>
      <c r="AJ514" t="str">
        <f ca="1">IFERROR(__xludf.DUMMYFUNCTION("""COMPUTED_VALUE"""),"blank")</f>
        <v>blank</v>
      </c>
      <c r="AK514" t="e">
        <f ca="1">_xludf.IFNA(VLOOKUP(AG514,'S-FG'!$B$3:$B1001,1,FALSE),"")</f>
        <v>#NAME?</v>
      </c>
      <c r="AL514" t="e">
        <f ca="1">IF(AH514="","",SUMIFS(#REF!,RM!$C$4:$C991,AH514))</f>
        <v>#REF!</v>
      </c>
    </row>
    <row r="515" spans="5:38">
      <c r="E515" t="str">
        <f>IF(A515="","",SUMIFS(Issue!$D$3:$D1001,Issue!$C$3:$C1001,A515)*C515)</f>
        <v/>
      </c>
      <c r="F515" t="e">
        <f ca="1">_xludf.IFNA(VLOOKUP(B515,'S-FG'!$B$3:$B1001,1,FALSE),"")</f>
        <v>#NAME?</v>
      </c>
      <c r="L515" t="str">
        <f t="shared" si="7"/>
        <v/>
      </c>
      <c r="Q515" t="str">
        <f>IF(N515="","",SUMIFS(Issue!$D$3:$D1001,Issue!$C$3:$C1001,N515))</f>
        <v/>
      </c>
      <c r="Y515" t="str">
        <f t="shared" si="8"/>
        <v/>
      </c>
      <c r="Z515" t="str">
        <f>IF(X515="","",SUMIFS(#REF!,RM!$C$4:$C991,X515))</f>
        <v/>
      </c>
      <c r="AA515" t="str">
        <f>IF(X515="","",SUMIFS(#REF!,RM!$C$4:$C991,X515))</f>
        <v/>
      </c>
      <c r="AB515" t="e">
        <f t="shared" si="9"/>
        <v>#VALUE!</v>
      </c>
      <c r="AC515" t="str">
        <f>IF(X515="","",VLOOKUP($X515,RM!$C$4:$G991,3,FALSE))</f>
        <v/>
      </c>
      <c r="AD515" t="str">
        <f>IF(X515="","",VLOOKUP($X515,RM!$C$4:$G991,4,FALSE))</f>
        <v/>
      </c>
      <c r="AE515" t="str">
        <f>IF(X515="","",VLOOKUP($X515,RM!$C$4:$G991,5,FALSE))</f>
        <v/>
      </c>
      <c r="AG515" t="str">
        <f ca="1">IFERROR(__xludf.DUMMYFUNCTION("""COMPUTED_VALUE"""),"Power Switch Assy")</f>
        <v>Power Switch Assy</v>
      </c>
      <c r="AH515" t="str">
        <f ca="1">IFERROR(__xludf.DUMMYFUNCTION("""COMPUTED_VALUE"""),"IP68 Rotary main Switch")</f>
        <v>IP68 Rotary main Switch</v>
      </c>
      <c r="AI515">
        <f ca="1">IFERROR(__xludf.DUMMYFUNCTION("""COMPUTED_VALUE"""),1)</f>
        <v>1</v>
      </c>
      <c r="AJ515" t="str">
        <f ca="1">IFERROR(__xludf.DUMMYFUNCTION("""COMPUTED_VALUE"""),"blank")</f>
        <v>blank</v>
      </c>
      <c r="AK515" t="e">
        <f ca="1">_xludf.IFNA(VLOOKUP(AG515,'S-FG'!$B$3:$B1001,1,FALSE),"")</f>
        <v>#NAME?</v>
      </c>
      <c r="AL515" t="e">
        <f ca="1">IF(AH515="","",SUMIFS(#REF!,RM!$C$4:$C991,AH515))</f>
        <v>#REF!</v>
      </c>
    </row>
    <row r="516" spans="5:38">
      <c r="E516" t="str">
        <f>IF(A516="","",SUMIFS(Issue!$D$3:$D1001,Issue!$C$3:$C1001,A516)*C516)</f>
        <v/>
      </c>
      <c r="F516" t="e">
        <f ca="1">_xludf.IFNA(VLOOKUP(B516,'S-FG'!$B$3:$B1001,1,FALSE),"")</f>
        <v>#NAME?</v>
      </c>
      <c r="L516" t="str">
        <f t="shared" si="7"/>
        <v/>
      </c>
      <c r="Q516" t="str">
        <f>IF(N516="","",SUMIFS(Issue!$D$3:$D1001,Issue!$C$3:$C1001,N516))</f>
        <v/>
      </c>
      <c r="Y516" t="str">
        <f t="shared" si="8"/>
        <v/>
      </c>
      <c r="Z516" t="str">
        <f>IF(X516="","",SUMIFS(#REF!,RM!$C$4:$C991,X516))</f>
        <v/>
      </c>
      <c r="AA516" t="str">
        <f>IF(X516="","",SUMIFS(#REF!,RM!$C$4:$C991,X516))</f>
        <v/>
      </c>
      <c r="AB516" t="e">
        <f t="shared" si="9"/>
        <v>#VALUE!</v>
      </c>
      <c r="AC516" t="str">
        <f>IF(X516="","",VLOOKUP($X516,RM!$C$4:$G991,3,FALSE))</f>
        <v/>
      </c>
      <c r="AD516" t="str">
        <f>IF(X516="","",VLOOKUP($X516,RM!$C$4:$G991,4,FALSE))</f>
        <v/>
      </c>
      <c r="AE516" t="str">
        <f>IF(X516="","",VLOOKUP($X516,RM!$C$4:$G991,5,FALSE))</f>
        <v/>
      </c>
      <c r="AG516" t="str">
        <f ca="1">IFERROR(__xludf.DUMMYFUNCTION("""COMPUTED_VALUE"""),"Power Switch Assy")</f>
        <v>Power Switch Assy</v>
      </c>
      <c r="AH516" t="str">
        <f ca="1">IFERROR(__xludf.DUMMYFUNCTION("""COMPUTED_VALUE"""),"10cm one sided JST crimped White")</f>
        <v>10cm one sided JST crimped White</v>
      </c>
      <c r="AI516">
        <f ca="1">IFERROR(__xludf.DUMMYFUNCTION("""COMPUTED_VALUE"""),2)</f>
        <v>2</v>
      </c>
      <c r="AJ516" t="str">
        <f ca="1">IFERROR(__xludf.DUMMYFUNCTION("""COMPUTED_VALUE"""),"blank")</f>
        <v>blank</v>
      </c>
      <c r="AK516" t="e">
        <f ca="1">_xludf.IFNA(VLOOKUP(AG516,'S-FG'!$B$3:$B1001,1,FALSE),"")</f>
        <v>#NAME?</v>
      </c>
      <c r="AL516" t="e">
        <f ca="1">IF(AH516="","",SUMIFS(#REF!,RM!$C$4:$C991,AH516))</f>
        <v>#REF!</v>
      </c>
    </row>
    <row r="517" spans="5:38">
      <c r="E517" t="str">
        <f>IF(A517="","",SUMIFS(Issue!$D$3:$D1001,Issue!$C$3:$C1001,A517)*C517)</f>
        <v/>
      </c>
      <c r="F517" t="e">
        <f ca="1">_xludf.IFNA(VLOOKUP(B517,'S-FG'!$B$3:$B1001,1,FALSE),"")</f>
        <v>#NAME?</v>
      </c>
      <c r="L517" t="str">
        <f t="shared" si="7"/>
        <v/>
      </c>
      <c r="Q517" t="str">
        <f>IF(N517="","",SUMIFS(Issue!$D$3:$D1001,Issue!$C$3:$C1001,N517))</f>
        <v/>
      </c>
      <c r="Y517" t="str">
        <f t="shared" si="8"/>
        <v/>
      </c>
      <c r="Z517" t="str">
        <f>IF(X517="","",SUMIFS(#REF!,RM!$C$4:$C991,X517))</f>
        <v/>
      </c>
      <c r="AA517" t="str">
        <f>IF(X517="","",SUMIFS(#REF!,RM!$C$4:$C991,X517))</f>
        <v/>
      </c>
      <c r="AB517" t="e">
        <f t="shared" si="9"/>
        <v>#VALUE!</v>
      </c>
      <c r="AC517" t="str">
        <f>IF(X517="","",VLOOKUP($X517,RM!$C$4:$G991,3,FALSE))</f>
        <v/>
      </c>
      <c r="AD517" t="str">
        <f>IF(X517="","",VLOOKUP($X517,RM!$C$4:$G991,4,FALSE))</f>
        <v/>
      </c>
      <c r="AE517" t="str">
        <f>IF(X517="","",VLOOKUP($X517,RM!$C$4:$G991,5,FALSE))</f>
        <v/>
      </c>
      <c r="AG517" t="str">
        <f ca="1">IFERROR(__xludf.DUMMYFUNCTION("""COMPUTED_VALUE"""),"Power Switch Assy")</f>
        <v>Power Switch Assy</v>
      </c>
      <c r="AH517" t="str">
        <f ca="1">IFERROR(__xludf.DUMMYFUNCTION("""COMPUTED_VALUE"""),"2 pin JST-XH housing")</f>
        <v>2 pin JST-XH housing</v>
      </c>
      <c r="AI517">
        <f ca="1">IFERROR(__xludf.DUMMYFUNCTION("""COMPUTED_VALUE"""),1)</f>
        <v>1</v>
      </c>
      <c r="AK517" t="e">
        <f ca="1">_xludf.IFNA(VLOOKUP(AG517,'S-FG'!$B$3:$B1001,1,FALSE),"")</f>
        <v>#NAME?</v>
      </c>
      <c r="AL517" t="e">
        <f ca="1">IF(AH517="","",SUMIFS(#REF!,RM!$C$4:$C991,AH517))</f>
        <v>#REF!</v>
      </c>
    </row>
    <row r="518" spans="5:38">
      <c r="E518" t="str">
        <f>IF(A518="","",SUMIFS(Issue!$D$3:$D1001,Issue!$C$3:$C1001,A518)*C518)</f>
        <v/>
      </c>
      <c r="F518" t="e">
        <f ca="1">_xludf.IFNA(VLOOKUP(B518,'S-FG'!$B$3:$B1001,1,FALSE),"")</f>
        <v>#NAME?</v>
      </c>
      <c r="L518" t="str">
        <f t="shared" si="7"/>
        <v/>
      </c>
      <c r="Q518" t="str">
        <f>IF(N518="","",SUMIFS(Issue!$D$3:$D1001,Issue!$C$3:$C1001,N518))</f>
        <v/>
      </c>
      <c r="Y518" t="str">
        <f t="shared" si="8"/>
        <v/>
      </c>
      <c r="Z518" t="str">
        <f>IF(X518="","",SUMIFS(#REF!,RM!$C$4:$C991,X518))</f>
        <v/>
      </c>
      <c r="AA518" t="str">
        <f>IF(X518="","",SUMIFS(#REF!,RM!$C$4:$C991,X518))</f>
        <v/>
      </c>
      <c r="AB518" t="e">
        <f t="shared" si="9"/>
        <v>#VALUE!</v>
      </c>
      <c r="AC518" t="str">
        <f>IF(X518="","",VLOOKUP($X518,RM!$C$4:$G991,3,FALSE))</f>
        <v/>
      </c>
      <c r="AD518" t="str">
        <f>IF(X518="","",VLOOKUP($X518,RM!$C$4:$G991,4,FALSE))</f>
        <v/>
      </c>
      <c r="AE518" t="str">
        <f>IF(X518="","",VLOOKUP($X518,RM!$C$4:$G991,5,FALSE))</f>
        <v/>
      </c>
      <c r="AK518" t="e">
        <f ca="1">_xludf.IFNA(VLOOKUP(AG518,'S-FG'!$B$3:$B1001,1,FALSE),"")</f>
        <v>#NAME?</v>
      </c>
      <c r="AL518" t="str">
        <f>IF(AH518="","",SUMIFS(#REF!,RM!$C$4:$C991,AH518))</f>
        <v/>
      </c>
    </row>
    <row r="519" spans="5:38">
      <c r="E519" t="str">
        <f>IF(A519="","",SUMIFS(Issue!$D$3:$D1001,Issue!$C$3:$C1001,A519)*C519)</f>
        <v/>
      </c>
      <c r="F519" t="e">
        <f ca="1">_xludf.IFNA(VLOOKUP(B519,'S-FG'!$B$3:$B1001,1,FALSE),"")</f>
        <v>#NAME?</v>
      </c>
      <c r="L519" t="str">
        <f t="shared" si="7"/>
        <v/>
      </c>
      <c r="Q519" t="str">
        <f>IF(N519="","",SUMIFS(Issue!$D$3:$D1001,Issue!$C$3:$C1001,N519))</f>
        <v/>
      </c>
      <c r="Y519" t="str">
        <f t="shared" si="8"/>
        <v/>
      </c>
      <c r="Z519" t="str">
        <f>IF(X519="","",SUMIFS(#REF!,RM!$C$4:$C991,X519))</f>
        <v/>
      </c>
      <c r="AA519" t="str">
        <f>IF(X519="","",SUMIFS(#REF!,RM!$C$4:$C991,X519))</f>
        <v/>
      </c>
      <c r="AB519" t="e">
        <f t="shared" si="9"/>
        <v>#VALUE!</v>
      </c>
      <c r="AC519" t="str">
        <f>IF(X519="","",VLOOKUP($X519,RM!$C$4:$G991,3,FALSE))</f>
        <v/>
      </c>
      <c r="AD519" t="str">
        <f>IF(X519="","",VLOOKUP($X519,RM!$C$4:$G991,4,FALSE))</f>
        <v/>
      </c>
      <c r="AE519" t="str">
        <f>IF(X519="","",VLOOKUP($X519,RM!$C$4:$G991,5,FALSE))</f>
        <v/>
      </c>
      <c r="AK519" t="e">
        <f ca="1">_xludf.IFNA(VLOOKUP(AG519,'S-FG'!$B$3:$B1001,1,FALSE),"")</f>
        <v>#NAME?</v>
      </c>
      <c r="AL519" t="str">
        <f>IF(AH519="","",SUMIFS(#REF!,RM!$C$4:$C991,AH519))</f>
        <v/>
      </c>
    </row>
    <row r="520" spans="5:38">
      <c r="E520" t="str">
        <f>IF(A520="","",SUMIFS(Issue!$D$3:$D1001,Issue!$C$3:$C1001,A520)*C520)</f>
        <v/>
      </c>
      <c r="F520" t="e">
        <f ca="1">_xludf.IFNA(VLOOKUP(B520,'S-FG'!$B$3:$B1001,1,FALSE),"")</f>
        <v>#NAME?</v>
      </c>
      <c r="L520" t="str">
        <f t="shared" si="7"/>
        <v/>
      </c>
      <c r="Q520" t="str">
        <f>IF(N520="","",SUMIFS(Issue!$D$3:$D1001,Issue!$C$3:$C1001,N520))</f>
        <v/>
      </c>
      <c r="Y520" t="str">
        <f t="shared" si="8"/>
        <v/>
      </c>
      <c r="Z520" t="str">
        <f>IF(X520="","",SUMIFS(#REF!,RM!$C$4:$C991,X520))</f>
        <v/>
      </c>
      <c r="AA520" t="str">
        <f>IF(X520="","",SUMIFS(#REF!,RM!$C$4:$C991,X520))</f>
        <v/>
      </c>
      <c r="AB520" t="e">
        <f t="shared" si="9"/>
        <v>#VALUE!</v>
      </c>
      <c r="AC520" t="str">
        <f>IF(X520="","",VLOOKUP($X520,RM!$C$4:$G991,3,FALSE))</f>
        <v/>
      </c>
      <c r="AD520" t="str">
        <f>IF(X520="","",VLOOKUP($X520,RM!$C$4:$G991,4,FALSE))</f>
        <v/>
      </c>
      <c r="AE520" t="str">
        <f>IF(X520="","",VLOOKUP($X520,RM!$C$4:$G991,5,FALSE))</f>
        <v/>
      </c>
      <c r="AK520" t="e">
        <f ca="1">_xludf.IFNA(VLOOKUP(AG520,'S-FG'!$B$3:$B1001,1,FALSE),"")</f>
        <v>#NAME?</v>
      </c>
      <c r="AL520" t="str">
        <f>IF(AH520="","",SUMIFS(#REF!,RM!$C$4:$C991,AH520))</f>
        <v/>
      </c>
    </row>
    <row r="521" spans="5:38">
      <c r="E521" t="str">
        <f>IF(A521="","",SUMIFS(Issue!$D$3:$D1001,Issue!$C$3:$C1001,A521)*C521)</f>
        <v/>
      </c>
      <c r="F521" t="e">
        <f ca="1">_xludf.IFNA(VLOOKUP(B521,'S-FG'!$B$3:$B1001,1,FALSE),"")</f>
        <v>#NAME?</v>
      </c>
      <c r="L521" t="str">
        <f t="shared" si="7"/>
        <v/>
      </c>
      <c r="Q521" t="str">
        <f>IF(N521="","",SUMIFS(Issue!$D$3:$D1001,Issue!$C$3:$C1001,N521))</f>
        <v/>
      </c>
      <c r="Y521" t="str">
        <f t="shared" si="8"/>
        <v/>
      </c>
      <c r="Z521" t="str">
        <f>IF(X521="","",SUMIFS(#REF!,RM!$C$4:$C991,X521))</f>
        <v/>
      </c>
      <c r="AA521" t="str">
        <f>IF(X521="","",SUMIFS(#REF!,RM!$C$4:$C991,X521))</f>
        <v/>
      </c>
      <c r="AB521" t="e">
        <f t="shared" si="9"/>
        <v>#VALUE!</v>
      </c>
      <c r="AC521" t="str">
        <f>IF(X521="","",VLOOKUP($X521,RM!$C$4:$G991,3,FALSE))</f>
        <v/>
      </c>
      <c r="AD521" t="str">
        <f>IF(X521="","",VLOOKUP($X521,RM!$C$4:$G991,4,FALSE))</f>
        <v/>
      </c>
      <c r="AE521" t="str">
        <f>IF(X521="","",VLOOKUP($X521,RM!$C$4:$G991,5,FALSE))</f>
        <v/>
      </c>
      <c r="AK521" t="e">
        <f ca="1">_xludf.IFNA(VLOOKUP(AG521,'S-FG'!$B$3:$B1001,1,FALSE),"")</f>
        <v>#NAME?</v>
      </c>
      <c r="AL521" t="str">
        <f>IF(AH521="","",SUMIFS(#REF!,RM!$C$4:$C991,AH521))</f>
        <v/>
      </c>
    </row>
    <row r="522" spans="5:38">
      <c r="E522" t="str">
        <f>IF(A522="","",SUMIFS(Issue!$D$3:$D1001,Issue!$C$3:$C1001,A522)*C522)</f>
        <v/>
      </c>
      <c r="F522" t="e">
        <f ca="1">_xludf.IFNA(VLOOKUP(B522,'S-FG'!$B$3:$B1001,1,FALSE),"")</f>
        <v>#NAME?</v>
      </c>
      <c r="L522" t="str">
        <f t="shared" si="7"/>
        <v/>
      </c>
      <c r="Q522" t="str">
        <f>IF(N522="","",SUMIFS(Issue!$D$3:$D1001,Issue!$C$3:$C1001,N522))</f>
        <v/>
      </c>
      <c r="Y522" t="str">
        <f t="shared" si="8"/>
        <v/>
      </c>
      <c r="Z522" t="str">
        <f>IF(X522="","",SUMIFS(#REF!,RM!$C$4:$C991,X522))</f>
        <v/>
      </c>
      <c r="AA522" t="str">
        <f>IF(X522="","",SUMIFS(#REF!,RM!$C$4:$C991,X522))</f>
        <v/>
      </c>
      <c r="AB522" t="e">
        <f t="shared" si="9"/>
        <v>#VALUE!</v>
      </c>
      <c r="AC522" t="str">
        <f>IF(X522="","",VLOOKUP($X522,RM!$C$4:$G991,3,FALSE))</f>
        <v/>
      </c>
      <c r="AD522" t="str">
        <f>IF(X522="","",VLOOKUP($X522,RM!$C$4:$G991,4,FALSE))</f>
        <v/>
      </c>
      <c r="AE522" t="str">
        <f>IF(X522="","",VLOOKUP($X522,RM!$C$4:$G991,5,FALSE))</f>
        <v/>
      </c>
      <c r="AK522" t="e">
        <f ca="1">_xludf.IFNA(VLOOKUP(AG522,'S-FG'!$B$3:$B1001,1,FALSE),"")</f>
        <v>#NAME?</v>
      </c>
      <c r="AL522" t="str">
        <f>IF(AH522="","",SUMIFS(#REF!,RM!$C$4:$C991,AH522))</f>
        <v/>
      </c>
    </row>
    <row r="523" spans="5:38">
      <c r="E523" t="str">
        <f>IF(A523="","",SUMIFS(Issue!$D$3:$D1001,Issue!$C$3:$C1001,A523)*C523)</f>
        <v/>
      </c>
      <c r="F523" t="e">
        <f ca="1">_xludf.IFNA(VLOOKUP(B523,'S-FG'!$B$3:$B1001,1,FALSE),"")</f>
        <v>#NAME?</v>
      </c>
      <c r="L523" t="str">
        <f t="shared" si="7"/>
        <v/>
      </c>
      <c r="Q523" t="str">
        <f>IF(N523="","",SUMIFS(Issue!$D$3:$D1001,Issue!$C$3:$C1001,N523))</f>
        <v/>
      </c>
      <c r="Y523" t="str">
        <f t="shared" si="8"/>
        <v/>
      </c>
      <c r="Z523" t="str">
        <f>IF(X523="","",SUMIFS(#REF!,RM!$C$4:$C991,X523))</f>
        <v/>
      </c>
      <c r="AA523" t="str">
        <f>IF(X523="","",SUMIFS(#REF!,RM!$C$4:$C991,X523))</f>
        <v/>
      </c>
      <c r="AB523" t="e">
        <f t="shared" si="9"/>
        <v>#VALUE!</v>
      </c>
      <c r="AC523" t="str">
        <f>IF(X523="","",VLOOKUP($X523,RM!$C$4:$G991,3,FALSE))</f>
        <v/>
      </c>
      <c r="AD523" t="str">
        <f>IF(X523="","",VLOOKUP($X523,RM!$C$4:$G991,4,FALSE))</f>
        <v/>
      </c>
      <c r="AE523" t="str">
        <f>IF(X523="","",VLOOKUP($X523,RM!$C$4:$G991,5,FALSE))</f>
        <v/>
      </c>
      <c r="AK523" t="e">
        <f ca="1">_xludf.IFNA(VLOOKUP(AG523,'S-FG'!$B$3:$B1001,1,FALSE),"")</f>
        <v>#NAME?</v>
      </c>
      <c r="AL523" t="str">
        <f>IF(AH523="","",SUMIFS(#REF!,RM!$C$4:$C991,AH523))</f>
        <v/>
      </c>
    </row>
    <row r="524" spans="5:38">
      <c r="E524" t="str">
        <f>IF(A524="","",SUMIFS(Issue!$D$3:$D1001,Issue!$C$3:$C1001,A524)*C524)</f>
        <v/>
      </c>
      <c r="F524" t="e">
        <f ca="1">_xludf.IFNA(VLOOKUP(B524,'S-FG'!$B$3:$B1001,1,FALSE),"")</f>
        <v>#NAME?</v>
      </c>
      <c r="L524" t="str">
        <f t="shared" si="7"/>
        <v/>
      </c>
      <c r="Q524" t="str">
        <f>IF(N524="","",SUMIFS(Issue!$D$3:$D1001,Issue!$C$3:$C1001,N524))</f>
        <v/>
      </c>
      <c r="Y524" t="str">
        <f t="shared" si="8"/>
        <v/>
      </c>
      <c r="Z524" t="str">
        <f>IF(X524="","",SUMIFS(#REF!,RM!$C$4:$C991,X524))</f>
        <v/>
      </c>
      <c r="AA524" t="str">
        <f>IF(X524="","",SUMIFS(#REF!,RM!$C$4:$C991,X524))</f>
        <v/>
      </c>
      <c r="AB524" t="e">
        <f t="shared" si="9"/>
        <v>#VALUE!</v>
      </c>
      <c r="AC524" t="str">
        <f>IF(X524="","",VLOOKUP($X524,RM!$C$4:$G991,3,FALSE))</f>
        <v/>
      </c>
      <c r="AD524" t="str">
        <f>IF(X524="","",VLOOKUP($X524,RM!$C$4:$G991,4,FALSE))</f>
        <v/>
      </c>
      <c r="AE524" t="str">
        <f>IF(X524="","",VLOOKUP($X524,RM!$C$4:$G991,5,FALSE))</f>
        <v/>
      </c>
      <c r="AK524" t="e">
        <f ca="1">_xludf.IFNA(VLOOKUP(AG524,'S-FG'!$B$3:$B1001,1,FALSE),"")</f>
        <v>#NAME?</v>
      </c>
      <c r="AL524" t="str">
        <f>IF(AH524="","",SUMIFS(#REF!,RM!$C$4:$C991,AH524))</f>
        <v/>
      </c>
    </row>
    <row r="525" spans="5:38">
      <c r="E525" t="str">
        <f>IF(A525="","",SUMIFS(Issue!$D$3:$D1001,Issue!$C$3:$C1001,A525)*C525)</f>
        <v/>
      </c>
      <c r="F525" t="e">
        <f ca="1">_xludf.IFNA(VLOOKUP(B525,'S-FG'!$B$3:$B1001,1,FALSE),"")</f>
        <v>#NAME?</v>
      </c>
      <c r="L525" t="str">
        <f t="shared" si="7"/>
        <v/>
      </c>
      <c r="Q525" t="str">
        <f>IF(N525="","",SUMIFS(Issue!$D$3:$D1001,Issue!$C$3:$C1001,N525))</f>
        <v/>
      </c>
      <c r="Y525" t="str">
        <f t="shared" si="8"/>
        <v/>
      </c>
      <c r="Z525" t="str">
        <f>IF(X525="","",SUMIFS(#REF!,RM!$C$4:$C991,X525))</f>
        <v/>
      </c>
      <c r="AA525" t="str">
        <f>IF(X525="","",SUMIFS(#REF!,RM!$C$4:$C991,X525))</f>
        <v/>
      </c>
      <c r="AB525" t="e">
        <f t="shared" si="9"/>
        <v>#VALUE!</v>
      </c>
      <c r="AC525" t="str">
        <f>IF(X525="","",VLOOKUP($X525,RM!$C$4:$G991,3,FALSE))</f>
        <v/>
      </c>
      <c r="AD525" t="str">
        <f>IF(X525="","",VLOOKUP($X525,RM!$C$4:$G991,4,FALSE))</f>
        <v/>
      </c>
      <c r="AE525" t="str">
        <f>IF(X525="","",VLOOKUP($X525,RM!$C$4:$G991,5,FALSE))</f>
        <v/>
      </c>
      <c r="AK525" t="e">
        <f ca="1">_xludf.IFNA(VLOOKUP(AG525,'S-FG'!$B$3:$B1001,1,FALSE),"")</f>
        <v>#NAME?</v>
      </c>
      <c r="AL525" t="str">
        <f>IF(AH525="","",SUMIFS(#REF!,RM!$C$4:$C991,AH525))</f>
        <v/>
      </c>
    </row>
    <row r="526" spans="5:38">
      <c r="E526" t="str">
        <f>IF(A526="","",SUMIFS(Issue!$D$3:$D1001,Issue!$C$3:$C1001,A526)*C526)</f>
        <v/>
      </c>
      <c r="F526" t="e">
        <f ca="1">_xludf.IFNA(VLOOKUP(B526,'S-FG'!$B$3:$B1001,1,FALSE),"")</f>
        <v>#NAME?</v>
      </c>
      <c r="L526" t="str">
        <f t="shared" si="7"/>
        <v/>
      </c>
      <c r="Q526" t="str">
        <f>IF(N526="","",SUMIFS(Issue!$D$3:$D1001,Issue!$C$3:$C1001,N526))</f>
        <v/>
      </c>
      <c r="Y526" t="str">
        <f t="shared" si="8"/>
        <v/>
      </c>
      <c r="Z526" t="str">
        <f>IF(X526="","",SUMIFS(#REF!,RM!$C$4:$C991,X526))</f>
        <v/>
      </c>
      <c r="AA526" t="str">
        <f>IF(X526="","",SUMIFS(#REF!,RM!$C$4:$C991,X526))</f>
        <v/>
      </c>
      <c r="AB526" t="e">
        <f t="shared" si="9"/>
        <v>#VALUE!</v>
      </c>
      <c r="AC526" t="str">
        <f>IF(X526="","",VLOOKUP($X526,RM!$C$4:$G991,3,FALSE))</f>
        <v/>
      </c>
      <c r="AD526" t="str">
        <f>IF(X526="","",VLOOKUP($X526,RM!$C$4:$G991,4,FALSE))</f>
        <v/>
      </c>
      <c r="AE526" t="str">
        <f>IF(X526="","",VLOOKUP($X526,RM!$C$4:$G991,5,FALSE))</f>
        <v/>
      </c>
      <c r="AK526" t="e">
        <f ca="1">_xludf.IFNA(VLOOKUP(AG526,'S-FG'!$B$3:$B1001,1,FALSE),"")</f>
        <v>#NAME?</v>
      </c>
      <c r="AL526" t="str">
        <f>IF(AH526="","",SUMIFS(#REF!,RM!$C$4:$C991,AH526))</f>
        <v/>
      </c>
    </row>
    <row r="527" spans="5:38">
      <c r="E527" t="str">
        <f>IF(A527="","",SUMIFS(Issue!$D$3:$D1001,Issue!$C$3:$C1001,A527)*C527)</f>
        <v/>
      </c>
      <c r="F527" t="e">
        <f ca="1">_xludf.IFNA(VLOOKUP(B527,'S-FG'!$B$3:$B1001,1,FALSE),"")</f>
        <v>#NAME?</v>
      </c>
      <c r="L527" t="str">
        <f t="shared" si="7"/>
        <v/>
      </c>
      <c r="Q527" t="str">
        <f>IF(N527="","",SUMIFS(Issue!$D$3:$D1001,Issue!$C$3:$C1001,N527))</f>
        <v/>
      </c>
      <c r="Y527" t="str">
        <f t="shared" si="8"/>
        <v/>
      </c>
      <c r="Z527" t="str">
        <f>IF(X527="","",SUMIFS(#REF!,RM!$C$4:$C991,X527))</f>
        <v/>
      </c>
      <c r="AA527" t="str">
        <f>IF(X527="","",SUMIFS(#REF!,RM!$C$4:$C991,X527))</f>
        <v/>
      </c>
      <c r="AB527" t="e">
        <f t="shared" si="9"/>
        <v>#VALUE!</v>
      </c>
      <c r="AC527" t="str">
        <f>IF(X527="","",VLOOKUP($X527,RM!$C$4:$G991,3,FALSE))</f>
        <v/>
      </c>
      <c r="AD527" t="str">
        <f>IF(X527="","",VLOOKUP($X527,RM!$C$4:$G991,4,FALSE))</f>
        <v/>
      </c>
      <c r="AE527" t="str">
        <f>IF(X527="","",VLOOKUP($X527,RM!$C$4:$G991,5,FALSE))</f>
        <v/>
      </c>
      <c r="AK527" t="e">
        <f ca="1">_xludf.IFNA(VLOOKUP(AG527,'S-FG'!$B$3:$B1001,1,FALSE),"")</f>
        <v>#NAME?</v>
      </c>
      <c r="AL527" t="str">
        <f>IF(AH527="","",SUMIFS(#REF!,RM!$C$4:$C991,AH527))</f>
        <v/>
      </c>
    </row>
    <row r="528" spans="5:38">
      <c r="E528" t="str">
        <f>IF(A528="","",SUMIFS(Issue!$D$3:$D1001,Issue!$C$3:$C1001,A528)*C528)</f>
        <v/>
      </c>
      <c r="F528" t="e">
        <f ca="1">_xludf.IFNA(VLOOKUP(B528,'S-FG'!$B$3:$B1001,1,FALSE),"")</f>
        <v>#NAME?</v>
      </c>
      <c r="L528" t="str">
        <f t="shared" si="7"/>
        <v/>
      </c>
      <c r="Q528" t="str">
        <f>IF(N528="","",SUMIFS(Issue!$D$3:$D1001,Issue!$C$3:$C1001,N528))</f>
        <v/>
      </c>
      <c r="Y528" t="str">
        <f t="shared" si="8"/>
        <v/>
      </c>
      <c r="Z528" t="str">
        <f>IF(X528="","",SUMIFS(#REF!,RM!$C$4:$C991,X528))</f>
        <v/>
      </c>
      <c r="AA528" t="str">
        <f>IF(X528="","",SUMIFS(#REF!,RM!$C$4:$C991,X528))</f>
        <v/>
      </c>
      <c r="AB528" t="e">
        <f t="shared" si="9"/>
        <v>#VALUE!</v>
      </c>
      <c r="AC528" t="str">
        <f>IF(X528="","",VLOOKUP($X528,RM!$C$4:$G991,3,FALSE))</f>
        <v/>
      </c>
      <c r="AD528" t="str">
        <f>IF(X528="","",VLOOKUP($X528,RM!$C$4:$G991,4,FALSE))</f>
        <v/>
      </c>
      <c r="AE528" t="str">
        <f>IF(X528="","",VLOOKUP($X528,RM!$C$4:$G991,5,FALSE))</f>
        <v/>
      </c>
      <c r="AK528" t="e">
        <f ca="1">_xludf.IFNA(VLOOKUP(AG528,'S-FG'!$B$3:$B1001,1,FALSE),"")</f>
        <v>#NAME?</v>
      </c>
      <c r="AL528" t="str">
        <f>IF(AH528="","",SUMIFS(#REF!,RM!$C$4:$C991,AH528))</f>
        <v/>
      </c>
    </row>
    <row r="529" spans="5:38">
      <c r="E529" t="str">
        <f>IF(A529="","",SUMIFS(Issue!$D$3:$D1001,Issue!$C$3:$C1001,A529)*C529)</f>
        <v/>
      </c>
      <c r="F529" t="e">
        <f ca="1">_xludf.IFNA(VLOOKUP(B529,'S-FG'!$B$3:$B1001,1,FALSE),"")</f>
        <v>#NAME?</v>
      </c>
      <c r="L529" t="str">
        <f t="shared" si="7"/>
        <v/>
      </c>
      <c r="Q529" t="str">
        <f>IF(N529="","",SUMIFS(Issue!$D$3:$D1001,Issue!$C$3:$C1001,N529))</f>
        <v/>
      </c>
      <c r="Y529" t="str">
        <f t="shared" si="8"/>
        <v/>
      </c>
      <c r="Z529" t="str">
        <f>IF(X529="","",SUMIFS(#REF!,RM!$C$4:$C991,X529))</f>
        <v/>
      </c>
      <c r="AA529" t="str">
        <f>IF(X529="","",SUMIFS(#REF!,RM!$C$4:$C991,X529))</f>
        <v/>
      </c>
      <c r="AB529" t="e">
        <f t="shared" si="9"/>
        <v>#VALUE!</v>
      </c>
      <c r="AC529" t="str">
        <f>IF(X529="","",VLOOKUP($X529,RM!$C$4:$G991,3,FALSE))</f>
        <v/>
      </c>
      <c r="AD529" t="str">
        <f>IF(X529="","",VLOOKUP($X529,RM!$C$4:$G991,4,FALSE))</f>
        <v/>
      </c>
      <c r="AE529" t="str">
        <f>IF(X529="","",VLOOKUP($X529,RM!$C$4:$G991,5,FALSE))</f>
        <v/>
      </c>
      <c r="AK529" t="e">
        <f ca="1">_xludf.IFNA(VLOOKUP(AG529,'S-FG'!$B$3:$B1001,1,FALSE),"")</f>
        <v>#NAME?</v>
      </c>
      <c r="AL529" t="str">
        <f>IF(AH529="","",SUMIFS(#REF!,RM!$C$4:$C991,AH529))</f>
        <v/>
      </c>
    </row>
    <row r="530" spans="5:38">
      <c r="E530" t="str">
        <f>IF(A530="","",SUMIFS(Issue!$D$3:$D1001,Issue!$C$3:$C1001,A530)*C530)</f>
        <v/>
      </c>
      <c r="F530" t="e">
        <f ca="1">_xludf.IFNA(VLOOKUP(B530,'S-FG'!$B$3:$B1001,1,FALSE),"")</f>
        <v>#NAME?</v>
      </c>
      <c r="L530" t="str">
        <f t="shared" si="7"/>
        <v/>
      </c>
      <c r="Q530" t="str">
        <f>IF(N530="","",SUMIFS(Issue!$D$3:$D1001,Issue!$C$3:$C1001,N530))</f>
        <v/>
      </c>
      <c r="Y530" t="str">
        <f t="shared" si="8"/>
        <v/>
      </c>
      <c r="Z530" t="str">
        <f>IF(X530="","",SUMIFS(#REF!,RM!$C$4:$C991,X530))</f>
        <v/>
      </c>
      <c r="AA530" t="str">
        <f>IF(X530="","",SUMIFS(#REF!,RM!$C$4:$C991,X530))</f>
        <v/>
      </c>
      <c r="AB530" t="e">
        <f t="shared" si="9"/>
        <v>#VALUE!</v>
      </c>
      <c r="AC530" t="str">
        <f>IF(X530="","",VLOOKUP($X530,RM!$C$4:$G991,3,FALSE))</f>
        <v/>
      </c>
      <c r="AD530" t="str">
        <f>IF(X530="","",VLOOKUP($X530,RM!$C$4:$G991,4,FALSE))</f>
        <v/>
      </c>
      <c r="AE530" t="str">
        <f>IF(X530="","",VLOOKUP($X530,RM!$C$4:$G991,5,FALSE))</f>
        <v/>
      </c>
      <c r="AK530" t="e">
        <f ca="1">_xludf.IFNA(VLOOKUP(AG530,'S-FG'!$B$3:$B1001,1,FALSE),"")</f>
        <v>#NAME?</v>
      </c>
      <c r="AL530" t="str">
        <f>IF(AH530="","",SUMIFS(#REF!,RM!$C$4:$C991,AH530))</f>
        <v/>
      </c>
    </row>
    <row r="531" spans="5:38">
      <c r="E531" t="str">
        <f>IF(A531="","",SUMIFS(Issue!$D$3:$D1001,Issue!$C$3:$C1001,A531)*C531)</f>
        <v/>
      </c>
      <c r="F531" t="e">
        <f ca="1">_xludf.IFNA(VLOOKUP(B531,'S-FG'!$B$3:$B1001,1,FALSE),"")</f>
        <v>#NAME?</v>
      </c>
      <c r="L531" t="str">
        <f t="shared" si="7"/>
        <v/>
      </c>
      <c r="Q531" t="str">
        <f>IF(N531="","",SUMIFS(Issue!$D$3:$D1001,Issue!$C$3:$C1001,N531))</f>
        <v/>
      </c>
      <c r="Y531" t="str">
        <f t="shared" si="8"/>
        <v/>
      </c>
      <c r="Z531" t="str">
        <f>IF(X531="","",SUMIFS(#REF!,RM!$C$4:$C991,X531))</f>
        <v/>
      </c>
      <c r="AA531" t="str">
        <f>IF(X531="","",SUMIFS(#REF!,RM!$C$4:$C991,X531))</f>
        <v/>
      </c>
      <c r="AB531" t="e">
        <f t="shared" si="9"/>
        <v>#VALUE!</v>
      </c>
      <c r="AC531" t="str">
        <f>IF(X531="","",VLOOKUP($X531,RM!$C$4:$G991,3,FALSE))</f>
        <v/>
      </c>
      <c r="AD531" t="str">
        <f>IF(X531="","",VLOOKUP($X531,RM!$C$4:$G991,4,FALSE))</f>
        <v/>
      </c>
      <c r="AE531" t="str">
        <f>IF(X531="","",VLOOKUP($X531,RM!$C$4:$G991,5,FALSE))</f>
        <v/>
      </c>
      <c r="AK531" t="e">
        <f ca="1">_xludf.IFNA(VLOOKUP(AG531,'S-FG'!$B$3:$B1001,1,FALSE),"")</f>
        <v>#NAME?</v>
      </c>
      <c r="AL531" t="str">
        <f>IF(AH531="","",SUMIFS(#REF!,RM!$C$4:$C991,AH531))</f>
        <v/>
      </c>
    </row>
    <row r="532" spans="5:38">
      <c r="E532" t="str">
        <f>IF(A532="","",SUMIFS(Issue!$D$3:$D1001,Issue!$C$3:$C1001,A532)*C532)</f>
        <v/>
      </c>
      <c r="F532" t="e">
        <f ca="1">_xludf.IFNA(VLOOKUP(B532,'S-FG'!$B$3:$B1001,1,FALSE),"")</f>
        <v>#NAME?</v>
      </c>
      <c r="L532" t="str">
        <f t="shared" si="7"/>
        <v/>
      </c>
      <c r="Q532" t="str">
        <f>IF(N532="","",SUMIFS(Issue!$D$3:$D1001,Issue!$C$3:$C1001,N532))</f>
        <v/>
      </c>
      <c r="Y532" t="str">
        <f t="shared" si="8"/>
        <v/>
      </c>
      <c r="Z532" t="str">
        <f>IF(X532="","",SUMIFS(#REF!,RM!$C$4:$C991,X532))</f>
        <v/>
      </c>
      <c r="AA532" t="str">
        <f>IF(X532="","",SUMIFS(#REF!,RM!$C$4:$C991,X532))</f>
        <v/>
      </c>
      <c r="AB532" t="e">
        <f t="shared" si="9"/>
        <v>#VALUE!</v>
      </c>
      <c r="AC532" t="str">
        <f>IF(X532="","",VLOOKUP($X532,RM!$C$4:$G991,3,FALSE))</f>
        <v/>
      </c>
      <c r="AD532" t="str">
        <f>IF(X532="","",VLOOKUP($X532,RM!$C$4:$G991,4,FALSE))</f>
        <v/>
      </c>
      <c r="AE532" t="str">
        <f>IF(X532="","",VLOOKUP($X532,RM!$C$4:$G991,5,FALSE))</f>
        <v/>
      </c>
      <c r="AK532" t="e">
        <f ca="1">_xludf.IFNA(VLOOKUP(AG532,'S-FG'!$B$3:$B1001,1,FALSE),"")</f>
        <v>#NAME?</v>
      </c>
      <c r="AL532" t="str">
        <f>IF(AH532="","",SUMIFS(#REF!,RM!$C$4:$C991,AH532))</f>
        <v/>
      </c>
    </row>
    <row r="533" spans="5:38">
      <c r="E533" t="str">
        <f>IF(A533="","",SUMIFS(Issue!$D$3:$D1001,Issue!$C$3:$C1001,A533)*C533)</f>
        <v/>
      </c>
      <c r="F533" t="e">
        <f ca="1">_xludf.IFNA(VLOOKUP(B533,'S-FG'!$B$3:$B1001,1,FALSE),"")</f>
        <v>#NAME?</v>
      </c>
      <c r="L533" t="str">
        <f t="shared" si="7"/>
        <v/>
      </c>
      <c r="Q533" t="str">
        <f>IF(N533="","",SUMIFS(Issue!$D$3:$D1001,Issue!$C$3:$C1001,N533))</f>
        <v/>
      </c>
      <c r="Y533" t="str">
        <f t="shared" si="8"/>
        <v/>
      </c>
      <c r="Z533" t="str">
        <f>IF(X533="","",SUMIFS(#REF!,RM!$C$4:$C991,X533))</f>
        <v/>
      </c>
      <c r="AA533" t="str">
        <f>IF(X533="","",SUMIFS(#REF!,RM!$C$4:$C991,X533))</f>
        <v/>
      </c>
      <c r="AB533" t="e">
        <f t="shared" si="9"/>
        <v>#VALUE!</v>
      </c>
      <c r="AC533" t="str">
        <f>IF(X533="","",VLOOKUP($X533,RM!$C$4:$G991,3,FALSE))</f>
        <v/>
      </c>
      <c r="AD533" t="str">
        <f>IF(X533="","",VLOOKUP($X533,RM!$C$4:$G991,4,FALSE))</f>
        <v/>
      </c>
      <c r="AE533" t="str">
        <f>IF(X533="","",VLOOKUP($X533,RM!$C$4:$G991,5,FALSE))</f>
        <v/>
      </c>
      <c r="AK533" t="e">
        <f ca="1">_xludf.IFNA(VLOOKUP(AG533,'S-FG'!$B$3:$B1001,1,FALSE),"")</f>
        <v>#NAME?</v>
      </c>
      <c r="AL533" t="str">
        <f>IF(AH533="","",SUMIFS(#REF!,RM!$C$4:$C991,AH533))</f>
        <v/>
      </c>
    </row>
    <row r="534" spans="5:38">
      <c r="E534" t="str">
        <f>IF(A534="","",SUMIFS(Issue!$D$3:$D1001,Issue!$C$3:$C1001,A534)*C534)</f>
        <v/>
      </c>
      <c r="F534" t="e">
        <f ca="1">_xludf.IFNA(VLOOKUP(B534,'S-FG'!$B$3:$B1001,1,FALSE),"")</f>
        <v>#NAME?</v>
      </c>
      <c r="L534" t="str">
        <f t="shared" si="7"/>
        <v/>
      </c>
      <c r="Q534" t="str">
        <f>IF(N534="","",SUMIFS(Issue!$D$3:$D1001,Issue!$C$3:$C1001,N534))</f>
        <v/>
      </c>
      <c r="Y534" t="str">
        <f t="shared" si="8"/>
        <v/>
      </c>
      <c r="Z534" t="str">
        <f>IF(X534="","",SUMIFS(#REF!,RM!$C$4:$C991,X534))</f>
        <v/>
      </c>
      <c r="AA534" t="str">
        <f>IF(X534="","",SUMIFS(#REF!,RM!$C$4:$C991,X534))</f>
        <v/>
      </c>
      <c r="AB534" t="e">
        <f t="shared" si="9"/>
        <v>#VALUE!</v>
      </c>
      <c r="AC534" t="str">
        <f>IF(X534="","",VLOOKUP($X534,RM!$C$4:$G991,3,FALSE))</f>
        <v/>
      </c>
      <c r="AD534" t="str">
        <f>IF(X534="","",VLOOKUP($X534,RM!$C$4:$G991,4,FALSE))</f>
        <v/>
      </c>
      <c r="AE534" t="str">
        <f>IF(X534="","",VLOOKUP($X534,RM!$C$4:$G991,5,FALSE))</f>
        <v/>
      </c>
      <c r="AK534" t="e">
        <f ca="1">_xludf.IFNA(VLOOKUP(AG534,'S-FG'!$B$3:$B1001,1,FALSE),"")</f>
        <v>#NAME?</v>
      </c>
      <c r="AL534" t="str">
        <f>IF(AH534="","",SUMIFS(#REF!,RM!$C$4:$C991,AH534))</f>
        <v/>
      </c>
    </row>
    <row r="535" spans="5:38">
      <c r="E535" t="str">
        <f>IF(A535="","",SUMIFS(Issue!$D$3:$D1001,Issue!$C$3:$C1001,A535)*C535)</f>
        <v/>
      </c>
      <c r="F535" t="e">
        <f ca="1">_xludf.IFNA(VLOOKUP(B535,'S-FG'!$B$3:$B1001,1,FALSE),"")</f>
        <v>#NAME?</v>
      </c>
      <c r="L535" t="str">
        <f t="shared" si="7"/>
        <v/>
      </c>
      <c r="Q535" t="str">
        <f>IF(N535="","",SUMIFS(Issue!$D$3:$D1001,Issue!$C$3:$C1001,N535))</f>
        <v/>
      </c>
      <c r="Y535" t="str">
        <f t="shared" si="8"/>
        <v/>
      </c>
      <c r="Z535" t="str">
        <f>IF(X535="","",SUMIFS(#REF!,RM!$C$4:$C991,X535))</f>
        <v/>
      </c>
      <c r="AA535" t="str">
        <f>IF(X535="","",SUMIFS(#REF!,RM!$C$4:$C991,X535))</f>
        <v/>
      </c>
      <c r="AB535" t="e">
        <f t="shared" si="9"/>
        <v>#VALUE!</v>
      </c>
      <c r="AC535" t="str">
        <f>IF(X535="","",VLOOKUP($X535,RM!$C$4:$G991,3,FALSE))</f>
        <v/>
      </c>
      <c r="AD535" t="str">
        <f>IF(X535="","",VLOOKUP($X535,RM!$C$4:$G991,4,FALSE))</f>
        <v/>
      </c>
      <c r="AE535" t="str">
        <f>IF(X535="","",VLOOKUP($X535,RM!$C$4:$G991,5,FALSE))</f>
        <v/>
      </c>
      <c r="AK535" t="e">
        <f ca="1">_xludf.IFNA(VLOOKUP(AG535,'S-FG'!$B$3:$B1001,1,FALSE),"")</f>
        <v>#NAME?</v>
      </c>
      <c r="AL535" t="str">
        <f>IF(AH535="","",SUMIFS(#REF!,RM!$C$4:$C991,AH535))</f>
        <v/>
      </c>
    </row>
    <row r="536" spans="5:38">
      <c r="E536" t="str">
        <f>IF(A536="","",SUMIFS(Issue!$D$3:$D1001,Issue!$C$3:$C1001,A536)*C536)</f>
        <v/>
      </c>
      <c r="F536" t="e">
        <f ca="1">_xludf.IFNA(VLOOKUP(B536,'S-FG'!$B$3:$B1001,1,FALSE),"")</f>
        <v>#NAME?</v>
      </c>
      <c r="L536" t="str">
        <f t="shared" si="7"/>
        <v/>
      </c>
      <c r="Q536" t="str">
        <f>IF(N536="","",SUMIFS(Issue!$D$3:$D1001,Issue!$C$3:$C1001,N536))</f>
        <v/>
      </c>
      <c r="Y536" t="str">
        <f t="shared" si="8"/>
        <v/>
      </c>
      <c r="Z536" t="str">
        <f>IF(X536="","",SUMIFS(#REF!,RM!$C$4:$C991,X536))</f>
        <v/>
      </c>
      <c r="AA536" t="str">
        <f>IF(X536="","",SUMIFS(#REF!,RM!$C$4:$C991,X536))</f>
        <v/>
      </c>
      <c r="AB536" t="e">
        <f t="shared" si="9"/>
        <v>#VALUE!</v>
      </c>
      <c r="AC536" t="str">
        <f>IF(X536="","",VLOOKUP($X536,RM!$C$4:$G991,3,FALSE))</f>
        <v/>
      </c>
      <c r="AD536" t="str">
        <f>IF(X536="","",VLOOKUP($X536,RM!$C$4:$G991,4,FALSE))</f>
        <v/>
      </c>
      <c r="AE536" t="str">
        <f>IF(X536="","",VLOOKUP($X536,RM!$C$4:$G991,5,FALSE))</f>
        <v/>
      </c>
      <c r="AK536" t="e">
        <f ca="1">_xludf.IFNA(VLOOKUP(AG536,'S-FG'!$B$3:$B1001,1,FALSE),"")</f>
        <v>#NAME?</v>
      </c>
      <c r="AL536" t="str">
        <f>IF(AH536="","",SUMIFS(#REF!,RM!$C$4:$C991,AH536))</f>
        <v/>
      </c>
    </row>
    <row r="537" spans="5:38">
      <c r="E537" t="str">
        <f>IF(A537="","",SUMIFS(Issue!$D$3:$D1001,Issue!$C$3:$C1001,A537)*C537)</f>
        <v/>
      </c>
      <c r="F537" t="e">
        <f ca="1">_xludf.IFNA(VLOOKUP(B537,'S-FG'!$B$3:$B1001,1,FALSE),"")</f>
        <v>#NAME?</v>
      </c>
      <c r="L537" t="str">
        <f t="shared" si="7"/>
        <v/>
      </c>
      <c r="Q537" t="str">
        <f>IF(N537="","",SUMIFS(Issue!$D$3:$D1001,Issue!$C$3:$C1001,N537))</f>
        <v/>
      </c>
      <c r="Y537" t="str">
        <f t="shared" si="8"/>
        <v/>
      </c>
      <c r="Z537" t="str">
        <f>IF(X537="","",SUMIFS(#REF!,RM!$C$4:$C991,X537))</f>
        <v/>
      </c>
      <c r="AA537" t="str">
        <f>IF(X537="","",SUMIFS(#REF!,RM!$C$4:$C991,X537))</f>
        <v/>
      </c>
      <c r="AB537" t="e">
        <f t="shared" si="9"/>
        <v>#VALUE!</v>
      </c>
      <c r="AC537" t="str">
        <f>IF(X537="","",VLOOKUP($X537,RM!$C$4:$G991,3,FALSE))</f>
        <v/>
      </c>
      <c r="AD537" t="str">
        <f>IF(X537="","",VLOOKUP($X537,RM!$C$4:$G991,4,FALSE))</f>
        <v/>
      </c>
      <c r="AE537" t="str">
        <f>IF(X537="","",VLOOKUP($X537,RM!$C$4:$G991,5,FALSE))</f>
        <v/>
      </c>
      <c r="AK537" t="e">
        <f ca="1">_xludf.IFNA(VLOOKUP(AG537,'S-FG'!$B$3:$B1001,1,FALSE),"")</f>
        <v>#NAME?</v>
      </c>
      <c r="AL537" t="str">
        <f>IF(AH537="","",SUMIFS(#REF!,RM!$C$4:$C991,AH537))</f>
        <v/>
      </c>
    </row>
    <row r="538" spans="5:38">
      <c r="E538" t="str">
        <f>IF(A538="","",SUMIFS(Issue!$D$3:$D1001,Issue!$C$3:$C1001,A538)*C538)</f>
        <v/>
      </c>
      <c r="F538" t="e">
        <f ca="1">_xludf.IFNA(VLOOKUP(B538,'S-FG'!$B$3:$B1001,1,FALSE),"")</f>
        <v>#NAME?</v>
      </c>
      <c r="L538" t="str">
        <f t="shared" si="7"/>
        <v/>
      </c>
      <c r="Q538" t="str">
        <f>IF(N538="","",SUMIFS(Issue!$D$3:$D1001,Issue!$C$3:$C1001,N538))</f>
        <v/>
      </c>
      <c r="Y538" t="str">
        <f t="shared" si="8"/>
        <v/>
      </c>
      <c r="Z538" t="str">
        <f>IF(X538="","",SUMIFS(#REF!,RM!$C$4:$C991,X538))</f>
        <v/>
      </c>
      <c r="AA538" t="str">
        <f>IF(X538="","",SUMIFS(#REF!,RM!$C$4:$C991,X538))</f>
        <v/>
      </c>
      <c r="AB538" t="e">
        <f t="shared" si="9"/>
        <v>#VALUE!</v>
      </c>
      <c r="AC538" t="str">
        <f>IF(X538="","",VLOOKUP($X538,RM!$C$4:$G991,3,FALSE))</f>
        <v/>
      </c>
      <c r="AD538" t="str">
        <f>IF(X538="","",VLOOKUP($X538,RM!$C$4:$G991,4,FALSE))</f>
        <v/>
      </c>
      <c r="AE538" t="str">
        <f>IF(X538="","",VLOOKUP($X538,RM!$C$4:$G991,5,FALSE))</f>
        <v/>
      </c>
      <c r="AK538" t="e">
        <f ca="1">_xludf.IFNA(VLOOKUP(AG538,'S-FG'!$B$3:$B1001,1,FALSE),"")</f>
        <v>#NAME?</v>
      </c>
      <c r="AL538" t="str">
        <f>IF(AH538="","",SUMIFS(#REF!,RM!$C$4:$C991,AH538))</f>
        <v/>
      </c>
    </row>
    <row r="539" spans="5:38">
      <c r="E539" t="str">
        <f>IF(A539="","",SUMIFS(Issue!$D$3:$D1001,Issue!$C$3:$C1001,A539)*C539)</f>
        <v/>
      </c>
      <c r="F539" t="e">
        <f ca="1">_xludf.IFNA(VLOOKUP(B539,'S-FG'!$B$3:$B1001,1,FALSE),"")</f>
        <v>#NAME?</v>
      </c>
      <c r="L539" t="str">
        <f t="shared" si="7"/>
        <v/>
      </c>
      <c r="Q539" t="str">
        <f>IF(N539="","",SUMIFS(Issue!$D$3:$D1001,Issue!$C$3:$C1001,N539))</f>
        <v/>
      </c>
      <c r="Y539" t="str">
        <f t="shared" si="8"/>
        <v/>
      </c>
      <c r="Z539" t="str">
        <f>IF(X539="","",SUMIFS(#REF!,RM!$C$4:$C991,X539))</f>
        <v/>
      </c>
      <c r="AA539" t="str">
        <f>IF(X539="","",SUMIFS(#REF!,RM!$C$4:$C991,X539))</f>
        <v/>
      </c>
      <c r="AB539" t="e">
        <f t="shared" si="9"/>
        <v>#VALUE!</v>
      </c>
      <c r="AC539" t="str">
        <f>IF(X539="","",VLOOKUP($X539,RM!$C$4:$G991,3,FALSE))</f>
        <v/>
      </c>
      <c r="AD539" t="str">
        <f>IF(X539="","",VLOOKUP($X539,RM!$C$4:$G991,4,FALSE))</f>
        <v/>
      </c>
      <c r="AE539" t="str">
        <f>IF(X539="","",VLOOKUP($X539,RM!$C$4:$G991,5,FALSE))</f>
        <v/>
      </c>
      <c r="AK539" t="e">
        <f ca="1">_xludf.IFNA(VLOOKUP(AG539,'S-FG'!$B$3:$B1001,1,FALSE),"")</f>
        <v>#NAME?</v>
      </c>
      <c r="AL539" t="str">
        <f>IF(AH539="","",SUMIFS(#REF!,RM!$C$4:$C991,AH539))</f>
        <v/>
      </c>
    </row>
    <row r="540" spans="5:38">
      <c r="E540" t="str">
        <f>IF(A540="","",SUMIFS(Issue!$D$3:$D1001,Issue!$C$3:$C1001,A540)*C540)</f>
        <v/>
      </c>
      <c r="F540" t="e">
        <f ca="1">_xludf.IFNA(VLOOKUP(B540,'S-FG'!$B$3:$B1001,1,FALSE),"")</f>
        <v>#NAME?</v>
      </c>
      <c r="L540" t="str">
        <f t="shared" si="7"/>
        <v/>
      </c>
      <c r="Q540" t="str">
        <f>IF(N540="","",SUMIFS(Issue!$D$3:$D1001,Issue!$C$3:$C1001,N540))</f>
        <v/>
      </c>
      <c r="Y540" t="str">
        <f t="shared" si="8"/>
        <v/>
      </c>
      <c r="Z540" t="str">
        <f>IF(X540="","",SUMIFS(#REF!,RM!$C$4:$C991,X540))</f>
        <v/>
      </c>
      <c r="AA540" t="str">
        <f>IF(X540="","",SUMIFS(#REF!,RM!$C$4:$C991,X540))</f>
        <v/>
      </c>
      <c r="AB540" t="e">
        <f t="shared" si="9"/>
        <v>#VALUE!</v>
      </c>
      <c r="AC540" t="str">
        <f>IF(X540="","",VLOOKUP($X540,RM!$C$4:$G991,3,FALSE))</f>
        <v/>
      </c>
      <c r="AD540" t="str">
        <f>IF(X540="","",VLOOKUP($X540,RM!$C$4:$G991,4,FALSE))</f>
        <v/>
      </c>
      <c r="AE540" t="str">
        <f>IF(X540="","",VLOOKUP($X540,RM!$C$4:$G991,5,FALSE))</f>
        <v/>
      </c>
      <c r="AK540" t="e">
        <f ca="1">_xludf.IFNA(VLOOKUP(AG540,'S-FG'!$B$3:$B1001,1,FALSE),"")</f>
        <v>#NAME?</v>
      </c>
      <c r="AL540" t="str">
        <f>IF(AH540="","",SUMIFS(#REF!,RM!$C$4:$C991,AH540))</f>
        <v/>
      </c>
    </row>
    <row r="541" spans="5:38">
      <c r="E541" t="str">
        <f>IF(A541="","",SUMIFS(Issue!$D$3:$D1001,Issue!$C$3:$C1001,A541)*C541)</f>
        <v/>
      </c>
      <c r="F541" t="e">
        <f ca="1">_xludf.IFNA(VLOOKUP(B541,'S-FG'!$B$3:$B1001,1,FALSE),"")</f>
        <v>#NAME?</v>
      </c>
      <c r="L541" t="str">
        <f t="shared" si="7"/>
        <v/>
      </c>
      <c r="Q541" t="str">
        <f>IF(N541="","",SUMIFS(Issue!$D$3:$D1001,Issue!$C$3:$C1001,N541))</f>
        <v/>
      </c>
      <c r="Y541" t="str">
        <f t="shared" si="8"/>
        <v/>
      </c>
      <c r="Z541" t="str">
        <f>IF(X541="","",SUMIFS(#REF!,RM!$C$4:$C991,X541))</f>
        <v/>
      </c>
      <c r="AA541" t="str">
        <f>IF(X541="","",SUMIFS(#REF!,RM!$C$4:$C991,X541))</f>
        <v/>
      </c>
      <c r="AB541" t="e">
        <f t="shared" si="9"/>
        <v>#VALUE!</v>
      </c>
      <c r="AC541" t="str">
        <f>IF(X541="","",VLOOKUP($X541,RM!$C$4:$G991,3,FALSE))</f>
        <v/>
      </c>
      <c r="AD541" t="str">
        <f>IF(X541="","",VLOOKUP($X541,RM!$C$4:$G991,4,FALSE))</f>
        <v/>
      </c>
      <c r="AE541" t="str">
        <f>IF(X541="","",VLOOKUP($X541,RM!$C$4:$G991,5,FALSE))</f>
        <v/>
      </c>
      <c r="AK541" t="e">
        <f ca="1">_xludf.IFNA(VLOOKUP(AG541,'S-FG'!$B$3:$B1001,1,FALSE),"")</f>
        <v>#NAME?</v>
      </c>
      <c r="AL541" t="str">
        <f>IF(AH541="","",SUMIFS(#REF!,RM!$C$4:$C991,AH541))</f>
        <v/>
      </c>
    </row>
    <row r="542" spans="5:38">
      <c r="E542" t="str">
        <f>IF(A542="","",SUMIFS(Issue!$D$3:$D1001,Issue!$C$3:$C1001,A542)*C542)</f>
        <v/>
      </c>
      <c r="F542" t="e">
        <f ca="1">_xludf.IFNA(VLOOKUP(B542,'S-FG'!$B$3:$B1001,1,FALSE),"")</f>
        <v>#NAME?</v>
      </c>
      <c r="L542" t="str">
        <f t="shared" si="7"/>
        <v/>
      </c>
      <c r="Q542" t="str">
        <f>IF(N542="","",SUMIFS(Issue!$D$3:$D1001,Issue!$C$3:$C1001,N542))</f>
        <v/>
      </c>
      <c r="Y542" t="str">
        <f t="shared" si="8"/>
        <v/>
      </c>
      <c r="Z542" t="str">
        <f>IF(X542="","",SUMIFS(#REF!,RM!$C$4:$C991,X542))</f>
        <v/>
      </c>
      <c r="AA542" t="str">
        <f>IF(X542="","",SUMIFS(#REF!,RM!$C$4:$C991,X542))</f>
        <v/>
      </c>
      <c r="AB542" t="e">
        <f t="shared" si="9"/>
        <v>#VALUE!</v>
      </c>
      <c r="AC542" t="str">
        <f>IF(X542="","",VLOOKUP($X542,RM!$C$4:$G991,3,FALSE))</f>
        <v/>
      </c>
      <c r="AD542" t="str">
        <f>IF(X542="","",VLOOKUP($X542,RM!$C$4:$G991,4,FALSE))</f>
        <v/>
      </c>
      <c r="AE542" t="str">
        <f>IF(X542="","",VLOOKUP($X542,RM!$C$4:$G991,5,FALSE))</f>
        <v/>
      </c>
      <c r="AK542" t="e">
        <f ca="1">_xludf.IFNA(VLOOKUP(AG542,'S-FG'!$B$3:$B1001,1,FALSE),"")</f>
        <v>#NAME?</v>
      </c>
      <c r="AL542" t="str">
        <f>IF(AH542="","",SUMIFS(#REF!,RM!$C$4:$C991,AH542))</f>
        <v/>
      </c>
    </row>
    <row r="543" spans="5:38">
      <c r="E543" t="str">
        <f>IF(A543="","",SUMIFS(Issue!$D$3:$D1001,Issue!$C$3:$C1001,A543)*C543)</f>
        <v/>
      </c>
      <c r="F543" t="e">
        <f ca="1">_xludf.IFNA(VLOOKUP(B543,'S-FG'!$B$3:$B1001,1,FALSE),"")</f>
        <v>#NAME?</v>
      </c>
      <c r="L543" t="str">
        <f t="shared" si="7"/>
        <v/>
      </c>
      <c r="Q543" t="str">
        <f>IF(N543="","",SUMIFS(Issue!$D$3:$D1001,Issue!$C$3:$C1001,N543))</f>
        <v/>
      </c>
      <c r="Y543" t="str">
        <f t="shared" si="8"/>
        <v/>
      </c>
      <c r="Z543" t="str">
        <f>IF(X543="","",SUMIFS(#REF!,RM!$C$4:$C991,X543))</f>
        <v/>
      </c>
      <c r="AA543" t="str">
        <f>IF(X543="","",SUMIFS(#REF!,RM!$C$4:$C991,X543))</f>
        <v/>
      </c>
      <c r="AB543" t="e">
        <f t="shared" si="9"/>
        <v>#VALUE!</v>
      </c>
      <c r="AC543" t="str">
        <f>IF(X543="","",VLOOKUP($X543,RM!$C$4:$G991,3,FALSE))</f>
        <v/>
      </c>
      <c r="AD543" t="str">
        <f>IF(X543="","",VLOOKUP($X543,RM!$C$4:$G991,4,FALSE))</f>
        <v/>
      </c>
      <c r="AE543" t="str">
        <f>IF(X543="","",VLOOKUP($X543,RM!$C$4:$G991,5,FALSE))</f>
        <v/>
      </c>
      <c r="AK543" t="e">
        <f ca="1">_xludf.IFNA(VLOOKUP(AG543,'S-FG'!$B$3:$B1001,1,FALSE),"")</f>
        <v>#NAME?</v>
      </c>
      <c r="AL543" t="str">
        <f>IF(AH543="","",SUMIFS(#REF!,RM!$C$4:$C991,AH543))</f>
        <v/>
      </c>
    </row>
    <row r="544" spans="5:38">
      <c r="E544" t="str">
        <f>IF(A544="","",SUMIFS(Issue!$D$3:$D1001,Issue!$C$3:$C1001,A544)*C544)</f>
        <v/>
      </c>
      <c r="F544" t="e">
        <f ca="1">_xludf.IFNA(VLOOKUP(B544,'S-FG'!$B$3:$B1001,1,FALSE),"")</f>
        <v>#NAME?</v>
      </c>
      <c r="L544" t="str">
        <f t="shared" si="7"/>
        <v/>
      </c>
      <c r="Q544" t="str">
        <f>IF(N544="","",SUMIFS(Issue!$D$3:$D1001,Issue!$C$3:$C1001,N544))</f>
        <v/>
      </c>
      <c r="Y544" t="str">
        <f t="shared" si="8"/>
        <v/>
      </c>
      <c r="Z544" t="str">
        <f>IF(X544="","",SUMIFS(#REF!,RM!$C$4:$C991,X544))</f>
        <v/>
      </c>
      <c r="AA544" t="str">
        <f>IF(X544="","",SUMIFS(#REF!,RM!$C$4:$C991,X544))</f>
        <v/>
      </c>
      <c r="AB544" t="e">
        <f t="shared" si="9"/>
        <v>#VALUE!</v>
      </c>
      <c r="AC544" t="str">
        <f>IF(X544="","",VLOOKUP($X544,RM!$C$4:$G991,3,FALSE))</f>
        <v/>
      </c>
      <c r="AD544" t="str">
        <f>IF(X544="","",VLOOKUP($X544,RM!$C$4:$G991,4,FALSE))</f>
        <v/>
      </c>
      <c r="AE544" t="str">
        <f>IF(X544="","",VLOOKUP($X544,RM!$C$4:$G991,5,FALSE))</f>
        <v/>
      </c>
      <c r="AK544" t="e">
        <f ca="1">_xludf.IFNA(VLOOKUP(AG544,'S-FG'!$B$3:$B1001,1,FALSE),"")</f>
        <v>#NAME?</v>
      </c>
      <c r="AL544" t="str">
        <f>IF(AH544="","",SUMIFS(#REF!,RM!$C$4:$C991,AH544))</f>
        <v/>
      </c>
    </row>
    <row r="545" spans="5:38">
      <c r="E545" t="str">
        <f>IF(A545="","",SUMIFS(Issue!$D$3:$D1001,Issue!$C$3:$C1001,A545)*C545)</f>
        <v/>
      </c>
      <c r="F545" t="e">
        <f ca="1">_xludf.IFNA(VLOOKUP(B545,'S-FG'!$B$3:$B1001,1,FALSE),"")</f>
        <v>#NAME?</v>
      </c>
      <c r="L545" t="str">
        <f t="shared" si="7"/>
        <v/>
      </c>
      <c r="Q545" t="str">
        <f>IF(N545="","",SUMIFS(Issue!$D$3:$D1001,Issue!$C$3:$C1001,N545))</f>
        <v/>
      </c>
      <c r="Y545" t="str">
        <f t="shared" si="8"/>
        <v/>
      </c>
      <c r="Z545" t="str">
        <f>IF(X545="","",SUMIFS(#REF!,RM!$C$4:$C991,X545))</f>
        <v/>
      </c>
      <c r="AA545" t="str">
        <f>IF(X545="","",SUMIFS(#REF!,RM!$C$4:$C991,X545))</f>
        <v/>
      </c>
      <c r="AB545" t="e">
        <f t="shared" si="9"/>
        <v>#VALUE!</v>
      </c>
      <c r="AC545" t="str">
        <f>IF(X545="","",VLOOKUP($X545,RM!$C$4:$G991,3,FALSE))</f>
        <v/>
      </c>
      <c r="AD545" t="str">
        <f>IF(X545="","",VLOOKUP($X545,RM!$C$4:$G991,4,FALSE))</f>
        <v/>
      </c>
      <c r="AE545" t="str">
        <f>IF(X545="","",VLOOKUP($X545,RM!$C$4:$G991,5,FALSE))</f>
        <v/>
      </c>
      <c r="AK545" t="e">
        <f ca="1">_xludf.IFNA(VLOOKUP(AG545,'S-FG'!$B$3:$B1001,1,FALSE),"")</f>
        <v>#NAME?</v>
      </c>
      <c r="AL545" t="str">
        <f>IF(AH545="","",SUMIFS(#REF!,RM!$C$4:$C991,AH545))</f>
        <v/>
      </c>
    </row>
    <row r="546" spans="5:38">
      <c r="E546" t="str">
        <f>IF(A546="","",SUMIFS(Issue!$D$3:$D1001,Issue!$C$3:$C1001,A546)*C546)</f>
        <v/>
      </c>
      <c r="F546" t="e">
        <f ca="1">_xludf.IFNA(VLOOKUP(B546,'S-FG'!$B$3:$B1001,1,FALSE),"")</f>
        <v>#NAME?</v>
      </c>
      <c r="L546" t="str">
        <f t="shared" si="7"/>
        <v/>
      </c>
      <c r="Q546" t="str">
        <f>IF(N546="","",SUMIFS(Issue!$D$3:$D1001,Issue!$C$3:$C1001,N546))</f>
        <v/>
      </c>
      <c r="Y546" t="str">
        <f t="shared" si="8"/>
        <v/>
      </c>
      <c r="Z546" t="str">
        <f>IF(X546="","",SUMIFS(#REF!,RM!$C$4:$C991,X546))</f>
        <v/>
      </c>
      <c r="AA546" t="str">
        <f>IF(X546="","",SUMIFS(#REF!,RM!$C$4:$C991,X546))</f>
        <v/>
      </c>
      <c r="AB546" t="e">
        <f t="shared" si="9"/>
        <v>#VALUE!</v>
      </c>
      <c r="AC546" t="str">
        <f>IF(X546="","",VLOOKUP($X546,RM!$C$4:$G991,3,FALSE))</f>
        <v/>
      </c>
      <c r="AD546" t="str">
        <f>IF(X546="","",VLOOKUP($X546,RM!$C$4:$G991,4,FALSE))</f>
        <v/>
      </c>
      <c r="AE546" t="str">
        <f>IF(X546="","",VLOOKUP($X546,RM!$C$4:$G991,5,FALSE))</f>
        <v/>
      </c>
      <c r="AK546" t="e">
        <f ca="1">_xludf.IFNA(VLOOKUP(AG546,'S-FG'!$B$3:$B1001,1,FALSE),"")</f>
        <v>#NAME?</v>
      </c>
      <c r="AL546" t="str">
        <f>IF(AH546="","",SUMIFS(#REF!,RM!$C$4:$C991,AH546))</f>
        <v/>
      </c>
    </row>
    <row r="547" spans="5:38">
      <c r="E547" t="str">
        <f>IF(A547="","",SUMIFS(Issue!$D$3:$D1001,Issue!$C$3:$C1001,A547)*C547)</f>
        <v/>
      </c>
      <c r="F547" t="e">
        <f ca="1">_xludf.IFNA(VLOOKUP(B547,'S-FG'!$B$3:$B1001,1,FALSE),"")</f>
        <v>#NAME?</v>
      </c>
      <c r="L547" t="str">
        <f t="shared" si="7"/>
        <v/>
      </c>
      <c r="Q547" t="str">
        <f>IF(N547="","",SUMIFS(Issue!$D$3:$D1001,Issue!$C$3:$C1001,N547))</f>
        <v/>
      </c>
      <c r="Y547" t="str">
        <f t="shared" si="8"/>
        <v/>
      </c>
      <c r="Z547" t="str">
        <f>IF(X547="","",SUMIFS(#REF!,RM!$C$4:$C991,X547))</f>
        <v/>
      </c>
      <c r="AA547" t="str">
        <f>IF(X547="","",SUMIFS(#REF!,RM!$C$4:$C991,X547))</f>
        <v/>
      </c>
      <c r="AB547" t="e">
        <f t="shared" si="9"/>
        <v>#VALUE!</v>
      </c>
      <c r="AC547" t="str">
        <f>IF(X547="","",VLOOKUP($X547,RM!$C$4:$G991,3,FALSE))</f>
        <v/>
      </c>
      <c r="AD547" t="str">
        <f>IF(X547="","",VLOOKUP($X547,RM!$C$4:$G991,4,FALSE))</f>
        <v/>
      </c>
      <c r="AE547" t="str">
        <f>IF(X547="","",VLOOKUP($X547,RM!$C$4:$G991,5,FALSE))</f>
        <v/>
      </c>
      <c r="AK547" t="e">
        <f ca="1">_xludf.IFNA(VLOOKUP(AG547,'S-FG'!$B$3:$B1001,1,FALSE),"")</f>
        <v>#NAME?</v>
      </c>
      <c r="AL547" t="str">
        <f>IF(AH547="","",SUMIFS(#REF!,RM!$C$4:$C991,AH547))</f>
        <v/>
      </c>
    </row>
    <row r="548" spans="5:38">
      <c r="E548" t="str">
        <f>IF(A548="","",SUMIFS(Issue!$D$3:$D1001,Issue!$C$3:$C1001,A548)*C548)</f>
        <v/>
      </c>
      <c r="F548" t="e">
        <f ca="1">_xludf.IFNA(VLOOKUP(B548,'S-FG'!$B$3:$B1001,1,FALSE),"")</f>
        <v>#NAME?</v>
      </c>
      <c r="L548" t="str">
        <f t="shared" si="7"/>
        <v/>
      </c>
      <c r="Q548" t="str">
        <f>IF(N548="","",SUMIFS(Issue!$D$3:$D1001,Issue!$C$3:$C1001,N548))</f>
        <v/>
      </c>
      <c r="Y548" t="str">
        <f t="shared" si="8"/>
        <v/>
      </c>
      <c r="Z548" t="str">
        <f>IF(X548="","",SUMIFS(#REF!,RM!$C$4:$C991,X548))</f>
        <v/>
      </c>
      <c r="AA548" t="str">
        <f>IF(X548="","",SUMIFS(#REF!,RM!$C$4:$C991,X548))</f>
        <v/>
      </c>
      <c r="AB548" t="e">
        <f t="shared" si="9"/>
        <v>#VALUE!</v>
      </c>
      <c r="AC548" t="str">
        <f>IF(X548="","",VLOOKUP($X548,RM!$C$4:$G991,3,FALSE))</f>
        <v/>
      </c>
      <c r="AD548" t="str">
        <f>IF(X548="","",VLOOKUP($X548,RM!$C$4:$G991,4,FALSE))</f>
        <v/>
      </c>
      <c r="AE548" t="str">
        <f>IF(X548="","",VLOOKUP($X548,RM!$C$4:$G991,5,FALSE))</f>
        <v/>
      </c>
      <c r="AK548" t="e">
        <f ca="1">_xludf.IFNA(VLOOKUP(AG548,'S-FG'!$B$3:$B1001,1,FALSE),"")</f>
        <v>#NAME?</v>
      </c>
      <c r="AL548" t="str">
        <f>IF(AH548="","",SUMIFS(#REF!,RM!$C$4:$C991,AH548))</f>
        <v/>
      </c>
    </row>
    <row r="549" spans="5:38">
      <c r="E549" t="str">
        <f>IF(A549="","",SUMIFS(Issue!$D$3:$D1001,Issue!$C$3:$C1001,A549)*C549)</f>
        <v/>
      </c>
      <c r="F549" t="e">
        <f ca="1">_xludf.IFNA(VLOOKUP(B549,'S-FG'!$B$3:$B1001,1,FALSE),"")</f>
        <v>#NAME?</v>
      </c>
      <c r="L549" t="str">
        <f t="shared" si="7"/>
        <v/>
      </c>
      <c r="Q549" t="str">
        <f>IF(N549="","",SUMIFS(Issue!$D$3:$D1001,Issue!$C$3:$C1001,N549))</f>
        <v/>
      </c>
      <c r="Y549" t="str">
        <f t="shared" si="8"/>
        <v/>
      </c>
      <c r="Z549" t="str">
        <f>IF(X549="","",SUMIFS(#REF!,RM!$C$4:$C991,X549))</f>
        <v/>
      </c>
      <c r="AA549" t="str">
        <f>IF(X549="","",SUMIFS(#REF!,RM!$C$4:$C991,X549))</f>
        <v/>
      </c>
      <c r="AB549" t="e">
        <f t="shared" si="9"/>
        <v>#VALUE!</v>
      </c>
      <c r="AC549" t="str">
        <f>IF(X549="","",VLOOKUP($X549,RM!$C$4:$G991,3,FALSE))</f>
        <v/>
      </c>
      <c r="AD549" t="str">
        <f>IF(X549="","",VLOOKUP($X549,RM!$C$4:$G991,4,FALSE))</f>
        <v/>
      </c>
      <c r="AE549" t="str">
        <f>IF(X549="","",VLOOKUP($X549,RM!$C$4:$G991,5,FALSE))</f>
        <v/>
      </c>
      <c r="AK549" t="e">
        <f ca="1">_xludf.IFNA(VLOOKUP(AG549,'S-FG'!$B$3:$B1001,1,FALSE),"")</f>
        <v>#NAME?</v>
      </c>
      <c r="AL549" t="str">
        <f>IF(AH549="","",SUMIFS(#REF!,RM!$C$4:$C991,AH549))</f>
        <v/>
      </c>
    </row>
    <row r="550" spans="5:38">
      <c r="E550" t="str">
        <f>IF(A550="","",SUMIFS(Issue!$D$3:$D1001,Issue!$C$3:$C1001,A550)*C550)</f>
        <v/>
      </c>
      <c r="F550" t="e">
        <f ca="1">_xludf.IFNA(VLOOKUP(B550,'S-FG'!$B$3:$B1001,1,FALSE),"")</f>
        <v>#NAME?</v>
      </c>
      <c r="L550" t="str">
        <f t="shared" si="7"/>
        <v/>
      </c>
      <c r="Q550" t="str">
        <f>IF(N550="","",SUMIFS(Issue!$D$3:$D1001,Issue!$C$3:$C1001,N550))</f>
        <v/>
      </c>
      <c r="Y550" t="str">
        <f t="shared" si="8"/>
        <v/>
      </c>
      <c r="Z550" t="str">
        <f>IF(X550="","",SUMIFS(#REF!,RM!$C$4:$C991,X550))</f>
        <v/>
      </c>
      <c r="AA550" t="str">
        <f>IF(X550="","",SUMIFS(#REF!,RM!$C$4:$C991,X550))</f>
        <v/>
      </c>
      <c r="AB550" t="e">
        <f t="shared" si="9"/>
        <v>#VALUE!</v>
      </c>
      <c r="AC550" t="str">
        <f>IF(X550="","",VLOOKUP($X550,RM!$C$4:$G991,3,FALSE))</f>
        <v/>
      </c>
      <c r="AD550" t="str">
        <f>IF(X550="","",VLOOKUP($X550,RM!$C$4:$G991,4,FALSE))</f>
        <v/>
      </c>
      <c r="AE550" t="str">
        <f>IF(X550="","",VLOOKUP($X550,RM!$C$4:$G991,5,FALSE))</f>
        <v/>
      </c>
      <c r="AK550" t="e">
        <f ca="1">_xludf.IFNA(VLOOKUP(AG550,'S-FG'!$B$3:$B1001,1,FALSE),"")</f>
        <v>#NAME?</v>
      </c>
      <c r="AL550" t="str">
        <f>IF(AH550="","",SUMIFS(#REF!,RM!$C$4:$C991,AH550))</f>
        <v/>
      </c>
    </row>
    <row r="551" spans="5:38">
      <c r="E551" t="str">
        <f>IF(A551="","",SUMIFS(Issue!$D$3:$D1001,Issue!$C$3:$C1001,A551)*C551)</f>
        <v/>
      </c>
      <c r="F551" t="e">
        <f ca="1">_xludf.IFNA(VLOOKUP(B551,'S-FG'!$B$3:$B1001,1,FALSE),"")</f>
        <v>#NAME?</v>
      </c>
      <c r="L551" t="str">
        <f t="shared" si="7"/>
        <v/>
      </c>
      <c r="Q551" t="str">
        <f>IF(N551="","",SUMIFS(Issue!$D$3:$D1001,Issue!$C$3:$C1001,N551))</f>
        <v/>
      </c>
      <c r="Y551" t="str">
        <f t="shared" si="8"/>
        <v/>
      </c>
      <c r="Z551" t="str">
        <f>IF(X551="","",SUMIFS(#REF!,RM!$C$4:$C991,X551))</f>
        <v/>
      </c>
      <c r="AA551" t="str">
        <f>IF(X551="","",SUMIFS(#REF!,RM!$C$4:$C991,X551))</f>
        <v/>
      </c>
      <c r="AB551" t="e">
        <f t="shared" si="9"/>
        <v>#VALUE!</v>
      </c>
      <c r="AC551" t="str">
        <f>IF(X551="","",VLOOKUP($X551,RM!$C$4:$G991,3,FALSE))</f>
        <v/>
      </c>
      <c r="AD551" t="str">
        <f>IF(X551="","",VLOOKUP($X551,RM!$C$4:$G991,4,FALSE))</f>
        <v/>
      </c>
      <c r="AE551" t="str">
        <f>IF(X551="","",VLOOKUP($X551,RM!$C$4:$G991,5,FALSE))</f>
        <v/>
      </c>
      <c r="AK551" t="e">
        <f ca="1">_xludf.IFNA(VLOOKUP(AG551,'S-FG'!$B$3:$B1001,1,FALSE),"")</f>
        <v>#NAME?</v>
      </c>
      <c r="AL551" t="str">
        <f>IF(AH551="","",SUMIFS(#REF!,RM!$C$4:$C991,AH551))</f>
        <v/>
      </c>
    </row>
    <row r="552" spans="5:38">
      <c r="E552" t="str">
        <f>IF(A552="","",SUMIFS(Issue!$D$3:$D1001,Issue!$C$3:$C1001,A552)*C552)</f>
        <v/>
      </c>
      <c r="F552" t="e">
        <f ca="1">_xludf.IFNA(VLOOKUP(B552,'S-FG'!$B$3:$B1001,1,FALSE),"")</f>
        <v>#NAME?</v>
      </c>
      <c r="L552" t="str">
        <f t="shared" si="7"/>
        <v/>
      </c>
      <c r="Q552" t="str">
        <f>IF(N552="","",SUMIFS(Issue!$D$3:$D1001,Issue!$C$3:$C1001,N552))</f>
        <v/>
      </c>
      <c r="Y552" t="str">
        <f t="shared" si="8"/>
        <v/>
      </c>
      <c r="Z552" t="str">
        <f>IF(X552="","",SUMIFS(#REF!,RM!$C$4:$C991,X552))</f>
        <v/>
      </c>
      <c r="AA552" t="str">
        <f>IF(X552="","",SUMIFS(#REF!,RM!$C$4:$C991,X552))</f>
        <v/>
      </c>
      <c r="AB552" t="e">
        <f t="shared" si="9"/>
        <v>#VALUE!</v>
      </c>
      <c r="AC552" t="str">
        <f>IF(X552="","",VLOOKUP($X552,RM!$C$4:$G991,3,FALSE))</f>
        <v/>
      </c>
      <c r="AD552" t="str">
        <f>IF(X552="","",VLOOKUP($X552,RM!$C$4:$G991,4,FALSE))</f>
        <v/>
      </c>
      <c r="AE552" t="str">
        <f>IF(X552="","",VLOOKUP($X552,RM!$C$4:$G991,5,FALSE))</f>
        <v/>
      </c>
      <c r="AK552" t="e">
        <f ca="1">_xludf.IFNA(VLOOKUP(AG552,'S-FG'!$B$3:$B1001,1,FALSE),"")</f>
        <v>#NAME?</v>
      </c>
      <c r="AL552" t="str">
        <f>IF(AH552="","",SUMIFS(#REF!,RM!$C$4:$C991,AH552))</f>
        <v/>
      </c>
    </row>
    <row r="553" spans="5:38">
      <c r="E553" t="str">
        <f>IF(A553="","",SUMIFS(Issue!$D$3:$D1001,Issue!$C$3:$C1001,A553)*C553)</f>
        <v/>
      </c>
      <c r="F553" t="e">
        <f ca="1">_xludf.IFNA(VLOOKUP(B553,'S-FG'!$B$3:$B1001,1,FALSE),"")</f>
        <v>#NAME?</v>
      </c>
      <c r="L553" t="str">
        <f t="shared" si="7"/>
        <v/>
      </c>
      <c r="Q553" t="str">
        <f>IF(N553="","",SUMIFS(Issue!$D$3:$D1001,Issue!$C$3:$C1001,N553))</f>
        <v/>
      </c>
      <c r="Y553" t="str">
        <f t="shared" si="8"/>
        <v/>
      </c>
      <c r="Z553" t="str">
        <f>IF(X553="","",SUMIFS(#REF!,RM!$C$4:$C991,X553))</f>
        <v/>
      </c>
      <c r="AA553" t="str">
        <f>IF(X553="","",SUMIFS(#REF!,RM!$C$4:$C991,X553))</f>
        <v/>
      </c>
      <c r="AB553" t="e">
        <f t="shared" si="9"/>
        <v>#VALUE!</v>
      </c>
      <c r="AC553" t="str">
        <f>IF(X553="","",VLOOKUP($X553,RM!$C$4:$G991,3,FALSE))</f>
        <v/>
      </c>
      <c r="AD553" t="str">
        <f>IF(X553="","",VLOOKUP($X553,RM!$C$4:$G991,4,FALSE))</f>
        <v/>
      </c>
      <c r="AE553" t="str">
        <f>IF(X553="","",VLOOKUP($X553,RM!$C$4:$G991,5,FALSE))</f>
        <v/>
      </c>
      <c r="AK553" t="e">
        <f ca="1">_xludf.IFNA(VLOOKUP(AG553,'S-FG'!$B$3:$B1001,1,FALSE),"")</f>
        <v>#NAME?</v>
      </c>
      <c r="AL553" t="str">
        <f>IF(AH553="","",SUMIFS(#REF!,RM!$C$4:$C991,AH553))</f>
        <v/>
      </c>
    </row>
    <row r="554" spans="5:38">
      <c r="E554" t="str">
        <f>IF(A554="","",SUMIFS(Issue!$D$3:$D1001,Issue!$C$3:$C1001,A554)*C554)</f>
        <v/>
      </c>
      <c r="F554" t="e">
        <f ca="1">_xludf.IFNA(VLOOKUP(B554,'S-FG'!$B$3:$B1001,1,FALSE),"")</f>
        <v>#NAME?</v>
      </c>
      <c r="L554" t="str">
        <f t="shared" si="7"/>
        <v/>
      </c>
      <c r="Q554" t="str">
        <f>IF(N554="","",SUMIFS(Issue!$D$3:$D1001,Issue!$C$3:$C1001,N554))</f>
        <v/>
      </c>
      <c r="Y554" t="str">
        <f t="shared" si="8"/>
        <v/>
      </c>
      <c r="Z554" t="str">
        <f>IF(X554="","",SUMIFS(#REF!,RM!$C$4:$C991,X554))</f>
        <v/>
      </c>
      <c r="AA554" t="str">
        <f>IF(X554="","",SUMIFS(#REF!,RM!$C$4:$C991,X554))</f>
        <v/>
      </c>
      <c r="AB554" t="e">
        <f t="shared" si="9"/>
        <v>#VALUE!</v>
      </c>
      <c r="AC554" t="str">
        <f>IF(X554="","",VLOOKUP($X554,RM!$C$4:$G991,3,FALSE))</f>
        <v/>
      </c>
      <c r="AD554" t="str">
        <f>IF(X554="","",VLOOKUP($X554,RM!$C$4:$G991,4,FALSE))</f>
        <v/>
      </c>
      <c r="AE554" t="str">
        <f>IF(X554="","",VLOOKUP($X554,RM!$C$4:$G991,5,FALSE))</f>
        <v/>
      </c>
      <c r="AK554" t="e">
        <f ca="1">_xludf.IFNA(VLOOKUP(AG554,'S-FG'!$B$3:$B1001,1,FALSE),"")</f>
        <v>#NAME?</v>
      </c>
      <c r="AL554" t="str">
        <f>IF(AH554="","",SUMIFS(#REF!,RM!$C$4:$C991,AH554))</f>
        <v/>
      </c>
    </row>
    <row r="555" spans="5:38">
      <c r="E555" t="str">
        <f>IF(A555="","",SUMIFS(Issue!$D$3:$D1001,Issue!$C$3:$C1001,A555)*C555)</f>
        <v/>
      </c>
      <c r="F555" t="e">
        <f ca="1">_xludf.IFNA(VLOOKUP(B555,'S-FG'!$B$3:$B1001,1,FALSE),"")</f>
        <v>#NAME?</v>
      </c>
      <c r="L555" t="str">
        <f t="shared" si="7"/>
        <v/>
      </c>
      <c r="Q555" t="str">
        <f>IF(N555="","",SUMIFS(Issue!$D$3:$D1001,Issue!$C$3:$C1001,N555))</f>
        <v/>
      </c>
      <c r="Y555" t="str">
        <f t="shared" si="8"/>
        <v/>
      </c>
      <c r="Z555" t="str">
        <f>IF(X555="","",SUMIFS(#REF!,RM!$C$4:$C991,X555))</f>
        <v/>
      </c>
      <c r="AA555" t="str">
        <f>IF(X555="","",SUMIFS(#REF!,RM!$C$4:$C991,X555))</f>
        <v/>
      </c>
      <c r="AB555" t="e">
        <f t="shared" si="9"/>
        <v>#VALUE!</v>
      </c>
      <c r="AC555" t="str">
        <f>IF(X555="","",VLOOKUP($X555,RM!$C$4:$G991,3,FALSE))</f>
        <v/>
      </c>
      <c r="AD555" t="str">
        <f>IF(X555="","",VLOOKUP($X555,RM!$C$4:$G991,4,FALSE))</f>
        <v/>
      </c>
      <c r="AE555" t="str">
        <f>IF(X555="","",VLOOKUP($X555,RM!$C$4:$G991,5,FALSE))</f>
        <v/>
      </c>
      <c r="AK555" t="e">
        <f ca="1">_xludf.IFNA(VLOOKUP(AG555,'S-FG'!$B$3:$B1001,1,FALSE),"")</f>
        <v>#NAME?</v>
      </c>
      <c r="AL555" t="str">
        <f>IF(AH555="","",SUMIFS(#REF!,RM!$C$4:$C991,AH555))</f>
        <v/>
      </c>
    </row>
    <row r="556" spans="5:38">
      <c r="E556" t="str">
        <f>IF(A556="","",SUMIFS(Issue!$D$3:$D1001,Issue!$C$3:$C1001,A556)*C556)</f>
        <v/>
      </c>
      <c r="F556" t="e">
        <f ca="1">_xludf.IFNA(VLOOKUP(B556,'S-FG'!$B$3:$B1001,1,FALSE),"")</f>
        <v>#NAME?</v>
      </c>
      <c r="L556" t="str">
        <f t="shared" si="7"/>
        <v/>
      </c>
      <c r="Q556" t="str">
        <f>IF(N556="","",SUMIFS(Issue!$D$3:$D1001,Issue!$C$3:$C1001,N556))</f>
        <v/>
      </c>
      <c r="Y556" t="str">
        <f t="shared" si="8"/>
        <v/>
      </c>
      <c r="Z556" t="str">
        <f>IF(X556="","",SUMIFS(#REF!,RM!$C$4:$C991,X556))</f>
        <v/>
      </c>
      <c r="AA556" t="str">
        <f>IF(X556="","",SUMIFS(#REF!,RM!$C$4:$C991,X556))</f>
        <v/>
      </c>
      <c r="AB556" t="e">
        <f t="shared" si="9"/>
        <v>#VALUE!</v>
      </c>
      <c r="AC556" t="str">
        <f>IF(X556="","",VLOOKUP($X556,RM!$C$4:$G991,3,FALSE))</f>
        <v/>
      </c>
      <c r="AD556" t="str">
        <f>IF(X556="","",VLOOKUP($X556,RM!$C$4:$G991,4,FALSE))</f>
        <v/>
      </c>
      <c r="AE556" t="str">
        <f>IF(X556="","",VLOOKUP($X556,RM!$C$4:$G991,5,FALSE))</f>
        <v/>
      </c>
      <c r="AK556" t="e">
        <f ca="1">_xludf.IFNA(VLOOKUP(AG556,'S-FG'!$B$3:$B1001,1,FALSE),"")</f>
        <v>#NAME?</v>
      </c>
      <c r="AL556" t="str">
        <f>IF(AH556="","",SUMIFS(#REF!,RM!$C$4:$C991,AH556))</f>
        <v/>
      </c>
    </row>
    <row r="557" spans="5:38">
      <c r="E557" t="str">
        <f>IF(A557="","",SUMIFS(Issue!$D$3:$D1001,Issue!$C$3:$C1001,A557)*C557)</f>
        <v/>
      </c>
      <c r="F557" t="e">
        <f ca="1">_xludf.IFNA(VLOOKUP(B557,'S-FG'!$B$3:$B1001,1,FALSE),"")</f>
        <v>#NAME?</v>
      </c>
      <c r="L557" t="str">
        <f t="shared" si="7"/>
        <v/>
      </c>
      <c r="Q557" t="str">
        <f>IF(N557="","",SUMIFS(Issue!$D$3:$D1001,Issue!$C$3:$C1001,N557))</f>
        <v/>
      </c>
      <c r="Y557" t="str">
        <f t="shared" si="8"/>
        <v/>
      </c>
      <c r="Z557" t="str">
        <f>IF(X557="","",SUMIFS(#REF!,RM!$C$4:$C991,X557))</f>
        <v/>
      </c>
      <c r="AA557" t="str">
        <f>IF(X557="","",SUMIFS(#REF!,RM!$C$4:$C991,X557))</f>
        <v/>
      </c>
      <c r="AB557" t="e">
        <f t="shared" si="9"/>
        <v>#VALUE!</v>
      </c>
      <c r="AC557" t="str">
        <f>IF(X557="","",VLOOKUP($X557,RM!$C$4:$G991,3,FALSE))</f>
        <v/>
      </c>
      <c r="AD557" t="str">
        <f>IF(X557="","",VLOOKUP($X557,RM!$C$4:$G991,4,FALSE))</f>
        <v/>
      </c>
      <c r="AE557" t="str">
        <f>IF(X557="","",VLOOKUP($X557,RM!$C$4:$G991,5,FALSE))</f>
        <v/>
      </c>
      <c r="AK557" t="e">
        <f ca="1">_xludf.IFNA(VLOOKUP(AG557,'S-FG'!$B$3:$B1001,1,FALSE),"")</f>
        <v>#NAME?</v>
      </c>
      <c r="AL557" t="str">
        <f>IF(AH557="","",SUMIFS(#REF!,RM!$C$4:$C991,AH557))</f>
        <v/>
      </c>
    </row>
    <row r="558" spans="5:38">
      <c r="E558" t="str">
        <f>IF(A558="","",SUMIFS(Issue!$D$3:$D1001,Issue!$C$3:$C1001,A558)*C558)</f>
        <v/>
      </c>
      <c r="F558" t="e">
        <f ca="1">_xludf.IFNA(VLOOKUP(B558,'S-FG'!$B$3:$B1001,1,FALSE),"")</f>
        <v>#NAME?</v>
      </c>
      <c r="L558" t="str">
        <f t="shared" si="7"/>
        <v/>
      </c>
      <c r="Q558" t="str">
        <f>IF(N558="","",SUMIFS(Issue!$D$3:$D1001,Issue!$C$3:$C1001,N558))</f>
        <v/>
      </c>
      <c r="Y558" t="str">
        <f t="shared" si="8"/>
        <v/>
      </c>
      <c r="Z558" t="str">
        <f>IF(X558="","",SUMIFS(#REF!,RM!$C$4:$C991,X558))</f>
        <v/>
      </c>
      <c r="AA558" t="str">
        <f>IF(X558="","",SUMIFS(#REF!,RM!$C$4:$C991,X558))</f>
        <v/>
      </c>
      <c r="AB558" t="e">
        <f t="shared" si="9"/>
        <v>#VALUE!</v>
      </c>
      <c r="AC558" t="str">
        <f>IF(X558="","",VLOOKUP($X558,RM!$C$4:$G991,3,FALSE))</f>
        <v/>
      </c>
      <c r="AD558" t="str">
        <f>IF(X558="","",VLOOKUP($X558,RM!$C$4:$G991,4,FALSE))</f>
        <v/>
      </c>
      <c r="AE558" t="str">
        <f>IF(X558="","",VLOOKUP($X558,RM!$C$4:$G991,5,FALSE))</f>
        <v/>
      </c>
      <c r="AK558" t="e">
        <f ca="1">_xludf.IFNA(VLOOKUP(AG558,'S-FG'!$B$3:$B1001,1,FALSE),"")</f>
        <v>#NAME?</v>
      </c>
      <c r="AL558" t="str">
        <f>IF(AH558="","",SUMIFS(#REF!,RM!$C$4:$C991,AH558))</f>
        <v/>
      </c>
    </row>
    <row r="559" spans="5:38">
      <c r="E559" t="str">
        <f>IF(A559="","",SUMIFS(Issue!$D$3:$D1001,Issue!$C$3:$C1001,A559)*C559)</f>
        <v/>
      </c>
      <c r="F559" t="e">
        <f ca="1">_xludf.IFNA(VLOOKUP(B559,'S-FG'!$B$3:$B1001,1,FALSE),"")</f>
        <v>#NAME?</v>
      </c>
      <c r="L559" t="str">
        <f t="shared" si="7"/>
        <v/>
      </c>
      <c r="Q559" t="str">
        <f>IF(N559="","",SUMIFS(Issue!$D$3:$D1001,Issue!$C$3:$C1001,N559))</f>
        <v/>
      </c>
      <c r="Y559" t="str">
        <f t="shared" si="8"/>
        <v/>
      </c>
      <c r="Z559" t="str">
        <f>IF(X559="","",SUMIFS(#REF!,RM!$C$4:$C991,X559))</f>
        <v/>
      </c>
      <c r="AA559" t="str">
        <f>IF(X559="","",SUMIFS(#REF!,RM!$C$4:$C991,X559))</f>
        <v/>
      </c>
      <c r="AB559" t="e">
        <f t="shared" si="9"/>
        <v>#VALUE!</v>
      </c>
      <c r="AC559" t="str">
        <f>IF(X559="","",VLOOKUP($X559,RM!$C$4:$G991,3,FALSE))</f>
        <v/>
      </c>
      <c r="AD559" t="str">
        <f>IF(X559="","",VLOOKUP($X559,RM!$C$4:$G991,4,FALSE))</f>
        <v/>
      </c>
      <c r="AE559" t="str">
        <f>IF(X559="","",VLOOKUP($X559,RM!$C$4:$G991,5,FALSE))</f>
        <v/>
      </c>
      <c r="AK559" t="e">
        <f ca="1">_xludf.IFNA(VLOOKUP(AG559,'S-FG'!$B$3:$B1001,1,FALSE),"")</f>
        <v>#NAME?</v>
      </c>
      <c r="AL559" t="str">
        <f>IF(AH559="","",SUMIFS(#REF!,RM!$C$4:$C991,AH559))</f>
        <v/>
      </c>
    </row>
    <row r="560" spans="5:38">
      <c r="E560" t="str">
        <f>IF(A560="","",SUMIFS(Issue!$D$3:$D1001,Issue!$C$3:$C1001,A560)*C560)</f>
        <v/>
      </c>
      <c r="F560" t="e">
        <f ca="1">_xludf.IFNA(VLOOKUP(B560,'S-FG'!$B$3:$B1001,1,FALSE),"")</f>
        <v>#NAME?</v>
      </c>
      <c r="L560" t="str">
        <f t="shared" si="7"/>
        <v/>
      </c>
      <c r="Q560" t="str">
        <f>IF(N560="","",SUMIFS(Issue!$D$3:$D1001,Issue!$C$3:$C1001,N560))</f>
        <v/>
      </c>
      <c r="Y560" t="str">
        <f t="shared" si="8"/>
        <v/>
      </c>
      <c r="Z560" t="str">
        <f>IF(X560="","",SUMIFS(#REF!,RM!$C$4:$C991,X560))</f>
        <v/>
      </c>
      <c r="AA560" t="str">
        <f>IF(X560="","",SUMIFS(#REF!,RM!$C$4:$C991,X560))</f>
        <v/>
      </c>
      <c r="AB560" t="e">
        <f t="shared" si="9"/>
        <v>#VALUE!</v>
      </c>
      <c r="AC560" t="str">
        <f>IF(X560="","",VLOOKUP($X560,RM!$C$4:$G991,3,FALSE))</f>
        <v/>
      </c>
      <c r="AD560" t="str">
        <f>IF(X560="","",VLOOKUP($X560,RM!$C$4:$G991,4,FALSE))</f>
        <v/>
      </c>
      <c r="AE560" t="str">
        <f>IF(X560="","",VLOOKUP($X560,RM!$C$4:$G991,5,FALSE))</f>
        <v/>
      </c>
      <c r="AK560" t="e">
        <f ca="1">_xludf.IFNA(VLOOKUP(AG560,'S-FG'!$B$3:$B1001,1,FALSE),"")</f>
        <v>#NAME?</v>
      </c>
      <c r="AL560" t="str">
        <f>IF(AH560="","",SUMIFS(#REF!,RM!$C$4:$C991,AH560))</f>
        <v/>
      </c>
    </row>
    <row r="561" spans="5:38">
      <c r="E561" t="str">
        <f>IF(A561="","",SUMIFS(Issue!$D$3:$D1001,Issue!$C$3:$C1001,A561)*C561)</f>
        <v/>
      </c>
      <c r="F561" t="e">
        <f ca="1">_xludf.IFNA(VLOOKUP(B561,'S-FG'!$B$3:$B1001,1,FALSE),"")</f>
        <v>#NAME?</v>
      </c>
      <c r="L561" t="str">
        <f t="shared" si="7"/>
        <v/>
      </c>
      <c r="Q561" t="str">
        <f>IF(N561="","",SUMIFS(Issue!$D$3:$D1001,Issue!$C$3:$C1001,N561))</f>
        <v/>
      </c>
      <c r="Y561" t="str">
        <f t="shared" si="8"/>
        <v/>
      </c>
      <c r="Z561" t="str">
        <f>IF(X561="","",SUMIFS(#REF!,RM!$C$4:$C991,X561))</f>
        <v/>
      </c>
      <c r="AA561" t="str">
        <f>IF(X561="","",SUMIFS(#REF!,RM!$C$4:$C991,X561))</f>
        <v/>
      </c>
      <c r="AB561" t="e">
        <f t="shared" si="9"/>
        <v>#VALUE!</v>
      </c>
      <c r="AC561" t="str">
        <f>IF(X561="","",VLOOKUP($X561,RM!$C$4:$G991,3,FALSE))</f>
        <v/>
      </c>
      <c r="AD561" t="str">
        <f>IF(X561="","",VLOOKUP($X561,RM!$C$4:$G991,4,FALSE))</f>
        <v/>
      </c>
      <c r="AE561" t="str">
        <f>IF(X561="","",VLOOKUP($X561,RM!$C$4:$G991,5,FALSE))</f>
        <v/>
      </c>
      <c r="AK561" t="e">
        <f ca="1">_xludf.IFNA(VLOOKUP(AG561,'S-FG'!$B$3:$B1001,1,FALSE),"")</f>
        <v>#NAME?</v>
      </c>
      <c r="AL561" t="str">
        <f>IF(AH561="","",SUMIFS(#REF!,RM!$C$4:$C991,AH561))</f>
        <v/>
      </c>
    </row>
    <row r="562" spans="5:38">
      <c r="E562" t="str">
        <f>IF(A562="","",SUMIFS(Issue!$D$3:$D1001,Issue!$C$3:$C1001,A562)*C562)</f>
        <v/>
      </c>
      <c r="F562" t="e">
        <f ca="1">_xludf.IFNA(VLOOKUP(B562,'S-FG'!$B$3:$B1001,1,FALSE),"")</f>
        <v>#NAME?</v>
      </c>
      <c r="L562" t="str">
        <f t="shared" si="7"/>
        <v/>
      </c>
      <c r="Q562" t="str">
        <f>IF(N562="","",SUMIFS(Issue!$D$3:$D1001,Issue!$C$3:$C1001,N562))</f>
        <v/>
      </c>
      <c r="Y562" t="str">
        <f t="shared" si="8"/>
        <v/>
      </c>
      <c r="Z562" t="str">
        <f>IF(X562="","",SUMIFS(#REF!,RM!$C$4:$C991,X562))</f>
        <v/>
      </c>
      <c r="AA562" t="str">
        <f>IF(X562="","",SUMIFS(#REF!,RM!$C$4:$C991,X562))</f>
        <v/>
      </c>
      <c r="AB562" t="e">
        <f t="shared" si="9"/>
        <v>#VALUE!</v>
      </c>
      <c r="AC562" t="str">
        <f>IF(X562="","",VLOOKUP($X562,RM!$C$4:$G991,3,FALSE))</f>
        <v/>
      </c>
      <c r="AD562" t="str">
        <f>IF(X562="","",VLOOKUP($X562,RM!$C$4:$G991,4,FALSE))</f>
        <v/>
      </c>
      <c r="AE562" t="str">
        <f>IF(X562="","",VLOOKUP($X562,RM!$C$4:$G991,5,FALSE))</f>
        <v/>
      </c>
      <c r="AK562" t="e">
        <f ca="1">_xludf.IFNA(VLOOKUP(AG562,'S-FG'!$B$3:$B1001,1,FALSE),"")</f>
        <v>#NAME?</v>
      </c>
      <c r="AL562" t="str">
        <f>IF(AH562="","",SUMIFS(#REF!,RM!$C$4:$C991,AH562))</f>
        <v/>
      </c>
    </row>
    <row r="563" spans="5:38">
      <c r="E563" t="str">
        <f>IF(A563="","",SUMIFS(Issue!$D$3:$D1001,Issue!$C$3:$C1001,A563)*C563)</f>
        <v/>
      </c>
      <c r="F563" t="e">
        <f ca="1">_xludf.IFNA(VLOOKUP(B563,'S-FG'!$B$3:$B1001,1,FALSE),"")</f>
        <v>#NAME?</v>
      </c>
      <c r="L563" t="str">
        <f t="shared" si="7"/>
        <v/>
      </c>
      <c r="Q563" t="str">
        <f>IF(N563="","",SUMIFS(Issue!$D$3:$D1001,Issue!$C$3:$C1001,N563))</f>
        <v/>
      </c>
      <c r="Y563" t="str">
        <f t="shared" si="8"/>
        <v/>
      </c>
      <c r="Z563" t="str">
        <f>IF(X563="","",SUMIFS(#REF!,RM!$C$4:$C991,X563))</f>
        <v/>
      </c>
      <c r="AA563" t="str">
        <f>IF(X563="","",SUMIFS(#REF!,RM!$C$4:$C991,X563))</f>
        <v/>
      </c>
      <c r="AB563" t="e">
        <f t="shared" si="9"/>
        <v>#VALUE!</v>
      </c>
      <c r="AC563" t="str">
        <f>IF(X563="","",VLOOKUP($X563,RM!$C$4:$G991,3,FALSE))</f>
        <v/>
      </c>
      <c r="AD563" t="str">
        <f>IF(X563="","",VLOOKUP($X563,RM!$C$4:$G991,4,FALSE))</f>
        <v/>
      </c>
      <c r="AE563" t="str">
        <f>IF(X563="","",VLOOKUP($X563,RM!$C$4:$G991,5,FALSE))</f>
        <v/>
      </c>
      <c r="AK563" t="e">
        <f ca="1">_xludf.IFNA(VLOOKUP(AG563,'S-FG'!$B$3:$B1001,1,FALSE),"")</f>
        <v>#NAME?</v>
      </c>
      <c r="AL563" t="str">
        <f>IF(AH563="","",SUMIFS(#REF!,RM!$C$4:$C991,AH563))</f>
        <v/>
      </c>
    </row>
    <row r="564" spans="5:38">
      <c r="E564" t="str">
        <f>IF(A564="","",SUMIFS(Issue!$D$3:$D1001,Issue!$C$3:$C1001,A564)*C564)</f>
        <v/>
      </c>
      <c r="F564" t="e">
        <f ca="1">_xludf.IFNA(VLOOKUP(B564,'S-FG'!$B$3:$B1001,1,FALSE),"")</f>
        <v>#NAME?</v>
      </c>
      <c r="L564" t="str">
        <f t="shared" si="7"/>
        <v/>
      </c>
      <c r="Q564" t="str">
        <f>IF(N564="","",SUMIFS(Issue!$D$3:$D1001,Issue!$C$3:$C1001,N564))</f>
        <v/>
      </c>
      <c r="Y564" t="str">
        <f t="shared" si="8"/>
        <v/>
      </c>
      <c r="Z564" t="str">
        <f>IF(X564="","",SUMIFS(#REF!,RM!$C$4:$C991,X564))</f>
        <v/>
      </c>
      <c r="AA564" t="str">
        <f>IF(X564="","",SUMIFS(#REF!,RM!$C$4:$C991,X564))</f>
        <v/>
      </c>
      <c r="AB564" t="e">
        <f t="shared" si="9"/>
        <v>#VALUE!</v>
      </c>
      <c r="AC564" t="str">
        <f>IF(X564="","",VLOOKUP($X564,RM!$C$4:$G991,3,FALSE))</f>
        <v/>
      </c>
      <c r="AD564" t="str">
        <f>IF(X564="","",VLOOKUP($X564,RM!$C$4:$G991,4,FALSE))</f>
        <v/>
      </c>
      <c r="AE564" t="str">
        <f>IF(X564="","",VLOOKUP($X564,RM!$C$4:$G991,5,FALSE))</f>
        <v/>
      </c>
      <c r="AK564" t="e">
        <f ca="1">_xludf.IFNA(VLOOKUP(AG564,'S-FG'!$B$3:$B1001,1,FALSE),"")</f>
        <v>#NAME?</v>
      </c>
      <c r="AL564" t="str">
        <f>IF(AH564="","",SUMIFS(#REF!,RM!$C$4:$C991,AH564))</f>
        <v/>
      </c>
    </row>
    <row r="565" spans="5:38">
      <c r="E565" t="str">
        <f>IF(A565="","",SUMIFS(Issue!$D$3:$D1001,Issue!$C$3:$C1001,A565)*C565)</f>
        <v/>
      </c>
      <c r="F565" t="e">
        <f ca="1">_xludf.IFNA(VLOOKUP(B565,'S-FG'!$B$3:$B1001,1,FALSE),"")</f>
        <v>#NAME?</v>
      </c>
      <c r="L565" t="str">
        <f t="shared" si="7"/>
        <v/>
      </c>
      <c r="Q565" t="str">
        <f>IF(N565="","",SUMIFS(Issue!$D$3:$D1001,Issue!$C$3:$C1001,N565))</f>
        <v/>
      </c>
      <c r="Y565" t="str">
        <f t="shared" si="8"/>
        <v/>
      </c>
      <c r="Z565" t="str">
        <f>IF(X565="","",SUMIFS(#REF!,RM!$C$4:$C991,X565))</f>
        <v/>
      </c>
      <c r="AA565" t="str">
        <f>IF(X565="","",SUMIFS(#REF!,RM!$C$4:$C991,X565))</f>
        <v/>
      </c>
      <c r="AB565" t="e">
        <f t="shared" si="9"/>
        <v>#VALUE!</v>
      </c>
      <c r="AC565" t="str">
        <f>IF(X565="","",VLOOKUP($X565,RM!$C$4:$G991,3,FALSE))</f>
        <v/>
      </c>
      <c r="AD565" t="str">
        <f>IF(X565="","",VLOOKUP($X565,RM!$C$4:$G991,4,FALSE))</f>
        <v/>
      </c>
      <c r="AE565" t="str">
        <f>IF(X565="","",VLOOKUP($X565,RM!$C$4:$G991,5,FALSE))</f>
        <v/>
      </c>
      <c r="AK565" t="e">
        <f ca="1">_xludf.IFNA(VLOOKUP(AG565,'S-FG'!$B$3:$B1001,1,FALSE),"")</f>
        <v>#NAME?</v>
      </c>
      <c r="AL565" t="str">
        <f>IF(AH565="","",SUMIFS(#REF!,RM!$C$4:$C991,AH565))</f>
        <v/>
      </c>
    </row>
    <row r="566" spans="5:38">
      <c r="E566" t="str">
        <f>IF(A566="","",SUMIFS(Issue!$D$3:$D1001,Issue!$C$3:$C1001,A566)*C566)</f>
        <v/>
      </c>
      <c r="F566" t="e">
        <f ca="1">_xludf.IFNA(VLOOKUP(B566,'S-FG'!$B$3:$B1001,1,FALSE),"")</f>
        <v>#NAME?</v>
      </c>
      <c r="L566" t="str">
        <f t="shared" si="7"/>
        <v/>
      </c>
      <c r="Q566" t="str">
        <f>IF(N566="","",SUMIFS(Issue!$D$3:$D1001,Issue!$C$3:$C1001,N566))</f>
        <v/>
      </c>
      <c r="Y566" t="str">
        <f t="shared" si="8"/>
        <v/>
      </c>
      <c r="Z566" t="str">
        <f>IF(X566="","",SUMIFS(#REF!,RM!$C$4:$C991,X566))</f>
        <v/>
      </c>
      <c r="AA566" t="str">
        <f>IF(X566="","",SUMIFS(#REF!,RM!$C$4:$C991,X566))</f>
        <v/>
      </c>
      <c r="AB566" t="e">
        <f t="shared" si="9"/>
        <v>#VALUE!</v>
      </c>
      <c r="AC566" t="str">
        <f>IF(X566="","",VLOOKUP($X566,RM!$C$4:$G991,3,FALSE))</f>
        <v/>
      </c>
      <c r="AD566" t="str">
        <f>IF(X566="","",VLOOKUP($X566,RM!$C$4:$G991,4,FALSE))</f>
        <v/>
      </c>
      <c r="AE566" t="str">
        <f>IF(X566="","",VLOOKUP($X566,RM!$C$4:$G991,5,FALSE))</f>
        <v/>
      </c>
      <c r="AK566" t="e">
        <f ca="1">_xludf.IFNA(VLOOKUP(AG566,'S-FG'!$B$3:$B1001,1,FALSE),"")</f>
        <v>#NAME?</v>
      </c>
      <c r="AL566" t="str">
        <f>IF(AH566="","",SUMIFS(#REF!,RM!$C$4:$C991,AH566))</f>
        <v/>
      </c>
    </row>
    <row r="567" spans="5:38">
      <c r="E567" t="str">
        <f>IF(A567="","",SUMIFS(Issue!$D$3:$D1001,Issue!$C$3:$C1001,A567)*C567)</f>
        <v/>
      </c>
      <c r="F567" t="e">
        <f ca="1">_xludf.IFNA(VLOOKUP(B567,'S-FG'!$B$3:$B1001,1,FALSE),"")</f>
        <v>#NAME?</v>
      </c>
      <c r="L567" t="str">
        <f t="shared" si="7"/>
        <v/>
      </c>
      <c r="Q567" t="str">
        <f>IF(N567="","",SUMIFS(Issue!$D$3:$D1001,Issue!$C$3:$C1001,N567))</f>
        <v/>
      </c>
      <c r="Y567" t="str">
        <f t="shared" si="8"/>
        <v/>
      </c>
      <c r="Z567" t="str">
        <f>IF(X567="","",SUMIFS(#REF!,RM!$C$4:$C991,X567))</f>
        <v/>
      </c>
      <c r="AA567" t="str">
        <f>IF(X567="","",SUMIFS(#REF!,RM!$C$4:$C991,X567))</f>
        <v/>
      </c>
      <c r="AB567" t="e">
        <f t="shared" si="9"/>
        <v>#VALUE!</v>
      </c>
      <c r="AC567" t="str">
        <f>IF(X567="","",VLOOKUP($X567,RM!$C$4:$G991,3,FALSE))</f>
        <v/>
      </c>
      <c r="AD567" t="str">
        <f>IF(X567="","",VLOOKUP($X567,RM!$C$4:$G991,4,FALSE))</f>
        <v/>
      </c>
      <c r="AE567" t="str">
        <f>IF(X567="","",VLOOKUP($X567,RM!$C$4:$G991,5,FALSE))</f>
        <v/>
      </c>
      <c r="AK567" t="e">
        <f ca="1">_xludf.IFNA(VLOOKUP(AG567,'S-FG'!$B$3:$B1001,1,FALSE),"")</f>
        <v>#NAME?</v>
      </c>
      <c r="AL567" t="str">
        <f>IF(AH567="","",SUMIFS(#REF!,RM!$C$4:$C991,AH567))</f>
        <v/>
      </c>
    </row>
    <row r="568" spans="5:38">
      <c r="E568" t="str">
        <f>IF(A568="","",SUMIFS(Issue!$D$3:$D1001,Issue!$C$3:$C1001,A568)*C568)</f>
        <v/>
      </c>
      <c r="F568" t="e">
        <f ca="1">_xludf.IFNA(VLOOKUP(B568,'S-FG'!$B$3:$B1001,1,FALSE),"")</f>
        <v>#NAME?</v>
      </c>
      <c r="L568" t="str">
        <f t="shared" si="7"/>
        <v/>
      </c>
      <c r="Q568" t="str">
        <f>IF(N568="","",SUMIFS(Issue!$D$3:$D1001,Issue!$C$3:$C1001,N568))</f>
        <v/>
      </c>
      <c r="Y568" t="str">
        <f t="shared" si="8"/>
        <v/>
      </c>
      <c r="Z568" t="str">
        <f>IF(X568="","",SUMIFS(#REF!,RM!$C$4:$C991,X568))</f>
        <v/>
      </c>
      <c r="AA568" t="str">
        <f>IF(X568="","",SUMIFS(#REF!,RM!$C$4:$C991,X568))</f>
        <v/>
      </c>
      <c r="AB568" t="e">
        <f t="shared" si="9"/>
        <v>#VALUE!</v>
      </c>
      <c r="AC568" t="str">
        <f>IF(X568="","",VLOOKUP($X568,RM!$C$4:$G991,3,FALSE))</f>
        <v/>
      </c>
      <c r="AD568" t="str">
        <f>IF(X568="","",VLOOKUP($X568,RM!$C$4:$G991,4,FALSE))</f>
        <v/>
      </c>
      <c r="AE568" t="str">
        <f>IF(X568="","",VLOOKUP($X568,RM!$C$4:$G991,5,FALSE))</f>
        <v/>
      </c>
      <c r="AK568" t="e">
        <f ca="1">_xludf.IFNA(VLOOKUP(AG568,'S-FG'!$B$3:$B1001,1,FALSE),"")</f>
        <v>#NAME?</v>
      </c>
      <c r="AL568" t="str">
        <f>IF(AH568="","",SUMIFS(#REF!,RM!$C$4:$C991,AH568))</f>
        <v/>
      </c>
    </row>
    <row r="569" spans="5:38">
      <c r="E569" t="str">
        <f>IF(A569="","",SUMIFS(Issue!$D$3:$D1001,Issue!$C$3:$C1001,A569)*C569)</f>
        <v/>
      </c>
      <c r="F569" t="e">
        <f ca="1">_xludf.IFNA(VLOOKUP(B569,'S-FG'!$B$3:$B1001,1,FALSE),"")</f>
        <v>#NAME?</v>
      </c>
      <c r="L569" t="str">
        <f t="shared" si="7"/>
        <v/>
      </c>
      <c r="Q569" t="str">
        <f>IF(N569="","",SUMIFS(Issue!$D$3:$D1001,Issue!$C$3:$C1001,N569))</f>
        <v/>
      </c>
      <c r="Y569" t="str">
        <f t="shared" si="8"/>
        <v/>
      </c>
      <c r="Z569" t="str">
        <f>IF(X569="","",SUMIFS(#REF!,RM!$C$4:$C991,X569))</f>
        <v/>
      </c>
      <c r="AA569" t="str">
        <f>IF(X569="","",SUMIFS(#REF!,RM!$C$4:$C991,X569))</f>
        <v/>
      </c>
      <c r="AB569" t="e">
        <f t="shared" si="9"/>
        <v>#VALUE!</v>
      </c>
      <c r="AC569" t="str">
        <f>IF(X569="","",VLOOKUP($X569,RM!$C$4:$G991,3,FALSE))</f>
        <v/>
      </c>
      <c r="AD569" t="str">
        <f>IF(X569="","",VLOOKUP($X569,RM!$C$4:$G991,4,FALSE))</f>
        <v/>
      </c>
      <c r="AE569" t="str">
        <f>IF(X569="","",VLOOKUP($X569,RM!$C$4:$G991,5,FALSE))</f>
        <v/>
      </c>
      <c r="AK569" t="e">
        <f ca="1">_xludf.IFNA(VLOOKUP(AG569,'S-FG'!$B$3:$B1001,1,FALSE),"")</f>
        <v>#NAME?</v>
      </c>
      <c r="AL569" t="str">
        <f>IF(AH569="","",SUMIFS(#REF!,RM!$C$4:$C991,AH569))</f>
        <v/>
      </c>
    </row>
    <row r="570" spans="5:38">
      <c r="E570" t="str">
        <f>IF(A570="","",SUMIFS(Issue!$D$3:$D1001,Issue!$C$3:$C1001,A570)*C570)</f>
        <v/>
      </c>
      <c r="F570" t="e">
        <f ca="1">_xludf.IFNA(VLOOKUP(B570,'S-FG'!$B$3:$B1001,1,FALSE),"")</f>
        <v>#NAME?</v>
      </c>
      <c r="L570" t="str">
        <f t="shared" si="7"/>
        <v/>
      </c>
      <c r="Q570" t="str">
        <f>IF(N570="","",SUMIFS(Issue!$D$3:$D1001,Issue!$C$3:$C1001,N570))</f>
        <v/>
      </c>
      <c r="Y570" t="str">
        <f t="shared" si="8"/>
        <v/>
      </c>
      <c r="Z570" t="str">
        <f>IF(X570="","",SUMIFS(#REF!,RM!$C$4:$C991,X570))</f>
        <v/>
      </c>
      <c r="AA570" t="str">
        <f>IF(X570="","",SUMIFS(#REF!,RM!$C$4:$C991,X570))</f>
        <v/>
      </c>
      <c r="AB570" t="e">
        <f t="shared" si="9"/>
        <v>#VALUE!</v>
      </c>
      <c r="AC570" t="str">
        <f>IF(X570="","",VLOOKUP($X570,RM!$C$4:$G991,3,FALSE))</f>
        <v/>
      </c>
      <c r="AD570" t="str">
        <f>IF(X570="","",VLOOKUP($X570,RM!$C$4:$G991,4,FALSE))</f>
        <v/>
      </c>
      <c r="AE570" t="str">
        <f>IF(X570="","",VLOOKUP($X570,RM!$C$4:$G991,5,FALSE))</f>
        <v/>
      </c>
      <c r="AK570" t="e">
        <f ca="1">_xludf.IFNA(VLOOKUP(AG570,'S-FG'!$B$3:$B1001,1,FALSE),"")</f>
        <v>#NAME?</v>
      </c>
      <c r="AL570" t="str">
        <f>IF(AH570="","",SUMIFS(#REF!,RM!$C$4:$C991,AH570))</f>
        <v/>
      </c>
    </row>
    <row r="571" spans="5:38">
      <c r="E571" t="str">
        <f>IF(A571="","",SUMIFS(Issue!$D$3:$D1001,Issue!$C$3:$C1001,A571)*C571)</f>
        <v/>
      </c>
      <c r="F571" t="e">
        <f ca="1">_xludf.IFNA(VLOOKUP(B571,'S-FG'!$B$3:$B1001,1,FALSE),"")</f>
        <v>#NAME?</v>
      </c>
      <c r="L571" t="str">
        <f t="shared" si="7"/>
        <v/>
      </c>
      <c r="Q571" t="str">
        <f>IF(N571="","",SUMIFS(Issue!$D$3:$D1001,Issue!$C$3:$C1001,N571))</f>
        <v/>
      </c>
      <c r="Y571" t="str">
        <f t="shared" si="8"/>
        <v/>
      </c>
      <c r="Z571" t="str">
        <f>IF(X571="","",SUMIFS(#REF!,RM!$C$4:$C991,X571))</f>
        <v/>
      </c>
      <c r="AA571" t="str">
        <f>IF(X571="","",SUMIFS(#REF!,RM!$C$4:$C991,X571))</f>
        <v/>
      </c>
      <c r="AB571" t="e">
        <f t="shared" si="9"/>
        <v>#VALUE!</v>
      </c>
      <c r="AC571" t="str">
        <f>IF(X571="","",VLOOKUP($X571,RM!$C$4:$G991,3,FALSE))</f>
        <v/>
      </c>
      <c r="AD571" t="str">
        <f>IF(X571="","",VLOOKUP($X571,RM!$C$4:$G991,4,FALSE))</f>
        <v/>
      </c>
      <c r="AE571" t="str">
        <f>IF(X571="","",VLOOKUP($X571,RM!$C$4:$G991,5,FALSE))</f>
        <v/>
      </c>
      <c r="AK571" t="e">
        <f ca="1">_xludf.IFNA(VLOOKUP(AG571,'S-FG'!$B$3:$B1001,1,FALSE),"")</f>
        <v>#NAME?</v>
      </c>
      <c r="AL571" t="str">
        <f>IF(AH571="","",SUMIFS(#REF!,RM!$C$4:$C991,AH571))</f>
        <v/>
      </c>
    </row>
    <row r="572" spans="5:38">
      <c r="E572" t="str">
        <f>IF(A572="","",SUMIFS(Issue!$D$3:$D1001,Issue!$C$3:$C1001,A572)*C572)</f>
        <v/>
      </c>
      <c r="F572" t="e">
        <f ca="1">_xludf.IFNA(VLOOKUP(B572,'S-FG'!$B$3:$B1001,1,FALSE),"")</f>
        <v>#NAME?</v>
      </c>
      <c r="L572" t="str">
        <f t="shared" si="7"/>
        <v/>
      </c>
      <c r="Q572" t="str">
        <f>IF(N572="","",SUMIFS(Issue!$D$3:$D1001,Issue!$C$3:$C1001,N572))</f>
        <v/>
      </c>
      <c r="Y572" t="str">
        <f t="shared" si="8"/>
        <v/>
      </c>
      <c r="Z572" t="str">
        <f>IF(X572="","",SUMIFS(#REF!,RM!$C$4:$C991,X572))</f>
        <v/>
      </c>
      <c r="AA572" t="str">
        <f>IF(X572="","",SUMIFS(#REF!,RM!$C$4:$C991,X572))</f>
        <v/>
      </c>
      <c r="AB572" t="e">
        <f t="shared" si="9"/>
        <v>#VALUE!</v>
      </c>
      <c r="AC572" t="str">
        <f>IF(X572="","",VLOOKUP($X572,RM!$C$4:$G991,3,FALSE))</f>
        <v/>
      </c>
      <c r="AD572" t="str">
        <f>IF(X572="","",VLOOKUP($X572,RM!$C$4:$G991,4,FALSE))</f>
        <v/>
      </c>
      <c r="AE572" t="str">
        <f>IF(X572="","",VLOOKUP($X572,RM!$C$4:$G991,5,FALSE))</f>
        <v/>
      </c>
      <c r="AK572" t="e">
        <f ca="1">_xludf.IFNA(VLOOKUP(AG572,'S-FG'!$B$3:$B1001,1,FALSE),"")</f>
        <v>#NAME?</v>
      </c>
      <c r="AL572" t="str">
        <f>IF(AH572="","",SUMIFS(#REF!,RM!$C$4:$C991,AH572))</f>
        <v/>
      </c>
    </row>
    <row r="573" spans="5:38">
      <c r="E573" t="str">
        <f>IF(A573="","",SUMIFS(Issue!$D$3:$D1001,Issue!$C$3:$C1001,A573)*C573)</f>
        <v/>
      </c>
      <c r="F573" t="e">
        <f ca="1">_xludf.IFNA(VLOOKUP(B573,'S-FG'!$B$3:$B1001,1,FALSE),"")</f>
        <v>#NAME?</v>
      </c>
      <c r="L573" t="str">
        <f t="shared" si="7"/>
        <v/>
      </c>
      <c r="Q573" t="str">
        <f>IF(N573="","",SUMIFS(Issue!$D$3:$D1001,Issue!$C$3:$C1001,N573))</f>
        <v/>
      </c>
      <c r="Y573" t="str">
        <f t="shared" si="8"/>
        <v/>
      </c>
      <c r="Z573" t="str">
        <f>IF(X573="","",SUMIFS(#REF!,RM!$C$4:$C991,X573))</f>
        <v/>
      </c>
      <c r="AA573" t="str">
        <f>IF(X573="","",SUMIFS(#REF!,RM!$C$4:$C991,X573))</f>
        <v/>
      </c>
      <c r="AB573" t="e">
        <f t="shared" si="9"/>
        <v>#VALUE!</v>
      </c>
      <c r="AC573" t="str">
        <f>IF(X573="","",VLOOKUP($X573,RM!$C$4:$G991,3,FALSE))</f>
        <v/>
      </c>
      <c r="AD573" t="str">
        <f>IF(X573="","",VLOOKUP($X573,RM!$C$4:$G991,4,FALSE))</f>
        <v/>
      </c>
      <c r="AE573" t="str">
        <f>IF(X573="","",VLOOKUP($X573,RM!$C$4:$G991,5,FALSE))</f>
        <v/>
      </c>
      <c r="AK573" t="e">
        <f ca="1">_xludf.IFNA(VLOOKUP(AG573,'S-FG'!$B$3:$B1001,1,FALSE),"")</f>
        <v>#NAME?</v>
      </c>
      <c r="AL573" t="str">
        <f>IF(AH573="","",SUMIFS(#REF!,RM!$C$4:$C991,AH573))</f>
        <v/>
      </c>
    </row>
    <row r="574" spans="5:38">
      <c r="E574" t="str">
        <f>IF(A574="","",SUMIFS(Issue!$D$3:$D1001,Issue!$C$3:$C1001,A574)*C574)</f>
        <v/>
      </c>
      <c r="F574" t="e">
        <f ca="1">_xludf.IFNA(VLOOKUP(B574,'S-FG'!$B$3:$B1001,1,FALSE),"")</f>
        <v>#NAME?</v>
      </c>
      <c r="L574" t="str">
        <f t="shared" si="7"/>
        <v/>
      </c>
      <c r="Q574" t="str">
        <f>IF(N574="","",SUMIFS(Issue!$D$3:$D1001,Issue!$C$3:$C1001,N574))</f>
        <v/>
      </c>
      <c r="Y574" t="str">
        <f t="shared" si="8"/>
        <v/>
      </c>
      <c r="Z574" t="str">
        <f>IF(X574="","",SUMIFS(#REF!,RM!$C$4:$C991,X574))</f>
        <v/>
      </c>
      <c r="AA574" t="str">
        <f>IF(X574="","",SUMIFS(#REF!,RM!$C$4:$C991,X574))</f>
        <v/>
      </c>
      <c r="AB574" t="e">
        <f t="shared" si="9"/>
        <v>#VALUE!</v>
      </c>
      <c r="AC574" t="str">
        <f>IF(X574="","",VLOOKUP($X574,RM!$C$4:$G991,3,FALSE))</f>
        <v/>
      </c>
      <c r="AD574" t="str">
        <f>IF(X574="","",VLOOKUP($X574,RM!$C$4:$G991,4,FALSE))</f>
        <v/>
      </c>
      <c r="AE574" t="str">
        <f>IF(X574="","",VLOOKUP($X574,RM!$C$4:$G991,5,FALSE))</f>
        <v/>
      </c>
      <c r="AK574" t="e">
        <f ca="1">_xludf.IFNA(VLOOKUP(AG574,'S-FG'!$B$3:$B1001,1,FALSE),"")</f>
        <v>#NAME?</v>
      </c>
      <c r="AL574" t="str">
        <f>IF(AH574="","",SUMIFS(#REF!,RM!$C$4:$C991,AH574))</f>
        <v/>
      </c>
    </row>
    <row r="575" spans="5:38">
      <c r="E575" t="str">
        <f>IF(A575="","",SUMIFS(Issue!$D$3:$D1001,Issue!$C$3:$C1001,A575)*C575)</f>
        <v/>
      </c>
      <c r="F575" t="e">
        <f ca="1">_xludf.IFNA(VLOOKUP(B575,'S-FG'!$B$3:$B1001,1,FALSE),"")</f>
        <v>#NAME?</v>
      </c>
      <c r="L575" t="str">
        <f t="shared" si="7"/>
        <v/>
      </c>
      <c r="Q575" t="str">
        <f>IF(N575="","",SUMIFS(Issue!$D$3:$D1001,Issue!$C$3:$C1001,N575))</f>
        <v/>
      </c>
      <c r="Y575" t="str">
        <f t="shared" si="8"/>
        <v/>
      </c>
      <c r="Z575" t="str">
        <f>IF(X575="","",SUMIFS(#REF!,RM!$C$4:$C991,X575))</f>
        <v/>
      </c>
      <c r="AA575" t="str">
        <f>IF(X575="","",SUMIFS(#REF!,RM!$C$4:$C991,X575))</f>
        <v/>
      </c>
      <c r="AB575" t="e">
        <f t="shared" si="9"/>
        <v>#VALUE!</v>
      </c>
      <c r="AC575" t="str">
        <f>IF(X575="","",VLOOKUP($X575,RM!$C$4:$G991,3,FALSE))</f>
        <v/>
      </c>
      <c r="AD575" t="str">
        <f>IF(X575="","",VLOOKUP($X575,RM!$C$4:$G991,4,FALSE))</f>
        <v/>
      </c>
      <c r="AE575" t="str">
        <f>IF(X575="","",VLOOKUP($X575,RM!$C$4:$G991,5,FALSE))</f>
        <v/>
      </c>
      <c r="AK575" t="e">
        <f ca="1">_xludf.IFNA(VLOOKUP(AG575,'S-FG'!$B$3:$B1001,1,FALSE),"")</f>
        <v>#NAME?</v>
      </c>
      <c r="AL575" t="str">
        <f>IF(AH575="","",SUMIFS(#REF!,RM!$C$4:$C991,AH575))</f>
        <v/>
      </c>
    </row>
    <row r="576" spans="5:38">
      <c r="E576" t="str">
        <f>IF(A576="","",SUMIFS(Issue!$D$3:$D1001,Issue!$C$3:$C1001,A576)*C576)</f>
        <v/>
      </c>
      <c r="F576" t="e">
        <f ca="1">_xludf.IFNA(VLOOKUP(B576,'S-FG'!$B$3:$B1001,1,FALSE),"")</f>
        <v>#NAME?</v>
      </c>
      <c r="L576" t="str">
        <f t="shared" si="7"/>
        <v/>
      </c>
      <c r="Q576" t="str">
        <f>IF(N576="","",SUMIFS(Issue!$D$3:$D1001,Issue!$C$3:$C1001,N576))</f>
        <v/>
      </c>
      <c r="Y576" t="str">
        <f t="shared" si="8"/>
        <v/>
      </c>
      <c r="Z576" t="str">
        <f>IF(X576="","",SUMIFS(#REF!,RM!$C$4:$C991,X576))</f>
        <v/>
      </c>
      <c r="AA576" t="str">
        <f>IF(X576="","",SUMIFS(#REF!,RM!$C$4:$C991,X576))</f>
        <v/>
      </c>
      <c r="AB576" t="e">
        <f t="shared" si="9"/>
        <v>#VALUE!</v>
      </c>
      <c r="AC576" t="str">
        <f>IF(X576="","",VLOOKUP($X576,RM!$C$4:$G991,3,FALSE))</f>
        <v/>
      </c>
      <c r="AD576" t="str">
        <f>IF(X576="","",VLOOKUP($X576,RM!$C$4:$G991,4,FALSE))</f>
        <v/>
      </c>
      <c r="AE576" t="str">
        <f>IF(X576="","",VLOOKUP($X576,RM!$C$4:$G991,5,FALSE))</f>
        <v/>
      </c>
      <c r="AK576" t="e">
        <f ca="1">_xludf.IFNA(VLOOKUP(AG576,'S-FG'!$B$3:$B1001,1,FALSE),"")</f>
        <v>#NAME?</v>
      </c>
      <c r="AL576" t="str">
        <f>IF(AH576="","",SUMIFS(#REF!,RM!$C$4:$C991,AH576))</f>
        <v/>
      </c>
    </row>
    <row r="577" spans="5:38">
      <c r="E577" t="str">
        <f>IF(A577="","",SUMIFS(Issue!$D$3:$D1001,Issue!$C$3:$C1001,A577)*C577)</f>
        <v/>
      </c>
      <c r="F577" t="e">
        <f ca="1">_xludf.IFNA(VLOOKUP(B577,'S-FG'!$B$3:$B1001,1,FALSE),"")</f>
        <v>#NAME?</v>
      </c>
      <c r="L577" t="str">
        <f t="shared" si="7"/>
        <v/>
      </c>
      <c r="Q577" t="str">
        <f>IF(N577="","",SUMIFS(Issue!$D$3:$D1001,Issue!$C$3:$C1001,N577))</f>
        <v/>
      </c>
      <c r="Y577" t="str">
        <f t="shared" si="8"/>
        <v/>
      </c>
      <c r="Z577" t="str">
        <f>IF(X577="","",SUMIFS(#REF!,RM!$C$4:$C991,X577))</f>
        <v/>
      </c>
      <c r="AA577" t="str">
        <f>IF(X577="","",SUMIFS(#REF!,RM!$C$4:$C991,X577))</f>
        <v/>
      </c>
      <c r="AB577" t="e">
        <f t="shared" si="9"/>
        <v>#VALUE!</v>
      </c>
      <c r="AC577" t="str">
        <f>IF(X577="","",VLOOKUP($X577,RM!$C$4:$G991,3,FALSE))</f>
        <v/>
      </c>
      <c r="AD577" t="str">
        <f>IF(X577="","",VLOOKUP($X577,RM!$C$4:$G991,4,FALSE))</f>
        <v/>
      </c>
      <c r="AE577" t="str">
        <f>IF(X577="","",VLOOKUP($X577,RM!$C$4:$G991,5,FALSE))</f>
        <v/>
      </c>
      <c r="AK577" t="e">
        <f ca="1">_xludf.IFNA(VLOOKUP(AG577,'S-FG'!$B$3:$B1001,1,FALSE),"")</f>
        <v>#NAME?</v>
      </c>
      <c r="AL577" t="str">
        <f>IF(AH577="","",SUMIFS(#REF!,RM!$C$4:$C991,AH577))</f>
        <v/>
      </c>
    </row>
    <row r="578" spans="5:38">
      <c r="E578" t="str">
        <f>IF(A578="","",SUMIFS(Issue!$D$3:$D1001,Issue!$C$3:$C1001,A578)*C578)</f>
        <v/>
      </c>
      <c r="F578" t="e">
        <f ca="1">_xludf.IFNA(VLOOKUP(B578,'S-FG'!$B$3:$B1001,1,FALSE),"")</f>
        <v>#NAME?</v>
      </c>
      <c r="L578" t="str">
        <f t="shared" si="7"/>
        <v/>
      </c>
      <c r="Q578" t="str">
        <f>IF(N578="","",SUMIFS(Issue!$D$3:$D1001,Issue!$C$3:$C1001,N578))</f>
        <v/>
      </c>
      <c r="Y578" t="str">
        <f t="shared" si="8"/>
        <v/>
      </c>
      <c r="Z578" t="str">
        <f>IF(X578="","",SUMIFS(#REF!,RM!$C$4:$C991,X578))</f>
        <v/>
      </c>
      <c r="AA578" t="str">
        <f>IF(X578="","",SUMIFS(#REF!,RM!$C$4:$C991,X578))</f>
        <v/>
      </c>
      <c r="AB578" t="e">
        <f t="shared" si="9"/>
        <v>#VALUE!</v>
      </c>
      <c r="AC578" t="str">
        <f>IF(X578="","",VLOOKUP($X578,RM!$C$4:$G991,3,FALSE))</f>
        <v/>
      </c>
      <c r="AD578" t="str">
        <f>IF(X578="","",VLOOKUP($X578,RM!$C$4:$G991,4,FALSE))</f>
        <v/>
      </c>
      <c r="AE578" t="str">
        <f>IF(X578="","",VLOOKUP($X578,RM!$C$4:$G991,5,FALSE))</f>
        <v/>
      </c>
      <c r="AK578" t="e">
        <f ca="1">_xludf.IFNA(VLOOKUP(AG578,'S-FG'!$B$3:$B1001,1,FALSE),"")</f>
        <v>#NAME?</v>
      </c>
      <c r="AL578" t="str">
        <f>IF(AH578="","",SUMIFS(#REF!,RM!$C$4:$C991,AH578))</f>
        <v/>
      </c>
    </row>
    <row r="579" spans="5:38">
      <c r="E579" t="str">
        <f>IF(A579="","",SUMIFS(Issue!$D$3:$D1001,Issue!$C$3:$C1001,A579)*C579)</f>
        <v/>
      </c>
      <c r="F579" t="e">
        <f ca="1">_xludf.IFNA(VLOOKUP(B579,'S-FG'!$B$3:$B1001,1,FALSE),"")</f>
        <v>#NAME?</v>
      </c>
      <c r="L579" t="str">
        <f t="shared" si="7"/>
        <v/>
      </c>
      <c r="Q579" t="str">
        <f>IF(N579="","",SUMIFS(Issue!$D$3:$D1001,Issue!$C$3:$C1001,N579))</f>
        <v/>
      </c>
      <c r="Y579" t="str">
        <f t="shared" si="8"/>
        <v/>
      </c>
      <c r="Z579" t="str">
        <f>IF(X579="","",SUMIFS(#REF!,RM!$C$4:$C991,X579))</f>
        <v/>
      </c>
      <c r="AA579" t="str">
        <f>IF(X579="","",SUMIFS(#REF!,RM!$C$4:$C991,X579))</f>
        <v/>
      </c>
      <c r="AB579" t="e">
        <f t="shared" si="9"/>
        <v>#VALUE!</v>
      </c>
      <c r="AC579" t="str">
        <f>IF(X579="","",VLOOKUP($X579,RM!$C$4:$G991,3,FALSE))</f>
        <v/>
      </c>
      <c r="AD579" t="str">
        <f>IF(X579="","",VLOOKUP($X579,RM!$C$4:$G991,4,FALSE))</f>
        <v/>
      </c>
      <c r="AE579" t="str">
        <f>IF(X579="","",VLOOKUP($X579,RM!$C$4:$G991,5,FALSE))</f>
        <v/>
      </c>
      <c r="AK579" t="e">
        <f ca="1">_xludf.IFNA(VLOOKUP(AG579,'S-FG'!$B$3:$B1001,1,FALSE),"")</f>
        <v>#NAME?</v>
      </c>
      <c r="AL579" t="str">
        <f>IF(AH579="","",SUMIFS(#REF!,RM!$C$4:$C991,AH579))</f>
        <v/>
      </c>
    </row>
    <row r="580" spans="5:38">
      <c r="E580" t="str">
        <f>IF(A580="","",SUMIFS(Issue!$D$3:$D1001,Issue!$C$3:$C1001,A580)*C580)</f>
        <v/>
      </c>
      <c r="F580" t="e">
        <f ca="1">_xludf.IFNA(VLOOKUP(B580,'S-FG'!$B$3:$B1001,1,FALSE),"")</f>
        <v>#NAME?</v>
      </c>
      <c r="L580" t="str">
        <f t="shared" si="7"/>
        <v/>
      </c>
      <c r="Q580" t="str">
        <f>IF(N580="","",SUMIFS(Issue!$D$3:$D1001,Issue!$C$3:$C1001,N580))</f>
        <v/>
      </c>
      <c r="Y580" t="str">
        <f t="shared" si="8"/>
        <v/>
      </c>
      <c r="Z580" t="str">
        <f>IF(X580="","",SUMIFS(#REF!,RM!$C$4:$C991,X580))</f>
        <v/>
      </c>
      <c r="AA580" t="str">
        <f>IF(X580="","",SUMIFS(#REF!,RM!$C$4:$C991,X580))</f>
        <v/>
      </c>
      <c r="AB580" t="e">
        <f t="shared" si="9"/>
        <v>#VALUE!</v>
      </c>
      <c r="AC580" t="str">
        <f>IF(X580="","",VLOOKUP($X580,RM!$C$4:$G991,3,FALSE))</f>
        <v/>
      </c>
      <c r="AD580" t="str">
        <f>IF(X580="","",VLOOKUP($X580,RM!$C$4:$G991,4,FALSE))</f>
        <v/>
      </c>
      <c r="AE580" t="str">
        <f>IF(X580="","",VLOOKUP($X580,RM!$C$4:$G991,5,FALSE))</f>
        <v/>
      </c>
      <c r="AK580" t="e">
        <f ca="1">_xludf.IFNA(VLOOKUP(AG580,'S-FG'!$B$3:$B1001,1,FALSE),"")</f>
        <v>#NAME?</v>
      </c>
      <c r="AL580" t="str">
        <f>IF(AH580="","",SUMIFS(#REF!,RM!$C$4:$C991,AH580))</f>
        <v/>
      </c>
    </row>
    <row r="581" spans="5:38">
      <c r="E581" t="str">
        <f>IF(A581="","",SUMIFS(Issue!$D$3:$D1001,Issue!$C$3:$C1001,A581)*C581)</f>
        <v/>
      </c>
      <c r="F581" t="e">
        <f ca="1">_xludf.IFNA(VLOOKUP(B581,'S-FG'!$B$3:$B1001,1,FALSE),"")</f>
        <v>#NAME?</v>
      </c>
      <c r="L581" t="str">
        <f t="shared" si="7"/>
        <v/>
      </c>
      <c r="Q581" t="str">
        <f>IF(N581="","",SUMIFS(Issue!$D$3:$D1001,Issue!$C$3:$C1001,N581))</f>
        <v/>
      </c>
      <c r="Y581" t="str">
        <f t="shared" si="8"/>
        <v/>
      </c>
      <c r="Z581" t="str">
        <f>IF(X581="","",SUMIFS(#REF!,RM!$C$4:$C991,X581))</f>
        <v/>
      </c>
      <c r="AA581" t="str">
        <f>IF(X581="","",SUMIFS(#REF!,RM!$C$4:$C991,X581))</f>
        <v/>
      </c>
      <c r="AB581" t="e">
        <f t="shared" si="9"/>
        <v>#VALUE!</v>
      </c>
      <c r="AC581" t="str">
        <f>IF(X581="","",VLOOKUP($X581,RM!$C$4:$G991,3,FALSE))</f>
        <v/>
      </c>
      <c r="AD581" t="str">
        <f>IF(X581="","",VLOOKUP($X581,RM!$C$4:$G991,4,FALSE))</f>
        <v/>
      </c>
      <c r="AE581" t="str">
        <f>IF(X581="","",VLOOKUP($X581,RM!$C$4:$G991,5,FALSE))</f>
        <v/>
      </c>
      <c r="AK581" t="e">
        <f ca="1">_xludf.IFNA(VLOOKUP(AG581,'S-FG'!$B$3:$B1001,1,FALSE),"")</f>
        <v>#NAME?</v>
      </c>
      <c r="AL581" t="str">
        <f>IF(AH581="","",SUMIFS(#REF!,RM!$C$4:$C991,AH581))</f>
        <v/>
      </c>
    </row>
    <row r="582" spans="5:38">
      <c r="E582" t="str">
        <f>IF(A582="","",SUMIFS(Issue!$D$3:$D1001,Issue!$C$3:$C1001,A582)*C582)</f>
        <v/>
      </c>
      <c r="F582" t="e">
        <f ca="1">_xludf.IFNA(VLOOKUP(B582,'S-FG'!$B$3:$B1001,1,FALSE),"")</f>
        <v>#NAME?</v>
      </c>
      <c r="L582" t="str">
        <f t="shared" si="7"/>
        <v/>
      </c>
      <c r="Q582" t="str">
        <f>IF(N582="","",SUMIFS(Issue!$D$3:$D1001,Issue!$C$3:$C1001,N582))</f>
        <v/>
      </c>
      <c r="Y582" t="str">
        <f t="shared" si="8"/>
        <v/>
      </c>
      <c r="Z582" t="str">
        <f>IF(X582="","",SUMIFS(#REF!,RM!$C$4:$C991,X582))</f>
        <v/>
      </c>
      <c r="AA582" t="str">
        <f>IF(X582="","",SUMIFS(#REF!,RM!$C$4:$C991,X582))</f>
        <v/>
      </c>
      <c r="AB582" t="e">
        <f t="shared" si="9"/>
        <v>#VALUE!</v>
      </c>
      <c r="AC582" t="str">
        <f>IF(X582="","",VLOOKUP($X582,RM!$C$4:$G991,3,FALSE))</f>
        <v/>
      </c>
      <c r="AD582" t="str">
        <f>IF(X582="","",VLOOKUP($X582,RM!$C$4:$G991,4,FALSE))</f>
        <v/>
      </c>
      <c r="AE582" t="str">
        <f>IF(X582="","",VLOOKUP($X582,RM!$C$4:$G991,5,FALSE))</f>
        <v/>
      </c>
      <c r="AK582" t="e">
        <f ca="1">_xludf.IFNA(VLOOKUP(AG582,'S-FG'!$B$3:$B1001,1,FALSE),"")</f>
        <v>#NAME?</v>
      </c>
      <c r="AL582" t="str">
        <f>IF(AH582="","",SUMIFS(#REF!,RM!$C$4:$C991,AH582))</f>
        <v/>
      </c>
    </row>
    <row r="583" spans="5:38">
      <c r="E583" t="str">
        <f>IF(A583="","",SUMIFS(Issue!$D$3:$D1001,Issue!$C$3:$C1001,A583)*C583)</f>
        <v/>
      </c>
      <c r="F583" t="e">
        <f ca="1">_xludf.IFNA(VLOOKUP(B583,'S-FG'!$B$3:$B1001,1,FALSE),"")</f>
        <v>#NAME?</v>
      </c>
      <c r="L583" t="str">
        <f t="shared" si="7"/>
        <v/>
      </c>
      <c r="Q583" t="str">
        <f>IF(N583="","",SUMIFS(Issue!$D$3:$D1001,Issue!$C$3:$C1001,N583))</f>
        <v/>
      </c>
      <c r="Y583" t="str">
        <f t="shared" si="8"/>
        <v/>
      </c>
      <c r="Z583" t="str">
        <f>IF(X583="","",SUMIFS(#REF!,RM!$C$4:$C991,X583))</f>
        <v/>
      </c>
      <c r="AA583" t="str">
        <f>IF(X583="","",SUMIFS(#REF!,RM!$C$4:$C991,X583))</f>
        <v/>
      </c>
      <c r="AB583" t="e">
        <f t="shared" si="9"/>
        <v>#VALUE!</v>
      </c>
      <c r="AC583" t="str">
        <f>IF(X583="","",VLOOKUP($X583,RM!$C$4:$G991,3,FALSE))</f>
        <v/>
      </c>
      <c r="AD583" t="str">
        <f>IF(X583="","",VLOOKUP($X583,RM!$C$4:$G991,4,FALSE))</f>
        <v/>
      </c>
      <c r="AE583" t="str">
        <f>IF(X583="","",VLOOKUP($X583,RM!$C$4:$G991,5,FALSE))</f>
        <v/>
      </c>
      <c r="AK583" t="e">
        <f ca="1">_xludf.IFNA(VLOOKUP(AG583,'S-FG'!$B$3:$B1001,1,FALSE),"")</f>
        <v>#NAME?</v>
      </c>
      <c r="AL583" t="str">
        <f>IF(AH583="","",SUMIFS(#REF!,RM!$C$4:$C991,AH583))</f>
        <v/>
      </c>
    </row>
    <row r="584" spans="5:38">
      <c r="E584" t="str">
        <f>IF(A584="","",SUMIFS(Issue!$D$3:$D1001,Issue!$C$3:$C1001,A584)*C584)</f>
        <v/>
      </c>
      <c r="F584" t="e">
        <f ca="1">_xludf.IFNA(VLOOKUP(B584,'S-FG'!$B$3:$B1001,1,FALSE),"")</f>
        <v>#NAME?</v>
      </c>
      <c r="L584" t="str">
        <f t="shared" si="7"/>
        <v/>
      </c>
      <c r="Q584" t="str">
        <f>IF(N584="","",SUMIFS(Issue!$D$3:$D1001,Issue!$C$3:$C1001,N584))</f>
        <v/>
      </c>
      <c r="Y584" t="str">
        <f t="shared" si="8"/>
        <v/>
      </c>
      <c r="Z584" t="str">
        <f>IF(X584="","",SUMIFS(#REF!,RM!$C$4:$C991,X584))</f>
        <v/>
      </c>
      <c r="AA584" t="str">
        <f>IF(X584="","",SUMIFS(#REF!,RM!$C$4:$C991,X584))</f>
        <v/>
      </c>
      <c r="AB584" t="e">
        <f t="shared" si="9"/>
        <v>#VALUE!</v>
      </c>
      <c r="AC584" t="str">
        <f>IF(X584="","",VLOOKUP($X584,RM!$C$4:$G991,3,FALSE))</f>
        <v/>
      </c>
      <c r="AD584" t="str">
        <f>IF(X584="","",VLOOKUP($X584,RM!$C$4:$G991,4,FALSE))</f>
        <v/>
      </c>
      <c r="AE584" t="str">
        <f>IF(X584="","",VLOOKUP($X584,RM!$C$4:$G991,5,FALSE))</f>
        <v/>
      </c>
      <c r="AK584" t="e">
        <f ca="1">_xludf.IFNA(VLOOKUP(AG584,'S-FG'!$B$3:$B1001,1,FALSE),"")</f>
        <v>#NAME?</v>
      </c>
      <c r="AL584" t="str">
        <f>IF(AH584="","",SUMIFS(#REF!,RM!$C$4:$C991,AH584))</f>
        <v/>
      </c>
    </row>
    <row r="585" spans="5:38">
      <c r="E585" t="str">
        <f>IF(A585="","",SUMIFS(Issue!$D$3:$D1001,Issue!$C$3:$C1001,A585)*C585)</f>
        <v/>
      </c>
      <c r="F585" t="e">
        <f ca="1">_xludf.IFNA(VLOOKUP(B585,'S-FG'!$B$3:$B1001,1,FALSE),"")</f>
        <v>#NAME?</v>
      </c>
      <c r="L585" t="str">
        <f t="shared" si="7"/>
        <v/>
      </c>
      <c r="Q585" t="str">
        <f>IF(N585="","",SUMIFS(Issue!$D$3:$D1001,Issue!$C$3:$C1001,N585))</f>
        <v/>
      </c>
      <c r="Y585" t="str">
        <f t="shared" si="8"/>
        <v/>
      </c>
      <c r="Z585" t="str">
        <f>IF(X585="","",SUMIFS(#REF!,RM!$C$4:$C991,X585))</f>
        <v/>
      </c>
      <c r="AA585" t="str">
        <f>IF(X585="","",SUMIFS(#REF!,RM!$C$4:$C991,X585))</f>
        <v/>
      </c>
      <c r="AB585" t="e">
        <f t="shared" si="9"/>
        <v>#VALUE!</v>
      </c>
      <c r="AC585" t="str">
        <f>IF(X585="","",VLOOKUP($X585,RM!$C$4:$G991,3,FALSE))</f>
        <v/>
      </c>
      <c r="AD585" t="str">
        <f>IF(X585="","",VLOOKUP($X585,RM!$C$4:$G991,4,FALSE))</f>
        <v/>
      </c>
      <c r="AE585" t="str">
        <f>IF(X585="","",VLOOKUP($X585,RM!$C$4:$G991,5,FALSE))</f>
        <v/>
      </c>
      <c r="AK585" t="e">
        <f ca="1">_xludf.IFNA(VLOOKUP(AG585,'S-FG'!$B$3:$B1001,1,FALSE),"")</f>
        <v>#NAME?</v>
      </c>
      <c r="AL585" t="str">
        <f>IF(AH585="","",SUMIFS(#REF!,RM!$C$4:$C991,AH585))</f>
        <v/>
      </c>
    </row>
    <row r="586" spans="5:38">
      <c r="E586" t="str">
        <f>IF(A586="","",SUMIFS(Issue!$D$3:$D1001,Issue!$C$3:$C1001,A586)*C586)</f>
        <v/>
      </c>
      <c r="F586" t="e">
        <f ca="1">_xludf.IFNA(VLOOKUP(B586,'S-FG'!$B$3:$B1001,1,FALSE),"")</f>
        <v>#NAME?</v>
      </c>
      <c r="L586" t="str">
        <f t="shared" si="7"/>
        <v/>
      </c>
      <c r="Q586" t="str">
        <f>IF(N586="","",SUMIFS(Issue!$D$3:$D1001,Issue!$C$3:$C1001,N586))</f>
        <v/>
      </c>
      <c r="Y586" t="str">
        <f t="shared" si="8"/>
        <v/>
      </c>
      <c r="Z586" t="str">
        <f>IF(X586="","",SUMIFS(#REF!,RM!$C$4:$C991,X586))</f>
        <v/>
      </c>
      <c r="AA586" t="str">
        <f>IF(X586="","",SUMIFS(#REF!,RM!$C$4:$C991,X586))</f>
        <v/>
      </c>
      <c r="AB586" t="e">
        <f t="shared" si="9"/>
        <v>#VALUE!</v>
      </c>
      <c r="AC586" t="str">
        <f>IF(X586="","",VLOOKUP($X586,RM!$C$4:$G991,3,FALSE))</f>
        <v/>
      </c>
      <c r="AD586" t="str">
        <f>IF(X586="","",VLOOKUP($X586,RM!$C$4:$G991,4,FALSE))</f>
        <v/>
      </c>
      <c r="AE586" t="str">
        <f>IF(X586="","",VLOOKUP($X586,RM!$C$4:$G991,5,FALSE))</f>
        <v/>
      </c>
      <c r="AK586" t="e">
        <f ca="1">_xludf.IFNA(VLOOKUP(AG586,'S-FG'!$B$3:$B1001,1,FALSE),"")</f>
        <v>#NAME?</v>
      </c>
      <c r="AL586" t="str">
        <f>IF(AH586="","",SUMIFS(#REF!,RM!$C$4:$C991,AH586))</f>
        <v/>
      </c>
    </row>
    <row r="587" spans="5:38">
      <c r="E587" t="str">
        <f>IF(A587="","",SUMIFS(Issue!$D$3:$D1001,Issue!$C$3:$C1001,A587)*C587)</f>
        <v/>
      </c>
      <c r="F587" t="e">
        <f ca="1">_xludf.IFNA(VLOOKUP(B587,'S-FG'!$B$3:$B1001,1,FALSE),"")</f>
        <v>#NAME?</v>
      </c>
      <c r="L587" t="str">
        <f t="shared" si="7"/>
        <v/>
      </c>
      <c r="Q587" t="str">
        <f>IF(N587="","",SUMIFS(Issue!$D$3:$D1001,Issue!$C$3:$C1001,N587))</f>
        <v/>
      </c>
      <c r="Y587" t="str">
        <f t="shared" si="8"/>
        <v/>
      </c>
      <c r="Z587" t="str">
        <f>IF(X587="","",SUMIFS(#REF!,RM!$C$4:$C991,X587))</f>
        <v/>
      </c>
      <c r="AA587" t="str">
        <f>IF(X587="","",SUMIFS(#REF!,RM!$C$4:$C991,X587))</f>
        <v/>
      </c>
      <c r="AB587" t="e">
        <f t="shared" si="9"/>
        <v>#VALUE!</v>
      </c>
      <c r="AC587" t="str">
        <f>IF(X587="","",VLOOKUP($X587,RM!$C$4:$G991,3,FALSE))</f>
        <v/>
      </c>
      <c r="AD587" t="str">
        <f>IF(X587="","",VLOOKUP($X587,RM!$C$4:$G991,4,FALSE))</f>
        <v/>
      </c>
      <c r="AE587" t="str">
        <f>IF(X587="","",VLOOKUP($X587,RM!$C$4:$G991,5,FALSE))</f>
        <v/>
      </c>
      <c r="AK587" t="e">
        <f ca="1">_xludf.IFNA(VLOOKUP(AG587,'S-FG'!$B$3:$B1001,1,FALSE),"")</f>
        <v>#NAME?</v>
      </c>
      <c r="AL587" t="str">
        <f>IF(AH587="","",SUMIFS(#REF!,RM!$C$4:$C991,AH587))</f>
        <v/>
      </c>
    </row>
    <row r="588" spans="5:38">
      <c r="E588" t="str">
        <f>IF(A588="","",SUMIFS(Issue!$D$3:$D1001,Issue!$C$3:$C1001,A588)*C588)</f>
        <v/>
      </c>
      <c r="F588" t="e">
        <f ca="1">_xludf.IFNA(VLOOKUP(B588,'S-FG'!$B$3:$B1001,1,FALSE),"")</f>
        <v>#NAME?</v>
      </c>
      <c r="L588" t="str">
        <f t="shared" si="7"/>
        <v/>
      </c>
      <c r="Q588" t="str">
        <f>IF(N588="","",SUMIFS(Issue!$D$3:$D1001,Issue!$C$3:$C1001,N588))</f>
        <v/>
      </c>
      <c r="Y588" t="str">
        <f t="shared" si="8"/>
        <v/>
      </c>
      <c r="Z588" t="str">
        <f>IF(X588="","",SUMIFS(#REF!,RM!$C$4:$C991,X588))</f>
        <v/>
      </c>
      <c r="AA588" t="str">
        <f>IF(X588="","",SUMIFS(#REF!,RM!$C$4:$C991,X588))</f>
        <v/>
      </c>
      <c r="AB588" t="e">
        <f t="shared" si="9"/>
        <v>#VALUE!</v>
      </c>
      <c r="AC588" t="str">
        <f>IF(X588="","",VLOOKUP($X588,RM!$C$4:$G991,3,FALSE))</f>
        <v/>
      </c>
      <c r="AD588" t="str">
        <f>IF(X588="","",VLOOKUP($X588,RM!$C$4:$G991,4,FALSE))</f>
        <v/>
      </c>
      <c r="AE588" t="str">
        <f>IF(X588="","",VLOOKUP($X588,RM!$C$4:$G991,5,FALSE))</f>
        <v/>
      </c>
      <c r="AK588" t="e">
        <f ca="1">_xludf.IFNA(VLOOKUP(AG588,'S-FG'!$B$3:$B1001,1,FALSE),"")</f>
        <v>#NAME?</v>
      </c>
      <c r="AL588" t="str">
        <f>IF(AH588="","",SUMIFS(#REF!,RM!$C$4:$C991,AH588))</f>
        <v/>
      </c>
    </row>
    <row r="589" spans="5:38">
      <c r="E589" t="str">
        <f>IF(A589="","",SUMIFS(Issue!$D$3:$D1001,Issue!$C$3:$C1001,A589)*C589)</f>
        <v/>
      </c>
      <c r="F589" t="e">
        <f ca="1">_xludf.IFNA(VLOOKUP(B589,'S-FG'!$B$3:$B1001,1,FALSE),"")</f>
        <v>#NAME?</v>
      </c>
      <c r="L589" t="str">
        <f t="shared" si="7"/>
        <v/>
      </c>
      <c r="Q589" t="str">
        <f>IF(N589="","",SUMIFS(Issue!$D$3:$D1001,Issue!$C$3:$C1001,N589))</f>
        <v/>
      </c>
      <c r="Y589" t="str">
        <f t="shared" si="8"/>
        <v/>
      </c>
      <c r="Z589" t="str">
        <f>IF(X589="","",SUMIFS(#REF!,RM!$C$4:$C991,X589))</f>
        <v/>
      </c>
      <c r="AA589" t="str">
        <f>IF(X589="","",SUMIFS(#REF!,RM!$C$4:$C991,X589))</f>
        <v/>
      </c>
      <c r="AB589" t="e">
        <f t="shared" si="9"/>
        <v>#VALUE!</v>
      </c>
      <c r="AC589" t="str">
        <f>IF(X589="","",VLOOKUP($X589,RM!$C$4:$G991,3,FALSE))</f>
        <v/>
      </c>
      <c r="AD589" t="str">
        <f>IF(X589="","",VLOOKUP($X589,RM!$C$4:$G991,4,FALSE))</f>
        <v/>
      </c>
      <c r="AE589" t="str">
        <f>IF(X589="","",VLOOKUP($X589,RM!$C$4:$G991,5,FALSE))</f>
        <v/>
      </c>
      <c r="AK589" t="e">
        <f ca="1">_xludf.IFNA(VLOOKUP(AG589,'S-FG'!$B$3:$B1001,1,FALSE),"")</f>
        <v>#NAME?</v>
      </c>
      <c r="AL589" t="str">
        <f>IF(AH589="","",SUMIFS(#REF!,RM!$C$4:$C991,AH589))</f>
        <v/>
      </c>
    </row>
    <row r="590" spans="5:38">
      <c r="E590" t="str">
        <f>IF(A590="","",SUMIFS(Issue!$D$3:$D1001,Issue!$C$3:$C1001,A590)*C590)</f>
        <v/>
      </c>
      <c r="F590" t="e">
        <f ca="1">_xludf.IFNA(VLOOKUP(B590,'S-FG'!$B$3:$B1001,1,FALSE),"")</f>
        <v>#NAME?</v>
      </c>
      <c r="L590" t="str">
        <f t="shared" si="7"/>
        <v/>
      </c>
      <c r="Q590" t="str">
        <f>IF(N590="","",SUMIFS(Issue!$D$3:$D1001,Issue!$C$3:$C1001,N590))</f>
        <v/>
      </c>
      <c r="Y590" t="str">
        <f t="shared" si="8"/>
        <v/>
      </c>
      <c r="Z590" t="str">
        <f>IF(X590="","",SUMIFS(#REF!,RM!$C$4:$C991,X590))</f>
        <v/>
      </c>
      <c r="AA590" t="str">
        <f>IF(X590="","",SUMIFS(#REF!,RM!$C$4:$C991,X590))</f>
        <v/>
      </c>
      <c r="AB590" t="e">
        <f t="shared" si="9"/>
        <v>#VALUE!</v>
      </c>
      <c r="AC590" t="str">
        <f>IF(X590="","",VLOOKUP($X590,RM!$C$4:$G991,3,FALSE))</f>
        <v/>
      </c>
      <c r="AD590" t="str">
        <f>IF(X590="","",VLOOKUP($X590,RM!$C$4:$G991,4,FALSE))</f>
        <v/>
      </c>
      <c r="AE590" t="str">
        <f>IF(X590="","",VLOOKUP($X590,RM!$C$4:$G991,5,FALSE))</f>
        <v/>
      </c>
      <c r="AK590" t="e">
        <f ca="1">_xludf.IFNA(VLOOKUP(AG590,'S-FG'!$B$3:$B1001,1,FALSE),"")</f>
        <v>#NAME?</v>
      </c>
      <c r="AL590" t="str">
        <f>IF(AH590="","",SUMIFS(#REF!,RM!$C$4:$C991,AH590))</f>
        <v/>
      </c>
    </row>
    <row r="591" spans="5:38">
      <c r="E591" t="str">
        <f>IF(A591="","",SUMIFS(Issue!$D$3:$D1001,Issue!$C$3:$C1001,A591)*C591)</f>
        <v/>
      </c>
      <c r="F591" t="e">
        <f ca="1">_xludf.IFNA(VLOOKUP(B591,'S-FG'!$B$3:$B1001,1,FALSE),"")</f>
        <v>#NAME?</v>
      </c>
      <c r="L591" t="str">
        <f t="shared" si="7"/>
        <v/>
      </c>
      <c r="Q591" t="str">
        <f>IF(N591="","",SUMIFS(Issue!$D$3:$D1001,Issue!$C$3:$C1001,N591))</f>
        <v/>
      </c>
      <c r="Y591" t="str">
        <f t="shared" si="8"/>
        <v/>
      </c>
      <c r="Z591" t="str">
        <f>IF(X591="","",SUMIFS(#REF!,RM!$C$4:$C991,X591))</f>
        <v/>
      </c>
      <c r="AA591" t="str">
        <f>IF(X591="","",SUMIFS(#REF!,RM!$C$4:$C991,X591))</f>
        <v/>
      </c>
      <c r="AB591" t="e">
        <f t="shared" si="9"/>
        <v>#VALUE!</v>
      </c>
      <c r="AC591" t="str">
        <f>IF(X591="","",VLOOKUP($X591,RM!$C$4:$G991,3,FALSE))</f>
        <v/>
      </c>
      <c r="AD591" t="str">
        <f>IF(X591="","",VLOOKUP($X591,RM!$C$4:$G991,4,FALSE))</f>
        <v/>
      </c>
      <c r="AE591" t="str">
        <f>IF(X591="","",VLOOKUP($X591,RM!$C$4:$G991,5,FALSE))</f>
        <v/>
      </c>
      <c r="AK591" t="e">
        <f ca="1">_xludf.IFNA(VLOOKUP(AG591,'S-FG'!$B$3:$B1001,1,FALSE),"")</f>
        <v>#NAME?</v>
      </c>
      <c r="AL591" t="str">
        <f>IF(AH591="","",SUMIFS(#REF!,RM!$C$4:$C991,AH591))</f>
        <v/>
      </c>
    </row>
    <row r="592" spans="5:38">
      <c r="E592" t="str">
        <f>IF(A592="","",SUMIFS(Issue!$D$3:$D1001,Issue!$C$3:$C1001,A592)*C592)</f>
        <v/>
      </c>
      <c r="F592" t="e">
        <f ca="1">_xludf.IFNA(VLOOKUP(B592,'S-FG'!$B$3:$B1001,1,FALSE),"")</f>
        <v>#NAME?</v>
      </c>
      <c r="L592" t="str">
        <f t="shared" si="7"/>
        <v/>
      </c>
      <c r="Q592" t="str">
        <f>IF(N592="","",SUMIFS(Issue!$D$3:$D1001,Issue!$C$3:$C1001,N592))</f>
        <v/>
      </c>
      <c r="Y592" t="str">
        <f t="shared" si="8"/>
        <v/>
      </c>
      <c r="Z592" t="str">
        <f>IF(X592="","",SUMIFS(#REF!,RM!$C$4:$C991,X592))</f>
        <v/>
      </c>
      <c r="AA592" t="str">
        <f>IF(X592="","",SUMIFS(#REF!,RM!$C$4:$C991,X592))</f>
        <v/>
      </c>
      <c r="AB592" t="e">
        <f t="shared" si="9"/>
        <v>#VALUE!</v>
      </c>
      <c r="AC592" t="str">
        <f>IF(X592="","",VLOOKUP($X592,RM!$C$4:$G991,3,FALSE))</f>
        <v/>
      </c>
      <c r="AD592" t="str">
        <f>IF(X592="","",VLOOKUP($X592,RM!$C$4:$G991,4,FALSE))</f>
        <v/>
      </c>
      <c r="AE592" t="str">
        <f>IF(X592="","",VLOOKUP($X592,RM!$C$4:$G991,5,FALSE))</f>
        <v/>
      </c>
      <c r="AK592" t="e">
        <f ca="1">_xludf.IFNA(VLOOKUP(AG592,'S-FG'!$B$3:$B1001,1,FALSE),"")</f>
        <v>#NAME?</v>
      </c>
      <c r="AL592" t="str">
        <f>IF(AH592="","",SUMIFS(#REF!,RM!$C$4:$C991,AH592))</f>
        <v/>
      </c>
    </row>
    <row r="593" spans="5:38">
      <c r="E593" t="str">
        <f>IF(A593="","",SUMIFS(Issue!$D$3:$D1001,Issue!$C$3:$C1001,A593)*C593)</f>
        <v/>
      </c>
      <c r="F593" t="e">
        <f ca="1">_xludf.IFNA(VLOOKUP(B593,'S-FG'!$B$3:$B1001,1,FALSE),"")</f>
        <v>#NAME?</v>
      </c>
      <c r="L593" t="str">
        <f t="shared" si="7"/>
        <v/>
      </c>
      <c r="Q593" t="str">
        <f>IF(N593="","",SUMIFS(Issue!$D$3:$D1001,Issue!$C$3:$C1001,N593))</f>
        <v/>
      </c>
      <c r="Y593" t="str">
        <f t="shared" si="8"/>
        <v/>
      </c>
      <c r="Z593" t="str">
        <f>IF(X593="","",SUMIFS(#REF!,RM!$C$4:$C991,X593))</f>
        <v/>
      </c>
      <c r="AA593" t="str">
        <f>IF(X593="","",SUMIFS(#REF!,RM!$C$4:$C991,X593))</f>
        <v/>
      </c>
      <c r="AB593" t="e">
        <f t="shared" si="9"/>
        <v>#VALUE!</v>
      </c>
      <c r="AC593" t="str">
        <f>IF(X593="","",VLOOKUP($X593,RM!$C$4:$G991,3,FALSE))</f>
        <v/>
      </c>
      <c r="AD593" t="str">
        <f>IF(X593="","",VLOOKUP($X593,RM!$C$4:$G991,4,FALSE))</f>
        <v/>
      </c>
      <c r="AE593" t="str">
        <f>IF(X593="","",VLOOKUP($X593,RM!$C$4:$G991,5,FALSE))</f>
        <v/>
      </c>
      <c r="AK593" t="e">
        <f ca="1">_xludf.IFNA(VLOOKUP(AG593,'S-FG'!$B$3:$B1001,1,FALSE),"")</f>
        <v>#NAME?</v>
      </c>
      <c r="AL593" t="str">
        <f>IF(AH593="","",SUMIFS(#REF!,RM!$C$4:$C991,AH593))</f>
        <v/>
      </c>
    </row>
    <row r="594" spans="5:38">
      <c r="E594" t="str">
        <f>IF(A594="","",SUMIFS(Issue!$D$3:$D1001,Issue!$C$3:$C1001,A594)*C594)</f>
        <v/>
      </c>
      <c r="F594" t="e">
        <f ca="1">_xludf.IFNA(VLOOKUP(B594,'S-FG'!$B$3:$B1001,1,FALSE),"")</f>
        <v>#NAME?</v>
      </c>
      <c r="L594" t="str">
        <f t="shared" si="7"/>
        <v/>
      </c>
      <c r="Q594" t="str">
        <f>IF(N594="","",SUMIFS(Issue!$D$3:$D1001,Issue!$C$3:$C1001,N594))</f>
        <v/>
      </c>
      <c r="Y594" t="str">
        <f t="shared" si="8"/>
        <v/>
      </c>
      <c r="Z594" t="str">
        <f>IF(X594="","",SUMIFS(#REF!,RM!$C$4:$C991,X594))</f>
        <v/>
      </c>
      <c r="AA594" t="str">
        <f>IF(X594="","",SUMIFS(#REF!,RM!$C$4:$C991,X594))</f>
        <v/>
      </c>
      <c r="AB594" t="e">
        <f t="shared" si="9"/>
        <v>#VALUE!</v>
      </c>
      <c r="AC594" t="str">
        <f>IF(X594="","",VLOOKUP($X594,RM!$C$4:$G991,3,FALSE))</f>
        <v/>
      </c>
      <c r="AD594" t="str">
        <f>IF(X594="","",VLOOKUP($X594,RM!$C$4:$G991,4,FALSE))</f>
        <v/>
      </c>
      <c r="AE594" t="str">
        <f>IF(X594="","",VLOOKUP($X594,RM!$C$4:$G991,5,FALSE))</f>
        <v/>
      </c>
      <c r="AK594" t="e">
        <f ca="1">_xludf.IFNA(VLOOKUP(AG594,'S-FG'!$B$3:$B1001,1,FALSE),"")</f>
        <v>#NAME?</v>
      </c>
      <c r="AL594" t="str">
        <f>IF(AH594="","",SUMIFS(#REF!,RM!$C$4:$C991,AH594))</f>
        <v/>
      </c>
    </row>
    <row r="595" spans="5:38">
      <c r="E595" t="str">
        <f>IF(A595="","",SUMIFS(Issue!$D$3:$D1001,Issue!$C$3:$C1001,A595)*C595)</f>
        <v/>
      </c>
      <c r="F595" t="e">
        <f ca="1">_xludf.IFNA(VLOOKUP(B595,'S-FG'!$B$3:$B1001,1,FALSE),"")</f>
        <v>#NAME?</v>
      </c>
      <c r="L595" t="str">
        <f t="shared" si="7"/>
        <v/>
      </c>
      <c r="Q595" t="str">
        <f>IF(N595="","",SUMIFS(Issue!$D$3:$D1001,Issue!$C$3:$C1001,N595))</f>
        <v/>
      </c>
      <c r="Y595" t="str">
        <f t="shared" si="8"/>
        <v/>
      </c>
      <c r="Z595" t="str">
        <f>IF(X595="","",SUMIFS(#REF!,RM!$C$4:$C991,X595))</f>
        <v/>
      </c>
      <c r="AA595" t="str">
        <f>IF(X595="","",SUMIFS(#REF!,RM!$C$4:$C991,X595))</f>
        <v/>
      </c>
      <c r="AB595" t="e">
        <f t="shared" si="9"/>
        <v>#VALUE!</v>
      </c>
      <c r="AC595" t="str">
        <f>IF(X595="","",VLOOKUP($X595,RM!$C$4:$G991,3,FALSE))</f>
        <v/>
      </c>
      <c r="AD595" t="str">
        <f>IF(X595="","",VLOOKUP($X595,RM!$C$4:$G991,4,FALSE))</f>
        <v/>
      </c>
      <c r="AE595" t="str">
        <f>IF(X595="","",VLOOKUP($X595,RM!$C$4:$G991,5,FALSE))</f>
        <v/>
      </c>
      <c r="AK595" t="e">
        <f ca="1">_xludf.IFNA(VLOOKUP(AG595,'S-FG'!$B$3:$B1001,1,FALSE),"")</f>
        <v>#NAME?</v>
      </c>
      <c r="AL595" t="str">
        <f>IF(AH595="","",SUMIFS(#REF!,RM!$C$4:$C991,AH595))</f>
        <v/>
      </c>
    </row>
    <row r="596" spans="5:38">
      <c r="E596" t="str">
        <f>IF(A596="","",SUMIFS(Issue!$D$3:$D1001,Issue!$C$3:$C1001,A596)*C596)</f>
        <v/>
      </c>
      <c r="F596" t="e">
        <f ca="1">_xludf.IFNA(VLOOKUP(B596,'S-FG'!$B$3:$B1001,1,FALSE),"")</f>
        <v>#NAME?</v>
      </c>
      <c r="L596" t="str">
        <f t="shared" si="7"/>
        <v/>
      </c>
      <c r="Q596" t="str">
        <f>IF(N596="","",SUMIFS(Issue!$D$3:$D1001,Issue!$C$3:$C1001,N596))</f>
        <v/>
      </c>
      <c r="Y596" t="str">
        <f t="shared" si="8"/>
        <v/>
      </c>
      <c r="Z596" t="str">
        <f>IF(X596="","",SUMIFS(#REF!,RM!$C$4:$C991,X596))</f>
        <v/>
      </c>
      <c r="AA596" t="str">
        <f>IF(X596="","",SUMIFS(#REF!,RM!$C$4:$C991,X596))</f>
        <v/>
      </c>
      <c r="AB596" t="e">
        <f t="shared" si="9"/>
        <v>#VALUE!</v>
      </c>
      <c r="AC596" t="str">
        <f>IF(X596="","",VLOOKUP($X596,RM!$C$4:$G991,3,FALSE))</f>
        <v/>
      </c>
      <c r="AD596" t="str">
        <f>IF(X596="","",VLOOKUP($X596,RM!$C$4:$G991,4,FALSE))</f>
        <v/>
      </c>
      <c r="AE596" t="str">
        <f>IF(X596="","",VLOOKUP($X596,RM!$C$4:$G991,5,FALSE))</f>
        <v/>
      </c>
      <c r="AK596" t="e">
        <f ca="1">_xludf.IFNA(VLOOKUP(AG596,'S-FG'!$B$3:$B1001,1,FALSE),"")</f>
        <v>#NAME?</v>
      </c>
      <c r="AL596" t="str">
        <f>IF(AH596="","",SUMIFS(#REF!,RM!$C$4:$C991,AH596))</f>
        <v/>
      </c>
    </row>
    <row r="597" spans="5:38">
      <c r="E597" t="str">
        <f>IF(A597="","",SUMIFS(Issue!$D$3:$D1001,Issue!$C$3:$C1001,A597)*C597)</f>
        <v/>
      </c>
      <c r="F597" t="e">
        <f ca="1">_xludf.IFNA(VLOOKUP(B597,'S-FG'!$B$3:$B1001,1,FALSE),"")</f>
        <v>#NAME?</v>
      </c>
      <c r="L597" t="str">
        <f t="shared" si="7"/>
        <v/>
      </c>
      <c r="Q597" t="str">
        <f>IF(N597="","",SUMIFS(Issue!$D$3:$D1001,Issue!$C$3:$C1001,N597))</f>
        <v/>
      </c>
      <c r="Y597" t="str">
        <f t="shared" si="8"/>
        <v/>
      </c>
      <c r="Z597" t="str">
        <f>IF(X597="","",SUMIFS(#REF!,RM!$C$4:$C991,X597))</f>
        <v/>
      </c>
      <c r="AA597" t="str">
        <f>IF(X597="","",SUMIFS(#REF!,RM!$C$4:$C991,X597))</f>
        <v/>
      </c>
      <c r="AB597" t="e">
        <f t="shared" si="9"/>
        <v>#VALUE!</v>
      </c>
      <c r="AC597" t="str">
        <f>IF(X597="","",VLOOKUP($X597,RM!$C$4:$G991,3,FALSE))</f>
        <v/>
      </c>
      <c r="AD597" t="str">
        <f>IF(X597="","",VLOOKUP($X597,RM!$C$4:$G991,4,FALSE))</f>
        <v/>
      </c>
      <c r="AE597" t="str">
        <f>IF(X597="","",VLOOKUP($X597,RM!$C$4:$G991,5,FALSE))</f>
        <v/>
      </c>
      <c r="AK597" t="e">
        <f ca="1">_xludf.IFNA(VLOOKUP(AG597,'S-FG'!$B$3:$B1001,1,FALSE),"")</f>
        <v>#NAME?</v>
      </c>
      <c r="AL597" t="str">
        <f>IF(AH597="","",SUMIFS(#REF!,RM!$C$4:$C991,AH597))</f>
        <v/>
      </c>
    </row>
    <row r="598" spans="5:38">
      <c r="E598" t="str">
        <f>IF(A598="","",SUMIFS(Issue!$D$3:$D1001,Issue!$C$3:$C1001,A598)*C598)</f>
        <v/>
      </c>
      <c r="F598" t="e">
        <f ca="1">_xludf.IFNA(VLOOKUP(B598,'S-FG'!$B$3:$B1001,1,FALSE),"")</f>
        <v>#NAME?</v>
      </c>
      <c r="L598" t="str">
        <f t="shared" si="7"/>
        <v/>
      </c>
      <c r="Q598" t="str">
        <f>IF(N598="","",SUMIFS(Issue!$D$3:$D1001,Issue!$C$3:$C1001,N598))</f>
        <v/>
      </c>
      <c r="Y598" t="str">
        <f t="shared" si="8"/>
        <v/>
      </c>
      <c r="Z598" t="str">
        <f>IF(X598="","",SUMIFS(#REF!,RM!$C$4:$C991,X598))</f>
        <v/>
      </c>
      <c r="AA598" t="str">
        <f>IF(X598="","",SUMIFS(#REF!,RM!$C$4:$C991,X598))</f>
        <v/>
      </c>
      <c r="AB598" t="e">
        <f t="shared" si="9"/>
        <v>#VALUE!</v>
      </c>
      <c r="AC598" t="str">
        <f>IF(X598="","",VLOOKUP($X598,RM!$C$4:$G991,3,FALSE))</f>
        <v/>
      </c>
      <c r="AD598" t="str">
        <f>IF(X598="","",VLOOKUP($X598,RM!$C$4:$G991,4,FALSE))</f>
        <v/>
      </c>
      <c r="AE598" t="str">
        <f>IF(X598="","",VLOOKUP($X598,RM!$C$4:$G991,5,FALSE))</f>
        <v/>
      </c>
      <c r="AK598" t="e">
        <f ca="1">_xludf.IFNA(VLOOKUP(AG598,'S-FG'!$B$3:$B1001,1,FALSE),"")</f>
        <v>#NAME?</v>
      </c>
      <c r="AL598" t="str">
        <f>IF(AH598="","",SUMIFS(#REF!,RM!$C$4:$C991,AH598))</f>
        <v/>
      </c>
    </row>
    <row r="599" spans="5:38">
      <c r="E599" t="str">
        <f>IF(A599="","",SUMIFS(Issue!$D$3:$D1001,Issue!$C$3:$C1001,A599)*C599)</f>
        <v/>
      </c>
      <c r="F599" t="e">
        <f ca="1">_xludf.IFNA(VLOOKUP(B599,'S-FG'!$B$3:$B1001,1,FALSE),"")</f>
        <v>#NAME?</v>
      </c>
      <c r="L599" t="str">
        <f t="shared" si="7"/>
        <v/>
      </c>
      <c r="Q599" t="str">
        <f>IF(N599="","",SUMIFS(Issue!$D$3:$D1001,Issue!$C$3:$C1001,N599))</f>
        <v/>
      </c>
      <c r="Y599" t="str">
        <f t="shared" si="8"/>
        <v/>
      </c>
      <c r="Z599" t="str">
        <f>IF(X599="","",SUMIFS(#REF!,RM!$C$4:$C991,X599))</f>
        <v/>
      </c>
      <c r="AA599" t="str">
        <f>IF(X599="","",SUMIFS(#REF!,RM!$C$4:$C991,X599))</f>
        <v/>
      </c>
      <c r="AB599" t="e">
        <f t="shared" si="9"/>
        <v>#VALUE!</v>
      </c>
      <c r="AC599" t="str">
        <f>IF(X599="","",VLOOKUP($X599,RM!$C$4:$G991,3,FALSE))</f>
        <v/>
      </c>
      <c r="AD599" t="str">
        <f>IF(X599="","",VLOOKUP($X599,RM!$C$4:$G991,4,FALSE))</f>
        <v/>
      </c>
      <c r="AE599" t="str">
        <f>IF(X599="","",VLOOKUP($X599,RM!$C$4:$G991,5,FALSE))</f>
        <v/>
      </c>
      <c r="AK599" t="e">
        <f ca="1">_xludf.IFNA(VLOOKUP(AG599,'S-FG'!$B$3:$B1001,1,FALSE),"")</f>
        <v>#NAME?</v>
      </c>
      <c r="AL599" t="str">
        <f>IF(AH599="","",SUMIFS(#REF!,RM!$C$4:$C991,AH599))</f>
        <v/>
      </c>
    </row>
    <row r="600" spans="5:38">
      <c r="E600" t="str">
        <f>IF(A600="","",SUMIFS(Issue!$D$3:$D1001,Issue!$C$3:$C1001,A600)*C600)</f>
        <v/>
      </c>
      <c r="F600" t="e">
        <f ca="1">_xludf.IFNA(VLOOKUP(B600,'S-FG'!$B$3:$B1001,1,FALSE),"")</f>
        <v>#NAME?</v>
      </c>
      <c r="L600" t="str">
        <f t="shared" si="7"/>
        <v/>
      </c>
      <c r="Q600" t="str">
        <f>IF(N600="","",SUMIFS(Issue!$D$3:$D1001,Issue!$C$3:$C1001,N600))</f>
        <v/>
      </c>
      <c r="Y600" t="str">
        <f t="shared" si="8"/>
        <v/>
      </c>
      <c r="Z600" t="str">
        <f>IF(X600="","",SUMIFS(#REF!,RM!$C$4:$C991,X600))</f>
        <v/>
      </c>
      <c r="AA600" t="str">
        <f>IF(X600="","",SUMIFS(#REF!,RM!$C$4:$C991,X600))</f>
        <v/>
      </c>
      <c r="AB600" t="e">
        <f t="shared" si="9"/>
        <v>#VALUE!</v>
      </c>
      <c r="AC600" t="str">
        <f>IF(X600="","",VLOOKUP($X600,RM!$C$4:$G991,3,FALSE))</f>
        <v/>
      </c>
      <c r="AD600" t="str">
        <f>IF(X600="","",VLOOKUP($X600,RM!$C$4:$G991,4,FALSE))</f>
        <v/>
      </c>
      <c r="AE600" t="str">
        <f>IF(X600="","",VLOOKUP($X600,RM!$C$4:$G991,5,FALSE))</f>
        <v/>
      </c>
      <c r="AK600" t="e">
        <f ca="1">_xludf.IFNA(VLOOKUP(AG600,'S-FG'!$B$3:$B1001,1,FALSE),"")</f>
        <v>#NAME?</v>
      </c>
      <c r="AL600" t="str">
        <f>IF(AH600="","",SUMIFS(#REF!,RM!$C$4:$C991,AH600))</f>
        <v/>
      </c>
    </row>
    <row r="601" spans="5:38">
      <c r="E601" t="str">
        <f>IF(A601="","",SUMIFS(Issue!$D$3:$D1001,Issue!$C$3:$C1001,A601)*C601)</f>
        <v/>
      </c>
      <c r="F601" t="e">
        <f ca="1">_xludf.IFNA(VLOOKUP(B601,'S-FG'!$B$3:$B1001,1,FALSE),"")</f>
        <v>#NAME?</v>
      </c>
      <c r="L601" t="str">
        <f t="shared" si="7"/>
        <v/>
      </c>
      <c r="Q601" t="str">
        <f>IF(N601="","",SUMIFS(Issue!$D$3:$D1001,Issue!$C$3:$C1001,N601))</f>
        <v/>
      </c>
      <c r="Y601" t="str">
        <f t="shared" si="8"/>
        <v/>
      </c>
      <c r="Z601" t="str">
        <f>IF(X601="","",SUMIFS(#REF!,RM!$C$4:$C991,X601))</f>
        <v/>
      </c>
      <c r="AA601" t="str">
        <f>IF(X601="","",SUMIFS(#REF!,RM!$C$4:$C991,X601))</f>
        <v/>
      </c>
      <c r="AB601" t="e">
        <f t="shared" si="9"/>
        <v>#VALUE!</v>
      </c>
      <c r="AC601" t="str">
        <f>IF(X601="","",VLOOKUP($X601,RM!$C$4:$G991,3,FALSE))</f>
        <v/>
      </c>
      <c r="AD601" t="str">
        <f>IF(X601="","",VLOOKUP($X601,RM!$C$4:$G991,4,FALSE))</f>
        <v/>
      </c>
      <c r="AE601" t="str">
        <f>IF(X601="","",VLOOKUP($X601,RM!$C$4:$G991,5,FALSE))</f>
        <v/>
      </c>
      <c r="AK601" t="e">
        <f ca="1">_xludf.IFNA(VLOOKUP(AG601,'S-FG'!$B$3:$B1001,1,FALSE),"")</f>
        <v>#NAME?</v>
      </c>
      <c r="AL601" t="str">
        <f>IF(AH601="","",SUMIFS(#REF!,RM!$C$4:$C991,AH601))</f>
        <v/>
      </c>
    </row>
    <row r="602" spans="5:38">
      <c r="E602" t="str">
        <f>IF(A602="","",SUMIFS(Issue!$D$3:$D1001,Issue!$C$3:$C1001,A602)*C602)</f>
        <v/>
      </c>
      <c r="F602" t="e">
        <f ca="1">_xludf.IFNA(VLOOKUP(B602,'S-FG'!$B$3:$B1001,1,FALSE),"")</f>
        <v>#NAME?</v>
      </c>
      <c r="L602" t="str">
        <f t="shared" si="7"/>
        <v/>
      </c>
      <c r="Q602" t="str">
        <f>IF(N602="","",SUMIFS(Issue!$D$3:$D1001,Issue!$C$3:$C1001,N602))</f>
        <v/>
      </c>
      <c r="Y602" t="str">
        <f t="shared" si="8"/>
        <v/>
      </c>
      <c r="Z602" t="str">
        <f>IF(X602="","",SUMIFS(#REF!,RM!$C$4:$C991,X602))</f>
        <v/>
      </c>
      <c r="AA602" t="str">
        <f>IF(X602="","",SUMIFS(#REF!,RM!$C$4:$C991,X602))</f>
        <v/>
      </c>
      <c r="AB602" t="e">
        <f t="shared" si="9"/>
        <v>#VALUE!</v>
      </c>
      <c r="AC602" t="str">
        <f>IF(X602="","",VLOOKUP($X602,RM!$C$4:$G991,3,FALSE))</f>
        <v/>
      </c>
      <c r="AD602" t="str">
        <f>IF(X602="","",VLOOKUP($X602,RM!$C$4:$G991,4,FALSE))</f>
        <v/>
      </c>
      <c r="AE602" t="str">
        <f>IF(X602="","",VLOOKUP($X602,RM!$C$4:$G991,5,FALSE))</f>
        <v/>
      </c>
      <c r="AK602" t="e">
        <f ca="1">_xludf.IFNA(VLOOKUP(AG602,'S-FG'!$B$3:$B1001,1,FALSE),"")</f>
        <v>#NAME?</v>
      </c>
      <c r="AL602" t="str">
        <f>IF(AH602="","",SUMIFS(#REF!,RM!$C$4:$C991,AH602))</f>
        <v/>
      </c>
    </row>
    <row r="603" spans="5:38">
      <c r="E603" t="str">
        <f>IF(A603="","",SUMIFS(Issue!$D$3:$D1001,Issue!$C$3:$C1001,A603)*C603)</f>
        <v/>
      </c>
      <c r="F603" t="e">
        <f ca="1">_xludf.IFNA(VLOOKUP(B603,'S-FG'!$B$3:$B1001,1,FALSE),"")</f>
        <v>#NAME?</v>
      </c>
      <c r="L603" t="str">
        <f t="shared" si="7"/>
        <v/>
      </c>
      <c r="Q603" t="str">
        <f>IF(N603="","",SUMIFS(Issue!$D$3:$D1001,Issue!$C$3:$C1001,N603))</f>
        <v/>
      </c>
      <c r="Y603" t="str">
        <f t="shared" si="8"/>
        <v/>
      </c>
      <c r="Z603" t="str">
        <f>IF(X603="","",SUMIFS(#REF!,RM!$C$4:$C991,X603))</f>
        <v/>
      </c>
      <c r="AA603" t="str">
        <f>IF(X603="","",SUMIFS(#REF!,RM!$C$4:$C991,X603))</f>
        <v/>
      </c>
      <c r="AB603" t="e">
        <f t="shared" si="9"/>
        <v>#VALUE!</v>
      </c>
      <c r="AC603" t="str">
        <f>IF(X603="","",VLOOKUP($X603,RM!$C$4:$G991,3,FALSE))</f>
        <v/>
      </c>
      <c r="AD603" t="str">
        <f>IF(X603="","",VLOOKUP($X603,RM!$C$4:$G991,4,FALSE))</f>
        <v/>
      </c>
      <c r="AE603" t="str">
        <f>IF(X603="","",VLOOKUP($X603,RM!$C$4:$G991,5,FALSE))</f>
        <v/>
      </c>
      <c r="AK603" t="e">
        <f ca="1">_xludf.IFNA(VLOOKUP(AG603,'S-FG'!$B$3:$B1001,1,FALSE),"")</f>
        <v>#NAME?</v>
      </c>
      <c r="AL603" t="str">
        <f>IF(AH603="","",SUMIFS(#REF!,RM!$C$4:$C991,AH603))</f>
        <v/>
      </c>
    </row>
    <row r="604" spans="5:38">
      <c r="E604" t="str">
        <f>IF(A604="","",SUMIFS(Issue!$D$3:$D1001,Issue!$C$3:$C1001,A604)*C604)</f>
        <v/>
      </c>
      <c r="F604" t="e">
        <f ca="1">_xludf.IFNA(VLOOKUP(B604,'S-FG'!$B$3:$B1001,1,FALSE),"")</f>
        <v>#NAME?</v>
      </c>
      <c r="L604" t="str">
        <f t="shared" si="7"/>
        <v/>
      </c>
      <c r="Q604" t="str">
        <f>IF(N604="","",SUMIFS(Issue!$D$3:$D1001,Issue!$C$3:$C1001,N604))</f>
        <v/>
      </c>
      <c r="Y604" t="str">
        <f t="shared" si="8"/>
        <v/>
      </c>
      <c r="Z604" t="str">
        <f>IF(X604="","",SUMIFS(#REF!,RM!$C$4:$C991,X604))</f>
        <v/>
      </c>
      <c r="AA604" t="str">
        <f>IF(X604="","",SUMIFS(#REF!,RM!$C$4:$C991,X604))</f>
        <v/>
      </c>
      <c r="AB604" t="e">
        <f t="shared" si="9"/>
        <v>#VALUE!</v>
      </c>
      <c r="AC604" t="str">
        <f>IF(X604="","",VLOOKUP($X604,RM!$C$4:$G991,3,FALSE))</f>
        <v/>
      </c>
      <c r="AD604" t="str">
        <f>IF(X604="","",VLOOKUP($X604,RM!$C$4:$G991,4,FALSE))</f>
        <v/>
      </c>
      <c r="AE604" t="str">
        <f>IF(X604="","",VLOOKUP($X604,RM!$C$4:$G991,5,FALSE))</f>
        <v/>
      </c>
      <c r="AK604" t="e">
        <f ca="1">_xludf.IFNA(VLOOKUP(AG604,'S-FG'!$B$3:$B1001,1,FALSE),"")</f>
        <v>#NAME?</v>
      </c>
      <c r="AL604" t="str">
        <f>IF(AH604="","",SUMIFS(#REF!,RM!$C$4:$C991,AH604))</f>
        <v/>
      </c>
    </row>
    <row r="605" spans="5:38">
      <c r="E605" t="str">
        <f>IF(A605="","",SUMIFS(Issue!$D$3:$D1001,Issue!$C$3:$C1001,A605)*C605)</f>
        <v/>
      </c>
      <c r="F605" t="e">
        <f ca="1">_xludf.IFNA(VLOOKUP(B605,'S-FG'!$B$3:$B1001,1,FALSE),"")</f>
        <v>#NAME?</v>
      </c>
      <c r="L605" t="str">
        <f t="shared" si="7"/>
        <v/>
      </c>
      <c r="Q605" t="str">
        <f>IF(N605="","",SUMIFS(Issue!$D$3:$D1001,Issue!$C$3:$C1001,N605))</f>
        <v/>
      </c>
      <c r="Y605" t="str">
        <f t="shared" si="8"/>
        <v/>
      </c>
      <c r="Z605" t="str">
        <f>IF(X605="","",SUMIFS(#REF!,RM!$C$4:$C991,X605))</f>
        <v/>
      </c>
      <c r="AA605" t="str">
        <f>IF(X605="","",SUMIFS(#REF!,RM!$C$4:$C991,X605))</f>
        <v/>
      </c>
      <c r="AB605" t="e">
        <f t="shared" si="9"/>
        <v>#VALUE!</v>
      </c>
      <c r="AC605" t="str">
        <f>IF(X605="","",VLOOKUP($X605,RM!$C$4:$G991,3,FALSE))</f>
        <v/>
      </c>
      <c r="AD605" t="str">
        <f>IF(X605="","",VLOOKUP($X605,RM!$C$4:$G991,4,FALSE))</f>
        <v/>
      </c>
      <c r="AE605" t="str">
        <f>IF(X605="","",VLOOKUP($X605,RM!$C$4:$G991,5,FALSE))</f>
        <v/>
      </c>
      <c r="AK605" t="e">
        <f ca="1">_xludf.IFNA(VLOOKUP(AG605,'S-FG'!$B$3:$B1001,1,FALSE),"")</f>
        <v>#NAME?</v>
      </c>
      <c r="AL605" t="str">
        <f>IF(AH605="","",SUMIFS(#REF!,RM!$C$4:$C991,AH605))</f>
        <v/>
      </c>
    </row>
    <row r="606" spans="5:38">
      <c r="E606" t="str">
        <f>IF(A606="","",SUMIFS(Issue!$D$3:$D1001,Issue!$C$3:$C1001,A606)*C606)</f>
        <v/>
      </c>
      <c r="F606" t="e">
        <f ca="1">_xludf.IFNA(VLOOKUP(B606,'S-FG'!$B$3:$B1001,1,FALSE),"")</f>
        <v>#NAME?</v>
      </c>
      <c r="L606" t="str">
        <f t="shared" si="7"/>
        <v/>
      </c>
      <c r="Q606" t="str">
        <f>IF(N606="","",SUMIFS(Issue!$D$3:$D1001,Issue!$C$3:$C1001,N606))</f>
        <v/>
      </c>
      <c r="Y606" t="str">
        <f t="shared" si="8"/>
        <v/>
      </c>
      <c r="Z606" t="str">
        <f>IF(X606="","",SUMIFS(#REF!,RM!$C$4:$C991,X606))</f>
        <v/>
      </c>
      <c r="AA606" t="str">
        <f>IF(X606="","",SUMIFS(#REF!,RM!$C$4:$C991,X606))</f>
        <v/>
      </c>
      <c r="AB606" t="e">
        <f t="shared" si="9"/>
        <v>#VALUE!</v>
      </c>
      <c r="AC606" t="str">
        <f>IF(X606="","",VLOOKUP($X606,RM!$C$4:$G991,3,FALSE))</f>
        <v/>
      </c>
      <c r="AD606" t="str">
        <f>IF(X606="","",VLOOKUP($X606,RM!$C$4:$G991,4,FALSE))</f>
        <v/>
      </c>
      <c r="AE606" t="str">
        <f>IF(X606="","",VLOOKUP($X606,RM!$C$4:$G991,5,FALSE))</f>
        <v/>
      </c>
      <c r="AK606" t="e">
        <f ca="1">_xludf.IFNA(VLOOKUP(AG606,'S-FG'!$B$3:$B1001,1,FALSE),"")</f>
        <v>#NAME?</v>
      </c>
      <c r="AL606" t="str">
        <f>IF(AH606="","",SUMIFS(#REF!,RM!$C$4:$C991,AH606))</f>
        <v/>
      </c>
    </row>
    <row r="607" spans="5:38">
      <c r="E607" t="str">
        <f>IF(A607="","",SUMIFS(Issue!$D$3:$D1001,Issue!$C$3:$C1001,A607)*C607)</f>
        <v/>
      </c>
      <c r="F607" t="e">
        <f ca="1">_xludf.IFNA(VLOOKUP(B607,'S-FG'!$B$3:$B1001,1,FALSE),"")</f>
        <v>#NAME?</v>
      </c>
      <c r="L607" t="str">
        <f t="shared" si="7"/>
        <v/>
      </c>
      <c r="Q607" t="str">
        <f>IF(N607="","",SUMIFS(Issue!$D$3:$D1001,Issue!$C$3:$C1001,N607))</f>
        <v/>
      </c>
      <c r="Y607" t="str">
        <f t="shared" si="8"/>
        <v/>
      </c>
      <c r="Z607" t="str">
        <f>IF(X607="","",SUMIFS(#REF!,RM!$C$4:$C991,X607))</f>
        <v/>
      </c>
      <c r="AA607" t="str">
        <f>IF(X607="","",SUMIFS(#REF!,RM!$C$4:$C991,X607))</f>
        <v/>
      </c>
      <c r="AB607" t="e">
        <f t="shared" si="9"/>
        <v>#VALUE!</v>
      </c>
      <c r="AC607" t="str">
        <f>IF(X607="","",VLOOKUP($X607,RM!$C$4:$G991,3,FALSE))</f>
        <v/>
      </c>
      <c r="AD607" t="str">
        <f>IF(X607="","",VLOOKUP($X607,RM!$C$4:$G991,4,FALSE))</f>
        <v/>
      </c>
      <c r="AE607" t="str">
        <f>IF(X607="","",VLOOKUP($X607,RM!$C$4:$G991,5,FALSE))</f>
        <v/>
      </c>
      <c r="AK607" t="e">
        <f ca="1">_xludf.IFNA(VLOOKUP(AG607,'S-FG'!$B$3:$B1001,1,FALSE),"")</f>
        <v>#NAME?</v>
      </c>
      <c r="AL607" t="str">
        <f>IF(AH607="","",SUMIFS(#REF!,RM!$C$4:$C991,AH607))</f>
        <v/>
      </c>
    </row>
    <row r="608" spans="5:38">
      <c r="E608" t="str">
        <f>IF(A608="","",SUMIFS(Issue!$D$3:$D1001,Issue!$C$3:$C1001,A608)*C608)</f>
        <v/>
      </c>
      <c r="F608" t="e">
        <f ca="1">_xludf.IFNA(VLOOKUP(B608,'S-FG'!$B$3:$B1001,1,FALSE),"")</f>
        <v>#NAME?</v>
      </c>
      <c r="L608" t="str">
        <f t="shared" si="7"/>
        <v/>
      </c>
      <c r="Q608" t="str">
        <f>IF(N608="","",SUMIFS(Issue!$D$3:$D1001,Issue!$C$3:$C1001,N608))</f>
        <v/>
      </c>
      <c r="Y608" t="str">
        <f t="shared" si="8"/>
        <v/>
      </c>
      <c r="Z608" t="str">
        <f>IF(X608="","",SUMIFS(#REF!,RM!$C$4:$C991,X608))</f>
        <v/>
      </c>
      <c r="AA608" t="str">
        <f>IF(X608="","",SUMIFS(#REF!,RM!$C$4:$C991,X608))</f>
        <v/>
      </c>
      <c r="AB608" t="e">
        <f t="shared" si="9"/>
        <v>#VALUE!</v>
      </c>
      <c r="AC608" t="str">
        <f>IF(X608="","",VLOOKUP($X608,RM!$C$4:$G991,3,FALSE))</f>
        <v/>
      </c>
      <c r="AD608" t="str">
        <f>IF(X608="","",VLOOKUP($X608,RM!$C$4:$G991,4,FALSE))</f>
        <v/>
      </c>
      <c r="AE608" t="str">
        <f>IF(X608="","",VLOOKUP($X608,RM!$C$4:$G991,5,FALSE))</f>
        <v/>
      </c>
      <c r="AK608" t="e">
        <f ca="1">_xludf.IFNA(VLOOKUP(AG608,'S-FG'!$B$3:$B1001,1,FALSE),"")</f>
        <v>#NAME?</v>
      </c>
      <c r="AL608" t="str">
        <f>IF(AH608="","",SUMIFS(#REF!,RM!$C$4:$C991,AH608))</f>
        <v/>
      </c>
    </row>
    <row r="609" spans="5:38">
      <c r="E609" t="str">
        <f>IF(A609="","",SUMIFS(Issue!$D$3:$D1001,Issue!$C$3:$C1001,A609)*C609)</f>
        <v/>
      </c>
      <c r="F609" t="e">
        <f ca="1">_xludf.IFNA(VLOOKUP(B609,'S-FG'!$B$3:$B1001,1,FALSE),"")</f>
        <v>#NAME?</v>
      </c>
      <c r="L609" t="str">
        <f t="shared" si="7"/>
        <v/>
      </c>
      <c r="Q609" t="str">
        <f>IF(N609="","",SUMIFS(Issue!$D$3:$D1001,Issue!$C$3:$C1001,N609))</f>
        <v/>
      </c>
      <c r="Y609" t="str">
        <f t="shared" si="8"/>
        <v/>
      </c>
      <c r="Z609" t="str">
        <f>IF(X609="","",SUMIFS(#REF!,RM!$C$4:$C991,X609))</f>
        <v/>
      </c>
      <c r="AA609" t="str">
        <f>IF(X609="","",SUMIFS(#REF!,RM!$C$4:$C991,X609))</f>
        <v/>
      </c>
      <c r="AB609" t="e">
        <f t="shared" si="9"/>
        <v>#VALUE!</v>
      </c>
      <c r="AC609" t="str">
        <f>IF(X609="","",VLOOKUP($X609,RM!$C$4:$G991,3,FALSE))</f>
        <v/>
      </c>
      <c r="AD609" t="str">
        <f>IF(X609="","",VLOOKUP($X609,RM!$C$4:$G991,4,FALSE))</f>
        <v/>
      </c>
      <c r="AE609" t="str">
        <f>IF(X609="","",VLOOKUP($X609,RM!$C$4:$G991,5,FALSE))</f>
        <v/>
      </c>
      <c r="AK609" t="e">
        <f ca="1">_xludf.IFNA(VLOOKUP(AG609,'S-FG'!$B$3:$B1001,1,FALSE),"")</f>
        <v>#NAME?</v>
      </c>
      <c r="AL609" t="str">
        <f>IF(AH609="","",SUMIFS(#REF!,RM!$C$4:$C991,AH609))</f>
        <v/>
      </c>
    </row>
    <row r="610" spans="5:38">
      <c r="E610" t="str">
        <f>IF(A610="","",SUMIFS(Issue!$D$3:$D1001,Issue!$C$3:$C1001,A610)*C610)</f>
        <v/>
      </c>
      <c r="F610" t="e">
        <f ca="1">_xludf.IFNA(VLOOKUP(B610,'S-FG'!$B$3:$B1001,1,FALSE),"")</f>
        <v>#NAME?</v>
      </c>
      <c r="L610" t="str">
        <f t="shared" si="7"/>
        <v/>
      </c>
      <c r="Q610" t="str">
        <f>IF(N610="","",SUMIFS(Issue!$D$3:$D1001,Issue!$C$3:$C1001,N610))</f>
        <v/>
      </c>
      <c r="Y610" t="str">
        <f t="shared" si="8"/>
        <v/>
      </c>
      <c r="Z610" t="str">
        <f>IF(X610="","",SUMIFS(#REF!,RM!$C$4:$C991,X610))</f>
        <v/>
      </c>
      <c r="AA610" t="str">
        <f>IF(X610="","",SUMIFS(#REF!,RM!$C$4:$C991,X610))</f>
        <v/>
      </c>
      <c r="AB610" t="e">
        <f t="shared" si="9"/>
        <v>#VALUE!</v>
      </c>
      <c r="AC610" t="str">
        <f>IF(X610="","",VLOOKUP($X610,RM!$C$4:$G991,3,FALSE))</f>
        <v/>
      </c>
      <c r="AD610" t="str">
        <f>IF(X610="","",VLOOKUP($X610,RM!$C$4:$G991,4,FALSE))</f>
        <v/>
      </c>
      <c r="AE610" t="str">
        <f>IF(X610="","",VLOOKUP($X610,RM!$C$4:$G991,5,FALSE))</f>
        <v/>
      </c>
      <c r="AK610" t="e">
        <f ca="1">_xludf.IFNA(VLOOKUP(AG610,'S-FG'!$B$3:$B1001,1,FALSE),"")</f>
        <v>#NAME?</v>
      </c>
      <c r="AL610" t="str">
        <f>IF(AH610="","",SUMIFS(#REF!,RM!$C$4:$C991,AH610))</f>
        <v/>
      </c>
    </row>
    <row r="611" spans="5:38">
      <c r="E611" t="str">
        <f>IF(A611="","",SUMIFS(Issue!$D$3:$D1001,Issue!$C$3:$C1001,A611)*C611)</f>
        <v/>
      </c>
      <c r="F611" t="e">
        <f ca="1">_xludf.IFNA(VLOOKUP(B611,'S-FG'!$B$3:$B1001,1,FALSE),"")</f>
        <v>#NAME?</v>
      </c>
      <c r="L611" t="str">
        <f t="shared" si="7"/>
        <v/>
      </c>
      <c r="Q611" t="str">
        <f>IF(N611="","",SUMIFS(Issue!$D$3:$D1001,Issue!$C$3:$C1001,N611))</f>
        <v/>
      </c>
      <c r="Y611" t="str">
        <f t="shared" si="8"/>
        <v/>
      </c>
      <c r="Z611" t="str">
        <f>IF(X611="","",SUMIFS(#REF!,RM!$C$4:$C991,X611))</f>
        <v/>
      </c>
      <c r="AA611" t="str">
        <f>IF(X611="","",SUMIFS(#REF!,RM!$C$4:$C991,X611))</f>
        <v/>
      </c>
      <c r="AB611" t="e">
        <f t="shared" si="9"/>
        <v>#VALUE!</v>
      </c>
      <c r="AC611" t="str">
        <f>IF(X611="","",VLOOKUP($X611,RM!$C$4:$G991,3,FALSE))</f>
        <v/>
      </c>
      <c r="AD611" t="str">
        <f>IF(X611="","",VLOOKUP($X611,RM!$C$4:$G991,4,FALSE))</f>
        <v/>
      </c>
      <c r="AE611" t="str">
        <f>IF(X611="","",VLOOKUP($X611,RM!$C$4:$G991,5,FALSE))</f>
        <v/>
      </c>
      <c r="AK611" t="e">
        <f ca="1">_xludf.IFNA(VLOOKUP(AG611,'S-FG'!$B$3:$B1001,1,FALSE),"")</f>
        <v>#NAME?</v>
      </c>
      <c r="AL611" t="str">
        <f>IF(AH611="","",SUMIFS(#REF!,RM!$C$4:$C991,AH611))</f>
        <v/>
      </c>
    </row>
    <row r="612" spans="5:38">
      <c r="E612" t="str">
        <f>IF(A612="","",SUMIFS(Issue!$D$3:$D1001,Issue!$C$3:$C1001,A612)*C612)</f>
        <v/>
      </c>
      <c r="F612" t="e">
        <f ca="1">_xludf.IFNA(VLOOKUP(B612,'S-FG'!$B$3:$B1001,1,FALSE),"")</f>
        <v>#NAME?</v>
      </c>
      <c r="L612" t="str">
        <f t="shared" si="7"/>
        <v/>
      </c>
      <c r="Q612" t="str">
        <f>IF(N612="","",SUMIFS(Issue!$D$3:$D1001,Issue!$C$3:$C1001,N612))</f>
        <v/>
      </c>
      <c r="Y612" t="str">
        <f t="shared" si="8"/>
        <v/>
      </c>
      <c r="Z612" t="str">
        <f>IF(X612="","",SUMIFS(#REF!,RM!$C$4:$C991,X612))</f>
        <v/>
      </c>
      <c r="AA612" t="str">
        <f>IF(X612="","",SUMIFS(#REF!,RM!$C$4:$C991,X612))</f>
        <v/>
      </c>
      <c r="AB612" t="e">
        <f t="shared" si="9"/>
        <v>#VALUE!</v>
      </c>
      <c r="AC612" t="str">
        <f>IF(X612="","",VLOOKUP($X612,RM!$C$4:$G991,3,FALSE))</f>
        <v/>
      </c>
      <c r="AD612" t="str">
        <f>IF(X612="","",VLOOKUP($X612,RM!$C$4:$G991,4,FALSE))</f>
        <v/>
      </c>
      <c r="AE612" t="str">
        <f>IF(X612="","",VLOOKUP($X612,RM!$C$4:$G991,5,FALSE))</f>
        <v/>
      </c>
      <c r="AK612" t="e">
        <f ca="1">_xludf.IFNA(VLOOKUP(AG612,'S-FG'!$B$3:$B1001,1,FALSE),"")</f>
        <v>#NAME?</v>
      </c>
      <c r="AL612" t="str">
        <f>IF(AH612="","",SUMIFS(#REF!,RM!$C$4:$C991,AH612))</f>
        <v/>
      </c>
    </row>
    <row r="613" spans="5:38">
      <c r="E613" t="str">
        <f>IF(A613="","",SUMIFS(Issue!$D$3:$D1001,Issue!$C$3:$C1001,A613)*C613)</f>
        <v/>
      </c>
      <c r="F613" t="e">
        <f ca="1">_xludf.IFNA(VLOOKUP(B613,'S-FG'!$B$3:$B1001,1,FALSE),"")</f>
        <v>#NAME?</v>
      </c>
      <c r="L613" t="str">
        <f t="shared" si="7"/>
        <v/>
      </c>
      <c r="Q613" t="str">
        <f>IF(N613="","",SUMIFS(Issue!$D$3:$D1001,Issue!$C$3:$C1001,N613))</f>
        <v/>
      </c>
      <c r="Y613" t="str">
        <f t="shared" si="8"/>
        <v/>
      </c>
      <c r="Z613" t="str">
        <f>IF(X613="","",SUMIFS(#REF!,RM!$C$4:$C991,X613))</f>
        <v/>
      </c>
      <c r="AA613" t="str">
        <f>IF(X613="","",SUMIFS(#REF!,RM!$C$4:$C991,X613))</f>
        <v/>
      </c>
      <c r="AB613" t="e">
        <f t="shared" si="9"/>
        <v>#VALUE!</v>
      </c>
      <c r="AC613" t="str">
        <f>IF(X613="","",VLOOKUP($X613,RM!$C$4:$G991,3,FALSE))</f>
        <v/>
      </c>
      <c r="AD613" t="str">
        <f>IF(X613="","",VLOOKUP($X613,RM!$C$4:$G991,4,FALSE))</f>
        <v/>
      </c>
      <c r="AE613" t="str">
        <f>IF(X613="","",VLOOKUP($X613,RM!$C$4:$G991,5,FALSE))</f>
        <v/>
      </c>
      <c r="AK613" t="e">
        <f ca="1">_xludf.IFNA(VLOOKUP(AG613,'S-FG'!$B$3:$B1001,1,FALSE),"")</f>
        <v>#NAME?</v>
      </c>
      <c r="AL613" t="str">
        <f>IF(AH613="","",SUMIFS(#REF!,RM!$C$4:$C991,AH613))</f>
        <v/>
      </c>
    </row>
    <row r="614" spans="5:38">
      <c r="E614" t="str">
        <f>IF(A614="","",SUMIFS(Issue!$D$3:$D1001,Issue!$C$3:$C1001,A614)*C614)</f>
        <v/>
      </c>
      <c r="F614" t="e">
        <f ca="1">_xludf.IFNA(VLOOKUP(B614,'S-FG'!$B$3:$B1001,1,FALSE),"")</f>
        <v>#NAME?</v>
      </c>
      <c r="L614" t="str">
        <f t="shared" si="7"/>
        <v/>
      </c>
      <c r="Q614" t="str">
        <f>IF(N614="","",SUMIFS(Issue!$D$3:$D1001,Issue!$C$3:$C1001,N614))</f>
        <v/>
      </c>
      <c r="Y614" t="str">
        <f t="shared" si="8"/>
        <v/>
      </c>
      <c r="Z614" t="str">
        <f>IF(X614="","",SUMIFS(#REF!,RM!$C$4:$C991,X614))</f>
        <v/>
      </c>
      <c r="AA614" t="str">
        <f>IF(X614="","",SUMIFS(#REF!,RM!$C$4:$C991,X614))</f>
        <v/>
      </c>
      <c r="AB614" t="e">
        <f t="shared" si="9"/>
        <v>#VALUE!</v>
      </c>
      <c r="AC614" t="str">
        <f>IF(X614="","",VLOOKUP($X614,RM!$C$4:$G991,3,FALSE))</f>
        <v/>
      </c>
      <c r="AD614" t="str">
        <f>IF(X614="","",VLOOKUP($X614,RM!$C$4:$G991,4,FALSE))</f>
        <v/>
      </c>
      <c r="AE614" t="str">
        <f>IF(X614="","",VLOOKUP($X614,RM!$C$4:$G991,5,FALSE))</f>
        <v/>
      </c>
      <c r="AK614" t="e">
        <f ca="1">_xludf.IFNA(VLOOKUP(AG614,'S-FG'!$B$3:$B1001,1,FALSE),"")</f>
        <v>#NAME?</v>
      </c>
      <c r="AL614" t="str">
        <f>IF(AH614="","",SUMIFS(#REF!,RM!$C$4:$C991,AH614))</f>
        <v/>
      </c>
    </row>
    <row r="615" spans="5:38">
      <c r="E615" t="str">
        <f>IF(A615="","",SUMIFS(Issue!$D$3:$D1001,Issue!$C$3:$C1001,A615)*C615)</f>
        <v/>
      </c>
      <c r="F615" t="e">
        <f ca="1">_xludf.IFNA(VLOOKUP(B615,'S-FG'!$B$3:$B1001,1,FALSE),"")</f>
        <v>#NAME?</v>
      </c>
      <c r="L615" t="str">
        <f t="shared" si="7"/>
        <v/>
      </c>
      <c r="Q615" t="str">
        <f>IF(N615="","",SUMIFS(Issue!$D$3:$D1001,Issue!$C$3:$C1001,N615))</f>
        <v/>
      </c>
      <c r="Y615" t="str">
        <f t="shared" si="8"/>
        <v/>
      </c>
      <c r="Z615" t="str">
        <f>IF(X615="","",SUMIFS(#REF!,RM!$C$4:$C991,X615))</f>
        <v/>
      </c>
      <c r="AA615" t="str">
        <f>IF(X615="","",SUMIFS(#REF!,RM!$C$4:$C991,X615))</f>
        <v/>
      </c>
      <c r="AB615" t="e">
        <f t="shared" si="9"/>
        <v>#VALUE!</v>
      </c>
      <c r="AC615" t="str">
        <f>IF(X615="","",VLOOKUP($X615,RM!$C$4:$G991,3,FALSE))</f>
        <v/>
      </c>
      <c r="AD615" t="str">
        <f>IF(X615="","",VLOOKUP($X615,RM!$C$4:$G991,4,FALSE))</f>
        <v/>
      </c>
      <c r="AE615" t="str">
        <f>IF(X615="","",VLOOKUP($X615,RM!$C$4:$G991,5,FALSE))</f>
        <v/>
      </c>
      <c r="AK615" t="e">
        <f ca="1">_xludf.IFNA(VLOOKUP(AG615,'S-FG'!$B$3:$B1001,1,FALSE),"")</f>
        <v>#NAME?</v>
      </c>
      <c r="AL615" t="str">
        <f>IF(AH615="","",SUMIFS(#REF!,RM!$C$4:$C991,AH615))</f>
        <v/>
      </c>
    </row>
    <row r="616" spans="5:38">
      <c r="E616" t="str">
        <f>IF(A616="","",SUMIFS(Issue!$D$3:$D1001,Issue!$C$3:$C1001,A616)*C616)</f>
        <v/>
      </c>
      <c r="F616" t="e">
        <f ca="1">_xludf.IFNA(VLOOKUP(B616,'S-FG'!$B$3:$B1001,1,FALSE),"")</f>
        <v>#NAME?</v>
      </c>
      <c r="L616" t="str">
        <f t="shared" si="7"/>
        <v/>
      </c>
      <c r="Q616" t="str">
        <f>IF(N616="","",SUMIFS(Issue!$D$3:$D1001,Issue!$C$3:$C1001,N616))</f>
        <v/>
      </c>
      <c r="Y616" t="str">
        <f t="shared" si="8"/>
        <v/>
      </c>
      <c r="Z616" t="str">
        <f>IF(X616="","",SUMIFS(#REF!,RM!$C$4:$C991,X616))</f>
        <v/>
      </c>
      <c r="AA616" t="str">
        <f>IF(X616="","",SUMIFS(#REF!,RM!$C$4:$C991,X616))</f>
        <v/>
      </c>
      <c r="AB616" t="e">
        <f t="shared" si="9"/>
        <v>#VALUE!</v>
      </c>
      <c r="AC616" t="str">
        <f>IF(X616="","",VLOOKUP($X616,RM!$C$4:$G991,3,FALSE))</f>
        <v/>
      </c>
      <c r="AD616" t="str">
        <f>IF(X616="","",VLOOKUP($X616,RM!$C$4:$G991,4,FALSE))</f>
        <v/>
      </c>
      <c r="AE616" t="str">
        <f>IF(X616="","",VLOOKUP($X616,RM!$C$4:$G991,5,FALSE))</f>
        <v/>
      </c>
      <c r="AK616" t="e">
        <f ca="1">_xludf.IFNA(VLOOKUP(AG616,'S-FG'!$B$3:$B1001,1,FALSE),"")</f>
        <v>#NAME?</v>
      </c>
      <c r="AL616" t="str">
        <f>IF(AH616="","",SUMIFS(#REF!,RM!$C$4:$C991,AH616))</f>
        <v/>
      </c>
    </row>
    <row r="617" spans="5:38">
      <c r="E617" t="str">
        <f>IF(A617="","",SUMIFS(Issue!$D$3:$D1001,Issue!$C$3:$C1001,A617)*C617)</f>
        <v/>
      </c>
      <c r="F617" t="e">
        <f ca="1">_xludf.IFNA(VLOOKUP(B617,'S-FG'!$B$3:$B1001,1,FALSE),"")</f>
        <v>#NAME?</v>
      </c>
      <c r="L617" t="str">
        <f t="shared" si="7"/>
        <v/>
      </c>
      <c r="Q617" t="str">
        <f>IF(N617="","",SUMIFS(Issue!$D$3:$D1001,Issue!$C$3:$C1001,N617))</f>
        <v/>
      </c>
      <c r="Y617" t="str">
        <f t="shared" si="8"/>
        <v/>
      </c>
      <c r="Z617" t="str">
        <f>IF(X617="","",SUMIFS(#REF!,RM!$C$4:$C991,X617))</f>
        <v/>
      </c>
      <c r="AA617" t="str">
        <f>IF(X617="","",SUMIFS(#REF!,RM!$C$4:$C991,X617))</f>
        <v/>
      </c>
      <c r="AB617" t="e">
        <f t="shared" si="9"/>
        <v>#VALUE!</v>
      </c>
      <c r="AC617" t="str">
        <f>IF(X617="","",VLOOKUP($X617,RM!$C$4:$G991,3,FALSE))</f>
        <v/>
      </c>
      <c r="AD617" t="str">
        <f>IF(X617="","",VLOOKUP($X617,RM!$C$4:$G991,4,FALSE))</f>
        <v/>
      </c>
      <c r="AE617" t="str">
        <f>IF(X617="","",VLOOKUP($X617,RM!$C$4:$G991,5,FALSE))</f>
        <v/>
      </c>
      <c r="AK617" t="e">
        <f ca="1">_xludf.IFNA(VLOOKUP(AG617,'S-FG'!$B$3:$B1001,1,FALSE),"")</f>
        <v>#NAME?</v>
      </c>
      <c r="AL617" t="str">
        <f>IF(AH617="","",SUMIFS(#REF!,RM!$C$4:$C991,AH617))</f>
        <v/>
      </c>
    </row>
    <row r="618" spans="5:38">
      <c r="E618" t="str">
        <f>IF(A618="","",SUMIFS(Issue!$D$3:$D1001,Issue!$C$3:$C1001,A618)*C618)</f>
        <v/>
      </c>
      <c r="F618" t="e">
        <f ca="1">_xludf.IFNA(VLOOKUP(B618,'S-FG'!$B$3:$B1001,1,FALSE),"")</f>
        <v>#NAME?</v>
      </c>
      <c r="L618" t="str">
        <f t="shared" si="7"/>
        <v/>
      </c>
      <c r="Q618" t="str">
        <f>IF(N618="","",SUMIFS(Issue!$D$3:$D1001,Issue!$C$3:$C1001,N618))</f>
        <v/>
      </c>
      <c r="Y618" t="str">
        <f t="shared" si="8"/>
        <v/>
      </c>
      <c r="Z618" t="str">
        <f>IF(X618="","",SUMIFS(#REF!,RM!$C$4:$C991,X618))</f>
        <v/>
      </c>
      <c r="AA618" t="str">
        <f>IF(X618="","",SUMIFS(#REF!,RM!$C$4:$C991,X618))</f>
        <v/>
      </c>
      <c r="AB618" t="e">
        <f t="shared" si="9"/>
        <v>#VALUE!</v>
      </c>
      <c r="AC618" t="str">
        <f>IF(X618="","",VLOOKUP($X618,RM!$C$4:$G991,3,FALSE))</f>
        <v/>
      </c>
      <c r="AD618" t="str">
        <f>IF(X618="","",VLOOKUP($X618,RM!$C$4:$G991,4,FALSE))</f>
        <v/>
      </c>
      <c r="AE618" t="str">
        <f>IF(X618="","",VLOOKUP($X618,RM!$C$4:$G991,5,FALSE))</f>
        <v/>
      </c>
      <c r="AK618" t="e">
        <f ca="1">_xludf.IFNA(VLOOKUP(AG618,'S-FG'!$B$3:$B1001,1,FALSE),"")</f>
        <v>#NAME?</v>
      </c>
      <c r="AL618" t="str">
        <f>IF(AH618="","",SUMIFS(#REF!,RM!$C$4:$C991,AH618))</f>
        <v/>
      </c>
    </row>
    <row r="619" spans="5:38">
      <c r="E619" t="str">
        <f>IF(A619="","",SUMIFS(Issue!$D$3:$D1001,Issue!$C$3:$C1001,A619)*C619)</f>
        <v/>
      </c>
      <c r="F619" t="e">
        <f ca="1">_xludf.IFNA(VLOOKUP(B619,'S-FG'!$B$3:$B1001,1,FALSE),"")</f>
        <v>#NAME?</v>
      </c>
      <c r="L619" t="str">
        <f t="shared" si="7"/>
        <v/>
      </c>
      <c r="Q619" t="str">
        <f>IF(N619="","",SUMIFS(Issue!$D$3:$D1001,Issue!$C$3:$C1001,N619))</f>
        <v/>
      </c>
      <c r="Y619" t="str">
        <f t="shared" si="8"/>
        <v/>
      </c>
      <c r="Z619" t="str">
        <f>IF(X619="","",SUMIFS(#REF!,RM!$C$4:$C991,X619))</f>
        <v/>
      </c>
      <c r="AA619" t="str">
        <f>IF(X619="","",SUMIFS(#REF!,RM!$C$4:$C991,X619))</f>
        <v/>
      </c>
      <c r="AB619" t="e">
        <f t="shared" si="9"/>
        <v>#VALUE!</v>
      </c>
      <c r="AC619" t="str">
        <f>IF(X619="","",VLOOKUP($X619,RM!$C$4:$G991,3,FALSE))</f>
        <v/>
      </c>
      <c r="AD619" t="str">
        <f>IF(X619="","",VLOOKUP($X619,RM!$C$4:$G991,4,FALSE))</f>
        <v/>
      </c>
      <c r="AE619" t="str">
        <f>IF(X619="","",VLOOKUP($X619,RM!$C$4:$G991,5,FALSE))</f>
        <v/>
      </c>
      <c r="AK619" t="e">
        <f ca="1">_xludf.IFNA(VLOOKUP(AG619,'S-FG'!$B$3:$B1001,1,FALSE),"")</f>
        <v>#NAME?</v>
      </c>
      <c r="AL619" t="str">
        <f>IF(AH619="","",SUMIFS(#REF!,RM!$C$4:$C991,AH619))</f>
        <v/>
      </c>
    </row>
    <row r="620" spans="5:38">
      <c r="E620" t="str">
        <f>IF(A620="","",SUMIFS(Issue!$D$3:$D1001,Issue!$C$3:$C1001,A620)*C620)</f>
        <v/>
      </c>
      <c r="F620" t="e">
        <f ca="1">_xludf.IFNA(VLOOKUP(B620,'S-FG'!$B$3:$B1001,1,FALSE),"")</f>
        <v>#NAME?</v>
      </c>
      <c r="L620" t="str">
        <f t="shared" si="7"/>
        <v/>
      </c>
      <c r="Q620" t="str">
        <f>IF(N620="","",SUMIFS(Issue!$D$3:$D1001,Issue!$C$3:$C1001,N620))</f>
        <v/>
      </c>
      <c r="Y620" t="str">
        <f t="shared" si="8"/>
        <v/>
      </c>
      <c r="Z620" t="str">
        <f>IF(X620="","",SUMIFS(#REF!,RM!$C$4:$C991,X620))</f>
        <v/>
      </c>
      <c r="AA620" t="str">
        <f>IF(X620="","",SUMIFS(#REF!,RM!$C$4:$C991,X620))</f>
        <v/>
      </c>
      <c r="AB620" t="e">
        <f t="shared" si="9"/>
        <v>#VALUE!</v>
      </c>
      <c r="AC620" t="str">
        <f>IF(X620="","",VLOOKUP($X620,RM!$C$4:$G991,3,FALSE))</f>
        <v/>
      </c>
      <c r="AD620" t="str">
        <f>IF(X620="","",VLOOKUP($X620,RM!$C$4:$G991,4,FALSE))</f>
        <v/>
      </c>
      <c r="AE620" t="str">
        <f>IF(X620="","",VLOOKUP($X620,RM!$C$4:$G991,5,FALSE))</f>
        <v/>
      </c>
      <c r="AK620" t="e">
        <f ca="1">_xludf.IFNA(VLOOKUP(AG620,'S-FG'!$B$3:$B1001,1,FALSE),"")</f>
        <v>#NAME?</v>
      </c>
      <c r="AL620" t="str">
        <f>IF(AH620="","",SUMIFS(#REF!,RM!$C$4:$C991,AH620))</f>
        <v/>
      </c>
    </row>
    <row r="621" spans="5:38">
      <c r="E621" t="str">
        <f>IF(A621="","",SUMIFS(Issue!$D$3:$D1001,Issue!$C$3:$C1001,A621)*C621)</f>
        <v/>
      </c>
      <c r="F621" t="e">
        <f ca="1">_xludf.IFNA(VLOOKUP(B621,'S-FG'!$B$3:$B1001,1,FALSE),"")</f>
        <v>#NAME?</v>
      </c>
      <c r="L621" t="str">
        <f t="shared" si="7"/>
        <v/>
      </c>
      <c r="Q621" t="str">
        <f>IF(N621="","",SUMIFS(Issue!$D$3:$D1001,Issue!$C$3:$C1001,N621))</f>
        <v/>
      </c>
      <c r="Y621" t="str">
        <f t="shared" si="8"/>
        <v/>
      </c>
      <c r="Z621" t="str">
        <f>IF(X621="","",SUMIFS(#REF!,RM!$C$4:$C991,X621))</f>
        <v/>
      </c>
      <c r="AA621" t="str">
        <f>IF(X621="","",SUMIFS(#REF!,RM!$C$4:$C991,X621))</f>
        <v/>
      </c>
      <c r="AB621" t="e">
        <f t="shared" si="9"/>
        <v>#VALUE!</v>
      </c>
      <c r="AC621" t="str">
        <f>IF(X621="","",VLOOKUP($X621,RM!$C$4:$G991,3,FALSE))</f>
        <v/>
      </c>
      <c r="AD621" t="str">
        <f>IF(X621="","",VLOOKUP($X621,RM!$C$4:$G991,4,FALSE))</f>
        <v/>
      </c>
      <c r="AE621" t="str">
        <f>IF(X621="","",VLOOKUP($X621,RM!$C$4:$G991,5,FALSE))</f>
        <v/>
      </c>
      <c r="AK621" t="e">
        <f ca="1">_xludf.IFNA(VLOOKUP(AG621,'S-FG'!$B$3:$B1001,1,FALSE),"")</f>
        <v>#NAME?</v>
      </c>
      <c r="AL621" t="str">
        <f>IF(AH621="","",SUMIFS(#REF!,RM!$C$4:$C991,AH621))</f>
        <v/>
      </c>
    </row>
    <row r="622" spans="5:38">
      <c r="E622" t="str">
        <f>IF(A622="","",SUMIFS(Issue!$D$3:$D1001,Issue!$C$3:$C1001,A622)*C622)</f>
        <v/>
      </c>
      <c r="F622" t="e">
        <f ca="1">_xludf.IFNA(VLOOKUP(B622,'S-FG'!$B$3:$B1001,1,FALSE),"")</f>
        <v>#NAME?</v>
      </c>
      <c r="L622" t="str">
        <f t="shared" si="7"/>
        <v/>
      </c>
      <c r="Q622" t="str">
        <f>IF(N622="","",SUMIFS(Issue!$D$3:$D1001,Issue!$C$3:$C1001,N622))</f>
        <v/>
      </c>
      <c r="Y622" t="str">
        <f t="shared" si="8"/>
        <v/>
      </c>
      <c r="Z622" t="str">
        <f>IF(X622="","",SUMIFS(#REF!,RM!$C$4:$C991,X622))</f>
        <v/>
      </c>
      <c r="AA622" t="str">
        <f>IF(X622="","",SUMIFS(#REF!,RM!$C$4:$C991,X622))</f>
        <v/>
      </c>
      <c r="AB622" t="e">
        <f t="shared" si="9"/>
        <v>#VALUE!</v>
      </c>
      <c r="AC622" t="str">
        <f>IF(X622="","",VLOOKUP($X622,RM!$C$4:$G991,3,FALSE))</f>
        <v/>
      </c>
      <c r="AD622" t="str">
        <f>IF(X622="","",VLOOKUP($X622,RM!$C$4:$G991,4,FALSE))</f>
        <v/>
      </c>
      <c r="AE622" t="str">
        <f>IF(X622="","",VLOOKUP($X622,RM!$C$4:$G991,5,FALSE))</f>
        <v/>
      </c>
      <c r="AK622" t="e">
        <f ca="1">_xludf.IFNA(VLOOKUP(AG622,'S-FG'!$B$3:$B1001,1,FALSE),"")</f>
        <v>#NAME?</v>
      </c>
      <c r="AL622" t="str">
        <f>IF(AH622="","",SUMIFS(#REF!,RM!$C$4:$C991,AH622))</f>
        <v/>
      </c>
    </row>
    <row r="623" spans="5:38">
      <c r="E623" t="str">
        <f>IF(A623="","",SUMIFS(Issue!$D$3:$D1001,Issue!$C$3:$C1001,A623)*C623)</f>
        <v/>
      </c>
      <c r="F623" t="e">
        <f ca="1">_xludf.IFNA(VLOOKUP(B623,'S-FG'!$B$3:$B1001,1,FALSE),"")</f>
        <v>#NAME?</v>
      </c>
      <c r="L623" t="str">
        <f t="shared" si="7"/>
        <v/>
      </c>
      <c r="Q623" t="str">
        <f>IF(N623="","",SUMIFS(Issue!$D$3:$D1001,Issue!$C$3:$C1001,N623))</f>
        <v/>
      </c>
      <c r="Y623" t="str">
        <f t="shared" si="8"/>
        <v/>
      </c>
      <c r="Z623" t="str">
        <f>IF(X623="","",SUMIFS(#REF!,RM!$C$4:$C991,X623))</f>
        <v/>
      </c>
      <c r="AA623" t="str">
        <f>IF(X623="","",SUMIFS(#REF!,RM!$C$4:$C991,X623))</f>
        <v/>
      </c>
      <c r="AB623" t="e">
        <f t="shared" si="9"/>
        <v>#VALUE!</v>
      </c>
      <c r="AC623" t="str">
        <f>IF(X623="","",VLOOKUP($X623,RM!$C$4:$G991,3,FALSE))</f>
        <v/>
      </c>
      <c r="AD623" t="str">
        <f>IF(X623="","",VLOOKUP($X623,RM!$C$4:$G991,4,FALSE))</f>
        <v/>
      </c>
      <c r="AE623" t="str">
        <f>IF(X623="","",VLOOKUP($X623,RM!$C$4:$G991,5,FALSE))</f>
        <v/>
      </c>
      <c r="AK623" t="e">
        <f ca="1">_xludf.IFNA(VLOOKUP(AG623,'S-FG'!$B$3:$B1001,1,FALSE),"")</f>
        <v>#NAME?</v>
      </c>
      <c r="AL623" t="str">
        <f>IF(AH623="","",SUMIFS(#REF!,RM!$C$4:$C991,AH623))</f>
        <v/>
      </c>
    </row>
    <row r="624" spans="5:38">
      <c r="E624" t="str">
        <f>IF(A624="","",SUMIFS(Issue!$D$3:$D1001,Issue!$C$3:$C1001,A624)*C624)</f>
        <v/>
      </c>
      <c r="F624" t="e">
        <f ca="1">_xludf.IFNA(VLOOKUP(B624,'S-FG'!$B$3:$B1001,1,FALSE),"")</f>
        <v>#NAME?</v>
      </c>
      <c r="L624" t="str">
        <f t="shared" si="7"/>
        <v/>
      </c>
      <c r="Q624" t="str">
        <f>IF(N624="","",SUMIFS(Issue!$D$3:$D1001,Issue!$C$3:$C1001,N624))</f>
        <v/>
      </c>
      <c r="Y624" t="str">
        <f t="shared" si="8"/>
        <v/>
      </c>
      <c r="Z624" t="str">
        <f>IF(X624="","",SUMIFS(#REF!,RM!$C$4:$C991,X624))</f>
        <v/>
      </c>
      <c r="AA624" t="str">
        <f>IF(X624="","",SUMIFS(#REF!,RM!$C$4:$C991,X624))</f>
        <v/>
      </c>
      <c r="AB624" t="e">
        <f t="shared" si="9"/>
        <v>#VALUE!</v>
      </c>
      <c r="AC624" t="str">
        <f>IF(X624="","",VLOOKUP($X624,RM!$C$4:$G991,3,FALSE))</f>
        <v/>
      </c>
      <c r="AD624" t="str">
        <f>IF(X624="","",VLOOKUP($X624,RM!$C$4:$G991,4,FALSE))</f>
        <v/>
      </c>
      <c r="AE624" t="str">
        <f>IF(X624="","",VLOOKUP($X624,RM!$C$4:$G991,5,FALSE))</f>
        <v/>
      </c>
      <c r="AK624" t="e">
        <f ca="1">_xludf.IFNA(VLOOKUP(AG624,'S-FG'!$B$3:$B1001,1,FALSE),"")</f>
        <v>#NAME?</v>
      </c>
      <c r="AL624" t="str">
        <f>IF(AH624="","",SUMIFS(#REF!,RM!$C$4:$C991,AH624))</f>
        <v/>
      </c>
    </row>
    <row r="625" spans="5:38">
      <c r="E625" t="str">
        <f>IF(A625="","",SUMIFS(Issue!$D$3:$D1001,Issue!$C$3:$C1001,A625)*C625)</f>
        <v/>
      </c>
      <c r="F625" t="e">
        <f ca="1">_xludf.IFNA(VLOOKUP(B625,'S-FG'!$B$3:$B1001,1,FALSE),"")</f>
        <v>#NAME?</v>
      </c>
      <c r="L625" t="str">
        <f t="shared" si="7"/>
        <v/>
      </c>
      <c r="Q625" t="str">
        <f>IF(N625="","",SUMIFS(Issue!$D$3:$D1001,Issue!$C$3:$C1001,N625))</f>
        <v/>
      </c>
      <c r="Y625" t="str">
        <f t="shared" si="8"/>
        <v/>
      </c>
      <c r="Z625" t="str">
        <f>IF(X625="","",SUMIFS(#REF!,RM!$C$4:$C991,X625))</f>
        <v/>
      </c>
      <c r="AA625" t="str">
        <f>IF(X625="","",SUMIFS(#REF!,RM!$C$4:$C991,X625))</f>
        <v/>
      </c>
      <c r="AB625" t="e">
        <f t="shared" si="9"/>
        <v>#VALUE!</v>
      </c>
      <c r="AC625" t="str">
        <f>IF(X625="","",VLOOKUP($X625,RM!$C$4:$G991,3,FALSE))</f>
        <v/>
      </c>
      <c r="AD625" t="str">
        <f>IF(X625="","",VLOOKUP($X625,RM!$C$4:$G991,4,FALSE))</f>
        <v/>
      </c>
      <c r="AE625" t="str">
        <f>IF(X625="","",VLOOKUP($X625,RM!$C$4:$G991,5,FALSE))</f>
        <v/>
      </c>
      <c r="AK625" t="e">
        <f ca="1">_xludf.IFNA(VLOOKUP(AG625,'S-FG'!$B$3:$B1001,1,FALSE),"")</f>
        <v>#NAME?</v>
      </c>
      <c r="AL625" t="str">
        <f>IF(AH625="","",SUMIFS(#REF!,RM!$C$4:$C991,AH625))</f>
        <v/>
      </c>
    </row>
    <row r="626" spans="5:38">
      <c r="E626" t="str">
        <f>IF(A626="","",SUMIFS(Issue!$D$3:$D1001,Issue!$C$3:$C1001,A626)*C626)</f>
        <v/>
      </c>
      <c r="F626" t="e">
        <f ca="1">_xludf.IFNA(VLOOKUP(B626,'S-FG'!$B$3:$B1001,1,FALSE),"")</f>
        <v>#NAME?</v>
      </c>
      <c r="L626" t="str">
        <f t="shared" si="7"/>
        <v/>
      </c>
      <c r="Q626" t="str">
        <f>IF(N626="","",SUMIFS(Issue!$D$3:$D1001,Issue!$C$3:$C1001,N626))</f>
        <v/>
      </c>
      <c r="Y626" t="str">
        <f t="shared" si="8"/>
        <v/>
      </c>
      <c r="Z626" t="str">
        <f>IF(X626="","",SUMIFS(#REF!,RM!$C$4:$C991,X626))</f>
        <v/>
      </c>
      <c r="AA626" t="str">
        <f>IF(X626="","",SUMIFS(#REF!,RM!$C$4:$C991,X626))</f>
        <v/>
      </c>
      <c r="AB626" t="e">
        <f t="shared" si="9"/>
        <v>#VALUE!</v>
      </c>
      <c r="AC626" t="str">
        <f>IF(X626="","",VLOOKUP($X626,RM!$C$4:$G991,3,FALSE))</f>
        <v/>
      </c>
      <c r="AD626" t="str">
        <f>IF(X626="","",VLOOKUP($X626,RM!$C$4:$G991,4,FALSE))</f>
        <v/>
      </c>
      <c r="AE626" t="str">
        <f>IF(X626="","",VLOOKUP($X626,RM!$C$4:$G991,5,FALSE))</f>
        <v/>
      </c>
      <c r="AK626" t="e">
        <f ca="1">_xludf.IFNA(VLOOKUP(AG626,'S-FG'!$B$3:$B1001,1,FALSE),"")</f>
        <v>#NAME?</v>
      </c>
      <c r="AL626" t="str">
        <f>IF(AH626="","",SUMIFS(#REF!,RM!$C$4:$C991,AH626))</f>
        <v/>
      </c>
    </row>
    <row r="627" spans="5:38">
      <c r="E627" t="str">
        <f>IF(A627="","",SUMIFS(Issue!$D$3:$D1001,Issue!$C$3:$C1001,A627)*C627)</f>
        <v/>
      </c>
      <c r="F627" t="e">
        <f ca="1">_xludf.IFNA(VLOOKUP(B627,'S-FG'!$B$3:$B1001,1,FALSE),"")</f>
        <v>#NAME?</v>
      </c>
      <c r="L627" t="str">
        <f t="shared" si="7"/>
        <v/>
      </c>
      <c r="Q627" t="str">
        <f>IF(N627="","",SUMIFS(Issue!$D$3:$D1001,Issue!$C$3:$C1001,N627))</f>
        <v/>
      </c>
      <c r="Y627" t="str">
        <f t="shared" si="8"/>
        <v/>
      </c>
      <c r="Z627" t="str">
        <f>IF(X627="","",SUMIFS(#REF!,RM!$C$4:$C991,X627))</f>
        <v/>
      </c>
      <c r="AA627" t="str">
        <f>IF(X627="","",SUMIFS(#REF!,RM!$C$4:$C991,X627))</f>
        <v/>
      </c>
      <c r="AB627" t="e">
        <f t="shared" si="9"/>
        <v>#VALUE!</v>
      </c>
      <c r="AC627" t="str">
        <f>IF(X627="","",VLOOKUP($X627,RM!$C$4:$G991,3,FALSE))</f>
        <v/>
      </c>
      <c r="AD627" t="str">
        <f>IF(X627="","",VLOOKUP($X627,RM!$C$4:$G991,4,FALSE))</f>
        <v/>
      </c>
      <c r="AE627" t="str">
        <f>IF(X627="","",VLOOKUP($X627,RM!$C$4:$G991,5,FALSE))</f>
        <v/>
      </c>
      <c r="AK627" t="e">
        <f ca="1">_xludf.IFNA(VLOOKUP(AG627,'S-FG'!$B$3:$B1001,1,FALSE),"")</f>
        <v>#NAME?</v>
      </c>
      <c r="AL627" t="str">
        <f>IF(AH627="","",SUMIFS(#REF!,RM!$C$4:$C991,AH627))</f>
        <v/>
      </c>
    </row>
    <row r="628" spans="5:38">
      <c r="E628" t="str">
        <f>IF(A628="","",SUMIFS(Issue!$D$3:$D1001,Issue!$C$3:$C1001,A628)*C628)</f>
        <v/>
      </c>
      <c r="F628" t="e">
        <f ca="1">_xludf.IFNA(VLOOKUP(B628,'S-FG'!$B$3:$B1001,1,FALSE),"")</f>
        <v>#NAME?</v>
      </c>
      <c r="L628" t="str">
        <f t="shared" si="7"/>
        <v/>
      </c>
      <c r="Q628" t="str">
        <f>IF(N628="","",SUMIFS(Issue!$D$3:$D1001,Issue!$C$3:$C1001,N628))</f>
        <v/>
      </c>
      <c r="Y628" t="str">
        <f t="shared" si="8"/>
        <v/>
      </c>
      <c r="Z628" t="str">
        <f>IF(X628="","",SUMIFS(#REF!,RM!$C$4:$C991,X628))</f>
        <v/>
      </c>
      <c r="AA628" t="str">
        <f>IF(X628="","",SUMIFS(#REF!,RM!$C$4:$C991,X628))</f>
        <v/>
      </c>
      <c r="AB628" t="e">
        <f t="shared" si="9"/>
        <v>#VALUE!</v>
      </c>
      <c r="AC628" t="str">
        <f>IF(X628="","",VLOOKUP($X628,RM!$C$4:$G991,3,FALSE))</f>
        <v/>
      </c>
      <c r="AD628" t="str">
        <f>IF(X628="","",VLOOKUP($X628,RM!$C$4:$G991,4,FALSE))</f>
        <v/>
      </c>
      <c r="AE628" t="str">
        <f>IF(X628="","",VLOOKUP($X628,RM!$C$4:$G991,5,FALSE))</f>
        <v/>
      </c>
      <c r="AK628" t="e">
        <f ca="1">_xludf.IFNA(VLOOKUP(AG628,'S-FG'!$B$3:$B1001,1,FALSE),"")</f>
        <v>#NAME?</v>
      </c>
      <c r="AL628" t="str">
        <f>IF(AH628="","",SUMIFS(#REF!,RM!$C$4:$C991,AH628))</f>
        <v/>
      </c>
    </row>
    <row r="629" spans="5:38">
      <c r="E629" t="str">
        <f>IF(A629="","",SUMIFS(Issue!$D$3:$D1001,Issue!$C$3:$C1001,A629)*C629)</f>
        <v/>
      </c>
      <c r="F629" t="e">
        <f ca="1">_xludf.IFNA(VLOOKUP(B629,'S-FG'!$B$3:$B1001,1,FALSE),"")</f>
        <v>#NAME?</v>
      </c>
      <c r="L629" t="str">
        <f t="shared" si="7"/>
        <v/>
      </c>
      <c r="Q629" t="str">
        <f>IF(N629="","",SUMIFS(Issue!$D$3:$D1001,Issue!$C$3:$C1001,N629))</f>
        <v/>
      </c>
      <c r="Y629" t="str">
        <f t="shared" si="8"/>
        <v/>
      </c>
      <c r="Z629" t="str">
        <f>IF(X629="","",SUMIFS(#REF!,RM!$C$4:$C991,X629))</f>
        <v/>
      </c>
      <c r="AA629" t="str">
        <f>IF(X629="","",SUMIFS(#REF!,RM!$C$4:$C991,X629))</f>
        <v/>
      </c>
      <c r="AB629" t="e">
        <f t="shared" si="9"/>
        <v>#VALUE!</v>
      </c>
      <c r="AC629" t="str">
        <f>IF(X629="","",VLOOKUP($X629,RM!$C$4:$G991,3,FALSE))</f>
        <v/>
      </c>
      <c r="AD629" t="str">
        <f>IF(X629="","",VLOOKUP($X629,RM!$C$4:$G991,4,FALSE))</f>
        <v/>
      </c>
      <c r="AE629" t="str">
        <f>IF(X629="","",VLOOKUP($X629,RM!$C$4:$G991,5,FALSE))</f>
        <v/>
      </c>
      <c r="AK629" t="e">
        <f ca="1">_xludf.IFNA(VLOOKUP(AG629,'S-FG'!$B$3:$B1001,1,FALSE),"")</f>
        <v>#NAME?</v>
      </c>
      <c r="AL629" t="str">
        <f>IF(AH629="","",SUMIFS(#REF!,RM!$C$4:$C991,AH629))</f>
        <v/>
      </c>
    </row>
    <row r="630" spans="5:38">
      <c r="E630" t="str">
        <f>IF(A630="","",SUMIFS(Issue!$D$3:$D1001,Issue!$C$3:$C1001,A630)*C630)</f>
        <v/>
      </c>
      <c r="F630" t="e">
        <f ca="1">_xludf.IFNA(VLOOKUP(B630,'S-FG'!$B$3:$B1001,1,FALSE),"")</f>
        <v>#NAME?</v>
      </c>
      <c r="L630" t="str">
        <f t="shared" si="7"/>
        <v/>
      </c>
      <c r="Q630" t="str">
        <f>IF(N630="","",SUMIFS(Issue!$D$3:$D1001,Issue!$C$3:$C1001,N630))</f>
        <v/>
      </c>
      <c r="Y630" t="str">
        <f t="shared" si="8"/>
        <v/>
      </c>
      <c r="Z630" t="str">
        <f>IF(X630="","",SUMIFS(#REF!,RM!$C$4:$C991,X630))</f>
        <v/>
      </c>
      <c r="AA630" t="str">
        <f>IF(X630="","",SUMIFS(#REF!,RM!$C$4:$C991,X630))</f>
        <v/>
      </c>
      <c r="AB630" t="e">
        <f t="shared" si="9"/>
        <v>#VALUE!</v>
      </c>
      <c r="AC630" t="str">
        <f>IF(X630="","",VLOOKUP($X630,RM!$C$4:$G991,3,FALSE))</f>
        <v/>
      </c>
      <c r="AD630" t="str">
        <f>IF(X630="","",VLOOKUP($X630,RM!$C$4:$G991,4,FALSE))</f>
        <v/>
      </c>
      <c r="AE630" t="str">
        <f>IF(X630="","",VLOOKUP($X630,RM!$C$4:$G991,5,FALSE))</f>
        <v/>
      </c>
      <c r="AK630" t="e">
        <f ca="1">_xludf.IFNA(VLOOKUP(AG630,'S-FG'!$B$3:$B1001,1,FALSE),"")</f>
        <v>#NAME?</v>
      </c>
      <c r="AL630" t="str">
        <f>IF(AH630="","",SUMIFS(#REF!,RM!$C$4:$C991,AH630))</f>
        <v/>
      </c>
    </row>
    <row r="631" spans="5:38">
      <c r="E631" t="str">
        <f>IF(A631="","",SUMIFS(Issue!$D$3:$D1001,Issue!$C$3:$C1001,A631)*C631)</f>
        <v/>
      </c>
      <c r="F631" t="e">
        <f ca="1">_xludf.IFNA(VLOOKUP(B631,'S-FG'!$B$3:$B1001,1,FALSE),"")</f>
        <v>#NAME?</v>
      </c>
      <c r="L631" t="str">
        <f t="shared" si="7"/>
        <v/>
      </c>
      <c r="Q631" t="str">
        <f>IF(N631="","",SUMIFS(Issue!$D$3:$D1001,Issue!$C$3:$C1001,N631))</f>
        <v/>
      </c>
      <c r="Y631" t="str">
        <f t="shared" si="8"/>
        <v/>
      </c>
      <c r="Z631" t="str">
        <f>IF(X631="","",SUMIFS(#REF!,RM!$C$4:$C991,X631))</f>
        <v/>
      </c>
      <c r="AA631" t="str">
        <f>IF(X631="","",SUMIFS(#REF!,RM!$C$4:$C991,X631))</f>
        <v/>
      </c>
      <c r="AB631" t="e">
        <f t="shared" si="9"/>
        <v>#VALUE!</v>
      </c>
      <c r="AC631" t="str">
        <f>IF(X631="","",VLOOKUP($X631,RM!$C$4:$G991,3,FALSE))</f>
        <v/>
      </c>
      <c r="AD631" t="str">
        <f>IF(X631="","",VLOOKUP($X631,RM!$C$4:$G991,4,FALSE))</f>
        <v/>
      </c>
      <c r="AE631" t="str">
        <f>IF(X631="","",VLOOKUP($X631,RM!$C$4:$G991,5,FALSE))</f>
        <v/>
      </c>
      <c r="AK631" t="e">
        <f ca="1">_xludf.IFNA(VLOOKUP(AG631,'S-FG'!$B$3:$B1001,1,FALSE),"")</f>
        <v>#NAME?</v>
      </c>
      <c r="AL631" t="str">
        <f>IF(AH631="","",SUMIFS(#REF!,RM!$C$4:$C991,AH631))</f>
        <v/>
      </c>
    </row>
    <row r="632" spans="5:38">
      <c r="E632" t="str">
        <f>IF(A632="","",SUMIFS(Issue!$D$3:$D1001,Issue!$C$3:$C1001,A632)*C632)</f>
        <v/>
      </c>
      <c r="F632" t="e">
        <f ca="1">_xludf.IFNA(VLOOKUP(B632,'S-FG'!$B$3:$B1001,1,FALSE),"")</f>
        <v>#NAME?</v>
      </c>
      <c r="L632" t="str">
        <f t="shared" si="7"/>
        <v/>
      </c>
      <c r="Q632" t="str">
        <f>IF(N632="","",SUMIFS(Issue!$D$3:$D1001,Issue!$C$3:$C1001,N632))</f>
        <v/>
      </c>
      <c r="Y632" t="str">
        <f t="shared" si="8"/>
        <v/>
      </c>
      <c r="Z632" t="str">
        <f>IF(X632="","",SUMIFS(#REF!,RM!$C$4:$C991,X632))</f>
        <v/>
      </c>
      <c r="AA632" t="str">
        <f>IF(X632="","",SUMIFS(#REF!,RM!$C$4:$C991,X632))</f>
        <v/>
      </c>
      <c r="AB632" t="e">
        <f t="shared" si="9"/>
        <v>#VALUE!</v>
      </c>
      <c r="AC632" t="str">
        <f>IF(X632="","",VLOOKUP($X632,RM!$C$4:$G991,3,FALSE))</f>
        <v/>
      </c>
      <c r="AD632" t="str">
        <f>IF(X632="","",VLOOKUP($X632,RM!$C$4:$G991,4,FALSE))</f>
        <v/>
      </c>
      <c r="AE632" t="str">
        <f>IF(X632="","",VLOOKUP($X632,RM!$C$4:$G991,5,FALSE))</f>
        <v/>
      </c>
      <c r="AK632" t="e">
        <f ca="1">_xludf.IFNA(VLOOKUP(AG632,'S-FG'!$B$3:$B1001,1,FALSE),"")</f>
        <v>#NAME?</v>
      </c>
      <c r="AL632" t="str">
        <f>IF(AH632="","",SUMIFS(#REF!,RM!$C$4:$C991,AH632))</f>
        <v/>
      </c>
    </row>
    <row r="633" spans="5:38">
      <c r="E633" t="str">
        <f>IF(A633="","",SUMIFS(Issue!$D$3:$D1001,Issue!$C$3:$C1001,A633)*C633)</f>
        <v/>
      </c>
      <c r="F633" t="e">
        <f ca="1">_xludf.IFNA(VLOOKUP(B633,'S-FG'!$B$3:$B1001,1,FALSE),"")</f>
        <v>#NAME?</v>
      </c>
      <c r="L633" t="str">
        <f t="shared" si="7"/>
        <v/>
      </c>
      <c r="Q633" t="str">
        <f>IF(N633="","",SUMIFS(Issue!$D$3:$D1001,Issue!$C$3:$C1001,N633))</f>
        <v/>
      </c>
      <c r="Y633" t="str">
        <f t="shared" si="8"/>
        <v/>
      </c>
      <c r="Z633" t="str">
        <f>IF(X633="","",SUMIFS(#REF!,RM!$C$4:$C991,X633))</f>
        <v/>
      </c>
      <c r="AA633" t="str">
        <f>IF(X633="","",SUMIFS(#REF!,RM!$C$4:$C991,X633))</f>
        <v/>
      </c>
      <c r="AB633" t="e">
        <f t="shared" si="9"/>
        <v>#VALUE!</v>
      </c>
      <c r="AC633" t="str">
        <f>IF(X633="","",VLOOKUP($X633,RM!$C$4:$G991,3,FALSE))</f>
        <v/>
      </c>
      <c r="AD633" t="str">
        <f>IF(X633="","",VLOOKUP($X633,RM!$C$4:$G991,4,FALSE))</f>
        <v/>
      </c>
      <c r="AE633" t="str">
        <f>IF(X633="","",VLOOKUP($X633,RM!$C$4:$G991,5,FALSE))</f>
        <v/>
      </c>
      <c r="AK633" t="e">
        <f ca="1">_xludf.IFNA(VLOOKUP(AG633,'S-FG'!$B$3:$B1001,1,FALSE),"")</f>
        <v>#NAME?</v>
      </c>
      <c r="AL633" t="str">
        <f>IF(AH633="","",SUMIFS(#REF!,RM!$C$4:$C991,AH633))</f>
        <v/>
      </c>
    </row>
    <row r="634" spans="5:38">
      <c r="E634" t="str">
        <f>IF(A634="","",SUMIFS(Issue!$D$3:$D1001,Issue!$C$3:$C1001,A634)*C634)</f>
        <v/>
      </c>
      <c r="F634" t="e">
        <f ca="1">_xludf.IFNA(VLOOKUP(B634,'S-FG'!$B$3:$B1001,1,FALSE),"")</f>
        <v>#NAME?</v>
      </c>
      <c r="L634" t="str">
        <f t="shared" si="7"/>
        <v/>
      </c>
      <c r="Q634" t="str">
        <f>IF(N634="","",SUMIFS(Issue!$D$3:$D1001,Issue!$C$3:$C1001,N634))</f>
        <v/>
      </c>
      <c r="Y634" t="str">
        <f t="shared" si="8"/>
        <v/>
      </c>
      <c r="Z634" t="str">
        <f>IF(X634="","",SUMIFS(#REF!,RM!$C$4:$C991,X634))</f>
        <v/>
      </c>
      <c r="AA634" t="str">
        <f>IF(X634="","",SUMIFS(#REF!,RM!$C$4:$C991,X634))</f>
        <v/>
      </c>
      <c r="AB634" t="e">
        <f t="shared" si="9"/>
        <v>#VALUE!</v>
      </c>
      <c r="AC634" t="str">
        <f>IF(X634="","",VLOOKUP($X634,RM!$C$4:$G991,3,FALSE))</f>
        <v/>
      </c>
      <c r="AD634" t="str">
        <f>IF(X634="","",VLOOKUP($X634,RM!$C$4:$G991,4,FALSE))</f>
        <v/>
      </c>
      <c r="AE634" t="str">
        <f>IF(X634="","",VLOOKUP($X634,RM!$C$4:$G991,5,FALSE))</f>
        <v/>
      </c>
      <c r="AK634" t="e">
        <f ca="1">_xludf.IFNA(VLOOKUP(AG634,'S-FG'!$B$3:$B1001,1,FALSE),"")</f>
        <v>#NAME?</v>
      </c>
      <c r="AL634" t="str">
        <f>IF(AH634="","",SUMIFS(#REF!,RM!$C$4:$C991,AH634))</f>
        <v/>
      </c>
    </row>
    <row r="635" spans="5:38">
      <c r="E635" t="str">
        <f>IF(A635="","",SUMIFS(Issue!$D$3:$D1001,Issue!$C$3:$C1001,A635)*C635)</f>
        <v/>
      </c>
      <c r="F635" t="e">
        <f ca="1">_xludf.IFNA(VLOOKUP(B635,'S-FG'!$B$3:$B1001,1,FALSE),"")</f>
        <v>#NAME?</v>
      </c>
      <c r="L635" t="str">
        <f t="shared" si="7"/>
        <v/>
      </c>
      <c r="Q635" t="str">
        <f>IF(N635="","",SUMIFS(Issue!$D$3:$D1001,Issue!$C$3:$C1001,N635))</f>
        <v/>
      </c>
      <c r="Y635" t="str">
        <f t="shared" si="8"/>
        <v/>
      </c>
      <c r="Z635" t="str">
        <f>IF(X635="","",SUMIFS(#REF!,RM!$C$4:$C991,X635))</f>
        <v/>
      </c>
      <c r="AA635" t="str">
        <f>IF(X635="","",SUMIFS(#REF!,RM!$C$4:$C991,X635))</f>
        <v/>
      </c>
      <c r="AB635" t="e">
        <f t="shared" si="9"/>
        <v>#VALUE!</v>
      </c>
      <c r="AC635" t="str">
        <f>IF(X635="","",VLOOKUP($X635,RM!$C$4:$G991,3,FALSE))</f>
        <v/>
      </c>
      <c r="AD635" t="str">
        <f>IF(X635="","",VLOOKUP($X635,RM!$C$4:$G991,4,FALSE))</f>
        <v/>
      </c>
      <c r="AE635" t="str">
        <f>IF(X635="","",VLOOKUP($X635,RM!$C$4:$G991,5,FALSE))</f>
        <v/>
      </c>
      <c r="AK635" t="e">
        <f ca="1">_xludf.IFNA(VLOOKUP(AG635,'S-FG'!$B$3:$B1001,1,FALSE),"")</f>
        <v>#NAME?</v>
      </c>
      <c r="AL635" t="str">
        <f>IF(AH635="","",SUMIFS(#REF!,RM!$C$4:$C991,AH635))</f>
        <v/>
      </c>
    </row>
    <row r="636" spans="5:38">
      <c r="E636" t="str">
        <f>IF(A636="","",SUMIFS(Issue!$D$3:$D1001,Issue!$C$3:$C1001,A636)*C636)</f>
        <v/>
      </c>
      <c r="F636" t="e">
        <f ca="1">_xludf.IFNA(VLOOKUP(B636,'S-FG'!$B$3:$B1001,1,FALSE),"")</f>
        <v>#NAME?</v>
      </c>
      <c r="L636" t="str">
        <f t="shared" si="7"/>
        <v/>
      </c>
      <c r="Q636" t="str">
        <f>IF(N636="","",SUMIFS(Issue!$D$3:$D1001,Issue!$C$3:$C1001,N636))</f>
        <v/>
      </c>
      <c r="Y636" t="str">
        <f t="shared" si="8"/>
        <v/>
      </c>
      <c r="Z636" t="str">
        <f>IF(X636="","",SUMIFS(#REF!,RM!$C$4:$C991,X636))</f>
        <v/>
      </c>
      <c r="AA636" t="str">
        <f>IF(X636="","",SUMIFS(#REF!,RM!$C$4:$C991,X636))</f>
        <v/>
      </c>
      <c r="AB636" t="e">
        <f t="shared" si="9"/>
        <v>#VALUE!</v>
      </c>
      <c r="AC636" t="str">
        <f>IF(X636="","",VLOOKUP($X636,RM!$C$4:$G991,3,FALSE))</f>
        <v/>
      </c>
      <c r="AD636" t="str">
        <f>IF(X636="","",VLOOKUP($X636,RM!$C$4:$G991,4,FALSE))</f>
        <v/>
      </c>
      <c r="AE636" t="str">
        <f>IF(X636="","",VLOOKUP($X636,RM!$C$4:$G991,5,FALSE))</f>
        <v/>
      </c>
      <c r="AK636" t="e">
        <f ca="1">_xludf.IFNA(VLOOKUP(AG636,'S-FG'!$B$3:$B1001,1,FALSE),"")</f>
        <v>#NAME?</v>
      </c>
      <c r="AL636" t="str">
        <f>IF(AH636="","",SUMIFS(#REF!,RM!$C$4:$C991,AH636))</f>
        <v/>
      </c>
    </row>
    <row r="637" spans="5:38">
      <c r="E637" t="str">
        <f>IF(A637="","",SUMIFS(Issue!$D$3:$D1001,Issue!$C$3:$C1001,A637)*C637)</f>
        <v/>
      </c>
      <c r="F637" t="e">
        <f ca="1">_xludf.IFNA(VLOOKUP(B637,'S-FG'!$B$3:$B1001,1,FALSE),"")</f>
        <v>#NAME?</v>
      </c>
      <c r="L637" t="str">
        <f t="shared" si="7"/>
        <v/>
      </c>
      <c r="Q637" t="str">
        <f>IF(N637="","",SUMIFS(Issue!$D$3:$D1001,Issue!$C$3:$C1001,N637))</f>
        <v/>
      </c>
      <c r="Y637" t="str">
        <f t="shared" si="8"/>
        <v/>
      </c>
      <c r="Z637" t="str">
        <f>IF(X637="","",SUMIFS(#REF!,RM!$C$4:$C991,X637))</f>
        <v/>
      </c>
      <c r="AA637" t="str">
        <f>IF(X637="","",SUMIFS(#REF!,RM!$C$4:$C991,X637))</f>
        <v/>
      </c>
      <c r="AB637" t="e">
        <f t="shared" si="9"/>
        <v>#VALUE!</v>
      </c>
      <c r="AC637" t="str">
        <f>IF(X637="","",VLOOKUP($X637,RM!$C$4:$G991,3,FALSE))</f>
        <v/>
      </c>
      <c r="AD637" t="str">
        <f>IF(X637="","",VLOOKUP($X637,RM!$C$4:$G991,4,FALSE))</f>
        <v/>
      </c>
      <c r="AE637" t="str">
        <f>IF(X637="","",VLOOKUP($X637,RM!$C$4:$G991,5,FALSE))</f>
        <v/>
      </c>
      <c r="AK637" t="e">
        <f ca="1">_xludf.IFNA(VLOOKUP(AG637,'S-FG'!$B$3:$B1001,1,FALSE),"")</f>
        <v>#NAME?</v>
      </c>
      <c r="AL637" t="str">
        <f>IF(AH637="","",SUMIFS(#REF!,RM!$C$4:$C991,AH637))</f>
        <v/>
      </c>
    </row>
    <row r="638" spans="5:38">
      <c r="E638" t="str">
        <f>IF(A638="","",SUMIFS(Issue!$D$3:$D1001,Issue!$C$3:$C1001,A638)*C638)</f>
        <v/>
      </c>
      <c r="F638" t="e">
        <f ca="1">_xludf.IFNA(VLOOKUP(B638,'S-FG'!$B$3:$B1001,1,FALSE),"")</f>
        <v>#NAME?</v>
      </c>
      <c r="L638" t="str">
        <f t="shared" si="7"/>
        <v/>
      </c>
      <c r="Q638" t="str">
        <f>IF(N638="","",SUMIFS(Issue!$D$3:$D1001,Issue!$C$3:$C1001,N638))</f>
        <v/>
      </c>
      <c r="Y638" t="str">
        <f t="shared" si="8"/>
        <v/>
      </c>
      <c r="Z638" t="str">
        <f>IF(X638="","",SUMIFS(#REF!,RM!$C$4:$C991,X638))</f>
        <v/>
      </c>
      <c r="AA638" t="str">
        <f>IF(X638="","",SUMIFS(#REF!,RM!$C$4:$C991,X638))</f>
        <v/>
      </c>
      <c r="AB638" t="e">
        <f t="shared" si="9"/>
        <v>#VALUE!</v>
      </c>
      <c r="AC638" t="str">
        <f>IF(X638="","",VLOOKUP($X638,RM!$C$4:$G991,3,FALSE))</f>
        <v/>
      </c>
      <c r="AD638" t="str">
        <f>IF(X638="","",VLOOKUP($X638,RM!$C$4:$G991,4,FALSE))</f>
        <v/>
      </c>
      <c r="AE638" t="str">
        <f>IF(X638="","",VLOOKUP($X638,RM!$C$4:$G991,5,FALSE))</f>
        <v/>
      </c>
      <c r="AK638" t="e">
        <f ca="1">_xludf.IFNA(VLOOKUP(AG638,'S-FG'!$B$3:$B1001,1,FALSE),"")</f>
        <v>#NAME?</v>
      </c>
      <c r="AL638" t="str">
        <f>IF(AH638="","",SUMIFS(#REF!,RM!$C$4:$C991,AH638))</f>
        <v/>
      </c>
    </row>
    <row r="639" spans="5:38">
      <c r="E639" t="str">
        <f>IF(A639="","",SUMIFS(Issue!$D$3:$D1001,Issue!$C$3:$C1001,A639)*C639)</f>
        <v/>
      </c>
      <c r="F639" t="e">
        <f ca="1">_xludf.IFNA(VLOOKUP(B639,'S-FG'!$B$3:$B1001,1,FALSE),"")</f>
        <v>#NAME?</v>
      </c>
      <c r="L639" t="str">
        <f t="shared" si="7"/>
        <v/>
      </c>
      <c r="Q639" t="str">
        <f>IF(N639="","",SUMIFS(Issue!$D$3:$D1001,Issue!$C$3:$C1001,N639))</f>
        <v/>
      </c>
      <c r="Y639" t="str">
        <f t="shared" si="8"/>
        <v/>
      </c>
      <c r="Z639" t="str">
        <f>IF(X639="","",SUMIFS(#REF!,RM!$C$4:$C991,X639))</f>
        <v/>
      </c>
      <c r="AA639" t="str">
        <f>IF(X639="","",SUMIFS(#REF!,RM!$C$4:$C991,X639))</f>
        <v/>
      </c>
      <c r="AB639" t="e">
        <f t="shared" si="9"/>
        <v>#VALUE!</v>
      </c>
      <c r="AC639" t="str">
        <f>IF(X639="","",VLOOKUP($X639,RM!$C$4:$G991,3,FALSE))</f>
        <v/>
      </c>
      <c r="AD639" t="str">
        <f>IF(X639="","",VLOOKUP($X639,RM!$C$4:$G991,4,FALSE))</f>
        <v/>
      </c>
      <c r="AE639" t="str">
        <f>IF(X639="","",VLOOKUP($X639,RM!$C$4:$G991,5,FALSE))</f>
        <v/>
      </c>
      <c r="AK639" t="e">
        <f ca="1">_xludf.IFNA(VLOOKUP(AG639,'S-FG'!$B$3:$B1001,1,FALSE),"")</f>
        <v>#NAME?</v>
      </c>
      <c r="AL639" t="str">
        <f>IF(AH639="","",SUMIFS(#REF!,RM!$C$4:$C991,AH639))</f>
        <v/>
      </c>
    </row>
    <row r="640" spans="5:38">
      <c r="E640" t="str">
        <f>IF(A640="","",SUMIFS(Issue!$D$3:$D1001,Issue!$C$3:$C1001,A640)*C640)</f>
        <v/>
      </c>
      <c r="F640" t="e">
        <f ca="1">_xludf.IFNA(VLOOKUP(B640,'S-FG'!$B$3:$B1001,1,FALSE),"")</f>
        <v>#NAME?</v>
      </c>
      <c r="L640" t="str">
        <f t="shared" si="7"/>
        <v/>
      </c>
      <c r="Q640" t="str">
        <f>IF(N640="","",SUMIFS(Issue!$D$3:$D1001,Issue!$C$3:$C1001,N640))</f>
        <v/>
      </c>
      <c r="Y640" t="str">
        <f t="shared" si="8"/>
        <v/>
      </c>
      <c r="Z640" t="str">
        <f>IF(X640="","",SUMIFS(#REF!,RM!$C$4:$C991,X640))</f>
        <v/>
      </c>
      <c r="AA640" t="str">
        <f>IF(X640="","",SUMIFS(#REF!,RM!$C$4:$C991,X640))</f>
        <v/>
      </c>
      <c r="AB640" t="e">
        <f t="shared" si="9"/>
        <v>#VALUE!</v>
      </c>
      <c r="AC640" t="str">
        <f>IF(X640="","",VLOOKUP($X640,RM!$C$4:$G991,3,FALSE))</f>
        <v/>
      </c>
      <c r="AD640" t="str">
        <f>IF(X640="","",VLOOKUP($X640,RM!$C$4:$G991,4,FALSE))</f>
        <v/>
      </c>
      <c r="AE640" t="str">
        <f>IF(X640="","",VLOOKUP($X640,RM!$C$4:$G991,5,FALSE))</f>
        <v/>
      </c>
      <c r="AK640" t="e">
        <f ca="1">_xludf.IFNA(VLOOKUP(AG640,'S-FG'!$B$3:$B1001,1,FALSE),"")</f>
        <v>#NAME?</v>
      </c>
      <c r="AL640" t="str">
        <f>IF(AH640="","",SUMIFS(#REF!,RM!$C$4:$C991,AH640))</f>
        <v/>
      </c>
    </row>
    <row r="641" spans="5:38">
      <c r="E641" t="str">
        <f>IF(A641="","",SUMIFS(Issue!$D$3:$D1001,Issue!$C$3:$C1001,A641)*C641)</f>
        <v/>
      </c>
      <c r="F641" t="e">
        <f ca="1">_xludf.IFNA(VLOOKUP(B641,'S-FG'!$B$3:$B1001,1,FALSE),"")</f>
        <v>#NAME?</v>
      </c>
      <c r="L641" t="str">
        <f t="shared" si="7"/>
        <v/>
      </c>
      <c r="Q641" t="str">
        <f>IF(N641="","",SUMIFS(Issue!$D$3:$D1001,Issue!$C$3:$C1001,N641))</f>
        <v/>
      </c>
      <c r="Y641" t="str">
        <f t="shared" si="8"/>
        <v/>
      </c>
      <c r="Z641" t="str">
        <f>IF(X641="","",SUMIFS(#REF!,RM!$C$4:$C991,X641))</f>
        <v/>
      </c>
      <c r="AA641" t="str">
        <f>IF(X641="","",SUMIFS(#REF!,RM!$C$4:$C991,X641))</f>
        <v/>
      </c>
      <c r="AB641" t="e">
        <f t="shared" si="9"/>
        <v>#VALUE!</v>
      </c>
      <c r="AC641" t="str">
        <f>IF(X641="","",VLOOKUP($X641,RM!$C$4:$G991,3,FALSE))</f>
        <v/>
      </c>
      <c r="AD641" t="str">
        <f>IF(X641="","",VLOOKUP($X641,RM!$C$4:$G991,4,FALSE))</f>
        <v/>
      </c>
      <c r="AE641" t="str">
        <f>IF(X641="","",VLOOKUP($X641,RM!$C$4:$G991,5,FALSE))</f>
        <v/>
      </c>
      <c r="AK641" t="e">
        <f ca="1">_xludf.IFNA(VLOOKUP(AG641,'S-FG'!$B$3:$B1001,1,FALSE),"")</f>
        <v>#NAME?</v>
      </c>
      <c r="AL641" t="str">
        <f>IF(AH641="","",SUMIFS(#REF!,RM!$C$4:$C991,AH641))</f>
        <v/>
      </c>
    </row>
    <row r="642" spans="5:38">
      <c r="E642" t="str">
        <f>IF(A642="","",SUMIFS(Issue!$D$3:$D1001,Issue!$C$3:$C1001,A642)*C642)</f>
        <v/>
      </c>
      <c r="F642" t="e">
        <f ca="1">_xludf.IFNA(VLOOKUP(B642,'S-FG'!$B$3:$B1001,1,FALSE),"")</f>
        <v>#NAME?</v>
      </c>
      <c r="L642" t="str">
        <f t="shared" si="7"/>
        <v/>
      </c>
      <c r="Q642" t="str">
        <f>IF(N642="","",SUMIFS(Issue!$D$3:$D1001,Issue!$C$3:$C1001,N642))</f>
        <v/>
      </c>
      <c r="Y642" t="str">
        <f t="shared" si="8"/>
        <v/>
      </c>
      <c r="Z642" t="str">
        <f>IF(X642="","",SUMIFS(#REF!,RM!$C$4:$C991,X642))</f>
        <v/>
      </c>
      <c r="AA642" t="str">
        <f>IF(X642="","",SUMIFS(#REF!,RM!$C$4:$C991,X642))</f>
        <v/>
      </c>
      <c r="AB642" t="e">
        <f t="shared" si="9"/>
        <v>#VALUE!</v>
      </c>
      <c r="AC642" t="str">
        <f>IF(X642="","",VLOOKUP($X642,RM!$C$4:$G991,3,FALSE))</f>
        <v/>
      </c>
      <c r="AD642" t="str">
        <f>IF(X642="","",VLOOKUP($X642,RM!$C$4:$G991,4,FALSE))</f>
        <v/>
      </c>
      <c r="AE642" t="str">
        <f>IF(X642="","",VLOOKUP($X642,RM!$C$4:$G991,5,FALSE))</f>
        <v/>
      </c>
      <c r="AK642" t="e">
        <f ca="1">_xludf.IFNA(VLOOKUP(AG642,'S-FG'!$B$3:$B1001,1,FALSE),"")</f>
        <v>#NAME?</v>
      </c>
      <c r="AL642" t="str">
        <f>IF(AH642="","",SUMIFS(#REF!,RM!$C$4:$C991,AH642))</f>
        <v/>
      </c>
    </row>
    <row r="643" spans="5:38">
      <c r="E643" t="str">
        <f>IF(A643="","",SUMIFS(Issue!$D$3:$D1001,Issue!$C$3:$C1001,A643)*C643)</f>
        <v/>
      </c>
      <c r="F643" t="e">
        <f ca="1">_xludf.IFNA(VLOOKUP(B643,'S-FG'!$B$3:$B1001,1,FALSE),"")</f>
        <v>#NAME?</v>
      </c>
      <c r="L643" t="str">
        <f t="shared" si="7"/>
        <v/>
      </c>
      <c r="Q643" t="str">
        <f>IF(N643="","",SUMIFS(Issue!$D$3:$D1001,Issue!$C$3:$C1001,N643))</f>
        <v/>
      </c>
      <c r="Y643" t="str">
        <f t="shared" si="8"/>
        <v/>
      </c>
      <c r="Z643" t="str">
        <f>IF(X643="","",SUMIFS(#REF!,RM!$C$4:$C991,X643))</f>
        <v/>
      </c>
      <c r="AA643" t="str">
        <f>IF(X643="","",SUMIFS(#REF!,RM!$C$4:$C991,X643))</f>
        <v/>
      </c>
      <c r="AB643" t="e">
        <f t="shared" si="9"/>
        <v>#VALUE!</v>
      </c>
      <c r="AC643" t="str">
        <f>IF(X643="","",VLOOKUP($X643,RM!$C$4:$G991,3,FALSE))</f>
        <v/>
      </c>
      <c r="AD643" t="str">
        <f>IF(X643="","",VLOOKUP($X643,RM!$C$4:$G991,4,FALSE))</f>
        <v/>
      </c>
      <c r="AE643" t="str">
        <f>IF(X643="","",VLOOKUP($X643,RM!$C$4:$G991,5,FALSE))</f>
        <v/>
      </c>
      <c r="AK643" t="e">
        <f ca="1">_xludf.IFNA(VLOOKUP(AG643,'S-FG'!$B$3:$B1001,1,FALSE),"")</f>
        <v>#NAME?</v>
      </c>
      <c r="AL643" t="str">
        <f>IF(AH643="","",SUMIFS(#REF!,RM!$C$4:$C991,AH643))</f>
        <v/>
      </c>
    </row>
    <row r="644" spans="5:38">
      <c r="E644" t="str">
        <f>IF(A644="","",SUMIFS(Issue!$D$3:$D1001,Issue!$C$3:$C1001,A644)*C644)</f>
        <v/>
      </c>
      <c r="F644" t="e">
        <f ca="1">_xludf.IFNA(VLOOKUP(B644,'S-FG'!$B$3:$B1001,1,FALSE),"")</f>
        <v>#NAME?</v>
      </c>
      <c r="L644" t="str">
        <f t="shared" si="7"/>
        <v/>
      </c>
      <c r="Q644" t="str">
        <f>IF(N644="","",SUMIFS(Issue!$D$3:$D1001,Issue!$C$3:$C1001,N644))</f>
        <v/>
      </c>
      <c r="Y644" t="str">
        <f t="shared" si="8"/>
        <v/>
      </c>
      <c r="Z644" t="str">
        <f>IF(X644="","",SUMIFS(#REF!,RM!$C$4:$C991,X644))</f>
        <v/>
      </c>
      <c r="AA644" t="str">
        <f>IF(X644="","",SUMIFS(#REF!,RM!$C$4:$C991,X644))</f>
        <v/>
      </c>
      <c r="AB644" t="e">
        <f t="shared" si="9"/>
        <v>#VALUE!</v>
      </c>
      <c r="AC644" t="str">
        <f>IF(X644="","",VLOOKUP($X644,RM!$C$4:$G991,3,FALSE))</f>
        <v/>
      </c>
      <c r="AD644" t="str">
        <f>IF(X644="","",VLOOKUP($X644,RM!$C$4:$G991,4,FALSE))</f>
        <v/>
      </c>
      <c r="AE644" t="str">
        <f>IF(X644="","",VLOOKUP($X644,RM!$C$4:$G991,5,FALSE))</f>
        <v/>
      </c>
      <c r="AK644" t="e">
        <f ca="1">_xludf.IFNA(VLOOKUP(AG644,'S-FG'!$B$3:$B1001,1,FALSE),"")</f>
        <v>#NAME?</v>
      </c>
      <c r="AL644" t="str">
        <f>IF(AH644="","",SUMIFS(#REF!,RM!$C$4:$C991,AH644))</f>
        <v/>
      </c>
    </row>
    <row r="645" spans="5:38">
      <c r="E645" t="str">
        <f>IF(A645="","",SUMIFS(Issue!$D$3:$D1001,Issue!$C$3:$C1001,A645)*C645)</f>
        <v/>
      </c>
      <c r="F645" t="e">
        <f ca="1">_xludf.IFNA(VLOOKUP(B645,'S-FG'!$B$3:$B1001,1,FALSE),"")</f>
        <v>#NAME?</v>
      </c>
      <c r="L645" t="str">
        <f t="shared" si="7"/>
        <v/>
      </c>
      <c r="Q645" t="str">
        <f>IF(N645="","",SUMIFS(Issue!$D$3:$D1001,Issue!$C$3:$C1001,N645))</f>
        <v/>
      </c>
      <c r="Y645" t="str">
        <f t="shared" si="8"/>
        <v/>
      </c>
      <c r="Z645" t="str">
        <f>IF(X645="","",SUMIFS(#REF!,RM!$C$4:$C991,X645))</f>
        <v/>
      </c>
      <c r="AA645" t="str">
        <f>IF(X645="","",SUMIFS(#REF!,RM!$C$4:$C991,X645))</f>
        <v/>
      </c>
      <c r="AB645" t="e">
        <f t="shared" si="9"/>
        <v>#VALUE!</v>
      </c>
      <c r="AC645" t="str">
        <f>IF(X645="","",VLOOKUP($X645,RM!$C$4:$G991,3,FALSE))</f>
        <v/>
      </c>
      <c r="AD645" t="str">
        <f>IF(X645="","",VLOOKUP($X645,RM!$C$4:$G991,4,FALSE))</f>
        <v/>
      </c>
      <c r="AE645" t="str">
        <f>IF(X645="","",VLOOKUP($X645,RM!$C$4:$G991,5,FALSE))</f>
        <v/>
      </c>
      <c r="AK645" t="e">
        <f ca="1">_xludf.IFNA(VLOOKUP(AG645,'S-FG'!$B$3:$B1001,1,FALSE),"")</f>
        <v>#NAME?</v>
      </c>
      <c r="AL645" t="str">
        <f>IF(AH645="","",SUMIFS(#REF!,RM!$C$4:$C991,AH645))</f>
        <v/>
      </c>
    </row>
    <row r="646" spans="5:38">
      <c r="E646" t="str">
        <f>IF(A646="","",SUMIFS(Issue!$D$3:$D1001,Issue!$C$3:$C1001,A646)*C646)</f>
        <v/>
      </c>
      <c r="F646" t="e">
        <f ca="1">_xludf.IFNA(VLOOKUP(B646,'S-FG'!$B$3:$B1001,1,FALSE),"")</f>
        <v>#NAME?</v>
      </c>
      <c r="L646" t="str">
        <f t="shared" si="7"/>
        <v/>
      </c>
      <c r="Q646" t="str">
        <f>IF(N646="","",SUMIFS(Issue!$D$3:$D1001,Issue!$C$3:$C1001,N646))</f>
        <v/>
      </c>
      <c r="Y646" t="str">
        <f t="shared" si="8"/>
        <v/>
      </c>
      <c r="Z646" t="str">
        <f>IF(X646="","",SUMIFS(#REF!,RM!$C$4:$C991,X646))</f>
        <v/>
      </c>
      <c r="AA646" t="str">
        <f>IF(X646="","",SUMIFS(#REF!,RM!$C$4:$C991,X646))</f>
        <v/>
      </c>
      <c r="AB646" t="e">
        <f t="shared" si="9"/>
        <v>#VALUE!</v>
      </c>
      <c r="AC646" t="str">
        <f>IF(X646="","",VLOOKUP($X646,RM!$C$4:$G991,3,FALSE))</f>
        <v/>
      </c>
      <c r="AD646" t="str">
        <f>IF(X646="","",VLOOKUP($X646,RM!$C$4:$G991,4,FALSE))</f>
        <v/>
      </c>
      <c r="AE646" t="str">
        <f>IF(X646="","",VLOOKUP($X646,RM!$C$4:$G991,5,FALSE))</f>
        <v/>
      </c>
      <c r="AK646" t="e">
        <f ca="1">_xludf.IFNA(VLOOKUP(AG646,'S-FG'!$B$3:$B1001,1,FALSE),"")</f>
        <v>#NAME?</v>
      </c>
      <c r="AL646" t="str">
        <f>IF(AH646="","",SUMIFS(#REF!,RM!$C$4:$C991,AH646))</f>
        <v/>
      </c>
    </row>
    <row r="647" spans="5:38">
      <c r="E647" t="str">
        <f>IF(A647="","",SUMIFS(Issue!$D$3:$D1001,Issue!$C$3:$C1001,A647)*C647)</f>
        <v/>
      </c>
      <c r="F647" t="e">
        <f ca="1">_xludf.IFNA(VLOOKUP(B647,'S-FG'!$B$3:$B1001,1,FALSE),"")</f>
        <v>#NAME?</v>
      </c>
      <c r="L647" t="str">
        <f t="shared" si="7"/>
        <v/>
      </c>
      <c r="Q647" t="str">
        <f>IF(N647="","",SUMIFS(Issue!$D$3:$D1001,Issue!$C$3:$C1001,N647))</f>
        <v/>
      </c>
      <c r="Y647" t="str">
        <f t="shared" si="8"/>
        <v/>
      </c>
      <c r="Z647" t="str">
        <f>IF(X647="","",SUMIFS(#REF!,RM!$C$4:$C991,X647))</f>
        <v/>
      </c>
      <c r="AA647" t="str">
        <f>IF(X647="","",SUMIFS(#REF!,RM!$C$4:$C991,X647))</f>
        <v/>
      </c>
      <c r="AB647" t="e">
        <f t="shared" si="9"/>
        <v>#VALUE!</v>
      </c>
      <c r="AC647" t="str">
        <f>IF(X647="","",VLOOKUP($X647,RM!$C$4:$G991,3,FALSE))</f>
        <v/>
      </c>
      <c r="AD647" t="str">
        <f>IF(X647="","",VLOOKUP($X647,RM!$C$4:$G991,4,FALSE))</f>
        <v/>
      </c>
      <c r="AE647" t="str">
        <f>IF(X647="","",VLOOKUP($X647,RM!$C$4:$G991,5,FALSE))</f>
        <v/>
      </c>
      <c r="AK647" t="e">
        <f ca="1">_xludf.IFNA(VLOOKUP(AG647,'S-FG'!$B$3:$B1001,1,FALSE),"")</f>
        <v>#NAME?</v>
      </c>
      <c r="AL647" t="str">
        <f>IF(AH647="","",SUMIFS(#REF!,RM!$C$4:$C991,AH647))</f>
        <v/>
      </c>
    </row>
    <row r="648" spans="5:38">
      <c r="E648" t="str">
        <f>IF(A648="","",SUMIFS(Issue!$D$3:$D1001,Issue!$C$3:$C1001,A648)*C648)</f>
        <v/>
      </c>
      <c r="F648" t="e">
        <f ca="1">_xludf.IFNA(VLOOKUP(B648,'S-FG'!$B$3:$B1001,1,FALSE),"")</f>
        <v>#NAME?</v>
      </c>
      <c r="L648" t="str">
        <f t="shared" si="7"/>
        <v/>
      </c>
      <c r="Q648" t="str">
        <f>IF(N648="","",SUMIFS(Issue!$D$3:$D1001,Issue!$C$3:$C1001,N648))</f>
        <v/>
      </c>
      <c r="Y648" t="str">
        <f t="shared" si="8"/>
        <v/>
      </c>
      <c r="Z648" t="str">
        <f>IF(X648="","",SUMIFS(#REF!,RM!$C$4:$C991,X648))</f>
        <v/>
      </c>
      <c r="AA648" t="str">
        <f>IF(X648="","",SUMIFS(#REF!,RM!$C$4:$C991,X648))</f>
        <v/>
      </c>
      <c r="AB648" t="e">
        <f t="shared" si="9"/>
        <v>#VALUE!</v>
      </c>
      <c r="AC648" t="str">
        <f>IF(X648="","",VLOOKUP($X648,RM!$C$4:$G991,3,FALSE))</f>
        <v/>
      </c>
      <c r="AD648" t="str">
        <f>IF(X648="","",VLOOKUP($X648,RM!$C$4:$G991,4,FALSE))</f>
        <v/>
      </c>
      <c r="AE648" t="str">
        <f>IF(X648="","",VLOOKUP($X648,RM!$C$4:$G991,5,FALSE))</f>
        <v/>
      </c>
      <c r="AK648" t="e">
        <f ca="1">_xludf.IFNA(VLOOKUP(AG648,'S-FG'!$B$3:$B1001,1,FALSE),"")</f>
        <v>#NAME?</v>
      </c>
      <c r="AL648" t="str">
        <f>IF(AH648="","",SUMIFS(#REF!,RM!$C$4:$C991,AH648))</f>
        <v/>
      </c>
    </row>
    <row r="649" spans="5:38">
      <c r="E649" t="str">
        <f>IF(A649="","",SUMIFS(Issue!$D$3:$D1001,Issue!$C$3:$C1001,A649)*C649)</f>
        <v/>
      </c>
      <c r="F649" t="e">
        <f ca="1">_xludf.IFNA(VLOOKUP(B649,'S-FG'!$B$3:$B1001,1,FALSE),"")</f>
        <v>#NAME?</v>
      </c>
      <c r="L649" t="str">
        <f t="shared" si="7"/>
        <v/>
      </c>
      <c r="Q649" t="str">
        <f>IF(N649="","",SUMIFS(Issue!$D$3:$D1001,Issue!$C$3:$C1001,N649))</f>
        <v/>
      </c>
      <c r="Y649" t="str">
        <f t="shared" si="8"/>
        <v/>
      </c>
      <c r="Z649" t="str">
        <f>IF(X649="","",SUMIFS(#REF!,RM!$C$4:$C991,X649))</f>
        <v/>
      </c>
      <c r="AA649" t="str">
        <f>IF(X649="","",SUMIFS(#REF!,RM!$C$4:$C991,X649))</f>
        <v/>
      </c>
      <c r="AB649" t="e">
        <f t="shared" si="9"/>
        <v>#VALUE!</v>
      </c>
      <c r="AC649" t="str">
        <f>IF(X649="","",VLOOKUP($X649,RM!$C$4:$G991,3,FALSE))</f>
        <v/>
      </c>
      <c r="AD649" t="str">
        <f>IF(X649="","",VLOOKUP($X649,RM!$C$4:$G991,4,FALSE))</f>
        <v/>
      </c>
      <c r="AE649" t="str">
        <f>IF(X649="","",VLOOKUP($X649,RM!$C$4:$G991,5,FALSE))</f>
        <v/>
      </c>
      <c r="AK649" t="e">
        <f ca="1">_xludf.IFNA(VLOOKUP(AG649,'S-FG'!$B$3:$B1001,1,FALSE),"")</f>
        <v>#NAME?</v>
      </c>
      <c r="AL649" t="str">
        <f>IF(AH649="","",SUMIFS(#REF!,RM!$C$4:$C991,AH649))</f>
        <v/>
      </c>
    </row>
    <row r="650" spans="5:38">
      <c r="E650" t="str">
        <f>IF(A650="","",SUMIFS(Issue!$D$3:$D1001,Issue!$C$3:$C1001,A650)*C650)</f>
        <v/>
      </c>
      <c r="F650" t="e">
        <f ca="1">_xludf.IFNA(VLOOKUP(B650,'S-FG'!$B$3:$B1001,1,FALSE),"")</f>
        <v>#NAME?</v>
      </c>
      <c r="L650" t="str">
        <f t="shared" si="7"/>
        <v/>
      </c>
      <c r="Q650" t="str">
        <f>IF(N650="","",SUMIFS(Issue!$D$3:$D1001,Issue!$C$3:$C1001,N650))</f>
        <v/>
      </c>
      <c r="Y650" t="str">
        <f t="shared" si="8"/>
        <v/>
      </c>
      <c r="Z650" t="str">
        <f>IF(X650="","",SUMIFS(#REF!,RM!$C$4:$C991,X650))</f>
        <v/>
      </c>
      <c r="AA650" t="str">
        <f>IF(X650="","",SUMIFS(#REF!,RM!$C$4:$C991,X650))</f>
        <v/>
      </c>
      <c r="AB650" t="e">
        <f t="shared" si="9"/>
        <v>#VALUE!</v>
      </c>
      <c r="AC650" t="str">
        <f>IF(X650="","",VLOOKUP($X650,RM!$C$4:$G991,3,FALSE))</f>
        <v/>
      </c>
      <c r="AD650" t="str">
        <f>IF(X650="","",VLOOKUP($X650,RM!$C$4:$G991,4,FALSE))</f>
        <v/>
      </c>
      <c r="AE650" t="str">
        <f>IF(X650="","",VLOOKUP($X650,RM!$C$4:$G991,5,FALSE))</f>
        <v/>
      </c>
      <c r="AK650" t="e">
        <f ca="1">_xludf.IFNA(VLOOKUP(AG650,'S-FG'!$B$3:$B1001,1,FALSE),"")</f>
        <v>#NAME?</v>
      </c>
      <c r="AL650" t="str">
        <f>IF(AH650="","",SUMIFS(#REF!,RM!$C$4:$C991,AH650))</f>
        <v/>
      </c>
    </row>
    <row r="651" spans="5:38">
      <c r="E651" t="str">
        <f>IF(A651="","",SUMIFS(Issue!$D$3:$D1001,Issue!$C$3:$C1001,A651)*C651)</f>
        <v/>
      </c>
      <c r="F651" t="e">
        <f ca="1">_xludf.IFNA(VLOOKUP(B651,'S-FG'!$B$3:$B1001,1,FALSE),"")</f>
        <v>#NAME?</v>
      </c>
      <c r="L651" t="str">
        <f t="shared" si="7"/>
        <v/>
      </c>
      <c r="Q651" t="str">
        <f>IF(N651="","",SUMIFS(Issue!$D$3:$D1001,Issue!$C$3:$C1001,N651))</f>
        <v/>
      </c>
      <c r="Y651" t="str">
        <f t="shared" si="8"/>
        <v/>
      </c>
      <c r="Z651" t="str">
        <f>IF(X651="","",SUMIFS(#REF!,RM!$C$4:$C991,X651))</f>
        <v/>
      </c>
      <c r="AA651" t="str">
        <f>IF(X651="","",SUMIFS(#REF!,RM!$C$4:$C991,X651))</f>
        <v/>
      </c>
      <c r="AB651" t="e">
        <f t="shared" si="9"/>
        <v>#VALUE!</v>
      </c>
      <c r="AC651" t="str">
        <f>IF(X651="","",VLOOKUP($X651,RM!$C$4:$G991,3,FALSE))</f>
        <v/>
      </c>
      <c r="AD651" t="str">
        <f>IF(X651="","",VLOOKUP($X651,RM!$C$4:$G991,4,FALSE))</f>
        <v/>
      </c>
      <c r="AE651" t="str">
        <f>IF(X651="","",VLOOKUP($X651,RM!$C$4:$G991,5,FALSE))</f>
        <v/>
      </c>
      <c r="AK651" t="e">
        <f ca="1">_xludf.IFNA(VLOOKUP(AG651,'S-FG'!$B$3:$B1001,1,FALSE),"")</f>
        <v>#NAME?</v>
      </c>
      <c r="AL651" t="str">
        <f>IF(AH651="","",SUMIFS(#REF!,RM!$C$4:$C991,AH651))</f>
        <v/>
      </c>
    </row>
    <row r="652" spans="5:38">
      <c r="E652" t="str">
        <f>IF(A652="","",SUMIFS(Issue!$D$3:$D1001,Issue!$C$3:$C1001,A652)*C652)</f>
        <v/>
      </c>
      <c r="F652" t="e">
        <f ca="1">_xludf.IFNA(VLOOKUP(B652,'S-FG'!$B$3:$B1001,1,FALSE),"")</f>
        <v>#NAME?</v>
      </c>
      <c r="L652" t="str">
        <f t="shared" si="7"/>
        <v/>
      </c>
      <c r="Q652" t="str">
        <f>IF(N652="","",SUMIFS(Issue!$D$3:$D1001,Issue!$C$3:$C1001,N652))</f>
        <v/>
      </c>
      <c r="Y652" t="str">
        <f t="shared" si="8"/>
        <v/>
      </c>
      <c r="Z652" t="str">
        <f>IF(X652="","",SUMIFS(#REF!,RM!$C$4:$C991,X652))</f>
        <v/>
      </c>
      <c r="AA652" t="str">
        <f>IF(X652="","",SUMIFS(#REF!,RM!$C$4:$C991,X652))</f>
        <v/>
      </c>
      <c r="AB652" t="e">
        <f t="shared" si="9"/>
        <v>#VALUE!</v>
      </c>
      <c r="AC652" t="str">
        <f>IF(X652="","",VLOOKUP($X652,RM!$C$4:$G991,3,FALSE))</f>
        <v/>
      </c>
      <c r="AD652" t="str">
        <f>IF(X652="","",VLOOKUP($X652,RM!$C$4:$G991,4,FALSE))</f>
        <v/>
      </c>
      <c r="AE652" t="str">
        <f>IF(X652="","",VLOOKUP($X652,RM!$C$4:$G991,5,FALSE))</f>
        <v/>
      </c>
      <c r="AK652" t="e">
        <f ca="1">_xludf.IFNA(VLOOKUP(AG652,'S-FG'!$B$3:$B1001,1,FALSE),"")</f>
        <v>#NAME?</v>
      </c>
      <c r="AL652" t="str">
        <f>IF(AH652="","",SUMIFS(#REF!,RM!$C$4:$C991,AH652))</f>
        <v/>
      </c>
    </row>
    <row r="653" spans="5:38">
      <c r="E653" t="str">
        <f>IF(A653="","",SUMIFS(Issue!$D$3:$D1001,Issue!$C$3:$C1001,A653)*C653)</f>
        <v/>
      </c>
      <c r="F653" t="e">
        <f ca="1">_xludf.IFNA(VLOOKUP(B653,'S-FG'!$B$3:$B1001,1,FALSE),"")</f>
        <v>#NAME?</v>
      </c>
      <c r="L653" t="str">
        <f t="shared" si="7"/>
        <v/>
      </c>
      <c r="Q653" t="str">
        <f>IF(N653="","",SUMIFS(Issue!$D$3:$D1001,Issue!$C$3:$C1001,N653))</f>
        <v/>
      </c>
      <c r="Y653" t="str">
        <f t="shared" si="8"/>
        <v/>
      </c>
      <c r="Z653" t="str">
        <f>IF(X653="","",SUMIFS(#REF!,RM!$C$4:$C991,X653))</f>
        <v/>
      </c>
      <c r="AA653" t="str">
        <f>IF(X653="","",SUMIFS(#REF!,RM!$C$4:$C991,X653))</f>
        <v/>
      </c>
      <c r="AB653" t="e">
        <f t="shared" si="9"/>
        <v>#VALUE!</v>
      </c>
      <c r="AC653" t="str">
        <f>IF(X653="","",VLOOKUP($X653,RM!$C$4:$G991,3,FALSE))</f>
        <v/>
      </c>
      <c r="AD653" t="str">
        <f>IF(X653="","",VLOOKUP($X653,RM!$C$4:$G991,4,FALSE))</f>
        <v/>
      </c>
      <c r="AE653" t="str">
        <f>IF(X653="","",VLOOKUP($X653,RM!$C$4:$G991,5,FALSE))</f>
        <v/>
      </c>
      <c r="AK653" t="e">
        <f ca="1">_xludf.IFNA(VLOOKUP(AG653,'S-FG'!$B$3:$B1001,1,FALSE),"")</f>
        <v>#NAME?</v>
      </c>
      <c r="AL653" t="str">
        <f>IF(AH653="","",SUMIFS(#REF!,RM!$C$4:$C991,AH653))</f>
        <v/>
      </c>
    </row>
    <row r="654" spans="5:38">
      <c r="E654" t="str">
        <f>IF(A654="","",SUMIFS(Issue!$D$3:$D1001,Issue!$C$3:$C1001,A654)*C654)</f>
        <v/>
      </c>
      <c r="F654" t="e">
        <f ca="1">_xludf.IFNA(VLOOKUP(B654,'S-FG'!$B$3:$B1001,1,FALSE),"")</f>
        <v>#NAME?</v>
      </c>
      <c r="L654" t="str">
        <f t="shared" si="7"/>
        <v/>
      </c>
      <c r="Q654" t="str">
        <f>IF(N654="","",SUMIFS(Issue!$D$3:$D1001,Issue!$C$3:$C1001,N654))</f>
        <v/>
      </c>
      <c r="Y654" t="str">
        <f t="shared" si="8"/>
        <v/>
      </c>
      <c r="Z654" t="str">
        <f>IF(X654="","",SUMIFS(#REF!,RM!$C$4:$C991,X654))</f>
        <v/>
      </c>
      <c r="AA654" t="str">
        <f>IF(X654="","",SUMIFS(#REF!,RM!$C$4:$C991,X654))</f>
        <v/>
      </c>
      <c r="AB654" t="e">
        <f t="shared" si="9"/>
        <v>#VALUE!</v>
      </c>
      <c r="AC654" t="str">
        <f>IF(X654="","",VLOOKUP($X654,RM!$C$4:$G991,3,FALSE))</f>
        <v/>
      </c>
      <c r="AD654" t="str">
        <f>IF(X654="","",VLOOKUP($X654,RM!$C$4:$G991,4,FALSE))</f>
        <v/>
      </c>
      <c r="AE654" t="str">
        <f>IF(X654="","",VLOOKUP($X654,RM!$C$4:$G991,5,FALSE))</f>
        <v/>
      </c>
      <c r="AK654" t="e">
        <f ca="1">_xludf.IFNA(VLOOKUP(AG654,'S-FG'!$B$3:$B1001,1,FALSE),"")</f>
        <v>#NAME?</v>
      </c>
      <c r="AL654" t="str">
        <f>IF(AH654="","",SUMIFS(#REF!,RM!$C$4:$C991,AH654))</f>
        <v/>
      </c>
    </row>
    <row r="655" spans="5:38">
      <c r="E655" t="str">
        <f>IF(A655="","",SUMIFS(Issue!$D$3:$D1001,Issue!$C$3:$C1001,A655)*C655)</f>
        <v/>
      </c>
      <c r="F655" t="e">
        <f ca="1">_xludf.IFNA(VLOOKUP(B655,'S-FG'!$B$3:$B1001,1,FALSE),"")</f>
        <v>#NAME?</v>
      </c>
      <c r="L655" t="str">
        <f t="shared" si="7"/>
        <v/>
      </c>
      <c r="Q655" t="str">
        <f>IF(N655="","",SUMIFS(Issue!$D$3:$D1001,Issue!$C$3:$C1001,N655))</f>
        <v/>
      </c>
      <c r="Y655" t="str">
        <f t="shared" si="8"/>
        <v/>
      </c>
      <c r="Z655" t="str">
        <f>IF(X655="","",SUMIFS(#REF!,RM!$C$4:$C991,X655))</f>
        <v/>
      </c>
      <c r="AA655" t="str">
        <f>IF(X655="","",SUMIFS(#REF!,RM!$C$4:$C991,X655))</f>
        <v/>
      </c>
      <c r="AB655" t="e">
        <f t="shared" si="9"/>
        <v>#VALUE!</v>
      </c>
      <c r="AC655" t="str">
        <f>IF(X655="","",VLOOKUP($X655,RM!$C$4:$G991,3,FALSE))</f>
        <v/>
      </c>
      <c r="AD655" t="str">
        <f>IF(X655="","",VLOOKUP($X655,RM!$C$4:$G991,4,FALSE))</f>
        <v/>
      </c>
      <c r="AE655" t="str">
        <f>IF(X655="","",VLOOKUP($X655,RM!$C$4:$G991,5,FALSE))</f>
        <v/>
      </c>
      <c r="AK655" t="e">
        <f ca="1">_xludf.IFNA(VLOOKUP(AG655,'S-FG'!$B$3:$B1001,1,FALSE),"")</f>
        <v>#NAME?</v>
      </c>
      <c r="AL655" t="str">
        <f>IF(AH655="","",SUMIFS(#REF!,RM!$C$4:$C991,AH655))</f>
        <v/>
      </c>
    </row>
    <row r="656" spans="5:38">
      <c r="E656" t="str">
        <f>IF(A656="","",SUMIFS(Issue!$D$3:$D1001,Issue!$C$3:$C1001,A656)*C656)</f>
        <v/>
      </c>
      <c r="F656" t="e">
        <f ca="1">_xludf.IFNA(VLOOKUP(B656,'S-FG'!$B$3:$B1001,1,FALSE),"")</f>
        <v>#NAME?</v>
      </c>
      <c r="L656" t="str">
        <f t="shared" si="7"/>
        <v/>
      </c>
      <c r="Q656" t="str">
        <f>IF(N656="","",SUMIFS(Issue!$D$3:$D1001,Issue!$C$3:$C1001,N656))</f>
        <v/>
      </c>
      <c r="Y656" t="str">
        <f t="shared" si="8"/>
        <v/>
      </c>
      <c r="Z656" t="str">
        <f>IF(X656="","",SUMIFS(#REF!,RM!$C$4:$C991,X656))</f>
        <v/>
      </c>
      <c r="AA656" t="str">
        <f>IF(X656="","",SUMIFS(#REF!,RM!$C$4:$C991,X656))</f>
        <v/>
      </c>
      <c r="AB656" t="e">
        <f t="shared" si="9"/>
        <v>#VALUE!</v>
      </c>
      <c r="AC656" t="str">
        <f>IF(X656="","",VLOOKUP($X656,RM!$C$4:$G991,3,FALSE))</f>
        <v/>
      </c>
      <c r="AD656" t="str">
        <f>IF(X656="","",VLOOKUP($X656,RM!$C$4:$G991,4,FALSE))</f>
        <v/>
      </c>
      <c r="AE656" t="str">
        <f>IF(X656="","",VLOOKUP($X656,RM!$C$4:$G991,5,FALSE))</f>
        <v/>
      </c>
      <c r="AK656" t="e">
        <f ca="1">_xludf.IFNA(VLOOKUP(AG656,'S-FG'!$B$3:$B1001,1,FALSE),"")</f>
        <v>#NAME?</v>
      </c>
      <c r="AL656" t="str">
        <f>IF(AH656="","",SUMIFS(#REF!,RM!$C$4:$C991,AH656))</f>
        <v/>
      </c>
    </row>
    <row r="657" spans="5:38">
      <c r="E657" t="str">
        <f>IF(A657="","",SUMIFS(Issue!$D$3:$D1001,Issue!$C$3:$C1001,A657)*C657)</f>
        <v/>
      </c>
      <c r="F657" t="e">
        <f ca="1">_xludf.IFNA(VLOOKUP(B657,'S-FG'!$B$3:$B1001,1,FALSE),"")</f>
        <v>#NAME?</v>
      </c>
      <c r="L657" t="str">
        <f t="shared" si="7"/>
        <v/>
      </c>
      <c r="Q657" t="str">
        <f>IF(N657="","",SUMIFS(Issue!$D$3:$D1001,Issue!$C$3:$C1001,N657))</f>
        <v/>
      </c>
      <c r="Y657" t="str">
        <f t="shared" si="8"/>
        <v/>
      </c>
      <c r="Z657" t="str">
        <f>IF(X657="","",SUMIFS(#REF!,RM!$C$4:$C991,X657))</f>
        <v/>
      </c>
      <c r="AA657" t="str">
        <f>IF(X657="","",SUMIFS(#REF!,RM!$C$4:$C991,X657))</f>
        <v/>
      </c>
      <c r="AB657" t="e">
        <f t="shared" si="9"/>
        <v>#VALUE!</v>
      </c>
      <c r="AC657" t="str">
        <f>IF(X657="","",VLOOKUP($X657,RM!$C$4:$G991,3,FALSE))</f>
        <v/>
      </c>
      <c r="AD657" t="str">
        <f>IF(X657="","",VLOOKUP($X657,RM!$C$4:$G991,4,FALSE))</f>
        <v/>
      </c>
      <c r="AE657" t="str">
        <f>IF(X657="","",VLOOKUP($X657,RM!$C$4:$G991,5,FALSE))</f>
        <v/>
      </c>
      <c r="AK657" t="e">
        <f ca="1">_xludf.IFNA(VLOOKUP(AG657,'S-FG'!$B$3:$B1001,1,FALSE),"")</f>
        <v>#NAME?</v>
      </c>
      <c r="AL657" t="str">
        <f>IF(AH657="","",SUMIFS(#REF!,RM!$C$4:$C991,AH657))</f>
        <v/>
      </c>
    </row>
    <row r="658" spans="5:38">
      <c r="E658" t="str">
        <f>IF(A658="","",SUMIFS(Issue!$D$3:$D1001,Issue!$C$3:$C1001,A658)*C658)</f>
        <v/>
      </c>
      <c r="F658" t="e">
        <f ca="1">_xludf.IFNA(VLOOKUP(B658,'S-FG'!$B$3:$B1001,1,FALSE),"")</f>
        <v>#NAME?</v>
      </c>
      <c r="L658" t="str">
        <f t="shared" si="7"/>
        <v/>
      </c>
      <c r="Q658" t="str">
        <f>IF(N658="","",SUMIFS(Issue!$D$3:$D1001,Issue!$C$3:$C1001,N658))</f>
        <v/>
      </c>
      <c r="Y658" t="str">
        <f t="shared" si="8"/>
        <v/>
      </c>
      <c r="Z658" t="str">
        <f>IF(X658="","",SUMIFS(#REF!,RM!$C$4:$C991,X658))</f>
        <v/>
      </c>
      <c r="AA658" t="str">
        <f>IF(X658="","",SUMIFS(#REF!,RM!$C$4:$C991,X658))</f>
        <v/>
      </c>
      <c r="AB658" t="e">
        <f t="shared" si="9"/>
        <v>#VALUE!</v>
      </c>
      <c r="AC658" t="str">
        <f>IF(X658="","",VLOOKUP($X658,RM!$C$4:$G991,3,FALSE))</f>
        <v/>
      </c>
      <c r="AD658" t="str">
        <f>IF(X658="","",VLOOKUP($X658,RM!$C$4:$G991,4,FALSE))</f>
        <v/>
      </c>
      <c r="AE658" t="str">
        <f>IF(X658="","",VLOOKUP($X658,RM!$C$4:$G991,5,FALSE))</f>
        <v/>
      </c>
      <c r="AK658" t="e">
        <f ca="1">_xludf.IFNA(VLOOKUP(AG658,'S-FG'!$B$3:$B1001,1,FALSE),"")</f>
        <v>#NAME?</v>
      </c>
      <c r="AL658" t="str">
        <f>IF(AH658="","",SUMIFS(#REF!,RM!$C$4:$C991,AH658))</f>
        <v/>
      </c>
    </row>
    <row r="659" spans="5:38">
      <c r="E659" t="str">
        <f>IF(A659="","",SUMIFS(Issue!$D$3:$D1001,Issue!$C$3:$C1001,A659)*C659)</f>
        <v/>
      </c>
      <c r="F659" t="e">
        <f ca="1">_xludf.IFNA(VLOOKUP(B659,'S-FG'!$B$3:$B1001,1,FALSE),"")</f>
        <v>#NAME?</v>
      </c>
      <c r="L659" t="str">
        <f t="shared" si="7"/>
        <v/>
      </c>
      <c r="Q659" t="str">
        <f>IF(N659="","",SUMIFS(Issue!$D$3:$D1001,Issue!$C$3:$C1001,N659))</f>
        <v/>
      </c>
      <c r="Y659" t="str">
        <f t="shared" si="8"/>
        <v/>
      </c>
      <c r="Z659" t="str">
        <f>IF(X659="","",SUMIFS(#REF!,RM!$C$4:$C991,X659))</f>
        <v/>
      </c>
      <c r="AA659" t="str">
        <f>IF(X659="","",SUMIFS(#REF!,RM!$C$4:$C991,X659))</f>
        <v/>
      </c>
      <c r="AB659" t="e">
        <f t="shared" si="9"/>
        <v>#VALUE!</v>
      </c>
      <c r="AC659" t="str">
        <f>IF(X659="","",VLOOKUP($X659,RM!$C$4:$G991,3,FALSE))</f>
        <v/>
      </c>
      <c r="AD659" t="str">
        <f>IF(X659="","",VLOOKUP($X659,RM!$C$4:$G991,4,FALSE))</f>
        <v/>
      </c>
      <c r="AE659" t="str">
        <f>IF(X659="","",VLOOKUP($X659,RM!$C$4:$G991,5,FALSE))</f>
        <v/>
      </c>
      <c r="AK659" t="e">
        <f ca="1">_xludf.IFNA(VLOOKUP(AG659,'S-FG'!$B$3:$B1001,1,FALSE),"")</f>
        <v>#NAME?</v>
      </c>
      <c r="AL659" t="str">
        <f>IF(AH659="","",SUMIFS(#REF!,RM!$C$4:$C991,AH659))</f>
        <v/>
      </c>
    </row>
    <row r="660" spans="5:38">
      <c r="E660" t="str">
        <f>IF(A660="","",SUMIFS(Issue!$D$3:$D1001,Issue!$C$3:$C1001,A660)*C660)</f>
        <v/>
      </c>
      <c r="F660" t="e">
        <f ca="1">_xludf.IFNA(VLOOKUP(B660,'S-FG'!$B$3:$B1001,1,FALSE),"")</f>
        <v>#NAME?</v>
      </c>
      <c r="L660" t="str">
        <f t="shared" si="7"/>
        <v/>
      </c>
      <c r="Q660" t="str">
        <f>IF(N660="","",SUMIFS(Issue!$D$3:$D1001,Issue!$C$3:$C1001,N660))</f>
        <v/>
      </c>
      <c r="Y660" t="str">
        <f t="shared" si="8"/>
        <v/>
      </c>
      <c r="Z660" t="str">
        <f>IF(X660="","",SUMIFS(#REF!,RM!$C$4:$C991,X660))</f>
        <v/>
      </c>
      <c r="AA660" t="str">
        <f>IF(X660="","",SUMIFS(#REF!,RM!$C$4:$C991,X660))</f>
        <v/>
      </c>
      <c r="AB660" t="e">
        <f t="shared" si="9"/>
        <v>#VALUE!</v>
      </c>
      <c r="AC660" t="str">
        <f>IF(X660="","",VLOOKUP($X660,RM!$C$4:$G991,3,FALSE))</f>
        <v/>
      </c>
      <c r="AD660" t="str">
        <f>IF(X660="","",VLOOKUP($X660,RM!$C$4:$G991,4,FALSE))</f>
        <v/>
      </c>
      <c r="AE660" t="str">
        <f>IF(X660="","",VLOOKUP($X660,RM!$C$4:$G991,5,FALSE))</f>
        <v/>
      </c>
      <c r="AK660" t="e">
        <f ca="1">_xludf.IFNA(VLOOKUP(AG660,'S-FG'!$B$3:$B1001,1,FALSE),"")</f>
        <v>#NAME?</v>
      </c>
      <c r="AL660" t="str">
        <f>IF(AH660="","",SUMIFS(#REF!,RM!$C$4:$C991,AH660))</f>
        <v/>
      </c>
    </row>
    <row r="661" spans="5:38">
      <c r="E661" t="str">
        <f>IF(A661="","",SUMIFS(Issue!$D$3:$D1001,Issue!$C$3:$C1001,A661)*C661)</f>
        <v/>
      </c>
      <c r="F661" t="e">
        <f ca="1">_xludf.IFNA(VLOOKUP(B661,'S-FG'!$B$3:$B1001,1,FALSE),"")</f>
        <v>#NAME?</v>
      </c>
      <c r="L661" t="str">
        <f t="shared" si="7"/>
        <v/>
      </c>
      <c r="Q661" t="str">
        <f>IF(N661="","",SUMIFS(Issue!$D$3:$D1001,Issue!$C$3:$C1001,N661))</f>
        <v/>
      </c>
      <c r="Y661" t="str">
        <f t="shared" si="8"/>
        <v/>
      </c>
      <c r="Z661" t="str">
        <f>IF(X661="","",SUMIFS(#REF!,RM!$C$4:$C991,X661))</f>
        <v/>
      </c>
      <c r="AA661" t="str">
        <f>IF(X661="","",SUMIFS(#REF!,RM!$C$4:$C991,X661))</f>
        <v/>
      </c>
      <c r="AB661" t="e">
        <f t="shared" si="9"/>
        <v>#VALUE!</v>
      </c>
      <c r="AC661" t="str">
        <f>IF(X661="","",VLOOKUP($X661,RM!$C$4:$G991,3,FALSE))</f>
        <v/>
      </c>
      <c r="AD661" t="str">
        <f>IF(X661="","",VLOOKUP($X661,RM!$C$4:$G991,4,FALSE))</f>
        <v/>
      </c>
      <c r="AE661" t="str">
        <f>IF(X661="","",VLOOKUP($X661,RM!$C$4:$G991,5,FALSE))</f>
        <v/>
      </c>
      <c r="AK661" t="e">
        <f ca="1">_xludf.IFNA(VLOOKUP(AG661,'S-FG'!$B$3:$B1001,1,FALSE),"")</f>
        <v>#NAME?</v>
      </c>
      <c r="AL661" t="str">
        <f>IF(AH661="","",SUMIFS(#REF!,RM!$C$4:$C991,AH661))</f>
        <v/>
      </c>
    </row>
    <row r="662" spans="5:38">
      <c r="E662" t="str">
        <f>IF(A662="","",SUMIFS(Issue!$D$3:$D1001,Issue!$C$3:$C1001,A662)*C662)</f>
        <v/>
      </c>
      <c r="F662" t="e">
        <f ca="1">_xludf.IFNA(VLOOKUP(B662,'S-FG'!$B$3:$B1001,1,FALSE),"")</f>
        <v>#NAME?</v>
      </c>
      <c r="L662" t="str">
        <f t="shared" si="7"/>
        <v/>
      </c>
      <c r="Q662" t="str">
        <f>IF(N662="","",SUMIFS(Issue!$D$3:$D1001,Issue!$C$3:$C1001,N662))</f>
        <v/>
      </c>
      <c r="Y662" t="str">
        <f t="shared" si="8"/>
        <v/>
      </c>
      <c r="Z662" t="str">
        <f>IF(X662="","",SUMIFS(#REF!,RM!$C$4:$C991,X662))</f>
        <v/>
      </c>
      <c r="AA662" t="str">
        <f>IF(X662="","",SUMIFS(#REF!,RM!$C$4:$C991,X662))</f>
        <v/>
      </c>
      <c r="AB662" t="e">
        <f t="shared" si="9"/>
        <v>#VALUE!</v>
      </c>
      <c r="AC662" t="str">
        <f>IF(X662="","",VLOOKUP($X662,RM!$C$4:$G991,3,FALSE))</f>
        <v/>
      </c>
      <c r="AD662" t="str">
        <f>IF(X662="","",VLOOKUP($X662,RM!$C$4:$G991,4,FALSE))</f>
        <v/>
      </c>
      <c r="AE662" t="str">
        <f>IF(X662="","",VLOOKUP($X662,RM!$C$4:$G991,5,FALSE))</f>
        <v/>
      </c>
      <c r="AK662" t="e">
        <f ca="1">_xludf.IFNA(VLOOKUP(AG662,'S-FG'!$B$3:$B1001,1,FALSE),"")</f>
        <v>#NAME?</v>
      </c>
      <c r="AL662" t="str">
        <f>IF(AH662="","",SUMIFS(#REF!,RM!$C$4:$C991,AH662))</f>
        <v/>
      </c>
    </row>
    <row r="663" spans="5:38">
      <c r="E663" t="str">
        <f>IF(A663="","",SUMIFS(Issue!$D$3:$D1001,Issue!$C$3:$C1001,A663)*C663)</f>
        <v/>
      </c>
      <c r="F663" t="e">
        <f ca="1">_xludf.IFNA(VLOOKUP(B663,'S-FG'!$B$3:$B1001,1,FALSE),"")</f>
        <v>#NAME?</v>
      </c>
      <c r="L663" t="str">
        <f t="shared" si="7"/>
        <v/>
      </c>
      <c r="Q663" t="str">
        <f>IF(N663="","",SUMIFS(Issue!$D$3:$D1001,Issue!$C$3:$C1001,N663))</f>
        <v/>
      </c>
      <c r="Y663" t="str">
        <f t="shared" si="8"/>
        <v/>
      </c>
      <c r="Z663" t="str">
        <f>IF(X663="","",SUMIFS(#REF!,RM!$C$4:$C991,X663))</f>
        <v/>
      </c>
      <c r="AA663" t="str">
        <f>IF(X663="","",SUMIFS(#REF!,RM!$C$4:$C991,X663))</f>
        <v/>
      </c>
      <c r="AB663" t="e">
        <f t="shared" si="9"/>
        <v>#VALUE!</v>
      </c>
      <c r="AC663" t="str">
        <f>IF(X663="","",VLOOKUP($X663,RM!$C$4:$G991,3,FALSE))</f>
        <v/>
      </c>
      <c r="AD663" t="str">
        <f>IF(X663="","",VLOOKUP($X663,RM!$C$4:$G991,4,FALSE))</f>
        <v/>
      </c>
      <c r="AE663" t="str">
        <f>IF(X663="","",VLOOKUP($X663,RM!$C$4:$G991,5,FALSE))</f>
        <v/>
      </c>
      <c r="AK663" t="e">
        <f ca="1">_xludf.IFNA(VLOOKUP(AG663,'S-FG'!$B$3:$B1001,1,FALSE),"")</f>
        <v>#NAME?</v>
      </c>
      <c r="AL663" t="str">
        <f>IF(AH663="","",SUMIFS(#REF!,RM!$C$4:$C991,AH663))</f>
        <v/>
      </c>
    </row>
    <row r="664" spans="5:38">
      <c r="E664" t="str">
        <f>IF(A664="","",SUMIFS(Issue!$D$3:$D1001,Issue!$C$3:$C1001,A664)*C664)</f>
        <v/>
      </c>
      <c r="F664" t="e">
        <f ca="1">_xludf.IFNA(VLOOKUP(B664,'S-FG'!$B$3:$B1001,1,FALSE),"")</f>
        <v>#NAME?</v>
      </c>
      <c r="L664" t="str">
        <f t="shared" si="7"/>
        <v/>
      </c>
      <c r="Q664" t="str">
        <f>IF(N664="","",SUMIFS(Issue!$D$3:$D1001,Issue!$C$3:$C1001,N664))</f>
        <v/>
      </c>
      <c r="Y664" t="str">
        <f t="shared" si="8"/>
        <v/>
      </c>
      <c r="Z664" t="str">
        <f>IF(X664="","",SUMIFS(#REF!,RM!$C$4:$C991,X664))</f>
        <v/>
      </c>
      <c r="AA664" t="str">
        <f>IF(X664="","",SUMIFS(#REF!,RM!$C$4:$C991,X664))</f>
        <v/>
      </c>
      <c r="AB664" t="e">
        <f t="shared" si="9"/>
        <v>#VALUE!</v>
      </c>
      <c r="AC664" t="str">
        <f>IF(X664="","",VLOOKUP($X664,RM!$C$4:$G991,3,FALSE))</f>
        <v/>
      </c>
      <c r="AD664" t="str">
        <f>IF(X664="","",VLOOKUP($X664,RM!$C$4:$G991,4,FALSE))</f>
        <v/>
      </c>
      <c r="AE664" t="str">
        <f>IF(X664="","",VLOOKUP($X664,RM!$C$4:$G991,5,FALSE))</f>
        <v/>
      </c>
      <c r="AK664" t="e">
        <f ca="1">_xludf.IFNA(VLOOKUP(AG664,'S-FG'!$B$3:$B1001,1,FALSE),"")</f>
        <v>#NAME?</v>
      </c>
      <c r="AL664" t="str">
        <f>IF(AH664="","",SUMIFS(#REF!,RM!$C$4:$C991,AH664))</f>
        <v/>
      </c>
    </row>
    <row r="665" spans="5:38">
      <c r="E665" t="str">
        <f>IF(A665="","",SUMIFS(Issue!$D$3:$D1001,Issue!$C$3:$C1001,A665)*C665)</f>
        <v/>
      </c>
      <c r="F665" t="e">
        <f ca="1">_xludf.IFNA(VLOOKUP(B665,'S-FG'!$B$3:$B1001,1,FALSE),"")</f>
        <v>#NAME?</v>
      </c>
      <c r="L665" t="str">
        <f t="shared" si="7"/>
        <v/>
      </c>
      <c r="Q665" t="str">
        <f>IF(N665="","",SUMIFS(Issue!$D$3:$D1001,Issue!$C$3:$C1001,N665))</f>
        <v/>
      </c>
      <c r="Y665" t="str">
        <f t="shared" si="8"/>
        <v/>
      </c>
      <c r="Z665" t="str">
        <f>IF(X665="","",SUMIFS(#REF!,RM!$C$4:$C991,X665))</f>
        <v/>
      </c>
      <c r="AA665" t="str">
        <f>IF(X665="","",SUMIFS(#REF!,RM!$C$4:$C991,X665))</f>
        <v/>
      </c>
      <c r="AB665" t="e">
        <f t="shared" si="9"/>
        <v>#VALUE!</v>
      </c>
      <c r="AC665" t="str">
        <f>IF(X665="","",VLOOKUP($X665,RM!$C$4:$G991,3,FALSE))</f>
        <v/>
      </c>
      <c r="AD665" t="str">
        <f>IF(X665="","",VLOOKUP($X665,RM!$C$4:$G991,4,FALSE))</f>
        <v/>
      </c>
      <c r="AE665" t="str">
        <f>IF(X665="","",VLOOKUP($X665,RM!$C$4:$G991,5,FALSE))</f>
        <v/>
      </c>
      <c r="AK665" t="e">
        <f ca="1">_xludf.IFNA(VLOOKUP(AG665,'S-FG'!$B$3:$B1001,1,FALSE),"")</f>
        <v>#NAME?</v>
      </c>
      <c r="AL665" t="str">
        <f>IF(AH665="","",SUMIFS(#REF!,RM!$C$4:$C991,AH665))</f>
        <v/>
      </c>
    </row>
    <row r="666" spans="5:38">
      <c r="E666" t="str">
        <f>IF(A666="","",SUMIFS(Issue!$D$3:$D1001,Issue!$C$3:$C1001,A666)*C666)</f>
        <v/>
      </c>
      <c r="F666" t="e">
        <f ca="1">_xludf.IFNA(VLOOKUP(B666,'S-FG'!$B$3:$B1001,1,FALSE),"")</f>
        <v>#NAME?</v>
      </c>
      <c r="L666" t="str">
        <f t="shared" si="7"/>
        <v/>
      </c>
      <c r="Q666" t="str">
        <f>IF(N666="","",SUMIFS(Issue!$D$3:$D1001,Issue!$C$3:$C1001,N666))</f>
        <v/>
      </c>
      <c r="Y666" t="str">
        <f t="shared" si="8"/>
        <v/>
      </c>
      <c r="Z666" t="str">
        <f>IF(X666="","",SUMIFS(#REF!,RM!$C$4:$C991,X666))</f>
        <v/>
      </c>
      <c r="AA666" t="str">
        <f>IF(X666="","",SUMIFS(#REF!,RM!$C$4:$C991,X666))</f>
        <v/>
      </c>
      <c r="AB666" t="e">
        <f t="shared" si="9"/>
        <v>#VALUE!</v>
      </c>
      <c r="AC666" t="str">
        <f>IF(X666="","",VLOOKUP($X666,RM!$C$4:$G991,3,FALSE))</f>
        <v/>
      </c>
      <c r="AD666" t="str">
        <f>IF(X666="","",VLOOKUP($X666,RM!$C$4:$G991,4,FALSE))</f>
        <v/>
      </c>
      <c r="AE666" t="str">
        <f>IF(X666="","",VLOOKUP($X666,RM!$C$4:$G991,5,FALSE))</f>
        <v/>
      </c>
      <c r="AK666" t="e">
        <f ca="1">_xludf.IFNA(VLOOKUP(AG666,'S-FG'!$B$3:$B1001,1,FALSE),"")</f>
        <v>#NAME?</v>
      </c>
      <c r="AL666" t="str">
        <f>IF(AH666="","",SUMIFS(#REF!,RM!$C$4:$C991,AH666))</f>
        <v/>
      </c>
    </row>
    <row r="667" spans="5:38">
      <c r="E667" t="str">
        <f>IF(A667="","",SUMIFS(Issue!$D$3:$D1001,Issue!$C$3:$C1001,A667)*C667)</f>
        <v/>
      </c>
      <c r="F667" t="e">
        <f ca="1">_xludf.IFNA(VLOOKUP(B667,'S-FG'!$B$3:$B1001,1,FALSE),"")</f>
        <v>#NAME?</v>
      </c>
      <c r="L667" t="str">
        <f t="shared" si="7"/>
        <v/>
      </c>
      <c r="Q667" t="str">
        <f>IF(N667="","",SUMIFS(Issue!$D$3:$D1001,Issue!$C$3:$C1001,N667))</f>
        <v/>
      </c>
      <c r="Y667" t="str">
        <f t="shared" si="8"/>
        <v/>
      </c>
      <c r="Z667" t="str">
        <f>IF(X667="","",SUMIFS(#REF!,RM!$C$4:$C991,X667))</f>
        <v/>
      </c>
      <c r="AA667" t="str">
        <f>IF(X667="","",SUMIFS(#REF!,RM!$C$4:$C991,X667))</f>
        <v/>
      </c>
      <c r="AB667" t="e">
        <f t="shared" si="9"/>
        <v>#VALUE!</v>
      </c>
      <c r="AC667" t="str">
        <f>IF(X667="","",VLOOKUP($X667,RM!$C$4:$G991,3,FALSE))</f>
        <v/>
      </c>
      <c r="AD667" t="str">
        <f>IF(X667="","",VLOOKUP($X667,RM!$C$4:$G991,4,FALSE))</f>
        <v/>
      </c>
      <c r="AE667" t="str">
        <f>IF(X667="","",VLOOKUP($X667,RM!$C$4:$G991,5,FALSE))</f>
        <v/>
      </c>
      <c r="AK667" t="e">
        <f ca="1">_xludf.IFNA(VLOOKUP(AG667,'S-FG'!$B$3:$B1001,1,FALSE),"")</f>
        <v>#NAME?</v>
      </c>
      <c r="AL667" t="str">
        <f>IF(AH667="","",SUMIFS(#REF!,RM!$C$4:$C991,AH667))</f>
        <v/>
      </c>
    </row>
    <row r="668" spans="5:38">
      <c r="E668" t="str">
        <f>IF(A668="","",SUMIFS(Issue!$D$3:$D1001,Issue!$C$3:$C1001,A668)*C668)</f>
        <v/>
      </c>
      <c r="F668" t="e">
        <f ca="1">_xludf.IFNA(VLOOKUP(B668,'S-FG'!$B$3:$B1001,1,FALSE),"")</f>
        <v>#NAME?</v>
      </c>
      <c r="L668" t="str">
        <f t="shared" si="7"/>
        <v/>
      </c>
      <c r="Q668" t="str">
        <f>IF(N668="","",SUMIFS(Issue!$D$3:$D1001,Issue!$C$3:$C1001,N668))</f>
        <v/>
      </c>
      <c r="Y668" t="str">
        <f t="shared" si="8"/>
        <v/>
      </c>
      <c r="Z668" t="str">
        <f>IF(X668="","",SUMIFS(#REF!,RM!$C$4:$C991,X668))</f>
        <v/>
      </c>
      <c r="AA668" t="str">
        <f>IF(X668="","",SUMIFS(#REF!,RM!$C$4:$C991,X668))</f>
        <v/>
      </c>
      <c r="AB668" t="e">
        <f t="shared" si="9"/>
        <v>#VALUE!</v>
      </c>
      <c r="AC668" t="str">
        <f>IF(X668="","",VLOOKUP($X668,RM!$C$4:$G991,3,FALSE))</f>
        <v/>
      </c>
      <c r="AD668" t="str">
        <f>IF(X668="","",VLOOKUP($X668,RM!$C$4:$G991,4,FALSE))</f>
        <v/>
      </c>
      <c r="AE668" t="str">
        <f>IF(X668="","",VLOOKUP($X668,RM!$C$4:$G991,5,FALSE))</f>
        <v/>
      </c>
      <c r="AK668" t="e">
        <f ca="1">_xludf.IFNA(VLOOKUP(AG668,'S-FG'!$B$3:$B1001,1,FALSE),"")</f>
        <v>#NAME?</v>
      </c>
      <c r="AL668" t="str">
        <f>IF(AH668="","",SUMIFS(#REF!,RM!$C$4:$C991,AH668))</f>
        <v/>
      </c>
    </row>
    <row r="669" spans="5:38">
      <c r="E669" t="str">
        <f>IF(A669="","",SUMIFS(Issue!$D$3:$D1001,Issue!$C$3:$C1001,A669)*C669)</f>
        <v/>
      </c>
      <c r="F669" t="e">
        <f ca="1">_xludf.IFNA(VLOOKUP(B669,'S-FG'!$B$3:$B1001,1,FALSE),"")</f>
        <v>#NAME?</v>
      </c>
      <c r="L669" t="str">
        <f t="shared" si="7"/>
        <v/>
      </c>
      <c r="Q669" t="str">
        <f>IF(N669="","",SUMIFS(Issue!$D$3:$D1001,Issue!$C$3:$C1001,N669))</f>
        <v/>
      </c>
      <c r="Y669" t="str">
        <f t="shared" si="8"/>
        <v/>
      </c>
      <c r="Z669" t="str">
        <f>IF(X669="","",SUMIFS(#REF!,RM!$C$4:$C991,X669))</f>
        <v/>
      </c>
      <c r="AA669" t="str">
        <f>IF(X669="","",SUMIFS(#REF!,RM!$C$4:$C991,X669))</f>
        <v/>
      </c>
      <c r="AB669" t="e">
        <f t="shared" si="9"/>
        <v>#VALUE!</v>
      </c>
      <c r="AC669" t="str">
        <f>IF(X669="","",VLOOKUP($X669,RM!$C$4:$G991,3,FALSE))</f>
        <v/>
      </c>
      <c r="AD669" t="str">
        <f>IF(X669="","",VLOOKUP($X669,RM!$C$4:$G991,4,FALSE))</f>
        <v/>
      </c>
      <c r="AE669" t="str">
        <f>IF(X669="","",VLOOKUP($X669,RM!$C$4:$G991,5,FALSE))</f>
        <v/>
      </c>
      <c r="AK669" t="e">
        <f ca="1">_xludf.IFNA(VLOOKUP(AG669,'S-FG'!$B$3:$B1001,1,FALSE),"")</f>
        <v>#NAME?</v>
      </c>
      <c r="AL669" t="str">
        <f>IF(AH669="","",SUMIFS(#REF!,RM!$C$4:$C991,AH669))</f>
        <v/>
      </c>
    </row>
    <row r="670" spans="5:38">
      <c r="E670" t="str">
        <f>IF(A670="","",SUMIFS(Issue!$D$3:$D1001,Issue!$C$3:$C1001,A670)*C670)</f>
        <v/>
      </c>
      <c r="F670" t="e">
        <f ca="1">_xludf.IFNA(VLOOKUP(B670,'S-FG'!$B$3:$B1001,1,FALSE),"")</f>
        <v>#NAME?</v>
      </c>
      <c r="L670" t="str">
        <f t="shared" si="7"/>
        <v/>
      </c>
      <c r="Q670" t="str">
        <f>IF(N670="","",SUMIFS(Issue!$D$3:$D1001,Issue!$C$3:$C1001,N670))</f>
        <v/>
      </c>
      <c r="Y670" t="str">
        <f t="shared" si="8"/>
        <v/>
      </c>
      <c r="Z670" t="str">
        <f>IF(X670="","",SUMIFS(#REF!,RM!$C$4:$C991,X670))</f>
        <v/>
      </c>
      <c r="AA670" t="str">
        <f>IF(X670="","",SUMIFS(#REF!,RM!$C$4:$C991,X670))</f>
        <v/>
      </c>
      <c r="AB670" t="e">
        <f t="shared" si="9"/>
        <v>#VALUE!</v>
      </c>
      <c r="AC670" t="str">
        <f>IF(X670="","",VLOOKUP($X670,RM!$C$4:$G991,3,FALSE))</f>
        <v/>
      </c>
      <c r="AD670" t="str">
        <f>IF(X670="","",VLOOKUP($X670,RM!$C$4:$G991,4,FALSE))</f>
        <v/>
      </c>
      <c r="AE670" t="str">
        <f>IF(X670="","",VLOOKUP($X670,RM!$C$4:$G991,5,FALSE))</f>
        <v/>
      </c>
      <c r="AK670" t="e">
        <f ca="1">_xludf.IFNA(VLOOKUP(AG670,'S-FG'!$B$3:$B1001,1,FALSE),"")</f>
        <v>#NAME?</v>
      </c>
      <c r="AL670" t="str">
        <f>IF(AH670="","",SUMIFS(#REF!,RM!$C$4:$C991,AH670))</f>
        <v/>
      </c>
    </row>
    <row r="671" spans="5:38">
      <c r="E671" t="str">
        <f>IF(A671="","",SUMIFS(Issue!$D$3:$D1001,Issue!$C$3:$C1001,A671)*C671)</f>
        <v/>
      </c>
      <c r="F671" t="e">
        <f ca="1">_xludf.IFNA(VLOOKUP(B671,'S-FG'!$B$3:$B1001,1,FALSE),"")</f>
        <v>#NAME?</v>
      </c>
      <c r="L671" t="str">
        <f t="shared" si="7"/>
        <v/>
      </c>
      <c r="Q671" t="str">
        <f>IF(N671="","",SUMIFS(Issue!$D$3:$D1001,Issue!$C$3:$C1001,N671))</f>
        <v/>
      </c>
      <c r="Y671" t="str">
        <f t="shared" si="8"/>
        <v/>
      </c>
      <c r="Z671" t="str">
        <f>IF(X671="","",SUMIFS(#REF!,RM!$C$4:$C991,X671))</f>
        <v/>
      </c>
      <c r="AA671" t="str">
        <f>IF(X671="","",SUMIFS(#REF!,RM!$C$4:$C991,X671))</f>
        <v/>
      </c>
      <c r="AB671" t="e">
        <f t="shared" si="9"/>
        <v>#VALUE!</v>
      </c>
      <c r="AC671" t="str">
        <f>IF(X671="","",VLOOKUP($X671,RM!$C$4:$G991,3,FALSE))</f>
        <v/>
      </c>
      <c r="AD671" t="str">
        <f>IF(X671="","",VLOOKUP($X671,RM!$C$4:$G991,4,FALSE))</f>
        <v/>
      </c>
      <c r="AE671" t="str">
        <f>IF(X671="","",VLOOKUP($X671,RM!$C$4:$G991,5,FALSE))</f>
        <v/>
      </c>
      <c r="AK671" t="e">
        <f ca="1">_xludf.IFNA(VLOOKUP(AG671,'S-FG'!$B$3:$B1001,1,FALSE),"")</f>
        <v>#NAME?</v>
      </c>
      <c r="AL671" t="str">
        <f>IF(AH671="","",SUMIFS(#REF!,RM!$C$4:$C991,AH671))</f>
        <v/>
      </c>
    </row>
    <row r="672" spans="5:38">
      <c r="E672" t="str">
        <f>IF(A672="","",SUMIFS(Issue!$D$3:$D1001,Issue!$C$3:$C1001,A672)*C672)</f>
        <v/>
      </c>
      <c r="F672" t="e">
        <f ca="1">_xludf.IFNA(VLOOKUP(B672,'S-FG'!$B$3:$B1001,1,FALSE),"")</f>
        <v>#NAME?</v>
      </c>
      <c r="L672" t="str">
        <f t="shared" si="7"/>
        <v/>
      </c>
      <c r="Q672" t="str">
        <f>IF(N672="","",SUMIFS(Issue!$D$3:$D1001,Issue!$C$3:$C1001,N672))</f>
        <v/>
      </c>
      <c r="Y672" t="str">
        <f t="shared" si="8"/>
        <v/>
      </c>
      <c r="Z672" t="str">
        <f>IF(X672="","",SUMIFS(#REF!,RM!$C$4:$C991,X672))</f>
        <v/>
      </c>
      <c r="AA672" t="str">
        <f>IF(X672="","",SUMIFS(#REF!,RM!$C$4:$C991,X672))</f>
        <v/>
      </c>
      <c r="AB672" t="e">
        <f t="shared" si="9"/>
        <v>#VALUE!</v>
      </c>
      <c r="AC672" t="str">
        <f>IF(X672="","",VLOOKUP($X672,RM!$C$4:$G991,3,FALSE))</f>
        <v/>
      </c>
      <c r="AD672" t="str">
        <f>IF(X672="","",VLOOKUP($X672,RM!$C$4:$G991,4,FALSE))</f>
        <v/>
      </c>
      <c r="AE672" t="str">
        <f>IF(X672="","",VLOOKUP($X672,RM!$C$4:$G991,5,FALSE))</f>
        <v/>
      </c>
      <c r="AK672" t="e">
        <f ca="1">_xludf.IFNA(VLOOKUP(AG672,'S-FG'!$B$3:$B1001,1,FALSE),"")</f>
        <v>#NAME?</v>
      </c>
      <c r="AL672" t="str">
        <f>IF(AH672="","",SUMIFS(#REF!,RM!$C$4:$C991,AH672))</f>
        <v/>
      </c>
    </row>
    <row r="673" spans="5:38">
      <c r="E673" t="str">
        <f>IF(A673="","",SUMIFS(Issue!$D$3:$D1001,Issue!$C$3:$C1001,A673)*C673)</f>
        <v/>
      </c>
      <c r="F673" t="e">
        <f ca="1">_xludf.IFNA(VLOOKUP(B673,'S-FG'!$B$3:$B1001,1,FALSE),"")</f>
        <v>#NAME?</v>
      </c>
      <c r="L673" t="str">
        <f t="shared" si="7"/>
        <v/>
      </c>
      <c r="Q673" t="str">
        <f>IF(N673="","",SUMIFS(Issue!$D$3:$D1001,Issue!$C$3:$C1001,N673))</f>
        <v/>
      </c>
      <c r="Y673" t="str">
        <f t="shared" si="8"/>
        <v/>
      </c>
      <c r="Z673" t="str">
        <f>IF(X673="","",SUMIFS(#REF!,RM!$C$4:$C991,X673))</f>
        <v/>
      </c>
      <c r="AA673" t="str">
        <f>IF(X673="","",SUMIFS(#REF!,RM!$C$4:$C991,X673))</f>
        <v/>
      </c>
      <c r="AB673" t="e">
        <f t="shared" si="9"/>
        <v>#VALUE!</v>
      </c>
      <c r="AC673" t="str">
        <f>IF(X673="","",VLOOKUP($X673,RM!$C$4:$G991,3,FALSE))</f>
        <v/>
      </c>
      <c r="AD673" t="str">
        <f>IF(X673="","",VLOOKUP($X673,RM!$C$4:$G991,4,FALSE))</f>
        <v/>
      </c>
      <c r="AE673" t="str">
        <f>IF(X673="","",VLOOKUP($X673,RM!$C$4:$G991,5,FALSE))</f>
        <v/>
      </c>
      <c r="AK673" t="e">
        <f ca="1">_xludf.IFNA(VLOOKUP(AG673,'S-FG'!$B$3:$B1001,1,FALSE),"")</f>
        <v>#NAME?</v>
      </c>
      <c r="AL673" t="str">
        <f>IF(AH673="","",SUMIFS(#REF!,RM!$C$4:$C991,AH673))</f>
        <v/>
      </c>
    </row>
    <row r="674" spans="5:38">
      <c r="E674" t="str">
        <f>IF(A674="","",SUMIFS(Issue!$D$3:$D1001,Issue!$C$3:$C1001,A674)*C674)</f>
        <v/>
      </c>
      <c r="F674" t="e">
        <f ca="1">_xludf.IFNA(VLOOKUP(B674,'S-FG'!$B$3:$B1001,1,FALSE),"")</f>
        <v>#NAME?</v>
      </c>
      <c r="L674" t="str">
        <f t="shared" si="7"/>
        <v/>
      </c>
      <c r="Q674" t="str">
        <f>IF(N674="","",SUMIFS(Issue!$D$3:$D1001,Issue!$C$3:$C1001,N674))</f>
        <v/>
      </c>
      <c r="Y674" t="str">
        <f t="shared" si="8"/>
        <v/>
      </c>
      <c r="Z674" t="str">
        <f>IF(X674="","",SUMIFS(#REF!,RM!$C$4:$C991,X674))</f>
        <v/>
      </c>
      <c r="AA674" t="str">
        <f>IF(X674="","",SUMIFS(#REF!,RM!$C$4:$C991,X674))</f>
        <v/>
      </c>
      <c r="AB674" t="e">
        <f t="shared" si="9"/>
        <v>#VALUE!</v>
      </c>
      <c r="AC674" t="str">
        <f>IF(X674="","",VLOOKUP($X674,RM!$C$4:$G991,3,FALSE))</f>
        <v/>
      </c>
      <c r="AD674" t="str">
        <f>IF(X674="","",VLOOKUP($X674,RM!$C$4:$G991,4,FALSE))</f>
        <v/>
      </c>
      <c r="AE674" t="str">
        <f>IF(X674="","",VLOOKUP($X674,RM!$C$4:$G991,5,FALSE))</f>
        <v/>
      </c>
      <c r="AK674" t="e">
        <f ca="1">_xludf.IFNA(VLOOKUP(AG674,'S-FG'!$B$3:$B1001,1,FALSE),"")</f>
        <v>#NAME?</v>
      </c>
      <c r="AL674" t="str">
        <f>IF(AH674="","",SUMIFS(#REF!,RM!$C$4:$C991,AH674))</f>
        <v/>
      </c>
    </row>
    <row r="675" spans="5:38">
      <c r="E675" t="str">
        <f>IF(A675="","",SUMIFS(Issue!$D$3:$D1001,Issue!$C$3:$C1001,A675)*C675)</f>
        <v/>
      </c>
      <c r="F675" t="e">
        <f ca="1">_xludf.IFNA(VLOOKUP(B675,'S-FG'!$B$3:$B1001,1,FALSE),"")</f>
        <v>#NAME?</v>
      </c>
      <c r="L675" t="str">
        <f t="shared" si="7"/>
        <v/>
      </c>
      <c r="Q675" t="str">
        <f>IF(N675="","",SUMIFS(Issue!$D$3:$D1001,Issue!$C$3:$C1001,N675))</f>
        <v/>
      </c>
      <c r="Y675" t="str">
        <f t="shared" si="8"/>
        <v/>
      </c>
      <c r="Z675" t="str">
        <f>IF(X675="","",SUMIFS(#REF!,RM!$C$4:$C991,X675))</f>
        <v/>
      </c>
      <c r="AA675" t="str">
        <f>IF(X675="","",SUMIFS(#REF!,RM!$C$4:$C991,X675))</f>
        <v/>
      </c>
      <c r="AB675" t="e">
        <f t="shared" si="9"/>
        <v>#VALUE!</v>
      </c>
      <c r="AC675" t="str">
        <f>IF(X675="","",VLOOKUP($X675,RM!$C$4:$G991,3,FALSE))</f>
        <v/>
      </c>
      <c r="AD675" t="str">
        <f>IF(X675="","",VLOOKUP($X675,RM!$C$4:$G991,4,FALSE))</f>
        <v/>
      </c>
      <c r="AE675" t="str">
        <f>IF(X675="","",VLOOKUP($X675,RM!$C$4:$G991,5,FALSE))</f>
        <v/>
      </c>
      <c r="AK675" t="e">
        <f ca="1">_xludf.IFNA(VLOOKUP(AG675,'S-FG'!$B$3:$B1001,1,FALSE),"")</f>
        <v>#NAME?</v>
      </c>
      <c r="AL675" t="str">
        <f>IF(AH675="","",SUMIFS(#REF!,RM!$C$4:$C991,AH675))</f>
        <v/>
      </c>
    </row>
    <row r="676" spans="5:38">
      <c r="E676" t="str">
        <f>IF(A676="","",SUMIFS(Issue!$D$3:$D1001,Issue!$C$3:$C1001,A676)*C676)</f>
        <v/>
      </c>
      <c r="F676" t="e">
        <f ca="1">_xludf.IFNA(VLOOKUP(B676,'S-FG'!$B$3:$B1001,1,FALSE),"")</f>
        <v>#NAME?</v>
      </c>
      <c r="L676" t="str">
        <f t="shared" si="7"/>
        <v/>
      </c>
      <c r="Q676" t="str">
        <f>IF(N676="","",SUMIFS(Issue!$D$3:$D1001,Issue!$C$3:$C1001,N676))</f>
        <v/>
      </c>
      <c r="Y676" t="str">
        <f t="shared" si="8"/>
        <v/>
      </c>
      <c r="Z676" t="str">
        <f>IF(X676="","",SUMIFS(#REF!,RM!$C$4:$C991,X676))</f>
        <v/>
      </c>
      <c r="AA676" t="str">
        <f>IF(X676="","",SUMIFS(#REF!,RM!$C$4:$C991,X676))</f>
        <v/>
      </c>
      <c r="AB676" t="e">
        <f t="shared" si="9"/>
        <v>#VALUE!</v>
      </c>
      <c r="AC676" t="str">
        <f>IF(X676="","",VLOOKUP($X676,RM!$C$4:$G991,3,FALSE))</f>
        <v/>
      </c>
      <c r="AD676" t="str">
        <f>IF(X676="","",VLOOKUP($X676,RM!$C$4:$G991,4,FALSE))</f>
        <v/>
      </c>
      <c r="AE676" t="str">
        <f>IF(X676="","",VLOOKUP($X676,RM!$C$4:$G991,5,FALSE))</f>
        <v/>
      </c>
      <c r="AK676" t="e">
        <f ca="1">_xludf.IFNA(VLOOKUP(AG676,'S-FG'!$B$3:$B1001,1,FALSE),"")</f>
        <v>#NAME?</v>
      </c>
      <c r="AL676" t="str">
        <f>IF(AH676="","",SUMIFS(#REF!,RM!$C$4:$C991,AH676))</f>
        <v/>
      </c>
    </row>
    <row r="677" spans="5:38">
      <c r="E677" t="str">
        <f>IF(A677="","",SUMIFS(Issue!$D$3:$D1001,Issue!$C$3:$C1001,A677)*C677)</f>
        <v/>
      </c>
      <c r="F677" t="e">
        <f ca="1">_xludf.IFNA(VLOOKUP(B677,'S-FG'!$B$3:$B1001,1,FALSE),"")</f>
        <v>#NAME?</v>
      </c>
      <c r="L677" t="str">
        <f t="shared" si="7"/>
        <v/>
      </c>
      <c r="Q677" t="str">
        <f>IF(N677="","",SUMIFS(Issue!$D$3:$D1001,Issue!$C$3:$C1001,N677))</f>
        <v/>
      </c>
      <c r="Y677" t="str">
        <f t="shared" si="8"/>
        <v/>
      </c>
      <c r="Z677" t="str">
        <f>IF(X677="","",SUMIFS(#REF!,RM!$C$4:$C991,X677))</f>
        <v/>
      </c>
      <c r="AA677" t="str">
        <f>IF(X677="","",SUMIFS(#REF!,RM!$C$4:$C991,X677))</f>
        <v/>
      </c>
      <c r="AB677" t="e">
        <f t="shared" si="9"/>
        <v>#VALUE!</v>
      </c>
      <c r="AC677" t="str">
        <f>IF(X677="","",VLOOKUP($X677,RM!$C$4:$G991,3,FALSE))</f>
        <v/>
      </c>
      <c r="AD677" t="str">
        <f>IF(X677="","",VLOOKUP($X677,RM!$C$4:$G991,4,FALSE))</f>
        <v/>
      </c>
      <c r="AE677" t="str">
        <f>IF(X677="","",VLOOKUP($X677,RM!$C$4:$G991,5,FALSE))</f>
        <v/>
      </c>
      <c r="AK677" t="e">
        <f ca="1">_xludf.IFNA(VLOOKUP(AG677,'S-FG'!$B$3:$B1001,1,FALSE),"")</f>
        <v>#NAME?</v>
      </c>
      <c r="AL677" t="str">
        <f>IF(AH677="","",SUMIFS(#REF!,RM!$C$4:$C991,AH677))</f>
        <v/>
      </c>
    </row>
    <row r="678" spans="5:38">
      <c r="E678" t="str">
        <f>IF(A678="","",SUMIFS(Issue!$D$3:$D1001,Issue!$C$3:$C1001,A678)*C678)</f>
        <v/>
      </c>
      <c r="F678" t="e">
        <f ca="1">_xludf.IFNA(VLOOKUP(B678,'S-FG'!$B$3:$B1001,1,FALSE),"")</f>
        <v>#NAME?</v>
      </c>
      <c r="L678" t="str">
        <f t="shared" si="7"/>
        <v/>
      </c>
      <c r="Q678" t="str">
        <f>IF(N678="","",SUMIFS(Issue!$D$3:$D1001,Issue!$C$3:$C1001,N678))</f>
        <v/>
      </c>
      <c r="Y678" t="str">
        <f t="shared" si="8"/>
        <v/>
      </c>
      <c r="Z678" t="str">
        <f>IF(X678="","",SUMIFS(#REF!,RM!$C$4:$C991,X678))</f>
        <v/>
      </c>
      <c r="AA678" t="str">
        <f>IF(X678="","",SUMIFS(#REF!,RM!$C$4:$C991,X678))</f>
        <v/>
      </c>
      <c r="AB678" t="e">
        <f t="shared" si="9"/>
        <v>#VALUE!</v>
      </c>
      <c r="AC678" t="str">
        <f>IF(X678="","",VLOOKUP($X678,RM!$C$4:$G991,3,FALSE))</f>
        <v/>
      </c>
      <c r="AD678" t="str">
        <f>IF(X678="","",VLOOKUP($X678,RM!$C$4:$G991,4,FALSE))</f>
        <v/>
      </c>
      <c r="AE678" t="str">
        <f>IF(X678="","",VLOOKUP($X678,RM!$C$4:$G991,5,FALSE))</f>
        <v/>
      </c>
      <c r="AK678" t="e">
        <f ca="1">_xludf.IFNA(VLOOKUP(AG678,'S-FG'!$B$3:$B1001,1,FALSE),"")</f>
        <v>#NAME?</v>
      </c>
      <c r="AL678" t="str">
        <f>IF(AH678="","",SUMIFS(#REF!,RM!$C$4:$C991,AH678))</f>
        <v/>
      </c>
    </row>
    <row r="679" spans="5:38">
      <c r="E679" t="str">
        <f>IF(A679="","",SUMIFS(Issue!$D$3:$D1001,Issue!$C$3:$C1001,A679)*C679)</f>
        <v/>
      </c>
      <c r="F679" t="e">
        <f ca="1">_xludf.IFNA(VLOOKUP(B679,'S-FG'!$B$3:$B1001,1,FALSE),"")</f>
        <v>#NAME?</v>
      </c>
      <c r="L679" t="str">
        <f t="shared" si="7"/>
        <v/>
      </c>
      <c r="Q679" t="str">
        <f>IF(N679="","",SUMIFS(Issue!$D$3:$D1001,Issue!$C$3:$C1001,N679))</f>
        <v/>
      </c>
      <c r="Y679" t="str">
        <f t="shared" si="8"/>
        <v/>
      </c>
      <c r="Z679" t="str">
        <f>IF(X679="","",SUMIFS(#REF!,RM!$C$4:$C991,X679))</f>
        <v/>
      </c>
      <c r="AA679" t="str">
        <f>IF(X679="","",SUMIFS(#REF!,RM!$C$4:$C991,X679))</f>
        <v/>
      </c>
      <c r="AB679" t="e">
        <f t="shared" si="9"/>
        <v>#VALUE!</v>
      </c>
      <c r="AC679" t="str">
        <f>IF(X679="","",VLOOKUP($X679,RM!$C$4:$G991,3,FALSE))</f>
        <v/>
      </c>
      <c r="AD679" t="str">
        <f>IF(X679="","",VLOOKUP($X679,RM!$C$4:$G991,4,FALSE))</f>
        <v/>
      </c>
      <c r="AE679" t="str">
        <f>IF(X679="","",VLOOKUP($X679,RM!$C$4:$G991,5,FALSE))</f>
        <v/>
      </c>
      <c r="AK679" t="e">
        <f ca="1">_xludf.IFNA(VLOOKUP(AG679,'S-FG'!$B$3:$B1001,1,FALSE),"")</f>
        <v>#NAME?</v>
      </c>
      <c r="AL679" t="str">
        <f>IF(AH679="","",SUMIFS(#REF!,RM!$C$4:$C991,AH679))</f>
        <v/>
      </c>
    </row>
    <row r="680" spans="5:38">
      <c r="E680" t="str">
        <f>IF(A680="","",SUMIFS(Issue!$D$3:$D1001,Issue!$C$3:$C1001,A680)*C680)</f>
        <v/>
      </c>
      <c r="F680" t="e">
        <f ca="1">_xludf.IFNA(VLOOKUP(B680,'S-FG'!$B$3:$B1001,1,FALSE),"")</f>
        <v>#NAME?</v>
      </c>
      <c r="L680" t="str">
        <f t="shared" si="7"/>
        <v/>
      </c>
      <c r="Q680" t="str">
        <f>IF(N680="","",SUMIFS(Issue!$D$3:$D1001,Issue!$C$3:$C1001,N680))</f>
        <v/>
      </c>
      <c r="Y680" t="str">
        <f t="shared" si="8"/>
        <v/>
      </c>
      <c r="Z680" t="str">
        <f>IF(X680="","",SUMIFS(#REF!,RM!$C$4:$C991,X680))</f>
        <v/>
      </c>
      <c r="AA680" t="str">
        <f>IF(X680="","",SUMIFS(#REF!,RM!$C$4:$C991,X680))</f>
        <v/>
      </c>
      <c r="AB680" t="e">
        <f t="shared" si="9"/>
        <v>#VALUE!</v>
      </c>
      <c r="AC680" t="str">
        <f>IF(X680="","",VLOOKUP($X680,RM!$C$4:$G991,3,FALSE))</f>
        <v/>
      </c>
      <c r="AD680" t="str">
        <f>IF(X680="","",VLOOKUP($X680,RM!$C$4:$G991,4,FALSE))</f>
        <v/>
      </c>
      <c r="AE680" t="str">
        <f>IF(X680="","",VLOOKUP($X680,RM!$C$4:$G991,5,FALSE))</f>
        <v/>
      </c>
      <c r="AK680" t="e">
        <f ca="1">_xludf.IFNA(VLOOKUP(AG680,'S-FG'!$B$3:$B1001,1,FALSE),"")</f>
        <v>#NAME?</v>
      </c>
      <c r="AL680" t="str">
        <f>IF(AH680="","",SUMIFS(#REF!,RM!$C$4:$C991,AH680))</f>
        <v/>
      </c>
    </row>
    <row r="681" spans="5:38">
      <c r="E681" t="str">
        <f>IF(A681="","",SUMIFS(Issue!$D$3:$D1001,Issue!$C$3:$C1001,A681)*C681)</f>
        <v/>
      </c>
      <c r="F681" t="e">
        <f ca="1">_xludf.IFNA(VLOOKUP(B681,'S-FG'!$B$3:$B1001,1,FALSE),"")</f>
        <v>#NAME?</v>
      </c>
      <c r="L681" t="str">
        <f t="shared" si="7"/>
        <v/>
      </c>
      <c r="Q681" t="str">
        <f>IF(N681="","",SUMIFS(Issue!$D$3:$D1001,Issue!$C$3:$C1001,N681))</f>
        <v/>
      </c>
      <c r="Y681" t="str">
        <f t="shared" si="8"/>
        <v/>
      </c>
      <c r="Z681" t="str">
        <f>IF(X681="","",SUMIFS(#REF!,RM!$C$4:$C991,X681))</f>
        <v/>
      </c>
      <c r="AA681" t="str">
        <f>IF(X681="","",SUMIFS(#REF!,RM!$C$4:$C991,X681))</f>
        <v/>
      </c>
      <c r="AB681" t="e">
        <f t="shared" si="9"/>
        <v>#VALUE!</v>
      </c>
      <c r="AC681" t="str">
        <f>IF(X681="","",VLOOKUP($X681,RM!$C$4:$G991,3,FALSE))</f>
        <v/>
      </c>
      <c r="AD681" t="str">
        <f>IF(X681="","",VLOOKUP($X681,RM!$C$4:$G991,4,FALSE))</f>
        <v/>
      </c>
      <c r="AE681" t="str">
        <f>IF(X681="","",VLOOKUP($X681,RM!$C$4:$G991,5,FALSE))</f>
        <v/>
      </c>
      <c r="AK681" t="e">
        <f ca="1">_xludf.IFNA(VLOOKUP(AG681,'S-FG'!$B$3:$B1001,1,FALSE),"")</f>
        <v>#NAME?</v>
      </c>
      <c r="AL681" t="str">
        <f>IF(AH681="","",SUMIFS(#REF!,RM!$C$4:$C991,AH681))</f>
        <v/>
      </c>
    </row>
    <row r="682" spans="5:38">
      <c r="E682" t="str">
        <f>IF(A682="","",SUMIFS(Issue!$D$3:$D1001,Issue!$C$3:$C1001,A682)*C682)</f>
        <v/>
      </c>
      <c r="F682" t="e">
        <f ca="1">_xludf.IFNA(VLOOKUP(B682,'S-FG'!$B$3:$B1001,1,FALSE),"")</f>
        <v>#NAME?</v>
      </c>
      <c r="L682" t="str">
        <f t="shared" si="7"/>
        <v/>
      </c>
      <c r="Q682" t="str">
        <f>IF(N682="","",SUMIFS(Issue!$D$3:$D1001,Issue!$C$3:$C1001,N682))</f>
        <v/>
      </c>
      <c r="Y682" t="str">
        <f t="shared" si="8"/>
        <v/>
      </c>
      <c r="Z682" t="str">
        <f>IF(X682="","",SUMIFS(#REF!,RM!$C$4:$C991,X682))</f>
        <v/>
      </c>
      <c r="AA682" t="str">
        <f>IF(X682="","",SUMIFS(#REF!,RM!$C$4:$C991,X682))</f>
        <v/>
      </c>
      <c r="AB682" t="e">
        <f t="shared" si="9"/>
        <v>#VALUE!</v>
      </c>
      <c r="AC682" t="str">
        <f>IF(X682="","",VLOOKUP($X682,RM!$C$4:$G991,3,FALSE))</f>
        <v/>
      </c>
      <c r="AD682" t="str">
        <f>IF(X682="","",VLOOKUP($X682,RM!$C$4:$G991,4,FALSE))</f>
        <v/>
      </c>
      <c r="AE682" t="str">
        <f>IF(X682="","",VLOOKUP($X682,RM!$C$4:$G991,5,FALSE))</f>
        <v/>
      </c>
      <c r="AK682" t="e">
        <f ca="1">_xludf.IFNA(VLOOKUP(AG682,'S-FG'!$B$3:$B1001,1,FALSE),"")</f>
        <v>#NAME?</v>
      </c>
      <c r="AL682" t="str">
        <f>IF(AH682="","",SUMIFS(#REF!,RM!$C$4:$C991,AH682))</f>
        <v/>
      </c>
    </row>
    <row r="683" spans="5:38">
      <c r="E683" t="str">
        <f>IF(A683="","",SUMIFS(Issue!$D$3:$D1001,Issue!$C$3:$C1001,A683)*C683)</f>
        <v/>
      </c>
      <c r="F683" t="e">
        <f ca="1">_xludf.IFNA(VLOOKUP(B683,'S-FG'!$B$3:$B1001,1,FALSE),"")</f>
        <v>#NAME?</v>
      </c>
      <c r="L683" t="str">
        <f t="shared" si="7"/>
        <v/>
      </c>
      <c r="Q683" t="str">
        <f>IF(N683="","",SUMIFS(Issue!$D$3:$D1001,Issue!$C$3:$C1001,N683))</f>
        <v/>
      </c>
      <c r="Y683" t="str">
        <f t="shared" si="8"/>
        <v/>
      </c>
      <c r="Z683" t="str">
        <f>IF(X683="","",SUMIFS(#REF!,RM!$C$4:$C991,X683))</f>
        <v/>
      </c>
      <c r="AA683" t="str">
        <f>IF(X683="","",SUMIFS(#REF!,RM!$C$4:$C991,X683))</f>
        <v/>
      </c>
      <c r="AB683" t="e">
        <f t="shared" si="9"/>
        <v>#VALUE!</v>
      </c>
      <c r="AC683" t="str">
        <f>IF(X683="","",VLOOKUP($X683,RM!$C$4:$G991,3,FALSE))</f>
        <v/>
      </c>
      <c r="AD683" t="str">
        <f>IF(X683="","",VLOOKUP($X683,RM!$C$4:$G991,4,FALSE))</f>
        <v/>
      </c>
      <c r="AE683" t="str">
        <f>IF(X683="","",VLOOKUP($X683,RM!$C$4:$G991,5,FALSE))</f>
        <v/>
      </c>
      <c r="AK683" t="e">
        <f ca="1">_xludf.IFNA(VLOOKUP(AG683,'S-FG'!$B$3:$B1001,1,FALSE),"")</f>
        <v>#NAME?</v>
      </c>
      <c r="AL683" t="str">
        <f>IF(AH683="","",SUMIFS(#REF!,RM!$C$4:$C991,AH683))</f>
        <v/>
      </c>
    </row>
    <row r="684" spans="5:38">
      <c r="E684" t="str">
        <f>IF(A684="","",SUMIFS(Issue!$D$3:$D1001,Issue!$C$3:$C1001,A684)*C684)</f>
        <v/>
      </c>
      <c r="F684" t="e">
        <f ca="1">_xludf.IFNA(VLOOKUP(B684,'S-FG'!$B$3:$B1001,1,FALSE),"")</f>
        <v>#NAME?</v>
      </c>
      <c r="L684" t="str">
        <f t="shared" si="7"/>
        <v/>
      </c>
      <c r="Q684" t="str">
        <f>IF(N684="","",SUMIFS(Issue!$D$3:$D1001,Issue!$C$3:$C1001,N684))</f>
        <v/>
      </c>
      <c r="Y684" t="str">
        <f t="shared" si="8"/>
        <v/>
      </c>
      <c r="Z684" t="str">
        <f>IF(X684="","",SUMIFS(#REF!,RM!$C$4:$C991,X684))</f>
        <v/>
      </c>
      <c r="AA684" t="str">
        <f>IF(X684="","",SUMIFS(#REF!,RM!$C$4:$C991,X684))</f>
        <v/>
      </c>
      <c r="AB684" t="e">
        <f t="shared" si="9"/>
        <v>#VALUE!</v>
      </c>
      <c r="AC684" t="str">
        <f>IF(X684="","",VLOOKUP($X684,RM!$C$4:$G991,3,FALSE))</f>
        <v/>
      </c>
      <c r="AD684" t="str">
        <f>IF(X684="","",VLOOKUP($X684,RM!$C$4:$G991,4,FALSE))</f>
        <v/>
      </c>
      <c r="AE684" t="str">
        <f>IF(X684="","",VLOOKUP($X684,RM!$C$4:$G991,5,FALSE))</f>
        <v/>
      </c>
      <c r="AK684" t="e">
        <f ca="1">_xludf.IFNA(VLOOKUP(AG684,'S-FG'!$B$3:$B1001,1,FALSE),"")</f>
        <v>#NAME?</v>
      </c>
      <c r="AL684" t="str">
        <f>IF(AH684="","",SUMIFS(#REF!,RM!$C$4:$C991,AH684))</f>
        <v/>
      </c>
    </row>
    <row r="685" spans="5:38">
      <c r="E685" t="str">
        <f>IF(A685="","",SUMIFS(Issue!$D$3:$D1001,Issue!$C$3:$C1001,A685)*C685)</f>
        <v/>
      </c>
      <c r="F685" t="e">
        <f ca="1">_xludf.IFNA(VLOOKUP(B685,'S-FG'!$B$3:$B1001,1,FALSE),"")</f>
        <v>#NAME?</v>
      </c>
      <c r="L685" t="str">
        <f t="shared" si="7"/>
        <v/>
      </c>
      <c r="Q685" t="str">
        <f>IF(N685="","",SUMIFS(Issue!$D$3:$D1001,Issue!$C$3:$C1001,N685))</f>
        <v/>
      </c>
      <c r="Y685" t="str">
        <f t="shared" si="8"/>
        <v/>
      </c>
      <c r="Z685" t="str">
        <f>IF(X685="","",SUMIFS(#REF!,RM!$C$4:$C991,X685))</f>
        <v/>
      </c>
      <c r="AA685" t="str">
        <f>IF(X685="","",SUMIFS(#REF!,RM!$C$4:$C991,X685))</f>
        <v/>
      </c>
      <c r="AB685" t="e">
        <f t="shared" si="9"/>
        <v>#VALUE!</v>
      </c>
      <c r="AC685" t="str">
        <f>IF(X685="","",VLOOKUP($X685,RM!$C$4:$G991,3,FALSE))</f>
        <v/>
      </c>
      <c r="AD685" t="str">
        <f>IF(X685="","",VLOOKUP($X685,RM!$C$4:$G991,4,FALSE))</f>
        <v/>
      </c>
      <c r="AE685" t="str">
        <f>IF(X685="","",VLOOKUP($X685,RM!$C$4:$G991,5,FALSE))</f>
        <v/>
      </c>
      <c r="AK685" t="e">
        <f ca="1">_xludf.IFNA(VLOOKUP(AG685,'S-FG'!$B$3:$B1001,1,FALSE),"")</f>
        <v>#NAME?</v>
      </c>
      <c r="AL685" t="str">
        <f>IF(AH685="","",SUMIFS(#REF!,RM!$C$4:$C991,AH685))</f>
        <v/>
      </c>
    </row>
    <row r="686" spans="5:38">
      <c r="E686" t="str">
        <f>IF(A686="","",SUMIFS(Issue!$D$3:$D1001,Issue!$C$3:$C1001,A686)*C686)</f>
        <v/>
      </c>
      <c r="F686" t="e">
        <f ca="1">_xludf.IFNA(VLOOKUP(B686,'S-FG'!$B$3:$B1001,1,FALSE),"")</f>
        <v>#NAME?</v>
      </c>
      <c r="L686" t="str">
        <f t="shared" si="7"/>
        <v/>
      </c>
      <c r="Q686" t="str">
        <f>IF(N686="","",SUMIFS(Issue!$D$3:$D1001,Issue!$C$3:$C1001,N686))</f>
        <v/>
      </c>
      <c r="Y686" t="str">
        <f t="shared" si="8"/>
        <v/>
      </c>
      <c r="Z686" t="str">
        <f>IF(X686="","",SUMIFS(#REF!,RM!$C$4:$C991,X686))</f>
        <v/>
      </c>
      <c r="AA686" t="str">
        <f>IF(X686="","",SUMIFS(#REF!,RM!$C$4:$C991,X686))</f>
        <v/>
      </c>
      <c r="AB686" t="e">
        <f t="shared" si="9"/>
        <v>#VALUE!</v>
      </c>
      <c r="AC686" t="str">
        <f>IF(X686="","",VLOOKUP($X686,RM!$C$4:$G991,3,FALSE))</f>
        <v/>
      </c>
      <c r="AD686" t="str">
        <f>IF(X686="","",VLOOKUP($X686,RM!$C$4:$G991,4,FALSE))</f>
        <v/>
      </c>
      <c r="AE686" t="str">
        <f>IF(X686="","",VLOOKUP($X686,RM!$C$4:$G991,5,FALSE))</f>
        <v/>
      </c>
      <c r="AK686" t="e">
        <f ca="1">_xludf.IFNA(VLOOKUP(AG686,'S-FG'!$B$3:$B1001,1,FALSE),"")</f>
        <v>#NAME?</v>
      </c>
      <c r="AL686" t="str">
        <f>IF(AH686="","",SUMIFS(#REF!,RM!$C$4:$C991,AH686))</f>
        <v/>
      </c>
    </row>
    <row r="687" spans="5:38">
      <c r="E687" t="str">
        <f>IF(A687="","",SUMIFS(Issue!$D$3:$D1001,Issue!$C$3:$C1001,A687)*C687)</f>
        <v/>
      </c>
      <c r="F687" t="e">
        <f ca="1">_xludf.IFNA(VLOOKUP(B687,'S-FG'!$B$3:$B1001,1,FALSE),"")</f>
        <v>#NAME?</v>
      </c>
      <c r="L687" t="str">
        <f t="shared" si="7"/>
        <v/>
      </c>
      <c r="Q687" t="str">
        <f>IF(N687="","",SUMIFS(Issue!$D$3:$D1001,Issue!$C$3:$C1001,N687))</f>
        <v/>
      </c>
      <c r="Y687" t="str">
        <f t="shared" si="8"/>
        <v/>
      </c>
      <c r="Z687" t="str">
        <f>IF(X687="","",SUMIFS(#REF!,RM!$C$4:$C991,X687))</f>
        <v/>
      </c>
      <c r="AA687" t="str">
        <f>IF(X687="","",SUMIFS(#REF!,RM!$C$4:$C991,X687))</f>
        <v/>
      </c>
      <c r="AB687" t="e">
        <f t="shared" si="9"/>
        <v>#VALUE!</v>
      </c>
      <c r="AC687" t="str">
        <f>IF(X687="","",VLOOKUP($X687,RM!$C$4:$G991,3,FALSE))</f>
        <v/>
      </c>
      <c r="AD687" t="str">
        <f>IF(X687="","",VLOOKUP($X687,RM!$C$4:$G991,4,FALSE))</f>
        <v/>
      </c>
      <c r="AE687" t="str">
        <f>IF(X687="","",VLOOKUP($X687,RM!$C$4:$G991,5,FALSE))</f>
        <v/>
      </c>
      <c r="AK687" t="e">
        <f ca="1">_xludf.IFNA(VLOOKUP(AG687,'S-FG'!$B$3:$B1001,1,FALSE),"")</f>
        <v>#NAME?</v>
      </c>
      <c r="AL687" t="str">
        <f>IF(AH687="","",SUMIFS(#REF!,RM!$C$4:$C991,AH687))</f>
        <v/>
      </c>
    </row>
    <row r="688" spans="5:38">
      <c r="E688" t="str">
        <f>IF(A688="","",SUMIFS(Issue!$D$3:$D1001,Issue!$C$3:$C1001,A688)*C688)</f>
        <v/>
      </c>
      <c r="F688" t="e">
        <f ca="1">_xludf.IFNA(VLOOKUP(B688,'S-FG'!$B$3:$B1001,1,FALSE),"")</f>
        <v>#NAME?</v>
      </c>
      <c r="L688" t="str">
        <f t="shared" si="7"/>
        <v/>
      </c>
      <c r="Q688" t="str">
        <f>IF(N688="","",SUMIFS(Issue!$D$3:$D1001,Issue!$C$3:$C1001,N688))</f>
        <v/>
      </c>
      <c r="Y688" t="str">
        <f t="shared" si="8"/>
        <v/>
      </c>
      <c r="Z688" t="str">
        <f>IF(X688="","",SUMIFS(#REF!,RM!$C$4:$C991,X688))</f>
        <v/>
      </c>
      <c r="AA688" t="str">
        <f>IF(X688="","",SUMIFS(#REF!,RM!$C$4:$C991,X688))</f>
        <v/>
      </c>
      <c r="AB688" t="e">
        <f t="shared" si="9"/>
        <v>#VALUE!</v>
      </c>
      <c r="AC688" t="str">
        <f>IF(X688="","",VLOOKUP($X688,RM!$C$4:$G991,3,FALSE))</f>
        <v/>
      </c>
      <c r="AD688" t="str">
        <f>IF(X688="","",VLOOKUP($X688,RM!$C$4:$G991,4,FALSE))</f>
        <v/>
      </c>
      <c r="AE688" t="str">
        <f>IF(X688="","",VLOOKUP($X688,RM!$C$4:$G991,5,FALSE))</f>
        <v/>
      </c>
      <c r="AK688" t="e">
        <f ca="1">_xludf.IFNA(VLOOKUP(AG688,'S-FG'!$B$3:$B1001,1,FALSE),"")</f>
        <v>#NAME?</v>
      </c>
      <c r="AL688" t="str">
        <f>IF(AH688="","",SUMIFS(#REF!,RM!$C$4:$C991,AH688))</f>
        <v/>
      </c>
    </row>
    <row r="689" spans="5:38">
      <c r="E689" t="str">
        <f>IF(A689="","",SUMIFS(Issue!$D$3:$D1001,Issue!$C$3:$C1001,A689)*C689)</f>
        <v/>
      </c>
      <c r="F689" t="e">
        <f ca="1">_xludf.IFNA(VLOOKUP(B689,'S-FG'!$B$3:$B1001,1,FALSE),"")</f>
        <v>#NAME?</v>
      </c>
      <c r="L689" t="str">
        <f t="shared" si="7"/>
        <v/>
      </c>
      <c r="Q689" t="str">
        <f>IF(N689="","",SUMIFS(Issue!$D$3:$D1001,Issue!$C$3:$C1001,N689))</f>
        <v/>
      </c>
      <c r="Y689" t="str">
        <f t="shared" si="8"/>
        <v/>
      </c>
      <c r="Z689" t="str">
        <f>IF(X689="","",SUMIFS(#REF!,RM!$C$4:$C991,X689))</f>
        <v/>
      </c>
      <c r="AA689" t="str">
        <f>IF(X689="","",SUMIFS(#REF!,RM!$C$4:$C991,X689))</f>
        <v/>
      </c>
      <c r="AB689" t="e">
        <f t="shared" si="9"/>
        <v>#VALUE!</v>
      </c>
      <c r="AC689" t="str">
        <f>IF(X689="","",VLOOKUP($X689,RM!$C$4:$G991,3,FALSE))</f>
        <v/>
      </c>
      <c r="AD689" t="str">
        <f>IF(X689="","",VLOOKUP($X689,RM!$C$4:$G991,4,FALSE))</f>
        <v/>
      </c>
      <c r="AE689" t="str">
        <f>IF(X689="","",VLOOKUP($X689,RM!$C$4:$G991,5,FALSE))</f>
        <v/>
      </c>
      <c r="AK689" t="e">
        <f ca="1">_xludf.IFNA(VLOOKUP(AG689,'S-FG'!$B$3:$B1001,1,FALSE),"")</f>
        <v>#NAME?</v>
      </c>
      <c r="AL689" t="str">
        <f>IF(AH689="","",SUMIFS(#REF!,RM!$C$4:$C991,AH689))</f>
        <v/>
      </c>
    </row>
    <row r="690" spans="5:38">
      <c r="E690" t="str">
        <f>IF(A690="","",SUMIFS(Issue!$D$3:$D1001,Issue!$C$3:$C1001,A690)*C690)</f>
        <v/>
      </c>
      <c r="F690" t="e">
        <f ca="1">_xludf.IFNA(VLOOKUP(B690,'S-FG'!$B$3:$B1001,1,FALSE),"")</f>
        <v>#NAME?</v>
      </c>
      <c r="L690" t="str">
        <f t="shared" si="7"/>
        <v/>
      </c>
      <c r="Q690" t="str">
        <f>IF(N690="","",SUMIFS(Issue!$D$3:$D1001,Issue!$C$3:$C1001,N690))</f>
        <v/>
      </c>
      <c r="Y690" t="str">
        <f t="shared" si="8"/>
        <v/>
      </c>
      <c r="Z690" t="str">
        <f>IF(X690="","",SUMIFS(#REF!,RM!$C$4:$C991,X690))</f>
        <v/>
      </c>
      <c r="AA690" t="str">
        <f>IF(X690="","",SUMIFS(#REF!,RM!$C$4:$C991,X690))</f>
        <v/>
      </c>
      <c r="AB690" t="e">
        <f t="shared" si="9"/>
        <v>#VALUE!</v>
      </c>
      <c r="AC690" t="str">
        <f>IF(X690="","",VLOOKUP($X690,RM!$C$4:$G991,3,FALSE))</f>
        <v/>
      </c>
      <c r="AD690" t="str">
        <f>IF(X690="","",VLOOKUP($X690,RM!$C$4:$G991,4,FALSE))</f>
        <v/>
      </c>
      <c r="AE690" t="str">
        <f>IF(X690="","",VLOOKUP($X690,RM!$C$4:$G991,5,FALSE))</f>
        <v/>
      </c>
      <c r="AK690" t="e">
        <f ca="1">_xludf.IFNA(VLOOKUP(AG690,'S-FG'!$B$3:$B1001,1,FALSE),"")</f>
        <v>#NAME?</v>
      </c>
      <c r="AL690" t="str">
        <f>IF(AH690="","",SUMIFS(#REF!,RM!$C$4:$C991,AH690))</f>
        <v/>
      </c>
    </row>
    <row r="691" spans="5:38">
      <c r="E691" t="str">
        <f>IF(A691="","",SUMIFS(Issue!$D$3:$D1001,Issue!$C$3:$C1001,A691)*C691)</f>
        <v/>
      </c>
      <c r="F691" t="e">
        <f ca="1">_xludf.IFNA(VLOOKUP(B691,'S-FG'!$B$3:$B1001,1,FALSE),"")</f>
        <v>#NAME?</v>
      </c>
      <c r="L691" t="str">
        <f t="shared" si="7"/>
        <v/>
      </c>
      <c r="Q691" t="str">
        <f>IF(N691="","",SUMIFS(Issue!$D$3:$D1001,Issue!$C$3:$C1001,N691))</f>
        <v/>
      </c>
      <c r="Y691" t="str">
        <f t="shared" si="8"/>
        <v/>
      </c>
      <c r="Z691" t="str">
        <f>IF(X691="","",SUMIFS(#REF!,RM!$C$4:$C991,X691))</f>
        <v/>
      </c>
      <c r="AA691" t="str">
        <f>IF(X691="","",SUMIFS(#REF!,RM!$C$4:$C991,X691))</f>
        <v/>
      </c>
      <c r="AB691" t="e">
        <f t="shared" si="9"/>
        <v>#VALUE!</v>
      </c>
      <c r="AC691" t="str">
        <f>IF(X691="","",VLOOKUP($X691,RM!$C$4:$G991,3,FALSE))</f>
        <v/>
      </c>
      <c r="AD691" t="str">
        <f>IF(X691="","",VLOOKUP($X691,RM!$C$4:$G991,4,FALSE))</f>
        <v/>
      </c>
      <c r="AE691" t="str">
        <f>IF(X691="","",VLOOKUP($X691,RM!$C$4:$G991,5,FALSE))</f>
        <v/>
      </c>
      <c r="AK691" t="e">
        <f ca="1">_xludf.IFNA(VLOOKUP(AG691,'S-FG'!$B$3:$B1001,1,FALSE),"")</f>
        <v>#NAME?</v>
      </c>
      <c r="AL691" t="str">
        <f>IF(AH691="","",SUMIFS(#REF!,RM!$C$4:$C991,AH691))</f>
        <v/>
      </c>
    </row>
    <row r="692" spans="5:38">
      <c r="E692" t="str">
        <f>IF(A692="","",SUMIFS(Issue!$D$3:$D1001,Issue!$C$3:$C1001,A692)*C692)</f>
        <v/>
      </c>
      <c r="F692" t="e">
        <f ca="1">_xludf.IFNA(VLOOKUP(B692,'S-FG'!$B$3:$B1001,1,FALSE),"")</f>
        <v>#NAME?</v>
      </c>
      <c r="L692" t="str">
        <f t="shared" si="7"/>
        <v/>
      </c>
      <c r="Q692" t="str">
        <f>IF(N692="","",SUMIFS(Issue!$D$3:$D1001,Issue!$C$3:$C1001,N692))</f>
        <v/>
      </c>
      <c r="Y692" t="str">
        <f t="shared" si="8"/>
        <v/>
      </c>
      <c r="Z692" t="str">
        <f>IF(X692="","",SUMIFS(#REF!,RM!$C$4:$C991,X692))</f>
        <v/>
      </c>
      <c r="AA692" t="str">
        <f>IF(X692="","",SUMIFS(#REF!,RM!$C$4:$C991,X692))</f>
        <v/>
      </c>
      <c r="AB692" t="e">
        <f t="shared" si="9"/>
        <v>#VALUE!</v>
      </c>
      <c r="AC692" t="str">
        <f>IF(X692="","",VLOOKUP($X692,RM!$C$4:$G991,3,FALSE))</f>
        <v/>
      </c>
      <c r="AD692" t="str">
        <f>IF(X692="","",VLOOKUP($X692,RM!$C$4:$G991,4,FALSE))</f>
        <v/>
      </c>
      <c r="AE692" t="str">
        <f>IF(X692="","",VLOOKUP($X692,RM!$C$4:$G991,5,FALSE))</f>
        <v/>
      </c>
      <c r="AK692" t="e">
        <f ca="1">_xludf.IFNA(VLOOKUP(AG692,'S-FG'!$B$3:$B1001,1,FALSE),"")</f>
        <v>#NAME?</v>
      </c>
      <c r="AL692" t="str">
        <f>IF(AH692="","",SUMIFS(#REF!,RM!$C$4:$C991,AH692))</f>
        <v/>
      </c>
    </row>
    <row r="693" spans="5:38">
      <c r="E693" t="str">
        <f>IF(A693="","",SUMIFS(Issue!$D$3:$D1001,Issue!$C$3:$C1001,A693)*C693)</f>
        <v/>
      </c>
      <c r="F693" t="e">
        <f ca="1">_xludf.IFNA(VLOOKUP(B693,'S-FG'!$B$3:$B1001,1,FALSE),"")</f>
        <v>#NAME?</v>
      </c>
      <c r="L693" t="str">
        <f t="shared" si="7"/>
        <v/>
      </c>
      <c r="Q693" t="str">
        <f>IF(N693="","",SUMIFS(Issue!$D$3:$D1001,Issue!$C$3:$C1001,N693))</f>
        <v/>
      </c>
      <c r="Y693" t="str">
        <f t="shared" si="8"/>
        <v/>
      </c>
      <c r="Z693" t="str">
        <f>IF(X693="","",SUMIFS(#REF!,RM!$C$4:$C991,X693))</f>
        <v/>
      </c>
      <c r="AA693" t="str">
        <f>IF(X693="","",SUMIFS(#REF!,RM!$C$4:$C991,X693))</f>
        <v/>
      </c>
      <c r="AB693" t="e">
        <f t="shared" si="9"/>
        <v>#VALUE!</v>
      </c>
      <c r="AC693" t="str">
        <f>IF(X693="","",VLOOKUP($X693,RM!$C$4:$G991,3,FALSE))</f>
        <v/>
      </c>
      <c r="AD693" t="str">
        <f>IF(X693="","",VLOOKUP($X693,RM!$C$4:$G991,4,FALSE))</f>
        <v/>
      </c>
      <c r="AE693" t="str">
        <f>IF(X693="","",VLOOKUP($X693,RM!$C$4:$G991,5,FALSE))</f>
        <v/>
      </c>
      <c r="AK693" t="e">
        <f ca="1">_xludf.IFNA(VLOOKUP(AG693,'S-FG'!$B$3:$B1001,1,FALSE),"")</f>
        <v>#NAME?</v>
      </c>
      <c r="AL693" t="str">
        <f>IF(AH693="","",SUMIFS(#REF!,RM!$C$4:$C991,AH693))</f>
        <v/>
      </c>
    </row>
    <row r="694" spans="5:38">
      <c r="E694" t="str">
        <f>IF(A694="","",SUMIFS(Issue!$D$3:$D1001,Issue!$C$3:$C1001,A694)*C694)</f>
        <v/>
      </c>
      <c r="F694" t="e">
        <f ca="1">_xludf.IFNA(VLOOKUP(B694,'S-FG'!$B$3:$B1001,1,FALSE),"")</f>
        <v>#NAME?</v>
      </c>
      <c r="L694" t="str">
        <f t="shared" si="7"/>
        <v/>
      </c>
      <c r="Q694" t="str">
        <f>IF(N694="","",SUMIFS(Issue!$D$3:$D1001,Issue!$C$3:$C1001,N694))</f>
        <v/>
      </c>
      <c r="Y694" t="str">
        <f t="shared" si="8"/>
        <v/>
      </c>
      <c r="Z694" t="str">
        <f>IF(X694="","",SUMIFS(#REF!,RM!$C$4:$C991,X694))</f>
        <v/>
      </c>
      <c r="AA694" t="str">
        <f>IF(X694="","",SUMIFS(#REF!,RM!$C$4:$C991,X694))</f>
        <v/>
      </c>
      <c r="AB694" t="e">
        <f t="shared" si="9"/>
        <v>#VALUE!</v>
      </c>
      <c r="AC694" t="str">
        <f>IF(X694="","",VLOOKUP($X694,RM!$C$4:$G991,3,FALSE))</f>
        <v/>
      </c>
      <c r="AD694" t="str">
        <f>IF(X694="","",VLOOKUP($X694,RM!$C$4:$G991,4,FALSE))</f>
        <v/>
      </c>
      <c r="AE694" t="str">
        <f>IF(X694="","",VLOOKUP($X694,RM!$C$4:$G991,5,FALSE))</f>
        <v/>
      </c>
      <c r="AK694" t="e">
        <f ca="1">_xludf.IFNA(VLOOKUP(AG694,'S-FG'!$B$3:$B1001,1,FALSE),"")</f>
        <v>#NAME?</v>
      </c>
      <c r="AL694" t="str">
        <f>IF(AH694="","",SUMIFS(#REF!,RM!$C$4:$C991,AH694))</f>
        <v/>
      </c>
    </row>
    <row r="695" spans="5:38">
      <c r="E695" t="str">
        <f>IF(A695="","",SUMIFS(Issue!$D$3:$D1001,Issue!$C$3:$C1001,A695)*C695)</f>
        <v/>
      </c>
      <c r="F695" t="e">
        <f ca="1">_xludf.IFNA(VLOOKUP(B695,'S-FG'!$B$3:$B1001,1,FALSE),"")</f>
        <v>#NAME?</v>
      </c>
      <c r="L695" t="str">
        <f t="shared" si="7"/>
        <v/>
      </c>
      <c r="Q695" t="str">
        <f>IF(N695="","",SUMIFS(Issue!$D$3:$D1001,Issue!$C$3:$C1001,N695))</f>
        <v/>
      </c>
      <c r="Y695" t="str">
        <f t="shared" si="8"/>
        <v/>
      </c>
      <c r="Z695" t="str">
        <f>IF(X695="","",SUMIFS(#REF!,RM!$C$4:$C991,X695))</f>
        <v/>
      </c>
      <c r="AA695" t="str">
        <f>IF(X695="","",SUMIFS(#REF!,RM!$C$4:$C991,X695))</f>
        <v/>
      </c>
      <c r="AB695" t="e">
        <f t="shared" si="9"/>
        <v>#VALUE!</v>
      </c>
      <c r="AC695" t="str">
        <f>IF(X695="","",VLOOKUP($X695,RM!$C$4:$G991,3,FALSE))</f>
        <v/>
      </c>
      <c r="AD695" t="str">
        <f>IF(X695="","",VLOOKUP($X695,RM!$C$4:$G991,4,FALSE))</f>
        <v/>
      </c>
      <c r="AE695" t="str">
        <f>IF(X695="","",VLOOKUP($X695,RM!$C$4:$G991,5,FALSE))</f>
        <v/>
      </c>
      <c r="AK695" t="e">
        <f ca="1">_xludf.IFNA(VLOOKUP(AG695,'S-FG'!$B$3:$B1001,1,FALSE),"")</f>
        <v>#NAME?</v>
      </c>
      <c r="AL695" t="str">
        <f>IF(AH695="","",SUMIFS(#REF!,RM!$C$4:$C991,AH695))</f>
        <v/>
      </c>
    </row>
    <row r="696" spans="5:38">
      <c r="E696" t="str">
        <f>IF(A696="","",SUMIFS(Issue!$D$3:$D1001,Issue!$C$3:$C1001,A696)*C696)</f>
        <v/>
      </c>
      <c r="F696" t="e">
        <f ca="1">_xludf.IFNA(VLOOKUP(B696,'S-FG'!$B$3:$B1001,1,FALSE),"")</f>
        <v>#NAME?</v>
      </c>
      <c r="L696" t="str">
        <f t="shared" si="7"/>
        <v/>
      </c>
      <c r="Q696" t="str">
        <f>IF(N696="","",SUMIFS(Issue!$D$3:$D1001,Issue!$C$3:$C1001,N696))</f>
        <v/>
      </c>
      <c r="Y696" t="str">
        <f t="shared" si="8"/>
        <v/>
      </c>
      <c r="Z696" t="str">
        <f>IF(X696="","",SUMIFS(#REF!,RM!$C$4:$C991,X696))</f>
        <v/>
      </c>
      <c r="AA696" t="str">
        <f>IF(X696="","",SUMIFS(#REF!,RM!$C$4:$C991,X696))</f>
        <v/>
      </c>
      <c r="AB696" t="e">
        <f t="shared" si="9"/>
        <v>#VALUE!</v>
      </c>
      <c r="AC696" t="str">
        <f>IF(X696="","",VLOOKUP($X696,RM!$C$4:$G991,3,FALSE))</f>
        <v/>
      </c>
      <c r="AD696" t="str">
        <f>IF(X696="","",VLOOKUP($X696,RM!$C$4:$G991,4,FALSE))</f>
        <v/>
      </c>
      <c r="AE696" t="str">
        <f>IF(X696="","",VLOOKUP($X696,RM!$C$4:$G991,5,FALSE))</f>
        <v/>
      </c>
      <c r="AK696" t="e">
        <f ca="1">_xludf.IFNA(VLOOKUP(AG696,'S-FG'!$B$3:$B1001,1,FALSE),"")</f>
        <v>#NAME?</v>
      </c>
      <c r="AL696" t="str">
        <f>IF(AH696="","",SUMIFS(#REF!,RM!$C$4:$C991,AH696))</f>
        <v/>
      </c>
    </row>
    <row r="697" spans="5:38">
      <c r="E697" t="str">
        <f>IF(A697="","",SUMIFS(Issue!$D$3:$D1001,Issue!$C$3:$C1001,A697)*C697)</f>
        <v/>
      </c>
      <c r="F697" t="e">
        <f ca="1">_xludf.IFNA(VLOOKUP(B697,'S-FG'!$B$3:$B1001,1,FALSE),"")</f>
        <v>#NAME?</v>
      </c>
      <c r="L697" t="str">
        <f t="shared" si="7"/>
        <v/>
      </c>
      <c r="Q697" t="str">
        <f>IF(N697="","",SUMIFS(Issue!$D$3:$D1001,Issue!$C$3:$C1001,N697))</f>
        <v/>
      </c>
      <c r="Y697" t="str">
        <f t="shared" si="8"/>
        <v/>
      </c>
      <c r="Z697" t="str">
        <f>IF(X697="","",SUMIFS(#REF!,RM!$C$4:$C991,X697))</f>
        <v/>
      </c>
      <c r="AA697" t="str">
        <f>IF(X697="","",SUMIFS(#REF!,RM!$C$4:$C991,X697))</f>
        <v/>
      </c>
      <c r="AB697" t="e">
        <f t="shared" si="9"/>
        <v>#VALUE!</v>
      </c>
      <c r="AC697" t="str">
        <f>IF(X697="","",VLOOKUP($X697,RM!$C$4:$G991,3,FALSE))</f>
        <v/>
      </c>
      <c r="AD697" t="str">
        <f>IF(X697="","",VLOOKUP($X697,RM!$C$4:$G991,4,FALSE))</f>
        <v/>
      </c>
      <c r="AE697" t="str">
        <f>IF(X697="","",VLOOKUP($X697,RM!$C$4:$G991,5,FALSE))</f>
        <v/>
      </c>
      <c r="AK697" t="e">
        <f ca="1">_xludf.IFNA(VLOOKUP(AG697,'S-FG'!$B$3:$B1001,1,FALSE),"")</f>
        <v>#NAME?</v>
      </c>
      <c r="AL697" t="str">
        <f>IF(AH697="","",SUMIFS(#REF!,RM!$C$4:$C991,AH697))</f>
        <v/>
      </c>
    </row>
    <row r="698" spans="5:38">
      <c r="E698" t="str">
        <f>IF(A698="","",SUMIFS(Issue!$D$3:$D1001,Issue!$C$3:$C1001,A698)*C698)</f>
        <v/>
      </c>
      <c r="F698" t="e">
        <f ca="1">_xludf.IFNA(VLOOKUP(B698,'S-FG'!$B$3:$B1001,1,FALSE),"")</f>
        <v>#NAME?</v>
      </c>
      <c r="L698" t="str">
        <f t="shared" si="7"/>
        <v/>
      </c>
      <c r="Q698" t="str">
        <f>IF(N698="","",SUMIFS(Issue!$D$3:$D1001,Issue!$C$3:$C1001,N698))</f>
        <v/>
      </c>
      <c r="Y698" t="str">
        <f t="shared" si="8"/>
        <v/>
      </c>
      <c r="Z698" t="str">
        <f>IF(X698="","",SUMIFS(#REF!,RM!$C$4:$C991,X698))</f>
        <v/>
      </c>
      <c r="AA698" t="str">
        <f>IF(X698="","",SUMIFS(#REF!,RM!$C$4:$C991,X698))</f>
        <v/>
      </c>
      <c r="AB698" t="e">
        <f t="shared" si="9"/>
        <v>#VALUE!</v>
      </c>
      <c r="AC698" t="str">
        <f>IF(X698="","",VLOOKUP($X698,RM!$C$4:$G991,3,FALSE))</f>
        <v/>
      </c>
      <c r="AD698" t="str">
        <f>IF(X698="","",VLOOKUP($X698,RM!$C$4:$G991,4,FALSE))</f>
        <v/>
      </c>
      <c r="AE698" t="str">
        <f>IF(X698="","",VLOOKUP($X698,RM!$C$4:$G991,5,FALSE))</f>
        <v/>
      </c>
      <c r="AK698" t="e">
        <f ca="1">_xludf.IFNA(VLOOKUP(AG698,'S-FG'!$B$3:$B1001,1,FALSE),"")</f>
        <v>#NAME?</v>
      </c>
      <c r="AL698" t="str">
        <f>IF(AH698="","",SUMIFS(#REF!,RM!$C$4:$C991,AH698))</f>
        <v/>
      </c>
    </row>
    <row r="699" spans="5:38">
      <c r="E699" t="str">
        <f>IF(A699="","",SUMIFS(Issue!$D$3:$D1001,Issue!$C$3:$C1001,A699)*C699)</f>
        <v/>
      </c>
      <c r="F699" t="e">
        <f ca="1">_xludf.IFNA(VLOOKUP(B699,'S-FG'!$B$3:$B1001,1,FALSE),"")</f>
        <v>#NAME?</v>
      </c>
      <c r="L699" t="str">
        <f t="shared" si="7"/>
        <v/>
      </c>
      <c r="Q699" t="str">
        <f>IF(N699="","",SUMIFS(Issue!$D$3:$D1001,Issue!$C$3:$C1001,N699))</f>
        <v/>
      </c>
      <c r="Y699" t="str">
        <f t="shared" si="8"/>
        <v/>
      </c>
      <c r="Z699" t="str">
        <f>IF(X699="","",SUMIFS(#REF!,RM!$C$4:$C991,X699))</f>
        <v/>
      </c>
      <c r="AA699" t="str">
        <f>IF(X699="","",SUMIFS(#REF!,RM!$C$4:$C991,X699))</f>
        <v/>
      </c>
      <c r="AB699" t="e">
        <f t="shared" si="9"/>
        <v>#VALUE!</v>
      </c>
      <c r="AC699" t="str">
        <f>IF(X699="","",VLOOKUP($X699,RM!$C$4:$G991,3,FALSE))</f>
        <v/>
      </c>
      <c r="AD699" t="str">
        <f>IF(X699="","",VLOOKUP($X699,RM!$C$4:$G991,4,FALSE))</f>
        <v/>
      </c>
      <c r="AE699" t="str">
        <f>IF(X699="","",VLOOKUP($X699,RM!$C$4:$G991,5,FALSE))</f>
        <v/>
      </c>
      <c r="AK699" t="e">
        <f ca="1">_xludf.IFNA(VLOOKUP(AG699,'S-FG'!$B$3:$B1001,1,FALSE),"")</f>
        <v>#NAME?</v>
      </c>
      <c r="AL699" t="str">
        <f>IF(AH699="","",SUMIFS(#REF!,RM!$C$4:$C991,AH699))</f>
        <v/>
      </c>
    </row>
    <row r="700" spans="5:38">
      <c r="E700" t="str">
        <f>IF(A700="","",SUMIFS(Issue!$D$3:$D1001,Issue!$C$3:$C1001,A700)*C700)</f>
        <v/>
      </c>
      <c r="F700" t="e">
        <f ca="1">_xludf.IFNA(VLOOKUP(B700,'S-FG'!$B$3:$B1001,1,FALSE),"")</f>
        <v>#NAME?</v>
      </c>
      <c r="L700" t="str">
        <f t="shared" si="7"/>
        <v/>
      </c>
      <c r="Q700" t="str">
        <f>IF(N700="","",SUMIFS(Issue!$D$3:$D1001,Issue!$C$3:$C1001,N700))</f>
        <v/>
      </c>
      <c r="Y700" t="str">
        <f t="shared" si="8"/>
        <v/>
      </c>
      <c r="Z700" t="str">
        <f>IF(X700="","",SUMIFS(#REF!,RM!$C$4:$C991,X700))</f>
        <v/>
      </c>
      <c r="AA700" t="str">
        <f>IF(X700="","",SUMIFS(#REF!,RM!$C$4:$C991,X700))</f>
        <v/>
      </c>
      <c r="AB700" t="e">
        <f t="shared" si="9"/>
        <v>#VALUE!</v>
      </c>
      <c r="AC700" t="str">
        <f>IF(X700="","",VLOOKUP($X700,RM!$C$4:$G991,3,FALSE))</f>
        <v/>
      </c>
      <c r="AD700" t="str">
        <f>IF(X700="","",VLOOKUP($X700,RM!$C$4:$G991,4,FALSE))</f>
        <v/>
      </c>
      <c r="AE700" t="str">
        <f>IF(X700="","",VLOOKUP($X700,RM!$C$4:$G991,5,FALSE))</f>
        <v/>
      </c>
      <c r="AK700" t="e">
        <f ca="1">_xludf.IFNA(VLOOKUP(AG700,'S-FG'!$B$3:$B1001,1,FALSE),"")</f>
        <v>#NAME?</v>
      </c>
      <c r="AL700" t="str">
        <f>IF(AH700="","",SUMIFS(#REF!,RM!$C$4:$C991,AH700))</f>
        <v/>
      </c>
    </row>
    <row r="701" spans="5:38">
      <c r="E701" t="str">
        <f>IF(A701="","",SUMIFS(Issue!$D$3:$D1001,Issue!$C$3:$C1001,A701)*C701)</f>
        <v/>
      </c>
      <c r="F701" t="e">
        <f ca="1">_xludf.IFNA(VLOOKUP(B701,'S-FG'!$B$3:$B1001,1,FALSE),"")</f>
        <v>#NAME?</v>
      </c>
      <c r="L701" t="str">
        <f t="shared" si="7"/>
        <v/>
      </c>
      <c r="Q701" t="str">
        <f>IF(N701="","",SUMIFS(Issue!$D$3:$D1001,Issue!$C$3:$C1001,N701))</f>
        <v/>
      </c>
      <c r="Y701" t="str">
        <f t="shared" si="8"/>
        <v/>
      </c>
      <c r="Z701" t="str">
        <f>IF(X701="","",SUMIFS(#REF!,RM!$C$4:$C991,X701))</f>
        <v/>
      </c>
      <c r="AA701" t="str">
        <f>IF(X701="","",SUMIFS(#REF!,RM!$C$4:$C991,X701))</f>
        <v/>
      </c>
      <c r="AB701" t="e">
        <f t="shared" si="9"/>
        <v>#VALUE!</v>
      </c>
      <c r="AC701" t="str">
        <f>IF(X701="","",VLOOKUP($X701,RM!$C$4:$G991,3,FALSE))</f>
        <v/>
      </c>
      <c r="AD701" t="str">
        <f>IF(X701="","",VLOOKUP($X701,RM!$C$4:$G991,4,FALSE))</f>
        <v/>
      </c>
      <c r="AE701" t="str">
        <f>IF(X701="","",VLOOKUP($X701,RM!$C$4:$G991,5,FALSE))</f>
        <v/>
      </c>
      <c r="AK701" t="e">
        <f ca="1">_xludf.IFNA(VLOOKUP(AG701,'S-FG'!$B$3:$B1001,1,FALSE),"")</f>
        <v>#NAME?</v>
      </c>
      <c r="AL701" t="str">
        <f>IF(AH701="","",SUMIFS(#REF!,RM!$C$4:$C991,AH701))</f>
        <v/>
      </c>
    </row>
    <row r="702" spans="5:38">
      <c r="E702" t="str">
        <f>IF(A702="","",SUMIFS(Issue!$D$3:$D1001,Issue!$C$3:$C1001,A702)*C702)</f>
        <v/>
      </c>
      <c r="F702" t="e">
        <f ca="1">_xludf.IFNA(VLOOKUP(B702,'S-FG'!$B$3:$B1001,1,FALSE),"")</f>
        <v>#NAME?</v>
      </c>
      <c r="L702" t="str">
        <f t="shared" si="7"/>
        <v/>
      </c>
      <c r="Q702" t="str">
        <f>IF(N702="","",SUMIFS(Issue!$D$3:$D1001,Issue!$C$3:$C1001,N702))</f>
        <v/>
      </c>
      <c r="Y702" t="str">
        <f t="shared" si="8"/>
        <v/>
      </c>
      <c r="Z702" t="str">
        <f>IF(X702="","",SUMIFS(#REF!,RM!$C$4:$C991,X702))</f>
        <v/>
      </c>
      <c r="AA702" t="str">
        <f>IF(X702="","",SUMIFS(#REF!,RM!$C$4:$C991,X702))</f>
        <v/>
      </c>
      <c r="AB702" t="e">
        <f t="shared" si="9"/>
        <v>#VALUE!</v>
      </c>
      <c r="AC702" t="str">
        <f>IF(X702="","",VLOOKUP($X702,RM!$C$4:$G991,3,FALSE))</f>
        <v/>
      </c>
      <c r="AD702" t="str">
        <f>IF(X702="","",VLOOKUP($X702,RM!$C$4:$G991,4,FALSE))</f>
        <v/>
      </c>
      <c r="AE702" t="str">
        <f>IF(X702="","",VLOOKUP($X702,RM!$C$4:$G991,5,FALSE))</f>
        <v/>
      </c>
      <c r="AK702" t="e">
        <f ca="1">_xludf.IFNA(VLOOKUP(AG702,'S-FG'!$B$3:$B1001,1,FALSE),"")</f>
        <v>#NAME?</v>
      </c>
      <c r="AL702" t="str">
        <f>IF(AH702="","",SUMIFS(#REF!,RM!$C$4:$C991,AH702))</f>
        <v/>
      </c>
    </row>
    <row r="703" spans="5:38">
      <c r="E703" t="str">
        <f>IF(A703="","",SUMIFS(Issue!$D$3:$D1001,Issue!$C$3:$C1001,A703)*C703)</f>
        <v/>
      </c>
      <c r="F703" t="e">
        <f ca="1">_xludf.IFNA(VLOOKUP(B703,'S-FG'!$B$3:$B1001,1,FALSE),"")</f>
        <v>#NAME?</v>
      </c>
      <c r="L703" t="str">
        <f t="shared" si="7"/>
        <v/>
      </c>
      <c r="Q703" t="str">
        <f>IF(N703="","",SUMIFS(Issue!$D$3:$D1001,Issue!$C$3:$C1001,N703))</f>
        <v/>
      </c>
      <c r="Y703" t="str">
        <f t="shared" si="8"/>
        <v/>
      </c>
      <c r="Z703" t="str">
        <f>IF(X703="","",SUMIFS(#REF!,RM!$C$4:$C991,X703))</f>
        <v/>
      </c>
      <c r="AA703" t="str">
        <f>IF(X703="","",SUMIFS(#REF!,RM!$C$4:$C991,X703))</f>
        <v/>
      </c>
      <c r="AB703" t="e">
        <f t="shared" si="9"/>
        <v>#VALUE!</v>
      </c>
      <c r="AC703" t="str">
        <f>IF(X703="","",VLOOKUP($X703,RM!$C$4:$G991,3,FALSE))</f>
        <v/>
      </c>
      <c r="AD703" t="str">
        <f>IF(X703="","",VLOOKUP($X703,RM!$C$4:$G991,4,FALSE))</f>
        <v/>
      </c>
      <c r="AE703" t="str">
        <f>IF(X703="","",VLOOKUP($X703,RM!$C$4:$G991,5,FALSE))</f>
        <v/>
      </c>
      <c r="AK703" t="e">
        <f ca="1">_xludf.IFNA(VLOOKUP(AG703,'S-FG'!$B$3:$B1001,1,FALSE),"")</f>
        <v>#NAME?</v>
      </c>
      <c r="AL703" t="str">
        <f>IF(AH703="","",SUMIFS(#REF!,RM!$C$4:$C991,AH703))</f>
        <v/>
      </c>
    </row>
    <row r="704" spans="5:38">
      <c r="E704" t="str">
        <f>IF(A704="","",SUMIFS(Issue!$D$3:$D1001,Issue!$C$3:$C1001,A704)*C704)</f>
        <v/>
      </c>
      <c r="F704" t="e">
        <f ca="1">_xludf.IFNA(VLOOKUP(B704,'S-FG'!$B$3:$B1001,1,FALSE),"")</f>
        <v>#NAME?</v>
      </c>
      <c r="L704" t="str">
        <f t="shared" si="7"/>
        <v/>
      </c>
      <c r="Q704" t="str">
        <f>IF(N704="","",SUMIFS(Issue!$D$3:$D1001,Issue!$C$3:$C1001,N704))</f>
        <v/>
      </c>
      <c r="Y704" t="str">
        <f t="shared" si="8"/>
        <v/>
      </c>
      <c r="Z704" t="str">
        <f>IF(X704="","",SUMIFS(#REF!,RM!$C$4:$C991,X704))</f>
        <v/>
      </c>
      <c r="AA704" t="str">
        <f>IF(X704="","",SUMIFS(#REF!,RM!$C$4:$C991,X704))</f>
        <v/>
      </c>
      <c r="AB704" t="e">
        <f t="shared" si="9"/>
        <v>#VALUE!</v>
      </c>
      <c r="AC704" t="str">
        <f>IF(X704="","",VLOOKUP($X704,RM!$C$4:$G991,3,FALSE))</f>
        <v/>
      </c>
      <c r="AD704" t="str">
        <f>IF(X704="","",VLOOKUP($X704,RM!$C$4:$G991,4,FALSE))</f>
        <v/>
      </c>
      <c r="AE704" t="str">
        <f>IF(X704="","",VLOOKUP($X704,RM!$C$4:$G991,5,FALSE))</f>
        <v/>
      </c>
      <c r="AK704" t="e">
        <f ca="1">_xludf.IFNA(VLOOKUP(AG704,'S-FG'!$B$3:$B1001,1,FALSE),"")</f>
        <v>#NAME?</v>
      </c>
      <c r="AL704" t="str">
        <f>IF(AH704="","",SUMIFS(#REF!,RM!$C$4:$C991,AH704))</f>
        <v/>
      </c>
    </row>
    <row r="705" spans="5:38">
      <c r="E705" t="str">
        <f>IF(A705="","",SUMIFS(Issue!$D$3:$D1001,Issue!$C$3:$C1001,A705)*C705)</f>
        <v/>
      </c>
      <c r="F705" t="e">
        <f ca="1">_xludf.IFNA(VLOOKUP(B705,'S-FG'!$B$3:$B1001,1,FALSE),"")</f>
        <v>#NAME?</v>
      </c>
      <c r="L705" t="str">
        <f t="shared" si="7"/>
        <v/>
      </c>
      <c r="Q705" t="str">
        <f>IF(N705="","",SUMIFS(Issue!$D$3:$D1001,Issue!$C$3:$C1001,N705))</f>
        <v/>
      </c>
      <c r="Y705" t="str">
        <f t="shared" si="8"/>
        <v/>
      </c>
      <c r="Z705" t="str">
        <f>IF(X705="","",SUMIFS(#REF!,RM!$C$4:$C991,X705))</f>
        <v/>
      </c>
      <c r="AA705" t="str">
        <f>IF(X705="","",SUMIFS(#REF!,RM!$C$4:$C991,X705))</f>
        <v/>
      </c>
      <c r="AB705" t="e">
        <f t="shared" si="9"/>
        <v>#VALUE!</v>
      </c>
      <c r="AC705" t="str">
        <f>IF(X705="","",VLOOKUP($X705,RM!$C$4:$G991,3,FALSE))</f>
        <v/>
      </c>
      <c r="AD705" t="str">
        <f>IF(X705="","",VLOOKUP($X705,RM!$C$4:$G991,4,FALSE))</f>
        <v/>
      </c>
      <c r="AE705" t="str">
        <f>IF(X705="","",VLOOKUP($X705,RM!$C$4:$G991,5,FALSE))</f>
        <v/>
      </c>
      <c r="AK705" t="e">
        <f ca="1">_xludf.IFNA(VLOOKUP(AG705,'S-FG'!$B$3:$B1001,1,FALSE),"")</f>
        <v>#NAME?</v>
      </c>
      <c r="AL705" t="str">
        <f>IF(AH705="","",SUMIFS(#REF!,RM!$C$4:$C991,AH705))</f>
        <v/>
      </c>
    </row>
    <row r="706" spans="5:38">
      <c r="E706" t="str">
        <f>IF(A706="","",SUMIFS(Issue!$D$3:$D1001,Issue!$C$3:$C1001,A706)*C706)</f>
        <v/>
      </c>
      <c r="F706" t="e">
        <f ca="1">_xludf.IFNA(VLOOKUP(B706,'S-FG'!$B$3:$B1001,1,FALSE),"")</f>
        <v>#NAME?</v>
      </c>
      <c r="L706" t="str">
        <f t="shared" si="7"/>
        <v/>
      </c>
      <c r="Q706" t="str">
        <f>IF(N706="","",SUMIFS(Issue!$D$3:$D1001,Issue!$C$3:$C1001,N706))</f>
        <v/>
      </c>
      <c r="Y706" t="str">
        <f t="shared" si="8"/>
        <v/>
      </c>
      <c r="Z706" t="str">
        <f>IF(X706="","",SUMIFS(#REF!,RM!$C$4:$C991,X706))</f>
        <v/>
      </c>
      <c r="AA706" t="str">
        <f>IF(X706="","",SUMIFS(#REF!,RM!$C$4:$C991,X706))</f>
        <v/>
      </c>
      <c r="AB706" t="e">
        <f t="shared" si="9"/>
        <v>#VALUE!</v>
      </c>
      <c r="AC706" t="str">
        <f>IF(X706="","",VLOOKUP($X706,RM!$C$4:$G991,3,FALSE))</f>
        <v/>
      </c>
      <c r="AD706" t="str">
        <f>IF(X706="","",VLOOKUP($X706,RM!$C$4:$G991,4,FALSE))</f>
        <v/>
      </c>
      <c r="AE706" t="str">
        <f>IF(X706="","",VLOOKUP($X706,RM!$C$4:$G991,5,FALSE))</f>
        <v/>
      </c>
      <c r="AK706" t="e">
        <f ca="1">_xludf.IFNA(VLOOKUP(AG706,'S-FG'!$B$3:$B1001,1,FALSE),"")</f>
        <v>#NAME?</v>
      </c>
      <c r="AL706" t="str">
        <f>IF(AH706="","",SUMIFS(#REF!,RM!$C$4:$C991,AH706))</f>
        <v/>
      </c>
    </row>
    <row r="707" spans="5:38">
      <c r="E707" t="str">
        <f>IF(A707="","",SUMIFS(Issue!$D$3:$D1001,Issue!$C$3:$C1001,A707)*C707)</f>
        <v/>
      </c>
      <c r="F707" t="e">
        <f ca="1">_xludf.IFNA(VLOOKUP(B707,'S-FG'!$B$3:$B1001,1,FALSE),"")</f>
        <v>#NAME?</v>
      </c>
      <c r="L707" t="str">
        <f t="shared" si="7"/>
        <v/>
      </c>
      <c r="Q707" t="str">
        <f>IF(N707="","",SUMIFS(Issue!$D$3:$D1001,Issue!$C$3:$C1001,N707))</f>
        <v/>
      </c>
      <c r="Y707" t="str">
        <f t="shared" si="8"/>
        <v/>
      </c>
      <c r="Z707" t="str">
        <f>IF(X707="","",SUMIFS(#REF!,RM!$C$4:$C991,X707))</f>
        <v/>
      </c>
      <c r="AA707" t="str">
        <f>IF(X707="","",SUMIFS(#REF!,RM!$C$4:$C991,X707))</f>
        <v/>
      </c>
      <c r="AB707" t="e">
        <f t="shared" si="9"/>
        <v>#VALUE!</v>
      </c>
      <c r="AC707" t="str">
        <f>IF(X707="","",VLOOKUP($X707,RM!$C$4:$G991,3,FALSE))</f>
        <v/>
      </c>
      <c r="AD707" t="str">
        <f>IF(X707="","",VLOOKUP($X707,RM!$C$4:$G991,4,FALSE))</f>
        <v/>
      </c>
      <c r="AE707" t="str">
        <f>IF(X707="","",VLOOKUP($X707,RM!$C$4:$G991,5,FALSE))</f>
        <v/>
      </c>
      <c r="AK707" t="e">
        <f ca="1">_xludf.IFNA(VLOOKUP(AG707,'S-FG'!$B$3:$B1001,1,FALSE),"")</f>
        <v>#NAME?</v>
      </c>
      <c r="AL707" t="str">
        <f>IF(AH707="","",SUMIFS(#REF!,RM!$C$4:$C991,AH707))</f>
        <v/>
      </c>
    </row>
    <row r="708" spans="5:38">
      <c r="E708" t="str">
        <f>IF(A708="","",SUMIFS(Issue!$D$3:$D1001,Issue!$C$3:$C1001,A708)*C708)</f>
        <v/>
      </c>
      <c r="F708" t="e">
        <f ca="1">_xludf.IFNA(VLOOKUP(B708,'S-FG'!$B$3:$B1001,1,FALSE),"")</f>
        <v>#NAME?</v>
      </c>
      <c r="L708" t="str">
        <f t="shared" si="7"/>
        <v/>
      </c>
      <c r="Q708" t="str">
        <f>IF(N708="","",SUMIFS(Issue!$D$3:$D1001,Issue!$C$3:$C1001,N708))</f>
        <v/>
      </c>
      <c r="Y708" t="str">
        <f t="shared" si="8"/>
        <v/>
      </c>
      <c r="Z708" t="str">
        <f>IF(X708="","",SUMIFS(#REF!,RM!$C$4:$C991,X708))</f>
        <v/>
      </c>
      <c r="AA708" t="str">
        <f>IF(X708="","",SUMIFS(#REF!,RM!$C$4:$C991,X708))</f>
        <v/>
      </c>
      <c r="AB708" t="e">
        <f t="shared" si="9"/>
        <v>#VALUE!</v>
      </c>
      <c r="AC708" t="str">
        <f>IF(X708="","",VLOOKUP($X708,RM!$C$4:$G991,3,FALSE))</f>
        <v/>
      </c>
      <c r="AD708" t="str">
        <f>IF(X708="","",VLOOKUP($X708,RM!$C$4:$G991,4,FALSE))</f>
        <v/>
      </c>
      <c r="AE708" t="str">
        <f>IF(X708="","",VLOOKUP($X708,RM!$C$4:$G991,5,FALSE))</f>
        <v/>
      </c>
      <c r="AK708" t="e">
        <f ca="1">_xludf.IFNA(VLOOKUP(AG708,'S-FG'!$B$3:$B1001,1,FALSE),"")</f>
        <v>#NAME?</v>
      </c>
      <c r="AL708" t="str">
        <f>IF(AH708="","",SUMIFS(#REF!,RM!$C$4:$C991,AH708))</f>
        <v/>
      </c>
    </row>
    <row r="709" spans="5:38">
      <c r="E709" t="str">
        <f>IF(A709="","",SUMIFS(Issue!$D$3:$D1001,Issue!$C$3:$C1001,A709)*C709)</f>
        <v/>
      </c>
      <c r="F709" t="e">
        <f ca="1">_xludf.IFNA(VLOOKUP(B709,'S-FG'!$B$3:$B1001,1,FALSE),"")</f>
        <v>#NAME?</v>
      </c>
      <c r="L709" t="str">
        <f t="shared" si="7"/>
        <v/>
      </c>
      <c r="Q709" t="str">
        <f>IF(N709="","",SUMIFS(Issue!$D$3:$D1001,Issue!$C$3:$C1001,N709))</f>
        <v/>
      </c>
      <c r="Y709" t="str">
        <f t="shared" si="8"/>
        <v/>
      </c>
      <c r="Z709" t="str">
        <f>IF(X709="","",SUMIFS(#REF!,RM!$C$4:$C991,X709))</f>
        <v/>
      </c>
      <c r="AA709" t="str">
        <f>IF(X709="","",SUMIFS(#REF!,RM!$C$4:$C991,X709))</f>
        <v/>
      </c>
      <c r="AB709" t="e">
        <f t="shared" si="9"/>
        <v>#VALUE!</v>
      </c>
      <c r="AC709" t="str">
        <f>IF(X709="","",VLOOKUP($X709,RM!$C$4:$G991,3,FALSE))</f>
        <v/>
      </c>
      <c r="AD709" t="str">
        <f>IF(X709="","",VLOOKUP($X709,RM!$C$4:$G991,4,FALSE))</f>
        <v/>
      </c>
      <c r="AE709" t="str">
        <f>IF(X709="","",VLOOKUP($X709,RM!$C$4:$G991,5,FALSE))</f>
        <v/>
      </c>
      <c r="AK709" t="e">
        <f ca="1">_xludf.IFNA(VLOOKUP(AG709,'S-FG'!$B$3:$B1001,1,FALSE),"")</f>
        <v>#NAME?</v>
      </c>
      <c r="AL709" t="str">
        <f>IF(AH709="","",SUMIFS(#REF!,RM!$C$4:$C991,AH709))</f>
        <v/>
      </c>
    </row>
    <row r="710" spans="5:38">
      <c r="E710" t="str">
        <f>IF(A710="","",SUMIFS(Issue!$D$3:$D1001,Issue!$C$3:$C1001,A710)*C710)</f>
        <v/>
      </c>
      <c r="F710" t="e">
        <f ca="1">_xludf.IFNA(VLOOKUP(B710,'S-FG'!$B$3:$B1001,1,FALSE),"")</f>
        <v>#NAME?</v>
      </c>
      <c r="L710" t="str">
        <f t="shared" si="7"/>
        <v/>
      </c>
      <c r="Q710" t="str">
        <f>IF(N710="","",SUMIFS(Issue!$D$3:$D1001,Issue!$C$3:$C1001,N710))</f>
        <v/>
      </c>
      <c r="Y710" t="str">
        <f t="shared" si="8"/>
        <v/>
      </c>
      <c r="Z710" t="str">
        <f>IF(X710="","",SUMIFS(#REF!,RM!$C$4:$C991,X710))</f>
        <v/>
      </c>
      <c r="AA710" t="str">
        <f>IF(X710="","",SUMIFS(#REF!,RM!$C$4:$C991,X710))</f>
        <v/>
      </c>
      <c r="AB710" t="e">
        <f t="shared" si="9"/>
        <v>#VALUE!</v>
      </c>
      <c r="AC710" t="str">
        <f>IF(X710="","",VLOOKUP($X710,RM!$C$4:$G991,3,FALSE))</f>
        <v/>
      </c>
      <c r="AD710" t="str">
        <f>IF(X710="","",VLOOKUP($X710,RM!$C$4:$G991,4,FALSE))</f>
        <v/>
      </c>
      <c r="AE710" t="str">
        <f>IF(X710="","",VLOOKUP($X710,RM!$C$4:$G991,5,FALSE))</f>
        <v/>
      </c>
      <c r="AK710" t="e">
        <f ca="1">_xludf.IFNA(VLOOKUP(AG710,'S-FG'!$B$3:$B1001,1,FALSE),"")</f>
        <v>#NAME?</v>
      </c>
      <c r="AL710" t="str">
        <f>IF(AH710="","",SUMIFS(#REF!,RM!$C$4:$C991,AH710))</f>
        <v/>
      </c>
    </row>
    <row r="711" spans="5:38">
      <c r="E711" t="str">
        <f>IF(A711="","",SUMIFS(Issue!$D$3:$D1001,Issue!$C$3:$C1001,A711)*C711)</f>
        <v/>
      </c>
      <c r="F711" t="e">
        <f ca="1">_xludf.IFNA(VLOOKUP(B711,'S-FG'!$B$3:$B1001,1,FALSE),"")</f>
        <v>#NAME?</v>
      </c>
      <c r="L711" t="str">
        <f t="shared" si="7"/>
        <v/>
      </c>
      <c r="Q711" t="str">
        <f>IF(N711="","",SUMIFS(Issue!$D$3:$D1001,Issue!$C$3:$C1001,N711))</f>
        <v/>
      </c>
      <c r="Y711" t="str">
        <f t="shared" si="8"/>
        <v/>
      </c>
      <c r="Z711" t="str">
        <f>IF(X711="","",SUMIFS(#REF!,RM!$C$4:$C991,X711))</f>
        <v/>
      </c>
      <c r="AA711" t="str">
        <f>IF(X711="","",SUMIFS(#REF!,RM!$C$4:$C991,X711))</f>
        <v/>
      </c>
      <c r="AB711" t="e">
        <f t="shared" si="9"/>
        <v>#VALUE!</v>
      </c>
      <c r="AC711" t="str">
        <f>IF(X711="","",VLOOKUP($X711,RM!$C$4:$G991,3,FALSE))</f>
        <v/>
      </c>
      <c r="AD711" t="str">
        <f>IF(X711="","",VLOOKUP($X711,RM!$C$4:$G991,4,FALSE))</f>
        <v/>
      </c>
      <c r="AE711" t="str">
        <f>IF(X711="","",VLOOKUP($X711,RM!$C$4:$G991,5,FALSE))</f>
        <v/>
      </c>
      <c r="AK711" t="e">
        <f ca="1">_xludf.IFNA(VLOOKUP(AG711,'S-FG'!$B$3:$B1001,1,FALSE),"")</f>
        <v>#NAME?</v>
      </c>
      <c r="AL711" t="str">
        <f>IF(AH711="","",SUMIFS(#REF!,RM!$C$4:$C991,AH711))</f>
        <v/>
      </c>
    </row>
    <row r="712" spans="5:38">
      <c r="E712" t="str">
        <f>IF(A712="","",SUMIFS(Issue!$D$3:$D1001,Issue!$C$3:$C1001,A712)*C712)</f>
        <v/>
      </c>
      <c r="F712" t="e">
        <f ca="1">_xludf.IFNA(VLOOKUP(B712,'S-FG'!$B$3:$B1001,1,FALSE),"")</f>
        <v>#NAME?</v>
      </c>
      <c r="L712" t="str">
        <f t="shared" si="7"/>
        <v/>
      </c>
      <c r="Q712" t="str">
        <f>IF(N712="","",SUMIFS(Issue!$D$3:$D1001,Issue!$C$3:$C1001,N712))</f>
        <v/>
      </c>
      <c r="Y712" t="str">
        <f t="shared" si="8"/>
        <v/>
      </c>
      <c r="Z712" t="str">
        <f>IF(X712="","",SUMIFS(#REF!,RM!$C$4:$C991,X712))</f>
        <v/>
      </c>
      <c r="AA712" t="str">
        <f>IF(X712="","",SUMIFS(#REF!,RM!$C$4:$C991,X712))</f>
        <v/>
      </c>
      <c r="AB712" t="e">
        <f t="shared" si="9"/>
        <v>#VALUE!</v>
      </c>
      <c r="AC712" t="str">
        <f>IF(X712="","",VLOOKUP($X712,RM!$C$4:$G991,3,FALSE))</f>
        <v/>
      </c>
      <c r="AD712" t="str">
        <f>IF(X712="","",VLOOKUP($X712,RM!$C$4:$G991,4,FALSE))</f>
        <v/>
      </c>
      <c r="AE712" t="str">
        <f>IF(X712="","",VLOOKUP($X712,RM!$C$4:$G991,5,FALSE))</f>
        <v/>
      </c>
      <c r="AK712" t="e">
        <f ca="1">_xludf.IFNA(VLOOKUP(AG712,'S-FG'!$B$3:$B1001,1,FALSE),"")</f>
        <v>#NAME?</v>
      </c>
      <c r="AL712" t="str">
        <f>IF(AH712="","",SUMIFS(#REF!,RM!$C$4:$C991,AH712))</f>
        <v/>
      </c>
    </row>
    <row r="713" spans="5:38">
      <c r="E713" t="str">
        <f>IF(A713="","",SUMIFS(Issue!$D$3:$D1001,Issue!$C$3:$C1001,A713)*C713)</f>
        <v/>
      </c>
      <c r="F713" t="e">
        <f ca="1">_xludf.IFNA(VLOOKUP(B713,'S-FG'!$B$3:$B1001,1,FALSE),"")</f>
        <v>#NAME?</v>
      </c>
      <c r="L713" t="str">
        <f t="shared" si="7"/>
        <v/>
      </c>
      <c r="Q713" t="str">
        <f>IF(N713="","",SUMIFS(Issue!$D$3:$D1001,Issue!$C$3:$C1001,N713))</f>
        <v/>
      </c>
      <c r="Y713" t="str">
        <f t="shared" si="8"/>
        <v/>
      </c>
      <c r="Z713" t="str">
        <f>IF(X713="","",SUMIFS(#REF!,RM!$C$4:$C991,X713))</f>
        <v/>
      </c>
      <c r="AA713" t="str">
        <f>IF(X713="","",SUMIFS(#REF!,RM!$C$4:$C991,X713))</f>
        <v/>
      </c>
      <c r="AB713" t="e">
        <f t="shared" si="9"/>
        <v>#VALUE!</v>
      </c>
      <c r="AC713" t="str">
        <f>IF(X713="","",VLOOKUP($X713,RM!$C$4:$G991,3,FALSE))</f>
        <v/>
      </c>
      <c r="AD713" t="str">
        <f>IF(X713="","",VLOOKUP($X713,RM!$C$4:$G991,4,FALSE))</f>
        <v/>
      </c>
      <c r="AE713" t="str">
        <f>IF(X713="","",VLOOKUP($X713,RM!$C$4:$G991,5,FALSE))</f>
        <v/>
      </c>
      <c r="AK713" t="e">
        <f ca="1">_xludf.IFNA(VLOOKUP(AG713,'S-FG'!$B$3:$B1001,1,FALSE),"")</f>
        <v>#NAME?</v>
      </c>
      <c r="AL713" t="str">
        <f>IF(AH713="","",SUMIFS(#REF!,RM!$C$4:$C991,AH713))</f>
        <v/>
      </c>
    </row>
    <row r="714" spans="5:38">
      <c r="E714" t="str">
        <f>IF(A714="","",SUMIFS(Issue!$D$3:$D1001,Issue!$C$3:$C1001,A714)*C714)</f>
        <v/>
      </c>
      <c r="F714" t="e">
        <f ca="1">_xludf.IFNA(VLOOKUP(B714,'S-FG'!$B$3:$B1001,1,FALSE),"")</f>
        <v>#NAME?</v>
      </c>
      <c r="L714" t="str">
        <f t="shared" si="7"/>
        <v/>
      </c>
      <c r="Q714" t="str">
        <f>IF(N714="","",SUMIFS(Issue!$D$3:$D1001,Issue!$C$3:$C1001,N714))</f>
        <v/>
      </c>
      <c r="Y714" t="str">
        <f t="shared" si="8"/>
        <v/>
      </c>
      <c r="Z714" t="str">
        <f>IF(X714="","",SUMIFS(#REF!,RM!$C$4:$C991,X714))</f>
        <v/>
      </c>
      <c r="AA714" t="str">
        <f>IF(X714="","",SUMIFS(#REF!,RM!$C$4:$C991,X714))</f>
        <v/>
      </c>
      <c r="AB714" t="e">
        <f t="shared" si="9"/>
        <v>#VALUE!</v>
      </c>
      <c r="AC714" t="str">
        <f>IF(X714="","",VLOOKUP($X714,RM!$C$4:$G991,3,FALSE))</f>
        <v/>
      </c>
      <c r="AD714" t="str">
        <f>IF(X714="","",VLOOKUP($X714,RM!$C$4:$G991,4,FALSE))</f>
        <v/>
      </c>
      <c r="AE714" t="str">
        <f>IF(X714="","",VLOOKUP($X714,RM!$C$4:$G991,5,FALSE))</f>
        <v/>
      </c>
      <c r="AK714" t="e">
        <f ca="1">_xludf.IFNA(VLOOKUP(AG714,'S-FG'!$B$3:$B1001,1,FALSE),"")</f>
        <v>#NAME?</v>
      </c>
      <c r="AL714" t="str">
        <f>IF(AH714="","",SUMIFS(#REF!,RM!$C$4:$C991,AH714))</f>
        <v/>
      </c>
    </row>
    <row r="715" spans="5:38">
      <c r="E715" t="str">
        <f>IF(A715="","",SUMIFS(Issue!$D$3:$D1001,Issue!$C$3:$C1001,A715)*C715)</f>
        <v/>
      </c>
      <c r="F715" t="e">
        <f ca="1">_xludf.IFNA(VLOOKUP(B715,'S-FG'!$B$3:$B1001,1,FALSE),"")</f>
        <v>#NAME?</v>
      </c>
      <c r="L715" t="str">
        <f t="shared" si="7"/>
        <v/>
      </c>
      <c r="Q715" t="str">
        <f>IF(N715="","",SUMIFS(Issue!$D$3:$D1001,Issue!$C$3:$C1001,N715))</f>
        <v/>
      </c>
      <c r="Y715" t="str">
        <f t="shared" si="8"/>
        <v/>
      </c>
      <c r="Z715" t="str">
        <f>IF(X715="","",SUMIFS(#REF!,RM!$C$4:$C991,X715))</f>
        <v/>
      </c>
      <c r="AA715" t="str">
        <f>IF(X715="","",SUMIFS(#REF!,RM!$C$4:$C991,X715))</f>
        <v/>
      </c>
      <c r="AB715" t="e">
        <f t="shared" si="9"/>
        <v>#VALUE!</v>
      </c>
      <c r="AC715" t="str">
        <f>IF(X715="","",VLOOKUP($X715,RM!$C$4:$G991,3,FALSE))</f>
        <v/>
      </c>
      <c r="AD715" t="str">
        <f>IF(X715="","",VLOOKUP($X715,RM!$C$4:$G991,4,FALSE))</f>
        <v/>
      </c>
      <c r="AE715" t="str">
        <f>IF(X715="","",VLOOKUP($X715,RM!$C$4:$G991,5,FALSE))</f>
        <v/>
      </c>
      <c r="AK715" t="e">
        <f ca="1">_xludf.IFNA(VLOOKUP(AG715,'S-FG'!$B$3:$B1001,1,FALSE),"")</f>
        <v>#NAME?</v>
      </c>
      <c r="AL715" t="str">
        <f>IF(AH715="","",SUMIFS(#REF!,RM!$C$4:$C991,AH715))</f>
        <v/>
      </c>
    </row>
    <row r="716" spans="5:38">
      <c r="E716" t="str">
        <f>IF(A716="","",SUMIFS(Issue!$D$3:$D1001,Issue!$C$3:$C1001,A716)*C716)</f>
        <v/>
      </c>
      <c r="F716" t="e">
        <f ca="1">_xludf.IFNA(VLOOKUP(B716,'S-FG'!$B$3:$B1001,1,FALSE),"")</f>
        <v>#NAME?</v>
      </c>
      <c r="L716" t="str">
        <f t="shared" si="7"/>
        <v/>
      </c>
      <c r="Q716" t="str">
        <f>IF(N716="","",SUMIFS(Issue!$D$3:$D1001,Issue!$C$3:$C1001,N716))</f>
        <v/>
      </c>
      <c r="Y716" t="str">
        <f t="shared" si="8"/>
        <v/>
      </c>
      <c r="Z716" t="str">
        <f>IF(X716="","",SUMIFS(#REF!,RM!$C$4:$C991,X716))</f>
        <v/>
      </c>
      <c r="AA716" t="str">
        <f>IF(X716="","",SUMIFS(#REF!,RM!$C$4:$C991,X716))</f>
        <v/>
      </c>
      <c r="AB716" t="e">
        <f t="shared" si="9"/>
        <v>#VALUE!</v>
      </c>
      <c r="AC716" t="str">
        <f>IF(X716="","",VLOOKUP($X716,RM!$C$4:$G991,3,FALSE))</f>
        <v/>
      </c>
      <c r="AD716" t="str">
        <f>IF(X716="","",VLOOKUP($X716,RM!$C$4:$G991,4,FALSE))</f>
        <v/>
      </c>
      <c r="AE716" t="str">
        <f>IF(X716="","",VLOOKUP($X716,RM!$C$4:$G991,5,FALSE))</f>
        <v/>
      </c>
      <c r="AK716" t="e">
        <f ca="1">_xludf.IFNA(VLOOKUP(AG716,'S-FG'!$B$3:$B1001,1,FALSE),"")</f>
        <v>#NAME?</v>
      </c>
      <c r="AL716" t="str">
        <f>IF(AH716="","",SUMIFS(#REF!,RM!$C$4:$C991,AH716))</f>
        <v/>
      </c>
    </row>
    <row r="717" spans="5:38">
      <c r="E717" t="str">
        <f>IF(A717="","",SUMIFS(Issue!$D$3:$D1001,Issue!$C$3:$C1001,A717)*C717)</f>
        <v/>
      </c>
      <c r="F717" t="e">
        <f ca="1">_xludf.IFNA(VLOOKUP(B717,'S-FG'!$B$3:$B1001,1,FALSE),"")</f>
        <v>#NAME?</v>
      </c>
      <c r="L717" t="str">
        <f t="shared" si="7"/>
        <v/>
      </c>
      <c r="Q717" t="str">
        <f>IF(N717="","",SUMIFS(Issue!$D$3:$D1001,Issue!$C$3:$C1001,N717))</f>
        <v/>
      </c>
      <c r="Y717" t="str">
        <f t="shared" si="8"/>
        <v/>
      </c>
      <c r="Z717" t="str">
        <f>IF(X717="","",SUMIFS(#REF!,RM!$C$4:$C991,X717))</f>
        <v/>
      </c>
      <c r="AA717" t="str">
        <f>IF(X717="","",SUMIFS(#REF!,RM!$C$4:$C991,X717))</f>
        <v/>
      </c>
      <c r="AB717" t="e">
        <f t="shared" si="9"/>
        <v>#VALUE!</v>
      </c>
      <c r="AC717" t="str">
        <f>IF(X717="","",VLOOKUP($X717,RM!$C$4:$G991,3,FALSE))</f>
        <v/>
      </c>
      <c r="AD717" t="str">
        <f>IF(X717="","",VLOOKUP($X717,RM!$C$4:$G991,4,FALSE))</f>
        <v/>
      </c>
      <c r="AE717" t="str">
        <f>IF(X717="","",VLOOKUP($X717,RM!$C$4:$G991,5,FALSE))</f>
        <v/>
      </c>
      <c r="AK717" t="e">
        <f ca="1">_xludf.IFNA(VLOOKUP(AG717,'S-FG'!$B$3:$B1001,1,FALSE),"")</f>
        <v>#NAME?</v>
      </c>
      <c r="AL717" t="str">
        <f>IF(AH717="","",SUMIFS(#REF!,RM!$C$4:$C991,AH717))</f>
        <v/>
      </c>
    </row>
    <row r="718" spans="5:38">
      <c r="E718" t="str">
        <f>IF(A718="","",SUMIFS(Issue!$D$3:$D1001,Issue!$C$3:$C1001,A718)*C718)</f>
        <v/>
      </c>
      <c r="F718" t="e">
        <f ca="1">_xludf.IFNA(VLOOKUP(B718,'S-FG'!$B$3:$B1001,1,FALSE),"")</f>
        <v>#NAME?</v>
      </c>
      <c r="L718" t="str">
        <f t="shared" si="7"/>
        <v/>
      </c>
      <c r="Q718" t="str">
        <f>IF(N718="","",SUMIFS(Issue!$D$3:$D1001,Issue!$C$3:$C1001,N718))</f>
        <v/>
      </c>
      <c r="Y718" t="str">
        <f t="shared" si="8"/>
        <v/>
      </c>
      <c r="Z718" t="str">
        <f>IF(X718="","",SUMIFS(#REF!,RM!$C$4:$C991,X718))</f>
        <v/>
      </c>
      <c r="AA718" t="str">
        <f>IF(X718="","",SUMIFS(#REF!,RM!$C$4:$C991,X718))</f>
        <v/>
      </c>
      <c r="AB718" t="e">
        <f t="shared" si="9"/>
        <v>#VALUE!</v>
      </c>
      <c r="AC718" t="str">
        <f>IF(X718="","",VLOOKUP($X718,RM!$C$4:$G991,3,FALSE))</f>
        <v/>
      </c>
      <c r="AD718" t="str">
        <f>IF(X718="","",VLOOKUP($X718,RM!$C$4:$G991,4,FALSE))</f>
        <v/>
      </c>
      <c r="AE718" t="str">
        <f>IF(X718="","",VLOOKUP($X718,RM!$C$4:$G991,5,FALSE))</f>
        <v/>
      </c>
      <c r="AK718" t="e">
        <f ca="1">_xludf.IFNA(VLOOKUP(AG718,'S-FG'!$B$3:$B1001,1,FALSE),"")</f>
        <v>#NAME?</v>
      </c>
      <c r="AL718" t="str">
        <f>IF(AH718="","",SUMIFS(#REF!,RM!$C$4:$C991,AH718))</f>
        <v/>
      </c>
    </row>
    <row r="719" spans="5:38">
      <c r="E719" t="str">
        <f>IF(A719="","",SUMIFS(Issue!$D$3:$D1001,Issue!$C$3:$C1001,A719)*C719)</f>
        <v/>
      </c>
      <c r="F719" t="e">
        <f ca="1">_xludf.IFNA(VLOOKUP(B719,'S-FG'!$B$3:$B1001,1,FALSE),"")</f>
        <v>#NAME?</v>
      </c>
      <c r="L719" t="str">
        <f t="shared" si="7"/>
        <v/>
      </c>
      <c r="Q719" t="str">
        <f>IF(N719="","",SUMIFS(Issue!$D$3:$D1001,Issue!$C$3:$C1001,N719))</f>
        <v/>
      </c>
      <c r="Y719" t="str">
        <f t="shared" si="8"/>
        <v/>
      </c>
      <c r="Z719" t="str">
        <f>IF(X719="","",SUMIFS(#REF!,RM!$C$4:$C991,X719))</f>
        <v/>
      </c>
      <c r="AA719" t="str">
        <f>IF(X719="","",SUMIFS(#REF!,RM!$C$4:$C991,X719))</f>
        <v/>
      </c>
      <c r="AB719" t="e">
        <f t="shared" si="9"/>
        <v>#VALUE!</v>
      </c>
      <c r="AC719" t="str">
        <f>IF(X719="","",VLOOKUP($X719,RM!$C$4:$G991,3,FALSE))</f>
        <v/>
      </c>
      <c r="AD719" t="str">
        <f>IF(X719="","",VLOOKUP($X719,RM!$C$4:$G991,4,FALSE))</f>
        <v/>
      </c>
      <c r="AE719" t="str">
        <f>IF(X719="","",VLOOKUP($X719,RM!$C$4:$G991,5,FALSE))</f>
        <v/>
      </c>
      <c r="AK719" t="e">
        <f ca="1">_xludf.IFNA(VLOOKUP(AG719,'S-FG'!$B$3:$B1001,1,FALSE),"")</f>
        <v>#NAME?</v>
      </c>
      <c r="AL719" t="str">
        <f>IF(AH719="","",SUMIFS(#REF!,RM!$C$4:$C991,AH719))</f>
        <v/>
      </c>
    </row>
    <row r="720" spans="5:38">
      <c r="E720" t="str">
        <f>IF(A720="","",SUMIFS(Issue!$D$3:$D1001,Issue!$C$3:$C1001,A720)*C720)</f>
        <v/>
      </c>
      <c r="F720" t="e">
        <f ca="1">_xludf.IFNA(VLOOKUP(B720,'S-FG'!$B$3:$B1001,1,FALSE),"")</f>
        <v>#NAME?</v>
      </c>
      <c r="L720" t="str">
        <f t="shared" si="7"/>
        <v/>
      </c>
      <c r="Q720" t="str">
        <f>IF(N720="","",SUMIFS(Issue!$D$3:$D1001,Issue!$C$3:$C1001,N720))</f>
        <v/>
      </c>
      <c r="Y720" t="str">
        <f t="shared" si="8"/>
        <v/>
      </c>
      <c r="Z720" t="str">
        <f>IF(X720="","",SUMIFS(#REF!,RM!$C$4:$C991,X720))</f>
        <v/>
      </c>
      <c r="AA720" t="str">
        <f>IF(X720="","",SUMIFS(#REF!,RM!$C$4:$C991,X720))</f>
        <v/>
      </c>
      <c r="AB720" t="e">
        <f t="shared" si="9"/>
        <v>#VALUE!</v>
      </c>
      <c r="AC720" t="str">
        <f>IF(X720="","",VLOOKUP($X720,RM!$C$4:$G991,3,FALSE))</f>
        <v/>
      </c>
      <c r="AD720" t="str">
        <f>IF(X720="","",VLOOKUP($X720,RM!$C$4:$G991,4,FALSE))</f>
        <v/>
      </c>
      <c r="AE720" t="str">
        <f>IF(X720="","",VLOOKUP($X720,RM!$C$4:$G991,5,FALSE))</f>
        <v/>
      </c>
      <c r="AK720" t="e">
        <f ca="1">_xludf.IFNA(VLOOKUP(AG720,'S-FG'!$B$3:$B1001,1,FALSE),"")</f>
        <v>#NAME?</v>
      </c>
      <c r="AL720" t="str">
        <f>IF(AH720="","",SUMIFS(#REF!,RM!$C$4:$C991,AH720))</f>
        <v/>
      </c>
    </row>
    <row r="721" spans="5:38">
      <c r="E721" t="str">
        <f>IF(A721="","",SUMIFS(Issue!$D$3:$D1001,Issue!$C$3:$C1001,A721)*C721)</f>
        <v/>
      </c>
      <c r="F721" t="e">
        <f ca="1">_xludf.IFNA(VLOOKUP(B721,'S-FG'!$B$3:$B1001,1,FALSE),"")</f>
        <v>#NAME?</v>
      </c>
      <c r="L721" t="str">
        <f t="shared" si="7"/>
        <v/>
      </c>
      <c r="Q721" t="str">
        <f>IF(N721="","",SUMIFS(Issue!$D$3:$D1001,Issue!$C$3:$C1001,N721))</f>
        <v/>
      </c>
      <c r="Y721" t="str">
        <f t="shared" si="8"/>
        <v/>
      </c>
      <c r="Z721" t="str">
        <f>IF(X721="","",SUMIFS(#REF!,RM!$C$4:$C991,X721))</f>
        <v/>
      </c>
      <c r="AA721" t="str">
        <f>IF(X721="","",SUMIFS(#REF!,RM!$C$4:$C991,X721))</f>
        <v/>
      </c>
      <c r="AB721" t="e">
        <f t="shared" si="9"/>
        <v>#VALUE!</v>
      </c>
      <c r="AC721" t="str">
        <f>IF(X721="","",VLOOKUP($X721,RM!$C$4:$G991,3,FALSE))</f>
        <v/>
      </c>
      <c r="AD721" t="str">
        <f>IF(X721="","",VLOOKUP($X721,RM!$C$4:$G991,4,FALSE))</f>
        <v/>
      </c>
      <c r="AE721" t="str">
        <f>IF(X721="","",VLOOKUP($X721,RM!$C$4:$G991,5,FALSE))</f>
        <v/>
      </c>
      <c r="AK721" t="e">
        <f ca="1">_xludf.IFNA(VLOOKUP(AG721,'S-FG'!$B$3:$B1001,1,FALSE),"")</f>
        <v>#NAME?</v>
      </c>
      <c r="AL721" t="str">
        <f>IF(AH721="","",SUMIFS(#REF!,RM!$C$4:$C991,AH721))</f>
        <v/>
      </c>
    </row>
    <row r="722" spans="5:38">
      <c r="E722" t="str">
        <f>IF(A722="","",SUMIFS(Issue!$D$3:$D1001,Issue!$C$3:$C1001,A722)*C722)</f>
        <v/>
      </c>
      <c r="F722" t="e">
        <f ca="1">_xludf.IFNA(VLOOKUP(B722,'S-FG'!$B$3:$B1001,1,FALSE),"")</f>
        <v>#NAME?</v>
      </c>
      <c r="L722" t="str">
        <f t="shared" si="7"/>
        <v/>
      </c>
      <c r="Q722" t="str">
        <f>IF(N722="","",SUMIFS(Issue!$D$3:$D1001,Issue!$C$3:$C1001,N722))</f>
        <v/>
      </c>
      <c r="Y722" t="str">
        <f t="shared" si="8"/>
        <v/>
      </c>
      <c r="Z722" t="str">
        <f>IF(X722="","",SUMIFS(#REF!,RM!$C$4:$C991,X722))</f>
        <v/>
      </c>
      <c r="AA722" t="str">
        <f>IF(X722="","",SUMIFS(#REF!,RM!$C$4:$C991,X722))</f>
        <v/>
      </c>
      <c r="AB722" t="e">
        <f t="shared" si="9"/>
        <v>#VALUE!</v>
      </c>
      <c r="AC722" t="str">
        <f>IF(X722="","",VLOOKUP($X722,RM!$C$4:$G991,3,FALSE))</f>
        <v/>
      </c>
      <c r="AD722" t="str">
        <f>IF(X722="","",VLOOKUP($X722,RM!$C$4:$G991,4,FALSE))</f>
        <v/>
      </c>
      <c r="AE722" t="str">
        <f>IF(X722="","",VLOOKUP($X722,RM!$C$4:$G991,5,FALSE))</f>
        <v/>
      </c>
      <c r="AK722" t="e">
        <f ca="1">_xludf.IFNA(VLOOKUP(AG722,'S-FG'!$B$3:$B1001,1,FALSE),"")</f>
        <v>#NAME?</v>
      </c>
      <c r="AL722" t="str">
        <f>IF(AH722="","",SUMIFS(#REF!,RM!$C$4:$C991,AH722))</f>
        <v/>
      </c>
    </row>
    <row r="723" spans="5:38">
      <c r="E723" t="str">
        <f>IF(A723="","",SUMIFS(Issue!$D$3:$D1001,Issue!$C$3:$C1001,A723)*C723)</f>
        <v/>
      </c>
      <c r="F723" t="e">
        <f ca="1">_xludf.IFNA(VLOOKUP(B723,'S-FG'!$B$3:$B1001,1,FALSE),"")</f>
        <v>#NAME?</v>
      </c>
      <c r="L723" t="str">
        <f t="shared" si="7"/>
        <v/>
      </c>
      <c r="Q723" t="str">
        <f>IF(N723="","",SUMIFS(Issue!$D$3:$D1001,Issue!$C$3:$C1001,N723))</f>
        <v/>
      </c>
      <c r="Y723" t="str">
        <f t="shared" si="8"/>
        <v/>
      </c>
      <c r="Z723" t="str">
        <f>IF(X723="","",SUMIFS(#REF!,RM!$C$4:$C991,X723))</f>
        <v/>
      </c>
      <c r="AA723" t="str">
        <f>IF(X723="","",SUMIFS(#REF!,RM!$C$4:$C991,X723))</f>
        <v/>
      </c>
      <c r="AB723" t="e">
        <f t="shared" si="9"/>
        <v>#VALUE!</v>
      </c>
      <c r="AC723" t="str">
        <f>IF(X723="","",VLOOKUP($X723,RM!$C$4:$G991,3,FALSE))</f>
        <v/>
      </c>
      <c r="AD723" t="str">
        <f>IF(X723="","",VLOOKUP($X723,RM!$C$4:$G991,4,FALSE))</f>
        <v/>
      </c>
      <c r="AE723" t="str">
        <f>IF(X723="","",VLOOKUP($X723,RM!$C$4:$G991,5,FALSE))</f>
        <v/>
      </c>
      <c r="AK723" t="e">
        <f ca="1">_xludf.IFNA(VLOOKUP(AG723,'S-FG'!$B$3:$B1001,1,FALSE),"")</f>
        <v>#NAME?</v>
      </c>
      <c r="AL723" t="str">
        <f>IF(AH723="","",SUMIFS(#REF!,RM!$C$4:$C991,AH723))</f>
        <v/>
      </c>
    </row>
    <row r="724" spans="5:38">
      <c r="E724" t="str">
        <f>IF(A724="","",SUMIFS(Issue!$D$3:$D1001,Issue!$C$3:$C1001,A724)*C724)</f>
        <v/>
      </c>
      <c r="F724" t="e">
        <f ca="1">_xludf.IFNA(VLOOKUP(B724,'S-FG'!$B$3:$B1001,1,FALSE),"")</f>
        <v>#NAME?</v>
      </c>
      <c r="L724" t="str">
        <f t="shared" si="7"/>
        <v/>
      </c>
      <c r="Q724" t="str">
        <f>IF(N724="","",SUMIFS(Issue!$D$3:$D1001,Issue!$C$3:$C1001,N724))</f>
        <v/>
      </c>
      <c r="Y724" t="str">
        <f t="shared" si="8"/>
        <v/>
      </c>
      <c r="Z724" t="str">
        <f>IF(X724="","",SUMIFS(#REF!,RM!$C$4:$C991,X724))</f>
        <v/>
      </c>
      <c r="AA724" t="str">
        <f>IF(X724="","",SUMIFS(#REF!,RM!$C$4:$C991,X724))</f>
        <v/>
      </c>
      <c r="AB724" t="e">
        <f t="shared" si="9"/>
        <v>#VALUE!</v>
      </c>
      <c r="AC724" t="str">
        <f>IF(X724="","",VLOOKUP($X724,RM!$C$4:$G991,3,FALSE))</f>
        <v/>
      </c>
      <c r="AD724" t="str">
        <f>IF(X724="","",VLOOKUP($X724,RM!$C$4:$G991,4,FALSE))</f>
        <v/>
      </c>
      <c r="AE724" t="str">
        <f>IF(X724="","",VLOOKUP($X724,RM!$C$4:$G991,5,FALSE))</f>
        <v/>
      </c>
      <c r="AK724" t="e">
        <f ca="1">_xludf.IFNA(VLOOKUP(AG724,'S-FG'!$B$3:$B1001,1,FALSE),"")</f>
        <v>#NAME?</v>
      </c>
      <c r="AL724" t="str">
        <f>IF(AH724="","",SUMIFS(#REF!,RM!$C$4:$C991,AH724))</f>
        <v/>
      </c>
    </row>
    <row r="725" spans="5:38">
      <c r="E725" t="str">
        <f>IF(A725="","",SUMIFS(Issue!$D$3:$D1001,Issue!$C$3:$C1001,A725)*C725)</f>
        <v/>
      </c>
      <c r="F725" t="e">
        <f ca="1">_xludf.IFNA(VLOOKUP(B725,'S-FG'!$B$3:$B1001,1,FALSE),"")</f>
        <v>#NAME?</v>
      </c>
      <c r="L725" t="str">
        <f t="shared" si="7"/>
        <v/>
      </c>
      <c r="Q725" t="str">
        <f>IF(N725="","",SUMIFS(Issue!$D$3:$D1001,Issue!$C$3:$C1001,N725))</f>
        <v/>
      </c>
      <c r="Y725" t="str">
        <f t="shared" si="8"/>
        <v/>
      </c>
      <c r="Z725" t="str">
        <f>IF(X725="","",SUMIFS(#REF!,RM!$C$4:$C991,X725))</f>
        <v/>
      </c>
      <c r="AA725" t="str">
        <f>IF(X725="","",SUMIFS(#REF!,RM!$C$4:$C991,X725))</f>
        <v/>
      </c>
      <c r="AB725" t="e">
        <f t="shared" si="9"/>
        <v>#VALUE!</v>
      </c>
      <c r="AC725" t="str">
        <f>IF(X725="","",VLOOKUP($X725,RM!$C$4:$G991,3,FALSE))</f>
        <v/>
      </c>
      <c r="AD725" t="str">
        <f>IF(X725="","",VLOOKUP($X725,RM!$C$4:$G991,4,FALSE))</f>
        <v/>
      </c>
      <c r="AE725" t="str">
        <f>IF(X725="","",VLOOKUP($X725,RM!$C$4:$G991,5,FALSE))</f>
        <v/>
      </c>
      <c r="AK725" t="e">
        <f ca="1">_xludf.IFNA(VLOOKUP(AG725,'S-FG'!$B$3:$B1001,1,FALSE),"")</f>
        <v>#NAME?</v>
      </c>
      <c r="AL725" t="str">
        <f>IF(AH725="","",SUMIFS(#REF!,RM!$C$4:$C991,AH725))</f>
        <v/>
      </c>
    </row>
    <row r="726" spans="5:38">
      <c r="E726" t="str">
        <f>IF(A726="","",SUMIFS(Issue!$D$3:$D1001,Issue!$C$3:$C1001,A726)*C726)</f>
        <v/>
      </c>
      <c r="F726" t="e">
        <f ca="1">_xludf.IFNA(VLOOKUP(B726,'S-FG'!$B$3:$B1001,1,FALSE),"")</f>
        <v>#NAME?</v>
      </c>
      <c r="L726" t="str">
        <f t="shared" si="7"/>
        <v/>
      </c>
      <c r="Q726" t="str">
        <f>IF(N726="","",SUMIFS(Issue!$D$3:$D1001,Issue!$C$3:$C1001,N726))</f>
        <v/>
      </c>
      <c r="Y726" t="str">
        <f t="shared" si="8"/>
        <v/>
      </c>
      <c r="Z726" t="str">
        <f>IF(X726="","",SUMIFS(#REF!,RM!$C$4:$C991,X726))</f>
        <v/>
      </c>
      <c r="AA726" t="str">
        <f>IF(X726="","",SUMIFS(#REF!,RM!$C$4:$C991,X726))</f>
        <v/>
      </c>
      <c r="AB726" t="e">
        <f t="shared" si="9"/>
        <v>#VALUE!</v>
      </c>
      <c r="AC726" t="str">
        <f>IF(X726="","",VLOOKUP($X726,RM!$C$4:$G991,3,FALSE))</f>
        <v/>
      </c>
      <c r="AD726" t="str">
        <f>IF(X726="","",VLOOKUP($X726,RM!$C$4:$G991,4,FALSE))</f>
        <v/>
      </c>
      <c r="AE726" t="str">
        <f>IF(X726="","",VLOOKUP($X726,RM!$C$4:$G991,5,FALSE))</f>
        <v/>
      </c>
      <c r="AK726" t="e">
        <f ca="1">_xludf.IFNA(VLOOKUP(AG726,'S-FG'!$B$3:$B1001,1,FALSE),"")</f>
        <v>#NAME?</v>
      </c>
      <c r="AL726" t="str">
        <f>IF(AH726="","",SUMIFS(#REF!,RM!$C$4:$C991,AH726))</f>
        <v/>
      </c>
    </row>
    <row r="727" spans="5:38">
      <c r="E727" t="str">
        <f>IF(A727="","",SUMIFS(Issue!$D$3:$D1001,Issue!$C$3:$C1001,A727)*C727)</f>
        <v/>
      </c>
      <c r="F727" t="e">
        <f ca="1">_xludf.IFNA(VLOOKUP(B727,'S-FG'!$B$3:$B1001,1,FALSE),"")</f>
        <v>#NAME?</v>
      </c>
      <c r="L727" t="str">
        <f t="shared" si="7"/>
        <v/>
      </c>
      <c r="Q727" t="str">
        <f>IF(N727="","",SUMIFS(Issue!$D$3:$D1001,Issue!$C$3:$C1001,N727))</f>
        <v/>
      </c>
      <c r="Y727" t="str">
        <f t="shared" si="8"/>
        <v/>
      </c>
      <c r="Z727" t="str">
        <f>IF(X727="","",SUMIFS(#REF!,RM!$C$4:$C991,X727))</f>
        <v/>
      </c>
      <c r="AA727" t="str">
        <f>IF(X727="","",SUMIFS(#REF!,RM!$C$4:$C991,X727))</f>
        <v/>
      </c>
      <c r="AB727" t="e">
        <f t="shared" si="9"/>
        <v>#VALUE!</v>
      </c>
      <c r="AC727" t="str">
        <f>IF(X727="","",VLOOKUP($X727,RM!$C$4:$G991,3,FALSE))</f>
        <v/>
      </c>
      <c r="AD727" t="str">
        <f>IF(X727="","",VLOOKUP($X727,RM!$C$4:$G991,4,FALSE))</f>
        <v/>
      </c>
      <c r="AE727" t="str">
        <f>IF(X727="","",VLOOKUP($X727,RM!$C$4:$G991,5,FALSE))</f>
        <v/>
      </c>
      <c r="AK727" t="e">
        <f ca="1">_xludf.IFNA(VLOOKUP(AG727,'S-FG'!$B$3:$B1001,1,FALSE),"")</f>
        <v>#NAME?</v>
      </c>
      <c r="AL727" t="str">
        <f>IF(AH727="","",SUMIFS(#REF!,RM!$C$4:$C991,AH727))</f>
        <v/>
      </c>
    </row>
    <row r="728" spans="5:38">
      <c r="E728" t="str">
        <f>IF(A728="","",SUMIFS(Issue!$D$3:$D1001,Issue!$C$3:$C1001,A728)*C728)</f>
        <v/>
      </c>
      <c r="F728" t="e">
        <f ca="1">_xludf.IFNA(VLOOKUP(B728,'S-FG'!$B$3:$B1001,1,FALSE),"")</f>
        <v>#NAME?</v>
      </c>
      <c r="L728" t="str">
        <f t="shared" si="7"/>
        <v/>
      </c>
      <c r="Q728" t="str">
        <f>IF(N728="","",SUMIFS(Issue!$D$3:$D1001,Issue!$C$3:$C1001,N728))</f>
        <v/>
      </c>
      <c r="Y728" t="str">
        <f t="shared" si="8"/>
        <v/>
      </c>
      <c r="Z728" t="str">
        <f>IF(X728="","",SUMIFS(#REF!,RM!$C$4:$C991,X728))</f>
        <v/>
      </c>
      <c r="AA728" t="str">
        <f>IF(X728="","",SUMIFS(#REF!,RM!$C$4:$C991,X728))</f>
        <v/>
      </c>
      <c r="AB728" t="e">
        <f t="shared" si="9"/>
        <v>#VALUE!</v>
      </c>
      <c r="AC728" t="str">
        <f>IF(X728="","",VLOOKUP($X728,RM!$C$4:$G991,3,FALSE))</f>
        <v/>
      </c>
      <c r="AD728" t="str">
        <f>IF(X728="","",VLOOKUP($X728,RM!$C$4:$G991,4,FALSE))</f>
        <v/>
      </c>
      <c r="AE728" t="str">
        <f>IF(X728="","",VLOOKUP($X728,RM!$C$4:$G991,5,FALSE))</f>
        <v/>
      </c>
      <c r="AK728" t="e">
        <f ca="1">_xludf.IFNA(VLOOKUP(AG728,'S-FG'!$B$3:$B1001,1,FALSE),"")</f>
        <v>#NAME?</v>
      </c>
      <c r="AL728" t="str">
        <f>IF(AH728="","",SUMIFS(#REF!,RM!$C$4:$C991,AH728))</f>
        <v/>
      </c>
    </row>
    <row r="729" spans="5:38">
      <c r="E729" t="str">
        <f>IF(A729="","",SUMIFS(Issue!$D$3:$D1001,Issue!$C$3:$C1001,A729)*C729)</f>
        <v/>
      </c>
      <c r="F729" t="e">
        <f ca="1">_xludf.IFNA(VLOOKUP(B729,'S-FG'!$B$3:$B1001,1,FALSE),"")</f>
        <v>#NAME?</v>
      </c>
      <c r="L729" t="str">
        <f t="shared" si="7"/>
        <v/>
      </c>
      <c r="Q729" t="str">
        <f>IF(N729="","",SUMIFS(Issue!$D$3:$D1001,Issue!$C$3:$C1001,N729))</f>
        <v/>
      </c>
      <c r="Y729" t="str">
        <f t="shared" si="8"/>
        <v/>
      </c>
      <c r="Z729" t="str">
        <f>IF(X729="","",SUMIFS(#REF!,RM!$C$4:$C991,X729))</f>
        <v/>
      </c>
      <c r="AA729" t="str">
        <f>IF(X729="","",SUMIFS(#REF!,RM!$C$4:$C991,X729))</f>
        <v/>
      </c>
      <c r="AB729" t="e">
        <f t="shared" si="9"/>
        <v>#VALUE!</v>
      </c>
      <c r="AC729" t="str">
        <f>IF(X729="","",VLOOKUP($X729,RM!$C$4:$G991,3,FALSE))</f>
        <v/>
      </c>
      <c r="AD729" t="str">
        <f>IF(X729="","",VLOOKUP($X729,RM!$C$4:$G991,4,FALSE))</f>
        <v/>
      </c>
      <c r="AE729" t="str">
        <f>IF(X729="","",VLOOKUP($X729,RM!$C$4:$G991,5,FALSE))</f>
        <v/>
      </c>
      <c r="AK729" t="e">
        <f ca="1">_xludf.IFNA(VLOOKUP(AG729,'S-FG'!$B$3:$B1001,1,FALSE),"")</f>
        <v>#NAME?</v>
      </c>
      <c r="AL729" t="str">
        <f>IF(AH729="","",SUMIFS(#REF!,RM!$C$4:$C991,AH729))</f>
        <v/>
      </c>
    </row>
    <row r="730" spans="5:38">
      <c r="E730" t="str">
        <f>IF(A730="","",SUMIFS(Issue!$D$3:$D1001,Issue!$C$3:$C1001,A730)*C730)</f>
        <v/>
      </c>
      <c r="F730" t="e">
        <f ca="1">_xludf.IFNA(VLOOKUP(B730,'S-FG'!$B$3:$B1001,1,FALSE),"")</f>
        <v>#NAME?</v>
      </c>
      <c r="L730" t="str">
        <f t="shared" si="7"/>
        <v/>
      </c>
      <c r="Q730" t="str">
        <f>IF(N730="","",SUMIFS(Issue!$D$3:$D1001,Issue!$C$3:$C1001,N730))</f>
        <v/>
      </c>
      <c r="Y730" t="str">
        <f t="shared" si="8"/>
        <v/>
      </c>
      <c r="Z730" t="str">
        <f>IF(X730="","",SUMIFS(#REF!,RM!$C$4:$C991,X730))</f>
        <v/>
      </c>
      <c r="AA730" t="str">
        <f>IF(X730="","",SUMIFS(#REF!,RM!$C$4:$C991,X730))</f>
        <v/>
      </c>
      <c r="AB730" t="e">
        <f t="shared" si="9"/>
        <v>#VALUE!</v>
      </c>
      <c r="AC730" t="str">
        <f>IF(X730="","",VLOOKUP($X730,RM!$C$4:$G991,3,FALSE))</f>
        <v/>
      </c>
      <c r="AD730" t="str">
        <f>IF(X730="","",VLOOKUP($X730,RM!$C$4:$G991,4,FALSE))</f>
        <v/>
      </c>
      <c r="AE730" t="str">
        <f>IF(X730="","",VLOOKUP($X730,RM!$C$4:$G991,5,FALSE))</f>
        <v/>
      </c>
      <c r="AK730" t="e">
        <f ca="1">_xludf.IFNA(VLOOKUP(AG730,'S-FG'!$B$3:$B1001,1,FALSE),"")</f>
        <v>#NAME?</v>
      </c>
      <c r="AL730" t="str">
        <f>IF(AH730="","",SUMIFS(#REF!,RM!$C$4:$C991,AH730))</f>
        <v/>
      </c>
    </row>
    <row r="731" spans="5:38">
      <c r="E731" t="str">
        <f>IF(A731="","",SUMIFS(Issue!$D$3:$D1001,Issue!$C$3:$C1001,A731)*C731)</f>
        <v/>
      </c>
      <c r="F731" t="e">
        <f ca="1">_xludf.IFNA(VLOOKUP(B731,'S-FG'!$B$3:$B1001,1,FALSE),"")</f>
        <v>#NAME?</v>
      </c>
      <c r="L731" t="str">
        <f t="shared" si="7"/>
        <v/>
      </c>
      <c r="Q731" t="str">
        <f>IF(N731="","",SUMIFS(Issue!$D$3:$D1001,Issue!$C$3:$C1001,N731))</f>
        <v/>
      </c>
      <c r="Y731" t="str">
        <f t="shared" si="8"/>
        <v/>
      </c>
      <c r="Z731" t="str">
        <f>IF(X731="","",SUMIFS(#REF!,RM!$C$4:$C991,X731))</f>
        <v/>
      </c>
      <c r="AA731" t="str">
        <f>IF(X731="","",SUMIFS(#REF!,RM!$C$4:$C991,X731))</f>
        <v/>
      </c>
      <c r="AB731" t="e">
        <f t="shared" si="9"/>
        <v>#VALUE!</v>
      </c>
      <c r="AC731" t="str">
        <f>IF(X731="","",VLOOKUP($X731,RM!$C$4:$G991,3,FALSE))</f>
        <v/>
      </c>
      <c r="AD731" t="str">
        <f>IF(X731="","",VLOOKUP($X731,RM!$C$4:$G991,4,FALSE))</f>
        <v/>
      </c>
      <c r="AE731" t="str">
        <f>IF(X731="","",VLOOKUP($X731,RM!$C$4:$G991,5,FALSE))</f>
        <v/>
      </c>
      <c r="AK731" t="e">
        <f ca="1">_xludf.IFNA(VLOOKUP(AG731,'S-FG'!$B$3:$B1001,1,FALSE),"")</f>
        <v>#NAME?</v>
      </c>
      <c r="AL731" t="str">
        <f>IF(AH731="","",SUMIFS(#REF!,RM!$C$4:$C991,AH731))</f>
        <v/>
      </c>
    </row>
    <row r="732" spans="5:38">
      <c r="E732" t="str">
        <f>IF(A732="","",SUMIFS(Issue!$D$3:$D1001,Issue!$C$3:$C1001,A732)*C732)</f>
        <v/>
      </c>
      <c r="F732" t="e">
        <f ca="1">_xludf.IFNA(VLOOKUP(B732,'S-FG'!$B$3:$B1001,1,FALSE),"")</f>
        <v>#NAME?</v>
      </c>
      <c r="L732" t="str">
        <f t="shared" si="7"/>
        <v/>
      </c>
      <c r="Q732" t="str">
        <f>IF(N732="","",SUMIFS(Issue!$D$3:$D1001,Issue!$C$3:$C1001,N732))</f>
        <v/>
      </c>
      <c r="Y732" t="str">
        <f t="shared" si="8"/>
        <v/>
      </c>
      <c r="Z732" t="str">
        <f>IF(X732="","",SUMIFS(#REF!,RM!$C$4:$C991,X732))</f>
        <v/>
      </c>
      <c r="AA732" t="str">
        <f>IF(X732="","",SUMIFS(#REF!,RM!$C$4:$C991,X732))</f>
        <v/>
      </c>
      <c r="AB732" t="e">
        <f t="shared" si="9"/>
        <v>#VALUE!</v>
      </c>
      <c r="AC732" t="str">
        <f>IF(X732="","",VLOOKUP($X732,RM!$C$4:$G991,3,FALSE))</f>
        <v/>
      </c>
      <c r="AD732" t="str">
        <f>IF(X732="","",VLOOKUP($X732,RM!$C$4:$G991,4,FALSE))</f>
        <v/>
      </c>
      <c r="AE732" t="str">
        <f>IF(X732="","",VLOOKUP($X732,RM!$C$4:$G991,5,FALSE))</f>
        <v/>
      </c>
      <c r="AK732" t="e">
        <f ca="1">_xludf.IFNA(VLOOKUP(AG732,'S-FG'!$B$3:$B1001,1,FALSE),"")</f>
        <v>#NAME?</v>
      </c>
      <c r="AL732" t="str">
        <f>IF(AH732="","",SUMIFS(#REF!,RM!$C$4:$C991,AH732))</f>
        <v/>
      </c>
    </row>
    <row r="733" spans="5:38">
      <c r="E733" t="str">
        <f>IF(A733="","",SUMIFS(Issue!$D$3:$D1001,Issue!$C$3:$C1001,A733)*C733)</f>
        <v/>
      </c>
      <c r="F733" t="e">
        <f ca="1">_xludf.IFNA(VLOOKUP(B733,'S-FG'!$B$3:$B1001,1,FALSE),"")</f>
        <v>#NAME?</v>
      </c>
      <c r="L733" t="str">
        <f t="shared" si="7"/>
        <v/>
      </c>
      <c r="Q733" t="str">
        <f>IF(N733="","",SUMIFS(Issue!$D$3:$D1001,Issue!$C$3:$C1001,N733))</f>
        <v/>
      </c>
      <c r="Y733" t="str">
        <f t="shared" si="8"/>
        <v/>
      </c>
      <c r="Z733" t="str">
        <f>IF(X733="","",SUMIFS(#REF!,RM!$C$4:$C991,X733))</f>
        <v/>
      </c>
      <c r="AA733" t="str">
        <f>IF(X733="","",SUMIFS(#REF!,RM!$C$4:$C991,X733))</f>
        <v/>
      </c>
      <c r="AB733" t="e">
        <f t="shared" si="9"/>
        <v>#VALUE!</v>
      </c>
      <c r="AC733" t="str">
        <f>IF(X733="","",VLOOKUP($X733,RM!$C$4:$G991,3,FALSE))</f>
        <v/>
      </c>
      <c r="AD733" t="str">
        <f>IF(X733="","",VLOOKUP($X733,RM!$C$4:$G991,4,FALSE))</f>
        <v/>
      </c>
      <c r="AE733" t="str">
        <f>IF(X733="","",VLOOKUP($X733,RM!$C$4:$G991,5,FALSE))</f>
        <v/>
      </c>
      <c r="AK733" t="e">
        <f ca="1">_xludf.IFNA(VLOOKUP(AG733,'S-FG'!$B$3:$B1001,1,FALSE),"")</f>
        <v>#NAME?</v>
      </c>
      <c r="AL733" t="str">
        <f>IF(AH733="","",SUMIFS(#REF!,RM!$C$4:$C991,AH733))</f>
        <v/>
      </c>
    </row>
    <row r="734" spans="5:38">
      <c r="E734" t="str">
        <f>IF(A734="","",SUMIFS(Issue!$D$3:$D1001,Issue!$C$3:$C1001,A734)*C734)</f>
        <v/>
      </c>
      <c r="F734" t="e">
        <f ca="1">_xludf.IFNA(VLOOKUP(B734,'S-FG'!$B$3:$B1001,1,FALSE),"")</f>
        <v>#NAME?</v>
      </c>
      <c r="L734" t="str">
        <f t="shared" si="7"/>
        <v/>
      </c>
      <c r="Q734" t="str">
        <f>IF(N734="","",SUMIFS(Issue!$D$3:$D1001,Issue!$C$3:$C1001,N734))</f>
        <v/>
      </c>
      <c r="Y734" t="str">
        <f t="shared" si="8"/>
        <v/>
      </c>
      <c r="Z734" t="str">
        <f>IF(X734="","",SUMIFS(#REF!,RM!$C$4:$C991,X734))</f>
        <v/>
      </c>
      <c r="AA734" t="str">
        <f>IF(X734="","",SUMIFS(#REF!,RM!$C$4:$C991,X734))</f>
        <v/>
      </c>
      <c r="AB734" t="e">
        <f t="shared" si="9"/>
        <v>#VALUE!</v>
      </c>
      <c r="AC734" t="str">
        <f>IF(X734="","",VLOOKUP($X734,RM!$C$4:$G991,3,FALSE))</f>
        <v/>
      </c>
      <c r="AD734" t="str">
        <f>IF(X734="","",VLOOKUP($X734,RM!$C$4:$G991,4,FALSE))</f>
        <v/>
      </c>
      <c r="AE734" t="str">
        <f>IF(X734="","",VLOOKUP($X734,RM!$C$4:$G991,5,FALSE))</f>
        <v/>
      </c>
      <c r="AK734" t="e">
        <f ca="1">_xludf.IFNA(VLOOKUP(AG734,'S-FG'!$B$3:$B1001,1,FALSE),"")</f>
        <v>#NAME?</v>
      </c>
      <c r="AL734" t="str">
        <f>IF(AH734="","",SUMIFS(#REF!,RM!$C$4:$C991,AH734))</f>
        <v/>
      </c>
    </row>
    <row r="735" spans="5:38">
      <c r="E735" t="str">
        <f>IF(A735="","",SUMIFS(Issue!$D$3:$D1001,Issue!$C$3:$C1001,A735)*C735)</f>
        <v/>
      </c>
      <c r="F735" t="e">
        <f ca="1">_xludf.IFNA(VLOOKUP(B735,'S-FG'!$B$3:$B1001,1,FALSE),"")</f>
        <v>#NAME?</v>
      </c>
      <c r="L735" t="str">
        <f t="shared" si="7"/>
        <v/>
      </c>
      <c r="Q735" t="str">
        <f>IF(N735="","",SUMIFS(Issue!$D$3:$D1001,Issue!$C$3:$C1001,N735))</f>
        <v/>
      </c>
      <c r="Y735" t="str">
        <f t="shared" si="8"/>
        <v/>
      </c>
      <c r="Z735" t="str">
        <f>IF(X735="","",SUMIFS(#REF!,RM!$C$4:$C991,X735))</f>
        <v/>
      </c>
      <c r="AA735" t="str">
        <f>IF(X735="","",SUMIFS(#REF!,RM!$C$4:$C991,X735))</f>
        <v/>
      </c>
      <c r="AB735" t="e">
        <f t="shared" si="9"/>
        <v>#VALUE!</v>
      </c>
      <c r="AC735" t="str">
        <f>IF(X735="","",VLOOKUP($X735,RM!$C$4:$G991,3,FALSE))</f>
        <v/>
      </c>
      <c r="AD735" t="str">
        <f>IF(X735="","",VLOOKUP($X735,RM!$C$4:$G991,4,FALSE))</f>
        <v/>
      </c>
      <c r="AE735" t="str">
        <f>IF(X735="","",VLOOKUP($X735,RM!$C$4:$G991,5,FALSE))</f>
        <v/>
      </c>
      <c r="AK735" t="e">
        <f ca="1">_xludf.IFNA(VLOOKUP(AG735,'S-FG'!$B$3:$B1001,1,FALSE),"")</f>
        <v>#NAME?</v>
      </c>
      <c r="AL735" t="str">
        <f>IF(AH735="","",SUMIFS(#REF!,RM!$C$4:$C991,AH735))</f>
        <v/>
      </c>
    </row>
    <row r="736" spans="5:38">
      <c r="E736" t="str">
        <f>IF(A736="","",SUMIFS(Issue!$D$3:$D1001,Issue!$C$3:$C1001,A736)*C736)</f>
        <v/>
      </c>
      <c r="F736" t="e">
        <f ca="1">_xludf.IFNA(VLOOKUP(B736,'S-FG'!$B$3:$B1001,1,FALSE),"")</f>
        <v>#NAME?</v>
      </c>
      <c r="L736" t="str">
        <f t="shared" si="7"/>
        <v/>
      </c>
      <c r="Q736" t="str">
        <f>IF(N736="","",SUMIFS(Issue!$D$3:$D1001,Issue!$C$3:$C1001,N736))</f>
        <v/>
      </c>
      <c r="Y736" t="str">
        <f t="shared" si="8"/>
        <v/>
      </c>
      <c r="Z736" t="str">
        <f>IF(X736="","",SUMIFS(#REF!,RM!$C$4:$C991,X736))</f>
        <v/>
      </c>
      <c r="AA736" t="str">
        <f>IF(X736="","",SUMIFS(#REF!,RM!$C$4:$C991,X736))</f>
        <v/>
      </c>
      <c r="AB736" t="e">
        <f t="shared" si="9"/>
        <v>#VALUE!</v>
      </c>
      <c r="AC736" t="str">
        <f>IF(X736="","",VLOOKUP($X736,RM!$C$4:$G991,3,FALSE))</f>
        <v/>
      </c>
      <c r="AD736" t="str">
        <f>IF(X736="","",VLOOKUP($X736,RM!$C$4:$G991,4,FALSE))</f>
        <v/>
      </c>
      <c r="AE736" t="str">
        <f>IF(X736="","",VLOOKUP($X736,RM!$C$4:$G991,5,FALSE))</f>
        <v/>
      </c>
      <c r="AK736" t="e">
        <f ca="1">_xludf.IFNA(VLOOKUP(AG736,'S-FG'!$B$3:$B1001,1,FALSE),"")</f>
        <v>#NAME?</v>
      </c>
      <c r="AL736" t="str">
        <f>IF(AH736="","",SUMIFS(#REF!,RM!$C$4:$C991,AH736))</f>
        <v/>
      </c>
    </row>
    <row r="737" spans="5:38">
      <c r="E737" t="str">
        <f>IF(A737="","",SUMIFS(Issue!$D$3:$D1001,Issue!$C$3:$C1001,A737)*C737)</f>
        <v/>
      </c>
      <c r="F737" t="e">
        <f ca="1">_xludf.IFNA(VLOOKUP(B737,'S-FG'!$B$3:$B1001,1,FALSE),"")</f>
        <v>#NAME?</v>
      </c>
      <c r="L737" t="str">
        <f t="shared" si="7"/>
        <v/>
      </c>
      <c r="Q737" t="str">
        <f>IF(N737="","",SUMIFS(Issue!$D$3:$D1001,Issue!$C$3:$C1001,N737))</f>
        <v/>
      </c>
      <c r="Y737" t="str">
        <f t="shared" si="8"/>
        <v/>
      </c>
      <c r="Z737" t="str">
        <f>IF(X737="","",SUMIFS(#REF!,RM!$C$4:$C991,X737))</f>
        <v/>
      </c>
      <c r="AA737" t="str">
        <f>IF(X737="","",SUMIFS(#REF!,RM!$C$4:$C991,X737))</f>
        <v/>
      </c>
      <c r="AB737" t="e">
        <f t="shared" si="9"/>
        <v>#VALUE!</v>
      </c>
      <c r="AC737" t="str">
        <f>IF(X737="","",VLOOKUP($X737,RM!$C$4:$G991,3,FALSE))</f>
        <v/>
      </c>
      <c r="AD737" t="str">
        <f>IF(X737="","",VLOOKUP($X737,RM!$C$4:$G991,4,FALSE))</f>
        <v/>
      </c>
      <c r="AE737" t="str">
        <f>IF(X737="","",VLOOKUP($X737,RM!$C$4:$G991,5,FALSE))</f>
        <v/>
      </c>
      <c r="AK737" t="e">
        <f ca="1">_xludf.IFNA(VLOOKUP(AG737,'S-FG'!$B$3:$B1001,1,FALSE),"")</f>
        <v>#NAME?</v>
      </c>
      <c r="AL737" t="str">
        <f>IF(AH737="","",SUMIFS(#REF!,RM!$C$4:$C991,AH737))</f>
        <v/>
      </c>
    </row>
    <row r="738" spans="5:38">
      <c r="E738" t="str">
        <f>IF(A738="","",SUMIFS(Issue!$D$3:$D1001,Issue!$C$3:$C1001,A738)*C738)</f>
        <v/>
      </c>
      <c r="F738" t="e">
        <f ca="1">_xludf.IFNA(VLOOKUP(B738,'S-FG'!$B$3:$B1001,1,FALSE),"")</f>
        <v>#NAME?</v>
      </c>
      <c r="L738" t="str">
        <f t="shared" si="7"/>
        <v/>
      </c>
      <c r="Q738" t="str">
        <f>IF(N738="","",SUMIFS(Issue!$D$3:$D1001,Issue!$C$3:$C1001,N738))</f>
        <v/>
      </c>
      <c r="Y738" t="str">
        <f t="shared" si="8"/>
        <v/>
      </c>
      <c r="Z738" t="str">
        <f>IF(X738="","",SUMIFS(#REF!,RM!$C$4:$C991,X738))</f>
        <v/>
      </c>
      <c r="AA738" t="str">
        <f>IF(X738="","",SUMIFS(#REF!,RM!$C$4:$C991,X738))</f>
        <v/>
      </c>
      <c r="AB738" t="e">
        <f t="shared" si="9"/>
        <v>#VALUE!</v>
      </c>
      <c r="AC738" t="str">
        <f>IF(X738="","",VLOOKUP($X738,RM!$C$4:$G991,3,FALSE))</f>
        <v/>
      </c>
      <c r="AD738" t="str">
        <f>IF(X738="","",VLOOKUP($X738,RM!$C$4:$G991,4,FALSE))</f>
        <v/>
      </c>
      <c r="AE738" t="str">
        <f>IF(X738="","",VLOOKUP($X738,RM!$C$4:$G991,5,FALSE))</f>
        <v/>
      </c>
      <c r="AK738" t="e">
        <f ca="1">_xludf.IFNA(VLOOKUP(AG738,'S-FG'!$B$3:$B1001,1,FALSE),"")</f>
        <v>#NAME?</v>
      </c>
      <c r="AL738" t="str">
        <f>IF(AH738="","",SUMIFS(#REF!,RM!$C$4:$C991,AH738))</f>
        <v/>
      </c>
    </row>
    <row r="739" spans="5:38">
      <c r="E739" t="str">
        <f>IF(A739="","",SUMIFS(Issue!$D$3:$D1001,Issue!$C$3:$C1001,A739)*C739)</f>
        <v/>
      </c>
      <c r="F739" t="e">
        <f ca="1">_xludf.IFNA(VLOOKUP(B739,'S-FG'!$B$3:$B1001,1,FALSE),"")</f>
        <v>#NAME?</v>
      </c>
      <c r="L739" t="str">
        <f t="shared" si="7"/>
        <v/>
      </c>
      <c r="Q739" t="str">
        <f>IF(N739="","",SUMIFS(Issue!$D$3:$D1001,Issue!$C$3:$C1001,N739))</f>
        <v/>
      </c>
      <c r="Y739" t="str">
        <f t="shared" si="8"/>
        <v/>
      </c>
      <c r="Z739" t="str">
        <f>IF(X739="","",SUMIFS(#REF!,RM!$C$4:$C991,X739))</f>
        <v/>
      </c>
      <c r="AA739" t="str">
        <f>IF(X739="","",SUMIFS(#REF!,RM!$C$4:$C991,X739))</f>
        <v/>
      </c>
      <c r="AB739" t="e">
        <f t="shared" si="9"/>
        <v>#VALUE!</v>
      </c>
      <c r="AC739" t="str">
        <f>IF(X739="","",VLOOKUP($X739,RM!$C$4:$G991,3,FALSE))</f>
        <v/>
      </c>
      <c r="AD739" t="str">
        <f>IF(X739="","",VLOOKUP($X739,RM!$C$4:$G991,4,FALSE))</f>
        <v/>
      </c>
      <c r="AE739" t="str">
        <f>IF(X739="","",VLOOKUP($X739,RM!$C$4:$G991,5,FALSE))</f>
        <v/>
      </c>
      <c r="AK739" t="e">
        <f ca="1">_xludf.IFNA(VLOOKUP(AG739,'S-FG'!$B$3:$B1001,1,FALSE),"")</f>
        <v>#NAME?</v>
      </c>
      <c r="AL739" t="str">
        <f>IF(AH739="","",SUMIFS(#REF!,RM!$C$4:$C991,AH739))</f>
        <v/>
      </c>
    </row>
    <row r="740" spans="5:38">
      <c r="E740" t="str">
        <f>IF(A740="","",SUMIFS(Issue!$D$3:$D1001,Issue!$C$3:$C1001,A740)*C740)</f>
        <v/>
      </c>
      <c r="F740" t="e">
        <f ca="1">_xludf.IFNA(VLOOKUP(B740,'S-FG'!$B$3:$B1001,1,FALSE),"")</f>
        <v>#NAME?</v>
      </c>
      <c r="L740" t="str">
        <f t="shared" si="7"/>
        <v/>
      </c>
      <c r="Q740" t="str">
        <f>IF(N740="","",SUMIFS(Issue!$D$3:$D1001,Issue!$C$3:$C1001,N740))</f>
        <v/>
      </c>
      <c r="Y740" t="str">
        <f t="shared" si="8"/>
        <v/>
      </c>
      <c r="Z740" t="str">
        <f>IF(X740="","",SUMIFS(#REF!,RM!$C$4:$C991,X740))</f>
        <v/>
      </c>
      <c r="AA740" t="str">
        <f>IF(X740="","",SUMIFS(#REF!,RM!$C$4:$C991,X740))</f>
        <v/>
      </c>
      <c r="AB740" t="e">
        <f t="shared" si="9"/>
        <v>#VALUE!</v>
      </c>
      <c r="AC740" t="str">
        <f>IF(X740="","",VLOOKUP($X740,RM!$C$4:$G991,3,FALSE))</f>
        <v/>
      </c>
      <c r="AD740" t="str">
        <f>IF(X740="","",VLOOKUP($X740,RM!$C$4:$G991,4,FALSE))</f>
        <v/>
      </c>
      <c r="AE740" t="str">
        <f>IF(X740="","",VLOOKUP($X740,RM!$C$4:$G991,5,FALSE))</f>
        <v/>
      </c>
      <c r="AK740" t="e">
        <f ca="1">_xludf.IFNA(VLOOKUP(AG740,'S-FG'!$B$3:$B1001,1,FALSE),"")</f>
        <v>#NAME?</v>
      </c>
      <c r="AL740" t="str">
        <f>IF(AH740="","",SUMIFS(#REF!,RM!$C$4:$C991,AH740))</f>
        <v/>
      </c>
    </row>
    <row r="741" spans="5:38">
      <c r="E741" t="str">
        <f>IF(A741="","",SUMIFS(Issue!$D$3:$D1001,Issue!$C$3:$C1001,A741)*C741)</f>
        <v/>
      </c>
      <c r="F741" t="e">
        <f ca="1">_xludf.IFNA(VLOOKUP(B741,'S-FG'!$B$3:$B1001,1,FALSE),"")</f>
        <v>#NAME?</v>
      </c>
      <c r="L741" t="str">
        <f t="shared" si="7"/>
        <v/>
      </c>
      <c r="Q741" t="str">
        <f>IF(N741="","",SUMIFS(Issue!$D$3:$D1001,Issue!$C$3:$C1001,N741))</f>
        <v/>
      </c>
      <c r="Y741" t="str">
        <f t="shared" si="8"/>
        <v/>
      </c>
      <c r="Z741" t="str">
        <f>IF(X741="","",SUMIFS(#REF!,RM!$C$4:$C991,X741))</f>
        <v/>
      </c>
      <c r="AA741" t="str">
        <f>IF(X741="","",SUMIFS(#REF!,RM!$C$4:$C991,X741))</f>
        <v/>
      </c>
      <c r="AB741" t="e">
        <f t="shared" si="9"/>
        <v>#VALUE!</v>
      </c>
      <c r="AC741" t="str">
        <f>IF(X741="","",VLOOKUP($X741,RM!$C$4:$G991,3,FALSE))</f>
        <v/>
      </c>
      <c r="AD741" t="str">
        <f>IF(X741="","",VLOOKUP($X741,RM!$C$4:$G991,4,FALSE))</f>
        <v/>
      </c>
      <c r="AE741" t="str">
        <f>IF(X741="","",VLOOKUP($X741,RM!$C$4:$G991,5,FALSE))</f>
        <v/>
      </c>
      <c r="AK741" t="e">
        <f ca="1">_xludf.IFNA(VLOOKUP(AG741,'S-FG'!$B$3:$B1001,1,FALSE),"")</f>
        <v>#NAME?</v>
      </c>
      <c r="AL741" t="str">
        <f>IF(AH741="","",SUMIFS(#REF!,RM!$C$4:$C991,AH741))</f>
        <v/>
      </c>
    </row>
    <row r="742" spans="5:38">
      <c r="E742" t="str">
        <f>IF(A742="","",SUMIFS(Issue!$D$3:$D1001,Issue!$C$3:$C1001,A742)*C742)</f>
        <v/>
      </c>
      <c r="F742" t="e">
        <f ca="1">_xludf.IFNA(VLOOKUP(B742,'S-FG'!$B$3:$B1001,1,FALSE),"")</f>
        <v>#NAME?</v>
      </c>
      <c r="L742" t="str">
        <f t="shared" si="7"/>
        <v/>
      </c>
      <c r="Q742" t="str">
        <f>IF(N742="","",SUMIFS(Issue!$D$3:$D1001,Issue!$C$3:$C1001,N742))</f>
        <v/>
      </c>
      <c r="Y742" t="str">
        <f t="shared" si="8"/>
        <v/>
      </c>
      <c r="Z742" t="str">
        <f>IF(X742="","",SUMIFS(#REF!,RM!$C$4:$C991,X742))</f>
        <v/>
      </c>
      <c r="AA742" t="str">
        <f>IF(X742="","",SUMIFS(#REF!,RM!$C$4:$C991,X742))</f>
        <v/>
      </c>
      <c r="AB742" t="e">
        <f t="shared" si="9"/>
        <v>#VALUE!</v>
      </c>
      <c r="AC742" t="str">
        <f>IF(X742="","",VLOOKUP($X742,RM!$C$4:$G991,3,FALSE))</f>
        <v/>
      </c>
      <c r="AD742" t="str">
        <f>IF(X742="","",VLOOKUP($X742,RM!$C$4:$G991,4,FALSE))</f>
        <v/>
      </c>
      <c r="AE742" t="str">
        <f>IF(X742="","",VLOOKUP($X742,RM!$C$4:$G991,5,FALSE))</f>
        <v/>
      </c>
      <c r="AK742" t="e">
        <f ca="1">_xludf.IFNA(VLOOKUP(AG742,'S-FG'!$B$3:$B1001,1,FALSE),"")</f>
        <v>#NAME?</v>
      </c>
      <c r="AL742" t="str">
        <f>IF(AH742="","",SUMIFS(#REF!,RM!$C$4:$C991,AH742))</f>
        <v/>
      </c>
    </row>
    <row r="743" spans="5:38">
      <c r="E743" t="str">
        <f>IF(A743="","",SUMIFS(Issue!$D$3:$D1001,Issue!$C$3:$C1001,A743)*C743)</f>
        <v/>
      </c>
      <c r="F743" t="e">
        <f ca="1">_xludf.IFNA(VLOOKUP(B743,'S-FG'!$B$3:$B1001,1,FALSE),"")</f>
        <v>#NAME?</v>
      </c>
      <c r="L743" t="str">
        <f t="shared" si="7"/>
        <v/>
      </c>
      <c r="Q743" t="str">
        <f>IF(N743="","",SUMIFS(Issue!$D$3:$D1001,Issue!$C$3:$C1001,N743))</f>
        <v/>
      </c>
      <c r="Y743" t="str">
        <f t="shared" si="8"/>
        <v/>
      </c>
      <c r="Z743" t="str">
        <f>IF(X743="","",SUMIFS(#REF!,RM!$C$4:$C991,X743))</f>
        <v/>
      </c>
      <c r="AA743" t="str">
        <f>IF(X743="","",SUMIFS(#REF!,RM!$C$4:$C991,X743))</f>
        <v/>
      </c>
      <c r="AB743" t="e">
        <f t="shared" si="9"/>
        <v>#VALUE!</v>
      </c>
      <c r="AC743" t="str">
        <f>IF(X743="","",VLOOKUP($X743,RM!$C$4:$G991,3,FALSE))</f>
        <v/>
      </c>
      <c r="AD743" t="str">
        <f>IF(X743="","",VLOOKUP($X743,RM!$C$4:$G991,4,FALSE))</f>
        <v/>
      </c>
      <c r="AE743" t="str">
        <f>IF(X743="","",VLOOKUP($X743,RM!$C$4:$G991,5,FALSE))</f>
        <v/>
      </c>
      <c r="AK743" t="e">
        <f ca="1">_xludf.IFNA(VLOOKUP(AG743,'S-FG'!$B$3:$B1001,1,FALSE),"")</f>
        <v>#NAME?</v>
      </c>
      <c r="AL743" t="str">
        <f>IF(AH743="","",SUMIFS(#REF!,RM!$C$4:$C991,AH743))</f>
        <v/>
      </c>
    </row>
    <row r="744" spans="5:38">
      <c r="E744" t="str">
        <f>IF(A744="","",SUMIFS(Issue!$D$3:$D1001,Issue!$C$3:$C1001,A744)*C744)</f>
        <v/>
      </c>
      <c r="F744" t="e">
        <f ca="1">_xludf.IFNA(VLOOKUP(B744,'S-FG'!$B$3:$B1001,1,FALSE),"")</f>
        <v>#NAME?</v>
      </c>
      <c r="L744" t="str">
        <f t="shared" si="7"/>
        <v/>
      </c>
      <c r="Q744" t="str">
        <f>IF(N744="","",SUMIFS(Issue!$D$3:$D1001,Issue!$C$3:$C1001,N744))</f>
        <v/>
      </c>
      <c r="Y744" t="str">
        <f t="shared" si="8"/>
        <v/>
      </c>
      <c r="Z744" t="str">
        <f>IF(X744="","",SUMIFS(#REF!,RM!$C$4:$C991,X744))</f>
        <v/>
      </c>
      <c r="AA744" t="str">
        <f>IF(X744="","",SUMIFS(#REF!,RM!$C$4:$C991,X744))</f>
        <v/>
      </c>
      <c r="AB744" t="e">
        <f t="shared" si="9"/>
        <v>#VALUE!</v>
      </c>
      <c r="AC744" t="str">
        <f>IF(X744="","",VLOOKUP($X744,RM!$C$4:$G991,3,FALSE))</f>
        <v/>
      </c>
      <c r="AD744" t="str">
        <f>IF(X744="","",VLOOKUP($X744,RM!$C$4:$G991,4,FALSE))</f>
        <v/>
      </c>
      <c r="AE744" t="str">
        <f>IF(X744="","",VLOOKUP($X744,RM!$C$4:$G991,5,FALSE))</f>
        <v/>
      </c>
      <c r="AK744" t="e">
        <f ca="1">_xludf.IFNA(VLOOKUP(AG744,'S-FG'!$B$3:$B1001,1,FALSE),"")</f>
        <v>#NAME?</v>
      </c>
      <c r="AL744" t="str">
        <f>IF(AH744="","",SUMIFS(#REF!,RM!$C$4:$C991,AH744))</f>
        <v/>
      </c>
    </row>
    <row r="745" spans="5:38">
      <c r="E745" t="str">
        <f>IF(A745="","",SUMIFS(Issue!$D$3:$D1001,Issue!$C$3:$C1001,A745)*C745)</f>
        <v/>
      </c>
      <c r="F745" t="e">
        <f ca="1">_xludf.IFNA(VLOOKUP(B745,'S-FG'!$B$3:$B1001,1,FALSE),"")</f>
        <v>#NAME?</v>
      </c>
      <c r="L745" t="str">
        <f t="shared" si="7"/>
        <v/>
      </c>
      <c r="Q745" t="str">
        <f>IF(N745="","",SUMIFS(Issue!$D$3:$D1001,Issue!$C$3:$C1001,N745))</f>
        <v/>
      </c>
      <c r="Y745" t="str">
        <f t="shared" si="8"/>
        <v/>
      </c>
      <c r="Z745" t="str">
        <f>IF(X745="","",SUMIFS(#REF!,RM!$C$4:$C991,X745))</f>
        <v/>
      </c>
      <c r="AA745" t="str">
        <f>IF(X745="","",SUMIFS(#REF!,RM!$C$4:$C991,X745))</f>
        <v/>
      </c>
      <c r="AB745" t="e">
        <f t="shared" si="9"/>
        <v>#VALUE!</v>
      </c>
      <c r="AC745" t="str">
        <f>IF(X745="","",VLOOKUP($X745,RM!$C$4:$G991,3,FALSE))</f>
        <v/>
      </c>
      <c r="AD745" t="str">
        <f>IF(X745="","",VLOOKUP($X745,RM!$C$4:$G991,4,FALSE))</f>
        <v/>
      </c>
      <c r="AE745" t="str">
        <f>IF(X745="","",VLOOKUP($X745,RM!$C$4:$G991,5,FALSE))</f>
        <v/>
      </c>
      <c r="AK745" t="e">
        <f ca="1">_xludf.IFNA(VLOOKUP(AG745,'S-FG'!$B$3:$B1001,1,FALSE),"")</f>
        <v>#NAME?</v>
      </c>
      <c r="AL745" t="str">
        <f>IF(AH745="","",SUMIFS(#REF!,RM!$C$4:$C991,AH745))</f>
        <v/>
      </c>
    </row>
    <row r="746" spans="5:38">
      <c r="E746" t="str">
        <f>IF(A746="","",SUMIFS(Issue!$D$3:$D1001,Issue!$C$3:$C1001,A746)*C746)</f>
        <v/>
      </c>
      <c r="F746" t="e">
        <f ca="1">_xludf.IFNA(VLOOKUP(B746,'S-FG'!$B$3:$B1001,1,FALSE),"")</f>
        <v>#NAME?</v>
      </c>
      <c r="L746" t="str">
        <f t="shared" si="7"/>
        <v/>
      </c>
      <c r="Q746" t="str">
        <f>IF(N746="","",SUMIFS(Issue!$D$3:$D1001,Issue!$C$3:$C1001,N746))</f>
        <v/>
      </c>
      <c r="Y746" t="str">
        <f t="shared" si="8"/>
        <v/>
      </c>
      <c r="Z746" t="str">
        <f>IF(X746="","",SUMIFS(#REF!,RM!$C$4:$C991,X746))</f>
        <v/>
      </c>
      <c r="AA746" t="str">
        <f>IF(X746="","",SUMIFS(#REF!,RM!$C$4:$C991,X746))</f>
        <v/>
      </c>
      <c r="AB746" t="e">
        <f t="shared" si="9"/>
        <v>#VALUE!</v>
      </c>
      <c r="AC746" t="str">
        <f>IF(X746="","",VLOOKUP($X746,RM!$C$4:$G991,3,FALSE))</f>
        <v/>
      </c>
      <c r="AD746" t="str">
        <f>IF(X746="","",VLOOKUP($X746,RM!$C$4:$G991,4,FALSE))</f>
        <v/>
      </c>
      <c r="AE746" t="str">
        <f>IF(X746="","",VLOOKUP($X746,RM!$C$4:$G991,5,FALSE))</f>
        <v/>
      </c>
      <c r="AK746" t="e">
        <f ca="1">_xludf.IFNA(VLOOKUP(AG746,'S-FG'!$B$3:$B1001,1,FALSE),"")</f>
        <v>#NAME?</v>
      </c>
      <c r="AL746" t="str">
        <f>IF(AH746="","",SUMIFS(#REF!,RM!$C$4:$C991,AH746))</f>
        <v/>
      </c>
    </row>
    <row r="747" spans="5:38">
      <c r="E747" t="str">
        <f>IF(A747="","",SUMIFS(Issue!$D$3:$D1001,Issue!$C$3:$C1001,A747)*C747)</f>
        <v/>
      </c>
      <c r="F747" t="e">
        <f ca="1">_xludf.IFNA(VLOOKUP(B747,'S-FG'!$B$3:$B1001,1,FALSE),"")</f>
        <v>#NAME?</v>
      </c>
      <c r="L747" t="str">
        <f t="shared" si="7"/>
        <v/>
      </c>
      <c r="Q747" t="str">
        <f>IF(N747="","",SUMIFS(Issue!$D$3:$D1001,Issue!$C$3:$C1001,N747))</f>
        <v/>
      </c>
      <c r="Y747" t="str">
        <f t="shared" si="8"/>
        <v/>
      </c>
      <c r="Z747" t="str">
        <f>IF(X747="","",SUMIFS(#REF!,RM!$C$4:$C991,X747))</f>
        <v/>
      </c>
      <c r="AA747" t="str">
        <f>IF(X747="","",SUMIFS(#REF!,RM!$C$4:$C991,X747))</f>
        <v/>
      </c>
      <c r="AB747" t="e">
        <f t="shared" si="9"/>
        <v>#VALUE!</v>
      </c>
      <c r="AC747" t="str">
        <f>IF(X747="","",VLOOKUP($X747,RM!$C$4:$G991,3,FALSE))</f>
        <v/>
      </c>
      <c r="AD747" t="str">
        <f>IF(X747="","",VLOOKUP($X747,RM!$C$4:$G991,4,FALSE))</f>
        <v/>
      </c>
      <c r="AE747" t="str">
        <f>IF(X747="","",VLOOKUP($X747,RM!$C$4:$G991,5,FALSE))</f>
        <v/>
      </c>
      <c r="AK747" t="e">
        <f ca="1">_xludf.IFNA(VLOOKUP(AG747,'S-FG'!$B$3:$B1001,1,FALSE),"")</f>
        <v>#NAME?</v>
      </c>
      <c r="AL747" t="str">
        <f>IF(AH747="","",SUMIFS(#REF!,RM!$C$4:$C991,AH747))</f>
        <v/>
      </c>
    </row>
    <row r="748" spans="5:38">
      <c r="E748" t="str">
        <f>IF(A748="","",SUMIFS(Issue!$D$3:$D1001,Issue!$C$3:$C1001,A748)*C748)</f>
        <v/>
      </c>
      <c r="F748" t="e">
        <f ca="1">_xludf.IFNA(VLOOKUP(B748,'S-FG'!$B$3:$B1001,1,FALSE),"")</f>
        <v>#NAME?</v>
      </c>
      <c r="L748" t="str">
        <f t="shared" si="7"/>
        <v/>
      </c>
      <c r="Q748" t="str">
        <f>IF(N748="","",SUMIFS(Issue!$D$3:$D1001,Issue!$C$3:$C1001,N748))</f>
        <v/>
      </c>
      <c r="Y748" t="str">
        <f t="shared" si="8"/>
        <v/>
      </c>
      <c r="Z748" t="str">
        <f>IF(X748="","",SUMIFS(#REF!,RM!$C$4:$C991,X748))</f>
        <v/>
      </c>
      <c r="AA748" t="str">
        <f>IF(X748="","",SUMIFS(#REF!,RM!$C$4:$C991,X748))</f>
        <v/>
      </c>
      <c r="AB748" t="e">
        <f t="shared" si="9"/>
        <v>#VALUE!</v>
      </c>
      <c r="AC748" t="str">
        <f>IF(X748="","",VLOOKUP($X748,RM!$C$4:$G991,3,FALSE))</f>
        <v/>
      </c>
      <c r="AD748" t="str">
        <f>IF(X748="","",VLOOKUP($X748,RM!$C$4:$G991,4,FALSE))</f>
        <v/>
      </c>
      <c r="AE748" t="str">
        <f>IF(X748="","",VLOOKUP($X748,RM!$C$4:$G991,5,FALSE))</f>
        <v/>
      </c>
      <c r="AK748" t="e">
        <f ca="1">_xludf.IFNA(VLOOKUP(AG748,'S-FG'!$B$3:$B1001,1,FALSE),"")</f>
        <v>#NAME?</v>
      </c>
      <c r="AL748" t="str">
        <f>IF(AH748="","",SUMIFS(#REF!,RM!$C$4:$C991,AH748))</f>
        <v/>
      </c>
    </row>
    <row r="749" spans="5:38">
      <c r="E749" t="str">
        <f>IF(A749="","",SUMIFS(Issue!$D$3:$D1001,Issue!$C$3:$C1001,A749)*C749)</f>
        <v/>
      </c>
      <c r="F749" t="e">
        <f ca="1">_xludf.IFNA(VLOOKUP(B749,'S-FG'!$B$3:$B1001,1,FALSE),"")</f>
        <v>#NAME?</v>
      </c>
      <c r="L749" t="str">
        <f t="shared" si="7"/>
        <v/>
      </c>
      <c r="Q749" t="str">
        <f>IF(N749="","",SUMIFS(Issue!$D$3:$D1001,Issue!$C$3:$C1001,N749))</f>
        <v/>
      </c>
      <c r="Y749" t="str">
        <f t="shared" si="8"/>
        <v/>
      </c>
      <c r="Z749" t="str">
        <f>IF(X749="","",SUMIFS(#REF!,RM!$C$4:$C991,X749))</f>
        <v/>
      </c>
      <c r="AA749" t="str">
        <f>IF(X749="","",SUMIFS(#REF!,RM!$C$4:$C991,X749))</f>
        <v/>
      </c>
      <c r="AB749" t="e">
        <f t="shared" si="9"/>
        <v>#VALUE!</v>
      </c>
      <c r="AC749" t="str">
        <f>IF(X749="","",VLOOKUP($X749,RM!$C$4:$G991,3,FALSE))</f>
        <v/>
      </c>
      <c r="AD749" t="str">
        <f>IF(X749="","",VLOOKUP($X749,RM!$C$4:$G991,4,FALSE))</f>
        <v/>
      </c>
      <c r="AE749" t="str">
        <f>IF(X749="","",VLOOKUP($X749,RM!$C$4:$G991,5,FALSE))</f>
        <v/>
      </c>
      <c r="AK749" t="e">
        <f ca="1">_xludf.IFNA(VLOOKUP(AG749,'S-FG'!$B$3:$B1001,1,FALSE),"")</f>
        <v>#NAME?</v>
      </c>
      <c r="AL749" t="str">
        <f>IF(AH749="","",SUMIFS(#REF!,RM!$C$4:$C991,AH749))</f>
        <v/>
      </c>
    </row>
    <row r="750" spans="5:38">
      <c r="E750" t="str">
        <f>IF(A750="","",SUMIFS(Issue!$D$3:$D1001,Issue!$C$3:$C1001,A750)*C750)</f>
        <v/>
      </c>
      <c r="F750" t="e">
        <f ca="1">_xludf.IFNA(VLOOKUP(B750,'S-FG'!$B$3:$B1001,1,FALSE),"")</f>
        <v>#NAME?</v>
      </c>
      <c r="L750" t="str">
        <f t="shared" si="7"/>
        <v/>
      </c>
      <c r="Q750" t="str">
        <f>IF(N750="","",SUMIFS(Issue!$D$3:$D1001,Issue!$C$3:$C1001,N750))</f>
        <v/>
      </c>
      <c r="Y750" t="str">
        <f t="shared" si="8"/>
        <v/>
      </c>
      <c r="Z750" t="str">
        <f>IF(X750="","",SUMIFS(#REF!,RM!$C$4:$C991,X750))</f>
        <v/>
      </c>
      <c r="AA750" t="str">
        <f>IF(X750="","",SUMIFS(#REF!,RM!$C$4:$C991,X750))</f>
        <v/>
      </c>
      <c r="AB750" t="e">
        <f t="shared" si="9"/>
        <v>#VALUE!</v>
      </c>
      <c r="AC750" t="str">
        <f>IF(X750="","",VLOOKUP($X750,RM!$C$4:$G991,3,FALSE))</f>
        <v/>
      </c>
      <c r="AD750" t="str">
        <f>IF(X750="","",VLOOKUP($X750,RM!$C$4:$G991,4,FALSE))</f>
        <v/>
      </c>
      <c r="AE750" t="str">
        <f>IF(X750="","",VLOOKUP($X750,RM!$C$4:$G991,5,FALSE))</f>
        <v/>
      </c>
      <c r="AK750" t="e">
        <f ca="1">_xludf.IFNA(VLOOKUP(AG750,'S-FG'!$B$3:$B1001,1,FALSE),"")</f>
        <v>#NAME?</v>
      </c>
      <c r="AL750" t="str">
        <f>IF(AH750="","",SUMIFS(#REF!,RM!$C$4:$C991,AH750))</f>
        <v/>
      </c>
    </row>
    <row r="751" spans="5:38">
      <c r="E751" t="str">
        <f>IF(A751="","",SUMIFS(Issue!$D$3:$D1001,Issue!$C$3:$C1001,A751)*C751)</f>
        <v/>
      </c>
      <c r="F751" t="e">
        <f ca="1">_xludf.IFNA(VLOOKUP(B751,'S-FG'!$B$3:$B1001,1,FALSE),"")</f>
        <v>#NAME?</v>
      </c>
      <c r="L751" t="str">
        <f t="shared" si="7"/>
        <v/>
      </c>
      <c r="Q751" t="str">
        <f>IF(N751="","",SUMIFS(Issue!$D$3:$D1001,Issue!$C$3:$C1001,N751))</f>
        <v/>
      </c>
      <c r="Y751" t="str">
        <f t="shared" si="8"/>
        <v/>
      </c>
      <c r="Z751" t="str">
        <f>IF(X751="","",SUMIFS(#REF!,RM!$C$4:$C991,X751))</f>
        <v/>
      </c>
      <c r="AA751" t="str">
        <f>IF(X751="","",SUMIFS(#REF!,RM!$C$4:$C991,X751))</f>
        <v/>
      </c>
      <c r="AB751" t="e">
        <f t="shared" si="9"/>
        <v>#VALUE!</v>
      </c>
      <c r="AC751" t="str">
        <f>IF(X751="","",VLOOKUP($X751,RM!$C$4:$G991,3,FALSE))</f>
        <v/>
      </c>
      <c r="AD751" t="str">
        <f>IF(X751="","",VLOOKUP($X751,RM!$C$4:$G991,4,FALSE))</f>
        <v/>
      </c>
      <c r="AE751" t="str">
        <f>IF(X751="","",VLOOKUP($X751,RM!$C$4:$G991,5,FALSE))</f>
        <v/>
      </c>
      <c r="AK751" t="e">
        <f ca="1">_xludf.IFNA(VLOOKUP(AG751,'S-FG'!$B$3:$B1001,1,FALSE),"")</f>
        <v>#NAME?</v>
      </c>
      <c r="AL751" t="str">
        <f>IF(AH751="","",SUMIFS(#REF!,RM!$C$4:$C991,AH751))</f>
        <v/>
      </c>
    </row>
    <row r="752" spans="5:38">
      <c r="E752" t="str">
        <f>IF(A752="","",SUMIFS(Issue!$D$3:$D1001,Issue!$C$3:$C1001,A752)*C752)</f>
        <v/>
      </c>
      <c r="F752" t="e">
        <f ca="1">_xludf.IFNA(VLOOKUP(B752,'S-FG'!$B$3:$B1001,1,FALSE),"")</f>
        <v>#NAME?</v>
      </c>
      <c r="L752" t="str">
        <f t="shared" si="7"/>
        <v/>
      </c>
      <c r="Q752" t="str">
        <f>IF(N752="","",SUMIFS(Issue!$D$3:$D1001,Issue!$C$3:$C1001,N752))</f>
        <v/>
      </c>
      <c r="Y752" t="str">
        <f t="shared" si="8"/>
        <v/>
      </c>
      <c r="Z752" t="str">
        <f>IF(X752="","",SUMIFS(#REF!,RM!$C$4:$C991,X752))</f>
        <v/>
      </c>
      <c r="AA752" t="str">
        <f>IF(X752="","",SUMIFS(#REF!,RM!$C$4:$C991,X752))</f>
        <v/>
      </c>
      <c r="AB752" t="e">
        <f t="shared" si="9"/>
        <v>#VALUE!</v>
      </c>
      <c r="AC752" t="str">
        <f>IF(X752="","",VLOOKUP($X752,RM!$C$4:$G991,3,FALSE))</f>
        <v/>
      </c>
      <c r="AD752" t="str">
        <f>IF(X752="","",VLOOKUP($X752,RM!$C$4:$G991,4,FALSE))</f>
        <v/>
      </c>
      <c r="AE752" t="str">
        <f>IF(X752="","",VLOOKUP($X752,RM!$C$4:$G991,5,FALSE))</f>
        <v/>
      </c>
      <c r="AK752" t="e">
        <f ca="1">_xludf.IFNA(VLOOKUP(AG752,'S-FG'!$B$3:$B1001,1,FALSE),"")</f>
        <v>#NAME?</v>
      </c>
      <c r="AL752" t="str">
        <f>IF(AH752="","",SUMIFS(#REF!,RM!$C$4:$C991,AH752))</f>
        <v/>
      </c>
    </row>
    <row r="753" spans="5:38">
      <c r="E753" t="str">
        <f>IF(A753="","",SUMIFS(Issue!$D$3:$D1001,Issue!$C$3:$C1001,A753)*C753)</f>
        <v/>
      </c>
      <c r="F753" t="e">
        <f ca="1">_xludf.IFNA(VLOOKUP(B753,'S-FG'!$B$3:$B1001,1,FALSE),"")</f>
        <v>#NAME?</v>
      </c>
      <c r="L753" t="str">
        <f t="shared" si="7"/>
        <v/>
      </c>
      <c r="Q753" t="str">
        <f>IF(N753="","",SUMIFS(Issue!$D$3:$D1001,Issue!$C$3:$C1001,N753))</f>
        <v/>
      </c>
      <c r="Y753" t="str">
        <f t="shared" si="8"/>
        <v/>
      </c>
      <c r="Z753" t="str">
        <f>IF(X753="","",SUMIFS(#REF!,RM!$C$4:$C991,X753))</f>
        <v/>
      </c>
      <c r="AA753" t="str">
        <f>IF(X753="","",SUMIFS(#REF!,RM!$C$4:$C991,X753))</f>
        <v/>
      </c>
      <c r="AB753" t="e">
        <f t="shared" si="9"/>
        <v>#VALUE!</v>
      </c>
      <c r="AC753" t="str">
        <f>IF(X753="","",VLOOKUP($X753,RM!$C$4:$G991,3,FALSE))</f>
        <v/>
      </c>
      <c r="AD753" t="str">
        <f>IF(X753="","",VLOOKUP($X753,RM!$C$4:$G991,4,FALSE))</f>
        <v/>
      </c>
      <c r="AE753" t="str">
        <f>IF(X753="","",VLOOKUP($X753,RM!$C$4:$G991,5,FALSE))</f>
        <v/>
      </c>
      <c r="AK753" t="e">
        <f ca="1">_xludf.IFNA(VLOOKUP(AG753,'S-FG'!$B$3:$B1001,1,FALSE),"")</f>
        <v>#NAME?</v>
      </c>
      <c r="AL753" t="str">
        <f>IF(AH753="","",SUMIFS(#REF!,RM!$C$4:$C991,AH753))</f>
        <v/>
      </c>
    </row>
    <row r="754" spans="5:38">
      <c r="E754" t="str">
        <f>IF(A754="","",SUMIFS(Issue!$D$3:$D1001,Issue!$C$3:$C1001,A754)*C754)</f>
        <v/>
      </c>
      <c r="F754" t="e">
        <f ca="1">_xludf.IFNA(VLOOKUP(B754,'S-FG'!$B$3:$B1001,1,FALSE),"")</f>
        <v>#NAME?</v>
      </c>
      <c r="L754" t="str">
        <f t="shared" si="7"/>
        <v/>
      </c>
      <c r="Q754" t="str">
        <f>IF(N754="","",SUMIFS(Issue!$D$3:$D1001,Issue!$C$3:$C1001,N754))</f>
        <v/>
      </c>
      <c r="Y754" t="str">
        <f t="shared" si="8"/>
        <v/>
      </c>
      <c r="Z754" t="str">
        <f>IF(X754="","",SUMIFS(#REF!,RM!$C$4:$C991,X754))</f>
        <v/>
      </c>
      <c r="AA754" t="str">
        <f>IF(X754="","",SUMIFS(#REF!,RM!$C$4:$C991,X754))</f>
        <v/>
      </c>
      <c r="AB754" t="e">
        <f t="shared" si="9"/>
        <v>#VALUE!</v>
      </c>
      <c r="AC754" t="str">
        <f>IF(X754="","",VLOOKUP($X754,RM!$C$4:$G991,3,FALSE))</f>
        <v/>
      </c>
      <c r="AD754" t="str">
        <f>IF(X754="","",VLOOKUP($X754,RM!$C$4:$G991,4,FALSE))</f>
        <v/>
      </c>
      <c r="AE754" t="str">
        <f>IF(X754="","",VLOOKUP($X754,RM!$C$4:$G991,5,FALSE))</f>
        <v/>
      </c>
      <c r="AK754" t="e">
        <f ca="1">_xludf.IFNA(VLOOKUP(AG754,'S-FG'!$B$3:$B1001,1,FALSE),"")</f>
        <v>#NAME?</v>
      </c>
      <c r="AL754" t="str">
        <f>IF(AH754="","",SUMIFS(#REF!,RM!$C$4:$C991,AH754))</f>
        <v/>
      </c>
    </row>
    <row r="755" spans="5:38">
      <c r="E755" t="str">
        <f>IF(A755="","",SUMIFS(Issue!$D$3:$D1001,Issue!$C$3:$C1001,A755)*C755)</f>
        <v/>
      </c>
      <c r="F755" t="e">
        <f ca="1">_xludf.IFNA(VLOOKUP(B755,'S-FG'!$B$3:$B1001,1,FALSE),"")</f>
        <v>#NAME?</v>
      </c>
      <c r="L755" t="str">
        <f t="shared" si="7"/>
        <v/>
      </c>
      <c r="Q755" t="str">
        <f>IF(N755="","",SUMIFS(Issue!$D$3:$D1001,Issue!$C$3:$C1001,N755))</f>
        <v/>
      </c>
      <c r="Y755" t="str">
        <f t="shared" si="8"/>
        <v/>
      </c>
      <c r="Z755" t="str">
        <f>IF(X755="","",SUMIFS(#REF!,RM!$C$4:$C991,X755))</f>
        <v/>
      </c>
      <c r="AA755" t="str">
        <f>IF(X755="","",SUMIFS(#REF!,RM!$C$4:$C991,X755))</f>
        <v/>
      </c>
      <c r="AB755" t="e">
        <f t="shared" si="9"/>
        <v>#VALUE!</v>
      </c>
      <c r="AC755" t="str">
        <f>IF(X755="","",VLOOKUP($X755,RM!$C$4:$G991,3,FALSE))</f>
        <v/>
      </c>
      <c r="AD755" t="str">
        <f>IF(X755="","",VLOOKUP($X755,RM!$C$4:$G991,4,FALSE))</f>
        <v/>
      </c>
      <c r="AE755" t="str">
        <f>IF(X755="","",VLOOKUP($X755,RM!$C$4:$G991,5,FALSE))</f>
        <v/>
      </c>
      <c r="AK755" t="e">
        <f ca="1">_xludf.IFNA(VLOOKUP(AG755,'S-FG'!$B$3:$B1001,1,FALSE),"")</f>
        <v>#NAME?</v>
      </c>
      <c r="AL755" t="str">
        <f>IF(AH755="","",SUMIFS(#REF!,RM!$C$4:$C991,AH755))</f>
        <v/>
      </c>
    </row>
    <row r="756" spans="5:38">
      <c r="E756" t="str">
        <f>IF(A756="","",SUMIFS(Issue!$D$3:$D1001,Issue!$C$3:$C1001,A756)*C756)</f>
        <v/>
      </c>
      <c r="F756" t="e">
        <f ca="1">_xludf.IFNA(VLOOKUP(B756,'S-FG'!$B$3:$B1001,1,FALSE),"")</f>
        <v>#NAME?</v>
      </c>
      <c r="L756" t="str">
        <f t="shared" si="7"/>
        <v/>
      </c>
      <c r="Q756" t="str">
        <f>IF(N756="","",SUMIFS(Issue!$D$3:$D1001,Issue!$C$3:$C1001,N756))</f>
        <v/>
      </c>
      <c r="Y756" t="str">
        <f t="shared" si="8"/>
        <v/>
      </c>
      <c r="Z756" t="str">
        <f>IF(X756="","",SUMIFS(#REF!,RM!$C$4:$C991,X756))</f>
        <v/>
      </c>
      <c r="AA756" t="str">
        <f>IF(X756="","",SUMIFS(#REF!,RM!$C$4:$C991,X756))</f>
        <v/>
      </c>
      <c r="AB756" t="e">
        <f t="shared" si="9"/>
        <v>#VALUE!</v>
      </c>
      <c r="AC756" t="str">
        <f>IF(X756="","",VLOOKUP($X756,RM!$C$4:$G991,3,FALSE))</f>
        <v/>
      </c>
      <c r="AD756" t="str">
        <f>IF(X756="","",VLOOKUP($X756,RM!$C$4:$G991,4,FALSE))</f>
        <v/>
      </c>
      <c r="AE756" t="str">
        <f>IF(X756="","",VLOOKUP($X756,RM!$C$4:$G991,5,FALSE))</f>
        <v/>
      </c>
      <c r="AK756" t="e">
        <f ca="1">_xludf.IFNA(VLOOKUP(AG756,'S-FG'!$B$3:$B1001,1,FALSE),"")</f>
        <v>#NAME?</v>
      </c>
      <c r="AL756" t="str">
        <f>IF(AH756="","",SUMIFS(#REF!,RM!$C$4:$C991,AH756))</f>
        <v/>
      </c>
    </row>
    <row r="757" spans="5:38">
      <c r="E757" t="str">
        <f>IF(A757="","",SUMIFS(Issue!$D$3:$D1001,Issue!$C$3:$C1001,A757)*C757)</f>
        <v/>
      </c>
      <c r="F757" t="e">
        <f ca="1">_xludf.IFNA(VLOOKUP(B757,'S-FG'!$B$3:$B1001,1,FALSE),"")</f>
        <v>#NAME?</v>
      </c>
      <c r="L757" t="str">
        <f t="shared" si="7"/>
        <v/>
      </c>
      <c r="Q757" t="str">
        <f>IF(N757="","",SUMIFS(Issue!$D$3:$D1001,Issue!$C$3:$C1001,N757))</f>
        <v/>
      </c>
      <c r="Y757" t="str">
        <f t="shared" si="8"/>
        <v/>
      </c>
      <c r="Z757" t="str">
        <f>IF(X757="","",SUMIFS(#REF!,RM!$C$4:$C991,X757))</f>
        <v/>
      </c>
      <c r="AA757" t="str">
        <f>IF(X757="","",SUMIFS(#REF!,RM!$C$4:$C991,X757))</f>
        <v/>
      </c>
      <c r="AB757" t="e">
        <f t="shared" si="9"/>
        <v>#VALUE!</v>
      </c>
      <c r="AC757" t="str">
        <f>IF(X757="","",VLOOKUP($X757,RM!$C$4:$G991,3,FALSE))</f>
        <v/>
      </c>
      <c r="AD757" t="str">
        <f>IF(X757="","",VLOOKUP($X757,RM!$C$4:$G991,4,FALSE))</f>
        <v/>
      </c>
      <c r="AE757" t="str">
        <f>IF(X757="","",VLOOKUP($X757,RM!$C$4:$G991,5,FALSE))</f>
        <v/>
      </c>
      <c r="AK757" t="e">
        <f ca="1">_xludf.IFNA(VLOOKUP(AG757,'S-FG'!$B$3:$B1001,1,FALSE),"")</f>
        <v>#NAME?</v>
      </c>
      <c r="AL757" t="str">
        <f>IF(AH757="","",SUMIFS(#REF!,RM!$C$4:$C991,AH757))</f>
        <v/>
      </c>
    </row>
    <row r="758" spans="5:38">
      <c r="E758" t="str">
        <f>IF(A758="","",SUMIFS(Issue!$D$3:$D1001,Issue!$C$3:$C1001,A758)*C758)</f>
        <v/>
      </c>
      <c r="F758" t="e">
        <f ca="1">_xludf.IFNA(VLOOKUP(B758,'S-FG'!$B$3:$B1001,1,FALSE),"")</f>
        <v>#NAME?</v>
      </c>
      <c r="L758" t="str">
        <f t="shared" si="7"/>
        <v/>
      </c>
      <c r="Q758" t="str">
        <f>IF(N758="","",SUMIFS(Issue!$D$3:$D1001,Issue!$C$3:$C1001,N758))</f>
        <v/>
      </c>
      <c r="Y758" t="str">
        <f t="shared" si="8"/>
        <v/>
      </c>
      <c r="Z758" t="str">
        <f>IF(X758="","",SUMIFS(#REF!,RM!$C$4:$C991,X758))</f>
        <v/>
      </c>
      <c r="AA758" t="str">
        <f>IF(X758="","",SUMIFS(#REF!,RM!$C$4:$C991,X758))</f>
        <v/>
      </c>
      <c r="AB758" t="e">
        <f t="shared" si="9"/>
        <v>#VALUE!</v>
      </c>
      <c r="AC758" t="str">
        <f>IF(X758="","",VLOOKUP($X758,RM!$C$4:$G991,3,FALSE))</f>
        <v/>
      </c>
      <c r="AD758" t="str">
        <f>IF(X758="","",VLOOKUP($X758,RM!$C$4:$G991,4,FALSE))</f>
        <v/>
      </c>
      <c r="AE758" t="str">
        <f>IF(X758="","",VLOOKUP($X758,RM!$C$4:$G991,5,FALSE))</f>
        <v/>
      </c>
      <c r="AK758" t="e">
        <f ca="1">_xludf.IFNA(VLOOKUP(AG758,'S-FG'!$B$3:$B1001,1,FALSE),"")</f>
        <v>#NAME?</v>
      </c>
      <c r="AL758" t="str">
        <f>IF(AH758="","",SUMIFS(#REF!,RM!$C$4:$C991,AH758))</f>
        <v/>
      </c>
    </row>
    <row r="759" spans="5:38">
      <c r="E759" t="str">
        <f>IF(A759="","",SUMIFS(Issue!$D$3:$D1001,Issue!$C$3:$C1001,A759)*C759)</f>
        <v/>
      </c>
      <c r="F759" t="e">
        <f ca="1">_xludf.IFNA(VLOOKUP(B759,'S-FG'!$B$3:$B1001,1,FALSE),"")</f>
        <v>#NAME?</v>
      </c>
      <c r="L759" t="str">
        <f t="shared" si="7"/>
        <v/>
      </c>
      <c r="Q759" t="str">
        <f>IF(N759="","",SUMIFS(Issue!$D$3:$D1001,Issue!$C$3:$C1001,N759))</f>
        <v/>
      </c>
      <c r="Y759" t="str">
        <f t="shared" si="8"/>
        <v/>
      </c>
      <c r="Z759" t="str">
        <f>IF(X759="","",SUMIFS(#REF!,RM!$C$4:$C991,X759))</f>
        <v/>
      </c>
      <c r="AA759" t="str">
        <f>IF(X759="","",SUMIFS(#REF!,RM!$C$4:$C991,X759))</f>
        <v/>
      </c>
      <c r="AB759" t="e">
        <f t="shared" si="9"/>
        <v>#VALUE!</v>
      </c>
      <c r="AC759" t="str">
        <f>IF(X759="","",VLOOKUP($X759,RM!$C$4:$G991,3,FALSE))</f>
        <v/>
      </c>
      <c r="AD759" t="str">
        <f>IF(X759="","",VLOOKUP($X759,RM!$C$4:$G991,4,FALSE))</f>
        <v/>
      </c>
      <c r="AE759" t="str">
        <f>IF(X759="","",VLOOKUP($X759,RM!$C$4:$G991,5,FALSE))</f>
        <v/>
      </c>
      <c r="AK759" t="e">
        <f ca="1">_xludf.IFNA(VLOOKUP(AG759,'S-FG'!$B$3:$B1001,1,FALSE),"")</f>
        <v>#NAME?</v>
      </c>
      <c r="AL759" t="str">
        <f>IF(AH759="","",SUMIFS(#REF!,RM!$C$4:$C991,AH759))</f>
        <v/>
      </c>
    </row>
    <row r="760" spans="5:38">
      <c r="E760" t="str">
        <f>IF(A760="","",SUMIFS(Issue!$D$3:$D1001,Issue!$C$3:$C1001,A760)*C760)</f>
        <v/>
      </c>
      <c r="F760" t="e">
        <f ca="1">_xludf.IFNA(VLOOKUP(B760,'S-FG'!$B$3:$B1001,1,FALSE),"")</f>
        <v>#NAME?</v>
      </c>
      <c r="L760" t="str">
        <f t="shared" si="7"/>
        <v/>
      </c>
      <c r="Q760" t="str">
        <f>IF(N760="","",SUMIFS(Issue!$D$3:$D1001,Issue!$C$3:$C1001,N760))</f>
        <v/>
      </c>
      <c r="Y760" t="str">
        <f t="shared" si="8"/>
        <v/>
      </c>
      <c r="Z760" t="str">
        <f>IF(X760="","",SUMIFS(#REF!,RM!$C$4:$C991,X760))</f>
        <v/>
      </c>
      <c r="AA760" t="str">
        <f>IF(X760="","",SUMIFS(#REF!,RM!$C$4:$C991,X760))</f>
        <v/>
      </c>
      <c r="AB760" t="e">
        <f t="shared" si="9"/>
        <v>#VALUE!</v>
      </c>
      <c r="AC760" t="str">
        <f>IF(X760="","",VLOOKUP($X760,RM!$C$4:$G991,3,FALSE))</f>
        <v/>
      </c>
      <c r="AD760" t="str">
        <f>IF(X760="","",VLOOKUP($X760,RM!$C$4:$G991,4,FALSE))</f>
        <v/>
      </c>
      <c r="AE760" t="str">
        <f>IF(X760="","",VLOOKUP($X760,RM!$C$4:$G991,5,FALSE))</f>
        <v/>
      </c>
      <c r="AK760" t="e">
        <f ca="1">_xludf.IFNA(VLOOKUP(AG760,'S-FG'!$B$3:$B1001,1,FALSE),"")</f>
        <v>#NAME?</v>
      </c>
      <c r="AL760" t="str">
        <f>IF(AH760="","",SUMIFS(#REF!,RM!$C$4:$C991,AH760))</f>
        <v/>
      </c>
    </row>
    <row r="761" spans="5:38">
      <c r="E761" t="str">
        <f>IF(A761="","",SUMIFS(Issue!$D$3:$D1001,Issue!$C$3:$C1001,A761)*C761)</f>
        <v/>
      </c>
      <c r="F761" t="e">
        <f ca="1">_xludf.IFNA(VLOOKUP(B761,'S-FG'!$B$3:$B1001,1,FALSE),"")</f>
        <v>#NAME?</v>
      </c>
      <c r="L761" t="str">
        <f t="shared" si="7"/>
        <v/>
      </c>
      <c r="Q761" t="str">
        <f>IF(N761="","",SUMIFS(Issue!$D$3:$D1001,Issue!$C$3:$C1001,N761))</f>
        <v/>
      </c>
      <c r="Y761" t="str">
        <f t="shared" si="8"/>
        <v/>
      </c>
      <c r="Z761" t="str">
        <f>IF(X761="","",SUMIFS(#REF!,RM!$C$4:$C991,X761))</f>
        <v/>
      </c>
      <c r="AA761" t="str">
        <f>IF(X761="","",SUMIFS(#REF!,RM!$C$4:$C991,X761))</f>
        <v/>
      </c>
      <c r="AB761" t="e">
        <f t="shared" si="9"/>
        <v>#VALUE!</v>
      </c>
      <c r="AC761" t="str">
        <f>IF(X761="","",VLOOKUP($X761,RM!$C$4:$G991,3,FALSE))</f>
        <v/>
      </c>
      <c r="AD761" t="str">
        <f>IF(X761="","",VLOOKUP($X761,RM!$C$4:$G991,4,FALSE))</f>
        <v/>
      </c>
      <c r="AE761" t="str">
        <f>IF(X761="","",VLOOKUP($X761,RM!$C$4:$G991,5,FALSE))</f>
        <v/>
      </c>
      <c r="AK761" t="e">
        <f ca="1">_xludf.IFNA(VLOOKUP(AG761,'S-FG'!$B$3:$B1001,1,FALSE),"")</f>
        <v>#NAME?</v>
      </c>
      <c r="AL761" t="str">
        <f>IF(AH761="","",SUMIFS(#REF!,RM!$C$4:$C991,AH761))</f>
        <v/>
      </c>
    </row>
    <row r="762" spans="5:38">
      <c r="E762" t="str">
        <f>IF(A762="","",SUMIFS(Issue!$D$3:$D1001,Issue!$C$3:$C1001,A762)*C762)</f>
        <v/>
      </c>
      <c r="F762" t="e">
        <f ca="1">_xludf.IFNA(VLOOKUP(B762,'S-FG'!$B$3:$B1001,1,FALSE),"")</f>
        <v>#NAME?</v>
      </c>
      <c r="L762" t="str">
        <f t="shared" si="7"/>
        <v/>
      </c>
      <c r="Q762" t="str">
        <f>IF(N762="","",SUMIFS(Issue!$D$3:$D1001,Issue!$C$3:$C1001,N762))</f>
        <v/>
      </c>
      <c r="Y762" t="str">
        <f t="shared" si="8"/>
        <v/>
      </c>
      <c r="Z762" t="str">
        <f>IF(X762="","",SUMIFS(#REF!,RM!$C$4:$C991,X762))</f>
        <v/>
      </c>
      <c r="AA762" t="str">
        <f>IF(X762="","",SUMIFS(#REF!,RM!$C$4:$C991,X762))</f>
        <v/>
      </c>
      <c r="AB762" t="e">
        <f t="shared" si="9"/>
        <v>#VALUE!</v>
      </c>
      <c r="AC762" t="str">
        <f>IF(X762="","",VLOOKUP($X762,RM!$C$4:$G991,3,FALSE))</f>
        <v/>
      </c>
      <c r="AD762" t="str">
        <f>IF(X762="","",VLOOKUP($X762,RM!$C$4:$G991,4,FALSE))</f>
        <v/>
      </c>
      <c r="AE762" t="str">
        <f>IF(X762="","",VLOOKUP($X762,RM!$C$4:$G991,5,FALSE))</f>
        <v/>
      </c>
      <c r="AK762" t="e">
        <f ca="1">_xludf.IFNA(VLOOKUP(AG762,'S-FG'!$B$3:$B1001,1,FALSE),"")</f>
        <v>#NAME?</v>
      </c>
      <c r="AL762" t="str">
        <f>IF(AH762="","",SUMIFS(#REF!,RM!$C$4:$C991,AH762))</f>
        <v/>
      </c>
    </row>
    <row r="763" spans="5:38">
      <c r="E763" t="str">
        <f>IF(A763="","",SUMIFS(Issue!$D$3:$D1001,Issue!$C$3:$C1001,A763)*C763)</f>
        <v/>
      </c>
      <c r="F763" t="e">
        <f ca="1">_xludf.IFNA(VLOOKUP(B763,'S-FG'!$B$3:$B1001,1,FALSE),"")</f>
        <v>#NAME?</v>
      </c>
      <c r="L763" t="str">
        <f t="shared" si="7"/>
        <v/>
      </c>
      <c r="Q763" t="str">
        <f>IF(N763="","",SUMIFS(Issue!$D$3:$D1001,Issue!$C$3:$C1001,N763))</f>
        <v/>
      </c>
      <c r="Y763" t="str">
        <f t="shared" si="8"/>
        <v/>
      </c>
      <c r="Z763" t="str">
        <f>IF(X763="","",SUMIFS(#REF!,RM!$C$4:$C991,X763))</f>
        <v/>
      </c>
      <c r="AA763" t="str">
        <f>IF(X763="","",SUMIFS(#REF!,RM!$C$4:$C991,X763))</f>
        <v/>
      </c>
      <c r="AB763" t="e">
        <f t="shared" si="9"/>
        <v>#VALUE!</v>
      </c>
      <c r="AC763" t="str">
        <f>IF(X763="","",VLOOKUP($X763,RM!$C$4:$G991,3,FALSE))</f>
        <v/>
      </c>
      <c r="AD763" t="str">
        <f>IF(X763="","",VLOOKUP($X763,RM!$C$4:$G991,4,FALSE))</f>
        <v/>
      </c>
      <c r="AE763" t="str">
        <f>IF(X763="","",VLOOKUP($X763,RM!$C$4:$G991,5,FALSE))</f>
        <v/>
      </c>
      <c r="AK763" t="e">
        <f ca="1">_xludf.IFNA(VLOOKUP(AG763,'S-FG'!$B$3:$B1001,1,FALSE),"")</f>
        <v>#NAME?</v>
      </c>
      <c r="AL763" t="str">
        <f>IF(AH763="","",SUMIFS(#REF!,RM!$C$4:$C991,AH763))</f>
        <v/>
      </c>
    </row>
    <row r="764" spans="5:38">
      <c r="E764" t="str">
        <f>IF(A764="","",SUMIFS(Issue!$D$3:$D1001,Issue!$C$3:$C1001,A764)*C764)</f>
        <v/>
      </c>
      <c r="F764" t="e">
        <f ca="1">_xludf.IFNA(VLOOKUP(B764,'S-FG'!$B$3:$B1001,1,FALSE),"")</f>
        <v>#NAME?</v>
      </c>
      <c r="L764" t="str">
        <f t="shared" si="7"/>
        <v/>
      </c>
      <c r="Q764" t="str">
        <f>IF(N764="","",SUMIFS(Issue!$D$3:$D1001,Issue!$C$3:$C1001,N764))</f>
        <v/>
      </c>
      <c r="Y764" t="str">
        <f t="shared" si="8"/>
        <v/>
      </c>
      <c r="Z764" t="str">
        <f>IF(X764="","",SUMIFS(#REF!,RM!$C$4:$C991,X764))</f>
        <v/>
      </c>
      <c r="AA764" t="str">
        <f>IF(X764="","",SUMIFS(#REF!,RM!$C$4:$C991,X764))</f>
        <v/>
      </c>
      <c r="AB764" t="e">
        <f t="shared" si="9"/>
        <v>#VALUE!</v>
      </c>
      <c r="AC764" t="str">
        <f>IF(X764="","",VLOOKUP($X764,RM!$C$4:$G991,3,FALSE))</f>
        <v/>
      </c>
      <c r="AD764" t="str">
        <f>IF(X764="","",VLOOKUP($X764,RM!$C$4:$G991,4,FALSE))</f>
        <v/>
      </c>
      <c r="AE764" t="str">
        <f>IF(X764="","",VLOOKUP($X764,RM!$C$4:$G991,5,FALSE))</f>
        <v/>
      </c>
      <c r="AK764" t="e">
        <f ca="1">_xludf.IFNA(VLOOKUP(AG764,'S-FG'!$B$3:$B1001,1,FALSE),"")</f>
        <v>#NAME?</v>
      </c>
      <c r="AL764" t="str">
        <f>IF(AH764="","",SUMIFS(#REF!,RM!$C$4:$C991,AH764))</f>
        <v/>
      </c>
    </row>
    <row r="765" spans="5:38">
      <c r="E765" t="str">
        <f>IF(A765="","",SUMIFS(Issue!$D$3:$D1001,Issue!$C$3:$C1001,A765)*C765)</f>
        <v/>
      </c>
      <c r="F765" t="e">
        <f ca="1">_xludf.IFNA(VLOOKUP(B765,'S-FG'!$B$3:$B1001,1,FALSE),"")</f>
        <v>#NAME?</v>
      </c>
      <c r="L765" t="str">
        <f t="shared" si="7"/>
        <v/>
      </c>
      <c r="Q765" t="str">
        <f>IF(N765="","",SUMIFS(Issue!$D$3:$D1001,Issue!$C$3:$C1001,N765))</f>
        <v/>
      </c>
      <c r="Y765" t="str">
        <f t="shared" si="8"/>
        <v/>
      </c>
      <c r="Z765" t="str">
        <f>IF(X765="","",SUMIFS(#REF!,RM!$C$4:$C991,X765))</f>
        <v/>
      </c>
      <c r="AA765" t="str">
        <f>IF(X765="","",SUMIFS(#REF!,RM!$C$4:$C991,X765))</f>
        <v/>
      </c>
      <c r="AB765" t="e">
        <f t="shared" si="9"/>
        <v>#VALUE!</v>
      </c>
      <c r="AC765" t="str">
        <f>IF(X765="","",VLOOKUP($X765,RM!$C$4:$G991,3,FALSE))</f>
        <v/>
      </c>
      <c r="AD765" t="str">
        <f>IF(X765="","",VLOOKUP($X765,RM!$C$4:$G991,4,FALSE))</f>
        <v/>
      </c>
      <c r="AE765" t="str">
        <f>IF(X765="","",VLOOKUP($X765,RM!$C$4:$G991,5,FALSE))</f>
        <v/>
      </c>
      <c r="AK765" t="e">
        <f ca="1">_xludf.IFNA(VLOOKUP(AG765,'S-FG'!$B$3:$B1001,1,FALSE),"")</f>
        <v>#NAME?</v>
      </c>
      <c r="AL765" t="str">
        <f>IF(AH765="","",SUMIFS(#REF!,RM!$C$4:$C991,AH765))</f>
        <v/>
      </c>
    </row>
    <row r="766" spans="5:38">
      <c r="E766" t="str">
        <f>IF(A766="","",SUMIFS(Issue!$D$3:$D1001,Issue!$C$3:$C1001,A766)*C766)</f>
        <v/>
      </c>
      <c r="F766" t="e">
        <f ca="1">_xludf.IFNA(VLOOKUP(B766,'S-FG'!$B$3:$B1001,1,FALSE),"")</f>
        <v>#NAME?</v>
      </c>
      <c r="L766" t="str">
        <f t="shared" si="7"/>
        <v/>
      </c>
      <c r="Q766" t="str">
        <f>IF(N766="","",SUMIFS(Issue!$D$3:$D1001,Issue!$C$3:$C1001,N766))</f>
        <v/>
      </c>
      <c r="Y766" t="str">
        <f t="shared" si="8"/>
        <v/>
      </c>
      <c r="Z766" t="str">
        <f>IF(X766="","",SUMIFS(#REF!,RM!$C$4:$C991,X766))</f>
        <v/>
      </c>
      <c r="AA766" t="str">
        <f>IF(X766="","",SUMIFS(#REF!,RM!$C$4:$C991,X766))</f>
        <v/>
      </c>
      <c r="AB766" t="e">
        <f t="shared" si="9"/>
        <v>#VALUE!</v>
      </c>
      <c r="AC766" t="str">
        <f>IF(X766="","",VLOOKUP($X766,RM!$C$4:$G991,3,FALSE))</f>
        <v/>
      </c>
      <c r="AD766" t="str">
        <f>IF(X766="","",VLOOKUP($X766,RM!$C$4:$G991,4,FALSE))</f>
        <v/>
      </c>
      <c r="AE766" t="str">
        <f>IF(X766="","",VLOOKUP($X766,RM!$C$4:$G991,5,FALSE))</f>
        <v/>
      </c>
      <c r="AK766" t="e">
        <f ca="1">_xludf.IFNA(VLOOKUP(AG766,'S-FG'!$B$3:$B1001,1,FALSE),"")</f>
        <v>#NAME?</v>
      </c>
      <c r="AL766" t="str">
        <f>IF(AH766="","",SUMIFS(#REF!,RM!$C$4:$C991,AH766))</f>
        <v/>
      </c>
    </row>
    <row r="767" spans="5:38">
      <c r="E767" t="str">
        <f>IF(A767="","",SUMIFS(Issue!$D$3:$D1001,Issue!$C$3:$C1001,A767)*C767)</f>
        <v/>
      </c>
      <c r="F767" t="e">
        <f ca="1">_xludf.IFNA(VLOOKUP(B767,'S-FG'!$B$3:$B1001,1,FALSE),"")</f>
        <v>#NAME?</v>
      </c>
      <c r="L767" t="str">
        <f t="shared" ref="L767:L1001" si="10">IF(H767="","",SUMIFS($E$2:$E1766,$F$2:$F1766,H767)*J767)</f>
        <v/>
      </c>
      <c r="Q767" t="str">
        <f>IF(N767="","",SUMIFS(Issue!$D$3:$D1001,Issue!$C$3:$C1001,N767))</f>
        <v/>
      </c>
      <c r="Y767" t="str">
        <f t="shared" ref="Y767:Y1001" si="11">IF(X767="","",SUMIFS($E$2:$E1766,$B$2:$B1766,X767)+SUMIFS($L$2:$L1766,$I$2:$I1766,X767)+(SUMIFS($Q$2:$Q1766,$N$2:$N1766,X767)))</f>
        <v/>
      </c>
      <c r="Z767" t="str">
        <f>IF(X767="","",SUMIFS(#REF!,RM!$C$4:$C991,X767))</f>
        <v/>
      </c>
      <c r="AA767" t="str">
        <f>IF(X767="","",SUMIFS(#REF!,RM!$C$4:$C991,X767))</f>
        <v/>
      </c>
      <c r="AB767" t="e">
        <f t="shared" ref="AB767:AB1001" si="12">Y767-AA767-Z767</f>
        <v>#VALUE!</v>
      </c>
      <c r="AC767" t="str">
        <f>IF(X767="","",VLOOKUP($X767,RM!$C$4:$G991,3,FALSE))</f>
        <v/>
      </c>
      <c r="AD767" t="str">
        <f>IF(X767="","",VLOOKUP($X767,RM!$C$4:$G991,4,FALSE))</f>
        <v/>
      </c>
      <c r="AE767" t="str">
        <f>IF(X767="","",VLOOKUP($X767,RM!$C$4:$G991,5,FALSE))</f>
        <v/>
      </c>
      <c r="AK767" t="e">
        <f ca="1">_xludf.IFNA(VLOOKUP(AG767,'S-FG'!$B$3:$B1001,1,FALSE),"")</f>
        <v>#NAME?</v>
      </c>
      <c r="AL767" t="str">
        <f>IF(AH767="","",SUMIFS(#REF!,RM!$C$4:$C991,AH767))</f>
        <v/>
      </c>
    </row>
    <row r="768" spans="5:38">
      <c r="E768" t="str">
        <f>IF(A768="","",SUMIFS(Issue!$D$3:$D1001,Issue!$C$3:$C1001,A768)*C768)</f>
        <v/>
      </c>
      <c r="F768" t="e">
        <f ca="1">_xludf.IFNA(VLOOKUP(B768,'S-FG'!$B$3:$B1001,1,FALSE),"")</f>
        <v>#NAME?</v>
      </c>
      <c r="L768" t="str">
        <f t="shared" si="10"/>
        <v/>
      </c>
      <c r="Q768" t="str">
        <f>IF(N768="","",SUMIFS(Issue!$D$3:$D1001,Issue!$C$3:$C1001,N768))</f>
        <v/>
      </c>
      <c r="Y768" t="str">
        <f t="shared" si="11"/>
        <v/>
      </c>
      <c r="Z768" t="str">
        <f>IF(X768="","",SUMIFS(#REF!,RM!$C$4:$C991,X768))</f>
        <v/>
      </c>
      <c r="AA768" t="str">
        <f>IF(X768="","",SUMIFS(#REF!,RM!$C$4:$C991,X768))</f>
        <v/>
      </c>
      <c r="AB768" t="e">
        <f t="shared" si="12"/>
        <v>#VALUE!</v>
      </c>
      <c r="AC768" t="str">
        <f>IF(X768="","",VLOOKUP($X768,RM!$C$4:$G991,3,FALSE))</f>
        <v/>
      </c>
      <c r="AD768" t="str">
        <f>IF(X768="","",VLOOKUP($X768,RM!$C$4:$G991,4,FALSE))</f>
        <v/>
      </c>
      <c r="AE768" t="str">
        <f>IF(X768="","",VLOOKUP($X768,RM!$C$4:$G991,5,FALSE))</f>
        <v/>
      </c>
      <c r="AK768" t="e">
        <f ca="1">_xludf.IFNA(VLOOKUP(AG768,'S-FG'!$B$3:$B1001,1,FALSE),"")</f>
        <v>#NAME?</v>
      </c>
      <c r="AL768" t="str">
        <f>IF(AH768="","",SUMIFS(#REF!,RM!$C$4:$C991,AH768))</f>
        <v/>
      </c>
    </row>
    <row r="769" spans="5:38">
      <c r="E769" t="str">
        <f>IF(A769="","",SUMIFS(Issue!$D$3:$D1001,Issue!$C$3:$C1001,A769)*C769)</f>
        <v/>
      </c>
      <c r="F769" t="e">
        <f ca="1">_xludf.IFNA(VLOOKUP(B769,'S-FG'!$B$3:$B1001,1,FALSE),"")</f>
        <v>#NAME?</v>
      </c>
      <c r="L769" t="str">
        <f t="shared" si="10"/>
        <v/>
      </c>
      <c r="Q769" t="str">
        <f>IF(N769="","",SUMIFS(Issue!$D$3:$D1001,Issue!$C$3:$C1001,N769))</f>
        <v/>
      </c>
      <c r="Y769" t="str">
        <f t="shared" si="11"/>
        <v/>
      </c>
      <c r="Z769" t="str">
        <f>IF(X769="","",SUMIFS(#REF!,RM!$C$4:$C991,X769))</f>
        <v/>
      </c>
      <c r="AA769" t="str">
        <f>IF(X769="","",SUMIFS(#REF!,RM!$C$4:$C991,X769))</f>
        <v/>
      </c>
      <c r="AB769" t="e">
        <f t="shared" si="12"/>
        <v>#VALUE!</v>
      </c>
      <c r="AC769" t="str">
        <f>IF(X769="","",VLOOKUP($X769,RM!$C$4:$G991,3,FALSE))</f>
        <v/>
      </c>
      <c r="AD769" t="str">
        <f>IF(X769="","",VLOOKUP($X769,RM!$C$4:$G991,4,FALSE))</f>
        <v/>
      </c>
      <c r="AE769" t="str">
        <f>IF(X769="","",VLOOKUP($X769,RM!$C$4:$G991,5,FALSE))</f>
        <v/>
      </c>
      <c r="AK769" t="e">
        <f ca="1">_xludf.IFNA(VLOOKUP(AG769,'S-FG'!$B$3:$B1001,1,FALSE),"")</f>
        <v>#NAME?</v>
      </c>
      <c r="AL769" t="str">
        <f>IF(AH769="","",SUMIFS(#REF!,RM!$C$4:$C991,AH769))</f>
        <v/>
      </c>
    </row>
    <row r="770" spans="5:38">
      <c r="E770" t="str">
        <f>IF(A770="","",SUMIFS(Issue!$D$3:$D1001,Issue!$C$3:$C1001,A770)*C770)</f>
        <v/>
      </c>
      <c r="F770" t="e">
        <f ca="1">_xludf.IFNA(VLOOKUP(B770,'S-FG'!$B$3:$B1001,1,FALSE),"")</f>
        <v>#NAME?</v>
      </c>
      <c r="L770" t="str">
        <f t="shared" si="10"/>
        <v/>
      </c>
      <c r="Q770" t="str">
        <f>IF(N770="","",SUMIFS(Issue!$D$3:$D1001,Issue!$C$3:$C1001,N770))</f>
        <v/>
      </c>
      <c r="Y770" t="str">
        <f t="shared" si="11"/>
        <v/>
      </c>
      <c r="Z770" t="str">
        <f>IF(X770="","",SUMIFS(#REF!,RM!$C$4:$C991,X770))</f>
        <v/>
      </c>
      <c r="AA770" t="str">
        <f>IF(X770="","",SUMIFS(#REF!,RM!$C$4:$C991,X770))</f>
        <v/>
      </c>
      <c r="AB770" t="e">
        <f t="shared" si="12"/>
        <v>#VALUE!</v>
      </c>
      <c r="AC770" t="str">
        <f>IF(X770="","",VLOOKUP($X770,RM!$C$4:$G991,3,FALSE))</f>
        <v/>
      </c>
      <c r="AD770" t="str">
        <f>IF(X770="","",VLOOKUP($X770,RM!$C$4:$G991,4,FALSE))</f>
        <v/>
      </c>
      <c r="AE770" t="str">
        <f>IF(X770="","",VLOOKUP($X770,RM!$C$4:$G991,5,FALSE))</f>
        <v/>
      </c>
      <c r="AK770" t="e">
        <f ca="1">_xludf.IFNA(VLOOKUP(AG770,'S-FG'!$B$3:$B1001,1,FALSE),"")</f>
        <v>#NAME?</v>
      </c>
      <c r="AL770" t="str">
        <f>IF(AH770="","",SUMIFS(#REF!,RM!$C$4:$C991,AH770))</f>
        <v/>
      </c>
    </row>
    <row r="771" spans="5:38">
      <c r="E771" t="str">
        <f>IF(A771="","",SUMIFS(Issue!$D$3:$D1001,Issue!$C$3:$C1001,A771)*C771)</f>
        <v/>
      </c>
      <c r="F771" t="e">
        <f ca="1">_xludf.IFNA(VLOOKUP(B771,'S-FG'!$B$3:$B1001,1,FALSE),"")</f>
        <v>#NAME?</v>
      </c>
      <c r="L771" t="str">
        <f t="shared" si="10"/>
        <v/>
      </c>
      <c r="Q771" t="str">
        <f>IF(N771="","",SUMIFS(Issue!$D$3:$D1001,Issue!$C$3:$C1001,N771))</f>
        <v/>
      </c>
      <c r="Y771" t="str">
        <f t="shared" si="11"/>
        <v/>
      </c>
      <c r="Z771" t="str">
        <f>IF(X771="","",SUMIFS(#REF!,RM!$C$4:$C991,X771))</f>
        <v/>
      </c>
      <c r="AA771" t="str">
        <f>IF(X771="","",SUMIFS(#REF!,RM!$C$4:$C991,X771))</f>
        <v/>
      </c>
      <c r="AB771" t="e">
        <f t="shared" si="12"/>
        <v>#VALUE!</v>
      </c>
      <c r="AC771" t="str">
        <f>IF(X771="","",VLOOKUP($X771,RM!$C$4:$G991,3,FALSE))</f>
        <v/>
      </c>
      <c r="AD771" t="str">
        <f>IF(X771="","",VLOOKUP($X771,RM!$C$4:$G991,4,FALSE))</f>
        <v/>
      </c>
      <c r="AE771" t="str">
        <f>IF(X771="","",VLOOKUP($X771,RM!$C$4:$G991,5,FALSE))</f>
        <v/>
      </c>
      <c r="AK771" t="e">
        <f ca="1">_xludf.IFNA(VLOOKUP(AG771,'S-FG'!$B$3:$B1001,1,FALSE),"")</f>
        <v>#NAME?</v>
      </c>
      <c r="AL771" t="str">
        <f>IF(AH771="","",SUMIFS(#REF!,RM!$C$4:$C991,AH771))</f>
        <v/>
      </c>
    </row>
    <row r="772" spans="5:38">
      <c r="E772" t="str">
        <f>IF(A772="","",SUMIFS(Issue!$D$3:$D1001,Issue!$C$3:$C1001,A772)*C772)</f>
        <v/>
      </c>
      <c r="F772" t="e">
        <f ca="1">_xludf.IFNA(VLOOKUP(B772,'S-FG'!$B$3:$B1001,1,FALSE),"")</f>
        <v>#NAME?</v>
      </c>
      <c r="L772" t="str">
        <f t="shared" si="10"/>
        <v/>
      </c>
      <c r="Q772" t="str">
        <f>IF(N772="","",SUMIFS(Issue!$D$3:$D1001,Issue!$C$3:$C1001,N772))</f>
        <v/>
      </c>
      <c r="Y772" t="str">
        <f t="shared" si="11"/>
        <v/>
      </c>
      <c r="Z772" t="str">
        <f>IF(X772="","",SUMIFS(#REF!,RM!$C$4:$C991,X772))</f>
        <v/>
      </c>
      <c r="AA772" t="str">
        <f>IF(X772="","",SUMIFS(#REF!,RM!$C$4:$C991,X772))</f>
        <v/>
      </c>
      <c r="AB772" t="e">
        <f t="shared" si="12"/>
        <v>#VALUE!</v>
      </c>
      <c r="AC772" t="str">
        <f>IF(X772="","",VLOOKUP($X772,RM!$C$4:$G991,3,FALSE))</f>
        <v/>
      </c>
      <c r="AD772" t="str">
        <f>IF(X772="","",VLOOKUP($X772,RM!$C$4:$G991,4,FALSE))</f>
        <v/>
      </c>
      <c r="AE772" t="str">
        <f>IF(X772="","",VLOOKUP($X772,RM!$C$4:$G991,5,FALSE))</f>
        <v/>
      </c>
      <c r="AK772" t="e">
        <f ca="1">_xludf.IFNA(VLOOKUP(AG772,'S-FG'!$B$3:$B1001,1,FALSE),"")</f>
        <v>#NAME?</v>
      </c>
      <c r="AL772" t="str">
        <f>IF(AH772="","",SUMIFS(#REF!,RM!$C$4:$C991,AH772))</f>
        <v/>
      </c>
    </row>
    <row r="773" spans="5:38">
      <c r="E773" t="str">
        <f>IF(A773="","",SUMIFS(Issue!$D$3:$D1001,Issue!$C$3:$C1001,A773)*C773)</f>
        <v/>
      </c>
      <c r="F773" t="e">
        <f ca="1">_xludf.IFNA(VLOOKUP(B773,'S-FG'!$B$3:$B1001,1,FALSE),"")</f>
        <v>#NAME?</v>
      </c>
      <c r="L773" t="str">
        <f t="shared" si="10"/>
        <v/>
      </c>
      <c r="Q773" t="str">
        <f>IF(N773="","",SUMIFS(Issue!$D$3:$D1001,Issue!$C$3:$C1001,N773))</f>
        <v/>
      </c>
      <c r="Y773" t="str">
        <f t="shared" si="11"/>
        <v/>
      </c>
      <c r="Z773" t="str">
        <f>IF(X773="","",SUMIFS(#REF!,RM!$C$4:$C991,X773))</f>
        <v/>
      </c>
      <c r="AA773" t="str">
        <f>IF(X773="","",SUMIFS(#REF!,RM!$C$4:$C991,X773))</f>
        <v/>
      </c>
      <c r="AB773" t="e">
        <f t="shared" si="12"/>
        <v>#VALUE!</v>
      </c>
      <c r="AC773" t="str">
        <f>IF(X773="","",VLOOKUP($X773,RM!$C$4:$G991,3,FALSE))</f>
        <v/>
      </c>
      <c r="AD773" t="str">
        <f>IF(X773="","",VLOOKUP($X773,RM!$C$4:$G991,4,FALSE))</f>
        <v/>
      </c>
      <c r="AE773" t="str">
        <f>IF(X773="","",VLOOKUP($X773,RM!$C$4:$G991,5,FALSE))</f>
        <v/>
      </c>
      <c r="AK773" t="e">
        <f ca="1">_xludf.IFNA(VLOOKUP(AG773,'S-FG'!$B$3:$B1001,1,FALSE),"")</f>
        <v>#NAME?</v>
      </c>
      <c r="AL773" t="str">
        <f>IF(AH773="","",SUMIFS(#REF!,RM!$C$4:$C991,AH773))</f>
        <v/>
      </c>
    </row>
    <row r="774" spans="5:38">
      <c r="E774" t="str">
        <f>IF(A774="","",SUMIFS(Issue!$D$3:$D1001,Issue!$C$3:$C1001,A774)*C774)</f>
        <v/>
      </c>
      <c r="F774" t="e">
        <f ca="1">_xludf.IFNA(VLOOKUP(B774,'S-FG'!$B$3:$B1001,1,FALSE),"")</f>
        <v>#NAME?</v>
      </c>
      <c r="L774" t="str">
        <f t="shared" si="10"/>
        <v/>
      </c>
      <c r="Q774" t="str">
        <f>IF(N774="","",SUMIFS(Issue!$D$3:$D1001,Issue!$C$3:$C1001,N774))</f>
        <v/>
      </c>
      <c r="Y774" t="str">
        <f t="shared" si="11"/>
        <v/>
      </c>
      <c r="Z774" t="str">
        <f>IF(X774="","",SUMIFS(#REF!,RM!$C$4:$C991,X774))</f>
        <v/>
      </c>
      <c r="AA774" t="str">
        <f>IF(X774="","",SUMIFS(#REF!,RM!$C$4:$C991,X774))</f>
        <v/>
      </c>
      <c r="AB774" t="e">
        <f t="shared" si="12"/>
        <v>#VALUE!</v>
      </c>
      <c r="AC774" t="str">
        <f>IF(X774="","",VLOOKUP($X774,RM!$C$4:$G991,3,FALSE))</f>
        <v/>
      </c>
      <c r="AD774" t="str">
        <f>IF(X774="","",VLOOKUP($X774,RM!$C$4:$G991,4,FALSE))</f>
        <v/>
      </c>
      <c r="AE774" t="str">
        <f>IF(X774="","",VLOOKUP($X774,RM!$C$4:$G991,5,FALSE))</f>
        <v/>
      </c>
      <c r="AK774" t="e">
        <f ca="1">_xludf.IFNA(VLOOKUP(AG774,'S-FG'!$B$3:$B1001,1,FALSE),"")</f>
        <v>#NAME?</v>
      </c>
      <c r="AL774" t="str">
        <f>IF(AH774="","",SUMIFS(#REF!,RM!$C$4:$C991,AH774))</f>
        <v/>
      </c>
    </row>
    <row r="775" spans="5:38">
      <c r="E775" t="str">
        <f>IF(A775="","",SUMIFS(Issue!$D$3:$D1001,Issue!$C$3:$C1001,A775)*C775)</f>
        <v/>
      </c>
      <c r="F775" t="e">
        <f ca="1">_xludf.IFNA(VLOOKUP(B775,'S-FG'!$B$3:$B1001,1,FALSE),"")</f>
        <v>#NAME?</v>
      </c>
      <c r="L775" t="str">
        <f t="shared" si="10"/>
        <v/>
      </c>
      <c r="Q775" t="str">
        <f>IF(N775="","",SUMIFS(Issue!$D$3:$D1001,Issue!$C$3:$C1001,N775))</f>
        <v/>
      </c>
      <c r="Y775" t="str">
        <f t="shared" si="11"/>
        <v/>
      </c>
      <c r="Z775" t="str">
        <f>IF(X775="","",SUMIFS(#REF!,RM!$C$4:$C991,X775))</f>
        <v/>
      </c>
      <c r="AA775" t="str">
        <f>IF(X775="","",SUMIFS(#REF!,RM!$C$4:$C991,X775))</f>
        <v/>
      </c>
      <c r="AB775" t="e">
        <f t="shared" si="12"/>
        <v>#VALUE!</v>
      </c>
      <c r="AC775" t="str">
        <f>IF(X775="","",VLOOKUP($X775,RM!$C$4:$G991,3,FALSE))</f>
        <v/>
      </c>
      <c r="AD775" t="str">
        <f>IF(X775="","",VLOOKUP($X775,RM!$C$4:$G991,4,FALSE))</f>
        <v/>
      </c>
      <c r="AE775" t="str">
        <f>IF(X775="","",VLOOKUP($X775,RM!$C$4:$G991,5,FALSE))</f>
        <v/>
      </c>
      <c r="AK775" t="e">
        <f ca="1">_xludf.IFNA(VLOOKUP(AG775,'S-FG'!$B$3:$B1001,1,FALSE),"")</f>
        <v>#NAME?</v>
      </c>
      <c r="AL775" t="str">
        <f>IF(AH775="","",SUMIFS(#REF!,RM!$C$4:$C991,AH775))</f>
        <v/>
      </c>
    </row>
    <row r="776" spans="5:38">
      <c r="E776" t="str">
        <f>IF(A776="","",SUMIFS(Issue!$D$3:$D1001,Issue!$C$3:$C1001,A776)*C776)</f>
        <v/>
      </c>
      <c r="F776" t="e">
        <f ca="1">_xludf.IFNA(VLOOKUP(B776,'S-FG'!$B$3:$B1001,1,FALSE),"")</f>
        <v>#NAME?</v>
      </c>
      <c r="L776" t="str">
        <f t="shared" si="10"/>
        <v/>
      </c>
      <c r="Q776" t="str">
        <f>IF(N776="","",SUMIFS(Issue!$D$3:$D1001,Issue!$C$3:$C1001,N776))</f>
        <v/>
      </c>
      <c r="Y776" t="str">
        <f t="shared" si="11"/>
        <v/>
      </c>
      <c r="Z776" t="str">
        <f>IF(X776="","",SUMIFS(#REF!,RM!$C$4:$C991,X776))</f>
        <v/>
      </c>
      <c r="AA776" t="str">
        <f>IF(X776="","",SUMIFS(#REF!,RM!$C$4:$C991,X776))</f>
        <v/>
      </c>
      <c r="AB776" t="e">
        <f t="shared" si="12"/>
        <v>#VALUE!</v>
      </c>
      <c r="AC776" t="str">
        <f>IF(X776="","",VLOOKUP($X776,RM!$C$4:$G991,3,FALSE))</f>
        <v/>
      </c>
      <c r="AD776" t="str">
        <f>IF(X776="","",VLOOKUP($X776,RM!$C$4:$G991,4,FALSE))</f>
        <v/>
      </c>
      <c r="AE776" t="str">
        <f>IF(X776="","",VLOOKUP($X776,RM!$C$4:$G991,5,FALSE))</f>
        <v/>
      </c>
      <c r="AK776" t="e">
        <f ca="1">_xludf.IFNA(VLOOKUP(AG776,'S-FG'!$B$3:$B1001,1,FALSE),"")</f>
        <v>#NAME?</v>
      </c>
      <c r="AL776" t="str">
        <f>IF(AH776="","",SUMIFS(#REF!,RM!$C$4:$C991,AH776))</f>
        <v/>
      </c>
    </row>
    <row r="777" spans="5:38">
      <c r="E777" t="str">
        <f>IF(A777="","",SUMIFS(Issue!$D$3:$D1001,Issue!$C$3:$C1001,A777)*C777)</f>
        <v/>
      </c>
      <c r="F777" t="e">
        <f ca="1">_xludf.IFNA(VLOOKUP(B777,'S-FG'!$B$3:$B1001,1,FALSE),"")</f>
        <v>#NAME?</v>
      </c>
      <c r="L777" t="str">
        <f t="shared" si="10"/>
        <v/>
      </c>
      <c r="Q777" t="str">
        <f>IF(N777="","",SUMIFS(Issue!$D$3:$D1001,Issue!$C$3:$C1001,N777))</f>
        <v/>
      </c>
      <c r="Y777" t="str">
        <f t="shared" si="11"/>
        <v/>
      </c>
      <c r="Z777" t="str">
        <f>IF(X777="","",SUMIFS(#REF!,RM!$C$4:$C991,X777))</f>
        <v/>
      </c>
      <c r="AA777" t="str">
        <f>IF(X777="","",SUMIFS(#REF!,RM!$C$4:$C991,X777))</f>
        <v/>
      </c>
      <c r="AB777" t="e">
        <f t="shared" si="12"/>
        <v>#VALUE!</v>
      </c>
      <c r="AC777" t="str">
        <f>IF(X777="","",VLOOKUP($X777,RM!$C$4:$G991,3,FALSE))</f>
        <v/>
      </c>
      <c r="AD777" t="str">
        <f>IF(X777="","",VLOOKUP($X777,RM!$C$4:$G991,4,FALSE))</f>
        <v/>
      </c>
      <c r="AE777" t="str">
        <f>IF(X777="","",VLOOKUP($X777,RM!$C$4:$G991,5,FALSE))</f>
        <v/>
      </c>
      <c r="AK777" t="e">
        <f ca="1">_xludf.IFNA(VLOOKUP(AG777,'S-FG'!$B$3:$B1001,1,FALSE),"")</f>
        <v>#NAME?</v>
      </c>
      <c r="AL777" t="str">
        <f>IF(AH777="","",SUMIFS(#REF!,RM!$C$4:$C991,AH777))</f>
        <v/>
      </c>
    </row>
    <row r="778" spans="5:38">
      <c r="E778" t="str">
        <f>IF(A778="","",SUMIFS(Issue!$D$3:$D1001,Issue!$C$3:$C1001,A778)*C778)</f>
        <v/>
      </c>
      <c r="F778" t="e">
        <f ca="1">_xludf.IFNA(VLOOKUP(B778,'S-FG'!$B$3:$B1001,1,FALSE),"")</f>
        <v>#NAME?</v>
      </c>
      <c r="L778" t="str">
        <f t="shared" si="10"/>
        <v/>
      </c>
      <c r="Q778" t="str">
        <f>IF(N778="","",SUMIFS(Issue!$D$3:$D1001,Issue!$C$3:$C1001,N778))</f>
        <v/>
      </c>
      <c r="Y778" t="str">
        <f t="shared" si="11"/>
        <v/>
      </c>
      <c r="Z778" t="str">
        <f>IF(X778="","",SUMIFS(#REF!,RM!$C$4:$C991,X778))</f>
        <v/>
      </c>
      <c r="AA778" t="str">
        <f>IF(X778="","",SUMIFS(#REF!,RM!$C$4:$C991,X778))</f>
        <v/>
      </c>
      <c r="AB778" t="e">
        <f t="shared" si="12"/>
        <v>#VALUE!</v>
      </c>
      <c r="AC778" t="str">
        <f>IF(X778="","",VLOOKUP($X778,RM!$C$4:$G991,3,FALSE))</f>
        <v/>
      </c>
      <c r="AD778" t="str">
        <f>IF(X778="","",VLOOKUP($X778,RM!$C$4:$G991,4,FALSE))</f>
        <v/>
      </c>
      <c r="AE778" t="str">
        <f>IF(X778="","",VLOOKUP($X778,RM!$C$4:$G991,5,FALSE))</f>
        <v/>
      </c>
      <c r="AK778" t="e">
        <f ca="1">_xludf.IFNA(VLOOKUP(AG778,'S-FG'!$B$3:$B1001,1,FALSE),"")</f>
        <v>#NAME?</v>
      </c>
      <c r="AL778" t="str">
        <f>IF(AH778="","",SUMIFS(#REF!,RM!$C$4:$C991,AH778))</f>
        <v/>
      </c>
    </row>
    <row r="779" spans="5:38">
      <c r="E779" t="str">
        <f>IF(A779="","",SUMIFS(Issue!$D$3:$D1001,Issue!$C$3:$C1001,A779)*C779)</f>
        <v/>
      </c>
      <c r="F779" t="e">
        <f ca="1">_xludf.IFNA(VLOOKUP(B779,'S-FG'!$B$3:$B1001,1,FALSE),"")</f>
        <v>#NAME?</v>
      </c>
      <c r="L779" t="str">
        <f t="shared" si="10"/>
        <v/>
      </c>
      <c r="Q779" t="str">
        <f>IF(N779="","",SUMIFS(Issue!$D$3:$D1001,Issue!$C$3:$C1001,N779))</f>
        <v/>
      </c>
      <c r="Y779" t="str">
        <f t="shared" si="11"/>
        <v/>
      </c>
      <c r="Z779" t="str">
        <f>IF(X779="","",SUMIFS(#REF!,RM!$C$4:$C991,X779))</f>
        <v/>
      </c>
      <c r="AA779" t="str">
        <f>IF(X779="","",SUMIFS(#REF!,RM!$C$4:$C991,X779))</f>
        <v/>
      </c>
      <c r="AB779" t="e">
        <f t="shared" si="12"/>
        <v>#VALUE!</v>
      </c>
      <c r="AC779" t="str">
        <f>IF(X779="","",VLOOKUP($X779,RM!$C$4:$G991,3,FALSE))</f>
        <v/>
      </c>
      <c r="AD779" t="str">
        <f>IF(X779="","",VLOOKUP($X779,RM!$C$4:$G991,4,FALSE))</f>
        <v/>
      </c>
      <c r="AE779" t="str">
        <f>IF(X779="","",VLOOKUP($X779,RM!$C$4:$G991,5,FALSE))</f>
        <v/>
      </c>
      <c r="AK779" t="e">
        <f ca="1">_xludf.IFNA(VLOOKUP(AG779,'S-FG'!$B$3:$B1001,1,FALSE),"")</f>
        <v>#NAME?</v>
      </c>
      <c r="AL779" t="str">
        <f>IF(AH779="","",SUMIFS(#REF!,RM!$C$4:$C991,AH779))</f>
        <v/>
      </c>
    </row>
    <row r="780" spans="5:38">
      <c r="E780" t="str">
        <f>IF(A780="","",SUMIFS(Issue!$D$3:$D1001,Issue!$C$3:$C1001,A780)*C780)</f>
        <v/>
      </c>
      <c r="F780" t="e">
        <f ca="1">_xludf.IFNA(VLOOKUP(B780,'S-FG'!$B$3:$B1001,1,FALSE),"")</f>
        <v>#NAME?</v>
      </c>
      <c r="L780" t="str">
        <f t="shared" si="10"/>
        <v/>
      </c>
      <c r="Q780" t="str">
        <f>IF(N780="","",SUMIFS(Issue!$D$3:$D1001,Issue!$C$3:$C1001,N780))</f>
        <v/>
      </c>
      <c r="Y780" t="str">
        <f t="shared" si="11"/>
        <v/>
      </c>
      <c r="Z780" t="str">
        <f>IF(X780="","",SUMIFS(#REF!,RM!$C$4:$C991,X780))</f>
        <v/>
      </c>
      <c r="AA780" t="str">
        <f>IF(X780="","",SUMIFS(#REF!,RM!$C$4:$C991,X780))</f>
        <v/>
      </c>
      <c r="AB780" t="e">
        <f t="shared" si="12"/>
        <v>#VALUE!</v>
      </c>
      <c r="AC780" t="str">
        <f>IF(X780="","",VLOOKUP($X780,RM!$C$4:$G991,3,FALSE))</f>
        <v/>
      </c>
      <c r="AD780" t="str">
        <f>IF(X780="","",VLOOKUP($X780,RM!$C$4:$G991,4,FALSE))</f>
        <v/>
      </c>
      <c r="AE780" t="str">
        <f>IF(X780="","",VLOOKUP($X780,RM!$C$4:$G991,5,FALSE))</f>
        <v/>
      </c>
      <c r="AK780" t="e">
        <f ca="1">_xludf.IFNA(VLOOKUP(AG780,'S-FG'!$B$3:$B1001,1,FALSE),"")</f>
        <v>#NAME?</v>
      </c>
      <c r="AL780" t="str">
        <f>IF(AH780="","",SUMIFS(#REF!,RM!$C$4:$C991,AH780))</f>
        <v/>
      </c>
    </row>
    <row r="781" spans="5:38">
      <c r="E781" t="str">
        <f>IF(A781="","",SUMIFS(Issue!$D$3:$D1001,Issue!$C$3:$C1001,A781)*C781)</f>
        <v/>
      </c>
      <c r="F781" t="e">
        <f ca="1">_xludf.IFNA(VLOOKUP(B781,'S-FG'!$B$3:$B1001,1,FALSE),"")</f>
        <v>#NAME?</v>
      </c>
      <c r="L781" t="str">
        <f t="shared" si="10"/>
        <v/>
      </c>
      <c r="Q781" t="str">
        <f>IF(N781="","",SUMIFS(Issue!$D$3:$D1001,Issue!$C$3:$C1001,N781))</f>
        <v/>
      </c>
      <c r="Y781" t="str">
        <f t="shared" si="11"/>
        <v/>
      </c>
      <c r="Z781" t="str">
        <f>IF(X781="","",SUMIFS(#REF!,RM!$C$4:$C991,X781))</f>
        <v/>
      </c>
      <c r="AA781" t="str">
        <f>IF(X781="","",SUMIFS(#REF!,RM!$C$4:$C991,X781))</f>
        <v/>
      </c>
      <c r="AB781" t="e">
        <f t="shared" si="12"/>
        <v>#VALUE!</v>
      </c>
      <c r="AC781" t="str">
        <f>IF(X781="","",VLOOKUP($X781,RM!$C$4:$G991,3,FALSE))</f>
        <v/>
      </c>
      <c r="AD781" t="str">
        <f>IF(X781="","",VLOOKUP($X781,RM!$C$4:$G991,4,FALSE))</f>
        <v/>
      </c>
      <c r="AE781" t="str">
        <f>IF(X781="","",VLOOKUP($X781,RM!$C$4:$G991,5,FALSE))</f>
        <v/>
      </c>
      <c r="AK781" t="e">
        <f ca="1">_xludf.IFNA(VLOOKUP(AG781,'S-FG'!$B$3:$B1001,1,FALSE),"")</f>
        <v>#NAME?</v>
      </c>
      <c r="AL781" t="str">
        <f>IF(AH781="","",SUMIFS(#REF!,RM!$C$4:$C991,AH781))</f>
        <v/>
      </c>
    </row>
    <row r="782" spans="5:38">
      <c r="E782" t="str">
        <f>IF(A782="","",SUMIFS(Issue!$D$3:$D1001,Issue!$C$3:$C1001,A782)*C782)</f>
        <v/>
      </c>
      <c r="F782" t="e">
        <f ca="1">_xludf.IFNA(VLOOKUP(B782,'S-FG'!$B$3:$B1001,1,FALSE),"")</f>
        <v>#NAME?</v>
      </c>
      <c r="L782" t="str">
        <f t="shared" si="10"/>
        <v/>
      </c>
      <c r="Q782" t="str">
        <f>IF(N782="","",SUMIFS(Issue!$D$3:$D1001,Issue!$C$3:$C1001,N782))</f>
        <v/>
      </c>
      <c r="Y782" t="str">
        <f t="shared" si="11"/>
        <v/>
      </c>
      <c r="Z782" t="str">
        <f>IF(X782="","",SUMIFS(#REF!,RM!$C$4:$C991,X782))</f>
        <v/>
      </c>
      <c r="AA782" t="str">
        <f>IF(X782="","",SUMIFS(#REF!,RM!$C$4:$C991,X782))</f>
        <v/>
      </c>
      <c r="AB782" t="e">
        <f t="shared" si="12"/>
        <v>#VALUE!</v>
      </c>
      <c r="AC782" t="str">
        <f>IF(X782="","",VLOOKUP($X782,RM!$C$4:$G991,3,FALSE))</f>
        <v/>
      </c>
      <c r="AD782" t="str">
        <f>IF(X782="","",VLOOKUP($X782,RM!$C$4:$G991,4,FALSE))</f>
        <v/>
      </c>
      <c r="AE782" t="str">
        <f>IF(X782="","",VLOOKUP($X782,RM!$C$4:$G991,5,FALSE))</f>
        <v/>
      </c>
      <c r="AK782" t="e">
        <f ca="1">_xludf.IFNA(VLOOKUP(AG782,'S-FG'!$B$3:$B1001,1,FALSE),"")</f>
        <v>#NAME?</v>
      </c>
      <c r="AL782" t="str">
        <f>IF(AH782="","",SUMIFS(#REF!,RM!$C$4:$C991,AH782))</f>
        <v/>
      </c>
    </row>
    <row r="783" spans="5:38">
      <c r="E783" t="str">
        <f>IF(A783="","",SUMIFS(Issue!$D$3:$D1001,Issue!$C$3:$C1001,A783)*C783)</f>
        <v/>
      </c>
      <c r="F783" t="e">
        <f ca="1">_xludf.IFNA(VLOOKUP(B783,'S-FG'!$B$3:$B1001,1,FALSE),"")</f>
        <v>#NAME?</v>
      </c>
      <c r="L783" t="str">
        <f t="shared" si="10"/>
        <v/>
      </c>
      <c r="Q783" t="str">
        <f>IF(N783="","",SUMIFS(Issue!$D$3:$D1001,Issue!$C$3:$C1001,N783))</f>
        <v/>
      </c>
      <c r="Y783" t="str">
        <f t="shared" si="11"/>
        <v/>
      </c>
      <c r="Z783" t="str">
        <f>IF(X783="","",SUMIFS(#REF!,RM!$C$4:$C991,X783))</f>
        <v/>
      </c>
      <c r="AA783" t="str">
        <f>IF(X783="","",SUMIFS(#REF!,RM!$C$4:$C991,X783))</f>
        <v/>
      </c>
      <c r="AB783" t="e">
        <f t="shared" si="12"/>
        <v>#VALUE!</v>
      </c>
      <c r="AC783" t="str">
        <f>IF(X783="","",VLOOKUP($X783,RM!$C$4:$G991,3,FALSE))</f>
        <v/>
      </c>
      <c r="AD783" t="str">
        <f>IF(X783="","",VLOOKUP($X783,RM!$C$4:$G991,4,FALSE))</f>
        <v/>
      </c>
      <c r="AE783" t="str">
        <f>IF(X783="","",VLOOKUP($X783,RM!$C$4:$G991,5,FALSE))</f>
        <v/>
      </c>
      <c r="AK783" t="e">
        <f ca="1">_xludf.IFNA(VLOOKUP(AG783,'S-FG'!$B$3:$B1001,1,FALSE),"")</f>
        <v>#NAME?</v>
      </c>
      <c r="AL783" t="str">
        <f>IF(AH783="","",SUMIFS(#REF!,RM!$C$4:$C991,AH783))</f>
        <v/>
      </c>
    </row>
    <row r="784" spans="5:38">
      <c r="E784" t="str">
        <f>IF(A784="","",SUMIFS(Issue!$D$3:$D1001,Issue!$C$3:$C1001,A784)*C784)</f>
        <v/>
      </c>
      <c r="F784" t="e">
        <f ca="1">_xludf.IFNA(VLOOKUP(B784,'S-FG'!$B$3:$B1001,1,FALSE),"")</f>
        <v>#NAME?</v>
      </c>
      <c r="L784" t="str">
        <f t="shared" si="10"/>
        <v/>
      </c>
      <c r="Q784" t="str">
        <f>IF(N784="","",SUMIFS(Issue!$D$3:$D1001,Issue!$C$3:$C1001,N784))</f>
        <v/>
      </c>
      <c r="Y784" t="str">
        <f t="shared" si="11"/>
        <v/>
      </c>
      <c r="Z784" t="str">
        <f>IF(X784="","",SUMIFS(#REF!,RM!$C$4:$C991,X784))</f>
        <v/>
      </c>
      <c r="AA784" t="str">
        <f>IF(X784="","",SUMIFS(#REF!,RM!$C$4:$C991,X784))</f>
        <v/>
      </c>
      <c r="AB784" t="e">
        <f t="shared" si="12"/>
        <v>#VALUE!</v>
      </c>
      <c r="AC784" t="str">
        <f>IF(X784="","",VLOOKUP($X784,RM!$C$4:$G991,3,FALSE))</f>
        <v/>
      </c>
      <c r="AD784" t="str">
        <f>IF(X784="","",VLOOKUP($X784,RM!$C$4:$G991,4,FALSE))</f>
        <v/>
      </c>
      <c r="AE784" t="str">
        <f>IF(X784="","",VLOOKUP($X784,RM!$C$4:$G991,5,FALSE))</f>
        <v/>
      </c>
      <c r="AK784" t="e">
        <f ca="1">_xludf.IFNA(VLOOKUP(AG784,'S-FG'!$B$3:$B1001,1,FALSE),"")</f>
        <v>#NAME?</v>
      </c>
      <c r="AL784" t="str">
        <f>IF(AH784="","",SUMIFS(#REF!,RM!$C$4:$C991,AH784))</f>
        <v/>
      </c>
    </row>
    <row r="785" spans="5:38">
      <c r="E785" t="str">
        <f>IF(A785="","",SUMIFS(Issue!$D$3:$D1001,Issue!$C$3:$C1001,A785)*C785)</f>
        <v/>
      </c>
      <c r="F785" t="e">
        <f ca="1">_xludf.IFNA(VLOOKUP(B785,'S-FG'!$B$3:$B1001,1,FALSE),"")</f>
        <v>#NAME?</v>
      </c>
      <c r="L785" t="str">
        <f t="shared" si="10"/>
        <v/>
      </c>
      <c r="Q785" t="str">
        <f>IF(N785="","",SUMIFS(Issue!$D$3:$D1001,Issue!$C$3:$C1001,N785))</f>
        <v/>
      </c>
      <c r="Y785" t="str">
        <f t="shared" si="11"/>
        <v/>
      </c>
      <c r="Z785" t="str">
        <f>IF(X785="","",SUMIFS(#REF!,RM!$C$4:$C991,X785))</f>
        <v/>
      </c>
      <c r="AA785" t="str">
        <f>IF(X785="","",SUMIFS(#REF!,RM!$C$4:$C991,X785))</f>
        <v/>
      </c>
      <c r="AB785" t="e">
        <f t="shared" si="12"/>
        <v>#VALUE!</v>
      </c>
      <c r="AC785" t="str">
        <f>IF(X785="","",VLOOKUP($X785,RM!$C$4:$G991,3,FALSE))</f>
        <v/>
      </c>
      <c r="AD785" t="str">
        <f>IF(X785="","",VLOOKUP($X785,RM!$C$4:$G991,4,FALSE))</f>
        <v/>
      </c>
      <c r="AE785" t="str">
        <f>IF(X785="","",VLOOKUP($X785,RM!$C$4:$G991,5,FALSE))</f>
        <v/>
      </c>
      <c r="AK785" t="e">
        <f ca="1">_xludf.IFNA(VLOOKUP(AG785,'S-FG'!$B$3:$B1001,1,FALSE),"")</f>
        <v>#NAME?</v>
      </c>
      <c r="AL785" t="str">
        <f>IF(AH785="","",SUMIFS(#REF!,RM!$C$4:$C991,AH785))</f>
        <v/>
      </c>
    </row>
    <row r="786" spans="5:38">
      <c r="E786" t="str">
        <f>IF(A786="","",SUMIFS(Issue!$D$3:$D1001,Issue!$C$3:$C1001,A786)*C786)</f>
        <v/>
      </c>
      <c r="F786" t="e">
        <f ca="1">_xludf.IFNA(VLOOKUP(B786,'S-FG'!$B$3:$B1001,1,FALSE),"")</f>
        <v>#NAME?</v>
      </c>
      <c r="L786" t="str">
        <f t="shared" si="10"/>
        <v/>
      </c>
      <c r="Q786" t="str">
        <f>IF(N786="","",SUMIFS(Issue!$D$3:$D1001,Issue!$C$3:$C1001,N786))</f>
        <v/>
      </c>
      <c r="Y786" t="str">
        <f t="shared" si="11"/>
        <v/>
      </c>
      <c r="Z786" t="str">
        <f>IF(X786="","",SUMIFS(#REF!,RM!$C$4:$C991,X786))</f>
        <v/>
      </c>
      <c r="AA786" t="str">
        <f>IF(X786="","",SUMIFS(#REF!,RM!$C$4:$C991,X786))</f>
        <v/>
      </c>
      <c r="AB786" t="e">
        <f t="shared" si="12"/>
        <v>#VALUE!</v>
      </c>
      <c r="AC786" t="str">
        <f>IF(X786="","",VLOOKUP($X786,RM!$C$4:$G991,3,FALSE))</f>
        <v/>
      </c>
      <c r="AD786" t="str">
        <f>IF(X786="","",VLOOKUP($X786,RM!$C$4:$G991,4,FALSE))</f>
        <v/>
      </c>
      <c r="AE786" t="str">
        <f>IF(X786="","",VLOOKUP($X786,RM!$C$4:$G991,5,FALSE))</f>
        <v/>
      </c>
      <c r="AK786" t="e">
        <f ca="1">_xludf.IFNA(VLOOKUP(AG786,'S-FG'!$B$3:$B1001,1,FALSE),"")</f>
        <v>#NAME?</v>
      </c>
      <c r="AL786" t="str">
        <f>IF(AH786="","",SUMIFS(#REF!,RM!$C$4:$C991,AH786))</f>
        <v/>
      </c>
    </row>
    <row r="787" spans="5:38">
      <c r="E787" t="str">
        <f>IF(A787="","",SUMIFS(Issue!$D$3:$D1001,Issue!$C$3:$C1001,A787)*C787)</f>
        <v/>
      </c>
      <c r="F787" t="e">
        <f ca="1">_xludf.IFNA(VLOOKUP(B787,'S-FG'!$B$3:$B1001,1,FALSE),"")</f>
        <v>#NAME?</v>
      </c>
      <c r="L787" t="str">
        <f t="shared" si="10"/>
        <v/>
      </c>
      <c r="Q787" t="str">
        <f>IF(N787="","",SUMIFS(Issue!$D$3:$D1001,Issue!$C$3:$C1001,N787))</f>
        <v/>
      </c>
      <c r="Y787" t="str">
        <f t="shared" si="11"/>
        <v/>
      </c>
      <c r="Z787" t="str">
        <f>IF(X787="","",SUMIFS(#REF!,RM!$C$4:$C991,X787))</f>
        <v/>
      </c>
      <c r="AA787" t="str">
        <f>IF(X787="","",SUMIFS(#REF!,RM!$C$4:$C991,X787))</f>
        <v/>
      </c>
      <c r="AB787" t="e">
        <f t="shared" si="12"/>
        <v>#VALUE!</v>
      </c>
      <c r="AC787" t="str">
        <f>IF(X787="","",VLOOKUP($X787,RM!$C$4:$G991,3,FALSE))</f>
        <v/>
      </c>
      <c r="AD787" t="str">
        <f>IF(X787="","",VLOOKUP($X787,RM!$C$4:$G991,4,FALSE))</f>
        <v/>
      </c>
      <c r="AE787" t="str">
        <f>IF(X787="","",VLOOKUP($X787,RM!$C$4:$G991,5,FALSE))</f>
        <v/>
      </c>
      <c r="AK787" t="e">
        <f ca="1">_xludf.IFNA(VLOOKUP(AG787,'S-FG'!$B$3:$B1001,1,FALSE),"")</f>
        <v>#NAME?</v>
      </c>
      <c r="AL787" t="str">
        <f>IF(AH787="","",SUMIFS(#REF!,RM!$C$4:$C991,AH787))</f>
        <v/>
      </c>
    </row>
    <row r="788" spans="5:38">
      <c r="E788" t="str">
        <f>IF(A788="","",SUMIFS(Issue!$D$3:$D1001,Issue!$C$3:$C1001,A788)*C788)</f>
        <v/>
      </c>
      <c r="F788" t="e">
        <f ca="1">_xludf.IFNA(VLOOKUP(B788,'S-FG'!$B$3:$B1001,1,FALSE),"")</f>
        <v>#NAME?</v>
      </c>
      <c r="L788" t="str">
        <f t="shared" si="10"/>
        <v/>
      </c>
      <c r="Q788" t="str">
        <f>IF(N788="","",SUMIFS(Issue!$D$3:$D1001,Issue!$C$3:$C1001,N788))</f>
        <v/>
      </c>
      <c r="Y788" t="str">
        <f t="shared" si="11"/>
        <v/>
      </c>
      <c r="Z788" t="str">
        <f>IF(X788="","",SUMIFS(#REF!,RM!$C$4:$C991,X788))</f>
        <v/>
      </c>
      <c r="AA788" t="str">
        <f>IF(X788="","",SUMIFS(#REF!,RM!$C$4:$C991,X788))</f>
        <v/>
      </c>
      <c r="AB788" t="e">
        <f t="shared" si="12"/>
        <v>#VALUE!</v>
      </c>
      <c r="AC788" t="str">
        <f>IF(X788="","",VLOOKUP($X788,RM!$C$4:$G991,3,FALSE))</f>
        <v/>
      </c>
      <c r="AD788" t="str">
        <f>IF(X788="","",VLOOKUP($X788,RM!$C$4:$G991,4,FALSE))</f>
        <v/>
      </c>
      <c r="AE788" t="str">
        <f>IF(X788="","",VLOOKUP($X788,RM!$C$4:$G991,5,FALSE))</f>
        <v/>
      </c>
      <c r="AK788" t="e">
        <f ca="1">_xludf.IFNA(VLOOKUP(AG788,'S-FG'!$B$3:$B1001,1,FALSE),"")</f>
        <v>#NAME?</v>
      </c>
      <c r="AL788" t="str">
        <f>IF(AH788="","",SUMIFS(#REF!,RM!$C$4:$C991,AH788))</f>
        <v/>
      </c>
    </row>
    <row r="789" spans="5:38">
      <c r="E789" t="str">
        <f>IF(A789="","",SUMIFS(Issue!$D$3:$D1001,Issue!$C$3:$C1001,A789)*C789)</f>
        <v/>
      </c>
      <c r="F789" t="e">
        <f ca="1">_xludf.IFNA(VLOOKUP(B789,'S-FG'!$B$3:$B1001,1,FALSE),"")</f>
        <v>#NAME?</v>
      </c>
      <c r="L789" t="str">
        <f t="shared" si="10"/>
        <v/>
      </c>
      <c r="Q789" t="str">
        <f>IF(N789="","",SUMIFS(Issue!$D$3:$D1001,Issue!$C$3:$C1001,N789))</f>
        <v/>
      </c>
      <c r="Y789" t="str">
        <f t="shared" si="11"/>
        <v/>
      </c>
      <c r="Z789" t="str">
        <f>IF(X789="","",SUMIFS(#REF!,RM!$C$4:$C991,X789))</f>
        <v/>
      </c>
      <c r="AA789" t="str">
        <f>IF(X789="","",SUMIFS(#REF!,RM!$C$4:$C991,X789))</f>
        <v/>
      </c>
      <c r="AB789" t="e">
        <f t="shared" si="12"/>
        <v>#VALUE!</v>
      </c>
      <c r="AC789" t="str">
        <f>IF(X789="","",VLOOKUP($X789,RM!$C$4:$G991,3,FALSE))</f>
        <v/>
      </c>
      <c r="AD789" t="str">
        <f>IF(X789="","",VLOOKUP($X789,RM!$C$4:$G991,4,FALSE))</f>
        <v/>
      </c>
      <c r="AE789" t="str">
        <f>IF(X789="","",VLOOKUP($X789,RM!$C$4:$G991,5,FALSE))</f>
        <v/>
      </c>
      <c r="AK789" t="e">
        <f ca="1">_xludf.IFNA(VLOOKUP(AG789,'S-FG'!$B$3:$B1001,1,FALSE),"")</f>
        <v>#NAME?</v>
      </c>
      <c r="AL789" t="str">
        <f>IF(AH789="","",SUMIFS(#REF!,RM!$C$4:$C991,AH789))</f>
        <v/>
      </c>
    </row>
    <row r="790" spans="5:38">
      <c r="E790" t="str">
        <f>IF(A790="","",SUMIFS(Issue!$D$3:$D1001,Issue!$C$3:$C1001,A790)*C790)</f>
        <v/>
      </c>
      <c r="F790" t="e">
        <f ca="1">_xludf.IFNA(VLOOKUP(B790,'S-FG'!$B$3:$B1001,1,FALSE),"")</f>
        <v>#NAME?</v>
      </c>
      <c r="L790" t="str">
        <f t="shared" si="10"/>
        <v/>
      </c>
      <c r="Q790" t="str">
        <f>IF(N790="","",SUMIFS(Issue!$D$3:$D1001,Issue!$C$3:$C1001,N790))</f>
        <v/>
      </c>
      <c r="Y790" t="str">
        <f t="shared" si="11"/>
        <v/>
      </c>
      <c r="Z790" t="str">
        <f>IF(X790="","",SUMIFS(#REF!,RM!$C$4:$C991,X790))</f>
        <v/>
      </c>
      <c r="AA790" t="str">
        <f>IF(X790="","",SUMIFS(#REF!,RM!$C$4:$C991,X790))</f>
        <v/>
      </c>
      <c r="AB790" t="e">
        <f t="shared" si="12"/>
        <v>#VALUE!</v>
      </c>
      <c r="AC790" t="str">
        <f>IF(X790="","",VLOOKUP($X790,RM!$C$4:$G991,3,FALSE))</f>
        <v/>
      </c>
      <c r="AD790" t="str">
        <f>IF(X790="","",VLOOKUP($X790,RM!$C$4:$G991,4,FALSE))</f>
        <v/>
      </c>
      <c r="AE790" t="str">
        <f>IF(X790="","",VLOOKUP($X790,RM!$C$4:$G991,5,FALSE))</f>
        <v/>
      </c>
      <c r="AK790" t="e">
        <f ca="1">_xludf.IFNA(VLOOKUP(AG790,'S-FG'!$B$3:$B1001,1,FALSE),"")</f>
        <v>#NAME?</v>
      </c>
      <c r="AL790" t="str">
        <f>IF(AH790="","",SUMIFS(#REF!,RM!$C$4:$C991,AH790))</f>
        <v/>
      </c>
    </row>
    <row r="791" spans="5:38">
      <c r="E791" t="str">
        <f>IF(A791="","",SUMIFS(Issue!$D$3:$D1001,Issue!$C$3:$C1001,A791)*C791)</f>
        <v/>
      </c>
      <c r="F791" t="e">
        <f ca="1">_xludf.IFNA(VLOOKUP(B791,'S-FG'!$B$3:$B1001,1,FALSE),"")</f>
        <v>#NAME?</v>
      </c>
      <c r="L791" t="str">
        <f t="shared" si="10"/>
        <v/>
      </c>
      <c r="Q791" t="str">
        <f>IF(N791="","",SUMIFS(Issue!$D$3:$D1001,Issue!$C$3:$C1001,N791))</f>
        <v/>
      </c>
      <c r="Y791" t="str">
        <f t="shared" si="11"/>
        <v/>
      </c>
      <c r="Z791" t="str">
        <f>IF(X791="","",SUMIFS(#REF!,RM!$C$4:$C991,X791))</f>
        <v/>
      </c>
      <c r="AA791" t="str">
        <f>IF(X791="","",SUMIFS(#REF!,RM!$C$4:$C991,X791))</f>
        <v/>
      </c>
      <c r="AB791" t="e">
        <f t="shared" si="12"/>
        <v>#VALUE!</v>
      </c>
      <c r="AC791" t="str">
        <f>IF(X791="","",VLOOKUP($X791,RM!$C$4:$G991,3,FALSE))</f>
        <v/>
      </c>
      <c r="AD791" t="str">
        <f>IF(X791="","",VLOOKUP($X791,RM!$C$4:$G991,4,FALSE))</f>
        <v/>
      </c>
      <c r="AE791" t="str">
        <f>IF(X791="","",VLOOKUP($X791,RM!$C$4:$G991,5,FALSE))</f>
        <v/>
      </c>
      <c r="AK791" t="e">
        <f ca="1">_xludf.IFNA(VLOOKUP(AG791,'S-FG'!$B$3:$B1001,1,FALSE),"")</f>
        <v>#NAME?</v>
      </c>
      <c r="AL791" t="str">
        <f>IF(AH791="","",SUMIFS(#REF!,RM!$C$4:$C991,AH791))</f>
        <v/>
      </c>
    </row>
    <row r="792" spans="5:38">
      <c r="E792" t="str">
        <f>IF(A792="","",SUMIFS(Issue!$D$3:$D1001,Issue!$C$3:$C1001,A792)*C792)</f>
        <v/>
      </c>
      <c r="F792" t="e">
        <f ca="1">_xludf.IFNA(VLOOKUP(B792,'S-FG'!$B$3:$B1001,1,FALSE),"")</f>
        <v>#NAME?</v>
      </c>
      <c r="L792" t="str">
        <f t="shared" si="10"/>
        <v/>
      </c>
      <c r="Q792" t="str">
        <f>IF(N792="","",SUMIFS(Issue!$D$3:$D1001,Issue!$C$3:$C1001,N792))</f>
        <v/>
      </c>
      <c r="Y792" t="str">
        <f t="shared" si="11"/>
        <v/>
      </c>
      <c r="Z792" t="str">
        <f>IF(X792="","",SUMIFS(#REF!,RM!$C$4:$C991,X792))</f>
        <v/>
      </c>
      <c r="AA792" t="str">
        <f>IF(X792="","",SUMIFS(#REF!,RM!$C$4:$C991,X792))</f>
        <v/>
      </c>
      <c r="AB792" t="e">
        <f t="shared" si="12"/>
        <v>#VALUE!</v>
      </c>
      <c r="AC792" t="str">
        <f>IF(X792="","",VLOOKUP($X792,RM!$C$4:$G991,3,FALSE))</f>
        <v/>
      </c>
      <c r="AD792" t="str">
        <f>IF(X792="","",VLOOKUP($X792,RM!$C$4:$G991,4,FALSE))</f>
        <v/>
      </c>
      <c r="AE792" t="str">
        <f>IF(X792="","",VLOOKUP($X792,RM!$C$4:$G991,5,FALSE))</f>
        <v/>
      </c>
      <c r="AK792" t="e">
        <f ca="1">_xludf.IFNA(VLOOKUP(AG792,'S-FG'!$B$3:$B1001,1,FALSE),"")</f>
        <v>#NAME?</v>
      </c>
      <c r="AL792" t="str">
        <f>IF(AH792="","",SUMIFS(#REF!,RM!$C$4:$C991,AH792))</f>
        <v/>
      </c>
    </row>
    <row r="793" spans="5:38">
      <c r="E793" t="str">
        <f>IF(A793="","",SUMIFS(Issue!$D$3:$D1001,Issue!$C$3:$C1001,A793)*C793)</f>
        <v/>
      </c>
      <c r="F793" t="e">
        <f ca="1">_xludf.IFNA(VLOOKUP(B793,'S-FG'!$B$3:$B1001,1,FALSE),"")</f>
        <v>#NAME?</v>
      </c>
      <c r="L793" t="str">
        <f t="shared" si="10"/>
        <v/>
      </c>
      <c r="Q793" t="str">
        <f>IF(N793="","",SUMIFS(Issue!$D$3:$D1001,Issue!$C$3:$C1001,N793))</f>
        <v/>
      </c>
      <c r="Y793" t="str">
        <f t="shared" si="11"/>
        <v/>
      </c>
      <c r="Z793" t="str">
        <f>IF(X793="","",SUMIFS(#REF!,RM!$C$4:$C991,X793))</f>
        <v/>
      </c>
      <c r="AA793" t="str">
        <f>IF(X793="","",SUMIFS(#REF!,RM!$C$4:$C991,X793))</f>
        <v/>
      </c>
      <c r="AB793" t="e">
        <f t="shared" si="12"/>
        <v>#VALUE!</v>
      </c>
      <c r="AC793" t="str">
        <f>IF(X793="","",VLOOKUP($X793,RM!$C$4:$G991,3,FALSE))</f>
        <v/>
      </c>
      <c r="AD793" t="str">
        <f>IF(X793="","",VLOOKUP($X793,RM!$C$4:$G991,4,FALSE))</f>
        <v/>
      </c>
      <c r="AE793" t="str">
        <f>IF(X793="","",VLOOKUP($X793,RM!$C$4:$G991,5,FALSE))</f>
        <v/>
      </c>
      <c r="AK793" t="e">
        <f ca="1">_xludf.IFNA(VLOOKUP(AG793,'S-FG'!$B$3:$B1001,1,FALSE),"")</f>
        <v>#NAME?</v>
      </c>
      <c r="AL793" t="str">
        <f>IF(AH793="","",SUMIFS(#REF!,RM!$C$4:$C991,AH793))</f>
        <v/>
      </c>
    </row>
    <row r="794" spans="5:38">
      <c r="E794" t="str">
        <f>IF(A794="","",SUMIFS(Issue!$D$3:$D1001,Issue!$C$3:$C1001,A794)*C794)</f>
        <v/>
      </c>
      <c r="F794" t="e">
        <f ca="1">_xludf.IFNA(VLOOKUP(B794,'S-FG'!$B$3:$B1001,1,FALSE),"")</f>
        <v>#NAME?</v>
      </c>
      <c r="L794" t="str">
        <f t="shared" si="10"/>
        <v/>
      </c>
      <c r="Q794" t="str">
        <f>IF(N794="","",SUMIFS(Issue!$D$3:$D1001,Issue!$C$3:$C1001,N794))</f>
        <v/>
      </c>
      <c r="Y794" t="str">
        <f t="shared" si="11"/>
        <v/>
      </c>
      <c r="Z794" t="str">
        <f>IF(X794="","",SUMIFS(#REF!,RM!$C$4:$C991,X794))</f>
        <v/>
      </c>
      <c r="AA794" t="str">
        <f>IF(X794="","",SUMIFS(#REF!,RM!$C$4:$C991,X794))</f>
        <v/>
      </c>
      <c r="AB794" t="e">
        <f t="shared" si="12"/>
        <v>#VALUE!</v>
      </c>
      <c r="AC794" t="str">
        <f>IF(X794="","",VLOOKUP($X794,RM!$C$4:$G991,3,FALSE))</f>
        <v/>
      </c>
      <c r="AD794" t="str">
        <f>IF(X794="","",VLOOKUP($X794,RM!$C$4:$G991,4,FALSE))</f>
        <v/>
      </c>
      <c r="AE794" t="str">
        <f>IF(X794="","",VLOOKUP($X794,RM!$C$4:$G991,5,FALSE))</f>
        <v/>
      </c>
      <c r="AK794" t="e">
        <f ca="1">_xludf.IFNA(VLOOKUP(AG794,'S-FG'!$B$3:$B1001,1,FALSE),"")</f>
        <v>#NAME?</v>
      </c>
      <c r="AL794" t="str">
        <f>IF(AH794="","",SUMIFS(#REF!,RM!$C$4:$C991,AH794))</f>
        <v/>
      </c>
    </row>
    <row r="795" spans="5:38">
      <c r="E795" t="str">
        <f>IF(A795="","",SUMIFS(Issue!$D$3:$D1001,Issue!$C$3:$C1001,A795)*C795)</f>
        <v/>
      </c>
      <c r="F795" t="e">
        <f ca="1">_xludf.IFNA(VLOOKUP(B795,'S-FG'!$B$3:$B1001,1,FALSE),"")</f>
        <v>#NAME?</v>
      </c>
      <c r="L795" t="str">
        <f t="shared" si="10"/>
        <v/>
      </c>
      <c r="Q795" t="str">
        <f>IF(N795="","",SUMIFS(Issue!$D$3:$D1001,Issue!$C$3:$C1001,N795))</f>
        <v/>
      </c>
      <c r="Y795" t="str">
        <f t="shared" si="11"/>
        <v/>
      </c>
      <c r="Z795" t="str">
        <f>IF(X795="","",SUMIFS(#REF!,RM!$C$4:$C991,X795))</f>
        <v/>
      </c>
      <c r="AA795" t="str">
        <f>IF(X795="","",SUMIFS(#REF!,RM!$C$4:$C991,X795))</f>
        <v/>
      </c>
      <c r="AB795" t="e">
        <f t="shared" si="12"/>
        <v>#VALUE!</v>
      </c>
      <c r="AC795" t="str">
        <f>IF(X795="","",VLOOKUP($X795,RM!$C$4:$G991,3,FALSE))</f>
        <v/>
      </c>
      <c r="AD795" t="str">
        <f>IF(X795="","",VLOOKUP($X795,RM!$C$4:$G991,4,FALSE))</f>
        <v/>
      </c>
      <c r="AE795" t="str">
        <f>IF(X795="","",VLOOKUP($X795,RM!$C$4:$G991,5,FALSE))</f>
        <v/>
      </c>
      <c r="AK795" t="e">
        <f ca="1">_xludf.IFNA(VLOOKUP(AG795,'S-FG'!$B$3:$B1001,1,FALSE),"")</f>
        <v>#NAME?</v>
      </c>
      <c r="AL795" t="str">
        <f>IF(AH795="","",SUMIFS(#REF!,RM!$C$4:$C991,AH795))</f>
        <v/>
      </c>
    </row>
    <row r="796" spans="5:38">
      <c r="E796" t="str">
        <f>IF(A796="","",SUMIFS(Issue!$D$3:$D1001,Issue!$C$3:$C1001,A796)*C796)</f>
        <v/>
      </c>
      <c r="F796" t="e">
        <f ca="1">_xludf.IFNA(VLOOKUP(B796,'S-FG'!$B$3:$B1001,1,FALSE),"")</f>
        <v>#NAME?</v>
      </c>
      <c r="L796" t="str">
        <f t="shared" si="10"/>
        <v/>
      </c>
      <c r="Q796" t="str">
        <f>IF(N796="","",SUMIFS(Issue!$D$3:$D1001,Issue!$C$3:$C1001,N796))</f>
        <v/>
      </c>
      <c r="Y796" t="str">
        <f t="shared" si="11"/>
        <v/>
      </c>
      <c r="Z796" t="str">
        <f>IF(X796="","",SUMIFS(#REF!,RM!$C$4:$C991,X796))</f>
        <v/>
      </c>
      <c r="AA796" t="str">
        <f>IF(X796="","",SUMIFS(#REF!,RM!$C$4:$C991,X796))</f>
        <v/>
      </c>
      <c r="AB796" t="e">
        <f t="shared" si="12"/>
        <v>#VALUE!</v>
      </c>
      <c r="AC796" t="str">
        <f>IF(X796="","",VLOOKUP($X796,RM!$C$4:$G991,3,FALSE))</f>
        <v/>
      </c>
      <c r="AD796" t="str">
        <f>IF(X796="","",VLOOKUP($X796,RM!$C$4:$G991,4,FALSE))</f>
        <v/>
      </c>
      <c r="AE796" t="str">
        <f>IF(X796="","",VLOOKUP($X796,RM!$C$4:$G991,5,FALSE))</f>
        <v/>
      </c>
      <c r="AK796" t="e">
        <f ca="1">_xludf.IFNA(VLOOKUP(AG796,'S-FG'!$B$3:$B1001,1,FALSE),"")</f>
        <v>#NAME?</v>
      </c>
      <c r="AL796" t="str">
        <f>IF(AH796="","",SUMIFS(#REF!,RM!$C$4:$C991,AH796))</f>
        <v/>
      </c>
    </row>
    <row r="797" spans="5:38">
      <c r="E797" t="str">
        <f>IF(A797="","",SUMIFS(Issue!$D$3:$D1001,Issue!$C$3:$C1001,A797)*C797)</f>
        <v/>
      </c>
      <c r="F797" t="e">
        <f ca="1">_xludf.IFNA(VLOOKUP(B797,'S-FG'!$B$3:$B1001,1,FALSE),"")</f>
        <v>#NAME?</v>
      </c>
      <c r="L797" t="str">
        <f t="shared" si="10"/>
        <v/>
      </c>
      <c r="Q797" t="str">
        <f>IF(N797="","",SUMIFS(Issue!$D$3:$D1001,Issue!$C$3:$C1001,N797))</f>
        <v/>
      </c>
      <c r="Y797" t="str">
        <f t="shared" si="11"/>
        <v/>
      </c>
      <c r="Z797" t="str">
        <f>IF(X797="","",SUMIFS(#REF!,RM!$C$4:$C991,X797))</f>
        <v/>
      </c>
      <c r="AA797" t="str">
        <f>IF(X797="","",SUMIFS(#REF!,RM!$C$4:$C991,X797))</f>
        <v/>
      </c>
      <c r="AB797" t="e">
        <f t="shared" si="12"/>
        <v>#VALUE!</v>
      </c>
      <c r="AC797" t="str">
        <f>IF(X797="","",VLOOKUP($X797,RM!$C$4:$G991,3,FALSE))</f>
        <v/>
      </c>
      <c r="AD797" t="str">
        <f>IF(X797="","",VLOOKUP($X797,RM!$C$4:$G991,4,FALSE))</f>
        <v/>
      </c>
      <c r="AE797" t="str">
        <f>IF(X797="","",VLOOKUP($X797,RM!$C$4:$G991,5,FALSE))</f>
        <v/>
      </c>
      <c r="AK797" t="e">
        <f ca="1">_xludf.IFNA(VLOOKUP(AG797,'S-FG'!$B$3:$B1001,1,FALSE),"")</f>
        <v>#NAME?</v>
      </c>
      <c r="AL797" t="str">
        <f>IF(AH797="","",SUMIFS(#REF!,RM!$C$4:$C991,AH797))</f>
        <v/>
      </c>
    </row>
    <row r="798" spans="5:38">
      <c r="E798" t="str">
        <f>IF(A798="","",SUMIFS(Issue!$D$3:$D1001,Issue!$C$3:$C1001,A798)*C798)</f>
        <v/>
      </c>
      <c r="F798" t="e">
        <f ca="1">_xludf.IFNA(VLOOKUP(B798,'S-FG'!$B$3:$B1001,1,FALSE),"")</f>
        <v>#NAME?</v>
      </c>
      <c r="L798" t="str">
        <f t="shared" si="10"/>
        <v/>
      </c>
      <c r="Q798" t="str">
        <f>IF(N798="","",SUMIFS(Issue!$D$3:$D1001,Issue!$C$3:$C1001,N798))</f>
        <v/>
      </c>
      <c r="Y798" t="str">
        <f t="shared" si="11"/>
        <v/>
      </c>
      <c r="Z798" t="str">
        <f>IF(X798="","",SUMIFS(#REF!,RM!$C$4:$C991,X798))</f>
        <v/>
      </c>
      <c r="AA798" t="str">
        <f>IF(X798="","",SUMIFS(#REF!,RM!$C$4:$C991,X798))</f>
        <v/>
      </c>
      <c r="AB798" t="e">
        <f t="shared" si="12"/>
        <v>#VALUE!</v>
      </c>
      <c r="AC798" t="str">
        <f>IF(X798="","",VLOOKUP($X798,RM!$C$4:$G991,3,FALSE))</f>
        <v/>
      </c>
      <c r="AD798" t="str">
        <f>IF(X798="","",VLOOKUP($X798,RM!$C$4:$G991,4,FALSE))</f>
        <v/>
      </c>
      <c r="AE798" t="str">
        <f>IF(X798="","",VLOOKUP($X798,RM!$C$4:$G991,5,FALSE))</f>
        <v/>
      </c>
      <c r="AK798" t="e">
        <f ca="1">_xludf.IFNA(VLOOKUP(AG798,'S-FG'!$B$3:$B1001,1,FALSE),"")</f>
        <v>#NAME?</v>
      </c>
      <c r="AL798" t="str">
        <f>IF(AH798="","",SUMIFS(#REF!,RM!$C$4:$C991,AH798))</f>
        <v/>
      </c>
    </row>
    <row r="799" spans="5:38">
      <c r="E799" t="str">
        <f>IF(A799="","",SUMIFS(Issue!$D$3:$D1001,Issue!$C$3:$C1001,A799)*C799)</f>
        <v/>
      </c>
      <c r="F799" t="e">
        <f ca="1">_xludf.IFNA(VLOOKUP(B799,'S-FG'!$B$3:$B1001,1,FALSE),"")</f>
        <v>#NAME?</v>
      </c>
      <c r="L799" t="str">
        <f t="shared" si="10"/>
        <v/>
      </c>
      <c r="Q799" t="str">
        <f>IF(N799="","",SUMIFS(Issue!$D$3:$D1001,Issue!$C$3:$C1001,N799))</f>
        <v/>
      </c>
      <c r="Y799" t="str">
        <f t="shared" si="11"/>
        <v/>
      </c>
      <c r="Z799" t="str">
        <f>IF(X799="","",SUMIFS(#REF!,RM!$C$4:$C991,X799))</f>
        <v/>
      </c>
      <c r="AA799" t="str">
        <f>IF(X799="","",SUMIFS(#REF!,RM!$C$4:$C991,X799))</f>
        <v/>
      </c>
      <c r="AB799" t="e">
        <f t="shared" si="12"/>
        <v>#VALUE!</v>
      </c>
      <c r="AC799" t="str">
        <f>IF(X799="","",VLOOKUP($X799,RM!$C$4:$G991,3,FALSE))</f>
        <v/>
      </c>
      <c r="AD799" t="str">
        <f>IF(X799="","",VLOOKUP($X799,RM!$C$4:$G991,4,FALSE))</f>
        <v/>
      </c>
      <c r="AE799" t="str">
        <f>IF(X799="","",VLOOKUP($X799,RM!$C$4:$G991,5,FALSE))</f>
        <v/>
      </c>
      <c r="AK799" t="e">
        <f ca="1">_xludf.IFNA(VLOOKUP(AG799,'S-FG'!$B$3:$B1001,1,FALSE),"")</f>
        <v>#NAME?</v>
      </c>
      <c r="AL799" t="str">
        <f>IF(AH799="","",SUMIFS(#REF!,RM!$C$4:$C991,AH799))</f>
        <v/>
      </c>
    </row>
    <row r="800" spans="5:38">
      <c r="E800" t="str">
        <f>IF(A800="","",SUMIFS(Issue!$D$3:$D1001,Issue!$C$3:$C1001,A800)*C800)</f>
        <v/>
      </c>
      <c r="F800" t="e">
        <f ca="1">_xludf.IFNA(VLOOKUP(B800,'S-FG'!$B$3:$B1001,1,FALSE),"")</f>
        <v>#NAME?</v>
      </c>
      <c r="L800" t="str">
        <f t="shared" si="10"/>
        <v/>
      </c>
      <c r="Q800" t="str">
        <f>IF(N800="","",SUMIFS(Issue!$D$3:$D1001,Issue!$C$3:$C1001,N800))</f>
        <v/>
      </c>
      <c r="Y800" t="str">
        <f t="shared" si="11"/>
        <v/>
      </c>
      <c r="Z800" t="str">
        <f>IF(X800="","",SUMIFS(#REF!,RM!$C$4:$C991,X800))</f>
        <v/>
      </c>
      <c r="AA800" t="str">
        <f>IF(X800="","",SUMIFS(#REF!,RM!$C$4:$C991,X800))</f>
        <v/>
      </c>
      <c r="AB800" t="e">
        <f t="shared" si="12"/>
        <v>#VALUE!</v>
      </c>
      <c r="AC800" t="str">
        <f>IF(X800="","",VLOOKUP($X800,RM!$C$4:$G991,3,FALSE))</f>
        <v/>
      </c>
      <c r="AD800" t="str">
        <f>IF(X800="","",VLOOKUP($X800,RM!$C$4:$G991,4,FALSE))</f>
        <v/>
      </c>
      <c r="AE800" t="str">
        <f>IF(X800="","",VLOOKUP($X800,RM!$C$4:$G991,5,FALSE))</f>
        <v/>
      </c>
      <c r="AK800" t="e">
        <f ca="1">_xludf.IFNA(VLOOKUP(AG800,'S-FG'!$B$3:$B1001,1,FALSE),"")</f>
        <v>#NAME?</v>
      </c>
      <c r="AL800" t="str">
        <f>IF(AH800="","",SUMIFS(#REF!,RM!$C$4:$C991,AH800))</f>
        <v/>
      </c>
    </row>
    <row r="801" spans="5:38">
      <c r="E801" t="str">
        <f>IF(A801="","",SUMIFS(Issue!$D$3:$D1001,Issue!$C$3:$C1001,A801)*C801)</f>
        <v/>
      </c>
      <c r="F801" t="e">
        <f ca="1">_xludf.IFNA(VLOOKUP(B801,'S-FG'!$B$3:$B1001,1,FALSE),"")</f>
        <v>#NAME?</v>
      </c>
      <c r="L801" t="str">
        <f t="shared" si="10"/>
        <v/>
      </c>
      <c r="Q801" t="str">
        <f>IF(N801="","",SUMIFS(Issue!$D$3:$D1001,Issue!$C$3:$C1001,N801))</f>
        <v/>
      </c>
      <c r="Y801" t="str">
        <f t="shared" si="11"/>
        <v/>
      </c>
      <c r="Z801" t="str">
        <f>IF(X801="","",SUMIFS(#REF!,RM!$C$4:$C991,X801))</f>
        <v/>
      </c>
      <c r="AA801" t="str">
        <f>IF(X801="","",SUMIFS(#REF!,RM!$C$4:$C991,X801))</f>
        <v/>
      </c>
      <c r="AB801" t="e">
        <f t="shared" si="12"/>
        <v>#VALUE!</v>
      </c>
      <c r="AC801" t="str">
        <f>IF(X801="","",VLOOKUP($X801,RM!$C$4:$G991,3,FALSE))</f>
        <v/>
      </c>
      <c r="AD801" t="str">
        <f>IF(X801="","",VLOOKUP($X801,RM!$C$4:$G991,4,FALSE))</f>
        <v/>
      </c>
      <c r="AE801" t="str">
        <f>IF(X801="","",VLOOKUP($X801,RM!$C$4:$G991,5,FALSE))</f>
        <v/>
      </c>
      <c r="AK801" t="e">
        <f ca="1">_xludf.IFNA(VLOOKUP(AG801,'S-FG'!$B$3:$B1001,1,FALSE),"")</f>
        <v>#NAME?</v>
      </c>
      <c r="AL801" t="str">
        <f>IF(AH801="","",SUMIFS(#REF!,RM!$C$4:$C991,AH801))</f>
        <v/>
      </c>
    </row>
    <row r="802" spans="5:38">
      <c r="E802" t="str">
        <f>IF(A802="","",SUMIFS(Issue!$D$3:$D1001,Issue!$C$3:$C1001,A802)*C802)</f>
        <v/>
      </c>
      <c r="F802" t="e">
        <f ca="1">_xludf.IFNA(VLOOKUP(B802,'S-FG'!$B$3:$B1001,1,FALSE),"")</f>
        <v>#NAME?</v>
      </c>
      <c r="L802" t="str">
        <f t="shared" si="10"/>
        <v/>
      </c>
      <c r="Q802" t="str">
        <f>IF(N802="","",SUMIFS(Issue!$D$3:$D1001,Issue!$C$3:$C1001,N802))</f>
        <v/>
      </c>
      <c r="Y802" t="str">
        <f t="shared" si="11"/>
        <v/>
      </c>
      <c r="Z802" t="str">
        <f>IF(X802="","",SUMIFS(#REF!,RM!$C$4:$C991,X802))</f>
        <v/>
      </c>
      <c r="AA802" t="str">
        <f>IF(X802="","",SUMIFS(#REF!,RM!$C$4:$C991,X802))</f>
        <v/>
      </c>
      <c r="AB802" t="e">
        <f t="shared" si="12"/>
        <v>#VALUE!</v>
      </c>
      <c r="AC802" t="str">
        <f>IF(X802="","",VLOOKUP($X802,RM!$C$4:$G991,3,FALSE))</f>
        <v/>
      </c>
      <c r="AD802" t="str">
        <f>IF(X802="","",VLOOKUP($X802,RM!$C$4:$G991,4,FALSE))</f>
        <v/>
      </c>
      <c r="AE802" t="str">
        <f>IF(X802="","",VLOOKUP($X802,RM!$C$4:$G991,5,FALSE))</f>
        <v/>
      </c>
      <c r="AK802" t="e">
        <f ca="1">_xludf.IFNA(VLOOKUP(AG802,'S-FG'!$B$3:$B1001,1,FALSE),"")</f>
        <v>#NAME?</v>
      </c>
      <c r="AL802" t="str">
        <f>IF(AH802="","",SUMIFS(#REF!,RM!$C$4:$C991,AH802))</f>
        <v/>
      </c>
    </row>
    <row r="803" spans="5:38">
      <c r="E803" t="str">
        <f>IF(A803="","",SUMIFS(Issue!$D$3:$D1001,Issue!$C$3:$C1001,A803)*C803)</f>
        <v/>
      </c>
      <c r="F803" t="e">
        <f ca="1">_xludf.IFNA(VLOOKUP(B803,'S-FG'!$B$3:$B1001,1,FALSE),"")</f>
        <v>#NAME?</v>
      </c>
      <c r="L803" t="str">
        <f t="shared" si="10"/>
        <v/>
      </c>
      <c r="Q803" t="str">
        <f>IF(N803="","",SUMIFS(Issue!$D$3:$D1001,Issue!$C$3:$C1001,N803))</f>
        <v/>
      </c>
      <c r="Y803" t="str">
        <f t="shared" si="11"/>
        <v/>
      </c>
      <c r="Z803" t="str">
        <f>IF(X803="","",SUMIFS(#REF!,RM!$C$4:$C991,X803))</f>
        <v/>
      </c>
      <c r="AA803" t="str">
        <f>IF(X803="","",SUMIFS(#REF!,RM!$C$4:$C991,X803))</f>
        <v/>
      </c>
      <c r="AB803" t="e">
        <f t="shared" si="12"/>
        <v>#VALUE!</v>
      </c>
      <c r="AC803" t="str">
        <f>IF(X803="","",VLOOKUP($X803,RM!$C$4:$G991,3,FALSE))</f>
        <v/>
      </c>
      <c r="AD803" t="str">
        <f>IF(X803="","",VLOOKUP($X803,RM!$C$4:$G991,4,FALSE))</f>
        <v/>
      </c>
      <c r="AE803" t="str">
        <f>IF(X803="","",VLOOKUP($X803,RM!$C$4:$G991,5,FALSE))</f>
        <v/>
      </c>
      <c r="AK803" t="e">
        <f ca="1">_xludf.IFNA(VLOOKUP(AG803,'S-FG'!$B$3:$B1001,1,FALSE),"")</f>
        <v>#NAME?</v>
      </c>
      <c r="AL803" t="str">
        <f>IF(AH803="","",SUMIFS(#REF!,RM!$C$4:$C991,AH803))</f>
        <v/>
      </c>
    </row>
    <row r="804" spans="5:38">
      <c r="E804" t="str">
        <f>IF(A804="","",SUMIFS(Issue!$D$3:$D1001,Issue!$C$3:$C1001,A804)*C804)</f>
        <v/>
      </c>
      <c r="F804" t="e">
        <f ca="1">_xludf.IFNA(VLOOKUP(B804,'S-FG'!$B$3:$B1001,1,FALSE),"")</f>
        <v>#NAME?</v>
      </c>
      <c r="L804" t="str">
        <f t="shared" si="10"/>
        <v/>
      </c>
      <c r="Q804" t="str">
        <f>IF(N804="","",SUMIFS(Issue!$D$3:$D1001,Issue!$C$3:$C1001,N804))</f>
        <v/>
      </c>
      <c r="Y804" t="str">
        <f t="shared" si="11"/>
        <v/>
      </c>
      <c r="Z804" t="str">
        <f>IF(X804="","",SUMIFS(#REF!,RM!$C$4:$C991,X804))</f>
        <v/>
      </c>
      <c r="AA804" t="str">
        <f>IF(X804="","",SUMIFS(#REF!,RM!$C$4:$C991,X804))</f>
        <v/>
      </c>
      <c r="AB804" t="e">
        <f t="shared" si="12"/>
        <v>#VALUE!</v>
      </c>
      <c r="AC804" t="str">
        <f>IF(X804="","",VLOOKUP($X804,RM!$C$4:$G991,3,FALSE))</f>
        <v/>
      </c>
      <c r="AD804" t="str">
        <f>IF(X804="","",VLOOKUP($X804,RM!$C$4:$G991,4,FALSE))</f>
        <v/>
      </c>
      <c r="AE804" t="str">
        <f>IF(X804="","",VLOOKUP($X804,RM!$C$4:$G991,5,FALSE))</f>
        <v/>
      </c>
      <c r="AK804" t="e">
        <f ca="1">_xludf.IFNA(VLOOKUP(AG804,'S-FG'!$B$3:$B1001,1,FALSE),"")</f>
        <v>#NAME?</v>
      </c>
      <c r="AL804" t="str">
        <f>IF(AH804="","",SUMIFS(#REF!,RM!$C$4:$C991,AH804))</f>
        <v/>
      </c>
    </row>
    <row r="805" spans="5:38">
      <c r="E805" t="str">
        <f>IF(A805="","",SUMIFS(Issue!$D$3:$D1001,Issue!$C$3:$C1001,A805)*C805)</f>
        <v/>
      </c>
      <c r="F805" t="e">
        <f ca="1">_xludf.IFNA(VLOOKUP(B805,'S-FG'!$B$3:$B1001,1,FALSE),"")</f>
        <v>#NAME?</v>
      </c>
      <c r="L805" t="str">
        <f t="shared" si="10"/>
        <v/>
      </c>
      <c r="Q805" t="str">
        <f>IF(N805="","",SUMIFS(Issue!$D$3:$D1001,Issue!$C$3:$C1001,N805))</f>
        <v/>
      </c>
      <c r="Y805" t="str">
        <f t="shared" si="11"/>
        <v/>
      </c>
      <c r="Z805" t="str">
        <f>IF(X805="","",SUMIFS(#REF!,RM!$C$4:$C991,X805))</f>
        <v/>
      </c>
      <c r="AA805" t="str">
        <f>IF(X805="","",SUMIFS(#REF!,RM!$C$4:$C991,X805))</f>
        <v/>
      </c>
      <c r="AB805" t="e">
        <f t="shared" si="12"/>
        <v>#VALUE!</v>
      </c>
      <c r="AC805" t="str">
        <f>IF(X805="","",VLOOKUP($X805,RM!$C$4:$G991,3,FALSE))</f>
        <v/>
      </c>
      <c r="AD805" t="str">
        <f>IF(X805="","",VLOOKUP($X805,RM!$C$4:$G991,4,FALSE))</f>
        <v/>
      </c>
      <c r="AE805" t="str">
        <f>IF(X805="","",VLOOKUP($X805,RM!$C$4:$G991,5,FALSE))</f>
        <v/>
      </c>
      <c r="AK805" t="e">
        <f ca="1">_xludf.IFNA(VLOOKUP(AG805,'S-FG'!$B$3:$B1001,1,FALSE),"")</f>
        <v>#NAME?</v>
      </c>
      <c r="AL805" t="str">
        <f>IF(AH805="","",SUMIFS(#REF!,RM!$C$4:$C991,AH805))</f>
        <v/>
      </c>
    </row>
    <row r="806" spans="5:38">
      <c r="E806" t="str">
        <f>IF(A806="","",SUMIFS(Issue!$D$3:$D1001,Issue!$C$3:$C1001,A806)*C806)</f>
        <v/>
      </c>
      <c r="F806" t="e">
        <f ca="1">_xludf.IFNA(VLOOKUP(B806,'S-FG'!$B$3:$B1001,1,FALSE),"")</f>
        <v>#NAME?</v>
      </c>
      <c r="L806" t="str">
        <f t="shared" si="10"/>
        <v/>
      </c>
      <c r="Q806" t="str">
        <f>IF(N806="","",SUMIFS(Issue!$D$3:$D1001,Issue!$C$3:$C1001,N806))</f>
        <v/>
      </c>
      <c r="Y806" t="str">
        <f t="shared" si="11"/>
        <v/>
      </c>
      <c r="Z806" t="str">
        <f>IF(X806="","",SUMIFS(#REF!,RM!$C$4:$C991,X806))</f>
        <v/>
      </c>
      <c r="AA806" t="str">
        <f>IF(X806="","",SUMIFS(#REF!,RM!$C$4:$C991,X806))</f>
        <v/>
      </c>
      <c r="AB806" t="e">
        <f t="shared" si="12"/>
        <v>#VALUE!</v>
      </c>
      <c r="AC806" t="str">
        <f>IF(X806="","",VLOOKUP($X806,RM!$C$4:$G991,3,FALSE))</f>
        <v/>
      </c>
      <c r="AD806" t="str">
        <f>IF(X806="","",VLOOKUP($X806,RM!$C$4:$G991,4,FALSE))</f>
        <v/>
      </c>
      <c r="AE806" t="str">
        <f>IF(X806="","",VLOOKUP($X806,RM!$C$4:$G991,5,FALSE))</f>
        <v/>
      </c>
      <c r="AK806" t="e">
        <f ca="1">_xludf.IFNA(VLOOKUP(AG806,'S-FG'!$B$3:$B1001,1,FALSE),"")</f>
        <v>#NAME?</v>
      </c>
      <c r="AL806" t="str">
        <f>IF(AH806="","",SUMIFS(#REF!,RM!$C$4:$C991,AH806))</f>
        <v/>
      </c>
    </row>
    <row r="807" spans="5:38">
      <c r="E807" t="str">
        <f>IF(A807="","",SUMIFS(Issue!$D$3:$D1001,Issue!$C$3:$C1001,A807)*C807)</f>
        <v/>
      </c>
      <c r="F807" t="e">
        <f ca="1">_xludf.IFNA(VLOOKUP(B807,'S-FG'!$B$3:$B1001,1,FALSE),"")</f>
        <v>#NAME?</v>
      </c>
      <c r="L807" t="str">
        <f t="shared" si="10"/>
        <v/>
      </c>
      <c r="Q807" t="str">
        <f>IF(N807="","",SUMIFS(Issue!$D$3:$D1001,Issue!$C$3:$C1001,N807))</f>
        <v/>
      </c>
      <c r="Y807" t="str">
        <f t="shared" si="11"/>
        <v/>
      </c>
      <c r="Z807" t="str">
        <f>IF(X807="","",SUMIFS(#REF!,RM!$C$4:$C991,X807))</f>
        <v/>
      </c>
      <c r="AA807" t="str">
        <f>IF(X807="","",SUMIFS(#REF!,RM!$C$4:$C991,X807))</f>
        <v/>
      </c>
      <c r="AB807" t="e">
        <f t="shared" si="12"/>
        <v>#VALUE!</v>
      </c>
      <c r="AC807" t="str">
        <f>IF(X807="","",VLOOKUP($X807,RM!$C$4:$G991,3,FALSE))</f>
        <v/>
      </c>
      <c r="AD807" t="str">
        <f>IF(X807="","",VLOOKUP($X807,RM!$C$4:$G991,4,FALSE))</f>
        <v/>
      </c>
      <c r="AE807" t="str">
        <f>IF(X807="","",VLOOKUP($X807,RM!$C$4:$G991,5,FALSE))</f>
        <v/>
      </c>
      <c r="AK807" t="e">
        <f ca="1">_xludf.IFNA(VLOOKUP(AG807,'S-FG'!$B$3:$B1001,1,FALSE),"")</f>
        <v>#NAME?</v>
      </c>
      <c r="AL807" t="str">
        <f>IF(AH807="","",SUMIFS(#REF!,RM!$C$4:$C991,AH807))</f>
        <v/>
      </c>
    </row>
    <row r="808" spans="5:38">
      <c r="E808" t="str">
        <f>IF(A808="","",SUMIFS(Issue!$D$3:$D1001,Issue!$C$3:$C1001,A808)*C808)</f>
        <v/>
      </c>
      <c r="F808" t="e">
        <f ca="1">_xludf.IFNA(VLOOKUP(B808,'S-FG'!$B$3:$B1001,1,FALSE),"")</f>
        <v>#NAME?</v>
      </c>
      <c r="L808" t="str">
        <f t="shared" si="10"/>
        <v/>
      </c>
      <c r="Q808" t="str">
        <f>IF(N808="","",SUMIFS(Issue!$D$3:$D1001,Issue!$C$3:$C1001,N808))</f>
        <v/>
      </c>
      <c r="Y808" t="str">
        <f t="shared" si="11"/>
        <v/>
      </c>
      <c r="Z808" t="str">
        <f>IF(X808="","",SUMIFS(#REF!,RM!$C$4:$C991,X808))</f>
        <v/>
      </c>
      <c r="AA808" t="str">
        <f>IF(X808="","",SUMIFS(#REF!,RM!$C$4:$C991,X808))</f>
        <v/>
      </c>
      <c r="AB808" t="e">
        <f t="shared" si="12"/>
        <v>#VALUE!</v>
      </c>
      <c r="AC808" t="str">
        <f>IF(X808="","",VLOOKUP($X808,RM!$C$4:$G991,3,FALSE))</f>
        <v/>
      </c>
      <c r="AD808" t="str">
        <f>IF(X808="","",VLOOKUP($X808,RM!$C$4:$G991,4,FALSE))</f>
        <v/>
      </c>
      <c r="AE808" t="str">
        <f>IF(X808="","",VLOOKUP($X808,RM!$C$4:$G991,5,FALSE))</f>
        <v/>
      </c>
      <c r="AK808" t="e">
        <f ca="1">_xludf.IFNA(VLOOKUP(AG808,'S-FG'!$B$3:$B1001,1,FALSE),"")</f>
        <v>#NAME?</v>
      </c>
      <c r="AL808" t="str">
        <f>IF(AH808="","",SUMIFS(#REF!,RM!$C$4:$C991,AH808))</f>
        <v/>
      </c>
    </row>
    <row r="809" spans="5:38">
      <c r="E809" t="str">
        <f>IF(A809="","",SUMIFS(Issue!$D$3:$D1001,Issue!$C$3:$C1001,A809)*C809)</f>
        <v/>
      </c>
      <c r="F809" t="e">
        <f ca="1">_xludf.IFNA(VLOOKUP(B809,'S-FG'!$B$3:$B1001,1,FALSE),"")</f>
        <v>#NAME?</v>
      </c>
      <c r="L809" t="str">
        <f t="shared" si="10"/>
        <v/>
      </c>
      <c r="Q809" t="str">
        <f>IF(N809="","",SUMIFS(Issue!$D$3:$D1001,Issue!$C$3:$C1001,N809))</f>
        <v/>
      </c>
      <c r="Y809" t="str">
        <f t="shared" si="11"/>
        <v/>
      </c>
      <c r="Z809" t="str">
        <f>IF(X809="","",SUMIFS(#REF!,RM!$C$4:$C991,X809))</f>
        <v/>
      </c>
      <c r="AA809" t="str">
        <f>IF(X809="","",SUMIFS(#REF!,RM!$C$4:$C991,X809))</f>
        <v/>
      </c>
      <c r="AB809" t="e">
        <f t="shared" si="12"/>
        <v>#VALUE!</v>
      </c>
      <c r="AC809" t="str">
        <f>IF(X809="","",VLOOKUP($X809,RM!$C$4:$G991,3,FALSE))</f>
        <v/>
      </c>
      <c r="AD809" t="str">
        <f>IF(X809="","",VLOOKUP($X809,RM!$C$4:$G991,4,FALSE))</f>
        <v/>
      </c>
      <c r="AE809" t="str">
        <f>IF(X809="","",VLOOKUP($X809,RM!$C$4:$G991,5,FALSE))</f>
        <v/>
      </c>
      <c r="AK809" t="e">
        <f ca="1">_xludf.IFNA(VLOOKUP(AG809,'S-FG'!$B$3:$B1001,1,FALSE),"")</f>
        <v>#NAME?</v>
      </c>
      <c r="AL809" t="str">
        <f>IF(AH809="","",SUMIFS(#REF!,RM!$C$4:$C991,AH809))</f>
        <v/>
      </c>
    </row>
    <row r="810" spans="5:38">
      <c r="E810" t="str">
        <f>IF(A810="","",SUMIFS(Issue!$D$3:$D1001,Issue!$C$3:$C1001,A810)*C810)</f>
        <v/>
      </c>
      <c r="F810" t="e">
        <f ca="1">_xludf.IFNA(VLOOKUP(B810,'S-FG'!$B$3:$B1001,1,FALSE),"")</f>
        <v>#NAME?</v>
      </c>
      <c r="L810" t="str">
        <f t="shared" si="10"/>
        <v/>
      </c>
      <c r="Q810" t="str">
        <f>IF(N810="","",SUMIFS(Issue!$D$3:$D1001,Issue!$C$3:$C1001,N810))</f>
        <v/>
      </c>
      <c r="Y810" t="str">
        <f t="shared" si="11"/>
        <v/>
      </c>
      <c r="Z810" t="str">
        <f>IF(X810="","",SUMIFS(#REF!,RM!$C$4:$C991,X810))</f>
        <v/>
      </c>
      <c r="AA810" t="str">
        <f>IF(X810="","",SUMIFS(#REF!,RM!$C$4:$C991,X810))</f>
        <v/>
      </c>
      <c r="AB810" t="e">
        <f t="shared" si="12"/>
        <v>#VALUE!</v>
      </c>
      <c r="AC810" t="str">
        <f>IF(X810="","",VLOOKUP($X810,RM!$C$4:$G991,3,FALSE))</f>
        <v/>
      </c>
      <c r="AD810" t="str">
        <f>IF(X810="","",VLOOKUP($X810,RM!$C$4:$G991,4,FALSE))</f>
        <v/>
      </c>
      <c r="AE810" t="str">
        <f>IF(X810="","",VLOOKUP($X810,RM!$C$4:$G991,5,FALSE))</f>
        <v/>
      </c>
      <c r="AK810" t="e">
        <f ca="1">_xludf.IFNA(VLOOKUP(AG810,'S-FG'!$B$3:$B1001,1,FALSE),"")</f>
        <v>#NAME?</v>
      </c>
      <c r="AL810" t="str">
        <f>IF(AH810="","",SUMIFS(#REF!,RM!$C$4:$C991,AH810))</f>
        <v/>
      </c>
    </row>
    <row r="811" spans="5:38">
      <c r="E811" t="str">
        <f>IF(A811="","",SUMIFS(Issue!$D$3:$D1001,Issue!$C$3:$C1001,A811)*C811)</f>
        <v/>
      </c>
      <c r="F811" t="e">
        <f ca="1">_xludf.IFNA(VLOOKUP(B811,'S-FG'!$B$3:$B1001,1,FALSE),"")</f>
        <v>#NAME?</v>
      </c>
      <c r="L811" t="str">
        <f t="shared" si="10"/>
        <v/>
      </c>
      <c r="Q811" t="str">
        <f>IF(N811="","",SUMIFS(Issue!$D$3:$D1001,Issue!$C$3:$C1001,N811))</f>
        <v/>
      </c>
      <c r="Y811" t="str">
        <f t="shared" si="11"/>
        <v/>
      </c>
      <c r="Z811" t="str">
        <f>IF(X811="","",SUMIFS(#REF!,RM!$C$4:$C991,X811))</f>
        <v/>
      </c>
      <c r="AA811" t="str">
        <f>IF(X811="","",SUMIFS(#REF!,RM!$C$4:$C991,X811))</f>
        <v/>
      </c>
      <c r="AB811" t="e">
        <f t="shared" si="12"/>
        <v>#VALUE!</v>
      </c>
      <c r="AC811" t="str">
        <f>IF(X811="","",VLOOKUP($X811,RM!$C$4:$G991,3,FALSE))</f>
        <v/>
      </c>
      <c r="AD811" t="str">
        <f>IF(X811="","",VLOOKUP($X811,RM!$C$4:$G991,4,FALSE))</f>
        <v/>
      </c>
      <c r="AE811" t="str">
        <f>IF(X811="","",VLOOKUP($X811,RM!$C$4:$G991,5,FALSE))</f>
        <v/>
      </c>
      <c r="AK811" t="e">
        <f ca="1">_xludf.IFNA(VLOOKUP(AG811,'S-FG'!$B$3:$B1001,1,FALSE),"")</f>
        <v>#NAME?</v>
      </c>
      <c r="AL811" t="str">
        <f>IF(AH811="","",SUMIFS(#REF!,RM!$C$4:$C991,AH811))</f>
        <v/>
      </c>
    </row>
    <row r="812" spans="5:38">
      <c r="E812" t="str">
        <f>IF(A812="","",SUMIFS(Issue!$D$3:$D1001,Issue!$C$3:$C1001,A812)*C812)</f>
        <v/>
      </c>
      <c r="F812" t="e">
        <f ca="1">_xludf.IFNA(VLOOKUP(B812,'S-FG'!$B$3:$B1001,1,FALSE),"")</f>
        <v>#NAME?</v>
      </c>
      <c r="L812" t="str">
        <f t="shared" si="10"/>
        <v/>
      </c>
      <c r="Q812" t="str">
        <f>IF(N812="","",SUMIFS(Issue!$D$3:$D1001,Issue!$C$3:$C1001,N812))</f>
        <v/>
      </c>
      <c r="Y812" t="str">
        <f t="shared" si="11"/>
        <v/>
      </c>
      <c r="Z812" t="str">
        <f>IF(X812="","",SUMIFS(#REF!,RM!$C$4:$C991,X812))</f>
        <v/>
      </c>
      <c r="AA812" t="str">
        <f>IF(X812="","",SUMIFS(#REF!,RM!$C$4:$C991,X812))</f>
        <v/>
      </c>
      <c r="AB812" t="e">
        <f t="shared" si="12"/>
        <v>#VALUE!</v>
      </c>
      <c r="AC812" t="str">
        <f>IF(X812="","",VLOOKUP($X812,RM!$C$4:$G991,3,FALSE))</f>
        <v/>
      </c>
      <c r="AD812" t="str">
        <f>IF(X812="","",VLOOKUP($X812,RM!$C$4:$G991,4,FALSE))</f>
        <v/>
      </c>
      <c r="AE812" t="str">
        <f>IF(X812="","",VLOOKUP($X812,RM!$C$4:$G991,5,FALSE))</f>
        <v/>
      </c>
      <c r="AK812" t="e">
        <f ca="1">_xludf.IFNA(VLOOKUP(AG812,'S-FG'!$B$3:$B1001,1,FALSE),"")</f>
        <v>#NAME?</v>
      </c>
      <c r="AL812" t="str">
        <f>IF(AH812="","",SUMIFS(#REF!,RM!$C$4:$C991,AH812))</f>
        <v/>
      </c>
    </row>
    <row r="813" spans="5:38">
      <c r="E813" t="str">
        <f>IF(A813="","",SUMIFS(Issue!$D$3:$D1001,Issue!$C$3:$C1001,A813)*C813)</f>
        <v/>
      </c>
      <c r="F813" t="e">
        <f ca="1">_xludf.IFNA(VLOOKUP(B813,'S-FG'!$B$3:$B1001,1,FALSE),"")</f>
        <v>#NAME?</v>
      </c>
      <c r="L813" t="str">
        <f t="shared" si="10"/>
        <v/>
      </c>
      <c r="Q813" t="str">
        <f>IF(N813="","",SUMIFS(Issue!$D$3:$D1001,Issue!$C$3:$C1001,N813))</f>
        <v/>
      </c>
      <c r="Y813" t="str">
        <f t="shared" si="11"/>
        <v/>
      </c>
      <c r="Z813" t="str">
        <f>IF(X813="","",SUMIFS(#REF!,RM!$C$4:$C991,X813))</f>
        <v/>
      </c>
      <c r="AA813" t="str">
        <f>IF(X813="","",SUMIFS(#REF!,RM!$C$4:$C991,X813))</f>
        <v/>
      </c>
      <c r="AB813" t="e">
        <f t="shared" si="12"/>
        <v>#VALUE!</v>
      </c>
      <c r="AC813" t="str">
        <f>IF(X813="","",VLOOKUP($X813,RM!$C$4:$G991,3,FALSE))</f>
        <v/>
      </c>
      <c r="AD813" t="str">
        <f>IF(X813="","",VLOOKUP($X813,RM!$C$4:$G991,4,FALSE))</f>
        <v/>
      </c>
      <c r="AE813" t="str">
        <f>IF(X813="","",VLOOKUP($X813,RM!$C$4:$G991,5,FALSE))</f>
        <v/>
      </c>
      <c r="AK813" t="e">
        <f ca="1">_xludf.IFNA(VLOOKUP(AG813,'S-FG'!$B$3:$B1001,1,FALSE),"")</f>
        <v>#NAME?</v>
      </c>
      <c r="AL813" t="str">
        <f>IF(AH813="","",SUMIFS(#REF!,RM!$C$4:$C991,AH813))</f>
        <v/>
      </c>
    </row>
    <row r="814" spans="5:38">
      <c r="E814" t="str">
        <f>IF(A814="","",SUMIFS(Issue!$D$3:$D1001,Issue!$C$3:$C1001,A814)*C814)</f>
        <v/>
      </c>
      <c r="F814" t="e">
        <f ca="1">_xludf.IFNA(VLOOKUP(B814,'S-FG'!$B$3:$B1001,1,FALSE),"")</f>
        <v>#NAME?</v>
      </c>
      <c r="L814" t="str">
        <f t="shared" si="10"/>
        <v/>
      </c>
      <c r="Q814" t="str">
        <f>IF(N814="","",SUMIFS(Issue!$D$3:$D1001,Issue!$C$3:$C1001,N814))</f>
        <v/>
      </c>
      <c r="Y814" t="str">
        <f t="shared" si="11"/>
        <v/>
      </c>
      <c r="Z814" t="str">
        <f>IF(X814="","",SUMIFS(#REF!,RM!$C$4:$C991,X814))</f>
        <v/>
      </c>
      <c r="AA814" t="str">
        <f>IF(X814="","",SUMIFS(#REF!,RM!$C$4:$C991,X814))</f>
        <v/>
      </c>
      <c r="AB814" t="e">
        <f t="shared" si="12"/>
        <v>#VALUE!</v>
      </c>
      <c r="AC814" t="str">
        <f>IF(X814="","",VLOOKUP($X814,RM!$C$4:$G991,3,FALSE))</f>
        <v/>
      </c>
      <c r="AD814" t="str">
        <f>IF(X814="","",VLOOKUP($X814,RM!$C$4:$G991,4,FALSE))</f>
        <v/>
      </c>
      <c r="AE814" t="str">
        <f>IF(X814="","",VLOOKUP($X814,RM!$C$4:$G991,5,FALSE))</f>
        <v/>
      </c>
      <c r="AK814" t="e">
        <f ca="1">_xludf.IFNA(VLOOKUP(AG814,'S-FG'!$B$3:$B1001,1,FALSE),"")</f>
        <v>#NAME?</v>
      </c>
      <c r="AL814" t="str">
        <f>IF(AH814="","",SUMIFS(#REF!,RM!$C$4:$C991,AH814))</f>
        <v/>
      </c>
    </row>
    <row r="815" spans="5:38">
      <c r="E815" t="str">
        <f>IF(A815="","",SUMIFS(Issue!$D$3:$D1001,Issue!$C$3:$C1001,A815)*C815)</f>
        <v/>
      </c>
      <c r="F815" t="e">
        <f ca="1">_xludf.IFNA(VLOOKUP(B815,'S-FG'!$B$3:$B1001,1,FALSE),"")</f>
        <v>#NAME?</v>
      </c>
      <c r="L815" t="str">
        <f t="shared" si="10"/>
        <v/>
      </c>
      <c r="Q815" t="str">
        <f>IF(N815="","",SUMIFS(Issue!$D$3:$D1001,Issue!$C$3:$C1001,N815))</f>
        <v/>
      </c>
      <c r="Y815" t="str">
        <f t="shared" si="11"/>
        <v/>
      </c>
      <c r="Z815" t="str">
        <f>IF(X815="","",SUMIFS(#REF!,RM!$C$4:$C991,X815))</f>
        <v/>
      </c>
      <c r="AA815" t="str">
        <f>IF(X815="","",SUMIFS(#REF!,RM!$C$4:$C991,X815))</f>
        <v/>
      </c>
      <c r="AB815" t="e">
        <f t="shared" si="12"/>
        <v>#VALUE!</v>
      </c>
      <c r="AC815" t="str">
        <f>IF(X815="","",VLOOKUP($X815,RM!$C$4:$G991,3,FALSE))</f>
        <v/>
      </c>
      <c r="AD815" t="str">
        <f>IF(X815="","",VLOOKUP($X815,RM!$C$4:$G991,4,FALSE))</f>
        <v/>
      </c>
      <c r="AE815" t="str">
        <f>IF(X815="","",VLOOKUP($X815,RM!$C$4:$G991,5,FALSE))</f>
        <v/>
      </c>
      <c r="AK815" t="e">
        <f ca="1">_xludf.IFNA(VLOOKUP(AG815,'S-FG'!$B$3:$B1001,1,FALSE),"")</f>
        <v>#NAME?</v>
      </c>
      <c r="AL815" t="str">
        <f>IF(AH815="","",SUMIFS(#REF!,RM!$C$4:$C991,AH815))</f>
        <v/>
      </c>
    </row>
    <row r="816" spans="5:38">
      <c r="E816" t="str">
        <f>IF(A816="","",SUMIFS(Issue!$D$3:$D1001,Issue!$C$3:$C1001,A816)*C816)</f>
        <v/>
      </c>
      <c r="F816" t="e">
        <f ca="1">_xludf.IFNA(VLOOKUP(B816,'S-FG'!$B$3:$B1001,1,FALSE),"")</f>
        <v>#NAME?</v>
      </c>
      <c r="L816" t="str">
        <f t="shared" si="10"/>
        <v/>
      </c>
      <c r="Q816" t="str">
        <f>IF(N816="","",SUMIFS(Issue!$D$3:$D1001,Issue!$C$3:$C1001,N816))</f>
        <v/>
      </c>
      <c r="Y816" t="str">
        <f t="shared" si="11"/>
        <v/>
      </c>
      <c r="Z816" t="str">
        <f>IF(X816="","",SUMIFS(#REF!,RM!$C$4:$C991,X816))</f>
        <v/>
      </c>
      <c r="AA816" t="str">
        <f>IF(X816="","",SUMIFS(#REF!,RM!$C$4:$C991,X816))</f>
        <v/>
      </c>
      <c r="AB816" t="e">
        <f t="shared" si="12"/>
        <v>#VALUE!</v>
      </c>
      <c r="AC816" t="str">
        <f>IF(X816="","",VLOOKUP($X816,RM!$C$4:$G991,3,FALSE))</f>
        <v/>
      </c>
      <c r="AD816" t="str">
        <f>IF(X816="","",VLOOKUP($X816,RM!$C$4:$G991,4,FALSE))</f>
        <v/>
      </c>
      <c r="AE816" t="str">
        <f>IF(X816="","",VLOOKUP($X816,RM!$C$4:$G991,5,FALSE))</f>
        <v/>
      </c>
      <c r="AK816" t="e">
        <f ca="1">_xludf.IFNA(VLOOKUP(AG816,'S-FG'!$B$3:$B1001,1,FALSE),"")</f>
        <v>#NAME?</v>
      </c>
      <c r="AL816" t="str">
        <f>IF(AH816="","",SUMIFS(#REF!,RM!$C$4:$C991,AH816))</f>
        <v/>
      </c>
    </row>
    <row r="817" spans="5:38">
      <c r="E817" t="str">
        <f>IF(A817="","",SUMIFS(Issue!$D$3:$D1001,Issue!$C$3:$C1001,A817)*C817)</f>
        <v/>
      </c>
      <c r="F817" t="e">
        <f ca="1">_xludf.IFNA(VLOOKUP(B817,'S-FG'!$B$3:$B1001,1,FALSE),"")</f>
        <v>#NAME?</v>
      </c>
      <c r="L817" t="str">
        <f t="shared" si="10"/>
        <v/>
      </c>
      <c r="Q817" t="str">
        <f>IF(N817="","",SUMIFS(Issue!$D$3:$D1001,Issue!$C$3:$C1001,N817))</f>
        <v/>
      </c>
      <c r="Y817" t="str">
        <f t="shared" si="11"/>
        <v/>
      </c>
      <c r="Z817" t="str">
        <f>IF(X817="","",SUMIFS(#REF!,RM!$C$4:$C991,X817))</f>
        <v/>
      </c>
      <c r="AA817" t="str">
        <f>IF(X817="","",SUMIFS(#REF!,RM!$C$4:$C991,X817))</f>
        <v/>
      </c>
      <c r="AB817" t="e">
        <f t="shared" si="12"/>
        <v>#VALUE!</v>
      </c>
      <c r="AC817" t="str">
        <f>IF(X817="","",VLOOKUP($X817,RM!$C$4:$G991,3,FALSE))</f>
        <v/>
      </c>
      <c r="AD817" t="str">
        <f>IF(X817="","",VLOOKUP($X817,RM!$C$4:$G991,4,FALSE))</f>
        <v/>
      </c>
      <c r="AE817" t="str">
        <f>IF(X817="","",VLOOKUP($X817,RM!$C$4:$G991,5,FALSE))</f>
        <v/>
      </c>
      <c r="AK817" t="e">
        <f ca="1">_xludf.IFNA(VLOOKUP(AG817,'S-FG'!$B$3:$B1001,1,FALSE),"")</f>
        <v>#NAME?</v>
      </c>
      <c r="AL817" t="str">
        <f>IF(AH817="","",SUMIFS(#REF!,RM!$C$4:$C991,AH817))</f>
        <v/>
      </c>
    </row>
    <row r="818" spans="5:38">
      <c r="E818" t="str">
        <f>IF(A818="","",SUMIFS(Issue!$D$3:$D1001,Issue!$C$3:$C1001,A818)*C818)</f>
        <v/>
      </c>
      <c r="F818" t="e">
        <f ca="1">_xludf.IFNA(VLOOKUP(B818,'S-FG'!$B$3:$B1001,1,FALSE),"")</f>
        <v>#NAME?</v>
      </c>
      <c r="L818" t="str">
        <f t="shared" si="10"/>
        <v/>
      </c>
      <c r="Q818" t="str">
        <f>IF(N818="","",SUMIFS(Issue!$D$3:$D1001,Issue!$C$3:$C1001,N818))</f>
        <v/>
      </c>
      <c r="Y818" t="str">
        <f t="shared" si="11"/>
        <v/>
      </c>
      <c r="Z818" t="str">
        <f>IF(X818="","",SUMIFS(#REF!,RM!$C$4:$C991,X818))</f>
        <v/>
      </c>
      <c r="AA818" t="str">
        <f>IF(X818="","",SUMIFS(#REF!,RM!$C$4:$C991,X818))</f>
        <v/>
      </c>
      <c r="AB818" t="e">
        <f t="shared" si="12"/>
        <v>#VALUE!</v>
      </c>
      <c r="AC818" t="str">
        <f>IF(X818="","",VLOOKUP($X818,RM!$C$4:$G991,3,FALSE))</f>
        <v/>
      </c>
      <c r="AD818" t="str">
        <f>IF(X818="","",VLOOKUP($X818,RM!$C$4:$G991,4,FALSE))</f>
        <v/>
      </c>
      <c r="AE818" t="str">
        <f>IF(X818="","",VLOOKUP($X818,RM!$C$4:$G991,5,FALSE))</f>
        <v/>
      </c>
      <c r="AK818" t="e">
        <f ca="1">_xludf.IFNA(VLOOKUP(AG818,'S-FG'!$B$3:$B1001,1,FALSE),"")</f>
        <v>#NAME?</v>
      </c>
      <c r="AL818" t="str">
        <f>IF(AH818="","",SUMIFS(#REF!,RM!$C$4:$C991,AH818))</f>
        <v/>
      </c>
    </row>
    <row r="819" spans="5:38">
      <c r="E819" t="str">
        <f>IF(A819="","",SUMIFS(Issue!$D$3:$D1001,Issue!$C$3:$C1001,A819)*C819)</f>
        <v/>
      </c>
      <c r="F819" t="e">
        <f ca="1">_xludf.IFNA(VLOOKUP(B819,'S-FG'!$B$3:$B1001,1,FALSE),"")</f>
        <v>#NAME?</v>
      </c>
      <c r="L819" t="str">
        <f t="shared" si="10"/>
        <v/>
      </c>
      <c r="Q819" t="str">
        <f>IF(N819="","",SUMIFS(Issue!$D$3:$D1001,Issue!$C$3:$C1001,N819))</f>
        <v/>
      </c>
      <c r="Y819" t="str">
        <f t="shared" si="11"/>
        <v/>
      </c>
      <c r="Z819" t="str">
        <f>IF(X819="","",SUMIFS(#REF!,RM!$C$4:$C991,X819))</f>
        <v/>
      </c>
      <c r="AA819" t="str">
        <f>IF(X819="","",SUMIFS(#REF!,RM!$C$4:$C991,X819))</f>
        <v/>
      </c>
      <c r="AB819" t="e">
        <f t="shared" si="12"/>
        <v>#VALUE!</v>
      </c>
      <c r="AC819" t="str">
        <f>IF(X819="","",VLOOKUP($X819,RM!$C$4:$G991,3,FALSE))</f>
        <v/>
      </c>
      <c r="AD819" t="str">
        <f>IF(X819="","",VLOOKUP($X819,RM!$C$4:$G991,4,FALSE))</f>
        <v/>
      </c>
      <c r="AE819" t="str">
        <f>IF(X819="","",VLOOKUP($X819,RM!$C$4:$G991,5,FALSE))</f>
        <v/>
      </c>
      <c r="AK819" t="e">
        <f ca="1">_xludf.IFNA(VLOOKUP(AG819,'S-FG'!$B$3:$B1001,1,FALSE),"")</f>
        <v>#NAME?</v>
      </c>
      <c r="AL819" t="str">
        <f>IF(AH819="","",SUMIFS(#REF!,RM!$C$4:$C991,AH819))</f>
        <v/>
      </c>
    </row>
    <row r="820" spans="5:38">
      <c r="E820" t="str">
        <f>IF(A820="","",SUMIFS(Issue!$D$3:$D1001,Issue!$C$3:$C1001,A820)*C820)</f>
        <v/>
      </c>
      <c r="F820" t="e">
        <f ca="1">_xludf.IFNA(VLOOKUP(B820,'S-FG'!$B$3:$B1001,1,FALSE),"")</f>
        <v>#NAME?</v>
      </c>
      <c r="L820" t="str">
        <f t="shared" si="10"/>
        <v/>
      </c>
      <c r="Q820" t="str">
        <f>IF(N820="","",SUMIFS(Issue!$D$3:$D1001,Issue!$C$3:$C1001,N820))</f>
        <v/>
      </c>
      <c r="Y820" t="str">
        <f t="shared" si="11"/>
        <v/>
      </c>
      <c r="Z820" t="str">
        <f>IF(X820="","",SUMIFS(#REF!,RM!$C$4:$C991,X820))</f>
        <v/>
      </c>
      <c r="AA820" t="str">
        <f>IF(X820="","",SUMIFS(#REF!,RM!$C$4:$C991,X820))</f>
        <v/>
      </c>
      <c r="AB820" t="e">
        <f t="shared" si="12"/>
        <v>#VALUE!</v>
      </c>
      <c r="AC820" t="str">
        <f>IF(X820="","",VLOOKUP($X820,RM!$C$4:$G991,3,FALSE))</f>
        <v/>
      </c>
      <c r="AD820" t="str">
        <f>IF(X820="","",VLOOKUP($X820,RM!$C$4:$G991,4,FALSE))</f>
        <v/>
      </c>
      <c r="AE820" t="str">
        <f>IF(X820="","",VLOOKUP($X820,RM!$C$4:$G991,5,FALSE))</f>
        <v/>
      </c>
      <c r="AK820" t="e">
        <f ca="1">_xludf.IFNA(VLOOKUP(AG820,'S-FG'!$B$3:$B1001,1,FALSE),"")</f>
        <v>#NAME?</v>
      </c>
      <c r="AL820" t="str">
        <f>IF(AH820="","",SUMIFS(#REF!,RM!$C$4:$C991,AH820))</f>
        <v/>
      </c>
    </row>
    <row r="821" spans="5:38">
      <c r="E821" t="str">
        <f>IF(A821="","",SUMIFS(Issue!$D$3:$D1001,Issue!$C$3:$C1001,A821)*C821)</f>
        <v/>
      </c>
      <c r="F821" t="e">
        <f ca="1">_xludf.IFNA(VLOOKUP(B821,'S-FG'!$B$3:$B1001,1,FALSE),"")</f>
        <v>#NAME?</v>
      </c>
      <c r="L821" t="str">
        <f t="shared" si="10"/>
        <v/>
      </c>
      <c r="Q821" t="str">
        <f>IF(N821="","",SUMIFS(Issue!$D$3:$D1001,Issue!$C$3:$C1001,N821))</f>
        <v/>
      </c>
      <c r="Y821" t="str">
        <f t="shared" si="11"/>
        <v/>
      </c>
      <c r="Z821" t="str">
        <f>IF(X821="","",SUMIFS(#REF!,RM!$C$4:$C991,X821))</f>
        <v/>
      </c>
      <c r="AA821" t="str">
        <f>IF(X821="","",SUMIFS(#REF!,RM!$C$4:$C991,X821))</f>
        <v/>
      </c>
      <c r="AB821" t="e">
        <f t="shared" si="12"/>
        <v>#VALUE!</v>
      </c>
      <c r="AC821" t="str">
        <f>IF(X821="","",VLOOKUP($X821,RM!$C$4:$G991,3,FALSE))</f>
        <v/>
      </c>
      <c r="AD821" t="str">
        <f>IF(X821="","",VLOOKUP($X821,RM!$C$4:$G991,4,FALSE))</f>
        <v/>
      </c>
      <c r="AE821" t="str">
        <f>IF(X821="","",VLOOKUP($X821,RM!$C$4:$G991,5,FALSE))</f>
        <v/>
      </c>
      <c r="AK821" t="e">
        <f ca="1">_xludf.IFNA(VLOOKUP(AG821,'S-FG'!$B$3:$B1001,1,FALSE),"")</f>
        <v>#NAME?</v>
      </c>
      <c r="AL821" t="str">
        <f>IF(AH821="","",SUMIFS(#REF!,RM!$C$4:$C991,AH821))</f>
        <v/>
      </c>
    </row>
    <row r="822" spans="5:38">
      <c r="E822" t="str">
        <f>IF(A822="","",SUMIFS(Issue!$D$3:$D1001,Issue!$C$3:$C1001,A822)*C822)</f>
        <v/>
      </c>
      <c r="F822" t="e">
        <f ca="1">_xludf.IFNA(VLOOKUP(B822,'S-FG'!$B$3:$B1001,1,FALSE),"")</f>
        <v>#NAME?</v>
      </c>
      <c r="L822" t="str">
        <f t="shared" si="10"/>
        <v/>
      </c>
      <c r="Q822" t="str">
        <f>IF(N822="","",SUMIFS(Issue!$D$3:$D1001,Issue!$C$3:$C1001,N822))</f>
        <v/>
      </c>
      <c r="Y822" t="str">
        <f t="shared" si="11"/>
        <v/>
      </c>
      <c r="Z822" t="str">
        <f>IF(X822="","",SUMIFS(#REF!,RM!$C$4:$C991,X822))</f>
        <v/>
      </c>
      <c r="AA822" t="str">
        <f>IF(X822="","",SUMIFS(#REF!,RM!$C$4:$C991,X822))</f>
        <v/>
      </c>
      <c r="AB822" t="e">
        <f t="shared" si="12"/>
        <v>#VALUE!</v>
      </c>
      <c r="AC822" t="str">
        <f>IF(X822="","",VLOOKUP($X822,RM!$C$4:$G991,3,FALSE))</f>
        <v/>
      </c>
      <c r="AD822" t="str">
        <f>IF(X822="","",VLOOKUP($X822,RM!$C$4:$G991,4,FALSE))</f>
        <v/>
      </c>
      <c r="AE822" t="str">
        <f>IF(X822="","",VLOOKUP($X822,RM!$C$4:$G991,5,FALSE))</f>
        <v/>
      </c>
      <c r="AK822" t="e">
        <f ca="1">_xludf.IFNA(VLOOKUP(AG822,'S-FG'!$B$3:$B1001,1,FALSE),"")</f>
        <v>#NAME?</v>
      </c>
      <c r="AL822" t="str">
        <f>IF(AH822="","",SUMIFS(#REF!,RM!$C$4:$C991,AH822))</f>
        <v/>
      </c>
    </row>
    <row r="823" spans="5:38">
      <c r="E823" t="str">
        <f>IF(A823="","",SUMIFS(Issue!$D$3:$D1001,Issue!$C$3:$C1001,A823)*C823)</f>
        <v/>
      </c>
      <c r="F823" t="e">
        <f ca="1">_xludf.IFNA(VLOOKUP(B823,'S-FG'!$B$3:$B1001,1,FALSE),"")</f>
        <v>#NAME?</v>
      </c>
      <c r="L823" t="str">
        <f t="shared" si="10"/>
        <v/>
      </c>
      <c r="Q823" t="str">
        <f>IF(N823="","",SUMIFS(Issue!$D$3:$D1001,Issue!$C$3:$C1001,N823))</f>
        <v/>
      </c>
      <c r="Y823" t="str">
        <f t="shared" si="11"/>
        <v/>
      </c>
      <c r="Z823" t="str">
        <f>IF(X823="","",SUMIFS(#REF!,RM!$C$4:$C991,X823))</f>
        <v/>
      </c>
      <c r="AA823" t="str">
        <f>IF(X823="","",SUMIFS(#REF!,RM!$C$4:$C991,X823))</f>
        <v/>
      </c>
      <c r="AB823" t="e">
        <f t="shared" si="12"/>
        <v>#VALUE!</v>
      </c>
      <c r="AC823" t="str">
        <f>IF(X823="","",VLOOKUP($X823,RM!$C$4:$G991,3,FALSE))</f>
        <v/>
      </c>
      <c r="AD823" t="str">
        <f>IF(X823="","",VLOOKUP($X823,RM!$C$4:$G991,4,FALSE))</f>
        <v/>
      </c>
      <c r="AE823" t="str">
        <f>IF(X823="","",VLOOKUP($X823,RM!$C$4:$G991,5,FALSE))</f>
        <v/>
      </c>
      <c r="AK823" t="e">
        <f ca="1">_xludf.IFNA(VLOOKUP(AG823,'S-FG'!$B$3:$B1001,1,FALSE),"")</f>
        <v>#NAME?</v>
      </c>
      <c r="AL823" t="str">
        <f>IF(AH823="","",SUMIFS(#REF!,RM!$C$4:$C991,AH823))</f>
        <v/>
      </c>
    </row>
    <row r="824" spans="5:38">
      <c r="E824" t="str">
        <f>IF(A824="","",SUMIFS(Issue!$D$3:$D1001,Issue!$C$3:$C1001,A824)*C824)</f>
        <v/>
      </c>
      <c r="F824" t="e">
        <f ca="1">_xludf.IFNA(VLOOKUP(B824,'S-FG'!$B$3:$B1001,1,FALSE),"")</f>
        <v>#NAME?</v>
      </c>
      <c r="L824" t="str">
        <f t="shared" si="10"/>
        <v/>
      </c>
      <c r="Q824" t="str">
        <f>IF(N824="","",SUMIFS(Issue!$D$3:$D1001,Issue!$C$3:$C1001,N824))</f>
        <v/>
      </c>
      <c r="Y824" t="str">
        <f t="shared" si="11"/>
        <v/>
      </c>
      <c r="Z824" t="str">
        <f>IF(X824="","",SUMIFS(#REF!,RM!$C$4:$C991,X824))</f>
        <v/>
      </c>
      <c r="AA824" t="str">
        <f>IF(X824="","",SUMIFS(#REF!,RM!$C$4:$C991,X824))</f>
        <v/>
      </c>
      <c r="AB824" t="e">
        <f t="shared" si="12"/>
        <v>#VALUE!</v>
      </c>
      <c r="AC824" t="str">
        <f>IF(X824="","",VLOOKUP($X824,RM!$C$4:$G991,3,FALSE))</f>
        <v/>
      </c>
      <c r="AD824" t="str">
        <f>IF(X824="","",VLOOKUP($X824,RM!$C$4:$G991,4,FALSE))</f>
        <v/>
      </c>
      <c r="AE824" t="str">
        <f>IF(X824="","",VLOOKUP($X824,RM!$C$4:$G991,5,FALSE))</f>
        <v/>
      </c>
      <c r="AK824" t="e">
        <f ca="1">_xludf.IFNA(VLOOKUP(AG824,'S-FG'!$B$3:$B1001,1,FALSE),"")</f>
        <v>#NAME?</v>
      </c>
      <c r="AL824" t="str">
        <f>IF(AH824="","",SUMIFS(#REF!,RM!$C$4:$C991,AH824))</f>
        <v/>
      </c>
    </row>
    <row r="825" spans="5:38">
      <c r="E825" t="str">
        <f>IF(A825="","",SUMIFS(Issue!$D$3:$D1001,Issue!$C$3:$C1001,A825)*C825)</f>
        <v/>
      </c>
      <c r="F825" t="e">
        <f ca="1">_xludf.IFNA(VLOOKUP(B825,'S-FG'!$B$3:$B1001,1,FALSE),"")</f>
        <v>#NAME?</v>
      </c>
      <c r="L825" t="str">
        <f t="shared" si="10"/>
        <v/>
      </c>
      <c r="Q825" t="str">
        <f>IF(N825="","",SUMIFS(Issue!$D$3:$D1001,Issue!$C$3:$C1001,N825))</f>
        <v/>
      </c>
      <c r="Y825" t="str">
        <f t="shared" si="11"/>
        <v/>
      </c>
      <c r="Z825" t="str">
        <f>IF(X825="","",SUMIFS(#REF!,RM!$C$4:$C991,X825))</f>
        <v/>
      </c>
      <c r="AA825" t="str">
        <f>IF(X825="","",SUMIFS(#REF!,RM!$C$4:$C991,X825))</f>
        <v/>
      </c>
      <c r="AB825" t="e">
        <f t="shared" si="12"/>
        <v>#VALUE!</v>
      </c>
      <c r="AC825" t="str">
        <f>IF(X825="","",VLOOKUP($X825,RM!$C$4:$G991,3,FALSE))</f>
        <v/>
      </c>
      <c r="AD825" t="str">
        <f>IF(X825="","",VLOOKUP($X825,RM!$C$4:$G991,4,FALSE))</f>
        <v/>
      </c>
      <c r="AE825" t="str">
        <f>IF(X825="","",VLOOKUP($X825,RM!$C$4:$G991,5,FALSE))</f>
        <v/>
      </c>
      <c r="AK825" t="e">
        <f ca="1">_xludf.IFNA(VLOOKUP(AG825,'S-FG'!$B$3:$B1001,1,FALSE),"")</f>
        <v>#NAME?</v>
      </c>
      <c r="AL825" t="str">
        <f>IF(AH825="","",SUMIFS(#REF!,RM!$C$4:$C991,AH825))</f>
        <v/>
      </c>
    </row>
    <row r="826" spans="5:38">
      <c r="E826" t="str">
        <f>IF(A826="","",SUMIFS(Issue!$D$3:$D1001,Issue!$C$3:$C1001,A826)*C826)</f>
        <v/>
      </c>
      <c r="F826" t="e">
        <f ca="1">_xludf.IFNA(VLOOKUP(B826,'S-FG'!$B$3:$B1001,1,FALSE),"")</f>
        <v>#NAME?</v>
      </c>
      <c r="L826" t="str">
        <f t="shared" si="10"/>
        <v/>
      </c>
      <c r="Q826" t="str">
        <f>IF(N826="","",SUMIFS(Issue!$D$3:$D1001,Issue!$C$3:$C1001,N826))</f>
        <v/>
      </c>
      <c r="Y826" t="str">
        <f t="shared" si="11"/>
        <v/>
      </c>
      <c r="Z826" t="str">
        <f>IF(X826="","",SUMIFS(#REF!,RM!$C$4:$C991,X826))</f>
        <v/>
      </c>
      <c r="AA826" t="str">
        <f>IF(X826="","",SUMIFS(#REF!,RM!$C$4:$C991,X826))</f>
        <v/>
      </c>
      <c r="AB826" t="e">
        <f t="shared" si="12"/>
        <v>#VALUE!</v>
      </c>
      <c r="AC826" t="str">
        <f>IF(X826="","",VLOOKUP($X826,RM!$C$4:$G991,3,FALSE))</f>
        <v/>
      </c>
      <c r="AD826" t="str">
        <f>IF(X826="","",VLOOKUP($X826,RM!$C$4:$G991,4,FALSE))</f>
        <v/>
      </c>
      <c r="AE826" t="str">
        <f>IF(X826="","",VLOOKUP($X826,RM!$C$4:$G991,5,FALSE))</f>
        <v/>
      </c>
      <c r="AK826" t="e">
        <f ca="1">_xludf.IFNA(VLOOKUP(AG826,'S-FG'!$B$3:$B1001,1,FALSE),"")</f>
        <v>#NAME?</v>
      </c>
      <c r="AL826" t="str">
        <f>IF(AH826="","",SUMIFS(#REF!,RM!$C$4:$C991,AH826))</f>
        <v/>
      </c>
    </row>
    <row r="827" spans="5:38">
      <c r="E827" t="str">
        <f>IF(A827="","",SUMIFS(Issue!$D$3:$D1001,Issue!$C$3:$C1001,A827)*C827)</f>
        <v/>
      </c>
      <c r="F827" t="e">
        <f ca="1">_xludf.IFNA(VLOOKUP(B827,'S-FG'!$B$3:$B1001,1,FALSE),"")</f>
        <v>#NAME?</v>
      </c>
      <c r="L827" t="str">
        <f t="shared" si="10"/>
        <v/>
      </c>
      <c r="Q827" t="str">
        <f>IF(N827="","",SUMIFS(Issue!$D$3:$D1001,Issue!$C$3:$C1001,N827))</f>
        <v/>
      </c>
      <c r="Y827" t="str">
        <f t="shared" si="11"/>
        <v/>
      </c>
      <c r="Z827" t="str">
        <f>IF(X827="","",SUMIFS(#REF!,RM!$C$4:$C991,X827))</f>
        <v/>
      </c>
      <c r="AA827" t="str">
        <f>IF(X827="","",SUMIFS(#REF!,RM!$C$4:$C991,X827))</f>
        <v/>
      </c>
      <c r="AB827" t="e">
        <f t="shared" si="12"/>
        <v>#VALUE!</v>
      </c>
      <c r="AC827" t="str">
        <f>IF(X827="","",VLOOKUP($X827,RM!$C$4:$G991,3,FALSE))</f>
        <v/>
      </c>
      <c r="AD827" t="str">
        <f>IF(X827="","",VLOOKUP($X827,RM!$C$4:$G991,4,FALSE))</f>
        <v/>
      </c>
      <c r="AE827" t="str">
        <f>IF(X827="","",VLOOKUP($X827,RM!$C$4:$G991,5,FALSE))</f>
        <v/>
      </c>
      <c r="AK827" t="e">
        <f ca="1">_xludf.IFNA(VLOOKUP(AG827,'S-FG'!$B$3:$B1001,1,FALSE),"")</f>
        <v>#NAME?</v>
      </c>
      <c r="AL827" t="str">
        <f>IF(AH827="","",SUMIFS(#REF!,RM!$C$4:$C991,AH827))</f>
        <v/>
      </c>
    </row>
    <row r="828" spans="5:38">
      <c r="E828" t="str">
        <f>IF(A828="","",SUMIFS(Issue!$D$3:$D1001,Issue!$C$3:$C1001,A828)*C828)</f>
        <v/>
      </c>
      <c r="F828" t="e">
        <f ca="1">_xludf.IFNA(VLOOKUP(B828,'S-FG'!$B$3:$B1001,1,FALSE),"")</f>
        <v>#NAME?</v>
      </c>
      <c r="L828" t="str">
        <f t="shared" si="10"/>
        <v/>
      </c>
      <c r="Q828" t="str">
        <f>IF(N828="","",SUMIFS(Issue!$D$3:$D1001,Issue!$C$3:$C1001,N828))</f>
        <v/>
      </c>
      <c r="Y828" t="str">
        <f t="shared" si="11"/>
        <v/>
      </c>
      <c r="Z828" t="str">
        <f>IF(X828="","",SUMIFS(#REF!,RM!$C$4:$C991,X828))</f>
        <v/>
      </c>
      <c r="AA828" t="str">
        <f>IF(X828="","",SUMIFS(#REF!,RM!$C$4:$C991,X828))</f>
        <v/>
      </c>
      <c r="AB828" t="e">
        <f t="shared" si="12"/>
        <v>#VALUE!</v>
      </c>
      <c r="AC828" t="str">
        <f>IF(X828="","",VLOOKUP($X828,RM!$C$4:$G991,3,FALSE))</f>
        <v/>
      </c>
      <c r="AD828" t="str">
        <f>IF(X828="","",VLOOKUP($X828,RM!$C$4:$G991,4,FALSE))</f>
        <v/>
      </c>
      <c r="AE828" t="str">
        <f>IF(X828="","",VLOOKUP($X828,RM!$C$4:$G991,5,FALSE))</f>
        <v/>
      </c>
      <c r="AK828" t="e">
        <f ca="1">_xludf.IFNA(VLOOKUP(AG828,'S-FG'!$B$3:$B1001,1,FALSE),"")</f>
        <v>#NAME?</v>
      </c>
      <c r="AL828" t="str">
        <f>IF(AH828="","",SUMIFS(#REF!,RM!$C$4:$C991,AH828))</f>
        <v/>
      </c>
    </row>
    <row r="829" spans="5:38">
      <c r="E829" t="str">
        <f>IF(A829="","",SUMIFS(Issue!$D$3:$D1001,Issue!$C$3:$C1001,A829)*C829)</f>
        <v/>
      </c>
      <c r="F829" t="e">
        <f ca="1">_xludf.IFNA(VLOOKUP(B829,'S-FG'!$B$3:$B1001,1,FALSE),"")</f>
        <v>#NAME?</v>
      </c>
      <c r="L829" t="str">
        <f t="shared" si="10"/>
        <v/>
      </c>
      <c r="Q829" t="str">
        <f>IF(N829="","",SUMIFS(Issue!$D$3:$D1001,Issue!$C$3:$C1001,N829))</f>
        <v/>
      </c>
      <c r="Y829" t="str">
        <f t="shared" si="11"/>
        <v/>
      </c>
      <c r="Z829" t="str">
        <f>IF(X829="","",SUMIFS(#REF!,RM!$C$4:$C991,X829))</f>
        <v/>
      </c>
      <c r="AA829" t="str">
        <f>IF(X829="","",SUMIFS(#REF!,RM!$C$4:$C991,X829))</f>
        <v/>
      </c>
      <c r="AB829" t="e">
        <f t="shared" si="12"/>
        <v>#VALUE!</v>
      </c>
      <c r="AC829" t="str">
        <f>IF(X829="","",VLOOKUP($X829,RM!$C$4:$G991,3,FALSE))</f>
        <v/>
      </c>
      <c r="AD829" t="str">
        <f>IF(X829="","",VLOOKUP($X829,RM!$C$4:$G991,4,FALSE))</f>
        <v/>
      </c>
      <c r="AE829" t="str">
        <f>IF(X829="","",VLOOKUP($X829,RM!$C$4:$G991,5,FALSE))</f>
        <v/>
      </c>
      <c r="AK829" t="e">
        <f ca="1">_xludf.IFNA(VLOOKUP(AG829,'S-FG'!$B$3:$B1001,1,FALSE),"")</f>
        <v>#NAME?</v>
      </c>
      <c r="AL829" t="str">
        <f>IF(AH829="","",SUMIFS(#REF!,RM!$C$4:$C991,AH829))</f>
        <v/>
      </c>
    </row>
    <row r="830" spans="5:38">
      <c r="E830" t="str">
        <f>IF(A830="","",SUMIFS(Issue!$D$3:$D1001,Issue!$C$3:$C1001,A830)*C830)</f>
        <v/>
      </c>
      <c r="F830" t="e">
        <f ca="1">_xludf.IFNA(VLOOKUP(B830,'S-FG'!$B$3:$B1001,1,FALSE),"")</f>
        <v>#NAME?</v>
      </c>
      <c r="L830" t="str">
        <f t="shared" si="10"/>
        <v/>
      </c>
      <c r="Q830" t="str">
        <f>IF(N830="","",SUMIFS(Issue!$D$3:$D1001,Issue!$C$3:$C1001,N830))</f>
        <v/>
      </c>
      <c r="Y830" t="str">
        <f t="shared" si="11"/>
        <v/>
      </c>
      <c r="Z830" t="str">
        <f>IF(X830="","",SUMIFS(#REF!,RM!$C$4:$C991,X830))</f>
        <v/>
      </c>
      <c r="AA830" t="str">
        <f>IF(X830="","",SUMIFS(#REF!,RM!$C$4:$C991,X830))</f>
        <v/>
      </c>
      <c r="AB830" t="e">
        <f t="shared" si="12"/>
        <v>#VALUE!</v>
      </c>
      <c r="AC830" t="str">
        <f>IF(X830="","",VLOOKUP($X830,RM!$C$4:$G991,3,FALSE))</f>
        <v/>
      </c>
      <c r="AD830" t="str">
        <f>IF(X830="","",VLOOKUP($X830,RM!$C$4:$G991,4,FALSE))</f>
        <v/>
      </c>
      <c r="AE830" t="str">
        <f>IF(X830="","",VLOOKUP($X830,RM!$C$4:$G991,5,FALSE))</f>
        <v/>
      </c>
      <c r="AK830" t="e">
        <f ca="1">_xludf.IFNA(VLOOKUP(AG830,'S-FG'!$B$3:$B1001,1,FALSE),"")</f>
        <v>#NAME?</v>
      </c>
      <c r="AL830" t="str">
        <f>IF(AH830="","",SUMIFS(#REF!,RM!$C$4:$C991,AH830))</f>
        <v/>
      </c>
    </row>
    <row r="831" spans="5:38">
      <c r="E831" t="str">
        <f>IF(A831="","",SUMIFS(Issue!$D$3:$D1001,Issue!$C$3:$C1001,A831)*C831)</f>
        <v/>
      </c>
      <c r="F831" t="e">
        <f ca="1">_xludf.IFNA(VLOOKUP(B831,'S-FG'!$B$3:$B1001,1,FALSE),"")</f>
        <v>#NAME?</v>
      </c>
      <c r="L831" t="str">
        <f t="shared" si="10"/>
        <v/>
      </c>
      <c r="Q831" t="str">
        <f>IF(N831="","",SUMIFS(Issue!$D$3:$D1001,Issue!$C$3:$C1001,N831))</f>
        <v/>
      </c>
      <c r="Y831" t="str">
        <f t="shared" si="11"/>
        <v/>
      </c>
      <c r="Z831" t="str">
        <f>IF(X831="","",SUMIFS(#REF!,RM!$C$4:$C991,X831))</f>
        <v/>
      </c>
      <c r="AA831" t="str">
        <f>IF(X831="","",SUMIFS(#REF!,RM!$C$4:$C991,X831))</f>
        <v/>
      </c>
      <c r="AB831" t="e">
        <f t="shared" si="12"/>
        <v>#VALUE!</v>
      </c>
      <c r="AC831" t="str">
        <f>IF(X831="","",VLOOKUP($X831,RM!$C$4:$G991,3,FALSE))</f>
        <v/>
      </c>
      <c r="AD831" t="str">
        <f>IF(X831="","",VLOOKUP($X831,RM!$C$4:$G991,4,FALSE))</f>
        <v/>
      </c>
      <c r="AE831" t="str">
        <f>IF(X831="","",VLOOKUP($X831,RM!$C$4:$G991,5,FALSE))</f>
        <v/>
      </c>
      <c r="AK831" t="e">
        <f ca="1">_xludf.IFNA(VLOOKUP(AG831,'S-FG'!$B$3:$B1001,1,FALSE),"")</f>
        <v>#NAME?</v>
      </c>
      <c r="AL831" t="str">
        <f>IF(AH831="","",SUMIFS(#REF!,RM!$C$4:$C991,AH831))</f>
        <v/>
      </c>
    </row>
    <row r="832" spans="5:38">
      <c r="E832" t="str">
        <f>IF(A832="","",SUMIFS(Issue!$D$3:$D1001,Issue!$C$3:$C1001,A832)*C832)</f>
        <v/>
      </c>
      <c r="F832" t="e">
        <f ca="1">_xludf.IFNA(VLOOKUP(B832,'S-FG'!$B$3:$B1001,1,FALSE),"")</f>
        <v>#NAME?</v>
      </c>
      <c r="L832" t="str">
        <f t="shared" si="10"/>
        <v/>
      </c>
      <c r="Q832" t="str">
        <f>IF(N832="","",SUMIFS(Issue!$D$3:$D1001,Issue!$C$3:$C1001,N832))</f>
        <v/>
      </c>
      <c r="Y832" t="str">
        <f t="shared" si="11"/>
        <v/>
      </c>
      <c r="Z832" t="str">
        <f>IF(X832="","",SUMIFS(#REF!,RM!$C$4:$C991,X832))</f>
        <v/>
      </c>
      <c r="AA832" t="str">
        <f>IF(X832="","",SUMIFS(#REF!,RM!$C$4:$C991,X832))</f>
        <v/>
      </c>
      <c r="AB832" t="e">
        <f t="shared" si="12"/>
        <v>#VALUE!</v>
      </c>
      <c r="AC832" t="str">
        <f>IF(X832="","",VLOOKUP($X832,RM!$C$4:$G991,3,FALSE))</f>
        <v/>
      </c>
      <c r="AD832" t="str">
        <f>IF(X832="","",VLOOKUP($X832,RM!$C$4:$G991,4,FALSE))</f>
        <v/>
      </c>
      <c r="AE832" t="str">
        <f>IF(X832="","",VLOOKUP($X832,RM!$C$4:$G991,5,FALSE))</f>
        <v/>
      </c>
      <c r="AK832" t="e">
        <f ca="1">_xludf.IFNA(VLOOKUP(AG832,'S-FG'!$B$3:$B1001,1,FALSE),"")</f>
        <v>#NAME?</v>
      </c>
      <c r="AL832" t="str">
        <f>IF(AH832="","",SUMIFS(#REF!,RM!$C$4:$C991,AH832))</f>
        <v/>
      </c>
    </row>
    <row r="833" spans="5:38">
      <c r="E833" t="str">
        <f>IF(A833="","",SUMIFS(Issue!$D$3:$D1001,Issue!$C$3:$C1001,A833)*C833)</f>
        <v/>
      </c>
      <c r="F833" t="e">
        <f ca="1">_xludf.IFNA(VLOOKUP(B833,'S-FG'!$B$3:$B1001,1,FALSE),"")</f>
        <v>#NAME?</v>
      </c>
      <c r="L833" t="str">
        <f t="shared" si="10"/>
        <v/>
      </c>
      <c r="Q833" t="str">
        <f>IF(N833="","",SUMIFS(Issue!$D$3:$D1001,Issue!$C$3:$C1001,N833))</f>
        <v/>
      </c>
      <c r="Y833" t="str">
        <f t="shared" si="11"/>
        <v/>
      </c>
      <c r="Z833" t="str">
        <f>IF(X833="","",SUMIFS(#REF!,RM!$C$4:$C991,X833))</f>
        <v/>
      </c>
      <c r="AA833" t="str">
        <f>IF(X833="","",SUMIFS(#REF!,RM!$C$4:$C991,X833))</f>
        <v/>
      </c>
      <c r="AB833" t="e">
        <f t="shared" si="12"/>
        <v>#VALUE!</v>
      </c>
      <c r="AC833" t="str">
        <f>IF(X833="","",VLOOKUP($X833,RM!$C$4:$G991,3,FALSE))</f>
        <v/>
      </c>
      <c r="AD833" t="str">
        <f>IF(X833="","",VLOOKUP($X833,RM!$C$4:$G991,4,FALSE))</f>
        <v/>
      </c>
      <c r="AE833" t="str">
        <f>IF(X833="","",VLOOKUP($X833,RM!$C$4:$G991,5,FALSE))</f>
        <v/>
      </c>
      <c r="AK833" t="e">
        <f ca="1">_xludf.IFNA(VLOOKUP(AG833,'S-FG'!$B$3:$B1001,1,FALSE),"")</f>
        <v>#NAME?</v>
      </c>
      <c r="AL833" t="str">
        <f>IF(AH833="","",SUMIFS(#REF!,RM!$C$4:$C991,AH833))</f>
        <v/>
      </c>
    </row>
    <row r="834" spans="5:38">
      <c r="E834" t="str">
        <f>IF(A834="","",SUMIFS(Issue!$D$3:$D1001,Issue!$C$3:$C1001,A834)*C834)</f>
        <v/>
      </c>
      <c r="F834" t="e">
        <f ca="1">_xludf.IFNA(VLOOKUP(B834,'S-FG'!$B$3:$B1001,1,FALSE),"")</f>
        <v>#NAME?</v>
      </c>
      <c r="L834" t="str">
        <f t="shared" si="10"/>
        <v/>
      </c>
      <c r="Q834" t="str">
        <f>IF(N834="","",SUMIFS(Issue!$D$3:$D1001,Issue!$C$3:$C1001,N834))</f>
        <v/>
      </c>
      <c r="Y834" t="str">
        <f t="shared" si="11"/>
        <v/>
      </c>
      <c r="Z834" t="str">
        <f>IF(X834="","",SUMIFS(#REF!,RM!$C$4:$C991,X834))</f>
        <v/>
      </c>
      <c r="AA834" t="str">
        <f>IF(X834="","",SUMIFS(#REF!,RM!$C$4:$C991,X834))</f>
        <v/>
      </c>
      <c r="AB834" t="e">
        <f t="shared" si="12"/>
        <v>#VALUE!</v>
      </c>
      <c r="AC834" t="str">
        <f>IF(X834="","",VLOOKUP($X834,RM!$C$4:$G991,3,FALSE))</f>
        <v/>
      </c>
      <c r="AD834" t="str">
        <f>IF(X834="","",VLOOKUP($X834,RM!$C$4:$G991,4,FALSE))</f>
        <v/>
      </c>
      <c r="AE834" t="str">
        <f>IF(X834="","",VLOOKUP($X834,RM!$C$4:$G991,5,FALSE))</f>
        <v/>
      </c>
      <c r="AK834" t="e">
        <f ca="1">_xludf.IFNA(VLOOKUP(AG834,'S-FG'!$B$3:$B1001,1,FALSE),"")</f>
        <v>#NAME?</v>
      </c>
      <c r="AL834" t="str">
        <f>IF(AH834="","",SUMIFS(#REF!,RM!$C$4:$C991,AH834))</f>
        <v/>
      </c>
    </row>
    <row r="835" spans="5:38">
      <c r="E835" t="str">
        <f>IF(A835="","",SUMIFS(Issue!$D$3:$D1001,Issue!$C$3:$C1001,A835)*C835)</f>
        <v/>
      </c>
      <c r="F835" t="e">
        <f ca="1">_xludf.IFNA(VLOOKUP(B835,'S-FG'!$B$3:$B1001,1,FALSE),"")</f>
        <v>#NAME?</v>
      </c>
      <c r="L835" t="str">
        <f t="shared" si="10"/>
        <v/>
      </c>
      <c r="Q835" t="str">
        <f>IF(N835="","",SUMIFS(Issue!$D$3:$D1001,Issue!$C$3:$C1001,N835))</f>
        <v/>
      </c>
      <c r="Y835" t="str">
        <f t="shared" si="11"/>
        <v/>
      </c>
      <c r="Z835" t="str">
        <f>IF(X835="","",SUMIFS(#REF!,RM!$C$4:$C991,X835))</f>
        <v/>
      </c>
      <c r="AA835" t="str">
        <f>IF(X835="","",SUMIFS(#REF!,RM!$C$4:$C991,X835))</f>
        <v/>
      </c>
      <c r="AB835" t="e">
        <f t="shared" si="12"/>
        <v>#VALUE!</v>
      </c>
      <c r="AC835" t="str">
        <f>IF(X835="","",VLOOKUP($X835,RM!$C$4:$G991,3,FALSE))</f>
        <v/>
      </c>
      <c r="AD835" t="str">
        <f>IF(X835="","",VLOOKUP($X835,RM!$C$4:$G991,4,FALSE))</f>
        <v/>
      </c>
      <c r="AE835" t="str">
        <f>IF(X835="","",VLOOKUP($X835,RM!$C$4:$G991,5,FALSE))</f>
        <v/>
      </c>
      <c r="AK835" t="e">
        <f ca="1">_xludf.IFNA(VLOOKUP(AG835,'S-FG'!$B$3:$B1001,1,FALSE),"")</f>
        <v>#NAME?</v>
      </c>
      <c r="AL835" t="str">
        <f>IF(AH835="","",SUMIFS(#REF!,RM!$C$4:$C991,AH835))</f>
        <v/>
      </c>
    </row>
    <row r="836" spans="5:38">
      <c r="E836" t="str">
        <f>IF(A836="","",SUMIFS(Issue!$D$3:$D1001,Issue!$C$3:$C1001,A836)*C836)</f>
        <v/>
      </c>
      <c r="F836" t="e">
        <f ca="1">_xludf.IFNA(VLOOKUP(B836,'S-FG'!$B$3:$B1001,1,FALSE),"")</f>
        <v>#NAME?</v>
      </c>
      <c r="L836" t="str">
        <f t="shared" si="10"/>
        <v/>
      </c>
      <c r="Q836" t="str">
        <f>IF(N836="","",SUMIFS(Issue!$D$3:$D1001,Issue!$C$3:$C1001,N836))</f>
        <v/>
      </c>
      <c r="Y836" t="str">
        <f t="shared" si="11"/>
        <v/>
      </c>
      <c r="Z836" t="str">
        <f>IF(X836="","",SUMIFS(#REF!,RM!$C$4:$C991,X836))</f>
        <v/>
      </c>
      <c r="AA836" t="str">
        <f>IF(X836="","",SUMIFS(#REF!,RM!$C$4:$C991,X836))</f>
        <v/>
      </c>
      <c r="AB836" t="e">
        <f t="shared" si="12"/>
        <v>#VALUE!</v>
      </c>
      <c r="AC836" t="str">
        <f>IF(X836="","",VLOOKUP($X836,RM!$C$4:$G991,3,FALSE))</f>
        <v/>
      </c>
      <c r="AD836" t="str">
        <f>IF(X836="","",VLOOKUP($X836,RM!$C$4:$G991,4,FALSE))</f>
        <v/>
      </c>
      <c r="AE836" t="str">
        <f>IF(X836="","",VLOOKUP($X836,RM!$C$4:$G991,5,FALSE))</f>
        <v/>
      </c>
      <c r="AK836" t="e">
        <f ca="1">_xludf.IFNA(VLOOKUP(AG836,'S-FG'!$B$3:$B1001,1,FALSE),"")</f>
        <v>#NAME?</v>
      </c>
      <c r="AL836" t="str">
        <f>IF(AH836="","",SUMIFS(#REF!,RM!$C$4:$C991,AH836))</f>
        <v/>
      </c>
    </row>
    <row r="837" spans="5:38">
      <c r="E837" t="str">
        <f>IF(A837="","",SUMIFS(Issue!$D$3:$D1001,Issue!$C$3:$C1001,A837)*C837)</f>
        <v/>
      </c>
      <c r="F837" t="e">
        <f ca="1">_xludf.IFNA(VLOOKUP(B837,'S-FG'!$B$3:$B1001,1,FALSE),"")</f>
        <v>#NAME?</v>
      </c>
      <c r="L837" t="str">
        <f t="shared" si="10"/>
        <v/>
      </c>
      <c r="Q837" t="str">
        <f>IF(N837="","",SUMIFS(Issue!$D$3:$D1001,Issue!$C$3:$C1001,N837))</f>
        <v/>
      </c>
      <c r="Y837" t="str">
        <f t="shared" si="11"/>
        <v/>
      </c>
      <c r="Z837" t="str">
        <f>IF(X837="","",SUMIFS(#REF!,RM!$C$4:$C991,X837))</f>
        <v/>
      </c>
      <c r="AA837" t="str">
        <f>IF(X837="","",SUMIFS(#REF!,RM!$C$4:$C991,X837))</f>
        <v/>
      </c>
      <c r="AB837" t="e">
        <f t="shared" si="12"/>
        <v>#VALUE!</v>
      </c>
      <c r="AC837" t="str">
        <f>IF(X837="","",VLOOKUP($X837,RM!$C$4:$G991,3,FALSE))</f>
        <v/>
      </c>
      <c r="AD837" t="str">
        <f>IF(X837="","",VLOOKUP($X837,RM!$C$4:$G991,4,FALSE))</f>
        <v/>
      </c>
      <c r="AE837" t="str">
        <f>IF(X837="","",VLOOKUP($X837,RM!$C$4:$G991,5,FALSE))</f>
        <v/>
      </c>
      <c r="AK837" t="e">
        <f ca="1">_xludf.IFNA(VLOOKUP(AG837,'S-FG'!$B$3:$B1001,1,FALSE),"")</f>
        <v>#NAME?</v>
      </c>
      <c r="AL837" t="str">
        <f>IF(AH837="","",SUMIFS(#REF!,RM!$C$4:$C991,AH837))</f>
        <v/>
      </c>
    </row>
    <row r="838" spans="5:38">
      <c r="E838" t="str">
        <f>IF(A838="","",SUMIFS(Issue!$D$3:$D1001,Issue!$C$3:$C1001,A838)*C838)</f>
        <v/>
      </c>
      <c r="F838" t="e">
        <f ca="1">_xludf.IFNA(VLOOKUP(B838,'S-FG'!$B$3:$B1001,1,FALSE),"")</f>
        <v>#NAME?</v>
      </c>
      <c r="L838" t="str">
        <f t="shared" si="10"/>
        <v/>
      </c>
      <c r="Q838" t="str">
        <f>IF(N838="","",SUMIFS(Issue!$D$3:$D1001,Issue!$C$3:$C1001,N838))</f>
        <v/>
      </c>
      <c r="Y838" t="str">
        <f t="shared" si="11"/>
        <v/>
      </c>
      <c r="Z838" t="str">
        <f>IF(X838="","",SUMIFS(#REF!,RM!$C$4:$C991,X838))</f>
        <v/>
      </c>
      <c r="AA838" t="str">
        <f>IF(X838="","",SUMIFS(#REF!,RM!$C$4:$C991,X838))</f>
        <v/>
      </c>
      <c r="AB838" t="e">
        <f t="shared" si="12"/>
        <v>#VALUE!</v>
      </c>
      <c r="AC838" t="str">
        <f>IF(X838="","",VLOOKUP($X838,RM!$C$4:$G991,3,FALSE))</f>
        <v/>
      </c>
      <c r="AD838" t="str">
        <f>IF(X838="","",VLOOKUP($X838,RM!$C$4:$G991,4,FALSE))</f>
        <v/>
      </c>
      <c r="AE838" t="str">
        <f>IF(X838="","",VLOOKUP($X838,RM!$C$4:$G991,5,FALSE))</f>
        <v/>
      </c>
      <c r="AK838" t="e">
        <f ca="1">_xludf.IFNA(VLOOKUP(AG838,'S-FG'!$B$3:$B1001,1,FALSE),"")</f>
        <v>#NAME?</v>
      </c>
      <c r="AL838" t="str">
        <f>IF(AH838="","",SUMIFS(#REF!,RM!$C$4:$C991,AH838))</f>
        <v/>
      </c>
    </row>
    <row r="839" spans="5:38">
      <c r="E839" t="str">
        <f>IF(A839="","",SUMIFS(Issue!$D$3:$D1001,Issue!$C$3:$C1001,A839)*C839)</f>
        <v/>
      </c>
      <c r="F839" t="e">
        <f ca="1">_xludf.IFNA(VLOOKUP(B839,'S-FG'!$B$3:$B1001,1,FALSE),"")</f>
        <v>#NAME?</v>
      </c>
      <c r="L839" t="str">
        <f t="shared" si="10"/>
        <v/>
      </c>
      <c r="Q839" t="str">
        <f>IF(N839="","",SUMIFS(Issue!$D$3:$D1001,Issue!$C$3:$C1001,N839))</f>
        <v/>
      </c>
      <c r="Y839" t="str">
        <f t="shared" si="11"/>
        <v/>
      </c>
      <c r="Z839" t="str">
        <f>IF(X839="","",SUMIFS(#REF!,RM!$C$4:$C991,X839))</f>
        <v/>
      </c>
      <c r="AA839" t="str">
        <f>IF(X839="","",SUMIFS(#REF!,RM!$C$4:$C991,X839))</f>
        <v/>
      </c>
      <c r="AB839" t="e">
        <f t="shared" si="12"/>
        <v>#VALUE!</v>
      </c>
      <c r="AC839" t="str">
        <f>IF(X839="","",VLOOKUP($X839,RM!$C$4:$G991,3,FALSE))</f>
        <v/>
      </c>
      <c r="AD839" t="str">
        <f>IF(X839="","",VLOOKUP($X839,RM!$C$4:$G991,4,FALSE))</f>
        <v/>
      </c>
      <c r="AE839" t="str">
        <f>IF(X839="","",VLOOKUP($X839,RM!$C$4:$G991,5,FALSE))</f>
        <v/>
      </c>
      <c r="AK839" t="e">
        <f ca="1">_xludf.IFNA(VLOOKUP(AG839,'S-FG'!$B$3:$B1001,1,FALSE),"")</f>
        <v>#NAME?</v>
      </c>
      <c r="AL839" t="str">
        <f>IF(AH839="","",SUMIFS(#REF!,RM!$C$4:$C991,AH839))</f>
        <v/>
      </c>
    </row>
    <row r="840" spans="5:38">
      <c r="E840" t="str">
        <f>IF(A840="","",SUMIFS(Issue!$D$3:$D1001,Issue!$C$3:$C1001,A840)*C840)</f>
        <v/>
      </c>
      <c r="F840" t="e">
        <f ca="1">_xludf.IFNA(VLOOKUP(B840,'S-FG'!$B$3:$B1001,1,FALSE),"")</f>
        <v>#NAME?</v>
      </c>
      <c r="L840" t="str">
        <f t="shared" si="10"/>
        <v/>
      </c>
      <c r="Q840" t="str">
        <f>IF(N840="","",SUMIFS(Issue!$D$3:$D1001,Issue!$C$3:$C1001,N840))</f>
        <v/>
      </c>
      <c r="Y840" t="str">
        <f t="shared" si="11"/>
        <v/>
      </c>
      <c r="Z840" t="str">
        <f>IF(X840="","",SUMIFS(#REF!,RM!$C$4:$C991,X840))</f>
        <v/>
      </c>
      <c r="AA840" t="str">
        <f>IF(X840="","",SUMIFS(#REF!,RM!$C$4:$C991,X840))</f>
        <v/>
      </c>
      <c r="AB840" t="e">
        <f t="shared" si="12"/>
        <v>#VALUE!</v>
      </c>
      <c r="AC840" t="str">
        <f>IF(X840="","",VLOOKUP($X840,RM!$C$4:$G991,3,FALSE))</f>
        <v/>
      </c>
      <c r="AD840" t="str">
        <f>IF(X840="","",VLOOKUP($X840,RM!$C$4:$G991,4,FALSE))</f>
        <v/>
      </c>
      <c r="AE840" t="str">
        <f>IF(X840="","",VLOOKUP($X840,RM!$C$4:$G991,5,FALSE))</f>
        <v/>
      </c>
      <c r="AK840" t="e">
        <f ca="1">_xludf.IFNA(VLOOKUP(AG840,'S-FG'!$B$3:$B1001,1,FALSE),"")</f>
        <v>#NAME?</v>
      </c>
      <c r="AL840" t="str">
        <f>IF(AH840="","",SUMIFS(#REF!,RM!$C$4:$C991,AH840))</f>
        <v/>
      </c>
    </row>
    <row r="841" spans="5:38">
      <c r="E841" t="str">
        <f>IF(A841="","",SUMIFS(Issue!$D$3:$D1001,Issue!$C$3:$C1001,A841)*C841)</f>
        <v/>
      </c>
      <c r="F841" t="e">
        <f ca="1">_xludf.IFNA(VLOOKUP(B841,'S-FG'!$B$3:$B1001,1,FALSE),"")</f>
        <v>#NAME?</v>
      </c>
      <c r="L841" t="str">
        <f t="shared" si="10"/>
        <v/>
      </c>
      <c r="Q841" t="str">
        <f>IF(N841="","",SUMIFS(Issue!$D$3:$D1001,Issue!$C$3:$C1001,N841))</f>
        <v/>
      </c>
      <c r="Y841" t="str">
        <f t="shared" si="11"/>
        <v/>
      </c>
      <c r="Z841" t="str">
        <f>IF(X841="","",SUMIFS(#REF!,RM!$C$4:$C991,X841))</f>
        <v/>
      </c>
      <c r="AA841" t="str">
        <f>IF(X841="","",SUMIFS(#REF!,RM!$C$4:$C991,X841))</f>
        <v/>
      </c>
      <c r="AB841" t="e">
        <f t="shared" si="12"/>
        <v>#VALUE!</v>
      </c>
      <c r="AC841" t="str">
        <f>IF(X841="","",VLOOKUP($X841,RM!$C$4:$G991,3,FALSE))</f>
        <v/>
      </c>
      <c r="AD841" t="str">
        <f>IF(X841="","",VLOOKUP($X841,RM!$C$4:$G991,4,FALSE))</f>
        <v/>
      </c>
      <c r="AE841" t="str">
        <f>IF(X841="","",VLOOKUP($X841,RM!$C$4:$G991,5,FALSE))</f>
        <v/>
      </c>
      <c r="AK841" t="e">
        <f ca="1">_xludf.IFNA(VLOOKUP(AG841,'S-FG'!$B$3:$B1001,1,FALSE),"")</f>
        <v>#NAME?</v>
      </c>
      <c r="AL841" t="str">
        <f>IF(AH841="","",SUMIFS(#REF!,RM!$C$4:$C991,AH841))</f>
        <v/>
      </c>
    </row>
    <row r="842" spans="5:38">
      <c r="E842" t="str">
        <f>IF(A842="","",SUMIFS(Issue!$D$3:$D1001,Issue!$C$3:$C1001,A842)*C842)</f>
        <v/>
      </c>
      <c r="F842" t="e">
        <f ca="1">_xludf.IFNA(VLOOKUP(B842,'S-FG'!$B$3:$B1001,1,FALSE),"")</f>
        <v>#NAME?</v>
      </c>
      <c r="L842" t="str">
        <f t="shared" si="10"/>
        <v/>
      </c>
      <c r="Q842" t="str">
        <f>IF(N842="","",SUMIFS(Issue!$D$3:$D1001,Issue!$C$3:$C1001,N842))</f>
        <v/>
      </c>
      <c r="Y842" t="str">
        <f t="shared" si="11"/>
        <v/>
      </c>
      <c r="Z842" t="str">
        <f>IF(X842="","",SUMIFS(#REF!,RM!$C$4:$C991,X842))</f>
        <v/>
      </c>
      <c r="AA842" t="str">
        <f>IF(X842="","",SUMIFS(#REF!,RM!$C$4:$C991,X842))</f>
        <v/>
      </c>
      <c r="AB842" t="e">
        <f t="shared" si="12"/>
        <v>#VALUE!</v>
      </c>
      <c r="AC842" t="str">
        <f>IF(X842="","",VLOOKUP($X842,RM!$C$4:$G991,3,FALSE))</f>
        <v/>
      </c>
      <c r="AD842" t="str">
        <f>IF(X842="","",VLOOKUP($X842,RM!$C$4:$G991,4,FALSE))</f>
        <v/>
      </c>
      <c r="AE842" t="str">
        <f>IF(X842="","",VLOOKUP($X842,RM!$C$4:$G991,5,FALSE))</f>
        <v/>
      </c>
      <c r="AK842" t="e">
        <f ca="1">_xludf.IFNA(VLOOKUP(AG842,'S-FG'!$B$3:$B1001,1,FALSE),"")</f>
        <v>#NAME?</v>
      </c>
      <c r="AL842" t="str">
        <f>IF(AH842="","",SUMIFS(#REF!,RM!$C$4:$C991,AH842))</f>
        <v/>
      </c>
    </row>
    <row r="843" spans="5:38">
      <c r="E843" t="str">
        <f>IF(A843="","",SUMIFS(Issue!$D$3:$D1001,Issue!$C$3:$C1001,A843)*C843)</f>
        <v/>
      </c>
      <c r="F843" t="e">
        <f ca="1">_xludf.IFNA(VLOOKUP(B843,'S-FG'!$B$3:$B1001,1,FALSE),"")</f>
        <v>#NAME?</v>
      </c>
      <c r="L843" t="str">
        <f t="shared" si="10"/>
        <v/>
      </c>
      <c r="Q843" t="str">
        <f>IF(N843="","",SUMIFS(Issue!$D$3:$D1001,Issue!$C$3:$C1001,N843))</f>
        <v/>
      </c>
      <c r="Y843" t="str">
        <f t="shared" si="11"/>
        <v/>
      </c>
      <c r="Z843" t="str">
        <f>IF(X843="","",SUMIFS(#REF!,RM!$C$4:$C991,X843))</f>
        <v/>
      </c>
      <c r="AA843" t="str">
        <f>IF(X843="","",SUMIFS(#REF!,RM!$C$4:$C991,X843))</f>
        <v/>
      </c>
      <c r="AB843" t="e">
        <f t="shared" si="12"/>
        <v>#VALUE!</v>
      </c>
      <c r="AC843" t="str">
        <f>IF(X843="","",VLOOKUP($X843,RM!$C$4:$G991,3,FALSE))</f>
        <v/>
      </c>
      <c r="AD843" t="str">
        <f>IF(X843="","",VLOOKUP($X843,RM!$C$4:$G991,4,FALSE))</f>
        <v/>
      </c>
      <c r="AE843" t="str">
        <f>IF(X843="","",VLOOKUP($X843,RM!$C$4:$G991,5,FALSE))</f>
        <v/>
      </c>
      <c r="AK843" t="e">
        <f ca="1">_xludf.IFNA(VLOOKUP(AG843,'S-FG'!$B$3:$B1001,1,FALSE),"")</f>
        <v>#NAME?</v>
      </c>
      <c r="AL843" t="str">
        <f>IF(AH843="","",SUMIFS(#REF!,RM!$C$4:$C991,AH843))</f>
        <v/>
      </c>
    </row>
    <row r="844" spans="5:38">
      <c r="E844" t="str">
        <f>IF(A844="","",SUMIFS(Issue!$D$3:$D1001,Issue!$C$3:$C1001,A844)*C844)</f>
        <v/>
      </c>
      <c r="F844" t="e">
        <f ca="1">_xludf.IFNA(VLOOKUP(B844,'S-FG'!$B$3:$B1001,1,FALSE),"")</f>
        <v>#NAME?</v>
      </c>
      <c r="L844" t="str">
        <f t="shared" si="10"/>
        <v/>
      </c>
      <c r="Q844" t="str">
        <f>IF(N844="","",SUMIFS(Issue!$D$3:$D1001,Issue!$C$3:$C1001,N844))</f>
        <v/>
      </c>
      <c r="Y844" t="str">
        <f t="shared" si="11"/>
        <v/>
      </c>
      <c r="Z844" t="str">
        <f>IF(X844="","",SUMIFS(#REF!,RM!$C$4:$C991,X844))</f>
        <v/>
      </c>
      <c r="AA844" t="str">
        <f>IF(X844="","",SUMIFS(#REF!,RM!$C$4:$C991,X844))</f>
        <v/>
      </c>
      <c r="AB844" t="e">
        <f t="shared" si="12"/>
        <v>#VALUE!</v>
      </c>
      <c r="AC844" t="str">
        <f>IF(X844="","",VLOOKUP($X844,RM!$C$4:$G991,3,FALSE))</f>
        <v/>
      </c>
      <c r="AD844" t="str">
        <f>IF(X844="","",VLOOKUP($X844,RM!$C$4:$G991,4,FALSE))</f>
        <v/>
      </c>
      <c r="AE844" t="str">
        <f>IF(X844="","",VLOOKUP($X844,RM!$C$4:$G991,5,FALSE))</f>
        <v/>
      </c>
      <c r="AK844" t="e">
        <f ca="1">_xludf.IFNA(VLOOKUP(AG844,'S-FG'!$B$3:$B1001,1,FALSE),"")</f>
        <v>#NAME?</v>
      </c>
      <c r="AL844" t="str">
        <f>IF(AH844="","",SUMIFS(#REF!,RM!$C$4:$C991,AH844))</f>
        <v/>
      </c>
    </row>
    <row r="845" spans="5:38">
      <c r="E845" t="str">
        <f>IF(A845="","",SUMIFS(Issue!$D$3:$D1001,Issue!$C$3:$C1001,A845)*C845)</f>
        <v/>
      </c>
      <c r="F845" t="e">
        <f ca="1">_xludf.IFNA(VLOOKUP(B845,'S-FG'!$B$3:$B1001,1,FALSE),"")</f>
        <v>#NAME?</v>
      </c>
      <c r="L845" t="str">
        <f t="shared" si="10"/>
        <v/>
      </c>
      <c r="Q845" t="str">
        <f>IF(N845="","",SUMIFS(Issue!$D$3:$D1001,Issue!$C$3:$C1001,N845))</f>
        <v/>
      </c>
      <c r="Y845" t="str">
        <f t="shared" si="11"/>
        <v/>
      </c>
      <c r="Z845" t="str">
        <f>IF(X845="","",SUMIFS(#REF!,RM!$C$4:$C991,X845))</f>
        <v/>
      </c>
      <c r="AA845" t="str">
        <f>IF(X845="","",SUMIFS(#REF!,RM!$C$4:$C991,X845))</f>
        <v/>
      </c>
      <c r="AB845" t="e">
        <f t="shared" si="12"/>
        <v>#VALUE!</v>
      </c>
      <c r="AC845" t="str">
        <f>IF(X845="","",VLOOKUP($X845,RM!$C$4:$G991,3,FALSE))</f>
        <v/>
      </c>
      <c r="AD845" t="str">
        <f>IF(X845="","",VLOOKUP($X845,RM!$C$4:$G991,4,FALSE))</f>
        <v/>
      </c>
      <c r="AE845" t="str">
        <f>IF(X845="","",VLOOKUP($X845,RM!$C$4:$G991,5,FALSE))</f>
        <v/>
      </c>
      <c r="AK845" t="e">
        <f ca="1">_xludf.IFNA(VLOOKUP(AG845,'S-FG'!$B$3:$B1001,1,FALSE),"")</f>
        <v>#NAME?</v>
      </c>
      <c r="AL845" t="str">
        <f>IF(AH845="","",SUMIFS(#REF!,RM!$C$4:$C991,AH845))</f>
        <v/>
      </c>
    </row>
    <row r="846" spans="5:38">
      <c r="E846" t="str">
        <f>IF(A846="","",SUMIFS(Issue!$D$3:$D1001,Issue!$C$3:$C1001,A846)*C846)</f>
        <v/>
      </c>
      <c r="F846" t="e">
        <f ca="1">_xludf.IFNA(VLOOKUP(B846,'S-FG'!$B$3:$B1001,1,FALSE),"")</f>
        <v>#NAME?</v>
      </c>
      <c r="L846" t="str">
        <f t="shared" si="10"/>
        <v/>
      </c>
      <c r="Q846" t="str">
        <f>IF(N846="","",SUMIFS(Issue!$D$3:$D1001,Issue!$C$3:$C1001,N846))</f>
        <v/>
      </c>
      <c r="Y846" t="str">
        <f t="shared" si="11"/>
        <v/>
      </c>
      <c r="Z846" t="str">
        <f>IF(X846="","",SUMIFS(#REF!,RM!$C$4:$C991,X846))</f>
        <v/>
      </c>
      <c r="AA846" t="str">
        <f>IF(X846="","",SUMIFS(#REF!,RM!$C$4:$C991,X846))</f>
        <v/>
      </c>
      <c r="AB846" t="e">
        <f t="shared" si="12"/>
        <v>#VALUE!</v>
      </c>
      <c r="AC846" t="str">
        <f>IF(X846="","",VLOOKUP($X846,RM!$C$4:$G991,3,FALSE))</f>
        <v/>
      </c>
      <c r="AD846" t="str">
        <f>IF(X846="","",VLOOKUP($X846,RM!$C$4:$G991,4,FALSE))</f>
        <v/>
      </c>
      <c r="AE846" t="str">
        <f>IF(X846="","",VLOOKUP($X846,RM!$C$4:$G991,5,FALSE))</f>
        <v/>
      </c>
      <c r="AK846" t="e">
        <f ca="1">_xludf.IFNA(VLOOKUP(AG846,'S-FG'!$B$3:$B1001,1,FALSE),"")</f>
        <v>#NAME?</v>
      </c>
      <c r="AL846" t="str">
        <f>IF(AH846="","",SUMIFS(#REF!,RM!$C$4:$C991,AH846))</f>
        <v/>
      </c>
    </row>
    <row r="847" spans="5:38">
      <c r="E847" t="str">
        <f>IF(A847="","",SUMIFS(Issue!$D$3:$D1001,Issue!$C$3:$C1001,A847)*C847)</f>
        <v/>
      </c>
      <c r="F847" t="e">
        <f ca="1">_xludf.IFNA(VLOOKUP(B847,'S-FG'!$B$3:$B1001,1,FALSE),"")</f>
        <v>#NAME?</v>
      </c>
      <c r="L847" t="str">
        <f t="shared" si="10"/>
        <v/>
      </c>
      <c r="Q847" t="str">
        <f>IF(N847="","",SUMIFS(Issue!$D$3:$D1001,Issue!$C$3:$C1001,N847))</f>
        <v/>
      </c>
      <c r="Y847" t="str">
        <f t="shared" si="11"/>
        <v/>
      </c>
      <c r="Z847" t="str">
        <f>IF(X847="","",SUMIFS(#REF!,RM!$C$4:$C991,X847))</f>
        <v/>
      </c>
      <c r="AA847" t="str">
        <f>IF(X847="","",SUMIFS(#REF!,RM!$C$4:$C991,X847))</f>
        <v/>
      </c>
      <c r="AB847" t="e">
        <f t="shared" si="12"/>
        <v>#VALUE!</v>
      </c>
      <c r="AC847" t="str">
        <f>IF(X847="","",VLOOKUP($X847,RM!$C$4:$G991,3,FALSE))</f>
        <v/>
      </c>
      <c r="AD847" t="str">
        <f>IF(X847="","",VLOOKUP($X847,RM!$C$4:$G991,4,FALSE))</f>
        <v/>
      </c>
      <c r="AE847" t="str">
        <f>IF(X847="","",VLOOKUP($X847,RM!$C$4:$G991,5,FALSE))</f>
        <v/>
      </c>
      <c r="AK847" t="e">
        <f ca="1">_xludf.IFNA(VLOOKUP(AG847,'S-FG'!$B$3:$B1001,1,FALSE),"")</f>
        <v>#NAME?</v>
      </c>
      <c r="AL847" t="str">
        <f>IF(AH847="","",SUMIFS(#REF!,RM!$C$4:$C991,AH847))</f>
        <v/>
      </c>
    </row>
    <row r="848" spans="5:38">
      <c r="E848" t="str">
        <f>IF(A848="","",SUMIFS(Issue!$D$3:$D1001,Issue!$C$3:$C1001,A848)*C848)</f>
        <v/>
      </c>
      <c r="F848" t="e">
        <f ca="1">_xludf.IFNA(VLOOKUP(B848,'S-FG'!$B$3:$B1001,1,FALSE),"")</f>
        <v>#NAME?</v>
      </c>
      <c r="L848" t="str">
        <f t="shared" si="10"/>
        <v/>
      </c>
      <c r="Q848" t="str">
        <f>IF(N848="","",SUMIFS(Issue!$D$3:$D1001,Issue!$C$3:$C1001,N848))</f>
        <v/>
      </c>
      <c r="Y848" t="str">
        <f t="shared" si="11"/>
        <v/>
      </c>
      <c r="Z848" t="str">
        <f>IF(X848="","",SUMIFS(#REF!,RM!$C$4:$C991,X848))</f>
        <v/>
      </c>
      <c r="AA848" t="str">
        <f>IF(X848="","",SUMIFS(#REF!,RM!$C$4:$C991,X848))</f>
        <v/>
      </c>
      <c r="AB848" t="e">
        <f t="shared" si="12"/>
        <v>#VALUE!</v>
      </c>
      <c r="AC848" t="str">
        <f>IF(X848="","",VLOOKUP($X848,RM!$C$4:$G991,3,FALSE))</f>
        <v/>
      </c>
      <c r="AD848" t="str">
        <f>IF(X848="","",VLOOKUP($X848,RM!$C$4:$G991,4,FALSE))</f>
        <v/>
      </c>
      <c r="AE848" t="str">
        <f>IF(X848="","",VLOOKUP($X848,RM!$C$4:$G991,5,FALSE))</f>
        <v/>
      </c>
      <c r="AK848" t="e">
        <f ca="1">_xludf.IFNA(VLOOKUP(AG848,'S-FG'!$B$3:$B1001,1,FALSE),"")</f>
        <v>#NAME?</v>
      </c>
      <c r="AL848" t="str">
        <f>IF(AH848="","",SUMIFS(#REF!,RM!$C$4:$C991,AH848))</f>
        <v/>
      </c>
    </row>
    <row r="849" spans="5:38">
      <c r="E849" t="str">
        <f>IF(A849="","",SUMIFS(Issue!$D$3:$D1001,Issue!$C$3:$C1001,A849)*C849)</f>
        <v/>
      </c>
      <c r="F849" t="e">
        <f ca="1">_xludf.IFNA(VLOOKUP(B849,'S-FG'!$B$3:$B1001,1,FALSE),"")</f>
        <v>#NAME?</v>
      </c>
      <c r="L849" t="str">
        <f t="shared" si="10"/>
        <v/>
      </c>
      <c r="Q849" t="str">
        <f>IF(N849="","",SUMIFS(Issue!$D$3:$D1001,Issue!$C$3:$C1001,N849))</f>
        <v/>
      </c>
      <c r="Y849" t="str">
        <f t="shared" si="11"/>
        <v/>
      </c>
      <c r="Z849" t="str">
        <f>IF(X849="","",SUMIFS(#REF!,RM!$C$4:$C991,X849))</f>
        <v/>
      </c>
      <c r="AA849" t="str">
        <f>IF(X849="","",SUMIFS(#REF!,RM!$C$4:$C991,X849))</f>
        <v/>
      </c>
      <c r="AB849" t="e">
        <f t="shared" si="12"/>
        <v>#VALUE!</v>
      </c>
      <c r="AC849" t="str">
        <f>IF(X849="","",VLOOKUP($X849,RM!$C$4:$G991,3,FALSE))</f>
        <v/>
      </c>
      <c r="AD849" t="str">
        <f>IF(X849="","",VLOOKUP($X849,RM!$C$4:$G991,4,FALSE))</f>
        <v/>
      </c>
      <c r="AE849" t="str">
        <f>IF(X849="","",VLOOKUP($X849,RM!$C$4:$G991,5,FALSE))</f>
        <v/>
      </c>
      <c r="AK849" t="e">
        <f ca="1">_xludf.IFNA(VLOOKUP(AG849,'S-FG'!$B$3:$B1001,1,FALSE),"")</f>
        <v>#NAME?</v>
      </c>
      <c r="AL849" t="str">
        <f>IF(AH849="","",SUMIFS(#REF!,RM!$C$4:$C991,AH849))</f>
        <v/>
      </c>
    </row>
    <row r="850" spans="5:38">
      <c r="E850" t="str">
        <f>IF(A850="","",SUMIFS(Issue!$D$3:$D1001,Issue!$C$3:$C1001,A850)*C850)</f>
        <v/>
      </c>
      <c r="F850" t="e">
        <f ca="1">_xludf.IFNA(VLOOKUP(B850,'S-FG'!$B$3:$B1001,1,FALSE),"")</f>
        <v>#NAME?</v>
      </c>
      <c r="L850" t="str">
        <f t="shared" si="10"/>
        <v/>
      </c>
      <c r="Q850" t="str">
        <f>IF(N850="","",SUMIFS(Issue!$D$3:$D1001,Issue!$C$3:$C1001,N850))</f>
        <v/>
      </c>
      <c r="Y850" t="str">
        <f t="shared" si="11"/>
        <v/>
      </c>
      <c r="Z850" t="str">
        <f>IF(X850="","",SUMIFS(#REF!,RM!$C$4:$C991,X850))</f>
        <v/>
      </c>
      <c r="AA850" t="str">
        <f>IF(X850="","",SUMIFS(#REF!,RM!$C$4:$C991,X850))</f>
        <v/>
      </c>
      <c r="AB850" t="e">
        <f t="shared" si="12"/>
        <v>#VALUE!</v>
      </c>
      <c r="AC850" t="str">
        <f>IF(X850="","",VLOOKUP($X850,RM!$C$4:$G991,3,FALSE))</f>
        <v/>
      </c>
      <c r="AD850" t="str">
        <f>IF(X850="","",VLOOKUP($X850,RM!$C$4:$G991,4,FALSE))</f>
        <v/>
      </c>
      <c r="AE850" t="str">
        <f>IF(X850="","",VLOOKUP($X850,RM!$C$4:$G991,5,FALSE))</f>
        <v/>
      </c>
      <c r="AK850" t="e">
        <f ca="1">_xludf.IFNA(VLOOKUP(AG850,'S-FG'!$B$3:$B1001,1,FALSE),"")</f>
        <v>#NAME?</v>
      </c>
      <c r="AL850" t="str">
        <f>IF(AH850="","",SUMIFS(#REF!,RM!$C$4:$C991,AH850))</f>
        <v/>
      </c>
    </row>
    <row r="851" spans="5:38">
      <c r="E851" t="str">
        <f>IF(A851="","",SUMIFS(Issue!$D$3:$D1001,Issue!$C$3:$C1001,A851)*C851)</f>
        <v/>
      </c>
      <c r="F851" t="e">
        <f ca="1">_xludf.IFNA(VLOOKUP(B851,'S-FG'!$B$3:$B1001,1,FALSE),"")</f>
        <v>#NAME?</v>
      </c>
      <c r="L851" t="str">
        <f t="shared" si="10"/>
        <v/>
      </c>
      <c r="Q851" t="str">
        <f>IF(N851="","",SUMIFS(Issue!$D$3:$D1001,Issue!$C$3:$C1001,N851))</f>
        <v/>
      </c>
      <c r="Y851" t="str">
        <f t="shared" si="11"/>
        <v/>
      </c>
      <c r="Z851" t="str">
        <f>IF(X851="","",SUMIFS(#REF!,RM!$C$4:$C991,X851))</f>
        <v/>
      </c>
      <c r="AA851" t="str">
        <f>IF(X851="","",SUMIFS(#REF!,RM!$C$4:$C991,X851))</f>
        <v/>
      </c>
      <c r="AB851" t="e">
        <f t="shared" si="12"/>
        <v>#VALUE!</v>
      </c>
      <c r="AC851" t="str">
        <f>IF(X851="","",VLOOKUP($X851,RM!$C$4:$G991,3,FALSE))</f>
        <v/>
      </c>
      <c r="AD851" t="str">
        <f>IF(X851="","",VLOOKUP($X851,RM!$C$4:$G991,4,FALSE))</f>
        <v/>
      </c>
      <c r="AE851" t="str">
        <f>IF(X851="","",VLOOKUP($X851,RM!$C$4:$G991,5,FALSE))</f>
        <v/>
      </c>
      <c r="AK851" t="e">
        <f ca="1">_xludf.IFNA(VLOOKUP(AG851,'S-FG'!$B$3:$B1001,1,FALSE),"")</f>
        <v>#NAME?</v>
      </c>
      <c r="AL851" t="str">
        <f>IF(AH851="","",SUMIFS(#REF!,RM!$C$4:$C991,AH851))</f>
        <v/>
      </c>
    </row>
    <row r="852" spans="5:38">
      <c r="E852" t="str">
        <f>IF(A852="","",SUMIFS(Issue!$D$3:$D1001,Issue!$C$3:$C1001,A852)*C852)</f>
        <v/>
      </c>
      <c r="F852" t="e">
        <f ca="1">_xludf.IFNA(VLOOKUP(B852,'S-FG'!$B$3:$B1001,1,FALSE),"")</f>
        <v>#NAME?</v>
      </c>
      <c r="L852" t="str">
        <f t="shared" si="10"/>
        <v/>
      </c>
      <c r="Q852" t="str">
        <f>IF(N852="","",SUMIFS(Issue!$D$3:$D1001,Issue!$C$3:$C1001,N852))</f>
        <v/>
      </c>
      <c r="Y852" t="str">
        <f t="shared" si="11"/>
        <v/>
      </c>
      <c r="Z852" t="str">
        <f>IF(X852="","",SUMIFS(#REF!,RM!$C$4:$C991,X852))</f>
        <v/>
      </c>
      <c r="AA852" t="str">
        <f>IF(X852="","",SUMIFS(#REF!,RM!$C$4:$C991,X852))</f>
        <v/>
      </c>
      <c r="AB852" t="e">
        <f t="shared" si="12"/>
        <v>#VALUE!</v>
      </c>
      <c r="AC852" t="str">
        <f>IF(X852="","",VLOOKUP($X852,RM!$C$4:$G991,3,FALSE))</f>
        <v/>
      </c>
      <c r="AD852" t="str">
        <f>IF(X852="","",VLOOKUP($X852,RM!$C$4:$G991,4,FALSE))</f>
        <v/>
      </c>
      <c r="AE852" t="str">
        <f>IF(X852="","",VLOOKUP($X852,RM!$C$4:$G991,5,FALSE))</f>
        <v/>
      </c>
      <c r="AK852" t="e">
        <f ca="1">_xludf.IFNA(VLOOKUP(AG852,'S-FG'!$B$3:$B1001,1,FALSE),"")</f>
        <v>#NAME?</v>
      </c>
      <c r="AL852" t="str">
        <f>IF(AH852="","",SUMIFS(#REF!,RM!$C$4:$C991,AH852))</f>
        <v/>
      </c>
    </row>
    <row r="853" spans="5:38">
      <c r="E853" t="str">
        <f>IF(A853="","",SUMIFS(Issue!$D$3:$D1001,Issue!$C$3:$C1001,A853)*C853)</f>
        <v/>
      </c>
      <c r="F853" t="e">
        <f ca="1">_xludf.IFNA(VLOOKUP(B853,'S-FG'!$B$3:$B1001,1,FALSE),"")</f>
        <v>#NAME?</v>
      </c>
      <c r="L853" t="str">
        <f t="shared" si="10"/>
        <v/>
      </c>
      <c r="Q853" t="str">
        <f>IF(N853="","",SUMIFS(Issue!$D$3:$D1001,Issue!$C$3:$C1001,N853))</f>
        <v/>
      </c>
      <c r="Y853" t="str">
        <f t="shared" si="11"/>
        <v/>
      </c>
      <c r="Z853" t="str">
        <f>IF(X853="","",SUMIFS(#REF!,RM!$C$4:$C991,X853))</f>
        <v/>
      </c>
      <c r="AA853" t="str">
        <f>IF(X853="","",SUMIFS(#REF!,RM!$C$4:$C991,X853))</f>
        <v/>
      </c>
      <c r="AB853" t="e">
        <f t="shared" si="12"/>
        <v>#VALUE!</v>
      </c>
      <c r="AC853" t="str">
        <f>IF(X853="","",VLOOKUP($X853,RM!$C$4:$G991,3,FALSE))</f>
        <v/>
      </c>
      <c r="AD853" t="str">
        <f>IF(X853="","",VLOOKUP($X853,RM!$C$4:$G991,4,FALSE))</f>
        <v/>
      </c>
      <c r="AE853" t="str">
        <f>IF(X853="","",VLOOKUP($X853,RM!$C$4:$G991,5,FALSE))</f>
        <v/>
      </c>
      <c r="AK853" t="e">
        <f ca="1">_xludf.IFNA(VLOOKUP(AG853,'S-FG'!$B$3:$B1001,1,FALSE),"")</f>
        <v>#NAME?</v>
      </c>
      <c r="AL853" t="str">
        <f>IF(AH853="","",SUMIFS(#REF!,RM!$C$4:$C991,AH853))</f>
        <v/>
      </c>
    </row>
    <row r="854" spans="5:38">
      <c r="E854" t="str">
        <f>IF(A854="","",SUMIFS(Issue!$D$3:$D1001,Issue!$C$3:$C1001,A854)*C854)</f>
        <v/>
      </c>
      <c r="F854" t="e">
        <f ca="1">_xludf.IFNA(VLOOKUP(B854,'S-FG'!$B$3:$B1001,1,FALSE),"")</f>
        <v>#NAME?</v>
      </c>
      <c r="L854" t="str">
        <f t="shared" si="10"/>
        <v/>
      </c>
      <c r="Q854" t="str">
        <f>IF(N854="","",SUMIFS(Issue!$D$3:$D1001,Issue!$C$3:$C1001,N854))</f>
        <v/>
      </c>
      <c r="Y854" t="str">
        <f t="shared" si="11"/>
        <v/>
      </c>
      <c r="Z854" t="str">
        <f>IF(X854="","",SUMIFS(#REF!,RM!$C$4:$C991,X854))</f>
        <v/>
      </c>
      <c r="AA854" t="str">
        <f>IF(X854="","",SUMIFS(#REF!,RM!$C$4:$C991,X854))</f>
        <v/>
      </c>
      <c r="AB854" t="e">
        <f t="shared" si="12"/>
        <v>#VALUE!</v>
      </c>
      <c r="AC854" t="str">
        <f>IF(X854="","",VLOOKUP($X854,RM!$C$4:$G991,3,FALSE))</f>
        <v/>
      </c>
      <c r="AD854" t="str">
        <f>IF(X854="","",VLOOKUP($X854,RM!$C$4:$G991,4,FALSE))</f>
        <v/>
      </c>
      <c r="AE854" t="str">
        <f>IF(X854="","",VLOOKUP($X854,RM!$C$4:$G991,5,FALSE))</f>
        <v/>
      </c>
      <c r="AK854" t="e">
        <f ca="1">_xludf.IFNA(VLOOKUP(AG854,'S-FG'!$B$3:$B1001,1,FALSE),"")</f>
        <v>#NAME?</v>
      </c>
      <c r="AL854" t="str">
        <f>IF(AH854="","",SUMIFS(#REF!,RM!$C$4:$C991,AH854))</f>
        <v/>
      </c>
    </row>
    <row r="855" spans="5:38">
      <c r="E855" t="str">
        <f>IF(A855="","",SUMIFS(Issue!$D$3:$D1001,Issue!$C$3:$C1001,A855)*C855)</f>
        <v/>
      </c>
      <c r="F855" t="e">
        <f ca="1">_xludf.IFNA(VLOOKUP(B855,'S-FG'!$B$3:$B1001,1,FALSE),"")</f>
        <v>#NAME?</v>
      </c>
      <c r="L855" t="str">
        <f t="shared" si="10"/>
        <v/>
      </c>
      <c r="Q855" t="str">
        <f>IF(N855="","",SUMIFS(Issue!$D$3:$D1001,Issue!$C$3:$C1001,N855))</f>
        <v/>
      </c>
      <c r="Y855" t="str">
        <f t="shared" si="11"/>
        <v/>
      </c>
      <c r="Z855" t="str">
        <f>IF(X855="","",SUMIFS(#REF!,RM!$C$4:$C991,X855))</f>
        <v/>
      </c>
      <c r="AA855" t="str">
        <f>IF(X855="","",SUMIFS(#REF!,RM!$C$4:$C991,X855))</f>
        <v/>
      </c>
      <c r="AB855" t="e">
        <f t="shared" si="12"/>
        <v>#VALUE!</v>
      </c>
      <c r="AC855" t="str">
        <f>IF(X855="","",VLOOKUP($X855,RM!$C$4:$G991,3,FALSE))</f>
        <v/>
      </c>
      <c r="AD855" t="str">
        <f>IF(X855="","",VLOOKUP($X855,RM!$C$4:$G991,4,FALSE))</f>
        <v/>
      </c>
      <c r="AE855" t="str">
        <f>IF(X855="","",VLOOKUP($X855,RM!$C$4:$G991,5,FALSE))</f>
        <v/>
      </c>
      <c r="AK855" t="e">
        <f ca="1">_xludf.IFNA(VLOOKUP(AG855,'S-FG'!$B$3:$B1001,1,FALSE),"")</f>
        <v>#NAME?</v>
      </c>
      <c r="AL855" t="str">
        <f>IF(AH855="","",SUMIFS(#REF!,RM!$C$4:$C991,AH855))</f>
        <v/>
      </c>
    </row>
    <row r="856" spans="5:38">
      <c r="E856" t="str">
        <f>IF(A856="","",SUMIFS(Issue!$D$3:$D1001,Issue!$C$3:$C1001,A856)*C856)</f>
        <v/>
      </c>
      <c r="F856" t="e">
        <f ca="1">_xludf.IFNA(VLOOKUP(B856,'S-FG'!$B$3:$B1001,1,FALSE),"")</f>
        <v>#NAME?</v>
      </c>
      <c r="L856" t="str">
        <f t="shared" si="10"/>
        <v/>
      </c>
      <c r="Q856" t="str">
        <f>IF(N856="","",SUMIFS(Issue!$D$3:$D1001,Issue!$C$3:$C1001,N856))</f>
        <v/>
      </c>
      <c r="Y856" t="str">
        <f t="shared" si="11"/>
        <v/>
      </c>
      <c r="Z856" t="str">
        <f>IF(X856="","",SUMIFS(#REF!,RM!$C$4:$C991,X856))</f>
        <v/>
      </c>
      <c r="AA856" t="str">
        <f>IF(X856="","",SUMIFS(#REF!,RM!$C$4:$C991,X856))</f>
        <v/>
      </c>
      <c r="AB856" t="e">
        <f t="shared" si="12"/>
        <v>#VALUE!</v>
      </c>
      <c r="AC856" t="str">
        <f>IF(X856="","",VLOOKUP($X856,RM!$C$4:$G991,3,FALSE))</f>
        <v/>
      </c>
      <c r="AD856" t="str">
        <f>IF(X856="","",VLOOKUP($X856,RM!$C$4:$G991,4,FALSE))</f>
        <v/>
      </c>
      <c r="AE856" t="str">
        <f>IF(X856="","",VLOOKUP($X856,RM!$C$4:$G991,5,FALSE))</f>
        <v/>
      </c>
      <c r="AK856" t="e">
        <f ca="1">_xludf.IFNA(VLOOKUP(AG856,'S-FG'!$B$3:$B1001,1,FALSE),"")</f>
        <v>#NAME?</v>
      </c>
      <c r="AL856" t="str">
        <f>IF(AH856="","",SUMIFS(#REF!,RM!$C$4:$C991,AH856))</f>
        <v/>
      </c>
    </row>
    <row r="857" spans="5:38">
      <c r="E857" t="str">
        <f>IF(A857="","",SUMIFS(Issue!$D$3:$D1001,Issue!$C$3:$C1001,A857)*C857)</f>
        <v/>
      </c>
      <c r="F857" t="e">
        <f ca="1">_xludf.IFNA(VLOOKUP(B857,'S-FG'!$B$3:$B1001,1,FALSE),"")</f>
        <v>#NAME?</v>
      </c>
      <c r="L857" t="str">
        <f t="shared" si="10"/>
        <v/>
      </c>
      <c r="Q857" t="str">
        <f>IF(N857="","",SUMIFS(Issue!$D$3:$D1001,Issue!$C$3:$C1001,N857))</f>
        <v/>
      </c>
      <c r="Y857" t="str">
        <f t="shared" si="11"/>
        <v/>
      </c>
      <c r="Z857" t="str">
        <f>IF(X857="","",SUMIFS(#REF!,RM!$C$4:$C991,X857))</f>
        <v/>
      </c>
      <c r="AA857" t="str">
        <f>IF(X857="","",SUMIFS(#REF!,RM!$C$4:$C991,X857))</f>
        <v/>
      </c>
      <c r="AB857" t="e">
        <f t="shared" si="12"/>
        <v>#VALUE!</v>
      </c>
      <c r="AC857" t="str">
        <f>IF(X857="","",VLOOKUP($X857,RM!$C$4:$G991,3,FALSE))</f>
        <v/>
      </c>
      <c r="AD857" t="str">
        <f>IF(X857="","",VLOOKUP($X857,RM!$C$4:$G991,4,FALSE))</f>
        <v/>
      </c>
      <c r="AE857" t="str">
        <f>IF(X857="","",VLOOKUP($X857,RM!$C$4:$G991,5,FALSE))</f>
        <v/>
      </c>
      <c r="AK857" t="e">
        <f ca="1">_xludf.IFNA(VLOOKUP(AG857,'S-FG'!$B$3:$B1001,1,FALSE),"")</f>
        <v>#NAME?</v>
      </c>
      <c r="AL857" t="str">
        <f>IF(AH857="","",SUMIFS(#REF!,RM!$C$4:$C991,AH857))</f>
        <v/>
      </c>
    </row>
    <row r="858" spans="5:38">
      <c r="E858" t="str">
        <f>IF(A858="","",SUMIFS(Issue!$D$3:$D1001,Issue!$C$3:$C1001,A858)*C858)</f>
        <v/>
      </c>
      <c r="F858" t="e">
        <f ca="1">_xludf.IFNA(VLOOKUP(B858,'S-FG'!$B$3:$B1001,1,FALSE),"")</f>
        <v>#NAME?</v>
      </c>
      <c r="L858" t="str">
        <f t="shared" si="10"/>
        <v/>
      </c>
      <c r="Q858" t="str">
        <f>IF(N858="","",SUMIFS(Issue!$D$3:$D1001,Issue!$C$3:$C1001,N858))</f>
        <v/>
      </c>
      <c r="Y858" t="str">
        <f t="shared" si="11"/>
        <v/>
      </c>
      <c r="Z858" t="str">
        <f>IF(X858="","",SUMIFS(#REF!,RM!$C$4:$C991,X858))</f>
        <v/>
      </c>
      <c r="AA858" t="str">
        <f>IF(X858="","",SUMIFS(#REF!,RM!$C$4:$C991,X858))</f>
        <v/>
      </c>
      <c r="AB858" t="e">
        <f t="shared" si="12"/>
        <v>#VALUE!</v>
      </c>
      <c r="AC858" t="str">
        <f>IF(X858="","",VLOOKUP($X858,RM!$C$4:$G991,3,FALSE))</f>
        <v/>
      </c>
      <c r="AD858" t="str">
        <f>IF(X858="","",VLOOKUP($X858,RM!$C$4:$G991,4,FALSE))</f>
        <v/>
      </c>
      <c r="AE858" t="str">
        <f>IF(X858="","",VLOOKUP($X858,RM!$C$4:$G991,5,FALSE))</f>
        <v/>
      </c>
      <c r="AK858" t="e">
        <f ca="1">_xludf.IFNA(VLOOKUP(AG858,'S-FG'!$B$3:$B1001,1,FALSE),"")</f>
        <v>#NAME?</v>
      </c>
      <c r="AL858" t="str">
        <f>IF(AH858="","",SUMIFS(#REF!,RM!$C$4:$C991,AH858))</f>
        <v/>
      </c>
    </row>
    <row r="859" spans="5:38">
      <c r="E859" t="str">
        <f>IF(A859="","",SUMIFS(Issue!$D$3:$D1001,Issue!$C$3:$C1001,A859)*C859)</f>
        <v/>
      </c>
      <c r="F859" t="e">
        <f ca="1">_xludf.IFNA(VLOOKUP(B859,'S-FG'!$B$3:$B1001,1,FALSE),"")</f>
        <v>#NAME?</v>
      </c>
      <c r="L859" t="str">
        <f t="shared" si="10"/>
        <v/>
      </c>
      <c r="Q859" t="str">
        <f>IF(N859="","",SUMIFS(Issue!$D$3:$D1001,Issue!$C$3:$C1001,N859))</f>
        <v/>
      </c>
      <c r="Y859" t="str">
        <f t="shared" si="11"/>
        <v/>
      </c>
      <c r="Z859" t="str">
        <f>IF(X859="","",SUMIFS(#REF!,RM!$C$4:$C991,X859))</f>
        <v/>
      </c>
      <c r="AA859" t="str">
        <f>IF(X859="","",SUMIFS(#REF!,RM!$C$4:$C991,X859))</f>
        <v/>
      </c>
      <c r="AB859" t="e">
        <f t="shared" si="12"/>
        <v>#VALUE!</v>
      </c>
      <c r="AC859" t="str">
        <f>IF(X859="","",VLOOKUP($X859,RM!$C$4:$G991,3,FALSE))</f>
        <v/>
      </c>
      <c r="AD859" t="str">
        <f>IF(X859="","",VLOOKUP($X859,RM!$C$4:$G991,4,FALSE))</f>
        <v/>
      </c>
      <c r="AE859" t="str">
        <f>IF(X859="","",VLOOKUP($X859,RM!$C$4:$G991,5,FALSE))</f>
        <v/>
      </c>
      <c r="AK859" t="e">
        <f ca="1">_xludf.IFNA(VLOOKUP(AG859,'S-FG'!$B$3:$B1001,1,FALSE),"")</f>
        <v>#NAME?</v>
      </c>
      <c r="AL859" t="str">
        <f>IF(AH859="","",SUMIFS(#REF!,RM!$C$4:$C991,AH859))</f>
        <v/>
      </c>
    </row>
    <row r="860" spans="5:38">
      <c r="E860" t="str">
        <f>IF(A860="","",SUMIFS(Issue!$D$3:$D1001,Issue!$C$3:$C1001,A860)*C860)</f>
        <v/>
      </c>
      <c r="F860" t="e">
        <f ca="1">_xludf.IFNA(VLOOKUP(B860,'S-FG'!$B$3:$B1001,1,FALSE),"")</f>
        <v>#NAME?</v>
      </c>
      <c r="L860" t="str">
        <f t="shared" si="10"/>
        <v/>
      </c>
      <c r="Q860" t="str">
        <f>IF(N860="","",SUMIFS(Issue!$D$3:$D1001,Issue!$C$3:$C1001,N860))</f>
        <v/>
      </c>
      <c r="Y860" t="str">
        <f t="shared" si="11"/>
        <v/>
      </c>
      <c r="Z860" t="str">
        <f>IF(X860="","",SUMIFS(#REF!,RM!$C$4:$C991,X860))</f>
        <v/>
      </c>
      <c r="AA860" t="str">
        <f>IF(X860="","",SUMIFS(#REF!,RM!$C$4:$C991,X860))</f>
        <v/>
      </c>
      <c r="AB860" t="e">
        <f t="shared" si="12"/>
        <v>#VALUE!</v>
      </c>
      <c r="AC860" t="str">
        <f>IF(X860="","",VLOOKUP($X860,RM!$C$4:$G991,3,FALSE))</f>
        <v/>
      </c>
      <c r="AD860" t="str">
        <f>IF(X860="","",VLOOKUP($X860,RM!$C$4:$G991,4,FALSE))</f>
        <v/>
      </c>
      <c r="AE860" t="str">
        <f>IF(X860="","",VLOOKUP($X860,RM!$C$4:$G991,5,FALSE))</f>
        <v/>
      </c>
      <c r="AK860" t="e">
        <f ca="1">_xludf.IFNA(VLOOKUP(AG860,'S-FG'!$B$3:$B1001,1,FALSE),"")</f>
        <v>#NAME?</v>
      </c>
      <c r="AL860" t="str">
        <f>IF(AH860="","",SUMIFS(#REF!,RM!$C$4:$C991,AH860))</f>
        <v/>
      </c>
    </row>
    <row r="861" spans="5:38">
      <c r="E861" t="str">
        <f>IF(A861="","",SUMIFS(Issue!$D$3:$D1001,Issue!$C$3:$C1001,A861)*C861)</f>
        <v/>
      </c>
      <c r="F861" t="e">
        <f ca="1">_xludf.IFNA(VLOOKUP(B861,'S-FG'!$B$3:$B1001,1,FALSE),"")</f>
        <v>#NAME?</v>
      </c>
      <c r="L861" t="str">
        <f t="shared" si="10"/>
        <v/>
      </c>
      <c r="Q861" t="str">
        <f>IF(N861="","",SUMIFS(Issue!$D$3:$D1001,Issue!$C$3:$C1001,N861))</f>
        <v/>
      </c>
      <c r="Y861" t="str">
        <f t="shared" si="11"/>
        <v/>
      </c>
      <c r="Z861" t="str">
        <f>IF(X861="","",SUMIFS(#REF!,RM!$C$4:$C991,X861))</f>
        <v/>
      </c>
      <c r="AA861" t="str">
        <f>IF(X861="","",SUMIFS(#REF!,RM!$C$4:$C991,X861))</f>
        <v/>
      </c>
      <c r="AB861" t="e">
        <f t="shared" si="12"/>
        <v>#VALUE!</v>
      </c>
      <c r="AC861" t="str">
        <f>IF(X861="","",VLOOKUP($X861,RM!$C$4:$G991,3,FALSE))</f>
        <v/>
      </c>
      <c r="AD861" t="str">
        <f>IF(X861="","",VLOOKUP($X861,RM!$C$4:$G991,4,FALSE))</f>
        <v/>
      </c>
      <c r="AE861" t="str">
        <f>IF(X861="","",VLOOKUP($X861,RM!$C$4:$G991,5,FALSE))</f>
        <v/>
      </c>
      <c r="AK861" t="e">
        <f ca="1">_xludf.IFNA(VLOOKUP(AG861,'S-FG'!$B$3:$B1001,1,FALSE),"")</f>
        <v>#NAME?</v>
      </c>
      <c r="AL861" t="str">
        <f>IF(AH861="","",SUMIFS(#REF!,RM!$C$4:$C991,AH861))</f>
        <v/>
      </c>
    </row>
    <row r="862" spans="5:38">
      <c r="E862" t="str">
        <f>IF(A862="","",SUMIFS(Issue!$D$3:$D1001,Issue!$C$3:$C1001,A862)*C862)</f>
        <v/>
      </c>
      <c r="F862" t="e">
        <f ca="1">_xludf.IFNA(VLOOKUP(B862,'S-FG'!$B$3:$B1001,1,FALSE),"")</f>
        <v>#NAME?</v>
      </c>
      <c r="L862" t="str">
        <f t="shared" si="10"/>
        <v/>
      </c>
      <c r="Q862" t="str">
        <f>IF(N862="","",SUMIFS(Issue!$D$3:$D1001,Issue!$C$3:$C1001,N862))</f>
        <v/>
      </c>
      <c r="Y862" t="str">
        <f t="shared" si="11"/>
        <v/>
      </c>
      <c r="Z862" t="str">
        <f>IF(X862="","",SUMIFS(#REF!,RM!$C$4:$C991,X862))</f>
        <v/>
      </c>
      <c r="AA862" t="str">
        <f>IF(X862="","",SUMIFS(#REF!,RM!$C$4:$C991,X862))</f>
        <v/>
      </c>
      <c r="AB862" t="e">
        <f t="shared" si="12"/>
        <v>#VALUE!</v>
      </c>
      <c r="AC862" t="str">
        <f>IF(X862="","",VLOOKUP($X862,RM!$C$4:$G991,3,FALSE))</f>
        <v/>
      </c>
      <c r="AD862" t="str">
        <f>IF(X862="","",VLOOKUP($X862,RM!$C$4:$G991,4,FALSE))</f>
        <v/>
      </c>
      <c r="AE862" t="str">
        <f>IF(X862="","",VLOOKUP($X862,RM!$C$4:$G991,5,FALSE))</f>
        <v/>
      </c>
      <c r="AK862" t="e">
        <f ca="1">_xludf.IFNA(VLOOKUP(AG862,'S-FG'!$B$3:$B1001,1,FALSE),"")</f>
        <v>#NAME?</v>
      </c>
      <c r="AL862" t="str">
        <f>IF(AH862="","",SUMIFS(#REF!,RM!$C$4:$C991,AH862))</f>
        <v/>
      </c>
    </row>
    <row r="863" spans="5:38">
      <c r="E863" t="str">
        <f>IF(A863="","",SUMIFS(Issue!$D$3:$D1001,Issue!$C$3:$C1001,A863)*C863)</f>
        <v/>
      </c>
      <c r="F863" t="e">
        <f ca="1">_xludf.IFNA(VLOOKUP(B863,'S-FG'!$B$3:$B1001,1,FALSE),"")</f>
        <v>#NAME?</v>
      </c>
      <c r="L863" t="str">
        <f t="shared" si="10"/>
        <v/>
      </c>
      <c r="Q863" t="str">
        <f>IF(N863="","",SUMIFS(Issue!$D$3:$D1001,Issue!$C$3:$C1001,N863))</f>
        <v/>
      </c>
      <c r="Y863" t="str">
        <f t="shared" si="11"/>
        <v/>
      </c>
      <c r="Z863" t="str">
        <f>IF(X863="","",SUMIFS(#REF!,RM!$C$4:$C991,X863))</f>
        <v/>
      </c>
      <c r="AA863" t="str">
        <f>IF(X863="","",SUMIFS(#REF!,RM!$C$4:$C991,X863))</f>
        <v/>
      </c>
      <c r="AB863" t="e">
        <f t="shared" si="12"/>
        <v>#VALUE!</v>
      </c>
      <c r="AC863" t="str">
        <f>IF(X863="","",VLOOKUP($X863,RM!$C$4:$G991,3,FALSE))</f>
        <v/>
      </c>
      <c r="AD863" t="str">
        <f>IF(X863="","",VLOOKUP($X863,RM!$C$4:$G991,4,FALSE))</f>
        <v/>
      </c>
      <c r="AE863" t="str">
        <f>IF(X863="","",VLOOKUP($X863,RM!$C$4:$G991,5,FALSE))</f>
        <v/>
      </c>
      <c r="AK863" t="e">
        <f ca="1">_xludf.IFNA(VLOOKUP(AG863,'S-FG'!$B$3:$B1001,1,FALSE),"")</f>
        <v>#NAME?</v>
      </c>
      <c r="AL863" t="str">
        <f>IF(AH863="","",SUMIFS(#REF!,RM!$C$4:$C991,AH863))</f>
        <v/>
      </c>
    </row>
    <row r="864" spans="5:38">
      <c r="E864" t="str">
        <f>IF(A864="","",SUMIFS(Issue!$D$3:$D1001,Issue!$C$3:$C1001,A864)*C864)</f>
        <v/>
      </c>
      <c r="F864" t="e">
        <f ca="1">_xludf.IFNA(VLOOKUP(B864,'S-FG'!$B$3:$B1001,1,FALSE),"")</f>
        <v>#NAME?</v>
      </c>
      <c r="L864" t="str">
        <f t="shared" si="10"/>
        <v/>
      </c>
      <c r="Q864" t="str">
        <f>IF(N864="","",SUMIFS(Issue!$D$3:$D1001,Issue!$C$3:$C1001,N864))</f>
        <v/>
      </c>
      <c r="Y864" t="str">
        <f t="shared" si="11"/>
        <v/>
      </c>
      <c r="Z864" t="str">
        <f>IF(X864="","",SUMIFS(#REF!,RM!$C$4:$C991,X864))</f>
        <v/>
      </c>
      <c r="AA864" t="str">
        <f>IF(X864="","",SUMIFS(#REF!,RM!$C$4:$C991,X864))</f>
        <v/>
      </c>
      <c r="AB864" t="e">
        <f t="shared" si="12"/>
        <v>#VALUE!</v>
      </c>
      <c r="AC864" t="str">
        <f>IF(X864="","",VLOOKUP($X864,RM!$C$4:$G991,3,FALSE))</f>
        <v/>
      </c>
      <c r="AD864" t="str">
        <f>IF(X864="","",VLOOKUP($X864,RM!$C$4:$G991,4,FALSE))</f>
        <v/>
      </c>
      <c r="AE864" t="str">
        <f>IF(X864="","",VLOOKUP($X864,RM!$C$4:$G991,5,FALSE))</f>
        <v/>
      </c>
      <c r="AK864" t="e">
        <f ca="1">_xludf.IFNA(VLOOKUP(AG864,'S-FG'!$B$3:$B1001,1,FALSE),"")</f>
        <v>#NAME?</v>
      </c>
      <c r="AL864" t="str">
        <f>IF(AH864="","",SUMIFS(#REF!,RM!$C$4:$C991,AH864))</f>
        <v/>
      </c>
    </row>
    <row r="865" spans="5:38">
      <c r="E865" t="str">
        <f>IF(A865="","",SUMIFS(Issue!$D$3:$D1001,Issue!$C$3:$C1001,A865)*C865)</f>
        <v/>
      </c>
      <c r="F865" t="e">
        <f ca="1">_xludf.IFNA(VLOOKUP(B865,'S-FG'!$B$3:$B1001,1,FALSE),"")</f>
        <v>#NAME?</v>
      </c>
      <c r="L865" t="str">
        <f t="shared" si="10"/>
        <v/>
      </c>
      <c r="Q865" t="str">
        <f>IF(N865="","",SUMIFS(Issue!$D$3:$D1001,Issue!$C$3:$C1001,N865))</f>
        <v/>
      </c>
      <c r="Y865" t="str">
        <f t="shared" si="11"/>
        <v/>
      </c>
      <c r="Z865" t="str">
        <f>IF(X865="","",SUMIFS(#REF!,RM!$C$4:$C991,X865))</f>
        <v/>
      </c>
      <c r="AA865" t="str">
        <f>IF(X865="","",SUMIFS(#REF!,RM!$C$4:$C991,X865))</f>
        <v/>
      </c>
      <c r="AB865" t="e">
        <f t="shared" si="12"/>
        <v>#VALUE!</v>
      </c>
      <c r="AC865" t="str">
        <f>IF(X865="","",VLOOKUP($X865,RM!$C$4:$G991,3,FALSE))</f>
        <v/>
      </c>
      <c r="AD865" t="str">
        <f>IF(X865="","",VLOOKUP($X865,RM!$C$4:$G991,4,FALSE))</f>
        <v/>
      </c>
      <c r="AE865" t="str">
        <f>IF(X865="","",VLOOKUP($X865,RM!$C$4:$G991,5,FALSE))</f>
        <v/>
      </c>
      <c r="AK865" t="e">
        <f ca="1">_xludf.IFNA(VLOOKUP(AG865,'S-FG'!$B$3:$B1001,1,FALSE),"")</f>
        <v>#NAME?</v>
      </c>
      <c r="AL865" t="str">
        <f>IF(AH865="","",SUMIFS(#REF!,RM!$C$4:$C991,AH865))</f>
        <v/>
      </c>
    </row>
    <row r="866" spans="5:38">
      <c r="E866" t="str">
        <f>IF(A866="","",SUMIFS(Issue!$D$3:$D1001,Issue!$C$3:$C1001,A866)*C866)</f>
        <v/>
      </c>
      <c r="F866" t="e">
        <f ca="1">_xludf.IFNA(VLOOKUP(B866,'S-FG'!$B$3:$B1001,1,FALSE),"")</f>
        <v>#NAME?</v>
      </c>
      <c r="L866" t="str">
        <f t="shared" si="10"/>
        <v/>
      </c>
      <c r="Q866" t="str">
        <f>IF(N866="","",SUMIFS(Issue!$D$3:$D1001,Issue!$C$3:$C1001,N866))</f>
        <v/>
      </c>
      <c r="Y866" t="str">
        <f t="shared" si="11"/>
        <v/>
      </c>
      <c r="Z866" t="str">
        <f>IF(X866="","",SUMIFS(#REF!,RM!$C$4:$C991,X866))</f>
        <v/>
      </c>
      <c r="AA866" t="str">
        <f>IF(X866="","",SUMIFS(#REF!,RM!$C$4:$C991,X866))</f>
        <v/>
      </c>
      <c r="AB866" t="e">
        <f t="shared" si="12"/>
        <v>#VALUE!</v>
      </c>
      <c r="AC866" t="str">
        <f>IF(X866="","",VLOOKUP($X866,RM!$C$4:$G991,3,FALSE))</f>
        <v/>
      </c>
      <c r="AD866" t="str">
        <f>IF(X866="","",VLOOKUP($X866,RM!$C$4:$G991,4,FALSE))</f>
        <v/>
      </c>
      <c r="AE866" t="str">
        <f>IF(X866="","",VLOOKUP($X866,RM!$C$4:$G991,5,FALSE))</f>
        <v/>
      </c>
      <c r="AK866" t="e">
        <f ca="1">_xludf.IFNA(VLOOKUP(AG866,'S-FG'!$B$3:$B1001,1,FALSE),"")</f>
        <v>#NAME?</v>
      </c>
      <c r="AL866" t="str">
        <f>IF(AH866="","",SUMIFS(#REF!,RM!$C$4:$C991,AH866))</f>
        <v/>
      </c>
    </row>
    <row r="867" spans="5:38">
      <c r="E867" t="str">
        <f>IF(A867="","",SUMIFS(Issue!$D$3:$D1001,Issue!$C$3:$C1001,A867)*C867)</f>
        <v/>
      </c>
      <c r="F867" t="e">
        <f ca="1">_xludf.IFNA(VLOOKUP(B867,'S-FG'!$B$3:$B1001,1,FALSE),"")</f>
        <v>#NAME?</v>
      </c>
      <c r="L867" t="str">
        <f t="shared" si="10"/>
        <v/>
      </c>
      <c r="Q867" t="str">
        <f>IF(N867="","",SUMIFS(Issue!$D$3:$D1001,Issue!$C$3:$C1001,N867))</f>
        <v/>
      </c>
      <c r="Y867" t="str">
        <f t="shared" si="11"/>
        <v/>
      </c>
      <c r="Z867" t="str">
        <f>IF(X867="","",SUMIFS(#REF!,RM!$C$4:$C991,X867))</f>
        <v/>
      </c>
      <c r="AA867" t="str">
        <f>IF(X867="","",SUMIFS(#REF!,RM!$C$4:$C991,X867))</f>
        <v/>
      </c>
      <c r="AB867" t="e">
        <f t="shared" si="12"/>
        <v>#VALUE!</v>
      </c>
      <c r="AC867" t="str">
        <f>IF(X867="","",VLOOKUP($X867,RM!$C$4:$G991,3,FALSE))</f>
        <v/>
      </c>
      <c r="AD867" t="str">
        <f>IF(X867="","",VLOOKUP($X867,RM!$C$4:$G991,4,FALSE))</f>
        <v/>
      </c>
      <c r="AE867" t="str">
        <f>IF(X867="","",VLOOKUP($X867,RM!$C$4:$G991,5,FALSE))</f>
        <v/>
      </c>
      <c r="AK867" t="e">
        <f ca="1">_xludf.IFNA(VLOOKUP(AG867,'S-FG'!$B$3:$B1001,1,FALSE),"")</f>
        <v>#NAME?</v>
      </c>
      <c r="AL867" t="str">
        <f>IF(AH867="","",SUMIFS(#REF!,RM!$C$4:$C991,AH867))</f>
        <v/>
      </c>
    </row>
    <row r="868" spans="5:38">
      <c r="E868" t="str">
        <f>IF(A868="","",SUMIFS(Issue!$D$3:$D1001,Issue!$C$3:$C1001,A868)*C868)</f>
        <v/>
      </c>
      <c r="F868" t="e">
        <f ca="1">_xludf.IFNA(VLOOKUP(B868,'S-FG'!$B$3:$B1001,1,FALSE),"")</f>
        <v>#NAME?</v>
      </c>
      <c r="L868" t="str">
        <f t="shared" si="10"/>
        <v/>
      </c>
      <c r="Q868" t="str">
        <f>IF(N868="","",SUMIFS(Issue!$D$3:$D1001,Issue!$C$3:$C1001,N868))</f>
        <v/>
      </c>
      <c r="Y868" t="str">
        <f t="shared" si="11"/>
        <v/>
      </c>
      <c r="Z868" t="str">
        <f>IF(X868="","",SUMIFS(#REF!,RM!$C$4:$C991,X868))</f>
        <v/>
      </c>
      <c r="AA868" t="str">
        <f>IF(X868="","",SUMIFS(#REF!,RM!$C$4:$C991,X868))</f>
        <v/>
      </c>
      <c r="AB868" t="e">
        <f t="shared" si="12"/>
        <v>#VALUE!</v>
      </c>
      <c r="AC868" t="str">
        <f>IF(X868="","",VLOOKUP($X868,RM!$C$4:$G991,3,FALSE))</f>
        <v/>
      </c>
      <c r="AD868" t="str">
        <f>IF(X868="","",VLOOKUP($X868,RM!$C$4:$G991,4,FALSE))</f>
        <v/>
      </c>
      <c r="AE868" t="str">
        <f>IF(X868="","",VLOOKUP($X868,RM!$C$4:$G991,5,FALSE))</f>
        <v/>
      </c>
      <c r="AK868" t="e">
        <f ca="1">_xludf.IFNA(VLOOKUP(AG868,'S-FG'!$B$3:$B1001,1,FALSE),"")</f>
        <v>#NAME?</v>
      </c>
      <c r="AL868" t="str">
        <f>IF(AH868="","",SUMIFS(#REF!,RM!$C$4:$C991,AH868))</f>
        <v/>
      </c>
    </row>
    <row r="869" spans="5:38">
      <c r="E869" t="str">
        <f>IF(A869="","",SUMIFS(Issue!$D$3:$D1001,Issue!$C$3:$C1001,A869)*C869)</f>
        <v/>
      </c>
      <c r="F869" t="e">
        <f ca="1">_xludf.IFNA(VLOOKUP(B869,'S-FG'!$B$3:$B1001,1,FALSE),"")</f>
        <v>#NAME?</v>
      </c>
      <c r="L869" t="str">
        <f t="shared" si="10"/>
        <v/>
      </c>
      <c r="Q869" t="str">
        <f>IF(N869="","",SUMIFS(Issue!$D$3:$D1001,Issue!$C$3:$C1001,N869))</f>
        <v/>
      </c>
      <c r="Y869" t="str">
        <f t="shared" si="11"/>
        <v/>
      </c>
      <c r="Z869" t="str">
        <f>IF(X869="","",SUMIFS(#REF!,RM!$C$4:$C991,X869))</f>
        <v/>
      </c>
      <c r="AA869" t="str">
        <f>IF(X869="","",SUMIFS(#REF!,RM!$C$4:$C991,X869))</f>
        <v/>
      </c>
      <c r="AB869" t="e">
        <f t="shared" si="12"/>
        <v>#VALUE!</v>
      </c>
      <c r="AC869" t="str">
        <f>IF(X869="","",VLOOKUP($X869,RM!$C$4:$G991,3,FALSE))</f>
        <v/>
      </c>
      <c r="AD869" t="str">
        <f>IF(X869="","",VLOOKUP($X869,RM!$C$4:$G991,4,FALSE))</f>
        <v/>
      </c>
      <c r="AE869" t="str">
        <f>IF(X869="","",VLOOKUP($X869,RM!$C$4:$G991,5,FALSE))</f>
        <v/>
      </c>
      <c r="AK869" t="e">
        <f ca="1">_xludf.IFNA(VLOOKUP(AG869,'S-FG'!$B$3:$B1001,1,FALSE),"")</f>
        <v>#NAME?</v>
      </c>
      <c r="AL869" t="str">
        <f>IF(AH869="","",SUMIFS(#REF!,RM!$C$4:$C991,AH869))</f>
        <v/>
      </c>
    </row>
    <row r="870" spans="5:38">
      <c r="E870" t="str">
        <f>IF(A870="","",SUMIFS(Issue!$D$3:$D1001,Issue!$C$3:$C1001,A870)*C870)</f>
        <v/>
      </c>
      <c r="F870" t="e">
        <f ca="1">_xludf.IFNA(VLOOKUP(B870,'S-FG'!$B$3:$B1001,1,FALSE),"")</f>
        <v>#NAME?</v>
      </c>
      <c r="L870" t="str">
        <f t="shared" si="10"/>
        <v/>
      </c>
      <c r="Q870" t="str">
        <f>IF(N870="","",SUMIFS(Issue!$D$3:$D1001,Issue!$C$3:$C1001,N870))</f>
        <v/>
      </c>
      <c r="Y870" t="str">
        <f t="shared" si="11"/>
        <v/>
      </c>
      <c r="Z870" t="str">
        <f>IF(X870="","",SUMIFS(#REF!,RM!$C$4:$C991,X870))</f>
        <v/>
      </c>
      <c r="AA870" t="str">
        <f>IF(X870="","",SUMIFS(#REF!,RM!$C$4:$C991,X870))</f>
        <v/>
      </c>
      <c r="AB870" t="e">
        <f t="shared" si="12"/>
        <v>#VALUE!</v>
      </c>
      <c r="AC870" t="str">
        <f>IF(X870="","",VLOOKUP($X870,RM!$C$4:$G991,3,FALSE))</f>
        <v/>
      </c>
      <c r="AD870" t="str">
        <f>IF(X870="","",VLOOKUP($X870,RM!$C$4:$G991,4,FALSE))</f>
        <v/>
      </c>
      <c r="AE870" t="str">
        <f>IF(X870="","",VLOOKUP($X870,RM!$C$4:$G991,5,FALSE))</f>
        <v/>
      </c>
      <c r="AK870" t="e">
        <f ca="1">_xludf.IFNA(VLOOKUP(AG870,'S-FG'!$B$3:$B1001,1,FALSE),"")</f>
        <v>#NAME?</v>
      </c>
      <c r="AL870" t="str">
        <f>IF(AH870="","",SUMIFS(#REF!,RM!$C$4:$C991,AH870))</f>
        <v/>
      </c>
    </row>
    <row r="871" spans="5:38">
      <c r="E871" t="str">
        <f>IF(A871="","",SUMIFS(Issue!$D$3:$D1001,Issue!$C$3:$C1001,A871)*C871)</f>
        <v/>
      </c>
      <c r="F871" t="e">
        <f ca="1">_xludf.IFNA(VLOOKUP(B871,'S-FG'!$B$3:$B1001,1,FALSE),"")</f>
        <v>#NAME?</v>
      </c>
      <c r="L871" t="str">
        <f t="shared" si="10"/>
        <v/>
      </c>
      <c r="Q871" t="str">
        <f>IF(N871="","",SUMIFS(Issue!$D$3:$D1001,Issue!$C$3:$C1001,N871))</f>
        <v/>
      </c>
      <c r="Y871" t="str">
        <f t="shared" si="11"/>
        <v/>
      </c>
      <c r="Z871" t="str">
        <f>IF(X871="","",SUMIFS(#REF!,RM!$C$4:$C991,X871))</f>
        <v/>
      </c>
      <c r="AA871" t="str">
        <f>IF(X871="","",SUMIFS(#REF!,RM!$C$4:$C991,X871))</f>
        <v/>
      </c>
      <c r="AB871" t="e">
        <f t="shared" si="12"/>
        <v>#VALUE!</v>
      </c>
      <c r="AC871" t="str">
        <f>IF(X871="","",VLOOKUP($X871,RM!$C$4:$G991,3,FALSE))</f>
        <v/>
      </c>
      <c r="AD871" t="str">
        <f>IF(X871="","",VLOOKUP($X871,RM!$C$4:$G991,4,FALSE))</f>
        <v/>
      </c>
      <c r="AE871" t="str">
        <f>IF(X871="","",VLOOKUP($X871,RM!$C$4:$G991,5,FALSE))</f>
        <v/>
      </c>
      <c r="AK871" t="e">
        <f ca="1">_xludf.IFNA(VLOOKUP(AG871,'S-FG'!$B$3:$B1001,1,FALSE),"")</f>
        <v>#NAME?</v>
      </c>
      <c r="AL871" t="str">
        <f>IF(AH871="","",SUMIFS(#REF!,RM!$C$4:$C991,AH871))</f>
        <v/>
      </c>
    </row>
    <row r="872" spans="5:38">
      <c r="E872" t="str">
        <f>IF(A872="","",SUMIFS(Issue!$D$3:$D1001,Issue!$C$3:$C1001,A872)*C872)</f>
        <v/>
      </c>
      <c r="F872" t="e">
        <f ca="1">_xludf.IFNA(VLOOKUP(B872,'S-FG'!$B$3:$B1001,1,FALSE),"")</f>
        <v>#NAME?</v>
      </c>
      <c r="L872" t="str">
        <f t="shared" si="10"/>
        <v/>
      </c>
      <c r="Q872" t="str">
        <f>IF(N872="","",SUMIFS(Issue!$D$3:$D1001,Issue!$C$3:$C1001,N872))</f>
        <v/>
      </c>
      <c r="Y872" t="str">
        <f t="shared" si="11"/>
        <v/>
      </c>
      <c r="Z872" t="str">
        <f>IF(X872="","",SUMIFS(#REF!,RM!$C$4:$C991,X872))</f>
        <v/>
      </c>
      <c r="AA872" t="str">
        <f>IF(X872="","",SUMIFS(#REF!,RM!$C$4:$C991,X872))</f>
        <v/>
      </c>
      <c r="AB872" t="e">
        <f t="shared" si="12"/>
        <v>#VALUE!</v>
      </c>
      <c r="AC872" t="str">
        <f>IF(X872="","",VLOOKUP($X872,RM!$C$4:$G991,3,FALSE))</f>
        <v/>
      </c>
      <c r="AD872" t="str">
        <f>IF(X872="","",VLOOKUP($X872,RM!$C$4:$G991,4,FALSE))</f>
        <v/>
      </c>
      <c r="AE872" t="str">
        <f>IF(X872="","",VLOOKUP($X872,RM!$C$4:$G991,5,FALSE))</f>
        <v/>
      </c>
      <c r="AK872" t="e">
        <f ca="1">_xludf.IFNA(VLOOKUP(AG872,'S-FG'!$B$3:$B1001,1,FALSE),"")</f>
        <v>#NAME?</v>
      </c>
      <c r="AL872" t="str">
        <f>IF(AH872="","",SUMIFS(#REF!,RM!$C$4:$C991,AH872))</f>
        <v/>
      </c>
    </row>
    <row r="873" spans="5:38">
      <c r="E873" t="str">
        <f>IF(A873="","",SUMIFS(Issue!$D$3:$D1001,Issue!$C$3:$C1001,A873)*C873)</f>
        <v/>
      </c>
      <c r="F873" t="e">
        <f ca="1">_xludf.IFNA(VLOOKUP(B873,'S-FG'!$B$3:$B1001,1,FALSE),"")</f>
        <v>#NAME?</v>
      </c>
      <c r="L873" t="str">
        <f t="shared" si="10"/>
        <v/>
      </c>
      <c r="Q873" t="str">
        <f>IF(N873="","",SUMIFS(Issue!$D$3:$D1001,Issue!$C$3:$C1001,N873))</f>
        <v/>
      </c>
      <c r="Y873" t="str">
        <f t="shared" si="11"/>
        <v/>
      </c>
      <c r="Z873" t="str">
        <f>IF(X873="","",SUMIFS(#REF!,RM!$C$4:$C991,X873))</f>
        <v/>
      </c>
      <c r="AA873" t="str">
        <f>IF(X873="","",SUMIFS(#REF!,RM!$C$4:$C991,X873))</f>
        <v/>
      </c>
      <c r="AB873" t="e">
        <f t="shared" si="12"/>
        <v>#VALUE!</v>
      </c>
      <c r="AC873" t="str">
        <f>IF(X873="","",VLOOKUP($X873,RM!$C$4:$G991,3,FALSE))</f>
        <v/>
      </c>
      <c r="AD873" t="str">
        <f>IF(X873="","",VLOOKUP($X873,RM!$C$4:$G991,4,FALSE))</f>
        <v/>
      </c>
      <c r="AE873" t="str">
        <f>IF(X873="","",VLOOKUP($X873,RM!$C$4:$G991,5,FALSE))</f>
        <v/>
      </c>
      <c r="AK873" t="e">
        <f ca="1">_xludf.IFNA(VLOOKUP(AG873,'S-FG'!$B$3:$B1001,1,FALSE),"")</f>
        <v>#NAME?</v>
      </c>
      <c r="AL873" t="str">
        <f>IF(AH873="","",SUMIFS(#REF!,RM!$C$4:$C991,AH873))</f>
        <v/>
      </c>
    </row>
    <row r="874" spans="5:38">
      <c r="E874" t="str">
        <f>IF(A874="","",SUMIFS(Issue!$D$3:$D1001,Issue!$C$3:$C1001,A874)*C874)</f>
        <v/>
      </c>
      <c r="F874" t="e">
        <f ca="1">_xludf.IFNA(VLOOKUP(B874,'S-FG'!$B$3:$B1001,1,FALSE),"")</f>
        <v>#NAME?</v>
      </c>
      <c r="L874" t="str">
        <f t="shared" si="10"/>
        <v/>
      </c>
      <c r="Q874" t="str">
        <f>IF(N874="","",SUMIFS(Issue!$D$3:$D1001,Issue!$C$3:$C1001,N874))</f>
        <v/>
      </c>
      <c r="Y874" t="str">
        <f t="shared" si="11"/>
        <v/>
      </c>
      <c r="Z874" t="str">
        <f>IF(X874="","",SUMIFS(#REF!,RM!$C$4:$C991,X874))</f>
        <v/>
      </c>
      <c r="AA874" t="str">
        <f>IF(X874="","",SUMIFS(#REF!,RM!$C$4:$C991,X874))</f>
        <v/>
      </c>
      <c r="AB874" t="e">
        <f t="shared" si="12"/>
        <v>#VALUE!</v>
      </c>
      <c r="AC874" t="str">
        <f>IF(X874="","",VLOOKUP($X874,RM!$C$4:$G991,3,FALSE))</f>
        <v/>
      </c>
      <c r="AD874" t="str">
        <f>IF(X874="","",VLOOKUP($X874,RM!$C$4:$G991,4,FALSE))</f>
        <v/>
      </c>
      <c r="AE874" t="str">
        <f>IF(X874="","",VLOOKUP($X874,RM!$C$4:$G991,5,FALSE))</f>
        <v/>
      </c>
      <c r="AK874" t="e">
        <f ca="1">_xludf.IFNA(VLOOKUP(AG874,'S-FG'!$B$3:$B1001,1,FALSE),"")</f>
        <v>#NAME?</v>
      </c>
      <c r="AL874" t="str">
        <f>IF(AH874="","",SUMIFS(#REF!,RM!$C$4:$C991,AH874))</f>
        <v/>
      </c>
    </row>
    <row r="875" spans="5:38">
      <c r="E875" t="str">
        <f>IF(A875="","",SUMIFS(Issue!$D$3:$D1001,Issue!$C$3:$C1001,A875)*C875)</f>
        <v/>
      </c>
      <c r="F875" t="e">
        <f ca="1">_xludf.IFNA(VLOOKUP(B875,'S-FG'!$B$3:$B1001,1,FALSE),"")</f>
        <v>#NAME?</v>
      </c>
      <c r="L875" t="str">
        <f t="shared" si="10"/>
        <v/>
      </c>
      <c r="Q875" t="str">
        <f>IF(N875="","",SUMIFS(Issue!$D$3:$D1001,Issue!$C$3:$C1001,N875))</f>
        <v/>
      </c>
      <c r="Y875" t="str">
        <f t="shared" si="11"/>
        <v/>
      </c>
      <c r="Z875" t="str">
        <f>IF(X875="","",SUMIFS(#REF!,RM!$C$4:$C991,X875))</f>
        <v/>
      </c>
      <c r="AA875" t="str">
        <f>IF(X875="","",SUMIFS(#REF!,RM!$C$4:$C991,X875))</f>
        <v/>
      </c>
      <c r="AB875" t="e">
        <f t="shared" si="12"/>
        <v>#VALUE!</v>
      </c>
      <c r="AC875" t="str">
        <f>IF(X875="","",VLOOKUP($X875,RM!$C$4:$G991,3,FALSE))</f>
        <v/>
      </c>
      <c r="AD875" t="str">
        <f>IF(X875="","",VLOOKUP($X875,RM!$C$4:$G991,4,FALSE))</f>
        <v/>
      </c>
      <c r="AE875" t="str">
        <f>IF(X875="","",VLOOKUP($X875,RM!$C$4:$G991,5,FALSE))</f>
        <v/>
      </c>
      <c r="AK875" t="e">
        <f ca="1">_xludf.IFNA(VLOOKUP(AG875,'S-FG'!$B$3:$B1001,1,FALSE),"")</f>
        <v>#NAME?</v>
      </c>
      <c r="AL875" t="str">
        <f>IF(AH875="","",SUMIFS(#REF!,RM!$C$4:$C991,AH875))</f>
        <v/>
      </c>
    </row>
    <row r="876" spans="5:38">
      <c r="E876" t="str">
        <f>IF(A876="","",SUMIFS(Issue!$D$3:$D1001,Issue!$C$3:$C1001,A876)*C876)</f>
        <v/>
      </c>
      <c r="F876" t="e">
        <f ca="1">_xludf.IFNA(VLOOKUP(B876,'S-FG'!$B$3:$B1001,1,FALSE),"")</f>
        <v>#NAME?</v>
      </c>
      <c r="L876" t="str">
        <f t="shared" si="10"/>
        <v/>
      </c>
      <c r="Q876" t="str">
        <f>IF(N876="","",SUMIFS(Issue!$D$3:$D1001,Issue!$C$3:$C1001,N876))</f>
        <v/>
      </c>
      <c r="Y876" t="str">
        <f t="shared" si="11"/>
        <v/>
      </c>
      <c r="Z876" t="str">
        <f>IF(X876="","",SUMIFS(#REF!,RM!$C$4:$C991,X876))</f>
        <v/>
      </c>
      <c r="AA876" t="str">
        <f>IF(X876="","",SUMIFS(#REF!,RM!$C$4:$C991,X876))</f>
        <v/>
      </c>
      <c r="AB876" t="e">
        <f t="shared" si="12"/>
        <v>#VALUE!</v>
      </c>
      <c r="AC876" t="str">
        <f>IF(X876="","",VLOOKUP($X876,RM!$C$4:$G991,3,FALSE))</f>
        <v/>
      </c>
      <c r="AD876" t="str">
        <f>IF(X876="","",VLOOKUP($X876,RM!$C$4:$G991,4,FALSE))</f>
        <v/>
      </c>
      <c r="AE876" t="str">
        <f>IF(X876="","",VLOOKUP($X876,RM!$C$4:$G991,5,FALSE))</f>
        <v/>
      </c>
      <c r="AK876" t="e">
        <f ca="1">_xludf.IFNA(VLOOKUP(AG876,'S-FG'!$B$3:$B1001,1,FALSE),"")</f>
        <v>#NAME?</v>
      </c>
      <c r="AL876" t="str">
        <f>IF(AH876="","",SUMIFS(#REF!,RM!$C$4:$C991,AH876))</f>
        <v/>
      </c>
    </row>
    <row r="877" spans="5:38">
      <c r="E877" t="str">
        <f>IF(A877="","",SUMIFS(Issue!$D$3:$D1001,Issue!$C$3:$C1001,A877)*C877)</f>
        <v/>
      </c>
      <c r="F877" t="e">
        <f ca="1">_xludf.IFNA(VLOOKUP(B877,'S-FG'!$B$3:$B1001,1,FALSE),"")</f>
        <v>#NAME?</v>
      </c>
      <c r="L877" t="str">
        <f t="shared" si="10"/>
        <v/>
      </c>
      <c r="Q877" t="str">
        <f>IF(N877="","",SUMIFS(Issue!$D$3:$D1001,Issue!$C$3:$C1001,N877))</f>
        <v/>
      </c>
      <c r="Y877" t="str">
        <f t="shared" si="11"/>
        <v/>
      </c>
      <c r="Z877" t="str">
        <f>IF(X877="","",SUMIFS(#REF!,RM!$C$4:$C991,X877))</f>
        <v/>
      </c>
      <c r="AA877" t="str">
        <f>IF(X877="","",SUMIFS(#REF!,RM!$C$4:$C991,X877))</f>
        <v/>
      </c>
      <c r="AB877" t="e">
        <f t="shared" si="12"/>
        <v>#VALUE!</v>
      </c>
      <c r="AC877" t="str">
        <f>IF(X877="","",VLOOKUP($X877,RM!$C$4:$G991,3,FALSE))</f>
        <v/>
      </c>
      <c r="AD877" t="str">
        <f>IF(X877="","",VLOOKUP($X877,RM!$C$4:$G991,4,FALSE))</f>
        <v/>
      </c>
      <c r="AE877" t="str">
        <f>IF(X877="","",VLOOKUP($X877,RM!$C$4:$G991,5,FALSE))</f>
        <v/>
      </c>
      <c r="AK877" t="e">
        <f ca="1">_xludf.IFNA(VLOOKUP(AG877,'S-FG'!$B$3:$B1001,1,FALSE),"")</f>
        <v>#NAME?</v>
      </c>
      <c r="AL877" t="str">
        <f>IF(AH877="","",SUMIFS(#REF!,RM!$C$4:$C991,AH877))</f>
        <v/>
      </c>
    </row>
    <row r="878" spans="5:38">
      <c r="E878" t="str">
        <f>IF(A878="","",SUMIFS(Issue!$D$3:$D1001,Issue!$C$3:$C1001,A878)*C878)</f>
        <v/>
      </c>
      <c r="F878" t="e">
        <f ca="1">_xludf.IFNA(VLOOKUP(B878,'S-FG'!$B$3:$B1001,1,FALSE),"")</f>
        <v>#NAME?</v>
      </c>
      <c r="L878" t="str">
        <f t="shared" si="10"/>
        <v/>
      </c>
      <c r="Q878" t="str">
        <f>IF(N878="","",SUMIFS(Issue!$D$3:$D1001,Issue!$C$3:$C1001,N878))</f>
        <v/>
      </c>
      <c r="Y878" t="str">
        <f t="shared" si="11"/>
        <v/>
      </c>
      <c r="Z878" t="str">
        <f>IF(X878="","",SUMIFS(#REF!,RM!$C$4:$C991,X878))</f>
        <v/>
      </c>
      <c r="AA878" t="str">
        <f>IF(X878="","",SUMIFS(#REF!,RM!$C$4:$C991,X878))</f>
        <v/>
      </c>
      <c r="AB878" t="e">
        <f t="shared" si="12"/>
        <v>#VALUE!</v>
      </c>
      <c r="AC878" t="str">
        <f>IF(X878="","",VLOOKUP($X878,RM!$C$4:$G991,3,FALSE))</f>
        <v/>
      </c>
      <c r="AD878" t="str">
        <f>IF(X878="","",VLOOKUP($X878,RM!$C$4:$G991,4,FALSE))</f>
        <v/>
      </c>
      <c r="AE878" t="str">
        <f>IF(X878="","",VLOOKUP($X878,RM!$C$4:$G991,5,FALSE))</f>
        <v/>
      </c>
      <c r="AK878" t="e">
        <f ca="1">_xludf.IFNA(VLOOKUP(AG878,'S-FG'!$B$3:$B1001,1,FALSE),"")</f>
        <v>#NAME?</v>
      </c>
      <c r="AL878" t="str">
        <f>IF(AH878="","",SUMIFS(#REF!,RM!$C$4:$C991,AH878))</f>
        <v/>
      </c>
    </row>
    <row r="879" spans="5:38">
      <c r="E879" t="str">
        <f>IF(A879="","",SUMIFS(Issue!$D$3:$D1001,Issue!$C$3:$C1001,A879)*C879)</f>
        <v/>
      </c>
      <c r="F879" t="e">
        <f ca="1">_xludf.IFNA(VLOOKUP(B879,'S-FG'!$B$3:$B1001,1,FALSE),"")</f>
        <v>#NAME?</v>
      </c>
      <c r="L879" t="str">
        <f t="shared" si="10"/>
        <v/>
      </c>
      <c r="Q879" t="str">
        <f>IF(N879="","",SUMIFS(Issue!$D$3:$D1001,Issue!$C$3:$C1001,N879))</f>
        <v/>
      </c>
      <c r="Y879" t="str">
        <f t="shared" si="11"/>
        <v/>
      </c>
      <c r="Z879" t="str">
        <f>IF(X879="","",SUMIFS(#REF!,RM!$C$4:$C991,X879))</f>
        <v/>
      </c>
      <c r="AA879" t="str">
        <f>IF(X879="","",SUMIFS(#REF!,RM!$C$4:$C991,X879))</f>
        <v/>
      </c>
      <c r="AB879" t="e">
        <f t="shared" si="12"/>
        <v>#VALUE!</v>
      </c>
      <c r="AC879" t="str">
        <f>IF(X879="","",VLOOKUP($X879,RM!$C$4:$G991,3,FALSE))</f>
        <v/>
      </c>
      <c r="AD879" t="str">
        <f>IF(X879="","",VLOOKUP($X879,RM!$C$4:$G991,4,FALSE))</f>
        <v/>
      </c>
      <c r="AE879" t="str">
        <f>IF(X879="","",VLOOKUP($X879,RM!$C$4:$G991,5,FALSE))</f>
        <v/>
      </c>
      <c r="AK879" t="e">
        <f ca="1">_xludf.IFNA(VLOOKUP(AG879,'S-FG'!$B$3:$B1001,1,FALSE),"")</f>
        <v>#NAME?</v>
      </c>
      <c r="AL879" t="str">
        <f>IF(AH879="","",SUMIFS(#REF!,RM!$C$4:$C991,AH879))</f>
        <v/>
      </c>
    </row>
    <row r="880" spans="5:38">
      <c r="E880" t="str">
        <f>IF(A880="","",SUMIFS(Issue!$D$3:$D1001,Issue!$C$3:$C1001,A880)*C880)</f>
        <v/>
      </c>
      <c r="F880" t="e">
        <f ca="1">_xludf.IFNA(VLOOKUP(B880,'S-FG'!$B$3:$B1001,1,FALSE),"")</f>
        <v>#NAME?</v>
      </c>
      <c r="L880" t="str">
        <f t="shared" si="10"/>
        <v/>
      </c>
      <c r="Q880" t="str">
        <f>IF(N880="","",SUMIFS(Issue!$D$3:$D1001,Issue!$C$3:$C1001,N880))</f>
        <v/>
      </c>
      <c r="Y880" t="str">
        <f t="shared" si="11"/>
        <v/>
      </c>
      <c r="Z880" t="str">
        <f>IF(X880="","",SUMIFS(#REF!,RM!$C$4:$C991,X880))</f>
        <v/>
      </c>
      <c r="AA880" t="str">
        <f>IF(X880="","",SUMIFS(#REF!,RM!$C$4:$C991,X880))</f>
        <v/>
      </c>
      <c r="AB880" t="e">
        <f t="shared" si="12"/>
        <v>#VALUE!</v>
      </c>
      <c r="AC880" t="str">
        <f>IF(X880="","",VLOOKUP($X880,RM!$C$4:$G991,3,FALSE))</f>
        <v/>
      </c>
      <c r="AD880" t="str">
        <f>IF(X880="","",VLOOKUP($X880,RM!$C$4:$G991,4,FALSE))</f>
        <v/>
      </c>
      <c r="AE880" t="str">
        <f>IF(X880="","",VLOOKUP($X880,RM!$C$4:$G991,5,FALSE))</f>
        <v/>
      </c>
      <c r="AK880" t="e">
        <f ca="1">_xludf.IFNA(VLOOKUP(AG880,'S-FG'!$B$3:$B1001,1,FALSE),"")</f>
        <v>#NAME?</v>
      </c>
      <c r="AL880" t="str">
        <f>IF(AH880="","",SUMIFS(#REF!,RM!$C$4:$C991,AH880))</f>
        <v/>
      </c>
    </row>
    <row r="881" spans="5:38">
      <c r="E881" t="str">
        <f>IF(A881="","",SUMIFS(Issue!$D$3:$D1001,Issue!$C$3:$C1001,A881)*C881)</f>
        <v/>
      </c>
      <c r="F881" t="e">
        <f ca="1">_xludf.IFNA(VLOOKUP(B881,'S-FG'!$B$3:$B1001,1,FALSE),"")</f>
        <v>#NAME?</v>
      </c>
      <c r="L881" t="str">
        <f t="shared" si="10"/>
        <v/>
      </c>
      <c r="Q881" t="str">
        <f>IF(N881="","",SUMIFS(Issue!$D$3:$D1001,Issue!$C$3:$C1001,N881))</f>
        <v/>
      </c>
      <c r="Y881" t="str">
        <f t="shared" si="11"/>
        <v/>
      </c>
      <c r="Z881" t="str">
        <f>IF(X881="","",SUMIFS(#REF!,RM!$C$4:$C991,X881))</f>
        <v/>
      </c>
      <c r="AA881" t="str">
        <f>IF(X881="","",SUMIFS(#REF!,RM!$C$4:$C991,X881))</f>
        <v/>
      </c>
      <c r="AB881" t="e">
        <f t="shared" si="12"/>
        <v>#VALUE!</v>
      </c>
      <c r="AC881" t="str">
        <f>IF(X881="","",VLOOKUP($X881,RM!$C$4:$G991,3,FALSE))</f>
        <v/>
      </c>
      <c r="AD881" t="str">
        <f>IF(X881="","",VLOOKUP($X881,RM!$C$4:$G991,4,FALSE))</f>
        <v/>
      </c>
      <c r="AE881" t="str">
        <f>IF(X881="","",VLOOKUP($X881,RM!$C$4:$G991,5,FALSE))</f>
        <v/>
      </c>
      <c r="AK881" t="e">
        <f ca="1">_xludf.IFNA(VLOOKUP(AG881,'S-FG'!$B$3:$B1001,1,FALSE),"")</f>
        <v>#NAME?</v>
      </c>
      <c r="AL881" t="str">
        <f>IF(AH881="","",SUMIFS(#REF!,RM!$C$4:$C991,AH881))</f>
        <v/>
      </c>
    </row>
    <row r="882" spans="5:38">
      <c r="E882" t="str">
        <f>IF(A882="","",SUMIFS(Issue!$D$3:$D1001,Issue!$C$3:$C1001,A882)*C882)</f>
        <v/>
      </c>
      <c r="F882" t="e">
        <f ca="1">_xludf.IFNA(VLOOKUP(B882,'S-FG'!$B$3:$B1001,1,FALSE),"")</f>
        <v>#NAME?</v>
      </c>
      <c r="L882" t="str">
        <f t="shared" si="10"/>
        <v/>
      </c>
      <c r="Q882" t="str">
        <f>IF(N882="","",SUMIFS(Issue!$D$3:$D1001,Issue!$C$3:$C1001,N882))</f>
        <v/>
      </c>
      <c r="Y882" t="str">
        <f t="shared" si="11"/>
        <v/>
      </c>
      <c r="Z882" t="str">
        <f>IF(X882="","",SUMIFS(#REF!,RM!$C$4:$C991,X882))</f>
        <v/>
      </c>
      <c r="AA882" t="str">
        <f>IF(X882="","",SUMIFS(#REF!,RM!$C$4:$C991,X882))</f>
        <v/>
      </c>
      <c r="AB882" t="e">
        <f t="shared" si="12"/>
        <v>#VALUE!</v>
      </c>
      <c r="AC882" t="str">
        <f>IF(X882="","",VLOOKUP($X882,RM!$C$4:$G991,3,FALSE))</f>
        <v/>
      </c>
      <c r="AD882" t="str">
        <f>IF(X882="","",VLOOKUP($X882,RM!$C$4:$G991,4,FALSE))</f>
        <v/>
      </c>
      <c r="AE882" t="str">
        <f>IF(X882="","",VLOOKUP($X882,RM!$C$4:$G991,5,FALSE))</f>
        <v/>
      </c>
      <c r="AK882" t="e">
        <f ca="1">_xludf.IFNA(VLOOKUP(AG882,'S-FG'!$B$3:$B1001,1,FALSE),"")</f>
        <v>#NAME?</v>
      </c>
      <c r="AL882" t="str">
        <f>IF(AH882="","",SUMIFS(#REF!,RM!$C$4:$C991,AH882))</f>
        <v/>
      </c>
    </row>
    <row r="883" spans="5:38">
      <c r="E883" t="str">
        <f>IF(A883="","",SUMIFS(Issue!$D$3:$D1001,Issue!$C$3:$C1001,A883)*C883)</f>
        <v/>
      </c>
      <c r="F883" t="e">
        <f ca="1">_xludf.IFNA(VLOOKUP(B883,'S-FG'!$B$3:$B1001,1,FALSE),"")</f>
        <v>#NAME?</v>
      </c>
      <c r="L883" t="str">
        <f t="shared" si="10"/>
        <v/>
      </c>
      <c r="Q883" t="str">
        <f>IF(N883="","",SUMIFS(Issue!$D$3:$D1001,Issue!$C$3:$C1001,N883))</f>
        <v/>
      </c>
      <c r="Y883" t="str">
        <f t="shared" si="11"/>
        <v/>
      </c>
      <c r="Z883" t="str">
        <f>IF(X883="","",SUMIFS(#REF!,RM!$C$4:$C991,X883))</f>
        <v/>
      </c>
      <c r="AA883" t="str">
        <f>IF(X883="","",SUMIFS(#REF!,RM!$C$4:$C991,X883))</f>
        <v/>
      </c>
      <c r="AB883" t="e">
        <f t="shared" si="12"/>
        <v>#VALUE!</v>
      </c>
      <c r="AC883" t="str">
        <f>IF(X883="","",VLOOKUP($X883,RM!$C$4:$G991,3,FALSE))</f>
        <v/>
      </c>
      <c r="AD883" t="str">
        <f>IF(X883="","",VLOOKUP($X883,RM!$C$4:$G991,4,FALSE))</f>
        <v/>
      </c>
      <c r="AE883" t="str">
        <f>IF(X883="","",VLOOKUP($X883,RM!$C$4:$G991,5,FALSE))</f>
        <v/>
      </c>
      <c r="AK883" t="e">
        <f ca="1">_xludf.IFNA(VLOOKUP(AG883,'S-FG'!$B$3:$B1001,1,FALSE),"")</f>
        <v>#NAME?</v>
      </c>
      <c r="AL883" t="str">
        <f>IF(AH883="","",SUMIFS(#REF!,RM!$C$4:$C991,AH883))</f>
        <v/>
      </c>
    </row>
    <row r="884" spans="5:38">
      <c r="E884" t="str">
        <f>IF(A884="","",SUMIFS(Issue!$D$3:$D1001,Issue!$C$3:$C1001,A884)*C884)</f>
        <v/>
      </c>
      <c r="F884" t="e">
        <f ca="1">_xludf.IFNA(VLOOKUP(B884,'S-FG'!$B$3:$B1001,1,FALSE),"")</f>
        <v>#NAME?</v>
      </c>
      <c r="L884" t="str">
        <f t="shared" si="10"/>
        <v/>
      </c>
      <c r="Q884" t="str">
        <f>IF(N884="","",SUMIFS(Issue!$D$3:$D1001,Issue!$C$3:$C1001,N884))</f>
        <v/>
      </c>
      <c r="Y884" t="str">
        <f t="shared" si="11"/>
        <v/>
      </c>
      <c r="Z884" t="str">
        <f>IF(X884="","",SUMIFS(#REF!,RM!$C$4:$C991,X884))</f>
        <v/>
      </c>
      <c r="AA884" t="str">
        <f>IF(X884="","",SUMIFS(#REF!,RM!$C$4:$C991,X884))</f>
        <v/>
      </c>
      <c r="AB884" t="e">
        <f t="shared" si="12"/>
        <v>#VALUE!</v>
      </c>
      <c r="AC884" t="str">
        <f>IF(X884="","",VLOOKUP($X884,RM!$C$4:$G991,3,FALSE))</f>
        <v/>
      </c>
      <c r="AD884" t="str">
        <f>IF(X884="","",VLOOKUP($X884,RM!$C$4:$G991,4,FALSE))</f>
        <v/>
      </c>
      <c r="AE884" t="str">
        <f>IF(X884="","",VLOOKUP($X884,RM!$C$4:$G991,5,FALSE))</f>
        <v/>
      </c>
      <c r="AK884" t="e">
        <f ca="1">_xludf.IFNA(VLOOKUP(AG884,'S-FG'!$B$3:$B1001,1,FALSE),"")</f>
        <v>#NAME?</v>
      </c>
      <c r="AL884" t="str">
        <f>IF(AH884="","",SUMIFS(#REF!,RM!$C$4:$C991,AH884))</f>
        <v/>
      </c>
    </row>
    <row r="885" spans="5:38">
      <c r="E885" t="str">
        <f>IF(A885="","",SUMIFS(Issue!$D$3:$D1001,Issue!$C$3:$C1001,A885)*C885)</f>
        <v/>
      </c>
      <c r="F885" t="e">
        <f ca="1">_xludf.IFNA(VLOOKUP(B885,'S-FG'!$B$3:$B1001,1,FALSE),"")</f>
        <v>#NAME?</v>
      </c>
      <c r="L885" t="str">
        <f t="shared" si="10"/>
        <v/>
      </c>
      <c r="Q885" t="str">
        <f>IF(N885="","",SUMIFS(Issue!$D$3:$D1001,Issue!$C$3:$C1001,N885))</f>
        <v/>
      </c>
      <c r="Y885" t="str">
        <f t="shared" si="11"/>
        <v/>
      </c>
      <c r="Z885" t="str">
        <f>IF(X885="","",SUMIFS(#REF!,RM!$C$4:$C991,X885))</f>
        <v/>
      </c>
      <c r="AA885" t="str">
        <f>IF(X885="","",SUMIFS(#REF!,RM!$C$4:$C991,X885))</f>
        <v/>
      </c>
      <c r="AB885" t="e">
        <f t="shared" si="12"/>
        <v>#VALUE!</v>
      </c>
      <c r="AC885" t="str">
        <f>IF(X885="","",VLOOKUP($X885,RM!$C$4:$G991,3,FALSE))</f>
        <v/>
      </c>
      <c r="AD885" t="str">
        <f>IF(X885="","",VLOOKUP($X885,RM!$C$4:$G991,4,FALSE))</f>
        <v/>
      </c>
      <c r="AE885" t="str">
        <f>IF(X885="","",VLOOKUP($X885,RM!$C$4:$G991,5,FALSE))</f>
        <v/>
      </c>
      <c r="AK885" t="e">
        <f ca="1">_xludf.IFNA(VLOOKUP(AG885,'S-FG'!$B$3:$B1001,1,FALSE),"")</f>
        <v>#NAME?</v>
      </c>
      <c r="AL885" t="str">
        <f>IF(AH885="","",SUMIFS(#REF!,RM!$C$4:$C991,AH885))</f>
        <v/>
      </c>
    </row>
    <row r="886" spans="5:38">
      <c r="E886" t="str">
        <f>IF(A886="","",SUMIFS(Issue!$D$3:$D1001,Issue!$C$3:$C1001,A886)*C886)</f>
        <v/>
      </c>
      <c r="F886" t="e">
        <f ca="1">_xludf.IFNA(VLOOKUP(B886,'S-FG'!$B$3:$B1001,1,FALSE),"")</f>
        <v>#NAME?</v>
      </c>
      <c r="L886" t="str">
        <f t="shared" si="10"/>
        <v/>
      </c>
      <c r="Q886" t="str">
        <f>IF(N886="","",SUMIFS(Issue!$D$3:$D1001,Issue!$C$3:$C1001,N886))</f>
        <v/>
      </c>
      <c r="Y886" t="str">
        <f t="shared" si="11"/>
        <v/>
      </c>
      <c r="Z886" t="str">
        <f>IF(X886="","",SUMIFS(#REF!,RM!$C$4:$C991,X886))</f>
        <v/>
      </c>
      <c r="AA886" t="str">
        <f>IF(X886="","",SUMIFS(#REF!,RM!$C$4:$C991,X886))</f>
        <v/>
      </c>
      <c r="AB886" t="e">
        <f t="shared" si="12"/>
        <v>#VALUE!</v>
      </c>
      <c r="AC886" t="str">
        <f>IF(X886="","",VLOOKUP($X886,RM!$C$4:$G991,3,FALSE))</f>
        <v/>
      </c>
      <c r="AD886" t="str">
        <f>IF(X886="","",VLOOKUP($X886,RM!$C$4:$G991,4,FALSE))</f>
        <v/>
      </c>
      <c r="AE886" t="str">
        <f>IF(X886="","",VLOOKUP($X886,RM!$C$4:$G991,5,FALSE))</f>
        <v/>
      </c>
      <c r="AK886" t="e">
        <f ca="1">_xludf.IFNA(VLOOKUP(AG886,'S-FG'!$B$3:$B1001,1,FALSE),"")</f>
        <v>#NAME?</v>
      </c>
      <c r="AL886" t="str">
        <f>IF(AH886="","",SUMIFS(#REF!,RM!$C$4:$C991,AH886))</f>
        <v/>
      </c>
    </row>
    <row r="887" spans="5:38">
      <c r="E887" t="str">
        <f>IF(A887="","",SUMIFS(Issue!$D$3:$D1001,Issue!$C$3:$C1001,A887)*C887)</f>
        <v/>
      </c>
      <c r="F887" t="e">
        <f ca="1">_xludf.IFNA(VLOOKUP(B887,'S-FG'!$B$3:$B1001,1,FALSE),"")</f>
        <v>#NAME?</v>
      </c>
      <c r="L887" t="str">
        <f t="shared" si="10"/>
        <v/>
      </c>
      <c r="Q887" t="str">
        <f>IF(N887="","",SUMIFS(Issue!$D$3:$D1001,Issue!$C$3:$C1001,N887))</f>
        <v/>
      </c>
      <c r="Y887" t="str">
        <f t="shared" si="11"/>
        <v/>
      </c>
      <c r="Z887" t="str">
        <f>IF(X887="","",SUMIFS(#REF!,RM!$C$4:$C991,X887))</f>
        <v/>
      </c>
      <c r="AA887" t="str">
        <f>IF(X887="","",SUMIFS(#REF!,RM!$C$4:$C991,X887))</f>
        <v/>
      </c>
      <c r="AB887" t="e">
        <f t="shared" si="12"/>
        <v>#VALUE!</v>
      </c>
      <c r="AC887" t="str">
        <f>IF(X887="","",VLOOKUP($X887,RM!$C$4:$G991,3,FALSE))</f>
        <v/>
      </c>
      <c r="AD887" t="str">
        <f>IF(X887="","",VLOOKUP($X887,RM!$C$4:$G991,4,FALSE))</f>
        <v/>
      </c>
      <c r="AE887" t="str">
        <f>IF(X887="","",VLOOKUP($X887,RM!$C$4:$G991,5,FALSE))</f>
        <v/>
      </c>
      <c r="AK887" t="e">
        <f ca="1">_xludf.IFNA(VLOOKUP(AG887,'S-FG'!$B$3:$B1001,1,FALSE),"")</f>
        <v>#NAME?</v>
      </c>
      <c r="AL887" t="str">
        <f>IF(AH887="","",SUMIFS(#REF!,RM!$C$4:$C991,AH887))</f>
        <v/>
      </c>
    </row>
    <row r="888" spans="5:38">
      <c r="E888" t="str">
        <f>IF(A888="","",SUMIFS(Issue!$D$3:$D1001,Issue!$C$3:$C1001,A888)*C888)</f>
        <v/>
      </c>
      <c r="F888" t="e">
        <f ca="1">_xludf.IFNA(VLOOKUP(B888,'S-FG'!$B$3:$B1001,1,FALSE),"")</f>
        <v>#NAME?</v>
      </c>
      <c r="L888" t="str">
        <f t="shared" si="10"/>
        <v/>
      </c>
      <c r="Q888" t="str">
        <f>IF(N888="","",SUMIFS(Issue!$D$3:$D1001,Issue!$C$3:$C1001,N888))</f>
        <v/>
      </c>
      <c r="Y888" t="str">
        <f t="shared" si="11"/>
        <v/>
      </c>
      <c r="Z888" t="str">
        <f>IF(X888="","",SUMIFS(#REF!,RM!$C$4:$C991,X888))</f>
        <v/>
      </c>
      <c r="AA888" t="str">
        <f>IF(X888="","",SUMIFS(#REF!,RM!$C$4:$C991,X888))</f>
        <v/>
      </c>
      <c r="AB888" t="e">
        <f t="shared" si="12"/>
        <v>#VALUE!</v>
      </c>
      <c r="AC888" t="str">
        <f>IF(X888="","",VLOOKUP($X888,RM!$C$4:$G991,3,FALSE))</f>
        <v/>
      </c>
      <c r="AD888" t="str">
        <f>IF(X888="","",VLOOKUP($X888,RM!$C$4:$G991,4,FALSE))</f>
        <v/>
      </c>
      <c r="AE888" t="str">
        <f>IF(X888="","",VLOOKUP($X888,RM!$C$4:$G991,5,FALSE))</f>
        <v/>
      </c>
      <c r="AK888" t="e">
        <f ca="1">_xludf.IFNA(VLOOKUP(AG888,'S-FG'!$B$3:$B1001,1,FALSE),"")</f>
        <v>#NAME?</v>
      </c>
      <c r="AL888" t="str">
        <f>IF(AH888="","",SUMIFS(#REF!,RM!$C$4:$C991,AH888))</f>
        <v/>
      </c>
    </row>
    <row r="889" spans="5:38">
      <c r="E889" t="str">
        <f>IF(A889="","",SUMIFS(Issue!$D$3:$D1001,Issue!$C$3:$C1001,A889)*C889)</f>
        <v/>
      </c>
      <c r="F889" t="e">
        <f ca="1">_xludf.IFNA(VLOOKUP(B889,'S-FG'!$B$3:$B1001,1,FALSE),"")</f>
        <v>#NAME?</v>
      </c>
      <c r="L889" t="str">
        <f t="shared" si="10"/>
        <v/>
      </c>
      <c r="Q889" t="str">
        <f>IF(N889="","",SUMIFS(Issue!$D$3:$D1001,Issue!$C$3:$C1001,N889))</f>
        <v/>
      </c>
      <c r="Y889" t="str">
        <f t="shared" si="11"/>
        <v/>
      </c>
      <c r="Z889" t="str">
        <f>IF(X889="","",SUMIFS(#REF!,RM!$C$4:$C991,X889))</f>
        <v/>
      </c>
      <c r="AA889" t="str">
        <f>IF(X889="","",SUMIFS(#REF!,RM!$C$4:$C991,X889))</f>
        <v/>
      </c>
      <c r="AB889" t="e">
        <f t="shared" si="12"/>
        <v>#VALUE!</v>
      </c>
      <c r="AC889" t="str">
        <f>IF(X889="","",VLOOKUP($X889,RM!$C$4:$G991,3,FALSE))</f>
        <v/>
      </c>
      <c r="AD889" t="str">
        <f>IF(X889="","",VLOOKUP($X889,RM!$C$4:$G991,4,FALSE))</f>
        <v/>
      </c>
      <c r="AE889" t="str">
        <f>IF(X889="","",VLOOKUP($X889,RM!$C$4:$G991,5,FALSE))</f>
        <v/>
      </c>
      <c r="AK889" t="e">
        <f ca="1">_xludf.IFNA(VLOOKUP(AG889,'S-FG'!$B$3:$B1001,1,FALSE),"")</f>
        <v>#NAME?</v>
      </c>
      <c r="AL889" t="str">
        <f>IF(AH889="","",SUMIFS(#REF!,RM!$C$4:$C991,AH889))</f>
        <v/>
      </c>
    </row>
    <row r="890" spans="5:38">
      <c r="E890" t="str">
        <f>IF(A890="","",SUMIFS(Issue!$D$3:$D1001,Issue!$C$3:$C1001,A890)*C890)</f>
        <v/>
      </c>
      <c r="F890" t="e">
        <f ca="1">_xludf.IFNA(VLOOKUP(B890,'S-FG'!$B$3:$B1001,1,FALSE),"")</f>
        <v>#NAME?</v>
      </c>
      <c r="L890" t="str">
        <f t="shared" si="10"/>
        <v/>
      </c>
      <c r="Q890" t="str">
        <f>IF(N890="","",SUMIFS(Issue!$D$3:$D1001,Issue!$C$3:$C1001,N890))</f>
        <v/>
      </c>
      <c r="Y890" t="str">
        <f t="shared" si="11"/>
        <v/>
      </c>
      <c r="Z890" t="str">
        <f>IF(X890="","",SUMIFS(#REF!,RM!$C$4:$C991,X890))</f>
        <v/>
      </c>
      <c r="AA890" t="str">
        <f>IF(X890="","",SUMIFS(#REF!,RM!$C$4:$C991,X890))</f>
        <v/>
      </c>
      <c r="AB890" t="e">
        <f t="shared" si="12"/>
        <v>#VALUE!</v>
      </c>
      <c r="AC890" t="str">
        <f>IF(X890="","",VLOOKUP($X890,RM!$C$4:$G991,3,FALSE))</f>
        <v/>
      </c>
      <c r="AD890" t="str">
        <f>IF(X890="","",VLOOKUP($X890,RM!$C$4:$G991,4,FALSE))</f>
        <v/>
      </c>
      <c r="AE890" t="str">
        <f>IF(X890="","",VLOOKUP($X890,RM!$C$4:$G991,5,FALSE))</f>
        <v/>
      </c>
      <c r="AK890" t="e">
        <f ca="1">_xludf.IFNA(VLOOKUP(AG890,'S-FG'!$B$3:$B1001,1,FALSE),"")</f>
        <v>#NAME?</v>
      </c>
      <c r="AL890" t="str">
        <f>IF(AH890="","",SUMIFS(#REF!,RM!$C$4:$C991,AH890))</f>
        <v/>
      </c>
    </row>
    <row r="891" spans="5:38">
      <c r="E891" t="str">
        <f>IF(A891="","",SUMIFS(Issue!$D$3:$D1001,Issue!$C$3:$C1001,A891)*C891)</f>
        <v/>
      </c>
      <c r="F891" t="e">
        <f ca="1">_xludf.IFNA(VLOOKUP(B891,'S-FG'!$B$3:$B1001,1,FALSE),"")</f>
        <v>#NAME?</v>
      </c>
      <c r="L891" t="str">
        <f t="shared" si="10"/>
        <v/>
      </c>
      <c r="Q891" t="str">
        <f>IF(N891="","",SUMIFS(Issue!$D$3:$D1001,Issue!$C$3:$C1001,N891))</f>
        <v/>
      </c>
      <c r="Y891" t="str">
        <f t="shared" si="11"/>
        <v/>
      </c>
      <c r="Z891" t="str">
        <f>IF(X891="","",SUMIFS(#REF!,RM!$C$4:$C991,X891))</f>
        <v/>
      </c>
      <c r="AA891" t="str">
        <f>IF(X891="","",SUMIFS(#REF!,RM!$C$4:$C991,X891))</f>
        <v/>
      </c>
      <c r="AB891" t="e">
        <f t="shared" si="12"/>
        <v>#VALUE!</v>
      </c>
      <c r="AC891" t="str">
        <f>IF(X891="","",VLOOKUP($X891,RM!$C$4:$G991,3,FALSE))</f>
        <v/>
      </c>
      <c r="AD891" t="str">
        <f>IF(X891="","",VLOOKUP($X891,RM!$C$4:$G991,4,FALSE))</f>
        <v/>
      </c>
      <c r="AE891" t="str">
        <f>IF(X891="","",VLOOKUP($X891,RM!$C$4:$G991,5,FALSE))</f>
        <v/>
      </c>
      <c r="AK891" t="e">
        <f ca="1">_xludf.IFNA(VLOOKUP(AG891,'S-FG'!$B$3:$B1001,1,FALSE),"")</f>
        <v>#NAME?</v>
      </c>
      <c r="AL891" t="str">
        <f>IF(AH891="","",SUMIFS(#REF!,RM!$C$4:$C991,AH891))</f>
        <v/>
      </c>
    </row>
    <row r="892" spans="5:38">
      <c r="E892" t="str">
        <f>IF(A892="","",SUMIFS(Issue!$D$3:$D1001,Issue!$C$3:$C1001,A892)*C892)</f>
        <v/>
      </c>
      <c r="F892" t="e">
        <f ca="1">_xludf.IFNA(VLOOKUP(B892,'S-FG'!$B$3:$B1001,1,FALSE),"")</f>
        <v>#NAME?</v>
      </c>
      <c r="L892" t="str">
        <f t="shared" si="10"/>
        <v/>
      </c>
      <c r="Q892" t="str">
        <f>IF(N892="","",SUMIFS(Issue!$D$3:$D1001,Issue!$C$3:$C1001,N892))</f>
        <v/>
      </c>
      <c r="Y892" t="str">
        <f t="shared" si="11"/>
        <v/>
      </c>
      <c r="Z892" t="str">
        <f>IF(X892="","",SUMIFS(#REF!,RM!$C$4:$C991,X892))</f>
        <v/>
      </c>
      <c r="AA892" t="str">
        <f>IF(X892="","",SUMIFS(#REF!,RM!$C$4:$C991,X892))</f>
        <v/>
      </c>
      <c r="AB892" t="e">
        <f t="shared" si="12"/>
        <v>#VALUE!</v>
      </c>
      <c r="AC892" t="str">
        <f>IF(X892="","",VLOOKUP($X892,RM!$C$4:$G991,3,FALSE))</f>
        <v/>
      </c>
      <c r="AD892" t="str">
        <f>IF(X892="","",VLOOKUP($X892,RM!$C$4:$G991,4,FALSE))</f>
        <v/>
      </c>
      <c r="AE892" t="str">
        <f>IF(X892="","",VLOOKUP($X892,RM!$C$4:$G991,5,FALSE))</f>
        <v/>
      </c>
      <c r="AK892" t="e">
        <f ca="1">_xludf.IFNA(VLOOKUP(AG892,'S-FG'!$B$3:$B1001,1,FALSE),"")</f>
        <v>#NAME?</v>
      </c>
      <c r="AL892" t="str">
        <f>IF(AH892="","",SUMIFS(#REF!,RM!$C$4:$C991,AH892))</f>
        <v/>
      </c>
    </row>
    <row r="893" spans="5:38">
      <c r="E893" t="str">
        <f>IF(A893="","",SUMIFS(Issue!$D$3:$D1001,Issue!$C$3:$C1001,A893)*C893)</f>
        <v/>
      </c>
      <c r="F893" t="e">
        <f ca="1">_xludf.IFNA(VLOOKUP(B893,'S-FG'!$B$3:$B1001,1,FALSE),"")</f>
        <v>#NAME?</v>
      </c>
      <c r="L893" t="str">
        <f t="shared" si="10"/>
        <v/>
      </c>
      <c r="Q893" t="str">
        <f>IF(N893="","",SUMIFS(Issue!$D$3:$D1001,Issue!$C$3:$C1001,N893))</f>
        <v/>
      </c>
      <c r="Y893" t="str">
        <f t="shared" si="11"/>
        <v/>
      </c>
      <c r="Z893" t="str">
        <f>IF(X893="","",SUMIFS(#REF!,RM!$C$4:$C991,X893))</f>
        <v/>
      </c>
      <c r="AA893" t="str">
        <f>IF(X893="","",SUMIFS(#REF!,RM!$C$4:$C991,X893))</f>
        <v/>
      </c>
      <c r="AB893" t="e">
        <f t="shared" si="12"/>
        <v>#VALUE!</v>
      </c>
      <c r="AC893" t="str">
        <f>IF(X893="","",VLOOKUP($X893,RM!$C$4:$G991,3,FALSE))</f>
        <v/>
      </c>
      <c r="AD893" t="str">
        <f>IF(X893="","",VLOOKUP($X893,RM!$C$4:$G991,4,FALSE))</f>
        <v/>
      </c>
      <c r="AE893" t="str">
        <f>IF(X893="","",VLOOKUP($X893,RM!$C$4:$G991,5,FALSE))</f>
        <v/>
      </c>
      <c r="AK893" t="e">
        <f ca="1">_xludf.IFNA(VLOOKUP(AG893,'S-FG'!$B$3:$B1001,1,FALSE),"")</f>
        <v>#NAME?</v>
      </c>
      <c r="AL893" t="str">
        <f>IF(AH893="","",SUMIFS(#REF!,RM!$C$4:$C991,AH893))</f>
        <v/>
      </c>
    </row>
    <row r="894" spans="5:38">
      <c r="E894" t="str">
        <f>IF(A894="","",SUMIFS(Issue!$D$3:$D1001,Issue!$C$3:$C1001,A894)*C894)</f>
        <v/>
      </c>
      <c r="F894" t="e">
        <f ca="1">_xludf.IFNA(VLOOKUP(B894,'S-FG'!$B$3:$B1001,1,FALSE),"")</f>
        <v>#NAME?</v>
      </c>
      <c r="L894" t="str">
        <f t="shared" si="10"/>
        <v/>
      </c>
      <c r="Q894" t="str">
        <f>IF(N894="","",SUMIFS(Issue!$D$3:$D1001,Issue!$C$3:$C1001,N894))</f>
        <v/>
      </c>
      <c r="Y894" t="str">
        <f t="shared" si="11"/>
        <v/>
      </c>
      <c r="Z894" t="str">
        <f>IF(X894="","",SUMIFS(#REF!,RM!$C$4:$C991,X894))</f>
        <v/>
      </c>
      <c r="AA894" t="str">
        <f>IF(X894="","",SUMIFS(#REF!,RM!$C$4:$C991,X894))</f>
        <v/>
      </c>
      <c r="AB894" t="e">
        <f t="shared" si="12"/>
        <v>#VALUE!</v>
      </c>
      <c r="AC894" t="str">
        <f>IF(X894="","",VLOOKUP($X894,RM!$C$4:$G991,3,FALSE))</f>
        <v/>
      </c>
      <c r="AD894" t="str">
        <f>IF(X894="","",VLOOKUP($X894,RM!$C$4:$G991,4,FALSE))</f>
        <v/>
      </c>
      <c r="AE894" t="str">
        <f>IF(X894="","",VLOOKUP($X894,RM!$C$4:$G991,5,FALSE))</f>
        <v/>
      </c>
      <c r="AK894" t="e">
        <f ca="1">_xludf.IFNA(VLOOKUP(AG894,'S-FG'!$B$3:$B1001,1,FALSE),"")</f>
        <v>#NAME?</v>
      </c>
      <c r="AL894" t="str">
        <f>IF(AH894="","",SUMIFS(#REF!,RM!$C$4:$C991,AH894))</f>
        <v/>
      </c>
    </row>
    <row r="895" spans="5:38">
      <c r="E895" t="str">
        <f>IF(A895="","",SUMIFS(Issue!$D$3:$D1001,Issue!$C$3:$C1001,A895)*C895)</f>
        <v/>
      </c>
      <c r="F895" t="e">
        <f ca="1">_xludf.IFNA(VLOOKUP(B895,'S-FG'!$B$3:$B1001,1,FALSE),"")</f>
        <v>#NAME?</v>
      </c>
      <c r="L895" t="str">
        <f t="shared" si="10"/>
        <v/>
      </c>
      <c r="Q895" t="str">
        <f>IF(N895="","",SUMIFS(Issue!$D$3:$D1001,Issue!$C$3:$C1001,N895))</f>
        <v/>
      </c>
      <c r="Y895" t="str">
        <f t="shared" si="11"/>
        <v/>
      </c>
      <c r="Z895" t="str">
        <f>IF(X895="","",SUMIFS(#REF!,RM!$C$4:$C991,X895))</f>
        <v/>
      </c>
      <c r="AA895" t="str">
        <f>IF(X895="","",SUMIFS(#REF!,RM!$C$4:$C991,X895))</f>
        <v/>
      </c>
      <c r="AB895" t="e">
        <f t="shared" si="12"/>
        <v>#VALUE!</v>
      </c>
      <c r="AC895" t="str">
        <f>IF(X895="","",VLOOKUP($X895,RM!$C$4:$G991,3,FALSE))</f>
        <v/>
      </c>
      <c r="AD895" t="str">
        <f>IF(X895="","",VLOOKUP($X895,RM!$C$4:$G991,4,FALSE))</f>
        <v/>
      </c>
      <c r="AE895" t="str">
        <f>IF(X895="","",VLOOKUP($X895,RM!$C$4:$G991,5,FALSE))</f>
        <v/>
      </c>
      <c r="AK895" t="e">
        <f ca="1">_xludf.IFNA(VLOOKUP(AG895,'S-FG'!$B$3:$B1001,1,FALSE),"")</f>
        <v>#NAME?</v>
      </c>
      <c r="AL895" t="str">
        <f>IF(AH895="","",SUMIFS(#REF!,RM!$C$4:$C991,AH895))</f>
        <v/>
      </c>
    </row>
    <row r="896" spans="5:38">
      <c r="E896" t="str">
        <f>IF(A896="","",SUMIFS(Issue!$D$3:$D1001,Issue!$C$3:$C1001,A896)*C896)</f>
        <v/>
      </c>
      <c r="F896" t="e">
        <f ca="1">_xludf.IFNA(VLOOKUP(B896,'S-FG'!$B$3:$B1001,1,FALSE),"")</f>
        <v>#NAME?</v>
      </c>
      <c r="L896" t="str">
        <f t="shared" si="10"/>
        <v/>
      </c>
      <c r="Q896" t="str">
        <f>IF(N896="","",SUMIFS(Issue!$D$3:$D1001,Issue!$C$3:$C1001,N896))</f>
        <v/>
      </c>
      <c r="Y896" t="str">
        <f t="shared" si="11"/>
        <v/>
      </c>
      <c r="Z896" t="str">
        <f>IF(X896="","",SUMIFS(#REF!,RM!$C$4:$C991,X896))</f>
        <v/>
      </c>
      <c r="AA896" t="str">
        <f>IF(X896="","",SUMIFS(#REF!,RM!$C$4:$C991,X896))</f>
        <v/>
      </c>
      <c r="AB896" t="e">
        <f t="shared" si="12"/>
        <v>#VALUE!</v>
      </c>
      <c r="AC896" t="str">
        <f>IF(X896="","",VLOOKUP($X896,RM!$C$4:$G991,3,FALSE))</f>
        <v/>
      </c>
      <c r="AD896" t="str">
        <f>IF(X896="","",VLOOKUP($X896,RM!$C$4:$G991,4,FALSE))</f>
        <v/>
      </c>
      <c r="AE896" t="str">
        <f>IF(X896="","",VLOOKUP($X896,RM!$C$4:$G991,5,FALSE))</f>
        <v/>
      </c>
      <c r="AK896" t="e">
        <f ca="1">_xludf.IFNA(VLOOKUP(AG896,'S-FG'!$B$3:$B1001,1,FALSE),"")</f>
        <v>#NAME?</v>
      </c>
      <c r="AL896" t="str">
        <f>IF(AH896="","",SUMIFS(#REF!,RM!$C$4:$C991,AH896))</f>
        <v/>
      </c>
    </row>
    <row r="897" spans="5:38">
      <c r="E897" t="str">
        <f>IF(A897="","",SUMIFS(Issue!$D$3:$D1001,Issue!$C$3:$C1001,A897)*C897)</f>
        <v/>
      </c>
      <c r="F897" t="e">
        <f ca="1">_xludf.IFNA(VLOOKUP(B897,'S-FG'!$B$3:$B1001,1,FALSE),"")</f>
        <v>#NAME?</v>
      </c>
      <c r="L897" t="str">
        <f t="shared" si="10"/>
        <v/>
      </c>
      <c r="Q897" t="str">
        <f>IF(N897="","",SUMIFS(Issue!$D$3:$D1001,Issue!$C$3:$C1001,N897))</f>
        <v/>
      </c>
      <c r="Y897" t="str">
        <f t="shared" si="11"/>
        <v/>
      </c>
      <c r="Z897" t="str">
        <f>IF(X897="","",SUMIFS(#REF!,RM!$C$4:$C991,X897))</f>
        <v/>
      </c>
      <c r="AA897" t="str">
        <f>IF(X897="","",SUMIFS(#REF!,RM!$C$4:$C991,X897))</f>
        <v/>
      </c>
      <c r="AB897" t="e">
        <f t="shared" si="12"/>
        <v>#VALUE!</v>
      </c>
      <c r="AC897" t="str">
        <f>IF(X897="","",VLOOKUP($X897,RM!$C$4:$G991,3,FALSE))</f>
        <v/>
      </c>
      <c r="AD897" t="str">
        <f>IF(X897="","",VLOOKUP($X897,RM!$C$4:$G991,4,FALSE))</f>
        <v/>
      </c>
      <c r="AE897" t="str">
        <f>IF(X897="","",VLOOKUP($X897,RM!$C$4:$G991,5,FALSE))</f>
        <v/>
      </c>
      <c r="AK897" t="e">
        <f ca="1">_xludf.IFNA(VLOOKUP(AG897,'S-FG'!$B$3:$B1001,1,FALSE),"")</f>
        <v>#NAME?</v>
      </c>
      <c r="AL897" t="str">
        <f>IF(AH897="","",SUMIFS(#REF!,RM!$C$4:$C991,AH897))</f>
        <v/>
      </c>
    </row>
    <row r="898" spans="5:38">
      <c r="E898" t="str">
        <f>IF(A898="","",SUMIFS(Issue!$D$3:$D1001,Issue!$C$3:$C1001,A898)*C898)</f>
        <v/>
      </c>
      <c r="F898" t="e">
        <f ca="1">_xludf.IFNA(VLOOKUP(B898,'S-FG'!$B$3:$B1001,1,FALSE),"")</f>
        <v>#NAME?</v>
      </c>
      <c r="L898" t="str">
        <f t="shared" si="10"/>
        <v/>
      </c>
      <c r="Q898" t="str">
        <f>IF(N898="","",SUMIFS(Issue!$D$3:$D1001,Issue!$C$3:$C1001,N898))</f>
        <v/>
      </c>
      <c r="Y898" t="str">
        <f t="shared" si="11"/>
        <v/>
      </c>
      <c r="Z898" t="str">
        <f>IF(X898="","",SUMIFS(#REF!,RM!$C$4:$C991,X898))</f>
        <v/>
      </c>
      <c r="AA898" t="str">
        <f>IF(X898="","",SUMIFS(#REF!,RM!$C$4:$C991,X898))</f>
        <v/>
      </c>
      <c r="AB898" t="e">
        <f t="shared" si="12"/>
        <v>#VALUE!</v>
      </c>
      <c r="AC898" t="str">
        <f>IF(X898="","",VLOOKUP($X898,RM!$C$4:$G991,3,FALSE))</f>
        <v/>
      </c>
      <c r="AD898" t="str">
        <f>IF(X898="","",VLOOKUP($X898,RM!$C$4:$G991,4,FALSE))</f>
        <v/>
      </c>
      <c r="AE898" t="str">
        <f>IF(X898="","",VLOOKUP($X898,RM!$C$4:$G991,5,FALSE))</f>
        <v/>
      </c>
      <c r="AK898" t="e">
        <f ca="1">_xludf.IFNA(VLOOKUP(AG898,'S-FG'!$B$3:$B1001,1,FALSE),"")</f>
        <v>#NAME?</v>
      </c>
      <c r="AL898" t="str">
        <f>IF(AH898="","",SUMIFS(#REF!,RM!$C$4:$C991,AH898))</f>
        <v/>
      </c>
    </row>
    <row r="899" spans="5:38">
      <c r="E899" t="str">
        <f>IF(A899="","",SUMIFS(Issue!$D$3:$D1001,Issue!$C$3:$C1001,A899)*C899)</f>
        <v/>
      </c>
      <c r="F899" t="e">
        <f ca="1">_xludf.IFNA(VLOOKUP(B899,'S-FG'!$B$3:$B1001,1,FALSE),"")</f>
        <v>#NAME?</v>
      </c>
      <c r="L899" t="str">
        <f t="shared" si="10"/>
        <v/>
      </c>
      <c r="Q899" t="str">
        <f>IF(N899="","",SUMIFS(Issue!$D$3:$D1001,Issue!$C$3:$C1001,N899))</f>
        <v/>
      </c>
      <c r="Y899" t="str">
        <f t="shared" si="11"/>
        <v/>
      </c>
      <c r="Z899" t="str">
        <f>IF(X899="","",SUMIFS(#REF!,RM!$C$4:$C991,X899))</f>
        <v/>
      </c>
      <c r="AA899" t="str">
        <f>IF(X899="","",SUMIFS(#REF!,RM!$C$4:$C991,X899))</f>
        <v/>
      </c>
      <c r="AB899" t="e">
        <f t="shared" si="12"/>
        <v>#VALUE!</v>
      </c>
      <c r="AC899" t="str">
        <f>IF(X899="","",VLOOKUP($X899,RM!$C$4:$G991,3,FALSE))</f>
        <v/>
      </c>
      <c r="AD899" t="str">
        <f>IF(X899="","",VLOOKUP($X899,RM!$C$4:$G991,4,FALSE))</f>
        <v/>
      </c>
      <c r="AE899" t="str">
        <f>IF(X899="","",VLOOKUP($X899,RM!$C$4:$G991,5,FALSE))</f>
        <v/>
      </c>
      <c r="AK899" t="e">
        <f ca="1">_xludf.IFNA(VLOOKUP(AG899,'S-FG'!$B$3:$B1001,1,FALSE),"")</f>
        <v>#NAME?</v>
      </c>
      <c r="AL899" t="str">
        <f>IF(AH899="","",SUMIFS(#REF!,RM!$C$4:$C991,AH899))</f>
        <v/>
      </c>
    </row>
    <row r="900" spans="5:38">
      <c r="E900" t="str">
        <f>IF(A900="","",SUMIFS(Issue!$D$3:$D1001,Issue!$C$3:$C1001,A900)*C900)</f>
        <v/>
      </c>
      <c r="F900" t="e">
        <f ca="1">_xludf.IFNA(VLOOKUP(B900,'S-FG'!$B$3:$B1001,1,FALSE),"")</f>
        <v>#NAME?</v>
      </c>
      <c r="L900" t="str">
        <f t="shared" si="10"/>
        <v/>
      </c>
      <c r="Q900" t="str">
        <f>IF(N900="","",SUMIFS(Issue!$D$3:$D1001,Issue!$C$3:$C1001,N900))</f>
        <v/>
      </c>
      <c r="Y900" t="str">
        <f t="shared" si="11"/>
        <v/>
      </c>
      <c r="Z900" t="str">
        <f>IF(X900="","",SUMIFS(#REF!,RM!$C$4:$C991,X900))</f>
        <v/>
      </c>
      <c r="AA900" t="str">
        <f>IF(X900="","",SUMIFS(#REF!,RM!$C$4:$C991,X900))</f>
        <v/>
      </c>
      <c r="AB900" t="e">
        <f t="shared" si="12"/>
        <v>#VALUE!</v>
      </c>
      <c r="AC900" t="str">
        <f>IF(X900="","",VLOOKUP($X900,RM!$C$4:$G991,3,FALSE))</f>
        <v/>
      </c>
      <c r="AD900" t="str">
        <f>IF(X900="","",VLOOKUP($X900,RM!$C$4:$G991,4,FALSE))</f>
        <v/>
      </c>
      <c r="AE900" t="str">
        <f>IF(X900="","",VLOOKUP($X900,RM!$C$4:$G991,5,FALSE))</f>
        <v/>
      </c>
      <c r="AK900" t="e">
        <f ca="1">_xludf.IFNA(VLOOKUP(AG900,'S-FG'!$B$3:$B1001,1,FALSE),"")</f>
        <v>#NAME?</v>
      </c>
      <c r="AL900" t="str">
        <f>IF(AH900="","",SUMIFS(#REF!,RM!$C$4:$C991,AH900))</f>
        <v/>
      </c>
    </row>
    <row r="901" spans="5:38">
      <c r="E901" t="str">
        <f>IF(A901="","",SUMIFS(Issue!$D$3:$D1001,Issue!$C$3:$C1001,A901)*C901)</f>
        <v/>
      </c>
      <c r="F901" t="e">
        <f ca="1">_xludf.IFNA(VLOOKUP(B901,'S-FG'!$B$3:$B1001,1,FALSE),"")</f>
        <v>#NAME?</v>
      </c>
      <c r="L901" t="str">
        <f t="shared" si="10"/>
        <v/>
      </c>
      <c r="Q901" t="str">
        <f>IF(N901="","",SUMIFS(Issue!$D$3:$D1001,Issue!$C$3:$C1001,N901))</f>
        <v/>
      </c>
      <c r="Y901" t="str">
        <f t="shared" si="11"/>
        <v/>
      </c>
      <c r="Z901" t="str">
        <f>IF(X901="","",SUMIFS(#REF!,RM!$C$4:$C991,X901))</f>
        <v/>
      </c>
      <c r="AA901" t="str">
        <f>IF(X901="","",SUMIFS(#REF!,RM!$C$4:$C991,X901))</f>
        <v/>
      </c>
      <c r="AB901" t="e">
        <f t="shared" si="12"/>
        <v>#VALUE!</v>
      </c>
      <c r="AC901" t="str">
        <f>IF(X901="","",VLOOKUP($X901,RM!$C$4:$G991,3,FALSE))</f>
        <v/>
      </c>
      <c r="AD901" t="str">
        <f>IF(X901="","",VLOOKUP($X901,RM!$C$4:$G991,4,FALSE))</f>
        <v/>
      </c>
      <c r="AE901" t="str">
        <f>IF(X901="","",VLOOKUP($X901,RM!$C$4:$G991,5,FALSE))</f>
        <v/>
      </c>
      <c r="AK901" t="e">
        <f ca="1">_xludf.IFNA(VLOOKUP(AG901,'S-FG'!$B$3:$B1001,1,FALSE),"")</f>
        <v>#NAME?</v>
      </c>
      <c r="AL901" t="str">
        <f>IF(AH901="","",SUMIFS(#REF!,RM!$C$4:$C991,AH901))</f>
        <v/>
      </c>
    </row>
    <row r="902" spans="5:38">
      <c r="E902" t="str">
        <f>IF(A902="","",SUMIFS(Issue!$D$3:$D1001,Issue!$C$3:$C1001,A902)*C902)</f>
        <v/>
      </c>
      <c r="F902" t="e">
        <f ca="1">_xludf.IFNA(VLOOKUP(B902,'S-FG'!$B$3:$B1001,1,FALSE),"")</f>
        <v>#NAME?</v>
      </c>
      <c r="L902" t="str">
        <f t="shared" si="10"/>
        <v/>
      </c>
      <c r="Q902" t="str">
        <f>IF(N902="","",SUMIFS(Issue!$D$3:$D1001,Issue!$C$3:$C1001,N902))</f>
        <v/>
      </c>
      <c r="Y902" t="str">
        <f t="shared" si="11"/>
        <v/>
      </c>
      <c r="Z902" t="str">
        <f>IF(X902="","",SUMIFS(#REF!,RM!$C$4:$C991,X902))</f>
        <v/>
      </c>
      <c r="AA902" t="str">
        <f>IF(X902="","",SUMIFS(#REF!,RM!$C$4:$C991,X902))</f>
        <v/>
      </c>
      <c r="AB902" t="e">
        <f t="shared" si="12"/>
        <v>#VALUE!</v>
      </c>
      <c r="AC902" t="str">
        <f>IF(X902="","",VLOOKUP($X902,RM!$C$4:$G991,3,FALSE))</f>
        <v/>
      </c>
      <c r="AD902" t="str">
        <f>IF(X902="","",VLOOKUP($X902,RM!$C$4:$G991,4,FALSE))</f>
        <v/>
      </c>
      <c r="AE902" t="str">
        <f>IF(X902="","",VLOOKUP($X902,RM!$C$4:$G991,5,FALSE))</f>
        <v/>
      </c>
      <c r="AK902" t="e">
        <f ca="1">_xludf.IFNA(VLOOKUP(AG902,'S-FG'!$B$3:$B1001,1,FALSE),"")</f>
        <v>#NAME?</v>
      </c>
      <c r="AL902" t="str">
        <f>IF(AH902="","",SUMIFS(#REF!,RM!$C$4:$C991,AH902))</f>
        <v/>
      </c>
    </row>
    <row r="903" spans="5:38">
      <c r="E903" t="str">
        <f>IF(A903="","",SUMIFS(Issue!$D$3:$D1001,Issue!$C$3:$C1001,A903)*C903)</f>
        <v/>
      </c>
      <c r="F903" t="e">
        <f ca="1">_xludf.IFNA(VLOOKUP(B903,'S-FG'!$B$3:$B1001,1,FALSE),"")</f>
        <v>#NAME?</v>
      </c>
      <c r="L903" t="str">
        <f t="shared" si="10"/>
        <v/>
      </c>
      <c r="Q903" t="str">
        <f>IF(N903="","",SUMIFS(Issue!$D$3:$D1001,Issue!$C$3:$C1001,N903))</f>
        <v/>
      </c>
      <c r="Y903" t="str">
        <f t="shared" si="11"/>
        <v/>
      </c>
      <c r="Z903" t="str">
        <f>IF(X903="","",SUMIFS(#REF!,RM!$C$4:$C991,X903))</f>
        <v/>
      </c>
      <c r="AA903" t="str">
        <f>IF(X903="","",SUMIFS(#REF!,RM!$C$4:$C991,X903))</f>
        <v/>
      </c>
      <c r="AB903" t="e">
        <f t="shared" si="12"/>
        <v>#VALUE!</v>
      </c>
      <c r="AC903" t="str">
        <f>IF(X903="","",VLOOKUP($X903,RM!$C$4:$G991,3,FALSE))</f>
        <v/>
      </c>
      <c r="AD903" t="str">
        <f>IF(X903="","",VLOOKUP($X903,RM!$C$4:$G991,4,FALSE))</f>
        <v/>
      </c>
      <c r="AE903" t="str">
        <f>IF(X903="","",VLOOKUP($X903,RM!$C$4:$G991,5,FALSE))</f>
        <v/>
      </c>
      <c r="AK903" t="e">
        <f ca="1">_xludf.IFNA(VLOOKUP(AG903,'S-FG'!$B$3:$B1001,1,FALSE),"")</f>
        <v>#NAME?</v>
      </c>
      <c r="AL903" t="str">
        <f>IF(AH903="","",SUMIFS(#REF!,RM!$C$4:$C991,AH903))</f>
        <v/>
      </c>
    </row>
    <row r="904" spans="5:38">
      <c r="E904" t="str">
        <f>IF(A904="","",SUMIFS(Issue!$D$3:$D1001,Issue!$C$3:$C1001,A904)*C904)</f>
        <v/>
      </c>
      <c r="F904" t="e">
        <f ca="1">_xludf.IFNA(VLOOKUP(B904,'S-FG'!$B$3:$B1001,1,FALSE),"")</f>
        <v>#NAME?</v>
      </c>
      <c r="L904" t="str">
        <f t="shared" si="10"/>
        <v/>
      </c>
      <c r="Q904" t="str">
        <f>IF(N904="","",SUMIFS(Issue!$D$3:$D1001,Issue!$C$3:$C1001,N904))</f>
        <v/>
      </c>
      <c r="Y904" t="str">
        <f t="shared" si="11"/>
        <v/>
      </c>
      <c r="Z904" t="str">
        <f>IF(X904="","",SUMIFS(#REF!,RM!$C$4:$C991,X904))</f>
        <v/>
      </c>
      <c r="AA904" t="str">
        <f>IF(X904="","",SUMIFS(#REF!,RM!$C$4:$C991,X904))</f>
        <v/>
      </c>
      <c r="AB904" t="e">
        <f t="shared" si="12"/>
        <v>#VALUE!</v>
      </c>
      <c r="AC904" t="str">
        <f>IF(X904="","",VLOOKUP($X904,RM!$C$4:$G991,3,FALSE))</f>
        <v/>
      </c>
      <c r="AD904" t="str">
        <f>IF(X904="","",VLOOKUP($X904,RM!$C$4:$G991,4,FALSE))</f>
        <v/>
      </c>
      <c r="AE904" t="str">
        <f>IF(X904="","",VLOOKUP($X904,RM!$C$4:$G991,5,FALSE))</f>
        <v/>
      </c>
      <c r="AK904" t="e">
        <f ca="1">_xludf.IFNA(VLOOKUP(AG904,'S-FG'!$B$3:$B1001,1,FALSE),"")</f>
        <v>#NAME?</v>
      </c>
      <c r="AL904" t="str">
        <f>IF(AH904="","",SUMIFS(#REF!,RM!$C$4:$C991,AH904))</f>
        <v/>
      </c>
    </row>
    <row r="905" spans="5:38">
      <c r="E905" t="str">
        <f>IF(A905="","",SUMIFS(Issue!$D$3:$D1001,Issue!$C$3:$C1001,A905)*C905)</f>
        <v/>
      </c>
      <c r="F905" t="e">
        <f ca="1">_xludf.IFNA(VLOOKUP(B905,'S-FG'!$B$3:$B1001,1,FALSE),"")</f>
        <v>#NAME?</v>
      </c>
      <c r="L905" t="str">
        <f t="shared" si="10"/>
        <v/>
      </c>
      <c r="Q905" t="str">
        <f>IF(N905="","",SUMIFS(Issue!$D$3:$D1001,Issue!$C$3:$C1001,N905))</f>
        <v/>
      </c>
      <c r="Y905" t="str">
        <f t="shared" si="11"/>
        <v/>
      </c>
      <c r="Z905" t="str">
        <f>IF(X905="","",SUMIFS(#REF!,RM!$C$4:$C991,X905))</f>
        <v/>
      </c>
      <c r="AA905" t="str">
        <f>IF(X905="","",SUMIFS(#REF!,RM!$C$4:$C991,X905))</f>
        <v/>
      </c>
      <c r="AB905" t="e">
        <f t="shared" si="12"/>
        <v>#VALUE!</v>
      </c>
      <c r="AC905" t="str">
        <f>IF(X905="","",VLOOKUP($X905,RM!$C$4:$G991,3,FALSE))</f>
        <v/>
      </c>
      <c r="AD905" t="str">
        <f>IF(X905="","",VLOOKUP($X905,RM!$C$4:$G991,4,FALSE))</f>
        <v/>
      </c>
      <c r="AE905" t="str">
        <f>IF(X905="","",VLOOKUP($X905,RM!$C$4:$G991,5,FALSE))</f>
        <v/>
      </c>
      <c r="AK905" t="e">
        <f ca="1">_xludf.IFNA(VLOOKUP(AG905,'S-FG'!$B$3:$B1001,1,FALSE),"")</f>
        <v>#NAME?</v>
      </c>
      <c r="AL905" t="str">
        <f>IF(AH905="","",SUMIFS(#REF!,RM!$C$4:$C991,AH905))</f>
        <v/>
      </c>
    </row>
    <row r="906" spans="5:38">
      <c r="E906" t="str">
        <f>IF(A906="","",SUMIFS(Issue!$D$3:$D1001,Issue!$C$3:$C1001,A906)*C906)</f>
        <v/>
      </c>
      <c r="F906" t="e">
        <f ca="1">_xludf.IFNA(VLOOKUP(B906,'S-FG'!$B$3:$B1001,1,FALSE),"")</f>
        <v>#NAME?</v>
      </c>
      <c r="L906" t="str">
        <f t="shared" si="10"/>
        <v/>
      </c>
      <c r="Q906" t="str">
        <f>IF(N906="","",SUMIFS(Issue!$D$3:$D1001,Issue!$C$3:$C1001,N906))</f>
        <v/>
      </c>
      <c r="Y906" t="str">
        <f t="shared" si="11"/>
        <v/>
      </c>
      <c r="Z906" t="str">
        <f>IF(X906="","",SUMIFS(#REF!,RM!$C$4:$C991,X906))</f>
        <v/>
      </c>
      <c r="AA906" t="str">
        <f>IF(X906="","",SUMIFS(#REF!,RM!$C$4:$C991,X906))</f>
        <v/>
      </c>
      <c r="AB906" t="e">
        <f t="shared" si="12"/>
        <v>#VALUE!</v>
      </c>
      <c r="AC906" t="str">
        <f>IF(X906="","",VLOOKUP($X906,RM!$C$4:$G991,3,FALSE))</f>
        <v/>
      </c>
      <c r="AD906" t="str">
        <f>IF(X906="","",VLOOKUP($X906,RM!$C$4:$G991,4,FALSE))</f>
        <v/>
      </c>
      <c r="AE906" t="str">
        <f>IF(X906="","",VLOOKUP($X906,RM!$C$4:$G991,5,FALSE))</f>
        <v/>
      </c>
      <c r="AK906" t="e">
        <f ca="1">_xludf.IFNA(VLOOKUP(AG906,'S-FG'!$B$3:$B1001,1,FALSE),"")</f>
        <v>#NAME?</v>
      </c>
      <c r="AL906" t="str">
        <f>IF(AH906="","",SUMIFS(#REF!,RM!$C$4:$C991,AH906))</f>
        <v/>
      </c>
    </row>
    <row r="907" spans="5:38">
      <c r="E907" t="str">
        <f>IF(A907="","",SUMIFS(Issue!$D$3:$D1001,Issue!$C$3:$C1001,A907)*C907)</f>
        <v/>
      </c>
      <c r="F907" t="e">
        <f ca="1">_xludf.IFNA(VLOOKUP(B907,'S-FG'!$B$3:$B1001,1,FALSE),"")</f>
        <v>#NAME?</v>
      </c>
      <c r="L907" t="str">
        <f t="shared" si="10"/>
        <v/>
      </c>
      <c r="Q907" t="str">
        <f>IF(N907="","",SUMIFS(Issue!$D$3:$D1001,Issue!$C$3:$C1001,N907))</f>
        <v/>
      </c>
      <c r="Y907" t="str">
        <f t="shared" si="11"/>
        <v/>
      </c>
      <c r="Z907" t="str">
        <f>IF(X907="","",SUMIFS(#REF!,RM!$C$4:$C991,X907))</f>
        <v/>
      </c>
      <c r="AA907" t="str">
        <f>IF(X907="","",SUMIFS(#REF!,RM!$C$4:$C991,X907))</f>
        <v/>
      </c>
      <c r="AB907" t="e">
        <f t="shared" si="12"/>
        <v>#VALUE!</v>
      </c>
      <c r="AC907" t="str">
        <f>IF(X907="","",VLOOKUP($X907,RM!$C$4:$G991,3,FALSE))</f>
        <v/>
      </c>
      <c r="AD907" t="str">
        <f>IF(X907="","",VLOOKUP($X907,RM!$C$4:$G991,4,FALSE))</f>
        <v/>
      </c>
      <c r="AE907" t="str">
        <f>IF(X907="","",VLOOKUP($X907,RM!$C$4:$G991,5,FALSE))</f>
        <v/>
      </c>
      <c r="AK907" t="e">
        <f ca="1">_xludf.IFNA(VLOOKUP(AG907,'S-FG'!$B$3:$B1001,1,FALSE),"")</f>
        <v>#NAME?</v>
      </c>
      <c r="AL907" t="str">
        <f>IF(AH907="","",SUMIFS(#REF!,RM!$C$4:$C991,AH907))</f>
        <v/>
      </c>
    </row>
    <row r="908" spans="5:38">
      <c r="E908" t="str">
        <f>IF(A908="","",SUMIFS(Issue!$D$3:$D1001,Issue!$C$3:$C1001,A908)*C908)</f>
        <v/>
      </c>
      <c r="F908" t="e">
        <f ca="1">_xludf.IFNA(VLOOKUP(B908,'S-FG'!$B$3:$B1001,1,FALSE),"")</f>
        <v>#NAME?</v>
      </c>
      <c r="L908" t="str">
        <f t="shared" si="10"/>
        <v/>
      </c>
      <c r="Q908" t="str">
        <f>IF(N908="","",SUMIFS(Issue!$D$3:$D1001,Issue!$C$3:$C1001,N908))</f>
        <v/>
      </c>
      <c r="Y908" t="str">
        <f t="shared" si="11"/>
        <v/>
      </c>
      <c r="Z908" t="str">
        <f>IF(X908="","",SUMIFS(#REF!,RM!$C$4:$C991,X908))</f>
        <v/>
      </c>
      <c r="AA908" t="str">
        <f>IF(X908="","",SUMIFS(#REF!,RM!$C$4:$C991,X908))</f>
        <v/>
      </c>
      <c r="AB908" t="e">
        <f t="shared" si="12"/>
        <v>#VALUE!</v>
      </c>
      <c r="AC908" t="str">
        <f>IF(X908="","",VLOOKUP($X908,RM!$C$4:$G991,3,FALSE))</f>
        <v/>
      </c>
      <c r="AD908" t="str">
        <f>IF(X908="","",VLOOKUP($X908,RM!$C$4:$G991,4,FALSE))</f>
        <v/>
      </c>
      <c r="AE908" t="str">
        <f>IF(X908="","",VLOOKUP($X908,RM!$C$4:$G991,5,FALSE))</f>
        <v/>
      </c>
      <c r="AK908" t="e">
        <f ca="1">_xludf.IFNA(VLOOKUP(AG908,'S-FG'!$B$3:$B1001,1,FALSE),"")</f>
        <v>#NAME?</v>
      </c>
      <c r="AL908" t="str">
        <f>IF(AH908="","",SUMIFS(#REF!,RM!$C$4:$C991,AH908))</f>
        <v/>
      </c>
    </row>
    <row r="909" spans="5:38">
      <c r="E909" t="str">
        <f>IF(A909="","",SUMIFS(Issue!$D$3:$D1001,Issue!$C$3:$C1001,A909)*C909)</f>
        <v/>
      </c>
      <c r="F909" t="e">
        <f ca="1">_xludf.IFNA(VLOOKUP(B909,'S-FG'!$B$3:$B1001,1,FALSE),"")</f>
        <v>#NAME?</v>
      </c>
      <c r="L909" t="str">
        <f t="shared" si="10"/>
        <v/>
      </c>
      <c r="Q909" t="str">
        <f>IF(N909="","",SUMIFS(Issue!$D$3:$D1001,Issue!$C$3:$C1001,N909))</f>
        <v/>
      </c>
      <c r="Y909" t="str">
        <f t="shared" si="11"/>
        <v/>
      </c>
      <c r="Z909" t="str">
        <f>IF(X909="","",SUMIFS(#REF!,RM!$C$4:$C991,X909))</f>
        <v/>
      </c>
      <c r="AA909" t="str">
        <f>IF(X909="","",SUMIFS(#REF!,RM!$C$4:$C991,X909))</f>
        <v/>
      </c>
      <c r="AB909" t="e">
        <f t="shared" si="12"/>
        <v>#VALUE!</v>
      </c>
      <c r="AC909" t="str">
        <f>IF(X909="","",VLOOKUP($X909,RM!$C$4:$G991,3,FALSE))</f>
        <v/>
      </c>
      <c r="AD909" t="str">
        <f>IF(X909="","",VLOOKUP($X909,RM!$C$4:$G991,4,FALSE))</f>
        <v/>
      </c>
      <c r="AE909" t="str">
        <f>IF(X909="","",VLOOKUP($X909,RM!$C$4:$G991,5,FALSE))</f>
        <v/>
      </c>
      <c r="AK909" t="e">
        <f ca="1">_xludf.IFNA(VLOOKUP(AG909,'S-FG'!$B$3:$B1001,1,FALSE),"")</f>
        <v>#NAME?</v>
      </c>
      <c r="AL909" t="str">
        <f>IF(AH909="","",SUMIFS(#REF!,RM!$C$4:$C991,AH909))</f>
        <v/>
      </c>
    </row>
    <row r="910" spans="5:38">
      <c r="E910" t="str">
        <f>IF(A910="","",SUMIFS(Issue!$D$3:$D1001,Issue!$C$3:$C1001,A910)*C910)</f>
        <v/>
      </c>
      <c r="F910" t="e">
        <f ca="1">_xludf.IFNA(VLOOKUP(B910,'S-FG'!$B$3:$B1001,1,FALSE),"")</f>
        <v>#NAME?</v>
      </c>
      <c r="L910" t="str">
        <f t="shared" si="10"/>
        <v/>
      </c>
      <c r="Q910" t="str">
        <f>IF(N910="","",SUMIFS(Issue!$D$3:$D1001,Issue!$C$3:$C1001,N910))</f>
        <v/>
      </c>
      <c r="Y910" t="str">
        <f t="shared" si="11"/>
        <v/>
      </c>
      <c r="Z910" t="str">
        <f>IF(X910="","",SUMIFS(#REF!,RM!$C$4:$C991,X910))</f>
        <v/>
      </c>
      <c r="AA910" t="str">
        <f>IF(X910="","",SUMIFS(#REF!,RM!$C$4:$C991,X910))</f>
        <v/>
      </c>
      <c r="AB910" t="e">
        <f t="shared" si="12"/>
        <v>#VALUE!</v>
      </c>
      <c r="AC910" t="str">
        <f>IF(X910="","",VLOOKUP($X910,RM!$C$4:$G991,3,FALSE))</f>
        <v/>
      </c>
      <c r="AD910" t="str">
        <f>IF(X910="","",VLOOKUP($X910,RM!$C$4:$G991,4,FALSE))</f>
        <v/>
      </c>
      <c r="AE910" t="str">
        <f>IF(X910="","",VLOOKUP($X910,RM!$C$4:$G991,5,FALSE))</f>
        <v/>
      </c>
      <c r="AK910" t="e">
        <f ca="1">_xludf.IFNA(VLOOKUP(AG910,'S-FG'!$B$3:$B1001,1,FALSE),"")</f>
        <v>#NAME?</v>
      </c>
      <c r="AL910" t="str">
        <f>IF(AH910="","",SUMIFS(#REF!,RM!$C$4:$C991,AH910))</f>
        <v/>
      </c>
    </row>
    <row r="911" spans="5:38">
      <c r="E911" t="str">
        <f>IF(A911="","",SUMIFS(Issue!$D$3:$D1001,Issue!$C$3:$C1001,A911)*C911)</f>
        <v/>
      </c>
      <c r="F911" t="e">
        <f ca="1">_xludf.IFNA(VLOOKUP(B911,'S-FG'!$B$3:$B1001,1,FALSE),"")</f>
        <v>#NAME?</v>
      </c>
      <c r="L911" t="str">
        <f t="shared" si="10"/>
        <v/>
      </c>
      <c r="Q911" t="str">
        <f>IF(N911="","",SUMIFS(Issue!$D$3:$D1001,Issue!$C$3:$C1001,N911))</f>
        <v/>
      </c>
      <c r="Y911" t="str">
        <f t="shared" si="11"/>
        <v/>
      </c>
      <c r="Z911" t="str">
        <f>IF(X911="","",SUMIFS(#REF!,RM!$C$4:$C991,X911))</f>
        <v/>
      </c>
      <c r="AA911" t="str">
        <f>IF(X911="","",SUMIFS(#REF!,RM!$C$4:$C991,X911))</f>
        <v/>
      </c>
      <c r="AB911" t="e">
        <f t="shared" si="12"/>
        <v>#VALUE!</v>
      </c>
      <c r="AC911" t="str">
        <f>IF(X911="","",VLOOKUP($X911,RM!$C$4:$G991,3,FALSE))</f>
        <v/>
      </c>
      <c r="AD911" t="str">
        <f>IF(X911="","",VLOOKUP($X911,RM!$C$4:$G991,4,FALSE))</f>
        <v/>
      </c>
      <c r="AE911" t="str">
        <f>IF(X911="","",VLOOKUP($X911,RM!$C$4:$G991,5,FALSE))</f>
        <v/>
      </c>
      <c r="AK911" t="e">
        <f ca="1">_xludf.IFNA(VLOOKUP(AG911,'S-FG'!$B$3:$B1001,1,FALSE),"")</f>
        <v>#NAME?</v>
      </c>
      <c r="AL911" t="str">
        <f>IF(AH911="","",SUMIFS(#REF!,RM!$C$4:$C991,AH911))</f>
        <v/>
      </c>
    </row>
    <row r="912" spans="5:38">
      <c r="E912" t="str">
        <f>IF(A912="","",SUMIFS(Issue!$D$3:$D1001,Issue!$C$3:$C1001,A912)*C912)</f>
        <v/>
      </c>
      <c r="F912" t="e">
        <f ca="1">_xludf.IFNA(VLOOKUP(B912,'S-FG'!$B$3:$B1001,1,FALSE),"")</f>
        <v>#NAME?</v>
      </c>
      <c r="L912" t="str">
        <f t="shared" si="10"/>
        <v/>
      </c>
      <c r="Q912" t="str">
        <f>IF(N912="","",SUMIFS(Issue!$D$3:$D1001,Issue!$C$3:$C1001,N912))</f>
        <v/>
      </c>
      <c r="Y912" t="str">
        <f t="shared" si="11"/>
        <v/>
      </c>
      <c r="Z912" t="str">
        <f>IF(X912="","",SUMIFS(#REF!,RM!$C$4:$C991,X912))</f>
        <v/>
      </c>
      <c r="AA912" t="str">
        <f>IF(X912="","",SUMIFS(#REF!,RM!$C$4:$C991,X912))</f>
        <v/>
      </c>
      <c r="AB912" t="e">
        <f t="shared" si="12"/>
        <v>#VALUE!</v>
      </c>
      <c r="AC912" t="str">
        <f>IF(X912="","",VLOOKUP($X912,RM!$C$4:$G991,3,FALSE))</f>
        <v/>
      </c>
      <c r="AD912" t="str">
        <f>IF(X912="","",VLOOKUP($X912,RM!$C$4:$G991,4,FALSE))</f>
        <v/>
      </c>
      <c r="AE912" t="str">
        <f>IF(X912="","",VLOOKUP($X912,RM!$C$4:$G991,5,FALSE))</f>
        <v/>
      </c>
      <c r="AK912" t="e">
        <f ca="1">_xludf.IFNA(VLOOKUP(AG912,'S-FG'!$B$3:$B1001,1,FALSE),"")</f>
        <v>#NAME?</v>
      </c>
      <c r="AL912" t="str">
        <f>IF(AH912="","",SUMIFS(#REF!,RM!$C$4:$C991,AH912))</f>
        <v/>
      </c>
    </row>
    <row r="913" spans="5:38">
      <c r="E913" t="str">
        <f>IF(A913="","",SUMIFS(Issue!$D$3:$D1001,Issue!$C$3:$C1001,A913)*C913)</f>
        <v/>
      </c>
      <c r="F913" t="e">
        <f ca="1">_xludf.IFNA(VLOOKUP(B913,'S-FG'!$B$3:$B1001,1,FALSE),"")</f>
        <v>#NAME?</v>
      </c>
      <c r="L913" t="str">
        <f t="shared" si="10"/>
        <v/>
      </c>
      <c r="Q913" t="str">
        <f>IF(N913="","",SUMIFS(Issue!$D$3:$D1001,Issue!$C$3:$C1001,N913))</f>
        <v/>
      </c>
      <c r="Y913" t="str">
        <f t="shared" si="11"/>
        <v/>
      </c>
      <c r="Z913" t="str">
        <f>IF(X913="","",SUMIFS(#REF!,RM!$C$4:$C991,X913))</f>
        <v/>
      </c>
      <c r="AA913" t="str">
        <f>IF(X913="","",SUMIFS(#REF!,RM!$C$4:$C991,X913))</f>
        <v/>
      </c>
      <c r="AB913" t="e">
        <f t="shared" si="12"/>
        <v>#VALUE!</v>
      </c>
      <c r="AC913" t="str">
        <f>IF(X913="","",VLOOKUP($X913,RM!$C$4:$G991,3,FALSE))</f>
        <v/>
      </c>
      <c r="AD913" t="str">
        <f>IF(X913="","",VLOOKUP($X913,RM!$C$4:$G991,4,FALSE))</f>
        <v/>
      </c>
      <c r="AE913" t="str">
        <f>IF(X913="","",VLOOKUP($X913,RM!$C$4:$G991,5,FALSE))</f>
        <v/>
      </c>
      <c r="AK913" t="e">
        <f ca="1">_xludf.IFNA(VLOOKUP(AG913,'S-FG'!$B$3:$B1001,1,FALSE),"")</f>
        <v>#NAME?</v>
      </c>
      <c r="AL913" t="str">
        <f>IF(AH913="","",SUMIFS(#REF!,RM!$C$4:$C991,AH913))</f>
        <v/>
      </c>
    </row>
    <row r="914" spans="5:38">
      <c r="E914" t="str">
        <f>IF(A914="","",SUMIFS(Issue!$D$3:$D1001,Issue!$C$3:$C1001,A914)*C914)</f>
        <v/>
      </c>
      <c r="F914" t="e">
        <f ca="1">_xludf.IFNA(VLOOKUP(B914,'S-FG'!$B$3:$B1001,1,FALSE),"")</f>
        <v>#NAME?</v>
      </c>
      <c r="L914" t="str">
        <f t="shared" si="10"/>
        <v/>
      </c>
      <c r="Q914" t="str">
        <f>IF(N914="","",SUMIFS(Issue!$D$3:$D1001,Issue!$C$3:$C1001,N914))</f>
        <v/>
      </c>
      <c r="Y914" t="str">
        <f t="shared" si="11"/>
        <v/>
      </c>
      <c r="Z914" t="str">
        <f>IF(X914="","",SUMIFS(#REF!,RM!$C$4:$C991,X914))</f>
        <v/>
      </c>
      <c r="AA914" t="str">
        <f>IF(X914="","",SUMIFS(#REF!,RM!$C$4:$C991,X914))</f>
        <v/>
      </c>
      <c r="AB914" t="e">
        <f t="shared" si="12"/>
        <v>#VALUE!</v>
      </c>
      <c r="AC914" t="str">
        <f>IF(X914="","",VLOOKUP($X914,RM!$C$4:$G991,3,FALSE))</f>
        <v/>
      </c>
      <c r="AD914" t="str">
        <f>IF(X914="","",VLOOKUP($X914,RM!$C$4:$G991,4,FALSE))</f>
        <v/>
      </c>
      <c r="AE914" t="str">
        <f>IF(X914="","",VLOOKUP($X914,RM!$C$4:$G991,5,FALSE))</f>
        <v/>
      </c>
      <c r="AK914" t="e">
        <f ca="1">_xludf.IFNA(VLOOKUP(AG914,'S-FG'!$B$3:$B1001,1,FALSE),"")</f>
        <v>#NAME?</v>
      </c>
      <c r="AL914" t="str">
        <f>IF(AH914="","",SUMIFS(#REF!,RM!$C$4:$C991,AH914))</f>
        <v/>
      </c>
    </row>
    <row r="915" spans="5:38">
      <c r="E915" t="str">
        <f>IF(A915="","",SUMIFS(Issue!$D$3:$D1001,Issue!$C$3:$C1001,A915)*C915)</f>
        <v/>
      </c>
      <c r="F915" t="e">
        <f ca="1">_xludf.IFNA(VLOOKUP(B915,'S-FG'!$B$3:$B1001,1,FALSE),"")</f>
        <v>#NAME?</v>
      </c>
      <c r="L915" t="str">
        <f t="shared" si="10"/>
        <v/>
      </c>
      <c r="Q915" t="str">
        <f>IF(N915="","",SUMIFS(Issue!$D$3:$D1001,Issue!$C$3:$C1001,N915))</f>
        <v/>
      </c>
      <c r="Y915" t="str">
        <f t="shared" si="11"/>
        <v/>
      </c>
      <c r="Z915" t="str">
        <f>IF(X915="","",SUMIFS(#REF!,RM!$C$4:$C991,X915))</f>
        <v/>
      </c>
      <c r="AA915" t="str">
        <f>IF(X915="","",SUMIFS(#REF!,RM!$C$4:$C991,X915))</f>
        <v/>
      </c>
      <c r="AB915" t="e">
        <f t="shared" si="12"/>
        <v>#VALUE!</v>
      </c>
      <c r="AC915" t="str">
        <f>IF(X915="","",VLOOKUP($X915,RM!$C$4:$G991,3,FALSE))</f>
        <v/>
      </c>
      <c r="AD915" t="str">
        <f>IF(X915="","",VLOOKUP($X915,RM!$C$4:$G991,4,FALSE))</f>
        <v/>
      </c>
      <c r="AE915" t="str">
        <f>IF(X915="","",VLOOKUP($X915,RM!$C$4:$G991,5,FALSE))</f>
        <v/>
      </c>
      <c r="AK915" t="e">
        <f ca="1">_xludf.IFNA(VLOOKUP(AG915,'S-FG'!$B$3:$B1001,1,FALSE),"")</f>
        <v>#NAME?</v>
      </c>
      <c r="AL915" t="str">
        <f>IF(AH915="","",SUMIFS(#REF!,RM!$C$4:$C991,AH915))</f>
        <v/>
      </c>
    </row>
    <row r="916" spans="5:38">
      <c r="E916" t="str">
        <f>IF(A916="","",SUMIFS(Issue!$D$3:$D1001,Issue!$C$3:$C1001,A916)*C916)</f>
        <v/>
      </c>
      <c r="F916" t="e">
        <f ca="1">_xludf.IFNA(VLOOKUP(B916,'S-FG'!$B$3:$B1001,1,FALSE),"")</f>
        <v>#NAME?</v>
      </c>
      <c r="L916" t="str">
        <f t="shared" si="10"/>
        <v/>
      </c>
      <c r="Q916" t="str">
        <f>IF(N916="","",SUMIFS(Issue!$D$3:$D1001,Issue!$C$3:$C1001,N916))</f>
        <v/>
      </c>
      <c r="Y916" t="str">
        <f t="shared" si="11"/>
        <v/>
      </c>
      <c r="Z916" t="str">
        <f>IF(X916="","",SUMIFS(#REF!,RM!$C$4:$C991,X916))</f>
        <v/>
      </c>
      <c r="AA916" t="str">
        <f>IF(X916="","",SUMIFS(#REF!,RM!$C$4:$C991,X916))</f>
        <v/>
      </c>
      <c r="AB916" t="e">
        <f t="shared" si="12"/>
        <v>#VALUE!</v>
      </c>
      <c r="AC916" t="str">
        <f>IF(X916="","",VLOOKUP($X916,RM!$C$4:$G991,3,FALSE))</f>
        <v/>
      </c>
      <c r="AD916" t="str">
        <f>IF(X916="","",VLOOKUP($X916,RM!$C$4:$G991,4,FALSE))</f>
        <v/>
      </c>
      <c r="AE916" t="str">
        <f>IF(X916="","",VLOOKUP($X916,RM!$C$4:$G991,5,FALSE))</f>
        <v/>
      </c>
      <c r="AK916" t="e">
        <f ca="1">_xludf.IFNA(VLOOKUP(AG916,'S-FG'!$B$3:$B1001,1,FALSE),"")</f>
        <v>#NAME?</v>
      </c>
      <c r="AL916" t="str">
        <f>IF(AH916="","",SUMIFS(#REF!,RM!$C$4:$C991,AH916))</f>
        <v/>
      </c>
    </row>
    <row r="917" spans="5:38">
      <c r="E917" t="str">
        <f>IF(A917="","",SUMIFS(Issue!$D$3:$D1001,Issue!$C$3:$C1001,A917)*C917)</f>
        <v/>
      </c>
      <c r="F917" t="e">
        <f ca="1">_xludf.IFNA(VLOOKUP(B917,'S-FG'!$B$3:$B1001,1,FALSE),"")</f>
        <v>#NAME?</v>
      </c>
      <c r="L917" t="str">
        <f t="shared" si="10"/>
        <v/>
      </c>
      <c r="Q917" t="str">
        <f>IF(N917="","",SUMIFS(Issue!$D$3:$D1001,Issue!$C$3:$C1001,N917))</f>
        <v/>
      </c>
      <c r="Y917" t="str">
        <f t="shared" si="11"/>
        <v/>
      </c>
      <c r="Z917" t="str">
        <f>IF(X917="","",SUMIFS(#REF!,RM!$C$4:$C991,X917))</f>
        <v/>
      </c>
      <c r="AA917" t="str">
        <f>IF(X917="","",SUMIFS(#REF!,RM!$C$4:$C991,X917))</f>
        <v/>
      </c>
      <c r="AB917" t="e">
        <f t="shared" si="12"/>
        <v>#VALUE!</v>
      </c>
      <c r="AC917" t="str">
        <f>IF(X917="","",VLOOKUP($X917,RM!$C$4:$G991,3,FALSE))</f>
        <v/>
      </c>
      <c r="AD917" t="str">
        <f>IF(X917="","",VLOOKUP($X917,RM!$C$4:$G991,4,FALSE))</f>
        <v/>
      </c>
      <c r="AE917" t="str">
        <f>IF(X917="","",VLOOKUP($X917,RM!$C$4:$G991,5,FALSE))</f>
        <v/>
      </c>
      <c r="AK917" t="e">
        <f ca="1">_xludf.IFNA(VLOOKUP(AG917,'S-FG'!$B$3:$B1001,1,FALSE),"")</f>
        <v>#NAME?</v>
      </c>
      <c r="AL917" t="str">
        <f>IF(AH917="","",SUMIFS(#REF!,RM!$C$4:$C991,AH917))</f>
        <v/>
      </c>
    </row>
    <row r="918" spans="5:38">
      <c r="E918" t="str">
        <f>IF(A918="","",SUMIFS(Issue!$D$3:$D1001,Issue!$C$3:$C1001,A918)*C918)</f>
        <v/>
      </c>
      <c r="F918" t="e">
        <f ca="1">_xludf.IFNA(VLOOKUP(B918,'S-FG'!$B$3:$B1001,1,FALSE),"")</f>
        <v>#NAME?</v>
      </c>
      <c r="L918" t="str">
        <f t="shared" si="10"/>
        <v/>
      </c>
      <c r="Q918" t="str">
        <f>IF(N918="","",SUMIFS(Issue!$D$3:$D1001,Issue!$C$3:$C1001,N918))</f>
        <v/>
      </c>
      <c r="Y918" t="str">
        <f t="shared" si="11"/>
        <v/>
      </c>
      <c r="Z918" t="str">
        <f>IF(X918="","",SUMIFS(#REF!,RM!$C$4:$C991,X918))</f>
        <v/>
      </c>
      <c r="AA918" t="str">
        <f>IF(X918="","",SUMIFS(#REF!,RM!$C$4:$C991,X918))</f>
        <v/>
      </c>
      <c r="AB918" t="e">
        <f t="shared" si="12"/>
        <v>#VALUE!</v>
      </c>
      <c r="AC918" t="str">
        <f>IF(X918="","",VLOOKUP($X918,RM!$C$4:$G991,3,FALSE))</f>
        <v/>
      </c>
      <c r="AD918" t="str">
        <f>IF(X918="","",VLOOKUP($X918,RM!$C$4:$G991,4,FALSE))</f>
        <v/>
      </c>
      <c r="AE918" t="str">
        <f>IF(X918="","",VLOOKUP($X918,RM!$C$4:$G991,5,FALSE))</f>
        <v/>
      </c>
      <c r="AK918" t="e">
        <f ca="1">_xludf.IFNA(VLOOKUP(AG918,'S-FG'!$B$3:$B1001,1,FALSE),"")</f>
        <v>#NAME?</v>
      </c>
      <c r="AL918" t="str">
        <f>IF(AH918="","",SUMIFS(#REF!,RM!$C$4:$C991,AH918))</f>
        <v/>
      </c>
    </row>
    <row r="919" spans="5:38">
      <c r="E919" t="str">
        <f>IF(A919="","",SUMIFS(Issue!$D$3:$D1001,Issue!$C$3:$C1001,A919)*C919)</f>
        <v/>
      </c>
      <c r="F919" t="e">
        <f ca="1">_xludf.IFNA(VLOOKUP(B919,'S-FG'!$B$3:$B1001,1,FALSE),"")</f>
        <v>#NAME?</v>
      </c>
      <c r="L919" t="str">
        <f t="shared" si="10"/>
        <v/>
      </c>
      <c r="Q919" t="str">
        <f>IF(N919="","",SUMIFS(Issue!$D$3:$D1001,Issue!$C$3:$C1001,N919))</f>
        <v/>
      </c>
      <c r="Y919" t="str">
        <f t="shared" si="11"/>
        <v/>
      </c>
      <c r="Z919" t="str">
        <f>IF(X919="","",SUMIFS(#REF!,RM!$C$4:$C991,X919))</f>
        <v/>
      </c>
      <c r="AA919" t="str">
        <f>IF(X919="","",SUMIFS(#REF!,RM!$C$4:$C991,X919))</f>
        <v/>
      </c>
      <c r="AB919" t="e">
        <f t="shared" si="12"/>
        <v>#VALUE!</v>
      </c>
      <c r="AC919" t="str">
        <f>IF(X919="","",VLOOKUP($X919,RM!$C$4:$G991,3,FALSE))</f>
        <v/>
      </c>
      <c r="AD919" t="str">
        <f>IF(X919="","",VLOOKUP($X919,RM!$C$4:$G991,4,FALSE))</f>
        <v/>
      </c>
      <c r="AE919" t="str">
        <f>IF(X919="","",VLOOKUP($X919,RM!$C$4:$G991,5,FALSE))</f>
        <v/>
      </c>
      <c r="AK919" t="e">
        <f ca="1">_xludf.IFNA(VLOOKUP(AG919,'S-FG'!$B$3:$B1001,1,FALSE),"")</f>
        <v>#NAME?</v>
      </c>
      <c r="AL919" t="str">
        <f>IF(AH919="","",SUMIFS(#REF!,RM!$C$4:$C991,AH919))</f>
        <v/>
      </c>
    </row>
    <row r="920" spans="5:38">
      <c r="E920" t="str">
        <f>IF(A920="","",SUMIFS(Issue!$D$3:$D1001,Issue!$C$3:$C1001,A920)*C920)</f>
        <v/>
      </c>
      <c r="F920" t="e">
        <f ca="1">_xludf.IFNA(VLOOKUP(B920,'S-FG'!$B$3:$B1001,1,FALSE),"")</f>
        <v>#NAME?</v>
      </c>
      <c r="L920" t="str">
        <f t="shared" si="10"/>
        <v/>
      </c>
      <c r="Q920" t="str">
        <f>IF(N920="","",SUMIFS(Issue!$D$3:$D1001,Issue!$C$3:$C1001,N920))</f>
        <v/>
      </c>
      <c r="Y920" t="str">
        <f t="shared" si="11"/>
        <v/>
      </c>
      <c r="Z920" t="str">
        <f>IF(X920="","",SUMIFS(#REF!,RM!$C$4:$C991,X920))</f>
        <v/>
      </c>
      <c r="AA920" t="str">
        <f>IF(X920="","",SUMIFS(#REF!,RM!$C$4:$C991,X920))</f>
        <v/>
      </c>
      <c r="AB920" t="e">
        <f t="shared" si="12"/>
        <v>#VALUE!</v>
      </c>
      <c r="AC920" t="str">
        <f>IF(X920="","",VLOOKUP($X920,RM!$C$4:$G991,3,FALSE))</f>
        <v/>
      </c>
      <c r="AD920" t="str">
        <f>IF(X920="","",VLOOKUP($X920,RM!$C$4:$G991,4,FALSE))</f>
        <v/>
      </c>
      <c r="AE920" t="str">
        <f>IF(X920="","",VLOOKUP($X920,RM!$C$4:$G991,5,FALSE))</f>
        <v/>
      </c>
      <c r="AK920" t="e">
        <f ca="1">_xludf.IFNA(VLOOKUP(AG920,'S-FG'!$B$3:$B1001,1,FALSE),"")</f>
        <v>#NAME?</v>
      </c>
      <c r="AL920" t="str">
        <f>IF(AH920="","",SUMIFS(#REF!,RM!$C$4:$C991,AH920))</f>
        <v/>
      </c>
    </row>
    <row r="921" spans="5:38">
      <c r="E921" t="str">
        <f>IF(A921="","",SUMIFS(Issue!$D$3:$D1001,Issue!$C$3:$C1001,A921)*C921)</f>
        <v/>
      </c>
      <c r="F921" t="e">
        <f ca="1">_xludf.IFNA(VLOOKUP(B921,'S-FG'!$B$3:$B1001,1,FALSE),"")</f>
        <v>#NAME?</v>
      </c>
      <c r="L921" t="str">
        <f t="shared" si="10"/>
        <v/>
      </c>
      <c r="Q921" t="str">
        <f>IF(N921="","",SUMIFS(Issue!$D$3:$D1001,Issue!$C$3:$C1001,N921))</f>
        <v/>
      </c>
      <c r="Y921" t="str">
        <f t="shared" si="11"/>
        <v/>
      </c>
      <c r="Z921" t="str">
        <f>IF(X921="","",SUMIFS(#REF!,RM!$C$4:$C991,X921))</f>
        <v/>
      </c>
      <c r="AA921" t="str">
        <f>IF(X921="","",SUMIFS(#REF!,RM!$C$4:$C991,X921))</f>
        <v/>
      </c>
      <c r="AB921" t="e">
        <f t="shared" si="12"/>
        <v>#VALUE!</v>
      </c>
      <c r="AC921" t="str">
        <f>IF(X921="","",VLOOKUP($X921,RM!$C$4:$G991,3,FALSE))</f>
        <v/>
      </c>
      <c r="AD921" t="str">
        <f>IF(X921="","",VLOOKUP($X921,RM!$C$4:$G991,4,FALSE))</f>
        <v/>
      </c>
      <c r="AE921" t="str">
        <f>IF(X921="","",VLOOKUP($X921,RM!$C$4:$G991,5,FALSE))</f>
        <v/>
      </c>
      <c r="AK921" t="e">
        <f ca="1">_xludf.IFNA(VLOOKUP(AG921,'S-FG'!$B$3:$B1001,1,FALSE),"")</f>
        <v>#NAME?</v>
      </c>
      <c r="AL921" t="str">
        <f>IF(AH921="","",SUMIFS(#REF!,RM!$C$4:$C991,AH921))</f>
        <v/>
      </c>
    </row>
    <row r="922" spans="5:38">
      <c r="E922" t="str">
        <f>IF(A922="","",SUMIFS(Issue!$D$3:$D1001,Issue!$C$3:$C1001,A922)*C922)</f>
        <v/>
      </c>
      <c r="F922" t="e">
        <f ca="1">_xludf.IFNA(VLOOKUP(B922,'S-FG'!$B$3:$B1001,1,FALSE),"")</f>
        <v>#NAME?</v>
      </c>
      <c r="L922" t="str">
        <f t="shared" si="10"/>
        <v/>
      </c>
      <c r="Q922" t="str">
        <f>IF(N922="","",SUMIFS(Issue!$D$3:$D1001,Issue!$C$3:$C1001,N922))</f>
        <v/>
      </c>
      <c r="Y922" t="str">
        <f t="shared" si="11"/>
        <v/>
      </c>
      <c r="Z922" t="str">
        <f>IF(X922="","",SUMIFS(#REF!,RM!$C$4:$C991,X922))</f>
        <v/>
      </c>
      <c r="AA922" t="str">
        <f>IF(X922="","",SUMIFS(#REF!,RM!$C$4:$C991,X922))</f>
        <v/>
      </c>
      <c r="AB922" t="e">
        <f t="shared" si="12"/>
        <v>#VALUE!</v>
      </c>
      <c r="AC922" t="str">
        <f>IF(X922="","",VLOOKUP($X922,RM!$C$4:$G991,3,FALSE))</f>
        <v/>
      </c>
      <c r="AD922" t="str">
        <f>IF(X922="","",VLOOKUP($X922,RM!$C$4:$G991,4,FALSE))</f>
        <v/>
      </c>
      <c r="AE922" t="str">
        <f>IF(X922="","",VLOOKUP($X922,RM!$C$4:$G991,5,FALSE))</f>
        <v/>
      </c>
      <c r="AK922" t="e">
        <f ca="1">_xludf.IFNA(VLOOKUP(AG922,'S-FG'!$B$3:$B1001,1,FALSE),"")</f>
        <v>#NAME?</v>
      </c>
      <c r="AL922" t="str">
        <f>IF(AH922="","",SUMIFS(#REF!,RM!$C$4:$C991,AH922))</f>
        <v/>
      </c>
    </row>
    <row r="923" spans="5:38">
      <c r="E923" t="str">
        <f>IF(A923="","",SUMIFS(Issue!$D$3:$D1001,Issue!$C$3:$C1001,A923)*C923)</f>
        <v/>
      </c>
      <c r="F923" t="e">
        <f ca="1">_xludf.IFNA(VLOOKUP(B923,'S-FG'!$B$3:$B1001,1,FALSE),"")</f>
        <v>#NAME?</v>
      </c>
      <c r="L923" t="str">
        <f t="shared" si="10"/>
        <v/>
      </c>
      <c r="Q923" t="str">
        <f>IF(N923="","",SUMIFS(Issue!$D$3:$D1001,Issue!$C$3:$C1001,N923))</f>
        <v/>
      </c>
      <c r="Y923" t="str">
        <f t="shared" si="11"/>
        <v/>
      </c>
      <c r="Z923" t="str">
        <f>IF(X923="","",SUMIFS(#REF!,RM!$C$4:$C991,X923))</f>
        <v/>
      </c>
      <c r="AA923" t="str">
        <f>IF(X923="","",SUMIFS(#REF!,RM!$C$4:$C991,X923))</f>
        <v/>
      </c>
      <c r="AB923" t="e">
        <f t="shared" si="12"/>
        <v>#VALUE!</v>
      </c>
      <c r="AC923" t="str">
        <f>IF(X923="","",VLOOKUP($X923,RM!$C$4:$G991,3,FALSE))</f>
        <v/>
      </c>
      <c r="AD923" t="str">
        <f>IF(X923="","",VLOOKUP($X923,RM!$C$4:$G991,4,FALSE))</f>
        <v/>
      </c>
      <c r="AE923" t="str">
        <f>IF(X923="","",VLOOKUP($X923,RM!$C$4:$G991,5,FALSE))</f>
        <v/>
      </c>
      <c r="AK923" t="e">
        <f ca="1">_xludf.IFNA(VLOOKUP(AG923,'S-FG'!$B$3:$B1001,1,FALSE),"")</f>
        <v>#NAME?</v>
      </c>
      <c r="AL923" t="str">
        <f>IF(AH923="","",SUMIFS(#REF!,RM!$C$4:$C991,AH923))</f>
        <v/>
      </c>
    </row>
    <row r="924" spans="5:38">
      <c r="E924" t="str">
        <f>IF(A924="","",SUMIFS(Issue!$D$3:$D1001,Issue!$C$3:$C1001,A924)*C924)</f>
        <v/>
      </c>
      <c r="F924" t="e">
        <f ca="1">_xludf.IFNA(VLOOKUP(B924,'S-FG'!$B$3:$B1001,1,FALSE),"")</f>
        <v>#NAME?</v>
      </c>
      <c r="L924" t="str">
        <f t="shared" si="10"/>
        <v/>
      </c>
      <c r="Q924" t="str">
        <f>IF(N924="","",SUMIFS(Issue!$D$3:$D1001,Issue!$C$3:$C1001,N924))</f>
        <v/>
      </c>
      <c r="Y924" t="str">
        <f t="shared" si="11"/>
        <v/>
      </c>
      <c r="Z924" t="str">
        <f>IF(X924="","",SUMIFS(#REF!,RM!$C$4:$C991,X924))</f>
        <v/>
      </c>
      <c r="AA924" t="str">
        <f>IF(X924="","",SUMIFS(#REF!,RM!$C$4:$C991,X924))</f>
        <v/>
      </c>
      <c r="AB924" t="e">
        <f t="shared" si="12"/>
        <v>#VALUE!</v>
      </c>
      <c r="AC924" t="str">
        <f>IF(X924="","",VLOOKUP($X924,RM!$C$4:$G991,3,FALSE))</f>
        <v/>
      </c>
      <c r="AD924" t="str">
        <f>IF(X924="","",VLOOKUP($X924,RM!$C$4:$G991,4,FALSE))</f>
        <v/>
      </c>
      <c r="AE924" t="str">
        <f>IF(X924="","",VLOOKUP($X924,RM!$C$4:$G991,5,FALSE))</f>
        <v/>
      </c>
      <c r="AK924" t="e">
        <f ca="1">_xludf.IFNA(VLOOKUP(AG924,'S-FG'!$B$3:$B1001,1,FALSE),"")</f>
        <v>#NAME?</v>
      </c>
      <c r="AL924" t="str">
        <f>IF(AH924="","",SUMIFS(#REF!,RM!$C$4:$C991,AH924))</f>
        <v/>
      </c>
    </row>
    <row r="925" spans="5:38">
      <c r="E925" t="str">
        <f>IF(A925="","",SUMIFS(Issue!$D$3:$D1001,Issue!$C$3:$C1001,A925)*C925)</f>
        <v/>
      </c>
      <c r="F925" t="e">
        <f ca="1">_xludf.IFNA(VLOOKUP(B925,'S-FG'!$B$3:$B1001,1,FALSE),"")</f>
        <v>#NAME?</v>
      </c>
      <c r="L925" t="str">
        <f t="shared" si="10"/>
        <v/>
      </c>
      <c r="Q925" t="str">
        <f>IF(N925="","",SUMIFS(Issue!$D$3:$D1001,Issue!$C$3:$C1001,N925))</f>
        <v/>
      </c>
      <c r="Y925" t="str">
        <f t="shared" si="11"/>
        <v/>
      </c>
      <c r="Z925" t="str">
        <f>IF(X925="","",SUMIFS(#REF!,RM!$C$4:$C991,X925))</f>
        <v/>
      </c>
      <c r="AA925" t="str">
        <f>IF(X925="","",SUMIFS(#REF!,RM!$C$4:$C991,X925))</f>
        <v/>
      </c>
      <c r="AB925" t="e">
        <f t="shared" si="12"/>
        <v>#VALUE!</v>
      </c>
      <c r="AC925" t="str">
        <f>IF(X925="","",VLOOKUP($X925,RM!$C$4:$G991,3,FALSE))</f>
        <v/>
      </c>
      <c r="AD925" t="str">
        <f>IF(X925="","",VLOOKUP($X925,RM!$C$4:$G991,4,FALSE))</f>
        <v/>
      </c>
      <c r="AE925" t="str">
        <f>IF(X925="","",VLOOKUP($X925,RM!$C$4:$G991,5,FALSE))</f>
        <v/>
      </c>
      <c r="AK925" t="e">
        <f ca="1">_xludf.IFNA(VLOOKUP(AG925,'S-FG'!$B$3:$B1001,1,FALSE),"")</f>
        <v>#NAME?</v>
      </c>
      <c r="AL925" t="str">
        <f>IF(AH925="","",SUMIFS(#REF!,RM!$C$4:$C991,AH925))</f>
        <v/>
      </c>
    </row>
    <row r="926" spans="5:38">
      <c r="E926" t="str">
        <f>IF(A926="","",SUMIFS(Issue!$D$3:$D1001,Issue!$C$3:$C1001,A926)*C926)</f>
        <v/>
      </c>
      <c r="F926" t="e">
        <f ca="1">_xludf.IFNA(VLOOKUP(B926,'S-FG'!$B$3:$B1001,1,FALSE),"")</f>
        <v>#NAME?</v>
      </c>
      <c r="L926" t="str">
        <f t="shared" si="10"/>
        <v/>
      </c>
      <c r="Q926" t="str">
        <f>IF(N926="","",SUMIFS(Issue!$D$3:$D1001,Issue!$C$3:$C1001,N926))</f>
        <v/>
      </c>
      <c r="Y926" t="str">
        <f t="shared" si="11"/>
        <v/>
      </c>
      <c r="Z926" t="str">
        <f>IF(X926="","",SUMIFS(#REF!,RM!$C$4:$C991,X926))</f>
        <v/>
      </c>
      <c r="AA926" t="str">
        <f>IF(X926="","",SUMIFS(#REF!,RM!$C$4:$C991,X926))</f>
        <v/>
      </c>
      <c r="AB926" t="e">
        <f t="shared" si="12"/>
        <v>#VALUE!</v>
      </c>
      <c r="AC926" t="str">
        <f>IF(X926="","",VLOOKUP($X926,RM!$C$4:$G991,3,FALSE))</f>
        <v/>
      </c>
      <c r="AD926" t="str">
        <f>IF(X926="","",VLOOKUP($X926,RM!$C$4:$G991,4,FALSE))</f>
        <v/>
      </c>
      <c r="AE926" t="str">
        <f>IF(X926="","",VLOOKUP($X926,RM!$C$4:$G991,5,FALSE))</f>
        <v/>
      </c>
      <c r="AK926" t="e">
        <f ca="1">_xludf.IFNA(VLOOKUP(AG926,'S-FG'!$B$3:$B1001,1,FALSE),"")</f>
        <v>#NAME?</v>
      </c>
      <c r="AL926" t="str">
        <f>IF(AH926="","",SUMIFS(#REF!,RM!$C$4:$C991,AH926))</f>
        <v/>
      </c>
    </row>
    <row r="927" spans="5:38">
      <c r="E927" t="str">
        <f>IF(A927="","",SUMIFS(Issue!$D$3:$D1001,Issue!$C$3:$C1001,A927)*C927)</f>
        <v/>
      </c>
      <c r="F927" t="e">
        <f ca="1">_xludf.IFNA(VLOOKUP(B927,'S-FG'!$B$3:$B1001,1,FALSE),"")</f>
        <v>#NAME?</v>
      </c>
      <c r="L927" t="str">
        <f t="shared" si="10"/>
        <v/>
      </c>
      <c r="Q927" t="str">
        <f>IF(N927="","",SUMIFS(Issue!$D$3:$D1001,Issue!$C$3:$C1001,N927))</f>
        <v/>
      </c>
      <c r="Y927" t="str">
        <f t="shared" si="11"/>
        <v/>
      </c>
      <c r="Z927" t="str">
        <f>IF(X927="","",SUMIFS(#REF!,RM!$C$4:$C991,X927))</f>
        <v/>
      </c>
      <c r="AA927" t="str">
        <f>IF(X927="","",SUMIFS(#REF!,RM!$C$4:$C991,X927))</f>
        <v/>
      </c>
      <c r="AB927" t="e">
        <f t="shared" si="12"/>
        <v>#VALUE!</v>
      </c>
      <c r="AC927" t="str">
        <f>IF(X927="","",VLOOKUP($X927,RM!$C$4:$G991,3,FALSE))</f>
        <v/>
      </c>
      <c r="AD927" t="str">
        <f>IF(X927="","",VLOOKUP($X927,RM!$C$4:$G991,4,FALSE))</f>
        <v/>
      </c>
      <c r="AE927" t="str">
        <f>IF(X927="","",VLOOKUP($X927,RM!$C$4:$G991,5,FALSE))</f>
        <v/>
      </c>
      <c r="AK927" t="e">
        <f ca="1">_xludf.IFNA(VLOOKUP(AG927,'S-FG'!$B$3:$B1001,1,FALSE),"")</f>
        <v>#NAME?</v>
      </c>
      <c r="AL927" t="str">
        <f>IF(AH927="","",SUMIFS(#REF!,RM!$C$4:$C991,AH927))</f>
        <v/>
      </c>
    </row>
    <row r="928" spans="5:38">
      <c r="E928" t="str">
        <f>IF(A928="","",SUMIFS(Issue!$D$3:$D1001,Issue!$C$3:$C1001,A928)*C928)</f>
        <v/>
      </c>
      <c r="F928" t="e">
        <f ca="1">_xludf.IFNA(VLOOKUP(B928,'S-FG'!$B$3:$B1001,1,FALSE),"")</f>
        <v>#NAME?</v>
      </c>
      <c r="L928" t="str">
        <f t="shared" si="10"/>
        <v/>
      </c>
      <c r="Q928" t="str">
        <f>IF(N928="","",SUMIFS(Issue!$D$3:$D1001,Issue!$C$3:$C1001,N928))</f>
        <v/>
      </c>
      <c r="Y928" t="str">
        <f t="shared" si="11"/>
        <v/>
      </c>
      <c r="Z928" t="str">
        <f>IF(X928="","",SUMIFS(#REF!,RM!$C$4:$C991,X928))</f>
        <v/>
      </c>
      <c r="AA928" t="str">
        <f>IF(X928="","",SUMIFS(#REF!,RM!$C$4:$C991,X928))</f>
        <v/>
      </c>
      <c r="AB928" t="e">
        <f t="shared" si="12"/>
        <v>#VALUE!</v>
      </c>
      <c r="AC928" t="str">
        <f>IF(X928="","",VLOOKUP($X928,RM!$C$4:$G991,3,FALSE))</f>
        <v/>
      </c>
      <c r="AD928" t="str">
        <f>IF(X928="","",VLOOKUP($X928,RM!$C$4:$G991,4,FALSE))</f>
        <v/>
      </c>
      <c r="AE928" t="str">
        <f>IF(X928="","",VLOOKUP($X928,RM!$C$4:$G991,5,FALSE))</f>
        <v/>
      </c>
      <c r="AK928" t="e">
        <f ca="1">_xludf.IFNA(VLOOKUP(AG928,'S-FG'!$B$3:$B1001,1,FALSE),"")</f>
        <v>#NAME?</v>
      </c>
      <c r="AL928" t="str">
        <f>IF(AH928="","",SUMIFS(#REF!,RM!$C$4:$C991,AH928))</f>
        <v/>
      </c>
    </row>
    <row r="929" spans="5:38">
      <c r="E929" t="str">
        <f>IF(A929="","",SUMIFS(Issue!$D$3:$D1001,Issue!$C$3:$C1001,A929)*C929)</f>
        <v/>
      </c>
      <c r="F929" t="e">
        <f ca="1">_xludf.IFNA(VLOOKUP(B929,'S-FG'!$B$3:$B1001,1,FALSE),"")</f>
        <v>#NAME?</v>
      </c>
      <c r="L929" t="str">
        <f t="shared" si="10"/>
        <v/>
      </c>
      <c r="Q929" t="str">
        <f>IF(N929="","",SUMIFS(Issue!$D$3:$D1001,Issue!$C$3:$C1001,N929))</f>
        <v/>
      </c>
      <c r="Y929" t="str">
        <f t="shared" si="11"/>
        <v/>
      </c>
      <c r="Z929" t="str">
        <f>IF(X929="","",SUMIFS(#REF!,RM!$C$4:$C991,X929))</f>
        <v/>
      </c>
      <c r="AA929" t="str">
        <f>IF(X929="","",SUMIFS(#REF!,RM!$C$4:$C991,X929))</f>
        <v/>
      </c>
      <c r="AB929" t="e">
        <f t="shared" si="12"/>
        <v>#VALUE!</v>
      </c>
      <c r="AC929" t="str">
        <f>IF(X929="","",VLOOKUP($X929,RM!$C$4:$G991,3,FALSE))</f>
        <v/>
      </c>
      <c r="AD929" t="str">
        <f>IF(X929="","",VLOOKUP($X929,RM!$C$4:$G991,4,FALSE))</f>
        <v/>
      </c>
      <c r="AE929" t="str">
        <f>IF(X929="","",VLOOKUP($X929,RM!$C$4:$G991,5,FALSE))</f>
        <v/>
      </c>
      <c r="AK929" t="e">
        <f ca="1">_xludf.IFNA(VLOOKUP(AG929,'S-FG'!$B$3:$B1001,1,FALSE),"")</f>
        <v>#NAME?</v>
      </c>
      <c r="AL929" t="str">
        <f>IF(AH929="","",SUMIFS(#REF!,RM!$C$4:$C991,AH929))</f>
        <v/>
      </c>
    </row>
    <row r="930" spans="5:38">
      <c r="E930" t="str">
        <f>IF(A930="","",SUMIFS(Issue!$D$3:$D1001,Issue!$C$3:$C1001,A930)*C930)</f>
        <v/>
      </c>
      <c r="F930" t="e">
        <f ca="1">_xludf.IFNA(VLOOKUP(B930,'S-FG'!$B$3:$B1001,1,FALSE),"")</f>
        <v>#NAME?</v>
      </c>
      <c r="L930" t="str">
        <f t="shared" si="10"/>
        <v/>
      </c>
      <c r="Q930" t="str">
        <f>IF(N930="","",SUMIFS(Issue!$D$3:$D1001,Issue!$C$3:$C1001,N930))</f>
        <v/>
      </c>
      <c r="Y930" t="str">
        <f t="shared" si="11"/>
        <v/>
      </c>
      <c r="Z930" t="str">
        <f>IF(X930="","",SUMIFS(#REF!,RM!$C$4:$C991,X930))</f>
        <v/>
      </c>
      <c r="AA930" t="str">
        <f>IF(X930="","",SUMIFS(#REF!,RM!$C$4:$C991,X930))</f>
        <v/>
      </c>
      <c r="AB930" t="e">
        <f t="shared" si="12"/>
        <v>#VALUE!</v>
      </c>
      <c r="AC930" t="str">
        <f>IF(X930="","",VLOOKUP($X930,RM!$C$4:$G991,3,FALSE))</f>
        <v/>
      </c>
      <c r="AD930" t="str">
        <f>IF(X930="","",VLOOKUP($X930,RM!$C$4:$G991,4,FALSE))</f>
        <v/>
      </c>
      <c r="AE930" t="str">
        <f>IF(X930="","",VLOOKUP($X930,RM!$C$4:$G991,5,FALSE))</f>
        <v/>
      </c>
      <c r="AK930" t="e">
        <f ca="1">_xludf.IFNA(VLOOKUP(AG930,'S-FG'!$B$3:$B1001,1,FALSE),"")</f>
        <v>#NAME?</v>
      </c>
      <c r="AL930" t="str">
        <f>IF(AH930="","",SUMIFS(#REF!,RM!$C$4:$C991,AH930))</f>
        <v/>
      </c>
    </row>
    <row r="931" spans="5:38">
      <c r="E931" t="str">
        <f>IF(A931="","",SUMIFS(Issue!$D$3:$D1001,Issue!$C$3:$C1001,A931)*C931)</f>
        <v/>
      </c>
      <c r="F931" t="e">
        <f ca="1">_xludf.IFNA(VLOOKUP(B931,'S-FG'!$B$3:$B1001,1,FALSE),"")</f>
        <v>#NAME?</v>
      </c>
      <c r="L931" t="str">
        <f t="shared" si="10"/>
        <v/>
      </c>
      <c r="Q931" t="str">
        <f>IF(N931="","",SUMIFS(Issue!$D$3:$D1001,Issue!$C$3:$C1001,N931))</f>
        <v/>
      </c>
      <c r="Y931" t="str">
        <f t="shared" si="11"/>
        <v/>
      </c>
      <c r="Z931" t="str">
        <f>IF(X931="","",SUMIFS(#REF!,RM!$C$4:$C991,X931))</f>
        <v/>
      </c>
      <c r="AA931" t="str">
        <f>IF(X931="","",SUMIFS(#REF!,RM!$C$4:$C991,X931))</f>
        <v/>
      </c>
      <c r="AB931" t="e">
        <f t="shared" si="12"/>
        <v>#VALUE!</v>
      </c>
      <c r="AC931" t="str">
        <f>IF(X931="","",VLOOKUP($X931,RM!$C$4:$G991,3,FALSE))</f>
        <v/>
      </c>
      <c r="AD931" t="str">
        <f>IF(X931="","",VLOOKUP($X931,RM!$C$4:$G991,4,FALSE))</f>
        <v/>
      </c>
      <c r="AE931" t="str">
        <f>IF(X931="","",VLOOKUP($X931,RM!$C$4:$G991,5,FALSE))</f>
        <v/>
      </c>
      <c r="AK931" t="e">
        <f ca="1">_xludf.IFNA(VLOOKUP(AG931,'S-FG'!$B$3:$B1001,1,FALSE),"")</f>
        <v>#NAME?</v>
      </c>
      <c r="AL931" t="str">
        <f>IF(AH931="","",SUMIFS(#REF!,RM!$C$4:$C991,AH931))</f>
        <v/>
      </c>
    </row>
    <row r="932" spans="5:38">
      <c r="E932" t="str">
        <f>IF(A932="","",SUMIFS(Issue!$D$3:$D1001,Issue!$C$3:$C1001,A932)*C932)</f>
        <v/>
      </c>
      <c r="F932" t="e">
        <f ca="1">_xludf.IFNA(VLOOKUP(B932,'S-FG'!$B$3:$B1001,1,FALSE),"")</f>
        <v>#NAME?</v>
      </c>
      <c r="L932" t="str">
        <f t="shared" si="10"/>
        <v/>
      </c>
      <c r="Q932" t="str">
        <f>IF(N932="","",SUMIFS(Issue!$D$3:$D1001,Issue!$C$3:$C1001,N932))</f>
        <v/>
      </c>
      <c r="Y932" t="str">
        <f t="shared" si="11"/>
        <v/>
      </c>
      <c r="Z932" t="str">
        <f>IF(X932="","",SUMIFS(#REF!,RM!$C$4:$C991,X932))</f>
        <v/>
      </c>
      <c r="AA932" t="str">
        <f>IF(X932="","",SUMIFS(#REF!,RM!$C$4:$C991,X932))</f>
        <v/>
      </c>
      <c r="AB932" t="e">
        <f t="shared" si="12"/>
        <v>#VALUE!</v>
      </c>
      <c r="AC932" t="str">
        <f>IF(X932="","",VLOOKUP($X932,RM!$C$4:$G991,3,FALSE))</f>
        <v/>
      </c>
      <c r="AD932" t="str">
        <f>IF(X932="","",VLOOKUP($X932,RM!$C$4:$G991,4,FALSE))</f>
        <v/>
      </c>
      <c r="AE932" t="str">
        <f>IF(X932="","",VLOOKUP($X932,RM!$C$4:$G991,5,FALSE))</f>
        <v/>
      </c>
      <c r="AK932" t="e">
        <f ca="1">_xludf.IFNA(VLOOKUP(AG932,'S-FG'!$B$3:$B1001,1,FALSE),"")</f>
        <v>#NAME?</v>
      </c>
      <c r="AL932" t="str">
        <f>IF(AH932="","",SUMIFS(#REF!,RM!$C$4:$C991,AH932))</f>
        <v/>
      </c>
    </row>
    <row r="933" spans="5:38">
      <c r="E933" t="str">
        <f>IF(A933="","",SUMIFS(Issue!$D$3:$D1001,Issue!$C$3:$C1001,A933)*C933)</f>
        <v/>
      </c>
      <c r="F933" t="e">
        <f ca="1">_xludf.IFNA(VLOOKUP(B933,'S-FG'!$B$3:$B1001,1,FALSE),"")</f>
        <v>#NAME?</v>
      </c>
      <c r="L933" t="str">
        <f t="shared" si="10"/>
        <v/>
      </c>
      <c r="Q933" t="str">
        <f>IF(N933="","",SUMIFS(Issue!$D$3:$D1001,Issue!$C$3:$C1001,N933))</f>
        <v/>
      </c>
      <c r="Y933" t="str">
        <f t="shared" si="11"/>
        <v/>
      </c>
      <c r="Z933" t="str">
        <f>IF(X933="","",SUMIFS(#REF!,RM!$C$4:$C991,X933))</f>
        <v/>
      </c>
      <c r="AA933" t="str">
        <f>IF(X933="","",SUMIFS(#REF!,RM!$C$4:$C991,X933))</f>
        <v/>
      </c>
      <c r="AB933" t="e">
        <f t="shared" si="12"/>
        <v>#VALUE!</v>
      </c>
      <c r="AC933" t="str">
        <f>IF(X933="","",VLOOKUP($X933,RM!$C$4:$G991,3,FALSE))</f>
        <v/>
      </c>
      <c r="AD933" t="str">
        <f>IF(X933="","",VLOOKUP($X933,RM!$C$4:$G991,4,FALSE))</f>
        <v/>
      </c>
      <c r="AE933" t="str">
        <f>IF(X933="","",VLOOKUP($X933,RM!$C$4:$G991,5,FALSE))</f>
        <v/>
      </c>
      <c r="AK933" t="e">
        <f ca="1">_xludf.IFNA(VLOOKUP(AG933,'S-FG'!$B$3:$B1001,1,FALSE),"")</f>
        <v>#NAME?</v>
      </c>
      <c r="AL933" t="str">
        <f>IF(AH933="","",SUMIFS(#REF!,RM!$C$4:$C991,AH933))</f>
        <v/>
      </c>
    </row>
    <row r="934" spans="5:38">
      <c r="E934" t="str">
        <f>IF(A934="","",SUMIFS(Issue!$D$3:$D1001,Issue!$C$3:$C1001,A934)*C934)</f>
        <v/>
      </c>
      <c r="F934" t="e">
        <f ca="1">_xludf.IFNA(VLOOKUP(B934,'S-FG'!$B$3:$B1001,1,FALSE),"")</f>
        <v>#NAME?</v>
      </c>
      <c r="L934" t="str">
        <f t="shared" si="10"/>
        <v/>
      </c>
      <c r="Q934" t="str">
        <f>IF(N934="","",SUMIFS(Issue!$D$3:$D1001,Issue!$C$3:$C1001,N934))</f>
        <v/>
      </c>
      <c r="Y934" t="str">
        <f t="shared" si="11"/>
        <v/>
      </c>
      <c r="Z934" t="str">
        <f>IF(X934="","",SUMIFS(#REF!,RM!$C$4:$C991,X934))</f>
        <v/>
      </c>
      <c r="AA934" t="str">
        <f>IF(X934="","",SUMIFS(#REF!,RM!$C$4:$C991,X934))</f>
        <v/>
      </c>
      <c r="AB934" t="e">
        <f t="shared" si="12"/>
        <v>#VALUE!</v>
      </c>
      <c r="AC934" t="str">
        <f>IF(X934="","",VLOOKUP($X934,RM!$C$4:$G991,3,FALSE))</f>
        <v/>
      </c>
      <c r="AD934" t="str">
        <f>IF(X934="","",VLOOKUP($X934,RM!$C$4:$G991,4,FALSE))</f>
        <v/>
      </c>
      <c r="AE934" t="str">
        <f>IF(X934="","",VLOOKUP($X934,RM!$C$4:$G991,5,FALSE))</f>
        <v/>
      </c>
      <c r="AK934" t="e">
        <f ca="1">_xludf.IFNA(VLOOKUP(AG934,'S-FG'!$B$3:$B1001,1,FALSE),"")</f>
        <v>#NAME?</v>
      </c>
      <c r="AL934" t="str">
        <f>IF(AH934="","",SUMIFS(#REF!,RM!$C$4:$C991,AH934))</f>
        <v/>
      </c>
    </row>
    <row r="935" spans="5:38">
      <c r="E935" t="str">
        <f>IF(A935="","",SUMIFS(Issue!$D$3:$D1001,Issue!$C$3:$C1001,A935)*C935)</f>
        <v/>
      </c>
      <c r="F935" t="e">
        <f ca="1">_xludf.IFNA(VLOOKUP(B935,'S-FG'!$B$3:$B1001,1,FALSE),"")</f>
        <v>#NAME?</v>
      </c>
      <c r="L935" t="str">
        <f t="shared" si="10"/>
        <v/>
      </c>
      <c r="Q935" t="str">
        <f>IF(N935="","",SUMIFS(Issue!$D$3:$D1001,Issue!$C$3:$C1001,N935))</f>
        <v/>
      </c>
      <c r="Y935" t="str">
        <f t="shared" si="11"/>
        <v/>
      </c>
      <c r="Z935" t="str">
        <f>IF(X935="","",SUMIFS(#REF!,RM!$C$4:$C991,X935))</f>
        <v/>
      </c>
      <c r="AA935" t="str">
        <f>IF(X935="","",SUMIFS(#REF!,RM!$C$4:$C991,X935))</f>
        <v/>
      </c>
      <c r="AB935" t="e">
        <f t="shared" si="12"/>
        <v>#VALUE!</v>
      </c>
      <c r="AC935" t="str">
        <f>IF(X935="","",VLOOKUP($X935,RM!$C$4:$G991,3,FALSE))</f>
        <v/>
      </c>
      <c r="AD935" t="str">
        <f>IF(X935="","",VLOOKUP($X935,RM!$C$4:$G991,4,FALSE))</f>
        <v/>
      </c>
      <c r="AE935" t="str">
        <f>IF(X935="","",VLOOKUP($X935,RM!$C$4:$G991,5,FALSE))</f>
        <v/>
      </c>
      <c r="AK935" t="e">
        <f ca="1">_xludf.IFNA(VLOOKUP(AG935,'S-FG'!$B$3:$B1001,1,FALSE),"")</f>
        <v>#NAME?</v>
      </c>
      <c r="AL935" t="str">
        <f>IF(AH935="","",SUMIFS(#REF!,RM!$C$4:$C991,AH935))</f>
        <v/>
      </c>
    </row>
    <row r="936" spans="5:38">
      <c r="E936" t="str">
        <f>IF(A936="","",SUMIFS(Issue!$D$3:$D1001,Issue!$C$3:$C1001,A936)*C936)</f>
        <v/>
      </c>
      <c r="F936" t="e">
        <f ca="1">_xludf.IFNA(VLOOKUP(B936,'S-FG'!$B$3:$B1001,1,FALSE),"")</f>
        <v>#NAME?</v>
      </c>
      <c r="L936" t="str">
        <f t="shared" si="10"/>
        <v/>
      </c>
      <c r="Q936" t="str">
        <f>IF(N936="","",SUMIFS(Issue!$D$3:$D1001,Issue!$C$3:$C1001,N936))</f>
        <v/>
      </c>
      <c r="Y936" t="str">
        <f t="shared" si="11"/>
        <v/>
      </c>
      <c r="Z936" t="str">
        <f>IF(X936="","",SUMIFS(#REF!,RM!$C$4:$C991,X936))</f>
        <v/>
      </c>
      <c r="AA936" t="str">
        <f>IF(X936="","",SUMIFS(#REF!,RM!$C$4:$C991,X936))</f>
        <v/>
      </c>
      <c r="AB936" t="e">
        <f t="shared" si="12"/>
        <v>#VALUE!</v>
      </c>
      <c r="AC936" t="str">
        <f>IF(X936="","",VLOOKUP($X936,RM!$C$4:$G991,3,FALSE))</f>
        <v/>
      </c>
      <c r="AD936" t="str">
        <f>IF(X936="","",VLOOKUP($X936,RM!$C$4:$G991,4,FALSE))</f>
        <v/>
      </c>
      <c r="AE936" t="str">
        <f>IF(X936="","",VLOOKUP($X936,RM!$C$4:$G991,5,FALSE))</f>
        <v/>
      </c>
      <c r="AK936" t="e">
        <f ca="1">_xludf.IFNA(VLOOKUP(AG936,'S-FG'!$B$3:$B1001,1,FALSE),"")</f>
        <v>#NAME?</v>
      </c>
      <c r="AL936" t="str">
        <f>IF(AH936="","",SUMIFS(#REF!,RM!$C$4:$C991,AH936))</f>
        <v/>
      </c>
    </row>
    <row r="937" spans="5:38">
      <c r="E937" t="str">
        <f>IF(A937="","",SUMIFS(Issue!$D$3:$D1001,Issue!$C$3:$C1001,A937)*C937)</f>
        <v/>
      </c>
      <c r="F937" t="e">
        <f ca="1">_xludf.IFNA(VLOOKUP(B937,'S-FG'!$B$3:$B1001,1,FALSE),"")</f>
        <v>#NAME?</v>
      </c>
      <c r="L937" t="str">
        <f t="shared" si="10"/>
        <v/>
      </c>
      <c r="Q937" t="str">
        <f>IF(N937="","",SUMIFS(Issue!$D$3:$D1001,Issue!$C$3:$C1001,N937))</f>
        <v/>
      </c>
      <c r="Y937" t="str">
        <f t="shared" si="11"/>
        <v/>
      </c>
      <c r="Z937" t="str">
        <f>IF(X937="","",SUMIFS(#REF!,RM!$C$4:$C991,X937))</f>
        <v/>
      </c>
      <c r="AA937" t="str">
        <f>IF(X937="","",SUMIFS(#REF!,RM!$C$4:$C991,X937))</f>
        <v/>
      </c>
      <c r="AB937" t="e">
        <f t="shared" si="12"/>
        <v>#VALUE!</v>
      </c>
      <c r="AC937" t="str">
        <f>IF(X937="","",VLOOKUP($X937,RM!$C$4:$G991,3,FALSE))</f>
        <v/>
      </c>
      <c r="AD937" t="str">
        <f>IF(X937="","",VLOOKUP($X937,RM!$C$4:$G991,4,FALSE))</f>
        <v/>
      </c>
      <c r="AE937" t="str">
        <f>IF(X937="","",VLOOKUP($X937,RM!$C$4:$G991,5,FALSE))</f>
        <v/>
      </c>
      <c r="AK937" t="e">
        <f ca="1">_xludf.IFNA(VLOOKUP(AG937,'S-FG'!$B$3:$B1001,1,FALSE),"")</f>
        <v>#NAME?</v>
      </c>
      <c r="AL937" t="str">
        <f>IF(AH937="","",SUMIFS(#REF!,RM!$C$4:$C991,AH937))</f>
        <v/>
      </c>
    </row>
    <row r="938" spans="5:38">
      <c r="E938" t="str">
        <f>IF(A938="","",SUMIFS(Issue!$D$3:$D1001,Issue!$C$3:$C1001,A938)*C938)</f>
        <v/>
      </c>
      <c r="F938" t="e">
        <f ca="1">_xludf.IFNA(VLOOKUP(B938,'S-FG'!$B$3:$B1001,1,FALSE),"")</f>
        <v>#NAME?</v>
      </c>
      <c r="L938" t="str">
        <f t="shared" si="10"/>
        <v/>
      </c>
      <c r="Q938" t="str">
        <f>IF(N938="","",SUMIFS(Issue!$D$3:$D1001,Issue!$C$3:$C1001,N938))</f>
        <v/>
      </c>
      <c r="Y938" t="str">
        <f t="shared" si="11"/>
        <v/>
      </c>
      <c r="Z938" t="str">
        <f>IF(X938="","",SUMIFS(#REF!,RM!$C$4:$C991,X938))</f>
        <v/>
      </c>
      <c r="AA938" t="str">
        <f>IF(X938="","",SUMIFS(#REF!,RM!$C$4:$C991,X938))</f>
        <v/>
      </c>
      <c r="AB938" t="e">
        <f t="shared" si="12"/>
        <v>#VALUE!</v>
      </c>
      <c r="AC938" t="str">
        <f>IF(X938="","",VLOOKUP($X938,RM!$C$4:$G991,3,FALSE))</f>
        <v/>
      </c>
      <c r="AD938" t="str">
        <f>IF(X938="","",VLOOKUP($X938,RM!$C$4:$G991,4,FALSE))</f>
        <v/>
      </c>
      <c r="AE938" t="str">
        <f>IF(X938="","",VLOOKUP($X938,RM!$C$4:$G991,5,FALSE))</f>
        <v/>
      </c>
      <c r="AK938" t="e">
        <f ca="1">_xludf.IFNA(VLOOKUP(AG938,'S-FG'!$B$3:$B1001,1,FALSE),"")</f>
        <v>#NAME?</v>
      </c>
      <c r="AL938" t="str">
        <f>IF(AH938="","",SUMIFS(#REF!,RM!$C$4:$C991,AH938))</f>
        <v/>
      </c>
    </row>
    <row r="939" spans="5:38">
      <c r="E939" t="str">
        <f>IF(A939="","",SUMIFS(Issue!$D$3:$D1001,Issue!$C$3:$C1001,A939)*C939)</f>
        <v/>
      </c>
      <c r="F939" t="e">
        <f ca="1">_xludf.IFNA(VLOOKUP(B939,'S-FG'!$B$3:$B1001,1,FALSE),"")</f>
        <v>#NAME?</v>
      </c>
      <c r="L939" t="str">
        <f t="shared" si="10"/>
        <v/>
      </c>
      <c r="Q939" t="str">
        <f>IF(N939="","",SUMIFS(Issue!$D$3:$D1001,Issue!$C$3:$C1001,N939))</f>
        <v/>
      </c>
      <c r="Y939" t="str">
        <f t="shared" si="11"/>
        <v/>
      </c>
      <c r="Z939" t="str">
        <f>IF(X939="","",SUMIFS(#REF!,RM!$C$4:$C991,X939))</f>
        <v/>
      </c>
      <c r="AA939" t="str">
        <f>IF(X939="","",SUMIFS(#REF!,RM!$C$4:$C991,X939))</f>
        <v/>
      </c>
      <c r="AB939" t="e">
        <f t="shared" si="12"/>
        <v>#VALUE!</v>
      </c>
      <c r="AC939" t="str">
        <f>IF(X939="","",VLOOKUP($X939,RM!$C$4:$G991,3,FALSE))</f>
        <v/>
      </c>
      <c r="AD939" t="str">
        <f>IF(X939="","",VLOOKUP($X939,RM!$C$4:$G991,4,FALSE))</f>
        <v/>
      </c>
      <c r="AE939" t="str">
        <f>IF(X939="","",VLOOKUP($X939,RM!$C$4:$G991,5,FALSE))</f>
        <v/>
      </c>
      <c r="AK939" t="e">
        <f ca="1">_xludf.IFNA(VLOOKUP(AG939,'S-FG'!$B$3:$B1001,1,FALSE),"")</f>
        <v>#NAME?</v>
      </c>
      <c r="AL939" t="str">
        <f>IF(AH939="","",SUMIFS(#REF!,RM!$C$4:$C991,AH939))</f>
        <v/>
      </c>
    </row>
    <row r="940" spans="5:38">
      <c r="E940" t="str">
        <f>IF(A940="","",SUMIFS(Issue!$D$3:$D1001,Issue!$C$3:$C1001,A940)*C940)</f>
        <v/>
      </c>
      <c r="F940" t="e">
        <f ca="1">_xludf.IFNA(VLOOKUP(B940,'S-FG'!$B$3:$B1001,1,FALSE),"")</f>
        <v>#NAME?</v>
      </c>
      <c r="L940" t="str">
        <f t="shared" si="10"/>
        <v/>
      </c>
      <c r="Q940" t="str">
        <f>IF(N940="","",SUMIFS(Issue!$D$3:$D1001,Issue!$C$3:$C1001,N940))</f>
        <v/>
      </c>
      <c r="Y940" t="str">
        <f t="shared" si="11"/>
        <v/>
      </c>
      <c r="Z940" t="str">
        <f>IF(X940="","",SUMIFS(#REF!,RM!$C$4:$C991,X940))</f>
        <v/>
      </c>
      <c r="AA940" t="str">
        <f>IF(X940="","",SUMIFS(#REF!,RM!$C$4:$C991,X940))</f>
        <v/>
      </c>
      <c r="AB940" t="e">
        <f t="shared" si="12"/>
        <v>#VALUE!</v>
      </c>
      <c r="AC940" t="str">
        <f>IF(X940="","",VLOOKUP($X940,RM!$C$4:$G991,3,FALSE))</f>
        <v/>
      </c>
      <c r="AD940" t="str">
        <f>IF(X940="","",VLOOKUP($X940,RM!$C$4:$G991,4,FALSE))</f>
        <v/>
      </c>
      <c r="AE940" t="str">
        <f>IF(X940="","",VLOOKUP($X940,RM!$C$4:$G991,5,FALSE))</f>
        <v/>
      </c>
      <c r="AK940" t="e">
        <f ca="1">_xludf.IFNA(VLOOKUP(AG940,'S-FG'!$B$3:$B1001,1,FALSE),"")</f>
        <v>#NAME?</v>
      </c>
      <c r="AL940" t="str">
        <f>IF(AH940="","",SUMIFS(#REF!,RM!$C$4:$C991,AH940))</f>
        <v/>
      </c>
    </row>
    <row r="941" spans="5:38">
      <c r="E941" t="str">
        <f>IF(A941="","",SUMIFS(Issue!$D$3:$D1001,Issue!$C$3:$C1001,A941)*C941)</f>
        <v/>
      </c>
      <c r="F941" t="e">
        <f ca="1">_xludf.IFNA(VLOOKUP(B941,'S-FG'!$B$3:$B1001,1,FALSE),"")</f>
        <v>#NAME?</v>
      </c>
      <c r="L941" t="str">
        <f t="shared" si="10"/>
        <v/>
      </c>
      <c r="Q941" t="str">
        <f>IF(N941="","",SUMIFS(Issue!$D$3:$D1001,Issue!$C$3:$C1001,N941))</f>
        <v/>
      </c>
      <c r="Y941" t="str">
        <f t="shared" si="11"/>
        <v/>
      </c>
      <c r="Z941" t="str">
        <f>IF(X941="","",SUMIFS(#REF!,RM!$C$4:$C991,X941))</f>
        <v/>
      </c>
      <c r="AA941" t="str">
        <f>IF(X941="","",SUMIFS(#REF!,RM!$C$4:$C991,X941))</f>
        <v/>
      </c>
      <c r="AB941" t="e">
        <f t="shared" si="12"/>
        <v>#VALUE!</v>
      </c>
      <c r="AC941" t="str">
        <f>IF(X941="","",VLOOKUP($X941,RM!$C$4:$G991,3,FALSE))</f>
        <v/>
      </c>
      <c r="AD941" t="str">
        <f>IF(X941="","",VLOOKUP($X941,RM!$C$4:$G991,4,FALSE))</f>
        <v/>
      </c>
      <c r="AE941" t="str">
        <f>IF(X941="","",VLOOKUP($X941,RM!$C$4:$G991,5,FALSE))</f>
        <v/>
      </c>
      <c r="AK941" t="e">
        <f ca="1">_xludf.IFNA(VLOOKUP(AG941,'S-FG'!$B$3:$B1001,1,FALSE),"")</f>
        <v>#NAME?</v>
      </c>
      <c r="AL941" t="str">
        <f>IF(AH941="","",SUMIFS(#REF!,RM!$C$4:$C991,AH941))</f>
        <v/>
      </c>
    </row>
    <row r="942" spans="5:38">
      <c r="E942" t="str">
        <f>IF(A942="","",SUMIFS(Issue!$D$3:$D1001,Issue!$C$3:$C1001,A942)*C942)</f>
        <v/>
      </c>
      <c r="F942" t="e">
        <f ca="1">_xludf.IFNA(VLOOKUP(B942,'S-FG'!$B$3:$B1001,1,FALSE),"")</f>
        <v>#NAME?</v>
      </c>
      <c r="L942" t="str">
        <f t="shared" si="10"/>
        <v/>
      </c>
      <c r="Q942" t="str">
        <f>IF(N942="","",SUMIFS(Issue!$D$3:$D1001,Issue!$C$3:$C1001,N942))</f>
        <v/>
      </c>
      <c r="Y942" t="str">
        <f t="shared" si="11"/>
        <v/>
      </c>
      <c r="Z942" t="str">
        <f>IF(X942="","",SUMIFS(#REF!,RM!$C$4:$C991,X942))</f>
        <v/>
      </c>
      <c r="AA942" t="str">
        <f>IF(X942="","",SUMIFS(#REF!,RM!$C$4:$C991,X942))</f>
        <v/>
      </c>
      <c r="AB942" t="e">
        <f t="shared" si="12"/>
        <v>#VALUE!</v>
      </c>
      <c r="AC942" t="str">
        <f>IF(X942="","",VLOOKUP($X942,RM!$C$4:$G991,3,FALSE))</f>
        <v/>
      </c>
      <c r="AD942" t="str">
        <f>IF(X942="","",VLOOKUP($X942,RM!$C$4:$G991,4,FALSE))</f>
        <v/>
      </c>
      <c r="AE942" t="str">
        <f>IF(X942="","",VLOOKUP($X942,RM!$C$4:$G991,5,FALSE))</f>
        <v/>
      </c>
      <c r="AK942" t="e">
        <f ca="1">_xludf.IFNA(VLOOKUP(AG942,'S-FG'!$B$3:$B1001,1,FALSE),"")</f>
        <v>#NAME?</v>
      </c>
      <c r="AL942" t="str">
        <f>IF(AH942="","",SUMIFS(#REF!,RM!$C$4:$C991,AH942))</f>
        <v/>
      </c>
    </row>
    <row r="943" spans="5:38">
      <c r="E943" t="str">
        <f>IF(A943="","",SUMIFS(Issue!$D$3:$D1001,Issue!$C$3:$C1001,A943)*C943)</f>
        <v/>
      </c>
      <c r="F943" t="e">
        <f ca="1">_xludf.IFNA(VLOOKUP(B943,'S-FG'!$B$3:$B1001,1,FALSE),"")</f>
        <v>#NAME?</v>
      </c>
      <c r="L943" t="str">
        <f t="shared" si="10"/>
        <v/>
      </c>
      <c r="Q943" t="str">
        <f>IF(N943="","",SUMIFS(Issue!$D$3:$D1001,Issue!$C$3:$C1001,N943))</f>
        <v/>
      </c>
      <c r="Y943" t="str">
        <f t="shared" si="11"/>
        <v/>
      </c>
      <c r="Z943" t="str">
        <f>IF(X943="","",SUMIFS(#REF!,RM!$C$4:$C991,X943))</f>
        <v/>
      </c>
      <c r="AA943" t="str">
        <f>IF(X943="","",SUMIFS(#REF!,RM!$C$4:$C991,X943))</f>
        <v/>
      </c>
      <c r="AB943" t="e">
        <f t="shared" si="12"/>
        <v>#VALUE!</v>
      </c>
      <c r="AC943" t="str">
        <f>IF(X943="","",VLOOKUP($X943,RM!$C$4:$G991,3,FALSE))</f>
        <v/>
      </c>
      <c r="AD943" t="str">
        <f>IF(X943="","",VLOOKUP($X943,RM!$C$4:$G991,4,FALSE))</f>
        <v/>
      </c>
      <c r="AE943" t="str">
        <f>IF(X943="","",VLOOKUP($X943,RM!$C$4:$G991,5,FALSE))</f>
        <v/>
      </c>
      <c r="AK943" t="e">
        <f ca="1">_xludf.IFNA(VLOOKUP(AG943,'S-FG'!$B$3:$B1001,1,FALSE),"")</f>
        <v>#NAME?</v>
      </c>
      <c r="AL943" t="str">
        <f>IF(AH943="","",SUMIFS(#REF!,RM!$C$4:$C991,AH943))</f>
        <v/>
      </c>
    </row>
    <row r="944" spans="5:38">
      <c r="E944" t="str">
        <f>IF(A944="","",SUMIFS(Issue!$D$3:$D1001,Issue!$C$3:$C1001,A944)*C944)</f>
        <v/>
      </c>
      <c r="F944" t="e">
        <f ca="1">_xludf.IFNA(VLOOKUP(B944,'S-FG'!$B$3:$B1001,1,FALSE),"")</f>
        <v>#NAME?</v>
      </c>
      <c r="L944" t="str">
        <f t="shared" si="10"/>
        <v/>
      </c>
      <c r="Q944" t="str">
        <f>IF(N944="","",SUMIFS(Issue!$D$3:$D1001,Issue!$C$3:$C1001,N944))</f>
        <v/>
      </c>
      <c r="Y944" t="str">
        <f t="shared" si="11"/>
        <v/>
      </c>
      <c r="Z944" t="str">
        <f>IF(X944="","",SUMIFS(#REF!,RM!$C$4:$C991,X944))</f>
        <v/>
      </c>
      <c r="AA944" t="str">
        <f>IF(X944="","",SUMIFS(#REF!,RM!$C$4:$C991,X944))</f>
        <v/>
      </c>
      <c r="AB944" t="e">
        <f t="shared" si="12"/>
        <v>#VALUE!</v>
      </c>
      <c r="AC944" t="str">
        <f>IF(X944="","",VLOOKUP($X944,RM!$C$4:$G991,3,FALSE))</f>
        <v/>
      </c>
      <c r="AD944" t="str">
        <f>IF(X944="","",VLOOKUP($X944,RM!$C$4:$G991,4,FALSE))</f>
        <v/>
      </c>
      <c r="AE944" t="str">
        <f>IF(X944="","",VLOOKUP($X944,RM!$C$4:$G991,5,FALSE))</f>
        <v/>
      </c>
      <c r="AK944" t="e">
        <f ca="1">_xludf.IFNA(VLOOKUP(AG944,'S-FG'!$B$3:$B1001,1,FALSE),"")</f>
        <v>#NAME?</v>
      </c>
      <c r="AL944" t="str">
        <f>IF(AH944="","",SUMIFS(#REF!,RM!$C$4:$C991,AH944))</f>
        <v/>
      </c>
    </row>
    <row r="945" spans="5:38">
      <c r="E945" t="str">
        <f>IF(A945="","",SUMIFS(Issue!$D$3:$D1001,Issue!$C$3:$C1001,A945)*C945)</f>
        <v/>
      </c>
      <c r="F945" t="e">
        <f ca="1">_xludf.IFNA(VLOOKUP(B945,'S-FG'!$B$3:$B1001,1,FALSE),"")</f>
        <v>#NAME?</v>
      </c>
      <c r="L945" t="str">
        <f t="shared" si="10"/>
        <v/>
      </c>
      <c r="Q945" t="str">
        <f>IF(N945="","",SUMIFS(Issue!$D$3:$D1001,Issue!$C$3:$C1001,N945))</f>
        <v/>
      </c>
      <c r="Y945" t="str">
        <f t="shared" si="11"/>
        <v/>
      </c>
      <c r="Z945" t="str">
        <f>IF(X945="","",SUMIFS(#REF!,RM!$C$4:$C991,X945))</f>
        <v/>
      </c>
      <c r="AA945" t="str">
        <f>IF(X945="","",SUMIFS(#REF!,RM!$C$4:$C991,X945))</f>
        <v/>
      </c>
      <c r="AB945" t="e">
        <f t="shared" si="12"/>
        <v>#VALUE!</v>
      </c>
      <c r="AC945" t="str">
        <f>IF(X945="","",VLOOKUP($X945,RM!$C$4:$G991,3,FALSE))</f>
        <v/>
      </c>
      <c r="AD945" t="str">
        <f>IF(X945="","",VLOOKUP($X945,RM!$C$4:$G991,4,FALSE))</f>
        <v/>
      </c>
      <c r="AE945" t="str">
        <f>IF(X945="","",VLOOKUP($X945,RM!$C$4:$G991,5,FALSE))</f>
        <v/>
      </c>
      <c r="AK945" t="e">
        <f ca="1">_xludf.IFNA(VLOOKUP(AG945,'S-FG'!$B$3:$B1001,1,FALSE),"")</f>
        <v>#NAME?</v>
      </c>
      <c r="AL945" t="str">
        <f>IF(AH945="","",SUMIFS(#REF!,RM!$C$4:$C991,AH945))</f>
        <v/>
      </c>
    </row>
    <row r="946" spans="5:38">
      <c r="E946" t="str">
        <f>IF(A946="","",SUMIFS(Issue!$D$3:$D1001,Issue!$C$3:$C1001,A946)*C946)</f>
        <v/>
      </c>
      <c r="F946" t="e">
        <f ca="1">_xludf.IFNA(VLOOKUP(B946,'S-FG'!$B$3:$B1001,1,FALSE),"")</f>
        <v>#NAME?</v>
      </c>
      <c r="L946" t="str">
        <f t="shared" si="10"/>
        <v/>
      </c>
      <c r="Q946" t="str">
        <f>IF(N946="","",SUMIFS(Issue!$D$3:$D1001,Issue!$C$3:$C1001,N946))</f>
        <v/>
      </c>
      <c r="Y946" t="str">
        <f t="shared" si="11"/>
        <v/>
      </c>
      <c r="Z946" t="str">
        <f>IF(X946="","",SUMIFS(#REF!,RM!$C$4:$C991,X946))</f>
        <v/>
      </c>
      <c r="AA946" t="str">
        <f>IF(X946="","",SUMIFS(#REF!,RM!$C$4:$C991,X946))</f>
        <v/>
      </c>
      <c r="AB946" t="e">
        <f t="shared" si="12"/>
        <v>#VALUE!</v>
      </c>
      <c r="AC946" t="str">
        <f>IF(X946="","",VLOOKUP($X946,RM!$C$4:$G991,3,FALSE))</f>
        <v/>
      </c>
      <c r="AD946" t="str">
        <f>IF(X946="","",VLOOKUP($X946,RM!$C$4:$G991,4,FALSE))</f>
        <v/>
      </c>
      <c r="AE946" t="str">
        <f>IF(X946="","",VLOOKUP($X946,RM!$C$4:$G991,5,FALSE))</f>
        <v/>
      </c>
      <c r="AK946" t="e">
        <f ca="1">_xludf.IFNA(VLOOKUP(AG946,'S-FG'!$B$3:$B1001,1,FALSE),"")</f>
        <v>#NAME?</v>
      </c>
      <c r="AL946" t="str">
        <f>IF(AH946="","",SUMIFS(#REF!,RM!$C$4:$C991,AH946))</f>
        <v/>
      </c>
    </row>
    <row r="947" spans="5:38">
      <c r="E947" t="str">
        <f>IF(A947="","",SUMIFS(Issue!$D$3:$D1001,Issue!$C$3:$C1001,A947)*C947)</f>
        <v/>
      </c>
      <c r="F947" t="e">
        <f ca="1">_xludf.IFNA(VLOOKUP(B947,'S-FG'!$B$3:$B1001,1,FALSE),"")</f>
        <v>#NAME?</v>
      </c>
      <c r="L947" t="str">
        <f t="shared" si="10"/>
        <v/>
      </c>
      <c r="Q947" t="str">
        <f>IF(N947="","",SUMIFS(Issue!$D$3:$D1001,Issue!$C$3:$C1001,N947))</f>
        <v/>
      </c>
      <c r="Y947" t="str">
        <f t="shared" si="11"/>
        <v/>
      </c>
      <c r="Z947" t="str">
        <f>IF(X947="","",SUMIFS(#REF!,RM!$C$4:$C991,X947))</f>
        <v/>
      </c>
      <c r="AA947" t="str">
        <f>IF(X947="","",SUMIFS(#REF!,RM!$C$4:$C991,X947))</f>
        <v/>
      </c>
      <c r="AB947" t="e">
        <f t="shared" si="12"/>
        <v>#VALUE!</v>
      </c>
      <c r="AC947" t="str">
        <f>IF(X947="","",VLOOKUP($X947,RM!$C$4:$G991,3,FALSE))</f>
        <v/>
      </c>
      <c r="AD947" t="str">
        <f>IF(X947="","",VLOOKUP($X947,RM!$C$4:$G991,4,FALSE))</f>
        <v/>
      </c>
      <c r="AE947" t="str">
        <f>IF(X947="","",VLOOKUP($X947,RM!$C$4:$G991,5,FALSE))</f>
        <v/>
      </c>
      <c r="AK947" t="e">
        <f ca="1">_xludf.IFNA(VLOOKUP(AG947,'S-FG'!$B$3:$B1001,1,FALSE),"")</f>
        <v>#NAME?</v>
      </c>
      <c r="AL947" t="str">
        <f>IF(AH947="","",SUMIFS(#REF!,RM!$C$4:$C991,AH947))</f>
        <v/>
      </c>
    </row>
    <row r="948" spans="5:38">
      <c r="E948" t="str">
        <f>IF(A948="","",SUMIFS(Issue!$D$3:$D1001,Issue!$C$3:$C1001,A948)*C948)</f>
        <v/>
      </c>
      <c r="F948" t="e">
        <f ca="1">_xludf.IFNA(VLOOKUP(B948,'S-FG'!$B$3:$B1001,1,FALSE),"")</f>
        <v>#NAME?</v>
      </c>
      <c r="L948" t="str">
        <f t="shared" si="10"/>
        <v/>
      </c>
      <c r="Q948" t="str">
        <f>IF(N948="","",SUMIFS(Issue!$D$3:$D1001,Issue!$C$3:$C1001,N948))</f>
        <v/>
      </c>
      <c r="Y948" t="str">
        <f t="shared" si="11"/>
        <v/>
      </c>
      <c r="Z948" t="str">
        <f>IF(X948="","",SUMIFS(#REF!,RM!$C$4:$C991,X948))</f>
        <v/>
      </c>
      <c r="AA948" t="str">
        <f>IF(X948="","",SUMIFS(#REF!,RM!$C$4:$C991,X948))</f>
        <v/>
      </c>
      <c r="AB948" t="e">
        <f t="shared" si="12"/>
        <v>#VALUE!</v>
      </c>
      <c r="AC948" t="str">
        <f>IF(X948="","",VLOOKUP($X948,RM!$C$4:$G991,3,FALSE))</f>
        <v/>
      </c>
      <c r="AD948" t="str">
        <f>IF(X948="","",VLOOKUP($X948,RM!$C$4:$G991,4,FALSE))</f>
        <v/>
      </c>
      <c r="AE948" t="str">
        <f>IF(X948="","",VLOOKUP($X948,RM!$C$4:$G991,5,FALSE))</f>
        <v/>
      </c>
      <c r="AK948" t="e">
        <f ca="1">_xludf.IFNA(VLOOKUP(AG948,'S-FG'!$B$3:$B1001,1,FALSE),"")</f>
        <v>#NAME?</v>
      </c>
      <c r="AL948" t="str">
        <f>IF(AH948="","",SUMIFS(#REF!,RM!$C$4:$C991,AH948))</f>
        <v/>
      </c>
    </row>
    <row r="949" spans="5:38">
      <c r="E949" t="str">
        <f>IF(A949="","",SUMIFS(Issue!$D$3:$D1001,Issue!$C$3:$C1001,A949)*C949)</f>
        <v/>
      </c>
      <c r="F949" t="e">
        <f ca="1">_xludf.IFNA(VLOOKUP(B949,'S-FG'!$B$3:$B1001,1,FALSE),"")</f>
        <v>#NAME?</v>
      </c>
      <c r="L949" t="str">
        <f t="shared" si="10"/>
        <v/>
      </c>
      <c r="Q949" t="str">
        <f>IF(N949="","",SUMIFS(Issue!$D$3:$D1001,Issue!$C$3:$C1001,N949))</f>
        <v/>
      </c>
      <c r="Y949" t="str">
        <f t="shared" si="11"/>
        <v/>
      </c>
      <c r="Z949" t="str">
        <f>IF(X949="","",SUMIFS(#REF!,RM!$C$4:$C991,X949))</f>
        <v/>
      </c>
      <c r="AA949" t="str">
        <f>IF(X949="","",SUMIFS(#REF!,RM!$C$4:$C991,X949))</f>
        <v/>
      </c>
      <c r="AB949" t="e">
        <f t="shared" si="12"/>
        <v>#VALUE!</v>
      </c>
      <c r="AC949" t="str">
        <f>IF(X949="","",VLOOKUP($X949,RM!$C$4:$G991,3,FALSE))</f>
        <v/>
      </c>
      <c r="AD949" t="str">
        <f>IF(X949="","",VLOOKUP($X949,RM!$C$4:$G991,4,FALSE))</f>
        <v/>
      </c>
      <c r="AE949" t="str">
        <f>IF(X949="","",VLOOKUP($X949,RM!$C$4:$G991,5,FALSE))</f>
        <v/>
      </c>
      <c r="AK949" t="e">
        <f ca="1">_xludf.IFNA(VLOOKUP(AG949,'S-FG'!$B$3:$B1001,1,FALSE),"")</f>
        <v>#NAME?</v>
      </c>
      <c r="AL949" t="str">
        <f>IF(AH949="","",SUMIFS(#REF!,RM!$C$4:$C991,AH949))</f>
        <v/>
      </c>
    </row>
    <row r="950" spans="5:38">
      <c r="E950" t="str">
        <f>IF(A950="","",SUMIFS(Issue!$D$3:$D1001,Issue!$C$3:$C1001,A950)*C950)</f>
        <v/>
      </c>
      <c r="F950" t="e">
        <f ca="1">_xludf.IFNA(VLOOKUP(B950,'S-FG'!$B$3:$B1001,1,FALSE),"")</f>
        <v>#NAME?</v>
      </c>
      <c r="L950" t="str">
        <f t="shared" si="10"/>
        <v/>
      </c>
      <c r="Q950" t="str">
        <f>IF(N950="","",SUMIFS(Issue!$D$3:$D1001,Issue!$C$3:$C1001,N950))</f>
        <v/>
      </c>
      <c r="Y950" t="str">
        <f t="shared" si="11"/>
        <v/>
      </c>
      <c r="Z950" t="str">
        <f>IF(X950="","",SUMIFS(#REF!,RM!$C$4:$C991,X950))</f>
        <v/>
      </c>
      <c r="AA950" t="str">
        <f>IF(X950="","",SUMIFS(#REF!,RM!$C$4:$C991,X950))</f>
        <v/>
      </c>
      <c r="AB950" t="e">
        <f t="shared" si="12"/>
        <v>#VALUE!</v>
      </c>
      <c r="AC950" t="str">
        <f>IF(X950="","",VLOOKUP($X950,RM!$C$4:$G991,3,FALSE))</f>
        <v/>
      </c>
      <c r="AD950" t="str">
        <f>IF(X950="","",VLOOKUP($X950,RM!$C$4:$G991,4,FALSE))</f>
        <v/>
      </c>
      <c r="AE950" t="str">
        <f>IF(X950="","",VLOOKUP($X950,RM!$C$4:$G991,5,FALSE))</f>
        <v/>
      </c>
      <c r="AK950" t="e">
        <f ca="1">_xludf.IFNA(VLOOKUP(AG950,'S-FG'!$B$3:$B1001,1,FALSE),"")</f>
        <v>#NAME?</v>
      </c>
      <c r="AL950" t="str">
        <f>IF(AH950="","",SUMIFS(#REF!,RM!$C$4:$C991,AH950))</f>
        <v/>
      </c>
    </row>
    <row r="951" spans="5:38">
      <c r="E951" t="str">
        <f>IF(A951="","",SUMIFS(Issue!$D$3:$D1001,Issue!$C$3:$C1001,A951)*C951)</f>
        <v/>
      </c>
      <c r="F951" t="e">
        <f ca="1">_xludf.IFNA(VLOOKUP(B951,'S-FG'!$B$3:$B1001,1,FALSE),"")</f>
        <v>#NAME?</v>
      </c>
      <c r="L951" t="str">
        <f t="shared" si="10"/>
        <v/>
      </c>
      <c r="Q951" t="str">
        <f>IF(N951="","",SUMIFS(Issue!$D$3:$D1001,Issue!$C$3:$C1001,N951))</f>
        <v/>
      </c>
      <c r="Y951" t="str">
        <f t="shared" si="11"/>
        <v/>
      </c>
      <c r="Z951" t="str">
        <f>IF(X951="","",SUMIFS(#REF!,RM!$C$4:$C991,X951))</f>
        <v/>
      </c>
      <c r="AA951" t="str">
        <f>IF(X951="","",SUMIFS(#REF!,RM!$C$4:$C991,X951))</f>
        <v/>
      </c>
      <c r="AB951" t="e">
        <f t="shared" si="12"/>
        <v>#VALUE!</v>
      </c>
      <c r="AC951" t="str">
        <f>IF(X951="","",VLOOKUP($X951,RM!$C$4:$G991,3,FALSE))</f>
        <v/>
      </c>
      <c r="AD951" t="str">
        <f>IF(X951="","",VLOOKUP($X951,RM!$C$4:$G991,4,FALSE))</f>
        <v/>
      </c>
      <c r="AE951" t="str">
        <f>IF(X951="","",VLOOKUP($X951,RM!$C$4:$G991,5,FALSE))</f>
        <v/>
      </c>
      <c r="AK951" t="e">
        <f ca="1">_xludf.IFNA(VLOOKUP(AG951,'S-FG'!$B$3:$B1001,1,FALSE),"")</f>
        <v>#NAME?</v>
      </c>
      <c r="AL951" t="str">
        <f>IF(AH951="","",SUMIFS(#REF!,RM!$C$4:$C991,AH951))</f>
        <v/>
      </c>
    </row>
    <row r="952" spans="5:38">
      <c r="E952" t="str">
        <f>IF(A952="","",SUMIFS(Issue!$D$3:$D1001,Issue!$C$3:$C1001,A952)*C952)</f>
        <v/>
      </c>
      <c r="F952" t="e">
        <f ca="1">_xludf.IFNA(VLOOKUP(B952,'S-FG'!$B$3:$B1001,1,FALSE),"")</f>
        <v>#NAME?</v>
      </c>
      <c r="L952" t="str">
        <f t="shared" si="10"/>
        <v/>
      </c>
      <c r="Q952" t="str">
        <f>IF(N952="","",SUMIFS(Issue!$D$3:$D1001,Issue!$C$3:$C1001,N952))</f>
        <v/>
      </c>
      <c r="Y952" t="str">
        <f t="shared" si="11"/>
        <v/>
      </c>
      <c r="Z952" t="str">
        <f>IF(X952="","",SUMIFS(#REF!,RM!$C$4:$C991,X952))</f>
        <v/>
      </c>
      <c r="AA952" t="str">
        <f>IF(X952="","",SUMIFS(#REF!,RM!$C$4:$C991,X952))</f>
        <v/>
      </c>
      <c r="AB952" t="e">
        <f t="shared" si="12"/>
        <v>#VALUE!</v>
      </c>
      <c r="AC952" t="str">
        <f>IF(X952="","",VLOOKUP($X952,RM!$C$4:$G991,3,FALSE))</f>
        <v/>
      </c>
      <c r="AD952" t="str">
        <f>IF(X952="","",VLOOKUP($X952,RM!$C$4:$G991,4,FALSE))</f>
        <v/>
      </c>
      <c r="AE952" t="str">
        <f>IF(X952="","",VLOOKUP($X952,RM!$C$4:$G991,5,FALSE))</f>
        <v/>
      </c>
      <c r="AK952" t="e">
        <f ca="1">_xludf.IFNA(VLOOKUP(AG952,'S-FG'!$B$3:$B1001,1,FALSE),"")</f>
        <v>#NAME?</v>
      </c>
      <c r="AL952" t="str">
        <f>IF(AH952="","",SUMIFS(#REF!,RM!$C$4:$C991,AH952))</f>
        <v/>
      </c>
    </row>
    <row r="953" spans="5:38">
      <c r="E953" t="str">
        <f>IF(A953="","",SUMIFS(Issue!$D$3:$D1001,Issue!$C$3:$C1001,A953)*C953)</f>
        <v/>
      </c>
      <c r="F953" t="e">
        <f ca="1">_xludf.IFNA(VLOOKUP(B953,'S-FG'!$B$3:$B1001,1,FALSE),"")</f>
        <v>#NAME?</v>
      </c>
      <c r="L953" t="str">
        <f t="shared" si="10"/>
        <v/>
      </c>
      <c r="Q953" t="str">
        <f>IF(N953="","",SUMIFS(Issue!$D$3:$D1001,Issue!$C$3:$C1001,N953))</f>
        <v/>
      </c>
      <c r="Y953" t="str">
        <f t="shared" si="11"/>
        <v/>
      </c>
      <c r="Z953" t="str">
        <f>IF(X953="","",SUMIFS(#REF!,RM!$C$4:$C991,X953))</f>
        <v/>
      </c>
      <c r="AA953" t="str">
        <f>IF(X953="","",SUMIFS(#REF!,RM!$C$4:$C991,X953))</f>
        <v/>
      </c>
      <c r="AB953" t="e">
        <f t="shared" si="12"/>
        <v>#VALUE!</v>
      </c>
      <c r="AC953" t="str">
        <f>IF(X953="","",VLOOKUP($X953,RM!$C$4:$G991,3,FALSE))</f>
        <v/>
      </c>
      <c r="AD953" t="str">
        <f>IF(X953="","",VLOOKUP($X953,RM!$C$4:$G991,4,FALSE))</f>
        <v/>
      </c>
      <c r="AE953" t="str">
        <f>IF(X953="","",VLOOKUP($X953,RM!$C$4:$G991,5,FALSE))</f>
        <v/>
      </c>
      <c r="AK953" t="e">
        <f ca="1">_xludf.IFNA(VLOOKUP(AG953,'S-FG'!$B$3:$B1001,1,FALSE),"")</f>
        <v>#NAME?</v>
      </c>
      <c r="AL953" t="str">
        <f>IF(AH953="","",SUMIFS(#REF!,RM!$C$4:$C991,AH953))</f>
        <v/>
      </c>
    </row>
    <row r="954" spans="5:38">
      <c r="E954" t="str">
        <f>IF(A954="","",SUMIFS(Issue!$D$3:$D1001,Issue!$C$3:$C1001,A954)*C954)</f>
        <v/>
      </c>
      <c r="F954" t="e">
        <f ca="1">_xludf.IFNA(VLOOKUP(B954,'S-FG'!$B$3:$B1001,1,FALSE),"")</f>
        <v>#NAME?</v>
      </c>
      <c r="L954" t="str">
        <f t="shared" si="10"/>
        <v/>
      </c>
      <c r="Q954" t="str">
        <f>IF(N954="","",SUMIFS(Issue!$D$3:$D1001,Issue!$C$3:$C1001,N954))</f>
        <v/>
      </c>
      <c r="Y954" t="str">
        <f t="shared" si="11"/>
        <v/>
      </c>
      <c r="Z954" t="str">
        <f>IF(X954="","",SUMIFS(#REF!,RM!$C$4:$C991,X954))</f>
        <v/>
      </c>
      <c r="AA954" t="str">
        <f>IF(X954="","",SUMIFS(#REF!,RM!$C$4:$C991,X954))</f>
        <v/>
      </c>
      <c r="AB954" t="e">
        <f t="shared" si="12"/>
        <v>#VALUE!</v>
      </c>
      <c r="AC954" t="str">
        <f>IF(X954="","",VLOOKUP($X954,RM!$C$4:$G991,3,FALSE))</f>
        <v/>
      </c>
      <c r="AD954" t="str">
        <f>IF(X954="","",VLOOKUP($X954,RM!$C$4:$G991,4,FALSE))</f>
        <v/>
      </c>
      <c r="AE954" t="str">
        <f>IF(X954="","",VLOOKUP($X954,RM!$C$4:$G991,5,FALSE))</f>
        <v/>
      </c>
      <c r="AK954" t="e">
        <f ca="1">_xludf.IFNA(VLOOKUP(AG954,'S-FG'!$B$3:$B1001,1,FALSE),"")</f>
        <v>#NAME?</v>
      </c>
      <c r="AL954" t="str">
        <f>IF(AH954="","",SUMIFS(#REF!,RM!$C$4:$C991,AH954))</f>
        <v/>
      </c>
    </row>
    <row r="955" spans="5:38">
      <c r="E955" t="str">
        <f>IF(A955="","",SUMIFS(Issue!$D$3:$D1001,Issue!$C$3:$C1001,A955)*C955)</f>
        <v/>
      </c>
      <c r="F955" t="e">
        <f ca="1">_xludf.IFNA(VLOOKUP(B955,'S-FG'!$B$3:$B1001,1,FALSE),"")</f>
        <v>#NAME?</v>
      </c>
      <c r="L955" t="str">
        <f t="shared" si="10"/>
        <v/>
      </c>
      <c r="Q955" t="str">
        <f>IF(N955="","",SUMIFS(Issue!$D$3:$D1001,Issue!$C$3:$C1001,N955))</f>
        <v/>
      </c>
      <c r="Y955" t="str">
        <f t="shared" si="11"/>
        <v/>
      </c>
      <c r="Z955" t="str">
        <f>IF(X955="","",SUMIFS(#REF!,RM!$C$4:$C991,X955))</f>
        <v/>
      </c>
      <c r="AA955" t="str">
        <f>IF(X955="","",SUMIFS(#REF!,RM!$C$4:$C991,X955))</f>
        <v/>
      </c>
      <c r="AB955" t="e">
        <f t="shared" si="12"/>
        <v>#VALUE!</v>
      </c>
      <c r="AC955" t="str">
        <f>IF(X955="","",VLOOKUP($X955,RM!$C$4:$G991,3,FALSE))</f>
        <v/>
      </c>
      <c r="AD955" t="str">
        <f>IF(X955="","",VLOOKUP($X955,RM!$C$4:$G991,4,FALSE))</f>
        <v/>
      </c>
      <c r="AE955" t="str">
        <f>IF(X955="","",VLOOKUP($X955,RM!$C$4:$G991,5,FALSE))</f>
        <v/>
      </c>
      <c r="AK955" t="e">
        <f ca="1">_xludf.IFNA(VLOOKUP(AG955,'S-FG'!$B$3:$B1001,1,FALSE),"")</f>
        <v>#NAME?</v>
      </c>
      <c r="AL955" t="str">
        <f>IF(AH955="","",SUMIFS(#REF!,RM!$C$4:$C991,AH955))</f>
        <v/>
      </c>
    </row>
    <row r="956" spans="5:38">
      <c r="E956" t="str">
        <f>IF(A956="","",SUMIFS(Issue!$D$3:$D1001,Issue!$C$3:$C1001,A956)*C956)</f>
        <v/>
      </c>
      <c r="F956" t="e">
        <f ca="1">_xludf.IFNA(VLOOKUP(B956,'S-FG'!$B$3:$B1001,1,FALSE),"")</f>
        <v>#NAME?</v>
      </c>
      <c r="L956" t="str">
        <f t="shared" si="10"/>
        <v/>
      </c>
      <c r="Q956" t="str">
        <f>IF(N956="","",SUMIFS(Issue!$D$3:$D1001,Issue!$C$3:$C1001,N956))</f>
        <v/>
      </c>
      <c r="Y956" t="str">
        <f t="shared" si="11"/>
        <v/>
      </c>
      <c r="Z956" t="str">
        <f>IF(X956="","",SUMIFS(#REF!,RM!$C$4:$C991,X956))</f>
        <v/>
      </c>
      <c r="AA956" t="str">
        <f>IF(X956="","",SUMIFS(#REF!,RM!$C$4:$C991,X956))</f>
        <v/>
      </c>
      <c r="AB956" t="e">
        <f t="shared" si="12"/>
        <v>#VALUE!</v>
      </c>
      <c r="AC956" t="str">
        <f>IF(X956="","",VLOOKUP($X956,RM!$C$4:$G991,3,FALSE))</f>
        <v/>
      </c>
      <c r="AD956" t="str">
        <f>IF(X956="","",VLOOKUP($X956,RM!$C$4:$G991,4,FALSE))</f>
        <v/>
      </c>
      <c r="AE956" t="str">
        <f>IF(X956="","",VLOOKUP($X956,RM!$C$4:$G991,5,FALSE))</f>
        <v/>
      </c>
      <c r="AK956" t="e">
        <f ca="1">_xludf.IFNA(VLOOKUP(AG956,'S-FG'!$B$3:$B1001,1,FALSE),"")</f>
        <v>#NAME?</v>
      </c>
      <c r="AL956" t="str">
        <f>IF(AH956="","",SUMIFS(#REF!,RM!$C$4:$C991,AH956))</f>
        <v/>
      </c>
    </row>
    <row r="957" spans="5:38">
      <c r="E957" t="str">
        <f>IF(A957="","",SUMIFS(Issue!$D$3:$D1001,Issue!$C$3:$C1001,A957)*C957)</f>
        <v/>
      </c>
      <c r="F957" t="e">
        <f ca="1">_xludf.IFNA(VLOOKUP(B957,'S-FG'!$B$3:$B1001,1,FALSE),"")</f>
        <v>#NAME?</v>
      </c>
      <c r="L957" t="str">
        <f t="shared" si="10"/>
        <v/>
      </c>
      <c r="Q957" t="str">
        <f>IF(N957="","",SUMIFS(Issue!$D$3:$D1001,Issue!$C$3:$C1001,N957))</f>
        <v/>
      </c>
      <c r="Y957" t="str">
        <f t="shared" si="11"/>
        <v/>
      </c>
      <c r="Z957" t="str">
        <f>IF(X957="","",SUMIFS(#REF!,RM!$C$4:$C991,X957))</f>
        <v/>
      </c>
      <c r="AA957" t="str">
        <f>IF(X957="","",SUMIFS(#REF!,RM!$C$4:$C991,X957))</f>
        <v/>
      </c>
      <c r="AB957" t="e">
        <f t="shared" si="12"/>
        <v>#VALUE!</v>
      </c>
      <c r="AC957" t="str">
        <f>IF(X957="","",VLOOKUP($X957,RM!$C$4:$G991,3,FALSE))</f>
        <v/>
      </c>
      <c r="AD957" t="str">
        <f>IF(X957="","",VLOOKUP($X957,RM!$C$4:$G991,4,FALSE))</f>
        <v/>
      </c>
      <c r="AE957" t="str">
        <f>IF(X957="","",VLOOKUP($X957,RM!$C$4:$G991,5,FALSE))</f>
        <v/>
      </c>
      <c r="AK957" t="e">
        <f ca="1">_xludf.IFNA(VLOOKUP(AG957,'S-FG'!$B$3:$B1001,1,FALSE),"")</f>
        <v>#NAME?</v>
      </c>
      <c r="AL957" t="str">
        <f>IF(AH957="","",SUMIFS(#REF!,RM!$C$4:$C991,AH957))</f>
        <v/>
      </c>
    </row>
    <row r="958" spans="5:38">
      <c r="E958" t="str">
        <f>IF(A958="","",SUMIFS(Issue!$D$3:$D1001,Issue!$C$3:$C1001,A958)*C958)</f>
        <v/>
      </c>
      <c r="F958" t="e">
        <f ca="1">_xludf.IFNA(VLOOKUP(B958,'S-FG'!$B$3:$B1001,1,FALSE),"")</f>
        <v>#NAME?</v>
      </c>
      <c r="L958" t="str">
        <f t="shared" si="10"/>
        <v/>
      </c>
      <c r="Q958" t="str">
        <f>IF(N958="","",SUMIFS(Issue!$D$3:$D1001,Issue!$C$3:$C1001,N958))</f>
        <v/>
      </c>
      <c r="Y958" t="str">
        <f t="shared" si="11"/>
        <v/>
      </c>
      <c r="Z958" t="str">
        <f>IF(X958="","",SUMIFS(#REF!,RM!$C$4:$C991,X958))</f>
        <v/>
      </c>
      <c r="AA958" t="str">
        <f>IF(X958="","",SUMIFS(#REF!,RM!$C$4:$C991,X958))</f>
        <v/>
      </c>
      <c r="AB958" t="e">
        <f t="shared" si="12"/>
        <v>#VALUE!</v>
      </c>
      <c r="AC958" t="str">
        <f>IF(X958="","",VLOOKUP($X958,RM!$C$4:$G991,3,FALSE))</f>
        <v/>
      </c>
      <c r="AD958" t="str">
        <f>IF(X958="","",VLOOKUP($X958,RM!$C$4:$G991,4,FALSE))</f>
        <v/>
      </c>
      <c r="AE958" t="str">
        <f>IF(X958="","",VLOOKUP($X958,RM!$C$4:$G991,5,FALSE))</f>
        <v/>
      </c>
      <c r="AK958" t="e">
        <f ca="1">_xludf.IFNA(VLOOKUP(AG958,'S-FG'!$B$3:$B1001,1,FALSE),"")</f>
        <v>#NAME?</v>
      </c>
      <c r="AL958" t="str">
        <f>IF(AH958="","",SUMIFS(#REF!,RM!$C$4:$C991,AH958))</f>
        <v/>
      </c>
    </row>
    <row r="959" spans="5:38">
      <c r="E959" t="str">
        <f>IF(A959="","",SUMIFS(Issue!$D$3:$D1001,Issue!$C$3:$C1001,A959)*C959)</f>
        <v/>
      </c>
      <c r="F959" t="e">
        <f ca="1">_xludf.IFNA(VLOOKUP(B959,'S-FG'!$B$3:$B1001,1,FALSE),"")</f>
        <v>#NAME?</v>
      </c>
      <c r="L959" t="str">
        <f t="shared" si="10"/>
        <v/>
      </c>
      <c r="Q959" t="str">
        <f>IF(N959="","",SUMIFS(Issue!$D$3:$D1001,Issue!$C$3:$C1001,N959))</f>
        <v/>
      </c>
      <c r="Y959" t="str">
        <f t="shared" si="11"/>
        <v/>
      </c>
      <c r="Z959" t="str">
        <f>IF(X959="","",SUMIFS(#REF!,RM!$C$4:$C991,X959))</f>
        <v/>
      </c>
      <c r="AA959" t="str">
        <f>IF(X959="","",SUMIFS(#REF!,RM!$C$4:$C991,X959))</f>
        <v/>
      </c>
      <c r="AB959" t="e">
        <f t="shared" si="12"/>
        <v>#VALUE!</v>
      </c>
      <c r="AC959" t="str">
        <f>IF(X959="","",VLOOKUP($X959,RM!$C$4:$G991,3,FALSE))</f>
        <v/>
      </c>
      <c r="AD959" t="str">
        <f>IF(X959="","",VLOOKUP($X959,RM!$C$4:$G991,4,FALSE))</f>
        <v/>
      </c>
      <c r="AE959" t="str">
        <f>IF(X959="","",VLOOKUP($X959,RM!$C$4:$G991,5,FALSE))</f>
        <v/>
      </c>
      <c r="AK959" t="e">
        <f ca="1">_xludf.IFNA(VLOOKUP(AG959,'S-FG'!$B$3:$B1001,1,FALSE),"")</f>
        <v>#NAME?</v>
      </c>
      <c r="AL959" t="str">
        <f>IF(AH959="","",SUMIFS(#REF!,RM!$C$4:$C991,AH959))</f>
        <v/>
      </c>
    </row>
    <row r="960" spans="5:38">
      <c r="E960" t="str">
        <f>IF(A960="","",SUMIFS(Issue!$D$3:$D1001,Issue!$C$3:$C1001,A960)*C960)</f>
        <v/>
      </c>
      <c r="F960" t="e">
        <f ca="1">_xludf.IFNA(VLOOKUP(B960,'S-FG'!$B$3:$B1001,1,FALSE),"")</f>
        <v>#NAME?</v>
      </c>
      <c r="L960" t="str">
        <f t="shared" si="10"/>
        <v/>
      </c>
      <c r="Q960" t="str">
        <f>IF(N960="","",SUMIFS(Issue!$D$3:$D1001,Issue!$C$3:$C1001,N960))</f>
        <v/>
      </c>
      <c r="Y960" t="str">
        <f t="shared" si="11"/>
        <v/>
      </c>
      <c r="Z960" t="str">
        <f>IF(X960="","",SUMIFS(#REF!,RM!$C$4:$C991,X960))</f>
        <v/>
      </c>
      <c r="AA960" t="str">
        <f>IF(X960="","",SUMIFS(#REF!,RM!$C$4:$C991,X960))</f>
        <v/>
      </c>
      <c r="AB960" t="e">
        <f t="shared" si="12"/>
        <v>#VALUE!</v>
      </c>
      <c r="AC960" t="str">
        <f>IF(X960="","",VLOOKUP($X960,RM!$C$4:$G991,3,FALSE))</f>
        <v/>
      </c>
      <c r="AD960" t="str">
        <f>IF(X960="","",VLOOKUP($X960,RM!$C$4:$G991,4,FALSE))</f>
        <v/>
      </c>
      <c r="AE960" t="str">
        <f>IF(X960="","",VLOOKUP($X960,RM!$C$4:$G991,5,FALSE))</f>
        <v/>
      </c>
      <c r="AK960" t="e">
        <f ca="1">_xludf.IFNA(VLOOKUP(AG960,'S-FG'!$B$3:$B1001,1,FALSE),"")</f>
        <v>#NAME?</v>
      </c>
      <c r="AL960" t="str">
        <f>IF(AH960="","",SUMIFS(#REF!,RM!$C$4:$C991,AH960))</f>
        <v/>
      </c>
    </row>
    <row r="961" spans="5:38">
      <c r="E961" t="str">
        <f>IF(A961="","",SUMIFS(Issue!$D$3:$D1001,Issue!$C$3:$C1001,A961)*C961)</f>
        <v/>
      </c>
      <c r="F961" t="e">
        <f ca="1">_xludf.IFNA(VLOOKUP(B961,'S-FG'!$B$3:$B1001,1,FALSE),"")</f>
        <v>#NAME?</v>
      </c>
      <c r="L961" t="str">
        <f t="shared" si="10"/>
        <v/>
      </c>
      <c r="Q961" t="str">
        <f>IF(N961="","",SUMIFS(Issue!$D$3:$D1001,Issue!$C$3:$C1001,N961))</f>
        <v/>
      </c>
      <c r="Y961" t="str">
        <f t="shared" si="11"/>
        <v/>
      </c>
      <c r="Z961" t="str">
        <f>IF(X961="","",SUMIFS(#REF!,RM!$C$4:$C991,X961))</f>
        <v/>
      </c>
      <c r="AA961" t="str">
        <f>IF(X961="","",SUMIFS(#REF!,RM!$C$4:$C991,X961))</f>
        <v/>
      </c>
      <c r="AB961" t="e">
        <f t="shared" si="12"/>
        <v>#VALUE!</v>
      </c>
      <c r="AC961" t="str">
        <f>IF(X961="","",VLOOKUP($X961,RM!$C$4:$G991,3,FALSE))</f>
        <v/>
      </c>
      <c r="AD961" t="str">
        <f>IF(X961="","",VLOOKUP($X961,RM!$C$4:$G991,4,FALSE))</f>
        <v/>
      </c>
      <c r="AE961" t="str">
        <f>IF(X961="","",VLOOKUP($X961,RM!$C$4:$G991,5,FALSE))</f>
        <v/>
      </c>
      <c r="AK961" t="e">
        <f ca="1">_xludf.IFNA(VLOOKUP(AG961,'S-FG'!$B$3:$B1001,1,FALSE),"")</f>
        <v>#NAME?</v>
      </c>
      <c r="AL961" t="str">
        <f>IF(AH961="","",SUMIFS(#REF!,RM!$C$4:$C991,AH961))</f>
        <v/>
      </c>
    </row>
    <row r="962" spans="5:38">
      <c r="E962" t="str">
        <f>IF(A962="","",SUMIFS(Issue!$D$3:$D1001,Issue!$C$3:$C1001,A962)*C962)</f>
        <v/>
      </c>
      <c r="F962" t="e">
        <f ca="1">_xludf.IFNA(VLOOKUP(B962,'S-FG'!$B$3:$B1001,1,FALSE),"")</f>
        <v>#NAME?</v>
      </c>
      <c r="L962" t="str">
        <f t="shared" si="10"/>
        <v/>
      </c>
      <c r="Q962" t="str">
        <f>IF(N962="","",SUMIFS(Issue!$D$3:$D1001,Issue!$C$3:$C1001,N962))</f>
        <v/>
      </c>
      <c r="Y962" t="str">
        <f t="shared" si="11"/>
        <v/>
      </c>
      <c r="Z962" t="str">
        <f>IF(X962="","",SUMIFS(#REF!,RM!$C$4:$C991,X962))</f>
        <v/>
      </c>
      <c r="AA962" t="str">
        <f>IF(X962="","",SUMIFS(#REF!,RM!$C$4:$C991,X962))</f>
        <v/>
      </c>
      <c r="AB962" t="e">
        <f t="shared" si="12"/>
        <v>#VALUE!</v>
      </c>
      <c r="AC962" t="str">
        <f>IF(X962="","",VLOOKUP($X962,RM!$C$4:$G991,3,FALSE))</f>
        <v/>
      </c>
      <c r="AD962" t="str">
        <f>IF(X962="","",VLOOKUP($X962,RM!$C$4:$G991,4,FALSE))</f>
        <v/>
      </c>
      <c r="AE962" t="str">
        <f>IF(X962="","",VLOOKUP($X962,RM!$C$4:$G991,5,FALSE))</f>
        <v/>
      </c>
      <c r="AK962" t="e">
        <f ca="1">_xludf.IFNA(VLOOKUP(AG962,'S-FG'!$B$3:$B1001,1,FALSE),"")</f>
        <v>#NAME?</v>
      </c>
      <c r="AL962" t="str">
        <f>IF(AH962="","",SUMIFS(#REF!,RM!$C$4:$C991,AH962))</f>
        <v/>
      </c>
    </row>
    <row r="963" spans="5:38">
      <c r="E963" t="str">
        <f>IF(A963="","",SUMIFS(Issue!$D$3:$D1001,Issue!$C$3:$C1001,A963)*C963)</f>
        <v/>
      </c>
      <c r="F963" t="e">
        <f ca="1">_xludf.IFNA(VLOOKUP(B963,'S-FG'!$B$3:$B1001,1,FALSE),"")</f>
        <v>#NAME?</v>
      </c>
      <c r="L963" t="str">
        <f t="shared" si="10"/>
        <v/>
      </c>
      <c r="Q963" t="str">
        <f>IF(N963="","",SUMIFS(Issue!$D$3:$D1001,Issue!$C$3:$C1001,N963))</f>
        <v/>
      </c>
      <c r="Y963" t="str">
        <f t="shared" si="11"/>
        <v/>
      </c>
      <c r="Z963" t="str">
        <f>IF(X963="","",SUMIFS(#REF!,RM!$C$4:$C991,X963))</f>
        <v/>
      </c>
      <c r="AA963" t="str">
        <f>IF(X963="","",SUMIFS(#REF!,RM!$C$4:$C991,X963))</f>
        <v/>
      </c>
      <c r="AB963" t="e">
        <f t="shared" si="12"/>
        <v>#VALUE!</v>
      </c>
      <c r="AC963" t="str">
        <f>IF(X963="","",VLOOKUP($X963,RM!$C$4:$G991,3,FALSE))</f>
        <v/>
      </c>
      <c r="AD963" t="str">
        <f>IF(X963="","",VLOOKUP($X963,RM!$C$4:$G991,4,FALSE))</f>
        <v/>
      </c>
      <c r="AE963" t="str">
        <f>IF(X963="","",VLOOKUP($X963,RM!$C$4:$G991,5,FALSE))</f>
        <v/>
      </c>
      <c r="AK963" t="e">
        <f ca="1">_xludf.IFNA(VLOOKUP(AG963,'S-FG'!$B$3:$B1001,1,FALSE),"")</f>
        <v>#NAME?</v>
      </c>
      <c r="AL963" t="str">
        <f>IF(AH963="","",SUMIFS(#REF!,RM!$C$4:$C991,AH963))</f>
        <v/>
      </c>
    </row>
    <row r="964" spans="5:38">
      <c r="E964" t="str">
        <f>IF(A964="","",SUMIFS(Issue!$D$3:$D1001,Issue!$C$3:$C1001,A964)*C964)</f>
        <v/>
      </c>
      <c r="F964" t="e">
        <f ca="1">_xludf.IFNA(VLOOKUP(B964,'S-FG'!$B$3:$B1001,1,FALSE),"")</f>
        <v>#NAME?</v>
      </c>
      <c r="L964" t="str">
        <f t="shared" si="10"/>
        <v/>
      </c>
      <c r="Q964" t="str">
        <f>IF(N964="","",SUMIFS(Issue!$D$3:$D1001,Issue!$C$3:$C1001,N964))</f>
        <v/>
      </c>
      <c r="Y964" t="str">
        <f t="shared" si="11"/>
        <v/>
      </c>
      <c r="Z964" t="str">
        <f>IF(X964="","",SUMIFS(#REF!,RM!$C$4:$C991,X964))</f>
        <v/>
      </c>
      <c r="AA964" t="str">
        <f>IF(X964="","",SUMIFS(#REF!,RM!$C$4:$C991,X964))</f>
        <v/>
      </c>
      <c r="AB964" t="e">
        <f t="shared" si="12"/>
        <v>#VALUE!</v>
      </c>
      <c r="AC964" t="str">
        <f>IF(X964="","",VLOOKUP($X964,RM!$C$4:$G991,3,FALSE))</f>
        <v/>
      </c>
      <c r="AD964" t="str">
        <f>IF(X964="","",VLOOKUP($X964,RM!$C$4:$G991,4,FALSE))</f>
        <v/>
      </c>
      <c r="AE964" t="str">
        <f>IF(X964="","",VLOOKUP($X964,RM!$C$4:$G991,5,FALSE))</f>
        <v/>
      </c>
      <c r="AK964" t="e">
        <f ca="1">_xludf.IFNA(VLOOKUP(AG964,'S-FG'!$B$3:$B1001,1,FALSE),"")</f>
        <v>#NAME?</v>
      </c>
      <c r="AL964" t="str">
        <f>IF(AH964="","",SUMIFS(#REF!,RM!$C$4:$C991,AH964))</f>
        <v/>
      </c>
    </row>
    <row r="965" spans="5:38">
      <c r="E965" t="str">
        <f>IF(A965="","",SUMIFS(Issue!$D$3:$D1001,Issue!$C$3:$C1001,A965)*C965)</f>
        <v/>
      </c>
      <c r="F965" t="e">
        <f ca="1">_xludf.IFNA(VLOOKUP(B965,'S-FG'!$B$3:$B1001,1,FALSE),"")</f>
        <v>#NAME?</v>
      </c>
      <c r="L965" t="str">
        <f t="shared" si="10"/>
        <v/>
      </c>
      <c r="Q965" t="str">
        <f>IF(N965="","",SUMIFS(Issue!$D$3:$D1001,Issue!$C$3:$C1001,N965))</f>
        <v/>
      </c>
      <c r="Y965" t="str">
        <f t="shared" si="11"/>
        <v/>
      </c>
      <c r="Z965" t="str">
        <f>IF(X965="","",SUMIFS(#REF!,RM!$C$4:$C991,X965))</f>
        <v/>
      </c>
      <c r="AA965" t="str">
        <f>IF(X965="","",SUMIFS(#REF!,RM!$C$4:$C991,X965))</f>
        <v/>
      </c>
      <c r="AB965" t="e">
        <f t="shared" si="12"/>
        <v>#VALUE!</v>
      </c>
      <c r="AC965" t="str">
        <f>IF(X965="","",VLOOKUP($X965,RM!$C$4:$G991,3,FALSE))</f>
        <v/>
      </c>
      <c r="AD965" t="str">
        <f>IF(X965="","",VLOOKUP($X965,RM!$C$4:$G991,4,FALSE))</f>
        <v/>
      </c>
      <c r="AE965" t="str">
        <f>IF(X965="","",VLOOKUP($X965,RM!$C$4:$G991,5,FALSE))</f>
        <v/>
      </c>
      <c r="AK965" t="e">
        <f ca="1">_xludf.IFNA(VLOOKUP(AG965,'S-FG'!$B$3:$B1001,1,FALSE),"")</f>
        <v>#NAME?</v>
      </c>
      <c r="AL965" t="str">
        <f>IF(AH965="","",SUMIFS(#REF!,RM!$C$4:$C991,AH965))</f>
        <v/>
      </c>
    </row>
    <row r="966" spans="5:38">
      <c r="E966" t="str">
        <f>IF(A966="","",SUMIFS(Issue!$D$3:$D1001,Issue!$C$3:$C1001,A966)*C966)</f>
        <v/>
      </c>
      <c r="F966" t="e">
        <f ca="1">_xludf.IFNA(VLOOKUP(B966,'S-FG'!$B$3:$B1001,1,FALSE),"")</f>
        <v>#NAME?</v>
      </c>
      <c r="L966" t="str">
        <f t="shared" si="10"/>
        <v/>
      </c>
      <c r="Q966" t="str">
        <f>IF(N966="","",SUMIFS(Issue!$D$3:$D1001,Issue!$C$3:$C1001,N966))</f>
        <v/>
      </c>
      <c r="Y966" t="str">
        <f t="shared" si="11"/>
        <v/>
      </c>
      <c r="Z966" t="str">
        <f>IF(X966="","",SUMIFS(#REF!,RM!$C$4:$C991,X966))</f>
        <v/>
      </c>
      <c r="AA966" t="str">
        <f>IF(X966="","",SUMIFS(#REF!,RM!$C$4:$C991,X966))</f>
        <v/>
      </c>
      <c r="AB966" t="e">
        <f t="shared" si="12"/>
        <v>#VALUE!</v>
      </c>
      <c r="AC966" t="str">
        <f>IF(X966="","",VLOOKUP($X966,RM!$C$4:$G991,3,FALSE))</f>
        <v/>
      </c>
      <c r="AD966" t="str">
        <f>IF(X966="","",VLOOKUP($X966,RM!$C$4:$G991,4,FALSE))</f>
        <v/>
      </c>
      <c r="AE966" t="str">
        <f>IF(X966="","",VLOOKUP($X966,RM!$C$4:$G991,5,FALSE))</f>
        <v/>
      </c>
      <c r="AK966" t="e">
        <f ca="1">_xludf.IFNA(VLOOKUP(AG966,'S-FG'!$B$3:$B1001,1,FALSE),"")</f>
        <v>#NAME?</v>
      </c>
      <c r="AL966" t="str">
        <f>IF(AH966="","",SUMIFS(#REF!,RM!$C$4:$C991,AH966))</f>
        <v/>
      </c>
    </row>
    <row r="967" spans="5:38">
      <c r="E967" t="str">
        <f>IF(A967="","",SUMIFS(Issue!$D$3:$D1001,Issue!$C$3:$C1001,A967)*C967)</f>
        <v/>
      </c>
      <c r="F967" t="e">
        <f ca="1">_xludf.IFNA(VLOOKUP(B967,'S-FG'!$B$3:$B1001,1,FALSE),"")</f>
        <v>#NAME?</v>
      </c>
      <c r="L967" t="str">
        <f t="shared" si="10"/>
        <v/>
      </c>
      <c r="Q967" t="str">
        <f>IF(N967="","",SUMIFS(Issue!$D$3:$D1001,Issue!$C$3:$C1001,N967))</f>
        <v/>
      </c>
      <c r="Y967" t="str">
        <f t="shared" si="11"/>
        <v/>
      </c>
      <c r="Z967" t="str">
        <f>IF(X967="","",SUMIFS(#REF!,RM!$C$4:$C991,X967))</f>
        <v/>
      </c>
      <c r="AA967" t="str">
        <f>IF(X967="","",SUMIFS(#REF!,RM!$C$4:$C991,X967))</f>
        <v/>
      </c>
      <c r="AB967" t="e">
        <f t="shared" si="12"/>
        <v>#VALUE!</v>
      </c>
      <c r="AC967" t="str">
        <f>IF(X967="","",VLOOKUP($X967,RM!$C$4:$G991,3,FALSE))</f>
        <v/>
      </c>
      <c r="AD967" t="str">
        <f>IF(X967="","",VLOOKUP($X967,RM!$C$4:$G991,4,FALSE))</f>
        <v/>
      </c>
      <c r="AE967" t="str">
        <f>IF(X967="","",VLOOKUP($X967,RM!$C$4:$G991,5,FALSE))</f>
        <v/>
      </c>
      <c r="AK967" t="e">
        <f ca="1">_xludf.IFNA(VLOOKUP(AG967,'S-FG'!$B$3:$B1001,1,FALSE),"")</f>
        <v>#NAME?</v>
      </c>
      <c r="AL967" t="str">
        <f>IF(AH967="","",SUMIFS(#REF!,RM!$C$4:$C991,AH967))</f>
        <v/>
      </c>
    </row>
    <row r="968" spans="5:38">
      <c r="E968" t="str">
        <f>IF(A968="","",SUMIFS(Issue!$D$3:$D1001,Issue!$C$3:$C1001,A968)*C968)</f>
        <v/>
      </c>
      <c r="F968" t="e">
        <f ca="1">_xludf.IFNA(VLOOKUP(B968,'S-FG'!$B$3:$B1001,1,FALSE),"")</f>
        <v>#NAME?</v>
      </c>
      <c r="L968" t="str">
        <f t="shared" si="10"/>
        <v/>
      </c>
      <c r="Q968" t="str">
        <f>IF(N968="","",SUMIFS(Issue!$D$3:$D1001,Issue!$C$3:$C1001,N968))</f>
        <v/>
      </c>
      <c r="Y968" t="str">
        <f t="shared" si="11"/>
        <v/>
      </c>
      <c r="Z968" t="str">
        <f>IF(X968="","",SUMIFS(#REF!,RM!$C$4:$C991,X968))</f>
        <v/>
      </c>
      <c r="AA968" t="str">
        <f>IF(X968="","",SUMIFS(#REF!,RM!$C$4:$C991,X968))</f>
        <v/>
      </c>
      <c r="AB968" t="e">
        <f t="shared" si="12"/>
        <v>#VALUE!</v>
      </c>
      <c r="AC968" t="str">
        <f>IF(X968="","",VLOOKUP($X968,RM!$C$4:$G991,3,FALSE))</f>
        <v/>
      </c>
      <c r="AD968" t="str">
        <f>IF(X968="","",VLOOKUP($X968,RM!$C$4:$G991,4,FALSE))</f>
        <v/>
      </c>
      <c r="AE968" t="str">
        <f>IF(X968="","",VLOOKUP($X968,RM!$C$4:$G991,5,FALSE))</f>
        <v/>
      </c>
      <c r="AK968" t="e">
        <f ca="1">_xludf.IFNA(VLOOKUP(AG968,'S-FG'!$B$3:$B1001,1,FALSE),"")</f>
        <v>#NAME?</v>
      </c>
      <c r="AL968" t="str">
        <f>IF(AH968="","",SUMIFS(#REF!,RM!$C$4:$C991,AH968))</f>
        <v/>
      </c>
    </row>
    <row r="969" spans="5:38">
      <c r="E969" t="str">
        <f>IF(A969="","",SUMIFS(Issue!$D$3:$D1001,Issue!$C$3:$C1001,A969)*C969)</f>
        <v/>
      </c>
      <c r="F969" t="e">
        <f ca="1">_xludf.IFNA(VLOOKUP(B969,'S-FG'!$B$3:$B1001,1,FALSE),"")</f>
        <v>#NAME?</v>
      </c>
      <c r="L969" t="str">
        <f t="shared" si="10"/>
        <v/>
      </c>
      <c r="Q969" t="str">
        <f>IF(N969="","",SUMIFS(Issue!$D$3:$D1001,Issue!$C$3:$C1001,N969))</f>
        <v/>
      </c>
      <c r="Y969" t="str">
        <f t="shared" si="11"/>
        <v/>
      </c>
      <c r="Z969" t="str">
        <f>IF(X969="","",SUMIFS(#REF!,RM!$C$4:$C991,X969))</f>
        <v/>
      </c>
      <c r="AA969" t="str">
        <f>IF(X969="","",SUMIFS(#REF!,RM!$C$4:$C991,X969))</f>
        <v/>
      </c>
      <c r="AB969" t="e">
        <f t="shared" si="12"/>
        <v>#VALUE!</v>
      </c>
      <c r="AC969" t="str">
        <f>IF(X969="","",VLOOKUP($X969,RM!$C$4:$G991,3,FALSE))</f>
        <v/>
      </c>
      <c r="AD969" t="str">
        <f>IF(X969="","",VLOOKUP($X969,RM!$C$4:$G991,4,FALSE))</f>
        <v/>
      </c>
      <c r="AE969" t="str">
        <f>IF(X969="","",VLOOKUP($X969,RM!$C$4:$G991,5,FALSE))</f>
        <v/>
      </c>
      <c r="AK969" t="e">
        <f ca="1">_xludf.IFNA(VLOOKUP(AG969,'S-FG'!$B$3:$B1001,1,FALSE),"")</f>
        <v>#NAME?</v>
      </c>
      <c r="AL969" t="str">
        <f>IF(AH969="","",SUMIFS(#REF!,RM!$C$4:$C991,AH969))</f>
        <v/>
      </c>
    </row>
    <row r="970" spans="5:38">
      <c r="E970" t="str">
        <f>IF(A970="","",SUMIFS(Issue!$D$3:$D1001,Issue!$C$3:$C1001,A970)*C970)</f>
        <v/>
      </c>
      <c r="F970" t="e">
        <f ca="1">_xludf.IFNA(VLOOKUP(B970,'S-FG'!$B$3:$B1001,1,FALSE),"")</f>
        <v>#NAME?</v>
      </c>
      <c r="L970" t="str">
        <f t="shared" si="10"/>
        <v/>
      </c>
      <c r="Q970" t="str">
        <f>IF(N970="","",SUMIFS(Issue!$D$3:$D1001,Issue!$C$3:$C1001,N970))</f>
        <v/>
      </c>
      <c r="Y970" t="str">
        <f t="shared" si="11"/>
        <v/>
      </c>
      <c r="Z970" t="str">
        <f>IF(X970="","",SUMIFS(#REF!,RM!$C$4:$C991,X970))</f>
        <v/>
      </c>
      <c r="AA970" t="str">
        <f>IF(X970="","",SUMIFS(#REF!,RM!$C$4:$C991,X970))</f>
        <v/>
      </c>
      <c r="AB970" t="e">
        <f t="shared" si="12"/>
        <v>#VALUE!</v>
      </c>
      <c r="AC970" t="str">
        <f>IF(X970="","",VLOOKUP($X970,RM!$C$4:$G991,3,FALSE))</f>
        <v/>
      </c>
      <c r="AD970" t="str">
        <f>IF(X970="","",VLOOKUP($X970,RM!$C$4:$G991,4,FALSE))</f>
        <v/>
      </c>
      <c r="AE970" t="str">
        <f>IF(X970="","",VLOOKUP($X970,RM!$C$4:$G991,5,FALSE))</f>
        <v/>
      </c>
      <c r="AK970" t="e">
        <f ca="1">_xludf.IFNA(VLOOKUP(AG970,'S-FG'!$B$3:$B1001,1,FALSE),"")</f>
        <v>#NAME?</v>
      </c>
      <c r="AL970" t="str">
        <f>IF(AH970="","",SUMIFS(#REF!,RM!$C$4:$C991,AH970))</f>
        <v/>
      </c>
    </row>
    <row r="971" spans="5:38">
      <c r="E971" t="str">
        <f>IF(A971="","",SUMIFS(Issue!$D$3:$D1001,Issue!$C$3:$C1001,A971)*C971)</f>
        <v/>
      </c>
      <c r="F971" t="e">
        <f ca="1">_xludf.IFNA(VLOOKUP(B971,'S-FG'!$B$3:$B1001,1,FALSE),"")</f>
        <v>#NAME?</v>
      </c>
      <c r="L971" t="str">
        <f t="shared" si="10"/>
        <v/>
      </c>
      <c r="Q971" t="str">
        <f>IF(N971="","",SUMIFS(Issue!$D$3:$D1001,Issue!$C$3:$C1001,N971))</f>
        <v/>
      </c>
      <c r="Y971" t="str">
        <f t="shared" si="11"/>
        <v/>
      </c>
      <c r="Z971" t="str">
        <f>IF(X971="","",SUMIFS(#REF!,RM!$C$4:$C991,X971))</f>
        <v/>
      </c>
      <c r="AA971" t="str">
        <f>IF(X971="","",SUMIFS(#REF!,RM!$C$4:$C991,X971))</f>
        <v/>
      </c>
      <c r="AB971" t="e">
        <f t="shared" si="12"/>
        <v>#VALUE!</v>
      </c>
      <c r="AC971" t="str">
        <f>IF(X971="","",VLOOKUP($X971,RM!$C$4:$G991,3,FALSE))</f>
        <v/>
      </c>
      <c r="AD971" t="str">
        <f>IF(X971="","",VLOOKUP($X971,RM!$C$4:$G991,4,FALSE))</f>
        <v/>
      </c>
      <c r="AE971" t="str">
        <f>IF(X971="","",VLOOKUP($X971,RM!$C$4:$G991,5,FALSE))</f>
        <v/>
      </c>
      <c r="AK971" t="e">
        <f ca="1">_xludf.IFNA(VLOOKUP(AG971,'S-FG'!$B$3:$B1001,1,FALSE),"")</f>
        <v>#NAME?</v>
      </c>
      <c r="AL971" t="str">
        <f>IF(AH971="","",SUMIFS(#REF!,RM!$C$4:$C991,AH971))</f>
        <v/>
      </c>
    </row>
    <row r="972" spans="5:38">
      <c r="E972" t="str">
        <f>IF(A972="","",SUMIFS(Issue!$D$3:$D1001,Issue!$C$3:$C1001,A972)*C972)</f>
        <v/>
      </c>
      <c r="F972" t="e">
        <f ca="1">_xludf.IFNA(VLOOKUP(B972,'S-FG'!$B$3:$B1001,1,FALSE),"")</f>
        <v>#NAME?</v>
      </c>
      <c r="L972" t="str">
        <f t="shared" si="10"/>
        <v/>
      </c>
      <c r="Q972" t="str">
        <f>IF(N972="","",SUMIFS(Issue!$D$3:$D1001,Issue!$C$3:$C1001,N972))</f>
        <v/>
      </c>
      <c r="Y972" t="str">
        <f t="shared" si="11"/>
        <v/>
      </c>
      <c r="Z972" t="str">
        <f>IF(X972="","",SUMIFS(#REF!,RM!$C$4:$C991,X972))</f>
        <v/>
      </c>
      <c r="AA972" t="str">
        <f>IF(X972="","",SUMIFS(#REF!,RM!$C$4:$C991,X972))</f>
        <v/>
      </c>
      <c r="AB972" t="e">
        <f t="shared" si="12"/>
        <v>#VALUE!</v>
      </c>
      <c r="AC972" t="str">
        <f>IF(X972="","",VLOOKUP($X972,RM!$C$4:$G991,3,FALSE))</f>
        <v/>
      </c>
      <c r="AD972" t="str">
        <f>IF(X972="","",VLOOKUP($X972,RM!$C$4:$G991,4,FALSE))</f>
        <v/>
      </c>
      <c r="AE972" t="str">
        <f>IF(X972="","",VLOOKUP($X972,RM!$C$4:$G991,5,FALSE))</f>
        <v/>
      </c>
      <c r="AK972" t="e">
        <f ca="1">_xludf.IFNA(VLOOKUP(AG972,'S-FG'!$B$3:$B1001,1,FALSE),"")</f>
        <v>#NAME?</v>
      </c>
      <c r="AL972" t="str">
        <f>IF(AH972="","",SUMIFS(#REF!,RM!$C$4:$C991,AH972))</f>
        <v/>
      </c>
    </row>
    <row r="973" spans="5:38">
      <c r="E973" t="str">
        <f>IF(A973="","",SUMIFS(Issue!$D$3:$D1001,Issue!$C$3:$C1001,A973)*C973)</f>
        <v/>
      </c>
      <c r="F973" t="e">
        <f ca="1">_xludf.IFNA(VLOOKUP(B973,'S-FG'!$B$3:$B1001,1,FALSE),"")</f>
        <v>#NAME?</v>
      </c>
      <c r="L973" t="str">
        <f t="shared" si="10"/>
        <v/>
      </c>
      <c r="Q973" t="str">
        <f>IF(N973="","",SUMIFS(Issue!$D$3:$D1001,Issue!$C$3:$C1001,N973))</f>
        <v/>
      </c>
      <c r="Y973" t="str">
        <f t="shared" si="11"/>
        <v/>
      </c>
      <c r="Z973" t="str">
        <f>IF(X973="","",SUMIFS(#REF!,RM!$C$4:$C991,X973))</f>
        <v/>
      </c>
      <c r="AA973" t="str">
        <f>IF(X973="","",SUMIFS(#REF!,RM!$C$4:$C991,X973))</f>
        <v/>
      </c>
      <c r="AB973" t="e">
        <f t="shared" si="12"/>
        <v>#VALUE!</v>
      </c>
      <c r="AC973" t="str">
        <f>IF(X973="","",VLOOKUP($X973,RM!$C$4:$G991,3,FALSE))</f>
        <v/>
      </c>
      <c r="AD973" t="str">
        <f>IF(X973="","",VLOOKUP($X973,RM!$C$4:$G991,4,FALSE))</f>
        <v/>
      </c>
      <c r="AE973" t="str">
        <f>IF(X973="","",VLOOKUP($X973,RM!$C$4:$G991,5,FALSE))</f>
        <v/>
      </c>
      <c r="AK973" t="e">
        <f ca="1">_xludf.IFNA(VLOOKUP(AG973,'S-FG'!$B$3:$B1001,1,FALSE),"")</f>
        <v>#NAME?</v>
      </c>
      <c r="AL973" t="str">
        <f>IF(AH973="","",SUMIFS(#REF!,RM!$C$4:$C991,AH973))</f>
        <v/>
      </c>
    </row>
    <row r="974" spans="5:38">
      <c r="E974" t="str">
        <f>IF(A974="","",SUMIFS(Issue!$D$3:$D1001,Issue!$C$3:$C1001,A974)*C974)</f>
        <v/>
      </c>
      <c r="F974" t="e">
        <f ca="1">_xludf.IFNA(VLOOKUP(B974,'S-FG'!$B$3:$B1001,1,FALSE),"")</f>
        <v>#NAME?</v>
      </c>
      <c r="L974" t="str">
        <f t="shared" si="10"/>
        <v/>
      </c>
      <c r="Q974" t="str">
        <f>IF(N974="","",SUMIFS(Issue!$D$3:$D1001,Issue!$C$3:$C1001,N974))</f>
        <v/>
      </c>
      <c r="Y974" t="str">
        <f t="shared" si="11"/>
        <v/>
      </c>
      <c r="Z974" t="str">
        <f>IF(X974="","",SUMIFS(#REF!,RM!$C$4:$C991,X974))</f>
        <v/>
      </c>
      <c r="AA974" t="str">
        <f>IF(X974="","",SUMIFS(#REF!,RM!$C$4:$C991,X974))</f>
        <v/>
      </c>
      <c r="AB974" t="e">
        <f t="shared" si="12"/>
        <v>#VALUE!</v>
      </c>
      <c r="AC974" t="str">
        <f>IF(X974="","",VLOOKUP($X974,RM!$C$4:$G991,3,FALSE))</f>
        <v/>
      </c>
      <c r="AD974" t="str">
        <f>IF(X974="","",VLOOKUP($X974,RM!$C$4:$G991,4,FALSE))</f>
        <v/>
      </c>
      <c r="AE974" t="str">
        <f>IF(X974="","",VLOOKUP($X974,RM!$C$4:$G991,5,FALSE))</f>
        <v/>
      </c>
      <c r="AK974" t="e">
        <f ca="1">_xludf.IFNA(VLOOKUP(AG974,'S-FG'!$B$3:$B1001,1,FALSE),"")</f>
        <v>#NAME?</v>
      </c>
      <c r="AL974" t="str">
        <f>IF(AH974="","",SUMIFS(#REF!,RM!$C$4:$C991,AH974))</f>
        <v/>
      </c>
    </row>
    <row r="975" spans="5:38">
      <c r="E975" t="str">
        <f>IF(A975="","",SUMIFS(Issue!$D$3:$D1001,Issue!$C$3:$C1001,A975)*C975)</f>
        <v/>
      </c>
      <c r="F975" t="e">
        <f ca="1">_xludf.IFNA(VLOOKUP(B975,'S-FG'!$B$3:$B1001,1,FALSE),"")</f>
        <v>#NAME?</v>
      </c>
      <c r="L975" t="str">
        <f t="shared" si="10"/>
        <v/>
      </c>
      <c r="Q975" t="str">
        <f>IF(N975="","",SUMIFS(Issue!$D$3:$D1001,Issue!$C$3:$C1001,N975))</f>
        <v/>
      </c>
      <c r="Y975" t="str">
        <f t="shared" si="11"/>
        <v/>
      </c>
      <c r="Z975" t="str">
        <f>IF(X975="","",SUMIFS(#REF!,RM!$C$4:$C991,X975))</f>
        <v/>
      </c>
      <c r="AA975" t="str">
        <f>IF(X975="","",SUMIFS(#REF!,RM!$C$4:$C991,X975))</f>
        <v/>
      </c>
      <c r="AB975" t="e">
        <f t="shared" si="12"/>
        <v>#VALUE!</v>
      </c>
      <c r="AC975" t="str">
        <f>IF(X975="","",VLOOKUP($X975,RM!$C$4:$G991,3,FALSE))</f>
        <v/>
      </c>
      <c r="AD975" t="str">
        <f>IF(X975="","",VLOOKUP($X975,RM!$C$4:$G991,4,FALSE))</f>
        <v/>
      </c>
      <c r="AE975" t="str">
        <f>IF(X975="","",VLOOKUP($X975,RM!$C$4:$G991,5,FALSE))</f>
        <v/>
      </c>
      <c r="AK975" t="e">
        <f ca="1">_xludf.IFNA(VLOOKUP(AG975,'S-FG'!$B$3:$B1001,1,FALSE),"")</f>
        <v>#NAME?</v>
      </c>
      <c r="AL975" t="str">
        <f>IF(AH975="","",SUMIFS(#REF!,RM!$C$4:$C991,AH975))</f>
        <v/>
      </c>
    </row>
    <row r="976" spans="5:38">
      <c r="E976" t="str">
        <f>IF(A976="","",SUMIFS(Issue!$D$3:$D1001,Issue!$C$3:$C1001,A976)*C976)</f>
        <v/>
      </c>
      <c r="F976" t="e">
        <f ca="1">_xludf.IFNA(VLOOKUP(B976,'S-FG'!$B$3:$B1001,1,FALSE),"")</f>
        <v>#NAME?</v>
      </c>
      <c r="L976" t="str">
        <f t="shared" si="10"/>
        <v/>
      </c>
      <c r="Q976" t="str">
        <f>IF(N976="","",SUMIFS(Issue!$D$3:$D1001,Issue!$C$3:$C1001,N976))</f>
        <v/>
      </c>
      <c r="Y976" t="str">
        <f t="shared" si="11"/>
        <v/>
      </c>
      <c r="Z976" t="str">
        <f>IF(X976="","",SUMIFS(#REF!,RM!$C$4:$C991,X976))</f>
        <v/>
      </c>
      <c r="AA976" t="str">
        <f>IF(X976="","",SUMIFS(#REF!,RM!$C$4:$C991,X976))</f>
        <v/>
      </c>
      <c r="AB976" t="e">
        <f t="shared" si="12"/>
        <v>#VALUE!</v>
      </c>
      <c r="AC976" t="str">
        <f>IF(X976="","",VLOOKUP($X976,RM!$C$4:$G991,3,FALSE))</f>
        <v/>
      </c>
      <c r="AD976" t="str">
        <f>IF(X976="","",VLOOKUP($X976,RM!$C$4:$G991,4,FALSE))</f>
        <v/>
      </c>
      <c r="AE976" t="str">
        <f>IF(X976="","",VLOOKUP($X976,RM!$C$4:$G991,5,FALSE))</f>
        <v/>
      </c>
      <c r="AK976" t="e">
        <f ca="1">_xludf.IFNA(VLOOKUP(AG976,'S-FG'!$B$3:$B1001,1,FALSE),"")</f>
        <v>#NAME?</v>
      </c>
      <c r="AL976" t="str">
        <f>IF(AH976="","",SUMIFS(#REF!,RM!$C$4:$C991,AH976))</f>
        <v/>
      </c>
    </row>
    <row r="977" spans="5:38">
      <c r="E977" t="str">
        <f>IF(A977="","",SUMIFS(Issue!$D$3:$D1001,Issue!$C$3:$C1001,A977)*C977)</f>
        <v/>
      </c>
      <c r="F977" t="e">
        <f ca="1">_xludf.IFNA(VLOOKUP(B977,'S-FG'!$B$3:$B1001,1,FALSE),"")</f>
        <v>#NAME?</v>
      </c>
      <c r="L977" t="str">
        <f t="shared" si="10"/>
        <v/>
      </c>
      <c r="Q977" t="str">
        <f>IF(N977="","",SUMIFS(Issue!$D$3:$D1001,Issue!$C$3:$C1001,N977))</f>
        <v/>
      </c>
      <c r="Y977" t="str">
        <f t="shared" si="11"/>
        <v/>
      </c>
      <c r="Z977" t="str">
        <f>IF(X977="","",SUMIFS(#REF!,RM!$C$4:$C991,X977))</f>
        <v/>
      </c>
      <c r="AA977" t="str">
        <f>IF(X977="","",SUMIFS(#REF!,RM!$C$4:$C991,X977))</f>
        <v/>
      </c>
      <c r="AB977" t="e">
        <f t="shared" si="12"/>
        <v>#VALUE!</v>
      </c>
      <c r="AC977" t="str">
        <f>IF(X977="","",VLOOKUP($X977,RM!$C$4:$G991,3,FALSE))</f>
        <v/>
      </c>
      <c r="AD977" t="str">
        <f>IF(X977="","",VLOOKUP($X977,RM!$C$4:$G991,4,FALSE))</f>
        <v/>
      </c>
      <c r="AE977" t="str">
        <f>IF(X977="","",VLOOKUP($X977,RM!$C$4:$G991,5,FALSE))</f>
        <v/>
      </c>
      <c r="AK977" t="e">
        <f ca="1">_xludf.IFNA(VLOOKUP(AG977,'S-FG'!$B$3:$B1001,1,FALSE),"")</f>
        <v>#NAME?</v>
      </c>
      <c r="AL977" t="str">
        <f>IF(AH977="","",SUMIFS(#REF!,RM!$C$4:$C991,AH977))</f>
        <v/>
      </c>
    </row>
    <row r="978" spans="5:38">
      <c r="E978" t="str">
        <f>IF(A978="","",SUMIFS(Issue!$D$3:$D1001,Issue!$C$3:$C1001,A978)*C978)</f>
        <v/>
      </c>
      <c r="F978" t="e">
        <f ca="1">_xludf.IFNA(VLOOKUP(B978,'S-FG'!$B$3:$B1001,1,FALSE),"")</f>
        <v>#NAME?</v>
      </c>
      <c r="L978" t="str">
        <f t="shared" si="10"/>
        <v/>
      </c>
      <c r="Q978" t="str">
        <f>IF(N978="","",SUMIFS(Issue!$D$3:$D1001,Issue!$C$3:$C1001,N978))</f>
        <v/>
      </c>
      <c r="Y978" t="str">
        <f t="shared" si="11"/>
        <v/>
      </c>
      <c r="Z978" t="str">
        <f>IF(X978="","",SUMIFS(#REF!,RM!$C$4:$C991,X978))</f>
        <v/>
      </c>
      <c r="AA978" t="str">
        <f>IF(X978="","",SUMIFS(#REF!,RM!$C$4:$C991,X978))</f>
        <v/>
      </c>
      <c r="AB978" t="e">
        <f t="shared" si="12"/>
        <v>#VALUE!</v>
      </c>
      <c r="AC978" t="str">
        <f>IF(X978="","",VLOOKUP($X978,RM!$C$4:$G991,3,FALSE))</f>
        <v/>
      </c>
      <c r="AD978" t="str">
        <f>IF(X978="","",VLOOKUP($X978,RM!$C$4:$G991,4,FALSE))</f>
        <v/>
      </c>
      <c r="AE978" t="str">
        <f>IF(X978="","",VLOOKUP($X978,RM!$C$4:$G991,5,FALSE))</f>
        <v/>
      </c>
      <c r="AK978" t="e">
        <f ca="1">_xludf.IFNA(VLOOKUP(AG978,'S-FG'!$B$3:$B1001,1,FALSE),"")</f>
        <v>#NAME?</v>
      </c>
      <c r="AL978" t="str">
        <f>IF(AH978="","",SUMIFS(#REF!,RM!$C$4:$C991,AH978))</f>
        <v/>
      </c>
    </row>
    <row r="979" spans="5:38">
      <c r="E979" t="str">
        <f>IF(A979="","",SUMIFS(Issue!$D$3:$D1001,Issue!$C$3:$C1001,A979)*C979)</f>
        <v/>
      </c>
      <c r="F979" t="e">
        <f ca="1">_xludf.IFNA(VLOOKUP(B979,'S-FG'!$B$3:$B1001,1,FALSE),"")</f>
        <v>#NAME?</v>
      </c>
      <c r="L979" t="str">
        <f t="shared" si="10"/>
        <v/>
      </c>
      <c r="Q979" t="str">
        <f>IF(N979="","",SUMIFS(Issue!$D$3:$D1001,Issue!$C$3:$C1001,N979))</f>
        <v/>
      </c>
      <c r="Y979" t="str">
        <f t="shared" si="11"/>
        <v/>
      </c>
      <c r="Z979" t="str">
        <f>IF(X979="","",SUMIFS(#REF!,RM!$C$4:$C991,X979))</f>
        <v/>
      </c>
      <c r="AA979" t="str">
        <f>IF(X979="","",SUMIFS(#REF!,RM!$C$4:$C991,X979))</f>
        <v/>
      </c>
      <c r="AB979" t="e">
        <f t="shared" si="12"/>
        <v>#VALUE!</v>
      </c>
      <c r="AC979" t="str">
        <f>IF(X979="","",VLOOKUP($X979,RM!$C$4:$G991,3,FALSE))</f>
        <v/>
      </c>
      <c r="AD979" t="str">
        <f>IF(X979="","",VLOOKUP($X979,RM!$C$4:$G991,4,FALSE))</f>
        <v/>
      </c>
      <c r="AE979" t="str">
        <f>IF(X979="","",VLOOKUP($X979,RM!$C$4:$G991,5,FALSE))</f>
        <v/>
      </c>
      <c r="AK979" t="e">
        <f ca="1">_xludf.IFNA(VLOOKUP(AG979,'S-FG'!$B$3:$B1001,1,FALSE),"")</f>
        <v>#NAME?</v>
      </c>
      <c r="AL979" t="str">
        <f>IF(AH979="","",SUMIFS(#REF!,RM!$C$4:$C991,AH979))</f>
        <v/>
      </c>
    </row>
    <row r="980" spans="5:38">
      <c r="E980" t="str">
        <f>IF(A980="","",SUMIFS(Issue!$D$3:$D1001,Issue!$C$3:$C1001,A980)*C980)</f>
        <v/>
      </c>
      <c r="F980" t="e">
        <f ca="1">_xludf.IFNA(VLOOKUP(B980,'S-FG'!$B$3:$B1001,1,FALSE),"")</f>
        <v>#NAME?</v>
      </c>
      <c r="L980" t="str">
        <f t="shared" si="10"/>
        <v/>
      </c>
      <c r="Q980" t="str">
        <f>IF(N980="","",SUMIFS(Issue!$D$3:$D1001,Issue!$C$3:$C1001,N980))</f>
        <v/>
      </c>
      <c r="Y980" t="str">
        <f t="shared" si="11"/>
        <v/>
      </c>
      <c r="Z980" t="str">
        <f>IF(X980="","",SUMIFS(#REF!,RM!$C$4:$C991,X980))</f>
        <v/>
      </c>
      <c r="AA980" t="str">
        <f>IF(X980="","",SUMIFS(#REF!,RM!$C$4:$C991,X980))</f>
        <v/>
      </c>
      <c r="AB980" t="e">
        <f t="shared" si="12"/>
        <v>#VALUE!</v>
      </c>
      <c r="AC980" t="str">
        <f>IF(X980="","",VLOOKUP($X980,RM!$C$4:$G991,3,FALSE))</f>
        <v/>
      </c>
      <c r="AD980" t="str">
        <f>IF(X980="","",VLOOKUP($X980,RM!$C$4:$G991,4,FALSE))</f>
        <v/>
      </c>
      <c r="AE980" t="str">
        <f>IF(X980="","",VLOOKUP($X980,RM!$C$4:$G991,5,FALSE))</f>
        <v/>
      </c>
      <c r="AK980" t="e">
        <f ca="1">_xludf.IFNA(VLOOKUP(AG980,'S-FG'!$B$3:$B1001,1,FALSE),"")</f>
        <v>#NAME?</v>
      </c>
      <c r="AL980" t="str">
        <f>IF(AH980="","",SUMIFS(#REF!,RM!$C$4:$C991,AH980))</f>
        <v/>
      </c>
    </row>
    <row r="981" spans="5:38">
      <c r="E981" t="str">
        <f>IF(A981="","",SUMIFS(Issue!$D$3:$D1001,Issue!$C$3:$C1001,A981)*C981)</f>
        <v/>
      </c>
      <c r="F981" t="e">
        <f ca="1">_xludf.IFNA(VLOOKUP(B981,'S-FG'!$B$3:$B1001,1,FALSE),"")</f>
        <v>#NAME?</v>
      </c>
      <c r="L981" t="str">
        <f t="shared" si="10"/>
        <v/>
      </c>
      <c r="Q981" t="str">
        <f>IF(N981="","",SUMIFS(Issue!$D$3:$D1001,Issue!$C$3:$C1001,N981))</f>
        <v/>
      </c>
      <c r="Y981" t="str">
        <f t="shared" si="11"/>
        <v/>
      </c>
      <c r="Z981" t="str">
        <f>IF(X981="","",SUMIFS(#REF!,RM!$C$4:$C991,X981))</f>
        <v/>
      </c>
      <c r="AA981" t="str">
        <f>IF(X981="","",SUMIFS(#REF!,RM!$C$4:$C991,X981))</f>
        <v/>
      </c>
      <c r="AB981" t="e">
        <f t="shared" si="12"/>
        <v>#VALUE!</v>
      </c>
      <c r="AC981" t="str">
        <f>IF(X981="","",VLOOKUP($X981,RM!$C$4:$G991,3,FALSE))</f>
        <v/>
      </c>
      <c r="AD981" t="str">
        <f>IF(X981="","",VLOOKUP($X981,RM!$C$4:$G991,4,FALSE))</f>
        <v/>
      </c>
      <c r="AE981" t="str">
        <f>IF(X981="","",VLOOKUP($X981,RM!$C$4:$G991,5,FALSE))</f>
        <v/>
      </c>
      <c r="AK981" t="e">
        <f ca="1">_xludf.IFNA(VLOOKUP(AG981,'S-FG'!$B$3:$B1001,1,FALSE),"")</f>
        <v>#NAME?</v>
      </c>
      <c r="AL981" t="str">
        <f>IF(AH981="","",SUMIFS(#REF!,RM!$C$4:$C991,AH981))</f>
        <v/>
      </c>
    </row>
    <row r="982" spans="5:38">
      <c r="E982" t="str">
        <f>IF(A982="","",SUMIFS(Issue!$D$3:$D1001,Issue!$C$3:$C1001,A982)*C982)</f>
        <v/>
      </c>
      <c r="F982" t="e">
        <f ca="1">_xludf.IFNA(VLOOKUP(B982,'S-FG'!$B$3:$B1001,1,FALSE),"")</f>
        <v>#NAME?</v>
      </c>
      <c r="L982" t="str">
        <f t="shared" si="10"/>
        <v/>
      </c>
      <c r="Q982" t="str">
        <f>IF(N982="","",SUMIFS(Issue!$D$3:$D1001,Issue!$C$3:$C1001,N982))</f>
        <v/>
      </c>
      <c r="Y982" t="str">
        <f t="shared" si="11"/>
        <v/>
      </c>
      <c r="Z982" t="str">
        <f>IF(X982="","",SUMIFS(#REF!,RM!$C$4:$C991,X982))</f>
        <v/>
      </c>
      <c r="AA982" t="str">
        <f>IF(X982="","",SUMIFS(#REF!,RM!$C$4:$C991,X982))</f>
        <v/>
      </c>
      <c r="AB982" t="e">
        <f t="shared" si="12"/>
        <v>#VALUE!</v>
      </c>
      <c r="AC982" t="str">
        <f>IF(X982="","",VLOOKUP($X982,RM!$C$4:$G991,3,FALSE))</f>
        <v/>
      </c>
      <c r="AD982" t="str">
        <f>IF(X982="","",VLOOKUP($X982,RM!$C$4:$G991,4,FALSE))</f>
        <v/>
      </c>
      <c r="AE982" t="str">
        <f>IF(X982="","",VLOOKUP($X982,RM!$C$4:$G991,5,FALSE))</f>
        <v/>
      </c>
      <c r="AK982" t="e">
        <f ca="1">_xludf.IFNA(VLOOKUP(AG982,'S-FG'!$B$3:$B1001,1,FALSE),"")</f>
        <v>#NAME?</v>
      </c>
      <c r="AL982" t="str">
        <f>IF(AH982="","",SUMIFS(#REF!,RM!$C$4:$C991,AH982))</f>
        <v/>
      </c>
    </row>
    <row r="983" spans="5:38">
      <c r="E983" t="str">
        <f>IF(A983="","",SUMIFS(Issue!$D$3:$D1001,Issue!$C$3:$C1001,A983)*C983)</f>
        <v/>
      </c>
      <c r="F983" t="e">
        <f ca="1">_xludf.IFNA(VLOOKUP(B983,'S-FG'!$B$3:$B1001,1,FALSE),"")</f>
        <v>#NAME?</v>
      </c>
      <c r="L983" t="str">
        <f t="shared" si="10"/>
        <v/>
      </c>
      <c r="Q983" t="str">
        <f>IF(N983="","",SUMIFS(Issue!$D$3:$D1001,Issue!$C$3:$C1001,N983))</f>
        <v/>
      </c>
      <c r="Y983" t="str">
        <f t="shared" si="11"/>
        <v/>
      </c>
      <c r="Z983" t="str">
        <f>IF(X983="","",SUMIFS(#REF!,RM!$C$4:$C991,X983))</f>
        <v/>
      </c>
      <c r="AA983" t="str">
        <f>IF(X983="","",SUMIFS(#REF!,RM!$C$4:$C991,X983))</f>
        <v/>
      </c>
      <c r="AB983" t="e">
        <f t="shared" si="12"/>
        <v>#VALUE!</v>
      </c>
      <c r="AC983" t="str">
        <f>IF(X983="","",VLOOKUP($X983,RM!$C$4:$G991,3,FALSE))</f>
        <v/>
      </c>
      <c r="AD983" t="str">
        <f>IF(X983="","",VLOOKUP($X983,RM!$C$4:$G991,4,FALSE))</f>
        <v/>
      </c>
      <c r="AE983" t="str">
        <f>IF(X983="","",VLOOKUP($X983,RM!$C$4:$G991,5,FALSE))</f>
        <v/>
      </c>
      <c r="AK983" t="e">
        <f ca="1">_xludf.IFNA(VLOOKUP(AG983,'S-FG'!$B$3:$B1001,1,FALSE),"")</f>
        <v>#NAME?</v>
      </c>
      <c r="AL983" t="str">
        <f>IF(AH983="","",SUMIFS(#REF!,RM!$C$4:$C991,AH983))</f>
        <v/>
      </c>
    </row>
    <row r="984" spans="5:38">
      <c r="E984" t="str">
        <f>IF(A984="","",SUMIFS(Issue!$D$3:$D1001,Issue!$C$3:$C1001,A984)*C984)</f>
        <v/>
      </c>
      <c r="F984" t="e">
        <f ca="1">_xludf.IFNA(VLOOKUP(B984,'S-FG'!$B$3:$B1001,1,FALSE),"")</f>
        <v>#NAME?</v>
      </c>
      <c r="L984" t="str">
        <f t="shared" si="10"/>
        <v/>
      </c>
      <c r="Q984" t="str">
        <f>IF(N984="","",SUMIFS(Issue!$D$3:$D1001,Issue!$C$3:$C1001,N984))</f>
        <v/>
      </c>
      <c r="Y984" t="str">
        <f t="shared" si="11"/>
        <v/>
      </c>
      <c r="Z984" t="str">
        <f>IF(X984="","",SUMIFS(#REF!,RM!$C$4:$C991,X984))</f>
        <v/>
      </c>
      <c r="AA984" t="str">
        <f>IF(X984="","",SUMIFS(#REF!,RM!$C$4:$C991,X984))</f>
        <v/>
      </c>
      <c r="AB984" t="e">
        <f t="shared" si="12"/>
        <v>#VALUE!</v>
      </c>
      <c r="AC984" t="str">
        <f>IF(X984="","",VLOOKUP($X984,RM!$C$4:$G991,3,FALSE))</f>
        <v/>
      </c>
      <c r="AD984" t="str">
        <f>IF(X984="","",VLOOKUP($X984,RM!$C$4:$G991,4,FALSE))</f>
        <v/>
      </c>
      <c r="AE984" t="str">
        <f>IF(X984="","",VLOOKUP($X984,RM!$C$4:$G991,5,FALSE))</f>
        <v/>
      </c>
      <c r="AK984" t="e">
        <f ca="1">_xludf.IFNA(VLOOKUP(AG984,'S-FG'!$B$3:$B1001,1,FALSE),"")</f>
        <v>#NAME?</v>
      </c>
      <c r="AL984" t="str">
        <f>IF(AH984="","",SUMIFS(#REF!,RM!$C$4:$C991,AH984))</f>
        <v/>
      </c>
    </row>
    <row r="985" spans="5:38">
      <c r="E985" t="str">
        <f>IF(A985="","",SUMIFS(Issue!$D$3:$D1001,Issue!$C$3:$C1001,A985)*C985)</f>
        <v/>
      </c>
      <c r="F985" t="e">
        <f ca="1">_xludf.IFNA(VLOOKUP(B985,'S-FG'!$B$3:$B1001,1,FALSE),"")</f>
        <v>#NAME?</v>
      </c>
      <c r="L985" t="str">
        <f t="shared" si="10"/>
        <v/>
      </c>
      <c r="Q985" t="str">
        <f>IF(N985="","",SUMIFS(Issue!$D$3:$D1001,Issue!$C$3:$C1001,N985))</f>
        <v/>
      </c>
      <c r="Y985" t="str">
        <f t="shared" si="11"/>
        <v/>
      </c>
      <c r="Z985" t="str">
        <f>IF(X985="","",SUMIFS(#REF!,RM!$C$4:$C991,X985))</f>
        <v/>
      </c>
      <c r="AA985" t="str">
        <f>IF(X985="","",SUMIFS(#REF!,RM!$C$4:$C991,X985))</f>
        <v/>
      </c>
      <c r="AB985" t="e">
        <f t="shared" si="12"/>
        <v>#VALUE!</v>
      </c>
      <c r="AC985" t="str">
        <f>IF(X985="","",VLOOKUP($X985,RM!$C$4:$G991,3,FALSE))</f>
        <v/>
      </c>
      <c r="AD985" t="str">
        <f>IF(X985="","",VLOOKUP($X985,RM!$C$4:$G991,4,FALSE))</f>
        <v/>
      </c>
      <c r="AE985" t="str">
        <f>IF(X985="","",VLOOKUP($X985,RM!$C$4:$G991,5,FALSE))</f>
        <v/>
      </c>
      <c r="AK985" t="e">
        <f ca="1">_xludf.IFNA(VLOOKUP(AG985,'S-FG'!$B$3:$B1001,1,FALSE),"")</f>
        <v>#NAME?</v>
      </c>
      <c r="AL985" t="str">
        <f>IF(AH985="","",SUMIFS(#REF!,RM!$C$4:$C991,AH985))</f>
        <v/>
      </c>
    </row>
    <row r="986" spans="5:38">
      <c r="E986" t="str">
        <f>IF(A986="","",SUMIFS(Issue!$D$3:$D1001,Issue!$C$3:$C1001,A986)*C986)</f>
        <v/>
      </c>
      <c r="F986" t="e">
        <f ca="1">_xludf.IFNA(VLOOKUP(B986,'S-FG'!$B$3:$B1001,1,FALSE),"")</f>
        <v>#NAME?</v>
      </c>
      <c r="L986" t="str">
        <f t="shared" si="10"/>
        <v/>
      </c>
      <c r="Q986" t="str">
        <f>IF(N986="","",SUMIFS(Issue!$D$3:$D1001,Issue!$C$3:$C1001,N986))</f>
        <v/>
      </c>
      <c r="Y986" t="str">
        <f t="shared" si="11"/>
        <v/>
      </c>
      <c r="Z986" t="str">
        <f>IF(X986="","",SUMIFS(#REF!,RM!$C$4:$C991,X986))</f>
        <v/>
      </c>
      <c r="AA986" t="str">
        <f>IF(X986="","",SUMIFS(#REF!,RM!$C$4:$C991,X986))</f>
        <v/>
      </c>
      <c r="AB986" t="e">
        <f t="shared" si="12"/>
        <v>#VALUE!</v>
      </c>
      <c r="AC986" t="str">
        <f>IF(X986="","",VLOOKUP($X986,RM!$C$4:$G991,3,FALSE))</f>
        <v/>
      </c>
      <c r="AD986" t="str">
        <f>IF(X986="","",VLOOKUP($X986,RM!$C$4:$G991,4,FALSE))</f>
        <v/>
      </c>
      <c r="AE986" t="str">
        <f>IF(X986="","",VLOOKUP($X986,RM!$C$4:$G991,5,FALSE))</f>
        <v/>
      </c>
      <c r="AK986" t="e">
        <f ca="1">_xludf.IFNA(VLOOKUP(AG986,'S-FG'!$B$3:$B1001,1,FALSE),"")</f>
        <v>#NAME?</v>
      </c>
      <c r="AL986" t="str">
        <f>IF(AH986="","",SUMIFS(#REF!,RM!$C$4:$C991,AH986))</f>
        <v/>
      </c>
    </row>
    <row r="987" spans="5:38">
      <c r="E987" t="str">
        <f>IF(A987="","",SUMIFS(Issue!$D$3:$D1001,Issue!$C$3:$C1001,A987)*C987)</f>
        <v/>
      </c>
      <c r="F987" t="e">
        <f ca="1">_xludf.IFNA(VLOOKUP(B987,'S-FG'!$B$3:$B1001,1,FALSE),"")</f>
        <v>#NAME?</v>
      </c>
      <c r="L987" t="str">
        <f t="shared" si="10"/>
        <v/>
      </c>
      <c r="Q987" t="str">
        <f>IF(N987="","",SUMIFS(Issue!$D$3:$D1001,Issue!$C$3:$C1001,N987))</f>
        <v/>
      </c>
      <c r="Y987" t="str">
        <f t="shared" si="11"/>
        <v/>
      </c>
      <c r="Z987" t="str">
        <f>IF(X987="","",SUMIFS(#REF!,RM!$C$4:$C991,X987))</f>
        <v/>
      </c>
      <c r="AA987" t="str">
        <f>IF(X987="","",SUMIFS(#REF!,RM!$C$4:$C991,X987))</f>
        <v/>
      </c>
      <c r="AB987" t="e">
        <f t="shared" si="12"/>
        <v>#VALUE!</v>
      </c>
      <c r="AC987" t="str">
        <f>IF(X987="","",VLOOKUP($X987,RM!$C$4:$G991,3,FALSE))</f>
        <v/>
      </c>
      <c r="AD987" t="str">
        <f>IF(X987="","",VLOOKUP($X987,RM!$C$4:$G991,4,FALSE))</f>
        <v/>
      </c>
      <c r="AE987" t="str">
        <f>IF(X987="","",VLOOKUP($X987,RM!$C$4:$G991,5,FALSE))</f>
        <v/>
      </c>
      <c r="AK987" t="e">
        <f ca="1">_xludf.IFNA(VLOOKUP(AG987,'S-FG'!$B$3:$B1001,1,FALSE),"")</f>
        <v>#NAME?</v>
      </c>
      <c r="AL987" t="str">
        <f>IF(AH987="","",SUMIFS(#REF!,RM!$C$4:$C991,AH987))</f>
        <v/>
      </c>
    </row>
    <row r="988" spans="5:38">
      <c r="E988" t="str">
        <f>IF(A988="","",SUMIFS(Issue!$D$3:$D1001,Issue!$C$3:$C1001,A988)*C988)</f>
        <v/>
      </c>
      <c r="F988" t="e">
        <f ca="1">_xludf.IFNA(VLOOKUP(B988,'S-FG'!$B$3:$B1001,1,FALSE),"")</f>
        <v>#NAME?</v>
      </c>
      <c r="L988" t="str">
        <f t="shared" si="10"/>
        <v/>
      </c>
      <c r="Q988" t="str">
        <f>IF(N988="","",SUMIFS(Issue!$D$3:$D1001,Issue!$C$3:$C1001,N988))</f>
        <v/>
      </c>
      <c r="Y988" t="str">
        <f t="shared" si="11"/>
        <v/>
      </c>
      <c r="Z988" t="str">
        <f>IF(X988="","",SUMIFS(#REF!,RM!$C$4:$C991,X988))</f>
        <v/>
      </c>
      <c r="AA988" t="str">
        <f>IF(X988="","",SUMIFS(#REF!,RM!$C$4:$C991,X988))</f>
        <v/>
      </c>
      <c r="AB988" t="e">
        <f t="shared" si="12"/>
        <v>#VALUE!</v>
      </c>
      <c r="AC988" t="str">
        <f>IF(X988="","",VLOOKUP($X988,RM!$C$4:$G991,3,FALSE))</f>
        <v/>
      </c>
      <c r="AD988" t="str">
        <f>IF(X988="","",VLOOKUP($X988,RM!$C$4:$G991,4,FALSE))</f>
        <v/>
      </c>
      <c r="AE988" t="str">
        <f>IF(X988="","",VLOOKUP($X988,RM!$C$4:$G991,5,FALSE))</f>
        <v/>
      </c>
      <c r="AK988" t="e">
        <f ca="1">_xludf.IFNA(VLOOKUP(AG988,'S-FG'!$B$3:$B1001,1,FALSE),"")</f>
        <v>#NAME?</v>
      </c>
      <c r="AL988" t="str">
        <f>IF(AH988="","",SUMIFS(#REF!,RM!$C$4:$C991,AH988))</f>
        <v/>
      </c>
    </row>
    <row r="989" spans="5:38">
      <c r="E989" t="str">
        <f>IF(A989="","",SUMIFS(Issue!$D$3:$D1001,Issue!$C$3:$C1001,A989)*C989)</f>
        <v/>
      </c>
      <c r="F989" t="e">
        <f ca="1">_xludf.IFNA(VLOOKUP(B989,'S-FG'!$B$3:$B1001,1,FALSE),"")</f>
        <v>#NAME?</v>
      </c>
      <c r="L989" t="str">
        <f t="shared" si="10"/>
        <v/>
      </c>
      <c r="Q989" t="str">
        <f>IF(N989="","",SUMIFS(Issue!$D$3:$D1001,Issue!$C$3:$C1001,N989))</f>
        <v/>
      </c>
      <c r="Y989" t="str">
        <f t="shared" si="11"/>
        <v/>
      </c>
      <c r="Z989" t="str">
        <f>IF(X989="","",SUMIFS(#REF!,RM!$C$4:$C991,X989))</f>
        <v/>
      </c>
      <c r="AA989" t="str">
        <f>IF(X989="","",SUMIFS(#REF!,RM!$C$4:$C991,X989))</f>
        <v/>
      </c>
      <c r="AB989" t="e">
        <f t="shared" si="12"/>
        <v>#VALUE!</v>
      </c>
      <c r="AC989" t="str">
        <f>IF(X989="","",VLOOKUP($X989,RM!$C$4:$G991,3,FALSE))</f>
        <v/>
      </c>
      <c r="AD989" t="str">
        <f>IF(X989="","",VLOOKUP($X989,RM!$C$4:$G991,4,FALSE))</f>
        <v/>
      </c>
      <c r="AE989" t="str">
        <f>IF(X989="","",VLOOKUP($X989,RM!$C$4:$G991,5,FALSE))</f>
        <v/>
      </c>
      <c r="AK989" t="e">
        <f ca="1">_xludf.IFNA(VLOOKUP(AG989,'S-FG'!$B$3:$B1001,1,FALSE),"")</f>
        <v>#NAME?</v>
      </c>
      <c r="AL989" t="str">
        <f>IF(AH989="","",SUMIFS(#REF!,RM!$C$4:$C991,AH989))</f>
        <v/>
      </c>
    </row>
    <row r="990" spans="5:38">
      <c r="E990" t="str">
        <f>IF(A990="","",SUMIFS(Issue!$D$3:$D1001,Issue!$C$3:$C1001,A990)*C990)</f>
        <v/>
      </c>
      <c r="F990" t="e">
        <f ca="1">_xludf.IFNA(VLOOKUP(B990,'S-FG'!$B$3:$B1001,1,FALSE),"")</f>
        <v>#NAME?</v>
      </c>
      <c r="L990" t="str">
        <f t="shared" si="10"/>
        <v/>
      </c>
      <c r="Q990" t="str">
        <f>IF(N990="","",SUMIFS(Issue!$D$3:$D1001,Issue!$C$3:$C1001,N990))</f>
        <v/>
      </c>
      <c r="Y990" t="str">
        <f t="shared" si="11"/>
        <v/>
      </c>
      <c r="Z990" t="str">
        <f>IF(X990="","",SUMIFS(#REF!,RM!$C$4:$C991,X990))</f>
        <v/>
      </c>
      <c r="AA990" t="str">
        <f>IF(X990="","",SUMIFS(#REF!,RM!$C$4:$C991,X990))</f>
        <v/>
      </c>
      <c r="AB990" t="e">
        <f t="shared" si="12"/>
        <v>#VALUE!</v>
      </c>
      <c r="AC990" t="str">
        <f>IF(X990="","",VLOOKUP($X990,RM!$C$4:$G991,3,FALSE))</f>
        <v/>
      </c>
      <c r="AD990" t="str">
        <f>IF(X990="","",VLOOKUP($X990,RM!$C$4:$G991,4,FALSE))</f>
        <v/>
      </c>
      <c r="AE990" t="str">
        <f>IF(X990="","",VLOOKUP($X990,RM!$C$4:$G991,5,FALSE))</f>
        <v/>
      </c>
      <c r="AK990" t="e">
        <f ca="1">_xludf.IFNA(VLOOKUP(AG990,'S-FG'!$B$3:$B1001,1,FALSE),"")</f>
        <v>#NAME?</v>
      </c>
      <c r="AL990" t="str">
        <f>IF(AH990="","",SUMIFS(#REF!,RM!$C$4:$C991,AH990))</f>
        <v/>
      </c>
    </row>
    <row r="991" spans="5:38">
      <c r="E991" t="str">
        <f>IF(A991="","",SUMIFS(Issue!$D$3:$D1001,Issue!$C$3:$C1001,A991)*C991)</f>
        <v/>
      </c>
      <c r="F991" t="e">
        <f ca="1">_xludf.IFNA(VLOOKUP(B991,'S-FG'!$B$3:$B1001,1,FALSE),"")</f>
        <v>#NAME?</v>
      </c>
      <c r="L991" t="str">
        <f t="shared" si="10"/>
        <v/>
      </c>
      <c r="Q991" t="str">
        <f>IF(N991="","",SUMIFS(Issue!$D$3:$D1001,Issue!$C$3:$C1001,N991))</f>
        <v/>
      </c>
      <c r="Y991" t="str">
        <f t="shared" si="11"/>
        <v/>
      </c>
      <c r="Z991" t="str">
        <f>IF(X991="","",SUMIFS(#REF!,RM!$C$4:$C991,X991))</f>
        <v/>
      </c>
      <c r="AA991" t="str">
        <f>IF(X991="","",SUMIFS(#REF!,RM!$C$4:$C991,X991))</f>
        <v/>
      </c>
      <c r="AB991" t="e">
        <f t="shared" si="12"/>
        <v>#VALUE!</v>
      </c>
      <c r="AC991" t="str">
        <f>IF(X991="","",VLOOKUP($X991,RM!$C$4:$G991,3,FALSE))</f>
        <v/>
      </c>
      <c r="AD991" t="str">
        <f>IF(X991="","",VLOOKUP($X991,RM!$C$4:$G991,4,FALSE))</f>
        <v/>
      </c>
      <c r="AE991" t="str">
        <f>IF(X991="","",VLOOKUP($X991,RM!$C$4:$G991,5,FALSE))</f>
        <v/>
      </c>
      <c r="AK991" t="e">
        <f ca="1">_xludf.IFNA(VLOOKUP(AG991,'S-FG'!$B$3:$B1001,1,FALSE),"")</f>
        <v>#NAME?</v>
      </c>
      <c r="AL991" t="str">
        <f>IF(AH991="","",SUMIFS(#REF!,RM!$C$4:$C991,AH991))</f>
        <v/>
      </c>
    </row>
    <row r="992" spans="5:38">
      <c r="E992" t="str">
        <f>IF(A992="","",SUMIFS(Issue!$D$3:$D1001,Issue!$C$3:$C1001,A992)*C992)</f>
        <v/>
      </c>
      <c r="F992" t="e">
        <f ca="1">_xludf.IFNA(VLOOKUP(B992,'S-FG'!$B$3:$B1001,1,FALSE),"")</f>
        <v>#NAME?</v>
      </c>
      <c r="L992" t="str">
        <f t="shared" si="10"/>
        <v/>
      </c>
      <c r="Q992" t="str">
        <f>IF(N992="","",SUMIFS(Issue!$D$3:$D1001,Issue!$C$3:$C1001,N992))</f>
        <v/>
      </c>
      <c r="Y992" t="str">
        <f t="shared" si="11"/>
        <v/>
      </c>
      <c r="Z992" t="str">
        <f>IF(X992="","",SUMIFS(#REF!,RM!$C$4:$C991,X992))</f>
        <v/>
      </c>
      <c r="AA992" t="str">
        <f>IF(X992="","",SUMIFS(#REF!,RM!$C$4:$C991,X992))</f>
        <v/>
      </c>
      <c r="AB992" t="e">
        <f t="shared" si="12"/>
        <v>#VALUE!</v>
      </c>
      <c r="AC992" t="str">
        <f>IF(X992="","",VLOOKUP($X992,RM!$C$4:$G991,3,FALSE))</f>
        <v/>
      </c>
      <c r="AD992" t="str">
        <f>IF(X992="","",VLOOKUP($X992,RM!$C$4:$G991,4,FALSE))</f>
        <v/>
      </c>
      <c r="AE992" t="str">
        <f>IF(X992="","",VLOOKUP($X992,RM!$C$4:$G991,5,FALSE))</f>
        <v/>
      </c>
      <c r="AK992" t="e">
        <f ca="1">_xludf.IFNA(VLOOKUP(AG992,'S-FG'!$B$3:$B1001,1,FALSE),"")</f>
        <v>#NAME?</v>
      </c>
      <c r="AL992" t="str">
        <f>IF(AH992="","",SUMIFS(#REF!,RM!$C$4:$C991,AH992))</f>
        <v/>
      </c>
    </row>
    <row r="993" spans="5:38">
      <c r="E993" t="str">
        <f>IF(A993="","",SUMIFS(Issue!$D$3:$D1001,Issue!$C$3:$C1001,A993)*C993)</f>
        <v/>
      </c>
      <c r="F993" t="e">
        <f ca="1">_xludf.IFNA(VLOOKUP(B993,'S-FG'!$B$3:$B1001,1,FALSE),"")</f>
        <v>#NAME?</v>
      </c>
      <c r="L993" t="str">
        <f t="shared" si="10"/>
        <v/>
      </c>
      <c r="Q993" t="str">
        <f>IF(N993="","",SUMIFS(Issue!$D$3:$D1001,Issue!$C$3:$C1001,N993))</f>
        <v/>
      </c>
      <c r="Y993" t="str">
        <f t="shared" si="11"/>
        <v/>
      </c>
      <c r="Z993" t="str">
        <f>IF(X993="","",SUMIFS(#REF!,RM!$C$4:$C991,X993))</f>
        <v/>
      </c>
      <c r="AA993" t="str">
        <f>IF(X993="","",SUMIFS(#REF!,RM!$C$4:$C991,X993))</f>
        <v/>
      </c>
      <c r="AB993" t="e">
        <f t="shared" si="12"/>
        <v>#VALUE!</v>
      </c>
      <c r="AC993" t="str">
        <f>IF(X993="","",VLOOKUP($X993,RM!$C$4:$G991,3,FALSE))</f>
        <v/>
      </c>
      <c r="AD993" t="str">
        <f>IF(X993="","",VLOOKUP($X993,RM!$C$4:$G991,4,FALSE))</f>
        <v/>
      </c>
      <c r="AE993" t="str">
        <f>IF(X993="","",VLOOKUP($X993,RM!$C$4:$G991,5,FALSE))</f>
        <v/>
      </c>
      <c r="AK993" t="e">
        <f ca="1">_xludf.IFNA(VLOOKUP(AG993,'S-FG'!$B$3:$B1001,1,FALSE),"")</f>
        <v>#NAME?</v>
      </c>
      <c r="AL993" t="str">
        <f>IF(AH993="","",SUMIFS(#REF!,RM!$C$4:$C991,AH993))</f>
        <v/>
      </c>
    </row>
    <row r="994" spans="5:38">
      <c r="E994" t="str">
        <f>IF(A994="","",SUMIFS(Issue!$D$3:$D1001,Issue!$C$3:$C1001,A994)*C994)</f>
        <v/>
      </c>
      <c r="F994" t="e">
        <f ca="1">_xludf.IFNA(VLOOKUP(B994,'S-FG'!$B$3:$B1001,1,FALSE),"")</f>
        <v>#NAME?</v>
      </c>
      <c r="L994" t="str">
        <f t="shared" si="10"/>
        <v/>
      </c>
      <c r="Q994" t="str">
        <f>IF(N994="","",SUMIFS(Issue!$D$3:$D1001,Issue!$C$3:$C1001,N994))</f>
        <v/>
      </c>
      <c r="Y994" t="str">
        <f t="shared" si="11"/>
        <v/>
      </c>
      <c r="Z994" t="str">
        <f>IF(X994="","",SUMIFS(#REF!,RM!$C$4:$C991,X994))</f>
        <v/>
      </c>
      <c r="AA994" t="str">
        <f>IF(X994="","",SUMIFS(#REF!,RM!$C$4:$C991,X994))</f>
        <v/>
      </c>
      <c r="AB994" t="e">
        <f t="shared" si="12"/>
        <v>#VALUE!</v>
      </c>
      <c r="AC994" t="str">
        <f>IF(X994="","",VLOOKUP($X994,RM!$C$4:$G991,3,FALSE))</f>
        <v/>
      </c>
      <c r="AD994" t="str">
        <f>IF(X994="","",VLOOKUP($X994,RM!$C$4:$G991,4,FALSE))</f>
        <v/>
      </c>
      <c r="AE994" t="str">
        <f>IF(X994="","",VLOOKUP($X994,RM!$C$4:$G991,5,FALSE))</f>
        <v/>
      </c>
      <c r="AK994" t="e">
        <f ca="1">_xludf.IFNA(VLOOKUP(AG994,'S-FG'!$B$3:$B1001,1,FALSE),"")</f>
        <v>#NAME?</v>
      </c>
      <c r="AL994" t="str">
        <f>IF(AH994="","",SUMIFS(#REF!,RM!$C$4:$C991,AH994))</f>
        <v/>
      </c>
    </row>
    <row r="995" spans="5:38">
      <c r="E995" t="str">
        <f>IF(A995="","",SUMIFS(Issue!$D$3:$D1001,Issue!$C$3:$C1001,A995)*C995)</f>
        <v/>
      </c>
      <c r="F995" t="e">
        <f ca="1">_xludf.IFNA(VLOOKUP(B995,'S-FG'!$B$3:$B1001,1,FALSE),"")</f>
        <v>#NAME?</v>
      </c>
      <c r="L995" t="str">
        <f t="shared" si="10"/>
        <v/>
      </c>
      <c r="Q995" t="str">
        <f>IF(N995="","",SUMIFS(Issue!$D$3:$D1001,Issue!$C$3:$C1001,N995))</f>
        <v/>
      </c>
      <c r="Y995" t="str">
        <f t="shared" si="11"/>
        <v/>
      </c>
      <c r="Z995" t="str">
        <f>IF(X995="","",SUMIFS(#REF!,RM!$C$4:$C991,X995))</f>
        <v/>
      </c>
      <c r="AA995" t="str">
        <f>IF(X995="","",SUMIFS(#REF!,RM!$C$4:$C991,X995))</f>
        <v/>
      </c>
      <c r="AB995" t="e">
        <f t="shared" si="12"/>
        <v>#VALUE!</v>
      </c>
      <c r="AC995" t="str">
        <f>IF(X995="","",VLOOKUP($X995,RM!$C$4:$G991,3,FALSE))</f>
        <v/>
      </c>
      <c r="AD995" t="str">
        <f>IF(X995="","",VLOOKUP($X995,RM!$C$4:$G991,4,FALSE))</f>
        <v/>
      </c>
      <c r="AE995" t="str">
        <f>IF(X995="","",VLOOKUP($X995,RM!$C$4:$G991,5,FALSE))</f>
        <v/>
      </c>
      <c r="AK995" t="e">
        <f ca="1">_xludf.IFNA(VLOOKUP(AG995,'S-FG'!$B$3:$B1001,1,FALSE),"")</f>
        <v>#NAME?</v>
      </c>
      <c r="AL995" t="str">
        <f>IF(AH995="","",SUMIFS(#REF!,RM!$C$4:$C991,AH995))</f>
        <v/>
      </c>
    </row>
    <row r="996" spans="5:38">
      <c r="E996" t="str">
        <f>IF(A996="","",SUMIFS(Issue!$D$3:$D1001,Issue!$C$3:$C1001,A996)*C996)</f>
        <v/>
      </c>
      <c r="F996" t="e">
        <f ca="1">_xludf.IFNA(VLOOKUP(B996,'S-FG'!$B$3:$B1001,1,FALSE),"")</f>
        <v>#NAME?</v>
      </c>
      <c r="L996" t="str">
        <f t="shared" si="10"/>
        <v/>
      </c>
      <c r="Q996" t="str">
        <f>IF(N996="","",SUMIFS(Issue!$D$3:$D1001,Issue!$C$3:$C1001,N996))</f>
        <v/>
      </c>
      <c r="Y996" t="str">
        <f t="shared" si="11"/>
        <v/>
      </c>
      <c r="Z996" t="str">
        <f>IF(X996="","",SUMIFS(#REF!,RM!$C$4:$C991,X996))</f>
        <v/>
      </c>
      <c r="AA996" t="str">
        <f>IF(X996="","",SUMIFS(#REF!,RM!$C$4:$C991,X996))</f>
        <v/>
      </c>
      <c r="AB996" t="e">
        <f t="shared" si="12"/>
        <v>#VALUE!</v>
      </c>
      <c r="AC996" t="str">
        <f>IF(X996="","",VLOOKUP($X996,RM!$C$4:$G991,3,FALSE))</f>
        <v/>
      </c>
      <c r="AD996" t="str">
        <f>IF(X996="","",VLOOKUP($X996,RM!$C$4:$G991,4,FALSE))</f>
        <v/>
      </c>
      <c r="AE996" t="str">
        <f>IF(X996="","",VLOOKUP($X996,RM!$C$4:$G991,5,FALSE))</f>
        <v/>
      </c>
      <c r="AK996" t="e">
        <f ca="1">_xludf.IFNA(VLOOKUP(AG996,'S-FG'!$B$3:$B1001,1,FALSE),"")</f>
        <v>#NAME?</v>
      </c>
      <c r="AL996" t="str">
        <f>IF(AH996="","",SUMIFS(#REF!,RM!$C$4:$C991,AH996))</f>
        <v/>
      </c>
    </row>
    <row r="997" spans="5:38">
      <c r="E997" t="str">
        <f>IF(A997="","",SUMIFS(Issue!$D$3:$D1001,Issue!$C$3:$C1001,A997)*C997)</f>
        <v/>
      </c>
      <c r="F997" t="e">
        <f ca="1">_xludf.IFNA(VLOOKUP(B997,'S-FG'!$B$3:$B1001,1,FALSE),"")</f>
        <v>#NAME?</v>
      </c>
      <c r="L997" t="str">
        <f t="shared" si="10"/>
        <v/>
      </c>
      <c r="Q997" t="str">
        <f>IF(N997="","",SUMIFS(Issue!$D$3:$D1001,Issue!$C$3:$C1001,N997))</f>
        <v/>
      </c>
      <c r="Y997" t="str">
        <f t="shared" si="11"/>
        <v/>
      </c>
      <c r="Z997" t="str">
        <f>IF(X997="","",SUMIFS(#REF!,RM!$C$4:$C991,X997))</f>
        <v/>
      </c>
      <c r="AA997" t="str">
        <f>IF(X997="","",SUMIFS(#REF!,RM!$C$4:$C991,X997))</f>
        <v/>
      </c>
      <c r="AB997" t="e">
        <f t="shared" si="12"/>
        <v>#VALUE!</v>
      </c>
      <c r="AC997" t="str">
        <f>IF(X997="","",VLOOKUP($X997,RM!$C$4:$G991,3,FALSE))</f>
        <v/>
      </c>
      <c r="AD997" t="str">
        <f>IF(X997="","",VLOOKUP($X997,RM!$C$4:$G991,4,FALSE))</f>
        <v/>
      </c>
      <c r="AE997" t="str">
        <f>IF(X997="","",VLOOKUP($X997,RM!$C$4:$G991,5,FALSE))</f>
        <v/>
      </c>
      <c r="AK997" t="e">
        <f ca="1">_xludf.IFNA(VLOOKUP(AG997,'S-FG'!$B$3:$B1001,1,FALSE),"")</f>
        <v>#NAME?</v>
      </c>
      <c r="AL997" t="str">
        <f>IF(AH997="","",SUMIFS(#REF!,RM!$C$4:$C991,AH997))</f>
        <v/>
      </c>
    </row>
    <row r="998" spans="5:38">
      <c r="E998" t="str">
        <f>IF(A998="","",SUMIFS(Issue!$D$3:$D1001,Issue!$C$3:$C1001,A998)*C998)</f>
        <v/>
      </c>
      <c r="F998" t="e">
        <f ca="1">_xludf.IFNA(VLOOKUP(B998,'S-FG'!$B$3:$B1001,1,FALSE),"")</f>
        <v>#NAME?</v>
      </c>
      <c r="L998" t="str">
        <f t="shared" si="10"/>
        <v/>
      </c>
      <c r="Q998" t="str">
        <f>IF(N998="","",SUMIFS(Issue!$D$3:$D1001,Issue!$C$3:$C1001,N998))</f>
        <v/>
      </c>
      <c r="Y998" t="str">
        <f t="shared" si="11"/>
        <v/>
      </c>
      <c r="Z998" t="str">
        <f>IF(X998="","",SUMIFS(#REF!,RM!$C$4:$C991,X998))</f>
        <v/>
      </c>
      <c r="AA998" t="str">
        <f>IF(X998="","",SUMIFS(#REF!,RM!$C$4:$C991,X998))</f>
        <v/>
      </c>
      <c r="AB998" t="e">
        <f t="shared" si="12"/>
        <v>#VALUE!</v>
      </c>
      <c r="AC998" t="str">
        <f>IF(X998="","",VLOOKUP($X998,RM!$C$4:$G991,3,FALSE))</f>
        <v/>
      </c>
      <c r="AD998" t="str">
        <f>IF(X998="","",VLOOKUP($X998,RM!$C$4:$G991,4,FALSE))</f>
        <v/>
      </c>
      <c r="AE998" t="str">
        <f>IF(X998="","",VLOOKUP($X998,RM!$C$4:$G991,5,FALSE))</f>
        <v/>
      </c>
      <c r="AK998" t="e">
        <f ca="1">_xludf.IFNA(VLOOKUP(AG998,'S-FG'!$B$3:$B1001,1,FALSE),"")</f>
        <v>#NAME?</v>
      </c>
      <c r="AL998" t="str">
        <f>IF(AH998="","",SUMIFS(#REF!,RM!$C$4:$C991,AH998))</f>
        <v/>
      </c>
    </row>
    <row r="999" spans="5:38">
      <c r="E999" t="str">
        <f>IF(A999="","",SUMIFS(Issue!$D$3:$D1001,Issue!$C$3:$C1001,A999)*C999)</f>
        <v/>
      </c>
      <c r="F999" t="e">
        <f ca="1">_xludf.IFNA(VLOOKUP(B999,'S-FG'!$B$3:$B1001,1,FALSE),"")</f>
        <v>#NAME?</v>
      </c>
      <c r="L999" t="str">
        <f t="shared" si="10"/>
        <v/>
      </c>
      <c r="Q999" t="str">
        <f>IF(N999="","",SUMIFS(Issue!$D$3:$D1001,Issue!$C$3:$C1001,N999))</f>
        <v/>
      </c>
      <c r="Y999" t="str">
        <f t="shared" si="11"/>
        <v/>
      </c>
      <c r="Z999" t="str">
        <f>IF(X999="","",SUMIFS(#REF!,RM!$C$4:$C991,X999))</f>
        <v/>
      </c>
      <c r="AA999" t="str">
        <f>IF(X999="","",SUMIFS(#REF!,RM!$C$4:$C991,X999))</f>
        <v/>
      </c>
      <c r="AB999" t="e">
        <f t="shared" si="12"/>
        <v>#VALUE!</v>
      </c>
      <c r="AC999" t="str">
        <f>IF(X999="","",VLOOKUP($X999,RM!$C$4:$G991,3,FALSE))</f>
        <v/>
      </c>
      <c r="AD999" t="str">
        <f>IF(X999="","",VLOOKUP($X999,RM!$C$4:$G991,4,FALSE))</f>
        <v/>
      </c>
      <c r="AE999" t="str">
        <f>IF(X999="","",VLOOKUP($X999,RM!$C$4:$G991,5,FALSE))</f>
        <v/>
      </c>
      <c r="AK999" t="e">
        <f ca="1">_xludf.IFNA(VLOOKUP(AG999,'S-FG'!$B$3:$B1001,1,FALSE),"")</f>
        <v>#NAME?</v>
      </c>
      <c r="AL999" t="str">
        <f>IF(AH999="","",SUMIFS(#REF!,RM!$C$4:$C991,AH999))</f>
        <v/>
      </c>
    </row>
    <row r="1000" spans="5:38">
      <c r="E1000" t="str">
        <f>IF(A1000="","",SUMIFS(Issue!$D$3:$D1001,Issue!$C$3:$C1001,A1000)*C1000)</f>
        <v/>
      </c>
      <c r="F1000" t="e">
        <f ca="1">_xludf.IFNA(VLOOKUP(B1000,'S-FG'!$B$3:$B1001,1,FALSE),"")</f>
        <v>#NAME?</v>
      </c>
      <c r="L1000" t="str">
        <f t="shared" si="10"/>
        <v/>
      </c>
      <c r="Q1000" t="str">
        <f>IF(N1000="","",SUMIFS(Issue!$D$3:$D1001,Issue!$C$3:$C1001,N1000))</f>
        <v/>
      </c>
      <c r="Y1000" t="str">
        <f t="shared" si="11"/>
        <v/>
      </c>
      <c r="Z1000" t="str">
        <f>IF(X1000="","",SUMIFS(#REF!,RM!$C$4:$C991,X1000))</f>
        <v/>
      </c>
      <c r="AA1000" t="str">
        <f>IF(X1000="","",SUMIFS(#REF!,RM!$C$4:$C991,X1000))</f>
        <v/>
      </c>
      <c r="AB1000" t="e">
        <f t="shared" si="12"/>
        <v>#VALUE!</v>
      </c>
      <c r="AC1000" t="str">
        <f>IF(X1000="","",VLOOKUP($X1000,RM!$C$4:$G991,3,FALSE))</f>
        <v/>
      </c>
      <c r="AD1000" t="str">
        <f>IF(X1000="","",VLOOKUP($X1000,RM!$C$4:$G991,4,FALSE))</f>
        <v/>
      </c>
      <c r="AE1000" t="str">
        <f>IF(X1000="","",VLOOKUP($X1000,RM!$C$4:$G991,5,FALSE))</f>
        <v/>
      </c>
      <c r="AK1000" t="e">
        <f ca="1">_xludf.IFNA(VLOOKUP(AG1000,'S-FG'!$B$3:$B1001,1,FALSE),"")</f>
        <v>#NAME?</v>
      </c>
      <c r="AL1000" t="str">
        <f>IF(AH1000="","",SUMIFS(#REF!,RM!$C$4:$C991,AH1000))</f>
        <v/>
      </c>
    </row>
    <row r="1001" spans="5:38">
      <c r="E1001" t="str">
        <f>IF(A1001="","",SUMIFS(Issue!$D$3:$D1001,Issue!$C$3:$C1001,A1001)*C1001)</f>
        <v/>
      </c>
      <c r="F1001" t="e">
        <f ca="1">_xludf.IFNA(VLOOKUP(B1001,'S-FG'!$B$3:$B1001,1,FALSE),"")</f>
        <v>#NAME?</v>
      </c>
      <c r="L1001" t="str">
        <f t="shared" si="10"/>
        <v/>
      </c>
      <c r="Q1001" t="str">
        <f>IF(N1001="","",SUMIFS(Issue!$D$3:$D1001,Issue!$C$3:$C1001,N1001))</f>
        <v/>
      </c>
      <c r="Y1001" t="str">
        <f t="shared" si="11"/>
        <v/>
      </c>
      <c r="Z1001" t="str">
        <f>IF(X1001="","",SUMIFS(#REF!,RM!$C$4:$C991,X1001))</f>
        <v/>
      </c>
      <c r="AA1001" t="str">
        <f>IF(X1001="","",SUMIFS(#REF!,RM!$C$4:$C991,X1001))</f>
        <v/>
      </c>
      <c r="AB1001" t="e">
        <f t="shared" si="12"/>
        <v>#VALUE!</v>
      </c>
      <c r="AC1001" t="str">
        <f>IF(X1001="","",VLOOKUP($X1001,RM!$C$4:$G991,3,FALSE))</f>
        <v/>
      </c>
      <c r="AD1001" t="str">
        <f>IF(X1001="","",VLOOKUP($X1001,RM!$C$4:$G991,4,FALSE))</f>
        <v/>
      </c>
      <c r="AE1001" t="str">
        <f>IF(X1001="","",VLOOKUP($X1001,RM!$C$4:$G991,5,FALSE))</f>
        <v/>
      </c>
      <c r="AK1001" t="e">
        <f ca="1">_xludf.IFNA(VLOOKUP(AG1001,'S-FG'!$B$3:$B1001,1,FALSE),"")</f>
        <v>#NAME?</v>
      </c>
      <c r="AL1001" t="str">
        <f>IF(AH1001="","",SUMIFS(#REF!,RM!$C$4:$C991,AH1001))</f>
        <v/>
      </c>
    </row>
  </sheetData>
  <conditionalFormatting sqref="A1:BG1001">
    <cfRule type="expression" dxfId="0" priority="1">
      <formula>_xludf.ISFORMULA(A1)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63</vt:i4>
      </vt:variant>
    </vt:vector>
  </HeadingPairs>
  <TitlesOfParts>
    <vt:vector size="63" baseType="lpstr">
      <vt:lpstr>RM</vt:lpstr>
      <vt:lpstr>37-Self Rightening Assy</vt:lpstr>
      <vt:lpstr>36-ESC Assy</vt:lpstr>
      <vt:lpstr>35-Charger Panel Assy</vt:lpstr>
      <vt:lpstr>34-Charger power module Assy</vt:lpstr>
      <vt:lpstr>33-Charger PM Assy</vt:lpstr>
      <vt:lpstr>32-IP Remote Charging Cable Ass</vt:lpstr>
      <vt:lpstr>31-IP Remote Charging PM</vt:lpstr>
      <vt:lpstr>30-Charging Cable Assy</vt:lpstr>
      <vt:lpstr>28-Jet body Assy STBD</vt:lpstr>
      <vt:lpstr>27-Jet body Assy</vt:lpstr>
      <vt:lpstr>26-Motor Mount Assy (V1.1 &amp; 569</vt:lpstr>
      <vt:lpstr>25-Kangaroo box STBD Assy</vt:lpstr>
      <vt:lpstr>24-Kangaroo box PORT Assy</vt:lpstr>
      <vt:lpstr>23-Kangaroo Box Preprocessing A</vt:lpstr>
      <vt:lpstr>22-Kangaroo Power Wire STBD Ass</vt:lpstr>
      <vt:lpstr>21-Kangaroo Power Wire PORT Ass</vt:lpstr>
      <vt:lpstr>20-Flashing Light Assy STBD</vt:lpstr>
      <vt:lpstr>19-Flashing Light Assy PORT</vt:lpstr>
      <vt:lpstr>18-Bottom block Assy</vt:lpstr>
      <vt:lpstr>17-Charging PM Assy</vt:lpstr>
      <vt:lpstr>16-Signal PM Assy</vt:lpstr>
      <vt:lpstr>15-Current Sensor Assy</vt:lpstr>
      <vt:lpstr>14-100v Buck PCB Assy</vt:lpstr>
      <vt:lpstr>13-Motherboard Assy</vt:lpstr>
      <vt:lpstr>12-ElecBox Assy</vt:lpstr>
      <vt:lpstr>11-IP Remote Assy</vt:lpstr>
      <vt:lpstr>10-Battery Wiring PORT Assy </vt:lpstr>
      <vt:lpstr>9-Battery wiring STBD Assy</vt:lpstr>
      <vt:lpstr>8-Battery Block Formation Assy</vt:lpstr>
      <vt:lpstr>7-Copper Tab Tinning Assy</vt:lpstr>
      <vt:lpstr>6-Signal Cable Assy </vt:lpstr>
      <vt:lpstr>5-Jet unit Signal Cable Orig. A</vt:lpstr>
      <vt:lpstr>4-Jet unit Signl Cbl Dest. Assy</vt:lpstr>
      <vt:lpstr>Purchase Order List</vt:lpstr>
      <vt:lpstr>S-BOM</vt:lpstr>
      <vt:lpstr>MRP</vt:lpstr>
      <vt:lpstr>Supplier MRP</vt:lpstr>
      <vt:lpstr>Supplier Items</vt:lpstr>
      <vt:lpstr>CombineSFG</vt:lpstr>
      <vt:lpstr>CombineFG</vt:lpstr>
      <vt:lpstr>Help</vt:lpstr>
      <vt:lpstr>Parts List</vt:lpstr>
      <vt:lpstr>S-Parts List</vt:lpstr>
      <vt:lpstr>PO</vt:lpstr>
      <vt:lpstr>A-BOM</vt:lpstr>
      <vt:lpstr>3-Jet unit Assy PORT</vt:lpstr>
      <vt:lpstr>2-Jet unit Assy STBD</vt:lpstr>
      <vt:lpstr>1-Hull Preprocess Assy</vt:lpstr>
      <vt:lpstr>0-SAIFSEAS LIFE Final Assy (FG)</vt:lpstr>
      <vt:lpstr>FG</vt:lpstr>
      <vt:lpstr>Inv</vt:lpstr>
      <vt:lpstr>GRN-IMP</vt:lpstr>
      <vt:lpstr>Where Used</vt:lpstr>
      <vt:lpstr>GRN</vt:lpstr>
      <vt:lpstr>S-FG</vt:lpstr>
      <vt:lpstr>Issue</vt:lpstr>
      <vt:lpstr>Projects</vt:lpstr>
      <vt:lpstr>Project Parts</vt:lpstr>
      <vt:lpstr>PR-BOM</vt:lpstr>
      <vt:lpstr>IssueBOM</vt:lpstr>
      <vt:lpstr>MRPback</vt:lpstr>
      <vt:lpstr>IRegback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Qutub Kothari</cp:lastModifiedBy>
  <dcterms:modified xsi:type="dcterms:W3CDTF">2026-02-10T08:49:01Z</dcterms:modified>
</cp:coreProperties>
</file>